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01"/>
  <workbookPr hidePivotFieldList="1" checkCompatibility="1"/>
  <mc:AlternateContent xmlns:mc="http://schemas.openxmlformats.org/markup-compatibility/2006">
    <mc:Choice Requires="x15">
      <x15ac:absPath xmlns:x15ac="http://schemas.microsoft.com/office/spreadsheetml/2010/11/ac" url="/Users/luismiguelvazquezpescador/Box/01 Compartidas GL/03 Clientes/CL077 Aqua Dolce/CL077-2022/E102 Aqua Dolce Ltd/01 Cálculo Extranjero/"/>
    </mc:Choice>
  </mc:AlternateContent>
  <xr:revisionPtr revIDLastSave="1" documentId="13_ncr:1_{EAA0B7FD-78BD-6C44-9A79-CE51ABA6A7AF}" xr6:coauthVersionLast="47" xr6:coauthVersionMax="47" xr10:uidLastSave="{EE15BB03-2B27-4332-B92E-24B3EFFFFE48}"/>
  <bookViews>
    <workbookView xWindow="23580" yWindow="460" windowWidth="27620" windowHeight="26720" tabRatio="838" xr2:uid="{00000000-000D-0000-FFFF-FFFF00000000}"/>
  </bookViews>
  <sheets>
    <sheet name="Cuentas" sheetId="1" r:id="rId1"/>
    <sheet name="Cálculo ISR - Resumen" sheetId="2" r:id="rId2"/>
    <sheet name="Cálculo ISR - Detalle" sheetId="3" r:id="rId3"/>
    <sheet name="Intereses Percibidos" sheetId="4" r:id="rId4"/>
    <sheet name="Intereses en Compra-Venta Bonos" sheetId="5" state="hidden" r:id="rId5"/>
    <sheet name="Dividendos Nacionales" sheetId="25" state="hidden" r:id="rId6"/>
    <sheet name="Dividendos Extranjero" sheetId="6" r:id="rId7"/>
    <sheet name="Div Extranjero - Retención" sheetId="42" state="hidden" r:id="rId8"/>
    <sheet name="Sale of Shares - Summary" sheetId="35" r:id="rId9"/>
    <sheet name="Cap Gains Summary" sheetId="22" r:id="rId10"/>
    <sheet name="Cap Gains Details" sheetId="26" r:id="rId11"/>
    <sheet name="Ganancias Cambiarias" sheetId="8" state="hidden" r:id="rId12"/>
    <sheet name="Otros Ingresos" sheetId="10" state="hidden" r:id="rId13"/>
    <sheet name="Swap" sheetId="36" state="hidden" r:id="rId14"/>
    <sheet name="OFD - Summary" sheetId="55" state="hidden" r:id="rId15"/>
    <sheet name="Fwd - TC" sheetId="52" state="hidden" r:id="rId16"/>
    <sheet name="OFD - Summary options" sheetId="54" state="hidden" r:id="rId17"/>
    <sheet name="OFD - Detail options" sheetId="48" state="hidden" r:id="rId18"/>
    <sheet name="PE" sheetId="49" r:id="rId19"/>
    <sheet name="Gastos" sheetId="27" r:id="rId20"/>
    <sheet name="Intereses Pagados - Loan" sheetId="12" state="hidden" r:id="rId21"/>
    <sheet name="Retenciones - Otros" sheetId="14" r:id="rId22"/>
    <sheet name="Ventas" sheetId="21" r:id="rId23"/>
    <sheet name="Inventario B222350000" sheetId="59" r:id="rId24"/>
    <sheet name="Ventas OFD" sheetId="47" state="hidden" r:id="rId25"/>
    <sheet name="Pérdidas o Acreditamientos" sheetId="23" r:id="rId26"/>
    <sheet name="Equivalencia" sheetId="18" r:id="rId27"/>
    <sheet name="TC" sheetId="19" r:id="rId28"/>
    <sheet name="INPC" sheetId="20" r:id="rId29"/>
    <sheet name="Rev" sheetId="57" state="hidden" r:id="rId30"/>
  </sheets>
  <definedNames>
    <definedName name="_xlnm._FilterDatabase" localSheetId="7" hidden="1">'Div Extranjero - Retención'!$B$6:$H$27</definedName>
    <definedName name="_xlnm._FilterDatabase" localSheetId="6" hidden="1">'Dividendos Extranjero'!$B$6:$I$182</definedName>
    <definedName name="_xlnm._FilterDatabase" localSheetId="5" hidden="1">'Dividendos Nacionales'!$B$6:$L$27</definedName>
    <definedName name="_xlnm._FilterDatabase" localSheetId="15" hidden="1">'Fwd - TC'!$B$6:$I$16</definedName>
    <definedName name="_xlnm._FilterDatabase" localSheetId="11" hidden="1">'Ganancias Cambiarias'!$B$6:$I$25</definedName>
    <definedName name="_xlnm._FilterDatabase" localSheetId="19" hidden="1">Gastos!$B$6:$I$42</definedName>
    <definedName name="_xlnm._FilterDatabase" localSheetId="4" hidden="1">'Intereses en Compra-Venta Bonos'!$B$6:$I$14</definedName>
    <definedName name="_xlnm._FilterDatabase" localSheetId="20" hidden="1">'Intereses Pagados - Loan'!$B$6:$I$26</definedName>
    <definedName name="_xlnm._FilterDatabase" localSheetId="3" hidden="1">'Intereses Percibidos'!$B$6:$I$73</definedName>
    <definedName name="_xlnm._FilterDatabase" localSheetId="12" hidden="1">'Otros Ingresos'!$B$6:$I$27</definedName>
    <definedName name="_xlnm._FilterDatabase" localSheetId="18" hidden="1">PE!$B$5:$O$165</definedName>
    <definedName name="_xlnm._FilterDatabase" localSheetId="21" hidden="1">'Retenciones - Otros'!$B$6:$I$26</definedName>
    <definedName name="_xlnm._FilterDatabase" localSheetId="29" hidden="1">Rev!$A$2:$O$269</definedName>
    <definedName name="_xlnm._FilterDatabase" localSheetId="13" hidden="1">Swap!$B$6:$I$16</definedName>
    <definedName name="_xlnm._FilterDatabase" localSheetId="22" hidden="1">Ventas!$B$1:$AA$4024</definedName>
    <definedName name="_xlnm._FilterDatabase" localSheetId="24" hidden="1">'Ventas OFD'!$B$1:$AB$1</definedName>
    <definedName name="_xlnm.Print_Area" localSheetId="2">'Cálculo ISR - Detalle'!$B$2:$F$48</definedName>
    <definedName name="_xlnm.Print_Area" localSheetId="1">'Cálculo ISR - Resumen'!$B$2:$F$18</definedName>
    <definedName name="_xlnm.Print_Area" localSheetId="10">'Cap Gains Details'!$B$2:$O$33</definedName>
    <definedName name="_xlnm.Print_Area" localSheetId="9">'Cap Gains Summary'!$B$1:$F$23</definedName>
    <definedName name="_xlnm.Print_Area" localSheetId="0">Cuentas!$B$2:$D$24</definedName>
    <definedName name="_xlnm.Print_Area" localSheetId="7">'Div Extranjero - Retención'!$B$2:$H$53</definedName>
    <definedName name="_xlnm.Print_Area" localSheetId="6">'Dividendos Extranjero'!$B$2:$I$208</definedName>
    <definedName name="_xlnm.Print_Area" localSheetId="5">'Dividendos Nacionales'!$B$2:$L$51</definedName>
    <definedName name="_xlnm.Print_Area" localSheetId="15">'Fwd - TC'!$B$1:$I$40</definedName>
    <definedName name="_xlnm.Print_Area" localSheetId="11">'Ganancias Cambiarias'!$B$1:$I$50</definedName>
    <definedName name="_xlnm.Print_Area" localSheetId="19">Gastos!$B$1:$I$67</definedName>
    <definedName name="_xlnm.Print_Area" localSheetId="4">'Intereses en Compra-Venta Bonos'!$B$1:$I$41</definedName>
    <definedName name="_xlnm.Print_Area" localSheetId="20">'Intereses Pagados - Loan'!$B$1:$I$52</definedName>
    <definedName name="_xlnm.Print_Area" localSheetId="3">'Intereses Percibidos'!$B$1:$I$97</definedName>
    <definedName name="_xlnm.Print_Area" localSheetId="17">'OFD - Detail options'!$B$1:$W$20</definedName>
    <definedName name="_xlnm.Print_Area" localSheetId="14">'OFD - Summary'!$B$2:$E$15</definedName>
    <definedName name="_xlnm.Print_Area" localSheetId="16">'OFD - Summary options'!$B$1:$H$25</definedName>
    <definedName name="_xlnm.Print_Area" localSheetId="12">'Otros Ingresos'!$B$1:$I$51</definedName>
    <definedName name="_xlnm.Print_Area" localSheetId="18">PE!$B$2:$P$165</definedName>
    <definedName name="_xlnm.Print_Area" localSheetId="25">'Pérdidas o Acreditamientos'!$B$2:$P$81,'Pérdidas o Acreditamientos'!$B$99:$AP$167,'Pérdidas o Acreditamientos'!$B$189:$AP$267,'Pérdidas o Acreditamientos'!$B$285:$P$363</definedName>
    <definedName name="_xlnm.Print_Area" localSheetId="21">'Retenciones - Otros'!$B$1:$I$52</definedName>
    <definedName name="_xlnm.Print_Area" localSheetId="8">'Sale of Shares - Summary'!$B$2:$E$12</definedName>
    <definedName name="_xlnm.Print_Area" localSheetId="13">Swap!$B$1:$I$40</definedName>
    <definedName name="Contribution">PE!$W$6:$W$8</definedName>
    <definedName name="_xlnm.Print_Titles" localSheetId="10">'Cap Gains Details'!$1:$6</definedName>
    <definedName name="_xlnm.Print_Titles" localSheetId="9">'Cap Gains Summary'!$1:$5</definedName>
    <definedName name="_xlnm.Print_Titles" localSheetId="7">'Div Extranjero - Retención'!$2:$6</definedName>
    <definedName name="_xlnm.Print_Titles" localSheetId="6">'Dividendos Extranjero'!$2:$6</definedName>
    <definedName name="_xlnm.Print_Titles" localSheetId="5">'Dividendos Nacionales'!$2:$6</definedName>
    <definedName name="_xlnm.Print_Titles" localSheetId="15">'Fwd - TC'!$1:$6</definedName>
    <definedName name="_xlnm.Print_Titles" localSheetId="11">'Ganancias Cambiarias'!$1:$6</definedName>
    <definedName name="_xlnm.Print_Titles" localSheetId="19">Gastos!$1:$6</definedName>
    <definedName name="_xlnm.Print_Titles" localSheetId="4">'Intereses en Compra-Venta Bonos'!$1:$6</definedName>
    <definedName name="_xlnm.Print_Titles" localSheetId="20">'Intereses Pagados - Loan'!$1:$6</definedName>
    <definedName name="_xlnm.Print_Titles" localSheetId="3">'Intereses Percibidos'!$1:$6</definedName>
    <definedName name="_xlnm.Print_Titles" localSheetId="14">'OFD - Summary'!$2:$5</definedName>
    <definedName name="_xlnm.Print_Titles" localSheetId="12">'Otros Ingresos'!$1:$5</definedName>
    <definedName name="_xlnm.Print_Titles" localSheetId="18">PE!$2:$5</definedName>
    <definedName name="_xlnm.Print_Titles" localSheetId="21">'Retenciones - Otros'!$1:$6</definedName>
    <definedName name="_xlnm.Print_Titles" localSheetId="8">'Sale of Shares - Summary'!$2:$5</definedName>
    <definedName name="_xlnm.Print_Titles" localSheetId="13">Swap!$1:$6</definedName>
    <definedName name="Write_Option">#REF!</definedName>
  </definedNames>
  <calcPr calcId="191028"/>
  <pivotCaches>
    <pivotCache cacheId="2249" r:id="rId31"/>
    <pivotCache cacheId="2259" r:id="rId32"/>
  </pivotCaches>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1" i="27" l="1"/>
  <c r="I31" i="27" s="1"/>
  <c r="H32" i="27"/>
  <c r="I32" i="27" s="1"/>
  <c r="H31" i="4" l="1"/>
  <c r="I31" i="4" s="1"/>
  <c r="L19" i="49" l="1"/>
  <c r="N22" i="18"/>
  <c r="M22" i="18"/>
  <c r="L22" i="18"/>
  <c r="K22" i="18"/>
  <c r="J22" i="18"/>
  <c r="I22" i="18"/>
  <c r="N20" i="18"/>
  <c r="M20" i="18"/>
  <c r="L20" i="18"/>
  <c r="K20" i="18"/>
  <c r="J20" i="18"/>
  <c r="I20" i="18"/>
  <c r="H20" i="4"/>
  <c r="I20" i="4" s="1"/>
  <c r="H130" i="6"/>
  <c r="I130" i="6" s="1"/>
  <c r="H129" i="6"/>
  <c r="I129" i="6" s="1"/>
  <c r="H128" i="6"/>
  <c r="I128" i="6" s="1"/>
  <c r="H127" i="6"/>
  <c r="I127" i="6" s="1"/>
  <c r="H126" i="6"/>
  <c r="I126" i="6" s="1"/>
  <c r="H125" i="6"/>
  <c r="I125" i="6" s="1"/>
  <c r="H124" i="6"/>
  <c r="I124" i="6" s="1"/>
  <c r="H123" i="6"/>
  <c r="I123" i="6" s="1"/>
  <c r="H122" i="6"/>
  <c r="I122" i="6" s="1"/>
  <c r="H121" i="6"/>
  <c r="I121" i="6" s="1"/>
  <c r="H120" i="6"/>
  <c r="I120" i="6" s="1"/>
  <c r="H119" i="6"/>
  <c r="I119" i="6" s="1"/>
  <c r="H118" i="6"/>
  <c r="I118" i="6" s="1"/>
  <c r="H117" i="6"/>
  <c r="I117" i="6" s="1"/>
  <c r="H116" i="6"/>
  <c r="I116" i="6" s="1"/>
  <c r="H172" i="6"/>
  <c r="I172" i="6" s="1"/>
  <c r="H23" i="27"/>
  <c r="I23" i="27" s="1"/>
  <c r="H22" i="27"/>
  <c r="I22" i="27" s="1"/>
  <c r="I4" i="59"/>
  <c r="I7" i="59"/>
  <c r="H7" i="59"/>
  <c r="P4" i="59"/>
  <c r="L4" i="59"/>
  <c r="H5" i="59"/>
  <c r="H4" i="59"/>
  <c r="H59" i="4" l="1"/>
  <c r="I59" i="4" s="1"/>
  <c r="H143" i="6" l="1"/>
  <c r="I143" i="6" s="1"/>
  <c r="H47" i="4"/>
  <c r="I47" i="4" s="1"/>
  <c r="H46" i="4"/>
  <c r="I46" i="4" s="1"/>
  <c r="H71" i="4"/>
  <c r="I71" i="4" s="1"/>
  <c r="H70" i="4"/>
  <c r="I70" i="4" s="1"/>
  <c r="AB2006" i="21" l="1"/>
  <c r="V2006" i="21"/>
  <c r="W2006" i="21" s="1"/>
  <c r="L2006" i="21"/>
  <c r="K2006" i="21"/>
  <c r="H2006" i="21"/>
  <c r="M2006" i="21" s="1"/>
  <c r="G2006" i="21"/>
  <c r="I2006" i="21" s="1"/>
  <c r="AB2005" i="21"/>
  <c r="V2005" i="21"/>
  <c r="W2005" i="21" s="1"/>
  <c r="L2005" i="21"/>
  <c r="K2005" i="21"/>
  <c r="H2005" i="21"/>
  <c r="G2005" i="21"/>
  <c r="I2005" i="21" s="1"/>
  <c r="AB2004" i="21"/>
  <c r="V2004" i="21"/>
  <c r="W2004" i="21" s="1"/>
  <c r="L2004" i="21"/>
  <c r="K2004" i="21"/>
  <c r="H2004" i="21"/>
  <c r="M2004" i="21" s="1"/>
  <c r="G2004" i="21"/>
  <c r="I2004" i="21" s="1"/>
  <c r="AB2003" i="21"/>
  <c r="V2003" i="21"/>
  <c r="W2003" i="21" s="1"/>
  <c r="L2003" i="21"/>
  <c r="K2003" i="21"/>
  <c r="H2003" i="21"/>
  <c r="G2003" i="21"/>
  <c r="I2003" i="21" s="1"/>
  <c r="AB2002" i="21"/>
  <c r="V2002" i="21"/>
  <c r="W2002" i="21" s="1"/>
  <c r="L2002" i="21"/>
  <c r="K2002" i="21"/>
  <c r="H2002" i="21"/>
  <c r="M2002" i="21" s="1"/>
  <c r="G2002" i="21"/>
  <c r="I2002" i="21" s="1"/>
  <c r="AB2001" i="21"/>
  <c r="V2001" i="21"/>
  <c r="W2001" i="21" s="1"/>
  <c r="L2001" i="21"/>
  <c r="K2001" i="21"/>
  <c r="H2001" i="21"/>
  <c r="G2001" i="21"/>
  <c r="I2001" i="21" s="1"/>
  <c r="AB2000" i="21"/>
  <c r="V2000" i="21"/>
  <c r="W2000" i="21" s="1"/>
  <c r="L2000" i="21"/>
  <c r="K2000" i="21"/>
  <c r="H2000" i="21"/>
  <c r="M2000" i="21" s="1"/>
  <c r="G2000" i="21"/>
  <c r="I2000" i="21" s="1"/>
  <c r="AB1999" i="21"/>
  <c r="V1999" i="21"/>
  <c r="W1999" i="21" s="1"/>
  <c r="L1999" i="21"/>
  <c r="K1999" i="21"/>
  <c r="H1999" i="21"/>
  <c r="G1999" i="21"/>
  <c r="I1999" i="21" s="1"/>
  <c r="AB1998" i="21"/>
  <c r="V1998" i="21"/>
  <c r="W1998" i="21" s="1"/>
  <c r="L1998" i="21"/>
  <c r="K1998" i="21"/>
  <c r="H1998" i="21"/>
  <c r="M1998" i="21" s="1"/>
  <c r="G1998" i="21"/>
  <c r="I1998" i="21" s="1"/>
  <c r="AB1997" i="21"/>
  <c r="V1997" i="21"/>
  <c r="W1997" i="21" s="1"/>
  <c r="L1997" i="21"/>
  <c r="K1997" i="21"/>
  <c r="H1997" i="21"/>
  <c r="G1997" i="21"/>
  <c r="I1997" i="21" s="1"/>
  <c r="AB1996" i="21"/>
  <c r="V1996" i="21"/>
  <c r="W1996" i="21" s="1"/>
  <c r="L1996" i="21"/>
  <c r="K1996" i="21"/>
  <c r="H1996" i="21"/>
  <c r="M1996" i="21" s="1"/>
  <c r="G1996" i="21"/>
  <c r="I1996" i="21" s="1"/>
  <c r="AB1995" i="21"/>
  <c r="V1995" i="21"/>
  <c r="W1995" i="21" s="1"/>
  <c r="L1995" i="21"/>
  <c r="K1995" i="21"/>
  <c r="H1995" i="21"/>
  <c r="G1995" i="21"/>
  <c r="I1995" i="21" s="1"/>
  <c r="AB1994" i="21"/>
  <c r="V1994" i="21"/>
  <c r="W1994" i="21" s="1"/>
  <c r="L1994" i="21"/>
  <c r="K1994" i="21"/>
  <c r="H1994" i="21"/>
  <c r="M1994" i="21" s="1"/>
  <c r="G1994" i="21"/>
  <c r="I1994" i="21" s="1"/>
  <c r="AB1993" i="21"/>
  <c r="V1993" i="21"/>
  <c r="W1993" i="21" s="1"/>
  <c r="L1993" i="21"/>
  <c r="K1993" i="21"/>
  <c r="H1993" i="21"/>
  <c r="G1993" i="21"/>
  <c r="I1993" i="21" s="1"/>
  <c r="AB1992" i="21"/>
  <c r="V1992" i="21"/>
  <c r="W1992" i="21" s="1"/>
  <c r="L1992" i="21"/>
  <c r="K1992" i="21"/>
  <c r="H1992" i="21"/>
  <c r="M1992" i="21" s="1"/>
  <c r="G1992" i="21"/>
  <c r="I1992" i="21" s="1"/>
  <c r="AB1991" i="21"/>
  <c r="V1991" i="21"/>
  <c r="W1991" i="21" s="1"/>
  <c r="L1991" i="21"/>
  <c r="K1991" i="21"/>
  <c r="H1991" i="21"/>
  <c r="G1991" i="21"/>
  <c r="I1991" i="21" s="1"/>
  <c r="AB1990" i="21"/>
  <c r="V1990" i="21"/>
  <c r="W1990" i="21" s="1"/>
  <c r="L1990" i="21"/>
  <c r="K1990" i="21"/>
  <c r="H1990" i="21"/>
  <c r="M1990" i="21" s="1"/>
  <c r="G1990" i="21"/>
  <c r="I1990" i="21" s="1"/>
  <c r="AB1989" i="21"/>
  <c r="V1989" i="21"/>
  <c r="W1989" i="21" s="1"/>
  <c r="L1989" i="21"/>
  <c r="K1989" i="21"/>
  <c r="H1989" i="21"/>
  <c r="G1989" i="21"/>
  <c r="I1989" i="21" s="1"/>
  <c r="AB1988" i="21"/>
  <c r="V1988" i="21"/>
  <c r="W1988" i="21" s="1"/>
  <c r="L1988" i="21"/>
  <c r="K1988" i="21"/>
  <c r="H1988" i="21"/>
  <c r="M1988" i="21" s="1"/>
  <c r="G1988" i="21"/>
  <c r="I1988" i="21" s="1"/>
  <c r="AB1987" i="21"/>
  <c r="V1987" i="21"/>
  <c r="W1987" i="21" s="1"/>
  <c r="L1987" i="21"/>
  <c r="K1987" i="21"/>
  <c r="H1987" i="21"/>
  <c r="G1987" i="21"/>
  <c r="I1987" i="21" s="1"/>
  <c r="AB1986" i="21"/>
  <c r="V1986" i="21"/>
  <c r="W1986" i="21" s="1"/>
  <c r="L1986" i="21"/>
  <c r="K1986" i="21"/>
  <c r="H1986" i="21"/>
  <c r="M1986" i="21" s="1"/>
  <c r="G1986" i="21"/>
  <c r="I1986" i="21" s="1"/>
  <c r="AB1985" i="21"/>
  <c r="V1985" i="21"/>
  <c r="W1985" i="21" s="1"/>
  <c r="L1985" i="21"/>
  <c r="K1985" i="21"/>
  <c r="H1985" i="21"/>
  <c r="G1985" i="21"/>
  <c r="I1985" i="21" s="1"/>
  <c r="AB1984" i="21"/>
  <c r="V1984" i="21"/>
  <c r="W1984" i="21" s="1"/>
  <c r="L1984" i="21"/>
  <c r="K1984" i="21"/>
  <c r="H1984" i="21"/>
  <c r="M1984" i="21" s="1"/>
  <c r="G1984" i="21"/>
  <c r="I1984" i="21" s="1"/>
  <c r="AB1983" i="21"/>
  <c r="V1983" i="21"/>
  <c r="W1983" i="21" s="1"/>
  <c r="L1983" i="21"/>
  <c r="K1983" i="21"/>
  <c r="H1983" i="21"/>
  <c r="G1983" i="21"/>
  <c r="I1983" i="21" s="1"/>
  <c r="AB1982" i="21"/>
  <c r="V1982" i="21"/>
  <c r="W1982" i="21" s="1"/>
  <c r="L1982" i="21"/>
  <c r="K1982" i="21"/>
  <c r="H1982" i="21"/>
  <c r="M1982" i="21" s="1"/>
  <c r="G1982" i="21"/>
  <c r="I1982" i="21" s="1"/>
  <c r="AB1981" i="21"/>
  <c r="V1981" i="21"/>
  <c r="W1981" i="21" s="1"/>
  <c r="L1981" i="21"/>
  <c r="K1981" i="21"/>
  <c r="H1981" i="21"/>
  <c r="G1981" i="21"/>
  <c r="I1981" i="21" s="1"/>
  <c r="AB1980" i="21"/>
  <c r="V1980" i="21"/>
  <c r="W1980" i="21" s="1"/>
  <c r="L1980" i="21"/>
  <c r="K1980" i="21"/>
  <c r="H1980" i="21"/>
  <c r="M1980" i="21" s="1"/>
  <c r="G1980" i="21"/>
  <c r="I1980" i="21" s="1"/>
  <c r="AB1979" i="21"/>
  <c r="V1979" i="21"/>
  <c r="W1979" i="21" s="1"/>
  <c r="L1979" i="21"/>
  <c r="K1979" i="21"/>
  <c r="H1979" i="21"/>
  <c r="G1979" i="21"/>
  <c r="I1979" i="21" s="1"/>
  <c r="AB1978" i="21"/>
  <c r="V1978" i="21"/>
  <c r="W1978" i="21" s="1"/>
  <c r="L1978" i="21"/>
  <c r="K1978" i="21"/>
  <c r="H1978" i="21"/>
  <c r="M1978" i="21" s="1"/>
  <c r="G1978" i="21"/>
  <c r="I1978" i="21" s="1"/>
  <c r="AB1977" i="21"/>
  <c r="V1977" i="21"/>
  <c r="W1977" i="21" s="1"/>
  <c r="L1977" i="21"/>
  <c r="K1977" i="21"/>
  <c r="H1977" i="21"/>
  <c r="G1977" i="21"/>
  <c r="I1977" i="21" s="1"/>
  <c r="AB1976" i="21"/>
  <c r="V1976" i="21"/>
  <c r="W1976" i="21" s="1"/>
  <c r="L1976" i="21"/>
  <c r="K1976" i="21"/>
  <c r="H1976" i="21"/>
  <c r="M1976" i="21" s="1"/>
  <c r="G1976" i="21"/>
  <c r="I1976" i="21" s="1"/>
  <c r="AB1975" i="21"/>
  <c r="V1975" i="21"/>
  <c r="W1975" i="21" s="1"/>
  <c r="L1975" i="21"/>
  <c r="K1975" i="21"/>
  <c r="H1975" i="21"/>
  <c r="G1975" i="21"/>
  <c r="I1975" i="21" s="1"/>
  <c r="AB1974" i="21"/>
  <c r="V1974" i="21"/>
  <c r="W1974" i="21" s="1"/>
  <c r="L1974" i="21"/>
  <c r="K1974" i="21"/>
  <c r="H1974" i="21"/>
  <c r="M1974" i="21" s="1"/>
  <c r="G1974" i="21"/>
  <c r="I1974" i="21" s="1"/>
  <c r="AB1973" i="21"/>
  <c r="V1973" i="21"/>
  <c r="W1973" i="21" s="1"/>
  <c r="L1973" i="21"/>
  <c r="K1973" i="21"/>
  <c r="H1973" i="21"/>
  <c r="G1973" i="21"/>
  <c r="I1973" i="21" s="1"/>
  <c r="AB1972" i="21"/>
  <c r="V1972" i="21"/>
  <c r="W1972" i="21" s="1"/>
  <c r="L1972" i="21"/>
  <c r="K1972" i="21"/>
  <c r="H1972" i="21"/>
  <c r="M1972" i="21" s="1"/>
  <c r="G1972" i="21"/>
  <c r="I1972" i="21" s="1"/>
  <c r="AB1971" i="21"/>
  <c r="V1971" i="21"/>
  <c r="W1971" i="21" s="1"/>
  <c r="L1971" i="21"/>
  <c r="K1971" i="21"/>
  <c r="H1971" i="21"/>
  <c r="G1971" i="21"/>
  <c r="I1971" i="21" s="1"/>
  <c r="AB1970" i="21"/>
  <c r="V1970" i="21"/>
  <c r="W1970" i="21" s="1"/>
  <c r="L1970" i="21"/>
  <c r="K1970" i="21"/>
  <c r="H1970" i="21"/>
  <c r="M1970" i="21" s="1"/>
  <c r="G1970" i="21"/>
  <c r="I1970" i="21" s="1"/>
  <c r="AB1969" i="21"/>
  <c r="V1969" i="21"/>
  <c r="W1969" i="21" s="1"/>
  <c r="L1969" i="21"/>
  <c r="K1969" i="21"/>
  <c r="H1969" i="21"/>
  <c r="G1969" i="21"/>
  <c r="I1969" i="21" s="1"/>
  <c r="AB1968" i="21"/>
  <c r="V1968" i="21"/>
  <c r="W1968" i="21" s="1"/>
  <c r="L1968" i="21"/>
  <c r="K1968" i="21"/>
  <c r="H1968" i="21"/>
  <c r="M1968" i="21" s="1"/>
  <c r="G1968" i="21"/>
  <c r="I1968" i="21" s="1"/>
  <c r="AB1967" i="21"/>
  <c r="V1967" i="21"/>
  <c r="W1967" i="21" s="1"/>
  <c r="L1967" i="21"/>
  <c r="K1967" i="21"/>
  <c r="H1967" i="21"/>
  <c r="G1967" i="21"/>
  <c r="I1967" i="21" s="1"/>
  <c r="AB1966" i="21"/>
  <c r="V1966" i="21"/>
  <c r="W1966" i="21" s="1"/>
  <c r="L1966" i="21"/>
  <c r="K1966" i="21"/>
  <c r="H1966" i="21"/>
  <c r="M1966" i="21" s="1"/>
  <c r="G1966" i="21"/>
  <c r="I1966" i="21" s="1"/>
  <c r="AB1965" i="21"/>
  <c r="V1965" i="21"/>
  <c r="W1965" i="21" s="1"/>
  <c r="L1965" i="21"/>
  <c r="K1965" i="21"/>
  <c r="H1965" i="21"/>
  <c r="G1965" i="21"/>
  <c r="I1965" i="21" s="1"/>
  <c r="AB1964" i="21"/>
  <c r="V1964" i="21"/>
  <c r="W1964" i="21" s="1"/>
  <c r="L1964" i="21"/>
  <c r="K1964" i="21"/>
  <c r="H1964" i="21"/>
  <c r="M1964" i="21" s="1"/>
  <c r="G1964" i="21"/>
  <c r="I1964" i="21" s="1"/>
  <c r="AB1963" i="21"/>
  <c r="V1963" i="21"/>
  <c r="W1963" i="21" s="1"/>
  <c r="L1963" i="21"/>
  <c r="K1963" i="21"/>
  <c r="H1963" i="21"/>
  <c r="G1963" i="21"/>
  <c r="I1963" i="21" s="1"/>
  <c r="AB1962" i="21"/>
  <c r="V1962" i="21"/>
  <c r="W1962" i="21" s="1"/>
  <c r="L1962" i="21"/>
  <c r="K1962" i="21"/>
  <c r="H1962" i="21"/>
  <c r="M1962" i="21" s="1"/>
  <c r="G1962" i="21"/>
  <c r="I1962" i="21" s="1"/>
  <c r="AB1961" i="21"/>
  <c r="V1961" i="21"/>
  <c r="W1961" i="21" s="1"/>
  <c r="L1961" i="21"/>
  <c r="K1961" i="21"/>
  <c r="H1961" i="21"/>
  <c r="G1961" i="21"/>
  <c r="I1961" i="21" s="1"/>
  <c r="AB1960" i="21"/>
  <c r="V1960" i="21"/>
  <c r="W1960" i="21" s="1"/>
  <c r="L1960" i="21"/>
  <c r="K1960" i="21"/>
  <c r="H1960" i="21"/>
  <c r="M1960" i="21" s="1"/>
  <c r="G1960" i="21"/>
  <c r="I1960" i="21" s="1"/>
  <c r="AB1959" i="21"/>
  <c r="V1959" i="21"/>
  <c r="W1959" i="21" s="1"/>
  <c r="L1959" i="21"/>
  <c r="K1959" i="21"/>
  <c r="H1959" i="21"/>
  <c r="G1959" i="21"/>
  <c r="I1959" i="21" s="1"/>
  <c r="AB1958" i="21"/>
  <c r="V1958" i="21"/>
  <c r="W1958" i="21" s="1"/>
  <c r="L1958" i="21"/>
  <c r="K1958" i="21"/>
  <c r="H1958" i="21"/>
  <c r="M1958" i="21" s="1"/>
  <c r="G1958" i="21"/>
  <c r="I1958" i="21" s="1"/>
  <c r="AB1957" i="21"/>
  <c r="V1957" i="21"/>
  <c r="W1957" i="21" s="1"/>
  <c r="L1957" i="21"/>
  <c r="K1957" i="21"/>
  <c r="H1957" i="21"/>
  <c r="G1957" i="21"/>
  <c r="I1957" i="21" s="1"/>
  <c r="AB1956" i="21"/>
  <c r="V1956" i="21"/>
  <c r="W1956" i="21" s="1"/>
  <c r="L1956" i="21"/>
  <c r="K1956" i="21"/>
  <c r="H1956" i="21"/>
  <c r="M1956" i="21" s="1"/>
  <c r="G1956" i="21"/>
  <c r="I1956" i="21" s="1"/>
  <c r="AB1955" i="21"/>
  <c r="V1955" i="21"/>
  <c r="W1955" i="21" s="1"/>
  <c r="L1955" i="21"/>
  <c r="K1955" i="21"/>
  <c r="H1955" i="21"/>
  <c r="G1955" i="21"/>
  <c r="I1955" i="21" s="1"/>
  <c r="AB1954" i="21"/>
  <c r="V1954" i="21"/>
  <c r="W1954" i="21" s="1"/>
  <c r="L1954" i="21"/>
  <c r="K1954" i="21"/>
  <c r="H1954" i="21"/>
  <c r="M1954" i="21" s="1"/>
  <c r="G1954" i="21"/>
  <c r="I1954" i="21" s="1"/>
  <c r="AB1953" i="21"/>
  <c r="V1953" i="21"/>
  <c r="W1953" i="21" s="1"/>
  <c r="L1953" i="21"/>
  <c r="K1953" i="21"/>
  <c r="H1953" i="21"/>
  <c r="G1953" i="21"/>
  <c r="I1953" i="21" s="1"/>
  <c r="AB1952" i="21"/>
  <c r="V1952" i="21"/>
  <c r="W1952" i="21" s="1"/>
  <c r="L1952" i="21"/>
  <c r="K1952" i="21"/>
  <c r="H1952" i="21"/>
  <c r="M1952" i="21" s="1"/>
  <c r="G1952" i="21"/>
  <c r="I1952" i="21" s="1"/>
  <c r="AB1951" i="21"/>
  <c r="V1951" i="21"/>
  <c r="W1951" i="21" s="1"/>
  <c r="L1951" i="21"/>
  <c r="K1951" i="21"/>
  <c r="H1951" i="21"/>
  <c r="G1951" i="21"/>
  <c r="I1951" i="21" s="1"/>
  <c r="AB1950" i="21"/>
  <c r="V1950" i="21"/>
  <c r="W1950" i="21" s="1"/>
  <c r="L1950" i="21"/>
  <c r="K1950" i="21"/>
  <c r="H1950" i="21"/>
  <c r="M1950" i="21" s="1"/>
  <c r="G1950" i="21"/>
  <c r="I1950" i="21" s="1"/>
  <c r="AB1949" i="21"/>
  <c r="V1949" i="21"/>
  <c r="W1949" i="21" s="1"/>
  <c r="L1949" i="21"/>
  <c r="K1949" i="21"/>
  <c r="H1949" i="21"/>
  <c r="G1949" i="21"/>
  <c r="I1949" i="21" s="1"/>
  <c r="AB1948" i="21"/>
  <c r="V1948" i="21"/>
  <c r="W1948" i="21" s="1"/>
  <c r="L1948" i="21"/>
  <c r="K1948" i="21"/>
  <c r="H1948" i="21"/>
  <c r="M1948" i="21" s="1"/>
  <c r="G1948" i="21"/>
  <c r="I1948" i="21" s="1"/>
  <c r="AB1947" i="21"/>
  <c r="V1947" i="21"/>
  <c r="W1947" i="21" s="1"/>
  <c r="L1947" i="21"/>
  <c r="K1947" i="21"/>
  <c r="H1947" i="21"/>
  <c r="G1947" i="21"/>
  <c r="I1947" i="21" s="1"/>
  <c r="AB1946" i="21"/>
  <c r="V1946" i="21"/>
  <c r="W1946" i="21" s="1"/>
  <c r="L1946" i="21"/>
  <c r="K1946" i="21"/>
  <c r="H1946" i="21"/>
  <c r="M1946" i="21" s="1"/>
  <c r="G1946" i="21"/>
  <c r="I1946" i="21" s="1"/>
  <c r="AB1945" i="21"/>
  <c r="V1945" i="21"/>
  <c r="W1945" i="21" s="1"/>
  <c r="L1945" i="21"/>
  <c r="K1945" i="21"/>
  <c r="H1945" i="21"/>
  <c r="G1945" i="21"/>
  <c r="I1945" i="21" s="1"/>
  <c r="AB1944" i="21"/>
  <c r="V1944" i="21"/>
  <c r="W1944" i="21" s="1"/>
  <c r="L1944" i="21"/>
  <c r="K1944" i="21"/>
  <c r="H1944" i="21"/>
  <c r="M1944" i="21" s="1"/>
  <c r="G1944" i="21"/>
  <c r="I1944" i="21" s="1"/>
  <c r="AB1943" i="21"/>
  <c r="V1943" i="21"/>
  <c r="W1943" i="21" s="1"/>
  <c r="L1943" i="21"/>
  <c r="K1943" i="21"/>
  <c r="H1943" i="21"/>
  <c r="G1943" i="21"/>
  <c r="I1943" i="21" s="1"/>
  <c r="AB1942" i="21"/>
  <c r="V1942" i="21"/>
  <c r="W1942" i="21" s="1"/>
  <c r="L1942" i="21"/>
  <c r="K1942" i="21"/>
  <c r="H1942" i="21"/>
  <c r="M1942" i="21" s="1"/>
  <c r="G1942" i="21"/>
  <c r="I1942" i="21" s="1"/>
  <c r="AB1941" i="21"/>
  <c r="V1941" i="21"/>
  <c r="W1941" i="21" s="1"/>
  <c r="L1941" i="21"/>
  <c r="K1941" i="21"/>
  <c r="H1941" i="21"/>
  <c r="G1941" i="21"/>
  <c r="I1941" i="21" s="1"/>
  <c r="AB1940" i="21"/>
  <c r="V1940" i="21"/>
  <c r="W1940" i="21" s="1"/>
  <c r="L1940" i="21"/>
  <c r="K1940" i="21"/>
  <c r="H1940" i="21"/>
  <c r="M1940" i="21" s="1"/>
  <c r="G1940" i="21"/>
  <c r="I1940" i="21" s="1"/>
  <c r="AB1939" i="21"/>
  <c r="V1939" i="21"/>
  <c r="W1939" i="21" s="1"/>
  <c r="L1939" i="21"/>
  <c r="K1939" i="21"/>
  <c r="H1939" i="21"/>
  <c r="G1939" i="21"/>
  <c r="I1939" i="21" s="1"/>
  <c r="AB1938" i="21"/>
  <c r="V1938" i="21"/>
  <c r="W1938" i="21" s="1"/>
  <c r="L1938" i="21"/>
  <c r="K1938" i="21"/>
  <c r="H1938" i="21"/>
  <c r="M1938" i="21" s="1"/>
  <c r="G1938" i="21"/>
  <c r="I1938" i="21" s="1"/>
  <c r="AB1937" i="21"/>
  <c r="V1937" i="21"/>
  <c r="W1937" i="21" s="1"/>
  <c r="L1937" i="21"/>
  <c r="K1937" i="21"/>
  <c r="H1937" i="21"/>
  <c r="G1937" i="21"/>
  <c r="I1937" i="21" s="1"/>
  <c r="AB1936" i="21"/>
  <c r="V1936" i="21"/>
  <c r="W1936" i="21" s="1"/>
  <c r="L1936" i="21"/>
  <c r="K1936" i="21"/>
  <c r="H1936" i="21"/>
  <c r="M1936" i="21" s="1"/>
  <c r="G1936" i="21"/>
  <c r="I1936" i="21" s="1"/>
  <c r="AB1935" i="21"/>
  <c r="V1935" i="21"/>
  <c r="W1935" i="21" s="1"/>
  <c r="L1935" i="21"/>
  <c r="K1935" i="21"/>
  <c r="H1935" i="21"/>
  <c r="G1935" i="21"/>
  <c r="I1935" i="21" s="1"/>
  <c r="AB1934" i="21"/>
  <c r="V1934" i="21"/>
  <c r="W1934" i="21" s="1"/>
  <c r="L1934" i="21"/>
  <c r="K1934" i="21"/>
  <c r="H1934" i="21"/>
  <c r="M1934" i="21" s="1"/>
  <c r="G1934" i="21"/>
  <c r="I1934" i="21" s="1"/>
  <c r="AB1933" i="21"/>
  <c r="V1933" i="21"/>
  <c r="W1933" i="21" s="1"/>
  <c r="L1933" i="21"/>
  <c r="K1933" i="21"/>
  <c r="H1933" i="21"/>
  <c r="G1933" i="21"/>
  <c r="I1933" i="21" s="1"/>
  <c r="AB1932" i="21"/>
  <c r="V1932" i="21"/>
  <c r="W1932" i="21" s="1"/>
  <c r="L1932" i="21"/>
  <c r="K1932" i="21"/>
  <c r="H1932" i="21"/>
  <c r="M1932" i="21" s="1"/>
  <c r="G1932" i="21"/>
  <c r="I1932" i="21" s="1"/>
  <c r="AB1931" i="21"/>
  <c r="V1931" i="21"/>
  <c r="W1931" i="21" s="1"/>
  <c r="L1931" i="21"/>
  <c r="K1931" i="21"/>
  <c r="H1931" i="21"/>
  <c r="G1931" i="21"/>
  <c r="I1931" i="21" s="1"/>
  <c r="AB1930" i="21"/>
  <c r="V1930" i="21"/>
  <c r="W1930" i="21" s="1"/>
  <c r="L1930" i="21"/>
  <c r="K1930" i="21"/>
  <c r="H1930" i="21"/>
  <c r="M1930" i="21" s="1"/>
  <c r="G1930" i="21"/>
  <c r="I1930" i="21" s="1"/>
  <c r="AB1929" i="21"/>
  <c r="V1929" i="21"/>
  <c r="W1929" i="21" s="1"/>
  <c r="L1929" i="21"/>
  <c r="K1929" i="21"/>
  <c r="H1929" i="21"/>
  <c r="G1929" i="21"/>
  <c r="I1929" i="21" s="1"/>
  <c r="AB1928" i="21"/>
  <c r="V1928" i="21"/>
  <c r="W1928" i="21" s="1"/>
  <c r="L1928" i="21"/>
  <c r="K1928" i="21"/>
  <c r="H1928" i="21"/>
  <c r="M1928" i="21" s="1"/>
  <c r="G1928" i="21"/>
  <c r="I1928" i="21" s="1"/>
  <c r="AB1927" i="21"/>
  <c r="V1927" i="21"/>
  <c r="W1927" i="21" s="1"/>
  <c r="L1927" i="21"/>
  <c r="K1927" i="21"/>
  <c r="H1927" i="21"/>
  <c r="G1927" i="21"/>
  <c r="I1927" i="21" s="1"/>
  <c r="AB1926" i="21"/>
  <c r="V1926" i="21"/>
  <c r="W1926" i="21" s="1"/>
  <c r="L1926" i="21"/>
  <c r="K1926" i="21"/>
  <c r="H1926" i="21"/>
  <c r="M1926" i="21" s="1"/>
  <c r="G1926" i="21"/>
  <c r="I1926" i="21" s="1"/>
  <c r="AB1925" i="21"/>
  <c r="V1925" i="21"/>
  <c r="W1925" i="21" s="1"/>
  <c r="L1925" i="21"/>
  <c r="K1925" i="21"/>
  <c r="H1925" i="21"/>
  <c r="G1925" i="21"/>
  <c r="I1925" i="21" s="1"/>
  <c r="AB1924" i="21"/>
  <c r="V1924" i="21"/>
  <c r="W1924" i="21" s="1"/>
  <c r="L1924" i="21"/>
  <c r="K1924" i="21"/>
  <c r="H1924" i="21"/>
  <c r="M1924" i="21" s="1"/>
  <c r="G1924" i="21"/>
  <c r="I1924" i="21" s="1"/>
  <c r="AB1923" i="21"/>
  <c r="V1923" i="21"/>
  <c r="W1923" i="21" s="1"/>
  <c r="L1923" i="21"/>
  <c r="K1923" i="21"/>
  <c r="H1923" i="21"/>
  <c r="G1923" i="21"/>
  <c r="I1923" i="21" s="1"/>
  <c r="AB1922" i="21"/>
  <c r="V1922" i="21"/>
  <c r="W1922" i="21" s="1"/>
  <c r="L1922" i="21"/>
  <c r="K1922" i="21"/>
  <c r="H1922" i="21"/>
  <c r="M1922" i="21" s="1"/>
  <c r="G1922" i="21"/>
  <c r="I1922" i="21" s="1"/>
  <c r="AB1921" i="21"/>
  <c r="V1921" i="21"/>
  <c r="W1921" i="21" s="1"/>
  <c r="L1921" i="21"/>
  <c r="K1921" i="21"/>
  <c r="H1921" i="21"/>
  <c r="G1921" i="21"/>
  <c r="I1921" i="21" s="1"/>
  <c r="AB1920" i="21"/>
  <c r="V1920" i="21"/>
  <c r="W1920" i="21" s="1"/>
  <c r="L1920" i="21"/>
  <c r="K1920" i="21"/>
  <c r="H1920" i="21"/>
  <c r="M1920" i="21" s="1"/>
  <c r="G1920" i="21"/>
  <c r="I1920" i="21" s="1"/>
  <c r="AB1919" i="21"/>
  <c r="V1919" i="21"/>
  <c r="W1919" i="21" s="1"/>
  <c r="L1919" i="21"/>
  <c r="K1919" i="21"/>
  <c r="H1919" i="21"/>
  <c r="G1919" i="21"/>
  <c r="I1919" i="21" s="1"/>
  <c r="AB1918" i="21"/>
  <c r="V1918" i="21"/>
  <c r="W1918" i="21" s="1"/>
  <c r="L1918" i="21"/>
  <c r="K1918" i="21"/>
  <c r="H1918" i="21"/>
  <c r="M1918" i="21" s="1"/>
  <c r="G1918" i="21"/>
  <c r="I1918" i="21" s="1"/>
  <c r="AB1917" i="21"/>
  <c r="V1917" i="21"/>
  <c r="W1917" i="21" s="1"/>
  <c r="L1917" i="21"/>
  <c r="K1917" i="21"/>
  <c r="H1917" i="21"/>
  <c r="G1917" i="21"/>
  <c r="I1917" i="21" s="1"/>
  <c r="AB1916" i="21"/>
  <c r="V1916" i="21"/>
  <c r="W1916" i="21" s="1"/>
  <c r="L1916" i="21"/>
  <c r="K1916" i="21"/>
  <c r="H1916" i="21"/>
  <c r="M1916" i="21" s="1"/>
  <c r="G1916" i="21"/>
  <c r="I1916" i="21" s="1"/>
  <c r="AB1915" i="21"/>
  <c r="V1915" i="21"/>
  <c r="W1915" i="21" s="1"/>
  <c r="L1915" i="21"/>
  <c r="K1915" i="21"/>
  <c r="H1915" i="21"/>
  <c r="G1915" i="21"/>
  <c r="I1915" i="21" s="1"/>
  <c r="AB1914" i="21"/>
  <c r="V1914" i="21"/>
  <c r="W1914" i="21" s="1"/>
  <c r="L1914" i="21"/>
  <c r="K1914" i="21"/>
  <c r="H1914" i="21"/>
  <c r="M1914" i="21" s="1"/>
  <c r="G1914" i="21"/>
  <c r="I1914" i="21" s="1"/>
  <c r="AB1913" i="21"/>
  <c r="V1913" i="21"/>
  <c r="W1913" i="21" s="1"/>
  <c r="L1913" i="21"/>
  <c r="K1913" i="21"/>
  <c r="H1913" i="21"/>
  <c r="G1913" i="21"/>
  <c r="I1913" i="21" s="1"/>
  <c r="AB1912" i="21"/>
  <c r="V1912" i="21"/>
  <c r="W1912" i="21" s="1"/>
  <c r="L1912" i="21"/>
  <c r="K1912" i="21"/>
  <c r="H1912" i="21"/>
  <c r="M1912" i="21" s="1"/>
  <c r="G1912" i="21"/>
  <c r="I1912" i="21" s="1"/>
  <c r="AB1911" i="21"/>
  <c r="V1911" i="21"/>
  <c r="W1911" i="21" s="1"/>
  <c r="L1911" i="21"/>
  <c r="K1911" i="21"/>
  <c r="H1911" i="21"/>
  <c r="G1911" i="21"/>
  <c r="I1911" i="21" s="1"/>
  <c r="AB1910" i="21"/>
  <c r="V1910" i="21"/>
  <c r="W1910" i="21" s="1"/>
  <c r="L1910" i="21"/>
  <c r="K1910" i="21"/>
  <c r="H1910" i="21"/>
  <c r="M1910" i="21" s="1"/>
  <c r="G1910" i="21"/>
  <c r="I1910" i="21" s="1"/>
  <c r="AB1909" i="21"/>
  <c r="V1909" i="21"/>
  <c r="W1909" i="21" s="1"/>
  <c r="L1909" i="21"/>
  <c r="K1909" i="21"/>
  <c r="H1909" i="21"/>
  <c r="G1909" i="21"/>
  <c r="I1909" i="21" s="1"/>
  <c r="AB1908" i="21"/>
  <c r="V1908" i="21"/>
  <c r="W1908" i="21" s="1"/>
  <c r="L1908" i="21"/>
  <c r="K1908" i="21"/>
  <c r="H1908" i="21"/>
  <c r="M1908" i="21" s="1"/>
  <c r="G1908" i="21"/>
  <c r="I1908" i="21" s="1"/>
  <c r="AB1907" i="21"/>
  <c r="V1907" i="21"/>
  <c r="W1907" i="21" s="1"/>
  <c r="L1907" i="21"/>
  <c r="K1907" i="21"/>
  <c r="H1907" i="21"/>
  <c r="G1907" i="21"/>
  <c r="I1907" i="21" s="1"/>
  <c r="AB1906" i="21"/>
  <c r="V1906" i="21"/>
  <c r="W1906" i="21" s="1"/>
  <c r="L1906" i="21"/>
  <c r="K1906" i="21"/>
  <c r="H1906" i="21"/>
  <c r="M1906" i="21" s="1"/>
  <c r="G1906" i="21"/>
  <c r="I1906" i="21" s="1"/>
  <c r="AB1905" i="21"/>
  <c r="V1905" i="21"/>
  <c r="W1905" i="21" s="1"/>
  <c r="L1905" i="21"/>
  <c r="K1905" i="21"/>
  <c r="H1905" i="21"/>
  <c r="G1905" i="21"/>
  <c r="I1905" i="21" s="1"/>
  <c r="AB1904" i="21"/>
  <c r="V1904" i="21"/>
  <c r="W1904" i="21" s="1"/>
  <c r="L1904" i="21"/>
  <c r="K1904" i="21"/>
  <c r="H1904" i="21"/>
  <c r="M1904" i="21" s="1"/>
  <c r="G1904" i="21"/>
  <c r="I1904" i="21" s="1"/>
  <c r="AB1903" i="21"/>
  <c r="V1903" i="21"/>
  <c r="W1903" i="21" s="1"/>
  <c r="L1903" i="21"/>
  <c r="K1903" i="21"/>
  <c r="H1903" i="21"/>
  <c r="G1903" i="21"/>
  <c r="I1903" i="21" s="1"/>
  <c r="AB1902" i="21"/>
  <c r="V1902" i="21"/>
  <c r="W1902" i="21" s="1"/>
  <c r="L1902" i="21"/>
  <c r="K1902" i="21"/>
  <c r="H1902" i="21"/>
  <c r="M1902" i="21" s="1"/>
  <c r="G1902" i="21"/>
  <c r="I1902" i="21" s="1"/>
  <c r="AB1901" i="21"/>
  <c r="V1901" i="21"/>
  <c r="W1901" i="21" s="1"/>
  <c r="L1901" i="21"/>
  <c r="K1901" i="21"/>
  <c r="H1901" i="21"/>
  <c r="G1901" i="21"/>
  <c r="I1901" i="21" s="1"/>
  <c r="AB1900" i="21"/>
  <c r="V1900" i="21"/>
  <c r="W1900" i="21" s="1"/>
  <c r="L1900" i="21"/>
  <c r="K1900" i="21"/>
  <c r="H1900" i="21"/>
  <c r="M1900" i="21" s="1"/>
  <c r="G1900" i="21"/>
  <c r="I1900" i="21" s="1"/>
  <c r="AB1899" i="21"/>
  <c r="V1899" i="21"/>
  <c r="W1899" i="21" s="1"/>
  <c r="L1899" i="21"/>
  <c r="K1899" i="21"/>
  <c r="H1899" i="21"/>
  <c r="G1899" i="21"/>
  <c r="I1899" i="21" s="1"/>
  <c r="AB1898" i="21"/>
  <c r="V1898" i="21"/>
  <c r="W1898" i="21" s="1"/>
  <c r="L1898" i="21"/>
  <c r="K1898" i="21"/>
  <c r="H1898" i="21"/>
  <c r="M1898" i="21" s="1"/>
  <c r="G1898" i="21"/>
  <c r="I1898" i="21" s="1"/>
  <c r="AB1897" i="21"/>
  <c r="V1897" i="21"/>
  <c r="W1897" i="21" s="1"/>
  <c r="L1897" i="21"/>
  <c r="K1897" i="21"/>
  <c r="H1897" i="21"/>
  <c r="G1897" i="21"/>
  <c r="I1897" i="21" s="1"/>
  <c r="AB1896" i="21"/>
  <c r="V1896" i="21"/>
  <c r="W1896" i="21" s="1"/>
  <c r="L1896" i="21"/>
  <c r="K1896" i="21"/>
  <c r="H1896" i="21"/>
  <c r="M1896" i="21" s="1"/>
  <c r="G1896" i="21"/>
  <c r="I1896" i="21" s="1"/>
  <c r="AB1895" i="21"/>
  <c r="V1895" i="21"/>
  <c r="W1895" i="21" s="1"/>
  <c r="L1895" i="21"/>
  <c r="K1895" i="21"/>
  <c r="H1895" i="21"/>
  <c r="G1895" i="21"/>
  <c r="I1895" i="21" s="1"/>
  <c r="AB1894" i="21"/>
  <c r="V1894" i="21"/>
  <c r="W1894" i="21" s="1"/>
  <c r="L1894" i="21"/>
  <c r="K1894" i="21"/>
  <c r="H1894" i="21"/>
  <c r="M1894" i="21" s="1"/>
  <c r="G1894" i="21"/>
  <c r="I1894" i="21" s="1"/>
  <c r="AB1893" i="21"/>
  <c r="V1893" i="21"/>
  <c r="W1893" i="21" s="1"/>
  <c r="L1893" i="21"/>
  <c r="K1893" i="21"/>
  <c r="H1893" i="21"/>
  <c r="G1893" i="21"/>
  <c r="I1893" i="21" s="1"/>
  <c r="AB1892" i="21"/>
  <c r="V1892" i="21"/>
  <c r="W1892" i="21" s="1"/>
  <c r="L1892" i="21"/>
  <c r="K1892" i="21"/>
  <c r="H1892" i="21"/>
  <c r="M1892" i="21" s="1"/>
  <c r="G1892" i="21"/>
  <c r="I1892" i="21" s="1"/>
  <c r="AB1891" i="21"/>
  <c r="V1891" i="21"/>
  <c r="W1891" i="21" s="1"/>
  <c r="L1891" i="21"/>
  <c r="K1891" i="21"/>
  <c r="H1891" i="21"/>
  <c r="G1891" i="21"/>
  <c r="I1891" i="21" s="1"/>
  <c r="AB1890" i="21"/>
  <c r="V1890" i="21"/>
  <c r="W1890" i="21" s="1"/>
  <c r="L1890" i="21"/>
  <c r="K1890" i="21"/>
  <c r="H1890" i="21"/>
  <c r="M1890" i="21" s="1"/>
  <c r="G1890" i="21"/>
  <c r="I1890" i="21" s="1"/>
  <c r="AB1889" i="21"/>
  <c r="V1889" i="21"/>
  <c r="W1889" i="21" s="1"/>
  <c r="L1889" i="21"/>
  <c r="K1889" i="21"/>
  <c r="H1889" i="21"/>
  <c r="G1889" i="21"/>
  <c r="I1889" i="21" s="1"/>
  <c r="AB1888" i="21"/>
  <c r="V1888" i="21"/>
  <c r="W1888" i="21" s="1"/>
  <c r="L1888" i="21"/>
  <c r="K1888" i="21"/>
  <c r="H1888" i="21"/>
  <c r="M1888" i="21" s="1"/>
  <c r="G1888" i="21"/>
  <c r="I1888" i="21" s="1"/>
  <c r="AB1887" i="21"/>
  <c r="V1887" i="21"/>
  <c r="W1887" i="21" s="1"/>
  <c r="L1887" i="21"/>
  <c r="K1887" i="21"/>
  <c r="H1887" i="21"/>
  <c r="G1887" i="21"/>
  <c r="I1887" i="21" s="1"/>
  <c r="AB1886" i="21"/>
  <c r="V1886" i="21"/>
  <c r="W1886" i="21" s="1"/>
  <c r="L1886" i="21"/>
  <c r="K1886" i="21"/>
  <c r="H1886" i="21"/>
  <c r="M1886" i="21" s="1"/>
  <c r="G1886" i="21"/>
  <c r="I1886" i="21" s="1"/>
  <c r="AB1885" i="21"/>
  <c r="V1885" i="21"/>
  <c r="W1885" i="21" s="1"/>
  <c r="L1885" i="21"/>
  <c r="K1885" i="21"/>
  <c r="H1885" i="21"/>
  <c r="G1885" i="21"/>
  <c r="I1885" i="21" s="1"/>
  <c r="AB1884" i="21"/>
  <c r="V1884" i="21"/>
  <c r="W1884" i="21" s="1"/>
  <c r="L1884" i="21"/>
  <c r="K1884" i="21"/>
  <c r="H1884" i="21"/>
  <c r="M1884" i="21" s="1"/>
  <c r="G1884" i="21"/>
  <c r="I1884" i="21" s="1"/>
  <c r="AB1883" i="21"/>
  <c r="V1883" i="21"/>
  <c r="W1883" i="21" s="1"/>
  <c r="L1883" i="21"/>
  <c r="K1883" i="21"/>
  <c r="H1883" i="21"/>
  <c r="G1883" i="21"/>
  <c r="I1883" i="21" s="1"/>
  <c r="AB1882" i="21"/>
  <c r="V1882" i="21"/>
  <c r="W1882" i="21" s="1"/>
  <c r="L1882" i="21"/>
  <c r="K1882" i="21"/>
  <c r="H1882" i="21"/>
  <c r="M1882" i="21" s="1"/>
  <c r="G1882" i="21"/>
  <c r="I1882" i="21" s="1"/>
  <c r="AB1881" i="21"/>
  <c r="V1881" i="21"/>
  <c r="W1881" i="21" s="1"/>
  <c r="L1881" i="21"/>
  <c r="K1881" i="21"/>
  <c r="H1881" i="21"/>
  <c r="G1881" i="21"/>
  <c r="I1881" i="21" s="1"/>
  <c r="AB1880" i="21"/>
  <c r="V1880" i="21"/>
  <c r="W1880" i="21" s="1"/>
  <c r="L1880" i="21"/>
  <c r="K1880" i="21"/>
  <c r="H1880" i="21"/>
  <c r="M1880" i="21" s="1"/>
  <c r="G1880" i="21"/>
  <c r="I1880" i="21" s="1"/>
  <c r="AB1879" i="21"/>
  <c r="V1879" i="21"/>
  <c r="W1879" i="21" s="1"/>
  <c r="L1879" i="21"/>
  <c r="K1879" i="21"/>
  <c r="H1879" i="21"/>
  <c r="G1879" i="21"/>
  <c r="I1879" i="21" s="1"/>
  <c r="AB1878" i="21"/>
  <c r="V1878" i="21"/>
  <c r="W1878" i="21" s="1"/>
  <c r="L1878" i="21"/>
  <c r="K1878" i="21"/>
  <c r="H1878" i="21"/>
  <c r="M1878" i="21" s="1"/>
  <c r="G1878" i="21"/>
  <c r="I1878" i="21" s="1"/>
  <c r="AB1877" i="21"/>
  <c r="V1877" i="21"/>
  <c r="W1877" i="21" s="1"/>
  <c r="L1877" i="21"/>
  <c r="K1877" i="21"/>
  <c r="H1877" i="21"/>
  <c r="M1877" i="21" s="1"/>
  <c r="G1877" i="21"/>
  <c r="I1877" i="21" s="1"/>
  <c r="AB1876" i="21"/>
  <c r="V1876" i="21"/>
  <c r="W1876" i="21" s="1"/>
  <c r="L1876" i="21"/>
  <c r="K1876" i="21"/>
  <c r="H1876" i="21"/>
  <c r="M1876" i="21" s="1"/>
  <c r="G1876" i="21"/>
  <c r="I1876" i="21" s="1"/>
  <c r="AB1875" i="21"/>
  <c r="V1875" i="21"/>
  <c r="W1875" i="21" s="1"/>
  <c r="L1875" i="21"/>
  <c r="K1875" i="21"/>
  <c r="H1875" i="21"/>
  <c r="M1875" i="21" s="1"/>
  <c r="G1875" i="21"/>
  <c r="I1875" i="21" s="1"/>
  <c r="AB1874" i="21"/>
  <c r="V1874" i="21"/>
  <c r="W1874" i="21" s="1"/>
  <c r="L1874" i="21"/>
  <c r="K1874" i="21"/>
  <c r="H1874" i="21"/>
  <c r="M1874" i="21" s="1"/>
  <c r="G1874" i="21"/>
  <c r="I1874" i="21" s="1"/>
  <c r="AB1873" i="21"/>
  <c r="V1873" i="21"/>
  <c r="W1873" i="21" s="1"/>
  <c r="L1873" i="21"/>
  <c r="K1873" i="21"/>
  <c r="H1873" i="21"/>
  <c r="M1873" i="21" s="1"/>
  <c r="G1873" i="21"/>
  <c r="I1873" i="21" s="1"/>
  <c r="AB1872" i="21"/>
  <c r="V1872" i="21"/>
  <c r="W1872" i="21" s="1"/>
  <c r="L1872" i="21"/>
  <c r="K1872" i="21"/>
  <c r="H1872" i="21"/>
  <c r="M1872" i="21" s="1"/>
  <c r="G1872" i="21"/>
  <c r="I1872" i="21" s="1"/>
  <c r="AB1871" i="21"/>
  <c r="V1871" i="21"/>
  <c r="W1871" i="21" s="1"/>
  <c r="L1871" i="21"/>
  <c r="K1871" i="21"/>
  <c r="H1871" i="21"/>
  <c r="M1871" i="21" s="1"/>
  <c r="G1871" i="21"/>
  <c r="I1871" i="21" s="1"/>
  <c r="AB1870" i="21"/>
  <c r="V1870" i="21"/>
  <c r="W1870" i="21" s="1"/>
  <c r="L1870" i="21"/>
  <c r="K1870" i="21"/>
  <c r="H1870" i="21"/>
  <c r="M1870" i="21" s="1"/>
  <c r="G1870" i="21"/>
  <c r="I1870" i="21" s="1"/>
  <c r="AB1869" i="21"/>
  <c r="V1869" i="21"/>
  <c r="W1869" i="21" s="1"/>
  <c r="L1869" i="21"/>
  <c r="K1869" i="21"/>
  <c r="H1869" i="21"/>
  <c r="M1869" i="21" s="1"/>
  <c r="G1869" i="21"/>
  <c r="I1869" i="21" s="1"/>
  <c r="AB1868" i="21"/>
  <c r="V1868" i="21"/>
  <c r="W1868" i="21" s="1"/>
  <c r="L1868" i="21"/>
  <c r="K1868" i="21"/>
  <c r="H1868" i="21"/>
  <c r="M1868" i="21" s="1"/>
  <c r="G1868" i="21"/>
  <c r="I1868" i="21" s="1"/>
  <c r="AB1867" i="21"/>
  <c r="V1867" i="21"/>
  <c r="W1867" i="21" s="1"/>
  <c r="L1867" i="21"/>
  <c r="K1867" i="21"/>
  <c r="H1867" i="21"/>
  <c r="M1867" i="21" s="1"/>
  <c r="G1867" i="21"/>
  <c r="I1867" i="21" s="1"/>
  <c r="AB1866" i="21"/>
  <c r="V1866" i="21"/>
  <c r="W1866" i="21" s="1"/>
  <c r="L1866" i="21"/>
  <c r="K1866" i="21"/>
  <c r="H1866" i="21"/>
  <c r="M1866" i="21" s="1"/>
  <c r="G1866" i="21"/>
  <c r="I1866" i="21" s="1"/>
  <c r="AB1865" i="21"/>
  <c r="V1865" i="21"/>
  <c r="W1865" i="21" s="1"/>
  <c r="L1865" i="21"/>
  <c r="K1865" i="21"/>
  <c r="H1865" i="21"/>
  <c r="M1865" i="21" s="1"/>
  <c r="G1865" i="21"/>
  <c r="I1865" i="21" s="1"/>
  <c r="AB1864" i="21"/>
  <c r="V1864" i="21"/>
  <c r="W1864" i="21" s="1"/>
  <c r="L1864" i="21"/>
  <c r="K1864" i="21"/>
  <c r="H1864" i="21"/>
  <c r="M1864" i="21" s="1"/>
  <c r="G1864" i="21"/>
  <c r="I1864" i="21" s="1"/>
  <c r="AB1863" i="21"/>
  <c r="V1863" i="21"/>
  <c r="W1863" i="21" s="1"/>
  <c r="L1863" i="21"/>
  <c r="K1863" i="21"/>
  <c r="H1863" i="21"/>
  <c r="M1863" i="21" s="1"/>
  <c r="G1863" i="21"/>
  <c r="I1863" i="21" s="1"/>
  <c r="AB1862" i="21"/>
  <c r="V1862" i="21"/>
  <c r="W1862" i="21" s="1"/>
  <c r="L1862" i="21"/>
  <c r="K1862" i="21"/>
  <c r="H1862" i="21"/>
  <c r="M1862" i="21" s="1"/>
  <c r="G1862" i="21"/>
  <c r="I1862" i="21" s="1"/>
  <c r="AB1861" i="21"/>
  <c r="V1861" i="21"/>
  <c r="W1861" i="21" s="1"/>
  <c r="L1861" i="21"/>
  <c r="K1861" i="21"/>
  <c r="H1861" i="21"/>
  <c r="M1861" i="21" s="1"/>
  <c r="G1861" i="21"/>
  <c r="I1861" i="21" s="1"/>
  <c r="AB1860" i="21"/>
  <c r="V1860" i="21"/>
  <c r="W1860" i="21" s="1"/>
  <c r="L1860" i="21"/>
  <c r="K1860" i="21"/>
  <c r="H1860" i="21"/>
  <c r="M1860" i="21" s="1"/>
  <c r="G1860" i="21"/>
  <c r="I1860" i="21" s="1"/>
  <c r="AB1859" i="21"/>
  <c r="V1859" i="21"/>
  <c r="W1859" i="21" s="1"/>
  <c r="L1859" i="21"/>
  <c r="K1859" i="21"/>
  <c r="H1859" i="21"/>
  <c r="G1859" i="21"/>
  <c r="I1859" i="21" s="1"/>
  <c r="AB1858" i="21"/>
  <c r="V1858" i="21"/>
  <c r="W1858" i="21" s="1"/>
  <c r="L1858" i="21"/>
  <c r="K1858" i="21"/>
  <c r="H1858" i="21"/>
  <c r="M1858" i="21" s="1"/>
  <c r="G1858" i="21"/>
  <c r="I1858" i="21" s="1"/>
  <c r="AB1857" i="21"/>
  <c r="V1857" i="21"/>
  <c r="W1857" i="21" s="1"/>
  <c r="L1857" i="21"/>
  <c r="K1857" i="21"/>
  <c r="H1857" i="21"/>
  <c r="G1857" i="21"/>
  <c r="I1857" i="21" s="1"/>
  <c r="AB1856" i="21"/>
  <c r="V1856" i="21"/>
  <c r="W1856" i="21" s="1"/>
  <c r="L1856" i="21"/>
  <c r="K1856" i="21"/>
  <c r="H1856" i="21"/>
  <c r="G1856" i="21"/>
  <c r="I1856" i="21" s="1"/>
  <c r="AB1855" i="21"/>
  <c r="V1855" i="21"/>
  <c r="W1855" i="21" s="1"/>
  <c r="L1855" i="21"/>
  <c r="K1855" i="21"/>
  <c r="H1855" i="21"/>
  <c r="M1855" i="21" s="1"/>
  <c r="G1855" i="21"/>
  <c r="I1855" i="21" s="1"/>
  <c r="AB1854" i="21"/>
  <c r="V1854" i="21"/>
  <c r="W1854" i="21" s="1"/>
  <c r="L1854" i="21"/>
  <c r="K1854" i="21"/>
  <c r="H1854" i="21"/>
  <c r="G1854" i="21"/>
  <c r="I1854" i="21" s="1"/>
  <c r="AB1853" i="21"/>
  <c r="V1853" i="21"/>
  <c r="W1853" i="21" s="1"/>
  <c r="L1853" i="21"/>
  <c r="K1853" i="21"/>
  <c r="H1853" i="21"/>
  <c r="M1853" i="21" s="1"/>
  <c r="G1853" i="21"/>
  <c r="I1853" i="21" s="1"/>
  <c r="AB1852" i="21"/>
  <c r="V1852" i="21"/>
  <c r="W1852" i="21" s="1"/>
  <c r="L1852" i="21"/>
  <c r="K1852" i="21"/>
  <c r="H1852" i="21"/>
  <c r="G1852" i="21"/>
  <c r="I1852" i="21" s="1"/>
  <c r="AB1851" i="21"/>
  <c r="V1851" i="21"/>
  <c r="W1851" i="21" s="1"/>
  <c r="L1851" i="21"/>
  <c r="K1851" i="21"/>
  <c r="H1851" i="21"/>
  <c r="M1851" i="21" s="1"/>
  <c r="G1851" i="21"/>
  <c r="I1851" i="21" s="1"/>
  <c r="AB1850" i="21"/>
  <c r="V1850" i="21"/>
  <c r="W1850" i="21" s="1"/>
  <c r="L1850" i="21"/>
  <c r="K1850" i="21"/>
  <c r="H1850" i="21"/>
  <c r="G1850" i="21"/>
  <c r="I1850" i="21" s="1"/>
  <c r="AB1849" i="21"/>
  <c r="V1849" i="21"/>
  <c r="W1849" i="21" s="1"/>
  <c r="L1849" i="21"/>
  <c r="K1849" i="21"/>
  <c r="H1849" i="21"/>
  <c r="M1849" i="21" s="1"/>
  <c r="G1849" i="21"/>
  <c r="I1849" i="21" s="1"/>
  <c r="AB1848" i="21"/>
  <c r="V1848" i="21"/>
  <c r="W1848" i="21" s="1"/>
  <c r="L1848" i="21"/>
  <c r="K1848" i="21"/>
  <c r="H1848" i="21"/>
  <c r="G1848" i="21"/>
  <c r="I1848" i="21" s="1"/>
  <c r="AB1847" i="21"/>
  <c r="V1847" i="21"/>
  <c r="W1847" i="21" s="1"/>
  <c r="L1847" i="21"/>
  <c r="K1847" i="21"/>
  <c r="H1847" i="21"/>
  <c r="M1847" i="21" s="1"/>
  <c r="G1847" i="21"/>
  <c r="I1847" i="21" s="1"/>
  <c r="AB1846" i="21"/>
  <c r="V1846" i="21"/>
  <c r="W1846" i="21" s="1"/>
  <c r="L1846" i="21"/>
  <c r="K1846" i="21"/>
  <c r="H1846" i="21"/>
  <c r="G1846" i="21"/>
  <c r="I1846" i="21" s="1"/>
  <c r="AB1845" i="21"/>
  <c r="V1845" i="21"/>
  <c r="W1845" i="21" s="1"/>
  <c r="L1845" i="21"/>
  <c r="K1845" i="21"/>
  <c r="H1845" i="21"/>
  <c r="M1845" i="21" s="1"/>
  <c r="G1845" i="21"/>
  <c r="I1845" i="21" s="1"/>
  <c r="AB1844" i="21"/>
  <c r="V1844" i="21"/>
  <c r="W1844" i="21" s="1"/>
  <c r="L1844" i="21"/>
  <c r="K1844" i="21"/>
  <c r="H1844" i="21"/>
  <c r="G1844" i="21"/>
  <c r="I1844" i="21" s="1"/>
  <c r="AB1843" i="21"/>
  <c r="V1843" i="21"/>
  <c r="W1843" i="21" s="1"/>
  <c r="L1843" i="21"/>
  <c r="K1843" i="21"/>
  <c r="H1843" i="21"/>
  <c r="M1843" i="21" s="1"/>
  <c r="G1843" i="21"/>
  <c r="I1843" i="21" s="1"/>
  <c r="AB1842" i="21"/>
  <c r="V1842" i="21"/>
  <c r="W1842" i="21" s="1"/>
  <c r="L1842" i="21"/>
  <c r="K1842" i="21"/>
  <c r="H1842" i="21"/>
  <c r="G1842" i="21"/>
  <c r="I1842" i="21" s="1"/>
  <c r="AB1841" i="21"/>
  <c r="V1841" i="21"/>
  <c r="W1841" i="21" s="1"/>
  <c r="L1841" i="21"/>
  <c r="K1841" i="21"/>
  <c r="H1841" i="21"/>
  <c r="M1841" i="21" s="1"/>
  <c r="G1841" i="21"/>
  <c r="I1841" i="21" s="1"/>
  <c r="AB1840" i="21"/>
  <c r="V1840" i="21"/>
  <c r="W1840" i="21" s="1"/>
  <c r="L1840" i="21"/>
  <c r="K1840" i="21"/>
  <c r="H1840" i="21"/>
  <c r="G1840" i="21"/>
  <c r="I1840" i="21" s="1"/>
  <c r="AB1839" i="21"/>
  <c r="V1839" i="21"/>
  <c r="W1839" i="21" s="1"/>
  <c r="L1839" i="21"/>
  <c r="K1839" i="21"/>
  <c r="H1839" i="21"/>
  <c r="M1839" i="21" s="1"/>
  <c r="G1839" i="21"/>
  <c r="I1839" i="21" s="1"/>
  <c r="AB1838" i="21"/>
  <c r="V1838" i="21"/>
  <c r="W1838" i="21" s="1"/>
  <c r="L1838" i="21"/>
  <c r="K1838" i="21"/>
  <c r="H1838" i="21"/>
  <c r="G1838" i="21"/>
  <c r="I1838" i="21" s="1"/>
  <c r="AB1837" i="21"/>
  <c r="V1837" i="21"/>
  <c r="W1837" i="21" s="1"/>
  <c r="L1837" i="21"/>
  <c r="K1837" i="21"/>
  <c r="H1837" i="21"/>
  <c r="M1837" i="21" s="1"/>
  <c r="G1837" i="21"/>
  <c r="I1837" i="21" s="1"/>
  <c r="AB1836" i="21"/>
  <c r="V1836" i="21"/>
  <c r="W1836" i="21" s="1"/>
  <c r="L1836" i="21"/>
  <c r="K1836" i="21"/>
  <c r="H1836" i="21"/>
  <c r="G1836" i="21"/>
  <c r="I1836" i="21" s="1"/>
  <c r="AB1835" i="21"/>
  <c r="V1835" i="21"/>
  <c r="W1835" i="21" s="1"/>
  <c r="L1835" i="21"/>
  <c r="K1835" i="21"/>
  <c r="H1835" i="21"/>
  <c r="M1835" i="21" s="1"/>
  <c r="G1835" i="21"/>
  <c r="I1835" i="21" s="1"/>
  <c r="AB1834" i="21"/>
  <c r="V1834" i="21"/>
  <c r="W1834" i="21" s="1"/>
  <c r="L1834" i="21"/>
  <c r="K1834" i="21"/>
  <c r="H1834" i="21"/>
  <c r="G1834" i="21"/>
  <c r="I1834" i="21" s="1"/>
  <c r="AB1833" i="21"/>
  <c r="V1833" i="21"/>
  <c r="W1833" i="21" s="1"/>
  <c r="L1833" i="21"/>
  <c r="K1833" i="21"/>
  <c r="H1833" i="21"/>
  <c r="M1833" i="21" s="1"/>
  <c r="G1833" i="21"/>
  <c r="I1833" i="21" s="1"/>
  <c r="AB1832" i="21"/>
  <c r="V1832" i="21"/>
  <c r="W1832" i="21" s="1"/>
  <c r="L1832" i="21"/>
  <c r="K1832" i="21"/>
  <c r="H1832" i="21"/>
  <c r="G1832" i="21"/>
  <c r="I1832" i="21" s="1"/>
  <c r="AB1831" i="21"/>
  <c r="V1831" i="21"/>
  <c r="W1831" i="21" s="1"/>
  <c r="L1831" i="21"/>
  <c r="K1831" i="21"/>
  <c r="H1831" i="21"/>
  <c r="M1831" i="21" s="1"/>
  <c r="G1831" i="21"/>
  <c r="I1831" i="21" s="1"/>
  <c r="AB1830" i="21"/>
  <c r="V1830" i="21"/>
  <c r="W1830" i="21" s="1"/>
  <c r="L1830" i="21"/>
  <c r="K1830" i="21"/>
  <c r="H1830" i="21"/>
  <c r="G1830" i="21"/>
  <c r="I1830" i="21" s="1"/>
  <c r="AB1829" i="21"/>
  <c r="V1829" i="21"/>
  <c r="W1829" i="21" s="1"/>
  <c r="L1829" i="21"/>
  <c r="K1829" i="21"/>
  <c r="H1829" i="21"/>
  <c r="M1829" i="21" s="1"/>
  <c r="G1829" i="21"/>
  <c r="I1829" i="21" s="1"/>
  <c r="AB1828" i="21"/>
  <c r="V1828" i="21"/>
  <c r="W1828" i="21" s="1"/>
  <c r="L1828" i="21"/>
  <c r="K1828" i="21"/>
  <c r="H1828" i="21"/>
  <c r="G1828" i="21"/>
  <c r="I1828" i="21" s="1"/>
  <c r="AB1827" i="21"/>
  <c r="V1827" i="21"/>
  <c r="W1827" i="21" s="1"/>
  <c r="L1827" i="21"/>
  <c r="K1827" i="21"/>
  <c r="H1827" i="21"/>
  <c r="M1827" i="21" s="1"/>
  <c r="G1827" i="21"/>
  <c r="I1827" i="21" s="1"/>
  <c r="AB1826" i="21"/>
  <c r="V1826" i="21"/>
  <c r="W1826" i="21" s="1"/>
  <c r="L1826" i="21"/>
  <c r="K1826" i="21"/>
  <c r="H1826" i="21"/>
  <c r="G1826" i="21"/>
  <c r="I1826" i="21" s="1"/>
  <c r="AB1825" i="21"/>
  <c r="V1825" i="21"/>
  <c r="W1825" i="21" s="1"/>
  <c r="L1825" i="21"/>
  <c r="K1825" i="21"/>
  <c r="H1825" i="21"/>
  <c r="M1825" i="21" s="1"/>
  <c r="G1825" i="21"/>
  <c r="I1825" i="21" s="1"/>
  <c r="AB1824" i="21"/>
  <c r="V1824" i="21"/>
  <c r="W1824" i="21" s="1"/>
  <c r="L1824" i="21"/>
  <c r="K1824" i="21"/>
  <c r="H1824" i="21"/>
  <c r="G1824" i="21"/>
  <c r="I1824" i="21" s="1"/>
  <c r="AB1823" i="21"/>
  <c r="V1823" i="21"/>
  <c r="W1823" i="21" s="1"/>
  <c r="L1823" i="21"/>
  <c r="K1823" i="21"/>
  <c r="H1823" i="21"/>
  <c r="M1823" i="21" s="1"/>
  <c r="G1823" i="21"/>
  <c r="I1823" i="21" s="1"/>
  <c r="AB1822" i="21"/>
  <c r="V1822" i="21"/>
  <c r="W1822" i="21" s="1"/>
  <c r="L1822" i="21"/>
  <c r="K1822" i="21"/>
  <c r="H1822" i="21"/>
  <c r="G1822" i="21"/>
  <c r="I1822" i="21" s="1"/>
  <c r="AB1821" i="21"/>
  <c r="V1821" i="21"/>
  <c r="W1821" i="21" s="1"/>
  <c r="L1821" i="21"/>
  <c r="K1821" i="21"/>
  <c r="H1821" i="21"/>
  <c r="M1821" i="21" s="1"/>
  <c r="G1821" i="21"/>
  <c r="I1821" i="21" s="1"/>
  <c r="AB1820" i="21"/>
  <c r="V1820" i="21"/>
  <c r="W1820" i="21" s="1"/>
  <c r="L1820" i="21"/>
  <c r="K1820" i="21"/>
  <c r="H1820" i="21"/>
  <c r="G1820" i="21"/>
  <c r="I1820" i="21" s="1"/>
  <c r="AB1819" i="21"/>
  <c r="V1819" i="21"/>
  <c r="W1819" i="21" s="1"/>
  <c r="L1819" i="21"/>
  <c r="K1819" i="21"/>
  <c r="H1819" i="21"/>
  <c r="M1819" i="21" s="1"/>
  <c r="G1819" i="21"/>
  <c r="I1819" i="21" s="1"/>
  <c r="AB1818" i="21"/>
  <c r="V1818" i="21"/>
  <c r="W1818" i="21" s="1"/>
  <c r="L1818" i="21"/>
  <c r="K1818" i="21"/>
  <c r="H1818" i="21"/>
  <c r="G1818" i="21"/>
  <c r="I1818" i="21" s="1"/>
  <c r="AB1817" i="21"/>
  <c r="V1817" i="21"/>
  <c r="W1817" i="21" s="1"/>
  <c r="L1817" i="21"/>
  <c r="K1817" i="21"/>
  <c r="H1817" i="21"/>
  <c r="M1817" i="21" s="1"/>
  <c r="G1817" i="21"/>
  <c r="I1817" i="21" s="1"/>
  <c r="AB1816" i="21"/>
  <c r="V1816" i="21"/>
  <c r="W1816" i="21" s="1"/>
  <c r="L1816" i="21"/>
  <c r="K1816" i="21"/>
  <c r="H1816" i="21"/>
  <c r="G1816" i="21"/>
  <c r="I1816" i="21" s="1"/>
  <c r="AB1815" i="21"/>
  <c r="V1815" i="21"/>
  <c r="W1815" i="21" s="1"/>
  <c r="L1815" i="21"/>
  <c r="K1815" i="21"/>
  <c r="H1815" i="21"/>
  <c r="M1815" i="21" s="1"/>
  <c r="G1815" i="21"/>
  <c r="I1815" i="21" s="1"/>
  <c r="AB1814" i="21"/>
  <c r="V1814" i="21"/>
  <c r="W1814" i="21" s="1"/>
  <c r="L1814" i="21"/>
  <c r="K1814" i="21"/>
  <c r="H1814" i="21"/>
  <c r="G1814" i="21"/>
  <c r="I1814" i="21" s="1"/>
  <c r="AB1813" i="21"/>
  <c r="V1813" i="21"/>
  <c r="W1813" i="21" s="1"/>
  <c r="L1813" i="21"/>
  <c r="K1813" i="21"/>
  <c r="H1813" i="21"/>
  <c r="M1813" i="21" s="1"/>
  <c r="G1813" i="21"/>
  <c r="I1813" i="21" s="1"/>
  <c r="AB1812" i="21"/>
  <c r="V1812" i="21"/>
  <c r="W1812" i="21" s="1"/>
  <c r="L1812" i="21"/>
  <c r="K1812" i="21"/>
  <c r="H1812" i="21"/>
  <c r="G1812" i="21"/>
  <c r="I1812" i="21" s="1"/>
  <c r="AB1811" i="21"/>
  <c r="V1811" i="21"/>
  <c r="W1811" i="21" s="1"/>
  <c r="L1811" i="21"/>
  <c r="K1811" i="21"/>
  <c r="H1811" i="21"/>
  <c r="M1811" i="21" s="1"/>
  <c r="G1811" i="21"/>
  <c r="I1811" i="21" s="1"/>
  <c r="AB1810" i="21"/>
  <c r="V1810" i="21"/>
  <c r="W1810" i="21" s="1"/>
  <c r="L1810" i="21"/>
  <c r="K1810" i="21"/>
  <c r="H1810" i="21"/>
  <c r="G1810" i="21"/>
  <c r="I1810" i="21" s="1"/>
  <c r="AB1809" i="21"/>
  <c r="V1809" i="21"/>
  <c r="W1809" i="21" s="1"/>
  <c r="L1809" i="21"/>
  <c r="K1809" i="21"/>
  <c r="H1809" i="21"/>
  <c r="M1809" i="21" s="1"/>
  <c r="G1809" i="21"/>
  <c r="I1809" i="21" s="1"/>
  <c r="AB1808" i="21"/>
  <c r="V1808" i="21"/>
  <c r="W1808" i="21" s="1"/>
  <c r="L1808" i="21"/>
  <c r="K1808" i="21"/>
  <c r="H1808" i="21"/>
  <c r="G1808" i="21"/>
  <c r="I1808" i="21" s="1"/>
  <c r="AB1807" i="21"/>
  <c r="V1807" i="21"/>
  <c r="W1807" i="21" s="1"/>
  <c r="L1807" i="21"/>
  <c r="K1807" i="21"/>
  <c r="H1807" i="21"/>
  <c r="M1807" i="21" s="1"/>
  <c r="G1807" i="21"/>
  <c r="I1807" i="21" s="1"/>
  <c r="AB1806" i="21"/>
  <c r="V1806" i="21"/>
  <c r="W1806" i="21" s="1"/>
  <c r="L1806" i="21"/>
  <c r="K1806" i="21"/>
  <c r="H1806" i="21"/>
  <c r="G1806" i="21"/>
  <c r="I1806" i="21" s="1"/>
  <c r="AB1805" i="21"/>
  <c r="V1805" i="21"/>
  <c r="W1805" i="21" s="1"/>
  <c r="L1805" i="21"/>
  <c r="K1805" i="21"/>
  <c r="H1805" i="21"/>
  <c r="M1805" i="21" s="1"/>
  <c r="G1805" i="21"/>
  <c r="I1805" i="21" s="1"/>
  <c r="AB1804" i="21"/>
  <c r="V1804" i="21"/>
  <c r="W1804" i="21" s="1"/>
  <c r="L1804" i="21"/>
  <c r="K1804" i="21"/>
  <c r="H1804" i="21"/>
  <c r="G1804" i="21"/>
  <c r="I1804" i="21" s="1"/>
  <c r="AB1803" i="21"/>
  <c r="V1803" i="21"/>
  <c r="W1803" i="21" s="1"/>
  <c r="L1803" i="21"/>
  <c r="K1803" i="21"/>
  <c r="H1803" i="21"/>
  <c r="M1803" i="21" s="1"/>
  <c r="G1803" i="21"/>
  <c r="I1803" i="21" s="1"/>
  <c r="AB1802" i="21"/>
  <c r="V1802" i="21"/>
  <c r="W1802" i="21" s="1"/>
  <c r="L1802" i="21"/>
  <c r="K1802" i="21"/>
  <c r="H1802" i="21"/>
  <c r="G1802" i="21"/>
  <c r="I1802" i="21" s="1"/>
  <c r="AB1801" i="21"/>
  <c r="V1801" i="21"/>
  <c r="W1801" i="21" s="1"/>
  <c r="L1801" i="21"/>
  <c r="K1801" i="21"/>
  <c r="H1801" i="21"/>
  <c r="M1801" i="21" s="1"/>
  <c r="G1801" i="21"/>
  <c r="I1801" i="21" s="1"/>
  <c r="AB1800" i="21"/>
  <c r="V1800" i="21"/>
  <c r="W1800" i="21" s="1"/>
  <c r="L1800" i="21"/>
  <c r="K1800" i="21"/>
  <c r="H1800" i="21"/>
  <c r="G1800" i="21"/>
  <c r="I1800" i="21" s="1"/>
  <c r="AB1799" i="21"/>
  <c r="V1799" i="21"/>
  <c r="W1799" i="21" s="1"/>
  <c r="L1799" i="21"/>
  <c r="K1799" i="21"/>
  <c r="H1799" i="21"/>
  <c r="M1799" i="21" s="1"/>
  <c r="G1799" i="21"/>
  <c r="I1799" i="21" s="1"/>
  <c r="AB1798" i="21"/>
  <c r="V1798" i="21"/>
  <c r="W1798" i="21" s="1"/>
  <c r="L1798" i="21"/>
  <c r="K1798" i="21"/>
  <c r="H1798" i="21"/>
  <c r="G1798" i="21"/>
  <c r="I1798" i="21" s="1"/>
  <c r="AB1797" i="21"/>
  <c r="V1797" i="21"/>
  <c r="W1797" i="21" s="1"/>
  <c r="L1797" i="21"/>
  <c r="K1797" i="21"/>
  <c r="H1797" i="21"/>
  <c r="M1797" i="21" s="1"/>
  <c r="G1797" i="21"/>
  <c r="I1797" i="21" s="1"/>
  <c r="AB1796" i="21"/>
  <c r="V1796" i="21"/>
  <c r="W1796" i="21" s="1"/>
  <c r="L1796" i="21"/>
  <c r="K1796" i="21"/>
  <c r="H1796" i="21"/>
  <c r="G1796" i="21"/>
  <c r="I1796" i="21" s="1"/>
  <c r="AB1795" i="21"/>
  <c r="V1795" i="21"/>
  <c r="W1795" i="21" s="1"/>
  <c r="L1795" i="21"/>
  <c r="K1795" i="21"/>
  <c r="H1795" i="21"/>
  <c r="M1795" i="21" s="1"/>
  <c r="G1795" i="21"/>
  <c r="I1795" i="21" s="1"/>
  <c r="AB1794" i="21"/>
  <c r="V1794" i="21"/>
  <c r="W1794" i="21" s="1"/>
  <c r="L1794" i="21"/>
  <c r="K1794" i="21"/>
  <c r="H1794" i="21"/>
  <c r="G1794" i="21"/>
  <c r="I1794" i="21" s="1"/>
  <c r="AB1793" i="21"/>
  <c r="V1793" i="21"/>
  <c r="W1793" i="21" s="1"/>
  <c r="L1793" i="21"/>
  <c r="K1793" i="21"/>
  <c r="H1793" i="21"/>
  <c r="M1793" i="21" s="1"/>
  <c r="G1793" i="21"/>
  <c r="I1793" i="21" s="1"/>
  <c r="AB1792" i="21"/>
  <c r="V1792" i="21"/>
  <c r="W1792" i="21" s="1"/>
  <c r="L1792" i="21"/>
  <c r="K1792" i="21"/>
  <c r="H1792" i="21"/>
  <c r="G1792" i="21"/>
  <c r="I1792" i="21" s="1"/>
  <c r="AB1791" i="21"/>
  <c r="V1791" i="21"/>
  <c r="W1791" i="21" s="1"/>
  <c r="L1791" i="21"/>
  <c r="K1791" i="21"/>
  <c r="H1791" i="21"/>
  <c r="M1791" i="21" s="1"/>
  <c r="G1791" i="21"/>
  <c r="I1791" i="21" s="1"/>
  <c r="AB1790" i="21"/>
  <c r="V1790" i="21"/>
  <c r="W1790" i="21" s="1"/>
  <c r="L1790" i="21"/>
  <c r="K1790" i="21"/>
  <c r="H1790" i="21"/>
  <c r="G1790" i="21"/>
  <c r="I1790" i="21" s="1"/>
  <c r="AB1789" i="21"/>
  <c r="V1789" i="21"/>
  <c r="W1789" i="21" s="1"/>
  <c r="L1789" i="21"/>
  <c r="K1789" i="21"/>
  <c r="H1789" i="21"/>
  <c r="M1789" i="21" s="1"/>
  <c r="G1789" i="21"/>
  <c r="I1789" i="21" s="1"/>
  <c r="AB1788" i="21"/>
  <c r="V1788" i="21"/>
  <c r="W1788" i="21" s="1"/>
  <c r="L1788" i="21"/>
  <c r="K1788" i="21"/>
  <c r="H1788" i="21"/>
  <c r="G1788" i="21"/>
  <c r="I1788" i="21" s="1"/>
  <c r="AB1787" i="21"/>
  <c r="V1787" i="21"/>
  <c r="W1787" i="21" s="1"/>
  <c r="L1787" i="21"/>
  <c r="K1787" i="21"/>
  <c r="H1787" i="21"/>
  <c r="M1787" i="21" s="1"/>
  <c r="G1787" i="21"/>
  <c r="I1787" i="21" s="1"/>
  <c r="AB1786" i="21"/>
  <c r="V1786" i="21"/>
  <c r="W1786" i="21" s="1"/>
  <c r="L1786" i="21"/>
  <c r="K1786" i="21"/>
  <c r="H1786" i="21"/>
  <c r="G1786" i="21"/>
  <c r="I1786" i="21" s="1"/>
  <c r="AB1785" i="21"/>
  <c r="V1785" i="21"/>
  <c r="W1785" i="21" s="1"/>
  <c r="L1785" i="21"/>
  <c r="K1785" i="21"/>
  <c r="H1785" i="21"/>
  <c r="M1785" i="21" s="1"/>
  <c r="G1785" i="21"/>
  <c r="I1785" i="21" s="1"/>
  <c r="AB1784" i="21"/>
  <c r="V1784" i="21"/>
  <c r="W1784" i="21" s="1"/>
  <c r="L1784" i="21"/>
  <c r="K1784" i="21"/>
  <c r="H1784" i="21"/>
  <c r="G1784" i="21"/>
  <c r="I1784" i="21" s="1"/>
  <c r="AB1783" i="21"/>
  <c r="V1783" i="21"/>
  <c r="W1783" i="21" s="1"/>
  <c r="L1783" i="21"/>
  <c r="K1783" i="21"/>
  <c r="H1783" i="21"/>
  <c r="M1783" i="21" s="1"/>
  <c r="G1783" i="21"/>
  <c r="I1783" i="21" s="1"/>
  <c r="AB1782" i="21"/>
  <c r="V1782" i="21"/>
  <c r="W1782" i="21" s="1"/>
  <c r="L1782" i="21"/>
  <c r="K1782" i="21"/>
  <c r="H1782" i="21"/>
  <c r="G1782" i="21"/>
  <c r="I1782" i="21" s="1"/>
  <c r="AB1781" i="21"/>
  <c r="V1781" i="21"/>
  <c r="W1781" i="21" s="1"/>
  <c r="L1781" i="21"/>
  <c r="K1781" i="21"/>
  <c r="H1781" i="21"/>
  <c r="M1781" i="21" s="1"/>
  <c r="G1781" i="21"/>
  <c r="I1781" i="21" s="1"/>
  <c r="AB1780" i="21"/>
  <c r="V1780" i="21"/>
  <c r="W1780" i="21" s="1"/>
  <c r="L1780" i="21"/>
  <c r="K1780" i="21"/>
  <c r="H1780" i="21"/>
  <c r="G1780" i="21"/>
  <c r="I1780" i="21" s="1"/>
  <c r="AB1779" i="21"/>
  <c r="V1779" i="21"/>
  <c r="W1779" i="21" s="1"/>
  <c r="L1779" i="21"/>
  <c r="K1779" i="21"/>
  <c r="H1779" i="21"/>
  <c r="M1779" i="21" s="1"/>
  <c r="G1779" i="21"/>
  <c r="I1779" i="21" s="1"/>
  <c r="AB1778" i="21"/>
  <c r="V1778" i="21"/>
  <c r="W1778" i="21" s="1"/>
  <c r="L1778" i="21"/>
  <c r="K1778" i="21"/>
  <c r="H1778" i="21"/>
  <c r="G1778" i="21"/>
  <c r="I1778" i="21" s="1"/>
  <c r="AB1777" i="21"/>
  <c r="V1777" i="21"/>
  <c r="W1777" i="21" s="1"/>
  <c r="L1777" i="21"/>
  <c r="K1777" i="21"/>
  <c r="H1777" i="21"/>
  <c r="M1777" i="21" s="1"/>
  <c r="G1777" i="21"/>
  <c r="I1777" i="21" s="1"/>
  <c r="AB1776" i="21"/>
  <c r="V1776" i="21"/>
  <c r="W1776" i="21" s="1"/>
  <c r="L1776" i="21"/>
  <c r="K1776" i="21"/>
  <c r="H1776" i="21"/>
  <c r="G1776" i="21"/>
  <c r="I1776" i="21" s="1"/>
  <c r="AB1775" i="21"/>
  <c r="V1775" i="21"/>
  <c r="W1775" i="21" s="1"/>
  <c r="L1775" i="21"/>
  <c r="K1775" i="21"/>
  <c r="H1775" i="21"/>
  <c r="M1775" i="21" s="1"/>
  <c r="G1775" i="21"/>
  <c r="I1775" i="21" s="1"/>
  <c r="AB1774" i="21"/>
  <c r="V1774" i="21"/>
  <c r="W1774" i="21" s="1"/>
  <c r="L1774" i="21"/>
  <c r="K1774" i="21"/>
  <c r="H1774" i="21"/>
  <c r="G1774" i="21"/>
  <c r="I1774" i="21" s="1"/>
  <c r="AB1773" i="21"/>
  <c r="V1773" i="21"/>
  <c r="W1773" i="21" s="1"/>
  <c r="L1773" i="21"/>
  <c r="K1773" i="21"/>
  <c r="H1773" i="21"/>
  <c r="M1773" i="21" s="1"/>
  <c r="G1773" i="21"/>
  <c r="I1773" i="21" s="1"/>
  <c r="AB1772" i="21"/>
  <c r="V1772" i="21"/>
  <c r="W1772" i="21" s="1"/>
  <c r="L1772" i="21"/>
  <c r="K1772" i="21"/>
  <c r="H1772" i="21"/>
  <c r="G1772" i="21"/>
  <c r="I1772" i="21" s="1"/>
  <c r="AB1771" i="21"/>
  <c r="V1771" i="21"/>
  <c r="W1771" i="21" s="1"/>
  <c r="L1771" i="21"/>
  <c r="K1771" i="21"/>
  <c r="H1771" i="21"/>
  <c r="M1771" i="21" s="1"/>
  <c r="G1771" i="21"/>
  <c r="I1771" i="21" s="1"/>
  <c r="AB1770" i="21"/>
  <c r="V1770" i="21"/>
  <c r="W1770" i="21" s="1"/>
  <c r="L1770" i="21"/>
  <c r="K1770" i="21"/>
  <c r="H1770" i="21"/>
  <c r="G1770" i="21"/>
  <c r="I1770" i="21" s="1"/>
  <c r="AB1769" i="21"/>
  <c r="V1769" i="21"/>
  <c r="W1769" i="21" s="1"/>
  <c r="L1769" i="21"/>
  <c r="K1769" i="21"/>
  <c r="H1769" i="21"/>
  <c r="M1769" i="21" s="1"/>
  <c r="G1769" i="21"/>
  <c r="I1769" i="21" s="1"/>
  <c r="AB1768" i="21"/>
  <c r="V1768" i="21"/>
  <c r="W1768" i="21" s="1"/>
  <c r="L1768" i="21"/>
  <c r="K1768" i="21"/>
  <c r="H1768" i="21"/>
  <c r="G1768" i="21"/>
  <c r="I1768" i="21" s="1"/>
  <c r="AB1767" i="21"/>
  <c r="V1767" i="21"/>
  <c r="W1767" i="21" s="1"/>
  <c r="L1767" i="21"/>
  <c r="K1767" i="21"/>
  <c r="H1767" i="21"/>
  <c r="M1767" i="21" s="1"/>
  <c r="G1767" i="21"/>
  <c r="I1767" i="21" s="1"/>
  <c r="AB1766" i="21"/>
  <c r="V1766" i="21"/>
  <c r="W1766" i="21" s="1"/>
  <c r="L1766" i="21"/>
  <c r="K1766" i="21"/>
  <c r="H1766" i="21"/>
  <c r="G1766" i="21"/>
  <c r="I1766" i="21" s="1"/>
  <c r="AB1765" i="21"/>
  <c r="V1765" i="21"/>
  <c r="W1765" i="21" s="1"/>
  <c r="L1765" i="21"/>
  <c r="K1765" i="21"/>
  <c r="H1765" i="21"/>
  <c r="M1765" i="21" s="1"/>
  <c r="G1765" i="21"/>
  <c r="I1765" i="21" s="1"/>
  <c r="AB1764" i="21"/>
  <c r="V1764" i="21"/>
  <c r="W1764" i="21" s="1"/>
  <c r="L1764" i="21"/>
  <c r="K1764" i="21"/>
  <c r="H1764" i="21"/>
  <c r="G1764" i="21"/>
  <c r="I1764" i="21" s="1"/>
  <c r="AB1763" i="21"/>
  <c r="V1763" i="21"/>
  <c r="W1763" i="21" s="1"/>
  <c r="L1763" i="21"/>
  <c r="K1763" i="21"/>
  <c r="H1763" i="21"/>
  <c r="M1763" i="21" s="1"/>
  <c r="G1763" i="21"/>
  <c r="I1763" i="21" s="1"/>
  <c r="AB1762" i="21"/>
  <c r="V1762" i="21"/>
  <c r="W1762" i="21" s="1"/>
  <c r="L1762" i="21"/>
  <c r="K1762" i="21"/>
  <c r="H1762" i="21"/>
  <c r="G1762" i="21"/>
  <c r="I1762" i="21" s="1"/>
  <c r="AB1761" i="21"/>
  <c r="V1761" i="21"/>
  <c r="W1761" i="21" s="1"/>
  <c r="L1761" i="21"/>
  <c r="K1761" i="21"/>
  <c r="H1761" i="21"/>
  <c r="M1761" i="21" s="1"/>
  <c r="G1761" i="21"/>
  <c r="I1761" i="21" s="1"/>
  <c r="AB1760" i="21"/>
  <c r="V1760" i="21"/>
  <c r="W1760" i="21" s="1"/>
  <c r="L1760" i="21"/>
  <c r="K1760" i="21"/>
  <c r="H1760" i="21"/>
  <c r="G1760" i="21"/>
  <c r="I1760" i="21" s="1"/>
  <c r="AB1759" i="21"/>
  <c r="V1759" i="21"/>
  <c r="W1759" i="21" s="1"/>
  <c r="L1759" i="21"/>
  <c r="K1759" i="21"/>
  <c r="H1759" i="21"/>
  <c r="M1759" i="21" s="1"/>
  <c r="G1759" i="21"/>
  <c r="I1759" i="21" s="1"/>
  <c r="AB1758" i="21"/>
  <c r="V1758" i="21"/>
  <c r="W1758" i="21" s="1"/>
  <c r="L1758" i="21"/>
  <c r="K1758" i="21"/>
  <c r="H1758" i="21"/>
  <c r="G1758" i="21"/>
  <c r="I1758" i="21" s="1"/>
  <c r="AB1757" i="21"/>
  <c r="V1757" i="21"/>
  <c r="W1757" i="21" s="1"/>
  <c r="L1757" i="21"/>
  <c r="K1757" i="21"/>
  <c r="H1757" i="21"/>
  <c r="M1757" i="21" s="1"/>
  <c r="G1757" i="21"/>
  <c r="I1757" i="21" s="1"/>
  <c r="AB1756" i="21"/>
  <c r="V1756" i="21"/>
  <c r="W1756" i="21" s="1"/>
  <c r="L1756" i="21"/>
  <c r="K1756" i="21"/>
  <c r="H1756" i="21"/>
  <c r="G1756" i="21"/>
  <c r="I1756" i="21" s="1"/>
  <c r="AB1755" i="21"/>
  <c r="V1755" i="21"/>
  <c r="W1755" i="21" s="1"/>
  <c r="L1755" i="21"/>
  <c r="K1755" i="21"/>
  <c r="H1755" i="21"/>
  <c r="M1755" i="21" s="1"/>
  <c r="G1755" i="21"/>
  <c r="I1755" i="21" s="1"/>
  <c r="AB1754" i="21"/>
  <c r="V1754" i="21"/>
  <c r="W1754" i="21" s="1"/>
  <c r="L1754" i="21"/>
  <c r="K1754" i="21"/>
  <c r="H1754" i="21"/>
  <c r="G1754" i="21"/>
  <c r="I1754" i="21" s="1"/>
  <c r="AB1753" i="21"/>
  <c r="V1753" i="21"/>
  <c r="W1753" i="21" s="1"/>
  <c r="L1753" i="21"/>
  <c r="K1753" i="21"/>
  <c r="H1753" i="21"/>
  <c r="M1753" i="21" s="1"/>
  <c r="G1753" i="21"/>
  <c r="I1753" i="21" s="1"/>
  <c r="AB1752" i="21"/>
  <c r="V1752" i="21"/>
  <c r="W1752" i="21" s="1"/>
  <c r="L1752" i="21"/>
  <c r="K1752" i="21"/>
  <c r="H1752" i="21"/>
  <c r="G1752" i="21"/>
  <c r="I1752" i="21" s="1"/>
  <c r="AB1751" i="21"/>
  <c r="V1751" i="21"/>
  <c r="W1751" i="21" s="1"/>
  <c r="L1751" i="21"/>
  <c r="K1751" i="21"/>
  <c r="H1751" i="21"/>
  <c r="M1751" i="21" s="1"/>
  <c r="G1751" i="21"/>
  <c r="I1751" i="21" s="1"/>
  <c r="AB1750" i="21"/>
  <c r="V1750" i="21"/>
  <c r="W1750" i="21" s="1"/>
  <c r="L1750" i="21"/>
  <c r="K1750" i="21"/>
  <c r="H1750" i="21"/>
  <c r="G1750" i="21"/>
  <c r="I1750" i="21" s="1"/>
  <c r="AB1749" i="21"/>
  <c r="V1749" i="21"/>
  <c r="W1749" i="21" s="1"/>
  <c r="L1749" i="21"/>
  <c r="K1749" i="21"/>
  <c r="H1749" i="21"/>
  <c r="M1749" i="21" s="1"/>
  <c r="G1749" i="21"/>
  <c r="I1749" i="21" s="1"/>
  <c r="AB1748" i="21"/>
  <c r="V1748" i="21"/>
  <c r="W1748" i="21" s="1"/>
  <c r="L1748" i="21"/>
  <c r="K1748" i="21"/>
  <c r="H1748" i="21"/>
  <c r="G1748" i="21"/>
  <c r="I1748" i="21" s="1"/>
  <c r="AB1747" i="21"/>
  <c r="V1747" i="21"/>
  <c r="W1747" i="21" s="1"/>
  <c r="L1747" i="21"/>
  <c r="K1747" i="21"/>
  <c r="H1747" i="21"/>
  <c r="M1747" i="21" s="1"/>
  <c r="G1747" i="21"/>
  <c r="I1747" i="21" s="1"/>
  <c r="AB1746" i="21"/>
  <c r="V1746" i="21"/>
  <c r="W1746" i="21" s="1"/>
  <c r="L1746" i="21"/>
  <c r="K1746" i="21"/>
  <c r="H1746" i="21"/>
  <c r="G1746" i="21"/>
  <c r="I1746" i="21" s="1"/>
  <c r="AB1745" i="21"/>
  <c r="V1745" i="21"/>
  <c r="W1745" i="21" s="1"/>
  <c r="L1745" i="21"/>
  <c r="K1745" i="21"/>
  <c r="H1745" i="21"/>
  <c r="M1745" i="21" s="1"/>
  <c r="G1745" i="21"/>
  <c r="I1745" i="21" s="1"/>
  <c r="AB1744" i="21"/>
  <c r="V1744" i="21"/>
  <c r="W1744" i="21" s="1"/>
  <c r="L1744" i="21"/>
  <c r="K1744" i="21"/>
  <c r="H1744" i="21"/>
  <c r="G1744" i="21"/>
  <c r="I1744" i="21" s="1"/>
  <c r="AB1743" i="21"/>
  <c r="V1743" i="21"/>
  <c r="W1743" i="21" s="1"/>
  <c r="L1743" i="21"/>
  <c r="K1743" i="21"/>
  <c r="H1743" i="21"/>
  <c r="M1743" i="21" s="1"/>
  <c r="G1743" i="21"/>
  <c r="I1743" i="21" s="1"/>
  <c r="AB1742" i="21"/>
  <c r="V1742" i="21"/>
  <c r="W1742" i="21" s="1"/>
  <c r="L1742" i="21"/>
  <c r="K1742" i="21"/>
  <c r="H1742" i="21"/>
  <c r="G1742" i="21"/>
  <c r="I1742" i="21" s="1"/>
  <c r="AB1741" i="21"/>
  <c r="V1741" i="21"/>
  <c r="W1741" i="21" s="1"/>
  <c r="L1741" i="21"/>
  <c r="K1741" i="21"/>
  <c r="H1741" i="21"/>
  <c r="M1741" i="21" s="1"/>
  <c r="G1741" i="21"/>
  <c r="I1741" i="21" s="1"/>
  <c r="AB1740" i="21"/>
  <c r="V1740" i="21"/>
  <c r="W1740" i="21" s="1"/>
  <c r="L1740" i="21"/>
  <c r="K1740" i="21"/>
  <c r="H1740" i="21"/>
  <c r="G1740" i="21"/>
  <c r="I1740" i="21" s="1"/>
  <c r="AB1739" i="21"/>
  <c r="V1739" i="21"/>
  <c r="W1739" i="21" s="1"/>
  <c r="L1739" i="21"/>
  <c r="K1739" i="21"/>
  <c r="H1739" i="21"/>
  <c r="M1739" i="21" s="1"/>
  <c r="G1739" i="21"/>
  <c r="I1739" i="21" s="1"/>
  <c r="AB1738" i="21"/>
  <c r="V1738" i="21"/>
  <c r="W1738" i="21" s="1"/>
  <c r="L1738" i="21"/>
  <c r="K1738" i="21"/>
  <c r="H1738" i="21"/>
  <c r="G1738" i="21"/>
  <c r="I1738" i="21" s="1"/>
  <c r="AB1737" i="21"/>
  <c r="V1737" i="21"/>
  <c r="W1737" i="21" s="1"/>
  <c r="L1737" i="21"/>
  <c r="K1737" i="21"/>
  <c r="H1737" i="21"/>
  <c r="M1737" i="21" s="1"/>
  <c r="G1737" i="21"/>
  <c r="I1737" i="21" s="1"/>
  <c r="AB1736" i="21"/>
  <c r="V1736" i="21"/>
  <c r="W1736" i="21" s="1"/>
  <c r="L1736" i="21"/>
  <c r="K1736" i="21"/>
  <c r="H1736" i="21"/>
  <c r="G1736" i="21"/>
  <c r="I1736" i="21" s="1"/>
  <c r="AB1735" i="21"/>
  <c r="V1735" i="21"/>
  <c r="W1735" i="21" s="1"/>
  <c r="L1735" i="21"/>
  <c r="K1735" i="21"/>
  <c r="H1735" i="21"/>
  <c r="M1735" i="21" s="1"/>
  <c r="G1735" i="21"/>
  <c r="I1735" i="21" s="1"/>
  <c r="AB1734" i="21"/>
  <c r="V1734" i="21"/>
  <c r="W1734" i="21" s="1"/>
  <c r="L1734" i="21"/>
  <c r="K1734" i="21"/>
  <c r="H1734" i="21"/>
  <c r="G1734" i="21"/>
  <c r="I1734" i="21" s="1"/>
  <c r="AB1733" i="21"/>
  <c r="V1733" i="21"/>
  <c r="W1733" i="21" s="1"/>
  <c r="L1733" i="21"/>
  <c r="K1733" i="21"/>
  <c r="H1733" i="21"/>
  <c r="M1733" i="21" s="1"/>
  <c r="G1733" i="21"/>
  <c r="I1733" i="21" s="1"/>
  <c r="AB1732" i="21"/>
  <c r="V1732" i="21"/>
  <c r="W1732" i="21" s="1"/>
  <c r="L1732" i="21"/>
  <c r="K1732" i="21"/>
  <c r="H1732" i="21"/>
  <c r="G1732" i="21"/>
  <c r="I1732" i="21" s="1"/>
  <c r="AB1731" i="21"/>
  <c r="V1731" i="21"/>
  <c r="W1731" i="21" s="1"/>
  <c r="L1731" i="21"/>
  <c r="K1731" i="21"/>
  <c r="H1731" i="21"/>
  <c r="M1731" i="21" s="1"/>
  <c r="G1731" i="21"/>
  <c r="I1731" i="21" s="1"/>
  <c r="AB1730" i="21"/>
  <c r="V1730" i="21"/>
  <c r="W1730" i="21" s="1"/>
  <c r="L1730" i="21"/>
  <c r="K1730" i="21"/>
  <c r="H1730" i="21"/>
  <c r="G1730" i="21"/>
  <c r="I1730" i="21" s="1"/>
  <c r="AB1729" i="21"/>
  <c r="V1729" i="21"/>
  <c r="W1729" i="21" s="1"/>
  <c r="L1729" i="21"/>
  <c r="K1729" i="21"/>
  <c r="H1729" i="21"/>
  <c r="M1729" i="21" s="1"/>
  <c r="G1729" i="21"/>
  <c r="I1729" i="21" s="1"/>
  <c r="AB1728" i="21"/>
  <c r="V1728" i="21"/>
  <c r="W1728" i="21" s="1"/>
  <c r="L1728" i="21"/>
  <c r="K1728" i="21"/>
  <c r="H1728" i="21"/>
  <c r="G1728" i="21"/>
  <c r="I1728" i="21" s="1"/>
  <c r="AB1727" i="21"/>
  <c r="V1727" i="21"/>
  <c r="W1727" i="21" s="1"/>
  <c r="L1727" i="21"/>
  <c r="K1727" i="21"/>
  <c r="H1727" i="21"/>
  <c r="M1727" i="21" s="1"/>
  <c r="G1727" i="21"/>
  <c r="I1727" i="21" s="1"/>
  <c r="AB1726" i="21"/>
  <c r="V1726" i="21"/>
  <c r="W1726" i="21" s="1"/>
  <c r="L1726" i="21"/>
  <c r="K1726" i="21"/>
  <c r="H1726" i="21"/>
  <c r="G1726" i="21"/>
  <c r="I1726" i="21" s="1"/>
  <c r="AB1725" i="21"/>
  <c r="V1725" i="21"/>
  <c r="W1725" i="21" s="1"/>
  <c r="L1725" i="21"/>
  <c r="K1725" i="21"/>
  <c r="H1725" i="21"/>
  <c r="M1725" i="21" s="1"/>
  <c r="G1725" i="21"/>
  <c r="I1725" i="21" s="1"/>
  <c r="AB1724" i="21"/>
  <c r="V1724" i="21"/>
  <c r="W1724" i="21" s="1"/>
  <c r="L1724" i="21"/>
  <c r="K1724" i="21"/>
  <c r="H1724" i="21"/>
  <c r="G1724" i="21"/>
  <c r="I1724" i="21" s="1"/>
  <c r="AB1723" i="21"/>
  <c r="V1723" i="21"/>
  <c r="W1723" i="21" s="1"/>
  <c r="L1723" i="21"/>
  <c r="K1723" i="21"/>
  <c r="H1723" i="21"/>
  <c r="M1723" i="21" s="1"/>
  <c r="G1723" i="21"/>
  <c r="I1723" i="21" s="1"/>
  <c r="AB1722" i="21"/>
  <c r="V1722" i="21"/>
  <c r="W1722" i="21" s="1"/>
  <c r="L1722" i="21"/>
  <c r="K1722" i="21"/>
  <c r="H1722" i="21"/>
  <c r="G1722" i="21"/>
  <c r="I1722" i="21" s="1"/>
  <c r="AB1721" i="21"/>
  <c r="V1721" i="21"/>
  <c r="W1721" i="21" s="1"/>
  <c r="L1721" i="21"/>
  <c r="K1721" i="21"/>
  <c r="H1721" i="21"/>
  <c r="M1721" i="21" s="1"/>
  <c r="G1721" i="21"/>
  <c r="I1721" i="21" s="1"/>
  <c r="AB1720" i="21"/>
  <c r="V1720" i="21"/>
  <c r="W1720" i="21" s="1"/>
  <c r="L1720" i="21"/>
  <c r="K1720" i="21"/>
  <c r="H1720" i="21"/>
  <c r="G1720" i="21"/>
  <c r="I1720" i="21" s="1"/>
  <c r="AB1719" i="21"/>
  <c r="V1719" i="21"/>
  <c r="W1719" i="21" s="1"/>
  <c r="L1719" i="21"/>
  <c r="K1719" i="21"/>
  <c r="H1719" i="21"/>
  <c r="M1719" i="21" s="1"/>
  <c r="G1719" i="21"/>
  <c r="I1719" i="21" s="1"/>
  <c r="AB1718" i="21"/>
  <c r="V1718" i="21"/>
  <c r="W1718" i="21" s="1"/>
  <c r="L1718" i="21"/>
  <c r="K1718" i="21"/>
  <c r="H1718" i="21"/>
  <c r="G1718" i="21"/>
  <c r="I1718" i="21" s="1"/>
  <c r="AB1717" i="21"/>
  <c r="V1717" i="21"/>
  <c r="W1717" i="21" s="1"/>
  <c r="L1717" i="21"/>
  <c r="K1717" i="21"/>
  <c r="H1717" i="21"/>
  <c r="M1717" i="21" s="1"/>
  <c r="G1717" i="21"/>
  <c r="I1717" i="21" s="1"/>
  <c r="AB1716" i="21"/>
  <c r="V1716" i="21"/>
  <c r="W1716" i="21" s="1"/>
  <c r="L1716" i="21"/>
  <c r="K1716" i="21"/>
  <c r="H1716" i="21"/>
  <c r="G1716" i="21"/>
  <c r="I1716" i="21" s="1"/>
  <c r="AB1715" i="21"/>
  <c r="V1715" i="21"/>
  <c r="W1715" i="21" s="1"/>
  <c r="L1715" i="21"/>
  <c r="K1715" i="21"/>
  <c r="H1715" i="21"/>
  <c r="M1715" i="21" s="1"/>
  <c r="G1715" i="21"/>
  <c r="I1715" i="21" s="1"/>
  <c r="AB1714" i="21"/>
  <c r="V1714" i="21"/>
  <c r="W1714" i="21" s="1"/>
  <c r="L1714" i="21"/>
  <c r="K1714" i="21"/>
  <c r="H1714" i="21"/>
  <c r="G1714" i="21"/>
  <c r="I1714" i="21" s="1"/>
  <c r="AB1713" i="21"/>
  <c r="V1713" i="21"/>
  <c r="W1713" i="21" s="1"/>
  <c r="L1713" i="21"/>
  <c r="K1713" i="21"/>
  <c r="H1713" i="21"/>
  <c r="M1713" i="21" s="1"/>
  <c r="G1713" i="21"/>
  <c r="I1713" i="21" s="1"/>
  <c r="AB1712" i="21"/>
  <c r="V1712" i="21"/>
  <c r="W1712" i="21" s="1"/>
  <c r="L1712" i="21"/>
  <c r="K1712" i="21"/>
  <c r="H1712" i="21"/>
  <c r="G1712" i="21"/>
  <c r="I1712" i="21" s="1"/>
  <c r="AB1711" i="21"/>
  <c r="V1711" i="21"/>
  <c r="W1711" i="21" s="1"/>
  <c r="L1711" i="21"/>
  <c r="K1711" i="21"/>
  <c r="H1711" i="21"/>
  <c r="M1711" i="21" s="1"/>
  <c r="G1711" i="21"/>
  <c r="I1711" i="21" s="1"/>
  <c r="AB1710" i="21"/>
  <c r="V1710" i="21"/>
  <c r="W1710" i="21" s="1"/>
  <c r="L1710" i="21"/>
  <c r="K1710" i="21"/>
  <c r="H1710" i="21"/>
  <c r="G1710" i="21"/>
  <c r="I1710" i="21" s="1"/>
  <c r="AB1709" i="21"/>
  <c r="V1709" i="21"/>
  <c r="W1709" i="21" s="1"/>
  <c r="L1709" i="21"/>
  <c r="K1709" i="21"/>
  <c r="H1709" i="21"/>
  <c r="M1709" i="21" s="1"/>
  <c r="G1709" i="21"/>
  <c r="I1709" i="21" s="1"/>
  <c r="AB1708" i="21"/>
  <c r="V1708" i="21"/>
  <c r="W1708" i="21" s="1"/>
  <c r="L1708" i="21"/>
  <c r="K1708" i="21"/>
  <c r="H1708" i="21"/>
  <c r="G1708" i="21"/>
  <c r="I1708" i="21" s="1"/>
  <c r="AB1707" i="21"/>
  <c r="V1707" i="21"/>
  <c r="W1707" i="21" s="1"/>
  <c r="L1707" i="21"/>
  <c r="K1707" i="21"/>
  <c r="H1707" i="21"/>
  <c r="M1707" i="21" s="1"/>
  <c r="G1707" i="21"/>
  <c r="I1707" i="21" s="1"/>
  <c r="AB1706" i="21"/>
  <c r="V1706" i="21"/>
  <c r="W1706" i="21" s="1"/>
  <c r="L1706" i="21"/>
  <c r="K1706" i="21"/>
  <c r="H1706" i="21"/>
  <c r="G1706" i="21"/>
  <c r="I1706" i="21" s="1"/>
  <c r="AB1705" i="21"/>
  <c r="V1705" i="21"/>
  <c r="W1705" i="21" s="1"/>
  <c r="L1705" i="21"/>
  <c r="K1705" i="21"/>
  <c r="H1705" i="21"/>
  <c r="M1705" i="21" s="1"/>
  <c r="G1705" i="21"/>
  <c r="I1705" i="21" s="1"/>
  <c r="AB1704" i="21"/>
  <c r="V1704" i="21"/>
  <c r="W1704" i="21" s="1"/>
  <c r="L1704" i="21"/>
  <c r="K1704" i="21"/>
  <c r="H1704" i="21"/>
  <c r="G1704" i="21"/>
  <c r="I1704" i="21" s="1"/>
  <c r="AB1703" i="21"/>
  <c r="V1703" i="21"/>
  <c r="W1703" i="21" s="1"/>
  <c r="L1703" i="21"/>
  <c r="K1703" i="21"/>
  <c r="H1703" i="21"/>
  <c r="M1703" i="21" s="1"/>
  <c r="G1703" i="21"/>
  <c r="I1703" i="21" s="1"/>
  <c r="AB1702" i="21"/>
  <c r="V1702" i="21"/>
  <c r="W1702" i="21" s="1"/>
  <c r="L1702" i="21"/>
  <c r="K1702" i="21"/>
  <c r="H1702" i="21"/>
  <c r="G1702" i="21"/>
  <c r="I1702" i="21" s="1"/>
  <c r="AB1701" i="21"/>
  <c r="V1701" i="21"/>
  <c r="W1701" i="21" s="1"/>
  <c r="L1701" i="21"/>
  <c r="K1701" i="21"/>
  <c r="H1701" i="21"/>
  <c r="M1701" i="21" s="1"/>
  <c r="G1701" i="21"/>
  <c r="I1701" i="21" s="1"/>
  <c r="AB1700" i="21"/>
  <c r="V1700" i="21"/>
  <c r="W1700" i="21" s="1"/>
  <c r="L1700" i="21"/>
  <c r="K1700" i="21"/>
  <c r="H1700" i="21"/>
  <c r="G1700" i="21"/>
  <c r="I1700" i="21" s="1"/>
  <c r="AB1699" i="21"/>
  <c r="V1699" i="21"/>
  <c r="W1699" i="21" s="1"/>
  <c r="L1699" i="21"/>
  <c r="K1699" i="21"/>
  <c r="H1699" i="21"/>
  <c r="M1699" i="21" s="1"/>
  <c r="G1699" i="21"/>
  <c r="I1699" i="21" s="1"/>
  <c r="AB1698" i="21"/>
  <c r="V1698" i="21"/>
  <c r="W1698" i="21" s="1"/>
  <c r="L1698" i="21"/>
  <c r="K1698" i="21"/>
  <c r="H1698" i="21"/>
  <c r="G1698" i="21"/>
  <c r="I1698" i="21" s="1"/>
  <c r="AB1697" i="21"/>
  <c r="V1697" i="21"/>
  <c r="W1697" i="21" s="1"/>
  <c r="L1697" i="21"/>
  <c r="K1697" i="21"/>
  <c r="H1697" i="21"/>
  <c r="M1697" i="21" s="1"/>
  <c r="G1697" i="21"/>
  <c r="I1697" i="21" s="1"/>
  <c r="AB1696" i="21"/>
  <c r="V1696" i="21"/>
  <c r="W1696" i="21" s="1"/>
  <c r="L1696" i="21"/>
  <c r="K1696" i="21"/>
  <c r="H1696" i="21"/>
  <c r="G1696" i="21"/>
  <c r="I1696" i="21" s="1"/>
  <c r="AB1695" i="21"/>
  <c r="V1695" i="21"/>
  <c r="W1695" i="21" s="1"/>
  <c r="L1695" i="21"/>
  <c r="K1695" i="21"/>
  <c r="H1695" i="21"/>
  <c r="M1695" i="21" s="1"/>
  <c r="G1695" i="21"/>
  <c r="I1695" i="21" s="1"/>
  <c r="AB1694" i="21"/>
  <c r="V1694" i="21"/>
  <c r="W1694" i="21" s="1"/>
  <c r="L1694" i="21"/>
  <c r="K1694" i="21"/>
  <c r="H1694" i="21"/>
  <c r="G1694" i="21"/>
  <c r="I1694" i="21" s="1"/>
  <c r="AB1693" i="21"/>
  <c r="V1693" i="21"/>
  <c r="W1693" i="21" s="1"/>
  <c r="L1693" i="21"/>
  <c r="K1693" i="21"/>
  <c r="H1693" i="21"/>
  <c r="M1693" i="21" s="1"/>
  <c r="G1693" i="21"/>
  <c r="I1693" i="21" s="1"/>
  <c r="AB1692" i="21"/>
  <c r="V1692" i="21"/>
  <c r="W1692" i="21" s="1"/>
  <c r="L1692" i="21"/>
  <c r="K1692" i="21"/>
  <c r="H1692" i="21"/>
  <c r="G1692" i="21"/>
  <c r="I1692" i="21" s="1"/>
  <c r="AB1691" i="21"/>
  <c r="V1691" i="21"/>
  <c r="W1691" i="21" s="1"/>
  <c r="L1691" i="21"/>
  <c r="K1691" i="21"/>
  <c r="H1691" i="21"/>
  <c r="M1691" i="21" s="1"/>
  <c r="G1691" i="21"/>
  <c r="I1691" i="21" s="1"/>
  <c r="AB1690" i="21"/>
  <c r="V1690" i="21"/>
  <c r="W1690" i="21" s="1"/>
  <c r="L1690" i="21"/>
  <c r="K1690" i="21"/>
  <c r="H1690" i="21"/>
  <c r="G1690" i="21"/>
  <c r="I1690" i="21" s="1"/>
  <c r="AB1689" i="21"/>
  <c r="V1689" i="21"/>
  <c r="W1689" i="21" s="1"/>
  <c r="L1689" i="21"/>
  <c r="K1689" i="21"/>
  <c r="H1689" i="21"/>
  <c r="M1689" i="21" s="1"/>
  <c r="G1689" i="21"/>
  <c r="I1689" i="21" s="1"/>
  <c r="AB1688" i="21"/>
  <c r="V1688" i="21"/>
  <c r="W1688" i="21" s="1"/>
  <c r="L1688" i="21"/>
  <c r="K1688" i="21"/>
  <c r="H1688" i="21"/>
  <c r="G1688" i="21"/>
  <c r="I1688" i="21" s="1"/>
  <c r="AB1687" i="21"/>
  <c r="V1687" i="21"/>
  <c r="W1687" i="21" s="1"/>
  <c r="L1687" i="21"/>
  <c r="K1687" i="21"/>
  <c r="H1687" i="21"/>
  <c r="M1687" i="21" s="1"/>
  <c r="G1687" i="21"/>
  <c r="I1687" i="21" s="1"/>
  <c r="AB1686" i="21"/>
  <c r="V1686" i="21"/>
  <c r="W1686" i="21" s="1"/>
  <c r="L1686" i="21"/>
  <c r="K1686" i="21"/>
  <c r="H1686" i="21"/>
  <c r="G1686" i="21"/>
  <c r="I1686" i="21" s="1"/>
  <c r="AB1685" i="21"/>
  <c r="V1685" i="21"/>
  <c r="W1685" i="21" s="1"/>
  <c r="L1685" i="21"/>
  <c r="K1685" i="21"/>
  <c r="H1685" i="21"/>
  <c r="M1685" i="21" s="1"/>
  <c r="G1685" i="21"/>
  <c r="I1685" i="21" s="1"/>
  <c r="AB1684" i="21"/>
  <c r="V1684" i="21"/>
  <c r="W1684" i="21" s="1"/>
  <c r="L1684" i="21"/>
  <c r="K1684" i="21"/>
  <c r="H1684" i="21"/>
  <c r="G1684" i="21"/>
  <c r="I1684" i="21" s="1"/>
  <c r="AB1683" i="21"/>
  <c r="V1683" i="21"/>
  <c r="W1683" i="21" s="1"/>
  <c r="L1683" i="21"/>
  <c r="K1683" i="21"/>
  <c r="H1683" i="21"/>
  <c r="M1683" i="21" s="1"/>
  <c r="G1683" i="21"/>
  <c r="I1683" i="21" s="1"/>
  <c r="AB1682" i="21"/>
  <c r="V1682" i="21"/>
  <c r="W1682" i="21" s="1"/>
  <c r="L1682" i="21"/>
  <c r="K1682" i="21"/>
  <c r="H1682" i="21"/>
  <c r="G1682" i="21"/>
  <c r="I1682" i="21" s="1"/>
  <c r="AB1681" i="21"/>
  <c r="V1681" i="21"/>
  <c r="W1681" i="21" s="1"/>
  <c r="L1681" i="21"/>
  <c r="K1681" i="21"/>
  <c r="H1681" i="21"/>
  <c r="M1681" i="21" s="1"/>
  <c r="G1681" i="21"/>
  <c r="I1681" i="21" s="1"/>
  <c r="AB1680" i="21"/>
  <c r="V1680" i="21"/>
  <c r="W1680" i="21" s="1"/>
  <c r="L1680" i="21"/>
  <c r="K1680" i="21"/>
  <c r="H1680" i="21"/>
  <c r="G1680" i="21"/>
  <c r="I1680" i="21" s="1"/>
  <c r="AB1679" i="21"/>
  <c r="V1679" i="21"/>
  <c r="W1679" i="21" s="1"/>
  <c r="L1679" i="21"/>
  <c r="K1679" i="21"/>
  <c r="H1679" i="21"/>
  <c r="M1679" i="21" s="1"/>
  <c r="G1679" i="21"/>
  <c r="I1679" i="21" s="1"/>
  <c r="AB1678" i="21"/>
  <c r="V1678" i="21"/>
  <c r="W1678" i="21" s="1"/>
  <c r="L1678" i="21"/>
  <c r="K1678" i="21"/>
  <c r="H1678" i="21"/>
  <c r="G1678" i="21"/>
  <c r="I1678" i="21" s="1"/>
  <c r="AB1677" i="21"/>
  <c r="V1677" i="21"/>
  <c r="W1677" i="21" s="1"/>
  <c r="L1677" i="21"/>
  <c r="K1677" i="21"/>
  <c r="H1677" i="21"/>
  <c r="M1677" i="21" s="1"/>
  <c r="G1677" i="21"/>
  <c r="I1677" i="21" s="1"/>
  <c r="AB1676" i="21"/>
  <c r="V1676" i="21"/>
  <c r="W1676" i="21" s="1"/>
  <c r="L1676" i="21"/>
  <c r="K1676" i="21"/>
  <c r="H1676" i="21"/>
  <c r="G1676" i="21"/>
  <c r="I1676" i="21" s="1"/>
  <c r="AB1675" i="21"/>
  <c r="V1675" i="21"/>
  <c r="W1675" i="21" s="1"/>
  <c r="L1675" i="21"/>
  <c r="K1675" i="21"/>
  <c r="H1675" i="21"/>
  <c r="M1675" i="21" s="1"/>
  <c r="G1675" i="21"/>
  <c r="I1675" i="21" s="1"/>
  <c r="AB1674" i="21"/>
  <c r="V1674" i="21"/>
  <c r="W1674" i="21" s="1"/>
  <c r="L1674" i="21"/>
  <c r="K1674" i="21"/>
  <c r="H1674" i="21"/>
  <c r="M1674" i="21" s="1"/>
  <c r="G1674" i="21"/>
  <c r="I1674" i="21" s="1"/>
  <c r="AB1673" i="21"/>
  <c r="V1673" i="21"/>
  <c r="W1673" i="21" s="1"/>
  <c r="L1673" i="21"/>
  <c r="K1673" i="21"/>
  <c r="H1673" i="21"/>
  <c r="M1673" i="21" s="1"/>
  <c r="G1673" i="21"/>
  <c r="I1673" i="21" s="1"/>
  <c r="AB1672" i="21"/>
  <c r="V1672" i="21"/>
  <c r="W1672" i="21" s="1"/>
  <c r="L1672" i="21"/>
  <c r="K1672" i="21"/>
  <c r="H1672" i="21"/>
  <c r="M1672" i="21" s="1"/>
  <c r="G1672" i="21"/>
  <c r="I1672" i="21" s="1"/>
  <c r="AB1671" i="21"/>
  <c r="V1671" i="21"/>
  <c r="W1671" i="21" s="1"/>
  <c r="L1671" i="21"/>
  <c r="K1671" i="21"/>
  <c r="H1671" i="21"/>
  <c r="M1671" i="21" s="1"/>
  <c r="G1671" i="21"/>
  <c r="I1671" i="21" s="1"/>
  <c r="AB1670" i="21"/>
  <c r="V1670" i="21"/>
  <c r="W1670" i="21" s="1"/>
  <c r="L1670" i="21"/>
  <c r="K1670" i="21"/>
  <c r="H1670" i="21"/>
  <c r="M1670" i="21" s="1"/>
  <c r="G1670" i="21"/>
  <c r="I1670" i="21" s="1"/>
  <c r="AB1669" i="21"/>
  <c r="V1669" i="21"/>
  <c r="W1669" i="21" s="1"/>
  <c r="L1669" i="21"/>
  <c r="K1669" i="21"/>
  <c r="H1669" i="21"/>
  <c r="M1669" i="21" s="1"/>
  <c r="G1669" i="21"/>
  <c r="I1669" i="21" s="1"/>
  <c r="AB1668" i="21"/>
  <c r="V1668" i="21"/>
  <c r="W1668" i="21" s="1"/>
  <c r="L1668" i="21"/>
  <c r="K1668" i="21"/>
  <c r="H1668" i="21"/>
  <c r="M1668" i="21" s="1"/>
  <c r="G1668" i="21"/>
  <c r="I1668" i="21" s="1"/>
  <c r="AB1667" i="21"/>
  <c r="V1667" i="21"/>
  <c r="W1667" i="21" s="1"/>
  <c r="L1667" i="21"/>
  <c r="K1667" i="21"/>
  <c r="H1667" i="21"/>
  <c r="M1667" i="21" s="1"/>
  <c r="G1667" i="21"/>
  <c r="I1667" i="21" s="1"/>
  <c r="AB1666" i="21"/>
  <c r="V1666" i="21"/>
  <c r="W1666" i="21" s="1"/>
  <c r="L1666" i="21"/>
  <c r="K1666" i="21"/>
  <c r="H1666" i="21"/>
  <c r="M1666" i="21" s="1"/>
  <c r="G1666" i="21"/>
  <c r="I1666" i="21" s="1"/>
  <c r="AB1665" i="21"/>
  <c r="V1665" i="21"/>
  <c r="W1665" i="21" s="1"/>
  <c r="L1665" i="21"/>
  <c r="K1665" i="21"/>
  <c r="H1665" i="21"/>
  <c r="M1665" i="21" s="1"/>
  <c r="G1665" i="21"/>
  <c r="I1665" i="21" s="1"/>
  <c r="AB1664" i="21"/>
  <c r="V1664" i="21"/>
  <c r="W1664" i="21" s="1"/>
  <c r="L1664" i="21"/>
  <c r="K1664" i="21"/>
  <c r="H1664" i="21"/>
  <c r="M1664" i="21" s="1"/>
  <c r="G1664" i="21"/>
  <c r="I1664" i="21" s="1"/>
  <c r="AB1663" i="21"/>
  <c r="V1663" i="21"/>
  <c r="W1663" i="21" s="1"/>
  <c r="L1663" i="21"/>
  <c r="K1663" i="21"/>
  <c r="H1663" i="21"/>
  <c r="M1663" i="21" s="1"/>
  <c r="G1663" i="21"/>
  <c r="I1663" i="21" s="1"/>
  <c r="AB1662" i="21"/>
  <c r="V1662" i="21"/>
  <c r="W1662" i="21" s="1"/>
  <c r="L1662" i="21"/>
  <c r="K1662" i="21"/>
  <c r="H1662" i="21"/>
  <c r="M1662" i="21" s="1"/>
  <c r="G1662" i="21"/>
  <c r="I1662" i="21" s="1"/>
  <c r="AB1661" i="21"/>
  <c r="V1661" i="21"/>
  <c r="W1661" i="21" s="1"/>
  <c r="L1661" i="21"/>
  <c r="K1661" i="21"/>
  <c r="H1661" i="21"/>
  <c r="M1661" i="21" s="1"/>
  <c r="G1661" i="21"/>
  <c r="I1661" i="21" s="1"/>
  <c r="AB1660" i="21"/>
  <c r="V1660" i="21"/>
  <c r="W1660" i="21" s="1"/>
  <c r="L1660" i="21"/>
  <c r="K1660" i="21"/>
  <c r="H1660" i="21"/>
  <c r="M1660" i="21" s="1"/>
  <c r="G1660" i="21"/>
  <c r="I1660" i="21" s="1"/>
  <c r="AB1659" i="21"/>
  <c r="V1659" i="21"/>
  <c r="W1659" i="21" s="1"/>
  <c r="L1659" i="21"/>
  <c r="K1659" i="21"/>
  <c r="H1659" i="21"/>
  <c r="M1659" i="21" s="1"/>
  <c r="G1659" i="21"/>
  <c r="I1659" i="21" s="1"/>
  <c r="AB1658" i="21"/>
  <c r="V1658" i="21"/>
  <c r="W1658" i="21" s="1"/>
  <c r="L1658" i="21"/>
  <c r="K1658" i="21"/>
  <c r="H1658" i="21"/>
  <c r="M1658" i="21" s="1"/>
  <c r="G1658" i="21"/>
  <c r="I1658" i="21" s="1"/>
  <c r="AB1657" i="21"/>
  <c r="V1657" i="21"/>
  <c r="W1657" i="21" s="1"/>
  <c r="L1657" i="21"/>
  <c r="K1657" i="21"/>
  <c r="H1657" i="21"/>
  <c r="M1657" i="21" s="1"/>
  <c r="G1657" i="21"/>
  <c r="I1657" i="21" s="1"/>
  <c r="AB1656" i="21"/>
  <c r="V1656" i="21"/>
  <c r="W1656" i="21" s="1"/>
  <c r="L1656" i="21"/>
  <c r="K1656" i="21"/>
  <c r="H1656" i="21"/>
  <c r="M1656" i="21" s="1"/>
  <c r="G1656" i="21"/>
  <c r="I1656" i="21" s="1"/>
  <c r="AB1655" i="21"/>
  <c r="V1655" i="21"/>
  <c r="W1655" i="21" s="1"/>
  <c r="L1655" i="21"/>
  <c r="K1655" i="21"/>
  <c r="H1655" i="21"/>
  <c r="M1655" i="21" s="1"/>
  <c r="G1655" i="21"/>
  <c r="I1655" i="21" s="1"/>
  <c r="AB1654" i="21"/>
  <c r="V1654" i="21"/>
  <c r="W1654" i="21" s="1"/>
  <c r="L1654" i="21"/>
  <c r="K1654" i="21"/>
  <c r="H1654" i="21"/>
  <c r="M1654" i="21" s="1"/>
  <c r="G1654" i="21"/>
  <c r="I1654" i="21" s="1"/>
  <c r="AB1653" i="21"/>
  <c r="V1653" i="21"/>
  <c r="W1653" i="21" s="1"/>
  <c r="L1653" i="21"/>
  <c r="K1653" i="21"/>
  <c r="H1653" i="21"/>
  <c r="M1653" i="21" s="1"/>
  <c r="G1653" i="21"/>
  <c r="I1653" i="21" s="1"/>
  <c r="AB1652" i="21"/>
  <c r="V1652" i="21"/>
  <c r="W1652" i="21" s="1"/>
  <c r="L1652" i="21"/>
  <c r="K1652" i="21"/>
  <c r="H1652" i="21"/>
  <c r="M1652" i="21" s="1"/>
  <c r="G1652" i="21"/>
  <c r="I1652" i="21" s="1"/>
  <c r="AB1651" i="21"/>
  <c r="V1651" i="21"/>
  <c r="W1651" i="21" s="1"/>
  <c r="L1651" i="21"/>
  <c r="K1651" i="21"/>
  <c r="H1651" i="21"/>
  <c r="M1651" i="21" s="1"/>
  <c r="G1651" i="21"/>
  <c r="I1651" i="21" s="1"/>
  <c r="AB1650" i="21"/>
  <c r="V1650" i="21"/>
  <c r="W1650" i="21" s="1"/>
  <c r="L1650" i="21"/>
  <c r="K1650" i="21"/>
  <c r="H1650" i="21"/>
  <c r="M1650" i="21" s="1"/>
  <c r="G1650" i="21"/>
  <c r="I1650" i="21" s="1"/>
  <c r="AB1649" i="21"/>
  <c r="V1649" i="21"/>
  <c r="W1649" i="21" s="1"/>
  <c r="L1649" i="21"/>
  <c r="K1649" i="21"/>
  <c r="H1649" i="21"/>
  <c r="M1649" i="21" s="1"/>
  <c r="G1649" i="21"/>
  <c r="I1649" i="21" s="1"/>
  <c r="AB1648" i="21"/>
  <c r="V1648" i="21"/>
  <c r="W1648" i="21" s="1"/>
  <c r="L1648" i="21"/>
  <c r="K1648" i="21"/>
  <c r="H1648" i="21"/>
  <c r="M1648" i="21" s="1"/>
  <c r="G1648" i="21"/>
  <c r="I1648" i="21" s="1"/>
  <c r="AB1647" i="21"/>
  <c r="V1647" i="21"/>
  <c r="W1647" i="21" s="1"/>
  <c r="L1647" i="21"/>
  <c r="K1647" i="21"/>
  <c r="H1647" i="21"/>
  <c r="M1647" i="21" s="1"/>
  <c r="G1647" i="21"/>
  <c r="I1647" i="21" s="1"/>
  <c r="AB1646" i="21"/>
  <c r="V1646" i="21"/>
  <c r="W1646" i="21" s="1"/>
  <c r="L1646" i="21"/>
  <c r="K1646" i="21"/>
  <c r="H1646" i="21"/>
  <c r="M1646" i="21" s="1"/>
  <c r="G1646" i="21"/>
  <c r="I1646" i="21" s="1"/>
  <c r="AB1645" i="21"/>
  <c r="V1645" i="21"/>
  <c r="W1645" i="21" s="1"/>
  <c r="L1645" i="21"/>
  <c r="K1645" i="21"/>
  <c r="H1645" i="21"/>
  <c r="M1645" i="21" s="1"/>
  <c r="G1645" i="21"/>
  <c r="I1645" i="21" s="1"/>
  <c r="AB1644" i="21"/>
  <c r="V1644" i="21"/>
  <c r="W1644" i="21" s="1"/>
  <c r="L1644" i="21"/>
  <c r="K1644" i="21"/>
  <c r="H1644" i="21"/>
  <c r="M1644" i="21" s="1"/>
  <c r="G1644" i="21"/>
  <c r="I1644" i="21" s="1"/>
  <c r="AB1643" i="21"/>
  <c r="V1643" i="21"/>
  <c r="W1643" i="21" s="1"/>
  <c r="L1643" i="21"/>
  <c r="K1643" i="21"/>
  <c r="H1643" i="21"/>
  <c r="M1643" i="21" s="1"/>
  <c r="G1643" i="21"/>
  <c r="I1643" i="21" s="1"/>
  <c r="AB1642" i="21"/>
  <c r="V1642" i="21"/>
  <c r="W1642" i="21" s="1"/>
  <c r="L1642" i="21"/>
  <c r="K1642" i="21"/>
  <c r="H1642" i="21"/>
  <c r="M1642" i="21" s="1"/>
  <c r="G1642" i="21"/>
  <c r="I1642" i="21" s="1"/>
  <c r="AB1641" i="21"/>
  <c r="V1641" i="21"/>
  <c r="W1641" i="21" s="1"/>
  <c r="L1641" i="21"/>
  <c r="K1641" i="21"/>
  <c r="H1641" i="21"/>
  <c r="M1641" i="21" s="1"/>
  <c r="G1641" i="21"/>
  <c r="I1641" i="21" s="1"/>
  <c r="AB1640" i="21"/>
  <c r="V1640" i="21"/>
  <c r="W1640" i="21" s="1"/>
  <c r="L1640" i="21"/>
  <c r="K1640" i="21"/>
  <c r="H1640" i="21"/>
  <c r="M1640" i="21" s="1"/>
  <c r="G1640" i="21"/>
  <c r="I1640" i="21" s="1"/>
  <c r="AB1639" i="21"/>
  <c r="V1639" i="21"/>
  <c r="W1639" i="21" s="1"/>
  <c r="L1639" i="21"/>
  <c r="K1639" i="21"/>
  <c r="H1639" i="21"/>
  <c r="M1639" i="21" s="1"/>
  <c r="G1639" i="21"/>
  <c r="I1639" i="21" s="1"/>
  <c r="AB1638" i="21"/>
  <c r="V1638" i="21"/>
  <c r="W1638" i="21" s="1"/>
  <c r="L1638" i="21"/>
  <c r="K1638" i="21"/>
  <c r="H1638" i="21"/>
  <c r="M1638" i="21" s="1"/>
  <c r="G1638" i="21"/>
  <c r="I1638" i="21" s="1"/>
  <c r="AB1637" i="21"/>
  <c r="V1637" i="21"/>
  <c r="W1637" i="21" s="1"/>
  <c r="L1637" i="21"/>
  <c r="K1637" i="21"/>
  <c r="H1637" i="21"/>
  <c r="M1637" i="21" s="1"/>
  <c r="G1637" i="21"/>
  <c r="I1637" i="21" s="1"/>
  <c r="AB1636" i="21"/>
  <c r="V1636" i="21"/>
  <c r="W1636" i="21" s="1"/>
  <c r="L1636" i="21"/>
  <c r="K1636" i="21"/>
  <c r="H1636" i="21"/>
  <c r="M1636" i="21" s="1"/>
  <c r="G1636" i="21"/>
  <c r="I1636" i="21" s="1"/>
  <c r="AB1635" i="21"/>
  <c r="V1635" i="21"/>
  <c r="W1635" i="21" s="1"/>
  <c r="L1635" i="21"/>
  <c r="K1635" i="21"/>
  <c r="H1635" i="21"/>
  <c r="M1635" i="21" s="1"/>
  <c r="G1635" i="21"/>
  <c r="I1635" i="21" s="1"/>
  <c r="AB1634" i="21"/>
  <c r="V1634" i="21"/>
  <c r="W1634" i="21" s="1"/>
  <c r="L1634" i="21"/>
  <c r="K1634" i="21"/>
  <c r="H1634" i="21"/>
  <c r="M1634" i="21" s="1"/>
  <c r="G1634" i="21"/>
  <c r="I1634" i="21" s="1"/>
  <c r="AB1633" i="21"/>
  <c r="V1633" i="21"/>
  <c r="W1633" i="21" s="1"/>
  <c r="L1633" i="21"/>
  <c r="K1633" i="21"/>
  <c r="H1633" i="21"/>
  <c r="M1633" i="21" s="1"/>
  <c r="G1633" i="21"/>
  <c r="I1633" i="21" s="1"/>
  <c r="AB1632" i="21"/>
  <c r="V1632" i="21"/>
  <c r="W1632" i="21" s="1"/>
  <c r="L1632" i="21"/>
  <c r="K1632" i="21"/>
  <c r="H1632" i="21"/>
  <c r="M1632" i="21" s="1"/>
  <c r="G1632" i="21"/>
  <c r="I1632" i="21" s="1"/>
  <c r="AB1631" i="21"/>
  <c r="V1631" i="21"/>
  <c r="W1631" i="21" s="1"/>
  <c r="L1631" i="21"/>
  <c r="K1631" i="21"/>
  <c r="H1631" i="21"/>
  <c r="M1631" i="21" s="1"/>
  <c r="G1631" i="21"/>
  <c r="I1631" i="21" s="1"/>
  <c r="AB1630" i="21"/>
  <c r="V1630" i="21"/>
  <c r="W1630" i="21" s="1"/>
  <c r="L1630" i="21"/>
  <c r="K1630" i="21"/>
  <c r="H1630" i="21"/>
  <c r="M1630" i="21" s="1"/>
  <c r="G1630" i="21"/>
  <c r="I1630" i="21" s="1"/>
  <c r="AB1629" i="21"/>
  <c r="V1629" i="21"/>
  <c r="W1629" i="21" s="1"/>
  <c r="L1629" i="21"/>
  <c r="K1629" i="21"/>
  <c r="H1629" i="21"/>
  <c r="M1629" i="21" s="1"/>
  <c r="G1629" i="21"/>
  <c r="I1629" i="21" s="1"/>
  <c r="AB1628" i="21"/>
  <c r="V1628" i="21"/>
  <c r="W1628" i="21" s="1"/>
  <c r="L1628" i="21"/>
  <c r="K1628" i="21"/>
  <c r="H1628" i="21"/>
  <c r="M1628" i="21" s="1"/>
  <c r="G1628" i="21"/>
  <c r="I1628" i="21" s="1"/>
  <c r="AB1627" i="21"/>
  <c r="V1627" i="21"/>
  <c r="W1627" i="21" s="1"/>
  <c r="L1627" i="21"/>
  <c r="K1627" i="21"/>
  <c r="H1627" i="21"/>
  <c r="M1627" i="21" s="1"/>
  <c r="G1627" i="21"/>
  <c r="I1627" i="21" s="1"/>
  <c r="AB1626" i="21"/>
  <c r="V1626" i="21"/>
  <c r="W1626" i="21" s="1"/>
  <c r="L1626" i="21"/>
  <c r="K1626" i="21"/>
  <c r="H1626" i="21"/>
  <c r="M1626" i="21" s="1"/>
  <c r="G1626" i="21"/>
  <c r="I1626" i="21" s="1"/>
  <c r="AB1625" i="21"/>
  <c r="V1625" i="21"/>
  <c r="W1625" i="21" s="1"/>
  <c r="L1625" i="21"/>
  <c r="K1625" i="21"/>
  <c r="H1625" i="21"/>
  <c r="M1625" i="21" s="1"/>
  <c r="G1625" i="21"/>
  <c r="I1625" i="21" s="1"/>
  <c r="AB1624" i="21"/>
  <c r="V1624" i="21"/>
  <c r="W1624" i="21" s="1"/>
  <c r="L1624" i="21"/>
  <c r="K1624" i="21"/>
  <c r="H1624" i="21"/>
  <c r="M1624" i="21" s="1"/>
  <c r="G1624" i="21"/>
  <c r="I1624" i="21" s="1"/>
  <c r="AB1623" i="21"/>
  <c r="V1623" i="21"/>
  <c r="W1623" i="21" s="1"/>
  <c r="L1623" i="21"/>
  <c r="K1623" i="21"/>
  <c r="H1623" i="21"/>
  <c r="M1623" i="21" s="1"/>
  <c r="G1623" i="21"/>
  <c r="I1623" i="21" s="1"/>
  <c r="AB1622" i="21"/>
  <c r="V1622" i="21"/>
  <c r="W1622" i="21" s="1"/>
  <c r="L1622" i="21"/>
  <c r="K1622" i="21"/>
  <c r="H1622" i="21"/>
  <c r="M1622" i="21" s="1"/>
  <c r="G1622" i="21"/>
  <c r="I1622" i="21" s="1"/>
  <c r="AB1621" i="21"/>
  <c r="V1621" i="21"/>
  <c r="W1621" i="21" s="1"/>
  <c r="L1621" i="21"/>
  <c r="K1621" i="21"/>
  <c r="H1621" i="21"/>
  <c r="M1621" i="21" s="1"/>
  <c r="G1621" i="21"/>
  <c r="I1621" i="21" s="1"/>
  <c r="AB1620" i="21"/>
  <c r="V1620" i="21"/>
  <c r="W1620" i="21" s="1"/>
  <c r="L1620" i="21"/>
  <c r="K1620" i="21"/>
  <c r="H1620" i="21"/>
  <c r="M1620" i="21" s="1"/>
  <c r="G1620" i="21"/>
  <c r="I1620" i="21" s="1"/>
  <c r="AB1619" i="21"/>
  <c r="V1619" i="21"/>
  <c r="W1619" i="21" s="1"/>
  <c r="L1619" i="21"/>
  <c r="K1619" i="21"/>
  <c r="H1619" i="21"/>
  <c r="M1619" i="21" s="1"/>
  <c r="G1619" i="21"/>
  <c r="I1619" i="21" s="1"/>
  <c r="AB1618" i="21"/>
  <c r="V1618" i="21"/>
  <c r="W1618" i="21" s="1"/>
  <c r="L1618" i="21"/>
  <c r="K1618" i="21"/>
  <c r="H1618" i="21"/>
  <c r="M1618" i="21" s="1"/>
  <c r="G1618" i="21"/>
  <c r="I1618" i="21" s="1"/>
  <c r="AB1617" i="21"/>
  <c r="V1617" i="21"/>
  <c r="W1617" i="21" s="1"/>
  <c r="L1617" i="21"/>
  <c r="K1617" i="21"/>
  <c r="H1617" i="21"/>
  <c r="M1617" i="21" s="1"/>
  <c r="G1617" i="21"/>
  <c r="I1617" i="21" s="1"/>
  <c r="AB1616" i="21"/>
  <c r="V1616" i="21"/>
  <c r="W1616" i="21" s="1"/>
  <c r="L1616" i="21"/>
  <c r="K1616" i="21"/>
  <c r="H1616" i="21"/>
  <c r="G1616" i="21"/>
  <c r="I1616" i="21" s="1"/>
  <c r="AB1615" i="21"/>
  <c r="V1615" i="21"/>
  <c r="W1615" i="21" s="1"/>
  <c r="L1615" i="21"/>
  <c r="K1615" i="21"/>
  <c r="H1615" i="21"/>
  <c r="M1615" i="21" s="1"/>
  <c r="G1615" i="21"/>
  <c r="I1615" i="21" s="1"/>
  <c r="AB1614" i="21"/>
  <c r="V1614" i="21"/>
  <c r="W1614" i="21" s="1"/>
  <c r="L1614" i="21"/>
  <c r="K1614" i="21"/>
  <c r="H1614" i="21"/>
  <c r="M1614" i="21" s="1"/>
  <c r="G1614" i="21"/>
  <c r="I1614" i="21" s="1"/>
  <c r="AB1613" i="21"/>
  <c r="V1613" i="21"/>
  <c r="W1613" i="21" s="1"/>
  <c r="L1613" i="21"/>
  <c r="K1613" i="21"/>
  <c r="H1613" i="21"/>
  <c r="M1613" i="21" s="1"/>
  <c r="G1613" i="21"/>
  <c r="I1613" i="21" s="1"/>
  <c r="AB1612" i="21"/>
  <c r="V1612" i="21"/>
  <c r="W1612" i="21" s="1"/>
  <c r="L1612" i="21"/>
  <c r="K1612" i="21"/>
  <c r="H1612" i="21"/>
  <c r="M1612" i="21" s="1"/>
  <c r="G1612" i="21"/>
  <c r="I1612" i="21" s="1"/>
  <c r="AB1611" i="21"/>
  <c r="V1611" i="21"/>
  <c r="W1611" i="21" s="1"/>
  <c r="L1611" i="21"/>
  <c r="K1611" i="21"/>
  <c r="H1611" i="21"/>
  <c r="M1611" i="21" s="1"/>
  <c r="G1611" i="21"/>
  <c r="I1611" i="21" s="1"/>
  <c r="AB1610" i="21"/>
  <c r="V1610" i="21"/>
  <c r="W1610" i="21" s="1"/>
  <c r="L1610" i="21"/>
  <c r="K1610" i="21"/>
  <c r="H1610" i="21"/>
  <c r="M1610" i="21" s="1"/>
  <c r="G1610" i="21"/>
  <c r="I1610" i="21" s="1"/>
  <c r="AB1609" i="21"/>
  <c r="V1609" i="21"/>
  <c r="W1609" i="21" s="1"/>
  <c r="L1609" i="21"/>
  <c r="K1609" i="21"/>
  <c r="H1609" i="21"/>
  <c r="M1609" i="21" s="1"/>
  <c r="G1609" i="21"/>
  <c r="I1609" i="21" s="1"/>
  <c r="AB1608" i="21"/>
  <c r="V1608" i="21"/>
  <c r="W1608" i="21" s="1"/>
  <c r="L1608" i="21"/>
  <c r="K1608" i="21"/>
  <c r="H1608" i="21"/>
  <c r="M1608" i="21" s="1"/>
  <c r="G1608" i="21"/>
  <c r="I1608" i="21" s="1"/>
  <c r="AB1607" i="21"/>
  <c r="V1607" i="21"/>
  <c r="W1607" i="21" s="1"/>
  <c r="L1607" i="21"/>
  <c r="K1607" i="21"/>
  <c r="H1607" i="21"/>
  <c r="M1607" i="21" s="1"/>
  <c r="G1607" i="21"/>
  <c r="I1607" i="21" s="1"/>
  <c r="AB1606" i="21"/>
  <c r="V1606" i="21"/>
  <c r="W1606" i="21" s="1"/>
  <c r="L1606" i="21"/>
  <c r="K1606" i="21"/>
  <c r="H1606" i="21"/>
  <c r="M1606" i="21" s="1"/>
  <c r="G1606" i="21"/>
  <c r="I1606" i="21" s="1"/>
  <c r="AB1605" i="21"/>
  <c r="V1605" i="21"/>
  <c r="W1605" i="21" s="1"/>
  <c r="L1605" i="21"/>
  <c r="K1605" i="21"/>
  <c r="H1605" i="21"/>
  <c r="M1605" i="21" s="1"/>
  <c r="G1605" i="21"/>
  <c r="I1605" i="21" s="1"/>
  <c r="AB1604" i="21"/>
  <c r="V1604" i="21"/>
  <c r="W1604" i="21" s="1"/>
  <c r="L1604" i="21"/>
  <c r="K1604" i="21"/>
  <c r="H1604" i="21"/>
  <c r="M1604" i="21" s="1"/>
  <c r="G1604" i="21"/>
  <c r="I1604" i="21" s="1"/>
  <c r="AB1603" i="21"/>
  <c r="V1603" i="21"/>
  <c r="W1603" i="21" s="1"/>
  <c r="L1603" i="21"/>
  <c r="K1603" i="21"/>
  <c r="H1603" i="21"/>
  <c r="M1603" i="21" s="1"/>
  <c r="G1603" i="21"/>
  <c r="I1603" i="21" s="1"/>
  <c r="AB1602" i="21"/>
  <c r="V1602" i="21"/>
  <c r="W1602" i="21" s="1"/>
  <c r="L1602" i="21"/>
  <c r="K1602" i="21"/>
  <c r="H1602" i="21"/>
  <c r="M1602" i="21" s="1"/>
  <c r="G1602" i="21"/>
  <c r="I1602" i="21" s="1"/>
  <c r="AB1601" i="21"/>
  <c r="V1601" i="21"/>
  <c r="W1601" i="21" s="1"/>
  <c r="L1601" i="21"/>
  <c r="K1601" i="21"/>
  <c r="H1601" i="21"/>
  <c r="M1601" i="21" s="1"/>
  <c r="G1601" i="21"/>
  <c r="I1601" i="21" s="1"/>
  <c r="AB1600" i="21"/>
  <c r="V1600" i="21"/>
  <c r="W1600" i="21" s="1"/>
  <c r="L1600" i="21"/>
  <c r="K1600" i="21"/>
  <c r="H1600" i="21"/>
  <c r="M1600" i="21" s="1"/>
  <c r="G1600" i="21"/>
  <c r="I1600" i="21" s="1"/>
  <c r="AB1599" i="21"/>
  <c r="V1599" i="21"/>
  <c r="W1599" i="21" s="1"/>
  <c r="L1599" i="21"/>
  <c r="K1599" i="21"/>
  <c r="H1599" i="21"/>
  <c r="M1599" i="21" s="1"/>
  <c r="G1599" i="21"/>
  <c r="I1599" i="21" s="1"/>
  <c r="AB1598" i="21"/>
  <c r="V1598" i="21"/>
  <c r="W1598" i="21" s="1"/>
  <c r="L1598" i="21"/>
  <c r="K1598" i="21"/>
  <c r="H1598" i="21"/>
  <c r="M1598" i="21" s="1"/>
  <c r="G1598" i="21"/>
  <c r="I1598" i="21" s="1"/>
  <c r="AB1597" i="21"/>
  <c r="V1597" i="21"/>
  <c r="W1597" i="21" s="1"/>
  <c r="L1597" i="21"/>
  <c r="K1597" i="21"/>
  <c r="H1597" i="21"/>
  <c r="M1597" i="21" s="1"/>
  <c r="G1597" i="21"/>
  <c r="I1597" i="21" s="1"/>
  <c r="AB1596" i="21"/>
  <c r="V1596" i="21"/>
  <c r="W1596" i="21" s="1"/>
  <c r="L1596" i="21"/>
  <c r="K1596" i="21"/>
  <c r="H1596" i="21"/>
  <c r="M1596" i="21" s="1"/>
  <c r="G1596" i="21"/>
  <c r="I1596" i="21" s="1"/>
  <c r="AB1595" i="21"/>
  <c r="V1595" i="21"/>
  <c r="W1595" i="21" s="1"/>
  <c r="L1595" i="21"/>
  <c r="K1595" i="21"/>
  <c r="H1595" i="21"/>
  <c r="M1595" i="21" s="1"/>
  <c r="G1595" i="21"/>
  <c r="I1595" i="21" s="1"/>
  <c r="AB1594" i="21"/>
  <c r="V1594" i="21"/>
  <c r="W1594" i="21" s="1"/>
  <c r="L1594" i="21"/>
  <c r="K1594" i="21"/>
  <c r="H1594" i="21"/>
  <c r="M1594" i="21" s="1"/>
  <c r="G1594" i="21"/>
  <c r="I1594" i="21" s="1"/>
  <c r="AB1593" i="21"/>
  <c r="V1593" i="21"/>
  <c r="W1593" i="21" s="1"/>
  <c r="L1593" i="21"/>
  <c r="K1593" i="21"/>
  <c r="H1593" i="21"/>
  <c r="M1593" i="21" s="1"/>
  <c r="G1593" i="21"/>
  <c r="I1593" i="21" s="1"/>
  <c r="AB1592" i="21"/>
  <c r="V1592" i="21"/>
  <c r="W1592" i="21" s="1"/>
  <c r="L1592" i="21"/>
  <c r="K1592" i="21"/>
  <c r="H1592" i="21"/>
  <c r="G1592" i="21"/>
  <c r="I1592" i="21" s="1"/>
  <c r="AB1591" i="21"/>
  <c r="V1591" i="21"/>
  <c r="W1591" i="21" s="1"/>
  <c r="L1591" i="21"/>
  <c r="K1591" i="21"/>
  <c r="H1591" i="21"/>
  <c r="M1591" i="21" s="1"/>
  <c r="G1591" i="21"/>
  <c r="I1591" i="21" s="1"/>
  <c r="AB1590" i="21"/>
  <c r="V1590" i="21"/>
  <c r="W1590" i="21" s="1"/>
  <c r="L1590" i="21"/>
  <c r="K1590" i="21"/>
  <c r="H1590" i="21"/>
  <c r="G1590" i="21"/>
  <c r="I1590" i="21" s="1"/>
  <c r="AB1589" i="21"/>
  <c r="V1589" i="21"/>
  <c r="W1589" i="21" s="1"/>
  <c r="L1589" i="21"/>
  <c r="K1589" i="21"/>
  <c r="H1589" i="21"/>
  <c r="M1589" i="21" s="1"/>
  <c r="G1589" i="21"/>
  <c r="I1589" i="21" s="1"/>
  <c r="AB1588" i="21"/>
  <c r="V1588" i="21"/>
  <c r="W1588" i="21" s="1"/>
  <c r="L1588" i="21"/>
  <c r="K1588" i="21"/>
  <c r="H1588" i="21"/>
  <c r="M1588" i="21" s="1"/>
  <c r="G1588" i="21"/>
  <c r="I1588" i="21" s="1"/>
  <c r="AB1587" i="21"/>
  <c r="V1587" i="21"/>
  <c r="W1587" i="21" s="1"/>
  <c r="L1587" i="21"/>
  <c r="K1587" i="21"/>
  <c r="H1587" i="21"/>
  <c r="M1587" i="21" s="1"/>
  <c r="G1587" i="21"/>
  <c r="I1587" i="21" s="1"/>
  <c r="AB1586" i="21"/>
  <c r="V1586" i="21"/>
  <c r="W1586" i="21" s="1"/>
  <c r="L1586" i="21"/>
  <c r="K1586" i="21"/>
  <c r="H1586" i="21"/>
  <c r="M1586" i="21" s="1"/>
  <c r="G1586" i="21"/>
  <c r="I1586" i="21" s="1"/>
  <c r="AB1585" i="21"/>
  <c r="V1585" i="21"/>
  <c r="W1585" i="21" s="1"/>
  <c r="L1585" i="21"/>
  <c r="K1585" i="21"/>
  <c r="H1585" i="21"/>
  <c r="M1585" i="21" s="1"/>
  <c r="G1585" i="21"/>
  <c r="I1585" i="21" s="1"/>
  <c r="AB1584" i="21"/>
  <c r="V1584" i="21"/>
  <c r="W1584" i="21" s="1"/>
  <c r="L1584" i="21"/>
  <c r="K1584" i="21"/>
  <c r="H1584" i="21"/>
  <c r="M1584" i="21" s="1"/>
  <c r="G1584" i="21"/>
  <c r="I1584" i="21" s="1"/>
  <c r="AB1583" i="21"/>
  <c r="V1583" i="21"/>
  <c r="W1583" i="21" s="1"/>
  <c r="L1583" i="21"/>
  <c r="K1583" i="21"/>
  <c r="H1583" i="21"/>
  <c r="M1583" i="21" s="1"/>
  <c r="G1583" i="21"/>
  <c r="I1583" i="21" s="1"/>
  <c r="AB1582" i="21"/>
  <c r="V1582" i="21"/>
  <c r="W1582" i="21" s="1"/>
  <c r="L1582" i="21"/>
  <c r="K1582" i="21"/>
  <c r="H1582" i="21"/>
  <c r="M1582" i="21" s="1"/>
  <c r="G1582" i="21"/>
  <c r="I1582" i="21" s="1"/>
  <c r="AB1581" i="21"/>
  <c r="V1581" i="21"/>
  <c r="W1581" i="21" s="1"/>
  <c r="L1581" i="21"/>
  <c r="K1581" i="21"/>
  <c r="H1581" i="21"/>
  <c r="M1581" i="21" s="1"/>
  <c r="G1581" i="21"/>
  <c r="I1581" i="21" s="1"/>
  <c r="AB1580" i="21"/>
  <c r="V1580" i="21"/>
  <c r="W1580" i="21" s="1"/>
  <c r="L1580" i="21"/>
  <c r="K1580" i="21"/>
  <c r="H1580" i="21"/>
  <c r="M1580" i="21" s="1"/>
  <c r="G1580" i="21"/>
  <c r="I1580" i="21" s="1"/>
  <c r="AB1579" i="21"/>
  <c r="V1579" i="21"/>
  <c r="W1579" i="21" s="1"/>
  <c r="L1579" i="21"/>
  <c r="K1579" i="21"/>
  <c r="H1579" i="21"/>
  <c r="M1579" i="21" s="1"/>
  <c r="G1579" i="21"/>
  <c r="I1579" i="21" s="1"/>
  <c r="AB1578" i="21"/>
  <c r="V1578" i="21"/>
  <c r="W1578" i="21" s="1"/>
  <c r="L1578" i="21"/>
  <c r="K1578" i="21"/>
  <c r="H1578" i="21"/>
  <c r="M1578" i="21" s="1"/>
  <c r="G1578" i="21"/>
  <c r="I1578" i="21" s="1"/>
  <c r="AB1577" i="21"/>
  <c r="V1577" i="21"/>
  <c r="W1577" i="21" s="1"/>
  <c r="L1577" i="21"/>
  <c r="K1577" i="21"/>
  <c r="H1577" i="21"/>
  <c r="M1577" i="21" s="1"/>
  <c r="G1577" i="21"/>
  <c r="I1577" i="21" s="1"/>
  <c r="AB1576" i="21"/>
  <c r="V1576" i="21"/>
  <c r="W1576" i="21" s="1"/>
  <c r="L1576" i="21"/>
  <c r="K1576" i="21"/>
  <c r="H1576" i="21"/>
  <c r="M1576" i="21" s="1"/>
  <c r="G1576" i="21"/>
  <c r="I1576" i="21" s="1"/>
  <c r="AB1575" i="21"/>
  <c r="V1575" i="21"/>
  <c r="W1575" i="21" s="1"/>
  <c r="L1575" i="21"/>
  <c r="K1575" i="21"/>
  <c r="H1575" i="21"/>
  <c r="M1575" i="21" s="1"/>
  <c r="G1575" i="21"/>
  <c r="I1575" i="21" s="1"/>
  <c r="AB1574" i="21"/>
  <c r="V1574" i="21"/>
  <c r="W1574" i="21" s="1"/>
  <c r="L1574" i="21"/>
  <c r="K1574" i="21"/>
  <c r="H1574" i="21"/>
  <c r="G1574" i="21"/>
  <c r="I1574" i="21" s="1"/>
  <c r="AB1573" i="21"/>
  <c r="V1573" i="21"/>
  <c r="W1573" i="21" s="1"/>
  <c r="L1573" i="21"/>
  <c r="K1573" i="21"/>
  <c r="H1573" i="21"/>
  <c r="M1573" i="21" s="1"/>
  <c r="G1573" i="21"/>
  <c r="I1573" i="21" s="1"/>
  <c r="AB1572" i="21"/>
  <c r="V1572" i="21"/>
  <c r="W1572" i="21" s="1"/>
  <c r="L1572" i="21"/>
  <c r="K1572" i="21"/>
  <c r="H1572" i="21"/>
  <c r="G1572" i="21"/>
  <c r="I1572" i="21" s="1"/>
  <c r="AB1571" i="21"/>
  <c r="V1571" i="21"/>
  <c r="W1571" i="21" s="1"/>
  <c r="L1571" i="21"/>
  <c r="K1571" i="21"/>
  <c r="H1571" i="21"/>
  <c r="M1571" i="21" s="1"/>
  <c r="G1571" i="21"/>
  <c r="I1571" i="21" s="1"/>
  <c r="AB1570" i="21"/>
  <c r="V1570" i="21"/>
  <c r="W1570" i="21" s="1"/>
  <c r="L1570" i="21"/>
  <c r="K1570" i="21"/>
  <c r="H1570" i="21"/>
  <c r="M1570" i="21" s="1"/>
  <c r="G1570" i="21"/>
  <c r="I1570" i="21" s="1"/>
  <c r="AB1569" i="21"/>
  <c r="V1569" i="21"/>
  <c r="W1569" i="21" s="1"/>
  <c r="L1569" i="21"/>
  <c r="K1569" i="21"/>
  <c r="H1569" i="21"/>
  <c r="M1569" i="21" s="1"/>
  <c r="G1569" i="21"/>
  <c r="I1569" i="21" s="1"/>
  <c r="AB1568" i="21"/>
  <c r="V1568" i="21"/>
  <c r="W1568" i="21" s="1"/>
  <c r="L1568" i="21"/>
  <c r="K1568" i="21"/>
  <c r="H1568" i="21"/>
  <c r="M1568" i="21" s="1"/>
  <c r="G1568" i="21"/>
  <c r="I1568" i="21" s="1"/>
  <c r="AB1567" i="21"/>
  <c r="V1567" i="21"/>
  <c r="W1567" i="21" s="1"/>
  <c r="L1567" i="21"/>
  <c r="K1567" i="21"/>
  <c r="H1567" i="21"/>
  <c r="M1567" i="21" s="1"/>
  <c r="G1567" i="21"/>
  <c r="I1567" i="21" s="1"/>
  <c r="AB1566" i="21"/>
  <c r="V1566" i="21"/>
  <c r="W1566" i="21" s="1"/>
  <c r="L1566" i="21"/>
  <c r="K1566" i="21"/>
  <c r="H1566" i="21"/>
  <c r="M1566" i="21" s="1"/>
  <c r="G1566" i="21"/>
  <c r="I1566" i="21" s="1"/>
  <c r="AB1565" i="21"/>
  <c r="V1565" i="21"/>
  <c r="W1565" i="21" s="1"/>
  <c r="L1565" i="21"/>
  <c r="K1565" i="21"/>
  <c r="H1565" i="21"/>
  <c r="M1565" i="21" s="1"/>
  <c r="G1565" i="21"/>
  <c r="I1565" i="21" s="1"/>
  <c r="AB1564" i="21"/>
  <c r="V1564" i="21"/>
  <c r="W1564" i="21" s="1"/>
  <c r="L1564" i="21"/>
  <c r="K1564" i="21"/>
  <c r="H1564" i="21"/>
  <c r="M1564" i="21" s="1"/>
  <c r="G1564" i="21"/>
  <c r="I1564" i="21" s="1"/>
  <c r="AB1563" i="21"/>
  <c r="V1563" i="21"/>
  <c r="W1563" i="21" s="1"/>
  <c r="L1563" i="21"/>
  <c r="K1563" i="21"/>
  <c r="H1563" i="21"/>
  <c r="M1563" i="21" s="1"/>
  <c r="G1563" i="21"/>
  <c r="I1563" i="21" s="1"/>
  <c r="AB1562" i="21"/>
  <c r="V1562" i="21"/>
  <c r="W1562" i="21" s="1"/>
  <c r="L1562" i="21"/>
  <c r="K1562" i="21"/>
  <c r="H1562" i="21"/>
  <c r="M1562" i="21" s="1"/>
  <c r="G1562" i="21"/>
  <c r="I1562" i="21" s="1"/>
  <c r="AB1561" i="21"/>
  <c r="V1561" i="21"/>
  <c r="W1561" i="21" s="1"/>
  <c r="L1561" i="21"/>
  <c r="K1561" i="21"/>
  <c r="H1561" i="21"/>
  <c r="M1561" i="21" s="1"/>
  <c r="G1561" i="21"/>
  <c r="I1561" i="21" s="1"/>
  <c r="AB1560" i="21"/>
  <c r="V1560" i="21"/>
  <c r="W1560" i="21" s="1"/>
  <c r="L1560" i="21"/>
  <c r="K1560" i="21"/>
  <c r="H1560" i="21"/>
  <c r="M1560" i="21" s="1"/>
  <c r="G1560" i="21"/>
  <c r="I1560" i="21" s="1"/>
  <c r="AB1559" i="21"/>
  <c r="V1559" i="21"/>
  <c r="W1559" i="21" s="1"/>
  <c r="L1559" i="21"/>
  <c r="K1559" i="21"/>
  <c r="H1559" i="21"/>
  <c r="M1559" i="21" s="1"/>
  <c r="G1559" i="21"/>
  <c r="I1559" i="21" s="1"/>
  <c r="AB1558" i="21"/>
  <c r="V1558" i="21"/>
  <c r="W1558" i="21" s="1"/>
  <c r="L1558" i="21"/>
  <c r="K1558" i="21"/>
  <c r="H1558" i="21"/>
  <c r="G1558" i="21"/>
  <c r="I1558" i="21" s="1"/>
  <c r="AB1557" i="21"/>
  <c r="V1557" i="21"/>
  <c r="W1557" i="21" s="1"/>
  <c r="L1557" i="21"/>
  <c r="K1557" i="21"/>
  <c r="H1557" i="21"/>
  <c r="M1557" i="21" s="1"/>
  <c r="G1557" i="21"/>
  <c r="I1557" i="21" s="1"/>
  <c r="AB1556" i="21"/>
  <c r="V1556" i="21"/>
  <c r="W1556" i="21" s="1"/>
  <c r="L1556" i="21"/>
  <c r="K1556" i="21"/>
  <c r="H1556" i="21"/>
  <c r="M1556" i="21" s="1"/>
  <c r="G1556" i="21"/>
  <c r="I1556" i="21" s="1"/>
  <c r="AB1555" i="21"/>
  <c r="V1555" i="21"/>
  <c r="W1555" i="21" s="1"/>
  <c r="L1555" i="21"/>
  <c r="K1555" i="21"/>
  <c r="H1555" i="21"/>
  <c r="M1555" i="21" s="1"/>
  <c r="G1555" i="21"/>
  <c r="I1555" i="21" s="1"/>
  <c r="AB1554" i="21"/>
  <c r="V1554" i="21"/>
  <c r="W1554" i="21" s="1"/>
  <c r="L1554" i="21"/>
  <c r="K1554" i="21"/>
  <c r="H1554" i="21"/>
  <c r="G1554" i="21"/>
  <c r="I1554" i="21" s="1"/>
  <c r="AB1553" i="21"/>
  <c r="V1553" i="21"/>
  <c r="W1553" i="21" s="1"/>
  <c r="L1553" i="21"/>
  <c r="K1553" i="21"/>
  <c r="H1553" i="21"/>
  <c r="M1553" i="21" s="1"/>
  <c r="G1553" i="21"/>
  <c r="I1553" i="21" s="1"/>
  <c r="AB1552" i="21"/>
  <c r="V1552" i="21"/>
  <c r="W1552" i="21" s="1"/>
  <c r="L1552" i="21"/>
  <c r="K1552" i="21"/>
  <c r="H1552" i="21"/>
  <c r="G1552" i="21"/>
  <c r="I1552" i="21" s="1"/>
  <c r="AB1551" i="21"/>
  <c r="V1551" i="21"/>
  <c r="W1551" i="21" s="1"/>
  <c r="L1551" i="21"/>
  <c r="K1551" i="21"/>
  <c r="H1551" i="21"/>
  <c r="M1551" i="21" s="1"/>
  <c r="G1551" i="21"/>
  <c r="I1551" i="21" s="1"/>
  <c r="AB1550" i="21"/>
  <c r="V1550" i="21"/>
  <c r="W1550" i="21" s="1"/>
  <c r="L1550" i="21"/>
  <c r="K1550" i="21"/>
  <c r="H1550" i="21"/>
  <c r="G1550" i="21"/>
  <c r="I1550" i="21" s="1"/>
  <c r="AB1549" i="21"/>
  <c r="V1549" i="21"/>
  <c r="W1549" i="21" s="1"/>
  <c r="L1549" i="21"/>
  <c r="K1549" i="21"/>
  <c r="H1549" i="21"/>
  <c r="M1549" i="21" s="1"/>
  <c r="G1549" i="21"/>
  <c r="I1549" i="21" s="1"/>
  <c r="AB1548" i="21"/>
  <c r="V1548" i="21"/>
  <c r="W1548" i="21" s="1"/>
  <c r="L1548" i="21"/>
  <c r="K1548" i="21"/>
  <c r="H1548" i="21"/>
  <c r="G1548" i="21"/>
  <c r="I1548" i="21" s="1"/>
  <c r="AB1547" i="21"/>
  <c r="V1547" i="21"/>
  <c r="W1547" i="21" s="1"/>
  <c r="L1547" i="21"/>
  <c r="K1547" i="21"/>
  <c r="H1547" i="21"/>
  <c r="M1547" i="21" s="1"/>
  <c r="G1547" i="21"/>
  <c r="I1547" i="21" s="1"/>
  <c r="AB1546" i="21"/>
  <c r="V1546" i="21"/>
  <c r="W1546" i="21" s="1"/>
  <c r="L1546" i="21"/>
  <c r="K1546" i="21"/>
  <c r="H1546" i="21"/>
  <c r="G1546" i="21"/>
  <c r="I1546" i="21" s="1"/>
  <c r="AB1545" i="21"/>
  <c r="V1545" i="21"/>
  <c r="W1545" i="21" s="1"/>
  <c r="L1545" i="21"/>
  <c r="K1545" i="21"/>
  <c r="H1545" i="21"/>
  <c r="M1545" i="21" s="1"/>
  <c r="G1545" i="21"/>
  <c r="I1545" i="21" s="1"/>
  <c r="AB1544" i="21"/>
  <c r="V1544" i="21"/>
  <c r="W1544" i="21" s="1"/>
  <c r="L1544" i="21"/>
  <c r="K1544" i="21"/>
  <c r="H1544" i="21"/>
  <c r="G1544" i="21"/>
  <c r="I1544" i="21" s="1"/>
  <c r="AB1543" i="21"/>
  <c r="V1543" i="21"/>
  <c r="W1543" i="21" s="1"/>
  <c r="L1543" i="21"/>
  <c r="K1543" i="21"/>
  <c r="H1543" i="21"/>
  <c r="M1543" i="21" s="1"/>
  <c r="G1543" i="21"/>
  <c r="I1543" i="21" s="1"/>
  <c r="AB1542" i="21"/>
  <c r="V1542" i="21"/>
  <c r="W1542" i="21" s="1"/>
  <c r="L1542" i="21"/>
  <c r="K1542" i="21"/>
  <c r="H1542" i="21"/>
  <c r="G1542" i="21"/>
  <c r="I1542" i="21" s="1"/>
  <c r="AB1541" i="21"/>
  <c r="V1541" i="21"/>
  <c r="W1541" i="21" s="1"/>
  <c r="L1541" i="21"/>
  <c r="K1541" i="21"/>
  <c r="H1541" i="21"/>
  <c r="M1541" i="21" s="1"/>
  <c r="G1541" i="21"/>
  <c r="I1541" i="21" s="1"/>
  <c r="AB1540" i="21"/>
  <c r="V1540" i="21"/>
  <c r="W1540" i="21" s="1"/>
  <c r="L1540" i="21"/>
  <c r="K1540" i="21"/>
  <c r="H1540" i="21"/>
  <c r="G1540" i="21"/>
  <c r="I1540" i="21" s="1"/>
  <c r="AB1539" i="21"/>
  <c r="V1539" i="21"/>
  <c r="W1539" i="21" s="1"/>
  <c r="L1539" i="21"/>
  <c r="K1539" i="21"/>
  <c r="H1539" i="21"/>
  <c r="M1539" i="21" s="1"/>
  <c r="G1539" i="21"/>
  <c r="I1539" i="21" s="1"/>
  <c r="AB1538" i="21"/>
  <c r="V1538" i="21"/>
  <c r="W1538" i="21" s="1"/>
  <c r="L1538" i="21"/>
  <c r="K1538" i="21"/>
  <c r="H1538" i="21"/>
  <c r="G1538" i="21"/>
  <c r="I1538" i="21" s="1"/>
  <c r="AB1537" i="21"/>
  <c r="V1537" i="21"/>
  <c r="W1537" i="21" s="1"/>
  <c r="L1537" i="21"/>
  <c r="K1537" i="21"/>
  <c r="H1537" i="21"/>
  <c r="M1537" i="21" s="1"/>
  <c r="G1537" i="21"/>
  <c r="I1537" i="21" s="1"/>
  <c r="AB1536" i="21"/>
  <c r="V1536" i="21"/>
  <c r="W1536" i="21" s="1"/>
  <c r="L1536" i="21"/>
  <c r="K1536" i="21"/>
  <c r="H1536" i="21"/>
  <c r="G1536" i="21"/>
  <c r="I1536" i="21" s="1"/>
  <c r="AB1535" i="21"/>
  <c r="V1535" i="21"/>
  <c r="W1535" i="21" s="1"/>
  <c r="L1535" i="21"/>
  <c r="K1535" i="21"/>
  <c r="H1535" i="21"/>
  <c r="M1535" i="21" s="1"/>
  <c r="G1535" i="21"/>
  <c r="I1535" i="21" s="1"/>
  <c r="AB1534" i="21"/>
  <c r="V1534" i="21"/>
  <c r="W1534" i="21" s="1"/>
  <c r="L1534" i="21"/>
  <c r="K1534" i="21"/>
  <c r="H1534" i="21"/>
  <c r="G1534" i="21"/>
  <c r="I1534" i="21" s="1"/>
  <c r="AB1533" i="21"/>
  <c r="V1533" i="21"/>
  <c r="W1533" i="21" s="1"/>
  <c r="L1533" i="21"/>
  <c r="K1533" i="21"/>
  <c r="H1533" i="21"/>
  <c r="M1533" i="21" s="1"/>
  <c r="G1533" i="21"/>
  <c r="I1533" i="21" s="1"/>
  <c r="AB1532" i="21"/>
  <c r="V1532" i="21"/>
  <c r="W1532" i="21" s="1"/>
  <c r="L1532" i="21"/>
  <c r="K1532" i="21"/>
  <c r="H1532" i="21"/>
  <c r="G1532" i="21"/>
  <c r="I1532" i="21" s="1"/>
  <c r="AB1531" i="21"/>
  <c r="V1531" i="21"/>
  <c r="W1531" i="21" s="1"/>
  <c r="L1531" i="21"/>
  <c r="K1531" i="21"/>
  <c r="H1531" i="21"/>
  <c r="M1531" i="21" s="1"/>
  <c r="G1531" i="21"/>
  <c r="I1531" i="21" s="1"/>
  <c r="AB1530" i="21"/>
  <c r="V1530" i="21"/>
  <c r="W1530" i="21" s="1"/>
  <c r="L1530" i="21"/>
  <c r="K1530" i="21"/>
  <c r="H1530" i="21"/>
  <c r="G1530" i="21"/>
  <c r="I1530" i="21" s="1"/>
  <c r="AB1529" i="21"/>
  <c r="V1529" i="21"/>
  <c r="W1529" i="21" s="1"/>
  <c r="L1529" i="21"/>
  <c r="K1529" i="21"/>
  <c r="H1529" i="21"/>
  <c r="M1529" i="21" s="1"/>
  <c r="G1529" i="21"/>
  <c r="I1529" i="21" s="1"/>
  <c r="AB1528" i="21"/>
  <c r="V1528" i="21"/>
  <c r="W1528" i="21" s="1"/>
  <c r="L1528" i="21"/>
  <c r="K1528" i="21"/>
  <c r="H1528" i="21"/>
  <c r="G1528" i="21"/>
  <c r="I1528" i="21" s="1"/>
  <c r="AB1527" i="21"/>
  <c r="V1527" i="21"/>
  <c r="W1527" i="21" s="1"/>
  <c r="L1527" i="21"/>
  <c r="K1527" i="21"/>
  <c r="H1527" i="21"/>
  <c r="M1527" i="21" s="1"/>
  <c r="G1527" i="21"/>
  <c r="I1527" i="21" s="1"/>
  <c r="AB1526" i="21"/>
  <c r="V1526" i="21"/>
  <c r="W1526" i="21" s="1"/>
  <c r="L1526" i="21"/>
  <c r="K1526" i="21"/>
  <c r="H1526" i="21"/>
  <c r="G1526" i="21"/>
  <c r="I1526" i="21" s="1"/>
  <c r="AB1525" i="21"/>
  <c r="V1525" i="21"/>
  <c r="W1525" i="21" s="1"/>
  <c r="L1525" i="21"/>
  <c r="K1525" i="21"/>
  <c r="H1525" i="21"/>
  <c r="M1525" i="21" s="1"/>
  <c r="G1525" i="21"/>
  <c r="I1525" i="21" s="1"/>
  <c r="AB1524" i="21"/>
  <c r="V1524" i="21"/>
  <c r="W1524" i="21" s="1"/>
  <c r="L1524" i="21"/>
  <c r="K1524" i="21"/>
  <c r="H1524" i="21"/>
  <c r="M1524" i="21" s="1"/>
  <c r="G1524" i="21"/>
  <c r="I1524" i="21" s="1"/>
  <c r="AB1523" i="21"/>
  <c r="V1523" i="21"/>
  <c r="W1523" i="21" s="1"/>
  <c r="L1523" i="21"/>
  <c r="K1523" i="21"/>
  <c r="H1523" i="21"/>
  <c r="M1523" i="21" s="1"/>
  <c r="G1523" i="21"/>
  <c r="I1523" i="21" s="1"/>
  <c r="AB1522" i="21"/>
  <c r="V1522" i="21"/>
  <c r="W1522" i="21" s="1"/>
  <c r="L1522" i="21"/>
  <c r="K1522" i="21"/>
  <c r="H1522" i="21"/>
  <c r="M1522" i="21" s="1"/>
  <c r="G1522" i="21"/>
  <c r="I1522" i="21" s="1"/>
  <c r="AB1521" i="21"/>
  <c r="V1521" i="21"/>
  <c r="W1521" i="21" s="1"/>
  <c r="L1521" i="21"/>
  <c r="K1521" i="21"/>
  <c r="H1521" i="21"/>
  <c r="M1521" i="21" s="1"/>
  <c r="G1521" i="21"/>
  <c r="I1521" i="21" s="1"/>
  <c r="AB1520" i="21"/>
  <c r="V1520" i="21"/>
  <c r="W1520" i="21" s="1"/>
  <c r="L1520" i="21"/>
  <c r="K1520" i="21"/>
  <c r="H1520" i="21"/>
  <c r="M1520" i="21" s="1"/>
  <c r="G1520" i="21"/>
  <c r="I1520" i="21" s="1"/>
  <c r="AB1519" i="21"/>
  <c r="V1519" i="21"/>
  <c r="W1519" i="21" s="1"/>
  <c r="L1519" i="21"/>
  <c r="K1519" i="21"/>
  <c r="H1519" i="21"/>
  <c r="M1519" i="21" s="1"/>
  <c r="G1519" i="21"/>
  <c r="I1519" i="21" s="1"/>
  <c r="AB1518" i="21"/>
  <c r="V1518" i="21"/>
  <c r="W1518" i="21" s="1"/>
  <c r="L1518" i="21"/>
  <c r="K1518" i="21"/>
  <c r="H1518" i="21"/>
  <c r="M1518" i="21" s="1"/>
  <c r="G1518" i="21"/>
  <c r="I1518" i="21" s="1"/>
  <c r="AB1517" i="21"/>
  <c r="V1517" i="21"/>
  <c r="W1517" i="21" s="1"/>
  <c r="L1517" i="21"/>
  <c r="K1517" i="21"/>
  <c r="H1517" i="21"/>
  <c r="M1517" i="21" s="1"/>
  <c r="G1517" i="21"/>
  <c r="I1517" i="21" s="1"/>
  <c r="AB1516" i="21"/>
  <c r="V1516" i="21"/>
  <c r="W1516" i="21" s="1"/>
  <c r="L1516" i="21"/>
  <c r="K1516" i="21"/>
  <c r="H1516" i="21"/>
  <c r="M1516" i="21" s="1"/>
  <c r="G1516" i="21"/>
  <c r="I1516" i="21" s="1"/>
  <c r="AB1515" i="21"/>
  <c r="V1515" i="21"/>
  <c r="W1515" i="21" s="1"/>
  <c r="L1515" i="21"/>
  <c r="K1515" i="21"/>
  <c r="H1515" i="21"/>
  <c r="M1515" i="21" s="1"/>
  <c r="G1515" i="21"/>
  <c r="I1515" i="21" s="1"/>
  <c r="AB1514" i="21"/>
  <c r="V1514" i="21"/>
  <c r="W1514" i="21" s="1"/>
  <c r="L1514" i="21"/>
  <c r="K1514" i="21"/>
  <c r="H1514" i="21"/>
  <c r="M1514" i="21" s="1"/>
  <c r="G1514" i="21"/>
  <c r="I1514" i="21" s="1"/>
  <c r="AB1513" i="21"/>
  <c r="V1513" i="21"/>
  <c r="W1513" i="21" s="1"/>
  <c r="L1513" i="21"/>
  <c r="K1513" i="21"/>
  <c r="H1513" i="21"/>
  <c r="M1513" i="21" s="1"/>
  <c r="G1513" i="21"/>
  <c r="I1513" i="21" s="1"/>
  <c r="AB1512" i="21"/>
  <c r="V1512" i="21"/>
  <c r="W1512" i="21" s="1"/>
  <c r="L1512" i="21"/>
  <c r="K1512" i="21"/>
  <c r="H1512" i="21"/>
  <c r="M1512" i="21" s="1"/>
  <c r="G1512" i="21"/>
  <c r="I1512" i="21" s="1"/>
  <c r="AB1511" i="21"/>
  <c r="V1511" i="21"/>
  <c r="W1511" i="21" s="1"/>
  <c r="L1511" i="21"/>
  <c r="K1511" i="21"/>
  <c r="H1511" i="21"/>
  <c r="M1511" i="21" s="1"/>
  <c r="G1511" i="21"/>
  <c r="I1511" i="21" s="1"/>
  <c r="AB1510" i="21"/>
  <c r="V1510" i="21"/>
  <c r="W1510" i="21" s="1"/>
  <c r="L1510" i="21"/>
  <c r="K1510" i="21"/>
  <c r="H1510" i="21"/>
  <c r="M1510" i="21" s="1"/>
  <c r="G1510" i="21"/>
  <c r="I1510" i="21" s="1"/>
  <c r="AB1509" i="21"/>
  <c r="V1509" i="21"/>
  <c r="W1509" i="21" s="1"/>
  <c r="L1509" i="21"/>
  <c r="K1509" i="21"/>
  <c r="H1509" i="21"/>
  <c r="M1509" i="21" s="1"/>
  <c r="G1509" i="21"/>
  <c r="I1509" i="21" s="1"/>
  <c r="AB1508" i="21"/>
  <c r="V1508" i="21"/>
  <c r="W1508" i="21" s="1"/>
  <c r="L1508" i="21"/>
  <c r="K1508" i="21"/>
  <c r="H1508" i="21"/>
  <c r="M1508" i="21" s="1"/>
  <c r="G1508" i="21"/>
  <c r="I1508" i="21" s="1"/>
  <c r="AB1507" i="21"/>
  <c r="V1507" i="21"/>
  <c r="W1507" i="21" s="1"/>
  <c r="L1507" i="21"/>
  <c r="K1507" i="21"/>
  <c r="H1507" i="21"/>
  <c r="M1507" i="21" s="1"/>
  <c r="G1507" i="21"/>
  <c r="I1507" i="21" s="1"/>
  <c r="AB1506" i="21"/>
  <c r="V1506" i="21"/>
  <c r="W1506" i="21" s="1"/>
  <c r="L1506" i="21"/>
  <c r="K1506" i="21"/>
  <c r="H1506" i="21"/>
  <c r="M1506" i="21" s="1"/>
  <c r="G1506" i="21"/>
  <c r="I1506" i="21" s="1"/>
  <c r="AB1505" i="21"/>
  <c r="V1505" i="21"/>
  <c r="W1505" i="21" s="1"/>
  <c r="L1505" i="21"/>
  <c r="K1505" i="21"/>
  <c r="H1505" i="21"/>
  <c r="M1505" i="21" s="1"/>
  <c r="G1505" i="21"/>
  <c r="I1505" i="21" s="1"/>
  <c r="AB1504" i="21"/>
  <c r="V1504" i="21"/>
  <c r="W1504" i="21" s="1"/>
  <c r="L1504" i="21"/>
  <c r="K1504" i="21"/>
  <c r="H1504" i="21"/>
  <c r="M1504" i="21" s="1"/>
  <c r="G1504" i="21"/>
  <c r="I1504" i="21" s="1"/>
  <c r="AB1503" i="21"/>
  <c r="V1503" i="21"/>
  <c r="W1503" i="21" s="1"/>
  <c r="L1503" i="21"/>
  <c r="K1503" i="21"/>
  <c r="H1503" i="21"/>
  <c r="M1503" i="21" s="1"/>
  <c r="G1503" i="21"/>
  <c r="I1503" i="21" s="1"/>
  <c r="AB1502" i="21"/>
  <c r="V1502" i="21"/>
  <c r="W1502" i="21" s="1"/>
  <c r="L1502" i="21"/>
  <c r="K1502" i="21"/>
  <c r="H1502" i="21"/>
  <c r="M1502" i="21" s="1"/>
  <c r="G1502" i="21"/>
  <c r="I1502" i="21" s="1"/>
  <c r="AB1501" i="21"/>
  <c r="V1501" i="21"/>
  <c r="W1501" i="21" s="1"/>
  <c r="L1501" i="21"/>
  <c r="K1501" i="21"/>
  <c r="H1501" i="21"/>
  <c r="M1501" i="21" s="1"/>
  <c r="G1501" i="21"/>
  <c r="I1501" i="21" s="1"/>
  <c r="AB1500" i="21"/>
  <c r="V1500" i="21"/>
  <c r="W1500" i="21" s="1"/>
  <c r="L1500" i="21"/>
  <c r="K1500" i="21"/>
  <c r="H1500" i="21"/>
  <c r="M1500" i="21" s="1"/>
  <c r="G1500" i="21"/>
  <c r="I1500" i="21" s="1"/>
  <c r="AB1499" i="21"/>
  <c r="V1499" i="21"/>
  <c r="W1499" i="21" s="1"/>
  <c r="L1499" i="21"/>
  <c r="K1499" i="21"/>
  <c r="H1499" i="21"/>
  <c r="M1499" i="21" s="1"/>
  <c r="G1499" i="21"/>
  <c r="I1499" i="21" s="1"/>
  <c r="AB1498" i="21"/>
  <c r="V1498" i="21"/>
  <c r="W1498" i="21" s="1"/>
  <c r="L1498" i="21"/>
  <c r="K1498" i="21"/>
  <c r="H1498" i="21"/>
  <c r="M1498" i="21" s="1"/>
  <c r="G1498" i="21"/>
  <c r="I1498" i="21" s="1"/>
  <c r="AB1497" i="21"/>
  <c r="V1497" i="21"/>
  <c r="W1497" i="21" s="1"/>
  <c r="L1497" i="21"/>
  <c r="K1497" i="21"/>
  <c r="H1497" i="21"/>
  <c r="M1497" i="21" s="1"/>
  <c r="G1497" i="21"/>
  <c r="I1497" i="21" s="1"/>
  <c r="AB1496" i="21"/>
  <c r="V1496" i="21"/>
  <c r="W1496" i="21" s="1"/>
  <c r="L1496" i="21"/>
  <c r="K1496" i="21"/>
  <c r="H1496" i="21"/>
  <c r="M1496" i="21" s="1"/>
  <c r="G1496" i="21"/>
  <c r="I1496" i="21" s="1"/>
  <c r="AB1495" i="21"/>
  <c r="V1495" i="21"/>
  <c r="W1495" i="21" s="1"/>
  <c r="L1495" i="21"/>
  <c r="K1495" i="21"/>
  <c r="H1495" i="21"/>
  <c r="M1495" i="21" s="1"/>
  <c r="G1495" i="21"/>
  <c r="I1495" i="21" s="1"/>
  <c r="AB1494" i="21"/>
  <c r="V1494" i="21"/>
  <c r="W1494" i="21" s="1"/>
  <c r="L1494" i="21"/>
  <c r="K1494" i="21"/>
  <c r="H1494" i="21"/>
  <c r="M1494" i="21" s="1"/>
  <c r="G1494" i="21"/>
  <c r="I1494" i="21" s="1"/>
  <c r="AB1493" i="21"/>
  <c r="V1493" i="21"/>
  <c r="W1493" i="21" s="1"/>
  <c r="L1493" i="21"/>
  <c r="K1493" i="21"/>
  <c r="H1493" i="21"/>
  <c r="M1493" i="21" s="1"/>
  <c r="G1493" i="21"/>
  <c r="I1493" i="21" s="1"/>
  <c r="AB1492" i="21"/>
  <c r="V1492" i="21"/>
  <c r="W1492" i="21" s="1"/>
  <c r="L1492" i="21"/>
  <c r="K1492" i="21"/>
  <c r="H1492" i="21"/>
  <c r="G1492" i="21"/>
  <c r="I1492" i="21" s="1"/>
  <c r="AB1491" i="21"/>
  <c r="V1491" i="21"/>
  <c r="W1491" i="21" s="1"/>
  <c r="L1491" i="21"/>
  <c r="K1491" i="21"/>
  <c r="H1491" i="21"/>
  <c r="M1491" i="21" s="1"/>
  <c r="G1491" i="21"/>
  <c r="I1491" i="21" s="1"/>
  <c r="AB1490" i="21"/>
  <c r="V1490" i="21"/>
  <c r="W1490" i="21" s="1"/>
  <c r="L1490" i="21"/>
  <c r="K1490" i="21"/>
  <c r="H1490" i="21"/>
  <c r="G1490" i="21"/>
  <c r="I1490" i="21" s="1"/>
  <c r="AB1489" i="21"/>
  <c r="V1489" i="21"/>
  <c r="W1489" i="21" s="1"/>
  <c r="L1489" i="21"/>
  <c r="K1489" i="21"/>
  <c r="H1489" i="21"/>
  <c r="M1489" i="21" s="1"/>
  <c r="G1489" i="21"/>
  <c r="I1489" i="21" s="1"/>
  <c r="AB1488" i="21"/>
  <c r="V1488" i="21"/>
  <c r="W1488" i="21" s="1"/>
  <c r="L1488" i="21"/>
  <c r="K1488" i="21"/>
  <c r="H1488" i="21"/>
  <c r="G1488" i="21"/>
  <c r="I1488" i="21" s="1"/>
  <c r="AB1487" i="21"/>
  <c r="V1487" i="21"/>
  <c r="W1487" i="21" s="1"/>
  <c r="L1487" i="21"/>
  <c r="K1487" i="21"/>
  <c r="H1487" i="21"/>
  <c r="M1487" i="21" s="1"/>
  <c r="G1487" i="21"/>
  <c r="I1487" i="21" s="1"/>
  <c r="AB1486" i="21"/>
  <c r="V1486" i="21"/>
  <c r="W1486" i="21" s="1"/>
  <c r="L1486" i="21"/>
  <c r="K1486" i="21"/>
  <c r="H1486" i="21"/>
  <c r="G1486" i="21"/>
  <c r="I1486" i="21" s="1"/>
  <c r="AB1485" i="21"/>
  <c r="V1485" i="21"/>
  <c r="W1485" i="21" s="1"/>
  <c r="L1485" i="21"/>
  <c r="K1485" i="21"/>
  <c r="H1485" i="21"/>
  <c r="M1485" i="21" s="1"/>
  <c r="G1485" i="21"/>
  <c r="I1485" i="21" s="1"/>
  <c r="AB1484" i="21"/>
  <c r="V1484" i="21"/>
  <c r="W1484" i="21" s="1"/>
  <c r="L1484" i="21"/>
  <c r="K1484" i="21"/>
  <c r="H1484" i="21"/>
  <c r="G1484" i="21"/>
  <c r="I1484" i="21" s="1"/>
  <c r="AB1483" i="21"/>
  <c r="V1483" i="21"/>
  <c r="W1483" i="21" s="1"/>
  <c r="L1483" i="21"/>
  <c r="K1483" i="21"/>
  <c r="H1483" i="21"/>
  <c r="M1483" i="21" s="1"/>
  <c r="G1483" i="21"/>
  <c r="I1483" i="21" s="1"/>
  <c r="AB1482" i="21"/>
  <c r="V1482" i="21"/>
  <c r="W1482" i="21" s="1"/>
  <c r="L1482" i="21"/>
  <c r="K1482" i="21"/>
  <c r="H1482" i="21"/>
  <c r="G1482" i="21"/>
  <c r="I1482" i="21" s="1"/>
  <c r="AB1481" i="21"/>
  <c r="V1481" i="21"/>
  <c r="W1481" i="21" s="1"/>
  <c r="L1481" i="21"/>
  <c r="K1481" i="21"/>
  <c r="H1481" i="21"/>
  <c r="M1481" i="21" s="1"/>
  <c r="G1481" i="21"/>
  <c r="I1481" i="21" s="1"/>
  <c r="AB1480" i="21"/>
  <c r="V1480" i="21"/>
  <c r="W1480" i="21" s="1"/>
  <c r="L1480" i="21"/>
  <c r="K1480" i="21"/>
  <c r="H1480" i="21"/>
  <c r="G1480" i="21"/>
  <c r="I1480" i="21" s="1"/>
  <c r="AB1479" i="21"/>
  <c r="V1479" i="21"/>
  <c r="W1479" i="21" s="1"/>
  <c r="L1479" i="21"/>
  <c r="K1479" i="21"/>
  <c r="H1479" i="21"/>
  <c r="M1479" i="21" s="1"/>
  <c r="G1479" i="21"/>
  <c r="I1479" i="21" s="1"/>
  <c r="AB1478" i="21"/>
  <c r="V1478" i="21"/>
  <c r="W1478" i="21" s="1"/>
  <c r="L1478" i="21"/>
  <c r="K1478" i="21"/>
  <c r="H1478" i="21"/>
  <c r="G1478" i="21"/>
  <c r="I1478" i="21" s="1"/>
  <c r="AB1477" i="21"/>
  <c r="V1477" i="21"/>
  <c r="W1477" i="21" s="1"/>
  <c r="L1477" i="21"/>
  <c r="K1477" i="21"/>
  <c r="H1477" i="21"/>
  <c r="M1477" i="21" s="1"/>
  <c r="G1477" i="21"/>
  <c r="I1477" i="21" s="1"/>
  <c r="AB1476" i="21"/>
  <c r="V1476" i="21"/>
  <c r="W1476" i="21" s="1"/>
  <c r="L1476" i="21"/>
  <c r="K1476" i="21"/>
  <c r="H1476" i="21"/>
  <c r="G1476" i="21"/>
  <c r="I1476" i="21" s="1"/>
  <c r="AB1475" i="21"/>
  <c r="V1475" i="21"/>
  <c r="W1475" i="21" s="1"/>
  <c r="L1475" i="21"/>
  <c r="K1475" i="21"/>
  <c r="H1475" i="21"/>
  <c r="M1475" i="21" s="1"/>
  <c r="G1475" i="21"/>
  <c r="I1475" i="21" s="1"/>
  <c r="AB1474" i="21"/>
  <c r="V1474" i="21"/>
  <c r="W1474" i="21" s="1"/>
  <c r="L1474" i="21"/>
  <c r="K1474" i="21"/>
  <c r="H1474" i="21"/>
  <c r="M1474" i="21" s="1"/>
  <c r="G1474" i="21"/>
  <c r="I1474" i="21" s="1"/>
  <c r="AB1473" i="21"/>
  <c r="V1473" i="21"/>
  <c r="W1473" i="21" s="1"/>
  <c r="L1473" i="21"/>
  <c r="K1473" i="21"/>
  <c r="H1473" i="21"/>
  <c r="G1473" i="21"/>
  <c r="I1473" i="21" s="1"/>
  <c r="AB1472" i="21"/>
  <c r="V1472" i="21"/>
  <c r="W1472" i="21" s="1"/>
  <c r="L1472" i="21"/>
  <c r="K1472" i="21"/>
  <c r="H1472" i="21"/>
  <c r="M1472" i="21" s="1"/>
  <c r="G1472" i="21"/>
  <c r="I1472" i="21" s="1"/>
  <c r="AB1471" i="21"/>
  <c r="V1471" i="21"/>
  <c r="W1471" i="21" s="1"/>
  <c r="L1471" i="21"/>
  <c r="K1471" i="21"/>
  <c r="H1471" i="21"/>
  <c r="G1471" i="21"/>
  <c r="I1471" i="21" s="1"/>
  <c r="AB1470" i="21"/>
  <c r="V1470" i="21"/>
  <c r="W1470" i="21" s="1"/>
  <c r="L1470" i="21"/>
  <c r="K1470" i="21"/>
  <c r="H1470" i="21"/>
  <c r="M1470" i="21" s="1"/>
  <c r="G1470" i="21"/>
  <c r="I1470" i="21" s="1"/>
  <c r="AB1469" i="21"/>
  <c r="V1469" i="21"/>
  <c r="W1469" i="21" s="1"/>
  <c r="L1469" i="21"/>
  <c r="K1469" i="21"/>
  <c r="H1469" i="21"/>
  <c r="G1469" i="21"/>
  <c r="I1469" i="21" s="1"/>
  <c r="AB1468" i="21"/>
  <c r="V1468" i="21"/>
  <c r="W1468" i="21" s="1"/>
  <c r="L1468" i="21"/>
  <c r="K1468" i="21"/>
  <c r="H1468" i="21"/>
  <c r="M1468" i="21" s="1"/>
  <c r="G1468" i="21"/>
  <c r="I1468" i="21" s="1"/>
  <c r="AB1467" i="21"/>
  <c r="V1467" i="21"/>
  <c r="W1467" i="21" s="1"/>
  <c r="L1467" i="21"/>
  <c r="K1467" i="21"/>
  <c r="H1467" i="21"/>
  <c r="G1467" i="21"/>
  <c r="I1467" i="21" s="1"/>
  <c r="AB1466" i="21"/>
  <c r="V1466" i="21"/>
  <c r="W1466" i="21" s="1"/>
  <c r="L1466" i="21"/>
  <c r="K1466" i="21"/>
  <c r="H1466" i="21"/>
  <c r="M1466" i="21" s="1"/>
  <c r="G1466" i="21"/>
  <c r="I1466" i="21" s="1"/>
  <c r="AB1465" i="21"/>
  <c r="V1465" i="21"/>
  <c r="W1465" i="21" s="1"/>
  <c r="L1465" i="21"/>
  <c r="K1465" i="21"/>
  <c r="H1465" i="21"/>
  <c r="G1465" i="21"/>
  <c r="I1465" i="21" s="1"/>
  <c r="AB1464" i="21"/>
  <c r="V1464" i="21"/>
  <c r="W1464" i="21" s="1"/>
  <c r="L1464" i="21"/>
  <c r="K1464" i="21"/>
  <c r="H1464" i="21"/>
  <c r="M1464" i="21" s="1"/>
  <c r="G1464" i="21"/>
  <c r="I1464" i="21" s="1"/>
  <c r="AB1463" i="21"/>
  <c r="V1463" i="21"/>
  <c r="W1463" i="21" s="1"/>
  <c r="L1463" i="21"/>
  <c r="K1463" i="21"/>
  <c r="H1463" i="21"/>
  <c r="G1463" i="21"/>
  <c r="I1463" i="21" s="1"/>
  <c r="AB1462" i="21"/>
  <c r="V1462" i="21"/>
  <c r="W1462" i="21" s="1"/>
  <c r="L1462" i="21"/>
  <c r="K1462" i="21"/>
  <c r="H1462" i="21"/>
  <c r="M1462" i="21" s="1"/>
  <c r="G1462" i="21"/>
  <c r="I1462" i="21" s="1"/>
  <c r="AB1461" i="21"/>
  <c r="V1461" i="21"/>
  <c r="W1461" i="21" s="1"/>
  <c r="L1461" i="21"/>
  <c r="K1461" i="21"/>
  <c r="H1461" i="21"/>
  <c r="G1461" i="21"/>
  <c r="I1461" i="21" s="1"/>
  <c r="AB1460" i="21"/>
  <c r="V1460" i="21"/>
  <c r="W1460" i="21" s="1"/>
  <c r="L1460" i="21"/>
  <c r="K1460" i="21"/>
  <c r="H1460" i="21"/>
  <c r="M1460" i="21" s="1"/>
  <c r="G1460" i="21"/>
  <c r="I1460" i="21" s="1"/>
  <c r="AB1459" i="21"/>
  <c r="V1459" i="21"/>
  <c r="W1459" i="21" s="1"/>
  <c r="L1459" i="21"/>
  <c r="K1459" i="21"/>
  <c r="H1459" i="21"/>
  <c r="G1459" i="21"/>
  <c r="I1459" i="21" s="1"/>
  <c r="AB1458" i="21"/>
  <c r="V1458" i="21"/>
  <c r="W1458" i="21" s="1"/>
  <c r="L1458" i="21"/>
  <c r="K1458" i="21"/>
  <c r="H1458" i="21"/>
  <c r="M1458" i="21" s="1"/>
  <c r="G1458" i="21"/>
  <c r="I1458" i="21" s="1"/>
  <c r="AB1457" i="21"/>
  <c r="V1457" i="21"/>
  <c r="W1457" i="21" s="1"/>
  <c r="L1457" i="21"/>
  <c r="K1457" i="21"/>
  <c r="H1457" i="21"/>
  <c r="G1457" i="21"/>
  <c r="I1457" i="21" s="1"/>
  <c r="AB1456" i="21"/>
  <c r="V1456" i="21"/>
  <c r="W1456" i="21" s="1"/>
  <c r="L1456" i="21"/>
  <c r="K1456" i="21"/>
  <c r="H1456" i="21"/>
  <c r="M1456" i="21" s="1"/>
  <c r="G1456" i="21"/>
  <c r="I1456" i="21" s="1"/>
  <c r="AB1455" i="21"/>
  <c r="V1455" i="21"/>
  <c r="W1455" i="21" s="1"/>
  <c r="L1455" i="21"/>
  <c r="K1455" i="21"/>
  <c r="H1455" i="21"/>
  <c r="G1455" i="21"/>
  <c r="I1455" i="21" s="1"/>
  <c r="AB1454" i="21"/>
  <c r="V1454" i="21"/>
  <c r="W1454" i="21" s="1"/>
  <c r="L1454" i="21"/>
  <c r="K1454" i="21"/>
  <c r="H1454" i="21"/>
  <c r="M1454" i="21" s="1"/>
  <c r="G1454" i="21"/>
  <c r="I1454" i="21" s="1"/>
  <c r="AB1453" i="21"/>
  <c r="V1453" i="21"/>
  <c r="W1453" i="21" s="1"/>
  <c r="L1453" i="21"/>
  <c r="K1453" i="21"/>
  <c r="H1453" i="21"/>
  <c r="G1453" i="21"/>
  <c r="I1453" i="21" s="1"/>
  <c r="AB1452" i="21"/>
  <c r="V1452" i="21"/>
  <c r="W1452" i="21" s="1"/>
  <c r="L1452" i="21"/>
  <c r="K1452" i="21"/>
  <c r="H1452" i="21"/>
  <c r="M1452" i="21" s="1"/>
  <c r="G1452" i="21"/>
  <c r="I1452" i="21" s="1"/>
  <c r="AB1451" i="21"/>
  <c r="V1451" i="21"/>
  <c r="W1451" i="21" s="1"/>
  <c r="L1451" i="21"/>
  <c r="K1451" i="21"/>
  <c r="H1451" i="21"/>
  <c r="G1451" i="21"/>
  <c r="I1451" i="21" s="1"/>
  <c r="AB1450" i="21"/>
  <c r="V1450" i="21"/>
  <c r="W1450" i="21" s="1"/>
  <c r="L1450" i="21"/>
  <c r="K1450" i="21"/>
  <c r="H1450" i="21"/>
  <c r="M1450" i="21" s="1"/>
  <c r="G1450" i="21"/>
  <c r="I1450" i="21" s="1"/>
  <c r="AB1449" i="21"/>
  <c r="V1449" i="21"/>
  <c r="W1449" i="21" s="1"/>
  <c r="L1449" i="21"/>
  <c r="K1449" i="21"/>
  <c r="H1449" i="21"/>
  <c r="G1449" i="21"/>
  <c r="I1449" i="21" s="1"/>
  <c r="AB1448" i="21"/>
  <c r="V1448" i="21"/>
  <c r="W1448" i="21" s="1"/>
  <c r="L1448" i="21"/>
  <c r="K1448" i="21"/>
  <c r="H1448" i="21"/>
  <c r="M1448" i="21" s="1"/>
  <c r="G1448" i="21"/>
  <c r="I1448" i="21" s="1"/>
  <c r="AB1447" i="21"/>
  <c r="V1447" i="21"/>
  <c r="W1447" i="21" s="1"/>
  <c r="L1447" i="21"/>
  <c r="K1447" i="21"/>
  <c r="H1447" i="21"/>
  <c r="G1447" i="21"/>
  <c r="I1447" i="21" s="1"/>
  <c r="AB1446" i="21"/>
  <c r="V1446" i="21"/>
  <c r="W1446" i="21" s="1"/>
  <c r="L1446" i="21"/>
  <c r="K1446" i="21"/>
  <c r="H1446" i="21"/>
  <c r="M1446" i="21" s="1"/>
  <c r="G1446" i="21"/>
  <c r="I1446" i="21" s="1"/>
  <c r="AB1445" i="21"/>
  <c r="V1445" i="21"/>
  <c r="W1445" i="21" s="1"/>
  <c r="L1445" i="21"/>
  <c r="K1445" i="21"/>
  <c r="H1445" i="21"/>
  <c r="G1445" i="21"/>
  <c r="I1445" i="21" s="1"/>
  <c r="AB1444" i="21"/>
  <c r="V1444" i="21"/>
  <c r="W1444" i="21" s="1"/>
  <c r="L1444" i="21"/>
  <c r="K1444" i="21"/>
  <c r="H1444" i="21"/>
  <c r="M1444" i="21" s="1"/>
  <c r="G1444" i="21"/>
  <c r="I1444" i="21" s="1"/>
  <c r="AB1443" i="21"/>
  <c r="V1443" i="21"/>
  <c r="W1443" i="21" s="1"/>
  <c r="L1443" i="21"/>
  <c r="K1443" i="21"/>
  <c r="H1443" i="21"/>
  <c r="G1443" i="21"/>
  <c r="I1443" i="21" s="1"/>
  <c r="AB1442" i="21"/>
  <c r="V1442" i="21"/>
  <c r="W1442" i="21" s="1"/>
  <c r="L1442" i="21"/>
  <c r="K1442" i="21"/>
  <c r="H1442" i="21"/>
  <c r="M1442" i="21" s="1"/>
  <c r="G1442" i="21"/>
  <c r="I1442" i="21" s="1"/>
  <c r="AB1441" i="21"/>
  <c r="V1441" i="21"/>
  <c r="W1441" i="21" s="1"/>
  <c r="L1441" i="21"/>
  <c r="K1441" i="21"/>
  <c r="H1441" i="21"/>
  <c r="G1441" i="21"/>
  <c r="I1441" i="21" s="1"/>
  <c r="AB1440" i="21"/>
  <c r="V1440" i="21"/>
  <c r="W1440" i="21" s="1"/>
  <c r="L1440" i="21"/>
  <c r="K1440" i="21"/>
  <c r="H1440" i="21"/>
  <c r="M1440" i="21" s="1"/>
  <c r="G1440" i="21"/>
  <c r="I1440" i="21" s="1"/>
  <c r="AB1439" i="21"/>
  <c r="V1439" i="21"/>
  <c r="W1439" i="21" s="1"/>
  <c r="L1439" i="21"/>
  <c r="K1439" i="21"/>
  <c r="H1439" i="21"/>
  <c r="G1439" i="21"/>
  <c r="I1439" i="21" s="1"/>
  <c r="AB1438" i="21"/>
  <c r="V1438" i="21"/>
  <c r="W1438" i="21" s="1"/>
  <c r="L1438" i="21"/>
  <c r="K1438" i="21"/>
  <c r="H1438" i="21"/>
  <c r="M1438" i="21" s="1"/>
  <c r="G1438" i="21"/>
  <c r="I1438" i="21" s="1"/>
  <c r="AB1437" i="21"/>
  <c r="V1437" i="21"/>
  <c r="W1437" i="21" s="1"/>
  <c r="L1437" i="21"/>
  <c r="K1437" i="21"/>
  <c r="H1437" i="21"/>
  <c r="G1437" i="21"/>
  <c r="I1437" i="21" s="1"/>
  <c r="AB1436" i="21"/>
  <c r="V1436" i="21"/>
  <c r="W1436" i="21" s="1"/>
  <c r="L1436" i="21"/>
  <c r="K1436" i="21"/>
  <c r="H1436" i="21"/>
  <c r="M1436" i="21" s="1"/>
  <c r="G1436" i="21"/>
  <c r="I1436" i="21" s="1"/>
  <c r="AB1435" i="21"/>
  <c r="V1435" i="21"/>
  <c r="W1435" i="21" s="1"/>
  <c r="L1435" i="21"/>
  <c r="K1435" i="21"/>
  <c r="H1435" i="21"/>
  <c r="G1435" i="21"/>
  <c r="I1435" i="21" s="1"/>
  <c r="AB1434" i="21"/>
  <c r="V1434" i="21"/>
  <c r="W1434" i="21" s="1"/>
  <c r="L1434" i="21"/>
  <c r="K1434" i="21"/>
  <c r="H1434" i="21"/>
  <c r="M1434" i="21" s="1"/>
  <c r="G1434" i="21"/>
  <c r="I1434" i="21" s="1"/>
  <c r="AB1433" i="21"/>
  <c r="V1433" i="21"/>
  <c r="W1433" i="21" s="1"/>
  <c r="L1433" i="21"/>
  <c r="K1433" i="21"/>
  <c r="H1433" i="21"/>
  <c r="G1433" i="21"/>
  <c r="I1433" i="21" s="1"/>
  <c r="AB1432" i="21"/>
  <c r="V1432" i="21"/>
  <c r="W1432" i="21" s="1"/>
  <c r="L1432" i="21"/>
  <c r="K1432" i="21"/>
  <c r="H1432" i="21"/>
  <c r="M1432" i="21" s="1"/>
  <c r="G1432" i="21"/>
  <c r="I1432" i="21" s="1"/>
  <c r="AB1431" i="21"/>
  <c r="V1431" i="21"/>
  <c r="W1431" i="21" s="1"/>
  <c r="L1431" i="21"/>
  <c r="K1431" i="21"/>
  <c r="H1431" i="21"/>
  <c r="G1431" i="21"/>
  <c r="I1431" i="21" s="1"/>
  <c r="AB1430" i="21"/>
  <c r="V1430" i="21"/>
  <c r="W1430" i="21" s="1"/>
  <c r="L1430" i="21"/>
  <c r="K1430" i="21"/>
  <c r="H1430" i="21"/>
  <c r="M1430" i="21" s="1"/>
  <c r="G1430" i="21"/>
  <c r="I1430" i="21" s="1"/>
  <c r="AB1429" i="21"/>
  <c r="V1429" i="21"/>
  <c r="W1429" i="21" s="1"/>
  <c r="L1429" i="21"/>
  <c r="K1429" i="21"/>
  <c r="H1429" i="21"/>
  <c r="G1429" i="21"/>
  <c r="I1429" i="21" s="1"/>
  <c r="AB1428" i="21"/>
  <c r="V1428" i="21"/>
  <c r="W1428" i="21" s="1"/>
  <c r="L1428" i="21"/>
  <c r="K1428" i="21"/>
  <c r="H1428" i="21"/>
  <c r="M1428" i="21" s="1"/>
  <c r="G1428" i="21"/>
  <c r="I1428" i="21" s="1"/>
  <c r="AB1427" i="21"/>
  <c r="V1427" i="21"/>
  <c r="W1427" i="21" s="1"/>
  <c r="L1427" i="21"/>
  <c r="K1427" i="21"/>
  <c r="H1427" i="21"/>
  <c r="G1427" i="21"/>
  <c r="I1427" i="21" s="1"/>
  <c r="AB1426" i="21"/>
  <c r="V1426" i="21"/>
  <c r="W1426" i="21" s="1"/>
  <c r="L1426" i="21"/>
  <c r="K1426" i="21"/>
  <c r="H1426" i="21"/>
  <c r="M1426" i="21" s="1"/>
  <c r="G1426" i="21"/>
  <c r="I1426" i="21" s="1"/>
  <c r="AB1425" i="21"/>
  <c r="V1425" i="21"/>
  <c r="W1425" i="21" s="1"/>
  <c r="L1425" i="21"/>
  <c r="K1425" i="21"/>
  <c r="H1425" i="21"/>
  <c r="G1425" i="21"/>
  <c r="I1425" i="21" s="1"/>
  <c r="AB1424" i="21"/>
  <c r="V1424" i="21"/>
  <c r="W1424" i="21" s="1"/>
  <c r="L1424" i="21"/>
  <c r="K1424" i="21"/>
  <c r="H1424" i="21"/>
  <c r="M1424" i="21" s="1"/>
  <c r="G1424" i="21"/>
  <c r="I1424" i="21" s="1"/>
  <c r="AB1423" i="21"/>
  <c r="V1423" i="21"/>
  <c r="W1423" i="21" s="1"/>
  <c r="L1423" i="21"/>
  <c r="K1423" i="21"/>
  <c r="H1423" i="21"/>
  <c r="G1423" i="21"/>
  <c r="I1423" i="21" s="1"/>
  <c r="AB1422" i="21"/>
  <c r="V1422" i="21"/>
  <c r="W1422" i="21" s="1"/>
  <c r="L1422" i="21"/>
  <c r="K1422" i="21"/>
  <c r="H1422" i="21"/>
  <c r="M1422" i="21" s="1"/>
  <c r="G1422" i="21"/>
  <c r="I1422" i="21" s="1"/>
  <c r="AB1421" i="21"/>
  <c r="V1421" i="21"/>
  <c r="W1421" i="21" s="1"/>
  <c r="L1421" i="21"/>
  <c r="K1421" i="21"/>
  <c r="H1421" i="21"/>
  <c r="G1421" i="21"/>
  <c r="I1421" i="21" s="1"/>
  <c r="AB1420" i="21"/>
  <c r="V1420" i="21"/>
  <c r="W1420" i="21" s="1"/>
  <c r="L1420" i="21"/>
  <c r="K1420" i="21"/>
  <c r="H1420" i="21"/>
  <c r="M1420" i="21" s="1"/>
  <c r="G1420" i="21"/>
  <c r="I1420" i="21" s="1"/>
  <c r="AB1419" i="21"/>
  <c r="V1419" i="21"/>
  <c r="W1419" i="21" s="1"/>
  <c r="L1419" i="21"/>
  <c r="K1419" i="21"/>
  <c r="G1419" i="21"/>
  <c r="I1419" i="21" s="1"/>
  <c r="AB1418" i="21"/>
  <c r="V1418" i="21"/>
  <c r="W1418" i="21" s="1"/>
  <c r="L1418" i="21"/>
  <c r="K1418" i="21"/>
  <c r="G1418" i="21"/>
  <c r="I1418" i="21" s="1"/>
  <c r="AB1417" i="21"/>
  <c r="V1417" i="21"/>
  <c r="W1417" i="21" s="1"/>
  <c r="L1417" i="21"/>
  <c r="K1417" i="21"/>
  <c r="G1417" i="21"/>
  <c r="I1417" i="21" s="1"/>
  <c r="AB1416" i="21"/>
  <c r="V1416" i="21"/>
  <c r="W1416" i="21" s="1"/>
  <c r="L1416" i="21"/>
  <c r="K1416" i="21"/>
  <c r="G1416" i="21"/>
  <c r="I1416" i="21" s="1"/>
  <c r="AB1415" i="21"/>
  <c r="V1415" i="21"/>
  <c r="W1415" i="21" s="1"/>
  <c r="L1415" i="21"/>
  <c r="K1415" i="21"/>
  <c r="G1415" i="21"/>
  <c r="I1415" i="21" s="1"/>
  <c r="AB1414" i="21"/>
  <c r="V1414" i="21"/>
  <c r="W1414" i="21" s="1"/>
  <c r="L1414" i="21"/>
  <c r="K1414" i="21"/>
  <c r="G1414" i="21"/>
  <c r="I1414" i="21" s="1"/>
  <c r="AB1413" i="21"/>
  <c r="V1413" i="21"/>
  <c r="W1413" i="21" s="1"/>
  <c r="L1413" i="21"/>
  <c r="K1413" i="21"/>
  <c r="G1413" i="21"/>
  <c r="I1413" i="21" s="1"/>
  <c r="AB1412" i="21"/>
  <c r="V1412" i="21"/>
  <c r="W1412" i="21" s="1"/>
  <c r="L1412" i="21"/>
  <c r="K1412" i="21"/>
  <c r="G1412" i="21"/>
  <c r="I1412" i="21" s="1"/>
  <c r="AB1411" i="21"/>
  <c r="V1411" i="21"/>
  <c r="W1411" i="21" s="1"/>
  <c r="L1411" i="21"/>
  <c r="K1411" i="21"/>
  <c r="G1411" i="21"/>
  <c r="I1411" i="21" s="1"/>
  <c r="AB1410" i="21"/>
  <c r="V1410" i="21"/>
  <c r="W1410" i="21" s="1"/>
  <c r="L1410" i="21"/>
  <c r="K1410" i="21"/>
  <c r="G1410" i="21"/>
  <c r="I1410" i="21" s="1"/>
  <c r="AB1409" i="21"/>
  <c r="V1409" i="21"/>
  <c r="W1409" i="21" s="1"/>
  <c r="L1409" i="21"/>
  <c r="K1409" i="21"/>
  <c r="G1409" i="21"/>
  <c r="I1409" i="21" s="1"/>
  <c r="AB1408" i="21"/>
  <c r="V1408" i="21"/>
  <c r="W1408" i="21" s="1"/>
  <c r="L1408" i="21"/>
  <c r="K1408" i="21"/>
  <c r="G1408" i="21"/>
  <c r="I1408" i="21" s="1"/>
  <c r="AB1407" i="21"/>
  <c r="V1407" i="21"/>
  <c r="W1407" i="21" s="1"/>
  <c r="L1407" i="21"/>
  <c r="K1407" i="21"/>
  <c r="G1407" i="21"/>
  <c r="I1407" i="21" s="1"/>
  <c r="AB1406" i="21"/>
  <c r="V1406" i="21"/>
  <c r="W1406" i="21" s="1"/>
  <c r="L1406" i="21"/>
  <c r="K1406" i="21"/>
  <c r="G1406" i="21"/>
  <c r="I1406" i="21" s="1"/>
  <c r="AB1405" i="21"/>
  <c r="V1405" i="21"/>
  <c r="W1405" i="21" s="1"/>
  <c r="L1405" i="21"/>
  <c r="K1405" i="21"/>
  <c r="G1405" i="21"/>
  <c r="I1405" i="21" s="1"/>
  <c r="AB1404" i="21"/>
  <c r="V1404" i="21"/>
  <c r="W1404" i="21" s="1"/>
  <c r="L1404" i="21"/>
  <c r="K1404" i="21"/>
  <c r="G1404" i="21"/>
  <c r="I1404" i="21" s="1"/>
  <c r="AB1403" i="21"/>
  <c r="V1403" i="21"/>
  <c r="W1403" i="21" s="1"/>
  <c r="L1403" i="21"/>
  <c r="K1403" i="21"/>
  <c r="G1403" i="21"/>
  <c r="I1403" i="21" s="1"/>
  <c r="AB1402" i="21"/>
  <c r="V1402" i="21"/>
  <c r="W1402" i="21" s="1"/>
  <c r="L1402" i="21"/>
  <c r="K1402" i="21"/>
  <c r="G1402" i="21"/>
  <c r="I1402" i="21" s="1"/>
  <c r="AB1401" i="21"/>
  <c r="V1401" i="21"/>
  <c r="W1401" i="21" s="1"/>
  <c r="L1401" i="21"/>
  <c r="K1401" i="21"/>
  <c r="G1401" i="21"/>
  <c r="I1401" i="21" s="1"/>
  <c r="AB1400" i="21"/>
  <c r="V1400" i="21"/>
  <c r="W1400" i="21" s="1"/>
  <c r="L1400" i="21"/>
  <c r="K1400" i="21"/>
  <c r="G1400" i="21"/>
  <c r="I1400" i="21" s="1"/>
  <c r="AB1399" i="21"/>
  <c r="V1399" i="21"/>
  <c r="W1399" i="21" s="1"/>
  <c r="L1399" i="21"/>
  <c r="K1399" i="21"/>
  <c r="G1399" i="21"/>
  <c r="I1399" i="21" s="1"/>
  <c r="AB1398" i="21"/>
  <c r="V1398" i="21"/>
  <c r="W1398" i="21" s="1"/>
  <c r="L1398" i="21"/>
  <c r="K1398" i="21"/>
  <c r="G1398" i="21"/>
  <c r="I1398" i="21" s="1"/>
  <c r="AB1397" i="21"/>
  <c r="V1397" i="21"/>
  <c r="W1397" i="21" s="1"/>
  <c r="L1397" i="21"/>
  <c r="K1397" i="21"/>
  <c r="G1397" i="21"/>
  <c r="I1397" i="21" s="1"/>
  <c r="AB1396" i="21"/>
  <c r="V1396" i="21"/>
  <c r="W1396" i="21" s="1"/>
  <c r="L1396" i="21"/>
  <c r="K1396" i="21"/>
  <c r="G1396" i="21"/>
  <c r="I1396" i="21" s="1"/>
  <c r="AB1395" i="21"/>
  <c r="V1395" i="21"/>
  <c r="W1395" i="21" s="1"/>
  <c r="L1395" i="21"/>
  <c r="K1395" i="21"/>
  <c r="G1395" i="21"/>
  <c r="I1395" i="21" s="1"/>
  <c r="AB1394" i="21"/>
  <c r="V1394" i="21"/>
  <c r="W1394" i="21" s="1"/>
  <c r="L1394" i="21"/>
  <c r="K1394" i="21"/>
  <c r="G1394" i="21"/>
  <c r="I1394" i="21" s="1"/>
  <c r="AB1393" i="21"/>
  <c r="V1393" i="21"/>
  <c r="W1393" i="21" s="1"/>
  <c r="L1393" i="21"/>
  <c r="K1393" i="21"/>
  <c r="G1393" i="21"/>
  <c r="I1393" i="21" s="1"/>
  <c r="AB1392" i="21"/>
  <c r="V1392" i="21"/>
  <c r="W1392" i="21" s="1"/>
  <c r="L1392" i="21"/>
  <c r="K1392" i="21"/>
  <c r="G1392" i="21"/>
  <c r="I1392" i="21" s="1"/>
  <c r="AB1391" i="21"/>
  <c r="V1391" i="21"/>
  <c r="W1391" i="21" s="1"/>
  <c r="L1391" i="21"/>
  <c r="K1391" i="21"/>
  <c r="G1391" i="21"/>
  <c r="I1391" i="21" s="1"/>
  <c r="AB1390" i="21"/>
  <c r="V1390" i="21"/>
  <c r="W1390" i="21" s="1"/>
  <c r="L1390" i="21"/>
  <c r="K1390" i="21"/>
  <c r="G1390" i="21"/>
  <c r="I1390" i="21" s="1"/>
  <c r="AB1389" i="21"/>
  <c r="V1389" i="21"/>
  <c r="W1389" i="21" s="1"/>
  <c r="L1389" i="21"/>
  <c r="K1389" i="21"/>
  <c r="G1389" i="21"/>
  <c r="I1389" i="21" s="1"/>
  <c r="AB1388" i="21"/>
  <c r="V1388" i="21"/>
  <c r="W1388" i="21" s="1"/>
  <c r="L1388" i="21"/>
  <c r="K1388" i="21"/>
  <c r="G1388" i="21"/>
  <c r="I1388" i="21" s="1"/>
  <c r="AB1387" i="21"/>
  <c r="V1387" i="21"/>
  <c r="W1387" i="21" s="1"/>
  <c r="L1387" i="21"/>
  <c r="K1387" i="21"/>
  <c r="G1387" i="21"/>
  <c r="I1387" i="21" s="1"/>
  <c r="AB1386" i="21"/>
  <c r="V1386" i="21"/>
  <c r="W1386" i="21" s="1"/>
  <c r="L1386" i="21"/>
  <c r="K1386" i="21"/>
  <c r="G1386" i="21"/>
  <c r="I1386" i="21" s="1"/>
  <c r="AB1385" i="21"/>
  <c r="V1385" i="21"/>
  <c r="W1385" i="21" s="1"/>
  <c r="L1385" i="21"/>
  <c r="K1385" i="21"/>
  <c r="G1385" i="21"/>
  <c r="I1385" i="21" s="1"/>
  <c r="AB1384" i="21"/>
  <c r="V1384" i="21"/>
  <c r="W1384" i="21" s="1"/>
  <c r="L1384" i="21"/>
  <c r="K1384" i="21"/>
  <c r="G1384" i="21"/>
  <c r="I1384" i="21" s="1"/>
  <c r="AB1383" i="21"/>
  <c r="V1383" i="21"/>
  <c r="W1383" i="21" s="1"/>
  <c r="L1383" i="21"/>
  <c r="K1383" i="21"/>
  <c r="G1383" i="21"/>
  <c r="I1383" i="21" s="1"/>
  <c r="AB1382" i="21"/>
  <c r="V1382" i="21"/>
  <c r="W1382" i="21" s="1"/>
  <c r="L1382" i="21"/>
  <c r="K1382" i="21"/>
  <c r="G1382" i="21"/>
  <c r="I1382" i="21" s="1"/>
  <c r="AB1381" i="21"/>
  <c r="V1381" i="21"/>
  <c r="W1381" i="21" s="1"/>
  <c r="L1381" i="21"/>
  <c r="K1381" i="21"/>
  <c r="G1381" i="21"/>
  <c r="I1381" i="21" s="1"/>
  <c r="AB1380" i="21"/>
  <c r="V1380" i="21"/>
  <c r="W1380" i="21" s="1"/>
  <c r="L1380" i="21"/>
  <c r="K1380" i="21"/>
  <c r="G1380" i="21"/>
  <c r="I1380" i="21" s="1"/>
  <c r="AB1379" i="21"/>
  <c r="V1379" i="21"/>
  <c r="W1379" i="21" s="1"/>
  <c r="L1379" i="21"/>
  <c r="K1379" i="21"/>
  <c r="G1379" i="21"/>
  <c r="I1379" i="21" s="1"/>
  <c r="AB1378" i="21"/>
  <c r="V1378" i="21"/>
  <c r="W1378" i="21" s="1"/>
  <c r="L1378" i="21"/>
  <c r="K1378" i="21"/>
  <c r="G1378" i="21"/>
  <c r="I1378" i="21" s="1"/>
  <c r="AB1377" i="21"/>
  <c r="V1377" i="21"/>
  <c r="W1377" i="21" s="1"/>
  <c r="L1377" i="21"/>
  <c r="K1377" i="21"/>
  <c r="G1377" i="21"/>
  <c r="I1377" i="21" s="1"/>
  <c r="AB1376" i="21"/>
  <c r="V1376" i="21"/>
  <c r="W1376" i="21" s="1"/>
  <c r="L1376" i="21"/>
  <c r="K1376" i="21"/>
  <c r="G1376" i="21"/>
  <c r="I1376" i="21" s="1"/>
  <c r="AB1375" i="21"/>
  <c r="V1375" i="21"/>
  <c r="W1375" i="21" s="1"/>
  <c r="L1375" i="21"/>
  <c r="K1375" i="21"/>
  <c r="G1375" i="21"/>
  <c r="I1375" i="21" s="1"/>
  <c r="AB1374" i="21"/>
  <c r="V1374" i="21"/>
  <c r="W1374" i="21" s="1"/>
  <c r="L1374" i="21"/>
  <c r="K1374" i="21"/>
  <c r="G1374" i="21"/>
  <c r="I1374" i="21" s="1"/>
  <c r="AB1373" i="21"/>
  <c r="V1373" i="21"/>
  <c r="W1373" i="21" s="1"/>
  <c r="L1373" i="21"/>
  <c r="K1373" i="21"/>
  <c r="G1373" i="21"/>
  <c r="I1373" i="21" s="1"/>
  <c r="AB1372" i="21"/>
  <c r="V1372" i="21"/>
  <c r="W1372" i="21" s="1"/>
  <c r="L1372" i="21"/>
  <c r="K1372" i="21"/>
  <c r="G1372" i="21"/>
  <c r="I1372" i="21" s="1"/>
  <c r="AB1371" i="21"/>
  <c r="V1371" i="21"/>
  <c r="W1371" i="21" s="1"/>
  <c r="L1371" i="21"/>
  <c r="K1371" i="21"/>
  <c r="G1371" i="21"/>
  <c r="I1371" i="21" s="1"/>
  <c r="AB1370" i="21"/>
  <c r="V1370" i="21"/>
  <c r="W1370" i="21" s="1"/>
  <c r="L1370" i="21"/>
  <c r="K1370" i="21"/>
  <c r="G1370" i="21"/>
  <c r="I1370" i="21" s="1"/>
  <c r="AB1369" i="21"/>
  <c r="V1369" i="21"/>
  <c r="W1369" i="21" s="1"/>
  <c r="L1369" i="21"/>
  <c r="K1369" i="21"/>
  <c r="G1369" i="21"/>
  <c r="I1369" i="21" s="1"/>
  <c r="AB1368" i="21"/>
  <c r="V1368" i="21"/>
  <c r="W1368" i="21" s="1"/>
  <c r="L1368" i="21"/>
  <c r="K1368" i="21"/>
  <c r="G1368" i="21"/>
  <c r="I1368" i="21" s="1"/>
  <c r="AB1367" i="21"/>
  <c r="V1367" i="21"/>
  <c r="W1367" i="21" s="1"/>
  <c r="L1367" i="21"/>
  <c r="K1367" i="21"/>
  <c r="G1367" i="21"/>
  <c r="I1367" i="21" s="1"/>
  <c r="AB1366" i="21"/>
  <c r="V1366" i="21"/>
  <c r="W1366" i="21" s="1"/>
  <c r="L1366" i="21"/>
  <c r="K1366" i="21"/>
  <c r="G1366" i="21"/>
  <c r="I1366" i="21" s="1"/>
  <c r="AB1365" i="21"/>
  <c r="V1365" i="21"/>
  <c r="W1365" i="21" s="1"/>
  <c r="L1365" i="21"/>
  <c r="K1365" i="21"/>
  <c r="G1365" i="21"/>
  <c r="I1365" i="21" s="1"/>
  <c r="AB1364" i="21"/>
  <c r="V1364" i="21"/>
  <c r="W1364" i="21" s="1"/>
  <c r="L1364" i="21"/>
  <c r="K1364" i="21"/>
  <c r="G1364" i="21"/>
  <c r="I1364" i="21" s="1"/>
  <c r="AB1363" i="21"/>
  <c r="V1363" i="21"/>
  <c r="W1363" i="21" s="1"/>
  <c r="L1363" i="21"/>
  <c r="K1363" i="21"/>
  <c r="G1363" i="21"/>
  <c r="I1363" i="21" s="1"/>
  <c r="AB1362" i="21"/>
  <c r="V1362" i="21"/>
  <c r="W1362" i="21" s="1"/>
  <c r="L1362" i="21"/>
  <c r="K1362" i="21"/>
  <c r="G1362" i="21"/>
  <c r="I1362" i="21" s="1"/>
  <c r="AB1361" i="21"/>
  <c r="V1361" i="21"/>
  <c r="W1361" i="21" s="1"/>
  <c r="L1361" i="21"/>
  <c r="K1361" i="21"/>
  <c r="G1361" i="21"/>
  <c r="I1361" i="21" s="1"/>
  <c r="AB1360" i="21"/>
  <c r="V1360" i="21"/>
  <c r="W1360" i="21" s="1"/>
  <c r="L1360" i="21"/>
  <c r="K1360" i="21"/>
  <c r="G1360" i="21"/>
  <c r="I1360" i="21" s="1"/>
  <c r="AB1359" i="21"/>
  <c r="V1359" i="21"/>
  <c r="W1359" i="21" s="1"/>
  <c r="L1359" i="21"/>
  <c r="K1359" i="21"/>
  <c r="G1359" i="21"/>
  <c r="I1359" i="21" s="1"/>
  <c r="AB1358" i="21"/>
  <c r="V1358" i="21"/>
  <c r="W1358" i="21" s="1"/>
  <c r="L1358" i="21"/>
  <c r="K1358" i="21"/>
  <c r="G1358" i="21"/>
  <c r="I1358" i="21" s="1"/>
  <c r="AB1357" i="21"/>
  <c r="V1357" i="21"/>
  <c r="W1357" i="21" s="1"/>
  <c r="L1357" i="21"/>
  <c r="K1357" i="21"/>
  <c r="G1357" i="21"/>
  <c r="I1357" i="21" s="1"/>
  <c r="AB1356" i="21"/>
  <c r="V1356" i="21"/>
  <c r="W1356" i="21" s="1"/>
  <c r="L1356" i="21"/>
  <c r="K1356" i="21"/>
  <c r="G1356" i="21"/>
  <c r="I1356" i="21" s="1"/>
  <c r="AB1355" i="21"/>
  <c r="V1355" i="21"/>
  <c r="W1355" i="21" s="1"/>
  <c r="L1355" i="21"/>
  <c r="K1355" i="21"/>
  <c r="G1355" i="21"/>
  <c r="I1355" i="21" s="1"/>
  <c r="AB1354" i="21"/>
  <c r="V1354" i="21"/>
  <c r="W1354" i="21" s="1"/>
  <c r="L1354" i="21"/>
  <c r="K1354" i="21"/>
  <c r="G1354" i="21"/>
  <c r="I1354" i="21" s="1"/>
  <c r="AB1353" i="21"/>
  <c r="V1353" i="21"/>
  <c r="W1353" i="21" s="1"/>
  <c r="L1353" i="21"/>
  <c r="K1353" i="21"/>
  <c r="G1353" i="21"/>
  <c r="I1353" i="21" s="1"/>
  <c r="AB1352" i="21"/>
  <c r="V1352" i="21"/>
  <c r="W1352" i="21" s="1"/>
  <c r="L1352" i="21"/>
  <c r="K1352" i="21"/>
  <c r="G1352" i="21"/>
  <c r="I1352" i="21" s="1"/>
  <c r="AB1351" i="21"/>
  <c r="V1351" i="21"/>
  <c r="W1351" i="21" s="1"/>
  <c r="L1351" i="21"/>
  <c r="K1351" i="21"/>
  <c r="G1351" i="21"/>
  <c r="I1351" i="21" s="1"/>
  <c r="AB1350" i="21"/>
  <c r="V1350" i="21"/>
  <c r="W1350" i="21" s="1"/>
  <c r="L1350" i="21"/>
  <c r="K1350" i="21"/>
  <c r="G1350" i="21"/>
  <c r="I1350" i="21" s="1"/>
  <c r="AB1349" i="21"/>
  <c r="V1349" i="21"/>
  <c r="W1349" i="21" s="1"/>
  <c r="L1349" i="21"/>
  <c r="K1349" i="21"/>
  <c r="G1349" i="21"/>
  <c r="I1349" i="21" s="1"/>
  <c r="AB1348" i="21"/>
  <c r="V1348" i="21"/>
  <c r="W1348" i="21" s="1"/>
  <c r="L1348" i="21"/>
  <c r="K1348" i="21"/>
  <c r="G1348" i="21"/>
  <c r="I1348" i="21" s="1"/>
  <c r="AB1347" i="21"/>
  <c r="V1347" i="21"/>
  <c r="W1347" i="21" s="1"/>
  <c r="L1347" i="21"/>
  <c r="K1347" i="21"/>
  <c r="G1347" i="21"/>
  <c r="I1347" i="21" s="1"/>
  <c r="AB1346" i="21"/>
  <c r="V1346" i="21"/>
  <c r="W1346" i="21" s="1"/>
  <c r="L1346" i="21"/>
  <c r="K1346" i="21"/>
  <c r="G1346" i="21"/>
  <c r="I1346" i="21" s="1"/>
  <c r="AB1345" i="21"/>
  <c r="V1345" i="21"/>
  <c r="W1345" i="21" s="1"/>
  <c r="L1345" i="21"/>
  <c r="K1345" i="21"/>
  <c r="G1345" i="21"/>
  <c r="I1345" i="21" s="1"/>
  <c r="AB1344" i="21"/>
  <c r="V1344" i="21"/>
  <c r="W1344" i="21" s="1"/>
  <c r="L1344" i="21"/>
  <c r="K1344" i="21"/>
  <c r="G1344" i="21"/>
  <c r="I1344" i="21" s="1"/>
  <c r="AB1343" i="21"/>
  <c r="V1343" i="21"/>
  <c r="W1343" i="21" s="1"/>
  <c r="L1343" i="21"/>
  <c r="K1343" i="21"/>
  <c r="G1343" i="21"/>
  <c r="I1343" i="21" s="1"/>
  <c r="AB1342" i="21"/>
  <c r="V1342" i="21"/>
  <c r="W1342" i="21" s="1"/>
  <c r="L1342" i="21"/>
  <c r="K1342" i="21"/>
  <c r="G1342" i="21"/>
  <c r="I1342" i="21" s="1"/>
  <c r="AB1341" i="21"/>
  <c r="V1341" i="21"/>
  <c r="W1341" i="21" s="1"/>
  <c r="L1341" i="21"/>
  <c r="K1341" i="21"/>
  <c r="G1341" i="21"/>
  <c r="I1341" i="21" s="1"/>
  <c r="AB1340" i="21"/>
  <c r="V1340" i="21"/>
  <c r="W1340" i="21" s="1"/>
  <c r="L1340" i="21"/>
  <c r="K1340" i="21"/>
  <c r="G1340" i="21"/>
  <c r="I1340" i="21" s="1"/>
  <c r="AB1339" i="21"/>
  <c r="V1339" i="21"/>
  <c r="W1339" i="21" s="1"/>
  <c r="L1339" i="21"/>
  <c r="K1339" i="21"/>
  <c r="G1339" i="21"/>
  <c r="I1339" i="21" s="1"/>
  <c r="AB1338" i="21"/>
  <c r="V1338" i="21"/>
  <c r="W1338" i="21" s="1"/>
  <c r="L1338" i="21"/>
  <c r="K1338" i="21"/>
  <c r="G1338" i="21"/>
  <c r="I1338" i="21" s="1"/>
  <c r="AB1337" i="21"/>
  <c r="V1337" i="21"/>
  <c r="W1337" i="21" s="1"/>
  <c r="L1337" i="21"/>
  <c r="K1337" i="21"/>
  <c r="G1337" i="21"/>
  <c r="I1337" i="21" s="1"/>
  <c r="AB1336" i="21"/>
  <c r="V1336" i="21"/>
  <c r="W1336" i="21" s="1"/>
  <c r="L1336" i="21"/>
  <c r="K1336" i="21"/>
  <c r="G1336" i="21"/>
  <c r="I1336" i="21" s="1"/>
  <c r="AB1335" i="21"/>
  <c r="V1335" i="21"/>
  <c r="W1335" i="21" s="1"/>
  <c r="L1335" i="21"/>
  <c r="K1335" i="21"/>
  <c r="G1335" i="21"/>
  <c r="I1335" i="21" s="1"/>
  <c r="AB1334" i="21"/>
  <c r="V1334" i="21"/>
  <c r="W1334" i="21" s="1"/>
  <c r="L1334" i="21"/>
  <c r="K1334" i="21"/>
  <c r="G1334" i="21"/>
  <c r="I1334" i="21" s="1"/>
  <c r="AB1333" i="21"/>
  <c r="V1333" i="21"/>
  <c r="W1333" i="21" s="1"/>
  <c r="L1333" i="21"/>
  <c r="K1333" i="21"/>
  <c r="G1333" i="21"/>
  <c r="I1333" i="21" s="1"/>
  <c r="AB1332" i="21"/>
  <c r="V1332" i="21"/>
  <c r="W1332" i="21" s="1"/>
  <c r="L1332" i="21"/>
  <c r="K1332" i="21"/>
  <c r="G1332" i="21"/>
  <c r="I1332" i="21" s="1"/>
  <c r="AB1331" i="21"/>
  <c r="V1331" i="21"/>
  <c r="W1331" i="21" s="1"/>
  <c r="L1331" i="21"/>
  <c r="K1331" i="21"/>
  <c r="G1331" i="21"/>
  <c r="I1331" i="21" s="1"/>
  <c r="AB1330" i="21"/>
  <c r="V1330" i="21"/>
  <c r="W1330" i="21" s="1"/>
  <c r="L1330" i="21"/>
  <c r="K1330" i="21"/>
  <c r="G1330" i="21"/>
  <c r="I1330" i="21" s="1"/>
  <c r="AB1329" i="21"/>
  <c r="V1329" i="21"/>
  <c r="W1329" i="21" s="1"/>
  <c r="L1329" i="21"/>
  <c r="K1329" i="21"/>
  <c r="G1329" i="21"/>
  <c r="I1329" i="21" s="1"/>
  <c r="AB1328" i="21"/>
  <c r="V1328" i="21"/>
  <c r="W1328" i="21" s="1"/>
  <c r="L1328" i="21"/>
  <c r="K1328" i="21"/>
  <c r="G1328" i="21"/>
  <c r="I1328" i="21" s="1"/>
  <c r="AB1327" i="21"/>
  <c r="V1327" i="21"/>
  <c r="W1327" i="21" s="1"/>
  <c r="L1327" i="21"/>
  <c r="K1327" i="21"/>
  <c r="G1327" i="21"/>
  <c r="I1327" i="21" s="1"/>
  <c r="AB1326" i="21"/>
  <c r="V1326" i="21"/>
  <c r="W1326" i="21" s="1"/>
  <c r="L1326" i="21"/>
  <c r="K1326" i="21"/>
  <c r="G1326" i="21"/>
  <c r="I1326" i="21" s="1"/>
  <c r="AB1325" i="21"/>
  <c r="V1325" i="21"/>
  <c r="W1325" i="21" s="1"/>
  <c r="L1325" i="21"/>
  <c r="K1325" i="21"/>
  <c r="G1325" i="21"/>
  <c r="I1325" i="21" s="1"/>
  <c r="AB1324" i="21"/>
  <c r="V1324" i="21"/>
  <c r="W1324" i="21" s="1"/>
  <c r="L1324" i="21"/>
  <c r="K1324" i="21"/>
  <c r="G1324" i="21"/>
  <c r="I1324" i="21" s="1"/>
  <c r="AB1323" i="21"/>
  <c r="V1323" i="21"/>
  <c r="W1323" i="21" s="1"/>
  <c r="L1323" i="21"/>
  <c r="K1323" i="21"/>
  <c r="G1323" i="21"/>
  <c r="I1323" i="21" s="1"/>
  <c r="AB1322" i="21"/>
  <c r="V1322" i="21"/>
  <c r="W1322" i="21" s="1"/>
  <c r="L1322" i="21"/>
  <c r="K1322" i="21"/>
  <c r="G1322" i="21"/>
  <c r="I1322" i="21" s="1"/>
  <c r="AB1321" i="21"/>
  <c r="V1321" i="21"/>
  <c r="W1321" i="21" s="1"/>
  <c r="L1321" i="21"/>
  <c r="K1321" i="21"/>
  <c r="G1321" i="21"/>
  <c r="I1321" i="21" s="1"/>
  <c r="AB1320" i="21"/>
  <c r="V1320" i="21"/>
  <c r="W1320" i="21" s="1"/>
  <c r="L1320" i="21"/>
  <c r="K1320" i="21"/>
  <c r="G1320" i="21"/>
  <c r="I1320" i="21" s="1"/>
  <c r="AB1319" i="21"/>
  <c r="V1319" i="21"/>
  <c r="W1319" i="21" s="1"/>
  <c r="L1319" i="21"/>
  <c r="K1319" i="21"/>
  <c r="G1319" i="21"/>
  <c r="I1319" i="21" s="1"/>
  <c r="AB1318" i="21"/>
  <c r="V1318" i="21"/>
  <c r="W1318" i="21" s="1"/>
  <c r="L1318" i="21"/>
  <c r="K1318" i="21"/>
  <c r="G1318" i="21"/>
  <c r="I1318" i="21" s="1"/>
  <c r="AB1317" i="21"/>
  <c r="V1317" i="21"/>
  <c r="W1317" i="21" s="1"/>
  <c r="L1317" i="21"/>
  <c r="K1317" i="21"/>
  <c r="G1317" i="21"/>
  <c r="I1317" i="21" s="1"/>
  <c r="AB1316" i="21"/>
  <c r="V1316" i="21"/>
  <c r="W1316" i="21" s="1"/>
  <c r="L1316" i="21"/>
  <c r="K1316" i="21"/>
  <c r="G1316" i="21"/>
  <c r="I1316" i="21" s="1"/>
  <c r="AB1315" i="21"/>
  <c r="V1315" i="21"/>
  <c r="W1315" i="21" s="1"/>
  <c r="L1315" i="21"/>
  <c r="K1315" i="21"/>
  <c r="G1315" i="21"/>
  <c r="I1315" i="21" s="1"/>
  <c r="AB1314" i="21"/>
  <c r="V1314" i="21"/>
  <c r="W1314" i="21" s="1"/>
  <c r="L1314" i="21"/>
  <c r="K1314" i="21"/>
  <c r="G1314" i="21"/>
  <c r="I1314" i="21" s="1"/>
  <c r="AB1313" i="21"/>
  <c r="V1313" i="21"/>
  <c r="W1313" i="21" s="1"/>
  <c r="L1313" i="21"/>
  <c r="K1313" i="21"/>
  <c r="G1313" i="21"/>
  <c r="I1313" i="21" s="1"/>
  <c r="AB1312" i="21"/>
  <c r="V1312" i="21"/>
  <c r="W1312" i="21" s="1"/>
  <c r="L1312" i="21"/>
  <c r="K1312" i="21"/>
  <c r="G1312" i="21"/>
  <c r="I1312" i="21" s="1"/>
  <c r="AB1311" i="21"/>
  <c r="V1311" i="21"/>
  <c r="W1311" i="21" s="1"/>
  <c r="L1311" i="21"/>
  <c r="K1311" i="21"/>
  <c r="G1311" i="21"/>
  <c r="I1311" i="21" s="1"/>
  <c r="AB1310" i="21"/>
  <c r="V1310" i="21"/>
  <c r="W1310" i="21" s="1"/>
  <c r="L1310" i="21"/>
  <c r="K1310" i="21"/>
  <c r="G1310" i="21"/>
  <c r="I1310" i="21" s="1"/>
  <c r="AB1309" i="21"/>
  <c r="V1309" i="21"/>
  <c r="W1309" i="21" s="1"/>
  <c r="L1309" i="21"/>
  <c r="K1309" i="21"/>
  <c r="G1309" i="21"/>
  <c r="I1309" i="21" s="1"/>
  <c r="AB1308" i="21"/>
  <c r="V1308" i="21"/>
  <c r="W1308" i="21" s="1"/>
  <c r="L1308" i="21"/>
  <c r="K1308" i="21"/>
  <c r="G1308" i="21"/>
  <c r="I1308" i="21" s="1"/>
  <c r="AB1307" i="21"/>
  <c r="V1307" i="21"/>
  <c r="W1307" i="21" s="1"/>
  <c r="L1307" i="21"/>
  <c r="K1307" i="21"/>
  <c r="G1307" i="21"/>
  <c r="I1307" i="21" s="1"/>
  <c r="AB1306" i="21"/>
  <c r="V1306" i="21"/>
  <c r="W1306" i="21" s="1"/>
  <c r="L1306" i="21"/>
  <c r="K1306" i="21"/>
  <c r="G1306" i="21"/>
  <c r="I1306" i="21" s="1"/>
  <c r="AB1305" i="21"/>
  <c r="V1305" i="21"/>
  <c r="W1305" i="21" s="1"/>
  <c r="L1305" i="21"/>
  <c r="K1305" i="21"/>
  <c r="G1305" i="21"/>
  <c r="I1305" i="21" s="1"/>
  <c r="AB1304" i="21"/>
  <c r="V1304" i="21"/>
  <c r="W1304" i="21" s="1"/>
  <c r="L1304" i="21"/>
  <c r="K1304" i="21"/>
  <c r="G1304" i="21"/>
  <c r="I1304" i="21" s="1"/>
  <c r="AB1303" i="21"/>
  <c r="V1303" i="21"/>
  <c r="W1303" i="21" s="1"/>
  <c r="L1303" i="21"/>
  <c r="K1303" i="21"/>
  <c r="G1303" i="21"/>
  <c r="I1303" i="21" s="1"/>
  <c r="AB1302" i="21"/>
  <c r="V1302" i="21"/>
  <c r="W1302" i="21" s="1"/>
  <c r="L1302" i="21"/>
  <c r="K1302" i="21"/>
  <c r="G1302" i="21"/>
  <c r="I1302" i="21" s="1"/>
  <c r="AB1301" i="21"/>
  <c r="V1301" i="21"/>
  <c r="W1301" i="21" s="1"/>
  <c r="L1301" i="21"/>
  <c r="K1301" i="21"/>
  <c r="G1301" i="21"/>
  <c r="I1301" i="21" s="1"/>
  <c r="AB1300" i="21"/>
  <c r="V1300" i="21"/>
  <c r="W1300" i="21" s="1"/>
  <c r="L1300" i="21"/>
  <c r="K1300" i="21"/>
  <c r="G1300" i="21"/>
  <c r="I1300" i="21" s="1"/>
  <c r="AB1299" i="21"/>
  <c r="V1299" i="21"/>
  <c r="W1299" i="21" s="1"/>
  <c r="L1299" i="21"/>
  <c r="K1299" i="21"/>
  <c r="G1299" i="21"/>
  <c r="I1299" i="21" s="1"/>
  <c r="AB1298" i="21"/>
  <c r="V1298" i="21"/>
  <c r="W1298" i="21" s="1"/>
  <c r="L1298" i="21"/>
  <c r="K1298" i="21"/>
  <c r="G1298" i="21"/>
  <c r="I1298" i="21" s="1"/>
  <c r="AB1297" i="21"/>
  <c r="V1297" i="21"/>
  <c r="W1297" i="21" s="1"/>
  <c r="L1297" i="21"/>
  <c r="K1297" i="21"/>
  <c r="G1297" i="21"/>
  <c r="I1297" i="21" s="1"/>
  <c r="AB1296" i="21"/>
  <c r="V1296" i="21"/>
  <c r="W1296" i="21" s="1"/>
  <c r="L1296" i="21"/>
  <c r="K1296" i="21"/>
  <c r="G1296" i="21"/>
  <c r="I1296" i="21" s="1"/>
  <c r="AB1295" i="21"/>
  <c r="V1295" i="21"/>
  <c r="W1295" i="21" s="1"/>
  <c r="L1295" i="21"/>
  <c r="K1295" i="21"/>
  <c r="G1295" i="21"/>
  <c r="I1295" i="21" s="1"/>
  <c r="AB1294" i="21"/>
  <c r="V1294" i="21"/>
  <c r="W1294" i="21" s="1"/>
  <c r="L1294" i="21"/>
  <c r="K1294" i="21"/>
  <c r="G1294" i="21"/>
  <c r="I1294" i="21" s="1"/>
  <c r="AB1293" i="21"/>
  <c r="V1293" i="21"/>
  <c r="W1293" i="21" s="1"/>
  <c r="L1293" i="21"/>
  <c r="K1293" i="21"/>
  <c r="G1293" i="21"/>
  <c r="I1293" i="21" s="1"/>
  <c r="AB1292" i="21"/>
  <c r="V1292" i="21"/>
  <c r="W1292" i="21" s="1"/>
  <c r="L1292" i="21"/>
  <c r="K1292" i="21"/>
  <c r="G1292" i="21"/>
  <c r="I1292" i="21" s="1"/>
  <c r="AB1291" i="21"/>
  <c r="V1291" i="21"/>
  <c r="W1291" i="21" s="1"/>
  <c r="L1291" i="21"/>
  <c r="K1291" i="21"/>
  <c r="G1291" i="21"/>
  <c r="I1291" i="21" s="1"/>
  <c r="AB1290" i="21"/>
  <c r="V1290" i="21"/>
  <c r="W1290" i="21" s="1"/>
  <c r="L1290" i="21"/>
  <c r="K1290" i="21"/>
  <c r="G1290" i="21"/>
  <c r="I1290" i="21" s="1"/>
  <c r="AB1289" i="21"/>
  <c r="V1289" i="21"/>
  <c r="W1289" i="21" s="1"/>
  <c r="L1289" i="21"/>
  <c r="K1289" i="21"/>
  <c r="G1289" i="21"/>
  <c r="I1289" i="21" s="1"/>
  <c r="AB1288" i="21"/>
  <c r="V1288" i="21"/>
  <c r="W1288" i="21" s="1"/>
  <c r="L1288" i="21"/>
  <c r="K1288" i="21"/>
  <c r="G1288" i="21"/>
  <c r="I1288" i="21" s="1"/>
  <c r="AB1287" i="21"/>
  <c r="V1287" i="21"/>
  <c r="W1287" i="21" s="1"/>
  <c r="L1287" i="21"/>
  <c r="K1287" i="21"/>
  <c r="G1287" i="21"/>
  <c r="I1287" i="21" s="1"/>
  <c r="AB1286" i="21"/>
  <c r="V1286" i="21"/>
  <c r="W1286" i="21" s="1"/>
  <c r="L1286" i="21"/>
  <c r="K1286" i="21"/>
  <c r="G1286" i="21"/>
  <c r="I1286" i="21" s="1"/>
  <c r="AB1285" i="21"/>
  <c r="V1285" i="21"/>
  <c r="W1285" i="21" s="1"/>
  <c r="L1285" i="21"/>
  <c r="K1285" i="21"/>
  <c r="G1285" i="21"/>
  <c r="I1285" i="21" s="1"/>
  <c r="AB1284" i="21"/>
  <c r="V1284" i="21"/>
  <c r="W1284" i="21" s="1"/>
  <c r="L1284" i="21"/>
  <c r="K1284" i="21"/>
  <c r="G1284" i="21"/>
  <c r="I1284" i="21" s="1"/>
  <c r="AB1283" i="21"/>
  <c r="V1283" i="21"/>
  <c r="W1283" i="21" s="1"/>
  <c r="L1283" i="21"/>
  <c r="K1283" i="21"/>
  <c r="G1283" i="21"/>
  <c r="I1283" i="21" s="1"/>
  <c r="AB1282" i="21"/>
  <c r="V1282" i="21"/>
  <c r="W1282" i="21" s="1"/>
  <c r="L1282" i="21"/>
  <c r="K1282" i="21"/>
  <c r="G1282" i="21"/>
  <c r="I1282" i="21" s="1"/>
  <c r="AB1281" i="21"/>
  <c r="V1281" i="21"/>
  <c r="W1281" i="21" s="1"/>
  <c r="L1281" i="21"/>
  <c r="K1281" i="21"/>
  <c r="G1281" i="21"/>
  <c r="I1281" i="21" s="1"/>
  <c r="AB1280" i="21"/>
  <c r="V1280" i="21"/>
  <c r="W1280" i="21" s="1"/>
  <c r="L1280" i="21"/>
  <c r="K1280" i="21"/>
  <c r="G1280" i="21"/>
  <c r="I1280" i="21" s="1"/>
  <c r="AB1279" i="21"/>
  <c r="V1279" i="21"/>
  <c r="W1279" i="21" s="1"/>
  <c r="L1279" i="21"/>
  <c r="K1279" i="21"/>
  <c r="G1279" i="21"/>
  <c r="I1279" i="21" s="1"/>
  <c r="AB1278" i="21"/>
  <c r="V1278" i="21"/>
  <c r="W1278" i="21" s="1"/>
  <c r="L1278" i="21"/>
  <c r="K1278" i="21"/>
  <c r="G1278" i="21"/>
  <c r="I1278" i="21" s="1"/>
  <c r="AB1277" i="21"/>
  <c r="V1277" i="21"/>
  <c r="W1277" i="21" s="1"/>
  <c r="L1277" i="21"/>
  <c r="K1277" i="21"/>
  <c r="G1277" i="21"/>
  <c r="I1277" i="21" s="1"/>
  <c r="AB1276" i="21"/>
  <c r="V1276" i="21"/>
  <c r="W1276" i="21" s="1"/>
  <c r="L1276" i="21"/>
  <c r="K1276" i="21"/>
  <c r="G1276" i="21"/>
  <c r="I1276" i="21" s="1"/>
  <c r="AB1275" i="21"/>
  <c r="V1275" i="21"/>
  <c r="W1275" i="21" s="1"/>
  <c r="L1275" i="21"/>
  <c r="K1275" i="21"/>
  <c r="G1275" i="21"/>
  <c r="I1275" i="21" s="1"/>
  <c r="AB1274" i="21"/>
  <c r="V1274" i="21"/>
  <c r="W1274" i="21" s="1"/>
  <c r="L1274" i="21"/>
  <c r="K1274" i="21"/>
  <c r="G1274" i="21"/>
  <c r="I1274" i="21" s="1"/>
  <c r="AB1273" i="21"/>
  <c r="V1273" i="21"/>
  <c r="W1273" i="21" s="1"/>
  <c r="L1273" i="21"/>
  <c r="K1273" i="21"/>
  <c r="G1273" i="21"/>
  <c r="I1273" i="21" s="1"/>
  <c r="AB1272" i="21"/>
  <c r="V1272" i="21"/>
  <c r="W1272" i="21" s="1"/>
  <c r="L1272" i="21"/>
  <c r="K1272" i="21"/>
  <c r="G1272" i="21"/>
  <c r="I1272" i="21" s="1"/>
  <c r="AB1271" i="21"/>
  <c r="V1271" i="21"/>
  <c r="W1271" i="21" s="1"/>
  <c r="L1271" i="21"/>
  <c r="K1271" i="21"/>
  <c r="G1271" i="21"/>
  <c r="I1271" i="21" s="1"/>
  <c r="AB1270" i="21"/>
  <c r="V1270" i="21"/>
  <c r="W1270" i="21" s="1"/>
  <c r="L1270" i="21"/>
  <c r="K1270" i="21"/>
  <c r="G1270" i="21"/>
  <c r="I1270" i="21" s="1"/>
  <c r="AB1269" i="21"/>
  <c r="V1269" i="21"/>
  <c r="W1269" i="21" s="1"/>
  <c r="L1269" i="21"/>
  <c r="K1269" i="21"/>
  <c r="G1269" i="21"/>
  <c r="I1269" i="21" s="1"/>
  <c r="AB1268" i="21"/>
  <c r="V1268" i="21"/>
  <c r="W1268" i="21" s="1"/>
  <c r="L1268" i="21"/>
  <c r="K1268" i="21"/>
  <c r="G1268" i="21"/>
  <c r="I1268" i="21" s="1"/>
  <c r="AB1267" i="21"/>
  <c r="V1267" i="21"/>
  <c r="W1267" i="21" s="1"/>
  <c r="L1267" i="21"/>
  <c r="K1267" i="21"/>
  <c r="G1267" i="21"/>
  <c r="I1267" i="21" s="1"/>
  <c r="AB1266" i="21"/>
  <c r="V1266" i="21"/>
  <c r="W1266" i="21" s="1"/>
  <c r="L1266" i="21"/>
  <c r="K1266" i="21"/>
  <c r="G1266" i="21"/>
  <c r="I1266" i="21" s="1"/>
  <c r="AB1265" i="21"/>
  <c r="V1265" i="21"/>
  <c r="W1265" i="21" s="1"/>
  <c r="L1265" i="21"/>
  <c r="K1265" i="21"/>
  <c r="G1265" i="21"/>
  <c r="I1265" i="21" s="1"/>
  <c r="AB1264" i="21"/>
  <c r="V1264" i="21"/>
  <c r="W1264" i="21" s="1"/>
  <c r="L1264" i="21"/>
  <c r="K1264" i="21"/>
  <c r="G1264" i="21"/>
  <c r="I1264" i="21" s="1"/>
  <c r="AB1263" i="21"/>
  <c r="V1263" i="21"/>
  <c r="W1263" i="21" s="1"/>
  <c r="L1263" i="21"/>
  <c r="K1263" i="21"/>
  <c r="G1263" i="21"/>
  <c r="I1263" i="21" s="1"/>
  <c r="AB1262" i="21"/>
  <c r="V1262" i="21"/>
  <c r="W1262" i="21" s="1"/>
  <c r="L1262" i="21"/>
  <c r="K1262" i="21"/>
  <c r="G1262" i="21"/>
  <c r="I1262" i="21" s="1"/>
  <c r="AB1261" i="21"/>
  <c r="V1261" i="21"/>
  <c r="W1261" i="21" s="1"/>
  <c r="L1261" i="21"/>
  <c r="K1261" i="21"/>
  <c r="G1261" i="21"/>
  <c r="I1261" i="21" s="1"/>
  <c r="AB1260" i="21"/>
  <c r="V1260" i="21"/>
  <c r="W1260" i="21" s="1"/>
  <c r="L1260" i="21"/>
  <c r="K1260" i="21"/>
  <c r="G1260" i="21"/>
  <c r="I1260" i="21" s="1"/>
  <c r="AB1259" i="21"/>
  <c r="V1259" i="21"/>
  <c r="W1259" i="21" s="1"/>
  <c r="L1259" i="21"/>
  <c r="K1259" i="21"/>
  <c r="G1259" i="21"/>
  <c r="I1259" i="21" s="1"/>
  <c r="AB1258" i="21"/>
  <c r="V1258" i="21"/>
  <c r="W1258" i="21" s="1"/>
  <c r="L1258" i="21"/>
  <c r="K1258" i="21"/>
  <c r="G1258" i="21"/>
  <c r="I1258" i="21" s="1"/>
  <c r="AB1257" i="21"/>
  <c r="V1257" i="21"/>
  <c r="W1257" i="21" s="1"/>
  <c r="L1257" i="21"/>
  <c r="K1257" i="21"/>
  <c r="G1257" i="21"/>
  <c r="I1257" i="21" s="1"/>
  <c r="AB1256" i="21"/>
  <c r="V1256" i="21"/>
  <c r="W1256" i="21" s="1"/>
  <c r="L1256" i="21"/>
  <c r="K1256" i="21"/>
  <c r="G1256" i="21"/>
  <c r="I1256" i="21" s="1"/>
  <c r="AB1255" i="21"/>
  <c r="V1255" i="21"/>
  <c r="W1255" i="21" s="1"/>
  <c r="L1255" i="21"/>
  <c r="K1255" i="21"/>
  <c r="G1255" i="21"/>
  <c r="I1255" i="21" s="1"/>
  <c r="AB1254" i="21"/>
  <c r="V1254" i="21"/>
  <c r="W1254" i="21" s="1"/>
  <c r="L1254" i="21"/>
  <c r="K1254" i="21"/>
  <c r="G1254" i="21"/>
  <c r="I1254" i="21" s="1"/>
  <c r="AB1253" i="21"/>
  <c r="V1253" i="21"/>
  <c r="W1253" i="21" s="1"/>
  <c r="L1253" i="21"/>
  <c r="K1253" i="21"/>
  <c r="G1253" i="21"/>
  <c r="I1253" i="21" s="1"/>
  <c r="AB1252" i="21"/>
  <c r="V1252" i="21"/>
  <c r="W1252" i="21" s="1"/>
  <c r="L1252" i="21"/>
  <c r="K1252" i="21"/>
  <c r="G1252" i="21"/>
  <c r="I1252" i="21" s="1"/>
  <c r="AB1251" i="21"/>
  <c r="V1251" i="21"/>
  <c r="W1251" i="21" s="1"/>
  <c r="L1251" i="21"/>
  <c r="K1251" i="21"/>
  <c r="G1251" i="21"/>
  <c r="I1251" i="21" s="1"/>
  <c r="AB1250" i="21"/>
  <c r="V1250" i="21"/>
  <c r="W1250" i="21" s="1"/>
  <c r="L1250" i="21"/>
  <c r="K1250" i="21"/>
  <c r="G1250" i="21"/>
  <c r="I1250" i="21" s="1"/>
  <c r="AB1249" i="21"/>
  <c r="V1249" i="21"/>
  <c r="W1249" i="21" s="1"/>
  <c r="L1249" i="21"/>
  <c r="K1249" i="21"/>
  <c r="G1249" i="21"/>
  <c r="I1249" i="21" s="1"/>
  <c r="AB1248" i="21"/>
  <c r="V1248" i="21"/>
  <c r="W1248" i="21" s="1"/>
  <c r="L1248" i="21"/>
  <c r="K1248" i="21"/>
  <c r="G1248" i="21"/>
  <c r="I1248" i="21" s="1"/>
  <c r="AB1247" i="21"/>
  <c r="V1247" i="21"/>
  <c r="W1247" i="21" s="1"/>
  <c r="L1247" i="21"/>
  <c r="K1247" i="21"/>
  <c r="G1247" i="21"/>
  <c r="I1247" i="21" s="1"/>
  <c r="AB1246" i="21"/>
  <c r="V1246" i="21"/>
  <c r="W1246" i="21" s="1"/>
  <c r="L1246" i="21"/>
  <c r="K1246" i="21"/>
  <c r="G1246" i="21"/>
  <c r="I1246" i="21" s="1"/>
  <c r="AB1245" i="21"/>
  <c r="V1245" i="21"/>
  <c r="W1245" i="21" s="1"/>
  <c r="L1245" i="21"/>
  <c r="K1245" i="21"/>
  <c r="G1245" i="21"/>
  <c r="I1245" i="21" s="1"/>
  <c r="AB1244" i="21"/>
  <c r="V1244" i="21"/>
  <c r="W1244" i="21" s="1"/>
  <c r="L1244" i="21"/>
  <c r="K1244" i="21"/>
  <c r="G1244" i="21"/>
  <c r="I1244" i="21" s="1"/>
  <c r="AB1243" i="21"/>
  <c r="V1243" i="21"/>
  <c r="W1243" i="21" s="1"/>
  <c r="L1243" i="21"/>
  <c r="K1243" i="21"/>
  <c r="G1243" i="21"/>
  <c r="I1243" i="21" s="1"/>
  <c r="AB1242" i="21"/>
  <c r="V1242" i="21"/>
  <c r="W1242" i="21" s="1"/>
  <c r="L1242" i="21"/>
  <c r="K1242" i="21"/>
  <c r="G1242" i="21"/>
  <c r="I1242" i="21" s="1"/>
  <c r="AB1241" i="21"/>
  <c r="V1241" i="21"/>
  <c r="W1241" i="21" s="1"/>
  <c r="L1241" i="21"/>
  <c r="K1241" i="21"/>
  <c r="G1241" i="21"/>
  <c r="I1241" i="21" s="1"/>
  <c r="AB1240" i="21"/>
  <c r="V1240" i="21"/>
  <c r="W1240" i="21" s="1"/>
  <c r="L1240" i="21"/>
  <c r="K1240" i="21"/>
  <c r="G1240" i="21"/>
  <c r="I1240" i="21" s="1"/>
  <c r="AB1239" i="21"/>
  <c r="V1239" i="21"/>
  <c r="W1239" i="21" s="1"/>
  <c r="L1239" i="21"/>
  <c r="K1239" i="21"/>
  <c r="G1239" i="21"/>
  <c r="I1239" i="21" s="1"/>
  <c r="AB1238" i="21"/>
  <c r="V1238" i="21"/>
  <c r="W1238" i="21" s="1"/>
  <c r="L1238" i="21"/>
  <c r="K1238" i="21"/>
  <c r="G1238" i="21"/>
  <c r="I1238" i="21" s="1"/>
  <c r="AB1237" i="21"/>
  <c r="V1237" i="21"/>
  <c r="W1237" i="21" s="1"/>
  <c r="L1237" i="21"/>
  <c r="K1237" i="21"/>
  <c r="G1237" i="21"/>
  <c r="I1237" i="21" s="1"/>
  <c r="AB1236" i="21"/>
  <c r="V1236" i="21"/>
  <c r="W1236" i="21" s="1"/>
  <c r="L1236" i="21"/>
  <c r="K1236" i="21"/>
  <c r="G1236" i="21"/>
  <c r="I1236" i="21" s="1"/>
  <c r="AB1235" i="21"/>
  <c r="V1235" i="21"/>
  <c r="W1235" i="21" s="1"/>
  <c r="L1235" i="21"/>
  <c r="K1235" i="21"/>
  <c r="G1235" i="21"/>
  <c r="I1235" i="21" s="1"/>
  <c r="AB1234" i="21"/>
  <c r="V1234" i="21"/>
  <c r="W1234" i="21" s="1"/>
  <c r="L1234" i="21"/>
  <c r="K1234" i="21"/>
  <c r="G1234" i="21"/>
  <c r="I1234" i="21" s="1"/>
  <c r="AB1233" i="21"/>
  <c r="V1233" i="21"/>
  <c r="W1233" i="21" s="1"/>
  <c r="L1233" i="21"/>
  <c r="K1233" i="21"/>
  <c r="G1233" i="21"/>
  <c r="I1233" i="21" s="1"/>
  <c r="AB1232" i="21"/>
  <c r="V1232" i="21"/>
  <c r="W1232" i="21" s="1"/>
  <c r="L1232" i="21"/>
  <c r="K1232" i="21"/>
  <c r="G1232" i="21"/>
  <c r="I1232" i="21" s="1"/>
  <c r="AB1231" i="21"/>
  <c r="V1231" i="21"/>
  <c r="W1231" i="21" s="1"/>
  <c r="L1231" i="21"/>
  <c r="K1231" i="21"/>
  <c r="G1231" i="21"/>
  <c r="I1231" i="21" s="1"/>
  <c r="AB1230" i="21"/>
  <c r="V1230" i="21"/>
  <c r="W1230" i="21" s="1"/>
  <c r="L1230" i="21"/>
  <c r="K1230" i="21"/>
  <c r="G1230" i="21"/>
  <c r="I1230" i="21" s="1"/>
  <c r="AB1229" i="21"/>
  <c r="V1229" i="21"/>
  <c r="W1229" i="21" s="1"/>
  <c r="L1229" i="21"/>
  <c r="K1229" i="21"/>
  <c r="G1229" i="21"/>
  <c r="I1229" i="21" s="1"/>
  <c r="AB1228" i="21"/>
  <c r="V1228" i="21"/>
  <c r="W1228" i="21" s="1"/>
  <c r="L1228" i="21"/>
  <c r="K1228" i="21"/>
  <c r="G1228" i="21"/>
  <c r="I1228" i="21" s="1"/>
  <c r="AB1227" i="21"/>
  <c r="V1227" i="21"/>
  <c r="W1227" i="21" s="1"/>
  <c r="L1227" i="21"/>
  <c r="K1227" i="21"/>
  <c r="G1227" i="21"/>
  <c r="I1227" i="21" s="1"/>
  <c r="AB1226" i="21"/>
  <c r="V1226" i="21"/>
  <c r="W1226" i="21" s="1"/>
  <c r="L1226" i="21"/>
  <c r="K1226" i="21"/>
  <c r="G1226" i="21"/>
  <c r="I1226" i="21" s="1"/>
  <c r="AB1225" i="21"/>
  <c r="V1225" i="21"/>
  <c r="W1225" i="21" s="1"/>
  <c r="L1225" i="21"/>
  <c r="K1225" i="21"/>
  <c r="G1225" i="21"/>
  <c r="I1225" i="21" s="1"/>
  <c r="AB1224" i="21"/>
  <c r="V1224" i="21"/>
  <c r="W1224" i="21" s="1"/>
  <c r="L1224" i="21"/>
  <c r="K1224" i="21"/>
  <c r="G1224" i="21"/>
  <c r="I1224" i="21" s="1"/>
  <c r="AB1223" i="21"/>
  <c r="V1223" i="21"/>
  <c r="W1223" i="21" s="1"/>
  <c r="L1223" i="21"/>
  <c r="K1223" i="21"/>
  <c r="G1223" i="21"/>
  <c r="I1223" i="21" s="1"/>
  <c r="AB1222" i="21"/>
  <c r="V1222" i="21"/>
  <c r="W1222" i="21" s="1"/>
  <c r="L1222" i="21"/>
  <c r="K1222" i="21"/>
  <c r="G1222" i="21"/>
  <c r="I1222" i="21" s="1"/>
  <c r="AB1221" i="21"/>
  <c r="V1221" i="21"/>
  <c r="W1221" i="21" s="1"/>
  <c r="L1221" i="21"/>
  <c r="K1221" i="21"/>
  <c r="G1221" i="21"/>
  <c r="I1221" i="21" s="1"/>
  <c r="AB1220" i="21"/>
  <c r="V1220" i="21"/>
  <c r="W1220" i="21" s="1"/>
  <c r="L1220" i="21"/>
  <c r="K1220" i="21"/>
  <c r="G1220" i="21"/>
  <c r="I1220" i="21" s="1"/>
  <c r="AB1219" i="21"/>
  <c r="V1219" i="21"/>
  <c r="W1219" i="21" s="1"/>
  <c r="L1219" i="21"/>
  <c r="K1219" i="21"/>
  <c r="G1219" i="21"/>
  <c r="I1219" i="21" s="1"/>
  <c r="AB1218" i="21"/>
  <c r="V1218" i="21"/>
  <c r="W1218" i="21" s="1"/>
  <c r="L1218" i="21"/>
  <c r="K1218" i="21"/>
  <c r="G1218" i="21"/>
  <c r="I1218" i="21" s="1"/>
  <c r="AB1217" i="21"/>
  <c r="V1217" i="21"/>
  <c r="W1217" i="21" s="1"/>
  <c r="L1217" i="21"/>
  <c r="K1217" i="21"/>
  <c r="G1217" i="21"/>
  <c r="I1217" i="21" s="1"/>
  <c r="AB1216" i="21"/>
  <c r="V1216" i="21"/>
  <c r="W1216" i="21" s="1"/>
  <c r="L1216" i="21"/>
  <c r="K1216" i="21"/>
  <c r="G1216" i="21"/>
  <c r="I1216" i="21" s="1"/>
  <c r="AB1215" i="21"/>
  <c r="V1215" i="21"/>
  <c r="W1215" i="21" s="1"/>
  <c r="L1215" i="21"/>
  <c r="K1215" i="21"/>
  <c r="G1215" i="21"/>
  <c r="I1215" i="21" s="1"/>
  <c r="AB1214" i="21"/>
  <c r="V1214" i="21"/>
  <c r="W1214" i="21" s="1"/>
  <c r="L1214" i="21"/>
  <c r="K1214" i="21"/>
  <c r="G1214" i="21"/>
  <c r="I1214" i="21" s="1"/>
  <c r="AB1213" i="21"/>
  <c r="V1213" i="21"/>
  <c r="W1213" i="21" s="1"/>
  <c r="L1213" i="21"/>
  <c r="K1213" i="21"/>
  <c r="G1213" i="21"/>
  <c r="I1213" i="21" s="1"/>
  <c r="AB1212" i="21"/>
  <c r="V1212" i="21"/>
  <c r="W1212" i="21" s="1"/>
  <c r="L1212" i="21"/>
  <c r="K1212" i="21"/>
  <c r="G1212" i="21"/>
  <c r="I1212" i="21" s="1"/>
  <c r="AB1211" i="21"/>
  <c r="V1211" i="21"/>
  <c r="W1211" i="21" s="1"/>
  <c r="L1211" i="21"/>
  <c r="K1211" i="21"/>
  <c r="G1211" i="21"/>
  <c r="I1211" i="21" s="1"/>
  <c r="AB1210" i="21"/>
  <c r="V1210" i="21"/>
  <c r="W1210" i="21" s="1"/>
  <c r="L1210" i="21"/>
  <c r="K1210" i="21"/>
  <c r="G1210" i="21"/>
  <c r="I1210" i="21" s="1"/>
  <c r="AB1209" i="21"/>
  <c r="V1209" i="21"/>
  <c r="W1209" i="21" s="1"/>
  <c r="L1209" i="21"/>
  <c r="K1209" i="21"/>
  <c r="G1209" i="21"/>
  <c r="I1209" i="21" s="1"/>
  <c r="AB1208" i="21"/>
  <c r="V1208" i="21"/>
  <c r="W1208" i="21" s="1"/>
  <c r="L1208" i="21"/>
  <c r="K1208" i="21"/>
  <c r="G1208" i="21"/>
  <c r="I1208" i="21" s="1"/>
  <c r="AB1207" i="21"/>
  <c r="V1207" i="21"/>
  <c r="W1207" i="21" s="1"/>
  <c r="L1207" i="21"/>
  <c r="K1207" i="21"/>
  <c r="G1207" i="21"/>
  <c r="I1207" i="21" s="1"/>
  <c r="AB1206" i="21"/>
  <c r="V1206" i="21"/>
  <c r="W1206" i="21" s="1"/>
  <c r="L1206" i="21"/>
  <c r="K1206" i="21"/>
  <c r="G1206" i="21"/>
  <c r="I1206" i="21" s="1"/>
  <c r="AB1205" i="21"/>
  <c r="V1205" i="21"/>
  <c r="W1205" i="21" s="1"/>
  <c r="L1205" i="21"/>
  <c r="K1205" i="21"/>
  <c r="G1205" i="21"/>
  <c r="I1205" i="21" s="1"/>
  <c r="AB1204" i="21"/>
  <c r="V1204" i="21"/>
  <c r="W1204" i="21" s="1"/>
  <c r="L1204" i="21"/>
  <c r="K1204" i="21"/>
  <c r="G1204" i="21"/>
  <c r="I1204" i="21" s="1"/>
  <c r="AB1203" i="21"/>
  <c r="V1203" i="21"/>
  <c r="W1203" i="21" s="1"/>
  <c r="L1203" i="21"/>
  <c r="K1203" i="21"/>
  <c r="G1203" i="21"/>
  <c r="I1203" i="21" s="1"/>
  <c r="AB1202" i="21"/>
  <c r="V1202" i="21"/>
  <c r="W1202" i="21" s="1"/>
  <c r="L1202" i="21"/>
  <c r="K1202" i="21"/>
  <c r="G1202" i="21"/>
  <c r="I1202" i="21" s="1"/>
  <c r="AB1201" i="21"/>
  <c r="V1201" i="21"/>
  <c r="W1201" i="21" s="1"/>
  <c r="L1201" i="21"/>
  <c r="K1201" i="21"/>
  <c r="G1201" i="21"/>
  <c r="I1201" i="21" s="1"/>
  <c r="AB1200" i="21"/>
  <c r="V1200" i="21"/>
  <c r="W1200" i="21" s="1"/>
  <c r="L1200" i="21"/>
  <c r="K1200" i="21"/>
  <c r="G1200" i="21"/>
  <c r="I1200" i="21" s="1"/>
  <c r="AB1199" i="21"/>
  <c r="V1199" i="21"/>
  <c r="W1199" i="21" s="1"/>
  <c r="L1199" i="21"/>
  <c r="K1199" i="21"/>
  <c r="G1199" i="21"/>
  <c r="I1199" i="21" s="1"/>
  <c r="AB1198" i="21"/>
  <c r="V1198" i="21"/>
  <c r="W1198" i="21" s="1"/>
  <c r="L1198" i="21"/>
  <c r="K1198" i="21"/>
  <c r="G1198" i="21"/>
  <c r="I1198" i="21" s="1"/>
  <c r="AB1197" i="21"/>
  <c r="V1197" i="21"/>
  <c r="W1197" i="21" s="1"/>
  <c r="L1197" i="21"/>
  <c r="K1197" i="21"/>
  <c r="G1197" i="21"/>
  <c r="I1197" i="21" s="1"/>
  <c r="AB1196" i="21"/>
  <c r="V1196" i="21"/>
  <c r="W1196" i="21" s="1"/>
  <c r="L1196" i="21"/>
  <c r="K1196" i="21"/>
  <c r="G1196" i="21"/>
  <c r="I1196" i="21" s="1"/>
  <c r="AB1195" i="21"/>
  <c r="V1195" i="21"/>
  <c r="W1195" i="21" s="1"/>
  <c r="L1195" i="21"/>
  <c r="K1195" i="21"/>
  <c r="G1195" i="21"/>
  <c r="I1195" i="21" s="1"/>
  <c r="AB1194" i="21"/>
  <c r="V1194" i="21"/>
  <c r="W1194" i="21" s="1"/>
  <c r="L1194" i="21"/>
  <c r="K1194" i="21"/>
  <c r="G1194" i="21"/>
  <c r="I1194" i="21" s="1"/>
  <c r="AB1193" i="21"/>
  <c r="V1193" i="21"/>
  <c r="W1193" i="21" s="1"/>
  <c r="L1193" i="21"/>
  <c r="K1193" i="21"/>
  <c r="G1193" i="21"/>
  <c r="I1193" i="21" s="1"/>
  <c r="AB1192" i="21"/>
  <c r="V1192" i="21"/>
  <c r="W1192" i="21" s="1"/>
  <c r="L1192" i="21"/>
  <c r="K1192" i="21"/>
  <c r="G1192" i="21"/>
  <c r="I1192" i="21" s="1"/>
  <c r="AB1191" i="21"/>
  <c r="V1191" i="21"/>
  <c r="W1191" i="21" s="1"/>
  <c r="L1191" i="21"/>
  <c r="K1191" i="21"/>
  <c r="G1191" i="21"/>
  <c r="I1191" i="21" s="1"/>
  <c r="AB1190" i="21"/>
  <c r="V1190" i="21"/>
  <c r="W1190" i="21" s="1"/>
  <c r="L1190" i="21"/>
  <c r="K1190" i="21"/>
  <c r="G1190" i="21"/>
  <c r="I1190" i="21" s="1"/>
  <c r="AB1189" i="21"/>
  <c r="V1189" i="21"/>
  <c r="W1189" i="21" s="1"/>
  <c r="L1189" i="21"/>
  <c r="K1189" i="21"/>
  <c r="G1189" i="21"/>
  <c r="I1189" i="21" s="1"/>
  <c r="AB1188" i="21"/>
  <c r="V1188" i="21"/>
  <c r="W1188" i="21" s="1"/>
  <c r="L1188" i="21"/>
  <c r="K1188" i="21"/>
  <c r="G1188" i="21"/>
  <c r="I1188" i="21" s="1"/>
  <c r="AB1187" i="21"/>
  <c r="V1187" i="21"/>
  <c r="W1187" i="21" s="1"/>
  <c r="L1187" i="21"/>
  <c r="K1187" i="21"/>
  <c r="G1187" i="21"/>
  <c r="I1187" i="21" s="1"/>
  <c r="AB1186" i="21"/>
  <c r="V1186" i="21"/>
  <c r="W1186" i="21" s="1"/>
  <c r="L1186" i="21"/>
  <c r="K1186" i="21"/>
  <c r="G1186" i="21"/>
  <c r="I1186" i="21" s="1"/>
  <c r="AB1185" i="21"/>
  <c r="V1185" i="21"/>
  <c r="W1185" i="21" s="1"/>
  <c r="L1185" i="21"/>
  <c r="K1185" i="21"/>
  <c r="G1185" i="21"/>
  <c r="I1185" i="21" s="1"/>
  <c r="AB1184" i="21"/>
  <c r="V1184" i="21"/>
  <c r="W1184" i="21" s="1"/>
  <c r="L1184" i="21"/>
  <c r="K1184" i="21"/>
  <c r="G1184" i="21"/>
  <c r="I1184" i="21" s="1"/>
  <c r="AB1183" i="21"/>
  <c r="V1183" i="21"/>
  <c r="W1183" i="21" s="1"/>
  <c r="L1183" i="21"/>
  <c r="K1183" i="21"/>
  <c r="G1183" i="21"/>
  <c r="I1183" i="21" s="1"/>
  <c r="AB1182" i="21"/>
  <c r="V1182" i="21"/>
  <c r="W1182" i="21" s="1"/>
  <c r="L1182" i="21"/>
  <c r="K1182" i="21"/>
  <c r="G1182" i="21"/>
  <c r="I1182" i="21" s="1"/>
  <c r="AB1181" i="21"/>
  <c r="V1181" i="21"/>
  <c r="W1181" i="21" s="1"/>
  <c r="L1181" i="21"/>
  <c r="K1181" i="21"/>
  <c r="G1181" i="21"/>
  <c r="I1181" i="21" s="1"/>
  <c r="AB1180" i="21"/>
  <c r="V1180" i="21"/>
  <c r="W1180" i="21" s="1"/>
  <c r="L1180" i="21"/>
  <c r="K1180" i="21"/>
  <c r="G1180" i="21"/>
  <c r="I1180" i="21" s="1"/>
  <c r="AB1179" i="21"/>
  <c r="V1179" i="21"/>
  <c r="W1179" i="21" s="1"/>
  <c r="L1179" i="21"/>
  <c r="K1179" i="21"/>
  <c r="G1179" i="21"/>
  <c r="I1179" i="21" s="1"/>
  <c r="AB1178" i="21"/>
  <c r="V1178" i="21"/>
  <c r="W1178" i="21" s="1"/>
  <c r="L1178" i="21"/>
  <c r="K1178" i="21"/>
  <c r="G1178" i="21"/>
  <c r="I1178" i="21" s="1"/>
  <c r="AB1177" i="21"/>
  <c r="V1177" i="21"/>
  <c r="W1177" i="21" s="1"/>
  <c r="L1177" i="21"/>
  <c r="K1177" i="21"/>
  <c r="G1177" i="21"/>
  <c r="I1177" i="21" s="1"/>
  <c r="AB1176" i="21"/>
  <c r="V1176" i="21"/>
  <c r="W1176" i="21" s="1"/>
  <c r="L1176" i="21"/>
  <c r="K1176" i="21"/>
  <c r="G1176" i="21"/>
  <c r="I1176" i="21" s="1"/>
  <c r="AB1175" i="21"/>
  <c r="V1175" i="21"/>
  <c r="W1175" i="21" s="1"/>
  <c r="L1175" i="21"/>
  <c r="K1175" i="21"/>
  <c r="G1175" i="21"/>
  <c r="I1175" i="21" s="1"/>
  <c r="AB1174" i="21"/>
  <c r="V1174" i="21"/>
  <c r="W1174" i="21" s="1"/>
  <c r="L1174" i="21"/>
  <c r="K1174" i="21"/>
  <c r="G1174" i="21"/>
  <c r="I1174" i="21" s="1"/>
  <c r="AB1173" i="21"/>
  <c r="V1173" i="21"/>
  <c r="W1173" i="21" s="1"/>
  <c r="L1173" i="21"/>
  <c r="K1173" i="21"/>
  <c r="G1173" i="21"/>
  <c r="I1173" i="21" s="1"/>
  <c r="AB1172" i="21"/>
  <c r="V1172" i="21"/>
  <c r="W1172" i="21" s="1"/>
  <c r="L1172" i="21"/>
  <c r="K1172" i="21"/>
  <c r="G1172" i="21"/>
  <c r="I1172" i="21" s="1"/>
  <c r="AB1171" i="21"/>
  <c r="V1171" i="21"/>
  <c r="W1171" i="21" s="1"/>
  <c r="L1171" i="21"/>
  <c r="K1171" i="21"/>
  <c r="G1171" i="21"/>
  <c r="I1171" i="21" s="1"/>
  <c r="AB1170" i="21"/>
  <c r="V1170" i="21"/>
  <c r="W1170" i="21" s="1"/>
  <c r="L1170" i="21"/>
  <c r="K1170" i="21"/>
  <c r="G1170" i="21"/>
  <c r="I1170" i="21" s="1"/>
  <c r="AB1169" i="21"/>
  <c r="V1169" i="21"/>
  <c r="W1169" i="21" s="1"/>
  <c r="L1169" i="21"/>
  <c r="K1169" i="21"/>
  <c r="G1169" i="21"/>
  <c r="I1169" i="21" s="1"/>
  <c r="AB1168" i="21"/>
  <c r="V1168" i="21"/>
  <c r="W1168" i="21" s="1"/>
  <c r="L1168" i="21"/>
  <c r="K1168" i="21"/>
  <c r="G1168" i="21"/>
  <c r="I1168" i="21" s="1"/>
  <c r="AB1167" i="21"/>
  <c r="V1167" i="21"/>
  <c r="W1167" i="21" s="1"/>
  <c r="L1167" i="21"/>
  <c r="K1167" i="21"/>
  <c r="G1167" i="21"/>
  <c r="AB1166" i="21"/>
  <c r="V1166" i="21"/>
  <c r="W1166" i="21" s="1"/>
  <c r="L1166" i="21"/>
  <c r="K1166" i="21"/>
  <c r="G1166" i="21"/>
  <c r="I1166" i="21" s="1"/>
  <c r="AB1165" i="21"/>
  <c r="V1165" i="21"/>
  <c r="W1165" i="21" s="1"/>
  <c r="L1165" i="21"/>
  <c r="K1165" i="21"/>
  <c r="G1165" i="21"/>
  <c r="I1165" i="21" s="1"/>
  <c r="AB1164" i="21"/>
  <c r="V1164" i="21"/>
  <c r="W1164" i="21" s="1"/>
  <c r="L1164" i="21"/>
  <c r="K1164" i="21"/>
  <c r="G1164" i="21"/>
  <c r="I1164" i="21" s="1"/>
  <c r="AB1163" i="21"/>
  <c r="V1163" i="21"/>
  <c r="W1163" i="21" s="1"/>
  <c r="L1163" i="21"/>
  <c r="K1163" i="21"/>
  <c r="G1163" i="21"/>
  <c r="I1163" i="21" s="1"/>
  <c r="AB1162" i="21"/>
  <c r="V1162" i="21"/>
  <c r="W1162" i="21" s="1"/>
  <c r="L1162" i="21"/>
  <c r="K1162" i="21"/>
  <c r="G1162" i="21"/>
  <c r="I1162" i="21" s="1"/>
  <c r="AB1161" i="21"/>
  <c r="V1161" i="21"/>
  <c r="W1161" i="21" s="1"/>
  <c r="L1161" i="21"/>
  <c r="K1161" i="21"/>
  <c r="G1161" i="21"/>
  <c r="I1161" i="21" s="1"/>
  <c r="AB1160" i="21"/>
  <c r="V1160" i="21"/>
  <c r="W1160" i="21" s="1"/>
  <c r="L1160" i="21"/>
  <c r="K1160" i="21"/>
  <c r="G1160" i="21"/>
  <c r="AB1159" i="21"/>
  <c r="V1159" i="21"/>
  <c r="W1159" i="21" s="1"/>
  <c r="L1159" i="21"/>
  <c r="K1159" i="21"/>
  <c r="G1159" i="21"/>
  <c r="I1159" i="21" s="1"/>
  <c r="AB1158" i="21"/>
  <c r="V1158" i="21"/>
  <c r="W1158" i="21" s="1"/>
  <c r="L1158" i="21"/>
  <c r="K1158" i="21"/>
  <c r="G1158" i="21"/>
  <c r="I1158" i="21" s="1"/>
  <c r="AB1157" i="21"/>
  <c r="V1157" i="21"/>
  <c r="W1157" i="21" s="1"/>
  <c r="L1157" i="21"/>
  <c r="K1157" i="21"/>
  <c r="G1157" i="21"/>
  <c r="I1157" i="21" s="1"/>
  <c r="AB1156" i="21"/>
  <c r="V1156" i="21"/>
  <c r="W1156" i="21" s="1"/>
  <c r="L1156" i="21"/>
  <c r="K1156" i="21"/>
  <c r="G1156" i="21"/>
  <c r="H1156" i="21" s="1"/>
  <c r="AB1155" i="21"/>
  <c r="V1155" i="21"/>
  <c r="W1155" i="21" s="1"/>
  <c r="L1155" i="21"/>
  <c r="K1155" i="21"/>
  <c r="G1155" i="21"/>
  <c r="I1155" i="21" s="1"/>
  <c r="AB1154" i="21"/>
  <c r="V1154" i="21"/>
  <c r="W1154" i="21" s="1"/>
  <c r="L1154" i="21"/>
  <c r="K1154" i="21"/>
  <c r="G1154" i="21"/>
  <c r="I1154" i="21" s="1"/>
  <c r="AB1153" i="21"/>
  <c r="V1153" i="21"/>
  <c r="W1153" i="21" s="1"/>
  <c r="L1153" i="21"/>
  <c r="K1153" i="21"/>
  <c r="G1153" i="21"/>
  <c r="I1153" i="21" s="1"/>
  <c r="AB1152" i="21"/>
  <c r="V1152" i="21"/>
  <c r="W1152" i="21" s="1"/>
  <c r="L1152" i="21"/>
  <c r="K1152" i="21"/>
  <c r="G1152" i="21"/>
  <c r="I1152" i="21" s="1"/>
  <c r="AB1151" i="21"/>
  <c r="V1151" i="21"/>
  <c r="W1151" i="21" s="1"/>
  <c r="L1151" i="21"/>
  <c r="K1151" i="21"/>
  <c r="G1151" i="21"/>
  <c r="I1151" i="21" s="1"/>
  <c r="AB1150" i="21"/>
  <c r="V1150" i="21"/>
  <c r="W1150" i="21" s="1"/>
  <c r="L1150" i="21"/>
  <c r="K1150" i="21"/>
  <c r="G1150" i="21"/>
  <c r="I1150" i="21" s="1"/>
  <c r="AB1149" i="21"/>
  <c r="V1149" i="21"/>
  <c r="W1149" i="21" s="1"/>
  <c r="L1149" i="21"/>
  <c r="K1149" i="21"/>
  <c r="G1149" i="21"/>
  <c r="I1149" i="21" s="1"/>
  <c r="AB1148" i="21"/>
  <c r="V1148" i="21"/>
  <c r="W1148" i="21" s="1"/>
  <c r="L1148" i="21"/>
  <c r="K1148" i="21"/>
  <c r="G1148" i="21"/>
  <c r="I1148" i="21" s="1"/>
  <c r="AB1147" i="21"/>
  <c r="V1147" i="21"/>
  <c r="W1147" i="21" s="1"/>
  <c r="L1147" i="21"/>
  <c r="K1147" i="21"/>
  <c r="G1147" i="21"/>
  <c r="I1147" i="21" s="1"/>
  <c r="AB1146" i="21"/>
  <c r="V1146" i="21"/>
  <c r="W1146" i="21" s="1"/>
  <c r="L1146" i="21"/>
  <c r="K1146" i="21"/>
  <c r="G1146" i="21"/>
  <c r="I1146" i="21" s="1"/>
  <c r="AB1145" i="21"/>
  <c r="V1145" i="21"/>
  <c r="W1145" i="21" s="1"/>
  <c r="L1145" i="21"/>
  <c r="K1145" i="21"/>
  <c r="G1145" i="21"/>
  <c r="I1145" i="21" s="1"/>
  <c r="AB1144" i="21"/>
  <c r="V1144" i="21"/>
  <c r="W1144" i="21" s="1"/>
  <c r="L1144" i="21"/>
  <c r="K1144" i="21"/>
  <c r="G1144" i="21"/>
  <c r="H1144" i="21" s="1"/>
  <c r="AB1143" i="21"/>
  <c r="V1143" i="21"/>
  <c r="W1143" i="21" s="1"/>
  <c r="L1143" i="21"/>
  <c r="K1143" i="21"/>
  <c r="G1143" i="21"/>
  <c r="I1143" i="21" s="1"/>
  <c r="AB1142" i="21"/>
  <c r="V1142" i="21"/>
  <c r="W1142" i="21" s="1"/>
  <c r="L1142" i="21"/>
  <c r="K1142" i="21"/>
  <c r="G1142" i="21"/>
  <c r="H1142" i="21" s="1"/>
  <c r="AB1141" i="21"/>
  <c r="V1141" i="21"/>
  <c r="W1141" i="21" s="1"/>
  <c r="L1141" i="21"/>
  <c r="K1141" i="21"/>
  <c r="G1141" i="21"/>
  <c r="I1141" i="21" s="1"/>
  <c r="AB1140" i="21"/>
  <c r="V1140" i="21"/>
  <c r="W1140" i="21" s="1"/>
  <c r="L1140" i="21"/>
  <c r="K1140" i="21"/>
  <c r="G1140" i="21"/>
  <c r="H1140" i="21" s="1"/>
  <c r="AB1139" i="21"/>
  <c r="V1139" i="21"/>
  <c r="W1139" i="21" s="1"/>
  <c r="L1139" i="21"/>
  <c r="K1139" i="21"/>
  <c r="G1139" i="21"/>
  <c r="I1139" i="21" s="1"/>
  <c r="AB1138" i="21"/>
  <c r="V1138" i="21"/>
  <c r="W1138" i="21" s="1"/>
  <c r="L1138" i="21"/>
  <c r="K1138" i="21"/>
  <c r="G1138" i="21"/>
  <c r="I1138" i="21" s="1"/>
  <c r="AB1137" i="21"/>
  <c r="V1137" i="21"/>
  <c r="W1137" i="21" s="1"/>
  <c r="L1137" i="21"/>
  <c r="K1137" i="21"/>
  <c r="G1137" i="21"/>
  <c r="AB1136" i="21"/>
  <c r="V1136" i="21"/>
  <c r="W1136" i="21" s="1"/>
  <c r="L1136" i="21"/>
  <c r="K1136" i="21"/>
  <c r="G1136" i="21"/>
  <c r="H1136" i="21" s="1"/>
  <c r="AB1135" i="21"/>
  <c r="V1135" i="21"/>
  <c r="W1135" i="21" s="1"/>
  <c r="L1135" i="21"/>
  <c r="K1135" i="21"/>
  <c r="G1135" i="21"/>
  <c r="I1135" i="21" s="1"/>
  <c r="AB1134" i="21"/>
  <c r="V1134" i="21"/>
  <c r="W1134" i="21" s="1"/>
  <c r="L1134" i="21"/>
  <c r="K1134" i="21"/>
  <c r="G1134" i="21"/>
  <c r="H1134" i="21" s="1"/>
  <c r="AB1133" i="21"/>
  <c r="V1133" i="21"/>
  <c r="W1133" i="21" s="1"/>
  <c r="L1133" i="21"/>
  <c r="K1133" i="21"/>
  <c r="G1133" i="21"/>
  <c r="I1133" i="21" s="1"/>
  <c r="AB1132" i="21"/>
  <c r="V1132" i="21"/>
  <c r="W1132" i="21" s="1"/>
  <c r="L1132" i="21"/>
  <c r="K1132" i="21"/>
  <c r="G1132" i="21"/>
  <c r="H1132" i="21" s="1"/>
  <c r="AB1131" i="21"/>
  <c r="V1131" i="21"/>
  <c r="W1131" i="21" s="1"/>
  <c r="L1131" i="21"/>
  <c r="K1131" i="21"/>
  <c r="G1131" i="21"/>
  <c r="I1131" i="21" s="1"/>
  <c r="AB1130" i="21"/>
  <c r="V1130" i="21"/>
  <c r="W1130" i="21" s="1"/>
  <c r="L1130" i="21"/>
  <c r="K1130" i="21"/>
  <c r="G1130" i="21"/>
  <c r="H1130" i="21" s="1"/>
  <c r="AB1129" i="21"/>
  <c r="V1129" i="21"/>
  <c r="W1129" i="21" s="1"/>
  <c r="L1129" i="21"/>
  <c r="K1129" i="21"/>
  <c r="G1129" i="21"/>
  <c r="I1129" i="21" s="1"/>
  <c r="AB1128" i="21"/>
  <c r="V1128" i="21"/>
  <c r="W1128" i="21" s="1"/>
  <c r="L1128" i="21"/>
  <c r="K1128" i="21"/>
  <c r="G1128" i="21"/>
  <c r="H1128" i="21" s="1"/>
  <c r="AB1127" i="21"/>
  <c r="V1127" i="21"/>
  <c r="W1127" i="21" s="1"/>
  <c r="L1127" i="21"/>
  <c r="K1127" i="21"/>
  <c r="G1127" i="21"/>
  <c r="I1127" i="21" s="1"/>
  <c r="AB1126" i="21"/>
  <c r="V1126" i="21"/>
  <c r="W1126" i="21" s="1"/>
  <c r="L1126" i="21"/>
  <c r="K1126" i="21"/>
  <c r="G1126" i="21"/>
  <c r="H1126" i="21" s="1"/>
  <c r="AB1125" i="21"/>
  <c r="V1125" i="21"/>
  <c r="W1125" i="21" s="1"/>
  <c r="L1125" i="21"/>
  <c r="K1125" i="21"/>
  <c r="G1125" i="21"/>
  <c r="I1125" i="21" s="1"/>
  <c r="AB1124" i="21"/>
  <c r="V1124" i="21"/>
  <c r="W1124" i="21" s="1"/>
  <c r="L1124" i="21"/>
  <c r="K1124" i="21"/>
  <c r="G1124" i="21"/>
  <c r="I1124" i="21" s="1"/>
  <c r="AB1123" i="21"/>
  <c r="V1123" i="21"/>
  <c r="W1123" i="21" s="1"/>
  <c r="L1123" i="21"/>
  <c r="K1123" i="21"/>
  <c r="G1123" i="21"/>
  <c r="I1123" i="21" s="1"/>
  <c r="AB1122" i="21"/>
  <c r="V1122" i="21"/>
  <c r="W1122" i="21" s="1"/>
  <c r="L1122" i="21"/>
  <c r="K1122" i="21"/>
  <c r="G1122" i="21"/>
  <c r="H1122" i="21" s="1"/>
  <c r="AB1121" i="21"/>
  <c r="V1121" i="21"/>
  <c r="W1121" i="21" s="1"/>
  <c r="L1121" i="21"/>
  <c r="K1121" i="21"/>
  <c r="G1121" i="21"/>
  <c r="I1121" i="21" s="1"/>
  <c r="AB1120" i="21"/>
  <c r="V1120" i="21"/>
  <c r="W1120" i="21" s="1"/>
  <c r="L1120" i="21"/>
  <c r="K1120" i="21"/>
  <c r="G1120" i="21"/>
  <c r="H1120" i="21" s="1"/>
  <c r="AB1119" i="21"/>
  <c r="V1119" i="21"/>
  <c r="W1119" i="21" s="1"/>
  <c r="L1119" i="21"/>
  <c r="K1119" i="21"/>
  <c r="G1119" i="21"/>
  <c r="I1119" i="21" s="1"/>
  <c r="AB1118" i="21"/>
  <c r="V1118" i="21"/>
  <c r="W1118" i="21" s="1"/>
  <c r="L1118" i="21"/>
  <c r="K1118" i="21"/>
  <c r="G1118" i="21"/>
  <c r="I1118" i="21" s="1"/>
  <c r="AB1117" i="21"/>
  <c r="V1117" i="21"/>
  <c r="W1117" i="21" s="1"/>
  <c r="L1117" i="21"/>
  <c r="K1117" i="21"/>
  <c r="G1117" i="21"/>
  <c r="AB1116" i="21"/>
  <c r="V1116" i="21"/>
  <c r="W1116" i="21" s="1"/>
  <c r="L1116" i="21"/>
  <c r="K1116" i="21"/>
  <c r="G1116" i="21"/>
  <c r="AB1115" i="21"/>
  <c r="V1115" i="21"/>
  <c r="W1115" i="21" s="1"/>
  <c r="L1115" i="21"/>
  <c r="K1115" i="21"/>
  <c r="G1115" i="21"/>
  <c r="I1115" i="21" s="1"/>
  <c r="AB1114" i="21"/>
  <c r="V1114" i="21"/>
  <c r="W1114" i="21" s="1"/>
  <c r="L1114" i="21"/>
  <c r="K1114" i="21"/>
  <c r="G1114" i="21"/>
  <c r="AB1113" i="21"/>
  <c r="V1113" i="21"/>
  <c r="W1113" i="21" s="1"/>
  <c r="L1113" i="21"/>
  <c r="K1113" i="21"/>
  <c r="G1113" i="21"/>
  <c r="I1113" i="21" s="1"/>
  <c r="AB1112" i="21"/>
  <c r="V1112" i="21"/>
  <c r="W1112" i="21" s="1"/>
  <c r="L1112" i="21"/>
  <c r="K1112" i="21"/>
  <c r="G1112" i="21"/>
  <c r="I1112" i="21" s="1"/>
  <c r="AB1111" i="21"/>
  <c r="V1111" i="21"/>
  <c r="W1111" i="21" s="1"/>
  <c r="L1111" i="21"/>
  <c r="K1111" i="21"/>
  <c r="G1111" i="21"/>
  <c r="I1111" i="21" s="1"/>
  <c r="AB1110" i="21"/>
  <c r="V1110" i="21"/>
  <c r="W1110" i="21" s="1"/>
  <c r="L1110" i="21"/>
  <c r="K1110" i="21"/>
  <c r="G1110" i="21"/>
  <c r="I1110" i="21" s="1"/>
  <c r="AB1109" i="21"/>
  <c r="V1109" i="21"/>
  <c r="W1109" i="21" s="1"/>
  <c r="L1109" i="21"/>
  <c r="K1109" i="21"/>
  <c r="G1109" i="21"/>
  <c r="I1109" i="21" s="1"/>
  <c r="AB1108" i="21"/>
  <c r="V1108" i="21"/>
  <c r="W1108" i="21" s="1"/>
  <c r="L1108" i="21"/>
  <c r="K1108" i="21"/>
  <c r="G1108" i="21"/>
  <c r="AB1107" i="21"/>
  <c r="V1107" i="21"/>
  <c r="W1107" i="21" s="1"/>
  <c r="L1107" i="21"/>
  <c r="K1107" i="21"/>
  <c r="G1107" i="21"/>
  <c r="AB1106" i="21"/>
  <c r="V1106" i="21"/>
  <c r="W1106" i="21" s="1"/>
  <c r="L1106" i="21"/>
  <c r="K1106" i="21"/>
  <c r="G1106" i="21"/>
  <c r="AB1105" i="21"/>
  <c r="V1105" i="21"/>
  <c r="W1105" i="21" s="1"/>
  <c r="L1105" i="21"/>
  <c r="K1105" i="21"/>
  <c r="G1105" i="21"/>
  <c r="I1105" i="21" s="1"/>
  <c r="AB1104" i="21"/>
  <c r="V1104" i="21"/>
  <c r="W1104" i="21" s="1"/>
  <c r="L1104" i="21"/>
  <c r="K1104" i="21"/>
  <c r="G1104" i="21"/>
  <c r="I1104" i="21" s="1"/>
  <c r="AB1103" i="21"/>
  <c r="V1103" i="21"/>
  <c r="W1103" i="21" s="1"/>
  <c r="L1103" i="21"/>
  <c r="K1103" i="21"/>
  <c r="G1103" i="21"/>
  <c r="I1103" i="21" s="1"/>
  <c r="AB1102" i="21"/>
  <c r="V1102" i="21"/>
  <c r="W1102" i="21" s="1"/>
  <c r="L1102" i="21"/>
  <c r="K1102" i="21"/>
  <c r="G1102" i="21"/>
  <c r="I1102" i="21" s="1"/>
  <c r="AB1101" i="21"/>
  <c r="V1101" i="21"/>
  <c r="W1101" i="21" s="1"/>
  <c r="L1101" i="21"/>
  <c r="K1101" i="21"/>
  <c r="G1101" i="21"/>
  <c r="I1101" i="21" s="1"/>
  <c r="AB1100" i="21"/>
  <c r="V1100" i="21"/>
  <c r="W1100" i="21" s="1"/>
  <c r="L1100" i="21"/>
  <c r="K1100" i="21"/>
  <c r="G1100" i="21"/>
  <c r="I1100" i="21" s="1"/>
  <c r="AB1099" i="21"/>
  <c r="V1099" i="21"/>
  <c r="W1099" i="21" s="1"/>
  <c r="L1099" i="21"/>
  <c r="K1099" i="21"/>
  <c r="G1099" i="21"/>
  <c r="I1099" i="21" s="1"/>
  <c r="AB1098" i="21"/>
  <c r="V1098" i="21"/>
  <c r="W1098" i="21" s="1"/>
  <c r="L1098" i="21"/>
  <c r="K1098" i="21"/>
  <c r="G1098" i="21"/>
  <c r="H1098" i="21" s="1"/>
  <c r="AB1097" i="21"/>
  <c r="V1097" i="21"/>
  <c r="W1097" i="21" s="1"/>
  <c r="L1097" i="21"/>
  <c r="K1097" i="21"/>
  <c r="G1097" i="21"/>
  <c r="I1097" i="21" s="1"/>
  <c r="AB1096" i="21"/>
  <c r="V1096" i="21"/>
  <c r="W1096" i="21" s="1"/>
  <c r="L1096" i="21"/>
  <c r="K1096" i="21"/>
  <c r="G1096" i="21"/>
  <c r="I1096" i="21" s="1"/>
  <c r="AB1095" i="21"/>
  <c r="V1095" i="21"/>
  <c r="W1095" i="21" s="1"/>
  <c r="L1095" i="21"/>
  <c r="K1095" i="21"/>
  <c r="G1095" i="21"/>
  <c r="AB1094" i="21"/>
  <c r="V1094" i="21"/>
  <c r="W1094" i="21" s="1"/>
  <c r="L1094" i="21"/>
  <c r="K1094" i="21"/>
  <c r="G1094" i="21"/>
  <c r="I1094" i="21" s="1"/>
  <c r="AB1093" i="21"/>
  <c r="V1093" i="21"/>
  <c r="W1093" i="21" s="1"/>
  <c r="L1093" i="21"/>
  <c r="K1093" i="21"/>
  <c r="G1093" i="21"/>
  <c r="I1093" i="21" s="1"/>
  <c r="AB1092" i="21"/>
  <c r="V1092" i="21"/>
  <c r="W1092" i="21" s="1"/>
  <c r="L1092" i="21"/>
  <c r="K1092" i="21"/>
  <c r="G1092" i="21"/>
  <c r="AB1091" i="21"/>
  <c r="V1091" i="21"/>
  <c r="W1091" i="21" s="1"/>
  <c r="L1091" i="21"/>
  <c r="K1091" i="21"/>
  <c r="G1091" i="21"/>
  <c r="I1091" i="21" s="1"/>
  <c r="AB1090" i="21"/>
  <c r="V1090" i="21"/>
  <c r="W1090" i="21" s="1"/>
  <c r="L1090" i="21"/>
  <c r="K1090" i="21"/>
  <c r="G1090" i="21"/>
  <c r="I1090" i="21" s="1"/>
  <c r="AB1089" i="21"/>
  <c r="V1089" i="21"/>
  <c r="W1089" i="21" s="1"/>
  <c r="L1089" i="21"/>
  <c r="K1089" i="21"/>
  <c r="G1089" i="21"/>
  <c r="I1089" i="21" s="1"/>
  <c r="AB1088" i="21"/>
  <c r="V1088" i="21"/>
  <c r="W1088" i="21" s="1"/>
  <c r="L1088" i="21"/>
  <c r="K1088" i="21"/>
  <c r="G1088" i="21"/>
  <c r="AB1087" i="21"/>
  <c r="V1087" i="21"/>
  <c r="W1087" i="21" s="1"/>
  <c r="L1087" i="21"/>
  <c r="K1087" i="21"/>
  <c r="G1087" i="21"/>
  <c r="I1087" i="21" s="1"/>
  <c r="AB1086" i="21"/>
  <c r="V1086" i="21"/>
  <c r="W1086" i="21" s="1"/>
  <c r="L1086" i="21"/>
  <c r="K1086" i="21"/>
  <c r="G1086" i="21"/>
  <c r="AB1085" i="21"/>
  <c r="V1085" i="21"/>
  <c r="W1085" i="21" s="1"/>
  <c r="L1085" i="21"/>
  <c r="K1085" i="21"/>
  <c r="G1085" i="21"/>
  <c r="I1085" i="21" s="1"/>
  <c r="AB1084" i="21"/>
  <c r="V1084" i="21"/>
  <c r="W1084" i="21" s="1"/>
  <c r="L1084" i="21"/>
  <c r="K1084" i="21"/>
  <c r="G1084" i="21"/>
  <c r="H1084" i="21" s="1"/>
  <c r="AB1083" i="21"/>
  <c r="V1083" i="21"/>
  <c r="W1083" i="21" s="1"/>
  <c r="L1083" i="21"/>
  <c r="K1083" i="21"/>
  <c r="G1083" i="21"/>
  <c r="I1083" i="21" s="1"/>
  <c r="AB1082" i="21"/>
  <c r="V1082" i="21"/>
  <c r="W1082" i="21" s="1"/>
  <c r="L1082" i="21"/>
  <c r="K1082" i="21"/>
  <c r="G1082" i="21"/>
  <c r="AB1081" i="21"/>
  <c r="V1081" i="21"/>
  <c r="W1081" i="21" s="1"/>
  <c r="L1081" i="21"/>
  <c r="K1081" i="21"/>
  <c r="G1081" i="21"/>
  <c r="I1081" i="21" s="1"/>
  <c r="AB1080" i="21"/>
  <c r="V1080" i="21"/>
  <c r="W1080" i="21" s="1"/>
  <c r="L1080" i="21"/>
  <c r="K1080" i="21"/>
  <c r="G1080" i="21"/>
  <c r="I1080" i="21" s="1"/>
  <c r="AB1079" i="21"/>
  <c r="V1079" i="21"/>
  <c r="W1079" i="21" s="1"/>
  <c r="L1079" i="21"/>
  <c r="K1079" i="21"/>
  <c r="G1079" i="21"/>
  <c r="I1079" i="21" s="1"/>
  <c r="AB1078" i="21"/>
  <c r="V1078" i="21"/>
  <c r="W1078" i="21" s="1"/>
  <c r="L1078" i="21"/>
  <c r="K1078" i="21"/>
  <c r="G1078" i="21"/>
  <c r="I1078" i="21" s="1"/>
  <c r="AB1077" i="21"/>
  <c r="V1077" i="21"/>
  <c r="W1077" i="21" s="1"/>
  <c r="L1077" i="21"/>
  <c r="K1077" i="21"/>
  <c r="G1077" i="21"/>
  <c r="I1077" i="21" s="1"/>
  <c r="AB1076" i="21"/>
  <c r="V1076" i="21"/>
  <c r="W1076" i="21" s="1"/>
  <c r="L1076" i="21"/>
  <c r="K1076" i="21"/>
  <c r="G1076" i="21"/>
  <c r="I1076" i="21" s="1"/>
  <c r="AB1075" i="21"/>
  <c r="V1075" i="21"/>
  <c r="W1075" i="21" s="1"/>
  <c r="L1075" i="21"/>
  <c r="K1075" i="21"/>
  <c r="G1075" i="21"/>
  <c r="I1075" i="21" s="1"/>
  <c r="AB1074" i="21"/>
  <c r="V1074" i="21"/>
  <c r="W1074" i="21" s="1"/>
  <c r="L1074" i="21"/>
  <c r="K1074" i="21"/>
  <c r="G1074" i="21"/>
  <c r="I1074" i="21" s="1"/>
  <c r="AB1073" i="21"/>
  <c r="V1073" i="21"/>
  <c r="W1073" i="21" s="1"/>
  <c r="L1073" i="21"/>
  <c r="K1073" i="21"/>
  <c r="G1073" i="21"/>
  <c r="AB1072" i="21"/>
  <c r="V1072" i="21"/>
  <c r="W1072" i="21" s="1"/>
  <c r="L1072" i="21"/>
  <c r="K1072" i="21"/>
  <c r="G1072" i="21"/>
  <c r="H1072" i="21" s="1"/>
  <c r="AB1071" i="21"/>
  <c r="V1071" i="21"/>
  <c r="W1071" i="21" s="1"/>
  <c r="L1071" i="21"/>
  <c r="K1071" i="21"/>
  <c r="G1071" i="21"/>
  <c r="I1071" i="21" s="1"/>
  <c r="AB1070" i="21"/>
  <c r="V1070" i="21"/>
  <c r="W1070" i="21" s="1"/>
  <c r="L1070" i="21"/>
  <c r="K1070" i="21"/>
  <c r="G1070" i="21"/>
  <c r="I1070" i="21" s="1"/>
  <c r="AB1069" i="21"/>
  <c r="V1069" i="21"/>
  <c r="W1069" i="21" s="1"/>
  <c r="L1069" i="21"/>
  <c r="K1069" i="21"/>
  <c r="G1069" i="21"/>
  <c r="I1069" i="21" s="1"/>
  <c r="AB1068" i="21"/>
  <c r="V1068" i="21"/>
  <c r="W1068" i="21" s="1"/>
  <c r="L1068" i="21"/>
  <c r="K1068" i="21"/>
  <c r="G1068" i="21"/>
  <c r="AB1067" i="21"/>
  <c r="V1067" i="21"/>
  <c r="W1067" i="21" s="1"/>
  <c r="L1067" i="21"/>
  <c r="K1067" i="21"/>
  <c r="G1067" i="21"/>
  <c r="I1067" i="21" s="1"/>
  <c r="AB1066" i="21"/>
  <c r="V1066" i="21"/>
  <c r="W1066" i="21" s="1"/>
  <c r="L1066" i="21"/>
  <c r="K1066" i="21"/>
  <c r="G1066" i="21"/>
  <c r="I1066" i="21" s="1"/>
  <c r="AB1065" i="21"/>
  <c r="V1065" i="21"/>
  <c r="W1065" i="21" s="1"/>
  <c r="L1065" i="21"/>
  <c r="K1065" i="21"/>
  <c r="G1065" i="21"/>
  <c r="AB1064" i="21"/>
  <c r="V1064" i="21"/>
  <c r="W1064" i="21" s="1"/>
  <c r="L1064" i="21"/>
  <c r="K1064" i="21"/>
  <c r="G1064" i="21"/>
  <c r="H1064" i="21" s="1"/>
  <c r="AB1063" i="21"/>
  <c r="V1063" i="21"/>
  <c r="W1063" i="21" s="1"/>
  <c r="L1063" i="21"/>
  <c r="K1063" i="21"/>
  <c r="G1063" i="21"/>
  <c r="I1063" i="21" s="1"/>
  <c r="AB1062" i="21"/>
  <c r="V1062" i="21"/>
  <c r="W1062" i="21" s="1"/>
  <c r="L1062" i="21"/>
  <c r="K1062" i="21"/>
  <c r="G1062" i="21"/>
  <c r="I1062" i="21" s="1"/>
  <c r="AB1061" i="21"/>
  <c r="V1061" i="21"/>
  <c r="W1061" i="21" s="1"/>
  <c r="L1061" i="21"/>
  <c r="K1061" i="21"/>
  <c r="G1061" i="21"/>
  <c r="I1061" i="21" s="1"/>
  <c r="AB1060" i="21"/>
  <c r="V1060" i="21"/>
  <c r="W1060" i="21" s="1"/>
  <c r="L1060" i="21"/>
  <c r="K1060" i="21"/>
  <c r="G1060" i="21"/>
  <c r="I1060" i="21" s="1"/>
  <c r="AB1059" i="21"/>
  <c r="V1059" i="21"/>
  <c r="W1059" i="21" s="1"/>
  <c r="L1059" i="21"/>
  <c r="K1059" i="21"/>
  <c r="G1059" i="21"/>
  <c r="I1059" i="21" s="1"/>
  <c r="AB1058" i="21"/>
  <c r="V1058" i="21"/>
  <c r="W1058" i="21" s="1"/>
  <c r="L1058" i="21"/>
  <c r="K1058" i="21"/>
  <c r="G1058" i="21"/>
  <c r="I1058" i="21" s="1"/>
  <c r="AB1057" i="21"/>
  <c r="V1057" i="21"/>
  <c r="W1057" i="21" s="1"/>
  <c r="L1057" i="21"/>
  <c r="K1057" i="21"/>
  <c r="G1057" i="21"/>
  <c r="I1057" i="21" s="1"/>
  <c r="AB1056" i="21"/>
  <c r="V1056" i="21"/>
  <c r="W1056" i="21" s="1"/>
  <c r="L1056" i="21"/>
  <c r="K1056" i="21"/>
  <c r="G1056" i="21"/>
  <c r="I1056" i="21" s="1"/>
  <c r="AB1055" i="21"/>
  <c r="V1055" i="21"/>
  <c r="W1055" i="21" s="1"/>
  <c r="L1055" i="21"/>
  <c r="K1055" i="21"/>
  <c r="G1055" i="21"/>
  <c r="H1055" i="21" s="1"/>
  <c r="AB1054" i="21"/>
  <c r="V1054" i="21"/>
  <c r="W1054" i="21" s="1"/>
  <c r="L1054" i="21"/>
  <c r="K1054" i="21"/>
  <c r="G1054" i="21"/>
  <c r="I1054" i="21" s="1"/>
  <c r="AB1053" i="21"/>
  <c r="V1053" i="21"/>
  <c r="W1053" i="21" s="1"/>
  <c r="L1053" i="21"/>
  <c r="K1053" i="21"/>
  <c r="G1053" i="21"/>
  <c r="I1053" i="21" s="1"/>
  <c r="AB1052" i="21"/>
  <c r="V1052" i="21"/>
  <c r="W1052" i="21" s="1"/>
  <c r="L1052" i="21"/>
  <c r="K1052" i="21"/>
  <c r="G1052" i="21"/>
  <c r="I1052" i="21" s="1"/>
  <c r="AB1051" i="21"/>
  <c r="V1051" i="21"/>
  <c r="W1051" i="21" s="1"/>
  <c r="L1051" i="21"/>
  <c r="K1051" i="21"/>
  <c r="G1051" i="21"/>
  <c r="I1051" i="21" s="1"/>
  <c r="AB1050" i="21"/>
  <c r="V1050" i="21"/>
  <c r="W1050" i="21" s="1"/>
  <c r="L1050" i="21"/>
  <c r="K1050" i="21"/>
  <c r="G1050" i="21"/>
  <c r="I1050" i="21" s="1"/>
  <c r="AB1049" i="21"/>
  <c r="V1049" i="21"/>
  <c r="W1049" i="21" s="1"/>
  <c r="L1049" i="21"/>
  <c r="K1049" i="21"/>
  <c r="G1049" i="21"/>
  <c r="H1049" i="21" s="1"/>
  <c r="AB1048" i="21"/>
  <c r="V1048" i="21"/>
  <c r="W1048" i="21" s="1"/>
  <c r="L1048" i="21"/>
  <c r="K1048" i="21"/>
  <c r="G1048" i="21"/>
  <c r="I1048" i="21" s="1"/>
  <c r="AB1047" i="21"/>
  <c r="V1047" i="21"/>
  <c r="W1047" i="21" s="1"/>
  <c r="L1047" i="21"/>
  <c r="K1047" i="21"/>
  <c r="G1047" i="21"/>
  <c r="AB1046" i="21"/>
  <c r="V1046" i="21"/>
  <c r="W1046" i="21" s="1"/>
  <c r="L1046" i="21"/>
  <c r="K1046" i="21"/>
  <c r="G1046" i="21"/>
  <c r="I1046" i="21" s="1"/>
  <c r="AB1045" i="21"/>
  <c r="V1045" i="21"/>
  <c r="W1045" i="21" s="1"/>
  <c r="L1045" i="21"/>
  <c r="K1045" i="21"/>
  <c r="G1045" i="21"/>
  <c r="I1045" i="21" s="1"/>
  <c r="AB1044" i="21"/>
  <c r="V1044" i="21"/>
  <c r="W1044" i="21" s="1"/>
  <c r="L1044" i="21"/>
  <c r="K1044" i="21"/>
  <c r="G1044" i="21"/>
  <c r="I1044" i="21" s="1"/>
  <c r="AB1043" i="21"/>
  <c r="V1043" i="21"/>
  <c r="W1043" i="21" s="1"/>
  <c r="L1043" i="21"/>
  <c r="K1043" i="21"/>
  <c r="G1043" i="21"/>
  <c r="I1043" i="21" s="1"/>
  <c r="AB1042" i="21"/>
  <c r="V1042" i="21"/>
  <c r="W1042" i="21" s="1"/>
  <c r="L1042" i="21"/>
  <c r="K1042" i="21"/>
  <c r="G1042" i="21"/>
  <c r="I1042" i="21" s="1"/>
  <c r="AB1041" i="21"/>
  <c r="V1041" i="21"/>
  <c r="W1041" i="21" s="1"/>
  <c r="L1041" i="21"/>
  <c r="K1041" i="21"/>
  <c r="G1041" i="21"/>
  <c r="I1041" i="21" s="1"/>
  <c r="AB1040" i="21"/>
  <c r="V1040" i="21"/>
  <c r="W1040" i="21" s="1"/>
  <c r="L1040" i="21"/>
  <c r="K1040" i="21"/>
  <c r="G1040" i="21"/>
  <c r="I1040" i="21" s="1"/>
  <c r="AB1039" i="21"/>
  <c r="V1039" i="21"/>
  <c r="W1039" i="21" s="1"/>
  <c r="L1039" i="21"/>
  <c r="K1039" i="21"/>
  <c r="G1039" i="21"/>
  <c r="AB1038" i="21"/>
  <c r="V1038" i="21"/>
  <c r="W1038" i="21" s="1"/>
  <c r="L1038" i="21"/>
  <c r="K1038" i="21"/>
  <c r="G1038" i="21"/>
  <c r="I1038" i="21" s="1"/>
  <c r="AB1037" i="21"/>
  <c r="V1037" i="21"/>
  <c r="W1037" i="21" s="1"/>
  <c r="L1037" i="21"/>
  <c r="K1037" i="21"/>
  <c r="G1037" i="21"/>
  <c r="AB1036" i="21"/>
  <c r="V1036" i="21"/>
  <c r="W1036" i="21" s="1"/>
  <c r="L1036" i="21"/>
  <c r="K1036" i="21"/>
  <c r="G1036" i="21"/>
  <c r="AB1035" i="21"/>
  <c r="V1035" i="21"/>
  <c r="W1035" i="21" s="1"/>
  <c r="L1035" i="21"/>
  <c r="K1035" i="21"/>
  <c r="G1035" i="21"/>
  <c r="I1035" i="21" s="1"/>
  <c r="AB1034" i="21"/>
  <c r="V1034" i="21"/>
  <c r="W1034" i="21" s="1"/>
  <c r="L1034" i="21"/>
  <c r="K1034" i="21"/>
  <c r="G1034" i="21"/>
  <c r="I1034" i="21" s="1"/>
  <c r="AB1033" i="21"/>
  <c r="V1033" i="21"/>
  <c r="W1033" i="21" s="1"/>
  <c r="L1033" i="21"/>
  <c r="K1033" i="21"/>
  <c r="G1033" i="21"/>
  <c r="I1033" i="21" s="1"/>
  <c r="AB1032" i="21"/>
  <c r="V1032" i="21"/>
  <c r="W1032" i="21" s="1"/>
  <c r="L1032" i="21"/>
  <c r="K1032" i="21"/>
  <c r="G1032" i="21"/>
  <c r="I1032" i="21" s="1"/>
  <c r="AB1031" i="21"/>
  <c r="V1031" i="21"/>
  <c r="W1031" i="21" s="1"/>
  <c r="L1031" i="21"/>
  <c r="K1031" i="21"/>
  <c r="G1031" i="21"/>
  <c r="H1031" i="21" s="1"/>
  <c r="AB1030" i="21"/>
  <c r="V1030" i="21"/>
  <c r="W1030" i="21" s="1"/>
  <c r="L1030" i="21"/>
  <c r="K1030" i="21"/>
  <c r="G1030" i="21"/>
  <c r="I1030" i="21" s="1"/>
  <c r="AB1029" i="21"/>
  <c r="V1029" i="21"/>
  <c r="W1029" i="21" s="1"/>
  <c r="L1029" i="21"/>
  <c r="K1029" i="21"/>
  <c r="G1029" i="21"/>
  <c r="I1029" i="21" s="1"/>
  <c r="AB1028" i="21"/>
  <c r="V1028" i="21"/>
  <c r="W1028" i="21" s="1"/>
  <c r="L1028" i="21"/>
  <c r="K1028" i="21"/>
  <c r="G1028" i="21"/>
  <c r="I1028" i="21" s="1"/>
  <c r="AB1027" i="21"/>
  <c r="V1027" i="21"/>
  <c r="W1027" i="21" s="1"/>
  <c r="L1027" i="21"/>
  <c r="K1027" i="21"/>
  <c r="G1027" i="21"/>
  <c r="H1027" i="21" s="1"/>
  <c r="AB1026" i="21"/>
  <c r="V1026" i="21"/>
  <c r="W1026" i="21" s="1"/>
  <c r="L1026" i="21"/>
  <c r="K1026" i="21"/>
  <c r="G1026" i="21"/>
  <c r="AB1025" i="21"/>
  <c r="V1025" i="21"/>
  <c r="W1025" i="21" s="1"/>
  <c r="L1025" i="21"/>
  <c r="K1025" i="21"/>
  <c r="G1025" i="21"/>
  <c r="I1025" i="21" s="1"/>
  <c r="AB1024" i="21"/>
  <c r="V1024" i="21"/>
  <c r="W1024" i="21" s="1"/>
  <c r="L1024" i="21"/>
  <c r="K1024" i="21"/>
  <c r="G1024" i="21"/>
  <c r="I1024" i="21" s="1"/>
  <c r="AB1023" i="21"/>
  <c r="V1023" i="21"/>
  <c r="W1023" i="21" s="1"/>
  <c r="L1023" i="21"/>
  <c r="K1023" i="21"/>
  <c r="G1023" i="21"/>
  <c r="I1023" i="21" s="1"/>
  <c r="AB1022" i="21"/>
  <c r="V1022" i="21"/>
  <c r="W1022" i="21" s="1"/>
  <c r="L1022" i="21"/>
  <c r="K1022" i="21"/>
  <c r="G1022" i="21"/>
  <c r="I1022" i="21" s="1"/>
  <c r="AB1021" i="21"/>
  <c r="V1021" i="21"/>
  <c r="W1021" i="21" s="1"/>
  <c r="L1021" i="21"/>
  <c r="K1021" i="21"/>
  <c r="G1021" i="21"/>
  <c r="I1021" i="21" s="1"/>
  <c r="AB1020" i="21"/>
  <c r="V1020" i="21"/>
  <c r="W1020" i="21" s="1"/>
  <c r="L1020" i="21"/>
  <c r="K1020" i="21"/>
  <c r="G1020" i="21"/>
  <c r="AB1019" i="21"/>
  <c r="V1019" i="21"/>
  <c r="W1019" i="21" s="1"/>
  <c r="L1019" i="21"/>
  <c r="K1019" i="21"/>
  <c r="G1019" i="21"/>
  <c r="I1019" i="21" s="1"/>
  <c r="AB1018" i="21"/>
  <c r="V1018" i="21"/>
  <c r="W1018" i="21" s="1"/>
  <c r="L1018" i="21"/>
  <c r="K1018" i="21"/>
  <c r="G1018" i="21"/>
  <c r="I1018" i="21" s="1"/>
  <c r="AB1017" i="21"/>
  <c r="V1017" i="21"/>
  <c r="W1017" i="21" s="1"/>
  <c r="L1017" i="21"/>
  <c r="K1017" i="21"/>
  <c r="G1017" i="21"/>
  <c r="H1017" i="21" s="1"/>
  <c r="AB1016" i="21"/>
  <c r="V1016" i="21"/>
  <c r="W1016" i="21" s="1"/>
  <c r="L1016" i="21"/>
  <c r="K1016" i="21"/>
  <c r="G1016" i="21"/>
  <c r="I1016" i="21" s="1"/>
  <c r="AB1015" i="21"/>
  <c r="V1015" i="21"/>
  <c r="W1015" i="21" s="1"/>
  <c r="L1015" i="21"/>
  <c r="K1015" i="21"/>
  <c r="G1015" i="21"/>
  <c r="I1015" i="21" s="1"/>
  <c r="AB1014" i="21"/>
  <c r="V1014" i="21"/>
  <c r="W1014" i="21" s="1"/>
  <c r="L1014" i="21"/>
  <c r="K1014" i="21"/>
  <c r="G1014" i="21"/>
  <c r="I1014" i="21" s="1"/>
  <c r="AB1013" i="21"/>
  <c r="V1013" i="21"/>
  <c r="W1013" i="21" s="1"/>
  <c r="L1013" i="21"/>
  <c r="K1013" i="21"/>
  <c r="G1013" i="21"/>
  <c r="I1013" i="21" s="1"/>
  <c r="AB1012" i="21"/>
  <c r="V1012" i="21"/>
  <c r="W1012" i="21" s="1"/>
  <c r="L1012" i="21"/>
  <c r="K1012" i="21"/>
  <c r="G1012" i="21"/>
  <c r="AB1011" i="21"/>
  <c r="V1011" i="21"/>
  <c r="W1011" i="21" s="1"/>
  <c r="L1011" i="21"/>
  <c r="K1011" i="21"/>
  <c r="G1011" i="21"/>
  <c r="H1011" i="21" s="1"/>
  <c r="AB1010" i="21"/>
  <c r="V1010" i="21"/>
  <c r="W1010" i="21" s="1"/>
  <c r="L1010" i="21"/>
  <c r="K1010" i="21"/>
  <c r="G1010" i="21"/>
  <c r="AB1009" i="21"/>
  <c r="V1009" i="21"/>
  <c r="W1009" i="21" s="1"/>
  <c r="L1009" i="21"/>
  <c r="K1009" i="21"/>
  <c r="G1009" i="21"/>
  <c r="I1009" i="21" s="1"/>
  <c r="AB1008" i="21"/>
  <c r="V1008" i="21"/>
  <c r="W1008" i="21" s="1"/>
  <c r="L1008" i="21"/>
  <c r="K1008" i="21"/>
  <c r="G1008" i="21"/>
  <c r="I1008" i="21" s="1"/>
  <c r="AB1007" i="21"/>
  <c r="V1007" i="21"/>
  <c r="W1007" i="21" s="1"/>
  <c r="L1007" i="21"/>
  <c r="K1007" i="21"/>
  <c r="G1007" i="21"/>
  <c r="AB1006" i="21"/>
  <c r="V1006" i="21"/>
  <c r="W1006" i="21" s="1"/>
  <c r="L1006" i="21"/>
  <c r="K1006" i="21"/>
  <c r="G1006" i="21"/>
  <c r="I1006" i="21" s="1"/>
  <c r="AB1005" i="21"/>
  <c r="V1005" i="21"/>
  <c r="W1005" i="21" s="1"/>
  <c r="L1005" i="21"/>
  <c r="K1005" i="21"/>
  <c r="G1005" i="21"/>
  <c r="I1005" i="21" s="1"/>
  <c r="AB1004" i="21"/>
  <c r="V1004" i="21"/>
  <c r="W1004" i="21" s="1"/>
  <c r="L1004" i="21"/>
  <c r="K1004" i="21"/>
  <c r="G1004" i="21"/>
  <c r="I1004" i="21" s="1"/>
  <c r="AB1003" i="21"/>
  <c r="V1003" i="21"/>
  <c r="W1003" i="21" s="1"/>
  <c r="L1003" i="21"/>
  <c r="K1003" i="21"/>
  <c r="G1003" i="21"/>
  <c r="I1003" i="21" s="1"/>
  <c r="AB1002" i="21"/>
  <c r="V1002" i="21"/>
  <c r="W1002" i="21" s="1"/>
  <c r="L1002" i="21"/>
  <c r="K1002" i="21"/>
  <c r="G1002" i="21"/>
  <c r="I1002" i="21" s="1"/>
  <c r="AB1001" i="21"/>
  <c r="V1001" i="21"/>
  <c r="W1001" i="21" s="1"/>
  <c r="L1001" i="21"/>
  <c r="K1001" i="21"/>
  <c r="G1001" i="21"/>
  <c r="AB1000" i="21"/>
  <c r="V1000" i="21"/>
  <c r="W1000" i="21" s="1"/>
  <c r="L1000" i="21"/>
  <c r="K1000" i="21"/>
  <c r="G1000" i="21"/>
  <c r="I1000" i="21" s="1"/>
  <c r="AB999" i="21"/>
  <c r="V999" i="21"/>
  <c r="W999" i="21" s="1"/>
  <c r="L999" i="21"/>
  <c r="K999" i="21"/>
  <c r="G999" i="21"/>
  <c r="H999" i="21" s="1"/>
  <c r="AB3014" i="21"/>
  <c r="V3014" i="21"/>
  <c r="W3014" i="21" s="1"/>
  <c r="L3014" i="21"/>
  <c r="K3014" i="21"/>
  <c r="H3014" i="21"/>
  <c r="M3014" i="21" s="1"/>
  <c r="G3014" i="21"/>
  <c r="I3014" i="21" s="1"/>
  <c r="AB3013" i="21"/>
  <c r="V3013" i="21"/>
  <c r="W3013" i="21" s="1"/>
  <c r="L3013" i="21"/>
  <c r="K3013" i="21"/>
  <c r="H3013" i="21"/>
  <c r="G3013" i="21"/>
  <c r="I3013" i="21" s="1"/>
  <c r="AB3012" i="21"/>
  <c r="V3012" i="21"/>
  <c r="W3012" i="21" s="1"/>
  <c r="L3012" i="21"/>
  <c r="K3012" i="21"/>
  <c r="H3012" i="21"/>
  <c r="M3012" i="21" s="1"/>
  <c r="G3012" i="21"/>
  <c r="I3012" i="21" s="1"/>
  <c r="AB3011" i="21"/>
  <c r="V3011" i="21"/>
  <c r="W3011" i="21" s="1"/>
  <c r="L3011" i="21"/>
  <c r="K3011" i="21"/>
  <c r="H3011" i="21"/>
  <c r="G3011" i="21"/>
  <c r="I3011" i="21" s="1"/>
  <c r="AB3010" i="21"/>
  <c r="V3010" i="21"/>
  <c r="W3010" i="21" s="1"/>
  <c r="L3010" i="21"/>
  <c r="K3010" i="21"/>
  <c r="H3010" i="21"/>
  <c r="M3010" i="21" s="1"/>
  <c r="G3010" i="21"/>
  <c r="I3010" i="21" s="1"/>
  <c r="AB3009" i="21"/>
  <c r="V3009" i="21"/>
  <c r="W3009" i="21" s="1"/>
  <c r="L3009" i="21"/>
  <c r="K3009" i="21"/>
  <c r="H3009" i="21"/>
  <c r="G3009" i="21"/>
  <c r="I3009" i="21" s="1"/>
  <c r="AB3008" i="21"/>
  <c r="V3008" i="21"/>
  <c r="W3008" i="21" s="1"/>
  <c r="L3008" i="21"/>
  <c r="K3008" i="21"/>
  <c r="H3008" i="21"/>
  <c r="M3008" i="21" s="1"/>
  <c r="G3008" i="21"/>
  <c r="I3008" i="21" s="1"/>
  <c r="AB3007" i="21"/>
  <c r="V3007" i="21"/>
  <c r="W3007" i="21" s="1"/>
  <c r="L3007" i="21"/>
  <c r="K3007" i="21"/>
  <c r="H3007" i="21"/>
  <c r="G3007" i="21"/>
  <c r="I3007" i="21" s="1"/>
  <c r="AB3006" i="21"/>
  <c r="V3006" i="21"/>
  <c r="W3006" i="21" s="1"/>
  <c r="L3006" i="21"/>
  <c r="K3006" i="21"/>
  <c r="H3006" i="21"/>
  <c r="M3006" i="21" s="1"/>
  <c r="G3006" i="21"/>
  <c r="I3006" i="21" s="1"/>
  <c r="AB3005" i="21"/>
  <c r="V3005" i="21"/>
  <c r="W3005" i="21" s="1"/>
  <c r="L3005" i="21"/>
  <c r="K3005" i="21"/>
  <c r="H3005" i="21"/>
  <c r="G3005" i="21"/>
  <c r="I3005" i="21" s="1"/>
  <c r="AB3004" i="21"/>
  <c r="V3004" i="21"/>
  <c r="W3004" i="21" s="1"/>
  <c r="L3004" i="21"/>
  <c r="K3004" i="21"/>
  <c r="H3004" i="21"/>
  <c r="M3004" i="21" s="1"/>
  <c r="G3004" i="21"/>
  <c r="I3004" i="21" s="1"/>
  <c r="AB3003" i="21"/>
  <c r="V3003" i="21"/>
  <c r="W3003" i="21" s="1"/>
  <c r="L3003" i="21"/>
  <c r="K3003" i="21"/>
  <c r="H3003" i="21"/>
  <c r="G3003" i="21"/>
  <c r="I3003" i="21" s="1"/>
  <c r="AB3002" i="21"/>
  <c r="V3002" i="21"/>
  <c r="W3002" i="21" s="1"/>
  <c r="L3002" i="21"/>
  <c r="K3002" i="21"/>
  <c r="H3002" i="21"/>
  <c r="M3002" i="21" s="1"/>
  <c r="G3002" i="21"/>
  <c r="I3002" i="21" s="1"/>
  <c r="AB3001" i="21"/>
  <c r="V3001" i="21"/>
  <c r="W3001" i="21" s="1"/>
  <c r="L3001" i="21"/>
  <c r="K3001" i="21"/>
  <c r="H3001" i="21"/>
  <c r="G3001" i="21"/>
  <c r="I3001" i="21" s="1"/>
  <c r="AB3000" i="21"/>
  <c r="V3000" i="21"/>
  <c r="W3000" i="21" s="1"/>
  <c r="L3000" i="21"/>
  <c r="K3000" i="21"/>
  <c r="H3000" i="21"/>
  <c r="M3000" i="21" s="1"/>
  <c r="G3000" i="21"/>
  <c r="I3000" i="21" s="1"/>
  <c r="AB2999" i="21"/>
  <c r="V2999" i="21"/>
  <c r="W2999" i="21" s="1"/>
  <c r="L2999" i="21"/>
  <c r="K2999" i="21"/>
  <c r="H2999" i="21"/>
  <c r="G2999" i="21"/>
  <c r="I2999" i="21" s="1"/>
  <c r="AB2998" i="21"/>
  <c r="V2998" i="21"/>
  <c r="W2998" i="21" s="1"/>
  <c r="L2998" i="21"/>
  <c r="K2998" i="21"/>
  <c r="H2998" i="21"/>
  <c r="M2998" i="21" s="1"/>
  <c r="G2998" i="21"/>
  <c r="I2998" i="21" s="1"/>
  <c r="AB2997" i="21"/>
  <c r="V2997" i="21"/>
  <c r="W2997" i="21" s="1"/>
  <c r="L2997" i="21"/>
  <c r="K2997" i="21"/>
  <c r="H2997" i="21"/>
  <c r="G2997" i="21"/>
  <c r="I2997" i="21" s="1"/>
  <c r="AB2996" i="21"/>
  <c r="V2996" i="21"/>
  <c r="W2996" i="21" s="1"/>
  <c r="L2996" i="21"/>
  <c r="K2996" i="21"/>
  <c r="H2996" i="21"/>
  <c r="M2996" i="21" s="1"/>
  <c r="G2996" i="21"/>
  <c r="I2996" i="21" s="1"/>
  <c r="AB2995" i="21"/>
  <c r="V2995" i="21"/>
  <c r="W2995" i="21" s="1"/>
  <c r="L2995" i="21"/>
  <c r="K2995" i="21"/>
  <c r="H2995" i="21"/>
  <c r="G2995" i="21"/>
  <c r="I2995" i="21" s="1"/>
  <c r="AB2994" i="21"/>
  <c r="V2994" i="21"/>
  <c r="W2994" i="21" s="1"/>
  <c r="L2994" i="21"/>
  <c r="K2994" i="21"/>
  <c r="H2994" i="21"/>
  <c r="M2994" i="21" s="1"/>
  <c r="G2994" i="21"/>
  <c r="I2994" i="21" s="1"/>
  <c r="AB2993" i="21"/>
  <c r="V2993" i="21"/>
  <c r="W2993" i="21" s="1"/>
  <c r="L2993" i="21"/>
  <c r="K2993" i="21"/>
  <c r="H2993" i="21"/>
  <c r="G2993" i="21"/>
  <c r="I2993" i="21" s="1"/>
  <c r="AB2992" i="21"/>
  <c r="V2992" i="21"/>
  <c r="W2992" i="21" s="1"/>
  <c r="L2992" i="21"/>
  <c r="K2992" i="21"/>
  <c r="H2992" i="21"/>
  <c r="M2992" i="21" s="1"/>
  <c r="G2992" i="21"/>
  <c r="I2992" i="21" s="1"/>
  <c r="AB2991" i="21"/>
  <c r="V2991" i="21"/>
  <c r="W2991" i="21" s="1"/>
  <c r="L2991" i="21"/>
  <c r="K2991" i="21"/>
  <c r="H2991" i="21"/>
  <c r="G2991" i="21"/>
  <c r="I2991" i="21" s="1"/>
  <c r="AB2990" i="21"/>
  <c r="V2990" i="21"/>
  <c r="W2990" i="21" s="1"/>
  <c r="L2990" i="21"/>
  <c r="K2990" i="21"/>
  <c r="H2990" i="21"/>
  <c r="M2990" i="21" s="1"/>
  <c r="G2990" i="21"/>
  <c r="I2990" i="21" s="1"/>
  <c r="AB2989" i="21"/>
  <c r="V2989" i="21"/>
  <c r="W2989" i="21" s="1"/>
  <c r="L2989" i="21"/>
  <c r="K2989" i="21"/>
  <c r="H2989" i="21"/>
  <c r="G2989" i="21"/>
  <c r="I2989" i="21" s="1"/>
  <c r="AB2988" i="21"/>
  <c r="V2988" i="21"/>
  <c r="W2988" i="21" s="1"/>
  <c r="L2988" i="21"/>
  <c r="K2988" i="21"/>
  <c r="H2988" i="21"/>
  <c r="M2988" i="21" s="1"/>
  <c r="G2988" i="21"/>
  <c r="I2988" i="21" s="1"/>
  <c r="AB2987" i="21"/>
  <c r="V2987" i="21"/>
  <c r="W2987" i="21" s="1"/>
  <c r="L2987" i="21"/>
  <c r="K2987" i="21"/>
  <c r="H2987" i="21"/>
  <c r="G2987" i="21"/>
  <c r="I2987" i="21" s="1"/>
  <c r="AB2986" i="21"/>
  <c r="V2986" i="21"/>
  <c r="W2986" i="21" s="1"/>
  <c r="L2986" i="21"/>
  <c r="K2986" i="21"/>
  <c r="H2986" i="21"/>
  <c r="M2986" i="21" s="1"/>
  <c r="G2986" i="21"/>
  <c r="I2986" i="21" s="1"/>
  <c r="AB2985" i="21"/>
  <c r="V2985" i="21"/>
  <c r="W2985" i="21" s="1"/>
  <c r="L2985" i="21"/>
  <c r="K2985" i="21"/>
  <c r="H2985" i="21"/>
  <c r="G2985" i="21"/>
  <c r="I2985" i="21" s="1"/>
  <c r="AB2984" i="21"/>
  <c r="V2984" i="21"/>
  <c r="W2984" i="21" s="1"/>
  <c r="L2984" i="21"/>
  <c r="K2984" i="21"/>
  <c r="H2984" i="21"/>
  <c r="M2984" i="21" s="1"/>
  <c r="G2984" i="21"/>
  <c r="I2984" i="21" s="1"/>
  <c r="AB2983" i="21"/>
  <c r="V2983" i="21"/>
  <c r="W2983" i="21" s="1"/>
  <c r="L2983" i="21"/>
  <c r="K2983" i="21"/>
  <c r="H2983" i="21"/>
  <c r="G2983" i="21"/>
  <c r="I2983" i="21" s="1"/>
  <c r="AB2982" i="21"/>
  <c r="V2982" i="21"/>
  <c r="W2982" i="21" s="1"/>
  <c r="L2982" i="21"/>
  <c r="K2982" i="21"/>
  <c r="H2982" i="21"/>
  <c r="M2982" i="21" s="1"/>
  <c r="G2982" i="21"/>
  <c r="I2982" i="21" s="1"/>
  <c r="AB2981" i="21"/>
  <c r="V2981" i="21"/>
  <c r="W2981" i="21" s="1"/>
  <c r="L2981" i="21"/>
  <c r="K2981" i="21"/>
  <c r="H2981" i="21"/>
  <c r="G2981" i="21"/>
  <c r="I2981" i="21" s="1"/>
  <c r="AB2980" i="21"/>
  <c r="V2980" i="21"/>
  <c r="W2980" i="21" s="1"/>
  <c r="L2980" i="21"/>
  <c r="K2980" i="21"/>
  <c r="H2980" i="21"/>
  <c r="M2980" i="21" s="1"/>
  <c r="G2980" i="21"/>
  <c r="I2980" i="21" s="1"/>
  <c r="AB2979" i="21"/>
  <c r="V2979" i="21"/>
  <c r="W2979" i="21" s="1"/>
  <c r="L2979" i="21"/>
  <c r="K2979" i="21"/>
  <c r="H2979" i="21"/>
  <c r="G2979" i="21"/>
  <c r="I2979" i="21" s="1"/>
  <c r="AB2978" i="21"/>
  <c r="V2978" i="21"/>
  <c r="W2978" i="21" s="1"/>
  <c r="L2978" i="21"/>
  <c r="K2978" i="21"/>
  <c r="H2978" i="21"/>
  <c r="M2978" i="21" s="1"/>
  <c r="G2978" i="21"/>
  <c r="I2978" i="21" s="1"/>
  <c r="AB2977" i="21"/>
  <c r="V2977" i="21"/>
  <c r="W2977" i="21" s="1"/>
  <c r="L2977" i="21"/>
  <c r="K2977" i="21"/>
  <c r="H2977" i="21"/>
  <c r="G2977" i="21"/>
  <c r="I2977" i="21" s="1"/>
  <c r="AB2976" i="21"/>
  <c r="V2976" i="21"/>
  <c r="W2976" i="21" s="1"/>
  <c r="L2976" i="21"/>
  <c r="K2976" i="21"/>
  <c r="H2976" i="21"/>
  <c r="M2976" i="21" s="1"/>
  <c r="G2976" i="21"/>
  <c r="I2976" i="21" s="1"/>
  <c r="AB2975" i="21"/>
  <c r="V2975" i="21"/>
  <c r="W2975" i="21" s="1"/>
  <c r="L2975" i="21"/>
  <c r="K2975" i="21"/>
  <c r="H2975" i="21"/>
  <c r="G2975" i="21"/>
  <c r="I2975" i="21" s="1"/>
  <c r="AB2974" i="21"/>
  <c r="V2974" i="21"/>
  <c r="W2974" i="21" s="1"/>
  <c r="L2974" i="21"/>
  <c r="K2974" i="21"/>
  <c r="H2974" i="21"/>
  <c r="M2974" i="21" s="1"/>
  <c r="G2974" i="21"/>
  <c r="I2974" i="21" s="1"/>
  <c r="AB2973" i="21"/>
  <c r="V2973" i="21"/>
  <c r="W2973" i="21" s="1"/>
  <c r="L2973" i="21"/>
  <c r="K2973" i="21"/>
  <c r="H2973" i="21"/>
  <c r="G2973" i="21"/>
  <c r="I2973" i="21" s="1"/>
  <c r="AB2972" i="21"/>
  <c r="V2972" i="21"/>
  <c r="W2972" i="21" s="1"/>
  <c r="L2972" i="21"/>
  <c r="K2972" i="21"/>
  <c r="H2972" i="21"/>
  <c r="G2972" i="21"/>
  <c r="I2972" i="21" s="1"/>
  <c r="AB2971" i="21"/>
  <c r="V2971" i="21"/>
  <c r="W2971" i="21" s="1"/>
  <c r="L2971" i="21"/>
  <c r="K2971" i="21"/>
  <c r="H2971" i="21"/>
  <c r="M2971" i="21" s="1"/>
  <c r="G2971" i="21"/>
  <c r="I2971" i="21" s="1"/>
  <c r="AB2970" i="21"/>
  <c r="V2970" i="21"/>
  <c r="W2970" i="21" s="1"/>
  <c r="L2970" i="21"/>
  <c r="K2970" i="21"/>
  <c r="H2970" i="21"/>
  <c r="G2970" i="21"/>
  <c r="I2970" i="21" s="1"/>
  <c r="AB2969" i="21"/>
  <c r="V2969" i="21"/>
  <c r="W2969" i="21" s="1"/>
  <c r="L2969" i="21"/>
  <c r="K2969" i="21"/>
  <c r="H2969" i="21"/>
  <c r="M2969" i="21" s="1"/>
  <c r="G2969" i="21"/>
  <c r="I2969" i="21" s="1"/>
  <c r="AB2968" i="21"/>
  <c r="V2968" i="21"/>
  <c r="W2968" i="21" s="1"/>
  <c r="L2968" i="21"/>
  <c r="K2968" i="21"/>
  <c r="H2968" i="21"/>
  <c r="G2968" i="21"/>
  <c r="I2968" i="21" s="1"/>
  <c r="AB2967" i="21"/>
  <c r="V2967" i="21"/>
  <c r="W2967" i="21" s="1"/>
  <c r="L2967" i="21"/>
  <c r="K2967" i="21"/>
  <c r="H2967" i="21"/>
  <c r="M2967" i="21" s="1"/>
  <c r="G2967" i="21"/>
  <c r="I2967" i="21" s="1"/>
  <c r="AB2966" i="21"/>
  <c r="V2966" i="21"/>
  <c r="W2966" i="21" s="1"/>
  <c r="L2966" i="21"/>
  <c r="K2966" i="21"/>
  <c r="H2966" i="21"/>
  <c r="G2966" i="21"/>
  <c r="I2966" i="21" s="1"/>
  <c r="AB2965" i="21"/>
  <c r="V2965" i="21"/>
  <c r="W2965" i="21" s="1"/>
  <c r="L2965" i="21"/>
  <c r="K2965" i="21"/>
  <c r="H2965" i="21"/>
  <c r="G2965" i="21"/>
  <c r="I2965" i="21" s="1"/>
  <c r="AB2964" i="21"/>
  <c r="V2964" i="21"/>
  <c r="W2964" i="21" s="1"/>
  <c r="L2964" i="21"/>
  <c r="K2964" i="21"/>
  <c r="H2964" i="21"/>
  <c r="G2964" i="21"/>
  <c r="I2964" i="21" s="1"/>
  <c r="AB2963" i="21"/>
  <c r="V2963" i="21"/>
  <c r="W2963" i="21" s="1"/>
  <c r="L2963" i="21"/>
  <c r="K2963" i="21"/>
  <c r="H2963" i="21"/>
  <c r="M2963" i="21" s="1"/>
  <c r="G2963" i="21"/>
  <c r="I2963" i="21" s="1"/>
  <c r="AB2962" i="21"/>
  <c r="V2962" i="21"/>
  <c r="W2962" i="21" s="1"/>
  <c r="L2962" i="21"/>
  <c r="K2962" i="21"/>
  <c r="H2962" i="21"/>
  <c r="G2962" i="21"/>
  <c r="I2962" i="21" s="1"/>
  <c r="AB2961" i="21"/>
  <c r="V2961" i="21"/>
  <c r="W2961" i="21" s="1"/>
  <c r="L2961" i="21"/>
  <c r="K2961" i="21"/>
  <c r="H2961" i="21"/>
  <c r="M2961" i="21" s="1"/>
  <c r="G2961" i="21"/>
  <c r="I2961" i="21" s="1"/>
  <c r="AB2960" i="21"/>
  <c r="V2960" i="21"/>
  <c r="W2960" i="21" s="1"/>
  <c r="L2960" i="21"/>
  <c r="K2960" i="21"/>
  <c r="H2960" i="21"/>
  <c r="G2960" i="21"/>
  <c r="I2960" i="21" s="1"/>
  <c r="AB2959" i="21"/>
  <c r="V2959" i="21"/>
  <c r="W2959" i="21" s="1"/>
  <c r="L2959" i="21"/>
  <c r="K2959" i="21"/>
  <c r="H2959" i="21"/>
  <c r="G2959" i="21"/>
  <c r="I2959" i="21" s="1"/>
  <c r="AB2958" i="21"/>
  <c r="V2958" i="21"/>
  <c r="W2958" i="21" s="1"/>
  <c r="L2958" i="21"/>
  <c r="K2958" i="21"/>
  <c r="H2958" i="21"/>
  <c r="G2958" i="21"/>
  <c r="I2958" i="21" s="1"/>
  <c r="AB2957" i="21"/>
  <c r="V2957" i="21"/>
  <c r="W2957" i="21" s="1"/>
  <c r="L2957" i="21"/>
  <c r="K2957" i="21"/>
  <c r="H2957" i="21"/>
  <c r="M2957" i="21" s="1"/>
  <c r="G2957" i="21"/>
  <c r="I2957" i="21" s="1"/>
  <c r="AB2956" i="21"/>
  <c r="V2956" i="21"/>
  <c r="W2956" i="21" s="1"/>
  <c r="L2956" i="21"/>
  <c r="K2956" i="21"/>
  <c r="H2956" i="21"/>
  <c r="G2956" i="21"/>
  <c r="I2956" i="21" s="1"/>
  <c r="AB2955" i="21"/>
  <c r="V2955" i="21"/>
  <c r="W2955" i="21" s="1"/>
  <c r="L2955" i="21"/>
  <c r="K2955" i="21"/>
  <c r="H2955" i="21"/>
  <c r="M2955" i="21" s="1"/>
  <c r="G2955" i="21"/>
  <c r="I2955" i="21" s="1"/>
  <c r="AB2954" i="21"/>
  <c r="V2954" i="21"/>
  <c r="W2954" i="21" s="1"/>
  <c r="L2954" i="21"/>
  <c r="K2954" i="21"/>
  <c r="H2954" i="21"/>
  <c r="G2954" i="21"/>
  <c r="I2954" i="21" s="1"/>
  <c r="AB2953" i="21"/>
  <c r="V2953" i="21"/>
  <c r="W2953" i="21" s="1"/>
  <c r="L2953" i="21"/>
  <c r="K2953" i="21"/>
  <c r="H2953" i="21"/>
  <c r="G2953" i="21"/>
  <c r="I2953" i="21" s="1"/>
  <c r="AB2952" i="21"/>
  <c r="V2952" i="21"/>
  <c r="W2952" i="21" s="1"/>
  <c r="L2952" i="21"/>
  <c r="K2952" i="21"/>
  <c r="H2952" i="21"/>
  <c r="G2952" i="21"/>
  <c r="I2952" i="21" s="1"/>
  <c r="AB2951" i="21"/>
  <c r="V2951" i="21"/>
  <c r="W2951" i="21" s="1"/>
  <c r="L2951" i="21"/>
  <c r="K2951" i="21"/>
  <c r="H2951" i="21"/>
  <c r="M2951" i="21" s="1"/>
  <c r="G2951" i="21"/>
  <c r="I2951" i="21" s="1"/>
  <c r="AB2950" i="21"/>
  <c r="V2950" i="21"/>
  <c r="W2950" i="21" s="1"/>
  <c r="L2950" i="21"/>
  <c r="K2950" i="21"/>
  <c r="H2950" i="21"/>
  <c r="G2950" i="21"/>
  <c r="I2950" i="21" s="1"/>
  <c r="AB2949" i="21"/>
  <c r="V2949" i="21"/>
  <c r="W2949" i="21" s="1"/>
  <c r="L2949" i="21"/>
  <c r="K2949" i="21"/>
  <c r="H2949" i="21"/>
  <c r="G2949" i="21"/>
  <c r="I2949" i="21" s="1"/>
  <c r="AB2948" i="21"/>
  <c r="V2948" i="21"/>
  <c r="W2948" i="21" s="1"/>
  <c r="L2948" i="21"/>
  <c r="K2948" i="21"/>
  <c r="H2948" i="21"/>
  <c r="G2948" i="21"/>
  <c r="I2948" i="21" s="1"/>
  <c r="AB2947" i="21"/>
  <c r="V2947" i="21"/>
  <c r="W2947" i="21" s="1"/>
  <c r="L2947" i="21"/>
  <c r="K2947" i="21"/>
  <c r="H2947" i="21"/>
  <c r="M2947" i="21" s="1"/>
  <c r="G2947" i="21"/>
  <c r="I2947" i="21" s="1"/>
  <c r="AB2946" i="21"/>
  <c r="V2946" i="21"/>
  <c r="W2946" i="21" s="1"/>
  <c r="L2946" i="21"/>
  <c r="K2946" i="21"/>
  <c r="H2946" i="21"/>
  <c r="G2946" i="21"/>
  <c r="I2946" i="21" s="1"/>
  <c r="AB2945" i="21"/>
  <c r="V2945" i="21"/>
  <c r="W2945" i="21" s="1"/>
  <c r="L2945" i="21"/>
  <c r="K2945" i="21"/>
  <c r="H2945" i="21"/>
  <c r="M2945" i="21" s="1"/>
  <c r="G2945" i="21"/>
  <c r="I2945" i="21" s="1"/>
  <c r="AB2944" i="21"/>
  <c r="V2944" i="21"/>
  <c r="W2944" i="21" s="1"/>
  <c r="L2944" i="21"/>
  <c r="K2944" i="21"/>
  <c r="H2944" i="21"/>
  <c r="G2944" i="21"/>
  <c r="I2944" i="21" s="1"/>
  <c r="AB2943" i="21"/>
  <c r="V2943" i="21"/>
  <c r="W2943" i="21" s="1"/>
  <c r="L2943" i="21"/>
  <c r="K2943" i="21"/>
  <c r="H2943" i="21"/>
  <c r="M2943" i="21" s="1"/>
  <c r="G2943" i="21"/>
  <c r="I2943" i="21" s="1"/>
  <c r="AB2942" i="21"/>
  <c r="V2942" i="21"/>
  <c r="W2942" i="21" s="1"/>
  <c r="L2942" i="21"/>
  <c r="K2942" i="21"/>
  <c r="H2942" i="21"/>
  <c r="G2942" i="21"/>
  <c r="I2942" i="21" s="1"/>
  <c r="AB2941" i="21"/>
  <c r="V2941" i="21"/>
  <c r="W2941" i="21" s="1"/>
  <c r="L2941" i="21"/>
  <c r="K2941" i="21"/>
  <c r="H2941" i="21"/>
  <c r="M2941" i="21" s="1"/>
  <c r="G2941" i="21"/>
  <c r="I2941" i="21" s="1"/>
  <c r="AB2940" i="21"/>
  <c r="V2940" i="21"/>
  <c r="W2940" i="21" s="1"/>
  <c r="L2940" i="21"/>
  <c r="K2940" i="21"/>
  <c r="H2940" i="21"/>
  <c r="G2940" i="21"/>
  <c r="I2940" i="21" s="1"/>
  <c r="AB2939" i="21"/>
  <c r="V2939" i="21"/>
  <c r="W2939" i="21" s="1"/>
  <c r="L2939" i="21"/>
  <c r="K2939" i="21"/>
  <c r="H2939" i="21"/>
  <c r="M2939" i="21" s="1"/>
  <c r="G2939" i="21"/>
  <c r="I2939" i="21" s="1"/>
  <c r="AB2938" i="21"/>
  <c r="V2938" i="21"/>
  <c r="W2938" i="21" s="1"/>
  <c r="L2938" i="21"/>
  <c r="K2938" i="21"/>
  <c r="H2938" i="21"/>
  <c r="G2938" i="21"/>
  <c r="I2938" i="21" s="1"/>
  <c r="AB2937" i="21"/>
  <c r="V2937" i="21"/>
  <c r="W2937" i="21" s="1"/>
  <c r="L2937" i="21"/>
  <c r="K2937" i="21"/>
  <c r="H2937" i="21"/>
  <c r="G2937" i="21"/>
  <c r="I2937" i="21" s="1"/>
  <c r="AB2936" i="21"/>
  <c r="V2936" i="21"/>
  <c r="W2936" i="21" s="1"/>
  <c r="L2936" i="21"/>
  <c r="K2936" i="21"/>
  <c r="H2936" i="21"/>
  <c r="G2936" i="21"/>
  <c r="I2936" i="21" s="1"/>
  <c r="AB2935" i="21"/>
  <c r="V2935" i="21"/>
  <c r="W2935" i="21" s="1"/>
  <c r="L2935" i="21"/>
  <c r="K2935" i="21"/>
  <c r="H2935" i="21"/>
  <c r="M2935" i="21" s="1"/>
  <c r="G2935" i="21"/>
  <c r="I2935" i="21" s="1"/>
  <c r="AB2934" i="21"/>
  <c r="V2934" i="21"/>
  <c r="W2934" i="21" s="1"/>
  <c r="L2934" i="21"/>
  <c r="K2934" i="21"/>
  <c r="H2934" i="21"/>
  <c r="M2934" i="21" s="1"/>
  <c r="G2934" i="21"/>
  <c r="I2934" i="21" s="1"/>
  <c r="AB2933" i="21"/>
  <c r="V2933" i="21"/>
  <c r="W2933" i="21" s="1"/>
  <c r="L2933" i="21"/>
  <c r="K2933" i="21"/>
  <c r="H2933" i="21"/>
  <c r="G2933" i="21"/>
  <c r="I2933" i="21" s="1"/>
  <c r="AB2932" i="21"/>
  <c r="V2932" i="21"/>
  <c r="W2932" i="21" s="1"/>
  <c r="L2932" i="21"/>
  <c r="K2932" i="21"/>
  <c r="H2932" i="21"/>
  <c r="M2932" i="21" s="1"/>
  <c r="G2932" i="21"/>
  <c r="I2932" i="21" s="1"/>
  <c r="AB2931" i="21"/>
  <c r="V2931" i="21"/>
  <c r="W2931" i="21" s="1"/>
  <c r="L2931" i="21"/>
  <c r="K2931" i="21"/>
  <c r="H2931" i="21"/>
  <c r="G2931" i="21"/>
  <c r="I2931" i="21" s="1"/>
  <c r="AB2930" i="21"/>
  <c r="V2930" i="21"/>
  <c r="W2930" i="21" s="1"/>
  <c r="L2930" i="21"/>
  <c r="K2930" i="21"/>
  <c r="H2930" i="21"/>
  <c r="M2930" i="21" s="1"/>
  <c r="G2930" i="21"/>
  <c r="I2930" i="21" s="1"/>
  <c r="AB2929" i="21"/>
  <c r="V2929" i="21"/>
  <c r="W2929" i="21" s="1"/>
  <c r="L2929" i="21"/>
  <c r="K2929" i="21"/>
  <c r="H2929" i="21"/>
  <c r="G2929" i="21"/>
  <c r="I2929" i="21" s="1"/>
  <c r="AB2928" i="21"/>
  <c r="V2928" i="21"/>
  <c r="W2928" i="21" s="1"/>
  <c r="L2928" i="21"/>
  <c r="K2928" i="21"/>
  <c r="H2928" i="21"/>
  <c r="M2928" i="21" s="1"/>
  <c r="G2928" i="21"/>
  <c r="I2928" i="21" s="1"/>
  <c r="AB2927" i="21"/>
  <c r="V2927" i="21"/>
  <c r="W2927" i="21" s="1"/>
  <c r="L2927" i="21"/>
  <c r="K2927" i="21"/>
  <c r="H2927" i="21"/>
  <c r="G2927" i="21"/>
  <c r="I2927" i="21" s="1"/>
  <c r="AB2926" i="21"/>
  <c r="V2926" i="21"/>
  <c r="W2926" i="21" s="1"/>
  <c r="L2926" i="21"/>
  <c r="K2926" i="21"/>
  <c r="H2926" i="21"/>
  <c r="M2926" i="21" s="1"/>
  <c r="G2926" i="21"/>
  <c r="I2926" i="21" s="1"/>
  <c r="AB2925" i="21"/>
  <c r="V2925" i="21"/>
  <c r="W2925" i="21" s="1"/>
  <c r="L2925" i="21"/>
  <c r="K2925" i="21"/>
  <c r="H2925" i="21"/>
  <c r="G2925" i="21"/>
  <c r="I2925" i="21" s="1"/>
  <c r="AB2924" i="21"/>
  <c r="V2924" i="21"/>
  <c r="W2924" i="21" s="1"/>
  <c r="L2924" i="21"/>
  <c r="K2924" i="21"/>
  <c r="H2924" i="21"/>
  <c r="M2924" i="21" s="1"/>
  <c r="G2924" i="21"/>
  <c r="I2924" i="21" s="1"/>
  <c r="AB2923" i="21"/>
  <c r="V2923" i="21"/>
  <c r="W2923" i="21" s="1"/>
  <c r="L2923" i="21"/>
  <c r="K2923" i="21"/>
  <c r="H2923" i="21"/>
  <c r="G2923" i="21"/>
  <c r="I2923" i="21" s="1"/>
  <c r="AB2922" i="21"/>
  <c r="V2922" i="21"/>
  <c r="W2922" i="21" s="1"/>
  <c r="L2922" i="21"/>
  <c r="K2922" i="21"/>
  <c r="H2922" i="21"/>
  <c r="M2922" i="21" s="1"/>
  <c r="G2922" i="21"/>
  <c r="I2922" i="21" s="1"/>
  <c r="AB2921" i="21"/>
  <c r="V2921" i="21"/>
  <c r="W2921" i="21" s="1"/>
  <c r="L2921" i="21"/>
  <c r="K2921" i="21"/>
  <c r="H2921" i="21"/>
  <c r="G2921" i="21"/>
  <c r="I2921" i="21" s="1"/>
  <c r="AB2920" i="21"/>
  <c r="V2920" i="21"/>
  <c r="W2920" i="21" s="1"/>
  <c r="L2920" i="21"/>
  <c r="K2920" i="21"/>
  <c r="H2920" i="21"/>
  <c r="M2920" i="21" s="1"/>
  <c r="G2920" i="21"/>
  <c r="I2920" i="21" s="1"/>
  <c r="AB2919" i="21"/>
  <c r="V2919" i="21"/>
  <c r="W2919" i="21" s="1"/>
  <c r="L2919" i="21"/>
  <c r="K2919" i="21"/>
  <c r="H2919" i="21"/>
  <c r="G2919" i="21"/>
  <c r="I2919" i="21" s="1"/>
  <c r="AB2918" i="21"/>
  <c r="V2918" i="21"/>
  <c r="W2918" i="21" s="1"/>
  <c r="L2918" i="21"/>
  <c r="K2918" i="21"/>
  <c r="H2918" i="21"/>
  <c r="M2918" i="21" s="1"/>
  <c r="G2918" i="21"/>
  <c r="I2918" i="21" s="1"/>
  <c r="AB2917" i="21"/>
  <c r="V2917" i="21"/>
  <c r="W2917" i="21" s="1"/>
  <c r="L2917" i="21"/>
  <c r="K2917" i="21"/>
  <c r="H2917" i="21"/>
  <c r="G2917" i="21"/>
  <c r="I2917" i="21" s="1"/>
  <c r="AB2916" i="21"/>
  <c r="V2916" i="21"/>
  <c r="W2916" i="21" s="1"/>
  <c r="L2916" i="21"/>
  <c r="K2916" i="21"/>
  <c r="H2916" i="21"/>
  <c r="M2916" i="21" s="1"/>
  <c r="G2916" i="21"/>
  <c r="I2916" i="21" s="1"/>
  <c r="AB2915" i="21"/>
  <c r="V2915" i="21"/>
  <c r="W2915" i="21" s="1"/>
  <c r="L2915" i="21"/>
  <c r="K2915" i="21"/>
  <c r="H2915" i="21"/>
  <c r="G2915" i="21"/>
  <c r="I2915" i="21" s="1"/>
  <c r="AB2914" i="21"/>
  <c r="V2914" i="21"/>
  <c r="W2914" i="21" s="1"/>
  <c r="L2914" i="21"/>
  <c r="K2914" i="21"/>
  <c r="H2914" i="21"/>
  <c r="M2914" i="21" s="1"/>
  <c r="G2914" i="21"/>
  <c r="I2914" i="21" s="1"/>
  <c r="AB2913" i="21"/>
  <c r="V2913" i="21"/>
  <c r="W2913" i="21" s="1"/>
  <c r="L2913" i="21"/>
  <c r="K2913" i="21"/>
  <c r="H2913" i="21"/>
  <c r="G2913" i="21"/>
  <c r="I2913" i="21" s="1"/>
  <c r="AB2912" i="21"/>
  <c r="V2912" i="21"/>
  <c r="W2912" i="21" s="1"/>
  <c r="L2912" i="21"/>
  <c r="K2912" i="21"/>
  <c r="H2912" i="21"/>
  <c r="M2912" i="21" s="1"/>
  <c r="G2912" i="21"/>
  <c r="I2912" i="21" s="1"/>
  <c r="AB2911" i="21"/>
  <c r="V2911" i="21"/>
  <c r="W2911" i="21" s="1"/>
  <c r="L2911" i="21"/>
  <c r="K2911" i="21"/>
  <c r="H2911" i="21"/>
  <c r="G2911" i="21"/>
  <c r="I2911" i="21" s="1"/>
  <c r="AB2910" i="21"/>
  <c r="V2910" i="21"/>
  <c r="W2910" i="21" s="1"/>
  <c r="L2910" i="21"/>
  <c r="K2910" i="21"/>
  <c r="H2910" i="21"/>
  <c r="M2910" i="21" s="1"/>
  <c r="G2910" i="21"/>
  <c r="I2910" i="21" s="1"/>
  <c r="AB2909" i="21"/>
  <c r="V2909" i="21"/>
  <c r="W2909" i="21" s="1"/>
  <c r="L2909" i="21"/>
  <c r="K2909" i="21"/>
  <c r="H2909" i="21"/>
  <c r="G2909" i="21"/>
  <c r="I2909" i="21" s="1"/>
  <c r="AB2908" i="21"/>
  <c r="V2908" i="21"/>
  <c r="W2908" i="21" s="1"/>
  <c r="L2908" i="21"/>
  <c r="K2908" i="21"/>
  <c r="H2908" i="21"/>
  <c r="M2908" i="21" s="1"/>
  <c r="G2908" i="21"/>
  <c r="I2908" i="21" s="1"/>
  <c r="AB2907" i="21"/>
  <c r="V2907" i="21"/>
  <c r="W2907" i="21" s="1"/>
  <c r="L2907" i="21"/>
  <c r="K2907" i="21"/>
  <c r="H2907" i="21"/>
  <c r="G2907" i="21"/>
  <c r="I2907" i="21" s="1"/>
  <c r="AB2906" i="21"/>
  <c r="V2906" i="21"/>
  <c r="W2906" i="21" s="1"/>
  <c r="L2906" i="21"/>
  <c r="K2906" i="21"/>
  <c r="H2906" i="21"/>
  <c r="M2906" i="21" s="1"/>
  <c r="G2906" i="21"/>
  <c r="I2906" i="21" s="1"/>
  <c r="AB2905" i="21"/>
  <c r="V2905" i="21"/>
  <c r="W2905" i="21" s="1"/>
  <c r="L2905" i="21"/>
  <c r="K2905" i="21"/>
  <c r="H2905" i="21"/>
  <c r="G2905" i="21"/>
  <c r="I2905" i="21" s="1"/>
  <c r="AB2904" i="21"/>
  <c r="V2904" i="21"/>
  <c r="W2904" i="21" s="1"/>
  <c r="L2904" i="21"/>
  <c r="K2904" i="21"/>
  <c r="H2904" i="21"/>
  <c r="M2904" i="21" s="1"/>
  <c r="G2904" i="21"/>
  <c r="I2904" i="21" s="1"/>
  <c r="AB2903" i="21"/>
  <c r="V2903" i="21"/>
  <c r="W2903" i="21" s="1"/>
  <c r="L2903" i="21"/>
  <c r="K2903" i="21"/>
  <c r="H2903" i="21"/>
  <c r="G2903" i="21"/>
  <c r="I2903" i="21" s="1"/>
  <c r="AB2902" i="21"/>
  <c r="V2902" i="21"/>
  <c r="W2902" i="21" s="1"/>
  <c r="L2902" i="21"/>
  <c r="K2902" i="21"/>
  <c r="H2902" i="21"/>
  <c r="M2902" i="21" s="1"/>
  <c r="G2902" i="21"/>
  <c r="I2902" i="21" s="1"/>
  <c r="AB2901" i="21"/>
  <c r="V2901" i="21"/>
  <c r="W2901" i="21" s="1"/>
  <c r="L2901" i="21"/>
  <c r="K2901" i="21"/>
  <c r="H2901" i="21"/>
  <c r="G2901" i="21"/>
  <c r="I2901" i="21" s="1"/>
  <c r="AB2900" i="21"/>
  <c r="V2900" i="21"/>
  <c r="W2900" i="21" s="1"/>
  <c r="L2900" i="21"/>
  <c r="K2900" i="21"/>
  <c r="H2900" i="21"/>
  <c r="M2900" i="21" s="1"/>
  <c r="G2900" i="21"/>
  <c r="I2900" i="21" s="1"/>
  <c r="AB2899" i="21"/>
  <c r="V2899" i="21"/>
  <c r="W2899" i="21" s="1"/>
  <c r="L2899" i="21"/>
  <c r="K2899" i="21"/>
  <c r="H2899" i="21"/>
  <c r="G2899" i="21"/>
  <c r="I2899" i="21" s="1"/>
  <c r="AB2898" i="21"/>
  <c r="V2898" i="21"/>
  <c r="W2898" i="21" s="1"/>
  <c r="L2898" i="21"/>
  <c r="K2898" i="21"/>
  <c r="H2898" i="21"/>
  <c r="M2898" i="21" s="1"/>
  <c r="G2898" i="21"/>
  <c r="I2898" i="21" s="1"/>
  <c r="AB2897" i="21"/>
  <c r="V2897" i="21"/>
  <c r="W2897" i="21" s="1"/>
  <c r="L2897" i="21"/>
  <c r="K2897" i="21"/>
  <c r="H2897" i="21"/>
  <c r="G2897" i="21"/>
  <c r="I2897" i="21" s="1"/>
  <c r="AB2896" i="21"/>
  <c r="V2896" i="21"/>
  <c r="W2896" i="21" s="1"/>
  <c r="L2896" i="21"/>
  <c r="K2896" i="21"/>
  <c r="H2896" i="21"/>
  <c r="M2896" i="21" s="1"/>
  <c r="G2896" i="21"/>
  <c r="I2896" i="21" s="1"/>
  <c r="AB2895" i="21"/>
  <c r="V2895" i="21"/>
  <c r="W2895" i="21" s="1"/>
  <c r="L2895" i="21"/>
  <c r="K2895" i="21"/>
  <c r="H2895" i="21"/>
  <c r="G2895" i="21"/>
  <c r="I2895" i="21" s="1"/>
  <c r="AB2894" i="21"/>
  <c r="V2894" i="21"/>
  <c r="W2894" i="21" s="1"/>
  <c r="L2894" i="21"/>
  <c r="K2894" i="21"/>
  <c r="H2894" i="21"/>
  <c r="M2894" i="21" s="1"/>
  <c r="G2894" i="21"/>
  <c r="I2894" i="21" s="1"/>
  <c r="AB2893" i="21"/>
  <c r="V2893" i="21"/>
  <c r="W2893" i="21" s="1"/>
  <c r="L2893" i="21"/>
  <c r="K2893" i="21"/>
  <c r="H2893" i="21"/>
  <c r="G2893" i="21"/>
  <c r="I2893" i="21" s="1"/>
  <c r="AB2892" i="21"/>
  <c r="V2892" i="21"/>
  <c r="W2892" i="21" s="1"/>
  <c r="L2892" i="21"/>
  <c r="K2892" i="21"/>
  <c r="H2892" i="21"/>
  <c r="M2892" i="21" s="1"/>
  <c r="G2892" i="21"/>
  <c r="I2892" i="21" s="1"/>
  <c r="AB2891" i="21"/>
  <c r="V2891" i="21"/>
  <c r="W2891" i="21" s="1"/>
  <c r="L2891" i="21"/>
  <c r="K2891" i="21"/>
  <c r="H2891" i="21"/>
  <c r="G2891" i="21"/>
  <c r="I2891" i="21" s="1"/>
  <c r="AB2890" i="21"/>
  <c r="V2890" i="21"/>
  <c r="W2890" i="21" s="1"/>
  <c r="L2890" i="21"/>
  <c r="K2890" i="21"/>
  <c r="H2890" i="21"/>
  <c r="M2890" i="21" s="1"/>
  <c r="G2890" i="21"/>
  <c r="I2890" i="21" s="1"/>
  <c r="AB2889" i="21"/>
  <c r="V2889" i="21"/>
  <c r="W2889" i="21" s="1"/>
  <c r="L2889" i="21"/>
  <c r="K2889" i="21"/>
  <c r="H2889" i="21"/>
  <c r="G2889" i="21"/>
  <c r="I2889" i="21" s="1"/>
  <c r="AB2888" i="21"/>
  <c r="V2888" i="21"/>
  <c r="W2888" i="21" s="1"/>
  <c r="L2888" i="21"/>
  <c r="K2888" i="21"/>
  <c r="H2888" i="21"/>
  <c r="M2888" i="21" s="1"/>
  <c r="G2888" i="21"/>
  <c r="I2888" i="21" s="1"/>
  <c r="AB2887" i="21"/>
  <c r="V2887" i="21"/>
  <c r="W2887" i="21" s="1"/>
  <c r="L2887" i="21"/>
  <c r="K2887" i="21"/>
  <c r="H2887" i="21"/>
  <c r="G2887" i="21"/>
  <c r="I2887" i="21" s="1"/>
  <c r="AB2886" i="21"/>
  <c r="V2886" i="21"/>
  <c r="W2886" i="21" s="1"/>
  <c r="L2886" i="21"/>
  <c r="K2886" i="21"/>
  <c r="H2886" i="21"/>
  <c r="M2886" i="21" s="1"/>
  <c r="G2886" i="21"/>
  <c r="I2886" i="21" s="1"/>
  <c r="AB2885" i="21"/>
  <c r="V2885" i="21"/>
  <c r="W2885" i="21" s="1"/>
  <c r="L2885" i="21"/>
  <c r="K2885" i="21"/>
  <c r="H2885" i="21"/>
  <c r="G2885" i="21"/>
  <c r="I2885" i="21" s="1"/>
  <c r="AB2884" i="21"/>
  <c r="V2884" i="21"/>
  <c r="W2884" i="21" s="1"/>
  <c r="L2884" i="21"/>
  <c r="K2884" i="21"/>
  <c r="H2884" i="21"/>
  <c r="M2884" i="21" s="1"/>
  <c r="G2884" i="21"/>
  <c r="I2884" i="21" s="1"/>
  <c r="AB2883" i="21"/>
  <c r="V2883" i="21"/>
  <c r="W2883" i="21" s="1"/>
  <c r="L2883" i="21"/>
  <c r="K2883" i="21"/>
  <c r="H2883" i="21"/>
  <c r="G2883" i="21"/>
  <c r="I2883" i="21" s="1"/>
  <c r="AB2882" i="21"/>
  <c r="V2882" i="21"/>
  <c r="W2882" i="21" s="1"/>
  <c r="L2882" i="21"/>
  <c r="K2882" i="21"/>
  <c r="H2882" i="21"/>
  <c r="G2882" i="21"/>
  <c r="I2882" i="21" s="1"/>
  <c r="AB2881" i="21"/>
  <c r="V2881" i="21"/>
  <c r="W2881" i="21" s="1"/>
  <c r="L2881" i="21"/>
  <c r="K2881" i="21"/>
  <c r="H2881" i="21"/>
  <c r="G2881" i="21"/>
  <c r="I2881" i="21" s="1"/>
  <c r="AB2880" i="21"/>
  <c r="V2880" i="21"/>
  <c r="W2880" i="21" s="1"/>
  <c r="L2880" i="21"/>
  <c r="K2880" i="21"/>
  <c r="H2880" i="21"/>
  <c r="G2880" i="21"/>
  <c r="I2880" i="21" s="1"/>
  <c r="AB2879" i="21"/>
  <c r="V2879" i="21"/>
  <c r="W2879" i="21" s="1"/>
  <c r="L2879" i="21"/>
  <c r="K2879" i="21"/>
  <c r="H2879" i="21"/>
  <c r="G2879" i="21"/>
  <c r="I2879" i="21" s="1"/>
  <c r="AB2878" i="21"/>
  <c r="V2878" i="21"/>
  <c r="W2878" i="21" s="1"/>
  <c r="L2878" i="21"/>
  <c r="K2878" i="21"/>
  <c r="H2878" i="21"/>
  <c r="M2878" i="21" s="1"/>
  <c r="G2878" i="21"/>
  <c r="I2878" i="21" s="1"/>
  <c r="AB2877" i="21"/>
  <c r="V2877" i="21"/>
  <c r="W2877" i="21" s="1"/>
  <c r="L2877" i="21"/>
  <c r="K2877" i="21"/>
  <c r="H2877" i="21"/>
  <c r="G2877" i="21"/>
  <c r="I2877" i="21" s="1"/>
  <c r="AB2876" i="21"/>
  <c r="V2876" i="21"/>
  <c r="W2876" i="21" s="1"/>
  <c r="L2876" i="21"/>
  <c r="K2876" i="21"/>
  <c r="H2876" i="21"/>
  <c r="M2876" i="21" s="1"/>
  <c r="G2876" i="21"/>
  <c r="I2876" i="21" s="1"/>
  <c r="AB2875" i="21"/>
  <c r="V2875" i="21"/>
  <c r="W2875" i="21" s="1"/>
  <c r="L2875" i="21"/>
  <c r="K2875" i="21"/>
  <c r="H2875" i="21"/>
  <c r="G2875" i="21"/>
  <c r="I2875" i="21" s="1"/>
  <c r="AB2874" i="21"/>
  <c r="V2874" i="21"/>
  <c r="W2874" i="21" s="1"/>
  <c r="L2874" i="21"/>
  <c r="K2874" i="21"/>
  <c r="H2874" i="21"/>
  <c r="G2874" i="21"/>
  <c r="I2874" i="21" s="1"/>
  <c r="AB2873" i="21"/>
  <c r="V2873" i="21"/>
  <c r="W2873" i="21" s="1"/>
  <c r="L2873" i="21"/>
  <c r="K2873" i="21"/>
  <c r="H2873" i="21"/>
  <c r="G2873" i="21"/>
  <c r="I2873" i="21" s="1"/>
  <c r="AB2872" i="21"/>
  <c r="V2872" i="21"/>
  <c r="W2872" i="21" s="1"/>
  <c r="L2872" i="21"/>
  <c r="K2872" i="21"/>
  <c r="H2872" i="21"/>
  <c r="G2872" i="21"/>
  <c r="I2872" i="21" s="1"/>
  <c r="AB2871" i="21"/>
  <c r="V2871" i="21"/>
  <c r="W2871" i="21" s="1"/>
  <c r="L2871" i="21"/>
  <c r="K2871" i="21"/>
  <c r="H2871" i="21"/>
  <c r="G2871" i="21"/>
  <c r="I2871" i="21" s="1"/>
  <c r="AB2870" i="21"/>
  <c r="V2870" i="21"/>
  <c r="W2870" i="21" s="1"/>
  <c r="L2870" i="21"/>
  <c r="K2870" i="21"/>
  <c r="H2870" i="21"/>
  <c r="M2870" i="21" s="1"/>
  <c r="G2870" i="21"/>
  <c r="I2870" i="21" s="1"/>
  <c r="AB2869" i="21"/>
  <c r="V2869" i="21"/>
  <c r="W2869" i="21" s="1"/>
  <c r="L2869" i="21"/>
  <c r="K2869" i="21"/>
  <c r="H2869" i="21"/>
  <c r="G2869" i="21"/>
  <c r="I2869" i="21" s="1"/>
  <c r="AB2868" i="21"/>
  <c r="V2868" i="21"/>
  <c r="W2868" i="21" s="1"/>
  <c r="L2868" i="21"/>
  <c r="K2868" i="21"/>
  <c r="H2868" i="21"/>
  <c r="M2868" i="21" s="1"/>
  <c r="G2868" i="21"/>
  <c r="I2868" i="21" s="1"/>
  <c r="AB2867" i="21"/>
  <c r="V2867" i="21"/>
  <c r="W2867" i="21" s="1"/>
  <c r="L2867" i="21"/>
  <c r="K2867" i="21"/>
  <c r="H2867" i="21"/>
  <c r="G2867" i="21"/>
  <c r="I2867" i="21" s="1"/>
  <c r="AB2866" i="21"/>
  <c r="V2866" i="21"/>
  <c r="W2866" i="21" s="1"/>
  <c r="L2866" i="21"/>
  <c r="K2866" i="21"/>
  <c r="H2866" i="21"/>
  <c r="M2866" i="21" s="1"/>
  <c r="G2866" i="21"/>
  <c r="I2866" i="21" s="1"/>
  <c r="AB2865" i="21"/>
  <c r="V2865" i="21"/>
  <c r="W2865" i="21" s="1"/>
  <c r="L2865" i="21"/>
  <c r="K2865" i="21"/>
  <c r="H2865" i="21"/>
  <c r="G2865" i="21"/>
  <c r="I2865" i="21" s="1"/>
  <c r="AB2864" i="21"/>
  <c r="V2864" i="21"/>
  <c r="W2864" i="21" s="1"/>
  <c r="L2864" i="21"/>
  <c r="K2864" i="21"/>
  <c r="H2864" i="21"/>
  <c r="M2864" i="21" s="1"/>
  <c r="G2864" i="21"/>
  <c r="I2864" i="21" s="1"/>
  <c r="AB2863" i="21"/>
  <c r="V2863" i="21"/>
  <c r="W2863" i="21" s="1"/>
  <c r="L2863" i="21"/>
  <c r="K2863" i="21"/>
  <c r="H2863" i="21"/>
  <c r="G2863" i="21"/>
  <c r="I2863" i="21" s="1"/>
  <c r="AB2862" i="21"/>
  <c r="V2862" i="21"/>
  <c r="W2862" i="21" s="1"/>
  <c r="L2862" i="21"/>
  <c r="K2862" i="21"/>
  <c r="H2862" i="21"/>
  <c r="M2862" i="21" s="1"/>
  <c r="G2862" i="21"/>
  <c r="I2862" i="21" s="1"/>
  <c r="AB2861" i="21"/>
  <c r="V2861" i="21"/>
  <c r="W2861" i="21" s="1"/>
  <c r="L2861" i="21"/>
  <c r="K2861" i="21"/>
  <c r="H2861" i="21"/>
  <c r="G2861" i="21"/>
  <c r="I2861" i="21" s="1"/>
  <c r="AB2860" i="21"/>
  <c r="V2860" i="21"/>
  <c r="W2860" i="21" s="1"/>
  <c r="L2860" i="21"/>
  <c r="K2860" i="21"/>
  <c r="H2860" i="21"/>
  <c r="M2860" i="21" s="1"/>
  <c r="G2860" i="21"/>
  <c r="I2860" i="21" s="1"/>
  <c r="AB2859" i="21"/>
  <c r="V2859" i="21"/>
  <c r="W2859" i="21" s="1"/>
  <c r="L2859" i="21"/>
  <c r="K2859" i="21"/>
  <c r="H2859" i="21"/>
  <c r="G2859" i="21"/>
  <c r="I2859" i="21" s="1"/>
  <c r="AB2858" i="21"/>
  <c r="V2858" i="21"/>
  <c r="W2858" i="21" s="1"/>
  <c r="L2858" i="21"/>
  <c r="K2858" i="21"/>
  <c r="H2858" i="21"/>
  <c r="M2858" i="21" s="1"/>
  <c r="G2858" i="21"/>
  <c r="I2858" i="21" s="1"/>
  <c r="AB2857" i="21"/>
  <c r="V2857" i="21"/>
  <c r="W2857" i="21" s="1"/>
  <c r="L2857" i="21"/>
  <c r="K2857" i="21"/>
  <c r="H2857" i="21"/>
  <c r="G2857" i="21"/>
  <c r="I2857" i="21" s="1"/>
  <c r="AB2856" i="21"/>
  <c r="V2856" i="21"/>
  <c r="W2856" i="21" s="1"/>
  <c r="L2856" i="21"/>
  <c r="K2856" i="21"/>
  <c r="H2856" i="21"/>
  <c r="M2856" i="21" s="1"/>
  <c r="G2856" i="21"/>
  <c r="I2856" i="21" s="1"/>
  <c r="AB2855" i="21"/>
  <c r="V2855" i="21"/>
  <c r="W2855" i="21" s="1"/>
  <c r="L2855" i="21"/>
  <c r="K2855" i="21"/>
  <c r="H2855" i="21"/>
  <c r="G2855" i="21"/>
  <c r="I2855" i="21" s="1"/>
  <c r="AB2854" i="21"/>
  <c r="V2854" i="21"/>
  <c r="W2854" i="21" s="1"/>
  <c r="L2854" i="21"/>
  <c r="K2854" i="21"/>
  <c r="H2854" i="21"/>
  <c r="M2854" i="21" s="1"/>
  <c r="G2854" i="21"/>
  <c r="I2854" i="21" s="1"/>
  <c r="AB2853" i="21"/>
  <c r="V2853" i="21"/>
  <c r="W2853" i="21" s="1"/>
  <c r="L2853" i="21"/>
  <c r="K2853" i="21"/>
  <c r="H2853" i="21"/>
  <c r="G2853" i="21"/>
  <c r="I2853" i="21" s="1"/>
  <c r="AB2852" i="21"/>
  <c r="V2852" i="21"/>
  <c r="W2852" i="21" s="1"/>
  <c r="L2852" i="21"/>
  <c r="K2852" i="21"/>
  <c r="H2852" i="21"/>
  <c r="M2852" i="21" s="1"/>
  <c r="G2852" i="21"/>
  <c r="I2852" i="21" s="1"/>
  <c r="AB2851" i="21"/>
  <c r="V2851" i="21"/>
  <c r="W2851" i="21" s="1"/>
  <c r="L2851" i="21"/>
  <c r="K2851" i="21"/>
  <c r="H2851" i="21"/>
  <c r="G2851" i="21"/>
  <c r="I2851" i="21" s="1"/>
  <c r="AB2850" i="21"/>
  <c r="V2850" i="21"/>
  <c r="W2850" i="21" s="1"/>
  <c r="L2850" i="21"/>
  <c r="K2850" i="21"/>
  <c r="H2850" i="21"/>
  <c r="M2850" i="21" s="1"/>
  <c r="G2850" i="21"/>
  <c r="I2850" i="21" s="1"/>
  <c r="AB2849" i="21"/>
  <c r="V2849" i="21"/>
  <c r="W2849" i="21" s="1"/>
  <c r="L2849" i="21"/>
  <c r="K2849" i="21"/>
  <c r="H2849" i="21"/>
  <c r="G2849" i="21"/>
  <c r="I2849" i="21" s="1"/>
  <c r="AB2848" i="21"/>
  <c r="V2848" i="21"/>
  <c r="W2848" i="21" s="1"/>
  <c r="L2848" i="21"/>
  <c r="K2848" i="21"/>
  <c r="H2848" i="21"/>
  <c r="M2848" i="21" s="1"/>
  <c r="G2848" i="21"/>
  <c r="I2848" i="21" s="1"/>
  <c r="AB2847" i="21"/>
  <c r="V2847" i="21"/>
  <c r="W2847" i="21" s="1"/>
  <c r="L2847" i="21"/>
  <c r="K2847" i="21"/>
  <c r="H2847" i="21"/>
  <c r="G2847" i="21"/>
  <c r="I2847" i="21" s="1"/>
  <c r="AB2846" i="21"/>
  <c r="V2846" i="21"/>
  <c r="W2846" i="21" s="1"/>
  <c r="L2846" i="21"/>
  <c r="K2846" i="21"/>
  <c r="H2846" i="21"/>
  <c r="M2846" i="21" s="1"/>
  <c r="G2846" i="21"/>
  <c r="I2846" i="21" s="1"/>
  <c r="AB2845" i="21"/>
  <c r="V2845" i="21"/>
  <c r="W2845" i="21" s="1"/>
  <c r="L2845" i="21"/>
  <c r="K2845" i="21"/>
  <c r="H2845" i="21"/>
  <c r="G2845" i="21"/>
  <c r="I2845" i="21" s="1"/>
  <c r="AB2844" i="21"/>
  <c r="V2844" i="21"/>
  <c r="W2844" i="21" s="1"/>
  <c r="L2844" i="21"/>
  <c r="K2844" i="21"/>
  <c r="H2844" i="21"/>
  <c r="M2844" i="21" s="1"/>
  <c r="G2844" i="21"/>
  <c r="I2844" i="21" s="1"/>
  <c r="AB2843" i="21"/>
  <c r="V2843" i="21"/>
  <c r="W2843" i="21" s="1"/>
  <c r="L2843" i="21"/>
  <c r="K2843" i="21"/>
  <c r="H2843" i="21"/>
  <c r="G2843" i="21"/>
  <c r="I2843" i="21" s="1"/>
  <c r="AB2842" i="21"/>
  <c r="V2842" i="21"/>
  <c r="W2842" i="21" s="1"/>
  <c r="L2842" i="21"/>
  <c r="K2842" i="21"/>
  <c r="H2842" i="21"/>
  <c r="M2842" i="21" s="1"/>
  <c r="G2842" i="21"/>
  <c r="I2842" i="21" s="1"/>
  <c r="AB2841" i="21"/>
  <c r="V2841" i="21"/>
  <c r="W2841" i="21" s="1"/>
  <c r="L2841" i="21"/>
  <c r="K2841" i="21"/>
  <c r="H2841" i="21"/>
  <c r="G2841" i="21"/>
  <c r="I2841" i="21" s="1"/>
  <c r="AB2840" i="21"/>
  <c r="V2840" i="21"/>
  <c r="W2840" i="21" s="1"/>
  <c r="L2840" i="21"/>
  <c r="K2840" i="21"/>
  <c r="H2840" i="21"/>
  <c r="M2840" i="21" s="1"/>
  <c r="G2840" i="21"/>
  <c r="I2840" i="21" s="1"/>
  <c r="AB2839" i="21"/>
  <c r="V2839" i="21"/>
  <c r="W2839" i="21" s="1"/>
  <c r="L2839" i="21"/>
  <c r="K2839" i="21"/>
  <c r="H2839" i="21"/>
  <c r="G2839" i="21"/>
  <c r="I2839" i="21" s="1"/>
  <c r="AB2838" i="21"/>
  <c r="V2838" i="21"/>
  <c r="W2838" i="21" s="1"/>
  <c r="L2838" i="21"/>
  <c r="K2838" i="21"/>
  <c r="H2838" i="21"/>
  <c r="G2838" i="21"/>
  <c r="I2838" i="21" s="1"/>
  <c r="AB2837" i="21"/>
  <c r="V2837" i="21"/>
  <c r="W2837" i="21" s="1"/>
  <c r="L2837" i="21"/>
  <c r="K2837" i="21"/>
  <c r="H2837" i="21"/>
  <c r="M2837" i="21" s="1"/>
  <c r="G2837" i="21"/>
  <c r="I2837" i="21" s="1"/>
  <c r="AB2836" i="21"/>
  <c r="V2836" i="21"/>
  <c r="W2836" i="21" s="1"/>
  <c r="L2836" i="21"/>
  <c r="K2836" i="21"/>
  <c r="H2836" i="21"/>
  <c r="G2836" i="21"/>
  <c r="I2836" i="21" s="1"/>
  <c r="AB2835" i="21"/>
  <c r="V2835" i="21"/>
  <c r="W2835" i="21" s="1"/>
  <c r="L2835" i="21"/>
  <c r="K2835" i="21"/>
  <c r="H2835" i="21"/>
  <c r="M2835" i="21" s="1"/>
  <c r="G2835" i="21"/>
  <c r="I2835" i="21" s="1"/>
  <c r="AB2834" i="21"/>
  <c r="V2834" i="21"/>
  <c r="W2834" i="21" s="1"/>
  <c r="L2834" i="21"/>
  <c r="K2834" i="21"/>
  <c r="H2834" i="21"/>
  <c r="G2834" i="21"/>
  <c r="I2834" i="21" s="1"/>
  <c r="AB2833" i="21"/>
  <c r="V2833" i="21"/>
  <c r="W2833" i="21" s="1"/>
  <c r="L2833" i="21"/>
  <c r="K2833" i="21"/>
  <c r="H2833" i="21"/>
  <c r="M2833" i="21" s="1"/>
  <c r="G2833" i="21"/>
  <c r="I2833" i="21" s="1"/>
  <c r="AB2832" i="21"/>
  <c r="V2832" i="21"/>
  <c r="W2832" i="21" s="1"/>
  <c r="L2832" i="21"/>
  <c r="K2832" i="21"/>
  <c r="H2832" i="21"/>
  <c r="G2832" i="21"/>
  <c r="I2832" i="21" s="1"/>
  <c r="AB2831" i="21"/>
  <c r="V2831" i="21"/>
  <c r="W2831" i="21" s="1"/>
  <c r="L2831" i="21"/>
  <c r="K2831" i="21"/>
  <c r="H2831" i="21"/>
  <c r="M2831" i="21" s="1"/>
  <c r="G2831" i="21"/>
  <c r="I2831" i="21" s="1"/>
  <c r="AB2830" i="21"/>
  <c r="V2830" i="21"/>
  <c r="W2830" i="21" s="1"/>
  <c r="L2830" i="21"/>
  <c r="K2830" i="21"/>
  <c r="H2830" i="21"/>
  <c r="G2830" i="21"/>
  <c r="I2830" i="21" s="1"/>
  <c r="AB2829" i="21"/>
  <c r="V2829" i="21"/>
  <c r="W2829" i="21" s="1"/>
  <c r="L2829" i="21"/>
  <c r="K2829" i="21"/>
  <c r="H2829" i="21"/>
  <c r="M2829" i="21" s="1"/>
  <c r="G2829" i="21"/>
  <c r="I2829" i="21" s="1"/>
  <c r="AB2828" i="21"/>
  <c r="V2828" i="21"/>
  <c r="W2828" i="21" s="1"/>
  <c r="L2828" i="21"/>
  <c r="K2828" i="21"/>
  <c r="H2828" i="21"/>
  <c r="M2828" i="21" s="1"/>
  <c r="G2828" i="21"/>
  <c r="I2828" i="21" s="1"/>
  <c r="AB2827" i="21"/>
  <c r="V2827" i="21"/>
  <c r="W2827" i="21" s="1"/>
  <c r="L2827" i="21"/>
  <c r="K2827" i="21"/>
  <c r="H2827" i="21"/>
  <c r="M2827" i="21" s="1"/>
  <c r="G2827" i="21"/>
  <c r="I2827" i="21" s="1"/>
  <c r="AB2826" i="21"/>
  <c r="V2826" i="21"/>
  <c r="W2826" i="21" s="1"/>
  <c r="L2826" i="21"/>
  <c r="K2826" i="21"/>
  <c r="H2826" i="21"/>
  <c r="G2826" i="21"/>
  <c r="I2826" i="21" s="1"/>
  <c r="AB2825" i="21"/>
  <c r="V2825" i="21"/>
  <c r="W2825" i="21" s="1"/>
  <c r="L2825" i="21"/>
  <c r="K2825" i="21"/>
  <c r="H2825" i="21"/>
  <c r="M2825" i="21" s="1"/>
  <c r="G2825" i="21"/>
  <c r="I2825" i="21" s="1"/>
  <c r="AB2824" i="21"/>
  <c r="V2824" i="21"/>
  <c r="W2824" i="21" s="1"/>
  <c r="L2824" i="21"/>
  <c r="K2824" i="21"/>
  <c r="H2824" i="21"/>
  <c r="G2824" i="21"/>
  <c r="I2824" i="21" s="1"/>
  <c r="AB2823" i="21"/>
  <c r="V2823" i="21"/>
  <c r="W2823" i="21" s="1"/>
  <c r="L2823" i="21"/>
  <c r="K2823" i="21"/>
  <c r="H2823" i="21"/>
  <c r="M2823" i="21" s="1"/>
  <c r="G2823" i="21"/>
  <c r="I2823" i="21" s="1"/>
  <c r="AB2822" i="21"/>
  <c r="V2822" i="21"/>
  <c r="W2822" i="21" s="1"/>
  <c r="L2822" i="21"/>
  <c r="K2822" i="21"/>
  <c r="H2822" i="21"/>
  <c r="G2822" i="21"/>
  <c r="I2822" i="21" s="1"/>
  <c r="AB2821" i="21"/>
  <c r="V2821" i="21"/>
  <c r="W2821" i="21" s="1"/>
  <c r="L2821" i="21"/>
  <c r="K2821" i="21"/>
  <c r="H2821" i="21"/>
  <c r="M2821" i="21" s="1"/>
  <c r="G2821" i="21"/>
  <c r="I2821" i="21" s="1"/>
  <c r="AB2820" i="21"/>
  <c r="V2820" i="21"/>
  <c r="W2820" i="21" s="1"/>
  <c r="L2820" i="21"/>
  <c r="K2820" i="21"/>
  <c r="H2820" i="21"/>
  <c r="G2820" i="21"/>
  <c r="I2820" i="21" s="1"/>
  <c r="AB2819" i="21"/>
  <c r="V2819" i="21"/>
  <c r="W2819" i="21" s="1"/>
  <c r="L2819" i="21"/>
  <c r="K2819" i="21"/>
  <c r="H2819" i="21"/>
  <c r="M2819" i="21" s="1"/>
  <c r="G2819" i="21"/>
  <c r="I2819" i="21" s="1"/>
  <c r="AB2818" i="21"/>
  <c r="V2818" i="21"/>
  <c r="W2818" i="21" s="1"/>
  <c r="L2818" i="21"/>
  <c r="K2818" i="21"/>
  <c r="H2818" i="21"/>
  <c r="G2818" i="21"/>
  <c r="I2818" i="21" s="1"/>
  <c r="AB2817" i="21"/>
  <c r="V2817" i="21"/>
  <c r="W2817" i="21" s="1"/>
  <c r="L2817" i="21"/>
  <c r="K2817" i="21"/>
  <c r="H2817" i="21"/>
  <c r="M2817" i="21" s="1"/>
  <c r="G2817" i="21"/>
  <c r="I2817" i="21" s="1"/>
  <c r="AB2816" i="21"/>
  <c r="V2816" i="21"/>
  <c r="W2816" i="21" s="1"/>
  <c r="L2816" i="21"/>
  <c r="K2816" i="21"/>
  <c r="H2816" i="21"/>
  <c r="G2816" i="21"/>
  <c r="I2816" i="21" s="1"/>
  <c r="AB2815" i="21"/>
  <c r="V2815" i="21"/>
  <c r="W2815" i="21" s="1"/>
  <c r="L2815" i="21"/>
  <c r="K2815" i="21"/>
  <c r="H2815" i="21"/>
  <c r="M2815" i="21" s="1"/>
  <c r="G2815" i="21"/>
  <c r="I2815" i="21" s="1"/>
  <c r="AB2814" i="21"/>
  <c r="V2814" i="21"/>
  <c r="W2814" i="21" s="1"/>
  <c r="L2814" i="21"/>
  <c r="K2814" i="21"/>
  <c r="H2814" i="21"/>
  <c r="G2814" i="21"/>
  <c r="I2814" i="21" s="1"/>
  <c r="AB2813" i="21"/>
  <c r="V2813" i="21"/>
  <c r="W2813" i="21" s="1"/>
  <c r="L2813" i="21"/>
  <c r="K2813" i="21"/>
  <c r="H2813" i="21"/>
  <c r="M2813" i="21" s="1"/>
  <c r="G2813" i="21"/>
  <c r="I2813" i="21" s="1"/>
  <c r="AB2812" i="21"/>
  <c r="V2812" i="21"/>
  <c r="W2812" i="21" s="1"/>
  <c r="L2812" i="21"/>
  <c r="K2812" i="21"/>
  <c r="H2812" i="21"/>
  <c r="G2812" i="21"/>
  <c r="I2812" i="21" s="1"/>
  <c r="AB2811" i="21"/>
  <c r="V2811" i="21"/>
  <c r="W2811" i="21" s="1"/>
  <c r="L2811" i="21"/>
  <c r="K2811" i="21"/>
  <c r="H2811" i="21"/>
  <c r="M2811" i="21" s="1"/>
  <c r="G2811" i="21"/>
  <c r="I2811" i="21" s="1"/>
  <c r="AB2810" i="21"/>
  <c r="V2810" i="21"/>
  <c r="W2810" i="21" s="1"/>
  <c r="L2810" i="21"/>
  <c r="K2810" i="21"/>
  <c r="H2810" i="21"/>
  <c r="G2810" i="21"/>
  <c r="I2810" i="21" s="1"/>
  <c r="AB2809" i="21"/>
  <c r="V2809" i="21"/>
  <c r="W2809" i="21" s="1"/>
  <c r="L2809" i="21"/>
  <c r="K2809" i="21"/>
  <c r="H2809" i="21"/>
  <c r="M2809" i="21" s="1"/>
  <c r="G2809" i="21"/>
  <c r="I2809" i="21" s="1"/>
  <c r="AB2808" i="21"/>
  <c r="V2808" i="21"/>
  <c r="W2808" i="21" s="1"/>
  <c r="L2808" i="21"/>
  <c r="K2808" i="21"/>
  <c r="H2808" i="21"/>
  <c r="G2808" i="21"/>
  <c r="I2808" i="21" s="1"/>
  <c r="AB2807" i="21"/>
  <c r="V2807" i="21"/>
  <c r="W2807" i="21" s="1"/>
  <c r="L2807" i="21"/>
  <c r="K2807" i="21"/>
  <c r="H2807" i="21"/>
  <c r="M2807" i="21" s="1"/>
  <c r="G2807" i="21"/>
  <c r="I2807" i="21" s="1"/>
  <c r="AB2806" i="21"/>
  <c r="V2806" i="21"/>
  <c r="W2806" i="21" s="1"/>
  <c r="L2806" i="21"/>
  <c r="K2806" i="21"/>
  <c r="H2806" i="21"/>
  <c r="G2806" i="21"/>
  <c r="I2806" i="21" s="1"/>
  <c r="AB2805" i="21"/>
  <c r="V2805" i="21"/>
  <c r="W2805" i="21" s="1"/>
  <c r="L2805" i="21"/>
  <c r="K2805" i="21"/>
  <c r="H2805" i="21"/>
  <c r="M2805" i="21" s="1"/>
  <c r="G2805" i="21"/>
  <c r="I2805" i="21" s="1"/>
  <c r="AB2804" i="21"/>
  <c r="V2804" i="21"/>
  <c r="W2804" i="21" s="1"/>
  <c r="L2804" i="21"/>
  <c r="K2804" i="21"/>
  <c r="H2804" i="21"/>
  <c r="G2804" i="21"/>
  <c r="I2804" i="21" s="1"/>
  <c r="AB2803" i="21"/>
  <c r="V2803" i="21"/>
  <c r="W2803" i="21" s="1"/>
  <c r="L2803" i="21"/>
  <c r="K2803" i="21"/>
  <c r="H2803" i="21"/>
  <c r="M2803" i="21" s="1"/>
  <c r="G2803" i="21"/>
  <c r="I2803" i="21" s="1"/>
  <c r="AB2802" i="21"/>
  <c r="V2802" i="21"/>
  <c r="W2802" i="21" s="1"/>
  <c r="L2802" i="21"/>
  <c r="K2802" i="21"/>
  <c r="H2802" i="21"/>
  <c r="G2802" i="21"/>
  <c r="I2802" i="21" s="1"/>
  <c r="AB2801" i="21"/>
  <c r="V2801" i="21"/>
  <c r="W2801" i="21" s="1"/>
  <c r="L2801" i="21"/>
  <c r="K2801" i="21"/>
  <c r="H2801" i="21"/>
  <c r="M2801" i="21" s="1"/>
  <c r="G2801" i="21"/>
  <c r="I2801" i="21" s="1"/>
  <c r="AB2800" i="21"/>
  <c r="V2800" i="21"/>
  <c r="W2800" i="21" s="1"/>
  <c r="L2800" i="21"/>
  <c r="K2800" i="21"/>
  <c r="H2800" i="21"/>
  <c r="G2800" i="21"/>
  <c r="I2800" i="21" s="1"/>
  <c r="AB2799" i="21"/>
  <c r="V2799" i="21"/>
  <c r="W2799" i="21" s="1"/>
  <c r="L2799" i="21"/>
  <c r="K2799" i="21"/>
  <c r="H2799" i="21"/>
  <c r="M2799" i="21" s="1"/>
  <c r="G2799" i="21"/>
  <c r="I2799" i="21" s="1"/>
  <c r="AB2798" i="21"/>
  <c r="V2798" i="21"/>
  <c r="W2798" i="21" s="1"/>
  <c r="L2798" i="21"/>
  <c r="K2798" i="21"/>
  <c r="H2798" i="21"/>
  <c r="G2798" i="21"/>
  <c r="I2798" i="21" s="1"/>
  <c r="AB2797" i="21"/>
  <c r="V2797" i="21"/>
  <c r="W2797" i="21" s="1"/>
  <c r="L2797" i="21"/>
  <c r="K2797" i="21"/>
  <c r="H2797" i="21"/>
  <c r="M2797" i="21" s="1"/>
  <c r="G2797" i="21"/>
  <c r="I2797" i="21" s="1"/>
  <c r="AB2796" i="21"/>
  <c r="V2796" i="21"/>
  <c r="W2796" i="21" s="1"/>
  <c r="L2796" i="21"/>
  <c r="K2796" i="21"/>
  <c r="H2796" i="21"/>
  <c r="G2796" i="21"/>
  <c r="I2796" i="21" s="1"/>
  <c r="AB2795" i="21"/>
  <c r="V2795" i="21"/>
  <c r="W2795" i="21" s="1"/>
  <c r="L2795" i="21"/>
  <c r="K2795" i="21"/>
  <c r="H2795" i="21"/>
  <c r="M2795" i="21" s="1"/>
  <c r="G2795" i="21"/>
  <c r="I2795" i="21" s="1"/>
  <c r="AB2794" i="21"/>
  <c r="V2794" i="21"/>
  <c r="W2794" i="21" s="1"/>
  <c r="L2794" i="21"/>
  <c r="K2794" i="21"/>
  <c r="H2794" i="21"/>
  <c r="G2794" i="21"/>
  <c r="I2794" i="21" s="1"/>
  <c r="AB2793" i="21"/>
  <c r="V2793" i="21"/>
  <c r="W2793" i="21" s="1"/>
  <c r="L2793" i="21"/>
  <c r="K2793" i="21"/>
  <c r="H2793" i="21"/>
  <c r="M2793" i="21" s="1"/>
  <c r="G2793" i="21"/>
  <c r="I2793" i="21" s="1"/>
  <c r="AB2792" i="21"/>
  <c r="V2792" i="21"/>
  <c r="W2792" i="21" s="1"/>
  <c r="L2792" i="21"/>
  <c r="K2792" i="21"/>
  <c r="H2792" i="21"/>
  <c r="G2792" i="21"/>
  <c r="I2792" i="21" s="1"/>
  <c r="AB2791" i="21"/>
  <c r="V2791" i="21"/>
  <c r="W2791" i="21" s="1"/>
  <c r="L2791" i="21"/>
  <c r="K2791" i="21"/>
  <c r="H2791" i="21"/>
  <c r="M2791" i="21" s="1"/>
  <c r="G2791" i="21"/>
  <c r="I2791" i="21" s="1"/>
  <c r="AB2790" i="21"/>
  <c r="V2790" i="21"/>
  <c r="W2790" i="21" s="1"/>
  <c r="L2790" i="21"/>
  <c r="K2790" i="21"/>
  <c r="H2790" i="21"/>
  <c r="G2790" i="21"/>
  <c r="I2790" i="21" s="1"/>
  <c r="AB2789" i="21"/>
  <c r="V2789" i="21"/>
  <c r="W2789" i="21" s="1"/>
  <c r="L2789" i="21"/>
  <c r="K2789" i="21"/>
  <c r="H2789" i="21"/>
  <c r="M2789" i="21" s="1"/>
  <c r="G2789" i="21"/>
  <c r="I2789" i="21" s="1"/>
  <c r="AB2788" i="21"/>
  <c r="V2788" i="21"/>
  <c r="W2788" i="21" s="1"/>
  <c r="L2788" i="21"/>
  <c r="K2788" i="21"/>
  <c r="H2788" i="21"/>
  <c r="G2788" i="21"/>
  <c r="I2788" i="21" s="1"/>
  <c r="AB2787" i="21"/>
  <c r="V2787" i="21"/>
  <c r="W2787" i="21" s="1"/>
  <c r="L2787" i="21"/>
  <c r="K2787" i="21"/>
  <c r="H2787" i="21"/>
  <c r="M2787" i="21" s="1"/>
  <c r="G2787" i="21"/>
  <c r="I2787" i="21" s="1"/>
  <c r="AB2786" i="21"/>
  <c r="V2786" i="21"/>
  <c r="W2786" i="21" s="1"/>
  <c r="L2786" i="21"/>
  <c r="K2786" i="21"/>
  <c r="H2786" i="21"/>
  <c r="G2786" i="21"/>
  <c r="I2786" i="21" s="1"/>
  <c r="AB2785" i="21"/>
  <c r="V2785" i="21"/>
  <c r="W2785" i="21" s="1"/>
  <c r="L2785" i="21"/>
  <c r="K2785" i="21"/>
  <c r="H2785" i="21"/>
  <c r="M2785" i="21" s="1"/>
  <c r="G2785" i="21"/>
  <c r="I2785" i="21" s="1"/>
  <c r="AB2784" i="21"/>
  <c r="V2784" i="21"/>
  <c r="W2784" i="21" s="1"/>
  <c r="L2784" i="21"/>
  <c r="K2784" i="21"/>
  <c r="H2784" i="21"/>
  <c r="G2784" i="21"/>
  <c r="I2784" i="21" s="1"/>
  <c r="AB2783" i="21"/>
  <c r="V2783" i="21"/>
  <c r="W2783" i="21" s="1"/>
  <c r="L2783" i="21"/>
  <c r="K2783" i="21"/>
  <c r="H2783" i="21"/>
  <c r="M2783" i="21" s="1"/>
  <c r="G2783" i="21"/>
  <c r="I2783" i="21" s="1"/>
  <c r="AB2782" i="21"/>
  <c r="V2782" i="21"/>
  <c r="W2782" i="21" s="1"/>
  <c r="L2782" i="21"/>
  <c r="K2782" i="21"/>
  <c r="H2782" i="21"/>
  <c r="G2782" i="21"/>
  <c r="I2782" i="21" s="1"/>
  <c r="AB2781" i="21"/>
  <c r="V2781" i="21"/>
  <c r="W2781" i="21" s="1"/>
  <c r="L2781" i="21"/>
  <c r="K2781" i="21"/>
  <c r="H2781" i="21"/>
  <c r="M2781" i="21" s="1"/>
  <c r="G2781" i="21"/>
  <c r="I2781" i="21" s="1"/>
  <c r="AB2780" i="21"/>
  <c r="V2780" i="21"/>
  <c r="W2780" i="21" s="1"/>
  <c r="L2780" i="21"/>
  <c r="K2780" i="21"/>
  <c r="H2780" i="21"/>
  <c r="G2780" i="21"/>
  <c r="I2780" i="21" s="1"/>
  <c r="AB2779" i="21"/>
  <c r="V2779" i="21"/>
  <c r="W2779" i="21" s="1"/>
  <c r="L2779" i="21"/>
  <c r="K2779" i="21"/>
  <c r="H2779" i="21"/>
  <c r="M2779" i="21" s="1"/>
  <c r="G2779" i="21"/>
  <c r="I2779" i="21" s="1"/>
  <c r="AB2778" i="21"/>
  <c r="V2778" i="21"/>
  <c r="W2778" i="21" s="1"/>
  <c r="L2778" i="21"/>
  <c r="K2778" i="21"/>
  <c r="H2778" i="21"/>
  <c r="G2778" i="21"/>
  <c r="I2778" i="21" s="1"/>
  <c r="AB2777" i="21"/>
  <c r="V2777" i="21"/>
  <c r="W2777" i="21" s="1"/>
  <c r="L2777" i="21"/>
  <c r="K2777" i="21"/>
  <c r="H2777" i="21"/>
  <c r="M2777" i="21" s="1"/>
  <c r="G2777" i="21"/>
  <c r="I2777" i="21" s="1"/>
  <c r="AB2776" i="21"/>
  <c r="V2776" i="21"/>
  <c r="W2776" i="21" s="1"/>
  <c r="L2776" i="21"/>
  <c r="K2776" i="21"/>
  <c r="H2776" i="21"/>
  <c r="G2776" i="21"/>
  <c r="I2776" i="21" s="1"/>
  <c r="AB2775" i="21"/>
  <c r="V2775" i="21"/>
  <c r="W2775" i="21" s="1"/>
  <c r="L2775" i="21"/>
  <c r="K2775" i="21"/>
  <c r="H2775" i="21"/>
  <c r="M2775" i="21" s="1"/>
  <c r="G2775" i="21"/>
  <c r="I2775" i="21" s="1"/>
  <c r="AB2774" i="21"/>
  <c r="V2774" i="21"/>
  <c r="W2774" i="21" s="1"/>
  <c r="L2774" i="21"/>
  <c r="K2774" i="21"/>
  <c r="H2774" i="21"/>
  <c r="G2774" i="21"/>
  <c r="I2774" i="21" s="1"/>
  <c r="AB2773" i="21"/>
  <c r="V2773" i="21"/>
  <c r="W2773" i="21" s="1"/>
  <c r="L2773" i="21"/>
  <c r="K2773" i="21"/>
  <c r="H2773" i="21"/>
  <c r="M2773" i="21" s="1"/>
  <c r="G2773" i="21"/>
  <c r="I2773" i="21" s="1"/>
  <c r="AB2772" i="21"/>
  <c r="V2772" i="21"/>
  <c r="W2772" i="21" s="1"/>
  <c r="L2772" i="21"/>
  <c r="K2772" i="21"/>
  <c r="H2772" i="21"/>
  <c r="G2772" i="21"/>
  <c r="I2772" i="21" s="1"/>
  <c r="AB2771" i="21"/>
  <c r="V2771" i="21"/>
  <c r="W2771" i="21" s="1"/>
  <c r="L2771" i="21"/>
  <c r="K2771" i="21"/>
  <c r="H2771" i="21"/>
  <c r="M2771" i="21" s="1"/>
  <c r="G2771" i="21"/>
  <c r="I2771" i="21" s="1"/>
  <c r="AB2770" i="21"/>
  <c r="V2770" i="21"/>
  <c r="W2770" i="21" s="1"/>
  <c r="L2770" i="21"/>
  <c r="K2770" i="21"/>
  <c r="H2770" i="21"/>
  <c r="G2770" i="21"/>
  <c r="I2770" i="21" s="1"/>
  <c r="AB2769" i="21"/>
  <c r="V2769" i="21"/>
  <c r="W2769" i="21" s="1"/>
  <c r="L2769" i="21"/>
  <c r="K2769" i="21"/>
  <c r="H2769" i="21"/>
  <c r="M2769" i="21" s="1"/>
  <c r="G2769" i="21"/>
  <c r="I2769" i="21" s="1"/>
  <c r="AB2768" i="21"/>
  <c r="V2768" i="21"/>
  <c r="W2768" i="21" s="1"/>
  <c r="L2768" i="21"/>
  <c r="K2768" i="21"/>
  <c r="H2768" i="21"/>
  <c r="G2768" i="21"/>
  <c r="I2768" i="21" s="1"/>
  <c r="AB2767" i="21"/>
  <c r="V2767" i="21"/>
  <c r="W2767" i="21" s="1"/>
  <c r="L2767" i="21"/>
  <c r="K2767" i="21"/>
  <c r="H2767" i="21"/>
  <c r="M2767" i="21" s="1"/>
  <c r="G2767" i="21"/>
  <c r="I2767" i="21" s="1"/>
  <c r="AB2766" i="21"/>
  <c r="V2766" i="21"/>
  <c r="W2766" i="21" s="1"/>
  <c r="L2766" i="21"/>
  <c r="K2766" i="21"/>
  <c r="H2766" i="21"/>
  <c r="G2766" i="21"/>
  <c r="I2766" i="21" s="1"/>
  <c r="AB2765" i="21"/>
  <c r="V2765" i="21"/>
  <c r="W2765" i="21" s="1"/>
  <c r="L2765" i="21"/>
  <c r="K2765" i="21"/>
  <c r="H2765" i="21"/>
  <c r="M2765" i="21" s="1"/>
  <c r="G2765" i="21"/>
  <c r="I2765" i="21" s="1"/>
  <c r="AB2764" i="21"/>
  <c r="V2764" i="21"/>
  <c r="W2764" i="21" s="1"/>
  <c r="L2764" i="21"/>
  <c r="K2764" i="21"/>
  <c r="H2764" i="21"/>
  <c r="G2764" i="21"/>
  <c r="I2764" i="21" s="1"/>
  <c r="AB2763" i="21"/>
  <c r="V2763" i="21"/>
  <c r="W2763" i="21" s="1"/>
  <c r="L2763" i="21"/>
  <c r="K2763" i="21"/>
  <c r="H2763" i="21"/>
  <c r="M2763" i="21" s="1"/>
  <c r="G2763" i="21"/>
  <c r="I2763" i="21" s="1"/>
  <c r="AB2762" i="21"/>
  <c r="V2762" i="21"/>
  <c r="W2762" i="21" s="1"/>
  <c r="L2762" i="21"/>
  <c r="K2762" i="21"/>
  <c r="H2762" i="21"/>
  <c r="G2762" i="21"/>
  <c r="I2762" i="21" s="1"/>
  <c r="AB2761" i="21"/>
  <c r="V2761" i="21"/>
  <c r="W2761" i="21" s="1"/>
  <c r="L2761" i="21"/>
  <c r="K2761" i="21"/>
  <c r="H2761" i="21"/>
  <c r="G2761" i="21"/>
  <c r="I2761" i="21" s="1"/>
  <c r="AB2760" i="21"/>
  <c r="V2760" i="21"/>
  <c r="W2760" i="21" s="1"/>
  <c r="L2760" i="21"/>
  <c r="K2760" i="21"/>
  <c r="H2760" i="21"/>
  <c r="G2760" i="21"/>
  <c r="I2760" i="21" s="1"/>
  <c r="AB2759" i="21"/>
  <c r="V2759" i="21"/>
  <c r="W2759" i="21" s="1"/>
  <c r="L2759" i="21"/>
  <c r="K2759" i="21"/>
  <c r="H2759" i="21"/>
  <c r="G2759" i="21"/>
  <c r="I2759" i="21" s="1"/>
  <c r="AB2758" i="21"/>
  <c r="V2758" i="21"/>
  <c r="W2758" i="21" s="1"/>
  <c r="L2758" i="21"/>
  <c r="K2758" i="21"/>
  <c r="H2758" i="21"/>
  <c r="G2758" i="21"/>
  <c r="I2758" i="21" s="1"/>
  <c r="AB2757" i="21"/>
  <c r="V2757" i="21"/>
  <c r="W2757" i="21" s="1"/>
  <c r="L2757" i="21"/>
  <c r="K2757" i="21"/>
  <c r="H2757" i="21"/>
  <c r="G2757" i="21"/>
  <c r="I2757" i="21" s="1"/>
  <c r="AB2756" i="21"/>
  <c r="V2756" i="21"/>
  <c r="W2756" i="21" s="1"/>
  <c r="L2756" i="21"/>
  <c r="K2756" i="21"/>
  <c r="H2756" i="21"/>
  <c r="G2756" i="21"/>
  <c r="I2756" i="21" s="1"/>
  <c r="AB2755" i="21"/>
  <c r="V2755" i="21"/>
  <c r="W2755" i="21" s="1"/>
  <c r="L2755" i="21"/>
  <c r="K2755" i="21"/>
  <c r="H2755" i="21"/>
  <c r="G2755" i="21"/>
  <c r="I2755" i="21" s="1"/>
  <c r="AB2754" i="21"/>
  <c r="V2754" i="21"/>
  <c r="W2754" i="21" s="1"/>
  <c r="L2754" i="21"/>
  <c r="K2754" i="21"/>
  <c r="H2754" i="21"/>
  <c r="G2754" i="21"/>
  <c r="I2754" i="21" s="1"/>
  <c r="AB2753" i="21"/>
  <c r="V2753" i="21"/>
  <c r="W2753" i="21" s="1"/>
  <c r="L2753" i="21"/>
  <c r="K2753" i="21"/>
  <c r="H2753" i="21"/>
  <c r="G2753" i="21"/>
  <c r="I2753" i="21" s="1"/>
  <c r="AB2752" i="21"/>
  <c r="V2752" i="21"/>
  <c r="W2752" i="21" s="1"/>
  <c r="L2752" i="21"/>
  <c r="K2752" i="21"/>
  <c r="H2752" i="21"/>
  <c r="G2752" i="21"/>
  <c r="I2752" i="21" s="1"/>
  <c r="AB2751" i="21"/>
  <c r="V2751" i="21"/>
  <c r="W2751" i="21" s="1"/>
  <c r="L2751" i="21"/>
  <c r="K2751" i="21"/>
  <c r="H2751" i="21"/>
  <c r="G2751" i="21"/>
  <c r="I2751" i="21" s="1"/>
  <c r="AB2750" i="21"/>
  <c r="V2750" i="21"/>
  <c r="W2750" i="21" s="1"/>
  <c r="L2750" i="21"/>
  <c r="K2750" i="21"/>
  <c r="H2750" i="21"/>
  <c r="M2750" i="21" s="1"/>
  <c r="G2750" i="21"/>
  <c r="I2750" i="21" s="1"/>
  <c r="AB2749" i="21"/>
  <c r="V2749" i="21"/>
  <c r="W2749" i="21" s="1"/>
  <c r="L2749" i="21"/>
  <c r="K2749" i="21"/>
  <c r="H2749" i="21"/>
  <c r="G2749" i="21"/>
  <c r="I2749" i="21" s="1"/>
  <c r="AB2748" i="21"/>
  <c r="V2748" i="21"/>
  <c r="W2748" i="21" s="1"/>
  <c r="L2748" i="21"/>
  <c r="K2748" i="21"/>
  <c r="H2748" i="21"/>
  <c r="M2748" i="21" s="1"/>
  <c r="G2748" i="21"/>
  <c r="I2748" i="21" s="1"/>
  <c r="AB2747" i="21"/>
  <c r="V2747" i="21"/>
  <c r="W2747" i="21" s="1"/>
  <c r="L2747" i="21"/>
  <c r="K2747" i="21"/>
  <c r="H2747" i="21"/>
  <c r="G2747" i="21"/>
  <c r="I2747" i="21" s="1"/>
  <c r="AB2746" i="21"/>
  <c r="V2746" i="21"/>
  <c r="W2746" i="21" s="1"/>
  <c r="L2746" i="21"/>
  <c r="K2746" i="21"/>
  <c r="H2746" i="21"/>
  <c r="M2746" i="21" s="1"/>
  <c r="G2746" i="21"/>
  <c r="I2746" i="21" s="1"/>
  <c r="AB2745" i="21"/>
  <c r="V2745" i="21"/>
  <c r="W2745" i="21" s="1"/>
  <c r="L2745" i="21"/>
  <c r="K2745" i="21"/>
  <c r="H2745" i="21"/>
  <c r="G2745" i="21"/>
  <c r="I2745" i="21" s="1"/>
  <c r="AB2744" i="21"/>
  <c r="V2744" i="21"/>
  <c r="W2744" i="21" s="1"/>
  <c r="L2744" i="21"/>
  <c r="K2744" i="21"/>
  <c r="H2744" i="21"/>
  <c r="M2744" i="21" s="1"/>
  <c r="G2744" i="21"/>
  <c r="I2744" i="21" s="1"/>
  <c r="AB2743" i="21"/>
  <c r="V2743" i="21"/>
  <c r="W2743" i="21" s="1"/>
  <c r="L2743" i="21"/>
  <c r="K2743" i="21"/>
  <c r="H2743" i="21"/>
  <c r="G2743" i="21"/>
  <c r="I2743" i="21" s="1"/>
  <c r="AB2742" i="21"/>
  <c r="V2742" i="21"/>
  <c r="W2742" i="21" s="1"/>
  <c r="L2742" i="21"/>
  <c r="K2742" i="21"/>
  <c r="H2742" i="21"/>
  <c r="M2742" i="21" s="1"/>
  <c r="G2742" i="21"/>
  <c r="I2742" i="21" s="1"/>
  <c r="AB2741" i="21"/>
  <c r="V2741" i="21"/>
  <c r="W2741" i="21" s="1"/>
  <c r="L2741" i="21"/>
  <c r="K2741" i="21"/>
  <c r="H2741" i="21"/>
  <c r="G2741" i="21"/>
  <c r="I2741" i="21" s="1"/>
  <c r="AB2740" i="21"/>
  <c r="V2740" i="21"/>
  <c r="W2740" i="21" s="1"/>
  <c r="L2740" i="21"/>
  <c r="K2740" i="21"/>
  <c r="H2740" i="21"/>
  <c r="M2740" i="21" s="1"/>
  <c r="G2740" i="21"/>
  <c r="I2740" i="21" s="1"/>
  <c r="AB2739" i="21"/>
  <c r="V2739" i="21"/>
  <c r="W2739" i="21" s="1"/>
  <c r="L2739" i="21"/>
  <c r="K2739" i="21"/>
  <c r="H2739" i="21"/>
  <c r="G2739" i="21"/>
  <c r="I2739" i="21" s="1"/>
  <c r="AB2738" i="21"/>
  <c r="V2738" i="21"/>
  <c r="W2738" i="21" s="1"/>
  <c r="L2738" i="21"/>
  <c r="K2738" i="21"/>
  <c r="H2738" i="21"/>
  <c r="M2738" i="21" s="1"/>
  <c r="G2738" i="21"/>
  <c r="I2738" i="21" s="1"/>
  <c r="AB2737" i="21"/>
  <c r="V2737" i="21"/>
  <c r="W2737" i="21" s="1"/>
  <c r="L2737" i="21"/>
  <c r="K2737" i="21"/>
  <c r="H2737" i="21"/>
  <c r="G2737" i="21"/>
  <c r="I2737" i="21" s="1"/>
  <c r="AB2736" i="21"/>
  <c r="V2736" i="21"/>
  <c r="W2736" i="21" s="1"/>
  <c r="L2736" i="21"/>
  <c r="K2736" i="21"/>
  <c r="H2736" i="21"/>
  <c r="M2736" i="21" s="1"/>
  <c r="G2736" i="21"/>
  <c r="I2736" i="21" s="1"/>
  <c r="AB2735" i="21"/>
  <c r="V2735" i="21"/>
  <c r="W2735" i="21" s="1"/>
  <c r="L2735" i="21"/>
  <c r="K2735" i="21"/>
  <c r="H2735" i="21"/>
  <c r="G2735" i="21"/>
  <c r="I2735" i="21" s="1"/>
  <c r="AB2734" i="21"/>
  <c r="V2734" i="21"/>
  <c r="W2734" i="21" s="1"/>
  <c r="L2734" i="21"/>
  <c r="K2734" i="21"/>
  <c r="H2734" i="21"/>
  <c r="M2734" i="21" s="1"/>
  <c r="G2734" i="21"/>
  <c r="I2734" i="21" s="1"/>
  <c r="AB2733" i="21"/>
  <c r="V2733" i="21"/>
  <c r="W2733" i="21" s="1"/>
  <c r="L2733" i="21"/>
  <c r="K2733" i="21"/>
  <c r="H2733" i="21"/>
  <c r="G2733" i="21"/>
  <c r="I2733" i="21" s="1"/>
  <c r="AB2732" i="21"/>
  <c r="V2732" i="21"/>
  <c r="W2732" i="21" s="1"/>
  <c r="L2732" i="21"/>
  <c r="K2732" i="21"/>
  <c r="H2732" i="21"/>
  <c r="M2732" i="21" s="1"/>
  <c r="G2732" i="21"/>
  <c r="I2732" i="21" s="1"/>
  <c r="AB2731" i="21"/>
  <c r="V2731" i="21"/>
  <c r="W2731" i="21" s="1"/>
  <c r="L2731" i="21"/>
  <c r="K2731" i="21"/>
  <c r="H2731" i="21"/>
  <c r="G2731" i="21"/>
  <c r="I2731" i="21" s="1"/>
  <c r="AB2730" i="21"/>
  <c r="V2730" i="21"/>
  <c r="W2730" i="21" s="1"/>
  <c r="L2730" i="21"/>
  <c r="K2730" i="21"/>
  <c r="H2730" i="21"/>
  <c r="M2730" i="21" s="1"/>
  <c r="G2730" i="21"/>
  <c r="I2730" i="21" s="1"/>
  <c r="AB2729" i="21"/>
  <c r="V2729" i="21"/>
  <c r="W2729" i="21" s="1"/>
  <c r="L2729" i="21"/>
  <c r="K2729" i="21"/>
  <c r="H2729" i="21"/>
  <c r="G2729" i="21"/>
  <c r="I2729" i="21" s="1"/>
  <c r="AB2728" i="21"/>
  <c r="V2728" i="21"/>
  <c r="W2728" i="21" s="1"/>
  <c r="L2728" i="21"/>
  <c r="K2728" i="21"/>
  <c r="H2728" i="21"/>
  <c r="M2728" i="21" s="1"/>
  <c r="G2728" i="21"/>
  <c r="I2728" i="21" s="1"/>
  <c r="AB2727" i="21"/>
  <c r="V2727" i="21"/>
  <c r="W2727" i="21" s="1"/>
  <c r="L2727" i="21"/>
  <c r="K2727" i="21"/>
  <c r="H2727" i="21"/>
  <c r="G2727" i="21"/>
  <c r="I2727" i="21" s="1"/>
  <c r="AB2726" i="21"/>
  <c r="V2726" i="21"/>
  <c r="W2726" i="21" s="1"/>
  <c r="L2726" i="21"/>
  <c r="K2726" i="21"/>
  <c r="H2726" i="21"/>
  <c r="M2726" i="21" s="1"/>
  <c r="G2726" i="21"/>
  <c r="I2726" i="21" s="1"/>
  <c r="AB2725" i="21"/>
  <c r="V2725" i="21"/>
  <c r="W2725" i="21" s="1"/>
  <c r="L2725" i="21"/>
  <c r="K2725" i="21"/>
  <c r="H2725" i="21"/>
  <c r="G2725" i="21"/>
  <c r="I2725" i="21" s="1"/>
  <c r="AB2724" i="21"/>
  <c r="V2724" i="21"/>
  <c r="W2724" i="21" s="1"/>
  <c r="L2724" i="21"/>
  <c r="K2724" i="21"/>
  <c r="H2724" i="21"/>
  <c r="M2724" i="21" s="1"/>
  <c r="G2724" i="21"/>
  <c r="I2724" i="21" s="1"/>
  <c r="AB2723" i="21"/>
  <c r="V2723" i="21"/>
  <c r="W2723" i="21" s="1"/>
  <c r="L2723" i="21"/>
  <c r="K2723" i="21"/>
  <c r="H2723" i="21"/>
  <c r="G2723" i="21"/>
  <c r="I2723" i="21" s="1"/>
  <c r="AB2722" i="21"/>
  <c r="V2722" i="21"/>
  <c r="W2722" i="21" s="1"/>
  <c r="L2722" i="21"/>
  <c r="K2722" i="21"/>
  <c r="H2722" i="21"/>
  <c r="M2722" i="21" s="1"/>
  <c r="G2722" i="21"/>
  <c r="I2722" i="21" s="1"/>
  <c r="AB2721" i="21"/>
  <c r="V2721" i="21"/>
  <c r="W2721" i="21" s="1"/>
  <c r="L2721" i="21"/>
  <c r="K2721" i="21"/>
  <c r="H2721" i="21"/>
  <c r="G2721" i="21"/>
  <c r="I2721" i="21" s="1"/>
  <c r="AB2720" i="21"/>
  <c r="V2720" i="21"/>
  <c r="W2720" i="21" s="1"/>
  <c r="L2720" i="21"/>
  <c r="K2720" i="21"/>
  <c r="H2720" i="21"/>
  <c r="M2720" i="21" s="1"/>
  <c r="G2720" i="21"/>
  <c r="I2720" i="21" s="1"/>
  <c r="AB2719" i="21"/>
  <c r="V2719" i="21"/>
  <c r="W2719" i="21" s="1"/>
  <c r="L2719" i="21"/>
  <c r="K2719" i="21"/>
  <c r="H2719" i="21"/>
  <c r="G2719" i="21"/>
  <c r="I2719" i="21" s="1"/>
  <c r="AB2718" i="21"/>
  <c r="V2718" i="21"/>
  <c r="W2718" i="21" s="1"/>
  <c r="L2718" i="21"/>
  <c r="K2718" i="21"/>
  <c r="H2718" i="21"/>
  <c r="M2718" i="21" s="1"/>
  <c r="G2718" i="21"/>
  <c r="I2718" i="21" s="1"/>
  <c r="AB2717" i="21"/>
  <c r="V2717" i="21"/>
  <c r="W2717" i="21" s="1"/>
  <c r="L2717" i="21"/>
  <c r="K2717" i="21"/>
  <c r="H2717" i="21"/>
  <c r="G2717" i="21"/>
  <c r="I2717" i="21" s="1"/>
  <c r="AB2716" i="21"/>
  <c r="V2716" i="21"/>
  <c r="W2716" i="21" s="1"/>
  <c r="L2716" i="21"/>
  <c r="K2716" i="21"/>
  <c r="H2716" i="21"/>
  <c r="M2716" i="21" s="1"/>
  <c r="G2716" i="21"/>
  <c r="I2716" i="21" s="1"/>
  <c r="AB2715" i="21"/>
  <c r="V2715" i="21"/>
  <c r="W2715" i="21" s="1"/>
  <c r="L2715" i="21"/>
  <c r="K2715" i="21"/>
  <c r="H2715" i="21"/>
  <c r="G2715" i="21"/>
  <c r="I2715" i="21" s="1"/>
  <c r="AB2714" i="21"/>
  <c r="V2714" i="21"/>
  <c r="W2714" i="21" s="1"/>
  <c r="L2714" i="21"/>
  <c r="K2714" i="21"/>
  <c r="H2714" i="21"/>
  <c r="M2714" i="21" s="1"/>
  <c r="G2714" i="21"/>
  <c r="I2714" i="21" s="1"/>
  <c r="AB2713" i="21"/>
  <c r="V2713" i="21"/>
  <c r="W2713" i="21" s="1"/>
  <c r="L2713" i="21"/>
  <c r="K2713" i="21"/>
  <c r="H2713" i="21"/>
  <c r="G2713" i="21"/>
  <c r="I2713" i="21" s="1"/>
  <c r="AB2712" i="21"/>
  <c r="V2712" i="21"/>
  <c r="W2712" i="21" s="1"/>
  <c r="L2712" i="21"/>
  <c r="K2712" i="21"/>
  <c r="H2712" i="21"/>
  <c r="M2712" i="21" s="1"/>
  <c r="G2712" i="21"/>
  <c r="I2712" i="21" s="1"/>
  <c r="AB2711" i="21"/>
  <c r="V2711" i="21"/>
  <c r="W2711" i="21" s="1"/>
  <c r="L2711" i="21"/>
  <c r="K2711" i="21"/>
  <c r="H2711" i="21"/>
  <c r="G2711" i="21"/>
  <c r="I2711" i="21" s="1"/>
  <c r="AB2710" i="21"/>
  <c r="V2710" i="21"/>
  <c r="W2710" i="21" s="1"/>
  <c r="L2710" i="21"/>
  <c r="K2710" i="21"/>
  <c r="H2710" i="21"/>
  <c r="M2710" i="21" s="1"/>
  <c r="G2710" i="21"/>
  <c r="I2710" i="21" s="1"/>
  <c r="AB2709" i="21"/>
  <c r="V2709" i="21"/>
  <c r="W2709" i="21" s="1"/>
  <c r="L2709" i="21"/>
  <c r="K2709" i="21"/>
  <c r="H2709" i="21"/>
  <c r="G2709" i="21"/>
  <c r="I2709" i="21" s="1"/>
  <c r="AB2708" i="21"/>
  <c r="V2708" i="21"/>
  <c r="W2708" i="21" s="1"/>
  <c r="L2708" i="21"/>
  <c r="K2708" i="21"/>
  <c r="H2708" i="21"/>
  <c r="M2708" i="21" s="1"/>
  <c r="G2708" i="21"/>
  <c r="I2708" i="21" s="1"/>
  <c r="AB2707" i="21"/>
  <c r="V2707" i="21"/>
  <c r="W2707" i="21" s="1"/>
  <c r="L2707" i="21"/>
  <c r="K2707" i="21"/>
  <c r="H2707" i="21"/>
  <c r="G2707" i="21"/>
  <c r="I2707" i="21" s="1"/>
  <c r="AB2706" i="21"/>
  <c r="V2706" i="21"/>
  <c r="W2706" i="21" s="1"/>
  <c r="L2706" i="21"/>
  <c r="K2706" i="21"/>
  <c r="H2706" i="21"/>
  <c r="M2706" i="21" s="1"/>
  <c r="G2706" i="21"/>
  <c r="I2706" i="21" s="1"/>
  <c r="AB2705" i="21"/>
  <c r="V2705" i="21"/>
  <c r="W2705" i="21" s="1"/>
  <c r="L2705" i="21"/>
  <c r="K2705" i="21"/>
  <c r="H2705" i="21"/>
  <c r="G2705" i="21"/>
  <c r="I2705" i="21" s="1"/>
  <c r="AB2704" i="21"/>
  <c r="V2704" i="21"/>
  <c r="W2704" i="21" s="1"/>
  <c r="L2704" i="21"/>
  <c r="K2704" i="21"/>
  <c r="H2704" i="21"/>
  <c r="M2704" i="21" s="1"/>
  <c r="G2704" i="21"/>
  <c r="I2704" i="21" s="1"/>
  <c r="AB2703" i="21"/>
  <c r="V2703" i="21"/>
  <c r="W2703" i="21" s="1"/>
  <c r="L2703" i="21"/>
  <c r="K2703" i="21"/>
  <c r="H2703" i="21"/>
  <c r="G2703" i="21"/>
  <c r="I2703" i="21" s="1"/>
  <c r="AB2702" i="21"/>
  <c r="V2702" i="21"/>
  <c r="W2702" i="21" s="1"/>
  <c r="L2702" i="21"/>
  <c r="K2702" i="21"/>
  <c r="H2702" i="21"/>
  <c r="M2702" i="21" s="1"/>
  <c r="G2702" i="21"/>
  <c r="I2702" i="21" s="1"/>
  <c r="AB2701" i="21"/>
  <c r="V2701" i="21"/>
  <c r="W2701" i="21" s="1"/>
  <c r="L2701" i="21"/>
  <c r="K2701" i="21"/>
  <c r="H2701" i="21"/>
  <c r="G2701" i="21"/>
  <c r="I2701" i="21" s="1"/>
  <c r="AB2700" i="21"/>
  <c r="V2700" i="21"/>
  <c r="W2700" i="21" s="1"/>
  <c r="L2700" i="21"/>
  <c r="K2700" i="21"/>
  <c r="H2700" i="21"/>
  <c r="M2700" i="21" s="1"/>
  <c r="G2700" i="21"/>
  <c r="I2700" i="21" s="1"/>
  <c r="AB2699" i="21"/>
  <c r="V2699" i="21"/>
  <c r="W2699" i="21" s="1"/>
  <c r="L2699" i="21"/>
  <c r="K2699" i="21"/>
  <c r="H2699" i="21"/>
  <c r="G2699" i="21"/>
  <c r="I2699" i="21" s="1"/>
  <c r="AB2698" i="21"/>
  <c r="V2698" i="21"/>
  <c r="W2698" i="21" s="1"/>
  <c r="L2698" i="21"/>
  <c r="K2698" i="21"/>
  <c r="H2698" i="21"/>
  <c r="M2698" i="21" s="1"/>
  <c r="G2698" i="21"/>
  <c r="I2698" i="21" s="1"/>
  <c r="AB2697" i="21"/>
  <c r="V2697" i="21"/>
  <c r="W2697" i="21" s="1"/>
  <c r="L2697" i="21"/>
  <c r="K2697" i="21"/>
  <c r="H2697" i="21"/>
  <c r="G2697" i="21"/>
  <c r="I2697" i="21" s="1"/>
  <c r="AB2696" i="21"/>
  <c r="V2696" i="21"/>
  <c r="W2696" i="21" s="1"/>
  <c r="L2696" i="21"/>
  <c r="K2696" i="21"/>
  <c r="H2696" i="21"/>
  <c r="M2696" i="21" s="1"/>
  <c r="G2696" i="21"/>
  <c r="I2696" i="21" s="1"/>
  <c r="AB2695" i="21"/>
  <c r="V2695" i="21"/>
  <c r="W2695" i="21" s="1"/>
  <c r="L2695" i="21"/>
  <c r="K2695" i="21"/>
  <c r="H2695" i="21"/>
  <c r="G2695" i="21"/>
  <c r="I2695" i="21" s="1"/>
  <c r="AB2694" i="21"/>
  <c r="V2694" i="21"/>
  <c r="W2694" i="21" s="1"/>
  <c r="L2694" i="21"/>
  <c r="K2694" i="21"/>
  <c r="H2694" i="21"/>
  <c r="M2694" i="21" s="1"/>
  <c r="G2694" i="21"/>
  <c r="I2694" i="21" s="1"/>
  <c r="AB2693" i="21"/>
  <c r="V2693" i="21"/>
  <c r="W2693" i="21" s="1"/>
  <c r="L2693" i="21"/>
  <c r="K2693" i="21"/>
  <c r="H2693" i="21"/>
  <c r="G2693" i="21"/>
  <c r="I2693" i="21" s="1"/>
  <c r="AB2692" i="21"/>
  <c r="V2692" i="21"/>
  <c r="W2692" i="21" s="1"/>
  <c r="L2692" i="21"/>
  <c r="K2692" i="21"/>
  <c r="H2692" i="21"/>
  <c r="M2692" i="21" s="1"/>
  <c r="G2692" i="21"/>
  <c r="I2692" i="21" s="1"/>
  <c r="AB2691" i="21"/>
  <c r="V2691" i="21"/>
  <c r="W2691" i="21" s="1"/>
  <c r="L2691" i="21"/>
  <c r="K2691" i="21"/>
  <c r="H2691" i="21"/>
  <c r="G2691" i="21"/>
  <c r="I2691" i="21" s="1"/>
  <c r="AB2690" i="21"/>
  <c r="V2690" i="21"/>
  <c r="W2690" i="21" s="1"/>
  <c r="L2690" i="21"/>
  <c r="K2690" i="21"/>
  <c r="H2690" i="21"/>
  <c r="M2690" i="21" s="1"/>
  <c r="G2690" i="21"/>
  <c r="I2690" i="21" s="1"/>
  <c r="AB2689" i="21"/>
  <c r="V2689" i="21"/>
  <c r="W2689" i="21" s="1"/>
  <c r="L2689" i="21"/>
  <c r="K2689" i="21"/>
  <c r="H2689" i="21"/>
  <c r="G2689" i="21"/>
  <c r="I2689" i="21" s="1"/>
  <c r="AB2688" i="21"/>
  <c r="V2688" i="21"/>
  <c r="W2688" i="21" s="1"/>
  <c r="L2688" i="21"/>
  <c r="K2688" i="21"/>
  <c r="H2688" i="21"/>
  <c r="M2688" i="21" s="1"/>
  <c r="G2688" i="21"/>
  <c r="I2688" i="21" s="1"/>
  <c r="AB2687" i="21"/>
  <c r="V2687" i="21"/>
  <c r="W2687" i="21" s="1"/>
  <c r="L2687" i="21"/>
  <c r="K2687" i="21"/>
  <c r="H2687" i="21"/>
  <c r="G2687" i="21"/>
  <c r="I2687" i="21" s="1"/>
  <c r="AB2686" i="21"/>
  <c r="V2686" i="21"/>
  <c r="W2686" i="21" s="1"/>
  <c r="L2686" i="21"/>
  <c r="K2686" i="21"/>
  <c r="H2686" i="21"/>
  <c r="M2686" i="21" s="1"/>
  <c r="G2686" i="21"/>
  <c r="I2686" i="21" s="1"/>
  <c r="AB2685" i="21"/>
  <c r="V2685" i="21"/>
  <c r="W2685" i="21" s="1"/>
  <c r="L2685" i="21"/>
  <c r="K2685" i="21"/>
  <c r="H2685" i="21"/>
  <c r="G2685" i="21"/>
  <c r="I2685" i="21" s="1"/>
  <c r="AB2684" i="21"/>
  <c r="V2684" i="21"/>
  <c r="W2684" i="21" s="1"/>
  <c r="L2684" i="21"/>
  <c r="K2684" i="21"/>
  <c r="H2684" i="21"/>
  <c r="M2684" i="21" s="1"/>
  <c r="G2684" i="21"/>
  <c r="I2684" i="21" s="1"/>
  <c r="AB2683" i="21"/>
  <c r="V2683" i="21"/>
  <c r="W2683" i="21" s="1"/>
  <c r="L2683" i="21"/>
  <c r="K2683" i="21"/>
  <c r="H2683" i="21"/>
  <c r="G2683" i="21"/>
  <c r="I2683" i="21" s="1"/>
  <c r="AB2682" i="21"/>
  <c r="V2682" i="21"/>
  <c r="W2682" i="21" s="1"/>
  <c r="L2682" i="21"/>
  <c r="K2682" i="21"/>
  <c r="H2682" i="21"/>
  <c r="M2682" i="21" s="1"/>
  <c r="G2682" i="21"/>
  <c r="I2682" i="21" s="1"/>
  <c r="AB2681" i="21"/>
  <c r="V2681" i="21"/>
  <c r="W2681" i="21" s="1"/>
  <c r="L2681" i="21"/>
  <c r="K2681" i="21"/>
  <c r="H2681" i="21"/>
  <c r="G2681" i="21"/>
  <c r="I2681" i="21" s="1"/>
  <c r="AB2680" i="21"/>
  <c r="V2680" i="21"/>
  <c r="W2680" i="21" s="1"/>
  <c r="L2680" i="21"/>
  <c r="K2680" i="21"/>
  <c r="H2680" i="21"/>
  <c r="M2680" i="21" s="1"/>
  <c r="G2680" i="21"/>
  <c r="I2680" i="21" s="1"/>
  <c r="AB2679" i="21"/>
  <c r="V2679" i="21"/>
  <c r="W2679" i="21" s="1"/>
  <c r="L2679" i="21"/>
  <c r="K2679" i="21"/>
  <c r="H2679" i="21"/>
  <c r="G2679" i="21"/>
  <c r="I2679" i="21" s="1"/>
  <c r="AB2678" i="21"/>
  <c r="V2678" i="21"/>
  <c r="W2678" i="21" s="1"/>
  <c r="L2678" i="21"/>
  <c r="K2678" i="21"/>
  <c r="H2678" i="21"/>
  <c r="G2678" i="21"/>
  <c r="I2678" i="21" s="1"/>
  <c r="AB2677" i="21"/>
  <c r="V2677" i="21"/>
  <c r="W2677" i="21" s="1"/>
  <c r="L2677" i="21"/>
  <c r="K2677" i="21"/>
  <c r="H2677" i="21"/>
  <c r="M2677" i="21" s="1"/>
  <c r="G2677" i="21"/>
  <c r="I2677" i="21" s="1"/>
  <c r="AB2676" i="21"/>
  <c r="V2676" i="21"/>
  <c r="W2676" i="21" s="1"/>
  <c r="L2676" i="21"/>
  <c r="K2676" i="21"/>
  <c r="H2676" i="21"/>
  <c r="G2676" i="21"/>
  <c r="I2676" i="21" s="1"/>
  <c r="AB2675" i="21"/>
  <c r="V2675" i="21"/>
  <c r="W2675" i="21" s="1"/>
  <c r="L2675" i="21"/>
  <c r="K2675" i="21"/>
  <c r="H2675" i="21"/>
  <c r="M2675" i="21" s="1"/>
  <c r="G2675" i="21"/>
  <c r="I2675" i="21" s="1"/>
  <c r="AB2674" i="21"/>
  <c r="V2674" i="21"/>
  <c r="W2674" i="21" s="1"/>
  <c r="L2674" i="21"/>
  <c r="K2674" i="21"/>
  <c r="H2674" i="21"/>
  <c r="G2674" i="21"/>
  <c r="I2674" i="21" s="1"/>
  <c r="AB2673" i="21"/>
  <c r="V2673" i="21"/>
  <c r="W2673" i="21" s="1"/>
  <c r="L2673" i="21"/>
  <c r="K2673" i="21"/>
  <c r="H2673" i="21"/>
  <c r="M2673" i="21" s="1"/>
  <c r="G2673" i="21"/>
  <c r="I2673" i="21" s="1"/>
  <c r="AB2672" i="21"/>
  <c r="V2672" i="21"/>
  <c r="W2672" i="21" s="1"/>
  <c r="L2672" i="21"/>
  <c r="K2672" i="21"/>
  <c r="H2672" i="21"/>
  <c r="G2672" i="21"/>
  <c r="I2672" i="21" s="1"/>
  <c r="AB2671" i="21"/>
  <c r="V2671" i="21"/>
  <c r="W2671" i="21" s="1"/>
  <c r="L2671" i="21"/>
  <c r="K2671" i="21"/>
  <c r="H2671" i="21"/>
  <c r="M2671" i="21" s="1"/>
  <c r="G2671" i="21"/>
  <c r="I2671" i="21" s="1"/>
  <c r="AB2670" i="21"/>
  <c r="V2670" i="21"/>
  <c r="W2670" i="21" s="1"/>
  <c r="L2670" i="21"/>
  <c r="K2670" i="21"/>
  <c r="H2670" i="21"/>
  <c r="G2670" i="21"/>
  <c r="I2670" i="21" s="1"/>
  <c r="AB2669" i="21"/>
  <c r="V2669" i="21"/>
  <c r="W2669" i="21" s="1"/>
  <c r="L2669" i="21"/>
  <c r="K2669" i="21"/>
  <c r="H2669" i="21"/>
  <c r="M2669" i="21" s="1"/>
  <c r="G2669" i="21"/>
  <c r="I2669" i="21" s="1"/>
  <c r="AB2668" i="21"/>
  <c r="V2668" i="21"/>
  <c r="W2668" i="21" s="1"/>
  <c r="L2668" i="21"/>
  <c r="K2668" i="21"/>
  <c r="H2668" i="21"/>
  <c r="G2668" i="21"/>
  <c r="I2668" i="21" s="1"/>
  <c r="AB2667" i="21"/>
  <c r="V2667" i="21"/>
  <c r="W2667" i="21" s="1"/>
  <c r="L2667" i="21"/>
  <c r="K2667" i="21"/>
  <c r="H2667" i="21"/>
  <c r="M2667" i="21" s="1"/>
  <c r="G2667" i="21"/>
  <c r="I2667" i="21" s="1"/>
  <c r="AB2666" i="21"/>
  <c r="V2666" i="21"/>
  <c r="W2666" i="21" s="1"/>
  <c r="L2666" i="21"/>
  <c r="K2666" i="21"/>
  <c r="H2666" i="21"/>
  <c r="G2666" i="21"/>
  <c r="I2666" i="21" s="1"/>
  <c r="AB2665" i="21"/>
  <c r="V2665" i="21"/>
  <c r="W2665" i="21" s="1"/>
  <c r="L2665" i="21"/>
  <c r="K2665" i="21"/>
  <c r="H2665" i="21"/>
  <c r="M2665" i="21" s="1"/>
  <c r="G2665" i="21"/>
  <c r="I2665" i="21" s="1"/>
  <c r="AB2664" i="21"/>
  <c r="V2664" i="21"/>
  <c r="W2664" i="21" s="1"/>
  <c r="L2664" i="21"/>
  <c r="K2664" i="21"/>
  <c r="H2664" i="21"/>
  <c r="G2664" i="21"/>
  <c r="I2664" i="21" s="1"/>
  <c r="AB2663" i="21"/>
  <c r="V2663" i="21"/>
  <c r="W2663" i="21" s="1"/>
  <c r="L2663" i="21"/>
  <c r="K2663" i="21"/>
  <c r="H2663" i="21"/>
  <c r="M2663" i="21" s="1"/>
  <c r="G2663" i="21"/>
  <c r="I2663" i="21" s="1"/>
  <c r="AB2662" i="21"/>
  <c r="V2662" i="21"/>
  <c r="W2662" i="21" s="1"/>
  <c r="L2662" i="21"/>
  <c r="K2662" i="21"/>
  <c r="H2662" i="21"/>
  <c r="G2662" i="21"/>
  <c r="I2662" i="21" s="1"/>
  <c r="AB2661" i="21"/>
  <c r="V2661" i="21"/>
  <c r="W2661" i="21" s="1"/>
  <c r="L2661" i="21"/>
  <c r="K2661" i="21"/>
  <c r="H2661" i="21"/>
  <c r="M2661" i="21" s="1"/>
  <c r="G2661" i="21"/>
  <c r="I2661" i="21" s="1"/>
  <c r="AB2660" i="21"/>
  <c r="V2660" i="21"/>
  <c r="W2660" i="21" s="1"/>
  <c r="L2660" i="21"/>
  <c r="K2660" i="21"/>
  <c r="H2660" i="21"/>
  <c r="G2660" i="21"/>
  <c r="I2660" i="21" s="1"/>
  <c r="AB2659" i="21"/>
  <c r="V2659" i="21"/>
  <c r="W2659" i="21" s="1"/>
  <c r="L2659" i="21"/>
  <c r="K2659" i="21"/>
  <c r="H2659" i="21"/>
  <c r="M2659" i="21" s="1"/>
  <c r="G2659" i="21"/>
  <c r="I2659" i="21" s="1"/>
  <c r="AB2658" i="21"/>
  <c r="V2658" i="21"/>
  <c r="W2658" i="21" s="1"/>
  <c r="L2658" i="21"/>
  <c r="K2658" i="21"/>
  <c r="H2658" i="21"/>
  <c r="G2658" i="21"/>
  <c r="I2658" i="21" s="1"/>
  <c r="AB2657" i="21"/>
  <c r="V2657" i="21"/>
  <c r="W2657" i="21" s="1"/>
  <c r="L2657" i="21"/>
  <c r="K2657" i="21"/>
  <c r="H2657" i="21"/>
  <c r="M2657" i="21" s="1"/>
  <c r="G2657" i="21"/>
  <c r="I2657" i="21" s="1"/>
  <c r="AB2656" i="21"/>
  <c r="V2656" i="21"/>
  <c r="W2656" i="21" s="1"/>
  <c r="L2656" i="21"/>
  <c r="K2656" i="21"/>
  <c r="H2656" i="21"/>
  <c r="G2656" i="21"/>
  <c r="I2656" i="21" s="1"/>
  <c r="AB2655" i="21"/>
  <c r="V2655" i="21"/>
  <c r="W2655" i="21" s="1"/>
  <c r="L2655" i="21"/>
  <c r="K2655" i="21"/>
  <c r="H2655" i="21"/>
  <c r="M2655" i="21" s="1"/>
  <c r="G2655" i="21"/>
  <c r="I2655" i="21" s="1"/>
  <c r="AB2654" i="21"/>
  <c r="V2654" i="21"/>
  <c r="W2654" i="21" s="1"/>
  <c r="L2654" i="21"/>
  <c r="K2654" i="21"/>
  <c r="H2654" i="21"/>
  <c r="G2654" i="21"/>
  <c r="I2654" i="21" s="1"/>
  <c r="AB2653" i="21"/>
  <c r="V2653" i="21"/>
  <c r="W2653" i="21" s="1"/>
  <c r="L2653" i="21"/>
  <c r="K2653" i="21"/>
  <c r="H2653" i="21"/>
  <c r="M2653" i="21" s="1"/>
  <c r="G2653" i="21"/>
  <c r="I2653" i="21" s="1"/>
  <c r="AB2652" i="21"/>
  <c r="V2652" i="21"/>
  <c r="W2652" i="21" s="1"/>
  <c r="L2652" i="21"/>
  <c r="K2652" i="21"/>
  <c r="H2652" i="21"/>
  <c r="G2652" i="21"/>
  <c r="I2652" i="21" s="1"/>
  <c r="AB2651" i="21"/>
  <c r="V2651" i="21"/>
  <c r="W2651" i="21" s="1"/>
  <c r="L2651" i="21"/>
  <c r="K2651" i="21"/>
  <c r="H2651" i="21"/>
  <c r="M2651" i="21" s="1"/>
  <c r="G2651" i="21"/>
  <c r="I2651" i="21" s="1"/>
  <c r="AB2650" i="21"/>
  <c r="V2650" i="21"/>
  <c r="W2650" i="21" s="1"/>
  <c r="L2650" i="21"/>
  <c r="K2650" i="21"/>
  <c r="H2650" i="21"/>
  <c r="G2650" i="21"/>
  <c r="I2650" i="21" s="1"/>
  <c r="AB2649" i="21"/>
  <c r="V2649" i="21"/>
  <c r="W2649" i="21" s="1"/>
  <c r="L2649" i="21"/>
  <c r="K2649" i="21"/>
  <c r="H2649" i="21"/>
  <c r="M2649" i="21" s="1"/>
  <c r="G2649" i="21"/>
  <c r="I2649" i="21" s="1"/>
  <c r="AB2648" i="21"/>
  <c r="V2648" i="21"/>
  <c r="W2648" i="21" s="1"/>
  <c r="L2648" i="21"/>
  <c r="K2648" i="21"/>
  <c r="H2648" i="21"/>
  <c r="M2648" i="21" s="1"/>
  <c r="G2648" i="21"/>
  <c r="I2648" i="21" s="1"/>
  <c r="AB2647" i="21"/>
  <c r="V2647" i="21"/>
  <c r="W2647" i="21" s="1"/>
  <c r="L2647" i="21"/>
  <c r="K2647" i="21"/>
  <c r="H2647" i="21"/>
  <c r="M2647" i="21" s="1"/>
  <c r="G2647" i="21"/>
  <c r="I2647" i="21" s="1"/>
  <c r="AB2646" i="21"/>
  <c r="V2646" i="21"/>
  <c r="W2646" i="21" s="1"/>
  <c r="L2646" i="21"/>
  <c r="K2646" i="21"/>
  <c r="H2646" i="21"/>
  <c r="M2646" i="21" s="1"/>
  <c r="G2646" i="21"/>
  <c r="I2646" i="21" s="1"/>
  <c r="AB2645" i="21"/>
  <c r="V2645" i="21"/>
  <c r="W2645" i="21" s="1"/>
  <c r="L2645" i="21"/>
  <c r="K2645" i="21"/>
  <c r="H2645" i="21"/>
  <c r="M2645" i="21" s="1"/>
  <c r="G2645" i="21"/>
  <c r="I2645" i="21" s="1"/>
  <c r="AB2644" i="21"/>
  <c r="V2644" i="21"/>
  <c r="W2644" i="21" s="1"/>
  <c r="L2644" i="21"/>
  <c r="K2644" i="21"/>
  <c r="H2644" i="21"/>
  <c r="M2644" i="21" s="1"/>
  <c r="G2644" i="21"/>
  <c r="I2644" i="21" s="1"/>
  <c r="AB2643" i="21"/>
  <c r="V2643" i="21"/>
  <c r="W2643" i="21" s="1"/>
  <c r="L2643" i="21"/>
  <c r="K2643" i="21"/>
  <c r="H2643" i="21"/>
  <c r="M2643" i="21" s="1"/>
  <c r="G2643" i="21"/>
  <c r="I2643" i="21" s="1"/>
  <c r="AB2642" i="21"/>
  <c r="V2642" i="21"/>
  <c r="W2642" i="21" s="1"/>
  <c r="L2642" i="21"/>
  <c r="K2642" i="21"/>
  <c r="H2642" i="21"/>
  <c r="M2642" i="21" s="1"/>
  <c r="G2642" i="21"/>
  <c r="I2642" i="21" s="1"/>
  <c r="AB2641" i="21"/>
  <c r="V2641" i="21"/>
  <c r="W2641" i="21" s="1"/>
  <c r="L2641" i="21"/>
  <c r="K2641" i="21"/>
  <c r="H2641" i="21"/>
  <c r="M2641" i="21" s="1"/>
  <c r="G2641" i="21"/>
  <c r="I2641" i="21" s="1"/>
  <c r="AB2640" i="21"/>
  <c r="V2640" i="21"/>
  <c r="W2640" i="21" s="1"/>
  <c r="L2640" i="21"/>
  <c r="K2640" i="21"/>
  <c r="H2640" i="21"/>
  <c r="M2640" i="21" s="1"/>
  <c r="G2640" i="21"/>
  <c r="I2640" i="21" s="1"/>
  <c r="AB2639" i="21"/>
  <c r="V2639" i="21"/>
  <c r="W2639" i="21" s="1"/>
  <c r="L2639" i="21"/>
  <c r="K2639" i="21"/>
  <c r="H2639" i="21"/>
  <c r="M2639" i="21" s="1"/>
  <c r="G2639" i="21"/>
  <c r="I2639" i="21" s="1"/>
  <c r="AB2638" i="21"/>
  <c r="V2638" i="21"/>
  <c r="W2638" i="21" s="1"/>
  <c r="L2638" i="21"/>
  <c r="K2638" i="21"/>
  <c r="H2638" i="21"/>
  <c r="M2638" i="21" s="1"/>
  <c r="G2638" i="21"/>
  <c r="I2638" i="21" s="1"/>
  <c r="AB2637" i="21"/>
  <c r="V2637" i="21"/>
  <c r="W2637" i="21" s="1"/>
  <c r="L2637" i="21"/>
  <c r="K2637" i="21"/>
  <c r="H2637" i="21"/>
  <c r="M2637" i="21" s="1"/>
  <c r="G2637" i="21"/>
  <c r="I2637" i="21" s="1"/>
  <c r="AB2636" i="21"/>
  <c r="V2636" i="21"/>
  <c r="W2636" i="21" s="1"/>
  <c r="L2636" i="21"/>
  <c r="K2636" i="21"/>
  <c r="H2636" i="21"/>
  <c r="M2636" i="21" s="1"/>
  <c r="G2636" i="21"/>
  <c r="I2636" i="21" s="1"/>
  <c r="AB2635" i="21"/>
  <c r="V2635" i="21"/>
  <c r="W2635" i="21" s="1"/>
  <c r="L2635" i="21"/>
  <c r="K2635" i="21"/>
  <c r="H2635" i="21"/>
  <c r="M2635" i="21" s="1"/>
  <c r="G2635" i="21"/>
  <c r="I2635" i="21" s="1"/>
  <c r="AB2634" i="21"/>
  <c r="V2634" i="21"/>
  <c r="W2634" i="21" s="1"/>
  <c r="L2634" i="21"/>
  <c r="K2634" i="21"/>
  <c r="H2634" i="21"/>
  <c r="M2634" i="21" s="1"/>
  <c r="G2634" i="21"/>
  <c r="I2634" i="21" s="1"/>
  <c r="AB2633" i="21"/>
  <c r="V2633" i="21"/>
  <c r="W2633" i="21" s="1"/>
  <c r="L2633" i="21"/>
  <c r="K2633" i="21"/>
  <c r="H2633" i="21"/>
  <c r="M2633" i="21" s="1"/>
  <c r="G2633" i="21"/>
  <c r="I2633" i="21" s="1"/>
  <c r="AB2632" i="21"/>
  <c r="V2632" i="21"/>
  <c r="W2632" i="21" s="1"/>
  <c r="L2632" i="21"/>
  <c r="K2632" i="21"/>
  <c r="H2632" i="21"/>
  <c r="M2632" i="21" s="1"/>
  <c r="G2632" i="21"/>
  <c r="I2632" i="21" s="1"/>
  <c r="AB2631" i="21"/>
  <c r="V2631" i="21"/>
  <c r="W2631" i="21" s="1"/>
  <c r="L2631" i="21"/>
  <c r="K2631" i="21"/>
  <c r="H2631" i="21"/>
  <c r="M2631" i="21" s="1"/>
  <c r="G2631" i="21"/>
  <c r="I2631" i="21" s="1"/>
  <c r="AB2630" i="21"/>
  <c r="V2630" i="21"/>
  <c r="W2630" i="21" s="1"/>
  <c r="L2630" i="21"/>
  <c r="K2630" i="21"/>
  <c r="H2630" i="21"/>
  <c r="M2630" i="21" s="1"/>
  <c r="G2630" i="21"/>
  <c r="I2630" i="21" s="1"/>
  <c r="AB2629" i="21"/>
  <c r="V2629" i="21"/>
  <c r="W2629" i="21" s="1"/>
  <c r="L2629" i="21"/>
  <c r="K2629" i="21"/>
  <c r="H2629" i="21"/>
  <c r="M2629" i="21" s="1"/>
  <c r="G2629" i="21"/>
  <c r="I2629" i="21" s="1"/>
  <c r="AB2628" i="21"/>
  <c r="V2628" i="21"/>
  <c r="W2628" i="21" s="1"/>
  <c r="L2628" i="21"/>
  <c r="K2628" i="21"/>
  <c r="H2628" i="21"/>
  <c r="M2628" i="21" s="1"/>
  <c r="G2628" i="21"/>
  <c r="I2628" i="21" s="1"/>
  <c r="AB2627" i="21"/>
  <c r="V2627" i="21"/>
  <c r="W2627" i="21" s="1"/>
  <c r="L2627" i="21"/>
  <c r="K2627" i="21"/>
  <c r="H2627" i="21"/>
  <c r="M2627" i="21" s="1"/>
  <c r="G2627" i="21"/>
  <c r="I2627" i="21" s="1"/>
  <c r="AB2626" i="21"/>
  <c r="V2626" i="21"/>
  <c r="W2626" i="21" s="1"/>
  <c r="L2626" i="21"/>
  <c r="K2626" i="21"/>
  <c r="H2626" i="21"/>
  <c r="M2626" i="21" s="1"/>
  <c r="G2626" i="21"/>
  <c r="I2626" i="21" s="1"/>
  <c r="AB2625" i="21"/>
  <c r="V2625" i="21"/>
  <c r="W2625" i="21" s="1"/>
  <c r="L2625" i="21"/>
  <c r="K2625" i="21"/>
  <c r="H2625" i="21"/>
  <c r="M2625" i="21" s="1"/>
  <c r="G2625" i="21"/>
  <c r="I2625" i="21" s="1"/>
  <c r="AB2624" i="21"/>
  <c r="V2624" i="21"/>
  <c r="W2624" i="21" s="1"/>
  <c r="L2624" i="21"/>
  <c r="K2624" i="21"/>
  <c r="H2624" i="21"/>
  <c r="M2624" i="21" s="1"/>
  <c r="G2624" i="21"/>
  <c r="I2624" i="21" s="1"/>
  <c r="AB2623" i="21"/>
  <c r="V2623" i="21"/>
  <c r="W2623" i="21" s="1"/>
  <c r="L2623" i="21"/>
  <c r="K2623" i="21"/>
  <c r="H2623" i="21"/>
  <c r="M2623" i="21" s="1"/>
  <c r="G2623" i="21"/>
  <c r="I2623" i="21" s="1"/>
  <c r="AB2622" i="21"/>
  <c r="V2622" i="21"/>
  <c r="W2622" i="21" s="1"/>
  <c r="L2622" i="21"/>
  <c r="K2622" i="21"/>
  <c r="H2622" i="21"/>
  <c r="M2622" i="21" s="1"/>
  <c r="G2622" i="21"/>
  <c r="I2622" i="21" s="1"/>
  <c r="AB2621" i="21"/>
  <c r="V2621" i="21"/>
  <c r="W2621" i="21" s="1"/>
  <c r="L2621" i="21"/>
  <c r="K2621" i="21"/>
  <c r="H2621" i="21"/>
  <c r="M2621" i="21" s="1"/>
  <c r="G2621" i="21"/>
  <c r="I2621" i="21" s="1"/>
  <c r="AB2620" i="21"/>
  <c r="V2620" i="21"/>
  <c r="W2620" i="21" s="1"/>
  <c r="L2620" i="21"/>
  <c r="K2620" i="21"/>
  <c r="H2620" i="21"/>
  <c r="M2620" i="21" s="1"/>
  <c r="G2620" i="21"/>
  <c r="I2620" i="21" s="1"/>
  <c r="AB2619" i="21"/>
  <c r="V2619" i="21"/>
  <c r="W2619" i="21" s="1"/>
  <c r="L2619" i="21"/>
  <c r="K2619" i="21"/>
  <c r="H2619" i="21"/>
  <c r="M2619" i="21" s="1"/>
  <c r="G2619" i="21"/>
  <c r="I2619" i="21" s="1"/>
  <c r="AB2618" i="21"/>
  <c r="V2618" i="21"/>
  <c r="W2618" i="21" s="1"/>
  <c r="L2618" i="21"/>
  <c r="K2618" i="21"/>
  <c r="H2618" i="21"/>
  <c r="M2618" i="21" s="1"/>
  <c r="G2618" i="21"/>
  <c r="I2618" i="21" s="1"/>
  <c r="AB2617" i="21"/>
  <c r="V2617" i="21"/>
  <c r="W2617" i="21" s="1"/>
  <c r="L2617" i="21"/>
  <c r="K2617" i="21"/>
  <c r="H2617" i="21"/>
  <c r="M2617" i="21" s="1"/>
  <c r="G2617" i="21"/>
  <c r="I2617" i="21" s="1"/>
  <c r="AB2616" i="21"/>
  <c r="V2616" i="21"/>
  <c r="W2616" i="21" s="1"/>
  <c r="L2616" i="21"/>
  <c r="K2616" i="21"/>
  <c r="H2616" i="21"/>
  <c r="M2616" i="21" s="1"/>
  <c r="G2616" i="21"/>
  <c r="I2616" i="21" s="1"/>
  <c r="AB2615" i="21"/>
  <c r="V2615" i="21"/>
  <c r="W2615" i="21" s="1"/>
  <c r="L2615" i="21"/>
  <c r="K2615" i="21"/>
  <c r="H2615" i="21"/>
  <c r="M2615" i="21" s="1"/>
  <c r="G2615" i="21"/>
  <c r="I2615" i="21" s="1"/>
  <c r="AB2614" i="21"/>
  <c r="V2614" i="21"/>
  <c r="W2614" i="21" s="1"/>
  <c r="L2614" i="21"/>
  <c r="K2614" i="21"/>
  <c r="H2614" i="21"/>
  <c r="M2614" i="21" s="1"/>
  <c r="G2614" i="21"/>
  <c r="I2614" i="21" s="1"/>
  <c r="AB2613" i="21"/>
  <c r="V2613" i="21"/>
  <c r="W2613" i="21" s="1"/>
  <c r="L2613" i="21"/>
  <c r="K2613" i="21"/>
  <c r="H2613" i="21"/>
  <c r="M2613" i="21" s="1"/>
  <c r="G2613" i="21"/>
  <c r="I2613" i="21" s="1"/>
  <c r="AB2612" i="21"/>
  <c r="V2612" i="21"/>
  <c r="W2612" i="21" s="1"/>
  <c r="L2612" i="21"/>
  <c r="K2612" i="21"/>
  <c r="H2612" i="21"/>
  <c r="M2612" i="21" s="1"/>
  <c r="G2612" i="21"/>
  <c r="I2612" i="21" s="1"/>
  <c r="AB2611" i="21"/>
  <c r="V2611" i="21"/>
  <c r="W2611" i="21" s="1"/>
  <c r="L2611" i="21"/>
  <c r="K2611" i="21"/>
  <c r="H2611" i="21"/>
  <c r="M2611" i="21" s="1"/>
  <c r="G2611" i="21"/>
  <c r="I2611" i="21" s="1"/>
  <c r="AB2610" i="21"/>
  <c r="V2610" i="21"/>
  <c r="W2610" i="21" s="1"/>
  <c r="L2610" i="21"/>
  <c r="K2610" i="21"/>
  <c r="H2610" i="21"/>
  <c r="M2610" i="21" s="1"/>
  <c r="G2610" i="21"/>
  <c r="I2610" i="21" s="1"/>
  <c r="AB2609" i="21"/>
  <c r="V2609" i="21"/>
  <c r="W2609" i="21" s="1"/>
  <c r="L2609" i="21"/>
  <c r="K2609" i="21"/>
  <c r="H2609" i="21"/>
  <c r="M2609" i="21" s="1"/>
  <c r="G2609" i="21"/>
  <c r="I2609" i="21" s="1"/>
  <c r="AB2608" i="21"/>
  <c r="V2608" i="21"/>
  <c r="W2608" i="21" s="1"/>
  <c r="L2608" i="21"/>
  <c r="K2608" i="21"/>
  <c r="H2608" i="21"/>
  <c r="M2608" i="21" s="1"/>
  <c r="G2608" i="21"/>
  <c r="I2608" i="21" s="1"/>
  <c r="AB2607" i="21"/>
  <c r="V2607" i="21"/>
  <c r="W2607" i="21" s="1"/>
  <c r="L2607" i="21"/>
  <c r="K2607" i="21"/>
  <c r="H2607" i="21"/>
  <c r="M2607" i="21" s="1"/>
  <c r="G2607" i="21"/>
  <c r="I2607" i="21" s="1"/>
  <c r="AB2606" i="21"/>
  <c r="V2606" i="21"/>
  <c r="W2606" i="21" s="1"/>
  <c r="L2606" i="21"/>
  <c r="K2606" i="21"/>
  <c r="H2606" i="21"/>
  <c r="M2606" i="21" s="1"/>
  <c r="G2606" i="21"/>
  <c r="I2606" i="21" s="1"/>
  <c r="AB2605" i="21"/>
  <c r="V2605" i="21"/>
  <c r="W2605" i="21" s="1"/>
  <c r="L2605" i="21"/>
  <c r="K2605" i="21"/>
  <c r="H2605" i="21"/>
  <c r="M2605" i="21" s="1"/>
  <c r="G2605" i="21"/>
  <c r="I2605" i="21" s="1"/>
  <c r="AB2604" i="21"/>
  <c r="V2604" i="21"/>
  <c r="W2604" i="21" s="1"/>
  <c r="L2604" i="21"/>
  <c r="K2604" i="21"/>
  <c r="H2604" i="21"/>
  <c r="M2604" i="21" s="1"/>
  <c r="G2604" i="21"/>
  <c r="I2604" i="21" s="1"/>
  <c r="AB2603" i="21"/>
  <c r="V2603" i="21"/>
  <c r="W2603" i="21" s="1"/>
  <c r="L2603" i="21"/>
  <c r="K2603" i="21"/>
  <c r="H2603" i="21"/>
  <c r="G2603" i="21"/>
  <c r="I2603" i="21" s="1"/>
  <c r="AB2602" i="21"/>
  <c r="V2602" i="21"/>
  <c r="W2602" i="21" s="1"/>
  <c r="L2602" i="21"/>
  <c r="K2602" i="21"/>
  <c r="H2602" i="21"/>
  <c r="M2602" i="21" s="1"/>
  <c r="G2602" i="21"/>
  <c r="I2602" i="21" s="1"/>
  <c r="AB2601" i="21"/>
  <c r="V2601" i="21"/>
  <c r="W2601" i="21" s="1"/>
  <c r="L2601" i="21"/>
  <c r="K2601" i="21"/>
  <c r="H2601" i="21"/>
  <c r="G2601" i="21"/>
  <c r="I2601" i="21" s="1"/>
  <c r="AB2600" i="21"/>
  <c r="V2600" i="21"/>
  <c r="W2600" i="21" s="1"/>
  <c r="L2600" i="21"/>
  <c r="K2600" i="21"/>
  <c r="H2600" i="21"/>
  <c r="M2600" i="21" s="1"/>
  <c r="G2600" i="21"/>
  <c r="I2600" i="21" s="1"/>
  <c r="AB2599" i="21"/>
  <c r="V2599" i="21"/>
  <c r="W2599" i="21" s="1"/>
  <c r="L2599" i="21"/>
  <c r="K2599" i="21"/>
  <c r="H2599" i="21"/>
  <c r="G2599" i="21"/>
  <c r="I2599" i="21" s="1"/>
  <c r="AB2598" i="21"/>
  <c r="V2598" i="21"/>
  <c r="W2598" i="21" s="1"/>
  <c r="L2598" i="21"/>
  <c r="K2598" i="21"/>
  <c r="H2598" i="21"/>
  <c r="M2598" i="21" s="1"/>
  <c r="G2598" i="21"/>
  <c r="I2598" i="21" s="1"/>
  <c r="AB2597" i="21"/>
  <c r="V2597" i="21"/>
  <c r="W2597" i="21" s="1"/>
  <c r="L2597" i="21"/>
  <c r="K2597" i="21"/>
  <c r="H2597" i="21"/>
  <c r="G2597" i="21"/>
  <c r="I2597" i="21" s="1"/>
  <c r="AB2596" i="21"/>
  <c r="V2596" i="21"/>
  <c r="W2596" i="21" s="1"/>
  <c r="L2596" i="21"/>
  <c r="K2596" i="21"/>
  <c r="H2596" i="21"/>
  <c r="M2596" i="21" s="1"/>
  <c r="G2596" i="21"/>
  <c r="I2596" i="21" s="1"/>
  <c r="AB2595" i="21"/>
  <c r="V2595" i="21"/>
  <c r="W2595" i="21" s="1"/>
  <c r="L2595" i="21"/>
  <c r="K2595" i="21"/>
  <c r="H2595" i="21"/>
  <c r="G2595" i="21"/>
  <c r="I2595" i="21" s="1"/>
  <c r="AB2594" i="21"/>
  <c r="V2594" i="21"/>
  <c r="W2594" i="21" s="1"/>
  <c r="L2594" i="21"/>
  <c r="K2594" i="21"/>
  <c r="H2594" i="21"/>
  <c r="G2594" i="21"/>
  <c r="I2594" i="21" s="1"/>
  <c r="AB2593" i="21"/>
  <c r="V2593" i="21"/>
  <c r="W2593" i="21" s="1"/>
  <c r="L2593" i="21"/>
  <c r="K2593" i="21"/>
  <c r="H2593" i="21"/>
  <c r="G2593" i="21"/>
  <c r="I2593" i="21" s="1"/>
  <c r="AB2592" i="21"/>
  <c r="V2592" i="21"/>
  <c r="W2592" i="21" s="1"/>
  <c r="L2592" i="21"/>
  <c r="K2592" i="21"/>
  <c r="H2592" i="21"/>
  <c r="G2592" i="21"/>
  <c r="I2592" i="21" s="1"/>
  <c r="AB2591" i="21"/>
  <c r="V2591" i="21"/>
  <c r="W2591" i="21" s="1"/>
  <c r="L2591" i="21"/>
  <c r="K2591" i="21"/>
  <c r="H2591" i="21"/>
  <c r="G2591" i="21"/>
  <c r="I2591" i="21" s="1"/>
  <c r="AB2590" i="21"/>
  <c r="V2590" i="21"/>
  <c r="W2590" i="21" s="1"/>
  <c r="L2590" i="21"/>
  <c r="K2590" i="21"/>
  <c r="H2590" i="21"/>
  <c r="G2590" i="21"/>
  <c r="I2590" i="21" s="1"/>
  <c r="AB2589" i="21"/>
  <c r="V2589" i="21"/>
  <c r="W2589" i="21" s="1"/>
  <c r="L2589" i="21"/>
  <c r="K2589" i="21"/>
  <c r="H2589" i="21"/>
  <c r="M2589" i="21" s="1"/>
  <c r="G2589" i="21"/>
  <c r="I2589" i="21" s="1"/>
  <c r="AB2588" i="21"/>
  <c r="V2588" i="21"/>
  <c r="W2588" i="21" s="1"/>
  <c r="L2588" i="21"/>
  <c r="K2588" i="21"/>
  <c r="H2588" i="21"/>
  <c r="G2588" i="21"/>
  <c r="I2588" i="21" s="1"/>
  <c r="AB2587" i="21"/>
  <c r="V2587" i="21"/>
  <c r="W2587" i="21" s="1"/>
  <c r="L2587" i="21"/>
  <c r="K2587" i="21"/>
  <c r="H2587" i="21"/>
  <c r="M2587" i="21" s="1"/>
  <c r="G2587" i="21"/>
  <c r="I2587" i="21" s="1"/>
  <c r="AB2586" i="21"/>
  <c r="V2586" i="21"/>
  <c r="W2586" i="21" s="1"/>
  <c r="L2586" i="21"/>
  <c r="K2586" i="21"/>
  <c r="H2586" i="21"/>
  <c r="G2586" i="21"/>
  <c r="I2586" i="21" s="1"/>
  <c r="AB2585" i="21"/>
  <c r="V2585" i="21"/>
  <c r="W2585" i="21" s="1"/>
  <c r="L2585" i="21"/>
  <c r="K2585" i="21"/>
  <c r="H2585" i="21"/>
  <c r="M2585" i="21" s="1"/>
  <c r="G2585" i="21"/>
  <c r="I2585" i="21" s="1"/>
  <c r="AB2584" i="21"/>
  <c r="V2584" i="21"/>
  <c r="W2584" i="21" s="1"/>
  <c r="L2584" i="21"/>
  <c r="K2584" i="21"/>
  <c r="H2584" i="21"/>
  <c r="M2584" i="21" s="1"/>
  <c r="G2584" i="21"/>
  <c r="I2584" i="21" s="1"/>
  <c r="AB2583" i="21"/>
  <c r="V2583" i="21"/>
  <c r="W2583" i="21" s="1"/>
  <c r="L2583" i="21"/>
  <c r="K2583" i="21"/>
  <c r="H2583" i="21"/>
  <c r="M2583" i="21" s="1"/>
  <c r="G2583" i="21"/>
  <c r="I2583" i="21" s="1"/>
  <c r="AB2582" i="21"/>
  <c r="V2582" i="21"/>
  <c r="W2582" i="21" s="1"/>
  <c r="L2582" i="21"/>
  <c r="K2582" i="21"/>
  <c r="H2582" i="21"/>
  <c r="G2582" i="21"/>
  <c r="I2582" i="21" s="1"/>
  <c r="AB2581" i="21"/>
  <c r="V2581" i="21"/>
  <c r="W2581" i="21" s="1"/>
  <c r="L2581" i="21"/>
  <c r="K2581" i="21"/>
  <c r="H2581" i="21"/>
  <c r="M2581" i="21" s="1"/>
  <c r="G2581" i="21"/>
  <c r="I2581" i="21" s="1"/>
  <c r="AB2580" i="21"/>
  <c r="V2580" i="21"/>
  <c r="W2580" i="21" s="1"/>
  <c r="L2580" i="21"/>
  <c r="K2580" i="21"/>
  <c r="H2580" i="21"/>
  <c r="G2580" i="21"/>
  <c r="I2580" i="21" s="1"/>
  <c r="AB2579" i="21"/>
  <c r="V2579" i="21"/>
  <c r="W2579" i="21" s="1"/>
  <c r="L2579" i="21"/>
  <c r="K2579" i="21"/>
  <c r="H2579" i="21"/>
  <c r="M2579" i="21" s="1"/>
  <c r="G2579" i="21"/>
  <c r="I2579" i="21" s="1"/>
  <c r="AB2578" i="21"/>
  <c r="V2578" i="21"/>
  <c r="W2578" i="21" s="1"/>
  <c r="L2578" i="21"/>
  <c r="K2578" i="21"/>
  <c r="H2578" i="21"/>
  <c r="G2578" i="21"/>
  <c r="I2578" i="21" s="1"/>
  <c r="AB2577" i="21"/>
  <c r="V2577" i="21"/>
  <c r="W2577" i="21" s="1"/>
  <c r="L2577" i="21"/>
  <c r="K2577" i="21"/>
  <c r="H2577" i="21"/>
  <c r="M2577" i="21" s="1"/>
  <c r="G2577" i="21"/>
  <c r="I2577" i="21" s="1"/>
  <c r="AB2576" i="21"/>
  <c r="V2576" i="21"/>
  <c r="W2576" i="21" s="1"/>
  <c r="L2576" i="21"/>
  <c r="K2576" i="21"/>
  <c r="H2576" i="21"/>
  <c r="M2576" i="21" s="1"/>
  <c r="G2576" i="21"/>
  <c r="I2576" i="21" s="1"/>
  <c r="AB2575" i="21"/>
  <c r="V2575" i="21"/>
  <c r="W2575" i="21" s="1"/>
  <c r="L2575" i="21"/>
  <c r="K2575" i="21"/>
  <c r="H2575" i="21"/>
  <c r="M2575" i="21" s="1"/>
  <c r="G2575" i="21"/>
  <c r="I2575" i="21" s="1"/>
  <c r="AB2574" i="21"/>
  <c r="V2574" i="21"/>
  <c r="W2574" i="21" s="1"/>
  <c r="L2574" i="21"/>
  <c r="K2574" i="21"/>
  <c r="H2574" i="21"/>
  <c r="G2574" i="21"/>
  <c r="I2574" i="21" s="1"/>
  <c r="AB2573" i="21"/>
  <c r="V2573" i="21"/>
  <c r="W2573" i="21" s="1"/>
  <c r="L2573" i="21"/>
  <c r="K2573" i="21"/>
  <c r="H2573" i="21"/>
  <c r="M2573" i="21" s="1"/>
  <c r="G2573" i="21"/>
  <c r="I2573" i="21" s="1"/>
  <c r="AB2572" i="21"/>
  <c r="V2572" i="21"/>
  <c r="W2572" i="21" s="1"/>
  <c r="L2572" i="21"/>
  <c r="K2572" i="21"/>
  <c r="H2572" i="21"/>
  <c r="G2572" i="21"/>
  <c r="I2572" i="21" s="1"/>
  <c r="AB2571" i="21"/>
  <c r="V2571" i="21"/>
  <c r="W2571" i="21" s="1"/>
  <c r="L2571" i="21"/>
  <c r="K2571" i="21"/>
  <c r="H2571" i="21"/>
  <c r="M2571" i="21" s="1"/>
  <c r="G2571" i="21"/>
  <c r="I2571" i="21" s="1"/>
  <c r="AB2570" i="21"/>
  <c r="V2570" i="21"/>
  <c r="W2570" i="21" s="1"/>
  <c r="L2570" i="21"/>
  <c r="K2570" i="21"/>
  <c r="H2570" i="21"/>
  <c r="G2570" i="21"/>
  <c r="I2570" i="21" s="1"/>
  <c r="AB2569" i="21"/>
  <c r="V2569" i="21"/>
  <c r="W2569" i="21" s="1"/>
  <c r="L2569" i="21"/>
  <c r="K2569" i="21"/>
  <c r="H2569" i="21"/>
  <c r="M2569" i="21" s="1"/>
  <c r="G2569" i="21"/>
  <c r="I2569" i="21" s="1"/>
  <c r="AB2568" i="21"/>
  <c r="V2568" i="21"/>
  <c r="W2568" i="21" s="1"/>
  <c r="L2568" i="21"/>
  <c r="K2568" i="21"/>
  <c r="H2568" i="21"/>
  <c r="M2568" i="21" s="1"/>
  <c r="G2568" i="21"/>
  <c r="I2568" i="21" s="1"/>
  <c r="AB2567" i="21"/>
  <c r="V2567" i="21"/>
  <c r="W2567" i="21" s="1"/>
  <c r="L2567" i="21"/>
  <c r="K2567" i="21"/>
  <c r="H2567" i="21"/>
  <c r="M2567" i="21" s="1"/>
  <c r="G2567" i="21"/>
  <c r="I2567" i="21" s="1"/>
  <c r="AB2566" i="21"/>
  <c r="V2566" i="21"/>
  <c r="W2566" i="21" s="1"/>
  <c r="L2566" i="21"/>
  <c r="K2566" i="21"/>
  <c r="H2566" i="21"/>
  <c r="G2566" i="21"/>
  <c r="I2566" i="21" s="1"/>
  <c r="AB2565" i="21"/>
  <c r="V2565" i="21"/>
  <c r="W2565" i="21" s="1"/>
  <c r="L2565" i="21"/>
  <c r="K2565" i="21"/>
  <c r="H2565" i="21"/>
  <c r="M2565" i="21" s="1"/>
  <c r="G2565" i="21"/>
  <c r="I2565" i="21" s="1"/>
  <c r="AB2564" i="21"/>
  <c r="V2564" i="21"/>
  <c r="W2564" i="21" s="1"/>
  <c r="L2564" i="21"/>
  <c r="K2564" i="21"/>
  <c r="H2564" i="21"/>
  <c r="G2564" i="21"/>
  <c r="I2564" i="21" s="1"/>
  <c r="AB2563" i="21"/>
  <c r="V2563" i="21"/>
  <c r="W2563" i="21" s="1"/>
  <c r="L2563" i="21"/>
  <c r="K2563" i="21"/>
  <c r="H2563" i="21"/>
  <c r="M2563" i="21" s="1"/>
  <c r="G2563" i="21"/>
  <c r="I2563" i="21" s="1"/>
  <c r="AB2562" i="21"/>
  <c r="V2562" i="21"/>
  <c r="W2562" i="21" s="1"/>
  <c r="L2562" i="21"/>
  <c r="K2562" i="21"/>
  <c r="H2562" i="21"/>
  <c r="G2562" i="21"/>
  <c r="I2562" i="21" s="1"/>
  <c r="AB2561" i="21"/>
  <c r="V2561" i="21"/>
  <c r="W2561" i="21" s="1"/>
  <c r="L2561" i="21"/>
  <c r="K2561" i="21"/>
  <c r="H2561" i="21"/>
  <c r="M2561" i="21" s="1"/>
  <c r="G2561" i="21"/>
  <c r="I2561" i="21" s="1"/>
  <c r="AB2560" i="21"/>
  <c r="V2560" i="21"/>
  <c r="W2560" i="21" s="1"/>
  <c r="L2560" i="21"/>
  <c r="K2560" i="21"/>
  <c r="H2560" i="21"/>
  <c r="M2560" i="21" s="1"/>
  <c r="G2560" i="21"/>
  <c r="I2560" i="21" s="1"/>
  <c r="AB2559" i="21"/>
  <c r="V2559" i="21"/>
  <c r="W2559" i="21" s="1"/>
  <c r="L2559" i="21"/>
  <c r="K2559" i="21"/>
  <c r="H2559" i="21"/>
  <c r="M2559" i="21" s="1"/>
  <c r="G2559" i="21"/>
  <c r="I2559" i="21" s="1"/>
  <c r="AB2558" i="21"/>
  <c r="V2558" i="21"/>
  <c r="W2558" i="21" s="1"/>
  <c r="L2558" i="21"/>
  <c r="K2558" i="21"/>
  <c r="H2558" i="21"/>
  <c r="G2558" i="21"/>
  <c r="I2558" i="21" s="1"/>
  <c r="AB2557" i="21"/>
  <c r="V2557" i="21"/>
  <c r="W2557" i="21" s="1"/>
  <c r="L2557" i="21"/>
  <c r="K2557" i="21"/>
  <c r="H2557" i="21"/>
  <c r="M2557" i="21" s="1"/>
  <c r="G2557" i="21"/>
  <c r="I2557" i="21" s="1"/>
  <c r="AB2556" i="21"/>
  <c r="V2556" i="21"/>
  <c r="W2556" i="21" s="1"/>
  <c r="L2556" i="21"/>
  <c r="K2556" i="21"/>
  <c r="H2556" i="21"/>
  <c r="G2556" i="21"/>
  <c r="I2556" i="21" s="1"/>
  <c r="AB2555" i="21"/>
  <c r="V2555" i="21"/>
  <c r="W2555" i="21" s="1"/>
  <c r="L2555" i="21"/>
  <c r="K2555" i="21"/>
  <c r="H2555" i="21"/>
  <c r="M2555" i="21" s="1"/>
  <c r="G2555" i="21"/>
  <c r="I2555" i="21" s="1"/>
  <c r="AB2554" i="21"/>
  <c r="V2554" i="21"/>
  <c r="W2554" i="21" s="1"/>
  <c r="L2554" i="21"/>
  <c r="K2554" i="21"/>
  <c r="H2554" i="21"/>
  <c r="M2554" i="21" s="1"/>
  <c r="G2554" i="21"/>
  <c r="I2554" i="21" s="1"/>
  <c r="AB2553" i="21"/>
  <c r="V2553" i="21"/>
  <c r="W2553" i="21" s="1"/>
  <c r="L2553" i="21"/>
  <c r="K2553" i="21"/>
  <c r="H2553" i="21"/>
  <c r="M2553" i="21" s="1"/>
  <c r="G2553" i="21"/>
  <c r="I2553" i="21" s="1"/>
  <c r="AB2552" i="21"/>
  <c r="V2552" i="21"/>
  <c r="W2552" i="21" s="1"/>
  <c r="L2552" i="21"/>
  <c r="K2552" i="21"/>
  <c r="H2552" i="21"/>
  <c r="M2552" i="21" s="1"/>
  <c r="G2552" i="21"/>
  <c r="I2552" i="21" s="1"/>
  <c r="AB2551" i="21"/>
  <c r="V2551" i="21"/>
  <c r="W2551" i="21" s="1"/>
  <c r="L2551" i="21"/>
  <c r="K2551" i="21"/>
  <c r="H2551" i="21"/>
  <c r="M2551" i="21" s="1"/>
  <c r="G2551" i="21"/>
  <c r="I2551" i="21" s="1"/>
  <c r="AB2550" i="21"/>
  <c r="V2550" i="21"/>
  <c r="W2550" i="21" s="1"/>
  <c r="L2550" i="21"/>
  <c r="K2550" i="21"/>
  <c r="H2550" i="21"/>
  <c r="M2550" i="21" s="1"/>
  <c r="G2550" i="21"/>
  <c r="I2550" i="21" s="1"/>
  <c r="AB2549" i="21"/>
  <c r="V2549" i="21"/>
  <c r="W2549" i="21" s="1"/>
  <c r="L2549" i="21"/>
  <c r="K2549" i="21"/>
  <c r="H2549" i="21"/>
  <c r="M2549" i="21" s="1"/>
  <c r="G2549" i="21"/>
  <c r="I2549" i="21" s="1"/>
  <c r="AB2548" i="21"/>
  <c r="V2548" i="21"/>
  <c r="W2548" i="21" s="1"/>
  <c r="L2548" i="21"/>
  <c r="K2548" i="21"/>
  <c r="H2548" i="21"/>
  <c r="M2548" i="21" s="1"/>
  <c r="G2548" i="21"/>
  <c r="I2548" i="21" s="1"/>
  <c r="AB2547" i="21"/>
  <c r="V2547" i="21"/>
  <c r="W2547" i="21" s="1"/>
  <c r="L2547" i="21"/>
  <c r="K2547" i="21"/>
  <c r="H2547" i="21"/>
  <c r="M2547" i="21" s="1"/>
  <c r="G2547" i="21"/>
  <c r="I2547" i="21" s="1"/>
  <c r="AB2546" i="21"/>
  <c r="V2546" i="21"/>
  <c r="W2546" i="21" s="1"/>
  <c r="L2546" i="21"/>
  <c r="K2546" i="21"/>
  <c r="H2546" i="21"/>
  <c r="M2546" i="21" s="1"/>
  <c r="G2546" i="21"/>
  <c r="I2546" i="21" s="1"/>
  <c r="AB2545" i="21"/>
  <c r="V2545" i="21"/>
  <c r="W2545" i="21" s="1"/>
  <c r="L2545" i="21"/>
  <c r="K2545" i="21"/>
  <c r="H2545" i="21"/>
  <c r="M2545" i="21" s="1"/>
  <c r="G2545" i="21"/>
  <c r="I2545" i="21" s="1"/>
  <c r="AB2544" i="21"/>
  <c r="V2544" i="21"/>
  <c r="W2544" i="21" s="1"/>
  <c r="L2544" i="21"/>
  <c r="K2544" i="21"/>
  <c r="H2544" i="21"/>
  <c r="M2544" i="21" s="1"/>
  <c r="G2544" i="21"/>
  <c r="I2544" i="21" s="1"/>
  <c r="AB2543" i="21"/>
  <c r="V2543" i="21"/>
  <c r="W2543" i="21" s="1"/>
  <c r="L2543" i="21"/>
  <c r="K2543" i="21"/>
  <c r="H2543" i="21"/>
  <c r="M2543" i="21" s="1"/>
  <c r="G2543" i="21"/>
  <c r="I2543" i="21" s="1"/>
  <c r="AB2542" i="21"/>
  <c r="V2542" i="21"/>
  <c r="W2542" i="21" s="1"/>
  <c r="L2542" i="21"/>
  <c r="K2542" i="21"/>
  <c r="H2542" i="21"/>
  <c r="M2542" i="21" s="1"/>
  <c r="G2542" i="21"/>
  <c r="I2542" i="21" s="1"/>
  <c r="AB2541" i="21"/>
  <c r="V2541" i="21"/>
  <c r="W2541" i="21" s="1"/>
  <c r="L2541" i="21"/>
  <c r="K2541" i="21"/>
  <c r="H2541" i="21"/>
  <c r="G2541" i="21"/>
  <c r="I2541" i="21" s="1"/>
  <c r="AB2540" i="21"/>
  <c r="V2540" i="21"/>
  <c r="W2540" i="21" s="1"/>
  <c r="L2540" i="21"/>
  <c r="K2540" i="21"/>
  <c r="H2540" i="21"/>
  <c r="M2540" i="21" s="1"/>
  <c r="G2540" i="21"/>
  <c r="I2540" i="21" s="1"/>
  <c r="AB2539" i="21"/>
  <c r="V2539" i="21"/>
  <c r="W2539" i="21" s="1"/>
  <c r="L2539" i="21"/>
  <c r="K2539" i="21"/>
  <c r="H2539" i="21"/>
  <c r="G2539" i="21"/>
  <c r="I2539" i="21" s="1"/>
  <c r="AB2538" i="21"/>
  <c r="V2538" i="21"/>
  <c r="W2538" i="21" s="1"/>
  <c r="L2538" i="21"/>
  <c r="K2538" i="21"/>
  <c r="H2538" i="21"/>
  <c r="M2538" i="21" s="1"/>
  <c r="G2538" i="21"/>
  <c r="I2538" i="21" s="1"/>
  <c r="AB2537" i="21"/>
  <c r="V2537" i="21"/>
  <c r="W2537" i="21" s="1"/>
  <c r="L2537" i="21"/>
  <c r="K2537" i="21"/>
  <c r="H2537" i="21"/>
  <c r="G2537" i="21"/>
  <c r="I2537" i="21" s="1"/>
  <c r="AB2536" i="21"/>
  <c r="V2536" i="21"/>
  <c r="W2536" i="21" s="1"/>
  <c r="L2536" i="21"/>
  <c r="K2536" i="21"/>
  <c r="H2536" i="21"/>
  <c r="M2536" i="21" s="1"/>
  <c r="G2536" i="21"/>
  <c r="I2536" i="21" s="1"/>
  <c r="AB2535" i="21"/>
  <c r="V2535" i="21"/>
  <c r="W2535" i="21" s="1"/>
  <c r="L2535" i="21"/>
  <c r="K2535" i="21"/>
  <c r="H2535" i="21"/>
  <c r="G2535" i="21"/>
  <c r="I2535" i="21" s="1"/>
  <c r="AB2534" i="21"/>
  <c r="V2534" i="21"/>
  <c r="W2534" i="21" s="1"/>
  <c r="L2534" i="21"/>
  <c r="K2534" i="21"/>
  <c r="H2534" i="21"/>
  <c r="M2534" i="21" s="1"/>
  <c r="G2534" i="21"/>
  <c r="I2534" i="21" s="1"/>
  <c r="AB2533" i="21"/>
  <c r="V2533" i="21"/>
  <c r="W2533" i="21" s="1"/>
  <c r="L2533" i="21"/>
  <c r="K2533" i="21"/>
  <c r="H2533" i="21"/>
  <c r="M2533" i="21" s="1"/>
  <c r="G2533" i="21"/>
  <c r="I2533" i="21" s="1"/>
  <c r="AB2532" i="21"/>
  <c r="V2532" i="21"/>
  <c r="W2532" i="21" s="1"/>
  <c r="L2532" i="21"/>
  <c r="K2532" i="21"/>
  <c r="H2532" i="21"/>
  <c r="G2532" i="21"/>
  <c r="I2532" i="21" s="1"/>
  <c r="AB2531" i="21"/>
  <c r="V2531" i="21"/>
  <c r="W2531" i="21" s="1"/>
  <c r="L2531" i="21"/>
  <c r="K2531" i="21"/>
  <c r="H2531" i="21"/>
  <c r="M2531" i="21" s="1"/>
  <c r="G2531" i="21"/>
  <c r="I2531" i="21" s="1"/>
  <c r="AB2530" i="21"/>
  <c r="V2530" i="21"/>
  <c r="W2530" i="21" s="1"/>
  <c r="L2530" i="21"/>
  <c r="K2530" i="21"/>
  <c r="H2530" i="21"/>
  <c r="G2530" i="21"/>
  <c r="I2530" i="21" s="1"/>
  <c r="AB2529" i="21"/>
  <c r="V2529" i="21"/>
  <c r="W2529" i="21" s="1"/>
  <c r="L2529" i="21"/>
  <c r="K2529" i="21"/>
  <c r="H2529" i="21"/>
  <c r="M2529" i="21" s="1"/>
  <c r="G2529" i="21"/>
  <c r="I2529" i="21" s="1"/>
  <c r="AB2528" i="21"/>
  <c r="V2528" i="21"/>
  <c r="W2528" i="21" s="1"/>
  <c r="L2528" i="21"/>
  <c r="K2528" i="21"/>
  <c r="H2528" i="21"/>
  <c r="G2528" i="21"/>
  <c r="I2528" i="21" s="1"/>
  <c r="AB2527" i="21"/>
  <c r="V2527" i="21"/>
  <c r="W2527" i="21" s="1"/>
  <c r="L2527" i="21"/>
  <c r="K2527" i="21"/>
  <c r="H2527" i="21"/>
  <c r="M2527" i="21" s="1"/>
  <c r="G2527" i="21"/>
  <c r="I2527" i="21" s="1"/>
  <c r="AB2526" i="21"/>
  <c r="V2526" i="21"/>
  <c r="W2526" i="21" s="1"/>
  <c r="L2526" i="21"/>
  <c r="K2526" i="21"/>
  <c r="H2526" i="21"/>
  <c r="G2526" i="21"/>
  <c r="I2526" i="21" s="1"/>
  <c r="AB2525" i="21"/>
  <c r="V2525" i="21"/>
  <c r="W2525" i="21" s="1"/>
  <c r="L2525" i="21"/>
  <c r="K2525" i="21"/>
  <c r="H2525" i="21"/>
  <c r="M2525" i="21" s="1"/>
  <c r="G2525" i="21"/>
  <c r="I2525" i="21" s="1"/>
  <c r="AB2524" i="21"/>
  <c r="V2524" i="21"/>
  <c r="W2524" i="21" s="1"/>
  <c r="L2524" i="21"/>
  <c r="K2524" i="21"/>
  <c r="H2524" i="21"/>
  <c r="G2524" i="21"/>
  <c r="I2524" i="21" s="1"/>
  <c r="AB2523" i="21"/>
  <c r="V2523" i="21"/>
  <c r="W2523" i="21" s="1"/>
  <c r="L2523" i="21"/>
  <c r="K2523" i="21"/>
  <c r="H2523" i="21"/>
  <c r="M2523" i="21" s="1"/>
  <c r="G2523" i="21"/>
  <c r="I2523" i="21" s="1"/>
  <c r="AB2522" i="21"/>
  <c r="V2522" i="21"/>
  <c r="W2522" i="21" s="1"/>
  <c r="L2522" i="21"/>
  <c r="K2522" i="21"/>
  <c r="H2522" i="21"/>
  <c r="G2522" i="21"/>
  <c r="I2522" i="21" s="1"/>
  <c r="AB2521" i="21"/>
  <c r="V2521" i="21"/>
  <c r="W2521" i="21" s="1"/>
  <c r="L2521" i="21"/>
  <c r="K2521" i="21"/>
  <c r="H2521" i="21"/>
  <c r="M2521" i="21" s="1"/>
  <c r="G2521" i="21"/>
  <c r="I2521" i="21" s="1"/>
  <c r="AB2520" i="21"/>
  <c r="V2520" i="21"/>
  <c r="W2520" i="21" s="1"/>
  <c r="L2520" i="21"/>
  <c r="K2520" i="21"/>
  <c r="H2520" i="21"/>
  <c r="G2520" i="21"/>
  <c r="I2520" i="21" s="1"/>
  <c r="AB2519" i="21"/>
  <c r="V2519" i="21"/>
  <c r="W2519" i="21" s="1"/>
  <c r="L2519" i="21"/>
  <c r="K2519" i="21"/>
  <c r="H2519" i="21"/>
  <c r="M2519" i="21" s="1"/>
  <c r="G2519" i="21"/>
  <c r="I2519" i="21" s="1"/>
  <c r="AB2518" i="21"/>
  <c r="V2518" i="21"/>
  <c r="W2518" i="21" s="1"/>
  <c r="L2518" i="21"/>
  <c r="K2518" i="21"/>
  <c r="H2518" i="21"/>
  <c r="G2518" i="21"/>
  <c r="I2518" i="21" s="1"/>
  <c r="AB2517" i="21"/>
  <c r="V2517" i="21"/>
  <c r="W2517" i="21" s="1"/>
  <c r="L2517" i="21"/>
  <c r="K2517" i="21"/>
  <c r="H2517" i="21"/>
  <c r="M2517" i="21" s="1"/>
  <c r="G2517" i="21"/>
  <c r="I2517" i="21" s="1"/>
  <c r="AB2516" i="21"/>
  <c r="V2516" i="21"/>
  <c r="W2516" i="21" s="1"/>
  <c r="L2516" i="21"/>
  <c r="K2516" i="21"/>
  <c r="H2516" i="21"/>
  <c r="G2516" i="21"/>
  <c r="I2516" i="21" s="1"/>
  <c r="AB2515" i="21"/>
  <c r="V2515" i="21"/>
  <c r="W2515" i="21" s="1"/>
  <c r="L2515" i="21"/>
  <c r="K2515" i="21"/>
  <c r="H2515" i="21"/>
  <c r="M2515" i="21" s="1"/>
  <c r="G2515" i="21"/>
  <c r="I2515" i="21" s="1"/>
  <c r="AB2514" i="21"/>
  <c r="V2514" i="21"/>
  <c r="W2514" i="21" s="1"/>
  <c r="L2514" i="21"/>
  <c r="K2514" i="21"/>
  <c r="H2514" i="21"/>
  <c r="G2514" i="21"/>
  <c r="I2514" i="21" s="1"/>
  <c r="AB2513" i="21"/>
  <c r="V2513" i="21"/>
  <c r="W2513" i="21" s="1"/>
  <c r="L2513" i="21"/>
  <c r="K2513" i="21"/>
  <c r="H2513" i="21"/>
  <c r="M2513" i="21" s="1"/>
  <c r="G2513" i="21"/>
  <c r="I2513" i="21" s="1"/>
  <c r="AB2512" i="21"/>
  <c r="V2512" i="21"/>
  <c r="W2512" i="21" s="1"/>
  <c r="L2512" i="21"/>
  <c r="K2512" i="21"/>
  <c r="H2512" i="21"/>
  <c r="G2512" i="21"/>
  <c r="I2512" i="21" s="1"/>
  <c r="AB2511" i="21"/>
  <c r="V2511" i="21"/>
  <c r="W2511" i="21" s="1"/>
  <c r="L2511" i="21"/>
  <c r="K2511" i="21"/>
  <c r="H2511" i="21"/>
  <c r="M2511" i="21" s="1"/>
  <c r="G2511" i="21"/>
  <c r="I2511" i="21" s="1"/>
  <c r="AB2510" i="21"/>
  <c r="V2510" i="21"/>
  <c r="W2510" i="21" s="1"/>
  <c r="L2510" i="21"/>
  <c r="K2510" i="21"/>
  <c r="H2510" i="21"/>
  <c r="G2510" i="21"/>
  <c r="I2510" i="21" s="1"/>
  <c r="AB2509" i="21"/>
  <c r="V2509" i="21"/>
  <c r="W2509" i="21" s="1"/>
  <c r="L2509" i="21"/>
  <c r="K2509" i="21"/>
  <c r="H2509" i="21"/>
  <c r="M2509" i="21" s="1"/>
  <c r="G2509" i="21"/>
  <c r="I2509" i="21" s="1"/>
  <c r="AB2508" i="21"/>
  <c r="V2508" i="21"/>
  <c r="W2508" i="21" s="1"/>
  <c r="L2508" i="21"/>
  <c r="K2508" i="21"/>
  <c r="H2508" i="21"/>
  <c r="G2508" i="21"/>
  <c r="I2508" i="21" s="1"/>
  <c r="AB2507" i="21"/>
  <c r="V2507" i="21"/>
  <c r="W2507" i="21" s="1"/>
  <c r="L2507" i="21"/>
  <c r="K2507" i="21"/>
  <c r="H2507" i="21"/>
  <c r="M2507" i="21" s="1"/>
  <c r="G2507" i="21"/>
  <c r="I2507" i="21" s="1"/>
  <c r="AB2506" i="21"/>
  <c r="V2506" i="21"/>
  <c r="W2506" i="21" s="1"/>
  <c r="L2506" i="21"/>
  <c r="K2506" i="21"/>
  <c r="H2506" i="21"/>
  <c r="G2506" i="21"/>
  <c r="I2506" i="21" s="1"/>
  <c r="AB2505" i="21"/>
  <c r="V2505" i="21"/>
  <c r="W2505" i="21" s="1"/>
  <c r="L2505" i="21"/>
  <c r="K2505" i="21"/>
  <c r="H2505" i="21"/>
  <c r="M2505" i="21" s="1"/>
  <c r="G2505" i="21"/>
  <c r="I2505" i="21" s="1"/>
  <c r="AB2504" i="21"/>
  <c r="V2504" i="21"/>
  <c r="W2504" i="21" s="1"/>
  <c r="L2504" i="21"/>
  <c r="K2504" i="21"/>
  <c r="H2504" i="21"/>
  <c r="G2504" i="21"/>
  <c r="I2504" i="21" s="1"/>
  <c r="AB2503" i="21"/>
  <c r="V2503" i="21"/>
  <c r="W2503" i="21" s="1"/>
  <c r="L2503" i="21"/>
  <c r="K2503" i="21"/>
  <c r="H2503" i="21"/>
  <c r="M2503" i="21" s="1"/>
  <c r="G2503" i="21"/>
  <c r="I2503" i="21" s="1"/>
  <c r="AB2502" i="21"/>
  <c r="V2502" i="21"/>
  <c r="W2502" i="21" s="1"/>
  <c r="L2502" i="21"/>
  <c r="K2502" i="21"/>
  <c r="H2502" i="21"/>
  <c r="G2502" i="21"/>
  <c r="I2502" i="21" s="1"/>
  <c r="AB2501" i="21"/>
  <c r="V2501" i="21"/>
  <c r="W2501" i="21" s="1"/>
  <c r="L2501" i="21"/>
  <c r="K2501" i="21"/>
  <c r="H2501" i="21"/>
  <c r="M2501" i="21" s="1"/>
  <c r="G2501" i="21"/>
  <c r="I2501" i="21" s="1"/>
  <c r="AB2500" i="21"/>
  <c r="V2500" i="21"/>
  <c r="W2500" i="21" s="1"/>
  <c r="L2500" i="21"/>
  <c r="K2500" i="21"/>
  <c r="H2500" i="21"/>
  <c r="G2500" i="21"/>
  <c r="I2500" i="21" s="1"/>
  <c r="AB2499" i="21"/>
  <c r="V2499" i="21"/>
  <c r="W2499" i="21" s="1"/>
  <c r="L2499" i="21"/>
  <c r="K2499" i="21"/>
  <c r="H2499" i="21"/>
  <c r="M2499" i="21" s="1"/>
  <c r="G2499" i="21"/>
  <c r="I2499" i="21" s="1"/>
  <c r="AB2498" i="21"/>
  <c r="V2498" i="21"/>
  <c r="W2498" i="21" s="1"/>
  <c r="L2498" i="21"/>
  <c r="K2498" i="21"/>
  <c r="H2498" i="21"/>
  <c r="G2498" i="21"/>
  <c r="I2498" i="21" s="1"/>
  <c r="AB2497" i="21"/>
  <c r="V2497" i="21"/>
  <c r="W2497" i="21" s="1"/>
  <c r="L2497" i="21"/>
  <c r="K2497" i="21"/>
  <c r="H2497" i="21"/>
  <c r="M2497" i="21" s="1"/>
  <c r="G2497" i="21"/>
  <c r="I2497" i="21" s="1"/>
  <c r="AB2496" i="21"/>
  <c r="V2496" i="21"/>
  <c r="W2496" i="21" s="1"/>
  <c r="L2496" i="21"/>
  <c r="K2496" i="21"/>
  <c r="H2496" i="21"/>
  <c r="G2496" i="21"/>
  <c r="I2496" i="21" s="1"/>
  <c r="AB2495" i="21"/>
  <c r="V2495" i="21"/>
  <c r="W2495" i="21" s="1"/>
  <c r="L2495" i="21"/>
  <c r="K2495" i="21"/>
  <c r="H2495" i="21"/>
  <c r="M2495" i="21" s="1"/>
  <c r="G2495" i="21"/>
  <c r="I2495" i="21" s="1"/>
  <c r="AB2494" i="21"/>
  <c r="V2494" i="21"/>
  <c r="W2494" i="21" s="1"/>
  <c r="L2494" i="21"/>
  <c r="K2494" i="21"/>
  <c r="H2494" i="21"/>
  <c r="G2494" i="21"/>
  <c r="I2494" i="21" s="1"/>
  <c r="AB2493" i="21"/>
  <c r="V2493" i="21"/>
  <c r="W2493" i="21" s="1"/>
  <c r="L2493" i="21"/>
  <c r="K2493" i="21"/>
  <c r="H2493" i="21"/>
  <c r="M2493" i="21" s="1"/>
  <c r="G2493" i="21"/>
  <c r="I2493" i="21" s="1"/>
  <c r="AB2492" i="21"/>
  <c r="V2492" i="21"/>
  <c r="W2492" i="21" s="1"/>
  <c r="L2492" i="21"/>
  <c r="K2492" i="21"/>
  <c r="H2492" i="21"/>
  <c r="G2492" i="21"/>
  <c r="I2492" i="21" s="1"/>
  <c r="AB2491" i="21"/>
  <c r="V2491" i="21"/>
  <c r="W2491" i="21" s="1"/>
  <c r="L2491" i="21"/>
  <c r="K2491" i="21"/>
  <c r="H2491" i="21"/>
  <c r="M2491" i="21" s="1"/>
  <c r="G2491" i="21"/>
  <c r="I2491" i="21" s="1"/>
  <c r="AB2490" i="21"/>
  <c r="V2490" i="21"/>
  <c r="W2490" i="21" s="1"/>
  <c r="L2490" i="21"/>
  <c r="K2490" i="21"/>
  <c r="H2490" i="21"/>
  <c r="G2490" i="21"/>
  <c r="I2490" i="21" s="1"/>
  <c r="AB2489" i="21"/>
  <c r="V2489" i="21"/>
  <c r="W2489" i="21" s="1"/>
  <c r="L2489" i="21"/>
  <c r="K2489" i="21"/>
  <c r="H2489" i="21"/>
  <c r="M2489" i="21" s="1"/>
  <c r="G2489" i="21"/>
  <c r="I2489" i="21" s="1"/>
  <c r="AB2488" i="21"/>
  <c r="V2488" i="21"/>
  <c r="W2488" i="21" s="1"/>
  <c r="L2488" i="21"/>
  <c r="K2488" i="21"/>
  <c r="H2488" i="21"/>
  <c r="G2488" i="21"/>
  <c r="I2488" i="21" s="1"/>
  <c r="AB2487" i="21"/>
  <c r="V2487" i="21"/>
  <c r="W2487" i="21" s="1"/>
  <c r="L2487" i="21"/>
  <c r="K2487" i="21"/>
  <c r="H2487" i="21"/>
  <c r="M2487" i="21" s="1"/>
  <c r="G2487" i="21"/>
  <c r="I2487" i="21" s="1"/>
  <c r="AB2486" i="21"/>
  <c r="V2486" i="21"/>
  <c r="W2486" i="21" s="1"/>
  <c r="L2486" i="21"/>
  <c r="K2486" i="21"/>
  <c r="H2486" i="21"/>
  <c r="G2486" i="21"/>
  <c r="I2486" i="21" s="1"/>
  <c r="AB2485" i="21"/>
  <c r="V2485" i="21"/>
  <c r="W2485" i="21" s="1"/>
  <c r="L2485" i="21"/>
  <c r="K2485" i="21"/>
  <c r="H2485" i="21"/>
  <c r="M2485" i="21" s="1"/>
  <c r="G2485" i="21"/>
  <c r="I2485" i="21" s="1"/>
  <c r="AB2484" i="21"/>
  <c r="V2484" i="21"/>
  <c r="W2484" i="21" s="1"/>
  <c r="L2484" i="21"/>
  <c r="K2484" i="21"/>
  <c r="H2484" i="21"/>
  <c r="G2484" i="21"/>
  <c r="I2484" i="21" s="1"/>
  <c r="AB2483" i="21"/>
  <c r="V2483" i="21"/>
  <c r="W2483" i="21" s="1"/>
  <c r="L2483" i="21"/>
  <c r="K2483" i="21"/>
  <c r="H2483" i="21"/>
  <c r="M2483" i="21" s="1"/>
  <c r="G2483" i="21"/>
  <c r="I2483" i="21" s="1"/>
  <c r="AB2482" i="21"/>
  <c r="V2482" i="21"/>
  <c r="W2482" i="21" s="1"/>
  <c r="L2482" i="21"/>
  <c r="K2482" i="21"/>
  <c r="H2482" i="21"/>
  <c r="G2482" i="21"/>
  <c r="I2482" i="21" s="1"/>
  <c r="AB2481" i="21"/>
  <c r="V2481" i="21"/>
  <c r="W2481" i="21" s="1"/>
  <c r="L2481" i="21"/>
  <c r="K2481" i="21"/>
  <c r="H2481" i="21"/>
  <c r="M2481" i="21" s="1"/>
  <c r="G2481" i="21"/>
  <c r="I2481" i="21" s="1"/>
  <c r="AB2480" i="21"/>
  <c r="V2480" i="21"/>
  <c r="W2480" i="21" s="1"/>
  <c r="L2480" i="21"/>
  <c r="K2480" i="21"/>
  <c r="H2480" i="21"/>
  <c r="G2480" i="21"/>
  <c r="I2480" i="21" s="1"/>
  <c r="AB2479" i="21"/>
  <c r="V2479" i="21"/>
  <c r="W2479" i="21" s="1"/>
  <c r="L2479" i="21"/>
  <c r="K2479" i="21"/>
  <c r="H2479" i="21"/>
  <c r="M2479" i="21" s="1"/>
  <c r="G2479" i="21"/>
  <c r="I2479" i="21" s="1"/>
  <c r="AB2478" i="21"/>
  <c r="V2478" i="21"/>
  <c r="W2478" i="21" s="1"/>
  <c r="L2478" i="21"/>
  <c r="K2478" i="21"/>
  <c r="H2478" i="21"/>
  <c r="G2478" i="21"/>
  <c r="I2478" i="21" s="1"/>
  <c r="AB2477" i="21"/>
  <c r="V2477" i="21"/>
  <c r="W2477" i="21" s="1"/>
  <c r="L2477" i="21"/>
  <c r="K2477" i="21"/>
  <c r="H2477" i="21"/>
  <c r="M2477" i="21" s="1"/>
  <c r="G2477" i="21"/>
  <c r="I2477" i="21" s="1"/>
  <c r="AB2476" i="21"/>
  <c r="V2476" i="21"/>
  <c r="W2476" i="21" s="1"/>
  <c r="L2476" i="21"/>
  <c r="K2476" i="21"/>
  <c r="H2476" i="21"/>
  <c r="G2476" i="21"/>
  <c r="I2476" i="21" s="1"/>
  <c r="AB2475" i="21"/>
  <c r="V2475" i="21"/>
  <c r="W2475" i="21" s="1"/>
  <c r="L2475" i="21"/>
  <c r="K2475" i="21"/>
  <c r="H2475" i="21"/>
  <c r="M2475" i="21" s="1"/>
  <c r="G2475" i="21"/>
  <c r="I2475" i="21" s="1"/>
  <c r="AB2474" i="21"/>
  <c r="V2474" i="21"/>
  <c r="W2474" i="21" s="1"/>
  <c r="L2474" i="21"/>
  <c r="K2474" i="21"/>
  <c r="H2474" i="21"/>
  <c r="G2474" i="21"/>
  <c r="I2474" i="21" s="1"/>
  <c r="AB2473" i="21"/>
  <c r="V2473" i="21"/>
  <c r="W2473" i="21" s="1"/>
  <c r="L2473" i="21"/>
  <c r="K2473" i="21"/>
  <c r="H2473" i="21"/>
  <c r="M2473" i="21" s="1"/>
  <c r="G2473" i="21"/>
  <c r="I2473" i="21" s="1"/>
  <c r="AB2472" i="21"/>
  <c r="V2472" i="21"/>
  <c r="W2472" i="21" s="1"/>
  <c r="L2472" i="21"/>
  <c r="K2472" i="21"/>
  <c r="H2472" i="21"/>
  <c r="G2472" i="21"/>
  <c r="I2472" i="21" s="1"/>
  <c r="AB2471" i="21"/>
  <c r="V2471" i="21"/>
  <c r="W2471" i="21" s="1"/>
  <c r="L2471" i="21"/>
  <c r="K2471" i="21"/>
  <c r="H2471" i="21"/>
  <c r="M2471" i="21" s="1"/>
  <c r="G2471" i="21"/>
  <c r="I2471" i="21" s="1"/>
  <c r="AB2470" i="21"/>
  <c r="V2470" i="21"/>
  <c r="W2470" i="21" s="1"/>
  <c r="L2470" i="21"/>
  <c r="K2470" i="21"/>
  <c r="H2470" i="21"/>
  <c r="G2470" i="21"/>
  <c r="I2470" i="21" s="1"/>
  <c r="AB2469" i="21"/>
  <c r="V2469" i="21"/>
  <c r="W2469" i="21" s="1"/>
  <c r="L2469" i="21"/>
  <c r="K2469" i="21"/>
  <c r="H2469" i="21"/>
  <c r="M2469" i="21" s="1"/>
  <c r="G2469" i="21"/>
  <c r="I2469" i="21" s="1"/>
  <c r="AB2468" i="21"/>
  <c r="V2468" i="21"/>
  <c r="W2468" i="21" s="1"/>
  <c r="L2468" i="21"/>
  <c r="K2468" i="21"/>
  <c r="H2468" i="21"/>
  <c r="G2468" i="21"/>
  <c r="I2468" i="21" s="1"/>
  <c r="AB2467" i="21"/>
  <c r="V2467" i="21"/>
  <c r="W2467" i="21" s="1"/>
  <c r="L2467" i="21"/>
  <c r="K2467" i="21"/>
  <c r="H2467" i="21"/>
  <c r="M2467" i="21" s="1"/>
  <c r="G2467" i="21"/>
  <c r="I2467" i="21" s="1"/>
  <c r="AB2466" i="21"/>
  <c r="V2466" i="21"/>
  <c r="W2466" i="21" s="1"/>
  <c r="L2466" i="21"/>
  <c r="K2466" i="21"/>
  <c r="H2466" i="21"/>
  <c r="G2466" i="21"/>
  <c r="I2466" i="21" s="1"/>
  <c r="AB2465" i="21"/>
  <c r="V2465" i="21"/>
  <c r="W2465" i="21" s="1"/>
  <c r="L2465" i="21"/>
  <c r="K2465" i="21"/>
  <c r="H2465" i="21"/>
  <c r="M2465" i="21" s="1"/>
  <c r="G2465" i="21"/>
  <c r="I2465" i="21" s="1"/>
  <c r="AB2464" i="21"/>
  <c r="V2464" i="21"/>
  <c r="W2464" i="21" s="1"/>
  <c r="L2464" i="21"/>
  <c r="K2464" i="21"/>
  <c r="H2464" i="21"/>
  <c r="G2464" i="21"/>
  <c r="I2464" i="21" s="1"/>
  <c r="AB2463" i="21"/>
  <c r="V2463" i="21"/>
  <c r="W2463" i="21" s="1"/>
  <c r="L2463" i="21"/>
  <c r="K2463" i="21"/>
  <c r="H2463" i="21"/>
  <c r="M2463" i="21" s="1"/>
  <c r="G2463" i="21"/>
  <c r="I2463" i="21" s="1"/>
  <c r="AB2462" i="21"/>
  <c r="V2462" i="21"/>
  <c r="W2462" i="21" s="1"/>
  <c r="L2462" i="21"/>
  <c r="K2462" i="21"/>
  <c r="H2462" i="21"/>
  <c r="G2462" i="21"/>
  <c r="I2462" i="21" s="1"/>
  <c r="AB2461" i="21"/>
  <c r="V2461" i="21"/>
  <c r="W2461" i="21" s="1"/>
  <c r="L2461" i="21"/>
  <c r="K2461" i="21"/>
  <c r="H2461" i="21"/>
  <c r="M2461" i="21" s="1"/>
  <c r="G2461" i="21"/>
  <c r="I2461" i="21" s="1"/>
  <c r="AB2460" i="21"/>
  <c r="V2460" i="21"/>
  <c r="W2460" i="21" s="1"/>
  <c r="L2460" i="21"/>
  <c r="K2460" i="21"/>
  <c r="H2460" i="21"/>
  <c r="G2460" i="21"/>
  <c r="I2460" i="21" s="1"/>
  <c r="AB2459" i="21"/>
  <c r="V2459" i="21"/>
  <c r="W2459" i="21" s="1"/>
  <c r="L2459" i="21"/>
  <c r="K2459" i="21"/>
  <c r="H2459" i="21"/>
  <c r="M2459" i="21" s="1"/>
  <c r="G2459" i="21"/>
  <c r="I2459" i="21" s="1"/>
  <c r="AB2458" i="21"/>
  <c r="V2458" i="21"/>
  <c r="W2458" i="21" s="1"/>
  <c r="L2458" i="21"/>
  <c r="K2458" i="21"/>
  <c r="H2458" i="21"/>
  <c r="G2458" i="21"/>
  <c r="I2458" i="21" s="1"/>
  <c r="AB2457" i="21"/>
  <c r="V2457" i="21"/>
  <c r="W2457" i="21" s="1"/>
  <c r="L2457" i="21"/>
  <c r="K2457" i="21"/>
  <c r="H2457" i="21"/>
  <c r="M2457" i="21" s="1"/>
  <c r="G2457" i="21"/>
  <c r="I2457" i="21" s="1"/>
  <c r="AB2456" i="21"/>
  <c r="V2456" i="21"/>
  <c r="W2456" i="21" s="1"/>
  <c r="L2456" i="21"/>
  <c r="K2456" i="21"/>
  <c r="H2456" i="21"/>
  <c r="G2456" i="21"/>
  <c r="I2456" i="21" s="1"/>
  <c r="AB2455" i="21"/>
  <c r="V2455" i="21"/>
  <c r="W2455" i="21" s="1"/>
  <c r="L2455" i="21"/>
  <c r="K2455" i="21"/>
  <c r="H2455" i="21"/>
  <c r="M2455" i="21" s="1"/>
  <c r="G2455" i="21"/>
  <c r="I2455" i="21" s="1"/>
  <c r="AB2454" i="21"/>
  <c r="V2454" i="21"/>
  <c r="W2454" i="21" s="1"/>
  <c r="L2454" i="21"/>
  <c r="K2454" i="21"/>
  <c r="H2454" i="21"/>
  <c r="G2454" i="21"/>
  <c r="I2454" i="21" s="1"/>
  <c r="AB2453" i="21"/>
  <c r="V2453" i="21"/>
  <c r="W2453" i="21" s="1"/>
  <c r="L2453" i="21"/>
  <c r="K2453" i="21"/>
  <c r="H2453" i="21"/>
  <c r="M2453" i="21" s="1"/>
  <c r="G2453" i="21"/>
  <c r="I2453" i="21" s="1"/>
  <c r="AB2452" i="21"/>
  <c r="V2452" i="21"/>
  <c r="W2452" i="21" s="1"/>
  <c r="L2452" i="21"/>
  <c r="K2452" i="21"/>
  <c r="H2452" i="21"/>
  <c r="G2452" i="21"/>
  <c r="I2452" i="21" s="1"/>
  <c r="AB2451" i="21"/>
  <c r="V2451" i="21"/>
  <c r="W2451" i="21" s="1"/>
  <c r="L2451" i="21"/>
  <c r="K2451" i="21"/>
  <c r="H2451" i="21"/>
  <c r="M2451" i="21" s="1"/>
  <c r="G2451" i="21"/>
  <c r="I2451" i="21" s="1"/>
  <c r="AB2450" i="21"/>
  <c r="V2450" i="21"/>
  <c r="W2450" i="21" s="1"/>
  <c r="L2450" i="21"/>
  <c r="K2450" i="21"/>
  <c r="H2450" i="21"/>
  <c r="G2450" i="21"/>
  <c r="I2450" i="21" s="1"/>
  <c r="AB2449" i="21"/>
  <c r="V2449" i="21"/>
  <c r="W2449" i="21" s="1"/>
  <c r="L2449" i="21"/>
  <c r="K2449" i="21"/>
  <c r="H2449" i="21"/>
  <c r="M2449" i="21" s="1"/>
  <c r="G2449" i="21"/>
  <c r="I2449" i="21" s="1"/>
  <c r="AB2448" i="21"/>
  <c r="V2448" i="21"/>
  <c r="W2448" i="21" s="1"/>
  <c r="L2448" i="21"/>
  <c r="K2448" i="21"/>
  <c r="H2448" i="21"/>
  <c r="G2448" i="21"/>
  <c r="I2448" i="21" s="1"/>
  <c r="AB2447" i="21"/>
  <c r="V2447" i="21"/>
  <c r="W2447" i="21" s="1"/>
  <c r="L2447" i="21"/>
  <c r="K2447" i="21"/>
  <c r="H2447" i="21"/>
  <c r="M2447" i="21" s="1"/>
  <c r="G2447" i="21"/>
  <c r="I2447" i="21" s="1"/>
  <c r="AB2446" i="21"/>
  <c r="V2446" i="21"/>
  <c r="W2446" i="21" s="1"/>
  <c r="L2446" i="21"/>
  <c r="K2446" i="21"/>
  <c r="H2446" i="21"/>
  <c r="G2446" i="21"/>
  <c r="I2446" i="21" s="1"/>
  <c r="AB2445" i="21"/>
  <c r="V2445" i="21"/>
  <c r="W2445" i="21" s="1"/>
  <c r="L2445" i="21"/>
  <c r="K2445" i="21"/>
  <c r="H2445" i="21"/>
  <c r="M2445" i="21" s="1"/>
  <c r="G2445" i="21"/>
  <c r="I2445" i="21" s="1"/>
  <c r="AB2444" i="21"/>
  <c r="V2444" i="21"/>
  <c r="W2444" i="21" s="1"/>
  <c r="L2444" i="21"/>
  <c r="K2444" i="21"/>
  <c r="H2444" i="21"/>
  <c r="G2444" i="21"/>
  <c r="I2444" i="21" s="1"/>
  <c r="AB2443" i="21"/>
  <c r="V2443" i="21"/>
  <c r="W2443" i="21" s="1"/>
  <c r="L2443" i="21"/>
  <c r="K2443" i="21"/>
  <c r="H2443" i="21"/>
  <c r="M2443" i="21" s="1"/>
  <c r="G2443" i="21"/>
  <c r="I2443" i="21" s="1"/>
  <c r="AB2442" i="21"/>
  <c r="V2442" i="21"/>
  <c r="W2442" i="21" s="1"/>
  <c r="L2442" i="21"/>
  <c r="K2442" i="21"/>
  <c r="H2442" i="21"/>
  <c r="G2442" i="21"/>
  <c r="I2442" i="21" s="1"/>
  <c r="AB2441" i="21"/>
  <c r="V2441" i="21"/>
  <c r="W2441" i="21" s="1"/>
  <c r="L2441" i="21"/>
  <c r="K2441" i="21"/>
  <c r="H2441" i="21"/>
  <c r="M2441" i="21" s="1"/>
  <c r="G2441" i="21"/>
  <c r="I2441" i="21" s="1"/>
  <c r="AB2440" i="21"/>
  <c r="V2440" i="21"/>
  <c r="W2440" i="21" s="1"/>
  <c r="L2440" i="21"/>
  <c r="K2440" i="21"/>
  <c r="H2440" i="21"/>
  <c r="G2440" i="21"/>
  <c r="I2440" i="21" s="1"/>
  <c r="AB2439" i="21"/>
  <c r="V2439" i="21"/>
  <c r="W2439" i="21" s="1"/>
  <c r="L2439" i="21"/>
  <c r="K2439" i="21"/>
  <c r="H2439" i="21"/>
  <c r="M2439" i="21" s="1"/>
  <c r="G2439" i="21"/>
  <c r="I2439" i="21" s="1"/>
  <c r="AB2438" i="21"/>
  <c r="V2438" i="21"/>
  <c r="W2438" i="21" s="1"/>
  <c r="L2438" i="21"/>
  <c r="K2438" i="21"/>
  <c r="H2438" i="21"/>
  <c r="G2438" i="21"/>
  <c r="I2438" i="21" s="1"/>
  <c r="AB2437" i="21"/>
  <c r="V2437" i="21"/>
  <c r="W2437" i="21" s="1"/>
  <c r="L2437" i="21"/>
  <c r="K2437" i="21"/>
  <c r="H2437" i="21"/>
  <c r="M2437" i="21" s="1"/>
  <c r="G2437" i="21"/>
  <c r="I2437" i="21" s="1"/>
  <c r="AB2436" i="21"/>
  <c r="V2436" i="21"/>
  <c r="W2436" i="21" s="1"/>
  <c r="L2436" i="21"/>
  <c r="K2436" i="21"/>
  <c r="H2436" i="21"/>
  <c r="G2436" i="21"/>
  <c r="I2436" i="21" s="1"/>
  <c r="AB2435" i="21"/>
  <c r="V2435" i="21"/>
  <c r="W2435" i="21" s="1"/>
  <c r="L2435" i="21"/>
  <c r="K2435" i="21"/>
  <c r="H2435" i="21"/>
  <c r="M2435" i="21" s="1"/>
  <c r="G2435" i="21"/>
  <c r="I2435" i="21" s="1"/>
  <c r="AB2434" i="21"/>
  <c r="V2434" i="21"/>
  <c r="W2434" i="21" s="1"/>
  <c r="L2434" i="21"/>
  <c r="K2434" i="21"/>
  <c r="H2434" i="21"/>
  <c r="G2434" i="21"/>
  <c r="I2434" i="21" s="1"/>
  <c r="AB2433" i="21"/>
  <c r="V2433" i="21"/>
  <c r="W2433" i="21" s="1"/>
  <c r="L2433" i="21"/>
  <c r="K2433" i="21"/>
  <c r="H2433" i="21"/>
  <c r="M2433" i="21" s="1"/>
  <c r="G2433" i="21"/>
  <c r="I2433" i="21" s="1"/>
  <c r="AB2432" i="21"/>
  <c r="V2432" i="21"/>
  <c r="W2432" i="21" s="1"/>
  <c r="L2432" i="21"/>
  <c r="K2432" i="21"/>
  <c r="H2432" i="21"/>
  <c r="G2432" i="21"/>
  <c r="I2432" i="21" s="1"/>
  <c r="AB2431" i="21"/>
  <c r="V2431" i="21"/>
  <c r="W2431" i="21" s="1"/>
  <c r="L2431" i="21"/>
  <c r="K2431" i="21"/>
  <c r="H2431" i="21"/>
  <c r="M2431" i="21" s="1"/>
  <c r="G2431" i="21"/>
  <c r="I2431" i="21" s="1"/>
  <c r="AB2430" i="21"/>
  <c r="V2430" i="21"/>
  <c r="W2430" i="21" s="1"/>
  <c r="L2430" i="21"/>
  <c r="K2430" i="21"/>
  <c r="H2430" i="21"/>
  <c r="G2430" i="21"/>
  <c r="I2430" i="21" s="1"/>
  <c r="AB2429" i="21"/>
  <c r="V2429" i="21"/>
  <c r="W2429" i="21" s="1"/>
  <c r="L2429" i="21"/>
  <c r="K2429" i="21"/>
  <c r="H2429" i="21"/>
  <c r="M2429" i="21" s="1"/>
  <c r="G2429" i="21"/>
  <c r="I2429" i="21" s="1"/>
  <c r="AB2428" i="21"/>
  <c r="V2428" i="21"/>
  <c r="W2428" i="21" s="1"/>
  <c r="L2428" i="21"/>
  <c r="K2428" i="21"/>
  <c r="H2428" i="21"/>
  <c r="G2428" i="21"/>
  <c r="I2428" i="21" s="1"/>
  <c r="AB2427" i="21"/>
  <c r="V2427" i="21"/>
  <c r="W2427" i="21" s="1"/>
  <c r="L2427" i="21"/>
  <c r="K2427" i="21"/>
  <c r="H2427" i="21"/>
  <c r="M2427" i="21" s="1"/>
  <c r="G2427" i="21"/>
  <c r="I2427" i="21" s="1"/>
  <c r="AB2426" i="21"/>
  <c r="V2426" i="21"/>
  <c r="W2426" i="21" s="1"/>
  <c r="L2426" i="21"/>
  <c r="K2426" i="21"/>
  <c r="H2426" i="21"/>
  <c r="G2426" i="21"/>
  <c r="I2426" i="21" s="1"/>
  <c r="AB2425" i="21"/>
  <c r="V2425" i="21"/>
  <c r="W2425" i="21" s="1"/>
  <c r="L2425" i="21"/>
  <c r="K2425" i="21"/>
  <c r="H2425" i="21"/>
  <c r="M2425" i="21" s="1"/>
  <c r="G2425" i="21"/>
  <c r="I2425" i="21" s="1"/>
  <c r="AB2424" i="21"/>
  <c r="V2424" i="21"/>
  <c r="W2424" i="21" s="1"/>
  <c r="L2424" i="21"/>
  <c r="K2424" i="21"/>
  <c r="H2424" i="21"/>
  <c r="G2424" i="21"/>
  <c r="I2424" i="21" s="1"/>
  <c r="AB2423" i="21"/>
  <c r="V2423" i="21"/>
  <c r="W2423" i="21" s="1"/>
  <c r="L2423" i="21"/>
  <c r="K2423" i="21"/>
  <c r="H2423" i="21"/>
  <c r="M2423" i="21" s="1"/>
  <c r="G2423" i="21"/>
  <c r="I2423" i="21" s="1"/>
  <c r="AB2422" i="21"/>
  <c r="V2422" i="21"/>
  <c r="W2422" i="21" s="1"/>
  <c r="L2422" i="21"/>
  <c r="K2422" i="21"/>
  <c r="H2422" i="21"/>
  <c r="G2422" i="21"/>
  <c r="I2422" i="21" s="1"/>
  <c r="AB2421" i="21"/>
  <c r="V2421" i="21"/>
  <c r="W2421" i="21" s="1"/>
  <c r="L2421" i="21"/>
  <c r="K2421" i="21"/>
  <c r="H2421" i="21"/>
  <c r="M2421" i="21" s="1"/>
  <c r="G2421" i="21"/>
  <c r="I2421" i="21" s="1"/>
  <c r="AB2420" i="21"/>
  <c r="V2420" i="21"/>
  <c r="W2420" i="21" s="1"/>
  <c r="L2420" i="21"/>
  <c r="K2420" i="21"/>
  <c r="H2420" i="21"/>
  <c r="G2420" i="21"/>
  <c r="I2420" i="21" s="1"/>
  <c r="AB2419" i="21"/>
  <c r="V2419" i="21"/>
  <c r="W2419" i="21" s="1"/>
  <c r="L2419" i="21"/>
  <c r="K2419" i="21"/>
  <c r="H2419" i="21"/>
  <c r="M2419" i="21" s="1"/>
  <c r="G2419" i="21"/>
  <c r="I2419" i="21" s="1"/>
  <c r="AB2418" i="21"/>
  <c r="V2418" i="21"/>
  <c r="W2418" i="21" s="1"/>
  <c r="L2418" i="21"/>
  <c r="K2418" i="21"/>
  <c r="H2418" i="21"/>
  <c r="G2418" i="21"/>
  <c r="I2418" i="21" s="1"/>
  <c r="AB2417" i="21"/>
  <c r="V2417" i="21"/>
  <c r="W2417" i="21" s="1"/>
  <c r="L2417" i="21"/>
  <c r="K2417" i="21"/>
  <c r="H2417" i="21"/>
  <c r="M2417" i="21" s="1"/>
  <c r="G2417" i="21"/>
  <c r="I2417" i="21" s="1"/>
  <c r="AB2416" i="21"/>
  <c r="V2416" i="21"/>
  <c r="W2416" i="21" s="1"/>
  <c r="L2416" i="21"/>
  <c r="K2416" i="21"/>
  <c r="H2416" i="21"/>
  <c r="M2416" i="21" s="1"/>
  <c r="G2416" i="21"/>
  <c r="I2416" i="21" s="1"/>
  <c r="AB2415" i="21"/>
  <c r="V2415" i="21"/>
  <c r="W2415" i="21" s="1"/>
  <c r="L2415" i="21"/>
  <c r="K2415" i="21"/>
  <c r="H2415" i="21"/>
  <c r="M2415" i="21" s="1"/>
  <c r="G2415" i="21"/>
  <c r="I2415" i="21" s="1"/>
  <c r="AB2414" i="21"/>
  <c r="V2414" i="21"/>
  <c r="W2414" i="21" s="1"/>
  <c r="L2414" i="21"/>
  <c r="K2414" i="21"/>
  <c r="H2414" i="21"/>
  <c r="M2414" i="21" s="1"/>
  <c r="G2414" i="21"/>
  <c r="I2414" i="21" s="1"/>
  <c r="AB2413" i="21"/>
  <c r="V2413" i="21"/>
  <c r="W2413" i="21" s="1"/>
  <c r="L2413" i="21"/>
  <c r="K2413" i="21"/>
  <c r="H2413" i="21"/>
  <c r="M2413" i="21" s="1"/>
  <c r="G2413" i="21"/>
  <c r="I2413" i="21" s="1"/>
  <c r="AB2412" i="21"/>
  <c r="V2412" i="21"/>
  <c r="W2412" i="21" s="1"/>
  <c r="L2412" i="21"/>
  <c r="K2412" i="21"/>
  <c r="H2412" i="21"/>
  <c r="M2412" i="21" s="1"/>
  <c r="G2412" i="21"/>
  <c r="I2412" i="21" s="1"/>
  <c r="AB2411" i="21"/>
  <c r="V2411" i="21"/>
  <c r="W2411" i="21" s="1"/>
  <c r="L2411" i="21"/>
  <c r="K2411" i="21"/>
  <c r="H2411" i="21"/>
  <c r="M2411" i="21" s="1"/>
  <c r="G2411" i="21"/>
  <c r="I2411" i="21" s="1"/>
  <c r="AB2410" i="21"/>
  <c r="V2410" i="21"/>
  <c r="W2410" i="21" s="1"/>
  <c r="L2410" i="21"/>
  <c r="K2410" i="21"/>
  <c r="H2410" i="21"/>
  <c r="M2410" i="21" s="1"/>
  <c r="G2410" i="21"/>
  <c r="I2410" i="21" s="1"/>
  <c r="AB2409" i="21"/>
  <c r="V2409" i="21"/>
  <c r="W2409" i="21" s="1"/>
  <c r="L2409" i="21"/>
  <c r="K2409" i="21"/>
  <c r="H2409" i="21"/>
  <c r="M2409" i="21" s="1"/>
  <c r="G2409" i="21"/>
  <c r="I2409" i="21" s="1"/>
  <c r="AB2408" i="21"/>
  <c r="V2408" i="21"/>
  <c r="W2408" i="21" s="1"/>
  <c r="L2408" i="21"/>
  <c r="K2408" i="21"/>
  <c r="H2408" i="21"/>
  <c r="M2408" i="21" s="1"/>
  <c r="G2408" i="21"/>
  <c r="I2408" i="21" s="1"/>
  <c r="AB2407" i="21"/>
  <c r="V2407" i="21"/>
  <c r="W2407" i="21" s="1"/>
  <c r="L2407" i="21"/>
  <c r="K2407" i="21"/>
  <c r="H2407" i="21"/>
  <c r="M2407" i="21" s="1"/>
  <c r="G2407" i="21"/>
  <c r="I2407" i="21" s="1"/>
  <c r="AB2406" i="21"/>
  <c r="V2406" i="21"/>
  <c r="W2406" i="21" s="1"/>
  <c r="L2406" i="21"/>
  <c r="K2406" i="21"/>
  <c r="H2406" i="21"/>
  <c r="M2406" i="21" s="1"/>
  <c r="G2406" i="21"/>
  <c r="I2406" i="21" s="1"/>
  <c r="AB2405" i="21"/>
  <c r="V2405" i="21"/>
  <c r="W2405" i="21" s="1"/>
  <c r="L2405" i="21"/>
  <c r="K2405" i="21"/>
  <c r="H2405" i="21"/>
  <c r="M2405" i="21" s="1"/>
  <c r="G2405" i="21"/>
  <c r="I2405" i="21" s="1"/>
  <c r="AB2404" i="21"/>
  <c r="V2404" i="21"/>
  <c r="W2404" i="21" s="1"/>
  <c r="L2404" i="21"/>
  <c r="K2404" i="21"/>
  <c r="H2404" i="21"/>
  <c r="M2404" i="21" s="1"/>
  <c r="G2404" i="21"/>
  <c r="I2404" i="21" s="1"/>
  <c r="AB2403" i="21"/>
  <c r="V2403" i="21"/>
  <c r="W2403" i="21" s="1"/>
  <c r="L2403" i="21"/>
  <c r="K2403" i="21"/>
  <c r="H2403" i="21"/>
  <c r="M2403" i="21" s="1"/>
  <c r="G2403" i="21"/>
  <c r="I2403" i="21" s="1"/>
  <c r="AB2402" i="21"/>
  <c r="V2402" i="21"/>
  <c r="W2402" i="21" s="1"/>
  <c r="L2402" i="21"/>
  <c r="K2402" i="21"/>
  <c r="H2402" i="21"/>
  <c r="M2402" i="21" s="1"/>
  <c r="G2402" i="21"/>
  <c r="I2402" i="21" s="1"/>
  <c r="AB2401" i="21"/>
  <c r="V2401" i="21"/>
  <c r="W2401" i="21" s="1"/>
  <c r="L2401" i="21"/>
  <c r="K2401" i="21"/>
  <c r="H2401" i="21"/>
  <c r="M2401" i="21" s="1"/>
  <c r="G2401" i="21"/>
  <c r="I2401" i="21" s="1"/>
  <c r="AB2400" i="21"/>
  <c r="V2400" i="21"/>
  <c r="W2400" i="21" s="1"/>
  <c r="L2400" i="21"/>
  <c r="K2400" i="21"/>
  <c r="H2400" i="21"/>
  <c r="M2400" i="21" s="1"/>
  <c r="G2400" i="21"/>
  <c r="I2400" i="21" s="1"/>
  <c r="AB2399" i="21"/>
  <c r="V2399" i="21"/>
  <c r="W2399" i="21" s="1"/>
  <c r="L2399" i="21"/>
  <c r="K2399" i="21"/>
  <c r="H2399" i="21"/>
  <c r="M2399" i="21" s="1"/>
  <c r="G2399" i="21"/>
  <c r="I2399" i="21" s="1"/>
  <c r="AB2398" i="21"/>
  <c r="V2398" i="21"/>
  <c r="W2398" i="21" s="1"/>
  <c r="L2398" i="21"/>
  <c r="K2398" i="21"/>
  <c r="H2398" i="21"/>
  <c r="M2398" i="21" s="1"/>
  <c r="G2398" i="21"/>
  <c r="I2398" i="21" s="1"/>
  <c r="AB2397" i="21"/>
  <c r="V2397" i="21"/>
  <c r="W2397" i="21" s="1"/>
  <c r="L2397" i="21"/>
  <c r="K2397" i="21"/>
  <c r="H2397" i="21"/>
  <c r="M2397" i="21" s="1"/>
  <c r="G2397" i="21"/>
  <c r="I2397" i="21" s="1"/>
  <c r="AB2396" i="21"/>
  <c r="V2396" i="21"/>
  <c r="W2396" i="21" s="1"/>
  <c r="L2396" i="21"/>
  <c r="K2396" i="21"/>
  <c r="H2396" i="21"/>
  <c r="M2396" i="21" s="1"/>
  <c r="G2396" i="21"/>
  <c r="I2396" i="21" s="1"/>
  <c r="AB2395" i="21"/>
  <c r="V2395" i="21"/>
  <c r="W2395" i="21" s="1"/>
  <c r="L2395" i="21"/>
  <c r="K2395" i="21"/>
  <c r="H2395" i="21"/>
  <c r="M2395" i="21" s="1"/>
  <c r="G2395" i="21"/>
  <c r="I2395" i="21" s="1"/>
  <c r="AB2394" i="21"/>
  <c r="V2394" i="21"/>
  <c r="W2394" i="21" s="1"/>
  <c r="L2394" i="21"/>
  <c r="K2394" i="21"/>
  <c r="H2394" i="21"/>
  <c r="M2394" i="21" s="1"/>
  <c r="G2394" i="21"/>
  <c r="I2394" i="21" s="1"/>
  <c r="AB2393" i="21"/>
  <c r="V2393" i="21"/>
  <c r="W2393" i="21" s="1"/>
  <c r="L2393" i="21"/>
  <c r="K2393" i="21"/>
  <c r="H2393" i="21"/>
  <c r="M2393" i="21" s="1"/>
  <c r="G2393" i="21"/>
  <c r="I2393" i="21" s="1"/>
  <c r="AB2392" i="21"/>
  <c r="V2392" i="21"/>
  <c r="W2392" i="21" s="1"/>
  <c r="L2392" i="21"/>
  <c r="K2392" i="21"/>
  <c r="H2392" i="21"/>
  <c r="M2392" i="21" s="1"/>
  <c r="G2392" i="21"/>
  <c r="I2392" i="21" s="1"/>
  <c r="AB2391" i="21"/>
  <c r="V2391" i="21"/>
  <c r="W2391" i="21" s="1"/>
  <c r="L2391" i="21"/>
  <c r="K2391" i="21"/>
  <c r="H2391" i="21"/>
  <c r="M2391" i="21" s="1"/>
  <c r="G2391" i="21"/>
  <c r="I2391" i="21" s="1"/>
  <c r="AB2390" i="21"/>
  <c r="V2390" i="21"/>
  <c r="W2390" i="21" s="1"/>
  <c r="L2390" i="21"/>
  <c r="K2390" i="21"/>
  <c r="H2390" i="21"/>
  <c r="M2390" i="21" s="1"/>
  <c r="G2390" i="21"/>
  <c r="I2390" i="21" s="1"/>
  <c r="AB2389" i="21"/>
  <c r="V2389" i="21"/>
  <c r="W2389" i="21" s="1"/>
  <c r="L2389" i="21"/>
  <c r="K2389" i="21"/>
  <c r="H2389" i="21"/>
  <c r="M2389" i="21" s="1"/>
  <c r="G2389" i="21"/>
  <c r="I2389" i="21" s="1"/>
  <c r="AB2388" i="21"/>
  <c r="V2388" i="21"/>
  <c r="W2388" i="21" s="1"/>
  <c r="L2388" i="21"/>
  <c r="K2388" i="21"/>
  <c r="H2388" i="21"/>
  <c r="M2388" i="21" s="1"/>
  <c r="G2388" i="21"/>
  <c r="I2388" i="21" s="1"/>
  <c r="AB2387" i="21"/>
  <c r="V2387" i="21"/>
  <c r="W2387" i="21" s="1"/>
  <c r="L2387" i="21"/>
  <c r="K2387" i="21"/>
  <c r="H2387" i="21"/>
  <c r="M2387" i="21" s="1"/>
  <c r="G2387" i="21"/>
  <c r="I2387" i="21" s="1"/>
  <c r="AB2386" i="21"/>
  <c r="V2386" i="21"/>
  <c r="W2386" i="21" s="1"/>
  <c r="L2386" i="21"/>
  <c r="K2386" i="21"/>
  <c r="H2386" i="21"/>
  <c r="M2386" i="21" s="1"/>
  <c r="G2386" i="21"/>
  <c r="I2386" i="21" s="1"/>
  <c r="AB2385" i="21"/>
  <c r="V2385" i="21"/>
  <c r="W2385" i="21" s="1"/>
  <c r="L2385" i="21"/>
  <c r="K2385" i="21"/>
  <c r="H2385" i="21"/>
  <c r="M2385" i="21" s="1"/>
  <c r="G2385" i="21"/>
  <c r="I2385" i="21" s="1"/>
  <c r="AB2384" i="21"/>
  <c r="V2384" i="21"/>
  <c r="W2384" i="21" s="1"/>
  <c r="L2384" i="21"/>
  <c r="K2384" i="21"/>
  <c r="H2384" i="21"/>
  <c r="M2384" i="21" s="1"/>
  <c r="G2384" i="21"/>
  <c r="I2384" i="21" s="1"/>
  <c r="AB2383" i="21"/>
  <c r="V2383" i="21"/>
  <c r="W2383" i="21" s="1"/>
  <c r="L2383" i="21"/>
  <c r="K2383" i="21"/>
  <c r="H2383" i="21"/>
  <c r="M2383" i="21" s="1"/>
  <c r="G2383" i="21"/>
  <c r="I2383" i="21" s="1"/>
  <c r="AB2382" i="21"/>
  <c r="V2382" i="21"/>
  <c r="W2382" i="21" s="1"/>
  <c r="L2382" i="21"/>
  <c r="K2382" i="21"/>
  <c r="H2382" i="21"/>
  <c r="M2382" i="21" s="1"/>
  <c r="G2382" i="21"/>
  <c r="I2382" i="21" s="1"/>
  <c r="AB2381" i="21"/>
  <c r="V2381" i="21"/>
  <c r="W2381" i="21" s="1"/>
  <c r="L2381" i="21"/>
  <c r="K2381" i="21"/>
  <c r="H2381" i="21"/>
  <c r="M2381" i="21" s="1"/>
  <c r="G2381" i="21"/>
  <c r="I2381" i="21" s="1"/>
  <c r="AB2380" i="21"/>
  <c r="V2380" i="21"/>
  <c r="W2380" i="21" s="1"/>
  <c r="L2380" i="21"/>
  <c r="K2380" i="21"/>
  <c r="H2380" i="21"/>
  <c r="M2380" i="21" s="1"/>
  <c r="G2380" i="21"/>
  <c r="I2380" i="21" s="1"/>
  <c r="AB2379" i="21"/>
  <c r="V2379" i="21"/>
  <c r="W2379" i="21" s="1"/>
  <c r="L2379" i="21"/>
  <c r="K2379" i="21"/>
  <c r="H2379" i="21"/>
  <c r="M2379" i="21" s="1"/>
  <c r="G2379" i="21"/>
  <c r="I2379" i="21" s="1"/>
  <c r="AB2378" i="21"/>
  <c r="V2378" i="21"/>
  <c r="W2378" i="21" s="1"/>
  <c r="L2378" i="21"/>
  <c r="K2378" i="21"/>
  <c r="H2378" i="21"/>
  <c r="M2378" i="21" s="1"/>
  <c r="G2378" i="21"/>
  <c r="I2378" i="21" s="1"/>
  <c r="AB2377" i="21"/>
  <c r="V2377" i="21"/>
  <c r="W2377" i="21" s="1"/>
  <c r="L2377" i="21"/>
  <c r="K2377" i="21"/>
  <c r="H2377" i="21"/>
  <c r="M2377" i="21" s="1"/>
  <c r="G2377" i="21"/>
  <c r="I2377" i="21" s="1"/>
  <c r="AB2376" i="21"/>
  <c r="V2376" i="21"/>
  <c r="W2376" i="21" s="1"/>
  <c r="L2376" i="21"/>
  <c r="K2376" i="21"/>
  <c r="H2376" i="21"/>
  <c r="M2376" i="21" s="1"/>
  <c r="G2376" i="21"/>
  <c r="I2376" i="21" s="1"/>
  <c r="AB2375" i="21"/>
  <c r="V2375" i="21"/>
  <c r="W2375" i="21" s="1"/>
  <c r="L2375" i="21"/>
  <c r="K2375" i="21"/>
  <c r="H2375" i="21"/>
  <c r="M2375" i="21" s="1"/>
  <c r="G2375" i="21"/>
  <c r="I2375" i="21" s="1"/>
  <c r="AB2374" i="21"/>
  <c r="V2374" i="21"/>
  <c r="W2374" i="21" s="1"/>
  <c r="L2374" i="21"/>
  <c r="K2374" i="21"/>
  <c r="H2374" i="21"/>
  <c r="M2374" i="21" s="1"/>
  <c r="G2374" i="21"/>
  <c r="I2374" i="21" s="1"/>
  <c r="AB2373" i="21"/>
  <c r="V2373" i="21"/>
  <c r="W2373" i="21" s="1"/>
  <c r="L2373" i="21"/>
  <c r="K2373" i="21"/>
  <c r="H2373" i="21"/>
  <c r="M2373" i="21" s="1"/>
  <c r="G2373" i="21"/>
  <c r="I2373" i="21" s="1"/>
  <c r="AB2372" i="21"/>
  <c r="V2372" i="21"/>
  <c r="W2372" i="21" s="1"/>
  <c r="L2372" i="21"/>
  <c r="K2372" i="21"/>
  <c r="H2372" i="21"/>
  <c r="G2372" i="21"/>
  <c r="I2372" i="21" s="1"/>
  <c r="AB2371" i="21"/>
  <c r="V2371" i="21"/>
  <c r="W2371" i="21" s="1"/>
  <c r="L2371" i="21"/>
  <c r="K2371" i="21"/>
  <c r="H2371" i="21"/>
  <c r="M2371" i="21" s="1"/>
  <c r="G2371" i="21"/>
  <c r="I2371" i="21" s="1"/>
  <c r="AB2370" i="21"/>
  <c r="V2370" i="21"/>
  <c r="W2370" i="21" s="1"/>
  <c r="L2370" i="21"/>
  <c r="K2370" i="21"/>
  <c r="H2370" i="21"/>
  <c r="M2370" i="21" s="1"/>
  <c r="G2370" i="21"/>
  <c r="I2370" i="21" s="1"/>
  <c r="AB2369" i="21"/>
  <c r="V2369" i="21"/>
  <c r="W2369" i="21" s="1"/>
  <c r="L2369" i="21"/>
  <c r="K2369" i="21"/>
  <c r="H2369" i="21"/>
  <c r="M2369" i="21" s="1"/>
  <c r="G2369" i="21"/>
  <c r="I2369" i="21" s="1"/>
  <c r="AB2368" i="21"/>
  <c r="V2368" i="21"/>
  <c r="W2368" i="21" s="1"/>
  <c r="L2368" i="21"/>
  <c r="K2368" i="21"/>
  <c r="H2368" i="21"/>
  <c r="M2368" i="21" s="1"/>
  <c r="G2368" i="21"/>
  <c r="I2368" i="21" s="1"/>
  <c r="AB2367" i="21"/>
  <c r="V2367" i="21"/>
  <c r="W2367" i="21" s="1"/>
  <c r="L2367" i="21"/>
  <c r="K2367" i="21"/>
  <c r="H2367" i="21"/>
  <c r="M2367" i="21" s="1"/>
  <c r="G2367" i="21"/>
  <c r="I2367" i="21" s="1"/>
  <c r="AB2366" i="21"/>
  <c r="V2366" i="21"/>
  <c r="W2366" i="21" s="1"/>
  <c r="L2366" i="21"/>
  <c r="K2366" i="21"/>
  <c r="H2366" i="21"/>
  <c r="M2366" i="21" s="1"/>
  <c r="G2366" i="21"/>
  <c r="I2366" i="21" s="1"/>
  <c r="AB2365" i="21"/>
  <c r="V2365" i="21"/>
  <c r="W2365" i="21" s="1"/>
  <c r="L2365" i="21"/>
  <c r="K2365" i="21"/>
  <c r="H2365" i="21"/>
  <c r="M2365" i="21" s="1"/>
  <c r="G2365" i="21"/>
  <c r="I2365" i="21" s="1"/>
  <c r="AB2364" i="21"/>
  <c r="V2364" i="21"/>
  <c r="W2364" i="21" s="1"/>
  <c r="L2364" i="21"/>
  <c r="K2364" i="21"/>
  <c r="H2364" i="21"/>
  <c r="M2364" i="21" s="1"/>
  <c r="G2364" i="21"/>
  <c r="I2364" i="21" s="1"/>
  <c r="AB2363" i="21"/>
  <c r="V2363" i="21"/>
  <c r="W2363" i="21" s="1"/>
  <c r="L2363" i="21"/>
  <c r="K2363" i="21"/>
  <c r="H2363" i="21"/>
  <c r="M2363" i="21" s="1"/>
  <c r="G2363" i="21"/>
  <c r="I2363" i="21" s="1"/>
  <c r="AB2362" i="21"/>
  <c r="V2362" i="21"/>
  <c r="W2362" i="21" s="1"/>
  <c r="L2362" i="21"/>
  <c r="K2362" i="21"/>
  <c r="H2362" i="21"/>
  <c r="M2362" i="21" s="1"/>
  <c r="G2362" i="21"/>
  <c r="I2362" i="21" s="1"/>
  <c r="AB2361" i="21"/>
  <c r="V2361" i="21"/>
  <c r="W2361" i="21" s="1"/>
  <c r="L2361" i="21"/>
  <c r="K2361" i="21"/>
  <c r="H2361" i="21"/>
  <c r="M2361" i="21" s="1"/>
  <c r="G2361" i="21"/>
  <c r="I2361" i="21" s="1"/>
  <c r="AB2360" i="21"/>
  <c r="V2360" i="21"/>
  <c r="W2360" i="21" s="1"/>
  <c r="L2360" i="21"/>
  <c r="K2360" i="21"/>
  <c r="H2360" i="21"/>
  <c r="M2360" i="21" s="1"/>
  <c r="G2360" i="21"/>
  <c r="I2360" i="21" s="1"/>
  <c r="AB2359" i="21"/>
  <c r="V2359" i="21"/>
  <c r="W2359" i="21" s="1"/>
  <c r="L2359" i="21"/>
  <c r="K2359" i="21"/>
  <c r="H2359" i="21"/>
  <c r="M2359" i="21" s="1"/>
  <c r="G2359" i="21"/>
  <c r="I2359" i="21" s="1"/>
  <c r="AB2358" i="21"/>
  <c r="V2358" i="21"/>
  <c r="W2358" i="21" s="1"/>
  <c r="L2358" i="21"/>
  <c r="K2358" i="21"/>
  <c r="H2358" i="21"/>
  <c r="M2358" i="21" s="1"/>
  <c r="G2358" i="21"/>
  <c r="I2358" i="21" s="1"/>
  <c r="AB2357" i="21"/>
  <c r="V2357" i="21"/>
  <c r="W2357" i="21" s="1"/>
  <c r="L2357" i="21"/>
  <c r="K2357" i="21"/>
  <c r="H2357" i="21"/>
  <c r="M2357" i="21" s="1"/>
  <c r="G2357" i="21"/>
  <c r="I2357" i="21" s="1"/>
  <c r="AB2356" i="21"/>
  <c r="V2356" i="21"/>
  <c r="W2356" i="21" s="1"/>
  <c r="L2356" i="21"/>
  <c r="K2356" i="21"/>
  <c r="H2356" i="21"/>
  <c r="M2356" i="21" s="1"/>
  <c r="G2356" i="21"/>
  <c r="I2356" i="21" s="1"/>
  <c r="AB2355" i="21"/>
  <c r="V2355" i="21"/>
  <c r="W2355" i="21" s="1"/>
  <c r="L2355" i="21"/>
  <c r="K2355" i="21"/>
  <c r="H2355" i="21"/>
  <c r="M2355" i="21" s="1"/>
  <c r="G2355" i="21"/>
  <c r="I2355" i="21" s="1"/>
  <c r="AB2354" i="21"/>
  <c r="V2354" i="21"/>
  <c r="W2354" i="21" s="1"/>
  <c r="L2354" i="21"/>
  <c r="K2354" i="21"/>
  <c r="H2354" i="21"/>
  <c r="M2354" i="21" s="1"/>
  <c r="G2354" i="21"/>
  <c r="I2354" i="21" s="1"/>
  <c r="AB2353" i="21"/>
  <c r="V2353" i="21"/>
  <c r="W2353" i="21" s="1"/>
  <c r="L2353" i="21"/>
  <c r="K2353" i="21"/>
  <c r="H2353" i="21"/>
  <c r="M2353" i="21" s="1"/>
  <c r="G2353" i="21"/>
  <c r="I2353" i="21" s="1"/>
  <c r="AB2352" i="21"/>
  <c r="V2352" i="21"/>
  <c r="W2352" i="21" s="1"/>
  <c r="L2352" i="21"/>
  <c r="K2352" i="21"/>
  <c r="H2352" i="21"/>
  <c r="M2352" i="21" s="1"/>
  <c r="G2352" i="21"/>
  <c r="I2352" i="21" s="1"/>
  <c r="AB2351" i="21"/>
  <c r="V2351" i="21"/>
  <c r="W2351" i="21" s="1"/>
  <c r="L2351" i="21"/>
  <c r="K2351" i="21"/>
  <c r="H2351" i="21"/>
  <c r="M2351" i="21" s="1"/>
  <c r="G2351" i="21"/>
  <c r="I2351" i="21" s="1"/>
  <c r="AB2350" i="21"/>
  <c r="V2350" i="21"/>
  <c r="W2350" i="21" s="1"/>
  <c r="L2350" i="21"/>
  <c r="K2350" i="21"/>
  <c r="H2350" i="21"/>
  <c r="M2350" i="21" s="1"/>
  <c r="G2350" i="21"/>
  <c r="I2350" i="21" s="1"/>
  <c r="AB2349" i="21"/>
  <c r="V2349" i="21"/>
  <c r="W2349" i="21" s="1"/>
  <c r="L2349" i="21"/>
  <c r="K2349" i="21"/>
  <c r="H2349" i="21"/>
  <c r="M2349" i="21" s="1"/>
  <c r="G2349" i="21"/>
  <c r="I2349" i="21" s="1"/>
  <c r="AB2348" i="21"/>
  <c r="V2348" i="21"/>
  <c r="W2348" i="21" s="1"/>
  <c r="L2348" i="21"/>
  <c r="K2348" i="21"/>
  <c r="H2348" i="21"/>
  <c r="M2348" i="21" s="1"/>
  <c r="G2348" i="21"/>
  <c r="I2348" i="21" s="1"/>
  <c r="AB2347" i="21"/>
  <c r="V2347" i="21"/>
  <c r="W2347" i="21" s="1"/>
  <c r="L2347" i="21"/>
  <c r="K2347" i="21"/>
  <c r="H2347" i="21"/>
  <c r="M2347" i="21" s="1"/>
  <c r="G2347" i="21"/>
  <c r="I2347" i="21" s="1"/>
  <c r="AB2346" i="21"/>
  <c r="V2346" i="21"/>
  <c r="W2346" i="21" s="1"/>
  <c r="L2346" i="21"/>
  <c r="K2346" i="21"/>
  <c r="H2346" i="21"/>
  <c r="M2346" i="21" s="1"/>
  <c r="G2346" i="21"/>
  <c r="I2346" i="21" s="1"/>
  <c r="AB2345" i="21"/>
  <c r="V2345" i="21"/>
  <c r="W2345" i="21" s="1"/>
  <c r="L2345" i="21"/>
  <c r="K2345" i="21"/>
  <c r="H2345" i="21"/>
  <c r="M2345" i="21" s="1"/>
  <c r="G2345" i="21"/>
  <c r="I2345" i="21" s="1"/>
  <c r="AB2344" i="21"/>
  <c r="V2344" i="21"/>
  <c r="W2344" i="21" s="1"/>
  <c r="L2344" i="21"/>
  <c r="K2344" i="21"/>
  <c r="H2344" i="21"/>
  <c r="M2344" i="21" s="1"/>
  <c r="G2344" i="21"/>
  <c r="I2344" i="21" s="1"/>
  <c r="AB2343" i="21"/>
  <c r="V2343" i="21"/>
  <c r="W2343" i="21" s="1"/>
  <c r="L2343" i="21"/>
  <c r="K2343" i="21"/>
  <c r="H2343" i="21"/>
  <c r="M2343" i="21" s="1"/>
  <c r="G2343" i="21"/>
  <c r="I2343" i="21" s="1"/>
  <c r="AB2342" i="21"/>
  <c r="V2342" i="21"/>
  <c r="W2342" i="21" s="1"/>
  <c r="L2342" i="21"/>
  <c r="K2342" i="21"/>
  <c r="H2342" i="21"/>
  <c r="M2342" i="21" s="1"/>
  <c r="G2342" i="21"/>
  <c r="I2342" i="21" s="1"/>
  <c r="AB2341" i="21"/>
  <c r="V2341" i="21"/>
  <c r="W2341" i="21" s="1"/>
  <c r="L2341" i="21"/>
  <c r="K2341" i="21"/>
  <c r="H2341" i="21"/>
  <c r="M2341" i="21" s="1"/>
  <c r="G2341" i="21"/>
  <c r="I2341" i="21" s="1"/>
  <c r="AB2340" i="21"/>
  <c r="V2340" i="21"/>
  <c r="W2340" i="21" s="1"/>
  <c r="L2340" i="21"/>
  <c r="K2340" i="21"/>
  <c r="H2340" i="21"/>
  <c r="M2340" i="21" s="1"/>
  <c r="G2340" i="21"/>
  <c r="I2340" i="21" s="1"/>
  <c r="AB2339" i="21"/>
  <c r="V2339" i="21"/>
  <c r="W2339" i="21" s="1"/>
  <c r="L2339" i="21"/>
  <c r="K2339" i="21"/>
  <c r="H2339" i="21"/>
  <c r="M2339" i="21" s="1"/>
  <c r="G2339" i="21"/>
  <c r="I2339" i="21" s="1"/>
  <c r="AB2338" i="21"/>
  <c r="V2338" i="21"/>
  <c r="W2338" i="21" s="1"/>
  <c r="L2338" i="21"/>
  <c r="K2338" i="21"/>
  <c r="H2338" i="21"/>
  <c r="M2338" i="21" s="1"/>
  <c r="G2338" i="21"/>
  <c r="I2338" i="21" s="1"/>
  <c r="AB2337" i="21"/>
  <c r="V2337" i="21"/>
  <c r="W2337" i="21" s="1"/>
  <c r="L2337" i="21"/>
  <c r="K2337" i="21"/>
  <c r="H2337" i="21"/>
  <c r="M2337" i="21" s="1"/>
  <c r="G2337" i="21"/>
  <c r="I2337" i="21" s="1"/>
  <c r="AB2336" i="21"/>
  <c r="V2336" i="21"/>
  <c r="W2336" i="21" s="1"/>
  <c r="L2336" i="21"/>
  <c r="K2336" i="21"/>
  <c r="H2336" i="21"/>
  <c r="M2336" i="21" s="1"/>
  <c r="G2336" i="21"/>
  <c r="I2336" i="21" s="1"/>
  <c r="AB2335" i="21"/>
  <c r="V2335" i="21"/>
  <c r="W2335" i="21" s="1"/>
  <c r="L2335" i="21"/>
  <c r="K2335" i="21"/>
  <c r="H2335" i="21"/>
  <c r="M2335" i="21" s="1"/>
  <c r="G2335" i="21"/>
  <c r="I2335" i="21" s="1"/>
  <c r="AB2334" i="21"/>
  <c r="V2334" i="21"/>
  <c r="W2334" i="21" s="1"/>
  <c r="L2334" i="21"/>
  <c r="K2334" i="21"/>
  <c r="H2334" i="21"/>
  <c r="M2334" i="21" s="1"/>
  <c r="G2334" i="21"/>
  <c r="I2334" i="21" s="1"/>
  <c r="AB2333" i="21"/>
  <c r="V2333" i="21"/>
  <c r="W2333" i="21" s="1"/>
  <c r="L2333" i="21"/>
  <c r="K2333" i="21"/>
  <c r="H2333" i="21"/>
  <c r="M2333" i="21" s="1"/>
  <c r="G2333" i="21"/>
  <c r="I2333" i="21" s="1"/>
  <c r="AB2332" i="21"/>
  <c r="V2332" i="21"/>
  <c r="W2332" i="21" s="1"/>
  <c r="L2332" i="21"/>
  <c r="K2332" i="21"/>
  <c r="H2332" i="21"/>
  <c r="M2332" i="21" s="1"/>
  <c r="G2332" i="21"/>
  <c r="I2332" i="21" s="1"/>
  <c r="AB2331" i="21"/>
  <c r="V2331" i="21"/>
  <c r="W2331" i="21" s="1"/>
  <c r="L2331" i="21"/>
  <c r="K2331" i="21"/>
  <c r="H2331" i="21"/>
  <c r="M2331" i="21" s="1"/>
  <c r="G2331" i="21"/>
  <c r="I2331" i="21" s="1"/>
  <c r="AB2330" i="21"/>
  <c r="V2330" i="21"/>
  <c r="W2330" i="21" s="1"/>
  <c r="L2330" i="21"/>
  <c r="K2330" i="21"/>
  <c r="H2330" i="21"/>
  <c r="G2330" i="21"/>
  <c r="I2330" i="21" s="1"/>
  <c r="AB2329" i="21"/>
  <c r="V2329" i="21"/>
  <c r="W2329" i="21" s="1"/>
  <c r="L2329" i="21"/>
  <c r="K2329" i="21"/>
  <c r="H2329" i="21"/>
  <c r="M2329" i="21" s="1"/>
  <c r="G2329" i="21"/>
  <c r="I2329" i="21" s="1"/>
  <c r="AB2328" i="21"/>
  <c r="V2328" i="21"/>
  <c r="W2328" i="21" s="1"/>
  <c r="L2328" i="21"/>
  <c r="K2328" i="21"/>
  <c r="H2328" i="21"/>
  <c r="G2328" i="21"/>
  <c r="I2328" i="21" s="1"/>
  <c r="AB2327" i="21"/>
  <c r="V2327" i="21"/>
  <c r="W2327" i="21" s="1"/>
  <c r="L2327" i="21"/>
  <c r="K2327" i="21"/>
  <c r="H2327" i="21"/>
  <c r="M2327" i="21" s="1"/>
  <c r="G2327" i="21"/>
  <c r="I2327" i="21" s="1"/>
  <c r="AB2326" i="21"/>
  <c r="V2326" i="21"/>
  <c r="W2326" i="21" s="1"/>
  <c r="L2326" i="21"/>
  <c r="K2326" i="21"/>
  <c r="H2326" i="21"/>
  <c r="G2326" i="21"/>
  <c r="I2326" i="21" s="1"/>
  <c r="AB2325" i="21"/>
  <c r="V2325" i="21"/>
  <c r="W2325" i="21" s="1"/>
  <c r="L2325" i="21"/>
  <c r="K2325" i="21"/>
  <c r="H2325" i="21"/>
  <c r="M2325" i="21" s="1"/>
  <c r="G2325" i="21"/>
  <c r="I2325" i="21" s="1"/>
  <c r="AB2324" i="21"/>
  <c r="V2324" i="21"/>
  <c r="W2324" i="21" s="1"/>
  <c r="L2324" i="21"/>
  <c r="K2324" i="21"/>
  <c r="H2324" i="21"/>
  <c r="G2324" i="21"/>
  <c r="I2324" i="21" s="1"/>
  <c r="AB2323" i="21"/>
  <c r="V2323" i="21"/>
  <c r="W2323" i="21" s="1"/>
  <c r="L2323" i="21"/>
  <c r="K2323" i="21"/>
  <c r="H2323" i="21"/>
  <c r="M2323" i="21" s="1"/>
  <c r="G2323" i="21"/>
  <c r="I2323" i="21" s="1"/>
  <c r="AB2322" i="21"/>
  <c r="V2322" i="21"/>
  <c r="W2322" i="21" s="1"/>
  <c r="L2322" i="21"/>
  <c r="K2322" i="21"/>
  <c r="H2322" i="21"/>
  <c r="G2322" i="21"/>
  <c r="I2322" i="21" s="1"/>
  <c r="AB2321" i="21"/>
  <c r="V2321" i="21"/>
  <c r="W2321" i="21" s="1"/>
  <c r="L2321" i="21"/>
  <c r="K2321" i="21"/>
  <c r="H2321" i="21"/>
  <c r="M2321" i="21" s="1"/>
  <c r="G2321" i="21"/>
  <c r="I2321" i="21" s="1"/>
  <c r="AB2320" i="21"/>
  <c r="V2320" i="21"/>
  <c r="W2320" i="21" s="1"/>
  <c r="L2320" i="21"/>
  <c r="K2320" i="21"/>
  <c r="H2320" i="21"/>
  <c r="G2320" i="21"/>
  <c r="I2320" i="21" s="1"/>
  <c r="AB2319" i="21"/>
  <c r="V2319" i="21"/>
  <c r="W2319" i="21" s="1"/>
  <c r="L2319" i="21"/>
  <c r="K2319" i="21"/>
  <c r="H2319" i="21"/>
  <c r="M2319" i="21" s="1"/>
  <c r="G2319" i="21"/>
  <c r="I2319" i="21" s="1"/>
  <c r="AB2318" i="21"/>
  <c r="V2318" i="21"/>
  <c r="W2318" i="21" s="1"/>
  <c r="L2318" i="21"/>
  <c r="K2318" i="21"/>
  <c r="H2318" i="21"/>
  <c r="G2318" i="21"/>
  <c r="I2318" i="21" s="1"/>
  <c r="AB2317" i="21"/>
  <c r="V2317" i="21"/>
  <c r="W2317" i="21" s="1"/>
  <c r="L2317" i="21"/>
  <c r="K2317" i="21"/>
  <c r="H2317" i="21"/>
  <c r="M2317" i="21" s="1"/>
  <c r="G2317" i="21"/>
  <c r="I2317" i="21" s="1"/>
  <c r="AB2316" i="21"/>
  <c r="V2316" i="21"/>
  <c r="W2316" i="21" s="1"/>
  <c r="L2316" i="21"/>
  <c r="K2316" i="21"/>
  <c r="H2316" i="21"/>
  <c r="G2316" i="21"/>
  <c r="I2316" i="21" s="1"/>
  <c r="AB2315" i="21"/>
  <c r="V2315" i="21"/>
  <c r="W2315" i="21" s="1"/>
  <c r="L2315" i="21"/>
  <c r="K2315" i="21"/>
  <c r="H2315" i="21"/>
  <c r="M2315" i="21" s="1"/>
  <c r="G2315" i="21"/>
  <c r="I2315" i="21" s="1"/>
  <c r="AB2314" i="21"/>
  <c r="V2314" i="21"/>
  <c r="W2314" i="21" s="1"/>
  <c r="L2314" i="21"/>
  <c r="K2314" i="21"/>
  <c r="H2314" i="21"/>
  <c r="G2314" i="21"/>
  <c r="I2314" i="21" s="1"/>
  <c r="AB2313" i="21"/>
  <c r="V2313" i="21"/>
  <c r="W2313" i="21" s="1"/>
  <c r="L2313" i="21"/>
  <c r="K2313" i="21"/>
  <c r="H2313" i="21"/>
  <c r="M2313" i="21" s="1"/>
  <c r="G2313" i="21"/>
  <c r="I2313" i="21" s="1"/>
  <c r="AB2312" i="21"/>
  <c r="V2312" i="21"/>
  <c r="W2312" i="21" s="1"/>
  <c r="L2312" i="21"/>
  <c r="K2312" i="21"/>
  <c r="H2312" i="21"/>
  <c r="G2312" i="21"/>
  <c r="I2312" i="21" s="1"/>
  <c r="AB2311" i="21"/>
  <c r="V2311" i="21"/>
  <c r="W2311" i="21" s="1"/>
  <c r="L2311" i="21"/>
  <c r="K2311" i="21"/>
  <c r="H2311" i="21"/>
  <c r="M2311" i="21" s="1"/>
  <c r="G2311" i="21"/>
  <c r="I2311" i="21" s="1"/>
  <c r="AB2310" i="21"/>
  <c r="V2310" i="21"/>
  <c r="W2310" i="21" s="1"/>
  <c r="L2310" i="21"/>
  <c r="K2310" i="21"/>
  <c r="H2310" i="21"/>
  <c r="G2310" i="21"/>
  <c r="I2310" i="21" s="1"/>
  <c r="AB2309" i="21"/>
  <c r="V2309" i="21"/>
  <c r="W2309" i="21" s="1"/>
  <c r="L2309" i="21"/>
  <c r="K2309" i="21"/>
  <c r="H2309" i="21"/>
  <c r="M2309" i="21" s="1"/>
  <c r="G2309" i="21"/>
  <c r="I2309" i="21" s="1"/>
  <c r="AB2308" i="21"/>
  <c r="V2308" i="21"/>
  <c r="W2308" i="21" s="1"/>
  <c r="L2308" i="21"/>
  <c r="K2308" i="21"/>
  <c r="H2308" i="21"/>
  <c r="G2308" i="21"/>
  <c r="I2308" i="21" s="1"/>
  <c r="AB2307" i="21"/>
  <c r="V2307" i="21"/>
  <c r="W2307" i="21" s="1"/>
  <c r="L2307" i="21"/>
  <c r="K2307" i="21"/>
  <c r="H2307" i="21"/>
  <c r="M2307" i="21" s="1"/>
  <c r="G2307" i="21"/>
  <c r="I2307" i="21" s="1"/>
  <c r="AB2306" i="21"/>
  <c r="V2306" i="21"/>
  <c r="W2306" i="21" s="1"/>
  <c r="L2306" i="21"/>
  <c r="K2306" i="21"/>
  <c r="H2306" i="21"/>
  <c r="G2306" i="21"/>
  <c r="I2306" i="21" s="1"/>
  <c r="AB2305" i="21"/>
  <c r="V2305" i="21"/>
  <c r="W2305" i="21" s="1"/>
  <c r="L2305" i="21"/>
  <c r="K2305" i="21"/>
  <c r="H2305" i="21"/>
  <c r="M2305" i="21" s="1"/>
  <c r="G2305" i="21"/>
  <c r="I2305" i="21" s="1"/>
  <c r="AB2304" i="21"/>
  <c r="V2304" i="21"/>
  <c r="W2304" i="21" s="1"/>
  <c r="L2304" i="21"/>
  <c r="K2304" i="21"/>
  <c r="H2304" i="21"/>
  <c r="G2304" i="21"/>
  <c r="I2304" i="21" s="1"/>
  <c r="AB2303" i="21"/>
  <c r="V2303" i="21"/>
  <c r="W2303" i="21" s="1"/>
  <c r="L2303" i="21"/>
  <c r="K2303" i="21"/>
  <c r="H2303" i="21"/>
  <c r="M2303" i="21" s="1"/>
  <c r="G2303" i="21"/>
  <c r="I2303" i="21" s="1"/>
  <c r="AB2302" i="21"/>
  <c r="V2302" i="21"/>
  <c r="W2302" i="21" s="1"/>
  <c r="L2302" i="21"/>
  <c r="K2302" i="21"/>
  <c r="H2302" i="21"/>
  <c r="G2302" i="21"/>
  <c r="I2302" i="21" s="1"/>
  <c r="AB2301" i="21"/>
  <c r="V2301" i="21"/>
  <c r="W2301" i="21" s="1"/>
  <c r="L2301" i="21"/>
  <c r="K2301" i="21"/>
  <c r="H2301" i="21"/>
  <c r="M2301" i="21" s="1"/>
  <c r="G2301" i="21"/>
  <c r="I2301" i="21" s="1"/>
  <c r="AB2300" i="21"/>
  <c r="V2300" i="21"/>
  <c r="W2300" i="21" s="1"/>
  <c r="L2300" i="21"/>
  <c r="K2300" i="21"/>
  <c r="H2300" i="21"/>
  <c r="G2300" i="21"/>
  <c r="I2300" i="21" s="1"/>
  <c r="AB2299" i="21"/>
  <c r="V2299" i="21"/>
  <c r="W2299" i="21" s="1"/>
  <c r="L2299" i="21"/>
  <c r="K2299" i="21"/>
  <c r="H2299" i="21"/>
  <c r="M2299" i="21" s="1"/>
  <c r="G2299" i="21"/>
  <c r="I2299" i="21" s="1"/>
  <c r="AB2298" i="21"/>
  <c r="V2298" i="21"/>
  <c r="W2298" i="21" s="1"/>
  <c r="L2298" i="21"/>
  <c r="K2298" i="21"/>
  <c r="H2298" i="21"/>
  <c r="G2298" i="21"/>
  <c r="I2298" i="21" s="1"/>
  <c r="AB2297" i="21"/>
  <c r="V2297" i="21"/>
  <c r="W2297" i="21" s="1"/>
  <c r="L2297" i="21"/>
  <c r="K2297" i="21"/>
  <c r="H2297" i="21"/>
  <c r="M2297" i="21" s="1"/>
  <c r="G2297" i="21"/>
  <c r="I2297" i="21" s="1"/>
  <c r="AB2296" i="21"/>
  <c r="V2296" i="21"/>
  <c r="W2296" i="21" s="1"/>
  <c r="L2296" i="21"/>
  <c r="K2296" i="21"/>
  <c r="H2296" i="21"/>
  <c r="G2296" i="21"/>
  <c r="I2296" i="21" s="1"/>
  <c r="AB2295" i="21"/>
  <c r="V2295" i="21"/>
  <c r="W2295" i="21" s="1"/>
  <c r="L2295" i="21"/>
  <c r="K2295" i="21"/>
  <c r="H2295" i="21"/>
  <c r="M2295" i="21" s="1"/>
  <c r="G2295" i="21"/>
  <c r="I2295" i="21" s="1"/>
  <c r="AB2294" i="21"/>
  <c r="V2294" i="21"/>
  <c r="W2294" i="21" s="1"/>
  <c r="L2294" i="21"/>
  <c r="K2294" i="21"/>
  <c r="H2294" i="21"/>
  <c r="G2294" i="21"/>
  <c r="I2294" i="21" s="1"/>
  <c r="AB2293" i="21"/>
  <c r="V2293" i="21"/>
  <c r="W2293" i="21" s="1"/>
  <c r="L2293" i="21"/>
  <c r="K2293" i="21"/>
  <c r="H2293" i="21"/>
  <c r="M2293" i="21" s="1"/>
  <c r="G2293" i="21"/>
  <c r="I2293" i="21" s="1"/>
  <c r="AB2292" i="21"/>
  <c r="V2292" i="21"/>
  <c r="W2292" i="21" s="1"/>
  <c r="L2292" i="21"/>
  <c r="K2292" i="21"/>
  <c r="H2292" i="21"/>
  <c r="G2292" i="21"/>
  <c r="I2292" i="21" s="1"/>
  <c r="AB2291" i="21"/>
  <c r="V2291" i="21"/>
  <c r="W2291" i="21" s="1"/>
  <c r="L2291" i="21"/>
  <c r="K2291" i="21"/>
  <c r="H2291" i="21"/>
  <c r="M2291" i="21" s="1"/>
  <c r="G2291" i="21"/>
  <c r="I2291" i="21" s="1"/>
  <c r="AB2290" i="21"/>
  <c r="V2290" i="21"/>
  <c r="W2290" i="21" s="1"/>
  <c r="L2290" i="21"/>
  <c r="K2290" i="21"/>
  <c r="H2290" i="21"/>
  <c r="G2290" i="21"/>
  <c r="I2290" i="21" s="1"/>
  <c r="AB2289" i="21"/>
  <c r="V2289" i="21"/>
  <c r="W2289" i="21" s="1"/>
  <c r="L2289" i="21"/>
  <c r="K2289" i="21"/>
  <c r="H2289" i="21"/>
  <c r="M2289" i="21" s="1"/>
  <c r="G2289" i="21"/>
  <c r="I2289" i="21" s="1"/>
  <c r="AB2288" i="21"/>
  <c r="V2288" i="21"/>
  <c r="W2288" i="21" s="1"/>
  <c r="L2288" i="21"/>
  <c r="K2288" i="21"/>
  <c r="H2288" i="21"/>
  <c r="G2288" i="21"/>
  <c r="I2288" i="21" s="1"/>
  <c r="AB2287" i="21"/>
  <c r="V2287" i="21"/>
  <c r="W2287" i="21" s="1"/>
  <c r="L2287" i="21"/>
  <c r="K2287" i="21"/>
  <c r="H2287" i="21"/>
  <c r="M2287" i="21" s="1"/>
  <c r="G2287" i="21"/>
  <c r="I2287" i="21" s="1"/>
  <c r="AB2286" i="21"/>
  <c r="V2286" i="21"/>
  <c r="W2286" i="21" s="1"/>
  <c r="L2286" i="21"/>
  <c r="K2286" i="21"/>
  <c r="H2286" i="21"/>
  <c r="G2286" i="21"/>
  <c r="I2286" i="21" s="1"/>
  <c r="AB2285" i="21"/>
  <c r="V2285" i="21"/>
  <c r="W2285" i="21" s="1"/>
  <c r="L2285" i="21"/>
  <c r="K2285" i="21"/>
  <c r="H2285" i="21"/>
  <c r="M2285" i="21" s="1"/>
  <c r="G2285" i="21"/>
  <c r="I2285" i="21" s="1"/>
  <c r="AB2284" i="21"/>
  <c r="V2284" i="21"/>
  <c r="W2284" i="21" s="1"/>
  <c r="L2284" i="21"/>
  <c r="K2284" i="21"/>
  <c r="H2284" i="21"/>
  <c r="G2284" i="21"/>
  <c r="I2284" i="21" s="1"/>
  <c r="AB2283" i="21"/>
  <c r="V2283" i="21"/>
  <c r="W2283" i="21" s="1"/>
  <c r="L2283" i="21"/>
  <c r="K2283" i="21"/>
  <c r="H2283" i="21"/>
  <c r="M2283" i="21" s="1"/>
  <c r="G2283" i="21"/>
  <c r="I2283" i="21" s="1"/>
  <c r="AB2282" i="21"/>
  <c r="V2282" i="21"/>
  <c r="W2282" i="21" s="1"/>
  <c r="L2282" i="21"/>
  <c r="K2282" i="21"/>
  <c r="H2282" i="21"/>
  <c r="G2282" i="21"/>
  <c r="I2282" i="21" s="1"/>
  <c r="AB2281" i="21"/>
  <c r="V2281" i="21"/>
  <c r="W2281" i="21" s="1"/>
  <c r="L2281" i="21"/>
  <c r="K2281" i="21"/>
  <c r="H2281" i="21"/>
  <c r="M2281" i="21" s="1"/>
  <c r="G2281" i="21"/>
  <c r="I2281" i="21" s="1"/>
  <c r="AB2280" i="21"/>
  <c r="V2280" i="21"/>
  <c r="W2280" i="21" s="1"/>
  <c r="L2280" i="21"/>
  <c r="K2280" i="21"/>
  <c r="H2280" i="21"/>
  <c r="G2280" i="21"/>
  <c r="I2280" i="21" s="1"/>
  <c r="AB2279" i="21"/>
  <c r="V2279" i="21"/>
  <c r="W2279" i="21" s="1"/>
  <c r="L2279" i="21"/>
  <c r="K2279" i="21"/>
  <c r="H2279" i="21"/>
  <c r="M2279" i="21" s="1"/>
  <c r="G2279" i="21"/>
  <c r="I2279" i="21" s="1"/>
  <c r="AB2278" i="21"/>
  <c r="V2278" i="21"/>
  <c r="W2278" i="21" s="1"/>
  <c r="L2278" i="21"/>
  <c r="K2278" i="21"/>
  <c r="H2278" i="21"/>
  <c r="G2278" i="21"/>
  <c r="I2278" i="21" s="1"/>
  <c r="AB2277" i="21"/>
  <c r="V2277" i="21"/>
  <c r="W2277" i="21" s="1"/>
  <c r="L2277" i="21"/>
  <c r="K2277" i="21"/>
  <c r="H2277" i="21"/>
  <c r="M2277" i="21" s="1"/>
  <c r="G2277" i="21"/>
  <c r="I2277" i="21" s="1"/>
  <c r="AB2276" i="21"/>
  <c r="V2276" i="21"/>
  <c r="W2276" i="21" s="1"/>
  <c r="L2276" i="21"/>
  <c r="K2276" i="21"/>
  <c r="H2276" i="21"/>
  <c r="G2276" i="21"/>
  <c r="I2276" i="21" s="1"/>
  <c r="AB2275" i="21"/>
  <c r="V2275" i="21"/>
  <c r="W2275" i="21" s="1"/>
  <c r="L2275" i="21"/>
  <c r="K2275" i="21"/>
  <c r="H2275" i="21"/>
  <c r="M2275" i="21" s="1"/>
  <c r="G2275" i="21"/>
  <c r="I2275" i="21" s="1"/>
  <c r="AB2274" i="21"/>
  <c r="V2274" i="21"/>
  <c r="W2274" i="21" s="1"/>
  <c r="L2274" i="21"/>
  <c r="K2274" i="21"/>
  <c r="H2274" i="21"/>
  <c r="G2274" i="21"/>
  <c r="I2274" i="21" s="1"/>
  <c r="AB2273" i="21"/>
  <c r="V2273" i="21"/>
  <c r="W2273" i="21" s="1"/>
  <c r="L2273" i="21"/>
  <c r="K2273" i="21"/>
  <c r="H2273" i="21"/>
  <c r="M2273" i="21" s="1"/>
  <c r="G2273" i="21"/>
  <c r="I2273" i="21" s="1"/>
  <c r="AB2272" i="21"/>
  <c r="V2272" i="21"/>
  <c r="W2272" i="21" s="1"/>
  <c r="L2272" i="21"/>
  <c r="K2272" i="21"/>
  <c r="H2272" i="21"/>
  <c r="G2272" i="21"/>
  <c r="I2272" i="21" s="1"/>
  <c r="AB2271" i="21"/>
  <c r="V2271" i="21"/>
  <c r="W2271" i="21" s="1"/>
  <c r="L2271" i="21"/>
  <c r="K2271" i="21"/>
  <c r="H2271" i="21"/>
  <c r="M2271" i="21" s="1"/>
  <c r="G2271" i="21"/>
  <c r="I2271" i="21" s="1"/>
  <c r="AB2270" i="21"/>
  <c r="V2270" i="21"/>
  <c r="W2270" i="21" s="1"/>
  <c r="L2270" i="21"/>
  <c r="K2270" i="21"/>
  <c r="H2270" i="21"/>
  <c r="G2270" i="21"/>
  <c r="I2270" i="21" s="1"/>
  <c r="AB2269" i="21"/>
  <c r="V2269" i="21"/>
  <c r="W2269" i="21" s="1"/>
  <c r="L2269" i="21"/>
  <c r="K2269" i="21"/>
  <c r="H2269" i="21"/>
  <c r="M2269" i="21" s="1"/>
  <c r="G2269" i="21"/>
  <c r="I2269" i="21" s="1"/>
  <c r="AB2268" i="21"/>
  <c r="V2268" i="21"/>
  <c r="W2268" i="21" s="1"/>
  <c r="L2268" i="21"/>
  <c r="K2268" i="21"/>
  <c r="H2268" i="21"/>
  <c r="G2268" i="21"/>
  <c r="I2268" i="21" s="1"/>
  <c r="AB2267" i="21"/>
  <c r="V2267" i="21"/>
  <c r="W2267" i="21" s="1"/>
  <c r="L2267" i="21"/>
  <c r="K2267" i="21"/>
  <c r="H2267" i="21"/>
  <c r="M2267" i="21" s="1"/>
  <c r="G2267" i="21"/>
  <c r="I2267" i="21" s="1"/>
  <c r="AB2266" i="21"/>
  <c r="V2266" i="21"/>
  <c r="W2266" i="21" s="1"/>
  <c r="L2266" i="21"/>
  <c r="K2266" i="21"/>
  <c r="H2266" i="21"/>
  <c r="G2266" i="21"/>
  <c r="I2266" i="21" s="1"/>
  <c r="AB2265" i="21"/>
  <c r="V2265" i="21"/>
  <c r="W2265" i="21" s="1"/>
  <c r="L2265" i="21"/>
  <c r="K2265" i="21"/>
  <c r="H2265" i="21"/>
  <c r="M2265" i="21" s="1"/>
  <c r="G2265" i="21"/>
  <c r="I2265" i="21" s="1"/>
  <c r="AB2264" i="21"/>
  <c r="V2264" i="21"/>
  <c r="W2264" i="21" s="1"/>
  <c r="L2264" i="21"/>
  <c r="K2264" i="21"/>
  <c r="H2264" i="21"/>
  <c r="G2264" i="21"/>
  <c r="I2264" i="21" s="1"/>
  <c r="AB2263" i="21"/>
  <c r="V2263" i="21"/>
  <c r="W2263" i="21" s="1"/>
  <c r="L2263" i="21"/>
  <c r="K2263" i="21"/>
  <c r="H2263" i="21"/>
  <c r="M2263" i="21" s="1"/>
  <c r="G2263" i="21"/>
  <c r="I2263" i="21" s="1"/>
  <c r="AB2262" i="21"/>
  <c r="V2262" i="21"/>
  <c r="W2262" i="21" s="1"/>
  <c r="L2262" i="21"/>
  <c r="K2262" i="21"/>
  <c r="H2262" i="21"/>
  <c r="G2262" i="21"/>
  <c r="I2262" i="21" s="1"/>
  <c r="AB2261" i="21"/>
  <c r="V2261" i="21"/>
  <c r="W2261" i="21" s="1"/>
  <c r="L2261" i="21"/>
  <c r="K2261" i="21"/>
  <c r="H2261" i="21"/>
  <c r="M2261" i="21" s="1"/>
  <c r="G2261" i="21"/>
  <c r="I2261" i="21" s="1"/>
  <c r="AB2260" i="21"/>
  <c r="V2260" i="21"/>
  <c r="W2260" i="21" s="1"/>
  <c r="L2260" i="21"/>
  <c r="K2260" i="21"/>
  <c r="H2260" i="21"/>
  <c r="G2260" i="21"/>
  <c r="I2260" i="21" s="1"/>
  <c r="AB2259" i="21"/>
  <c r="V2259" i="21"/>
  <c r="W2259" i="21" s="1"/>
  <c r="L2259" i="21"/>
  <c r="K2259" i="21"/>
  <c r="H2259" i="21"/>
  <c r="M2259" i="21" s="1"/>
  <c r="G2259" i="21"/>
  <c r="I2259" i="21" s="1"/>
  <c r="AB2258" i="21"/>
  <c r="V2258" i="21"/>
  <c r="W2258" i="21" s="1"/>
  <c r="L2258" i="21"/>
  <c r="K2258" i="21"/>
  <c r="H2258" i="21"/>
  <c r="G2258" i="21"/>
  <c r="I2258" i="21" s="1"/>
  <c r="AB2257" i="21"/>
  <c r="V2257" i="21"/>
  <c r="W2257" i="21" s="1"/>
  <c r="L2257" i="21"/>
  <c r="K2257" i="21"/>
  <c r="H2257" i="21"/>
  <c r="M2257" i="21" s="1"/>
  <c r="G2257" i="21"/>
  <c r="I2257" i="21" s="1"/>
  <c r="AB2256" i="21"/>
  <c r="V2256" i="21"/>
  <c r="W2256" i="21" s="1"/>
  <c r="L2256" i="21"/>
  <c r="K2256" i="21"/>
  <c r="H2256" i="21"/>
  <c r="G2256" i="21"/>
  <c r="I2256" i="21" s="1"/>
  <c r="AB2255" i="21"/>
  <c r="V2255" i="21"/>
  <c r="W2255" i="21" s="1"/>
  <c r="L2255" i="21"/>
  <c r="K2255" i="21"/>
  <c r="H2255" i="21"/>
  <c r="M2255" i="21" s="1"/>
  <c r="G2255" i="21"/>
  <c r="I2255" i="21" s="1"/>
  <c r="AB2254" i="21"/>
  <c r="V2254" i="21"/>
  <c r="W2254" i="21" s="1"/>
  <c r="L2254" i="21"/>
  <c r="K2254" i="21"/>
  <c r="H2254" i="21"/>
  <c r="G2254" i="21"/>
  <c r="I2254" i="21" s="1"/>
  <c r="AB2253" i="21"/>
  <c r="V2253" i="21"/>
  <c r="W2253" i="21" s="1"/>
  <c r="L2253" i="21"/>
  <c r="K2253" i="21"/>
  <c r="H2253" i="21"/>
  <c r="M2253" i="21" s="1"/>
  <c r="G2253" i="21"/>
  <c r="I2253" i="21" s="1"/>
  <c r="AB2252" i="21"/>
  <c r="V2252" i="21"/>
  <c r="W2252" i="21" s="1"/>
  <c r="L2252" i="21"/>
  <c r="K2252" i="21"/>
  <c r="H2252" i="21"/>
  <c r="G2252" i="21"/>
  <c r="I2252" i="21" s="1"/>
  <c r="AB2251" i="21"/>
  <c r="V2251" i="21"/>
  <c r="W2251" i="21" s="1"/>
  <c r="L2251" i="21"/>
  <c r="K2251" i="21"/>
  <c r="H2251" i="21"/>
  <c r="M2251" i="21" s="1"/>
  <c r="G2251" i="21"/>
  <c r="I2251" i="21" s="1"/>
  <c r="AB2250" i="21"/>
  <c r="V2250" i="21"/>
  <c r="W2250" i="21" s="1"/>
  <c r="L2250" i="21"/>
  <c r="K2250" i="21"/>
  <c r="H2250" i="21"/>
  <c r="G2250" i="21"/>
  <c r="I2250" i="21" s="1"/>
  <c r="AB2249" i="21"/>
  <c r="V2249" i="21"/>
  <c r="W2249" i="21" s="1"/>
  <c r="L2249" i="21"/>
  <c r="K2249" i="21"/>
  <c r="H2249" i="21"/>
  <c r="M2249" i="21" s="1"/>
  <c r="G2249" i="21"/>
  <c r="I2249" i="21" s="1"/>
  <c r="AB2248" i="21"/>
  <c r="V2248" i="21"/>
  <c r="W2248" i="21" s="1"/>
  <c r="L2248" i="21"/>
  <c r="K2248" i="21"/>
  <c r="H2248" i="21"/>
  <c r="G2248" i="21"/>
  <c r="I2248" i="21" s="1"/>
  <c r="AB2247" i="21"/>
  <c r="V2247" i="21"/>
  <c r="W2247" i="21" s="1"/>
  <c r="L2247" i="21"/>
  <c r="K2247" i="21"/>
  <c r="H2247" i="21"/>
  <c r="M2247" i="21" s="1"/>
  <c r="G2247" i="21"/>
  <c r="I2247" i="21" s="1"/>
  <c r="AB2246" i="21"/>
  <c r="V2246" i="21"/>
  <c r="W2246" i="21" s="1"/>
  <c r="L2246" i="21"/>
  <c r="K2246" i="21"/>
  <c r="H2246" i="21"/>
  <c r="G2246" i="21"/>
  <c r="I2246" i="21" s="1"/>
  <c r="AB2245" i="21"/>
  <c r="V2245" i="21"/>
  <c r="W2245" i="21" s="1"/>
  <c r="L2245" i="21"/>
  <c r="K2245" i="21"/>
  <c r="H2245" i="21"/>
  <c r="M2245" i="21" s="1"/>
  <c r="G2245" i="21"/>
  <c r="I2245" i="21" s="1"/>
  <c r="AB2244" i="21"/>
  <c r="V2244" i="21"/>
  <c r="W2244" i="21" s="1"/>
  <c r="L2244" i="21"/>
  <c r="K2244" i="21"/>
  <c r="H2244" i="21"/>
  <c r="G2244" i="21"/>
  <c r="I2244" i="21" s="1"/>
  <c r="AB2243" i="21"/>
  <c r="V2243" i="21"/>
  <c r="W2243" i="21" s="1"/>
  <c r="L2243" i="21"/>
  <c r="K2243" i="21"/>
  <c r="H2243" i="21"/>
  <c r="M2243" i="21" s="1"/>
  <c r="G2243" i="21"/>
  <c r="I2243" i="21" s="1"/>
  <c r="AB2242" i="21"/>
  <c r="V2242" i="21"/>
  <c r="W2242" i="21" s="1"/>
  <c r="L2242" i="21"/>
  <c r="K2242" i="21"/>
  <c r="H2242" i="21"/>
  <c r="G2242" i="21"/>
  <c r="I2242" i="21" s="1"/>
  <c r="AB2241" i="21"/>
  <c r="V2241" i="21"/>
  <c r="W2241" i="21" s="1"/>
  <c r="L2241" i="21"/>
  <c r="K2241" i="21"/>
  <c r="H2241" i="21"/>
  <c r="M2241" i="21" s="1"/>
  <c r="G2241" i="21"/>
  <c r="I2241" i="21" s="1"/>
  <c r="AB2240" i="21"/>
  <c r="V2240" i="21"/>
  <c r="W2240" i="21" s="1"/>
  <c r="L2240" i="21"/>
  <c r="K2240" i="21"/>
  <c r="H2240" i="21"/>
  <c r="G2240" i="21"/>
  <c r="I2240" i="21" s="1"/>
  <c r="AB2239" i="21"/>
  <c r="V2239" i="21"/>
  <c r="W2239" i="21" s="1"/>
  <c r="L2239" i="21"/>
  <c r="K2239" i="21"/>
  <c r="H2239" i="21"/>
  <c r="M2239" i="21" s="1"/>
  <c r="G2239" i="21"/>
  <c r="I2239" i="21" s="1"/>
  <c r="AB2238" i="21"/>
  <c r="V2238" i="21"/>
  <c r="W2238" i="21" s="1"/>
  <c r="L2238" i="21"/>
  <c r="K2238" i="21"/>
  <c r="H2238" i="21"/>
  <c r="G2238" i="21"/>
  <c r="I2238" i="21" s="1"/>
  <c r="AB2237" i="21"/>
  <c r="V2237" i="21"/>
  <c r="W2237" i="21" s="1"/>
  <c r="L2237" i="21"/>
  <c r="K2237" i="21"/>
  <c r="H2237" i="21"/>
  <c r="M2237" i="21" s="1"/>
  <c r="G2237" i="21"/>
  <c r="I2237" i="21" s="1"/>
  <c r="AB2236" i="21"/>
  <c r="V2236" i="21"/>
  <c r="W2236" i="21" s="1"/>
  <c r="L2236" i="21"/>
  <c r="K2236" i="21"/>
  <c r="H2236" i="21"/>
  <c r="G2236" i="21"/>
  <c r="I2236" i="21" s="1"/>
  <c r="AB2235" i="21"/>
  <c r="V2235" i="21"/>
  <c r="W2235" i="21" s="1"/>
  <c r="L2235" i="21"/>
  <c r="K2235" i="21"/>
  <c r="H2235" i="21"/>
  <c r="M2235" i="21" s="1"/>
  <c r="G2235" i="21"/>
  <c r="I2235" i="21" s="1"/>
  <c r="AB2234" i="21"/>
  <c r="V2234" i="21"/>
  <c r="W2234" i="21" s="1"/>
  <c r="L2234" i="21"/>
  <c r="K2234" i="21"/>
  <c r="H2234" i="21"/>
  <c r="G2234" i="21"/>
  <c r="I2234" i="21" s="1"/>
  <c r="AB2233" i="21"/>
  <c r="V2233" i="21"/>
  <c r="W2233" i="21" s="1"/>
  <c r="L2233" i="21"/>
  <c r="K2233" i="21"/>
  <c r="H2233" i="21"/>
  <c r="M2233" i="21" s="1"/>
  <c r="G2233" i="21"/>
  <c r="I2233" i="21" s="1"/>
  <c r="AB2232" i="21"/>
  <c r="V2232" i="21"/>
  <c r="W2232" i="21" s="1"/>
  <c r="L2232" i="21"/>
  <c r="K2232" i="21"/>
  <c r="H2232" i="21"/>
  <c r="G2232" i="21"/>
  <c r="I2232" i="21" s="1"/>
  <c r="AB2231" i="21"/>
  <c r="V2231" i="21"/>
  <c r="W2231" i="21" s="1"/>
  <c r="L2231" i="21"/>
  <c r="K2231" i="21"/>
  <c r="H2231" i="21"/>
  <c r="M2231" i="21" s="1"/>
  <c r="G2231" i="21"/>
  <c r="I2231" i="21" s="1"/>
  <c r="AB2230" i="21"/>
  <c r="V2230" i="21"/>
  <c r="W2230" i="21" s="1"/>
  <c r="L2230" i="21"/>
  <c r="K2230" i="21"/>
  <c r="H2230" i="21"/>
  <c r="G2230" i="21"/>
  <c r="I2230" i="21" s="1"/>
  <c r="AB2229" i="21"/>
  <c r="V2229" i="21"/>
  <c r="W2229" i="21" s="1"/>
  <c r="L2229" i="21"/>
  <c r="K2229" i="21"/>
  <c r="H2229" i="21"/>
  <c r="M2229" i="21" s="1"/>
  <c r="G2229" i="21"/>
  <c r="I2229" i="21" s="1"/>
  <c r="AB2228" i="21"/>
  <c r="V2228" i="21"/>
  <c r="W2228" i="21" s="1"/>
  <c r="L2228" i="21"/>
  <c r="K2228" i="21"/>
  <c r="H2228" i="21"/>
  <c r="G2228" i="21"/>
  <c r="I2228" i="21" s="1"/>
  <c r="AB2227" i="21"/>
  <c r="V2227" i="21"/>
  <c r="W2227" i="21" s="1"/>
  <c r="L2227" i="21"/>
  <c r="K2227" i="21"/>
  <c r="H2227" i="21"/>
  <c r="M2227" i="21" s="1"/>
  <c r="G2227" i="21"/>
  <c r="I2227" i="21" s="1"/>
  <c r="AB2226" i="21"/>
  <c r="V2226" i="21"/>
  <c r="W2226" i="21" s="1"/>
  <c r="L2226" i="21"/>
  <c r="K2226" i="21"/>
  <c r="H2226" i="21"/>
  <c r="G2226" i="21"/>
  <c r="I2226" i="21" s="1"/>
  <c r="AB2225" i="21"/>
  <c r="V2225" i="21"/>
  <c r="W2225" i="21" s="1"/>
  <c r="L2225" i="21"/>
  <c r="K2225" i="21"/>
  <c r="H2225" i="21"/>
  <c r="M2225" i="21" s="1"/>
  <c r="G2225" i="21"/>
  <c r="I2225" i="21" s="1"/>
  <c r="AB2224" i="21"/>
  <c r="V2224" i="21"/>
  <c r="W2224" i="21" s="1"/>
  <c r="L2224" i="21"/>
  <c r="K2224" i="21"/>
  <c r="H2224" i="21"/>
  <c r="G2224" i="21"/>
  <c r="I2224" i="21" s="1"/>
  <c r="AB2223" i="21"/>
  <c r="V2223" i="21"/>
  <c r="W2223" i="21" s="1"/>
  <c r="L2223" i="21"/>
  <c r="K2223" i="21"/>
  <c r="H2223" i="21"/>
  <c r="M2223" i="21" s="1"/>
  <c r="G2223" i="21"/>
  <c r="I2223" i="21" s="1"/>
  <c r="AB2222" i="21"/>
  <c r="V2222" i="21"/>
  <c r="W2222" i="21" s="1"/>
  <c r="L2222" i="21"/>
  <c r="K2222" i="21"/>
  <c r="H2222" i="21"/>
  <c r="G2222" i="21"/>
  <c r="I2222" i="21" s="1"/>
  <c r="AB2221" i="21"/>
  <c r="V2221" i="21"/>
  <c r="W2221" i="21" s="1"/>
  <c r="L2221" i="21"/>
  <c r="K2221" i="21"/>
  <c r="H2221" i="21"/>
  <c r="M2221" i="21" s="1"/>
  <c r="G2221" i="21"/>
  <c r="I2221" i="21" s="1"/>
  <c r="AB2220" i="21"/>
  <c r="V2220" i="21"/>
  <c r="W2220" i="21" s="1"/>
  <c r="L2220" i="21"/>
  <c r="K2220" i="21"/>
  <c r="H2220" i="21"/>
  <c r="G2220" i="21"/>
  <c r="I2220" i="21" s="1"/>
  <c r="AB2219" i="21"/>
  <c r="V2219" i="21"/>
  <c r="W2219" i="21" s="1"/>
  <c r="L2219" i="21"/>
  <c r="K2219" i="21"/>
  <c r="H2219" i="21"/>
  <c r="M2219" i="21" s="1"/>
  <c r="G2219" i="21"/>
  <c r="I2219" i="21" s="1"/>
  <c r="AB2218" i="21"/>
  <c r="V2218" i="21"/>
  <c r="W2218" i="21" s="1"/>
  <c r="L2218" i="21"/>
  <c r="K2218" i="21"/>
  <c r="H2218" i="21"/>
  <c r="G2218" i="21"/>
  <c r="I2218" i="21" s="1"/>
  <c r="AB2217" i="21"/>
  <c r="V2217" i="21"/>
  <c r="W2217" i="21" s="1"/>
  <c r="L2217" i="21"/>
  <c r="K2217" i="21"/>
  <c r="H2217" i="21"/>
  <c r="M2217" i="21" s="1"/>
  <c r="G2217" i="21"/>
  <c r="I2217" i="21" s="1"/>
  <c r="AB2216" i="21"/>
  <c r="V2216" i="21"/>
  <c r="W2216" i="21" s="1"/>
  <c r="L2216" i="21"/>
  <c r="K2216" i="21"/>
  <c r="H2216" i="21"/>
  <c r="G2216" i="21"/>
  <c r="I2216" i="21" s="1"/>
  <c r="AB2215" i="21"/>
  <c r="V2215" i="21"/>
  <c r="W2215" i="21" s="1"/>
  <c r="L2215" i="21"/>
  <c r="K2215" i="21"/>
  <c r="H2215" i="21"/>
  <c r="M2215" i="21" s="1"/>
  <c r="G2215" i="21"/>
  <c r="I2215" i="21" s="1"/>
  <c r="AB2214" i="21"/>
  <c r="V2214" i="21"/>
  <c r="W2214" i="21" s="1"/>
  <c r="L2214" i="21"/>
  <c r="K2214" i="21"/>
  <c r="H2214" i="21"/>
  <c r="G2214" i="21"/>
  <c r="I2214" i="21" s="1"/>
  <c r="AB2213" i="21"/>
  <c r="V2213" i="21"/>
  <c r="W2213" i="21" s="1"/>
  <c r="L2213" i="21"/>
  <c r="K2213" i="21"/>
  <c r="H2213" i="21"/>
  <c r="M2213" i="21" s="1"/>
  <c r="G2213" i="21"/>
  <c r="I2213" i="21" s="1"/>
  <c r="AB2212" i="21"/>
  <c r="V2212" i="21"/>
  <c r="W2212" i="21" s="1"/>
  <c r="L2212" i="21"/>
  <c r="K2212" i="21"/>
  <c r="H2212" i="21"/>
  <c r="G2212" i="21"/>
  <c r="I2212" i="21" s="1"/>
  <c r="AB2211" i="21"/>
  <c r="V2211" i="21"/>
  <c r="W2211" i="21" s="1"/>
  <c r="L2211" i="21"/>
  <c r="K2211" i="21"/>
  <c r="H2211" i="21"/>
  <c r="M2211" i="21" s="1"/>
  <c r="G2211" i="21"/>
  <c r="I2211" i="21" s="1"/>
  <c r="AB2210" i="21"/>
  <c r="V2210" i="21"/>
  <c r="W2210" i="21" s="1"/>
  <c r="L2210" i="21"/>
  <c r="K2210" i="21"/>
  <c r="H2210" i="21"/>
  <c r="G2210" i="21"/>
  <c r="I2210" i="21" s="1"/>
  <c r="AB2209" i="21"/>
  <c r="V2209" i="21"/>
  <c r="W2209" i="21" s="1"/>
  <c r="L2209" i="21"/>
  <c r="K2209" i="21"/>
  <c r="H2209" i="21"/>
  <c r="M2209" i="21" s="1"/>
  <c r="G2209" i="21"/>
  <c r="I2209" i="21" s="1"/>
  <c r="AB2208" i="21"/>
  <c r="V2208" i="21"/>
  <c r="W2208" i="21" s="1"/>
  <c r="L2208" i="21"/>
  <c r="K2208" i="21"/>
  <c r="H2208" i="21"/>
  <c r="G2208" i="21"/>
  <c r="I2208" i="21" s="1"/>
  <c r="AB2207" i="21"/>
  <c r="V2207" i="21"/>
  <c r="W2207" i="21" s="1"/>
  <c r="L2207" i="21"/>
  <c r="K2207" i="21"/>
  <c r="H2207" i="21"/>
  <c r="M2207" i="21" s="1"/>
  <c r="G2207" i="21"/>
  <c r="I2207" i="21" s="1"/>
  <c r="AB2206" i="21"/>
  <c r="V2206" i="21"/>
  <c r="W2206" i="21" s="1"/>
  <c r="L2206" i="21"/>
  <c r="K2206" i="21"/>
  <c r="H2206" i="21"/>
  <c r="G2206" i="21"/>
  <c r="I2206" i="21" s="1"/>
  <c r="AB2205" i="21"/>
  <c r="V2205" i="21"/>
  <c r="W2205" i="21" s="1"/>
  <c r="L2205" i="21"/>
  <c r="K2205" i="21"/>
  <c r="H2205" i="21"/>
  <c r="M2205" i="21" s="1"/>
  <c r="G2205" i="21"/>
  <c r="I2205" i="21" s="1"/>
  <c r="AB2204" i="21"/>
  <c r="V2204" i="21"/>
  <c r="W2204" i="21" s="1"/>
  <c r="L2204" i="21"/>
  <c r="K2204" i="21"/>
  <c r="H2204" i="21"/>
  <c r="G2204" i="21"/>
  <c r="I2204" i="21" s="1"/>
  <c r="AB2203" i="21"/>
  <c r="V2203" i="21"/>
  <c r="W2203" i="21" s="1"/>
  <c r="L2203" i="21"/>
  <c r="K2203" i="21"/>
  <c r="H2203" i="21"/>
  <c r="M2203" i="21" s="1"/>
  <c r="G2203" i="21"/>
  <c r="I2203" i="21" s="1"/>
  <c r="AB2202" i="21"/>
  <c r="V2202" i="21"/>
  <c r="W2202" i="21" s="1"/>
  <c r="L2202" i="21"/>
  <c r="K2202" i="21"/>
  <c r="H2202" i="21"/>
  <c r="G2202" i="21"/>
  <c r="I2202" i="21" s="1"/>
  <c r="AB2201" i="21"/>
  <c r="V2201" i="21"/>
  <c r="W2201" i="21" s="1"/>
  <c r="L2201" i="21"/>
  <c r="K2201" i="21"/>
  <c r="H2201" i="21"/>
  <c r="M2201" i="21" s="1"/>
  <c r="G2201" i="21"/>
  <c r="I2201" i="21" s="1"/>
  <c r="AB2200" i="21"/>
  <c r="V2200" i="21"/>
  <c r="W2200" i="21" s="1"/>
  <c r="L2200" i="21"/>
  <c r="K2200" i="21"/>
  <c r="H2200" i="21"/>
  <c r="G2200" i="21"/>
  <c r="I2200" i="21" s="1"/>
  <c r="AB2199" i="21"/>
  <c r="V2199" i="21"/>
  <c r="W2199" i="21" s="1"/>
  <c r="L2199" i="21"/>
  <c r="K2199" i="21"/>
  <c r="H2199" i="21"/>
  <c r="M2199" i="21" s="1"/>
  <c r="G2199" i="21"/>
  <c r="I2199" i="21" s="1"/>
  <c r="AB2198" i="21"/>
  <c r="V2198" i="21"/>
  <c r="W2198" i="21" s="1"/>
  <c r="L2198" i="21"/>
  <c r="K2198" i="21"/>
  <c r="H2198" i="21"/>
  <c r="G2198" i="21"/>
  <c r="I2198" i="21" s="1"/>
  <c r="AB2197" i="21"/>
  <c r="V2197" i="21"/>
  <c r="W2197" i="21" s="1"/>
  <c r="L2197" i="21"/>
  <c r="K2197" i="21"/>
  <c r="H2197" i="21"/>
  <c r="M2197" i="21" s="1"/>
  <c r="G2197" i="21"/>
  <c r="I2197" i="21" s="1"/>
  <c r="AB2196" i="21"/>
  <c r="V2196" i="21"/>
  <c r="W2196" i="21" s="1"/>
  <c r="L2196" i="21"/>
  <c r="K2196" i="21"/>
  <c r="H2196" i="21"/>
  <c r="G2196" i="21"/>
  <c r="I2196" i="21" s="1"/>
  <c r="AB2195" i="21"/>
  <c r="V2195" i="21"/>
  <c r="W2195" i="21" s="1"/>
  <c r="L2195" i="21"/>
  <c r="K2195" i="21"/>
  <c r="H2195" i="21"/>
  <c r="M2195" i="21" s="1"/>
  <c r="G2195" i="21"/>
  <c r="I2195" i="21" s="1"/>
  <c r="AB2194" i="21"/>
  <c r="V2194" i="21"/>
  <c r="W2194" i="21" s="1"/>
  <c r="L2194" i="21"/>
  <c r="K2194" i="21"/>
  <c r="H2194" i="21"/>
  <c r="G2194" i="21"/>
  <c r="I2194" i="21" s="1"/>
  <c r="AB2193" i="21"/>
  <c r="V2193" i="21"/>
  <c r="W2193" i="21" s="1"/>
  <c r="L2193" i="21"/>
  <c r="K2193" i="21"/>
  <c r="H2193" i="21"/>
  <c r="M2193" i="21" s="1"/>
  <c r="G2193" i="21"/>
  <c r="I2193" i="21" s="1"/>
  <c r="AB2192" i="21"/>
  <c r="V2192" i="21"/>
  <c r="W2192" i="21" s="1"/>
  <c r="L2192" i="21"/>
  <c r="K2192" i="21"/>
  <c r="H2192" i="21"/>
  <c r="G2192" i="21"/>
  <c r="I2192" i="21" s="1"/>
  <c r="AB2191" i="21"/>
  <c r="V2191" i="21"/>
  <c r="W2191" i="21" s="1"/>
  <c r="L2191" i="21"/>
  <c r="K2191" i="21"/>
  <c r="H2191" i="21"/>
  <c r="M2191" i="21" s="1"/>
  <c r="G2191" i="21"/>
  <c r="I2191" i="21" s="1"/>
  <c r="AB2190" i="21"/>
  <c r="V2190" i="21"/>
  <c r="W2190" i="21" s="1"/>
  <c r="L2190" i="21"/>
  <c r="K2190" i="21"/>
  <c r="H2190" i="21"/>
  <c r="G2190" i="21"/>
  <c r="I2190" i="21" s="1"/>
  <c r="AB2189" i="21"/>
  <c r="V2189" i="21"/>
  <c r="W2189" i="21" s="1"/>
  <c r="L2189" i="21"/>
  <c r="K2189" i="21"/>
  <c r="H2189" i="21"/>
  <c r="M2189" i="21" s="1"/>
  <c r="G2189" i="21"/>
  <c r="I2189" i="21" s="1"/>
  <c r="AB2188" i="21"/>
  <c r="V2188" i="21"/>
  <c r="W2188" i="21" s="1"/>
  <c r="L2188" i="21"/>
  <c r="K2188" i="21"/>
  <c r="H2188" i="21"/>
  <c r="G2188" i="21"/>
  <c r="I2188" i="21" s="1"/>
  <c r="AB2187" i="21"/>
  <c r="V2187" i="21"/>
  <c r="W2187" i="21" s="1"/>
  <c r="L2187" i="21"/>
  <c r="K2187" i="21"/>
  <c r="H2187" i="21"/>
  <c r="M2187" i="21" s="1"/>
  <c r="G2187" i="21"/>
  <c r="I2187" i="21" s="1"/>
  <c r="AB2186" i="21"/>
  <c r="V2186" i="21"/>
  <c r="W2186" i="21" s="1"/>
  <c r="L2186" i="21"/>
  <c r="K2186" i="21"/>
  <c r="H2186" i="21"/>
  <c r="G2186" i="21"/>
  <c r="I2186" i="21" s="1"/>
  <c r="AB2185" i="21"/>
  <c r="V2185" i="21"/>
  <c r="W2185" i="21" s="1"/>
  <c r="L2185" i="21"/>
  <c r="K2185" i="21"/>
  <c r="H2185" i="21"/>
  <c r="M2185" i="21" s="1"/>
  <c r="G2185" i="21"/>
  <c r="I2185" i="21" s="1"/>
  <c r="AB2184" i="21"/>
  <c r="V2184" i="21"/>
  <c r="W2184" i="21" s="1"/>
  <c r="L2184" i="21"/>
  <c r="K2184" i="21"/>
  <c r="H2184" i="21"/>
  <c r="G2184" i="21"/>
  <c r="I2184" i="21" s="1"/>
  <c r="AB2183" i="21"/>
  <c r="V2183" i="21"/>
  <c r="W2183" i="21" s="1"/>
  <c r="L2183" i="21"/>
  <c r="K2183" i="21"/>
  <c r="H2183" i="21"/>
  <c r="M2183" i="21" s="1"/>
  <c r="G2183" i="21"/>
  <c r="I2183" i="21" s="1"/>
  <c r="AB2182" i="21"/>
  <c r="V2182" i="21"/>
  <c r="W2182" i="21" s="1"/>
  <c r="L2182" i="21"/>
  <c r="K2182" i="21"/>
  <c r="H2182" i="21"/>
  <c r="G2182" i="21"/>
  <c r="I2182" i="21" s="1"/>
  <c r="AB2181" i="21"/>
  <c r="V2181" i="21"/>
  <c r="W2181" i="21" s="1"/>
  <c r="L2181" i="21"/>
  <c r="K2181" i="21"/>
  <c r="H2181" i="21"/>
  <c r="M2181" i="21" s="1"/>
  <c r="G2181" i="21"/>
  <c r="I2181" i="21" s="1"/>
  <c r="AB2180" i="21"/>
  <c r="V2180" i="21"/>
  <c r="W2180" i="21" s="1"/>
  <c r="L2180" i="21"/>
  <c r="K2180" i="21"/>
  <c r="H2180" i="21"/>
  <c r="G2180" i="21"/>
  <c r="I2180" i="21" s="1"/>
  <c r="AB2179" i="21"/>
  <c r="V2179" i="21"/>
  <c r="W2179" i="21" s="1"/>
  <c r="L2179" i="21"/>
  <c r="K2179" i="21"/>
  <c r="H2179" i="21"/>
  <c r="M2179" i="21" s="1"/>
  <c r="G2179" i="21"/>
  <c r="I2179" i="21" s="1"/>
  <c r="AB2178" i="21"/>
  <c r="V2178" i="21"/>
  <c r="W2178" i="21" s="1"/>
  <c r="L2178" i="21"/>
  <c r="K2178" i="21"/>
  <c r="H2178" i="21"/>
  <c r="G2178" i="21"/>
  <c r="I2178" i="21" s="1"/>
  <c r="AB2177" i="21"/>
  <c r="V2177" i="21"/>
  <c r="W2177" i="21" s="1"/>
  <c r="L2177" i="21"/>
  <c r="K2177" i="21"/>
  <c r="H2177" i="21"/>
  <c r="M2177" i="21" s="1"/>
  <c r="G2177" i="21"/>
  <c r="I2177" i="21" s="1"/>
  <c r="AB2176" i="21"/>
  <c r="V2176" i="21"/>
  <c r="W2176" i="21" s="1"/>
  <c r="L2176" i="21"/>
  <c r="K2176" i="21"/>
  <c r="H2176" i="21"/>
  <c r="G2176" i="21"/>
  <c r="I2176" i="21" s="1"/>
  <c r="AB2175" i="21"/>
  <c r="V2175" i="21"/>
  <c r="W2175" i="21" s="1"/>
  <c r="L2175" i="21"/>
  <c r="K2175" i="21"/>
  <c r="H2175" i="21"/>
  <c r="M2175" i="21" s="1"/>
  <c r="G2175" i="21"/>
  <c r="I2175" i="21" s="1"/>
  <c r="AB2174" i="21"/>
  <c r="V2174" i="21"/>
  <c r="W2174" i="21" s="1"/>
  <c r="L2174" i="21"/>
  <c r="K2174" i="21"/>
  <c r="H2174" i="21"/>
  <c r="G2174" i="21"/>
  <c r="I2174" i="21" s="1"/>
  <c r="AB2173" i="21"/>
  <c r="V2173" i="21"/>
  <c r="W2173" i="21" s="1"/>
  <c r="L2173" i="21"/>
  <c r="K2173" i="21"/>
  <c r="H2173" i="21"/>
  <c r="M2173" i="21" s="1"/>
  <c r="G2173" i="21"/>
  <c r="I2173" i="21" s="1"/>
  <c r="AB2172" i="21"/>
  <c r="V2172" i="21"/>
  <c r="W2172" i="21" s="1"/>
  <c r="L2172" i="21"/>
  <c r="K2172" i="21"/>
  <c r="H2172" i="21"/>
  <c r="G2172" i="21"/>
  <c r="I2172" i="21" s="1"/>
  <c r="AB2171" i="21"/>
  <c r="V2171" i="21"/>
  <c r="W2171" i="21" s="1"/>
  <c r="L2171" i="21"/>
  <c r="K2171" i="21"/>
  <c r="H2171" i="21"/>
  <c r="M2171" i="21" s="1"/>
  <c r="G2171" i="21"/>
  <c r="I2171" i="21" s="1"/>
  <c r="AB2170" i="21"/>
  <c r="V2170" i="21"/>
  <c r="W2170" i="21" s="1"/>
  <c r="L2170" i="21"/>
  <c r="K2170" i="21"/>
  <c r="H2170" i="21"/>
  <c r="G2170" i="21"/>
  <c r="I2170" i="21" s="1"/>
  <c r="AB2169" i="21"/>
  <c r="V2169" i="21"/>
  <c r="W2169" i="21" s="1"/>
  <c r="L2169" i="21"/>
  <c r="K2169" i="21"/>
  <c r="H2169" i="21"/>
  <c r="M2169" i="21" s="1"/>
  <c r="G2169" i="21"/>
  <c r="I2169" i="21" s="1"/>
  <c r="AB2168" i="21"/>
  <c r="V2168" i="21"/>
  <c r="W2168" i="21" s="1"/>
  <c r="L2168" i="21"/>
  <c r="K2168" i="21"/>
  <c r="H2168" i="21"/>
  <c r="G2168" i="21"/>
  <c r="I2168" i="21" s="1"/>
  <c r="AB2167" i="21"/>
  <c r="V2167" i="21"/>
  <c r="W2167" i="21" s="1"/>
  <c r="L2167" i="21"/>
  <c r="K2167" i="21"/>
  <c r="H2167" i="21"/>
  <c r="M2167" i="21" s="1"/>
  <c r="G2167" i="21"/>
  <c r="I2167" i="21" s="1"/>
  <c r="AB2166" i="21"/>
  <c r="V2166" i="21"/>
  <c r="W2166" i="21" s="1"/>
  <c r="L2166" i="21"/>
  <c r="K2166" i="21"/>
  <c r="H2166" i="21"/>
  <c r="G2166" i="21"/>
  <c r="I2166" i="21" s="1"/>
  <c r="AB2165" i="21"/>
  <c r="V2165" i="21"/>
  <c r="W2165" i="21" s="1"/>
  <c r="L2165" i="21"/>
  <c r="K2165" i="21"/>
  <c r="H2165" i="21"/>
  <c r="M2165" i="21" s="1"/>
  <c r="G2165" i="21"/>
  <c r="I2165" i="21" s="1"/>
  <c r="AB2164" i="21"/>
  <c r="V2164" i="21"/>
  <c r="W2164" i="21" s="1"/>
  <c r="L2164" i="21"/>
  <c r="K2164" i="21"/>
  <c r="H2164" i="21"/>
  <c r="G2164" i="21"/>
  <c r="I2164" i="21" s="1"/>
  <c r="AB2163" i="21"/>
  <c r="V2163" i="21"/>
  <c r="W2163" i="21" s="1"/>
  <c r="L2163" i="21"/>
  <c r="K2163" i="21"/>
  <c r="H2163" i="21"/>
  <c r="M2163" i="21" s="1"/>
  <c r="G2163" i="21"/>
  <c r="I2163" i="21" s="1"/>
  <c r="AB2162" i="21"/>
  <c r="V2162" i="21"/>
  <c r="W2162" i="21" s="1"/>
  <c r="L2162" i="21"/>
  <c r="K2162" i="21"/>
  <c r="H2162" i="21"/>
  <c r="G2162" i="21"/>
  <c r="I2162" i="21" s="1"/>
  <c r="AB2161" i="21"/>
  <c r="V2161" i="21"/>
  <c r="W2161" i="21" s="1"/>
  <c r="L2161" i="21"/>
  <c r="K2161" i="21"/>
  <c r="H2161" i="21"/>
  <c r="M2161" i="21" s="1"/>
  <c r="G2161" i="21"/>
  <c r="I2161" i="21" s="1"/>
  <c r="AB2160" i="21"/>
  <c r="V2160" i="21"/>
  <c r="W2160" i="21" s="1"/>
  <c r="L2160" i="21"/>
  <c r="K2160" i="21"/>
  <c r="H2160" i="21"/>
  <c r="G2160" i="21"/>
  <c r="I2160" i="21" s="1"/>
  <c r="AB2159" i="21"/>
  <c r="V2159" i="21"/>
  <c r="W2159" i="21" s="1"/>
  <c r="L2159" i="21"/>
  <c r="K2159" i="21"/>
  <c r="H2159" i="21"/>
  <c r="M2159" i="21" s="1"/>
  <c r="G2159" i="21"/>
  <c r="I2159" i="21" s="1"/>
  <c r="AB2158" i="21"/>
  <c r="V2158" i="21"/>
  <c r="W2158" i="21" s="1"/>
  <c r="L2158" i="21"/>
  <c r="K2158" i="21"/>
  <c r="H2158" i="21"/>
  <c r="G2158" i="21"/>
  <c r="I2158" i="21" s="1"/>
  <c r="AB2157" i="21"/>
  <c r="V2157" i="21"/>
  <c r="W2157" i="21" s="1"/>
  <c r="L2157" i="21"/>
  <c r="K2157" i="21"/>
  <c r="H2157" i="21"/>
  <c r="M2157" i="21" s="1"/>
  <c r="G2157" i="21"/>
  <c r="I2157" i="21" s="1"/>
  <c r="AB2156" i="21"/>
  <c r="V2156" i="21"/>
  <c r="W2156" i="21" s="1"/>
  <c r="L2156" i="21"/>
  <c r="K2156" i="21"/>
  <c r="H2156" i="21"/>
  <c r="G2156" i="21"/>
  <c r="I2156" i="21" s="1"/>
  <c r="AB2155" i="21"/>
  <c r="V2155" i="21"/>
  <c r="W2155" i="21" s="1"/>
  <c r="L2155" i="21"/>
  <c r="K2155" i="21"/>
  <c r="H2155" i="21"/>
  <c r="M2155" i="21" s="1"/>
  <c r="G2155" i="21"/>
  <c r="I2155" i="21" s="1"/>
  <c r="AB2154" i="21"/>
  <c r="V2154" i="21"/>
  <c r="W2154" i="21" s="1"/>
  <c r="L2154" i="21"/>
  <c r="K2154" i="21"/>
  <c r="H2154" i="21"/>
  <c r="G2154" i="21"/>
  <c r="I2154" i="21" s="1"/>
  <c r="AB2153" i="21"/>
  <c r="V2153" i="21"/>
  <c r="W2153" i="21" s="1"/>
  <c r="L2153" i="21"/>
  <c r="K2153" i="21"/>
  <c r="H2153" i="21"/>
  <c r="M2153" i="21" s="1"/>
  <c r="G2153" i="21"/>
  <c r="I2153" i="21" s="1"/>
  <c r="AB2152" i="21"/>
  <c r="V2152" i="21"/>
  <c r="W2152" i="21" s="1"/>
  <c r="L2152" i="21"/>
  <c r="K2152" i="21"/>
  <c r="H2152" i="21"/>
  <c r="G2152" i="21"/>
  <c r="I2152" i="21" s="1"/>
  <c r="AB2151" i="21"/>
  <c r="V2151" i="21"/>
  <c r="W2151" i="21" s="1"/>
  <c r="L2151" i="21"/>
  <c r="K2151" i="21"/>
  <c r="H2151" i="21"/>
  <c r="M2151" i="21" s="1"/>
  <c r="G2151" i="21"/>
  <c r="I2151" i="21" s="1"/>
  <c r="AB2150" i="21"/>
  <c r="V2150" i="21"/>
  <c r="W2150" i="21" s="1"/>
  <c r="L2150" i="21"/>
  <c r="K2150" i="21"/>
  <c r="H2150" i="21"/>
  <c r="M2150" i="21" s="1"/>
  <c r="G2150" i="21"/>
  <c r="I2150" i="21" s="1"/>
  <c r="AB2149" i="21"/>
  <c r="V2149" i="21"/>
  <c r="W2149" i="21" s="1"/>
  <c r="L2149" i="21"/>
  <c r="K2149" i="21"/>
  <c r="H2149" i="21"/>
  <c r="M2149" i="21" s="1"/>
  <c r="G2149" i="21"/>
  <c r="I2149" i="21" s="1"/>
  <c r="AB2148" i="21"/>
  <c r="V2148" i="21"/>
  <c r="W2148" i="21" s="1"/>
  <c r="L2148" i="21"/>
  <c r="K2148" i="21"/>
  <c r="H2148" i="21"/>
  <c r="G2148" i="21"/>
  <c r="I2148" i="21" s="1"/>
  <c r="AB2147" i="21"/>
  <c r="V2147" i="21"/>
  <c r="W2147" i="21" s="1"/>
  <c r="L2147" i="21"/>
  <c r="K2147" i="21"/>
  <c r="H2147" i="21"/>
  <c r="M2147" i="21" s="1"/>
  <c r="G2147" i="21"/>
  <c r="I2147" i="21" s="1"/>
  <c r="AB2146" i="21"/>
  <c r="V2146" i="21"/>
  <c r="W2146" i="21" s="1"/>
  <c r="L2146" i="21"/>
  <c r="K2146" i="21"/>
  <c r="H2146" i="21"/>
  <c r="M2146" i="21" s="1"/>
  <c r="G2146" i="21"/>
  <c r="I2146" i="21" s="1"/>
  <c r="AB2145" i="21"/>
  <c r="V2145" i="21"/>
  <c r="W2145" i="21" s="1"/>
  <c r="L2145" i="21"/>
  <c r="K2145" i="21"/>
  <c r="H2145" i="21"/>
  <c r="M2145" i="21" s="1"/>
  <c r="G2145" i="21"/>
  <c r="I2145" i="21" s="1"/>
  <c r="AB2144" i="21"/>
  <c r="V2144" i="21"/>
  <c r="W2144" i="21" s="1"/>
  <c r="L2144" i="21"/>
  <c r="K2144" i="21"/>
  <c r="H2144" i="21"/>
  <c r="M2144" i="21" s="1"/>
  <c r="G2144" i="21"/>
  <c r="I2144" i="21" s="1"/>
  <c r="AB2143" i="21"/>
  <c r="V2143" i="21"/>
  <c r="W2143" i="21" s="1"/>
  <c r="L2143" i="21"/>
  <c r="K2143" i="21"/>
  <c r="H2143" i="21"/>
  <c r="M2143" i="21" s="1"/>
  <c r="G2143" i="21"/>
  <c r="I2143" i="21" s="1"/>
  <c r="AB2142" i="21"/>
  <c r="V2142" i="21"/>
  <c r="W2142" i="21" s="1"/>
  <c r="L2142" i="21"/>
  <c r="K2142" i="21"/>
  <c r="H2142" i="21"/>
  <c r="M2142" i="21" s="1"/>
  <c r="G2142" i="21"/>
  <c r="I2142" i="21" s="1"/>
  <c r="AB2141" i="21"/>
  <c r="V2141" i="21"/>
  <c r="W2141" i="21" s="1"/>
  <c r="L2141" i="21"/>
  <c r="K2141" i="21"/>
  <c r="H2141" i="21"/>
  <c r="M2141" i="21" s="1"/>
  <c r="G2141" i="21"/>
  <c r="I2141" i="21" s="1"/>
  <c r="AB2140" i="21"/>
  <c r="V2140" i="21"/>
  <c r="W2140" i="21" s="1"/>
  <c r="L2140" i="21"/>
  <c r="K2140" i="21"/>
  <c r="H2140" i="21"/>
  <c r="G2140" i="21"/>
  <c r="I2140" i="21" s="1"/>
  <c r="AB2139" i="21"/>
  <c r="V2139" i="21"/>
  <c r="W2139" i="21" s="1"/>
  <c r="L2139" i="21"/>
  <c r="K2139" i="21"/>
  <c r="H2139" i="21"/>
  <c r="M2139" i="21" s="1"/>
  <c r="G2139" i="21"/>
  <c r="I2139" i="21" s="1"/>
  <c r="AB2138" i="21"/>
  <c r="V2138" i="21"/>
  <c r="W2138" i="21" s="1"/>
  <c r="L2138" i="21"/>
  <c r="K2138" i="21"/>
  <c r="H2138" i="21"/>
  <c r="M2138" i="21" s="1"/>
  <c r="G2138" i="21"/>
  <c r="I2138" i="21" s="1"/>
  <c r="AB2137" i="21"/>
  <c r="V2137" i="21"/>
  <c r="W2137" i="21" s="1"/>
  <c r="L2137" i="21"/>
  <c r="K2137" i="21"/>
  <c r="H2137" i="21"/>
  <c r="M2137" i="21" s="1"/>
  <c r="G2137" i="21"/>
  <c r="I2137" i="21" s="1"/>
  <c r="AB2136" i="21"/>
  <c r="V2136" i="21"/>
  <c r="W2136" i="21" s="1"/>
  <c r="L2136" i="21"/>
  <c r="K2136" i="21"/>
  <c r="H2136" i="21"/>
  <c r="M2136" i="21" s="1"/>
  <c r="G2136" i="21"/>
  <c r="I2136" i="21" s="1"/>
  <c r="AB2135" i="21"/>
  <c r="V2135" i="21"/>
  <c r="W2135" i="21" s="1"/>
  <c r="L2135" i="21"/>
  <c r="K2135" i="21"/>
  <c r="H2135" i="21"/>
  <c r="M2135" i="21" s="1"/>
  <c r="G2135" i="21"/>
  <c r="I2135" i="21" s="1"/>
  <c r="AB2134" i="21"/>
  <c r="V2134" i="21"/>
  <c r="W2134" i="21" s="1"/>
  <c r="L2134" i="21"/>
  <c r="K2134" i="21"/>
  <c r="H2134" i="21"/>
  <c r="M2134" i="21" s="1"/>
  <c r="G2134" i="21"/>
  <c r="I2134" i="21" s="1"/>
  <c r="AB2133" i="21"/>
  <c r="V2133" i="21"/>
  <c r="W2133" i="21" s="1"/>
  <c r="L2133" i="21"/>
  <c r="K2133" i="21"/>
  <c r="H2133" i="21"/>
  <c r="M2133" i="21" s="1"/>
  <c r="G2133" i="21"/>
  <c r="I2133" i="21" s="1"/>
  <c r="AB2132" i="21"/>
  <c r="V2132" i="21"/>
  <c r="W2132" i="21" s="1"/>
  <c r="L2132" i="21"/>
  <c r="K2132" i="21"/>
  <c r="H2132" i="21"/>
  <c r="G2132" i="21"/>
  <c r="I2132" i="21" s="1"/>
  <c r="AB2131" i="21"/>
  <c r="V2131" i="21"/>
  <c r="W2131" i="21" s="1"/>
  <c r="L2131" i="21"/>
  <c r="K2131" i="21"/>
  <c r="H2131" i="21"/>
  <c r="M2131" i="21" s="1"/>
  <c r="G2131" i="21"/>
  <c r="I2131" i="21" s="1"/>
  <c r="AB2130" i="21"/>
  <c r="V2130" i="21"/>
  <c r="W2130" i="21" s="1"/>
  <c r="L2130" i="21"/>
  <c r="K2130" i="21"/>
  <c r="H2130" i="21"/>
  <c r="M2130" i="21" s="1"/>
  <c r="G2130" i="21"/>
  <c r="I2130" i="21" s="1"/>
  <c r="AB2129" i="21"/>
  <c r="V2129" i="21"/>
  <c r="W2129" i="21" s="1"/>
  <c r="L2129" i="21"/>
  <c r="K2129" i="21"/>
  <c r="H2129" i="21"/>
  <c r="M2129" i="21" s="1"/>
  <c r="G2129" i="21"/>
  <c r="I2129" i="21" s="1"/>
  <c r="AB2128" i="21"/>
  <c r="V2128" i="21"/>
  <c r="W2128" i="21" s="1"/>
  <c r="L2128" i="21"/>
  <c r="K2128" i="21"/>
  <c r="H2128" i="21"/>
  <c r="M2128" i="21" s="1"/>
  <c r="G2128" i="21"/>
  <c r="I2128" i="21" s="1"/>
  <c r="AB2127" i="21"/>
  <c r="V2127" i="21"/>
  <c r="W2127" i="21" s="1"/>
  <c r="L2127" i="21"/>
  <c r="K2127" i="21"/>
  <c r="H2127" i="21"/>
  <c r="M2127" i="21" s="1"/>
  <c r="G2127" i="21"/>
  <c r="I2127" i="21" s="1"/>
  <c r="AB2126" i="21"/>
  <c r="V2126" i="21"/>
  <c r="W2126" i="21" s="1"/>
  <c r="L2126" i="21"/>
  <c r="K2126" i="21"/>
  <c r="H2126" i="21"/>
  <c r="M2126" i="21" s="1"/>
  <c r="G2126" i="21"/>
  <c r="I2126" i="21" s="1"/>
  <c r="AB2125" i="21"/>
  <c r="V2125" i="21"/>
  <c r="W2125" i="21" s="1"/>
  <c r="L2125" i="21"/>
  <c r="K2125" i="21"/>
  <c r="H2125" i="21"/>
  <c r="M2125" i="21" s="1"/>
  <c r="G2125" i="21"/>
  <c r="I2125" i="21" s="1"/>
  <c r="AB2124" i="21"/>
  <c r="V2124" i="21"/>
  <c r="W2124" i="21" s="1"/>
  <c r="L2124" i="21"/>
  <c r="K2124" i="21"/>
  <c r="H2124" i="21"/>
  <c r="G2124" i="21"/>
  <c r="I2124" i="21" s="1"/>
  <c r="AB2123" i="21"/>
  <c r="V2123" i="21"/>
  <c r="W2123" i="21" s="1"/>
  <c r="L2123" i="21"/>
  <c r="K2123" i="21"/>
  <c r="H2123" i="21"/>
  <c r="M2123" i="21" s="1"/>
  <c r="G2123" i="21"/>
  <c r="I2123" i="21" s="1"/>
  <c r="AB2122" i="21"/>
  <c r="V2122" i="21"/>
  <c r="W2122" i="21" s="1"/>
  <c r="L2122" i="21"/>
  <c r="K2122" i="21"/>
  <c r="H2122" i="21"/>
  <c r="M2122" i="21" s="1"/>
  <c r="G2122" i="21"/>
  <c r="I2122" i="21" s="1"/>
  <c r="AB2121" i="21"/>
  <c r="V2121" i="21"/>
  <c r="W2121" i="21" s="1"/>
  <c r="L2121" i="21"/>
  <c r="K2121" i="21"/>
  <c r="H2121" i="21"/>
  <c r="M2121" i="21" s="1"/>
  <c r="G2121" i="21"/>
  <c r="I2121" i="21" s="1"/>
  <c r="AB2120" i="21"/>
  <c r="V2120" i="21"/>
  <c r="W2120" i="21" s="1"/>
  <c r="L2120" i="21"/>
  <c r="K2120" i="21"/>
  <c r="H2120" i="21"/>
  <c r="M2120" i="21" s="1"/>
  <c r="G2120" i="21"/>
  <c r="I2120" i="21" s="1"/>
  <c r="AB2119" i="21"/>
  <c r="V2119" i="21"/>
  <c r="W2119" i="21" s="1"/>
  <c r="L2119" i="21"/>
  <c r="K2119" i="21"/>
  <c r="H2119" i="21"/>
  <c r="M2119" i="21" s="1"/>
  <c r="G2119" i="21"/>
  <c r="I2119" i="21" s="1"/>
  <c r="AB2118" i="21"/>
  <c r="V2118" i="21"/>
  <c r="W2118" i="21" s="1"/>
  <c r="L2118" i="21"/>
  <c r="K2118" i="21"/>
  <c r="H2118" i="21"/>
  <c r="M2118" i="21" s="1"/>
  <c r="G2118" i="21"/>
  <c r="I2118" i="21" s="1"/>
  <c r="AB2117" i="21"/>
  <c r="V2117" i="21"/>
  <c r="W2117" i="21" s="1"/>
  <c r="L2117" i="21"/>
  <c r="K2117" i="21"/>
  <c r="H2117" i="21"/>
  <c r="M2117" i="21" s="1"/>
  <c r="G2117" i="21"/>
  <c r="I2117" i="21" s="1"/>
  <c r="AB2116" i="21"/>
  <c r="V2116" i="21"/>
  <c r="W2116" i="21" s="1"/>
  <c r="L2116" i="21"/>
  <c r="K2116" i="21"/>
  <c r="H2116" i="21"/>
  <c r="G2116" i="21"/>
  <c r="I2116" i="21" s="1"/>
  <c r="AB2115" i="21"/>
  <c r="V2115" i="21"/>
  <c r="W2115" i="21" s="1"/>
  <c r="L2115" i="21"/>
  <c r="K2115" i="21"/>
  <c r="H2115" i="21"/>
  <c r="M2115" i="21" s="1"/>
  <c r="G2115" i="21"/>
  <c r="I2115" i="21" s="1"/>
  <c r="AB2114" i="21"/>
  <c r="V2114" i="21"/>
  <c r="W2114" i="21" s="1"/>
  <c r="L2114" i="21"/>
  <c r="K2114" i="21"/>
  <c r="H2114" i="21"/>
  <c r="M2114" i="21" s="1"/>
  <c r="G2114" i="21"/>
  <c r="I2114" i="21" s="1"/>
  <c r="AB2113" i="21"/>
  <c r="V2113" i="21"/>
  <c r="W2113" i="21" s="1"/>
  <c r="L2113" i="21"/>
  <c r="K2113" i="21"/>
  <c r="H2113" i="21"/>
  <c r="M2113" i="21" s="1"/>
  <c r="G2113" i="21"/>
  <c r="I2113" i="21" s="1"/>
  <c r="AB2112" i="21"/>
  <c r="V2112" i="21"/>
  <c r="W2112" i="21" s="1"/>
  <c r="L2112" i="21"/>
  <c r="K2112" i="21"/>
  <c r="H2112" i="21"/>
  <c r="M2112" i="21" s="1"/>
  <c r="G2112" i="21"/>
  <c r="I2112" i="21" s="1"/>
  <c r="AB2111" i="21"/>
  <c r="V2111" i="21"/>
  <c r="W2111" i="21" s="1"/>
  <c r="L2111" i="21"/>
  <c r="K2111" i="21"/>
  <c r="H2111" i="21"/>
  <c r="M2111" i="21" s="1"/>
  <c r="G2111" i="21"/>
  <c r="I2111" i="21" s="1"/>
  <c r="AB2110" i="21"/>
  <c r="V2110" i="21"/>
  <c r="W2110" i="21" s="1"/>
  <c r="L2110" i="21"/>
  <c r="K2110" i="21"/>
  <c r="H2110" i="21"/>
  <c r="M2110" i="21" s="1"/>
  <c r="G2110" i="21"/>
  <c r="I2110" i="21" s="1"/>
  <c r="AB2109" i="21"/>
  <c r="V2109" i="21"/>
  <c r="W2109" i="21" s="1"/>
  <c r="L2109" i="21"/>
  <c r="K2109" i="21"/>
  <c r="H2109" i="21"/>
  <c r="M2109" i="21" s="1"/>
  <c r="G2109" i="21"/>
  <c r="I2109" i="21" s="1"/>
  <c r="AB2108" i="21"/>
  <c r="V2108" i="21"/>
  <c r="W2108" i="21" s="1"/>
  <c r="L2108" i="21"/>
  <c r="K2108" i="21"/>
  <c r="H2108" i="21"/>
  <c r="G2108" i="21"/>
  <c r="I2108" i="21" s="1"/>
  <c r="AB2107" i="21"/>
  <c r="V2107" i="21"/>
  <c r="W2107" i="21" s="1"/>
  <c r="L2107" i="21"/>
  <c r="K2107" i="21"/>
  <c r="H2107" i="21"/>
  <c r="M2107" i="21" s="1"/>
  <c r="G2107" i="21"/>
  <c r="I2107" i="21" s="1"/>
  <c r="AB2106" i="21"/>
  <c r="V2106" i="21"/>
  <c r="W2106" i="21" s="1"/>
  <c r="L2106" i="21"/>
  <c r="K2106" i="21"/>
  <c r="H2106" i="21"/>
  <c r="M2106" i="21" s="1"/>
  <c r="G2106" i="21"/>
  <c r="I2106" i="21" s="1"/>
  <c r="AB2105" i="21"/>
  <c r="V2105" i="21"/>
  <c r="W2105" i="21" s="1"/>
  <c r="L2105" i="21"/>
  <c r="K2105" i="21"/>
  <c r="H2105" i="21"/>
  <c r="M2105" i="21" s="1"/>
  <c r="G2105" i="21"/>
  <c r="I2105" i="21" s="1"/>
  <c r="AB2104" i="21"/>
  <c r="V2104" i="21"/>
  <c r="W2104" i="21" s="1"/>
  <c r="L2104" i="21"/>
  <c r="K2104" i="21"/>
  <c r="H2104" i="21"/>
  <c r="M2104" i="21" s="1"/>
  <c r="G2104" i="21"/>
  <c r="I2104" i="21" s="1"/>
  <c r="AB2103" i="21"/>
  <c r="V2103" i="21"/>
  <c r="W2103" i="21" s="1"/>
  <c r="L2103" i="21"/>
  <c r="K2103" i="21"/>
  <c r="H2103" i="21"/>
  <c r="M2103" i="21" s="1"/>
  <c r="G2103" i="21"/>
  <c r="I2103" i="21" s="1"/>
  <c r="AB2102" i="21"/>
  <c r="V2102" i="21"/>
  <c r="W2102" i="21" s="1"/>
  <c r="L2102" i="21"/>
  <c r="K2102" i="21"/>
  <c r="H2102" i="21"/>
  <c r="M2102" i="21" s="1"/>
  <c r="G2102" i="21"/>
  <c r="I2102" i="21" s="1"/>
  <c r="AB2101" i="21"/>
  <c r="V2101" i="21"/>
  <c r="W2101" i="21" s="1"/>
  <c r="L2101" i="21"/>
  <c r="K2101" i="21"/>
  <c r="H2101" i="21"/>
  <c r="M2101" i="21" s="1"/>
  <c r="G2101" i="21"/>
  <c r="I2101" i="21" s="1"/>
  <c r="AB2100" i="21"/>
  <c r="V2100" i="21"/>
  <c r="W2100" i="21" s="1"/>
  <c r="L2100" i="21"/>
  <c r="K2100" i="21"/>
  <c r="H2100" i="21"/>
  <c r="G2100" i="21"/>
  <c r="I2100" i="21" s="1"/>
  <c r="AB2099" i="21"/>
  <c r="V2099" i="21"/>
  <c r="W2099" i="21" s="1"/>
  <c r="L2099" i="21"/>
  <c r="K2099" i="21"/>
  <c r="H2099" i="21"/>
  <c r="M2099" i="21" s="1"/>
  <c r="G2099" i="21"/>
  <c r="I2099" i="21" s="1"/>
  <c r="AB2098" i="21"/>
  <c r="V2098" i="21"/>
  <c r="W2098" i="21" s="1"/>
  <c r="L2098" i="21"/>
  <c r="K2098" i="21"/>
  <c r="H2098" i="21"/>
  <c r="M2098" i="21" s="1"/>
  <c r="G2098" i="21"/>
  <c r="I2098" i="21" s="1"/>
  <c r="AB2097" i="21"/>
  <c r="V2097" i="21"/>
  <c r="W2097" i="21" s="1"/>
  <c r="L2097" i="21"/>
  <c r="K2097" i="21"/>
  <c r="H2097" i="21"/>
  <c r="M2097" i="21" s="1"/>
  <c r="G2097" i="21"/>
  <c r="I2097" i="21" s="1"/>
  <c r="AB2096" i="21"/>
  <c r="V2096" i="21"/>
  <c r="W2096" i="21" s="1"/>
  <c r="L2096" i="21"/>
  <c r="K2096" i="21"/>
  <c r="H2096" i="21"/>
  <c r="M2096" i="21" s="1"/>
  <c r="G2096" i="21"/>
  <c r="I2096" i="21" s="1"/>
  <c r="AB2095" i="21"/>
  <c r="V2095" i="21"/>
  <c r="W2095" i="21" s="1"/>
  <c r="L2095" i="21"/>
  <c r="K2095" i="21"/>
  <c r="H2095" i="21"/>
  <c r="M2095" i="21" s="1"/>
  <c r="G2095" i="21"/>
  <c r="I2095" i="21" s="1"/>
  <c r="AB2094" i="21"/>
  <c r="V2094" i="21"/>
  <c r="W2094" i="21" s="1"/>
  <c r="L2094" i="21"/>
  <c r="K2094" i="21"/>
  <c r="H2094" i="21"/>
  <c r="M2094" i="21" s="1"/>
  <c r="G2094" i="21"/>
  <c r="I2094" i="21" s="1"/>
  <c r="AB2093" i="21"/>
  <c r="V2093" i="21"/>
  <c r="W2093" i="21" s="1"/>
  <c r="L2093" i="21"/>
  <c r="K2093" i="21"/>
  <c r="H2093" i="21"/>
  <c r="M2093" i="21" s="1"/>
  <c r="G2093" i="21"/>
  <c r="I2093" i="21" s="1"/>
  <c r="AB2092" i="21"/>
  <c r="V2092" i="21"/>
  <c r="W2092" i="21" s="1"/>
  <c r="L2092" i="21"/>
  <c r="K2092" i="21"/>
  <c r="H2092" i="21"/>
  <c r="G2092" i="21"/>
  <c r="I2092" i="21" s="1"/>
  <c r="AB2091" i="21"/>
  <c r="V2091" i="21"/>
  <c r="W2091" i="21" s="1"/>
  <c r="L2091" i="21"/>
  <c r="K2091" i="21"/>
  <c r="H2091" i="21"/>
  <c r="M2091" i="21" s="1"/>
  <c r="G2091" i="21"/>
  <c r="I2091" i="21" s="1"/>
  <c r="AB2090" i="21"/>
  <c r="V2090" i="21"/>
  <c r="W2090" i="21" s="1"/>
  <c r="L2090" i="21"/>
  <c r="K2090" i="21"/>
  <c r="H2090" i="21"/>
  <c r="M2090" i="21" s="1"/>
  <c r="G2090" i="21"/>
  <c r="I2090" i="21" s="1"/>
  <c r="AB2089" i="21"/>
  <c r="V2089" i="21"/>
  <c r="W2089" i="21" s="1"/>
  <c r="L2089" i="21"/>
  <c r="K2089" i="21"/>
  <c r="H2089" i="21"/>
  <c r="M2089" i="21" s="1"/>
  <c r="G2089" i="21"/>
  <c r="I2089" i="21" s="1"/>
  <c r="AB2088" i="21"/>
  <c r="V2088" i="21"/>
  <c r="W2088" i="21" s="1"/>
  <c r="L2088" i="21"/>
  <c r="K2088" i="21"/>
  <c r="H2088" i="21"/>
  <c r="M2088" i="21" s="1"/>
  <c r="G2088" i="21"/>
  <c r="I2088" i="21" s="1"/>
  <c r="AB2087" i="21"/>
  <c r="V2087" i="21"/>
  <c r="W2087" i="21" s="1"/>
  <c r="L2087" i="21"/>
  <c r="K2087" i="21"/>
  <c r="H2087" i="21"/>
  <c r="M2087" i="21" s="1"/>
  <c r="G2087" i="21"/>
  <c r="I2087" i="21" s="1"/>
  <c r="AB2086" i="21"/>
  <c r="V2086" i="21"/>
  <c r="W2086" i="21" s="1"/>
  <c r="L2086" i="21"/>
  <c r="K2086" i="21"/>
  <c r="H2086" i="21"/>
  <c r="M2086" i="21" s="1"/>
  <c r="G2086" i="21"/>
  <c r="I2086" i="21" s="1"/>
  <c r="AB2085" i="21"/>
  <c r="V2085" i="21"/>
  <c r="W2085" i="21" s="1"/>
  <c r="L2085" i="21"/>
  <c r="K2085" i="21"/>
  <c r="H2085" i="21"/>
  <c r="M2085" i="21" s="1"/>
  <c r="G2085" i="21"/>
  <c r="I2085" i="21" s="1"/>
  <c r="AB2084" i="21"/>
  <c r="V2084" i="21"/>
  <c r="W2084" i="21" s="1"/>
  <c r="L2084" i="21"/>
  <c r="K2084" i="21"/>
  <c r="H2084" i="21"/>
  <c r="G2084" i="21"/>
  <c r="I2084" i="21" s="1"/>
  <c r="AB2083" i="21"/>
  <c r="V2083" i="21"/>
  <c r="W2083" i="21" s="1"/>
  <c r="L2083" i="21"/>
  <c r="K2083" i="21"/>
  <c r="H2083" i="21"/>
  <c r="M2083" i="21" s="1"/>
  <c r="G2083" i="21"/>
  <c r="I2083" i="21" s="1"/>
  <c r="AB2082" i="21"/>
  <c r="V2082" i="21"/>
  <c r="W2082" i="21" s="1"/>
  <c r="L2082" i="21"/>
  <c r="K2082" i="21"/>
  <c r="H2082" i="21"/>
  <c r="M2082" i="21" s="1"/>
  <c r="G2082" i="21"/>
  <c r="I2082" i="21" s="1"/>
  <c r="AB2081" i="21"/>
  <c r="V2081" i="21"/>
  <c r="W2081" i="21" s="1"/>
  <c r="L2081" i="21"/>
  <c r="K2081" i="21"/>
  <c r="H2081" i="21"/>
  <c r="M2081" i="21" s="1"/>
  <c r="G2081" i="21"/>
  <c r="I2081" i="21" s="1"/>
  <c r="AB2080" i="21"/>
  <c r="V2080" i="21"/>
  <c r="W2080" i="21" s="1"/>
  <c r="L2080" i="21"/>
  <c r="K2080" i="21"/>
  <c r="H2080" i="21"/>
  <c r="M2080" i="21" s="1"/>
  <c r="G2080" i="21"/>
  <c r="I2080" i="21" s="1"/>
  <c r="AB2079" i="21"/>
  <c r="V2079" i="21"/>
  <c r="W2079" i="21" s="1"/>
  <c r="L2079" i="21"/>
  <c r="K2079" i="21"/>
  <c r="H2079" i="21"/>
  <c r="M2079" i="21" s="1"/>
  <c r="G2079" i="21"/>
  <c r="I2079" i="21" s="1"/>
  <c r="AB2078" i="21"/>
  <c r="V2078" i="21"/>
  <c r="W2078" i="21" s="1"/>
  <c r="L2078" i="21"/>
  <c r="K2078" i="21"/>
  <c r="H2078" i="21"/>
  <c r="M2078" i="21" s="1"/>
  <c r="G2078" i="21"/>
  <c r="I2078" i="21" s="1"/>
  <c r="AB2077" i="21"/>
  <c r="V2077" i="21"/>
  <c r="W2077" i="21" s="1"/>
  <c r="L2077" i="21"/>
  <c r="K2077" i="21"/>
  <c r="H2077" i="21"/>
  <c r="M2077" i="21" s="1"/>
  <c r="G2077" i="21"/>
  <c r="I2077" i="21" s="1"/>
  <c r="AB2076" i="21"/>
  <c r="V2076" i="21"/>
  <c r="W2076" i="21" s="1"/>
  <c r="L2076" i="21"/>
  <c r="K2076" i="21"/>
  <c r="H2076" i="21"/>
  <c r="M2076" i="21" s="1"/>
  <c r="G2076" i="21"/>
  <c r="I2076" i="21" s="1"/>
  <c r="AB2075" i="21"/>
  <c r="V2075" i="21"/>
  <c r="W2075" i="21" s="1"/>
  <c r="L2075" i="21"/>
  <c r="K2075" i="21"/>
  <c r="H2075" i="21"/>
  <c r="M2075" i="21" s="1"/>
  <c r="G2075" i="21"/>
  <c r="I2075" i="21" s="1"/>
  <c r="AB2074" i="21"/>
  <c r="V2074" i="21"/>
  <c r="W2074" i="21" s="1"/>
  <c r="L2074" i="21"/>
  <c r="K2074" i="21"/>
  <c r="H2074" i="21"/>
  <c r="M2074" i="21" s="1"/>
  <c r="G2074" i="21"/>
  <c r="I2074" i="21" s="1"/>
  <c r="AB2073" i="21"/>
  <c r="V2073" i="21"/>
  <c r="W2073" i="21" s="1"/>
  <c r="L2073" i="21"/>
  <c r="K2073" i="21"/>
  <c r="H2073" i="21"/>
  <c r="M2073" i="21" s="1"/>
  <c r="G2073" i="21"/>
  <c r="I2073" i="21" s="1"/>
  <c r="AB2072" i="21"/>
  <c r="V2072" i="21"/>
  <c r="W2072" i="21" s="1"/>
  <c r="L2072" i="21"/>
  <c r="K2072" i="21"/>
  <c r="H2072" i="21"/>
  <c r="M2072" i="21" s="1"/>
  <c r="G2072" i="21"/>
  <c r="I2072" i="21" s="1"/>
  <c r="AB2071" i="21"/>
  <c r="V2071" i="21"/>
  <c r="W2071" i="21" s="1"/>
  <c r="L2071" i="21"/>
  <c r="K2071" i="21"/>
  <c r="H2071" i="21"/>
  <c r="M2071" i="21" s="1"/>
  <c r="G2071" i="21"/>
  <c r="I2071" i="21" s="1"/>
  <c r="AB2070" i="21"/>
  <c r="V2070" i="21"/>
  <c r="W2070" i="21" s="1"/>
  <c r="L2070" i="21"/>
  <c r="K2070" i="21"/>
  <c r="H2070" i="21"/>
  <c r="M2070" i="21" s="1"/>
  <c r="G2070" i="21"/>
  <c r="I2070" i="21" s="1"/>
  <c r="AB2069" i="21"/>
  <c r="V2069" i="21"/>
  <c r="W2069" i="21" s="1"/>
  <c r="L2069" i="21"/>
  <c r="K2069" i="21"/>
  <c r="H2069" i="21"/>
  <c r="M2069" i="21" s="1"/>
  <c r="G2069" i="21"/>
  <c r="I2069" i="21" s="1"/>
  <c r="AB2068" i="21"/>
  <c r="V2068" i="21"/>
  <c r="W2068" i="21" s="1"/>
  <c r="L2068" i="21"/>
  <c r="K2068" i="21"/>
  <c r="H2068" i="21"/>
  <c r="M2068" i="21" s="1"/>
  <c r="G2068" i="21"/>
  <c r="I2068" i="21" s="1"/>
  <c r="AB2067" i="21"/>
  <c r="V2067" i="21"/>
  <c r="W2067" i="21" s="1"/>
  <c r="L2067" i="21"/>
  <c r="K2067" i="21"/>
  <c r="H2067" i="21"/>
  <c r="M2067" i="21" s="1"/>
  <c r="G2067" i="21"/>
  <c r="I2067" i="21" s="1"/>
  <c r="AB2066" i="21"/>
  <c r="V2066" i="21"/>
  <c r="W2066" i="21" s="1"/>
  <c r="L2066" i="21"/>
  <c r="K2066" i="21"/>
  <c r="H2066" i="21"/>
  <c r="M2066" i="21" s="1"/>
  <c r="G2066" i="21"/>
  <c r="I2066" i="21" s="1"/>
  <c r="AB2065" i="21"/>
  <c r="V2065" i="21"/>
  <c r="W2065" i="21" s="1"/>
  <c r="L2065" i="21"/>
  <c r="K2065" i="21"/>
  <c r="H2065" i="21"/>
  <c r="M2065" i="21" s="1"/>
  <c r="G2065" i="21"/>
  <c r="I2065" i="21" s="1"/>
  <c r="AB2064" i="21"/>
  <c r="V2064" i="21"/>
  <c r="W2064" i="21" s="1"/>
  <c r="L2064" i="21"/>
  <c r="K2064" i="21"/>
  <c r="H2064" i="21"/>
  <c r="M2064" i="21" s="1"/>
  <c r="G2064" i="21"/>
  <c r="I2064" i="21" s="1"/>
  <c r="AB2063" i="21"/>
  <c r="V2063" i="21"/>
  <c r="W2063" i="21" s="1"/>
  <c r="L2063" i="21"/>
  <c r="K2063" i="21"/>
  <c r="H2063" i="21"/>
  <c r="M2063" i="21" s="1"/>
  <c r="G2063" i="21"/>
  <c r="I2063" i="21" s="1"/>
  <c r="AB2062" i="21"/>
  <c r="V2062" i="21"/>
  <c r="W2062" i="21" s="1"/>
  <c r="L2062" i="21"/>
  <c r="K2062" i="21"/>
  <c r="H2062" i="21"/>
  <c r="M2062" i="21" s="1"/>
  <c r="G2062" i="21"/>
  <c r="I2062" i="21" s="1"/>
  <c r="AB2061" i="21"/>
  <c r="V2061" i="21"/>
  <c r="W2061" i="21" s="1"/>
  <c r="L2061" i="21"/>
  <c r="K2061" i="21"/>
  <c r="H2061" i="21"/>
  <c r="M2061" i="21" s="1"/>
  <c r="G2061" i="21"/>
  <c r="I2061" i="21" s="1"/>
  <c r="AB2060" i="21"/>
  <c r="V2060" i="21"/>
  <c r="W2060" i="21" s="1"/>
  <c r="L2060" i="21"/>
  <c r="K2060" i="21"/>
  <c r="H2060" i="21"/>
  <c r="M2060" i="21" s="1"/>
  <c r="G2060" i="21"/>
  <c r="I2060" i="21" s="1"/>
  <c r="AB2059" i="21"/>
  <c r="V2059" i="21"/>
  <c r="W2059" i="21" s="1"/>
  <c r="L2059" i="21"/>
  <c r="K2059" i="21"/>
  <c r="H2059" i="21"/>
  <c r="M2059" i="21" s="1"/>
  <c r="G2059" i="21"/>
  <c r="I2059" i="21" s="1"/>
  <c r="AB2058" i="21"/>
  <c r="V2058" i="21"/>
  <c r="W2058" i="21" s="1"/>
  <c r="L2058" i="21"/>
  <c r="K2058" i="21"/>
  <c r="H2058" i="21"/>
  <c r="M2058" i="21" s="1"/>
  <c r="G2058" i="21"/>
  <c r="I2058" i="21" s="1"/>
  <c r="AB2057" i="21"/>
  <c r="V2057" i="21"/>
  <c r="W2057" i="21" s="1"/>
  <c r="L2057" i="21"/>
  <c r="K2057" i="21"/>
  <c r="H2057" i="21"/>
  <c r="M2057" i="21" s="1"/>
  <c r="G2057" i="21"/>
  <c r="I2057" i="21" s="1"/>
  <c r="AB2056" i="21"/>
  <c r="V2056" i="21"/>
  <c r="W2056" i="21" s="1"/>
  <c r="L2056" i="21"/>
  <c r="K2056" i="21"/>
  <c r="H2056" i="21"/>
  <c r="M2056" i="21" s="1"/>
  <c r="G2056" i="21"/>
  <c r="I2056" i="21" s="1"/>
  <c r="AB2055" i="21"/>
  <c r="V2055" i="21"/>
  <c r="W2055" i="21" s="1"/>
  <c r="L2055" i="21"/>
  <c r="K2055" i="21"/>
  <c r="H2055" i="21"/>
  <c r="M2055" i="21" s="1"/>
  <c r="G2055" i="21"/>
  <c r="I2055" i="21" s="1"/>
  <c r="AB2054" i="21"/>
  <c r="V2054" i="21"/>
  <c r="W2054" i="21" s="1"/>
  <c r="L2054" i="21"/>
  <c r="K2054" i="21"/>
  <c r="H2054" i="21"/>
  <c r="G2054" i="21"/>
  <c r="I2054" i="21" s="1"/>
  <c r="AB2053" i="21"/>
  <c r="V2053" i="21"/>
  <c r="W2053" i="21" s="1"/>
  <c r="L2053" i="21"/>
  <c r="K2053" i="21"/>
  <c r="H2053" i="21"/>
  <c r="M2053" i="21" s="1"/>
  <c r="G2053" i="21"/>
  <c r="I2053" i="21" s="1"/>
  <c r="AB2052" i="21"/>
  <c r="V2052" i="21"/>
  <c r="W2052" i="21" s="1"/>
  <c r="L2052" i="21"/>
  <c r="K2052" i="21"/>
  <c r="H2052" i="21"/>
  <c r="G2052" i="21"/>
  <c r="I2052" i="21" s="1"/>
  <c r="AB2051" i="21"/>
  <c r="V2051" i="21"/>
  <c r="W2051" i="21" s="1"/>
  <c r="L2051" i="21"/>
  <c r="K2051" i="21"/>
  <c r="H2051" i="21"/>
  <c r="M2051" i="21" s="1"/>
  <c r="G2051" i="21"/>
  <c r="I2051" i="21" s="1"/>
  <c r="AB2050" i="21"/>
  <c r="V2050" i="21"/>
  <c r="W2050" i="21" s="1"/>
  <c r="L2050" i="21"/>
  <c r="K2050" i="21"/>
  <c r="H2050" i="21"/>
  <c r="G2050" i="21"/>
  <c r="I2050" i="21" s="1"/>
  <c r="AB2049" i="21"/>
  <c r="V2049" i="21"/>
  <c r="W2049" i="21" s="1"/>
  <c r="L2049" i="21"/>
  <c r="K2049" i="21"/>
  <c r="H2049" i="21"/>
  <c r="M2049" i="21" s="1"/>
  <c r="G2049" i="21"/>
  <c r="I2049" i="21" s="1"/>
  <c r="AB2048" i="21"/>
  <c r="V2048" i="21"/>
  <c r="W2048" i="21" s="1"/>
  <c r="L2048" i="21"/>
  <c r="K2048" i="21"/>
  <c r="H2048" i="21"/>
  <c r="G2048" i="21"/>
  <c r="I2048" i="21" s="1"/>
  <c r="AB2047" i="21"/>
  <c r="V2047" i="21"/>
  <c r="W2047" i="21" s="1"/>
  <c r="L2047" i="21"/>
  <c r="K2047" i="21"/>
  <c r="H2047" i="21"/>
  <c r="M2047" i="21" s="1"/>
  <c r="G2047" i="21"/>
  <c r="I2047" i="21" s="1"/>
  <c r="AB2046" i="21"/>
  <c r="V2046" i="21"/>
  <c r="W2046" i="21" s="1"/>
  <c r="L2046" i="21"/>
  <c r="K2046" i="21"/>
  <c r="H2046" i="21"/>
  <c r="G2046" i="21"/>
  <c r="I2046" i="21" s="1"/>
  <c r="AB2045" i="21"/>
  <c r="V2045" i="21"/>
  <c r="W2045" i="21" s="1"/>
  <c r="L2045" i="21"/>
  <c r="K2045" i="21"/>
  <c r="H2045" i="21"/>
  <c r="M2045" i="21" s="1"/>
  <c r="G2045" i="21"/>
  <c r="I2045" i="21" s="1"/>
  <c r="AB2044" i="21"/>
  <c r="V2044" i="21"/>
  <c r="W2044" i="21" s="1"/>
  <c r="L2044" i="21"/>
  <c r="K2044" i="21"/>
  <c r="H2044" i="21"/>
  <c r="G2044" i="21"/>
  <c r="I2044" i="21" s="1"/>
  <c r="AB2043" i="21"/>
  <c r="V2043" i="21"/>
  <c r="W2043" i="21" s="1"/>
  <c r="L2043" i="21"/>
  <c r="K2043" i="21"/>
  <c r="H2043" i="21"/>
  <c r="M2043" i="21" s="1"/>
  <c r="G2043" i="21"/>
  <c r="I2043" i="21" s="1"/>
  <c r="AB2042" i="21"/>
  <c r="V2042" i="21"/>
  <c r="W2042" i="21" s="1"/>
  <c r="L2042" i="21"/>
  <c r="K2042" i="21"/>
  <c r="H2042" i="21"/>
  <c r="G2042" i="21"/>
  <c r="I2042" i="21" s="1"/>
  <c r="AB2041" i="21"/>
  <c r="V2041" i="21"/>
  <c r="W2041" i="21" s="1"/>
  <c r="L2041" i="21"/>
  <c r="K2041" i="21"/>
  <c r="H2041" i="21"/>
  <c r="M2041" i="21" s="1"/>
  <c r="G2041" i="21"/>
  <c r="I2041" i="21" s="1"/>
  <c r="AB2040" i="21"/>
  <c r="V2040" i="21"/>
  <c r="W2040" i="21" s="1"/>
  <c r="L2040" i="21"/>
  <c r="K2040" i="21"/>
  <c r="H2040" i="21"/>
  <c r="G2040" i="21"/>
  <c r="I2040" i="21" s="1"/>
  <c r="AB2039" i="21"/>
  <c r="V2039" i="21"/>
  <c r="W2039" i="21" s="1"/>
  <c r="L2039" i="21"/>
  <c r="K2039" i="21"/>
  <c r="H2039" i="21"/>
  <c r="M2039" i="21" s="1"/>
  <c r="G2039" i="21"/>
  <c r="I2039" i="21" s="1"/>
  <c r="AB2038" i="21"/>
  <c r="V2038" i="21"/>
  <c r="W2038" i="21" s="1"/>
  <c r="L2038" i="21"/>
  <c r="K2038" i="21"/>
  <c r="H2038" i="21"/>
  <c r="G2038" i="21"/>
  <c r="I2038" i="21" s="1"/>
  <c r="AB2037" i="21"/>
  <c r="V2037" i="21"/>
  <c r="W2037" i="21" s="1"/>
  <c r="L2037" i="21"/>
  <c r="K2037" i="21"/>
  <c r="H2037" i="21"/>
  <c r="M2037" i="21" s="1"/>
  <c r="G2037" i="21"/>
  <c r="I2037" i="21" s="1"/>
  <c r="AB2036" i="21"/>
  <c r="V2036" i="21"/>
  <c r="W2036" i="21" s="1"/>
  <c r="L2036" i="21"/>
  <c r="K2036" i="21"/>
  <c r="H2036" i="21"/>
  <c r="G2036" i="21"/>
  <c r="I2036" i="21" s="1"/>
  <c r="AB2035" i="21"/>
  <c r="V2035" i="21"/>
  <c r="W2035" i="21" s="1"/>
  <c r="L2035" i="21"/>
  <c r="K2035" i="21"/>
  <c r="H2035" i="21"/>
  <c r="M2035" i="21" s="1"/>
  <c r="G2035" i="21"/>
  <c r="I2035" i="21" s="1"/>
  <c r="AB2034" i="21"/>
  <c r="V2034" i="21"/>
  <c r="W2034" i="21" s="1"/>
  <c r="L2034" i="21"/>
  <c r="K2034" i="21"/>
  <c r="H2034" i="21"/>
  <c r="G2034" i="21"/>
  <c r="I2034" i="21" s="1"/>
  <c r="AB2033" i="21"/>
  <c r="V2033" i="21"/>
  <c r="W2033" i="21" s="1"/>
  <c r="L2033" i="21"/>
  <c r="K2033" i="21"/>
  <c r="H2033" i="21"/>
  <c r="M2033" i="21" s="1"/>
  <c r="G2033" i="21"/>
  <c r="I2033" i="21" s="1"/>
  <c r="AB2032" i="21"/>
  <c r="V2032" i="21"/>
  <c r="W2032" i="21" s="1"/>
  <c r="L2032" i="21"/>
  <c r="K2032" i="21"/>
  <c r="H2032" i="21"/>
  <c r="G2032" i="21"/>
  <c r="I2032" i="21" s="1"/>
  <c r="AB2031" i="21"/>
  <c r="V2031" i="21"/>
  <c r="W2031" i="21" s="1"/>
  <c r="L2031" i="21"/>
  <c r="K2031" i="21"/>
  <c r="H2031" i="21"/>
  <c r="M2031" i="21" s="1"/>
  <c r="G2031" i="21"/>
  <c r="I2031" i="21" s="1"/>
  <c r="AB2030" i="21"/>
  <c r="V2030" i="21"/>
  <c r="W2030" i="21" s="1"/>
  <c r="L2030" i="21"/>
  <c r="K2030" i="21"/>
  <c r="H2030" i="21"/>
  <c r="G2030" i="21"/>
  <c r="I2030" i="21" s="1"/>
  <c r="AB2029" i="21"/>
  <c r="V2029" i="21"/>
  <c r="W2029" i="21" s="1"/>
  <c r="L2029" i="21"/>
  <c r="K2029" i="21"/>
  <c r="H2029" i="21"/>
  <c r="M2029" i="21" s="1"/>
  <c r="G2029" i="21"/>
  <c r="I2029" i="21" s="1"/>
  <c r="AB2028" i="21"/>
  <c r="V2028" i="21"/>
  <c r="W2028" i="21" s="1"/>
  <c r="L2028" i="21"/>
  <c r="K2028" i="21"/>
  <c r="H2028" i="21"/>
  <c r="G2028" i="21"/>
  <c r="I2028" i="21" s="1"/>
  <c r="AB2027" i="21"/>
  <c r="V2027" i="21"/>
  <c r="W2027" i="21" s="1"/>
  <c r="L2027" i="21"/>
  <c r="K2027" i="21"/>
  <c r="H2027" i="21"/>
  <c r="M2027" i="21" s="1"/>
  <c r="G2027" i="21"/>
  <c r="I2027" i="21" s="1"/>
  <c r="AB2026" i="21"/>
  <c r="V2026" i="21"/>
  <c r="W2026" i="21" s="1"/>
  <c r="L2026" i="21"/>
  <c r="K2026" i="21"/>
  <c r="H2026" i="21"/>
  <c r="G2026" i="21"/>
  <c r="I2026" i="21" s="1"/>
  <c r="AB2025" i="21"/>
  <c r="V2025" i="21"/>
  <c r="W2025" i="21" s="1"/>
  <c r="L2025" i="21"/>
  <c r="K2025" i="21"/>
  <c r="H2025" i="21"/>
  <c r="M2025" i="21" s="1"/>
  <c r="G2025" i="21"/>
  <c r="I2025" i="21" s="1"/>
  <c r="AB2024" i="21"/>
  <c r="V2024" i="21"/>
  <c r="W2024" i="21" s="1"/>
  <c r="L2024" i="21"/>
  <c r="K2024" i="21"/>
  <c r="H2024" i="21"/>
  <c r="G2024" i="21"/>
  <c r="I2024" i="21" s="1"/>
  <c r="AB2023" i="21"/>
  <c r="V2023" i="21"/>
  <c r="W2023" i="21" s="1"/>
  <c r="L2023" i="21"/>
  <c r="K2023" i="21"/>
  <c r="H2023" i="21"/>
  <c r="M2023" i="21" s="1"/>
  <c r="G2023" i="21"/>
  <c r="I2023" i="21" s="1"/>
  <c r="AB2022" i="21"/>
  <c r="V2022" i="21"/>
  <c r="W2022" i="21" s="1"/>
  <c r="L2022" i="21"/>
  <c r="K2022" i="21"/>
  <c r="H2022" i="21"/>
  <c r="G2022" i="21"/>
  <c r="I2022" i="21" s="1"/>
  <c r="AB2021" i="21"/>
  <c r="V2021" i="21"/>
  <c r="W2021" i="21" s="1"/>
  <c r="L2021" i="21"/>
  <c r="K2021" i="21"/>
  <c r="H2021" i="21"/>
  <c r="M2021" i="21" s="1"/>
  <c r="G2021" i="21"/>
  <c r="I2021" i="21" s="1"/>
  <c r="AB2020" i="21"/>
  <c r="V2020" i="21"/>
  <c r="W2020" i="21" s="1"/>
  <c r="L2020" i="21"/>
  <c r="K2020" i="21"/>
  <c r="H2020" i="21"/>
  <c r="G2020" i="21"/>
  <c r="I2020" i="21" s="1"/>
  <c r="AB2019" i="21"/>
  <c r="V2019" i="21"/>
  <c r="W2019" i="21" s="1"/>
  <c r="L2019" i="21"/>
  <c r="K2019" i="21"/>
  <c r="H2019" i="21"/>
  <c r="M2019" i="21" s="1"/>
  <c r="G2019" i="21"/>
  <c r="I2019" i="21" s="1"/>
  <c r="AB2018" i="21"/>
  <c r="V2018" i="21"/>
  <c r="W2018" i="21" s="1"/>
  <c r="L2018" i="21"/>
  <c r="K2018" i="21"/>
  <c r="H2018" i="21"/>
  <c r="G2018" i="21"/>
  <c r="I2018" i="21" s="1"/>
  <c r="AB2017" i="21"/>
  <c r="V2017" i="21"/>
  <c r="W2017" i="21" s="1"/>
  <c r="L2017" i="21"/>
  <c r="K2017" i="21"/>
  <c r="H2017" i="21"/>
  <c r="M2017" i="21" s="1"/>
  <c r="G2017" i="21"/>
  <c r="I2017" i="21" s="1"/>
  <c r="AB2016" i="21"/>
  <c r="V2016" i="21"/>
  <c r="W2016" i="21" s="1"/>
  <c r="L2016" i="21"/>
  <c r="K2016" i="21"/>
  <c r="H2016" i="21"/>
  <c r="G2016" i="21"/>
  <c r="I2016" i="21" s="1"/>
  <c r="AB2015" i="21"/>
  <c r="V2015" i="21"/>
  <c r="W2015" i="21" s="1"/>
  <c r="L2015" i="21"/>
  <c r="K2015" i="21"/>
  <c r="H2015" i="21"/>
  <c r="M2015" i="21" s="1"/>
  <c r="G2015" i="21"/>
  <c r="I2015" i="21" s="1"/>
  <c r="AB2014" i="21"/>
  <c r="V2014" i="21"/>
  <c r="W2014" i="21" s="1"/>
  <c r="L2014" i="21"/>
  <c r="K2014" i="21"/>
  <c r="H2014" i="21"/>
  <c r="G2014" i="21"/>
  <c r="I2014" i="21" s="1"/>
  <c r="AB2013" i="21"/>
  <c r="V2013" i="21"/>
  <c r="W2013" i="21" s="1"/>
  <c r="L2013" i="21"/>
  <c r="K2013" i="21"/>
  <c r="H2013" i="21"/>
  <c r="M2013" i="21" s="1"/>
  <c r="G2013" i="21"/>
  <c r="I2013" i="21" s="1"/>
  <c r="AB2012" i="21"/>
  <c r="V2012" i="21"/>
  <c r="W2012" i="21" s="1"/>
  <c r="L2012" i="21"/>
  <c r="K2012" i="21"/>
  <c r="H2012" i="21"/>
  <c r="G2012" i="21"/>
  <c r="I2012" i="21" s="1"/>
  <c r="AB2011" i="21"/>
  <c r="V2011" i="21"/>
  <c r="W2011" i="21" s="1"/>
  <c r="L2011" i="21"/>
  <c r="K2011" i="21"/>
  <c r="H2011" i="21"/>
  <c r="M2011" i="21" s="1"/>
  <c r="G2011" i="21"/>
  <c r="I2011" i="21" s="1"/>
  <c r="AB2010" i="21"/>
  <c r="V2010" i="21"/>
  <c r="W2010" i="21" s="1"/>
  <c r="L2010" i="21"/>
  <c r="K2010" i="21"/>
  <c r="H2010" i="21"/>
  <c r="G2010" i="21"/>
  <c r="I2010" i="21" s="1"/>
  <c r="AB2009" i="21"/>
  <c r="V2009" i="21"/>
  <c r="W2009" i="21" s="1"/>
  <c r="L2009" i="21"/>
  <c r="K2009" i="21"/>
  <c r="H2009" i="21"/>
  <c r="M2009" i="21" s="1"/>
  <c r="G2009" i="21"/>
  <c r="I2009" i="21" s="1"/>
  <c r="AB2008" i="21"/>
  <c r="V2008" i="21"/>
  <c r="W2008" i="21" s="1"/>
  <c r="L2008" i="21"/>
  <c r="K2008" i="21"/>
  <c r="H2008" i="21"/>
  <c r="G2008" i="21"/>
  <c r="I2008" i="21" s="1"/>
  <c r="AB2007" i="21"/>
  <c r="V2007" i="21"/>
  <c r="W2007" i="21" s="1"/>
  <c r="L2007" i="21"/>
  <c r="K2007" i="21"/>
  <c r="H2007" i="21"/>
  <c r="M2007" i="21" s="1"/>
  <c r="G2007" i="21"/>
  <c r="I2007" i="21" s="1"/>
  <c r="AB3351" i="21"/>
  <c r="V3351" i="21"/>
  <c r="W3351" i="21" s="1"/>
  <c r="L3351" i="21"/>
  <c r="K3351" i="21"/>
  <c r="H3351" i="21"/>
  <c r="M3351" i="21" s="1"/>
  <c r="G3351" i="21"/>
  <c r="I3351" i="21" s="1"/>
  <c r="AB3350" i="21"/>
  <c r="V3350" i="21"/>
  <c r="W3350" i="21" s="1"/>
  <c r="L3350" i="21"/>
  <c r="K3350" i="21"/>
  <c r="H3350" i="21"/>
  <c r="G3350" i="21"/>
  <c r="I3350" i="21" s="1"/>
  <c r="AB3349" i="21"/>
  <c r="V3349" i="21"/>
  <c r="W3349" i="21" s="1"/>
  <c r="L3349" i="21"/>
  <c r="K3349" i="21"/>
  <c r="H3349" i="21"/>
  <c r="M3349" i="21" s="1"/>
  <c r="G3349" i="21"/>
  <c r="I3349" i="21" s="1"/>
  <c r="AB3348" i="21"/>
  <c r="V3348" i="21"/>
  <c r="W3348" i="21" s="1"/>
  <c r="L3348" i="21"/>
  <c r="K3348" i="21"/>
  <c r="H3348" i="21"/>
  <c r="G3348" i="21"/>
  <c r="I3348" i="21" s="1"/>
  <c r="AB3347" i="21"/>
  <c r="V3347" i="21"/>
  <c r="W3347" i="21" s="1"/>
  <c r="L3347" i="21"/>
  <c r="K3347" i="21"/>
  <c r="H3347" i="21"/>
  <c r="M3347" i="21" s="1"/>
  <c r="G3347" i="21"/>
  <c r="I3347" i="21" s="1"/>
  <c r="AB3346" i="21"/>
  <c r="V3346" i="21"/>
  <c r="W3346" i="21" s="1"/>
  <c r="L3346" i="21"/>
  <c r="K3346" i="21"/>
  <c r="H3346" i="21"/>
  <c r="G3346" i="21"/>
  <c r="I3346" i="21" s="1"/>
  <c r="AB3345" i="21"/>
  <c r="V3345" i="21"/>
  <c r="W3345" i="21" s="1"/>
  <c r="L3345" i="21"/>
  <c r="K3345" i="21"/>
  <c r="H3345" i="21"/>
  <c r="M3345" i="21" s="1"/>
  <c r="G3345" i="21"/>
  <c r="I3345" i="21" s="1"/>
  <c r="AB3344" i="21"/>
  <c r="V3344" i="21"/>
  <c r="W3344" i="21" s="1"/>
  <c r="L3344" i="21"/>
  <c r="K3344" i="21"/>
  <c r="H3344" i="21"/>
  <c r="G3344" i="21"/>
  <c r="I3344" i="21" s="1"/>
  <c r="AB3343" i="21"/>
  <c r="V3343" i="21"/>
  <c r="W3343" i="21" s="1"/>
  <c r="L3343" i="21"/>
  <c r="K3343" i="21"/>
  <c r="H3343" i="21"/>
  <c r="M3343" i="21" s="1"/>
  <c r="G3343" i="21"/>
  <c r="I3343" i="21" s="1"/>
  <c r="AB3342" i="21"/>
  <c r="V3342" i="21"/>
  <c r="W3342" i="21" s="1"/>
  <c r="L3342" i="21"/>
  <c r="K3342" i="21"/>
  <c r="H3342" i="21"/>
  <c r="G3342" i="21"/>
  <c r="I3342" i="21" s="1"/>
  <c r="AB3341" i="21"/>
  <c r="V3341" i="21"/>
  <c r="W3341" i="21" s="1"/>
  <c r="L3341" i="21"/>
  <c r="K3341" i="21"/>
  <c r="H3341" i="21"/>
  <c r="M3341" i="21" s="1"/>
  <c r="G3341" i="21"/>
  <c r="I3341" i="21" s="1"/>
  <c r="AB3340" i="21"/>
  <c r="V3340" i="21"/>
  <c r="W3340" i="21" s="1"/>
  <c r="L3340" i="21"/>
  <c r="K3340" i="21"/>
  <c r="H3340" i="21"/>
  <c r="G3340" i="21"/>
  <c r="I3340" i="21" s="1"/>
  <c r="AB3339" i="21"/>
  <c r="V3339" i="21"/>
  <c r="W3339" i="21" s="1"/>
  <c r="L3339" i="21"/>
  <c r="K3339" i="21"/>
  <c r="H3339" i="21"/>
  <c r="M3339" i="21" s="1"/>
  <c r="G3339" i="21"/>
  <c r="I3339" i="21" s="1"/>
  <c r="AB3338" i="21"/>
  <c r="V3338" i="21"/>
  <c r="W3338" i="21" s="1"/>
  <c r="L3338" i="21"/>
  <c r="K3338" i="21"/>
  <c r="H3338" i="21"/>
  <c r="G3338" i="21"/>
  <c r="I3338" i="21" s="1"/>
  <c r="AB3337" i="21"/>
  <c r="V3337" i="21"/>
  <c r="W3337" i="21" s="1"/>
  <c r="L3337" i="21"/>
  <c r="K3337" i="21"/>
  <c r="H3337" i="21"/>
  <c r="M3337" i="21" s="1"/>
  <c r="G3337" i="21"/>
  <c r="I3337" i="21" s="1"/>
  <c r="AB3336" i="21"/>
  <c r="V3336" i="21"/>
  <c r="W3336" i="21" s="1"/>
  <c r="L3336" i="21"/>
  <c r="K3336" i="21"/>
  <c r="H3336" i="21"/>
  <c r="G3336" i="21"/>
  <c r="I3336" i="21" s="1"/>
  <c r="AB3335" i="21"/>
  <c r="V3335" i="21"/>
  <c r="W3335" i="21" s="1"/>
  <c r="L3335" i="21"/>
  <c r="K3335" i="21"/>
  <c r="H3335" i="21"/>
  <c r="M3335" i="21" s="1"/>
  <c r="G3335" i="21"/>
  <c r="I3335" i="21" s="1"/>
  <c r="AB3334" i="21"/>
  <c r="V3334" i="21"/>
  <c r="W3334" i="21" s="1"/>
  <c r="L3334" i="21"/>
  <c r="K3334" i="21"/>
  <c r="H3334" i="21"/>
  <c r="G3334" i="21"/>
  <c r="I3334" i="21" s="1"/>
  <c r="AB3333" i="21"/>
  <c r="V3333" i="21"/>
  <c r="W3333" i="21" s="1"/>
  <c r="L3333" i="21"/>
  <c r="K3333" i="21"/>
  <c r="H3333" i="21"/>
  <c r="M3333" i="21" s="1"/>
  <c r="G3333" i="21"/>
  <c r="I3333" i="21" s="1"/>
  <c r="AB3332" i="21"/>
  <c r="V3332" i="21"/>
  <c r="W3332" i="21" s="1"/>
  <c r="L3332" i="21"/>
  <c r="K3332" i="21"/>
  <c r="H3332" i="21"/>
  <c r="G3332" i="21"/>
  <c r="I3332" i="21" s="1"/>
  <c r="AB3331" i="21"/>
  <c r="V3331" i="21"/>
  <c r="W3331" i="21" s="1"/>
  <c r="L3331" i="21"/>
  <c r="K3331" i="21"/>
  <c r="H3331" i="21"/>
  <c r="M3331" i="21" s="1"/>
  <c r="G3331" i="21"/>
  <c r="I3331" i="21" s="1"/>
  <c r="AB3330" i="21"/>
  <c r="V3330" i="21"/>
  <c r="W3330" i="21" s="1"/>
  <c r="L3330" i="21"/>
  <c r="K3330" i="21"/>
  <c r="H3330" i="21"/>
  <c r="G3330" i="21"/>
  <c r="I3330" i="21" s="1"/>
  <c r="AB3329" i="21"/>
  <c r="V3329" i="21"/>
  <c r="W3329" i="21" s="1"/>
  <c r="L3329" i="21"/>
  <c r="K3329" i="21"/>
  <c r="H3329" i="21"/>
  <c r="M3329" i="21" s="1"/>
  <c r="G3329" i="21"/>
  <c r="I3329" i="21" s="1"/>
  <c r="AB3328" i="21"/>
  <c r="V3328" i="21"/>
  <c r="W3328" i="21" s="1"/>
  <c r="L3328" i="21"/>
  <c r="K3328" i="21"/>
  <c r="H3328" i="21"/>
  <c r="G3328" i="21"/>
  <c r="I3328" i="21" s="1"/>
  <c r="AB3327" i="21"/>
  <c r="V3327" i="21"/>
  <c r="W3327" i="21" s="1"/>
  <c r="L3327" i="21"/>
  <c r="K3327" i="21"/>
  <c r="H3327" i="21"/>
  <c r="M3327" i="21" s="1"/>
  <c r="G3327" i="21"/>
  <c r="I3327" i="21" s="1"/>
  <c r="AB3326" i="21"/>
  <c r="V3326" i="21"/>
  <c r="W3326" i="21" s="1"/>
  <c r="L3326" i="21"/>
  <c r="K3326" i="21"/>
  <c r="H3326" i="21"/>
  <c r="G3326" i="21"/>
  <c r="I3326" i="21" s="1"/>
  <c r="AB3325" i="21"/>
  <c r="V3325" i="21"/>
  <c r="W3325" i="21" s="1"/>
  <c r="L3325" i="21"/>
  <c r="K3325" i="21"/>
  <c r="H3325" i="21"/>
  <c r="M3325" i="21" s="1"/>
  <c r="G3325" i="21"/>
  <c r="I3325" i="21" s="1"/>
  <c r="AB3324" i="21"/>
  <c r="V3324" i="21"/>
  <c r="W3324" i="21" s="1"/>
  <c r="L3324" i="21"/>
  <c r="K3324" i="21"/>
  <c r="H3324" i="21"/>
  <c r="G3324" i="21"/>
  <c r="I3324" i="21" s="1"/>
  <c r="AB3323" i="21"/>
  <c r="V3323" i="21"/>
  <c r="W3323" i="21" s="1"/>
  <c r="L3323" i="21"/>
  <c r="K3323" i="21"/>
  <c r="H3323" i="21"/>
  <c r="M3323" i="21" s="1"/>
  <c r="G3323" i="21"/>
  <c r="I3323" i="21" s="1"/>
  <c r="AB3322" i="21"/>
  <c r="V3322" i="21"/>
  <c r="W3322" i="21" s="1"/>
  <c r="L3322" i="21"/>
  <c r="K3322" i="21"/>
  <c r="H3322" i="21"/>
  <c r="G3322" i="21"/>
  <c r="I3322" i="21" s="1"/>
  <c r="AB3321" i="21"/>
  <c r="V3321" i="21"/>
  <c r="W3321" i="21" s="1"/>
  <c r="L3321" i="21"/>
  <c r="K3321" i="21"/>
  <c r="H3321" i="21"/>
  <c r="M3321" i="21" s="1"/>
  <c r="G3321" i="21"/>
  <c r="I3321" i="21" s="1"/>
  <c r="AB3320" i="21"/>
  <c r="V3320" i="21"/>
  <c r="W3320" i="21" s="1"/>
  <c r="L3320" i="21"/>
  <c r="K3320" i="21"/>
  <c r="H3320" i="21"/>
  <c r="G3320" i="21"/>
  <c r="I3320" i="21" s="1"/>
  <c r="AB3319" i="21"/>
  <c r="V3319" i="21"/>
  <c r="W3319" i="21" s="1"/>
  <c r="L3319" i="21"/>
  <c r="K3319" i="21"/>
  <c r="H3319" i="21"/>
  <c r="M3319" i="21" s="1"/>
  <c r="G3319" i="21"/>
  <c r="I3319" i="21" s="1"/>
  <c r="AB3318" i="21"/>
  <c r="V3318" i="21"/>
  <c r="W3318" i="21" s="1"/>
  <c r="L3318" i="21"/>
  <c r="K3318" i="21"/>
  <c r="H3318" i="21"/>
  <c r="G3318" i="21"/>
  <c r="I3318" i="21" s="1"/>
  <c r="AB3317" i="21"/>
  <c r="V3317" i="21"/>
  <c r="W3317" i="21" s="1"/>
  <c r="L3317" i="21"/>
  <c r="K3317" i="21"/>
  <c r="H3317" i="21"/>
  <c r="M3317" i="21" s="1"/>
  <c r="G3317" i="21"/>
  <c r="I3317" i="21" s="1"/>
  <c r="AB3316" i="21"/>
  <c r="V3316" i="21"/>
  <c r="W3316" i="21" s="1"/>
  <c r="L3316" i="21"/>
  <c r="K3316" i="21"/>
  <c r="H3316" i="21"/>
  <c r="G3316" i="21"/>
  <c r="I3316" i="21" s="1"/>
  <c r="AB3315" i="21"/>
  <c r="V3315" i="21"/>
  <c r="W3315" i="21" s="1"/>
  <c r="L3315" i="21"/>
  <c r="K3315" i="21"/>
  <c r="H3315" i="21"/>
  <c r="M3315" i="21" s="1"/>
  <c r="G3315" i="21"/>
  <c r="I3315" i="21" s="1"/>
  <c r="AB3314" i="21"/>
  <c r="V3314" i="21"/>
  <c r="W3314" i="21" s="1"/>
  <c r="L3314" i="21"/>
  <c r="K3314" i="21"/>
  <c r="H3314" i="21"/>
  <c r="G3314" i="21"/>
  <c r="I3314" i="21" s="1"/>
  <c r="AB3313" i="21"/>
  <c r="V3313" i="21"/>
  <c r="W3313" i="21" s="1"/>
  <c r="L3313" i="21"/>
  <c r="K3313" i="21"/>
  <c r="H3313" i="21"/>
  <c r="M3313" i="21" s="1"/>
  <c r="G3313" i="21"/>
  <c r="I3313" i="21" s="1"/>
  <c r="AB3312" i="21"/>
  <c r="V3312" i="21"/>
  <c r="W3312" i="21" s="1"/>
  <c r="L3312" i="21"/>
  <c r="K3312" i="21"/>
  <c r="H3312" i="21"/>
  <c r="G3312" i="21"/>
  <c r="I3312" i="21" s="1"/>
  <c r="AB3311" i="21"/>
  <c r="V3311" i="21"/>
  <c r="W3311" i="21" s="1"/>
  <c r="L3311" i="21"/>
  <c r="K3311" i="21"/>
  <c r="H3311" i="21"/>
  <c r="M3311" i="21" s="1"/>
  <c r="G3311" i="21"/>
  <c r="I3311" i="21" s="1"/>
  <c r="AB3310" i="21"/>
  <c r="V3310" i="21"/>
  <c r="W3310" i="21" s="1"/>
  <c r="L3310" i="21"/>
  <c r="K3310" i="21"/>
  <c r="H3310" i="21"/>
  <c r="G3310" i="21"/>
  <c r="I3310" i="21" s="1"/>
  <c r="AB3309" i="21"/>
  <c r="V3309" i="21"/>
  <c r="W3309" i="21" s="1"/>
  <c r="L3309" i="21"/>
  <c r="K3309" i="21"/>
  <c r="H3309" i="21"/>
  <c r="G3309" i="21"/>
  <c r="I3309" i="21" s="1"/>
  <c r="AB3308" i="21"/>
  <c r="V3308" i="21"/>
  <c r="W3308" i="21" s="1"/>
  <c r="L3308" i="21"/>
  <c r="K3308" i="21"/>
  <c r="H3308" i="21"/>
  <c r="M3308" i="21" s="1"/>
  <c r="G3308" i="21"/>
  <c r="I3308" i="21" s="1"/>
  <c r="AB3307" i="21"/>
  <c r="V3307" i="21"/>
  <c r="W3307" i="21" s="1"/>
  <c r="L3307" i="21"/>
  <c r="K3307" i="21"/>
  <c r="H3307" i="21"/>
  <c r="G3307" i="21"/>
  <c r="I3307" i="21" s="1"/>
  <c r="AB3306" i="21"/>
  <c r="V3306" i="21"/>
  <c r="W3306" i="21" s="1"/>
  <c r="L3306" i="21"/>
  <c r="K3306" i="21"/>
  <c r="H3306" i="21"/>
  <c r="M3306" i="21" s="1"/>
  <c r="G3306" i="21"/>
  <c r="I3306" i="21" s="1"/>
  <c r="AB3305" i="21"/>
  <c r="V3305" i="21"/>
  <c r="W3305" i="21" s="1"/>
  <c r="L3305" i="21"/>
  <c r="K3305" i="21"/>
  <c r="H3305" i="21"/>
  <c r="G3305" i="21"/>
  <c r="I3305" i="21" s="1"/>
  <c r="AB3304" i="21"/>
  <c r="V3304" i="21"/>
  <c r="W3304" i="21" s="1"/>
  <c r="L3304" i="21"/>
  <c r="K3304" i="21"/>
  <c r="H3304" i="21"/>
  <c r="M3304" i="21" s="1"/>
  <c r="G3304" i="21"/>
  <c r="I3304" i="21" s="1"/>
  <c r="AB3303" i="21"/>
  <c r="V3303" i="21"/>
  <c r="W3303" i="21" s="1"/>
  <c r="L3303" i="21"/>
  <c r="K3303" i="21"/>
  <c r="H3303" i="21"/>
  <c r="G3303" i="21"/>
  <c r="I3303" i="21" s="1"/>
  <c r="AB3302" i="21"/>
  <c r="V3302" i="21"/>
  <c r="W3302" i="21" s="1"/>
  <c r="L3302" i="21"/>
  <c r="K3302" i="21"/>
  <c r="H3302" i="21"/>
  <c r="M3302" i="21" s="1"/>
  <c r="G3302" i="21"/>
  <c r="I3302" i="21" s="1"/>
  <c r="AB3301" i="21"/>
  <c r="V3301" i="21"/>
  <c r="W3301" i="21" s="1"/>
  <c r="L3301" i="21"/>
  <c r="K3301" i="21"/>
  <c r="H3301" i="21"/>
  <c r="G3301" i="21"/>
  <c r="I3301" i="21" s="1"/>
  <c r="AB3300" i="21"/>
  <c r="V3300" i="21"/>
  <c r="W3300" i="21" s="1"/>
  <c r="L3300" i="21"/>
  <c r="K3300" i="21"/>
  <c r="H3300" i="21"/>
  <c r="M3300" i="21" s="1"/>
  <c r="G3300" i="21"/>
  <c r="I3300" i="21" s="1"/>
  <c r="AB3299" i="21"/>
  <c r="V3299" i="21"/>
  <c r="W3299" i="21" s="1"/>
  <c r="L3299" i="21"/>
  <c r="K3299" i="21"/>
  <c r="H3299" i="21"/>
  <c r="G3299" i="21"/>
  <c r="I3299" i="21" s="1"/>
  <c r="AB3298" i="21"/>
  <c r="V3298" i="21"/>
  <c r="W3298" i="21" s="1"/>
  <c r="L3298" i="21"/>
  <c r="K3298" i="21"/>
  <c r="H3298" i="21"/>
  <c r="M3298" i="21" s="1"/>
  <c r="G3298" i="21"/>
  <c r="I3298" i="21" s="1"/>
  <c r="AB3297" i="21"/>
  <c r="V3297" i="21"/>
  <c r="W3297" i="21" s="1"/>
  <c r="L3297" i="21"/>
  <c r="K3297" i="21"/>
  <c r="H3297" i="21"/>
  <c r="G3297" i="21"/>
  <c r="I3297" i="21" s="1"/>
  <c r="AB3296" i="21"/>
  <c r="V3296" i="21"/>
  <c r="W3296" i="21" s="1"/>
  <c r="L3296" i="21"/>
  <c r="K3296" i="21"/>
  <c r="H3296" i="21"/>
  <c r="M3296" i="21" s="1"/>
  <c r="G3296" i="21"/>
  <c r="I3296" i="21" s="1"/>
  <c r="AB3295" i="21"/>
  <c r="V3295" i="21"/>
  <c r="W3295" i="21" s="1"/>
  <c r="L3295" i="21"/>
  <c r="K3295" i="21"/>
  <c r="H3295" i="21"/>
  <c r="G3295" i="21"/>
  <c r="I3295" i="21" s="1"/>
  <c r="AB3294" i="21"/>
  <c r="V3294" i="21"/>
  <c r="W3294" i="21" s="1"/>
  <c r="L3294" i="21"/>
  <c r="K3294" i="21"/>
  <c r="H3294" i="21"/>
  <c r="M3294" i="21" s="1"/>
  <c r="G3294" i="21"/>
  <c r="I3294" i="21" s="1"/>
  <c r="AB3293" i="21"/>
  <c r="V3293" i="21"/>
  <c r="W3293" i="21" s="1"/>
  <c r="L3293" i="21"/>
  <c r="K3293" i="21"/>
  <c r="H3293" i="21"/>
  <c r="G3293" i="21"/>
  <c r="I3293" i="21" s="1"/>
  <c r="AB3292" i="21"/>
  <c r="V3292" i="21"/>
  <c r="W3292" i="21" s="1"/>
  <c r="L3292" i="21"/>
  <c r="K3292" i="21"/>
  <c r="H3292" i="21"/>
  <c r="M3292" i="21" s="1"/>
  <c r="G3292" i="21"/>
  <c r="I3292" i="21" s="1"/>
  <c r="AB3291" i="21"/>
  <c r="V3291" i="21"/>
  <c r="W3291" i="21" s="1"/>
  <c r="L3291" i="21"/>
  <c r="K3291" i="21"/>
  <c r="H3291" i="21"/>
  <c r="G3291" i="21"/>
  <c r="I3291" i="21" s="1"/>
  <c r="AB3290" i="21"/>
  <c r="V3290" i="21"/>
  <c r="W3290" i="21" s="1"/>
  <c r="L3290" i="21"/>
  <c r="K3290" i="21"/>
  <c r="H3290" i="21"/>
  <c r="M3290" i="21" s="1"/>
  <c r="G3290" i="21"/>
  <c r="I3290" i="21" s="1"/>
  <c r="AB3289" i="21"/>
  <c r="V3289" i="21"/>
  <c r="W3289" i="21" s="1"/>
  <c r="L3289" i="21"/>
  <c r="K3289" i="21"/>
  <c r="H3289" i="21"/>
  <c r="G3289" i="21"/>
  <c r="I3289" i="21" s="1"/>
  <c r="AB3288" i="21"/>
  <c r="V3288" i="21"/>
  <c r="W3288" i="21" s="1"/>
  <c r="L3288" i="21"/>
  <c r="K3288" i="21"/>
  <c r="H3288" i="21"/>
  <c r="M3288" i="21" s="1"/>
  <c r="G3288" i="21"/>
  <c r="I3288" i="21" s="1"/>
  <c r="AB3287" i="21"/>
  <c r="V3287" i="21"/>
  <c r="W3287" i="21" s="1"/>
  <c r="L3287" i="21"/>
  <c r="K3287" i="21"/>
  <c r="H3287" i="21"/>
  <c r="G3287" i="21"/>
  <c r="I3287" i="21" s="1"/>
  <c r="AB3286" i="21"/>
  <c r="V3286" i="21"/>
  <c r="W3286" i="21" s="1"/>
  <c r="L3286" i="21"/>
  <c r="K3286" i="21"/>
  <c r="H3286" i="21"/>
  <c r="M3286" i="21" s="1"/>
  <c r="G3286" i="21"/>
  <c r="I3286" i="21" s="1"/>
  <c r="AB3285" i="21"/>
  <c r="V3285" i="21"/>
  <c r="W3285" i="21" s="1"/>
  <c r="L3285" i="21"/>
  <c r="K3285" i="21"/>
  <c r="H3285" i="21"/>
  <c r="G3285" i="21"/>
  <c r="I3285" i="21" s="1"/>
  <c r="AB3284" i="21"/>
  <c r="V3284" i="21"/>
  <c r="W3284" i="21" s="1"/>
  <c r="L3284" i="21"/>
  <c r="K3284" i="21"/>
  <c r="H3284" i="21"/>
  <c r="M3284" i="21" s="1"/>
  <c r="G3284" i="21"/>
  <c r="I3284" i="21" s="1"/>
  <c r="AB3283" i="21"/>
  <c r="V3283" i="21"/>
  <c r="W3283" i="21" s="1"/>
  <c r="L3283" i="21"/>
  <c r="K3283" i="21"/>
  <c r="H3283" i="21"/>
  <c r="G3283" i="21"/>
  <c r="I3283" i="21" s="1"/>
  <c r="AB3282" i="21"/>
  <c r="V3282" i="21"/>
  <c r="W3282" i="21" s="1"/>
  <c r="L3282" i="21"/>
  <c r="K3282" i="21"/>
  <c r="H3282" i="21"/>
  <c r="M3282" i="21" s="1"/>
  <c r="G3282" i="21"/>
  <c r="I3282" i="21" s="1"/>
  <c r="AB3281" i="21"/>
  <c r="V3281" i="21"/>
  <c r="W3281" i="21" s="1"/>
  <c r="L3281" i="21"/>
  <c r="K3281" i="21"/>
  <c r="H3281" i="21"/>
  <c r="G3281" i="21"/>
  <c r="I3281" i="21" s="1"/>
  <c r="AB3280" i="21"/>
  <c r="V3280" i="21"/>
  <c r="W3280" i="21" s="1"/>
  <c r="L3280" i="21"/>
  <c r="K3280" i="21"/>
  <c r="H3280" i="21"/>
  <c r="G3280" i="21"/>
  <c r="I3280" i="21" s="1"/>
  <c r="AB3279" i="21"/>
  <c r="V3279" i="21"/>
  <c r="W3279" i="21" s="1"/>
  <c r="L3279" i="21"/>
  <c r="K3279" i="21"/>
  <c r="H3279" i="21"/>
  <c r="G3279" i="21"/>
  <c r="I3279" i="21" s="1"/>
  <c r="AB3278" i="21"/>
  <c r="V3278" i="21"/>
  <c r="W3278" i="21" s="1"/>
  <c r="L3278" i="21"/>
  <c r="K3278" i="21"/>
  <c r="H3278" i="21"/>
  <c r="G3278" i="21"/>
  <c r="I3278" i="21" s="1"/>
  <c r="AB3277" i="21"/>
  <c r="V3277" i="21"/>
  <c r="W3277" i="21" s="1"/>
  <c r="L3277" i="21"/>
  <c r="K3277" i="21"/>
  <c r="H3277" i="21"/>
  <c r="G3277" i="21"/>
  <c r="I3277" i="21" s="1"/>
  <c r="AB3276" i="21"/>
  <c r="V3276" i="21"/>
  <c r="W3276" i="21" s="1"/>
  <c r="L3276" i="21"/>
  <c r="K3276" i="21"/>
  <c r="H3276" i="21"/>
  <c r="G3276" i="21"/>
  <c r="I3276" i="21" s="1"/>
  <c r="AB3275" i="21"/>
  <c r="V3275" i="21"/>
  <c r="W3275" i="21" s="1"/>
  <c r="L3275" i="21"/>
  <c r="K3275" i="21"/>
  <c r="H3275" i="21"/>
  <c r="M3275" i="21" s="1"/>
  <c r="G3275" i="21"/>
  <c r="I3275" i="21" s="1"/>
  <c r="AB3274" i="21"/>
  <c r="V3274" i="21"/>
  <c r="W3274" i="21" s="1"/>
  <c r="L3274" i="21"/>
  <c r="K3274" i="21"/>
  <c r="H3274" i="21"/>
  <c r="G3274" i="21"/>
  <c r="I3274" i="21" s="1"/>
  <c r="AB3273" i="21"/>
  <c r="V3273" i="21"/>
  <c r="W3273" i="21" s="1"/>
  <c r="L3273" i="21"/>
  <c r="K3273" i="21"/>
  <c r="H3273" i="21"/>
  <c r="G3273" i="21"/>
  <c r="I3273" i="21" s="1"/>
  <c r="AB3272" i="21"/>
  <c r="V3272" i="21"/>
  <c r="W3272" i="21" s="1"/>
  <c r="L3272" i="21"/>
  <c r="K3272" i="21"/>
  <c r="H3272" i="21"/>
  <c r="G3272" i="21"/>
  <c r="I3272" i="21" s="1"/>
  <c r="AB3271" i="21"/>
  <c r="V3271" i="21"/>
  <c r="W3271" i="21" s="1"/>
  <c r="L3271" i="21"/>
  <c r="K3271" i="21"/>
  <c r="H3271" i="21"/>
  <c r="M3271" i="21" s="1"/>
  <c r="G3271" i="21"/>
  <c r="I3271" i="21" s="1"/>
  <c r="AB3270" i="21"/>
  <c r="V3270" i="21"/>
  <c r="W3270" i="21" s="1"/>
  <c r="L3270" i="21"/>
  <c r="K3270" i="21"/>
  <c r="H3270" i="21"/>
  <c r="G3270" i="21"/>
  <c r="I3270" i="21" s="1"/>
  <c r="AB3269" i="21"/>
  <c r="V3269" i="21"/>
  <c r="W3269" i="21" s="1"/>
  <c r="L3269" i="21"/>
  <c r="K3269" i="21"/>
  <c r="H3269" i="21"/>
  <c r="G3269" i="21"/>
  <c r="I3269" i="21" s="1"/>
  <c r="AB3268" i="21"/>
  <c r="V3268" i="21"/>
  <c r="W3268" i="21" s="1"/>
  <c r="L3268" i="21"/>
  <c r="K3268" i="21"/>
  <c r="H3268" i="21"/>
  <c r="M3268" i="21" s="1"/>
  <c r="G3268" i="21"/>
  <c r="I3268" i="21" s="1"/>
  <c r="AB3267" i="21"/>
  <c r="V3267" i="21"/>
  <c r="W3267" i="21" s="1"/>
  <c r="L3267" i="21"/>
  <c r="K3267" i="21"/>
  <c r="H3267" i="21"/>
  <c r="G3267" i="21"/>
  <c r="I3267" i="21" s="1"/>
  <c r="AB3266" i="21"/>
  <c r="V3266" i="21"/>
  <c r="W3266" i="21" s="1"/>
  <c r="L3266" i="21"/>
  <c r="K3266" i="21"/>
  <c r="H3266" i="21"/>
  <c r="M3266" i="21" s="1"/>
  <c r="G3266" i="21"/>
  <c r="I3266" i="21" s="1"/>
  <c r="AB3265" i="21"/>
  <c r="V3265" i="21"/>
  <c r="W3265" i="21" s="1"/>
  <c r="L3265" i="21"/>
  <c r="K3265" i="21"/>
  <c r="H3265" i="21"/>
  <c r="G3265" i="21"/>
  <c r="I3265" i="21" s="1"/>
  <c r="AB3264" i="21"/>
  <c r="V3264" i="21"/>
  <c r="W3264" i="21" s="1"/>
  <c r="L3264" i="21"/>
  <c r="K3264" i="21"/>
  <c r="H3264" i="21"/>
  <c r="M3264" i="21" s="1"/>
  <c r="G3264" i="21"/>
  <c r="I3264" i="21" s="1"/>
  <c r="AB3263" i="21"/>
  <c r="V3263" i="21"/>
  <c r="W3263" i="21" s="1"/>
  <c r="L3263" i="21"/>
  <c r="K3263" i="21"/>
  <c r="H3263" i="21"/>
  <c r="G3263" i="21"/>
  <c r="I3263" i="21" s="1"/>
  <c r="AB3262" i="21"/>
  <c r="V3262" i="21"/>
  <c r="W3262" i="21" s="1"/>
  <c r="L3262" i="21"/>
  <c r="K3262" i="21"/>
  <c r="H3262" i="21"/>
  <c r="M3262" i="21" s="1"/>
  <c r="G3262" i="21"/>
  <c r="I3262" i="21" s="1"/>
  <c r="AB3261" i="21"/>
  <c r="V3261" i="21"/>
  <c r="W3261" i="21" s="1"/>
  <c r="L3261" i="21"/>
  <c r="K3261" i="21"/>
  <c r="H3261" i="21"/>
  <c r="G3261" i="21"/>
  <c r="I3261" i="21" s="1"/>
  <c r="AB3260" i="21"/>
  <c r="V3260" i="21"/>
  <c r="W3260" i="21" s="1"/>
  <c r="L3260" i="21"/>
  <c r="K3260" i="21"/>
  <c r="H3260" i="21"/>
  <c r="M3260" i="21" s="1"/>
  <c r="G3260" i="21"/>
  <c r="I3260" i="21" s="1"/>
  <c r="AB3259" i="21"/>
  <c r="V3259" i="21"/>
  <c r="W3259" i="21" s="1"/>
  <c r="L3259" i="21"/>
  <c r="K3259" i="21"/>
  <c r="H3259" i="21"/>
  <c r="G3259" i="21"/>
  <c r="I3259" i="21" s="1"/>
  <c r="AB3258" i="21"/>
  <c r="V3258" i="21"/>
  <c r="W3258" i="21" s="1"/>
  <c r="L3258" i="21"/>
  <c r="K3258" i="21"/>
  <c r="H3258" i="21"/>
  <c r="M3258" i="21" s="1"/>
  <c r="G3258" i="21"/>
  <c r="I3258" i="21" s="1"/>
  <c r="AB3257" i="21"/>
  <c r="V3257" i="21"/>
  <c r="W3257" i="21" s="1"/>
  <c r="L3257" i="21"/>
  <c r="K3257" i="21"/>
  <c r="H3257" i="21"/>
  <c r="G3257" i="21"/>
  <c r="I3257" i="21" s="1"/>
  <c r="AB3256" i="21"/>
  <c r="V3256" i="21"/>
  <c r="W3256" i="21" s="1"/>
  <c r="L3256" i="21"/>
  <c r="K3256" i="21"/>
  <c r="H3256" i="21"/>
  <c r="M3256" i="21" s="1"/>
  <c r="G3256" i="21"/>
  <c r="I3256" i="21" s="1"/>
  <c r="AB3255" i="21"/>
  <c r="V3255" i="21"/>
  <c r="W3255" i="21" s="1"/>
  <c r="L3255" i="21"/>
  <c r="K3255" i="21"/>
  <c r="H3255" i="21"/>
  <c r="G3255" i="21"/>
  <c r="I3255" i="21" s="1"/>
  <c r="AB3254" i="21"/>
  <c r="V3254" i="21"/>
  <c r="W3254" i="21" s="1"/>
  <c r="L3254" i="21"/>
  <c r="K3254" i="21"/>
  <c r="H3254" i="21"/>
  <c r="M3254" i="21" s="1"/>
  <c r="G3254" i="21"/>
  <c r="I3254" i="21" s="1"/>
  <c r="AB3253" i="21"/>
  <c r="V3253" i="21"/>
  <c r="W3253" i="21" s="1"/>
  <c r="L3253" i="21"/>
  <c r="K3253" i="21"/>
  <c r="H3253" i="21"/>
  <c r="G3253" i="21"/>
  <c r="I3253" i="21" s="1"/>
  <c r="AB3252" i="21"/>
  <c r="V3252" i="21"/>
  <c r="W3252" i="21" s="1"/>
  <c r="L3252" i="21"/>
  <c r="K3252" i="21"/>
  <c r="H3252" i="21"/>
  <c r="M3252" i="21" s="1"/>
  <c r="G3252" i="21"/>
  <c r="I3252" i="21" s="1"/>
  <c r="AB3251" i="21"/>
  <c r="V3251" i="21"/>
  <c r="W3251" i="21" s="1"/>
  <c r="L3251" i="21"/>
  <c r="K3251" i="21"/>
  <c r="H3251" i="21"/>
  <c r="G3251" i="21"/>
  <c r="I3251" i="21" s="1"/>
  <c r="AB3250" i="21"/>
  <c r="V3250" i="21"/>
  <c r="W3250" i="21" s="1"/>
  <c r="L3250" i="21"/>
  <c r="K3250" i="21"/>
  <c r="H3250" i="21"/>
  <c r="M3250" i="21" s="1"/>
  <c r="G3250" i="21"/>
  <c r="I3250" i="21" s="1"/>
  <c r="AB3249" i="21"/>
  <c r="V3249" i="21"/>
  <c r="W3249" i="21" s="1"/>
  <c r="L3249" i="21"/>
  <c r="K3249" i="21"/>
  <c r="H3249" i="21"/>
  <c r="G3249" i="21"/>
  <c r="I3249" i="21" s="1"/>
  <c r="AB3248" i="21"/>
  <c r="V3248" i="21"/>
  <c r="W3248" i="21" s="1"/>
  <c r="L3248" i="21"/>
  <c r="K3248" i="21"/>
  <c r="H3248" i="21"/>
  <c r="M3248" i="21" s="1"/>
  <c r="G3248" i="21"/>
  <c r="I3248" i="21" s="1"/>
  <c r="AB3247" i="21"/>
  <c r="V3247" i="21"/>
  <c r="W3247" i="21" s="1"/>
  <c r="L3247" i="21"/>
  <c r="K3247" i="21"/>
  <c r="H3247" i="21"/>
  <c r="G3247" i="21"/>
  <c r="I3247" i="21" s="1"/>
  <c r="AB3246" i="21"/>
  <c r="V3246" i="21"/>
  <c r="W3246" i="21" s="1"/>
  <c r="L3246" i="21"/>
  <c r="K3246" i="21"/>
  <c r="H3246" i="21"/>
  <c r="M3246" i="21" s="1"/>
  <c r="G3246" i="21"/>
  <c r="I3246" i="21" s="1"/>
  <c r="AB3245" i="21"/>
  <c r="V3245" i="21"/>
  <c r="W3245" i="21" s="1"/>
  <c r="L3245" i="21"/>
  <c r="K3245" i="21"/>
  <c r="H3245" i="21"/>
  <c r="G3245" i="21"/>
  <c r="I3245" i="21" s="1"/>
  <c r="AB3244" i="21"/>
  <c r="V3244" i="21"/>
  <c r="W3244" i="21" s="1"/>
  <c r="L3244" i="21"/>
  <c r="K3244" i="21"/>
  <c r="H3244" i="21"/>
  <c r="M3244" i="21" s="1"/>
  <c r="G3244" i="21"/>
  <c r="I3244" i="21" s="1"/>
  <c r="AB3243" i="21"/>
  <c r="V3243" i="21"/>
  <c r="W3243" i="21" s="1"/>
  <c r="L3243" i="21"/>
  <c r="K3243" i="21"/>
  <c r="H3243" i="21"/>
  <c r="G3243" i="21"/>
  <c r="I3243" i="21" s="1"/>
  <c r="AB3242" i="21"/>
  <c r="V3242" i="21"/>
  <c r="W3242" i="21" s="1"/>
  <c r="L3242" i="21"/>
  <c r="K3242" i="21"/>
  <c r="H3242" i="21"/>
  <c r="M3242" i="21" s="1"/>
  <c r="G3242" i="21"/>
  <c r="I3242" i="21" s="1"/>
  <c r="AB3241" i="21"/>
  <c r="V3241" i="21"/>
  <c r="W3241" i="21" s="1"/>
  <c r="L3241" i="21"/>
  <c r="K3241" i="21"/>
  <c r="H3241" i="21"/>
  <c r="G3241" i="21"/>
  <c r="I3241" i="21" s="1"/>
  <c r="AB3240" i="21"/>
  <c r="V3240" i="21"/>
  <c r="W3240" i="21" s="1"/>
  <c r="L3240" i="21"/>
  <c r="K3240" i="21"/>
  <c r="H3240" i="21"/>
  <c r="M3240" i="21" s="1"/>
  <c r="G3240" i="21"/>
  <c r="I3240" i="21" s="1"/>
  <c r="AB3239" i="21"/>
  <c r="V3239" i="21"/>
  <c r="W3239" i="21" s="1"/>
  <c r="L3239" i="21"/>
  <c r="K3239" i="21"/>
  <c r="H3239" i="21"/>
  <c r="G3239" i="21"/>
  <c r="I3239" i="21" s="1"/>
  <c r="AB3238" i="21"/>
  <c r="V3238" i="21"/>
  <c r="W3238" i="21" s="1"/>
  <c r="L3238" i="21"/>
  <c r="K3238" i="21"/>
  <c r="H3238" i="21"/>
  <c r="M3238" i="21" s="1"/>
  <c r="G3238" i="21"/>
  <c r="I3238" i="21" s="1"/>
  <c r="AB3237" i="21"/>
  <c r="V3237" i="21"/>
  <c r="W3237" i="21" s="1"/>
  <c r="L3237" i="21"/>
  <c r="K3237" i="21"/>
  <c r="H3237" i="21"/>
  <c r="G3237" i="21"/>
  <c r="I3237" i="21" s="1"/>
  <c r="AB3236" i="21"/>
  <c r="V3236" i="21"/>
  <c r="W3236" i="21" s="1"/>
  <c r="L3236" i="21"/>
  <c r="K3236" i="21"/>
  <c r="H3236" i="21"/>
  <c r="M3236" i="21" s="1"/>
  <c r="G3236" i="21"/>
  <c r="I3236" i="21" s="1"/>
  <c r="AB3235" i="21"/>
  <c r="V3235" i="21"/>
  <c r="W3235" i="21" s="1"/>
  <c r="L3235" i="21"/>
  <c r="K3235" i="21"/>
  <c r="H3235" i="21"/>
  <c r="G3235" i="21"/>
  <c r="I3235" i="21" s="1"/>
  <c r="AB3234" i="21"/>
  <c r="V3234" i="21"/>
  <c r="W3234" i="21" s="1"/>
  <c r="L3234" i="21"/>
  <c r="K3234" i="21"/>
  <c r="H3234" i="21"/>
  <c r="G3234" i="21"/>
  <c r="I3234" i="21" s="1"/>
  <c r="AB3233" i="21"/>
  <c r="V3233" i="21"/>
  <c r="W3233" i="21" s="1"/>
  <c r="L3233" i="21"/>
  <c r="K3233" i="21"/>
  <c r="H3233" i="21"/>
  <c r="G3233" i="21"/>
  <c r="I3233" i="21" s="1"/>
  <c r="AB3232" i="21"/>
  <c r="V3232" i="21"/>
  <c r="W3232" i="21" s="1"/>
  <c r="L3232" i="21"/>
  <c r="K3232" i="21"/>
  <c r="H3232" i="21"/>
  <c r="G3232" i="21"/>
  <c r="I3232" i="21" s="1"/>
  <c r="AB3231" i="21"/>
  <c r="V3231" i="21"/>
  <c r="W3231" i="21" s="1"/>
  <c r="L3231" i="21"/>
  <c r="K3231" i="21"/>
  <c r="H3231" i="21"/>
  <c r="G3231" i="21"/>
  <c r="I3231" i="21" s="1"/>
  <c r="AB3230" i="21"/>
  <c r="V3230" i="21"/>
  <c r="W3230" i="21" s="1"/>
  <c r="L3230" i="21"/>
  <c r="K3230" i="21"/>
  <c r="H3230" i="21"/>
  <c r="G3230" i="21"/>
  <c r="I3230" i="21" s="1"/>
  <c r="AB3229" i="21"/>
  <c r="V3229" i="21"/>
  <c r="W3229" i="21" s="1"/>
  <c r="L3229" i="21"/>
  <c r="K3229" i="21"/>
  <c r="H3229" i="21"/>
  <c r="G3229" i="21"/>
  <c r="I3229" i="21" s="1"/>
  <c r="AB3228" i="21"/>
  <c r="V3228" i="21"/>
  <c r="W3228" i="21" s="1"/>
  <c r="L3228" i="21"/>
  <c r="K3228" i="21"/>
  <c r="H3228" i="21"/>
  <c r="M3228" i="21" s="1"/>
  <c r="G3228" i="21"/>
  <c r="I3228" i="21" s="1"/>
  <c r="AB3227" i="21"/>
  <c r="V3227" i="21"/>
  <c r="W3227" i="21" s="1"/>
  <c r="L3227" i="21"/>
  <c r="K3227" i="21"/>
  <c r="H3227" i="21"/>
  <c r="G3227" i="21"/>
  <c r="I3227" i="21" s="1"/>
  <c r="AB3226" i="21"/>
  <c r="V3226" i="21"/>
  <c r="W3226" i="21" s="1"/>
  <c r="L3226" i="21"/>
  <c r="K3226" i="21"/>
  <c r="H3226" i="21"/>
  <c r="M3226" i="21" s="1"/>
  <c r="G3226" i="21"/>
  <c r="I3226" i="21" s="1"/>
  <c r="AB3225" i="21"/>
  <c r="V3225" i="21"/>
  <c r="W3225" i="21" s="1"/>
  <c r="L3225" i="21"/>
  <c r="K3225" i="21"/>
  <c r="H3225" i="21"/>
  <c r="G3225" i="21"/>
  <c r="I3225" i="21" s="1"/>
  <c r="AB3224" i="21"/>
  <c r="V3224" i="21"/>
  <c r="W3224" i="21" s="1"/>
  <c r="L3224" i="21"/>
  <c r="K3224" i="21"/>
  <c r="H3224" i="21"/>
  <c r="M3224" i="21" s="1"/>
  <c r="G3224" i="21"/>
  <c r="I3224" i="21" s="1"/>
  <c r="AB3223" i="21"/>
  <c r="V3223" i="21"/>
  <c r="W3223" i="21" s="1"/>
  <c r="L3223" i="21"/>
  <c r="K3223" i="21"/>
  <c r="H3223" i="21"/>
  <c r="G3223" i="21"/>
  <c r="I3223" i="21" s="1"/>
  <c r="AB3222" i="21"/>
  <c r="V3222" i="21"/>
  <c r="W3222" i="21" s="1"/>
  <c r="L3222" i="21"/>
  <c r="K3222" i="21"/>
  <c r="H3222" i="21"/>
  <c r="M3222" i="21" s="1"/>
  <c r="G3222" i="21"/>
  <c r="I3222" i="21" s="1"/>
  <c r="AB3221" i="21"/>
  <c r="V3221" i="21"/>
  <c r="W3221" i="21" s="1"/>
  <c r="L3221" i="21"/>
  <c r="K3221" i="21"/>
  <c r="H3221" i="21"/>
  <c r="G3221" i="21"/>
  <c r="I3221" i="21" s="1"/>
  <c r="AB3220" i="21"/>
  <c r="V3220" i="21"/>
  <c r="W3220" i="21" s="1"/>
  <c r="L3220" i="21"/>
  <c r="K3220" i="21"/>
  <c r="H3220" i="21"/>
  <c r="M3220" i="21" s="1"/>
  <c r="G3220" i="21"/>
  <c r="I3220" i="21" s="1"/>
  <c r="AB3219" i="21"/>
  <c r="V3219" i="21"/>
  <c r="W3219" i="21" s="1"/>
  <c r="L3219" i="21"/>
  <c r="K3219" i="21"/>
  <c r="H3219" i="21"/>
  <c r="M3219" i="21" s="1"/>
  <c r="G3219" i="21"/>
  <c r="I3219" i="21" s="1"/>
  <c r="AB3218" i="21"/>
  <c r="V3218" i="21"/>
  <c r="W3218" i="21" s="1"/>
  <c r="L3218" i="21"/>
  <c r="K3218" i="21"/>
  <c r="H3218" i="21"/>
  <c r="M3218" i="21" s="1"/>
  <c r="G3218" i="21"/>
  <c r="I3218" i="21" s="1"/>
  <c r="AB3217" i="21"/>
  <c r="V3217" i="21"/>
  <c r="W3217" i="21" s="1"/>
  <c r="L3217" i="21"/>
  <c r="K3217" i="21"/>
  <c r="H3217" i="21"/>
  <c r="M3217" i="21" s="1"/>
  <c r="G3217" i="21"/>
  <c r="I3217" i="21" s="1"/>
  <c r="AB3216" i="21"/>
  <c r="V3216" i="21"/>
  <c r="W3216" i="21" s="1"/>
  <c r="L3216" i="21"/>
  <c r="K3216" i="21"/>
  <c r="H3216" i="21"/>
  <c r="M3216" i="21" s="1"/>
  <c r="G3216" i="21"/>
  <c r="I3216" i="21" s="1"/>
  <c r="AB3215" i="21"/>
  <c r="V3215" i="21"/>
  <c r="W3215" i="21" s="1"/>
  <c r="L3215" i="21"/>
  <c r="K3215" i="21"/>
  <c r="H3215" i="21"/>
  <c r="M3215" i="21" s="1"/>
  <c r="G3215" i="21"/>
  <c r="I3215" i="21" s="1"/>
  <c r="AB3214" i="21"/>
  <c r="V3214" i="21"/>
  <c r="W3214" i="21" s="1"/>
  <c r="L3214" i="21"/>
  <c r="K3214" i="21"/>
  <c r="H3214" i="21"/>
  <c r="M3214" i="21" s="1"/>
  <c r="G3214" i="21"/>
  <c r="I3214" i="21" s="1"/>
  <c r="AB3213" i="21"/>
  <c r="V3213" i="21"/>
  <c r="W3213" i="21" s="1"/>
  <c r="L3213" i="21"/>
  <c r="K3213" i="21"/>
  <c r="H3213" i="21"/>
  <c r="M3213" i="21" s="1"/>
  <c r="G3213" i="21"/>
  <c r="I3213" i="21" s="1"/>
  <c r="AB3212" i="21"/>
  <c r="V3212" i="21"/>
  <c r="W3212" i="21" s="1"/>
  <c r="L3212" i="21"/>
  <c r="K3212" i="21"/>
  <c r="H3212" i="21"/>
  <c r="M3212" i="21" s="1"/>
  <c r="G3212" i="21"/>
  <c r="I3212" i="21" s="1"/>
  <c r="AB3211" i="21"/>
  <c r="V3211" i="21"/>
  <c r="W3211" i="21" s="1"/>
  <c r="L3211" i="21"/>
  <c r="K3211" i="21"/>
  <c r="H3211" i="21"/>
  <c r="M3211" i="21" s="1"/>
  <c r="G3211" i="21"/>
  <c r="I3211" i="21" s="1"/>
  <c r="AB3210" i="21"/>
  <c r="V3210" i="21"/>
  <c r="W3210" i="21" s="1"/>
  <c r="L3210" i="21"/>
  <c r="K3210" i="21"/>
  <c r="H3210" i="21"/>
  <c r="M3210" i="21" s="1"/>
  <c r="G3210" i="21"/>
  <c r="I3210" i="21" s="1"/>
  <c r="AB3209" i="21"/>
  <c r="V3209" i="21"/>
  <c r="W3209" i="21" s="1"/>
  <c r="L3209" i="21"/>
  <c r="K3209" i="21"/>
  <c r="H3209" i="21"/>
  <c r="M3209" i="21" s="1"/>
  <c r="G3209" i="21"/>
  <c r="I3209" i="21" s="1"/>
  <c r="AB3208" i="21"/>
  <c r="V3208" i="21"/>
  <c r="W3208" i="21" s="1"/>
  <c r="L3208" i="21"/>
  <c r="K3208" i="21"/>
  <c r="H3208" i="21"/>
  <c r="M3208" i="21" s="1"/>
  <c r="G3208" i="21"/>
  <c r="I3208" i="21" s="1"/>
  <c r="AB3207" i="21"/>
  <c r="V3207" i="21"/>
  <c r="W3207" i="21" s="1"/>
  <c r="L3207" i="21"/>
  <c r="K3207" i="21"/>
  <c r="H3207" i="21"/>
  <c r="M3207" i="21" s="1"/>
  <c r="G3207" i="21"/>
  <c r="I3207" i="21" s="1"/>
  <c r="AB3206" i="21"/>
  <c r="V3206" i="21"/>
  <c r="W3206" i="21" s="1"/>
  <c r="L3206" i="21"/>
  <c r="K3206" i="21"/>
  <c r="H3206" i="21"/>
  <c r="M3206" i="21" s="1"/>
  <c r="G3206" i="21"/>
  <c r="I3206" i="21" s="1"/>
  <c r="AB3205" i="21"/>
  <c r="V3205" i="21"/>
  <c r="W3205" i="21" s="1"/>
  <c r="L3205" i="21"/>
  <c r="K3205" i="21"/>
  <c r="H3205" i="21"/>
  <c r="M3205" i="21" s="1"/>
  <c r="G3205" i="21"/>
  <c r="I3205" i="21" s="1"/>
  <c r="AB3204" i="21"/>
  <c r="V3204" i="21"/>
  <c r="W3204" i="21" s="1"/>
  <c r="L3204" i="21"/>
  <c r="K3204" i="21"/>
  <c r="H3204" i="21"/>
  <c r="M3204" i="21" s="1"/>
  <c r="G3204" i="21"/>
  <c r="I3204" i="21" s="1"/>
  <c r="AB3203" i="21"/>
  <c r="V3203" i="21"/>
  <c r="W3203" i="21" s="1"/>
  <c r="L3203" i="21"/>
  <c r="K3203" i="21"/>
  <c r="H3203" i="21"/>
  <c r="M3203" i="21" s="1"/>
  <c r="G3203" i="21"/>
  <c r="I3203" i="21" s="1"/>
  <c r="AB3202" i="21"/>
  <c r="V3202" i="21"/>
  <c r="W3202" i="21" s="1"/>
  <c r="L3202" i="21"/>
  <c r="K3202" i="21"/>
  <c r="H3202" i="21"/>
  <c r="M3202" i="21" s="1"/>
  <c r="G3202" i="21"/>
  <c r="I3202" i="21" s="1"/>
  <c r="AB3201" i="21"/>
  <c r="V3201" i="21"/>
  <c r="W3201" i="21" s="1"/>
  <c r="L3201" i="21"/>
  <c r="K3201" i="21"/>
  <c r="H3201" i="21"/>
  <c r="M3201" i="21" s="1"/>
  <c r="G3201" i="21"/>
  <c r="I3201" i="21" s="1"/>
  <c r="AB3200" i="21"/>
  <c r="V3200" i="21"/>
  <c r="W3200" i="21" s="1"/>
  <c r="L3200" i="21"/>
  <c r="K3200" i="21"/>
  <c r="H3200" i="21"/>
  <c r="M3200" i="21" s="1"/>
  <c r="G3200" i="21"/>
  <c r="I3200" i="21" s="1"/>
  <c r="AB3199" i="21"/>
  <c r="V3199" i="21"/>
  <c r="W3199" i="21" s="1"/>
  <c r="L3199" i="21"/>
  <c r="K3199" i="21"/>
  <c r="H3199" i="21"/>
  <c r="G3199" i="21"/>
  <c r="I3199" i="21" s="1"/>
  <c r="AB3198" i="21"/>
  <c r="V3198" i="21"/>
  <c r="W3198" i="21" s="1"/>
  <c r="L3198" i="21"/>
  <c r="K3198" i="21"/>
  <c r="H3198" i="21"/>
  <c r="M3198" i="21" s="1"/>
  <c r="G3198" i="21"/>
  <c r="I3198" i="21" s="1"/>
  <c r="AB3197" i="21"/>
  <c r="V3197" i="21"/>
  <c r="W3197" i="21" s="1"/>
  <c r="L3197" i="21"/>
  <c r="K3197" i="21"/>
  <c r="H3197" i="21"/>
  <c r="G3197" i="21"/>
  <c r="I3197" i="21" s="1"/>
  <c r="AB3196" i="21"/>
  <c r="V3196" i="21"/>
  <c r="W3196" i="21" s="1"/>
  <c r="L3196" i="21"/>
  <c r="K3196" i="21"/>
  <c r="H3196" i="21"/>
  <c r="M3196" i="21" s="1"/>
  <c r="G3196" i="21"/>
  <c r="I3196" i="21" s="1"/>
  <c r="AB3195" i="21"/>
  <c r="V3195" i="21"/>
  <c r="W3195" i="21" s="1"/>
  <c r="L3195" i="21"/>
  <c r="K3195" i="21"/>
  <c r="H3195" i="21"/>
  <c r="G3195" i="21"/>
  <c r="I3195" i="21" s="1"/>
  <c r="AB3194" i="21"/>
  <c r="V3194" i="21"/>
  <c r="W3194" i="21" s="1"/>
  <c r="L3194" i="21"/>
  <c r="K3194" i="21"/>
  <c r="H3194" i="21"/>
  <c r="M3194" i="21" s="1"/>
  <c r="G3194" i="21"/>
  <c r="I3194" i="21" s="1"/>
  <c r="AB3193" i="21"/>
  <c r="V3193" i="21"/>
  <c r="W3193" i="21" s="1"/>
  <c r="L3193" i="21"/>
  <c r="K3193" i="21"/>
  <c r="H3193" i="21"/>
  <c r="G3193" i="21"/>
  <c r="I3193" i="21" s="1"/>
  <c r="AB3192" i="21"/>
  <c r="V3192" i="21"/>
  <c r="W3192" i="21" s="1"/>
  <c r="L3192" i="21"/>
  <c r="K3192" i="21"/>
  <c r="H3192" i="21"/>
  <c r="M3192" i="21" s="1"/>
  <c r="G3192" i="21"/>
  <c r="I3192" i="21" s="1"/>
  <c r="AB3191" i="21"/>
  <c r="V3191" i="21"/>
  <c r="W3191" i="21" s="1"/>
  <c r="L3191" i="21"/>
  <c r="K3191" i="21"/>
  <c r="H3191" i="21"/>
  <c r="G3191" i="21"/>
  <c r="I3191" i="21" s="1"/>
  <c r="AB3190" i="21"/>
  <c r="V3190" i="21"/>
  <c r="W3190" i="21" s="1"/>
  <c r="L3190" i="21"/>
  <c r="K3190" i="21"/>
  <c r="H3190" i="21"/>
  <c r="M3190" i="21" s="1"/>
  <c r="G3190" i="21"/>
  <c r="I3190" i="21" s="1"/>
  <c r="AB3189" i="21"/>
  <c r="V3189" i="21"/>
  <c r="W3189" i="21" s="1"/>
  <c r="L3189" i="21"/>
  <c r="K3189" i="21"/>
  <c r="H3189" i="21"/>
  <c r="M3189" i="21" s="1"/>
  <c r="G3189" i="21"/>
  <c r="I3189" i="21" s="1"/>
  <c r="AB3188" i="21"/>
  <c r="V3188" i="21"/>
  <c r="W3188" i="21" s="1"/>
  <c r="L3188" i="21"/>
  <c r="K3188" i="21"/>
  <c r="H3188" i="21"/>
  <c r="M3188" i="21" s="1"/>
  <c r="G3188" i="21"/>
  <c r="I3188" i="21" s="1"/>
  <c r="AB3187" i="21"/>
  <c r="V3187" i="21"/>
  <c r="W3187" i="21" s="1"/>
  <c r="L3187" i="21"/>
  <c r="K3187" i="21"/>
  <c r="H3187" i="21"/>
  <c r="M3187" i="21" s="1"/>
  <c r="G3187" i="21"/>
  <c r="I3187" i="21" s="1"/>
  <c r="AB3186" i="21"/>
  <c r="V3186" i="21"/>
  <c r="W3186" i="21" s="1"/>
  <c r="L3186" i="21"/>
  <c r="K3186" i="21"/>
  <c r="H3186" i="21"/>
  <c r="M3186" i="21" s="1"/>
  <c r="G3186" i="21"/>
  <c r="I3186" i="21" s="1"/>
  <c r="AB3185" i="21"/>
  <c r="V3185" i="21"/>
  <c r="W3185" i="21" s="1"/>
  <c r="L3185" i="21"/>
  <c r="K3185" i="21"/>
  <c r="H3185" i="21"/>
  <c r="M3185" i="21" s="1"/>
  <c r="G3185" i="21"/>
  <c r="I3185" i="21" s="1"/>
  <c r="AB3184" i="21"/>
  <c r="V3184" i="21"/>
  <c r="W3184" i="21" s="1"/>
  <c r="L3184" i="21"/>
  <c r="K3184" i="21"/>
  <c r="H3184" i="21"/>
  <c r="M3184" i="21" s="1"/>
  <c r="G3184" i="21"/>
  <c r="I3184" i="21" s="1"/>
  <c r="AB3183" i="21"/>
  <c r="V3183" i="21"/>
  <c r="W3183" i="21" s="1"/>
  <c r="L3183" i="21"/>
  <c r="K3183" i="21"/>
  <c r="H3183" i="21"/>
  <c r="M3183" i="21" s="1"/>
  <c r="G3183" i="21"/>
  <c r="I3183" i="21" s="1"/>
  <c r="AB3182" i="21"/>
  <c r="V3182" i="21"/>
  <c r="W3182" i="21" s="1"/>
  <c r="L3182" i="21"/>
  <c r="K3182" i="21"/>
  <c r="H3182" i="21"/>
  <c r="M3182" i="21" s="1"/>
  <c r="G3182" i="21"/>
  <c r="I3182" i="21" s="1"/>
  <c r="AB3181" i="21"/>
  <c r="V3181" i="21"/>
  <c r="W3181" i="21" s="1"/>
  <c r="L3181" i="21"/>
  <c r="K3181" i="21"/>
  <c r="H3181" i="21"/>
  <c r="M3181" i="21" s="1"/>
  <c r="G3181" i="21"/>
  <c r="I3181" i="21" s="1"/>
  <c r="AB3180" i="21"/>
  <c r="V3180" i="21"/>
  <c r="W3180" i="21" s="1"/>
  <c r="L3180" i="21"/>
  <c r="K3180" i="21"/>
  <c r="H3180" i="21"/>
  <c r="M3180" i="21" s="1"/>
  <c r="G3180" i="21"/>
  <c r="I3180" i="21" s="1"/>
  <c r="AB3179" i="21"/>
  <c r="V3179" i="21"/>
  <c r="W3179" i="21" s="1"/>
  <c r="L3179" i="21"/>
  <c r="K3179" i="21"/>
  <c r="H3179" i="21"/>
  <c r="M3179" i="21" s="1"/>
  <c r="G3179" i="21"/>
  <c r="I3179" i="21" s="1"/>
  <c r="AB3178" i="21"/>
  <c r="V3178" i="21"/>
  <c r="W3178" i="21" s="1"/>
  <c r="L3178" i="21"/>
  <c r="K3178" i="21"/>
  <c r="H3178" i="21"/>
  <c r="M3178" i="21" s="1"/>
  <c r="G3178" i="21"/>
  <c r="I3178" i="21" s="1"/>
  <c r="AB3177" i="21"/>
  <c r="V3177" i="21"/>
  <c r="W3177" i="21" s="1"/>
  <c r="L3177" i="21"/>
  <c r="K3177" i="21"/>
  <c r="H3177" i="21"/>
  <c r="M3177" i="21" s="1"/>
  <c r="G3177" i="21"/>
  <c r="I3177" i="21" s="1"/>
  <c r="AB3176" i="21"/>
  <c r="V3176" i="21"/>
  <c r="W3176" i="21" s="1"/>
  <c r="L3176" i="21"/>
  <c r="K3176" i="21"/>
  <c r="H3176" i="21"/>
  <c r="M3176" i="21" s="1"/>
  <c r="G3176" i="21"/>
  <c r="I3176" i="21" s="1"/>
  <c r="AB3175" i="21"/>
  <c r="V3175" i="21"/>
  <c r="W3175" i="21" s="1"/>
  <c r="L3175" i="21"/>
  <c r="K3175" i="21"/>
  <c r="H3175" i="21"/>
  <c r="G3175" i="21"/>
  <c r="I3175" i="21" s="1"/>
  <c r="AB3174" i="21"/>
  <c r="V3174" i="21"/>
  <c r="W3174" i="21" s="1"/>
  <c r="L3174" i="21"/>
  <c r="K3174" i="21"/>
  <c r="H3174" i="21"/>
  <c r="M3174" i="21" s="1"/>
  <c r="G3174" i="21"/>
  <c r="I3174" i="21" s="1"/>
  <c r="AB3173" i="21"/>
  <c r="V3173" i="21"/>
  <c r="W3173" i="21" s="1"/>
  <c r="L3173" i="21"/>
  <c r="K3173" i="21"/>
  <c r="H3173" i="21"/>
  <c r="G3173" i="21"/>
  <c r="I3173" i="21" s="1"/>
  <c r="AB3172" i="21"/>
  <c r="V3172" i="21"/>
  <c r="W3172" i="21" s="1"/>
  <c r="L3172" i="21"/>
  <c r="K3172" i="21"/>
  <c r="H3172" i="21"/>
  <c r="M3172" i="21" s="1"/>
  <c r="G3172" i="21"/>
  <c r="I3172" i="21" s="1"/>
  <c r="AB3171" i="21"/>
  <c r="V3171" i="21"/>
  <c r="W3171" i="21" s="1"/>
  <c r="L3171" i="21"/>
  <c r="K3171" i="21"/>
  <c r="H3171" i="21"/>
  <c r="G3171" i="21"/>
  <c r="I3171" i="21" s="1"/>
  <c r="AB3170" i="21"/>
  <c r="V3170" i="21"/>
  <c r="W3170" i="21" s="1"/>
  <c r="L3170" i="21"/>
  <c r="K3170" i="21"/>
  <c r="H3170" i="21"/>
  <c r="M3170" i="21" s="1"/>
  <c r="G3170" i="21"/>
  <c r="I3170" i="21" s="1"/>
  <c r="AB3169" i="21"/>
  <c r="V3169" i="21"/>
  <c r="W3169" i="21" s="1"/>
  <c r="L3169" i="21"/>
  <c r="K3169" i="21"/>
  <c r="H3169" i="21"/>
  <c r="G3169" i="21"/>
  <c r="I3169" i="21" s="1"/>
  <c r="AB3168" i="21"/>
  <c r="V3168" i="21"/>
  <c r="W3168" i="21" s="1"/>
  <c r="L3168" i="21"/>
  <c r="K3168" i="21"/>
  <c r="H3168" i="21"/>
  <c r="M3168" i="21" s="1"/>
  <c r="G3168" i="21"/>
  <c r="I3168" i="21" s="1"/>
  <c r="AB3167" i="21"/>
  <c r="V3167" i="21"/>
  <c r="W3167" i="21" s="1"/>
  <c r="L3167" i="21"/>
  <c r="K3167" i="21"/>
  <c r="H3167" i="21"/>
  <c r="G3167" i="21"/>
  <c r="I3167" i="21" s="1"/>
  <c r="AB3166" i="21"/>
  <c r="V3166" i="21"/>
  <c r="W3166" i="21" s="1"/>
  <c r="L3166" i="21"/>
  <c r="K3166" i="21"/>
  <c r="H3166" i="21"/>
  <c r="M3166" i="21" s="1"/>
  <c r="G3166" i="21"/>
  <c r="I3166" i="21" s="1"/>
  <c r="AB3165" i="21"/>
  <c r="V3165" i="21"/>
  <c r="W3165" i="21" s="1"/>
  <c r="L3165" i="21"/>
  <c r="K3165" i="21"/>
  <c r="H3165" i="21"/>
  <c r="G3165" i="21"/>
  <c r="I3165" i="21" s="1"/>
  <c r="AB3164" i="21"/>
  <c r="V3164" i="21"/>
  <c r="W3164" i="21" s="1"/>
  <c r="L3164" i="21"/>
  <c r="K3164" i="21"/>
  <c r="H3164" i="21"/>
  <c r="M3164" i="21" s="1"/>
  <c r="G3164" i="21"/>
  <c r="I3164" i="21" s="1"/>
  <c r="AB3163" i="21"/>
  <c r="V3163" i="21"/>
  <c r="W3163" i="21" s="1"/>
  <c r="L3163" i="21"/>
  <c r="K3163" i="21"/>
  <c r="H3163" i="21"/>
  <c r="G3163" i="21"/>
  <c r="I3163" i="21" s="1"/>
  <c r="AB3162" i="21"/>
  <c r="V3162" i="21"/>
  <c r="W3162" i="21" s="1"/>
  <c r="L3162" i="21"/>
  <c r="K3162" i="21"/>
  <c r="H3162" i="21"/>
  <c r="M3162" i="21" s="1"/>
  <c r="G3162" i="21"/>
  <c r="I3162" i="21" s="1"/>
  <c r="AB3161" i="21"/>
  <c r="V3161" i="21"/>
  <c r="W3161" i="21" s="1"/>
  <c r="L3161" i="21"/>
  <c r="K3161" i="21"/>
  <c r="H3161" i="21"/>
  <c r="G3161" i="21"/>
  <c r="I3161" i="21" s="1"/>
  <c r="AB3160" i="21"/>
  <c r="V3160" i="21"/>
  <c r="W3160" i="21" s="1"/>
  <c r="L3160" i="21"/>
  <c r="K3160" i="21"/>
  <c r="H3160" i="21"/>
  <c r="M3160" i="21" s="1"/>
  <c r="G3160" i="21"/>
  <c r="I3160" i="21" s="1"/>
  <c r="AB3159" i="21"/>
  <c r="V3159" i="21"/>
  <c r="W3159" i="21" s="1"/>
  <c r="L3159" i="21"/>
  <c r="K3159" i="21"/>
  <c r="H3159" i="21"/>
  <c r="G3159" i="21"/>
  <c r="I3159" i="21" s="1"/>
  <c r="AB3158" i="21"/>
  <c r="V3158" i="21"/>
  <c r="W3158" i="21" s="1"/>
  <c r="L3158" i="21"/>
  <c r="K3158" i="21"/>
  <c r="H3158" i="21"/>
  <c r="M3158" i="21" s="1"/>
  <c r="G3158" i="21"/>
  <c r="I3158" i="21" s="1"/>
  <c r="AB3157" i="21"/>
  <c r="V3157" i="21"/>
  <c r="W3157" i="21" s="1"/>
  <c r="L3157" i="21"/>
  <c r="K3157" i="21"/>
  <c r="H3157" i="21"/>
  <c r="G3157" i="21"/>
  <c r="I3157" i="21" s="1"/>
  <c r="AB3156" i="21"/>
  <c r="V3156" i="21"/>
  <c r="W3156" i="21" s="1"/>
  <c r="L3156" i="21"/>
  <c r="K3156" i="21"/>
  <c r="H3156" i="21"/>
  <c r="M3156" i="21" s="1"/>
  <c r="G3156" i="21"/>
  <c r="I3156" i="21" s="1"/>
  <c r="AB3155" i="21"/>
  <c r="V3155" i="21"/>
  <c r="W3155" i="21" s="1"/>
  <c r="L3155" i="21"/>
  <c r="K3155" i="21"/>
  <c r="H3155" i="21"/>
  <c r="G3155" i="21"/>
  <c r="I3155" i="21" s="1"/>
  <c r="AB3154" i="21"/>
  <c r="V3154" i="21"/>
  <c r="W3154" i="21" s="1"/>
  <c r="L3154" i="21"/>
  <c r="K3154" i="21"/>
  <c r="H3154" i="21"/>
  <c r="M3154" i="21" s="1"/>
  <c r="G3154" i="21"/>
  <c r="I3154" i="21" s="1"/>
  <c r="AB3153" i="21"/>
  <c r="V3153" i="21"/>
  <c r="W3153" i="21" s="1"/>
  <c r="L3153" i="21"/>
  <c r="K3153" i="21"/>
  <c r="H3153" i="21"/>
  <c r="G3153" i="21"/>
  <c r="I3153" i="21" s="1"/>
  <c r="AB3152" i="21"/>
  <c r="V3152" i="21"/>
  <c r="W3152" i="21" s="1"/>
  <c r="L3152" i="21"/>
  <c r="K3152" i="21"/>
  <c r="H3152" i="21"/>
  <c r="M3152" i="21" s="1"/>
  <c r="G3152" i="21"/>
  <c r="I3152" i="21" s="1"/>
  <c r="AB3151" i="21"/>
  <c r="V3151" i="21"/>
  <c r="W3151" i="21" s="1"/>
  <c r="L3151" i="21"/>
  <c r="K3151" i="21"/>
  <c r="H3151" i="21"/>
  <c r="G3151" i="21"/>
  <c r="I3151" i="21" s="1"/>
  <c r="AB3150" i="21"/>
  <c r="V3150" i="21"/>
  <c r="W3150" i="21" s="1"/>
  <c r="L3150" i="21"/>
  <c r="K3150" i="21"/>
  <c r="H3150" i="21"/>
  <c r="M3150" i="21" s="1"/>
  <c r="G3150" i="21"/>
  <c r="I3150" i="21" s="1"/>
  <c r="AB3149" i="21"/>
  <c r="V3149" i="21"/>
  <c r="W3149" i="21" s="1"/>
  <c r="L3149" i="21"/>
  <c r="K3149" i="21"/>
  <c r="H3149" i="21"/>
  <c r="G3149" i="21"/>
  <c r="I3149" i="21" s="1"/>
  <c r="AB3148" i="21"/>
  <c r="V3148" i="21"/>
  <c r="W3148" i="21" s="1"/>
  <c r="L3148" i="21"/>
  <c r="K3148" i="21"/>
  <c r="H3148" i="21"/>
  <c r="M3148" i="21" s="1"/>
  <c r="G3148" i="21"/>
  <c r="I3148" i="21" s="1"/>
  <c r="AB3147" i="21"/>
  <c r="V3147" i="21"/>
  <c r="W3147" i="21" s="1"/>
  <c r="L3147" i="21"/>
  <c r="K3147" i="21"/>
  <c r="H3147" i="21"/>
  <c r="G3147" i="21"/>
  <c r="I3147" i="21" s="1"/>
  <c r="AB3146" i="21"/>
  <c r="V3146" i="21"/>
  <c r="W3146" i="21" s="1"/>
  <c r="L3146" i="21"/>
  <c r="K3146" i="21"/>
  <c r="H3146" i="21"/>
  <c r="M3146" i="21" s="1"/>
  <c r="G3146" i="21"/>
  <c r="I3146" i="21" s="1"/>
  <c r="AB3145" i="21"/>
  <c r="V3145" i="21"/>
  <c r="W3145" i="21" s="1"/>
  <c r="L3145" i="21"/>
  <c r="K3145" i="21"/>
  <c r="H3145" i="21"/>
  <c r="G3145" i="21"/>
  <c r="I3145" i="21" s="1"/>
  <c r="AB3144" i="21"/>
  <c r="V3144" i="21"/>
  <c r="W3144" i="21" s="1"/>
  <c r="L3144" i="21"/>
  <c r="K3144" i="21"/>
  <c r="H3144" i="21"/>
  <c r="G3144" i="21"/>
  <c r="I3144" i="21" s="1"/>
  <c r="AB3143" i="21"/>
  <c r="V3143" i="21"/>
  <c r="W3143" i="21" s="1"/>
  <c r="L3143" i="21"/>
  <c r="K3143" i="21"/>
  <c r="H3143" i="21"/>
  <c r="M3143" i="21" s="1"/>
  <c r="G3143" i="21"/>
  <c r="I3143" i="21" s="1"/>
  <c r="AB3142" i="21"/>
  <c r="V3142" i="21"/>
  <c r="W3142" i="21" s="1"/>
  <c r="L3142" i="21"/>
  <c r="K3142" i="21"/>
  <c r="H3142" i="21"/>
  <c r="G3142" i="21"/>
  <c r="I3142" i="21" s="1"/>
  <c r="AB3141" i="21"/>
  <c r="V3141" i="21"/>
  <c r="W3141" i="21" s="1"/>
  <c r="L3141" i="21"/>
  <c r="K3141" i="21"/>
  <c r="H3141" i="21"/>
  <c r="M3141" i="21" s="1"/>
  <c r="G3141" i="21"/>
  <c r="I3141" i="21" s="1"/>
  <c r="AB3140" i="21"/>
  <c r="V3140" i="21"/>
  <c r="W3140" i="21" s="1"/>
  <c r="L3140" i="21"/>
  <c r="K3140" i="21"/>
  <c r="H3140" i="21"/>
  <c r="G3140" i="21"/>
  <c r="I3140" i="21" s="1"/>
  <c r="AB3139" i="21"/>
  <c r="V3139" i="21"/>
  <c r="W3139" i="21" s="1"/>
  <c r="L3139" i="21"/>
  <c r="K3139" i="21"/>
  <c r="H3139" i="21"/>
  <c r="M3139" i="21" s="1"/>
  <c r="G3139" i="21"/>
  <c r="I3139" i="21" s="1"/>
  <c r="AB3138" i="21"/>
  <c r="V3138" i="21"/>
  <c r="W3138" i="21" s="1"/>
  <c r="L3138" i="21"/>
  <c r="K3138" i="21"/>
  <c r="H3138" i="21"/>
  <c r="G3138" i="21"/>
  <c r="I3138" i="21" s="1"/>
  <c r="AB3137" i="21"/>
  <c r="V3137" i="21"/>
  <c r="W3137" i="21" s="1"/>
  <c r="L3137" i="21"/>
  <c r="K3137" i="21"/>
  <c r="H3137" i="21"/>
  <c r="M3137" i="21" s="1"/>
  <c r="G3137" i="21"/>
  <c r="I3137" i="21" s="1"/>
  <c r="AB3136" i="21"/>
  <c r="V3136" i="21"/>
  <c r="W3136" i="21" s="1"/>
  <c r="L3136" i="21"/>
  <c r="K3136" i="21"/>
  <c r="H3136" i="21"/>
  <c r="G3136" i="21"/>
  <c r="I3136" i="21" s="1"/>
  <c r="AB3135" i="21"/>
  <c r="V3135" i="21"/>
  <c r="W3135" i="21" s="1"/>
  <c r="L3135" i="21"/>
  <c r="K3135" i="21"/>
  <c r="H3135" i="21"/>
  <c r="M3135" i="21" s="1"/>
  <c r="G3135" i="21"/>
  <c r="I3135" i="21" s="1"/>
  <c r="AB3134" i="21"/>
  <c r="V3134" i="21"/>
  <c r="W3134" i="21" s="1"/>
  <c r="L3134" i="21"/>
  <c r="K3134" i="21"/>
  <c r="H3134" i="21"/>
  <c r="G3134" i="21"/>
  <c r="I3134" i="21" s="1"/>
  <c r="AB3133" i="21"/>
  <c r="V3133" i="21"/>
  <c r="W3133" i="21" s="1"/>
  <c r="L3133" i="21"/>
  <c r="K3133" i="21"/>
  <c r="H3133" i="21"/>
  <c r="M3133" i="21" s="1"/>
  <c r="G3133" i="21"/>
  <c r="I3133" i="21" s="1"/>
  <c r="AB3132" i="21"/>
  <c r="V3132" i="21"/>
  <c r="W3132" i="21" s="1"/>
  <c r="L3132" i="21"/>
  <c r="K3132" i="21"/>
  <c r="H3132" i="21"/>
  <c r="G3132" i="21"/>
  <c r="I3132" i="21" s="1"/>
  <c r="AB3131" i="21"/>
  <c r="V3131" i="21"/>
  <c r="W3131" i="21" s="1"/>
  <c r="L3131" i="21"/>
  <c r="K3131" i="21"/>
  <c r="H3131" i="21"/>
  <c r="M3131" i="21" s="1"/>
  <c r="G3131" i="21"/>
  <c r="I3131" i="21" s="1"/>
  <c r="AB3130" i="21"/>
  <c r="V3130" i="21"/>
  <c r="W3130" i="21" s="1"/>
  <c r="L3130" i="21"/>
  <c r="K3130" i="21"/>
  <c r="H3130" i="21"/>
  <c r="G3130" i="21"/>
  <c r="I3130" i="21" s="1"/>
  <c r="AB3129" i="21"/>
  <c r="V3129" i="21"/>
  <c r="W3129" i="21" s="1"/>
  <c r="L3129" i="21"/>
  <c r="K3129" i="21"/>
  <c r="H3129" i="21"/>
  <c r="M3129" i="21" s="1"/>
  <c r="G3129" i="21"/>
  <c r="I3129" i="21" s="1"/>
  <c r="AB3128" i="21"/>
  <c r="V3128" i="21"/>
  <c r="W3128" i="21" s="1"/>
  <c r="L3128" i="21"/>
  <c r="K3128" i="21"/>
  <c r="H3128" i="21"/>
  <c r="G3128" i="21"/>
  <c r="I3128" i="21" s="1"/>
  <c r="AB3127" i="21"/>
  <c r="V3127" i="21"/>
  <c r="W3127" i="21" s="1"/>
  <c r="L3127" i="21"/>
  <c r="K3127" i="21"/>
  <c r="H3127" i="21"/>
  <c r="M3127" i="21" s="1"/>
  <c r="G3127" i="21"/>
  <c r="I3127" i="21" s="1"/>
  <c r="AB3126" i="21"/>
  <c r="V3126" i="21"/>
  <c r="W3126" i="21" s="1"/>
  <c r="L3126" i="21"/>
  <c r="K3126" i="21"/>
  <c r="H3126" i="21"/>
  <c r="G3126" i="21"/>
  <c r="I3126" i="21" s="1"/>
  <c r="AB3125" i="21"/>
  <c r="V3125" i="21"/>
  <c r="W3125" i="21" s="1"/>
  <c r="L3125" i="21"/>
  <c r="K3125" i="21"/>
  <c r="H3125" i="21"/>
  <c r="M3125" i="21" s="1"/>
  <c r="G3125" i="21"/>
  <c r="I3125" i="21" s="1"/>
  <c r="AB3124" i="21"/>
  <c r="V3124" i="21"/>
  <c r="W3124" i="21" s="1"/>
  <c r="L3124" i="21"/>
  <c r="K3124" i="21"/>
  <c r="H3124" i="21"/>
  <c r="G3124" i="21"/>
  <c r="I3124" i="21" s="1"/>
  <c r="AB3123" i="21"/>
  <c r="V3123" i="21"/>
  <c r="W3123" i="21" s="1"/>
  <c r="L3123" i="21"/>
  <c r="K3123" i="21"/>
  <c r="H3123" i="21"/>
  <c r="M3123" i="21" s="1"/>
  <c r="G3123" i="21"/>
  <c r="I3123" i="21" s="1"/>
  <c r="AB3122" i="21"/>
  <c r="V3122" i="21"/>
  <c r="W3122" i="21" s="1"/>
  <c r="L3122" i="21"/>
  <c r="K3122" i="21"/>
  <c r="H3122" i="21"/>
  <c r="G3122" i="21"/>
  <c r="I3122" i="21" s="1"/>
  <c r="AB3121" i="21"/>
  <c r="V3121" i="21"/>
  <c r="W3121" i="21" s="1"/>
  <c r="L3121" i="21"/>
  <c r="K3121" i="21"/>
  <c r="H3121" i="21"/>
  <c r="M3121" i="21" s="1"/>
  <c r="G3121" i="21"/>
  <c r="I3121" i="21" s="1"/>
  <c r="AB3120" i="21"/>
  <c r="V3120" i="21"/>
  <c r="W3120" i="21" s="1"/>
  <c r="L3120" i="21"/>
  <c r="K3120" i="21"/>
  <c r="H3120" i="21"/>
  <c r="G3120" i="21"/>
  <c r="I3120" i="21" s="1"/>
  <c r="AB3119" i="21"/>
  <c r="V3119" i="21"/>
  <c r="W3119" i="21" s="1"/>
  <c r="L3119" i="21"/>
  <c r="K3119" i="21"/>
  <c r="H3119" i="21"/>
  <c r="M3119" i="21" s="1"/>
  <c r="G3119" i="21"/>
  <c r="I3119" i="21" s="1"/>
  <c r="AB3118" i="21"/>
  <c r="V3118" i="21"/>
  <c r="W3118" i="21" s="1"/>
  <c r="L3118" i="21"/>
  <c r="K3118" i="21"/>
  <c r="H3118" i="21"/>
  <c r="G3118" i="21"/>
  <c r="I3118" i="21" s="1"/>
  <c r="AB3117" i="21"/>
  <c r="V3117" i="21"/>
  <c r="W3117" i="21" s="1"/>
  <c r="L3117" i="21"/>
  <c r="K3117" i="21"/>
  <c r="H3117" i="21"/>
  <c r="M3117" i="21" s="1"/>
  <c r="G3117" i="21"/>
  <c r="I3117" i="21" s="1"/>
  <c r="AB3116" i="21"/>
  <c r="V3116" i="21"/>
  <c r="W3116" i="21" s="1"/>
  <c r="L3116" i="21"/>
  <c r="K3116" i="21"/>
  <c r="H3116" i="21"/>
  <c r="G3116" i="21"/>
  <c r="I3116" i="21" s="1"/>
  <c r="AB3115" i="21"/>
  <c r="V3115" i="21"/>
  <c r="W3115" i="21" s="1"/>
  <c r="L3115" i="21"/>
  <c r="K3115" i="21"/>
  <c r="H3115" i="21"/>
  <c r="M3115" i="21" s="1"/>
  <c r="G3115" i="21"/>
  <c r="I3115" i="21" s="1"/>
  <c r="AB3114" i="21"/>
  <c r="V3114" i="21"/>
  <c r="W3114" i="21" s="1"/>
  <c r="L3114" i="21"/>
  <c r="K3114" i="21"/>
  <c r="H3114" i="21"/>
  <c r="G3114" i="21"/>
  <c r="I3114" i="21" s="1"/>
  <c r="AB3113" i="21"/>
  <c r="V3113" i="21"/>
  <c r="W3113" i="21" s="1"/>
  <c r="L3113" i="21"/>
  <c r="K3113" i="21"/>
  <c r="H3113" i="21"/>
  <c r="M3113" i="21" s="1"/>
  <c r="G3113" i="21"/>
  <c r="I3113" i="21" s="1"/>
  <c r="AB3112" i="21"/>
  <c r="V3112" i="21"/>
  <c r="W3112" i="21" s="1"/>
  <c r="L3112" i="21"/>
  <c r="K3112" i="21"/>
  <c r="H3112" i="21"/>
  <c r="G3112" i="21"/>
  <c r="I3112" i="21" s="1"/>
  <c r="AB3111" i="21"/>
  <c r="V3111" i="21"/>
  <c r="W3111" i="21" s="1"/>
  <c r="L3111" i="21"/>
  <c r="K3111" i="21"/>
  <c r="H3111" i="21"/>
  <c r="M3111" i="21" s="1"/>
  <c r="G3111" i="21"/>
  <c r="I3111" i="21" s="1"/>
  <c r="AB3110" i="21"/>
  <c r="V3110" i="21"/>
  <c r="W3110" i="21" s="1"/>
  <c r="L3110" i="21"/>
  <c r="K3110" i="21"/>
  <c r="H3110" i="21"/>
  <c r="G3110" i="21"/>
  <c r="I3110" i="21" s="1"/>
  <c r="AB3109" i="21"/>
  <c r="V3109" i="21"/>
  <c r="W3109" i="21" s="1"/>
  <c r="L3109" i="21"/>
  <c r="K3109" i="21"/>
  <c r="H3109" i="21"/>
  <c r="M3109" i="21" s="1"/>
  <c r="G3109" i="21"/>
  <c r="I3109" i="21" s="1"/>
  <c r="AB3108" i="21"/>
  <c r="V3108" i="21"/>
  <c r="W3108" i="21" s="1"/>
  <c r="L3108" i="21"/>
  <c r="K3108" i="21"/>
  <c r="H3108" i="21"/>
  <c r="G3108" i="21"/>
  <c r="I3108" i="21" s="1"/>
  <c r="AB3107" i="21"/>
  <c r="V3107" i="21"/>
  <c r="W3107" i="21" s="1"/>
  <c r="L3107" i="21"/>
  <c r="K3107" i="21"/>
  <c r="H3107" i="21"/>
  <c r="M3107" i="21" s="1"/>
  <c r="G3107" i="21"/>
  <c r="I3107" i="21" s="1"/>
  <c r="AB3106" i="21"/>
  <c r="V3106" i="21"/>
  <c r="W3106" i="21" s="1"/>
  <c r="L3106" i="21"/>
  <c r="K3106" i="21"/>
  <c r="H3106" i="21"/>
  <c r="G3106" i="21"/>
  <c r="I3106" i="21" s="1"/>
  <c r="AB3105" i="21"/>
  <c r="V3105" i="21"/>
  <c r="W3105" i="21" s="1"/>
  <c r="L3105" i="21"/>
  <c r="K3105" i="21"/>
  <c r="H3105" i="21"/>
  <c r="M3105" i="21" s="1"/>
  <c r="G3105" i="21"/>
  <c r="I3105" i="21" s="1"/>
  <c r="AB3104" i="21"/>
  <c r="V3104" i="21"/>
  <c r="W3104" i="21" s="1"/>
  <c r="L3104" i="21"/>
  <c r="K3104" i="21"/>
  <c r="H3104" i="21"/>
  <c r="G3104" i="21"/>
  <c r="I3104" i="21" s="1"/>
  <c r="AB3103" i="21"/>
  <c r="V3103" i="21"/>
  <c r="W3103" i="21" s="1"/>
  <c r="L3103" i="21"/>
  <c r="K3103" i="21"/>
  <c r="H3103" i="21"/>
  <c r="M3103" i="21" s="1"/>
  <c r="G3103" i="21"/>
  <c r="I3103" i="21" s="1"/>
  <c r="AB3102" i="21"/>
  <c r="V3102" i="21"/>
  <c r="W3102" i="21" s="1"/>
  <c r="L3102" i="21"/>
  <c r="K3102" i="21"/>
  <c r="H3102" i="21"/>
  <c r="G3102" i="21"/>
  <c r="I3102" i="21" s="1"/>
  <c r="AB3101" i="21"/>
  <c r="V3101" i="21"/>
  <c r="W3101" i="21" s="1"/>
  <c r="L3101" i="21"/>
  <c r="K3101" i="21"/>
  <c r="H3101" i="21"/>
  <c r="M3101" i="21" s="1"/>
  <c r="G3101" i="21"/>
  <c r="I3101" i="21" s="1"/>
  <c r="AB3100" i="21"/>
  <c r="V3100" i="21"/>
  <c r="W3100" i="21" s="1"/>
  <c r="L3100" i="21"/>
  <c r="K3100" i="21"/>
  <c r="H3100" i="21"/>
  <c r="G3100" i="21"/>
  <c r="I3100" i="21" s="1"/>
  <c r="AB3099" i="21"/>
  <c r="V3099" i="21"/>
  <c r="W3099" i="21" s="1"/>
  <c r="L3099" i="21"/>
  <c r="K3099" i="21"/>
  <c r="H3099" i="21"/>
  <c r="M3099" i="21" s="1"/>
  <c r="G3099" i="21"/>
  <c r="I3099" i="21" s="1"/>
  <c r="AB3098" i="21"/>
  <c r="V3098" i="21"/>
  <c r="W3098" i="21" s="1"/>
  <c r="L3098" i="21"/>
  <c r="K3098" i="21"/>
  <c r="H3098" i="21"/>
  <c r="G3098" i="21"/>
  <c r="I3098" i="21" s="1"/>
  <c r="AB3097" i="21"/>
  <c r="V3097" i="21"/>
  <c r="W3097" i="21" s="1"/>
  <c r="L3097" i="21"/>
  <c r="K3097" i="21"/>
  <c r="H3097" i="21"/>
  <c r="M3097" i="21" s="1"/>
  <c r="G3097" i="21"/>
  <c r="I3097" i="21" s="1"/>
  <c r="AB3096" i="21"/>
  <c r="V3096" i="21"/>
  <c r="W3096" i="21" s="1"/>
  <c r="L3096" i="21"/>
  <c r="K3096" i="21"/>
  <c r="H3096" i="21"/>
  <c r="G3096" i="21"/>
  <c r="I3096" i="21" s="1"/>
  <c r="AB3095" i="21"/>
  <c r="V3095" i="21"/>
  <c r="W3095" i="21" s="1"/>
  <c r="L3095" i="21"/>
  <c r="K3095" i="21"/>
  <c r="H3095" i="21"/>
  <c r="M3095" i="21" s="1"/>
  <c r="G3095" i="21"/>
  <c r="I3095" i="21" s="1"/>
  <c r="AB3094" i="21"/>
  <c r="V3094" i="21"/>
  <c r="W3094" i="21" s="1"/>
  <c r="L3094" i="21"/>
  <c r="K3094" i="21"/>
  <c r="H3094" i="21"/>
  <c r="G3094" i="21"/>
  <c r="I3094" i="21" s="1"/>
  <c r="AB3093" i="21"/>
  <c r="V3093" i="21"/>
  <c r="W3093" i="21" s="1"/>
  <c r="L3093" i="21"/>
  <c r="K3093" i="21"/>
  <c r="H3093" i="21"/>
  <c r="M3093" i="21" s="1"/>
  <c r="G3093" i="21"/>
  <c r="I3093" i="21" s="1"/>
  <c r="AB3092" i="21"/>
  <c r="V3092" i="21"/>
  <c r="W3092" i="21" s="1"/>
  <c r="L3092" i="21"/>
  <c r="K3092" i="21"/>
  <c r="H3092" i="21"/>
  <c r="G3092" i="21"/>
  <c r="I3092" i="21" s="1"/>
  <c r="AB3091" i="21"/>
  <c r="V3091" i="21"/>
  <c r="W3091" i="21" s="1"/>
  <c r="L3091" i="21"/>
  <c r="K3091" i="21"/>
  <c r="H3091" i="21"/>
  <c r="M3091" i="21" s="1"/>
  <c r="G3091" i="21"/>
  <c r="I3091" i="21" s="1"/>
  <c r="AB3090" i="21"/>
  <c r="V3090" i="21"/>
  <c r="W3090" i="21" s="1"/>
  <c r="L3090" i="21"/>
  <c r="K3090" i="21"/>
  <c r="H3090" i="21"/>
  <c r="G3090" i="21"/>
  <c r="I3090" i="21" s="1"/>
  <c r="AB3089" i="21"/>
  <c r="V3089" i="21"/>
  <c r="W3089" i="21" s="1"/>
  <c r="L3089" i="21"/>
  <c r="K3089" i="21"/>
  <c r="H3089" i="21"/>
  <c r="M3089" i="21" s="1"/>
  <c r="G3089" i="21"/>
  <c r="I3089" i="21" s="1"/>
  <c r="AB3088" i="21"/>
  <c r="V3088" i="21"/>
  <c r="W3088" i="21" s="1"/>
  <c r="L3088" i="21"/>
  <c r="K3088" i="21"/>
  <c r="H3088" i="21"/>
  <c r="G3088" i="21"/>
  <c r="I3088" i="21" s="1"/>
  <c r="AB3087" i="21"/>
  <c r="V3087" i="21"/>
  <c r="W3087" i="21" s="1"/>
  <c r="L3087" i="21"/>
  <c r="K3087" i="21"/>
  <c r="H3087" i="21"/>
  <c r="M3087" i="21" s="1"/>
  <c r="G3087" i="21"/>
  <c r="I3087" i="21" s="1"/>
  <c r="AB3086" i="21"/>
  <c r="V3086" i="21"/>
  <c r="W3086" i="21" s="1"/>
  <c r="L3086" i="21"/>
  <c r="K3086" i="21"/>
  <c r="H3086" i="21"/>
  <c r="G3086" i="21"/>
  <c r="I3086" i="21" s="1"/>
  <c r="AB3085" i="21"/>
  <c r="V3085" i="21"/>
  <c r="W3085" i="21" s="1"/>
  <c r="L3085" i="21"/>
  <c r="K3085" i="21"/>
  <c r="H3085" i="21"/>
  <c r="M3085" i="21" s="1"/>
  <c r="G3085" i="21"/>
  <c r="I3085" i="21" s="1"/>
  <c r="AB3084" i="21"/>
  <c r="V3084" i="21"/>
  <c r="W3084" i="21" s="1"/>
  <c r="L3084" i="21"/>
  <c r="K3084" i="21"/>
  <c r="H3084" i="21"/>
  <c r="G3084" i="21"/>
  <c r="I3084" i="21" s="1"/>
  <c r="AB3083" i="21"/>
  <c r="V3083" i="21"/>
  <c r="W3083" i="21" s="1"/>
  <c r="L3083" i="21"/>
  <c r="K3083" i="21"/>
  <c r="H3083" i="21"/>
  <c r="M3083" i="21" s="1"/>
  <c r="G3083" i="21"/>
  <c r="I3083" i="21" s="1"/>
  <c r="AB3082" i="21"/>
  <c r="V3082" i="21"/>
  <c r="W3082" i="21" s="1"/>
  <c r="L3082" i="21"/>
  <c r="K3082" i="21"/>
  <c r="H3082" i="21"/>
  <c r="G3082" i="21"/>
  <c r="I3082" i="21" s="1"/>
  <c r="AB3081" i="21"/>
  <c r="V3081" i="21"/>
  <c r="W3081" i="21" s="1"/>
  <c r="L3081" i="21"/>
  <c r="K3081" i="21"/>
  <c r="H3081" i="21"/>
  <c r="G3081" i="21"/>
  <c r="I3081" i="21" s="1"/>
  <c r="AB3080" i="21"/>
  <c r="V3080" i="21"/>
  <c r="W3080" i="21" s="1"/>
  <c r="L3080" i="21"/>
  <c r="K3080" i="21"/>
  <c r="H3080" i="21"/>
  <c r="G3080" i="21"/>
  <c r="I3080" i="21" s="1"/>
  <c r="AB3079" i="21"/>
  <c r="V3079" i="21"/>
  <c r="W3079" i="21" s="1"/>
  <c r="L3079" i="21"/>
  <c r="K3079" i="21"/>
  <c r="H3079" i="21"/>
  <c r="G3079" i="21"/>
  <c r="I3079" i="21" s="1"/>
  <c r="AB3078" i="21"/>
  <c r="V3078" i="21"/>
  <c r="W3078" i="21" s="1"/>
  <c r="L3078" i="21"/>
  <c r="K3078" i="21"/>
  <c r="H3078" i="21"/>
  <c r="G3078" i="21"/>
  <c r="I3078" i="21" s="1"/>
  <c r="AB3077" i="21"/>
  <c r="V3077" i="21"/>
  <c r="W3077" i="21" s="1"/>
  <c r="L3077" i="21"/>
  <c r="K3077" i="21"/>
  <c r="H3077" i="21"/>
  <c r="G3077" i="21"/>
  <c r="I3077" i="21" s="1"/>
  <c r="AB3076" i="21"/>
  <c r="V3076" i="21"/>
  <c r="W3076" i="21" s="1"/>
  <c r="L3076" i="21"/>
  <c r="K3076" i="21"/>
  <c r="H3076" i="21"/>
  <c r="G3076" i="21"/>
  <c r="I3076" i="21" s="1"/>
  <c r="AB3075" i="21"/>
  <c r="V3075" i="21"/>
  <c r="W3075" i="21" s="1"/>
  <c r="L3075" i="21"/>
  <c r="K3075" i="21"/>
  <c r="H3075" i="21"/>
  <c r="G3075" i="21"/>
  <c r="I3075" i="21" s="1"/>
  <c r="AB3074" i="21"/>
  <c r="V3074" i="21"/>
  <c r="W3074" i="21" s="1"/>
  <c r="L3074" i="21"/>
  <c r="K3074" i="21"/>
  <c r="H3074" i="21"/>
  <c r="G3074" i="21"/>
  <c r="I3074" i="21" s="1"/>
  <c r="AB3073" i="21"/>
  <c r="V3073" i="21"/>
  <c r="W3073" i="21" s="1"/>
  <c r="L3073" i="21"/>
  <c r="K3073" i="21"/>
  <c r="H3073" i="21"/>
  <c r="G3073" i="21"/>
  <c r="I3073" i="21" s="1"/>
  <c r="AB3072" i="21"/>
  <c r="V3072" i="21"/>
  <c r="W3072" i="21" s="1"/>
  <c r="L3072" i="21"/>
  <c r="K3072" i="21"/>
  <c r="H3072" i="21"/>
  <c r="G3072" i="21"/>
  <c r="I3072" i="21" s="1"/>
  <c r="AB3071" i="21"/>
  <c r="V3071" i="21"/>
  <c r="W3071" i="21" s="1"/>
  <c r="L3071" i="21"/>
  <c r="K3071" i="21"/>
  <c r="H3071" i="21"/>
  <c r="G3071" i="21"/>
  <c r="I3071" i="21" s="1"/>
  <c r="AB3070" i="21"/>
  <c r="V3070" i="21"/>
  <c r="W3070" i="21" s="1"/>
  <c r="L3070" i="21"/>
  <c r="K3070" i="21"/>
  <c r="H3070" i="21"/>
  <c r="G3070" i="21"/>
  <c r="I3070" i="21" s="1"/>
  <c r="AB3069" i="21"/>
  <c r="V3069" i="21"/>
  <c r="W3069" i="21" s="1"/>
  <c r="L3069" i="21"/>
  <c r="K3069" i="21"/>
  <c r="H3069" i="21"/>
  <c r="G3069" i="21"/>
  <c r="I3069" i="21" s="1"/>
  <c r="AB3068" i="21"/>
  <c r="V3068" i="21"/>
  <c r="W3068" i="21" s="1"/>
  <c r="L3068" i="21"/>
  <c r="K3068" i="21"/>
  <c r="H3068" i="21"/>
  <c r="G3068" i="21"/>
  <c r="I3068" i="21" s="1"/>
  <c r="AB3067" i="21"/>
  <c r="V3067" i="21"/>
  <c r="W3067" i="21" s="1"/>
  <c r="L3067" i="21"/>
  <c r="K3067" i="21"/>
  <c r="H3067" i="21"/>
  <c r="G3067" i="21"/>
  <c r="I3067" i="21" s="1"/>
  <c r="AB3066" i="21"/>
  <c r="V3066" i="21"/>
  <c r="W3066" i="21" s="1"/>
  <c r="L3066" i="21"/>
  <c r="K3066" i="21"/>
  <c r="H3066" i="21"/>
  <c r="G3066" i="21"/>
  <c r="I3066" i="21" s="1"/>
  <c r="AB3065" i="21"/>
  <c r="V3065" i="21"/>
  <c r="W3065" i="21" s="1"/>
  <c r="L3065" i="21"/>
  <c r="K3065" i="21"/>
  <c r="H3065" i="21"/>
  <c r="G3065" i="21"/>
  <c r="I3065" i="21" s="1"/>
  <c r="AB3064" i="21"/>
  <c r="V3064" i="21"/>
  <c r="W3064" i="21" s="1"/>
  <c r="L3064" i="21"/>
  <c r="K3064" i="21"/>
  <c r="H3064" i="21"/>
  <c r="G3064" i="21"/>
  <c r="I3064" i="21" s="1"/>
  <c r="AB3063" i="21"/>
  <c r="V3063" i="21"/>
  <c r="W3063" i="21" s="1"/>
  <c r="L3063" i="21"/>
  <c r="K3063" i="21"/>
  <c r="H3063" i="21"/>
  <c r="G3063" i="21"/>
  <c r="I3063" i="21" s="1"/>
  <c r="AB3062" i="21"/>
  <c r="V3062" i="21"/>
  <c r="W3062" i="21" s="1"/>
  <c r="L3062" i="21"/>
  <c r="K3062" i="21"/>
  <c r="H3062" i="21"/>
  <c r="G3062" i="21"/>
  <c r="I3062" i="21" s="1"/>
  <c r="AB3061" i="21"/>
  <c r="V3061" i="21"/>
  <c r="W3061" i="21" s="1"/>
  <c r="L3061" i="21"/>
  <c r="K3061" i="21"/>
  <c r="H3061" i="21"/>
  <c r="G3061" i="21"/>
  <c r="I3061" i="21" s="1"/>
  <c r="AB3060" i="21"/>
  <c r="V3060" i="21"/>
  <c r="W3060" i="21" s="1"/>
  <c r="L3060" i="21"/>
  <c r="K3060" i="21"/>
  <c r="H3060" i="21"/>
  <c r="G3060" i="21"/>
  <c r="I3060" i="21" s="1"/>
  <c r="AB3059" i="21"/>
  <c r="V3059" i="21"/>
  <c r="W3059" i="21" s="1"/>
  <c r="L3059" i="21"/>
  <c r="K3059" i="21"/>
  <c r="H3059" i="21"/>
  <c r="G3059" i="21"/>
  <c r="I3059" i="21" s="1"/>
  <c r="AB3058" i="21"/>
  <c r="V3058" i="21"/>
  <c r="W3058" i="21" s="1"/>
  <c r="L3058" i="21"/>
  <c r="K3058" i="21"/>
  <c r="H3058" i="21"/>
  <c r="G3058" i="21"/>
  <c r="I3058" i="21" s="1"/>
  <c r="AB3057" i="21"/>
  <c r="V3057" i="21"/>
  <c r="W3057" i="21" s="1"/>
  <c r="L3057" i="21"/>
  <c r="K3057" i="21"/>
  <c r="H3057" i="21"/>
  <c r="G3057" i="21"/>
  <c r="I3057" i="21" s="1"/>
  <c r="AB3056" i="21"/>
  <c r="V3056" i="21"/>
  <c r="W3056" i="21" s="1"/>
  <c r="L3056" i="21"/>
  <c r="K3056" i="21"/>
  <c r="H3056" i="21"/>
  <c r="G3056" i="21"/>
  <c r="I3056" i="21" s="1"/>
  <c r="AB3055" i="21"/>
  <c r="V3055" i="21"/>
  <c r="W3055" i="21" s="1"/>
  <c r="L3055" i="21"/>
  <c r="K3055" i="21"/>
  <c r="H3055" i="21"/>
  <c r="G3055" i="21"/>
  <c r="I3055" i="21" s="1"/>
  <c r="AB3054" i="21"/>
  <c r="V3054" i="21"/>
  <c r="W3054" i="21" s="1"/>
  <c r="L3054" i="21"/>
  <c r="K3054" i="21"/>
  <c r="H3054" i="21"/>
  <c r="G3054" i="21"/>
  <c r="I3054" i="21" s="1"/>
  <c r="AB3053" i="21"/>
  <c r="V3053" i="21"/>
  <c r="W3053" i="21" s="1"/>
  <c r="L3053" i="21"/>
  <c r="K3053" i="21"/>
  <c r="H3053" i="21"/>
  <c r="G3053" i="21"/>
  <c r="I3053" i="21" s="1"/>
  <c r="AB3052" i="21"/>
  <c r="V3052" i="21"/>
  <c r="W3052" i="21" s="1"/>
  <c r="L3052" i="21"/>
  <c r="K3052" i="21"/>
  <c r="H3052" i="21"/>
  <c r="G3052" i="21"/>
  <c r="I3052" i="21" s="1"/>
  <c r="AB3051" i="21"/>
  <c r="V3051" i="21"/>
  <c r="W3051" i="21" s="1"/>
  <c r="L3051" i="21"/>
  <c r="K3051" i="21"/>
  <c r="H3051" i="21"/>
  <c r="G3051" i="21"/>
  <c r="I3051" i="21" s="1"/>
  <c r="AB3050" i="21"/>
  <c r="V3050" i="21"/>
  <c r="W3050" i="21" s="1"/>
  <c r="L3050" i="21"/>
  <c r="K3050" i="21"/>
  <c r="H3050" i="21"/>
  <c r="G3050" i="21"/>
  <c r="I3050" i="21" s="1"/>
  <c r="AB3049" i="21"/>
  <c r="V3049" i="21"/>
  <c r="W3049" i="21" s="1"/>
  <c r="L3049" i="21"/>
  <c r="K3049" i="21"/>
  <c r="H3049" i="21"/>
  <c r="G3049" i="21"/>
  <c r="I3049" i="21" s="1"/>
  <c r="AB3048" i="21"/>
  <c r="V3048" i="21"/>
  <c r="W3048" i="21" s="1"/>
  <c r="L3048" i="21"/>
  <c r="K3048" i="21"/>
  <c r="H3048" i="21"/>
  <c r="G3048" i="21"/>
  <c r="I3048" i="21" s="1"/>
  <c r="AB3047" i="21"/>
  <c r="V3047" i="21"/>
  <c r="W3047" i="21" s="1"/>
  <c r="L3047" i="21"/>
  <c r="K3047" i="21"/>
  <c r="H3047" i="21"/>
  <c r="G3047" i="21"/>
  <c r="I3047" i="21" s="1"/>
  <c r="AB3046" i="21"/>
  <c r="V3046" i="21"/>
  <c r="W3046" i="21" s="1"/>
  <c r="L3046" i="21"/>
  <c r="K3046" i="21"/>
  <c r="H3046" i="21"/>
  <c r="G3046" i="21"/>
  <c r="I3046" i="21" s="1"/>
  <c r="AB3045" i="21"/>
  <c r="V3045" i="21"/>
  <c r="W3045" i="21" s="1"/>
  <c r="L3045" i="21"/>
  <c r="K3045" i="21"/>
  <c r="H3045" i="21"/>
  <c r="G3045" i="21"/>
  <c r="I3045" i="21" s="1"/>
  <c r="AB3044" i="21"/>
  <c r="V3044" i="21"/>
  <c r="W3044" i="21" s="1"/>
  <c r="L3044" i="21"/>
  <c r="K3044" i="21"/>
  <c r="H3044" i="21"/>
  <c r="G3044" i="21"/>
  <c r="I3044" i="21" s="1"/>
  <c r="AB3043" i="21"/>
  <c r="V3043" i="21"/>
  <c r="W3043" i="21" s="1"/>
  <c r="L3043" i="21"/>
  <c r="K3043" i="21"/>
  <c r="H3043" i="21"/>
  <c r="G3043" i="21"/>
  <c r="I3043" i="21" s="1"/>
  <c r="AB3042" i="21"/>
  <c r="V3042" i="21"/>
  <c r="W3042" i="21" s="1"/>
  <c r="L3042" i="21"/>
  <c r="K3042" i="21"/>
  <c r="H3042" i="21"/>
  <c r="G3042" i="21"/>
  <c r="I3042" i="21" s="1"/>
  <c r="AB3041" i="21"/>
  <c r="V3041" i="21"/>
  <c r="W3041" i="21" s="1"/>
  <c r="L3041" i="21"/>
  <c r="K3041" i="21"/>
  <c r="H3041" i="21"/>
  <c r="G3041" i="21"/>
  <c r="I3041" i="21" s="1"/>
  <c r="AB3040" i="21"/>
  <c r="V3040" i="21"/>
  <c r="W3040" i="21" s="1"/>
  <c r="L3040" i="21"/>
  <c r="K3040" i="21"/>
  <c r="H3040" i="21"/>
  <c r="G3040" i="21"/>
  <c r="I3040" i="21" s="1"/>
  <c r="AB3039" i="21"/>
  <c r="V3039" i="21"/>
  <c r="W3039" i="21" s="1"/>
  <c r="L3039" i="21"/>
  <c r="K3039" i="21"/>
  <c r="H3039" i="21"/>
  <c r="G3039" i="21"/>
  <c r="I3039" i="21" s="1"/>
  <c r="AB3038" i="21"/>
  <c r="V3038" i="21"/>
  <c r="W3038" i="21" s="1"/>
  <c r="L3038" i="21"/>
  <c r="K3038" i="21"/>
  <c r="H3038" i="21"/>
  <c r="G3038" i="21"/>
  <c r="I3038" i="21" s="1"/>
  <c r="AB3037" i="21"/>
  <c r="V3037" i="21"/>
  <c r="W3037" i="21" s="1"/>
  <c r="L3037" i="21"/>
  <c r="K3037" i="21"/>
  <c r="H3037" i="21"/>
  <c r="G3037" i="21"/>
  <c r="I3037" i="21" s="1"/>
  <c r="AB3036" i="21"/>
  <c r="V3036" i="21"/>
  <c r="W3036" i="21" s="1"/>
  <c r="L3036" i="21"/>
  <c r="K3036" i="21"/>
  <c r="H3036" i="21"/>
  <c r="G3036" i="21"/>
  <c r="I3036" i="21" s="1"/>
  <c r="AB3035" i="21"/>
  <c r="V3035" i="21"/>
  <c r="W3035" i="21" s="1"/>
  <c r="L3035" i="21"/>
  <c r="K3035" i="21"/>
  <c r="H3035" i="21"/>
  <c r="G3035" i="21"/>
  <c r="I3035" i="21" s="1"/>
  <c r="AB3034" i="21"/>
  <c r="V3034" i="21"/>
  <c r="W3034" i="21" s="1"/>
  <c r="L3034" i="21"/>
  <c r="K3034" i="21"/>
  <c r="H3034" i="21"/>
  <c r="G3034" i="21"/>
  <c r="I3034" i="21" s="1"/>
  <c r="AB3033" i="21"/>
  <c r="V3033" i="21"/>
  <c r="W3033" i="21" s="1"/>
  <c r="L3033" i="21"/>
  <c r="K3033" i="21"/>
  <c r="H3033" i="21"/>
  <c r="G3033" i="21"/>
  <c r="I3033" i="21" s="1"/>
  <c r="AB3032" i="21"/>
  <c r="V3032" i="21"/>
  <c r="W3032" i="21" s="1"/>
  <c r="L3032" i="21"/>
  <c r="K3032" i="21"/>
  <c r="H3032" i="21"/>
  <c r="G3032" i="21"/>
  <c r="I3032" i="21" s="1"/>
  <c r="AB3031" i="21"/>
  <c r="V3031" i="21"/>
  <c r="W3031" i="21" s="1"/>
  <c r="L3031" i="21"/>
  <c r="K3031" i="21"/>
  <c r="H3031" i="21"/>
  <c r="G3031" i="21"/>
  <c r="I3031" i="21" s="1"/>
  <c r="AB3030" i="21"/>
  <c r="V3030" i="21"/>
  <c r="W3030" i="21" s="1"/>
  <c r="L3030" i="21"/>
  <c r="K3030" i="21"/>
  <c r="H3030" i="21"/>
  <c r="G3030" i="21"/>
  <c r="I3030" i="21" s="1"/>
  <c r="AB3029" i="21"/>
  <c r="V3029" i="21"/>
  <c r="W3029" i="21" s="1"/>
  <c r="L3029" i="21"/>
  <c r="K3029" i="21"/>
  <c r="H3029" i="21"/>
  <c r="G3029" i="21"/>
  <c r="I3029" i="21" s="1"/>
  <c r="AB3028" i="21"/>
  <c r="V3028" i="21"/>
  <c r="W3028" i="21" s="1"/>
  <c r="L3028" i="21"/>
  <c r="K3028" i="21"/>
  <c r="H3028" i="21"/>
  <c r="G3028" i="21"/>
  <c r="I3028" i="21" s="1"/>
  <c r="AB3027" i="21"/>
  <c r="V3027" i="21"/>
  <c r="W3027" i="21" s="1"/>
  <c r="L3027" i="21"/>
  <c r="K3027" i="21"/>
  <c r="H3027" i="21"/>
  <c r="G3027" i="21"/>
  <c r="I3027" i="21" s="1"/>
  <c r="AB3026" i="21"/>
  <c r="V3026" i="21"/>
  <c r="W3026" i="21" s="1"/>
  <c r="L3026" i="21"/>
  <c r="K3026" i="21"/>
  <c r="H3026" i="21"/>
  <c r="G3026" i="21"/>
  <c r="I3026" i="21" s="1"/>
  <c r="AB3025" i="21"/>
  <c r="V3025" i="21"/>
  <c r="W3025" i="21" s="1"/>
  <c r="L3025" i="21"/>
  <c r="K3025" i="21"/>
  <c r="H3025" i="21"/>
  <c r="G3025" i="21"/>
  <c r="I3025" i="21" s="1"/>
  <c r="AB3024" i="21"/>
  <c r="V3024" i="21"/>
  <c r="W3024" i="21" s="1"/>
  <c r="L3024" i="21"/>
  <c r="K3024" i="21"/>
  <c r="H3024" i="21"/>
  <c r="G3024" i="21"/>
  <c r="I3024" i="21" s="1"/>
  <c r="AB3023" i="21"/>
  <c r="V3023" i="21"/>
  <c r="W3023" i="21" s="1"/>
  <c r="L3023" i="21"/>
  <c r="K3023" i="21"/>
  <c r="H3023" i="21"/>
  <c r="G3023" i="21"/>
  <c r="I3023" i="21" s="1"/>
  <c r="AB3022" i="21"/>
  <c r="V3022" i="21"/>
  <c r="W3022" i="21" s="1"/>
  <c r="L3022" i="21"/>
  <c r="K3022" i="21"/>
  <c r="H3022" i="21"/>
  <c r="G3022" i="21"/>
  <c r="I3022" i="21" s="1"/>
  <c r="AB3021" i="21"/>
  <c r="V3021" i="21"/>
  <c r="W3021" i="21" s="1"/>
  <c r="L3021" i="21"/>
  <c r="K3021" i="21"/>
  <c r="H3021" i="21"/>
  <c r="G3021" i="21"/>
  <c r="I3021" i="21" s="1"/>
  <c r="AB3020" i="21"/>
  <c r="V3020" i="21"/>
  <c r="W3020" i="21" s="1"/>
  <c r="L3020" i="21"/>
  <c r="K3020" i="21"/>
  <c r="H3020" i="21"/>
  <c r="G3020" i="21"/>
  <c r="I3020" i="21" s="1"/>
  <c r="AB3019" i="21"/>
  <c r="V3019" i="21"/>
  <c r="W3019" i="21" s="1"/>
  <c r="L3019" i="21"/>
  <c r="K3019" i="21"/>
  <c r="H3019" i="21"/>
  <c r="G3019" i="21"/>
  <c r="I3019" i="21" s="1"/>
  <c r="AB3018" i="21"/>
  <c r="V3018" i="21"/>
  <c r="W3018" i="21" s="1"/>
  <c r="L3018" i="21"/>
  <c r="K3018" i="21"/>
  <c r="H3018" i="21"/>
  <c r="G3018" i="21"/>
  <c r="I3018" i="21" s="1"/>
  <c r="AB3017" i="21"/>
  <c r="V3017" i="21"/>
  <c r="W3017" i="21" s="1"/>
  <c r="L3017" i="21"/>
  <c r="K3017" i="21"/>
  <c r="H3017" i="21"/>
  <c r="G3017" i="21"/>
  <c r="I3017" i="21" s="1"/>
  <c r="AB3016" i="21"/>
  <c r="V3016" i="21"/>
  <c r="W3016" i="21" s="1"/>
  <c r="L3016" i="21"/>
  <c r="K3016" i="21"/>
  <c r="H3016" i="21"/>
  <c r="G3016" i="21"/>
  <c r="I3016" i="21" s="1"/>
  <c r="AB3687" i="21"/>
  <c r="V3687" i="21"/>
  <c r="W3687" i="21" s="1"/>
  <c r="L3687" i="21"/>
  <c r="K3687" i="21"/>
  <c r="H3687" i="21"/>
  <c r="M3687" i="21" s="1"/>
  <c r="G3687" i="21"/>
  <c r="I3687" i="21" s="1"/>
  <c r="AB3686" i="21"/>
  <c r="V3686" i="21"/>
  <c r="W3686" i="21" s="1"/>
  <c r="L3686" i="21"/>
  <c r="K3686" i="21"/>
  <c r="H3686" i="21"/>
  <c r="G3686" i="21"/>
  <c r="I3686" i="21" s="1"/>
  <c r="AB3685" i="21"/>
  <c r="V3685" i="21"/>
  <c r="W3685" i="21" s="1"/>
  <c r="L3685" i="21"/>
  <c r="K3685" i="21"/>
  <c r="H3685" i="21"/>
  <c r="M3685" i="21" s="1"/>
  <c r="G3685" i="21"/>
  <c r="I3685" i="21" s="1"/>
  <c r="AB3684" i="21"/>
  <c r="V3684" i="21"/>
  <c r="W3684" i="21" s="1"/>
  <c r="L3684" i="21"/>
  <c r="K3684" i="21"/>
  <c r="H3684" i="21"/>
  <c r="G3684" i="21"/>
  <c r="I3684" i="21" s="1"/>
  <c r="AB3683" i="21"/>
  <c r="V3683" i="21"/>
  <c r="W3683" i="21" s="1"/>
  <c r="L3683" i="21"/>
  <c r="K3683" i="21"/>
  <c r="H3683" i="21"/>
  <c r="M3683" i="21" s="1"/>
  <c r="G3683" i="21"/>
  <c r="I3683" i="21" s="1"/>
  <c r="AB3682" i="21"/>
  <c r="V3682" i="21"/>
  <c r="W3682" i="21" s="1"/>
  <c r="L3682" i="21"/>
  <c r="K3682" i="21"/>
  <c r="H3682" i="21"/>
  <c r="G3682" i="21"/>
  <c r="I3682" i="21" s="1"/>
  <c r="AB3681" i="21"/>
  <c r="V3681" i="21"/>
  <c r="W3681" i="21" s="1"/>
  <c r="L3681" i="21"/>
  <c r="K3681" i="21"/>
  <c r="H3681" i="21"/>
  <c r="M3681" i="21" s="1"/>
  <c r="G3681" i="21"/>
  <c r="I3681" i="21" s="1"/>
  <c r="AB3680" i="21"/>
  <c r="V3680" i="21"/>
  <c r="W3680" i="21" s="1"/>
  <c r="L3680" i="21"/>
  <c r="K3680" i="21"/>
  <c r="H3680" i="21"/>
  <c r="G3680" i="21"/>
  <c r="I3680" i="21" s="1"/>
  <c r="AB3679" i="21"/>
  <c r="V3679" i="21"/>
  <c r="W3679" i="21" s="1"/>
  <c r="L3679" i="21"/>
  <c r="K3679" i="21"/>
  <c r="H3679" i="21"/>
  <c r="M3679" i="21" s="1"/>
  <c r="G3679" i="21"/>
  <c r="I3679" i="21" s="1"/>
  <c r="AB3678" i="21"/>
  <c r="V3678" i="21"/>
  <c r="W3678" i="21" s="1"/>
  <c r="L3678" i="21"/>
  <c r="K3678" i="21"/>
  <c r="H3678" i="21"/>
  <c r="G3678" i="21"/>
  <c r="I3678" i="21" s="1"/>
  <c r="AB3677" i="21"/>
  <c r="V3677" i="21"/>
  <c r="W3677" i="21" s="1"/>
  <c r="L3677" i="21"/>
  <c r="K3677" i="21"/>
  <c r="H3677" i="21"/>
  <c r="M3677" i="21" s="1"/>
  <c r="G3677" i="21"/>
  <c r="I3677" i="21" s="1"/>
  <c r="AB3676" i="21"/>
  <c r="V3676" i="21"/>
  <c r="W3676" i="21" s="1"/>
  <c r="L3676" i="21"/>
  <c r="K3676" i="21"/>
  <c r="H3676" i="21"/>
  <c r="G3676" i="21"/>
  <c r="I3676" i="21" s="1"/>
  <c r="AB3675" i="21"/>
  <c r="V3675" i="21"/>
  <c r="W3675" i="21" s="1"/>
  <c r="L3675" i="21"/>
  <c r="K3675" i="21"/>
  <c r="H3675" i="21"/>
  <c r="M3675" i="21" s="1"/>
  <c r="G3675" i="21"/>
  <c r="I3675" i="21" s="1"/>
  <c r="AB3674" i="21"/>
  <c r="V3674" i="21"/>
  <c r="W3674" i="21" s="1"/>
  <c r="L3674" i="21"/>
  <c r="K3674" i="21"/>
  <c r="H3674" i="21"/>
  <c r="G3674" i="21"/>
  <c r="I3674" i="21" s="1"/>
  <c r="AB3673" i="21"/>
  <c r="V3673" i="21"/>
  <c r="W3673" i="21" s="1"/>
  <c r="L3673" i="21"/>
  <c r="K3673" i="21"/>
  <c r="H3673" i="21"/>
  <c r="M3673" i="21" s="1"/>
  <c r="G3673" i="21"/>
  <c r="I3673" i="21" s="1"/>
  <c r="AB3672" i="21"/>
  <c r="V3672" i="21"/>
  <c r="W3672" i="21" s="1"/>
  <c r="L3672" i="21"/>
  <c r="K3672" i="21"/>
  <c r="H3672" i="21"/>
  <c r="G3672" i="21"/>
  <c r="I3672" i="21" s="1"/>
  <c r="AB3671" i="21"/>
  <c r="V3671" i="21"/>
  <c r="W3671" i="21" s="1"/>
  <c r="L3671" i="21"/>
  <c r="K3671" i="21"/>
  <c r="H3671" i="21"/>
  <c r="M3671" i="21" s="1"/>
  <c r="G3671" i="21"/>
  <c r="I3671" i="21" s="1"/>
  <c r="AB3670" i="21"/>
  <c r="V3670" i="21"/>
  <c r="W3670" i="21" s="1"/>
  <c r="L3670" i="21"/>
  <c r="K3670" i="21"/>
  <c r="H3670" i="21"/>
  <c r="G3670" i="21"/>
  <c r="I3670" i="21" s="1"/>
  <c r="AB3669" i="21"/>
  <c r="V3669" i="21"/>
  <c r="W3669" i="21" s="1"/>
  <c r="L3669" i="21"/>
  <c r="K3669" i="21"/>
  <c r="H3669" i="21"/>
  <c r="M3669" i="21" s="1"/>
  <c r="G3669" i="21"/>
  <c r="I3669" i="21" s="1"/>
  <c r="AB3668" i="21"/>
  <c r="V3668" i="21"/>
  <c r="W3668" i="21" s="1"/>
  <c r="L3668" i="21"/>
  <c r="K3668" i="21"/>
  <c r="H3668" i="21"/>
  <c r="G3668" i="21"/>
  <c r="I3668" i="21" s="1"/>
  <c r="AB3667" i="21"/>
  <c r="V3667" i="21"/>
  <c r="W3667" i="21" s="1"/>
  <c r="L3667" i="21"/>
  <c r="K3667" i="21"/>
  <c r="H3667" i="21"/>
  <c r="M3667" i="21" s="1"/>
  <c r="G3667" i="21"/>
  <c r="I3667" i="21" s="1"/>
  <c r="AB3666" i="21"/>
  <c r="V3666" i="21"/>
  <c r="W3666" i="21" s="1"/>
  <c r="L3666" i="21"/>
  <c r="K3666" i="21"/>
  <c r="H3666" i="21"/>
  <c r="G3666" i="21"/>
  <c r="I3666" i="21" s="1"/>
  <c r="AB3665" i="21"/>
  <c r="V3665" i="21"/>
  <c r="W3665" i="21" s="1"/>
  <c r="L3665" i="21"/>
  <c r="K3665" i="21"/>
  <c r="H3665" i="21"/>
  <c r="M3665" i="21" s="1"/>
  <c r="G3665" i="21"/>
  <c r="I3665" i="21" s="1"/>
  <c r="AB3664" i="21"/>
  <c r="V3664" i="21"/>
  <c r="W3664" i="21" s="1"/>
  <c r="L3664" i="21"/>
  <c r="K3664" i="21"/>
  <c r="H3664" i="21"/>
  <c r="G3664" i="21"/>
  <c r="I3664" i="21" s="1"/>
  <c r="AB3663" i="21"/>
  <c r="V3663" i="21"/>
  <c r="W3663" i="21" s="1"/>
  <c r="L3663" i="21"/>
  <c r="K3663" i="21"/>
  <c r="H3663" i="21"/>
  <c r="M3663" i="21" s="1"/>
  <c r="G3663" i="21"/>
  <c r="I3663" i="21" s="1"/>
  <c r="AB3662" i="21"/>
  <c r="V3662" i="21"/>
  <c r="W3662" i="21" s="1"/>
  <c r="L3662" i="21"/>
  <c r="K3662" i="21"/>
  <c r="H3662" i="21"/>
  <c r="G3662" i="21"/>
  <c r="I3662" i="21" s="1"/>
  <c r="AB3661" i="21"/>
  <c r="V3661" i="21"/>
  <c r="W3661" i="21" s="1"/>
  <c r="L3661" i="21"/>
  <c r="K3661" i="21"/>
  <c r="H3661" i="21"/>
  <c r="M3661" i="21" s="1"/>
  <c r="G3661" i="21"/>
  <c r="I3661" i="21" s="1"/>
  <c r="AB3660" i="21"/>
  <c r="V3660" i="21"/>
  <c r="W3660" i="21" s="1"/>
  <c r="L3660" i="21"/>
  <c r="K3660" i="21"/>
  <c r="H3660" i="21"/>
  <c r="G3660" i="21"/>
  <c r="I3660" i="21" s="1"/>
  <c r="AB3659" i="21"/>
  <c r="V3659" i="21"/>
  <c r="W3659" i="21" s="1"/>
  <c r="L3659" i="21"/>
  <c r="K3659" i="21"/>
  <c r="H3659" i="21"/>
  <c r="M3659" i="21" s="1"/>
  <c r="G3659" i="21"/>
  <c r="I3659" i="21" s="1"/>
  <c r="AB3658" i="21"/>
  <c r="V3658" i="21"/>
  <c r="W3658" i="21" s="1"/>
  <c r="L3658" i="21"/>
  <c r="K3658" i="21"/>
  <c r="H3658" i="21"/>
  <c r="G3658" i="21"/>
  <c r="I3658" i="21" s="1"/>
  <c r="AB3657" i="21"/>
  <c r="V3657" i="21"/>
  <c r="W3657" i="21" s="1"/>
  <c r="L3657" i="21"/>
  <c r="K3657" i="21"/>
  <c r="H3657" i="21"/>
  <c r="M3657" i="21" s="1"/>
  <c r="G3657" i="21"/>
  <c r="I3657" i="21" s="1"/>
  <c r="AB3656" i="21"/>
  <c r="V3656" i="21"/>
  <c r="W3656" i="21" s="1"/>
  <c r="L3656" i="21"/>
  <c r="K3656" i="21"/>
  <c r="H3656" i="21"/>
  <c r="G3656" i="21"/>
  <c r="I3656" i="21" s="1"/>
  <c r="AB3655" i="21"/>
  <c r="V3655" i="21"/>
  <c r="W3655" i="21" s="1"/>
  <c r="L3655" i="21"/>
  <c r="K3655" i="21"/>
  <c r="H3655" i="21"/>
  <c r="M3655" i="21" s="1"/>
  <c r="G3655" i="21"/>
  <c r="I3655" i="21" s="1"/>
  <c r="AB3654" i="21"/>
  <c r="V3654" i="21"/>
  <c r="W3654" i="21" s="1"/>
  <c r="L3654" i="21"/>
  <c r="K3654" i="21"/>
  <c r="H3654" i="21"/>
  <c r="G3654" i="21"/>
  <c r="I3654" i="21" s="1"/>
  <c r="AB3653" i="21"/>
  <c r="V3653" i="21"/>
  <c r="W3653" i="21" s="1"/>
  <c r="L3653" i="21"/>
  <c r="K3653" i="21"/>
  <c r="H3653" i="21"/>
  <c r="M3653" i="21" s="1"/>
  <c r="G3653" i="21"/>
  <c r="I3653" i="21" s="1"/>
  <c r="AB3652" i="21"/>
  <c r="V3652" i="21"/>
  <c r="W3652" i="21" s="1"/>
  <c r="L3652" i="21"/>
  <c r="K3652" i="21"/>
  <c r="H3652" i="21"/>
  <c r="G3652" i="21"/>
  <c r="I3652" i="21" s="1"/>
  <c r="AB3651" i="21"/>
  <c r="V3651" i="21"/>
  <c r="W3651" i="21" s="1"/>
  <c r="L3651" i="21"/>
  <c r="K3651" i="21"/>
  <c r="H3651" i="21"/>
  <c r="M3651" i="21" s="1"/>
  <c r="G3651" i="21"/>
  <c r="I3651" i="21" s="1"/>
  <c r="AB3650" i="21"/>
  <c r="V3650" i="21"/>
  <c r="W3650" i="21" s="1"/>
  <c r="L3650" i="21"/>
  <c r="K3650" i="21"/>
  <c r="H3650" i="21"/>
  <c r="G3650" i="21"/>
  <c r="I3650" i="21" s="1"/>
  <c r="AB3649" i="21"/>
  <c r="V3649" i="21"/>
  <c r="W3649" i="21" s="1"/>
  <c r="L3649" i="21"/>
  <c r="K3649" i="21"/>
  <c r="H3649" i="21"/>
  <c r="M3649" i="21" s="1"/>
  <c r="G3649" i="21"/>
  <c r="I3649" i="21" s="1"/>
  <c r="AB3648" i="21"/>
  <c r="V3648" i="21"/>
  <c r="W3648" i="21" s="1"/>
  <c r="L3648" i="21"/>
  <c r="K3648" i="21"/>
  <c r="H3648" i="21"/>
  <c r="G3648" i="21"/>
  <c r="I3648" i="21" s="1"/>
  <c r="AB3647" i="21"/>
  <c r="V3647" i="21"/>
  <c r="W3647" i="21" s="1"/>
  <c r="L3647" i="21"/>
  <c r="K3647" i="21"/>
  <c r="H3647" i="21"/>
  <c r="M3647" i="21" s="1"/>
  <c r="G3647" i="21"/>
  <c r="I3647" i="21" s="1"/>
  <c r="AB3646" i="21"/>
  <c r="V3646" i="21"/>
  <c r="W3646" i="21" s="1"/>
  <c r="L3646" i="21"/>
  <c r="K3646" i="21"/>
  <c r="H3646" i="21"/>
  <c r="G3646" i="21"/>
  <c r="I3646" i="21" s="1"/>
  <c r="AB3645" i="21"/>
  <c r="V3645" i="21"/>
  <c r="W3645" i="21" s="1"/>
  <c r="L3645" i="21"/>
  <c r="K3645" i="21"/>
  <c r="H3645" i="21"/>
  <c r="M3645" i="21" s="1"/>
  <c r="G3645" i="21"/>
  <c r="I3645" i="21" s="1"/>
  <c r="AB3644" i="21"/>
  <c r="V3644" i="21"/>
  <c r="W3644" i="21" s="1"/>
  <c r="L3644" i="21"/>
  <c r="K3644" i="21"/>
  <c r="H3644" i="21"/>
  <c r="G3644" i="21"/>
  <c r="I3644" i="21" s="1"/>
  <c r="AB3643" i="21"/>
  <c r="V3643" i="21"/>
  <c r="W3643" i="21" s="1"/>
  <c r="L3643" i="21"/>
  <c r="K3643" i="21"/>
  <c r="H3643" i="21"/>
  <c r="M3643" i="21" s="1"/>
  <c r="G3643" i="21"/>
  <c r="I3643" i="21" s="1"/>
  <c r="AB3642" i="21"/>
  <c r="V3642" i="21"/>
  <c r="W3642" i="21" s="1"/>
  <c r="L3642" i="21"/>
  <c r="K3642" i="21"/>
  <c r="H3642" i="21"/>
  <c r="G3642" i="21"/>
  <c r="I3642" i="21" s="1"/>
  <c r="AB3641" i="21"/>
  <c r="V3641" i="21"/>
  <c r="W3641" i="21" s="1"/>
  <c r="L3641" i="21"/>
  <c r="K3641" i="21"/>
  <c r="H3641" i="21"/>
  <c r="M3641" i="21" s="1"/>
  <c r="G3641" i="21"/>
  <c r="I3641" i="21" s="1"/>
  <c r="AB3640" i="21"/>
  <c r="V3640" i="21"/>
  <c r="W3640" i="21" s="1"/>
  <c r="L3640" i="21"/>
  <c r="K3640" i="21"/>
  <c r="H3640" i="21"/>
  <c r="G3640" i="21"/>
  <c r="I3640" i="21" s="1"/>
  <c r="AB3639" i="21"/>
  <c r="V3639" i="21"/>
  <c r="W3639" i="21" s="1"/>
  <c r="L3639" i="21"/>
  <c r="K3639" i="21"/>
  <c r="H3639" i="21"/>
  <c r="M3639" i="21" s="1"/>
  <c r="G3639" i="21"/>
  <c r="I3639" i="21" s="1"/>
  <c r="AB3638" i="21"/>
  <c r="V3638" i="21"/>
  <c r="W3638" i="21" s="1"/>
  <c r="L3638" i="21"/>
  <c r="K3638" i="21"/>
  <c r="H3638" i="21"/>
  <c r="G3638" i="21"/>
  <c r="I3638" i="21" s="1"/>
  <c r="AB3637" i="21"/>
  <c r="V3637" i="21"/>
  <c r="W3637" i="21" s="1"/>
  <c r="L3637" i="21"/>
  <c r="K3637" i="21"/>
  <c r="H3637" i="21"/>
  <c r="M3637" i="21" s="1"/>
  <c r="G3637" i="21"/>
  <c r="I3637" i="21" s="1"/>
  <c r="AB3636" i="21"/>
  <c r="V3636" i="21"/>
  <c r="W3636" i="21" s="1"/>
  <c r="L3636" i="21"/>
  <c r="K3636" i="21"/>
  <c r="H3636" i="21"/>
  <c r="G3636" i="21"/>
  <c r="I3636" i="21" s="1"/>
  <c r="AB3635" i="21"/>
  <c r="V3635" i="21"/>
  <c r="W3635" i="21" s="1"/>
  <c r="L3635" i="21"/>
  <c r="K3635" i="21"/>
  <c r="H3635" i="21"/>
  <c r="M3635" i="21" s="1"/>
  <c r="G3635" i="21"/>
  <c r="I3635" i="21" s="1"/>
  <c r="AB3634" i="21"/>
  <c r="V3634" i="21"/>
  <c r="W3634" i="21" s="1"/>
  <c r="L3634" i="21"/>
  <c r="K3634" i="21"/>
  <c r="H3634" i="21"/>
  <c r="G3634" i="21"/>
  <c r="I3634" i="21" s="1"/>
  <c r="AB3633" i="21"/>
  <c r="V3633" i="21"/>
  <c r="W3633" i="21" s="1"/>
  <c r="L3633" i="21"/>
  <c r="K3633" i="21"/>
  <c r="H3633" i="21"/>
  <c r="M3633" i="21" s="1"/>
  <c r="G3633" i="21"/>
  <c r="I3633" i="21" s="1"/>
  <c r="AB3632" i="21"/>
  <c r="V3632" i="21"/>
  <c r="W3632" i="21" s="1"/>
  <c r="L3632" i="21"/>
  <c r="K3632" i="21"/>
  <c r="H3632" i="21"/>
  <c r="G3632" i="21"/>
  <c r="I3632" i="21" s="1"/>
  <c r="AB3631" i="21"/>
  <c r="V3631" i="21"/>
  <c r="W3631" i="21" s="1"/>
  <c r="L3631" i="21"/>
  <c r="K3631" i="21"/>
  <c r="H3631" i="21"/>
  <c r="M3631" i="21" s="1"/>
  <c r="G3631" i="21"/>
  <c r="I3631" i="21" s="1"/>
  <c r="AB3630" i="21"/>
  <c r="V3630" i="21"/>
  <c r="W3630" i="21" s="1"/>
  <c r="L3630" i="21"/>
  <c r="K3630" i="21"/>
  <c r="H3630" i="21"/>
  <c r="G3630" i="21"/>
  <c r="I3630" i="21" s="1"/>
  <c r="AB3629" i="21"/>
  <c r="V3629" i="21"/>
  <c r="W3629" i="21" s="1"/>
  <c r="L3629" i="21"/>
  <c r="K3629" i="21"/>
  <c r="H3629" i="21"/>
  <c r="M3629" i="21" s="1"/>
  <c r="G3629" i="21"/>
  <c r="I3629" i="21" s="1"/>
  <c r="AB3628" i="21"/>
  <c r="V3628" i="21"/>
  <c r="W3628" i="21" s="1"/>
  <c r="L3628" i="21"/>
  <c r="K3628" i="21"/>
  <c r="H3628" i="21"/>
  <c r="G3628" i="21"/>
  <c r="I3628" i="21" s="1"/>
  <c r="AB3627" i="21"/>
  <c r="V3627" i="21"/>
  <c r="W3627" i="21" s="1"/>
  <c r="L3627" i="21"/>
  <c r="K3627" i="21"/>
  <c r="H3627" i="21"/>
  <c r="M3627" i="21" s="1"/>
  <c r="G3627" i="21"/>
  <c r="I3627" i="21" s="1"/>
  <c r="AB3626" i="21"/>
  <c r="V3626" i="21"/>
  <c r="W3626" i="21" s="1"/>
  <c r="L3626" i="21"/>
  <c r="K3626" i="21"/>
  <c r="H3626" i="21"/>
  <c r="G3626" i="21"/>
  <c r="I3626" i="21" s="1"/>
  <c r="AB3625" i="21"/>
  <c r="V3625" i="21"/>
  <c r="W3625" i="21" s="1"/>
  <c r="L3625" i="21"/>
  <c r="K3625" i="21"/>
  <c r="H3625" i="21"/>
  <c r="M3625" i="21" s="1"/>
  <c r="G3625" i="21"/>
  <c r="I3625" i="21" s="1"/>
  <c r="AB3624" i="21"/>
  <c r="V3624" i="21"/>
  <c r="W3624" i="21" s="1"/>
  <c r="L3624" i="21"/>
  <c r="K3624" i="21"/>
  <c r="H3624" i="21"/>
  <c r="G3624" i="21"/>
  <c r="I3624" i="21" s="1"/>
  <c r="AB3623" i="21"/>
  <c r="V3623" i="21"/>
  <c r="W3623" i="21" s="1"/>
  <c r="L3623" i="21"/>
  <c r="K3623" i="21"/>
  <c r="H3623" i="21"/>
  <c r="M3623" i="21" s="1"/>
  <c r="G3623" i="21"/>
  <c r="I3623" i="21" s="1"/>
  <c r="AB3622" i="21"/>
  <c r="V3622" i="21"/>
  <c r="W3622" i="21" s="1"/>
  <c r="L3622" i="21"/>
  <c r="K3622" i="21"/>
  <c r="H3622" i="21"/>
  <c r="G3622" i="21"/>
  <c r="I3622" i="21" s="1"/>
  <c r="AB3621" i="21"/>
  <c r="V3621" i="21"/>
  <c r="W3621" i="21" s="1"/>
  <c r="L3621" i="21"/>
  <c r="K3621" i="21"/>
  <c r="H3621" i="21"/>
  <c r="M3621" i="21" s="1"/>
  <c r="G3621" i="21"/>
  <c r="I3621" i="21" s="1"/>
  <c r="AB3620" i="21"/>
  <c r="V3620" i="21"/>
  <c r="W3620" i="21" s="1"/>
  <c r="L3620" i="21"/>
  <c r="K3620" i="21"/>
  <c r="H3620" i="21"/>
  <c r="G3620" i="21"/>
  <c r="I3620" i="21" s="1"/>
  <c r="AB3619" i="21"/>
  <c r="V3619" i="21"/>
  <c r="W3619" i="21" s="1"/>
  <c r="L3619" i="21"/>
  <c r="K3619" i="21"/>
  <c r="H3619" i="21"/>
  <c r="M3619" i="21" s="1"/>
  <c r="G3619" i="21"/>
  <c r="I3619" i="21" s="1"/>
  <c r="AB3618" i="21"/>
  <c r="V3618" i="21"/>
  <c r="W3618" i="21" s="1"/>
  <c r="L3618" i="21"/>
  <c r="K3618" i="21"/>
  <c r="H3618" i="21"/>
  <c r="G3618" i="21"/>
  <c r="I3618" i="21" s="1"/>
  <c r="AB3617" i="21"/>
  <c r="V3617" i="21"/>
  <c r="W3617" i="21" s="1"/>
  <c r="L3617" i="21"/>
  <c r="K3617" i="21"/>
  <c r="H3617" i="21"/>
  <c r="M3617" i="21" s="1"/>
  <c r="G3617" i="21"/>
  <c r="I3617" i="21" s="1"/>
  <c r="AB3616" i="21"/>
  <c r="V3616" i="21"/>
  <c r="W3616" i="21" s="1"/>
  <c r="L3616" i="21"/>
  <c r="K3616" i="21"/>
  <c r="H3616" i="21"/>
  <c r="G3616" i="21"/>
  <c r="I3616" i="21" s="1"/>
  <c r="AB3615" i="21"/>
  <c r="V3615" i="21"/>
  <c r="W3615" i="21" s="1"/>
  <c r="L3615" i="21"/>
  <c r="K3615" i="21"/>
  <c r="H3615" i="21"/>
  <c r="M3615" i="21" s="1"/>
  <c r="G3615" i="21"/>
  <c r="I3615" i="21" s="1"/>
  <c r="AB3614" i="21"/>
  <c r="V3614" i="21"/>
  <c r="W3614" i="21" s="1"/>
  <c r="L3614" i="21"/>
  <c r="K3614" i="21"/>
  <c r="H3614" i="21"/>
  <c r="G3614" i="21"/>
  <c r="I3614" i="21" s="1"/>
  <c r="AB3613" i="21"/>
  <c r="V3613" i="21"/>
  <c r="W3613" i="21" s="1"/>
  <c r="L3613" i="21"/>
  <c r="K3613" i="21"/>
  <c r="H3613" i="21"/>
  <c r="M3613" i="21" s="1"/>
  <c r="G3613" i="21"/>
  <c r="I3613" i="21" s="1"/>
  <c r="AB3612" i="21"/>
  <c r="V3612" i="21"/>
  <c r="W3612" i="21" s="1"/>
  <c r="L3612" i="21"/>
  <c r="K3612" i="21"/>
  <c r="H3612" i="21"/>
  <c r="G3612" i="21"/>
  <c r="I3612" i="21" s="1"/>
  <c r="AB3611" i="21"/>
  <c r="V3611" i="21"/>
  <c r="W3611" i="21" s="1"/>
  <c r="L3611" i="21"/>
  <c r="K3611" i="21"/>
  <c r="H3611" i="21"/>
  <c r="M3611" i="21" s="1"/>
  <c r="G3611" i="21"/>
  <c r="I3611" i="21" s="1"/>
  <c r="AB3610" i="21"/>
  <c r="V3610" i="21"/>
  <c r="W3610" i="21" s="1"/>
  <c r="L3610" i="21"/>
  <c r="K3610" i="21"/>
  <c r="H3610" i="21"/>
  <c r="M3610" i="21" s="1"/>
  <c r="G3610" i="21"/>
  <c r="I3610" i="21" s="1"/>
  <c r="AB3609" i="21"/>
  <c r="V3609" i="21"/>
  <c r="W3609" i="21" s="1"/>
  <c r="L3609" i="21"/>
  <c r="K3609" i="21"/>
  <c r="H3609" i="21"/>
  <c r="M3609" i="21" s="1"/>
  <c r="G3609" i="21"/>
  <c r="I3609" i="21" s="1"/>
  <c r="AB3608" i="21"/>
  <c r="V3608" i="21"/>
  <c r="W3608" i="21" s="1"/>
  <c r="L3608" i="21"/>
  <c r="K3608" i="21"/>
  <c r="H3608" i="21"/>
  <c r="M3608" i="21" s="1"/>
  <c r="G3608" i="21"/>
  <c r="I3608" i="21" s="1"/>
  <c r="AB3607" i="21"/>
  <c r="V3607" i="21"/>
  <c r="W3607" i="21" s="1"/>
  <c r="L3607" i="21"/>
  <c r="K3607" i="21"/>
  <c r="H3607" i="21"/>
  <c r="M3607" i="21" s="1"/>
  <c r="G3607" i="21"/>
  <c r="I3607" i="21" s="1"/>
  <c r="AB3606" i="21"/>
  <c r="V3606" i="21"/>
  <c r="W3606" i="21" s="1"/>
  <c r="L3606" i="21"/>
  <c r="K3606" i="21"/>
  <c r="H3606" i="21"/>
  <c r="M3606" i="21" s="1"/>
  <c r="G3606" i="21"/>
  <c r="I3606" i="21" s="1"/>
  <c r="AB3605" i="21"/>
  <c r="V3605" i="21"/>
  <c r="W3605" i="21" s="1"/>
  <c r="L3605" i="21"/>
  <c r="K3605" i="21"/>
  <c r="H3605" i="21"/>
  <c r="M3605" i="21" s="1"/>
  <c r="G3605" i="21"/>
  <c r="I3605" i="21" s="1"/>
  <c r="AB3604" i="21"/>
  <c r="V3604" i="21"/>
  <c r="W3604" i="21" s="1"/>
  <c r="L3604" i="21"/>
  <c r="K3604" i="21"/>
  <c r="H3604" i="21"/>
  <c r="G3604" i="21"/>
  <c r="I3604" i="21" s="1"/>
  <c r="AB3603" i="21"/>
  <c r="V3603" i="21"/>
  <c r="W3603" i="21" s="1"/>
  <c r="L3603" i="21"/>
  <c r="K3603" i="21"/>
  <c r="H3603" i="21"/>
  <c r="M3603" i="21" s="1"/>
  <c r="G3603" i="21"/>
  <c r="I3603" i="21" s="1"/>
  <c r="AB3602" i="21"/>
  <c r="V3602" i="21"/>
  <c r="W3602" i="21" s="1"/>
  <c r="L3602" i="21"/>
  <c r="K3602" i="21"/>
  <c r="H3602" i="21"/>
  <c r="M3602" i="21" s="1"/>
  <c r="G3602" i="21"/>
  <c r="I3602" i="21" s="1"/>
  <c r="AB3601" i="21"/>
  <c r="V3601" i="21"/>
  <c r="W3601" i="21" s="1"/>
  <c r="L3601" i="21"/>
  <c r="K3601" i="21"/>
  <c r="H3601" i="21"/>
  <c r="M3601" i="21" s="1"/>
  <c r="G3601" i="21"/>
  <c r="I3601" i="21" s="1"/>
  <c r="AB3600" i="21"/>
  <c r="V3600" i="21"/>
  <c r="W3600" i="21" s="1"/>
  <c r="L3600" i="21"/>
  <c r="K3600" i="21"/>
  <c r="H3600" i="21"/>
  <c r="M3600" i="21" s="1"/>
  <c r="G3600" i="21"/>
  <c r="I3600" i="21" s="1"/>
  <c r="AB3599" i="21"/>
  <c r="V3599" i="21"/>
  <c r="W3599" i="21" s="1"/>
  <c r="L3599" i="21"/>
  <c r="K3599" i="21"/>
  <c r="H3599" i="21"/>
  <c r="M3599" i="21" s="1"/>
  <c r="G3599" i="21"/>
  <c r="I3599" i="21" s="1"/>
  <c r="AB3598" i="21"/>
  <c r="V3598" i="21"/>
  <c r="W3598" i="21" s="1"/>
  <c r="L3598" i="21"/>
  <c r="K3598" i="21"/>
  <c r="H3598" i="21"/>
  <c r="M3598" i="21" s="1"/>
  <c r="G3598" i="21"/>
  <c r="I3598" i="21" s="1"/>
  <c r="AB3597" i="21"/>
  <c r="V3597" i="21"/>
  <c r="W3597" i="21" s="1"/>
  <c r="L3597" i="21"/>
  <c r="K3597" i="21"/>
  <c r="H3597" i="21"/>
  <c r="M3597" i="21" s="1"/>
  <c r="G3597" i="21"/>
  <c r="I3597" i="21" s="1"/>
  <c r="AB3596" i="21"/>
  <c r="V3596" i="21"/>
  <c r="W3596" i="21" s="1"/>
  <c r="L3596" i="21"/>
  <c r="K3596" i="21"/>
  <c r="H3596" i="21"/>
  <c r="G3596" i="21"/>
  <c r="I3596" i="21" s="1"/>
  <c r="AB3595" i="21"/>
  <c r="V3595" i="21"/>
  <c r="W3595" i="21" s="1"/>
  <c r="L3595" i="21"/>
  <c r="K3595" i="21"/>
  <c r="H3595" i="21"/>
  <c r="M3595" i="21" s="1"/>
  <c r="G3595" i="21"/>
  <c r="I3595" i="21" s="1"/>
  <c r="AB3594" i="21"/>
  <c r="V3594" i="21"/>
  <c r="W3594" i="21" s="1"/>
  <c r="L3594" i="21"/>
  <c r="K3594" i="21"/>
  <c r="H3594" i="21"/>
  <c r="M3594" i="21" s="1"/>
  <c r="G3594" i="21"/>
  <c r="I3594" i="21" s="1"/>
  <c r="AB3593" i="21"/>
  <c r="V3593" i="21"/>
  <c r="W3593" i="21" s="1"/>
  <c r="L3593" i="21"/>
  <c r="K3593" i="21"/>
  <c r="H3593" i="21"/>
  <c r="M3593" i="21" s="1"/>
  <c r="G3593" i="21"/>
  <c r="I3593" i="21" s="1"/>
  <c r="AB3592" i="21"/>
  <c r="V3592" i="21"/>
  <c r="W3592" i="21" s="1"/>
  <c r="L3592" i="21"/>
  <c r="K3592" i="21"/>
  <c r="H3592" i="21"/>
  <c r="G3592" i="21"/>
  <c r="I3592" i="21" s="1"/>
  <c r="AB3591" i="21"/>
  <c r="V3591" i="21"/>
  <c r="W3591" i="21" s="1"/>
  <c r="L3591" i="21"/>
  <c r="K3591" i="21"/>
  <c r="H3591" i="21"/>
  <c r="M3591" i="21" s="1"/>
  <c r="G3591" i="21"/>
  <c r="I3591" i="21" s="1"/>
  <c r="AB3590" i="21"/>
  <c r="V3590" i="21"/>
  <c r="W3590" i="21" s="1"/>
  <c r="L3590" i="21"/>
  <c r="K3590" i="21"/>
  <c r="H3590" i="21"/>
  <c r="G3590" i="21"/>
  <c r="I3590" i="21" s="1"/>
  <c r="AB3589" i="21"/>
  <c r="V3589" i="21"/>
  <c r="W3589" i="21" s="1"/>
  <c r="L3589" i="21"/>
  <c r="K3589" i="21"/>
  <c r="H3589" i="21"/>
  <c r="M3589" i="21" s="1"/>
  <c r="G3589" i="21"/>
  <c r="I3589" i="21" s="1"/>
  <c r="AB3588" i="21"/>
  <c r="V3588" i="21"/>
  <c r="W3588" i="21" s="1"/>
  <c r="L3588" i="21"/>
  <c r="K3588" i="21"/>
  <c r="H3588" i="21"/>
  <c r="G3588" i="21"/>
  <c r="I3588" i="21" s="1"/>
  <c r="AB3587" i="21"/>
  <c r="V3587" i="21"/>
  <c r="W3587" i="21" s="1"/>
  <c r="L3587" i="21"/>
  <c r="K3587" i="21"/>
  <c r="H3587" i="21"/>
  <c r="G3587" i="21"/>
  <c r="I3587" i="21" s="1"/>
  <c r="AB3586" i="21"/>
  <c r="V3586" i="21"/>
  <c r="W3586" i="21" s="1"/>
  <c r="L3586" i="21"/>
  <c r="K3586" i="21"/>
  <c r="H3586" i="21"/>
  <c r="G3586" i="21"/>
  <c r="I3586" i="21" s="1"/>
  <c r="AB3585" i="21"/>
  <c r="V3585" i="21"/>
  <c r="W3585" i="21" s="1"/>
  <c r="L3585" i="21"/>
  <c r="K3585" i="21"/>
  <c r="H3585" i="21"/>
  <c r="M3585" i="21" s="1"/>
  <c r="G3585" i="21"/>
  <c r="I3585" i="21" s="1"/>
  <c r="AB3584" i="21"/>
  <c r="V3584" i="21"/>
  <c r="W3584" i="21" s="1"/>
  <c r="L3584" i="21"/>
  <c r="K3584" i="21"/>
  <c r="H3584" i="21"/>
  <c r="G3584" i="21"/>
  <c r="I3584" i="21" s="1"/>
  <c r="AB3583" i="21"/>
  <c r="V3583" i="21"/>
  <c r="W3583" i="21" s="1"/>
  <c r="L3583" i="21"/>
  <c r="K3583" i="21"/>
  <c r="H3583" i="21"/>
  <c r="M3583" i="21" s="1"/>
  <c r="G3583" i="21"/>
  <c r="I3583" i="21" s="1"/>
  <c r="AB3582" i="21"/>
  <c r="V3582" i="21"/>
  <c r="W3582" i="21" s="1"/>
  <c r="L3582" i="21"/>
  <c r="K3582" i="21"/>
  <c r="H3582" i="21"/>
  <c r="G3582" i="21"/>
  <c r="I3582" i="21" s="1"/>
  <c r="AB3581" i="21"/>
  <c r="V3581" i="21"/>
  <c r="W3581" i="21" s="1"/>
  <c r="L3581" i="21"/>
  <c r="K3581" i="21"/>
  <c r="H3581" i="21"/>
  <c r="M3581" i="21" s="1"/>
  <c r="G3581" i="21"/>
  <c r="I3581" i="21" s="1"/>
  <c r="AB3580" i="21"/>
  <c r="V3580" i="21"/>
  <c r="W3580" i="21" s="1"/>
  <c r="L3580" i="21"/>
  <c r="K3580" i="21"/>
  <c r="H3580" i="21"/>
  <c r="G3580" i="21"/>
  <c r="I3580" i="21" s="1"/>
  <c r="AB3579" i="21"/>
  <c r="V3579" i="21"/>
  <c r="W3579" i="21" s="1"/>
  <c r="L3579" i="21"/>
  <c r="K3579" i="21"/>
  <c r="H3579" i="21"/>
  <c r="M3579" i="21" s="1"/>
  <c r="G3579" i="21"/>
  <c r="I3579" i="21" s="1"/>
  <c r="AB3578" i="21"/>
  <c r="V3578" i="21"/>
  <c r="W3578" i="21" s="1"/>
  <c r="L3578" i="21"/>
  <c r="K3578" i="21"/>
  <c r="H3578" i="21"/>
  <c r="G3578" i="21"/>
  <c r="I3578" i="21" s="1"/>
  <c r="AB3577" i="21"/>
  <c r="V3577" i="21"/>
  <c r="W3577" i="21" s="1"/>
  <c r="L3577" i="21"/>
  <c r="K3577" i="21"/>
  <c r="H3577" i="21"/>
  <c r="M3577" i="21" s="1"/>
  <c r="G3577" i="21"/>
  <c r="I3577" i="21" s="1"/>
  <c r="AB3576" i="21"/>
  <c r="V3576" i="21"/>
  <c r="W3576" i="21" s="1"/>
  <c r="L3576" i="21"/>
  <c r="K3576" i="21"/>
  <c r="H3576" i="21"/>
  <c r="G3576" i="21"/>
  <c r="I3576" i="21" s="1"/>
  <c r="AB3575" i="21"/>
  <c r="V3575" i="21"/>
  <c r="W3575" i="21" s="1"/>
  <c r="L3575" i="21"/>
  <c r="K3575" i="21"/>
  <c r="H3575" i="21"/>
  <c r="M3575" i="21" s="1"/>
  <c r="G3575" i="21"/>
  <c r="I3575" i="21" s="1"/>
  <c r="AB3574" i="21"/>
  <c r="V3574" i="21"/>
  <c r="W3574" i="21" s="1"/>
  <c r="L3574" i="21"/>
  <c r="K3574" i="21"/>
  <c r="H3574" i="21"/>
  <c r="G3574" i="21"/>
  <c r="I3574" i="21" s="1"/>
  <c r="AB3573" i="21"/>
  <c r="V3573" i="21"/>
  <c r="W3573" i="21" s="1"/>
  <c r="L3573" i="21"/>
  <c r="K3573" i="21"/>
  <c r="H3573" i="21"/>
  <c r="M3573" i="21" s="1"/>
  <c r="G3573" i="21"/>
  <c r="I3573" i="21" s="1"/>
  <c r="AB3572" i="21"/>
  <c r="V3572" i="21"/>
  <c r="W3572" i="21" s="1"/>
  <c r="L3572" i="21"/>
  <c r="K3572" i="21"/>
  <c r="H3572" i="21"/>
  <c r="G3572" i="21"/>
  <c r="I3572" i="21" s="1"/>
  <c r="AB3571" i="21"/>
  <c r="V3571" i="21"/>
  <c r="W3571" i="21" s="1"/>
  <c r="L3571" i="21"/>
  <c r="K3571" i="21"/>
  <c r="H3571" i="21"/>
  <c r="M3571" i="21" s="1"/>
  <c r="G3571" i="21"/>
  <c r="I3571" i="21" s="1"/>
  <c r="AB3570" i="21"/>
  <c r="V3570" i="21"/>
  <c r="W3570" i="21" s="1"/>
  <c r="L3570" i="21"/>
  <c r="K3570" i="21"/>
  <c r="H3570" i="21"/>
  <c r="M3570" i="21" s="1"/>
  <c r="G3570" i="21"/>
  <c r="I3570" i="21" s="1"/>
  <c r="AB3569" i="21"/>
  <c r="V3569" i="21"/>
  <c r="W3569" i="21" s="1"/>
  <c r="L3569" i="21"/>
  <c r="K3569" i="21"/>
  <c r="H3569" i="21"/>
  <c r="G3569" i="21"/>
  <c r="I3569" i="21" s="1"/>
  <c r="AB3568" i="21"/>
  <c r="V3568" i="21"/>
  <c r="W3568" i="21" s="1"/>
  <c r="L3568" i="21"/>
  <c r="K3568" i="21"/>
  <c r="H3568" i="21"/>
  <c r="M3568" i="21" s="1"/>
  <c r="G3568" i="21"/>
  <c r="I3568" i="21" s="1"/>
  <c r="AB3567" i="21"/>
  <c r="V3567" i="21"/>
  <c r="W3567" i="21" s="1"/>
  <c r="L3567" i="21"/>
  <c r="K3567" i="21"/>
  <c r="H3567" i="21"/>
  <c r="G3567" i="21"/>
  <c r="I3567" i="21" s="1"/>
  <c r="AB3566" i="21"/>
  <c r="V3566" i="21"/>
  <c r="W3566" i="21" s="1"/>
  <c r="L3566" i="21"/>
  <c r="K3566" i="21"/>
  <c r="H3566" i="21"/>
  <c r="M3566" i="21" s="1"/>
  <c r="G3566" i="21"/>
  <c r="I3566" i="21" s="1"/>
  <c r="AB3565" i="21"/>
  <c r="V3565" i="21"/>
  <c r="W3565" i="21" s="1"/>
  <c r="L3565" i="21"/>
  <c r="K3565" i="21"/>
  <c r="H3565" i="21"/>
  <c r="G3565" i="21"/>
  <c r="I3565" i="21" s="1"/>
  <c r="AB3564" i="21"/>
  <c r="V3564" i="21"/>
  <c r="W3564" i="21" s="1"/>
  <c r="L3564" i="21"/>
  <c r="K3564" i="21"/>
  <c r="H3564" i="21"/>
  <c r="M3564" i="21" s="1"/>
  <c r="G3564" i="21"/>
  <c r="I3564" i="21" s="1"/>
  <c r="AB3563" i="21"/>
  <c r="V3563" i="21"/>
  <c r="W3563" i="21" s="1"/>
  <c r="L3563" i="21"/>
  <c r="K3563" i="21"/>
  <c r="H3563" i="21"/>
  <c r="G3563" i="21"/>
  <c r="I3563" i="21" s="1"/>
  <c r="AB3562" i="21"/>
  <c r="V3562" i="21"/>
  <c r="W3562" i="21" s="1"/>
  <c r="L3562" i="21"/>
  <c r="K3562" i="21"/>
  <c r="H3562" i="21"/>
  <c r="M3562" i="21" s="1"/>
  <c r="G3562" i="21"/>
  <c r="I3562" i="21" s="1"/>
  <c r="AB3561" i="21"/>
  <c r="V3561" i="21"/>
  <c r="W3561" i="21" s="1"/>
  <c r="L3561" i="21"/>
  <c r="K3561" i="21"/>
  <c r="H3561" i="21"/>
  <c r="G3561" i="21"/>
  <c r="I3561" i="21" s="1"/>
  <c r="AB3560" i="21"/>
  <c r="V3560" i="21"/>
  <c r="W3560" i="21" s="1"/>
  <c r="L3560" i="21"/>
  <c r="K3560" i="21"/>
  <c r="H3560" i="21"/>
  <c r="M3560" i="21" s="1"/>
  <c r="G3560" i="21"/>
  <c r="I3560" i="21" s="1"/>
  <c r="AB3559" i="21"/>
  <c r="V3559" i="21"/>
  <c r="W3559" i="21" s="1"/>
  <c r="L3559" i="21"/>
  <c r="K3559" i="21"/>
  <c r="H3559" i="21"/>
  <c r="G3559" i="21"/>
  <c r="I3559" i="21" s="1"/>
  <c r="AB3558" i="21"/>
  <c r="V3558" i="21"/>
  <c r="W3558" i="21" s="1"/>
  <c r="L3558" i="21"/>
  <c r="K3558" i="21"/>
  <c r="H3558" i="21"/>
  <c r="M3558" i="21" s="1"/>
  <c r="G3558" i="21"/>
  <c r="I3558" i="21" s="1"/>
  <c r="AB3557" i="21"/>
  <c r="V3557" i="21"/>
  <c r="W3557" i="21" s="1"/>
  <c r="L3557" i="21"/>
  <c r="K3557" i="21"/>
  <c r="H3557" i="21"/>
  <c r="G3557" i="21"/>
  <c r="I3557" i="21" s="1"/>
  <c r="AB3556" i="21"/>
  <c r="V3556" i="21"/>
  <c r="W3556" i="21" s="1"/>
  <c r="L3556" i="21"/>
  <c r="K3556" i="21"/>
  <c r="H3556" i="21"/>
  <c r="M3556" i="21" s="1"/>
  <c r="G3556" i="21"/>
  <c r="I3556" i="21" s="1"/>
  <c r="AB3555" i="21"/>
  <c r="V3555" i="21"/>
  <c r="W3555" i="21" s="1"/>
  <c r="L3555" i="21"/>
  <c r="K3555" i="21"/>
  <c r="H3555" i="21"/>
  <c r="G3555" i="21"/>
  <c r="I3555" i="21" s="1"/>
  <c r="AB3554" i="21"/>
  <c r="V3554" i="21"/>
  <c r="W3554" i="21" s="1"/>
  <c r="L3554" i="21"/>
  <c r="K3554" i="21"/>
  <c r="H3554" i="21"/>
  <c r="M3554" i="21" s="1"/>
  <c r="G3554" i="21"/>
  <c r="I3554" i="21" s="1"/>
  <c r="AB3553" i="21"/>
  <c r="V3553" i="21"/>
  <c r="W3553" i="21" s="1"/>
  <c r="L3553" i="21"/>
  <c r="K3553" i="21"/>
  <c r="H3553" i="21"/>
  <c r="G3553" i="21"/>
  <c r="I3553" i="21" s="1"/>
  <c r="AB3552" i="21"/>
  <c r="V3552" i="21"/>
  <c r="W3552" i="21" s="1"/>
  <c r="L3552" i="21"/>
  <c r="K3552" i="21"/>
  <c r="H3552" i="21"/>
  <c r="M3552" i="21" s="1"/>
  <c r="G3552" i="21"/>
  <c r="I3552" i="21" s="1"/>
  <c r="AB3551" i="21"/>
  <c r="V3551" i="21"/>
  <c r="W3551" i="21" s="1"/>
  <c r="L3551" i="21"/>
  <c r="K3551" i="21"/>
  <c r="H3551" i="21"/>
  <c r="G3551" i="21"/>
  <c r="I3551" i="21" s="1"/>
  <c r="AB3550" i="21"/>
  <c r="V3550" i="21"/>
  <c r="W3550" i="21" s="1"/>
  <c r="L3550" i="21"/>
  <c r="K3550" i="21"/>
  <c r="H3550" i="21"/>
  <c r="M3550" i="21" s="1"/>
  <c r="G3550" i="21"/>
  <c r="I3550" i="21" s="1"/>
  <c r="AB3549" i="21"/>
  <c r="V3549" i="21"/>
  <c r="W3549" i="21" s="1"/>
  <c r="L3549" i="21"/>
  <c r="K3549" i="21"/>
  <c r="H3549" i="21"/>
  <c r="G3549" i="21"/>
  <c r="I3549" i="21" s="1"/>
  <c r="AB3548" i="21"/>
  <c r="V3548" i="21"/>
  <c r="W3548" i="21" s="1"/>
  <c r="L3548" i="21"/>
  <c r="K3548" i="21"/>
  <c r="H3548" i="21"/>
  <c r="G3548" i="21"/>
  <c r="I3548" i="21" s="1"/>
  <c r="AB3547" i="21"/>
  <c r="V3547" i="21"/>
  <c r="W3547" i="21" s="1"/>
  <c r="L3547" i="21"/>
  <c r="K3547" i="21"/>
  <c r="H3547" i="21"/>
  <c r="G3547" i="21"/>
  <c r="I3547" i="21" s="1"/>
  <c r="AB3546" i="21"/>
  <c r="V3546" i="21"/>
  <c r="W3546" i="21" s="1"/>
  <c r="L3546" i="21"/>
  <c r="K3546" i="21"/>
  <c r="H3546" i="21"/>
  <c r="G3546" i="21"/>
  <c r="I3546" i="21" s="1"/>
  <c r="AB3545" i="21"/>
  <c r="V3545" i="21"/>
  <c r="W3545" i="21" s="1"/>
  <c r="L3545" i="21"/>
  <c r="K3545" i="21"/>
  <c r="H3545" i="21"/>
  <c r="G3545" i="21"/>
  <c r="I3545" i="21" s="1"/>
  <c r="AB3544" i="21"/>
  <c r="V3544" i="21"/>
  <c r="W3544" i="21" s="1"/>
  <c r="L3544" i="21"/>
  <c r="K3544" i="21"/>
  <c r="H3544" i="21"/>
  <c r="M3544" i="21" s="1"/>
  <c r="G3544" i="21"/>
  <c r="I3544" i="21" s="1"/>
  <c r="AB3543" i="21"/>
  <c r="V3543" i="21"/>
  <c r="W3543" i="21" s="1"/>
  <c r="L3543" i="21"/>
  <c r="K3543" i="21"/>
  <c r="H3543" i="21"/>
  <c r="G3543" i="21"/>
  <c r="I3543" i="21" s="1"/>
  <c r="AB3542" i="21"/>
  <c r="V3542" i="21"/>
  <c r="W3542" i="21" s="1"/>
  <c r="L3542" i="21"/>
  <c r="K3542" i="21"/>
  <c r="H3542" i="21"/>
  <c r="M3542" i="21" s="1"/>
  <c r="G3542" i="21"/>
  <c r="I3542" i="21" s="1"/>
  <c r="AB3541" i="21"/>
  <c r="V3541" i="21"/>
  <c r="W3541" i="21" s="1"/>
  <c r="L3541" i="21"/>
  <c r="K3541" i="21"/>
  <c r="H3541" i="21"/>
  <c r="G3541" i="21"/>
  <c r="I3541" i="21" s="1"/>
  <c r="AB3540" i="21"/>
  <c r="V3540" i="21"/>
  <c r="W3540" i="21" s="1"/>
  <c r="L3540" i="21"/>
  <c r="K3540" i="21"/>
  <c r="H3540" i="21"/>
  <c r="G3540" i="21"/>
  <c r="I3540" i="21" s="1"/>
  <c r="AB3539" i="21"/>
  <c r="V3539" i="21"/>
  <c r="W3539" i="21" s="1"/>
  <c r="L3539" i="21"/>
  <c r="K3539" i="21"/>
  <c r="H3539" i="21"/>
  <c r="G3539" i="21"/>
  <c r="I3539" i="21" s="1"/>
  <c r="AB3538" i="21"/>
  <c r="V3538" i="21"/>
  <c r="W3538" i="21" s="1"/>
  <c r="L3538" i="21"/>
  <c r="K3538" i="21"/>
  <c r="H3538" i="21"/>
  <c r="G3538" i="21"/>
  <c r="I3538" i="21" s="1"/>
  <c r="AB3537" i="21"/>
  <c r="V3537" i="21"/>
  <c r="W3537" i="21" s="1"/>
  <c r="L3537" i="21"/>
  <c r="K3537" i="21"/>
  <c r="H3537" i="21"/>
  <c r="G3537" i="21"/>
  <c r="I3537" i="21" s="1"/>
  <c r="AB3536" i="21"/>
  <c r="V3536" i="21"/>
  <c r="W3536" i="21" s="1"/>
  <c r="L3536" i="21"/>
  <c r="K3536" i="21"/>
  <c r="H3536" i="21"/>
  <c r="M3536" i="21" s="1"/>
  <c r="G3536" i="21"/>
  <c r="I3536" i="21" s="1"/>
  <c r="AB3535" i="21"/>
  <c r="V3535" i="21"/>
  <c r="W3535" i="21" s="1"/>
  <c r="L3535" i="21"/>
  <c r="K3535" i="21"/>
  <c r="H3535" i="21"/>
  <c r="G3535" i="21"/>
  <c r="I3535" i="21" s="1"/>
  <c r="AB3534" i="21"/>
  <c r="V3534" i="21"/>
  <c r="W3534" i="21" s="1"/>
  <c r="L3534" i="21"/>
  <c r="K3534" i="21"/>
  <c r="H3534" i="21"/>
  <c r="M3534" i="21" s="1"/>
  <c r="G3534" i="21"/>
  <c r="I3534" i="21" s="1"/>
  <c r="AB3533" i="21"/>
  <c r="V3533" i="21"/>
  <c r="W3533" i="21" s="1"/>
  <c r="L3533" i="21"/>
  <c r="K3533" i="21"/>
  <c r="H3533" i="21"/>
  <c r="G3533" i="21"/>
  <c r="I3533" i="21" s="1"/>
  <c r="AB3532" i="21"/>
  <c r="V3532" i="21"/>
  <c r="W3532" i="21" s="1"/>
  <c r="L3532" i="21"/>
  <c r="K3532" i="21"/>
  <c r="H3532" i="21"/>
  <c r="G3532" i="21"/>
  <c r="I3532" i="21" s="1"/>
  <c r="AB3531" i="21"/>
  <c r="V3531" i="21"/>
  <c r="W3531" i="21" s="1"/>
  <c r="L3531" i="21"/>
  <c r="K3531" i="21"/>
  <c r="H3531" i="21"/>
  <c r="G3531" i="21"/>
  <c r="I3531" i="21" s="1"/>
  <c r="AB3530" i="21"/>
  <c r="V3530" i="21"/>
  <c r="W3530" i="21" s="1"/>
  <c r="L3530" i="21"/>
  <c r="K3530" i="21"/>
  <c r="H3530" i="21"/>
  <c r="G3530" i="21"/>
  <c r="I3530" i="21" s="1"/>
  <c r="AB3529" i="21"/>
  <c r="V3529" i="21"/>
  <c r="W3529" i="21" s="1"/>
  <c r="L3529" i="21"/>
  <c r="K3529" i="21"/>
  <c r="H3529" i="21"/>
  <c r="G3529" i="21"/>
  <c r="I3529" i="21" s="1"/>
  <c r="AB3528" i="21"/>
  <c r="V3528" i="21"/>
  <c r="W3528" i="21" s="1"/>
  <c r="L3528" i="21"/>
  <c r="K3528" i="21"/>
  <c r="H3528" i="21"/>
  <c r="M3528" i="21" s="1"/>
  <c r="G3528" i="21"/>
  <c r="I3528" i="21" s="1"/>
  <c r="AB3527" i="21"/>
  <c r="V3527" i="21"/>
  <c r="W3527" i="21" s="1"/>
  <c r="L3527" i="21"/>
  <c r="K3527" i="21"/>
  <c r="H3527" i="21"/>
  <c r="G3527" i="21"/>
  <c r="I3527" i="21" s="1"/>
  <c r="AB3526" i="21"/>
  <c r="V3526" i="21"/>
  <c r="W3526" i="21" s="1"/>
  <c r="L3526" i="21"/>
  <c r="K3526" i="21"/>
  <c r="H3526" i="21"/>
  <c r="M3526" i="21" s="1"/>
  <c r="G3526" i="21"/>
  <c r="I3526" i="21" s="1"/>
  <c r="AB3525" i="21"/>
  <c r="V3525" i="21"/>
  <c r="W3525" i="21" s="1"/>
  <c r="L3525" i="21"/>
  <c r="K3525" i="21"/>
  <c r="H3525" i="21"/>
  <c r="G3525" i="21"/>
  <c r="I3525" i="21" s="1"/>
  <c r="AB3524" i="21"/>
  <c r="V3524" i="21"/>
  <c r="W3524" i="21" s="1"/>
  <c r="L3524" i="21"/>
  <c r="K3524" i="21"/>
  <c r="H3524" i="21"/>
  <c r="M3524" i="21" s="1"/>
  <c r="G3524" i="21"/>
  <c r="I3524" i="21" s="1"/>
  <c r="AB3523" i="21"/>
  <c r="V3523" i="21"/>
  <c r="W3523" i="21" s="1"/>
  <c r="L3523" i="21"/>
  <c r="K3523" i="21"/>
  <c r="H3523" i="21"/>
  <c r="G3523" i="21"/>
  <c r="I3523" i="21" s="1"/>
  <c r="AB3522" i="21"/>
  <c r="V3522" i="21"/>
  <c r="W3522" i="21" s="1"/>
  <c r="L3522" i="21"/>
  <c r="K3522" i="21"/>
  <c r="H3522" i="21"/>
  <c r="M3522" i="21" s="1"/>
  <c r="G3522" i="21"/>
  <c r="I3522" i="21" s="1"/>
  <c r="AB3521" i="21"/>
  <c r="V3521" i="21"/>
  <c r="W3521" i="21" s="1"/>
  <c r="L3521" i="21"/>
  <c r="K3521" i="21"/>
  <c r="H3521" i="21"/>
  <c r="G3521" i="21"/>
  <c r="I3521" i="21" s="1"/>
  <c r="AB3520" i="21"/>
  <c r="V3520" i="21"/>
  <c r="W3520" i="21" s="1"/>
  <c r="L3520" i="21"/>
  <c r="K3520" i="21"/>
  <c r="H3520" i="21"/>
  <c r="M3520" i="21" s="1"/>
  <c r="G3520" i="21"/>
  <c r="I3520" i="21" s="1"/>
  <c r="AB3519" i="21"/>
  <c r="V3519" i="21"/>
  <c r="W3519" i="21" s="1"/>
  <c r="L3519" i="21"/>
  <c r="K3519" i="21"/>
  <c r="H3519" i="21"/>
  <c r="G3519" i="21"/>
  <c r="I3519" i="21" s="1"/>
  <c r="AB3518" i="21"/>
  <c r="V3518" i="21"/>
  <c r="W3518" i="21" s="1"/>
  <c r="L3518" i="21"/>
  <c r="K3518" i="21"/>
  <c r="H3518" i="21"/>
  <c r="M3518" i="21" s="1"/>
  <c r="G3518" i="21"/>
  <c r="I3518" i="21" s="1"/>
  <c r="AB3517" i="21"/>
  <c r="V3517" i="21"/>
  <c r="W3517" i="21" s="1"/>
  <c r="L3517" i="21"/>
  <c r="K3517" i="21"/>
  <c r="H3517" i="21"/>
  <c r="G3517" i="21"/>
  <c r="I3517" i="21" s="1"/>
  <c r="AB3516" i="21"/>
  <c r="V3516" i="21"/>
  <c r="W3516" i="21" s="1"/>
  <c r="L3516" i="21"/>
  <c r="K3516" i="21"/>
  <c r="H3516" i="21"/>
  <c r="M3516" i="21" s="1"/>
  <c r="G3516" i="21"/>
  <c r="I3516" i="21" s="1"/>
  <c r="AB3515" i="21"/>
  <c r="V3515" i="21"/>
  <c r="W3515" i="21" s="1"/>
  <c r="L3515" i="21"/>
  <c r="K3515" i="21"/>
  <c r="H3515" i="21"/>
  <c r="G3515" i="21"/>
  <c r="I3515" i="21" s="1"/>
  <c r="AB3514" i="21"/>
  <c r="V3514" i="21"/>
  <c r="W3514" i="21" s="1"/>
  <c r="L3514" i="21"/>
  <c r="K3514" i="21"/>
  <c r="H3514" i="21"/>
  <c r="M3514" i="21" s="1"/>
  <c r="G3514" i="21"/>
  <c r="I3514" i="21" s="1"/>
  <c r="AB3513" i="21"/>
  <c r="V3513" i="21"/>
  <c r="W3513" i="21" s="1"/>
  <c r="L3513" i="21"/>
  <c r="K3513" i="21"/>
  <c r="H3513" i="21"/>
  <c r="G3513" i="21"/>
  <c r="I3513" i="21" s="1"/>
  <c r="AB3512" i="21"/>
  <c r="V3512" i="21"/>
  <c r="W3512" i="21" s="1"/>
  <c r="L3512" i="21"/>
  <c r="K3512" i="21"/>
  <c r="H3512" i="21"/>
  <c r="M3512" i="21" s="1"/>
  <c r="G3512" i="21"/>
  <c r="I3512" i="21" s="1"/>
  <c r="AB3511" i="21"/>
  <c r="V3511" i="21"/>
  <c r="W3511" i="21" s="1"/>
  <c r="L3511" i="21"/>
  <c r="K3511" i="21"/>
  <c r="H3511" i="21"/>
  <c r="G3511" i="21"/>
  <c r="I3511" i="21" s="1"/>
  <c r="AB3510" i="21"/>
  <c r="V3510" i="21"/>
  <c r="W3510" i="21" s="1"/>
  <c r="L3510" i="21"/>
  <c r="K3510" i="21"/>
  <c r="H3510" i="21"/>
  <c r="M3510" i="21" s="1"/>
  <c r="G3510" i="21"/>
  <c r="I3510" i="21" s="1"/>
  <c r="AB3509" i="21"/>
  <c r="V3509" i="21"/>
  <c r="W3509" i="21" s="1"/>
  <c r="L3509" i="21"/>
  <c r="K3509" i="21"/>
  <c r="H3509" i="21"/>
  <c r="G3509" i="21"/>
  <c r="I3509" i="21" s="1"/>
  <c r="AB3508" i="21"/>
  <c r="V3508" i="21"/>
  <c r="W3508" i="21" s="1"/>
  <c r="L3508" i="21"/>
  <c r="K3508" i="21"/>
  <c r="H3508" i="21"/>
  <c r="M3508" i="21" s="1"/>
  <c r="G3508" i="21"/>
  <c r="I3508" i="21" s="1"/>
  <c r="AB3507" i="21"/>
  <c r="V3507" i="21"/>
  <c r="W3507" i="21" s="1"/>
  <c r="L3507" i="21"/>
  <c r="K3507" i="21"/>
  <c r="H3507" i="21"/>
  <c r="M3507" i="21" s="1"/>
  <c r="G3507" i="21"/>
  <c r="I3507" i="21" s="1"/>
  <c r="AB3506" i="21"/>
  <c r="V3506" i="21"/>
  <c r="W3506" i="21" s="1"/>
  <c r="L3506" i="21"/>
  <c r="K3506" i="21"/>
  <c r="H3506" i="21"/>
  <c r="M3506" i="21" s="1"/>
  <c r="G3506" i="21"/>
  <c r="I3506" i="21" s="1"/>
  <c r="AB3505" i="21"/>
  <c r="V3505" i="21"/>
  <c r="W3505" i="21" s="1"/>
  <c r="L3505" i="21"/>
  <c r="K3505" i="21"/>
  <c r="H3505" i="21"/>
  <c r="G3505" i="21"/>
  <c r="I3505" i="21" s="1"/>
  <c r="AB3504" i="21"/>
  <c r="V3504" i="21"/>
  <c r="W3504" i="21" s="1"/>
  <c r="L3504" i="21"/>
  <c r="K3504" i="21"/>
  <c r="H3504" i="21"/>
  <c r="M3504" i="21" s="1"/>
  <c r="G3504" i="21"/>
  <c r="I3504" i="21" s="1"/>
  <c r="AB3503" i="21"/>
  <c r="V3503" i="21"/>
  <c r="W3503" i="21" s="1"/>
  <c r="L3503" i="21"/>
  <c r="K3503" i="21"/>
  <c r="H3503" i="21"/>
  <c r="M3503" i="21" s="1"/>
  <c r="G3503" i="21"/>
  <c r="I3503" i="21" s="1"/>
  <c r="AB3502" i="21"/>
  <c r="V3502" i="21"/>
  <c r="W3502" i="21" s="1"/>
  <c r="L3502" i="21"/>
  <c r="K3502" i="21"/>
  <c r="H3502" i="21"/>
  <c r="M3502" i="21" s="1"/>
  <c r="G3502" i="21"/>
  <c r="I3502" i="21" s="1"/>
  <c r="AB3501" i="21"/>
  <c r="V3501" i="21"/>
  <c r="W3501" i="21" s="1"/>
  <c r="L3501" i="21"/>
  <c r="K3501" i="21"/>
  <c r="H3501" i="21"/>
  <c r="G3501" i="21"/>
  <c r="I3501" i="21" s="1"/>
  <c r="AB3500" i="21"/>
  <c r="V3500" i="21"/>
  <c r="W3500" i="21" s="1"/>
  <c r="L3500" i="21"/>
  <c r="K3500" i="21"/>
  <c r="H3500" i="21"/>
  <c r="M3500" i="21" s="1"/>
  <c r="G3500" i="21"/>
  <c r="I3500" i="21" s="1"/>
  <c r="AB3499" i="21"/>
  <c r="V3499" i="21"/>
  <c r="W3499" i="21" s="1"/>
  <c r="L3499" i="21"/>
  <c r="K3499" i="21"/>
  <c r="H3499" i="21"/>
  <c r="M3499" i="21" s="1"/>
  <c r="G3499" i="21"/>
  <c r="I3499" i="21" s="1"/>
  <c r="AB3498" i="21"/>
  <c r="V3498" i="21"/>
  <c r="W3498" i="21" s="1"/>
  <c r="L3498" i="21"/>
  <c r="K3498" i="21"/>
  <c r="H3498" i="21"/>
  <c r="M3498" i="21" s="1"/>
  <c r="G3498" i="21"/>
  <c r="I3498" i="21" s="1"/>
  <c r="AB3497" i="21"/>
  <c r="V3497" i="21"/>
  <c r="W3497" i="21" s="1"/>
  <c r="L3497" i="21"/>
  <c r="K3497" i="21"/>
  <c r="H3497" i="21"/>
  <c r="G3497" i="21"/>
  <c r="I3497" i="21" s="1"/>
  <c r="AB3496" i="21"/>
  <c r="V3496" i="21"/>
  <c r="W3496" i="21" s="1"/>
  <c r="L3496" i="21"/>
  <c r="K3496" i="21"/>
  <c r="H3496" i="21"/>
  <c r="M3496" i="21" s="1"/>
  <c r="G3496" i="21"/>
  <c r="I3496" i="21" s="1"/>
  <c r="AB3495" i="21"/>
  <c r="V3495" i="21"/>
  <c r="W3495" i="21" s="1"/>
  <c r="L3495" i="21"/>
  <c r="K3495" i="21"/>
  <c r="H3495" i="21"/>
  <c r="M3495" i="21" s="1"/>
  <c r="G3495" i="21"/>
  <c r="I3495" i="21" s="1"/>
  <c r="AB3494" i="21"/>
  <c r="V3494" i="21"/>
  <c r="W3494" i="21" s="1"/>
  <c r="L3494" i="21"/>
  <c r="K3494" i="21"/>
  <c r="H3494" i="21"/>
  <c r="M3494" i="21" s="1"/>
  <c r="G3494" i="21"/>
  <c r="I3494" i="21" s="1"/>
  <c r="AB3493" i="21"/>
  <c r="V3493" i="21"/>
  <c r="W3493" i="21" s="1"/>
  <c r="L3493" i="21"/>
  <c r="K3493" i="21"/>
  <c r="H3493" i="21"/>
  <c r="G3493" i="21"/>
  <c r="I3493" i="21" s="1"/>
  <c r="AB3492" i="21"/>
  <c r="V3492" i="21"/>
  <c r="W3492" i="21" s="1"/>
  <c r="L3492" i="21"/>
  <c r="K3492" i="21"/>
  <c r="H3492" i="21"/>
  <c r="M3492" i="21" s="1"/>
  <c r="G3492" i="21"/>
  <c r="I3492" i="21" s="1"/>
  <c r="AB3491" i="21"/>
  <c r="V3491" i="21"/>
  <c r="W3491" i="21" s="1"/>
  <c r="L3491" i="21"/>
  <c r="K3491" i="21"/>
  <c r="H3491" i="21"/>
  <c r="M3491" i="21" s="1"/>
  <c r="G3491" i="21"/>
  <c r="I3491" i="21" s="1"/>
  <c r="AB3490" i="21"/>
  <c r="V3490" i="21"/>
  <c r="W3490" i="21" s="1"/>
  <c r="L3490" i="21"/>
  <c r="K3490" i="21"/>
  <c r="H3490" i="21"/>
  <c r="M3490" i="21" s="1"/>
  <c r="G3490" i="21"/>
  <c r="I3490" i="21" s="1"/>
  <c r="AB3489" i="21"/>
  <c r="V3489" i="21"/>
  <c r="W3489" i="21" s="1"/>
  <c r="L3489" i="21"/>
  <c r="K3489" i="21"/>
  <c r="H3489" i="21"/>
  <c r="G3489" i="21"/>
  <c r="I3489" i="21" s="1"/>
  <c r="AB3488" i="21"/>
  <c r="V3488" i="21"/>
  <c r="W3488" i="21" s="1"/>
  <c r="L3488" i="21"/>
  <c r="K3488" i="21"/>
  <c r="H3488" i="21"/>
  <c r="M3488" i="21" s="1"/>
  <c r="G3488" i="21"/>
  <c r="I3488" i="21" s="1"/>
  <c r="AB3487" i="21"/>
  <c r="V3487" i="21"/>
  <c r="W3487" i="21" s="1"/>
  <c r="L3487" i="21"/>
  <c r="K3487" i="21"/>
  <c r="H3487" i="21"/>
  <c r="M3487" i="21" s="1"/>
  <c r="G3487" i="21"/>
  <c r="I3487" i="21" s="1"/>
  <c r="AB3486" i="21"/>
  <c r="V3486" i="21"/>
  <c r="W3486" i="21" s="1"/>
  <c r="L3486" i="21"/>
  <c r="K3486" i="21"/>
  <c r="H3486" i="21"/>
  <c r="M3486" i="21" s="1"/>
  <c r="G3486" i="21"/>
  <c r="I3486" i="21" s="1"/>
  <c r="AB3485" i="21"/>
  <c r="V3485" i="21"/>
  <c r="W3485" i="21" s="1"/>
  <c r="L3485" i="21"/>
  <c r="K3485" i="21"/>
  <c r="H3485" i="21"/>
  <c r="G3485" i="21"/>
  <c r="I3485" i="21" s="1"/>
  <c r="AB3484" i="21"/>
  <c r="V3484" i="21"/>
  <c r="W3484" i="21" s="1"/>
  <c r="L3484" i="21"/>
  <c r="K3484" i="21"/>
  <c r="H3484" i="21"/>
  <c r="M3484" i="21" s="1"/>
  <c r="G3484" i="21"/>
  <c r="I3484" i="21" s="1"/>
  <c r="AB3483" i="21"/>
  <c r="V3483" i="21"/>
  <c r="W3483" i="21" s="1"/>
  <c r="L3483" i="21"/>
  <c r="K3483" i="21"/>
  <c r="H3483" i="21"/>
  <c r="M3483" i="21" s="1"/>
  <c r="G3483" i="21"/>
  <c r="I3483" i="21" s="1"/>
  <c r="AB3482" i="21"/>
  <c r="V3482" i="21"/>
  <c r="W3482" i="21" s="1"/>
  <c r="L3482" i="21"/>
  <c r="K3482" i="21"/>
  <c r="H3482" i="21"/>
  <c r="G3482" i="21"/>
  <c r="I3482" i="21" s="1"/>
  <c r="AB3481" i="21"/>
  <c r="V3481" i="21"/>
  <c r="W3481" i="21" s="1"/>
  <c r="L3481" i="21"/>
  <c r="K3481" i="21"/>
  <c r="H3481" i="21"/>
  <c r="M3481" i="21" s="1"/>
  <c r="G3481" i="21"/>
  <c r="I3481" i="21" s="1"/>
  <c r="AB3480" i="21"/>
  <c r="V3480" i="21"/>
  <c r="W3480" i="21" s="1"/>
  <c r="L3480" i="21"/>
  <c r="K3480" i="21"/>
  <c r="H3480" i="21"/>
  <c r="G3480" i="21"/>
  <c r="I3480" i="21" s="1"/>
  <c r="AB3479" i="21"/>
  <c r="V3479" i="21"/>
  <c r="W3479" i="21" s="1"/>
  <c r="L3479" i="21"/>
  <c r="K3479" i="21"/>
  <c r="H3479" i="21"/>
  <c r="G3479" i="21"/>
  <c r="I3479" i="21" s="1"/>
  <c r="AB3478" i="21"/>
  <c r="V3478" i="21"/>
  <c r="W3478" i="21" s="1"/>
  <c r="L3478" i="21"/>
  <c r="K3478" i="21"/>
  <c r="H3478" i="21"/>
  <c r="G3478" i="21"/>
  <c r="I3478" i="21" s="1"/>
  <c r="AB3477" i="21"/>
  <c r="V3477" i="21"/>
  <c r="W3477" i="21" s="1"/>
  <c r="L3477" i="21"/>
  <c r="K3477" i="21"/>
  <c r="H3477" i="21"/>
  <c r="M3477" i="21" s="1"/>
  <c r="G3477" i="21"/>
  <c r="I3477" i="21" s="1"/>
  <c r="AB3476" i="21"/>
  <c r="V3476" i="21"/>
  <c r="W3476" i="21" s="1"/>
  <c r="L3476" i="21"/>
  <c r="K3476" i="21"/>
  <c r="H3476" i="21"/>
  <c r="G3476" i="21"/>
  <c r="I3476" i="21" s="1"/>
  <c r="AB3475" i="21"/>
  <c r="V3475" i="21"/>
  <c r="W3475" i="21" s="1"/>
  <c r="L3475" i="21"/>
  <c r="K3475" i="21"/>
  <c r="H3475" i="21"/>
  <c r="M3475" i="21" s="1"/>
  <c r="G3475" i="21"/>
  <c r="I3475" i="21" s="1"/>
  <c r="AB3474" i="21"/>
  <c r="V3474" i="21"/>
  <c r="W3474" i="21" s="1"/>
  <c r="L3474" i="21"/>
  <c r="K3474" i="21"/>
  <c r="H3474" i="21"/>
  <c r="G3474" i="21"/>
  <c r="I3474" i="21" s="1"/>
  <c r="AB3473" i="21"/>
  <c r="V3473" i="21"/>
  <c r="W3473" i="21" s="1"/>
  <c r="L3473" i="21"/>
  <c r="K3473" i="21"/>
  <c r="H3473" i="21"/>
  <c r="M3473" i="21" s="1"/>
  <c r="G3473" i="21"/>
  <c r="I3473" i="21" s="1"/>
  <c r="AB3472" i="21"/>
  <c r="V3472" i="21"/>
  <c r="W3472" i="21" s="1"/>
  <c r="L3472" i="21"/>
  <c r="K3472" i="21"/>
  <c r="H3472" i="21"/>
  <c r="M3472" i="21" s="1"/>
  <c r="G3472" i="21"/>
  <c r="I3472" i="21" s="1"/>
  <c r="AB3471" i="21"/>
  <c r="V3471" i="21"/>
  <c r="W3471" i="21" s="1"/>
  <c r="L3471" i="21"/>
  <c r="K3471" i="21"/>
  <c r="H3471" i="21"/>
  <c r="M3471" i="21" s="1"/>
  <c r="G3471" i="21"/>
  <c r="I3471" i="21" s="1"/>
  <c r="AB3470" i="21"/>
  <c r="V3470" i="21"/>
  <c r="W3470" i="21" s="1"/>
  <c r="L3470" i="21"/>
  <c r="K3470" i="21"/>
  <c r="H3470" i="21"/>
  <c r="G3470" i="21"/>
  <c r="I3470" i="21" s="1"/>
  <c r="AB3469" i="21"/>
  <c r="V3469" i="21"/>
  <c r="W3469" i="21" s="1"/>
  <c r="L3469" i="21"/>
  <c r="K3469" i="21"/>
  <c r="H3469" i="21"/>
  <c r="M3469" i="21" s="1"/>
  <c r="G3469" i="21"/>
  <c r="I3469" i="21" s="1"/>
  <c r="AB3468" i="21"/>
  <c r="V3468" i="21"/>
  <c r="W3468" i="21" s="1"/>
  <c r="L3468" i="21"/>
  <c r="K3468" i="21"/>
  <c r="H3468" i="21"/>
  <c r="G3468" i="21"/>
  <c r="I3468" i="21" s="1"/>
  <c r="AB3467" i="21"/>
  <c r="V3467" i="21"/>
  <c r="W3467" i="21" s="1"/>
  <c r="L3467" i="21"/>
  <c r="K3467" i="21"/>
  <c r="H3467" i="21"/>
  <c r="M3467" i="21" s="1"/>
  <c r="G3467" i="21"/>
  <c r="I3467" i="21" s="1"/>
  <c r="AB3466" i="21"/>
  <c r="V3466" i="21"/>
  <c r="W3466" i="21" s="1"/>
  <c r="L3466" i="21"/>
  <c r="K3466" i="21"/>
  <c r="H3466" i="21"/>
  <c r="G3466" i="21"/>
  <c r="I3466" i="21" s="1"/>
  <c r="AB3465" i="21"/>
  <c r="V3465" i="21"/>
  <c r="W3465" i="21" s="1"/>
  <c r="L3465" i="21"/>
  <c r="K3465" i="21"/>
  <c r="H3465" i="21"/>
  <c r="M3465" i="21" s="1"/>
  <c r="G3465" i="21"/>
  <c r="I3465" i="21" s="1"/>
  <c r="AB3464" i="21"/>
  <c r="V3464" i="21"/>
  <c r="W3464" i="21" s="1"/>
  <c r="L3464" i="21"/>
  <c r="K3464" i="21"/>
  <c r="H3464" i="21"/>
  <c r="G3464" i="21"/>
  <c r="I3464" i="21" s="1"/>
  <c r="AB3463" i="21"/>
  <c r="V3463" i="21"/>
  <c r="W3463" i="21" s="1"/>
  <c r="L3463" i="21"/>
  <c r="K3463" i="21"/>
  <c r="H3463" i="21"/>
  <c r="M3463" i="21" s="1"/>
  <c r="G3463" i="21"/>
  <c r="I3463" i="21" s="1"/>
  <c r="AB3462" i="21"/>
  <c r="V3462" i="21"/>
  <c r="W3462" i="21" s="1"/>
  <c r="L3462" i="21"/>
  <c r="K3462" i="21"/>
  <c r="H3462" i="21"/>
  <c r="G3462" i="21"/>
  <c r="I3462" i="21" s="1"/>
  <c r="AB3461" i="21"/>
  <c r="V3461" i="21"/>
  <c r="W3461" i="21" s="1"/>
  <c r="L3461" i="21"/>
  <c r="K3461" i="21"/>
  <c r="H3461" i="21"/>
  <c r="M3461" i="21" s="1"/>
  <c r="G3461" i="21"/>
  <c r="I3461" i="21" s="1"/>
  <c r="AB3460" i="21"/>
  <c r="V3460" i="21"/>
  <c r="W3460" i="21" s="1"/>
  <c r="L3460" i="21"/>
  <c r="K3460" i="21"/>
  <c r="H3460" i="21"/>
  <c r="G3460" i="21"/>
  <c r="I3460" i="21" s="1"/>
  <c r="AB3459" i="21"/>
  <c r="V3459" i="21"/>
  <c r="W3459" i="21" s="1"/>
  <c r="L3459" i="21"/>
  <c r="K3459" i="21"/>
  <c r="H3459" i="21"/>
  <c r="M3459" i="21" s="1"/>
  <c r="G3459" i="21"/>
  <c r="I3459" i="21" s="1"/>
  <c r="AB3458" i="21"/>
  <c r="V3458" i="21"/>
  <c r="W3458" i="21" s="1"/>
  <c r="L3458" i="21"/>
  <c r="K3458" i="21"/>
  <c r="H3458" i="21"/>
  <c r="G3458" i="21"/>
  <c r="I3458" i="21" s="1"/>
  <c r="AB3457" i="21"/>
  <c r="V3457" i="21"/>
  <c r="W3457" i="21" s="1"/>
  <c r="L3457" i="21"/>
  <c r="K3457" i="21"/>
  <c r="H3457" i="21"/>
  <c r="M3457" i="21" s="1"/>
  <c r="G3457" i="21"/>
  <c r="I3457" i="21" s="1"/>
  <c r="AB3456" i="21"/>
  <c r="V3456" i="21"/>
  <c r="W3456" i="21" s="1"/>
  <c r="L3456" i="21"/>
  <c r="K3456" i="21"/>
  <c r="H3456" i="21"/>
  <c r="G3456" i="21"/>
  <c r="I3456" i="21" s="1"/>
  <c r="AB3455" i="21"/>
  <c r="V3455" i="21"/>
  <c r="W3455" i="21" s="1"/>
  <c r="L3455" i="21"/>
  <c r="K3455" i="21"/>
  <c r="H3455" i="21"/>
  <c r="M3455" i="21" s="1"/>
  <c r="G3455" i="21"/>
  <c r="I3455" i="21" s="1"/>
  <c r="AB3454" i="21"/>
  <c r="V3454" i="21"/>
  <c r="W3454" i="21" s="1"/>
  <c r="L3454" i="21"/>
  <c r="K3454" i="21"/>
  <c r="H3454" i="21"/>
  <c r="G3454" i="21"/>
  <c r="I3454" i="21" s="1"/>
  <c r="AB3453" i="21"/>
  <c r="V3453" i="21"/>
  <c r="W3453" i="21" s="1"/>
  <c r="L3453" i="21"/>
  <c r="K3453" i="21"/>
  <c r="H3453" i="21"/>
  <c r="M3453" i="21" s="1"/>
  <c r="G3453" i="21"/>
  <c r="I3453" i="21" s="1"/>
  <c r="AB3452" i="21"/>
  <c r="V3452" i="21"/>
  <c r="W3452" i="21" s="1"/>
  <c r="L3452" i="21"/>
  <c r="K3452" i="21"/>
  <c r="H3452" i="21"/>
  <c r="G3452" i="21"/>
  <c r="I3452" i="21" s="1"/>
  <c r="AB3451" i="21"/>
  <c r="V3451" i="21"/>
  <c r="W3451" i="21" s="1"/>
  <c r="L3451" i="21"/>
  <c r="K3451" i="21"/>
  <c r="H3451" i="21"/>
  <c r="M3451" i="21" s="1"/>
  <c r="G3451" i="21"/>
  <c r="I3451" i="21" s="1"/>
  <c r="AB3450" i="21"/>
  <c r="V3450" i="21"/>
  <c r="W3450" i="21" s="1"/>
  <c r="L3450" i="21"/>
  <c r="K3450" i="21"/>
  <c r="H3450" i="21"/>
  <c r="G3450" i="21"/>
  <c r="I3450" i="21" s="1"/>
  <c r="AB3449" i="21"/>
  <c r="V3449" i="21"/>
  <c r="W3449" i="21" s="1"/>
  <c r="L3449" i="21"/>
  <c r="K3449" i="21"/>
  <c r="H3449" i="21"/>
  <c r="M3449" i="21" s="1"/>
  <c r="G3449" i="21"/>
  <c r="I3449" i="21" s="1"/>
  <c r="AB3448" i="21"/>
  <c r="V3448" i="21"/>
  <c r="W3448" i="21" s="1"/>
  <c r="L3448" i="21"/>
  <c r="K3448" i="21"/>
  <c r="H3448" i="21"/>
  <c r="G3448" i="21"/>
  <c r="I3448" i="21" s="1"/>
  <c r="AB3447" i="21"/>
  <c r="V3447" i="21"/>
  <c r="W3447" i="21" s="1"/>
  <c r="L3447" i="21"/>
  <c r="K3447" i="21"/>
  <c r="H3447" i="21"/>
  <c r="M3447" i="21" s="1"/>
  <c r="G3447" i="21"/>
  <c r="I3447" i="21" s="1"/>
  <c r="AB3446" i="21"/>
  <c r="V3446" i="21"/>
  <c r="W3446" i="21" s="1"/>
  <c r="L3446" i="21"/>
  <c r="K3446" i="21"/>
  <c r="H3446" i="21"/>
  <c r="G3446" i="21"/>
  <c r="I3446" i="21" s="1"/>
  <c r="AB3445" i="21"/>
  <c r="V3445" i="21"/>
  <c r="W3445" i="21" s="1"/>
  <c r="L3445" i="21"/>
  <c r="K3445" i="21"/>
  <c r="H3445" i="21"/>
  <c r="M3445" i="21" s="1"/>
  <c r="G3445" i="21"/>
  <c r="I3445" i="21" s="1"/>
  <c r="AB3444" i="21"/>
  <c r="V3444" i="21"/>
  <c r="W3444" i="21" s="1"/>
  <c r="L3444" i="21"/>
  <c r="K3444" i="21"/>
  <c r="H3444" i="21"/>
  <c r="G3444" i="21"/>
  <c r="I3444" i="21" s="1"/>
  <c r="AB3443" i="21"/>
  <c r="V3443" i="21"/>
  <c r="W3443" i="21" s="1"/>
  <c r="L3443" i="21"/>
  <c r="K3443" i="21"/>
  <c r="H3443" i="21"/>
  <c r="M3443" i="21" s="1"/>
  <c r="G3443" i="21"/>
  <c r="I3443" i="21" s="1"/>
  <c r="AB3442" i="21"/>
  <c r="V3442" i="21"/>
  <c r="W3442" i="21" s="1"/>
  <c r="L3442" i="21"/>
  <c r="K3442" i="21"/>
  <c r="H3442" i="21"/>
  <c r="G3442" i="21"/>
  <c r="I3442" i="21" s="1"/>
  <c r="AB3441" i="21"/>
  <c r="V3441" i="21"/>
  <c r="W3441" i="21" s="1"/>
  <c r="L3441" i="21"/>
  <c r="K3441" i="21"/>
  <c r="H3441" i="21"/>
  <c r="M3441" i="21" s="1"/>
  <c r="G3441" i="21"/>
  <c r="I3441" i="21" s="1"/>
  <c r="AB3440" i="21"/>
  <c r="V3440" i="21"/>
  <c r="W3440" i="21" s="1"/>
  <c r="L3440" i="21"/>
  <c r="K3440" i="21"/>
  <c r="H3440" i="21"/>
  <c r="G3440" i="21"/>
  <c r="I3440" i="21" s="1"/>
  <c r="AB3439" i="21"/>
  <c r="V3439" i="21"/>
  <c r="W3439" i="21" s="1"/>
  <c r="L3439" i="21"/>
  <c r="K3439" i="21"/>
  <c r="H3439" i="21"/>
  <c r="M3439" i="21" s="1"/>
  <c r="G3439" i="21"/>
  <c r="I3439" i="21" s="1"/>
  <c r="AB3438" i="21"/>
  <c r="V3438" i="21"/>
  <c r="W3438" i="21" s="1"/>
  <c r="L3438" i="21"/>
  <c r="K3438" i="21"/>
  <c r="H3438" i="21"/>
  <c r="G3438" i="21"/>
  <c r="I3438" i="21" s="1"/>
  <c r="AB3437" i="21"/>
  <c r="V3437" i="21"/>
  <c r="W3437" i="21" s="1"/>
  <c r="L3437" i="21"/>
  <c r="K3437" i="21"/>
  <c r="H3437" i="21"/>
  <c r="M3437" i="21" s="1"/>
  <c r="G3437" i="21"/>
  <c r="I3437" i="21" s="1"/>
  <c r="AB3436" i="21"/>
  <c r="V3436" i="21"/>
  <c r="W3436" i="21" s="1"/>
  <c r="L3436" i="21"/>
  <c r="K3436" i="21"/>
  <c r="H3436" i="21"/>
  <c r="G3436" i="21"/>
  <c r="I3436" i="21" s="1"/>
  <c r="AB3435" i="21"/>
  <c r="V3435" i="21"/>
  <c r="W3435" i="21" s="1"/>
  <c r="L3435" i="21"/>
  <c r="K3435" i="21"/>
  <c r="H3435" i="21"/>
  <c r="M3435" i="21" s="1"/>
  <c r="G3435" i="21"/>
  <c r="I3435" i="21" s="1"/>
  <c r="AB3434" i="21"/>
  <c r="V3434" i="21"/>
  <c r="W3434" i="21" s="1"/>
  <c r="L3434" i="21"/>
  <c r="K3434" i="21"/>
  <c r="H3434" i="21"/>
  <c r="G3434" i="21"/>
  <c r="I3434" i="21" s="1"/>
  <c r="AB3433" i="21"/>
  <c r="V3433" i="21"/>
  <c r="W3433" i="21" s="1"/>
  <c r="L3433" i="21"/>
  <c r="K3433" i="21"/>
  <c r="H3433" i="21"/>
  <c r="M3433" i="21" s="1"/>
  <c r="G3433" i="21"/>
  <c r="I3433" i="21" s="1"/>
  <c r="AB3432" i="21"/>
  <c r="V3432" i="21"/>
  <c r="W3432" i="21" s="1"/>
  <c r="L3432" i="21"/>
  <c r="K3432" i="21"/>
  <c r="H3432" i="21"/>
  <c r="G3432" i="21"/>
  <c r="I3432" i="21" s="1"/>
  <c r="AB3431" i="21"/>
  <c r="V3431" i="21"/>
  <c r="W3431" i="21" s="1"/>
  <c r="L3431" i="21"/>
  <c r="K3431" i="21"/>
  <c r="H3431" i="21"/>
  <c r="M3431" i="21" s="1"/>
  <c r="G3431" i="21"/>
  <c r="I3431" i="21" s="1"/>
  <c r="AB3430" i="21"/>
  <c r="V3430" i="21"/>
  <c r="W3430" i="21" s="1"/>
  <c r="L3430" i="21"/>
  <c r="K3430" i="21"/>
  <c r="H3430" i="21"/>
  <c r="G3430" i="21"/>
  <c r="I3430" i="21" s="1"/>
  <c r="AB3429" i="21"/>
  <c r="V3429" i="21"/>
  <c r="W3429" i="21" s="1"/>
  <c r="L3429" i="21"/>
  <c r="K3429" i="21"/>
  <c r="H3429" i="21"/>
  <c r="M3429" i="21" s="1"/>
  <c r="G3429" i="21"/>
  <c r="I3429" i="21" s="1"/>
  <c r="AB3428" i="21"/>
  <c r="V3428" i="21"/>
  <c r="W3428" i="21" s="1"/>
  <c r="L3428" i="21"/>
  <c r="K3428" i="21"/>
  <c r="H3428" i="21"/>
  <c r="G3428" i="21"/>
  <c r="I3428" i="21" s="1"/>
  <c r="AB3427" i="21"/>
  <c r="V3427" i="21"/>
  <c r="W3427" i="21" s="1"/>
  <c r="L3427" i="21"/>
  <c r="K3427" i="21"/>
  <c r="H3427" i="21"/>
  <c r="M3427" i="21" s="1"/>
  <c r="G3427" i="21"/>
  <c r="I3427" i="21" s="1"/>
  <c r="AB3426" i="21"/>
  <c r="V3426" i="21"/>
  <c r="W3426" i="21" s="1"/>
  <c r="L3426" i="21"/>
  <c r="K3426" i="21"/>
  <c r="H3426" i="21"/>
  <c r="G3426" i="21"/>
  <c r="I3426" i="21" s="1"/>
  <c r="AB3425" i="21"/>
  <c r="V3425" i="21"/>
  <c r="W3425" i="21" s="1"/>
  <c r="L3425" i="21"/>
  <c r="K3425" i="21"/>
  <c r="H3425" i="21"/>
  <c r="M3425" i="21" s="1"/>
  <c r="G3425" i="21"/>
  <c r="I3425" i="21" s="1"/>
  <c r="AB3424" i="21"/>
  <c r="V3424" i="21"/>
  <c r="W3424" i="21" s="1"/>
  <c r="L3424" i="21"/>
  <c r="K3424" i="21"/>
  <c r="H3424" i="21"/>
  <c r="G3424" i="21"/>
  <c r="I3424" i="21" s="1"/>
  <c r="AB3423" i="21"/>
  <c r="V3423" i="21"/>
  <c r="W3423" i="21" s="1"/>
  <c r="L3423" i="21"/>
  <c r="K3423" i="21"/>
  <c r="H3423" i="21"/>
  <c r="M3423" i="21" s="1"/>
  <c r="G3423" i="21"/>
  <c r="I3423" i="21" s="1"/>
  <c r="AB3422" i="21"/>
  <c r="V3422" i="21"/>
  <c r="W3422" i="21" s="1"/>
  <c r="L3422" i="21"/>
  <c r="K3422" i="21"/>
  <c r="H3422" i="21"/>
  <c r="G3422" i="21"/>
  <c r="I3422" i="21" s="1"/>
  <c r="AB3421" i="21"/>
  <c r="V3421" i="21"/>
  <c r="W3421" i="21" s="1"/>
  <c r="L3421" i="21"/>
  <c r="K3421" i="21"/>
  <c r="H3421" i="21"/>
  <c r="M3421" i="21" s="1"/>
  <c r="G3421" i="21"/>
  <c r="I3421" i="21" s="1"/>
  <c r="AB3420" i="21"/>
  <c r="V3420" i="21"/>
  <c r="W3420" i="21" s="1"/>
  <c r="L3420" i="21"/>
  <c r="K3420" i="21"/>
  <c r="H3420" i="21"/>
  <c r="G3420" i="21"/>
  <c r="I3420" i="21" s="1"/>
  <c r="AB3419" i="21"/>
  <c r="V3419" i="21"/>
  <c r="W3419" i="21" s="1"/>
  <c r="L3419" i="21"/>
  <c r="K3419" i="21"/>
  <c r="H3419" i="21"/>
  <c r="M3419" i="21" s="1"/>
  <c r="G3419" i="21"/>
  <c r="I3419" i="21" s="1"/>
  <c r="AB3418" i="21"/>
  <c r="V3418" i="21"/>
  <c r="W3418" i="21" s="1"/>
  <c r="L3418" i="21"/>
  <c r="K3418" i="21"/>
  <c r="H3418" i="21"/>
  <c r="G3418" i="21"/>
  <c r="I3418" i="21" s="1"/>
  <c r="AB3417" i="21"/>
  <c r="V3417" i="21"/>
  <c r="W3417" i="21" s="1"/>
  <c r="L3417" i="21"/>
  <c r="K3417" i="21"/>
  <c r="H3417" i="21"/>
  <c r="M3417" i="21" s="1"/>
  <c r="G3417" i="21"/>
  <c r="I3417" i="21" s="1"/>
  <c r="AB3416" i="21"/>
  <c r="V3416" i="21"/>
  <c r="W3416" i="21" s="1"/>
  <c r="L3416" i="21"/>
  <c r="K3416" i="21"/>
  <c r="H3416" i="21"/>
  <c r="G3416" i="21"/>
  <c r="I3416" i="21" s="1"/>
  <c r="AB3415" i="21"/>
  <c r="V3415" i="21"/>
  <c r="W3415" i="21" s="1"/>
  <c r="L3415" i="21"/>
  <c r="K3415" i="21"/>
  <c r="H3415" i="21"/>
  <c r="M3415" i="21" s="1"/>
  <c r="G3415" i="21"/>
  <c r="I3415" i="21" s="1"/>
  <c r="AB3414" i="21"/>
  <c r="V3414" i="21"/>
  <c r="W3414" i="21" s="1"/>
  <c r="L3414" i="21"/>
  <c r="K3414" i="21"/>
  <c r="H3414" i="21"/>
  <c r="M3414" i="21" s="1"/>
  <c r="G3414" i="21"/>
  <c r="I3414" i="21" s="1"/>
  <c r="AB3413" i="21"/>
  <c r="V3413" i="21"/>
  <c r="W3413" i="21" s="1"/>
  <c r="L3413" i="21"/>
  <c r="K3413" i="21"/>
  <c r="H3413" i="21"/>
  <c r="M3413" i="21" s="1"/>
  <c r="G3413" i="21"/>
  <c r="I3413" i="21" s="1"/>
  <c r="AB3412" i="21"/>
  <c r="V3412" i="21"/>
  <c r="W3412" i="21" s="1"/>
  <c r="L3412" i="21"/>
  <c r="K3412" i="21"/>
  <c r="H3412" i="21"/>
  <c r="M3412" i="21" s="1"/>
  <c r="G3412" i="21"/>
  <c r="I3412" i="21" s="1"/>
  <c r="AB3411" i="21"/>
  <c r="V3411" i="21"/>
  <c r="W3411" i="21" s="1"/>
  <c r="L3411" i="21"/>
  <c r="K3411" i="21"/>
  <c r="H3411" i="21"/>
  <c r="M3411" i="21" s="1"/>
  <c r="G3411" i="21"/>
  <c r="I3411" i="21" s="1"/>
  <c r="AB3410" i="21"/>
  <c r="V3410" i="21"/>
  <c r="W3410" i="21" s="1"/>
  <c r="L3410" i="21"/>
  <c r="K3410" i="21"/>
  <c r="H3410" i="21"/>
  <c r="M3410" i="21" s="1"/>
  <c r="G3410" i="21"/>
  <c r="I3410" i="21" s="1"/>
  <c r="AB3409" i="21"/>
  <c r="V3409" i="21"/>
  <c r="W3409" i="21" s="1"/>
  <c r="L3409" i="21"/>
  <c r="K3409" i="21"/>
  <c r="H3409" i="21"/>
  <c r="M3409" i="21" s="1"/>
  <c r="G3409" i="21"/>
  <c r="I3409" i="21" s="1"/>
  <c r="AB3408" i="21"/>
  <c r="V3408" i="21"/>
  <c r="W3408" i="21" s="1"/>
  <c r="L3408" i="21"/>
  <c r="K3408" i="21"/>
  <c r="H3408" i="21"/>
  <c r="M3408" i="21" s="1"/>
  <c r="G3408" i="21"/>
  <c r="I3408" i="21" s="1"/>
  <c r="AB3407" i="21"/>
  <c r="V3407" i="21"/>
  <c r="W3407" i="21" s="1"/>
  <c r="L3407" i="21"/>
  <c r="K3407" i="21"/>
  <c r="H3407" i="21"/>
  <c r="M3407" i="21" s="1"/>
  <c r="G3407" i="21"/>
  <c r="I3407" i="21" s="1"/>
  <c r="AB3406" i="21"/>
  <c r="V3406" i="21"/>
  <c r="W3406" i="21" s="1"/>
  <c r="L3406" i="21"/>
  <c r="K3406" i="21"/>
  <c r="H3406" i="21"/>
  <c r="M3406" i="21" s="1"/>
  <c r="G3406" i="21"/>
  <c r="I3406" i="21" s="1"/>
  <c r="AB3405" i="21"/>
  <c r="V3405" i="21"/>
  <c r="W3405" i="21" s="1"/>
  <c r="L3405" i="21"/>
  <c r="K3405" i="21"/>
  <c r="H3405" i="21"/>
  <c r="M3405" i="21" s="1"/>
  <c r="G3405" i="21"/>
  <c r="I3405" i="21" s="1"/>
  <c r="AB3404" i="21"/>
  <c r="V3404" i="21"/>
  <c r="W3404" i="21" s="1"/>
  <c r="L3404" i="21"/>
  <c r="K3404" i="21"/>
  <c r="H3404" i="21"/>
  <c r="M3404" i="21" s="1"/>
  <c r="G3404" i="21"/>
  <c r="I3404" i="21" s="1"/>
  <c r="AB3403" i="21"/>
  <c r="V3403" i="21"/>
  <c r="W3403" i="21" s="1"/>
  <c r="L3403" i="21"/>
  <c r="K3403" i="21"/>
  <c r="H3403" i="21"/>
  <c r="M3403" i="21" s="1"/>
  <c r="G3403" i="21"/>
  <c r="I3403" i="21" s="1"/>
  <c r="AB3402" i="21"/>
  <c r="V3402" i="21"/>
  <c r="W3402" i="21" s="1"/>
  <c r="L3402" i="21"/>
  <c r="K3402" i="21"/>
  <c r="H3402" i="21"/>
  <c r="M3402" i="21" s="1"/>
  <c r="G3402" i="21"/>
  <c r="I3402" i="21" s="1"/>
  <c r="AB3401" i="21"/>
  <c r="V3401" i="21"/>
  <c r="W3401" i="21" s="1"/>
  <c r="L3401" i="21"/>
  <c r="K3401" i="21"/>
  <c r="H3401" i="21"/>
  <c r="M3401" i="21" s="1"/>
  <c r="G3401" i="21"/>
  <c r="I3401" i="21" s="1"/>
  <c r="AB3400" i="21"/>
  <c r="V3400" i="21"/>
  <c r="W3400" i="21" s="1"/>
  <c r="L3400" i="21"/>
  <c r="K3400" i="21"/>
  <c r="H3400" i="21"/>
  <c r="M3400" i="21" s="1"/>
  <c r="G3400" i="21"/>
  <c r="I3400" i="21" s="1"/>
  <c r="AB3399" i="21"/>
  <c r="V3399" i="21"/>
  <c r="W3399" i="21" s="1"/>
  <c r="L3399" i="21"/>
  <c r="K3399" i="21"/>
  <c r="H3399" i="21"/>
  <c r="M3399" i="21" s="1"/>
  <c r="G3399" i="21"/>
  <c r="I3399" i="21" s="1"/>
  <c r="AB3398" i="21"/>
  <c r="V3398" i="21"/>
  <c r="W3398" i="21" s="1"/>
  <c r="L3398" i="21"/>
  <c r="K3398" i="21"/>
  <c r="H3398" i="21"/>
  <c r="M3398" i="21" s="1"/>
  <c r="G3398" i="21"/>
  <c r="I3398" i="21" s="1"/>
  <c r="AB3397" i="21"/>
  <c r="V3397" i="21"/>
  <c r="W3397" i="21" s="1"/>
  <c r="L3397" i="21"/>
  <c r="K3397" i="21"/>
  <c r="H3397" i="21"/>
  <c r="M3397" i="21" s="1"/>
  <c r="G3397" i="21"/>
  <c r="I3397" i="21" s="1"/>
  <c r="AB3396" i="21"/>
  <c r="V3396" i="21"/>
  <c r="W3396" i="21" s="1"/>
  <c r="L3396" i="21"/>
  <c r="K3396" i="21"/>
  <c r="H3396" i="21"/>
  <c r="M3396" i="21" s="1"/>
  <c r="G3396" i="21"/>
  <c r="I3396" i="21" s="1"/>
  <c r="AB3395" i="21"/>
  <c r="V3395" i="21"/>
  <c r="W3395" i="21" s="1"/>
  <c r="L3395" i="21"/>
  <c r="K3395" i="21"/>
  <c r="H3395" i="21"/>
  <c r="M3395" i="21" s="1"/>
  <c r="G3395" i="21"/>
  <c r="I3395" i="21" s="1"/>
  <c r="AB3394" i="21"/>
  <c r="V3394" i="21"/>
  <c r="W3394" i="21" s="1"/>
  <c r="L3394" i="21"/>
  <c r="K3394" i="21"/>
  <c r="H3394" i="21"/>
  <c r="M3394" i="21" s="1"/>
  <c r="G3394" i="21"/>
  <c r="I3394" i="21" s="1"/>
  <c r="AB3393" i="21"/>
  <c r="V3393" i="21"/>
  <c r="W3393" i="21" s="1"/>
  <c r="L3393" i="21"/>
  <c r="K3393" i="21"/>
  <c r="H3393" i="21"/>
  <c r="M3393" i="21" s="1"/>
  <c r="G3393" i="21"/>
  <c r="I3393" i="21" s="1"/>
  <c r="AB3392" i="21"/>
  <c r="V3392" i="21"/>
  <c r="W3392" i="21" s="1"/>
  <c r="L3392" i="21"/>
  <c r="K3392" i="21"/>
  <c r="H3392" i="21"/>
  <c r="M3392" i="21" s="1"/>
  <c r="G3392" i="21"/>
  <c r="I3392" i="21" s="1"/>
  <c r="AB3391" i="21"/>
  <c r="V3391" i="21"/>
  <c r="W3391" i="21" s="1"/>
  <c r="L3391" i="21"/>
  <c r="K3391" i="21"/>
  <c r="H3391" i="21"/>
  <c r="M3391" i="21" s="1"/>
  <c r="G3391" i="21"/>
  <c r="I3391" i="21" s="1"/>
  <c r="AB3390" i="21"/>
  <c r="V3390" i="21"/>
  <c r="W3390" i="21" s="1"/>
  <c r="L3390" i="21"/>
  <c r="K3390" i="21"/>
  <c r="H3390" i="21"/>
  <c r="M3390" i="21" s="1"/>
  <c r="G3390" i="21"/>
  <c r="I3390" i="21" s="1"/>
  <c r="AB3389" i="21"/>
  <c r="V3389" i="21"/>
  <c r="W3389" i="21" s="1"/>
  <c r="L3389" i="21"/>
  <c r="K3389" i="21"/>
  <c r="H3389" i="21"/>
  <c r="M3389" i="21" s="1"/>
  <c r="G3389" i="21"/>
  <c r="I3389" i="21" s="1"/>
  <c r="AB3388" i="21"/>
  <c r="V3388" i="21"/>
  <c r="W3388" i="21" s="1"/>
  <c r="L3388" i="21"/>
  <c r="K3388" i="21"/>
  <c r="H3388" i="21"/>
  <c r="M3388" i="21" s="1"/>
  <c r="G3388" i="21"/>
  <c r="I3388" i="21" s="1"/>
  <c r="AB3387" i="21"/>
  <c r="V3387" i="21"/>
  <c r="W3387" i="21" s="1"/>
  <c r="L3387" i="21"/>
  <c r="K3387" i="21"/>
  <c r="H3387" i="21"/>
  <c r="M3387" i="21" s="1"/>
  <c r="G3387" i="21"/>
  <c r="I3387" i="21" s="1"/>
  <c r="AB3386" i="21"/>
  <c r="V3386" i="21"/>
  <c r="W3386" i="21" s="1"/>
  <c r="L3386" i="21"/>
  <c r="K3386" i="21"/>
  <c r="H3386" i="21"/>
  <c r="M3386" i="21" s="1"/>
  <c r="G3386" i="21"/>
  <c r="I3386" i="21" s="1"/>
  <c r="AB3385" i="21"/>
  <c r="V3385" i="21"/>
  <c r="W3385" i="21" s="1"/>
  <c r="L3385" i="21"/>
  <c r="K3385" i="21"/>
  <c r="H3385" i="21"/>
  <c r="M3385" i="21" s="1"/>
  <c r="G3385" i="21"/>
  <c r="I3385" i="21" s="1"/>
  <c r="AB3384" i="21"/>
  <c r="V3384" i="21"/>
  <c r="W3384" i="21" s="1"/>
  <c r="L3384" i="21"/>
  <c r="K3384" i="21"/>
  <c r="H3384" i="21"/>
  <c r="M3384" i="21" s="1"/>
  <c r="G3384" i="21"/>
  <c r="I3384" i="21" s="1"/>
  <c r="AB3383" i="21"/>
  <c r="V3383" i="21"/>
  <c r="W3383" i="21" s="1"/>
  <c r="L3383" i="21"/>
  <c r="K3383" i="21"/>
  <c r="H3383" i="21"/>
  <c r="M3383" i="21" s="1"/>
  <c r="G3383" i="21"/>
  <c r="I3383" i="21" s="1"/>
  <c r="AB3382" i="21"/>
  <c r="V3382" i="21"/>
  <c r="W3382" i="21" s="1"/>
  <c r="L3382" i="21"/>
  <c r="K3382" i="21"/>
  <c r="H3382" i="21"/>
  <c r="M3382" i="21" s="1"/>
  <c r="G3382" i="21"/>
  <c r="I3382" i="21" s="1"/>
  <c r="AB3381" i="21"/>
  <c r="V3381" i="21"/>
  <c r="W3381" i="21" s="1"/>
  <c r="L3381" i="21"/>
  <c r="K3381" i="21"/>
  <c r="H3381" i="21"/>
  <c r="M3381" i="21" s="1"/>
  <c r="G3381" i="21"/>
  <c r="I3381" i="21" s="1"/>
  <c r="AB3380" i="21"/>
  <c r="V3380" i="21"/>
  <c r="W3380" i="21" s="1"/>
  <c r="L3380" i="21"/>
  <c r="K3380" i="21"/>
  <c r="H3380" i="21"/>
  <c r="M3380" i="21" s="1"/>
  <c r="G3380" i="21"/>
  <c r="I3380" i="21" s="1"/>
  <c r="AB3379" i="21"/>
  <c r="V3379" i="21"/>
  <c r="W3379" i="21" s="1"/>
  <c r="L3379" i="21"/>
  <c r="K3379" i="21"/>
  <c r="H3379" i="21"/>
  <c r="M3379" i="21" s="1"/>
  <c r="G3379" i="21"/>
  <c r="I3379" i="21" s="1"/>
  <c r="AB3378" i="21"/>
  <c r="V3378" i="21"/>
  <c r="W3378" i="21" s="1"/>
  <c r="L3378" i="21"/>
  <c r="K3378" i="21"/>
  <c r="H3378" i="21"/>
  <c r="M3378" i="21" s="1"/>
  <c r="G3378" i="21"/>
  <c r="I3378" i="21" s="1"/>
  <c r="AB3377" i="21"/>
  <c r="V3377" i="21"/>
  <c r="W3377" i="21" s="1"/>
  <c r="L3377" i="21"/>
  <c r="K3377" i="21"/>
  <c r="H3377" i="21"/>
  <c r="M3377" i="21" s="1"/>
  <c r="G3377" i="21"/>
  <c r="I3377" i="21" s="1"/>
  <c r="AB3376" i="21"/>
  <c r="V3376" i="21"/>
  <c r="W3376" i="21" s="1"/>
  <c r="L3376" i="21"/>
  <c r="K3376" i="21"/>
  <c r="H3376" i="21"/>
  <c r="M3376" i="21" s="1"/>
  <c r="G3376" i="21"/>
  <c r="I3376" i="21" s="1"/>
  <c r="AB3375" i="21"/>
  <c r="V3375" i="21"/>
  <c r="W3375" i="21" s="1"/>
  <c r="L3375" i="21"/>
  <c r="K3375" i="21"/>
  <c r="H3375" i="21"/>
  <c r="M3375" i="21" s="1"/>
  <c r="G3375" i="21"/>
  <c r="I3375" i="21" s="1"/>
  <c r="AB3374" i="21"/>
  <c r="V3374" i="21"/>
  <c r="W3374" i="21" s="1"/>
  <c r="L3374" i="21"/>
  <c r="K3374" i="21"/>
  <c r="H3374" i="21"/>
  <c r="M3374" i="21" s="1"/>
  <c r="G3374" i="21"/>
  <c r="I3374" i="21" s="1"/>
  <c r="AB3373" i="21"/>
  <c r="V3373" i="21"/>
  <c r="W3373" i="21" s="1"/>
  <c r="L3373" i="21"/>
  <c r="K3373" i="21"/>
  <c r="H3373" i="21"/>
  <c r="M3373" i="21" s="1"/>
  <c r="G3373" i="21"/>
  <c r="I3373" i="21" s="1"/>
  <c r="AB3372" i="21"/>
  <c r="V3372" i="21"/>
  <c r="W3372" i="21" s="1"/>
  <c r="L3372" i="21"/>
  <c r="K3372" i="21"/>
  <c r="H3372" i="21"/>
  <c r="M3372" i="21" s="1"/>
  <c r="G3372" i="21"/>
  <c r="I3372" i="21" s="1"/>
  <c r="AB3371" i="21"/>
  <c r="V3371" i="21"/>
  <c r="W3371" i="21" s="1"/>
  <c r="L3371" i="21"/>
  <c r="K3371" i="21"/>
  <c r="H3371" i="21"/>
  <c r="M3371" i="21" s="1"/>
  <c r="G3371" i="21"/>
  <c r="I3371" i="21" s="1"/>
  <c r="AB3370" i="21"/>
  <c r="V3370" i="21"/>
  <c r="W3370" i="21" s="1"/>
  <c r="L3370" i="21"/>
  <c r="K3370" i="21"/>
  <c r="H3370" i="21"/>
  <c r="M3370" i="21" s="1"/>
  <c r="G3370" i="21"/>
  <c r="I3370" i="21" s="1"/>
  <c r="AB3369" i="21"/>
  <c r="V3369" i="21"/>
  <c r="W3369" i="21" s="1"/>
  <c r="L3369" i="21"/>
  <c r="K3369" i="21"/>
  <c r="H3369" i="21"/>
  <c r="M3369" i="21" s="1"/>
  <c r="G3369" i="21"/>
  <c r="I3369" i="21" s="1"/>
  <c r="AB3368" i="21"/>
  <c r="V3368" i="21"/>
  <c r="W3368" i="21" s="1"/>
  <c r="L3368" i="21"/>
  <c r="K3368" i="21"/>
  <c r="H3368" i="21"/>
  <c r="M3368" i="21" s="1"/>
  <c r="G3368" i="21"/>
  <c r="I3368" i="21" s="1"/>
  <c r="AB3367" i="21"/>
  <c r="V3367" i="21"/>
  <c r="W3367" i="21" s="1"/>
  <c r="L3367" i="21"/>
  <c r="K3367" i="21"/>
  <c r="H3367" i="21"/>
  <c r="M3367" i="21" s="1"/>
  <c r="G3367" i="21"/>
  <c r="I3367" i="21" s="1"/>
  <c r="AB3366" i="21"/>
  <c r="V3366" i="21"/>
  <c r="W3366" i="21" s="1"/>
  <c r="L3366" i="21"/>
  <c r="K3366" i="21"/>
  <c r="H3366" i="21"/>
  <c r="M3366" i="21" s="1"/>
  <c r="G3366" i="21"/>
  <c r="I3366" i="21" s="1"/>
  <c r="AB3365" i="21"/>
  <c r="V3365" i="21"/>
  <c r="W3365" i="21" s="1"/>
  <c r="L3365" i="21"/>
  <c r="K3365" i="21"/>
  <c r="H3365" i="21"/>
  <c r="M3365" i="21" s="1"/>
  <c r="G3365" i="21"/>
  <c r="I3365" i="21" s="1"/>
  <c r="AB3364" i="21"/>
  <c r="V3364" i="21"/>
  <c r="W3364" i="21" s="1"/>
  <c r="L3364" i="21"/>
  <c r="K3364" i="21"/>
  <c r="H3364" i="21"/>
  <c r="M3364" i="21" s="1"/>
  <c r="G3364" i="21"/>
  <c r="I3364" i="21" s="1"/>
  <c r="AB3363" i="21"/>
  <c r="V3363" i="21"/>
  <c r="W3363" i="21" s="1"/>
  <c r="L3363" i="21"/>
  <c r="K3363" i="21"/>
  <c r="H3363" i="21"/>
  <c r="M3363" i="21" s="1"/>
  <c r="G3363" i="21"/>
  <c r="I3363" i="21" s="1"/>
  <c r="AB3362" i="21"/>
  <c r="V3362" i="21"/>
  <c r="W3362" i="21" s="1"/>
  <c r="L3362" i="21"/>
  <c r="K3362" i="21"/>
  <c r="H3362" i="21"/>
  <c r="M3362" i="21" s="1"/>
  <c r="G3362" i="21"/>
  <c r="I3362" i="21" s="1"/>
  <c r="AB3361" i="21"/>
  <c r="V3361" i="21"/>
  <c r="W3361" i="21" s="1"/>
  <c r="L3361" i="21"/>
  <c r="K3361" i="21"/>
  <c r="H3361" i="21"/>
  <c r="M3361" i="21" s="1"/>
  <c r="G3361" i="21"/>
  <c r="I3361" i="21" s="1"/>
  <c r="AB3360" i="21"/>
  <c r="V3360" i="21"/>
  <c r="W3360" i="21" s="1"/>
  <c r="L3360" i="21"/>
  <c r="K3360" i="21"/>
  <c r="H3360" i="21"/>
  <c r="M3360" i="21" s="1"/>
  <c r="G3360" i="21"/>
  <c r="I3360" i="21" s="1"/>
  <c r="AB3359" i="21"/>
  <c r="V3359" i="21"/>
  <c r="W3359" i="21" s="1"/>
  <c r="L3359" i="21"/>
  <c r="K3359" i="21"/>
  <c r="H3359" i="21"/>
  <c r="M3359" i="21" s="1"/>
  <c r="G3359" i="21"/>
  <c r="I3359" i="21" s="1"/>
  <c r="AB3358" i="21"/>
  <c r="V3358" i="21"/>
  <c r="W3358" i="21" s="1"/>
  <c r="L3358" i="21"/>
  <c r="K3358" i="21"/>
  <c r="H3358" i="21"/>
  <c r="M3358" i="21" s="1"/>
  <c r="G3358" i="21"/>
  <c r="I3358" i="21" s="1"/>
  <c r="AB3357" i="21"/>
  <c r="V3357" i="21"/>
  <c r="W3357" i="21" s="1"/>
  <c r="L3357" i="21"/>
  <c r="K3357" i="21"/>
  <c r="H3357" i="21"/>
  <c r="M3357" i="21" s="1"/>
  <c r="G3357" i="21"/>
  <c r="I3357" i="21" s="1"/>
  <c r="AB3356" i="21"/>
  <c r="V3356" i="21"/>
  <c r="W3356" i="21" s="1"/>
  <c r="L3356" i="21"/>
  <c r="K3356" i="21"/>
  <c r="H3356" i="21"/>
  <c r="M3356" i="21" s="1"/>
  <c r="G3356" i="21"/>
  <c r="I3356" i="21" s="1"/>
  <c r="AB3355" i="21"/>
  <c r="V3355" i="21"/>
  <c r="W3355" i="21" s="1"/>
  <c r="L3355" i="21"/>
  <c r="K3355" i="21"/>
  <c r="H3355" i="21"/>
  <c r="M3355" i="21" s="1"/>
  <c r="G3355" i="21"/>
  <c r="I3355" i="21" s="1"/>
  <c r="AB3354" i="21"/>
  <c r="V3354" i="21"/>
  <c r="W3354" i="21" s="1"/>
  <c r="L3354" i="21"/>
  <c r="K3354" i="21"/>
  <c r="H3354" i="21"/>
  <c r="M3354" i="21" s="1"/>
  <c r="G3354" i="21"/>
  <c r="I3354" i="21" s="1"/>
  <c r="AB3353" i="21"/>
  <c r="V3353" i="21"/>
  <c r="W3353" i="21" s="1"/>
  <c r="L3353" i="21"/>
  <c r="K3353" i="21"/>
  <c r="H3353" i="21"/>
  <c r="M3353" i="21" s="1"/>
  <c r="G3353" i="21"/>
  <c r="I3353" i="21" s="1"/>
  <c r="AB3352" i="21"/>
  <c r="V3352" i="21"/>
  <c r="W3352" i="21" s="1"/>
  <c r="L3352" i="21"/>
  <c r="K3352" i="21"/>
  <c r="H3352" i="21"/>
  <c r="M3352" i="21" s="1"/>
  <c r="G3352" i="21"/>
  <c r="I3352" i="21" s="1"/>
  <c r="AB3770" i="21"/>
  <c r="V3770" i="21"/>
  <c r="W3770" i="21" s="1"/>
  <c r="L3770" i="21"/>
  <c r="K3770" i="21"/>
  <c r="H3770" i="21"/>
  <c r="M3770" i="21" s="1"/>
  <c r="G3770" i="21"/>
  <c r="I3770" i="21" s="1"/>
  <c r="AB3769" i="21"/>
  <c r="V3769" i="21"/>
  <c r="W3769" i="21" s="1"/>
  <c r="L3769" i="21"/>
  <c r="K3769" i="21"/>
  <c r="H3769" i="21"/>
  <c r="G3769" i="21"/>
  <c r="I3769" i="21" s="1"/>
  <c r="AB3768" i="21"/>
  <c r="V3768" i="21"/>
  <c r="W3768" i="21" s="1"/>
  <c r="L3768" i="21"/>
  <c r="K3768" i="21"/>
  <c r="H3768" i="21"/>
  <c r="M3768" i="21" s="1"/>
  <c r="G3768" i="21"/>
  <c r="I3768" i="21" s="1"/>
  <c r="AB3767" i="21"/>
  <c r="V3767" i="21"/>
  <c r="W3767" i="21" s="1"/>
  <c r="L3767" i="21"/>
  <c r="K3767" i="21"/>
  <c r="H3767" i="21"/>
  <c r="G3767" i="21"/>
  <c r="I3767" i="21" s="1"/>
  <c r="AB3766" i="21"/>
  <c r="V3766" i="21"/>
  <c r="W3766" i="21" s="1"/>
  <c r="L3766" i="21"/>
  <c r="K3766" i="21"/>
  <c r="H3766" i="21"/>
  <c r="M3766" i="21" s="1"/>
  <c r="G3766" i="21"/>
  <c r="I3766" i="21" s="1"/>
  <c r="AB3765" i="21"/>
  <c r="V3765" i="21"/>
  <c r="W3765" i="21" s="1"/>
  <c r="L3765" i="21"/>
  <c r="K3765" i="21"/>
  <c r="H3765" i="21"/>
  <c r="G3765" i="21"/>
  <c r="I3765" i="21" s="1"/>
  <c r="AB3764" i="21"/>
  <c r="V3764" i="21"/>
  <c r="W3764" i="21" s="1"/>
  <c r="L3764" i="21"/>
  <c r="K3764" i="21"/>
  <c r="H3764" i="21"/>
  <c r="M3764" i="21" s="1"/>
  <c r="G3764" i="21"/>
  <c r="I3764" i="21" s="1"/>
  <c r="AB3763" i="21"/>
  <c r="V3763" i="21"/>
  <c r="W3763" i="21" s="1"/>
  <c r="L3763" i="21"/>
  <c r="K3763" i="21"/>
  <c r="H3763" i="21"/>
  <c r="G3763" i="21"/>
  <c r="I3763" i="21" s="1"/>
  <c r="AB3762" i="21"/>
  <c r="V3762" i="21"/>
  <c r="W3762" i="21" s="1"/>
  <c r="L3762" i="21"/>
  <c r="K3762" i="21"/>
  <c r="H3762" i="21"/>
  <c r="M3762" i="21" s="1"/>
  <c r="G3762" i="21"/>
  <c r="I3762" i="21" s="1"/>
  <c r="AB3761" i="21"/>
  <c r="V3761" i="21"/>
  <c r="W3761" i="21" s="1"/>
  <c r="L3761" i="21"/>
  <c r="K3761" i="21"/>
  <c r="H3761" i="21"/>
  <c r="G3761" i="21"/>
  <c r="I3761" i="21" s="1"/>
  <c r="AB3760" i="21"/>
  <c r="V3760" i="21"/>
  <c r="W3760" i="21" s="1"/>
  <c r="L3760" i="21"/>
  <c r="K3760" i="21"/>
  <c r="H3760" i="21"/>
  <c r="M3760" i="21" s="1"/>
  <c r="G3760" i="21"/>
  <c r="I3760" i="21" s="1"/>
  <c r="AB3759" i="21"/>
  <c r="V3759" i="21"/>
  <c r="W3759" i="21" s="1"/>
  <c r="L3759" i="21"/>
  <c r="K3759" i="21"/>
  <c r="H3759" i="21"/>
  <c r="G3759" i="21"/>
  <c r="I3759" i="21" s="1"/>
  <c r="AB3758" i="21"/>
  <c r="V3758" i="21"/>
  <c r="W3758" i="21" s="1"/>
  <c r="L3758" i="21"/>
  <c r="K3758" i="21"/>
  <c r="H3758" i="21"/>
  <c r="M3758" i="21" s="1"/>
  <c r="G3758" i="21"/>
  <c r="I3758" i="21" s="1"/>
  <c r="AB3757" i="21"/>
  <c r="V3757" i="21"/>
  <c r="W3757" i="21" s="1"/>
  <c r="L3757" i="21"/>
  <c r="K3757" i="21"/>
  <c r="H3757" i="21"/>
  <c r="G3757" i="21"/>
  <c r="I3757" i="21" s="1"/>
  <c r="AB3756" i="21"/>
  <c r="V3756" i="21"/>
  <c r="W3756" i="21" s="1"/>
  <c r="L3756" i="21"/>
  <c r="K3756" i="21"/>
  <c r="H3756" i="21"/>
  <c r="M3756" i="21" s="1"/>
  <c r="G3756" i="21"/>
  <c r="I3756" i="21" s="1"/>
  <c r="AB3755" i="21"/>
  <c r="V3755" i="21"/>
  <c r="W3755" i="21" s="1"/>
  <c r="L3755" i="21"/>
  <c r="K3755" i="21"/>
  <c r="H3755" i="21"/>
  <c r="G3755" i="21"/>
  <c r="I3755" i="21" s="1"/>
  <c r="AB3754" i="21"/>
  <c r="V3754" i="21"/>
  <c r="W3754" i="21" s="1"/>
  <c r="L3754" i="21"/>
  <c r="K3754" i="21"/>
  <c r="H3754" i="21"/>
  <c r="M3754" i="21" s="1"/>
  <c r="G3754" i="21"/>
  <c r="I3754" i="21" s="1"/>
  <c r="AB3753" i="21"/>
  <c r="V3753" i="21"/>
  <c r="W3753" i="21" s="1"/>
  <c r="L3753" i="21"/>
  <c r="K3753" i="21"/>
  <c r="H3753" i="21"/>
  <c r="G3753" i="21"/>
  <c r="I3753" i="21" s="1"/>
  <c r="AB3752" i="21"/>
  <c r="V3752" i="21"/>
  <c r="W3752" i="21" s="1"/>
  <c r="L3752" i="21"/>
  <c r="K3752" i="21"/>
  <c r="H3752" i="21"/>
  <c r="M3752" i="21" s="1"/>
  <c r="G3752" i="21"/>
  <c r="I3752" i="21" s="1"/>
  <c r="AB3751" i="21"/>
  <c r="V3751" i="21"/>
  <c r="W3751" i="21" s="1"/>
  <c r="L3751" i="21"/>
  <c r="K3751" i="21"/>
  <c r="H3751" i="21"/>
  <c r="G3751" i="21"/>
  <c r="I3751" i="21" s="1"/>
  <c r="AB3750" i="21"/>
  <c r="V3750" i="21"/>
  <c r="W3750" i="21" s="1"/>
  <c r="L3750" i="21"/>
  <c r="K3750" i="21"/>
  <c r="H3750" i="21"/>
  <c r="M3750" i="21" s="1"/>
  <c r="G3750" i="21"/>
  <c r="I3750" i="21" s="1"/>
  <c r="AB3749" i="21"/>
  <c r="V3749" i="21"/>
  <c r="W3749" i="21" s="1"/>
  <c r="L3749" i="21"/>
  <c r="K3749" i="21"/>
  <c r="H3749" i="21"/>
  <c r="G3749" i="21"/>
  <c r="I3749" i="21" s="1"/>
  <c r="AB3748" i="21"/>
  <c r="V3748" i="21"/>
  <c r="W3748" i="21" s="1"/>
  <c r="L3748" i="21"/>
  <c r="K3748" i="21"/>
  <c r="H3748" i="21"/>
  <c r="M3748" i="21" s="1"/>
  <c r="G3748" i="21"/>
  <c r="I3748" i="21" s="1"/>
  <c r="AB3747" i="21"/>
  <c r="V3747" i="21"/>
  <c r="W3747" i="21" s="1"/>
  <c r="L3747" i="21"/>
  <c r="K3747" i="21"/>
  <c r="H3747" i="21"/>
  <c r="G3747" i="21"/>
  <c r="I3747" i="21" s="1"/>
  <c r="AB3746" i="21"/>
  <c r="V3746" i="21"/>
  <c r="W3746" i="21" s="1"/>
  <c r="L3746" i="21"/>
  <c r="K3746" i="21"/>
  <c r="H3746" i="21"/>
  <c r="M3746" i="21" s="1"/>
  <c r="G3746" i="21"/>
  <c r="I3746" i="21" s="1"/>
  <c r="AB3745" i="21"/>
  <c r="V3745" i="21"/>
  <c r="W3745" i="21" s="1"/>
  <c r="L3745" i="21"/>
  <c r="K3745" i="21"/>
  <c r="H3745" i="21"/>
  <c r="G3745" i="21"/>
  <c r="I3745" i="21" s="1"/>
  <c r="AB3744" i="21"/>
  <c r="V3744" i="21"/>
  <c r="W3744" i="21" s="1"/>
  <c r="L3744" i="21"/>
  <c r="K3744" i="21"/>
  <c r="H3744" i="21"/>
  <c r="M3744" i="21" s="1"/>
  <c r="G3744" i="21"/>
  <c r="I3744" i="21" s="1"/>
  <c r="AB3743" i="21"/>
  <c r="V3743" i="21"/>
  <c r="W3743" i="21" s="1"/>
  <c r="L3743" i="21"/>
  <c r="K3743" i="21"/>
  <c r="H3743" i="21"/>
  <c r="G3743" i="21"/>
  <c r="I3743" i="21" s="1"/>
  <c r="AB3742" i="21"/>
  <c r="V3742" i="21"/>
  <c r="W3742" i="21" s="1"/>
  <c r="L3742" i="21"/>
  <c r="K3742" i="21"/>
  <c r="H3742" i="21"/>
  <c r="M3742" i="21" s="1"/>
  <c r="G3742" i="21"/>
  <c r="I3742" i="21" s="1"/>
  <c r="AB3741" i="21"/>
  <c r="V3741" i="21"/>
  <c r="W3741" i="21" s="1"/>
  <c r="L3741" i="21"/>
  <c r="K3741" i="21"/>
  <c r="H3741" i="21"/>
  <c r="G3741" i="21"/>
  <c r="I3741" i="21" s="1"/>
  <c r="AB3740" i="21"/>
  <c r="V3740" i="21"/>
  <c r="W3740" i="21" s="1"/>
  <c r="L3740" i="21"/>
  <c r="K3740" i="21"/>
  <c r="H3740" i="21"/>
  <c r="M3740" i="21" s="1"/>
  <c r="G3740" i="21"/>
  <c r="I3740" i="21" s="1"/>
  <c r="AB3739" i="21"/>
  <c r="V3739" i="21"/>
  <c r="W3739" i="21" s="1"/>
  <c r="L3739" i="21"/>
  <c r="K3739" i="21"/>
  <c r="H3739" i="21"/>
  <c r="G3739" i="21"/>
  <c r="I3739" i="21" s="1"/>
  <c r="AB3738" i="21"/>
  <c r="V3738" i="21"/>
  <c r="W3738" i="21" s="1"/>
  <c r="L3738" i="21"/>
  <c r="K3738" i="21"/>
  <c r="H3738" i="21"/>
  <c r="M3738" i="21" s="1"/>
  <c r="G3738" i="21"/>
  <c r="I3738" i="21" s="1"/>
  <c r="AB3737" i="21"/>
  <c r="V3737" i="21"/>
  <c r="W3737" i="21" s="1"/>
  <c r="L3737" i="21"/>
  <c r="K3737" i="21"/>
  <c r="H3737" i="21"/>
  <c r="G3737" i="21"/>
  <c r="I3737" i="21" s="1"/>
  <c r="AB3736" i="21"/>
  <c r="V3736" i="21"/>
  <c r="W3736" i="21" s="1"/>
  <c r="L3736" i="21"/>
  <c r="K3736" i="21"/>
  <c r="H3736" i="21"/>
  <c r="M3736" i="21" s="1"/>
  <c r="G3736" i="21"/>
  <c r="I3736" i="21" s="1"/>
  <c r="AB3735" i="21"/>
  <c r="V3735" i="21"/>
  <c r="W3735" i="21" s="1"/>
  <c r="L3735" i="21"/>
  <c r="K3735" i="21"/>
  <c r="H3735" i="21"/>
  <c r="G3735" i="21"/>
  <c r="I3735" i="21" s="1"/>
  <c r="AB3734" i="21"/>
  <c r="V3734" i="21"/>
  <c r="W3734" i="21" s="1"/>
  <c r="L3734" i="21"/>
  <c r="K3734" i="21"/>
  <c r="H3734" i="21"/>
  <c r="M3734" i="21" s="1"/>
  <c r="G3734" i="21"/>
  <c r="I3734" i="21" s="1"/>
  <c r="AB3733" i="21"/>
  <c r="V3733" i="21"/>
  <c r="W3733" i="21" s="1"/>
  <c r="L3733" i="21"/>
  <c r="K3733" i="21"/>
  <c r="H3733" i="21"/>
  <c r="G3733" i="21"/>
  <c r="I3733" i="21" s="1"/>
  <c r="AB3732" i="21"/>
  <c r="V3732" i="21"/>
  <c r="W3732" i="21" s="1"/>
  <c r="L3732" i="21"/>
  <c r="K3732" i="21"/>
  <c r="H3732" i="21"/>
  <c r="M3732" i="21" s="1"/>
  <c r="G3732" i="21"/>
  <c r="I3732" i="21" s="1"/>
  <c r="AB3731" i="21"/>
  <c r="V3731" i="21"/>
  <c r="W3731" i="21" s="1"/>
  <c r="L3731" i="21"/>
  <c r="K3731" i="21"/>
  <c r="H3731" i="21"/>
  <c r="G3731" i="21"/>
  <c r="I3731" i="21" s="1"/>
  <c r="AB3730" i="21"/>
  <c r="V3730" i="21"/>
  <c r="W3730" i="21" s="1"/>
  <c r="L3730" i="21"/>
  <c r="K3730" i="21"/>
  <c r="H3730" i="21"/>
  <c r="M3730" i="21" s="1"/>
  <c r="G3730" i="21"/>
  <c r="I3730" i="21" s="1"/>
  <c r="AB3729" i="21"/>
  <c r="V3729" i="21"/>
  <c r="W3729" i="21" s="1"/>
  <c r="L3729" i="21"/>
  <c r="K3729" i="21"/>
  <c r="H3729" i="21"/>
  <c r="G3729" i="21"/>
  <c r="I3729" i="21" s="1"/>
  <c r="AB3728" i="21"/>
  <c r="V3728" i="21"/>
  <c r="W3728" i="21" s="1"/>
  <c r="L3728" i="21"/>
  <c r="K3728" i="21"/>
  <c r="H3728" i="21"/>
  <c r="M3728" i="21" s="1"/>
  <c r="G3728" i="21"/>
  <c r="I3728" i="21" s="1"/>
  <c r="AB3727" i="21"/>
  <c r="V3727" i="21"/>
  <c r="W3727" i="21" s="1"/>
  <c r="L3727" i="21"/>
  <c r="K3727" i="21"/>
  <c r="H3727" i="21"/>
  <c r="G3727" i="21"/>
  <c r="I3727" i="21" s="1"/>
  <c r="AB3726" i="21"/>
  <c r="V3726" i="21"/>
  <c r="W3726" i="21" s="1"/>
  <c r="L3726" i="21"/>
  <c r="K3726" i="21"/>
  <c r="H3726" i="21"/>
  <c r="M3726" i="21" s="1"/>
  <c r="G3726" i="21"/>
  <c r="I3726" i="21" s="1"/>
  <c r="AB3725" i="21"/>
  <c r="V3725" i="21"/>
  <c r="W3725" i="21" s="1"/>
  <c r="L3725" i="21"/>
  <c r="K3725" i="21"/>
  <c r="H3725" i="21"/>
  <c r="G3725" i="21"/>
  <c r="I3725" i="21" s="1"/>
  <c r="AB3724" i="21"/>
  <c r="V3724" i="21"/>
  <c r="W3724" i="21" s="1"/>
  <c r="L3724" i="21"/>
  <c r="K3724" i="21"/>
  <c r="H3724" i="21"/>
  <c r="M3724" i="21" s="1"/>
  <c r="G3724" i="21"/>
  <c r="I3724" i="21" s="1"/>
  <c r="AB3723" i="21"/>
  <c r="V3723" i="21"/>
  <c r="W3723" i="21" s="1"/>
  <c r="L3723" i="21"/>
  <c r="K3723" i="21"/>
  <c r="H3723" i="21"/>
  <c r="G3723" i="21"/>
  <c r="I3723" i="21" s="1"/>
  <c r="AB3722" i="21"/>
  <c r="V3722" i="21"/>
  <c r="W3722" i="21" s="1"/>
  <c r="L3722" i="21"/>
  <c r="K3722" i="21"/>
  <c r="H3722" i="21"/>
  <c r="M3722" i="21" s="1"/>
  <c r="G3722" i="21"/>
  <c r="I3722" i="21" s="1"/>
  <c r="AB3721" i="21"/>
  <c r="V3721" i="21"/>
  <c r="W3721" i="21" s="1"/>
  <c r="L3721" i="21"/>
  <c r="K3721" i="21"/>
  <c r="H3721" i="21"/>
  <c r="G3721" i="21"/>
  <c r="I3721" i="21" s="1"/>
  <c r="AB3720" i="21"/>
  <c r="V3720" i="21"/>
  <c r="W3720" i="21" s="1"/>
  <c r="L3720" i="21"/>
  <c r="K3720" i="21"/>
  <c r="H3720" i="21"/>
  <c r="M3720" i="21" s="1"/>
  <c r="G3720" i="21"/>
  <c r="I3720" i="21" s="1"/>
  <c r="AB3719" i="21"/>
  <c r="V3719" i="21"/>
  <c r="W3719" i="21" s="1"/>
  <c r="L3719" i="21"/>
  <c r="K3719" i="21"/>
  <c r="H3719" i="21"/>
  <c r="G3719" i="21"/>
  <c r="I3719" i="21" s="1"/>
  <c r="AB3718" i="21"/>
  <c r="V3718" i="21"/>
  <c r="W3718" i="21" s="1"/>
  <c r="L3718" i="21"/>
  <c r="K3718" i="21"/>
  <c r="H3718" i="21"/>
  <c r="M3718" i="21" s="1"/>
  <c r="G3718" i="21"/>
  <c r="I3718" i="21" s="1"/>
  <c r="AB3717" i="21"/>
  <c r="V3717" i="21"/>
  <c r="W3717" i="21" s="1"/>
  <c r="L3717" i="21"/>
  <c r="K3717" i="21"/>
  <c r="H3717" i="21"/>
  <c r="G3717" i="21"/>
  <c r="I3717" i="21" s="1"/>
  <c r="AB3716" i="21"/>
  <c r="V3716" i="21"/>
  <c r="W3716" i="21" s="1"/>
  <c r="L3716" i="21"/>
  <c r="K3716" i="21"/>
  <c r="H3716" i="21"/>
  <c r="M3716" i="21" s="1"/>
  <c r="G3716" i="21"/>
  <c r="I3716" i="21" s="1"/>
  <c r="AB3715" i="21"/>
  <c r="V3715" i="21"/>
  <c r="W3715" i="21" s="1"/>
  <c r="L3715" i="21"/>
  <c r="K3715" i="21"/>
  <c r="H3715" i="21"/>
  <c r="G3715" i="21"/>
  <c r="I3715" i="21" s="1"/>
  <c r="AB3714" i="21"/>
  <c r="V3714" i="21"/>
  <c r="W3714" i="21" s="1"/>
  <c r="L3714" i="21"/>
  <c r="K3714" i="21"/>
  <c r="H3714" i="21"/>
  <c r="M3714" i="21" s="1"/>
  <c r="G3714" i="21"/>
  <c r="I3714" i="21" s="1"/>
  <c r="AB3713" i="21"/>
  <c r="V3713" i="21"/>
  <c r="W3713" i="21" s="1"/>
  <c r="L3713" i="21"/>
  <c r="K3713" i="21"/>
  <c r="H3713" i="21"/>
  <c r="G3713" i="21"/>
  <c r="I3713" i="21" s="1"/>
  <c r="AB3712" i="21"/>
  <c r="V3712" i="21"/>
  <c r="W3712" i="21" s="1"/>
  <c r="L3712" i="21"/>
  <c r="K3712" i="21"/>
  <c r="H3712" i="21"/>
  <c r="M3712" i="21" s="1"/>
  <c r="G3712" i="21"/>
  <c r="I3712" i="21" s="1"/>
  <c r="AB3711" i="21"/>
  <c r="V3711" i="21"/>
  <c r="W3711" i="21" s="1"/>
  <c r="L3711" i="21"/>
  <c r="K3711" i="21"/>
  <c r="H3711" i="21"/>
  <c r="G3711" i="21"/>
  <c r="I3711" i="21" s="1"/>
  <c r="AB3710" i="21"/>
  <c r="V3710" i="21"/>
  <c r="W3710" i="21" s="1"/>
  <c r="L3710" i="21"/>
  <c r="K3710" i="21"/>
  <c r="H3710" i="21"/>
  <c r="M3710" i="21" s="1"/>
  <c r="G3710" i="21"/>
  <c r="I3710" i="21" s="1"/>
  <c r="AB3709" i="21"/>
  <c r="V3709" i="21"/>
  <c r="W3709" i="21" s="1"/>
  <c r="L3709" i="21"/>
  <c r="K3709" i="21"/>
  <c r="H3709" i="21"/>
  <c r="G3709" i="21"/>
  <c r="I3709" i="21" s="1"/>
  <c r="AB3708" i="21"/>
  <c r="V3708" i="21"/>
  <c r="W3708" i="21" s="1"/>
  <c r="L3708" i="21"/>
  <c r="K3708" i="21"/>
  <c r="H3708" i="21"/>
  <c r="M3708" i="21" s="1"/>
  <c r="G3708" i="21"/>
  <c r="I3708" i="21" s="1"/>
  <c r="AB3707" i="21"/>
  <c r="V3707" i="21"/>
  <c r="W3707" i="21" s="1"/>
  <c r="L3707" i="21"/>
  <c r="K3707" i="21"/>
  <c r="H3707" i="21"/>
  <c r="G3707" i="21"/>
  <c r="I3707" i="21" s="1"/>
  <c r="AB3706" i="21"/>
  <c r="V3706" i="21"/>
  <c r="W3706" i="21" s="1"/>
  <c r="L3706" i="21"/>
  <c r="K3706" i="21"/>
  <c r="H3706" i="21"/>
  <c r="M3706" i="21" s="1"/>
  <c r="G3706" i="21"/>
  <c r="I3706" i="21" s="1"/>
  <c r="AB3705" i="21"/>
  <c r="V3705" i="21"/>
  <c r="W3705" i="21" s="1"/>
  <c r="L3705" i="21"/>
  <c r="K3705" i="21"/>
  <c r="H3705" i="21"/>
  <c r="G3705" i="21"/>
  <c r="I3705" i="21" s="1"/>
  <c r="AB3704" i="21"/>
  <c r="V3704" i="21"/>
  <c r="W3704" i="21" s="1"/>
  <c r="L3704" i="21"/>
  <c r="K3704" i="21"/>
  <c r="H3704" i="21"/>
  <c r="M3704" i="21" s="1"/>
  <c r="G3704" i="21"/>
  <c r="I3704" i="21" s="1"/>
  <c r="AB3703" i="21"/>
  <c r="V3703" i="21"/>
  <c r="W3703" i="21" s="1"/>
  <c r="L3703" i="21"/>
  <c r="K3703" i="21"/>
  <c r="H3703" i="21"/>
  <c r="G3703" i="21"/>
  <c r="I3703" i="21" s="1"/>
  <c r="AB3702" i="21"/>
  <c r="V3702" i="21"/>
  <c r="W3702" i="21" s="1"/>
  <c r="L3702" i="21"/>
  <c r="K3702" i="21"/>
  <c r="H3702" i="21"/>
  <c r="M3702" i="21" s="1"/>
  <c r="G3702" i="21"/>
  <c r="I3702" i="21" s="1"/>
  <c r="AB3701" i="21"/>
  <c r="V3701" i="21"/>
  <c r="W3701" i="21" s="1"/>
  <c r="L3701" i="21"/>
  <c r="K3701" i="21"/>
  <c r="H3701" i="21"/>
  <c r="G3701" i="21"/>
  <c r="I3701" i="21" s="1"/>
  <c r="AB3700" i="21"/>
  <c r="V3700" i="21"/>
  <c r="W3700" i="21" s="1"/>
  <c r="L3700" i="21"/>
  <c r="K3700" i="21"/>
  <c r="H3700" i="21"/>
  <c r="M3700" i="21" s="1"/>
  <c r="G3700" i="21"/>
  <c r="I3700" i="21" s="1"/>
  <c r="AB3699" i="21"/>
  <c r="V3699" i="21"/>
  <c r="W3699" i="21" s="1"/>
  <c r="L3699" i="21"/>
  <c r="K3699" i="21"/>
  <c r="H3699" i="21"/>
  <c r="G3699" i="21"/>
  <c r="I3699" i="21" s="1"/>
  <c r="AB3698" i="21"/>
  <c r="V3698" i="21"/>
  <c r="W3698" i="21" s="1"/>
  <c r="L3698" i="21"/>
  <c r="K3698" i="21"/>
  <c r="H3698" i="21"/>
  <c r="M3698" i="21" s="1"/>
  <c r="G3698" i="21"/>
  <c r="I3698" i="21" s="1"/>
  <c r="AB3697" i="21"/>
  <c r="V3697" i="21"/>
  <c r="W3697" i="21" s="1"/>
  <c r="L3697" i="21"/>
  <c r="K3697" i="21"/>
  <c r="H3697" i="21"/>
  <c r="G3697" i="21"/>
  <c r="I3697" i="21" s="1"/>
  <c r="AB3696" i="21"/>
  <c r="V3696" i="21"/>
  <c r="W3696" i="21" s="1"/>
  <c r="L3696" i="21"/>
  <c r="K3696" i="21"/>
  <c r="H3696" i="21"/>
  <c r="M3696" i="21" s="1"/>
  <c r="G3696" i="21"/>
  <c r="I3696" i="21" s="1"/>
  <c r="AB3695" i="21"/>
  <c r="V3695" i="21"/>
  <c r="W3695" i="21" s="1"/>
  <c r="L3695" i="21"/>
  <c r="K3695" i="21"/>
  <c r="H3695" i="21"/>
  <c r="G3695" i="21"/>
  <c r="I3695" i="21" s="1"/>
  <c r="AB3694" i="21"/>
  <c r="V3694" i="21"/>
  <c r="W3694" i="21" s="1"/>
  <c r="L3694" i="21"/>
  <c r="K3694" i="21"/>
  <c r="H3694" i="21"/>
  <c r="M3694" i="21" s="1"/>
  <c r="G3694" i="21"/>
  <c r="I3694" i="21" s="1"/>
  <c r="AB3693" i="21"/>
  <c r="V3693" i="21"/>
  <c r="W3693" i="21" s="1"/>
  <c r="L3693" i="21"/>
  <c r="K3693" i="21"/>
  <c r="H3693" i="21"/>
  <c r="G3693" i="21"/>
  <c r="I3693" i="21" s="1"/>
  <c r="AB3692" i="21"/>
  <c r="V3692" i="21"/>
  <c r="W3692" i="21" s="1"/>
  <c r="L3692" i="21"/>
  <c r="K3692" i="21"/>
  <c r="H3692" i="21"/>
  <c r="M3692" i="21" s="1"/>
  <c r="G3692" i="21"/>
  <c r="I3692" i="21" s="1"/>
  <c r="AB3691" i="21"/>
  <c r="V3691" i="21"/>
  <c r="W3691" i="21" s="1"/>
  <c r="L3691" i="21"/>
  <c r="K3691" i="21"/>
  <c r="H3691" i="21"/>
  <c r="G3691" i="21"/>
  <c r="I3691" i="21" s="1"/>
  <c r="AB3690" i="21"/>
  <c r="V3690" i="21"/>
  <c r="W3690" i="21" s="1"/>
  <c r="L3690" i="21"/>
  <c r="K3690" i="21"/>
  <c r="H3690" i="21"/>
  <c r="M3690" i="21" s="1"/>
  <c r="G3690" i="21"/>
  <c r="I3690" i="21" s="1"/>
  <c r="AB3689" i="21"/>
  <c r="V3689" i="21"/>
  <c r="W3689" i="21" s="1"/>
  <c r="L3689" i="21"/>
  <c r="K3689" i="21"/>
  <c r="H3689" i="21"/>
  <c r="M3689" i="21" s="1"/>
  <c r="G3689" i="21"/>
  <c r="I3689" i="21" s="1"/>
  <c r="AB3688" i="21"/>
  <c r="V3688" i="21"/>
  <c r="W3688" i="21" s="1"/>
  <c r="L3688" i="21"/>
  <c r="K3688" i="21"/>
  <c r="H3688" i="21"/>
  <c r="M3688" i="21" s="1"/>
  <c r="G3688" i="21"/>
  <c r="I3688" i="21" s="1"/>
  <c r="AB3015" i="21"/>
  <c r="V3015" i="21"/>
  <c r="W3015" i="21" s="1"/>
  <c r="L3015" i="21"/>
  <c r="K3015" i="21"/>
  <c r="H3015" i="21"/>
  <c r="M3015" i="21" s="1"/>
  <c r="G3015" i="21"/>
  <c r="I3015" i="21" s="1"/>
  <c r="AB3854" i="21"/>
  <c r="V3854" i="21"/>
  <c r="W3854" i="21" s="1"/>
  <c r="L3854" i="21"/>
  <c r="K3854" i="21"/>
  <c r="H3854" i="21"/>
  <c r="M3854" i="21" s="1"/>
  <c r="G3854" i="21"/>
  <c r="I3854" i="21" s="1"/>
  <c r="AB3853" i="21"/>
  <c r="V3853" i="21"/>
  <c r="W3853" i="21" s="1"/>
  <c r="L3853" i="21"/>
  <c r="K3853" i="21"/>
  <c r="H3853" i="21"/>
  <c r="G3853" i="21"/>
  <c r="I3853" i="21" s="1"/>
  <c r="AB3852" i="21"/>
  <c r="V3852" i="21"/>
  <c r="W3852" i="21" s="1"/>
  <c r="L3852" i="21"/>
  <c r="K3852" i="21"/>
  <c r="H3852" i="21"/>
  <c r="M3852" i="21" s="1"/>
  <c r="G3852" i="21"/>
  <c r="I3852" i="21" s="1"/>
  <c r="AB3851" i="21"/>
  <c r="V3851" i="21"/>
  <c r="W3851" i="21" s="1"/>
  <c r="L3851" i="21"/>
  <c r="K3851" i="21"/>
  <c r="H3851" i="21"/>
  <c r="G3851" i="21"/>
  <c r="I3851" i="21" s="1"/>
  <c r="AB3850" i="21"/>
  <c r="V3850" i="21"/>
  <c r="W3850" i="21" s="1"/>
  <c r="L3850" i="21"/>
  <c r="K3850" i="21"/>
  <c r="H3850" i="21"/>
  <c r="G3850" i="21"/>
  <c r="I3850" i="21" s="1"/>
  <c r="AB3849" i="21"/>
  <c r="V3849" i="21"/>
  <c r="W3849" i="21" s="1"/>
  <c r="L3849" i="21"/>
  <c r="K3849" i="21"/>
  <c r="H3849" i="21"/>
  <c r="G3849" i="21"/>
  <c r="I3849" i="21" s="1"/>
  <c r="AB3848" i="21"/>
  <c r="V3848" i="21"/>
  <c r="W3848" i="21" s="1"/>
  <c r="L3848" i="21"/>
  <c r="K3848" i="21"/>
  <c r="H3848" i="21"/>
  <c r="M3848" i="21" s="1"/>
  <c r="G3848" i="21"/>
  <c r="I3848" i="21" s="1"/>
  <c r="AB3847" i="21"/>
  <c r="V3847" i="21"/>
  <c r="W3847" i="21" s="1"/>
  <c r="L3847" i="21"/>
  <c r="K3847" i="21"/>
  <c r="H3847" i="21"/>
  <c r="G3847" i="21"/>
  <c r="I3847" i="21" s="1"/>
  <c r="AB3846" i="21"/>
  <c r="V3846" i="21"/>
  <c r="W3846" i="21" s="1"/>
  <c r="L3846" i="21"/>
  <c r="K3846" i="21"/>
  <c r="H3846" i="21"/>
  <c r="M3846" i="21" s="1"/>
  <c r="G3846" i="21"/>
  <c r="I3846" i="21" s="1"/>
  <c r="AB3845" i="21"/>
  <c r="V3845" i="21"/>
  <c r="W3845" i="21" s="1"/>
  <c r="L3845" i="21"/>
  <c r="K3845" i="21"/>
  <c r="H3845" i="21"/>
  <c r="G3845" i="21"/>
  <c r="I3845" i="21" s="1"/>
  <c r="AB3844" i="21"/>
  <c r="V3844" i="21"/>
  <c r="W3844" i="21" s="1"/>
  <c r="L3844" i="21"/>
  <c r="K3844" i="21"/>
  <c r="H3844" i="21"/>
  <c r="M3844" i="21" s="1"/>
  <c r="G3844" i="21"/>
  <c r="I3844" i="21" s="1"/>
  <c r="AB3843" i="21"/>
  <c r="V3843" i="21"/>
  <c r="W3843" i="21" s="1"/>
  <c r="L3843" i="21"/>
  <c r="K3843" i="21"/>
  <c r="H3843" i="21"/>
  <c r="G3843" i="21"/>
  <c r="I3843" i="21" s="1"/>
  <c r="AB3842" i="21"/>
  <c r="V3842" i="21"/>
  <c r="W3842" i="21" s="1"/>
  <c r="L3842" i="21"/>
  <c r="K3842" i="21"/>
  <c r="H3842" i="21"/>
  <c r="G3842" i="21"/>
  <c r="I3842" i="21" s="1"/>
  <c r="AB3841" i="21"/>
  <c r="V3841" i="21"/>
  <c r="W3841" i="21" s="1"/>
  <c r="L3841" i="21"/>
  <c r="K3841" i="21"/>
  <c r="H3841" i="21"/>
  <c r="G3841" i="21"/>
  <c r="I3841" i="21" s="1"/>
  <c r="AB3840" i="21"/>
  <c r="V3840" i="21"/>
  <c r="W3840" i="21" s="1"/>
  <c r="L3840" i="21"/>
  <c r="K3840" i="21"/>
  <c r="H3840" i="21"/>
  <c r="M3840" i="21" s="1"/>
  <c r="G3840" i="21"/>
  <c r="I3840" i="21" s="1"/>
  <c r="AB3839" i="21"/>
  <c r="V3839" i="21"/>
  <c r="W3839" i="21" s="1"/>
  <c r="L3839" i="21"/>
  <c r="K3839" i="21"/>
  <c r="H3839" i="21"/>
  <c r="G3839" i="21"/>
  <c r="I3839" i="21" s="1"/>
  <c r="AB3838" i="21"/>
  <c r="V3838" i="21"/>
  <c r="W3838" i="21" s="1"/>
  <c r="L3838" i="21"/>
  <c r="K3838" i="21"/>
  <c r="H3838" i="21"/>
  <c r="G3838" i="21"/>
  <c r="I3838" i="21" s="1"/>
  <c r="AB3837" i="21"/>
  <c r="V3837" i="21"/>
  <c r="W3837" i="21" s="1"/>
  <c r="L3837" i="21"/>
  <c r="K3837" i="21"/>
  <c r="H3837" i="21"/>
  <c r="G3837" i="21"/>
  <c r="I3837" i="21" s="1"/>
  <c r="AB3836" i="21"/>
  <c r="V3836" i="21"/>
  <c r="W3836" i="21" s="1"/>
  <c r="L3836" i="21"/>
  <c r="K3836" i="21"/>
  <c r="H3836" i="21"/>
  <c r="G3836" i="21"/>
  <c r="I3836" i="21" s="1"/>
  <c r="AB3835" i="21"/>
  <c r="V3835" i="21"/>
  <c r="W3835" i="21" s="1"/>
  <c r="L3835" i="21"/>
  <c r="K3835" i="21"/>
  <c r="H3835" i="21"/>
  <c r="G3835" i="21"/>
  <c r="I3835" i="21" s="1"/>
  <c r="AB3834" i="21"/>
  <c r="V3834" i="21"/>
  <c r="W3834" i="21" s="1"/>
  <c r="L3834" i="21"/>
  <c r="K3834" i="21"/>
  <c r="H3834" i="21"/>
  <c r="G3834" i="21"/>
  <c r="I3834" i="21" s="1"/>
  <c r="AB3833" i="21"/>
  <c r="V3833" i="21"/>
  <c r="W3833" i="21" s="1"/>
  <c r="L3833" i="21"/>
  <c r="K3833" i="21"/>
  <c r="H3833" i="21"/>
  <c r="G3833" i="21"/>
  <c r="I3833" i="21" s="1"/>
  <c r="AB3832" i="21"/>
  <c r="V3832" i="21"/>
  <c r="W3832" i="21" s="1"/>
  <c r="L3832" i="21"/>
  <c r="K3832" i="21"/>
  <c r="H3832" i="21"/>
  <c r="M3832" i="21" s="1"/>
  <c r="G3832" i="21"/>
  <c r="I3832" i="21" s="1"/>
  <c r="AB3831" i="21"/>
  <c r="V3831" i="21"/>
  <c r="W3831" i="21" s="1"/>
  <c r="L3831" i="21"/>
  <c r="K3831" i="21"/>
  <c r="H3831" i="21"/>
  <c r="G3831" i="21"/>
  <c r="I3831" i="21" s="1"/>
  <c r="AB3830" i="21"/>
  <c r="V3830" i="21"/>
  <c r="W3830" i="21" s="1"/>
  <c r="L3830" i="21"/>
  <c r="K3830" i="21"/>
  <c r="H3830" i="21"/>
  <c r="M3830" i="21" s="1"/>
  <c r="G3830" i="21"/>
  <c r="I3830" i="21" s="1"/>
  <c r="AB3829" i="21"/>
  <c r="V3829" i="21"/>
  <c r="W3829" i="21" s="1"/>
  <c r="L3829" i="21"/>
  <c r="K3829" i="21"/>
  <c r="H3829" i="21"/>
  <c r="G3829" i="21"/>
  <c r="I3829" i="21" s="1"/>
  <c r="AB3828" i="21"/>
  <c r="V3828" i="21"/>
  <c r="W3828" i="21" s="1"/>
  <c r="L3828" i="21"/>
  <c r="K3828" i="21"/>
  <c r="H3828" i="21"/>
  <c r="G3828" i="21"/>
  <c r="I3828" i="21" s="1"/>
  <c r="AB3827" i="21"/>
  <c r="V3827" i="21"/>
  <c r="W3827" i="21" s="1"/>
  <c r="L3827" i="21"/>
  <c r="K3827" i="21"/>
  <c r="H3827" i="21"/>
  <c r="G3827" i="21"/>
  <c r="I3827" i="21" s="1"/>
  <c r="AB3826" i="21"/>
  <c r="V3826" i="21"/>
  <c r="W3826" i="21" s="1"/>
  <c r="L3826" i="21"/>
  <c r="K3826" i="21"/>
  <c r="H3826" i="21"/>
  <c r="G3826" i="21"/>
  <c r="I3826" i="21" s="1"/>
  <c r="AB3825" i="21"/>
  <c r="V3825" i="21"/>
  <c r="W3825" i="21" s="1"/>
  <c r="L3825" i="21"/>
  <c r="K3825" i="21"/>
  <c r="H3825" i="21"/>
  <c r="G3825" i="21"/>
  <c r="I3825" i="21" s="1"/>
  <c r="AB3824" i="21"/>
  <c r="V3824" i="21"/>
  <c r="W3824" i="21" s="1"/>
  <c r="L3824" i="21"/>
  <c r="K3824" i="21"/>
  <c r="H3824" i="21"/>
  <c r="M3824" i="21" s="1"/>
  <c r="G3824" i="21"/>
  <c r="I3824" i="21" s="1"/>
  <c r="AB3823" i="21"/>
  <c r="V3823" i="21"/>
  <c r="W3823" i="21" s="1"/>
  <c r="L3823" i="21"/>
  <c r="K3823" i="21"/>
  <c r="H3823" i="21"/>
  <c r="G3823" i="21"/>
  <c r="I3823" i="21" s="1"/>
  <c r="AB3822" i="21"/>
  <c r="V3822" i="21"/>
  <c r="W3822" i="21" s="1"/>
  <c r="L3822" i="21"/>
  <c r="K3822" i="21"/>
  <c r="H3822" i="21"/>
  <c r="M3822" i="21" s="1"/>
  <c r="G3822" i="21"/>
  <c r="I3822" i="21" s="1"/>
  <c r="AB3821" i="21"/>
  <c r="V3821" i="21"/>
  <c r="W3821" i="21" s="1"/>
  <c r="L3821" i="21"/>
  <c r="K3821" i="21"/>
  <c r="H3821" i="21"/>
  <c r="G3821" i="21"/>
  <c r="I3821" i="21" s="1"/>
  <c r="AB3820" i="21"/>
  <c r="V3820" i="21"/>
  <c r="W3820" i="21" s="1"/>
  <c r="L3820" i="21"/>
  <c r="K3820" i="21"/>
  <c r="H3820" i="21"/>
  <c r="M3820" i="21" s="1"/>
  <c r="G3820" i="21"/>
  <c r="I3820" i="21" s="1"/>
  <c r="AB3819" i="21"/>
  <c r="V3819" i="21"/>
  <c r="W3819" i="21" s="1"/>
  <c r="L3819" i="21"/>
  <c r="K3819" i="21"/>
  <c r="H3819" i="21"/>
  <c r="G3819" i="21"/>
  <c r="I3819" i="21" s="1"/>
  <c r="AB3818" i="21"/>
  <c r="V3818" i="21"/>
  <c r="W3818" i="21" s="1"/>
  <c r="L3818" i="21"/>
  <c r="K3818" i="21"/>
  <c r="H3818" i="21"/>
  <c r="M3818" i="21" s="1"/>
  <c r="G3818" i="21"/>
  <c r="I3818" i="21" s="1"/>
  <c r="AB3817" i="21"/>
  <c r="V3817" i="21"/>
  <c r="W3817" i="21" s="1"/>
  <c r="L3817" i="21"/>
  <c r="K3817" i="21"/>
  <c r="H3817" i="21"/>
  <c r="G3817" i="21"/>
  <c r="I3817" i="21" s="1"/>
  <c r="AB3816" i="21"/>
  <c r="V3816" i="21"/>
  <c r="W3816" i="21" s="1"/>
  <c r="L3816" i="21"/>
  <c r="K3816" i="21"/>
  <c r="H3816" i="21"/>
  <c r="M3816" i="21" s="1"/>
  <c r="G3816" i="21"/>
  <c r="I3816" i="21" s="1"/>
  <c r="AB3815" i="21"/>
  <c r="V3815" i="21"/>
  <c r="W3815" i="21" s="1"/>
  <c r="L3815" i="21"/>
  <c r="K3815" i="21"/>
  <c r="H3815" i="21"/>
  <c r="G3815" i="21"/>
  <c r="I3815" i="21" s="1"/>
  <c r="AB3814" i="21"/>
  <c r="V3814" i="21"/>
  <c r="W3814" i="21" s="1"/>
  <c r="L3814" i="21"/>
  <c r="K3814" i="21"/>
  <c r="H3814" i="21"/>
  <c r="M3814" i="21" s="1"/>
  <c r="G3814" i="21"/>
  <c r="I3814" i="21" s="1"/>
  <c r="AB3813" i="21"/>
  <c r="V3813" i="21"/>
  <c r="W3813" i="21" s="1"/>
  <c r="L3813" i="21"/>
  <c r="K3813" i="21"/>
  <c r="H3813" i="21"/>
  <c r="G3813" i="21"/>
  <c r="I3813" i="21" s="1"/>
  <c r="AB3812" i="21"/>
  <c r="V3812" i="21"/>
  <c r="W3812" i="21" s="1"/>
  <c r="L3812" i="21"/>
  <c r="K3812" i="21"/>
  <c r="H3812" i="21"/>
  <c r="G3812" i="21"/>
  <c r="I3812" i="21" s="1"/>
  <c r="AB3811" i="21"/>
  <c r="V3811" i="21"/>
  <c r="W3811" i="21" s="1"/>
  <c r="L3811" i="21"/>
  <c r="K3811" i="21"/>
  <c r="H3811" i="21"/>
  <c r="M3811" i="21" s="1"/>
  <c r="G3811" i="21"/>
  <c r="I3811" i="21" s="1"/>
  <c r="AB3810" i="21"/>
  <c r="V3810" i="21"/>
  <c r="W3810" i="21" s="1"/>
  <c r="L3810" i="21"/>
  <c r="K3810" i="21"/>
  <c r="H3810" i="21"/>
  <c r="G3810" i="21"/>
  <c r="I3810" i="21" s="1"/>
  <c r="AB3809" i="21"/>
  <c r="V3809" i="21"/>
  <c r="W3809" i="21" s="1"/>
  <c r="L3809" i="21"/>
  <c r="K3809" i="21"/>
  <c r="H3809" i="21"/>
  <c r="M3809" i="21" s="1"/>
  <c r="G3809" i="21"/>
  <c r="I3809" i="21" s="1"/>
  <c r="AB3808" i="21"/>
  <c r="V3808" i="21"/>
  <c r="W3808" i="21" s="1"/>
  <c r="L3808" i="21"/>
  <c r="K3808" i="21"/>
  <c r="H3808" i="21"/>
  <c r="G3808" i="21"/>
  <c r="I3808" i="21" s="1"/>
  <c r="AB3807" i="21"/>
  <c r="V3807" i="21"/>
  <c r="W3807" i="21" s="1"/>
  <c r="L3807" i="21"/>
  <c r="K3807" i="21"/>
  <c r="H3807" i="21"/>
  <c r="M3807" i="21" s="1"/>
  <c r="G3807" i="21"/>
  <c r="I3807" i="21" s="1"/>
  <c r="AB3806" i="21"/>
  <c r="V3806" i="21"/>
  <c r="W3806" i="21" s="1"/>
  <c r="L3806" i="21"/>
  <c r="K3806" i="21"/>
  <c r="H3806" i="21"/>
  <c r="G3806" i="21"/>
  <c r="I3806" i="21" s="1"/>
  <c r="AB3805" i="21"/>
  <c r="V3805" i="21"/>
  <c r="W3805" i="21" s="1"/>
  <c r="L3805" i="21"/>
  <c r="K3805" i="21"/>
  <c r="H3805" i="21"/>
  <c r="M3805" i="21" s="1"/>
  <c r="G3805" i="21"/>
  <c r="I3805" i="21" s="1"/>
  <c r="AB3804" i="21"/>
  <c r="V3804" i="21"/>
  <c r="W3804" i="21" s="1"/>
  <c r="L3804" i="21"/>
  <c r="K3804" i="21"/>
  <c r="H3804" i="21"/>
  <c r="G3804" i="21"/>
  <c r="I3804" i="21" s="1"/>
  <c r="AB3803" i="21"/>
  <c r="V3803" i="21"/>
  <c r="W3803" i="21" s="1"/>
  <c r="L3803" i="21"/>
  <c r="K3803" i="21"/>
  <c r="H3803" i="21"/>
  <c r="M3803" i="21" s="1"/>
  <c r="G3803" i="21"/>
  <c r="I3803" i="21" s="1"/>
  <c r="AB3802" i="21"/>
  <c r="V3802" i="21"/>
  <c r="W3802" i="21" s="1"/>
  <c r="L3802" i="21"/>
  <c r="K3802" i="21"/>
  <c r="H3802" i="21"/>
  <c r="G3802" i="21"/>
  <c r="I3802" i="21" s="1"/>
  <c r="AB3801" i="21"/>
  <c r="V3801" i="21"/>
  <c r="W3801" i="21" s="1"/>
  <c r="L3801" i="21"/>
  <c r="K3801" i="21"/>
  <c r="H3801" i="21"/>
  <c r="M3801" i="21" s="1"/>
  <c r="G3801" i="21"/>
  <c r="I3801" i="21" s="1"/>
  <c r="AB3800" i="21"/>
  <c r="V3800" i="21"/>
  <c r="W3800" i="21" s="1"/>
  <c r="L3800" i="21"/>
  <c r="K3800" i="21"/>
  <c r="H3800" i="21"/>
  <c r="G3800" i="21"/>
  <c r="I3800" i="21" s="1"/>
  <c r="AB3799" i="21"/>
  <c r="V3799" i="21"/>
  <c r="W3799" i="21" s="1"/>
  <c r="L3799" i="21"/>
  <c r="K3799" i="21"/>
  <c r="H3799" i="21"/>
  <c r="M3799" i="21" s="1"/>
  <c r="G3799" i="21"/>
  <c r="I3799" i="21" s="1"/>
  <c r="AB3798" i="21"/>
  <c r="V3798" i="21"/>
  <c r="W3798" i="21" s="1"/>
  <c r="L3798" i="21"/>
  <c r="K3798" i="21"/>
  <c r="H3798" i="21"/>
  <c r="G3798" i="21"/>
  <c r="I3798" i="21" s="1"/>
  <c r="AB3797" i="21"/>
  <c r="V3797" i="21"/>
  <c r="W3797" i="21" s="1"/>
  <c r="L3797" i="21"/>
  <c r="K3797" i="21"/>
  <c r="H3797" i="21"/>
  <c r="M3797" i="21" s="1"/>
  <c r="G3797" i="21"/>
  <c r="I3797" i="21" s="1"/>
  <c r="AB3796" i="21"/>
  <c r="V3796" i="21"/>
  <c r="W3796" i="21" s="1"/>
  <c r="L3796" i="21"/>
  <c r="K3796" i="21"/>
  <c r="H3796" i="21"/>
  <c r="G3796" i="21"/>
  <c r="I3796" i="21" s="1"/>
  <c r="AB3795" i="21"/>
  <c r="V3795" i="21"/>
  <c r="W3795" i="21" s="1"/>
  <c r="L3795" i="21"/>
  <c r="K3795" i="21"/>
  <c r="H3795" i="21"/>
  <c r="M3795" i="21" s="1"/>
  <c r="G3795" i="21"/>
  <c r="I3795" i="21" s="1"/>
  <c r="AB3794" i="21"/>
  <c r="V3794" i="21"/>
  <c r="W3794" i="21" s="1"/>
  <c r="L3794" i="21"/>
  <c r="K3794" i="21"/>
  <c r="H3794" i="21"/>
  <c r="G3794" i="21"/>
  <c r="I3794" i="21" s="1"/>
  <c r="AB3793" i="21"/>
  <c r="V3793" i="21"/>
  <c r="W3793" i="21" s="1"/>
  <c r="L3793" i="21"/>
  <c r="K3793" i="21"/>
  <c r="H3793" i="21"/>
  <c r="M3793" i="21" s="1"/>
  <c r="G3793" i="21"/>
  <c r="I3793" i="21" s="1"/>
  <c r="AB3792" i="21"/>
  <c r="V3792" i="21"/>
  <c r="W3792" i="21" s="1"/>
  <c r="L3792" i="21"/>
  <c r="K3792" i="21"/>
  <c r="H3792" i="21"/>
  <c r="G3792" i="21"/>
  <c r="I3792" i="21" s="1"/>
  <c r="AB3791" i="21"/>
  <c r="V3791" i="21"/>
  <c r="W3791" i="21" s="1"/>
  <c r="L3791" i="21"/>
  <c r="K3791" i="21"/>
  <c r="H3791" i="21"/>
  <c r="M3791" i="21" s="1"/>
  <c r="G3791" i="21"/>
  <c r="I3791" i="21" s="1"/>
  <c r="AB3790" i="21"/>
  <c r="V3790" i="21"/>
  <c r="W3790" i="21" s="1"/>
  <c r="L3790" i="21"/>
  <c r="K3790" i="21"/>
  <c r="H3790" i="21"/>
  <c r="G3790" i="21"/>
  <c r="I3790" i="21" s="1"/>
  <c r="AB3789" i="21"/>
  <c r="V3789" i="21"/>
  <c r="W3789" i="21" s="1"/>
  <c r="L3789" i="21"/>
  <c r="K3789" i="21"/>
  <c r="H3789" i="21"/>
  <c r="M3789" i="21" s="1"/>
  <c r="G3789" i="21"/>
  <c r="I3789" i="21" s="1"/>
  <c r="AB3788" i="21"/>
  <c r="V3788" i="21"/>
  <c r="W3788" i="21" s="1"/>
  <c r="L3788" i="21"/>
  <c r="K3788" i="21"/>
  <c r="H3788" i="21"/>
  <c r="G3788" i="21"/>
  <c r="I3788" i="21" s="1"/>
  <c r="AB3787" i="21"/>
  <c r="V3787" i="21"/>
  <c r="W3787" i="21" s="1"/>
  <c r="L3787" i="21"/>
  <c r="K3787" i="21"/>
  <c r="H3787" i="21"/>
  <c r="M3787" i="21" s="1"/>
  <c r="G3787" i="21"/>
  <c r="I3787" i="21" s="1"/>
  <c r="AB3786" i="21"/>
  <c r="V3786" i="21"/>
  <c r="W3786" i="21" s="1"/>
  <c r="L3786" i="21"/>
  <c r="K3786" i="21"/>
  <c r="H3786" i="21"/>
  <c r="G3786" i="21"/>
  <c r="I3786" i="21" s="1"/>
  <c r="AB3785" i="21"/>
  <c r="V3785" i="21"/>
  <c r="W3785" i="21" s="1"/>
  <c r="L3785" i="21"/>
  <c r="K3785" i="21"/>
  <c r="H3785" i="21"/>
  <c r="M3785" i="21" s="1"/>
  <c r="G3785" i="21"/>
  <c r="I3785" i="21" s="1"/>
  <c r="AB3784" i="21"/>
  <c r="V3784" i="21"/>
  <c r="W3784" i="21" s="1"/>
  <c r="L3784" i="21"/>
  <c r="K3784" i="21"/>
  <c r="H3784" i="21"/>
  <c r="G3784" i="21"/>
  <c r="I3784" i="21" s="1"/>
  <c r="AB3783" i="21"/>
  <c r="V3783" i="21"/>
  <c r="W3783" i="21" s="1"/>
  <c r="L3783" i="21"/>
  <c r="K3783" i="21"/>
  <c r="H3783" i="21"/>
  <c r="M3783" i="21" s="1"/>
  <c r="G3783" i="21"/>
  <c r="I3783" i="21" s="1"/>
  <c r="AB3782" i="21"/>
  <c r="V3782" i="21"/>
  <c r="W3782" i="21" s="1"/>
  <c r="L3782" i="21"/>
  <c r="K3782" i="21"/>
  <c r="H3782" i="21"/>
  <c r="G3782" i="21"/>
  <c r="I3782" i="21" s="1"/>
  <c r="AB3781" i="21"/>
  <c r="V3781" i="21"/>
  <c r="W3781" i="21" s="1"/>
  <c r="L3781" i="21"/>
  <c r="K3781" i="21"/>
  <c r="H3781" i="21"/>
  <c r="M3781" i="21" s="1"/>
  <c r="G3781" i="21"/>
  <c r="I3781" i="21" s="1"/>
  <c r="AB3780" i="21"/>
  <c r="V3780" i="21"/>
  <c r="W3780" i="21" s="1"/>
  <c r="L3780" i="21"/>
  <c r="K3780" i="21"/>
  <c r="H3780" i="21"/>
  <c r="G3780" i="21"/>
  <c r="I3780" i="21" s="1"/>
  <c r="AB3779" i="21"/>
  <c r="V3779" i="21"/>
  <c r="W3779" i="21" s="1"/>
  <c r="L3779" i="21"/>
  <c r="K3779" i="21"/>
  <c r="H3779" i="21"/>
  <c r="M3779" i="21" s="1"/>
  <c r="G3779" i="21"/>
  <c r="I3779" i="21" s="1"/>
  <c r="AB3778" i="21"/>
  <c r="V3778" i="21"/>
  <c r="W3778" i="21" s="1"/>
  <c r="L3778" i="21"/>
  <c r="K3778" i="21"/>
  <c r="H3778" i="21"/>
  <c r="G3778" i="21"/>
  <c r="I3778" i="21" s="1"/>
  <c r="AB3777" i="21"/>
  <c r="V3777" i="21"/>
  <c r="W3777" i="21" s="1"/>
  <c r="L3777" i="21"/>
  <c r="K3777" i="21"/>
  <c r="H3777" i="21"/>
  <c r="M3777" i="21" s="1"/>
  <c r="G3777" i="21"/>
  <c r="I3777" i="21" s="1"/>
  <c r="AB3776" i="21"/>
  <c r="V3776" i="21"/>
  <c r="W3776" i="21" s="1"/>
  <c r="L3776" i="21"/>
  <c r="K3776" i="21"/>
  <c r="H3776" i="21"/>
  <c r="G3776" i="21"/>
  <c r="I3776" i="21" s="1"/>
  <c r="AB3775" i="21"/>
  <c r="V3775" i="21"/>
  <c r="W3775" i="21" s="1"/>
  <c r="L3775" i="21"/>
  <c r="K3775" i="21"/>
  <c r="H3775" i="21"/>
  <c r="M3775" i="21" s="1"/>
  <c r="G3775" i="21"/>
  <c r="I3775" i="21" s="1"/>
  <c r="AB3774" i="21"/>
  <c r="V3774" i="21"/>
  <c r="W3774" i="21" s="1"/>
  <c r="L3774" i="21"/>
  <c r="K3774" i="21"/>
  <c r="H3774" i="21"/>
  <c r="G3774" i="21"/>
  <c r="I3774" i="21" s="1"/>
  <c r="AB3773" i="21"/>
  <c r="V3773" i="21"/>
  <c r="W3773" i="21" s="1"/>
  <c r="L3773" i="21"/>
  <c r="K3773" i="21"/>
  <c r="H3773" i="21"/>
  <c r="M3773" i="21" s="1"/>
  <c r="G3773" i="21"/>
  <c r="I3773" i="21" s="1"/>
  <c r="AB3772" i="21"/>
  <c r="V3772" i="21"/>
  <c r="W3772" i="21" s="1"/>
  <c r="L3772" i="21"/>
  <c r="K3772" i="21"/>
  <c r="H3772" i="21"/>
  <c r="G3772" i="21"/>
  <c r="I3772" i="21" s="1"/>
  <c r="AB3771" i="21"/>
  <c r="V3771" i="21"/>
  <c r="W3771" i="21" s="1"/>
  <c r="L3771" i="21"/>
  <c r="K3771" i="21"/>
  <c r="H3771" i="21"/>
  <c r="M3771" i="21" s="1"/>
  <c r="G3771" i="21"/>
  <c r="I3771" i="21" s="1"/>
  <c r="AB3938" i="21"/>
  <c r="V3938" i="21"/>
  <c r="W3938" i="21" s="1"/>
  <c r="L3938" i="21"/>
  <c r="K3938" i="21"/>
  <c r="H3938" i="21"/>
  <c r="M3938" i="21" s="1"/>
  <c r="G3938" i="21"/>
  <c r="I3938" i="21" s="1"/>
  <c r="AB3937" i="21"/>
  <c r="V3937" i="21"/>
  <c r="W3937" i="21" s="1"/>
  <c r="L3937" i="21"/>
  <c r="K3937" i="21"/>
  <c r="H3937" i="21"/>
  <c r="G3937" i="21"/>
  <c r="I3937" i="21" s="1"/>
  <c r="AB3936" i="21"/>
  <c r="V3936" i="21"/>
  <c r="W3936" i="21" s="1"/>
  <c r="L3936" i="21"/>
  <c r="K3936" i="21"/>
  <c r="H3936" i="21"/>
  <c r="M3936" i="21" s="1"/>
  <c r="G3936" i="21"/>
  <c r="I3936" i="21" s="1"/>
  <c r="AB3935" i="21"/>
  <c r="V3935" i="21"/>
  <c r="W3935" i="21" s="1"/>
  <c r="L3935" i="21"/>
  <c r="K3935" i="21"/>
  <c r="H3935" i="21"/>
  <c r="G3935" i="21"/>
  <c r="I3935" i="21" s="1"/>
  <c r="AB3934" i="21"/>
  <c r="V3934" i="21"/>
  <c r="W3934" i="21" s="1"/>
  <c r="L3934" i="21"/>
  <c r="K3934" i="21"/>
  <c r="H3934" i="21"/>
  <c r="M3934" i="21" s="1"/>
  <c r="G3934" i="21"/>
  <c r="I3934" i="21" s="1"/>
  <c r="AB3933" i="21"/>
  <c r="V3933" i="21"/>
  <c r="W3933" i="21" s="1"/>
  <c r="L3933" i="21"/>
  <c r="K3933" i="21"/>
  <c r="H3933" i="21"/>
  <c r="G3933" i="21"/>
  <c r="I3933" i="21" s="1"/>
  <c r="AB3932" i="21"/>
  <c r="V3932" i="21"/>
  <c r="W3932" i="21" s="1"/>
  <c r="L3932" i="21"/>
  <c r="K3932" i="21"/>
  <c r="H3932" i="21"/>
  <c r="M3932" i="21" s="1"/>
  <c r="G3932" i="21"/>
  <c r="I3932" i="21" s="1"/>
  <c r="AB3931" i="21"/>
  <c r="V3931" i="21"/>
  <c r="W3931" i="21" s="1"/>
  <c r="L3931" i="21"/>
  <c r="K3931" i="21"/>
  <c r="H3931" i="21"/>
  <c r="G3931" i="21"/>
  <c r="I3931" i="21" s="1"/>
  <c r="AB3930" i="21"/>
  <c r="V3930" i="21"/>
  <c r="W3930" i="21" s="1"/>
  <c r="L3930" i="21"/>
  <c r="K3930" i="21"/>
  <c r="H3930" i="21"/>
  <c r="M3930" i="21" s="1"/>
  <c r="G3930" i="21"/>
  <c r="I3930" i="21" s="1"/>
  <c r="AB3929" i="21"/>
  <c r="V3929" i="21"/>
  <c r="W3929" i="21" s="1"/>
  <c r="L3929" i="21"/>
  <c r="K3929" i="21"/>
  <c r="H3929" i="21"/>
  <c r="G3929" i="21"/>
  <c r="I3929" i="21" s="1"/>
  <c r="AB3928" i="21"/>
  <c r="V3928" i="21"/>
  <c r="W3928" i="21" s="1"/>
  <c r="L3928" i="21"/>
  <c r="K3928" i="21"/>
  <c r="H3928" i="21"/>
  <c r="M3928" i="21" s="1"/>
  <c r="G3928" i="21"/>
  <c r="I3928" i="21" s="1"/>
  <c r="AB3927" i="21"/>
  <c r="V3927" i="21"/>
  <c r="W3927" i="21" s="1"/>
  <c r="L3927" i="21"/>
  <c r="K3927" i="21"/>
  <c r="H3927" i="21"/>
  <c r="G3927" i="21"/>
  <c r="I3927" i="21" s="1"/>
  <c r="AB3926" i="21"/>
  <c r="V3926" i="21"/>
  <c r="W3926" i="21" s="1"/>
  <c r="L3926" i="21"/>
  <c r="K3926" i="21"/>
  <c r="H3926" i="21"/>
  <c r="M3926" i="21" s="1"/>
  <c r="G3926" i="21"/>
  <c r="I3926" i="21" s="1"/>
  <c r="AB3925" i="21"/>
  <c r="V3925" i="21"/>
  <c r="W3925" i="21" s="1"/>
  <c r="L3925" i="21"/>
  <c r="K3925" i="21"/>
  <c r="H3925" i="21"/>
  <c r="G3925" i="21"/>
  <c r="I3925" i="21" s="1"/>
  <c r="AB3924" i="21"/>
  <c r="V3924" i="21"/>
  <c r="W3924" i="21" s="1"/>
  <c r="L3924" i="21"/>
  <c r="K3924" i="21"/>
  <c r="H3924" i="21"/>
  <c r="M3924" i="21" s="1"/>
  <c r="G3924" i="21"/>
  <c r="I3924" i="21" s="1"/>
  <c r="AB3923" i="21"/>
  <c r="V3923" i="21"/>
  <c r="W3923" i="21" s="1"/>
  <c r="L3923" i="21"/>
  <c r="K3923" i="21"/>
  <c r="H3923" i="21"/>
  <c r="G3923" i="21"/>
  <c r="I3923" i="21" s="1"/>
  <c r="AB3922" i="21"/>
  <c r="V3922" i="21"/>
  <c r="W3922" i="21" s="1"/>
  <c r="L3922" i="21"/>
  <c r="K3922" i="21"/>
  <c r="H3922" i="21"/>
  <c r="M3922" i="21" s="1"/>
  <c r="G3922" i="21"/>
  <c r="I3922" i="21" s="1"/>
  <c r="AB3921" i="21"/>
  <c r="V3921" i="21"/>
  <c r="W3921" i="21" s="1"/>
  <c r="L3921" i="21"/>
  <c r="K3921" i="21"/>
  <c r="H3921" i="21"/>
  <c r="G3921" i="21"/>
  <c r="I3921" i="21" s="1"/>
  <c r="AB3920" i="21"/>
  <c r="V3920" i="21"/>
  <c r="W3920" i="21" s="1"/>
  <c r="L3920" i="21"/>
  <c r="K3920" i="21"/>
  <c r="H3920" i="21"/>
  <c r="M3920" i="21" s="1"/>
  <c r="G3920" i="21"/>
  <c r="I3920" i="21" s="1"/>
  <c r="AB3919" i="21"/>
  <c r="V3919" i="21"/>
  <c r="W3919" i="21" s="1"/>
  <c r="L3919" i="21"/>
  <c r="K3919" i="21"/>
  <c r="H3919" i="21"/>
  <c r="G3919" i="21"/>
  <c r="I3919" i="21" s="1"/>
  <c r="AB3918" i="21"/>
  <c r="V3918" i="21"/>
  <c r="W3918" i="21" s="1"/>
  <c r="L3918" i="21"/>
  <c r="K3918" i="21"/>
  <c r="H3918" i="21"/>
  <c r="M3918" i="21" s="1"/>
  <c r="G3918" i="21"/>
  <c r="I3918" i="21" s="1"/>
  <c r="AB3917" i="21"/>
  <c r="V3917" i="21"/>
  <c r="W3917" i="21" s="1"/>
  <c r="L3917" i="21"/>
  <c r="K3917" i="21"/>
  <c r="H3917" i="21"/>
  <c r="G3917" i="21"/>
  <c r="I3917" i="21" s="1"/>
  <c r="AB3916" i="21"/>
  <c r="V3916" i="21"/>
  <c r="W3916" i="21" s="1"/>
  <c r="L3916" i="21"/>
  <c r="K3916" i="21"/>
  <c r="H3916" i="21"/>
  <c r="M3916" i="21" s="1"/>
  <c r="G3916" i="21"/>
  <c r="I3916" i="21" s="1"/>
  <c r="AB3915" i="21"/>
  <c r="V3915" i="21"/>
  <c r="W3915" i="21" s="1"/>
  <c r="L3915" i="21"/>
  <c r="K3915" i="21"/>
  <c r="H3915" i="21"/>
  <c r="G3915" i="21"/>
  <c r="I3915" i="21" s="1"/>
  <c r="AB3914" i="21"/>
  <c r="V3914" i="21"/>
  <c r="W3914" i="21" s="1"/>
  <c r="L3914" i="21"/>
  <c r="K3914" i="21"/>
  <c r="H3914" i="21"/>
  <c r="M3914" i="21" s="1"/>
  <c r="G3914" i="21"/>
  <c r="I3914" i="21" s="1"/>
  <c r="AB3913" i="21"/>
  <c r="V3913" i="21"/>
  <c r="W3913" i="21" s="1"/>
  <c r="L3913" i="21"/>
  <c r="K3913" i="21"/>
  <c r="H3913" i="21"/>
  <c r="G3913" i="21"/>
  <c r="I3913" i="21" s="1"/>
  <c r="AB3912" i="21"/>
  <c r="V3912" i="21"/>
  <c r="W3912" i="21" s="1"/>
  <c r="L3912" i="21"/>
  <c r="K3912" i="21"/>
  <c r="H3912" i="21"/>
  <c r="M3912" i="21" s="1"/>
  <c r="G3912" i="21"/>
  <c r="I3912" i="21" s="1"/>
  <c r="AB3911" i="21"/>
  <c r="V3911" i="21"/>
  <c r="W3911" i="21" s="1"/>
  <c r="L3911" i="21"/>
  <c r="K3911" i="21"/>
  <c r="H3911" i="21"/>
  <c r="G3911" i="21"/>
  <c r="I3911" i="21" s="1"/>
  <c r="AB3910" i="21"/>
  <c r="V3910" i="21"/>
  <c r="W3910" i="21" s="1"/>
  <c r="L3910" i="21"/>
  <c r="K3910" i="21"/>
  <c r="H3910" i="21"/>
  <c r="M3910" i="21" s="1"/>
  <c r="G3910" i="21"/>
  <c r="I3910" i="21" s="1"/>
  <c r="AB3909" i="21"/>
  <c r="V3909" i="21"/>
  <c r="W3909" i="21" s="1"/>
  <c r="L3909" i="21"/>
  <c r="K3909" i="21"/>
  <c r="H3909" i="21"/>
  <c r="G3909" i="21"/>
  <c r="I3909" i="21" s="1"/>
  <c r="AB3908" i="21"/>
  <c r="V3908" i="21"/>
  <c r="W3908" i="21" s="1"/>
  <c r="L3908" i="21"/>
  <c r="K3908" i="21"/>
  <c r="H3908" i="21"/>
  <c r="M3908" i="21" s="1"/>
  <c r="G3908" i="21"/>
  <c r="I3908" i="21" s="1"/>
  <c r="AB3907" i="21"/>
  <c r="V3907" i="21"/>
  <c r="W3907" i="21" s="1"/>
  <c r="L3907" i="21"/>
  <c r="K3907" i="21"/>
  <c r="H3907" i="21"/>
  <c r="G3907" i="21"/>
  <c r="I3907" i="21" s="1"/>
  <c r="AB3906" i="21"/>
  <c r="V3906" i="21"/>
  <c r="W3906" i="21" s="1"/>
  <c r="L3906" i="21"/>
  <c r="K3906" i="21"/>
  <c r="H3906" i="21"/>
  <c r="M3906" i="21" s="1"/>
  <c r="G3906" i="21"/>
  <c r="I3906" i="21" s="1"/>
  <c r="AB3905" i="21"/>
  <c r="V3905" i="21"/>
  <c r="W3905" i="21" s="1"/>
  <c r="L3905" i="21"/>
  <c r="K3905" i="21"/>
  <c r="H3905" i="21"/>
  <c r="G3905" i="21"/>
  <c r="I3905" i="21" s="1"/>
  <c r="AB3904" i="21"/>
  <c r="V3904" i="21"/>
  <c r="W3904" i="21" s="1"/>
  <c r="L3904" i="21"/>
  <c r="K3904" i="21"/>
  <c r="H3904" i="21"/>
  <c r="M3904" i="21" s="1"/>
  <c r="G3904" i="21"/>
  <c r="I3904" i="21" s="1"/>
  <c r="AB3903" i="21"/>
  <c r="V3903" i="21"/>
  <c r="W3903" i="21" s="1"/>
  <c r="L3903" i="21"/>
  <c r="K3903" i="21"/>
  <c r="H3903" i="21"/>
  <c r="G3903" i="21"/>
  <c r="I3903" i="21" s="1"/>
  <c r="AB3902" i="21"/>
  <c r="V3902" i="21"/>
  <c r="W3902" i="21" s="1"/>
  <c r="L3902" i="21"/>
  <c r="K3902" i="21"/>
  <c r="H3902" i="21"/>
  <c r="M3902" i="21" s="1"/>
  <c r="G3902" i="21"/>
  <c r="I3902" i="21" s="1"/>
  <c r="AB3901" i="21"/>
  <c r="V3901" i="21"/>
  <c r="W3901" i="21" s="1"/>
  <c r="L3901" i="21"/>
  <c r="K3901" i="21"/>
  <c r="H3901" i="21"/>
  <c r="G3901" i="21"/>
  <c r="I3901" i="21" s="1"/>
  <c r="AB3900" i="21"/>
  <c r="V3900" i="21"/>
  <c r="W3900" i="21" s="1"/>
  <c r="L3900" i="21"/>
  <c r="K3900" i="21"/>
  <c r="H3900" i="21"/>
  <c r="G3900" i="21"/>
  <c r="I3900" i="21" s="1"/>
  <c r="AB3899" i="21"/>
  <c r="V3899" i="21"/>
  <c r="W3899" i="21" s="1"/>
  <c r="L3899" i="21"/>
  <c r="K3899" i="21"/>
  <c r="H3899" i="21"/>
  <c r="G3899" i="21"/>
  <c r="I3899" i="21" s="1"/>
  <c r="AB3898" i="21"/>
  <c r="V3898" i="21"/>
  <c r="W3898" i="21" s="1"/>
  <c r="L3898" i="21"/>
  <c r="K3898" i="21"/>
  <c r="H3898" i="21"/>
  <c r="G3898" i="21"/>
  <c r="I3898" i="21" s="1"/>
  <c r="AB3897" i="21"/>
  <c r="V3897" i="21"/>
  <c r="W3897" i="21" s="1"/>
  <c r="L3897" i="21"/>
  <c r="K3897" i="21"/>
  <c r="H3897" i="21"/>
  <c r="G3897" i="21"/>
  <c r="I3897" i="21" s="1"/>
  <c r="AB3896" i="21"/>
  <c r="V3896" i="21"/>
  <c r="W3896" i="21" s="1"/>
  <c r="L3896" i="21"/>
  <c r="K3896" i="21"/>
  <c r="H3896" i="21"/>
  <c r="G3896" i="21"/>
  <c r="I3896" i="21" s="1"/>
  <c r="AB3895" i="21"/>
  <c r="V3895" i="21"/>
  <c r="W3895" i="21" s="1"/>
  <c r="L3895" i="21"/>
  <c r="K3895" i="21"/>
  <c r="H3895" i="21"/>
  <c r="M3895" i="21" s="1"/>
  <c r="G3895" i="21"/>
  <c r="I3895" i="21" s="1"/>
  <c r="AB3894" i="21"/>
  <c r="V3894" i="21"/>
  <c r="W3894" i="21" s="1"/>
  <c r="L3894" i="21"/>
  <c r="K3894" i="21"/>
  <c r="H3894" i="21"/>
  <c r="G3894" i="21"/>
  <c r="I3894" i="21" s="1"/>
  <c r="AB3893" i="21"/>
  <c r="V3893" i="21"/>
  <c r="W3893" i="21" s="1"/>
  <c r="L3893" i="21"/>
  <c r="K3893" i="21"/>
  <c r="H3893" i="21"/>
  <c r="M3893" i="21" s="1"/>
  <c r="G3893" i="21"/>
  <c r="I3893" i="21" s="1"/>
  <c r="AB3892" i="21"/>
  <c r="V3892" i="21"/>
  <c r="W3892" i="21" s="1"/>
  <c r="L3892" i="21"/>
  <c r="K3892" i="21"/>
  <c r="H3892" i="21"/>
  <c r="G3892" i="21"/>
  <c r="I3892" i="21" s="1"/>
  <c r="AB3891" i="21"/>
  <c r="V3891" i="21"/>
  <c r="W3891" i="21" s="1"/>
  <c r="L3891" i="21"/>
  <c r="K3891" i="21"/>
  <c r="H3891" i="21"/>
  <c r="M3891" i="21" s="1"/>
  <c r="G3891" i="21"/>
  <c r="I3891" i="21" s="1"/>
  <c r="AB3890" i="21"/>
  <c r="V3890" i="21"/>
  <c r="W3890" i="21" s="1"/>
  <c r="L3890" i="21"/>
  <c r="K3890" i="21"/>
  <c r="H3890" i="21"/>
  <c r="G3890" i="21"/>
  <c r="I3890" i="21" s="1"/>
  <c r="AB3889" i="21"/>
  <c r="V3889" i="21"/>
  <c r="W3889" i="21" s="1"/>
  <c r="L3889" i="21"/>
  <c r="K3889" i="21"/>
  <c r="H3889" i="21"/>
  <c r="M3889" i="21" s="1"/>
  <c r="G3889" i="21"/>
  <c r="I3889" i="21" s="1"/>
  <c r="AB3888" i="21"/>
  <c r="V3888" i="21"/>
  <c r="W3888" i="21" s="1"/>
  <c r="L3888" i="21"/>
  <c r="K3888" i="21"/>
  <c r="H3888" i="21"/>
  <c r="G3888" i="21"/>
  <c r="I3888" i="21" s="1"/>
  <c r="AB3887" i="21"/>
  <c r="V3887" i="21"/>
  <c r="W3887" i="21" s="1"/>
  <c r="L3887" i="21"/>
  <c r="K3887" i="21"/>
  <c r="H3887" i="21"/>
  <c r="M3887" i="21" s="1"/>
  <c r="G3887" i="21"/>
  <c r="I3887" i="21" s="1"/>
  <c r="AB3886" i="21"/>
  <c r="V3886" i="21"/>
  <c r="W3886" i="21" s="1"/>
  <c r="L3886" i="21"/>
  <c r="K3886" i="21"/>
  <c r="H3886" i="21"/>
  <c r="G3886" i="21"/>
  <c r="I3886" i="21" s="1"/>
  <c r="AB3885" i="21"/>
  <c r="V3885" i="21"/>
  <c r="W3885" i="21" s="1"/>
  <c r="L3885" i="21"/>
  <c r="K3885" i="21"/>
  <c r="H3885" i="21"/>
  <c r="M3885" i="21" s="1"/>
  <c r="G3885" i="21"/>
  <c r="I3885" i="21" s="1"/>
  <c r="AB3884" i="21"/>
  <c r="V3884" i="21"/>
  <c r="W3884" i="21" s="1"/>
  <c r="L3884" i="21"/>
  <c r="K3884" i="21"/>
  <c r="H3884" i="21"/>
  <c r="G3884" i="21"/>
  <c r="I3884" i="21" s="1"/>
  <c r="AB3883" i="21"/>
  <c r="V3883" i="21"/>
  <c r="W3883" i="21" s="1"/>
  <c r="L3883" i="21"/>
  <c r="K3883" i="21"/>
  <c r="H3883" i="21"/>
  <c r="M3883" i="21" s="1"/>
  <c r="G3883" i="21"/>
  <c r="I3883" i="21" s="1"/>
  <c r="AB3882" i="21"/>
  <c r="V3882" i="21"/>
  <c r="W3882" i="21" s="1"/>
  <c r="L3882" i="21"/>
  <c r="K3882" i="21"/>
  <c r="H3882" i="21"/>
  <c r="G3882" i="21"/>
  <c r="I3882" i="21" s="1"/>
  <c r="AB3881" i="21"/>
  <c r="V3881" i="21"/>
  <c r="W3881" i="21" s="1"/>
  <c r="L3881" i="21"/>
  <c r="K3881" i="21"/>
  <c r="H3881" i="21"/>
  <c r="M3881" i="21" s="1"/>
  <c r="G3881" i="21"/>
  <c r="I3881" i="21" s="1"/>
  <c r="AB3880" i="21"/>
  <c r="V3880" i="21"/>
  <c r="W3880" i="21" s="1"/>
  <c r="L3880" i="21"/>
  <c r="K3880" i="21"/>
  <c r="H3880" i="21"/>
  <c r="G3880" i="21"/>
  <c r="I3880" i="21" s="1"/>
  <c r="AB3879" i="21"/>
  <c r="V3879" i="21"/>
  <c r="W3879" i="21" s="1"/>
  <c r="L3879" i="21"/>
  <c r="K3879" i="21"/>
  <c r="H3879" i="21"/>
  <c r="M3879" i="21" s="1"/>
  <c r="G3879" i="21"/>
  <c r="I3879" i="21" s="1"/>
  <c r="AB3878" i="21"/>
  <c r="V3878" i="21"/>
  <c r="W3878" i="21" s="1"/>
  <c r="L3878" i="21"/>
  <c r="K3878" i="21"/>
  <c r="H3878" i="21"/>
  <c r="G3878" i="21"/>
  <c r="I3878" i="21" s="1"/>
  <c r="AB3877" i="21"/>
  <c r="V3877" i="21"/>
  <c r="W3877" i="21" s="1"/>
  <c r="L3877" i="21"/>
  <c r="K3877" i="21"/>
  <c r="H3877" i="21"/>
  <c r="M3877" i="21" s="1"/>
  <c r="G3877" i="21"/>
  <c r="I3877" i="21" s="1"/>
  <c r="AB3876" i="21"/>
  <c r="V3876" i="21"/>
  <c r="W3876" i="21" s="1"/>
  <c r="L3876" i="21"/>
  <c r="K3876" i="21"/>
  <c r="H3876" i="21"/>
  <c r="G3876" i="21"/>
  <c r="I3876" i="21" s="1"/>
  <c r="AB3875" i="21"/>
  <c r="V3875" i="21"/>
  <c r="W3875" i="21" s="1"/>
  <c r="L3875" i="21"/>
  <c r="K3875" i="21"/>
  <c r="H3875" i="21"/>
  <c r="M3875" i="21" s="1"/>
  <c r="G3875" i="21"/>
  <c r="I3875" i="21" s="1"/>
  <c r="AB3874" i="21"/>
  <c r="V3874" i="21"/>
  <c r="W3874" i="21" s="1"/>
  <c r="L3874" i="21"/>
  <c r="K3874" i="21"/>
  <c r="H3874" i="21"/>
  <c r="G3874" i="21"/>
  <c r="I3874" i="21" s="1"/>
  <c r="AB3873" i="21"/>
  <c r="V3873" i="21"/>
  <c r="W3873" i="21" s="1"/>
  <c r="L3873" i="21"/>
  <c r="K3873" i="21"/>
  <c r="H3873" i="21"/>
  <c r="M3873" i="21" s="1"/>
  <c r="G3873" i="21"/>
  <c r="I3873" i="21" s="1"/>
  <c r="AB3872" i="21"/>
  <c r="V3872" i="21"/>
  <c r="W3872" i="21" s="1"/>
  <c r="L3872" i="21"/>
  <c r="K3872" i="21"/>
  <c r="H3872" i="21"/>
  <c r="G3872" i="21"/>
  <c r="I3872" i="21" s="1"/>
  <c r="AB3871" i="21"/>
  <c r="V3871" i="21"/>
  <c r="W3871" i="21" s="1"/>
  <c r="L3871" i="21"/>
  <c r="K3871" i="21"/>
  <c r="H3871" i="21"/>
  <c r="M3871" i="21" s="1"/>
  <c r="G3871" i="21"/>
  <c r="I3871" i="21" s="1"/>
  <c r="AB3870" i="21"/>
  <c r="V3870" i="21"/>
  <c r="W3870" i="21" s="1"/>
  <c r="L3870" i="21"/>
  <c r="K3870" i="21"/>
  <c r="H3870" i="21"/>
  <c r="G3870" i="21"/>
  <c r="I3870" i="21" s="1"/>
  <c r="AB3869" i="21"/>
  <c r="V3869" i="21"/>
  <c r="W3869" i="21" s="1"/>
  <c r="L3869" i="21"/>
  <c r="K3869" i="21"/>
  <c r="H3869" i="21"/>
  <c r="M3869" i="21" s="1"/>
  <c r="G3869" i="21"/>
  <c r="I3869" i="21" s="1"/>
  <c r="AB3868" i="21"/>
  <c r="V3868" i="21"/>
  <c r="W3868" i="21" s="1"/>
  <c r="L3868" i="21"/>
  <c r="K3868" i="21"/>
  <c r="H3868" i="21"/>
  <c r="G3868" i="21"/>
  <c r="I3868" i="21" s="1"/>
  <c r="AB3867" i="21"/>
  <c r="V3867" i="21"/>
  <c r="W3867" i="21" s="1"/>
  <c r="L3867" i="21"/>
  <c r="K3867" i="21"/>
  <c r="H3867" i="21"/>
  <c r="M3867" i="21" s="1"/>
  <c r="G3867" i="21"/>
  <c r="I3867" i="21" s="1"/>
  <c r="AB3866" i="21"/>
  <c r="V3866" i="21"/>
  <c r="W3866" i="21" s="1"/>
  <c r="L3866" i="21"/>
  <c r="K3866" i="21"/>
  <c r="H3866" i="21"/>
  <c r="G3866" i="21"/>
  <c r="I3866" i="21" s="1"/>
  <c r="AB3865" i="21"/>
  <c r="V3865" i="21"/>
  <c r="W3865" i="21" s="1"/>
  <c r="L3865" i="21"/>
  <c r="K3865" i="21"/>
  <c r="H3865" i="21"/>
  <c r="M3865" i="21" s="1"/>
  <c r="G3865" i="21"/>
  <c r="I3865" i="21" s="1"/>
  <c r="AB3864" i="21"/>
  <c r="V3864" i="21"/>
  <c r="W3864" i="21" s="1"/>
  <c r="L3864" i="21"/>
  <c r="K3864" i="21"/>
  <c r="H3864" i="21"/>
  <c r="G3864" i="21"/>
  <c r="I3864" i="21" s="1"/>
  <c r="AB3863" i="21"/>
  <c r="V3863" i="21"/>
  <c r="W3863" i="21" s="1"/>
  <c r="L3863" i="21"/>
  <c r="K3863" i="21"/>
  <c r="H3863" i="21"/>
  <c r="M3863" i="21" s="1"/>
  <c r="G3863" i="21"/>
  <c r="I3863" i="21" s="1"/>
  <c r="AB3862" i="21"/>
  <c r="V3862" i="21"/>
  <c r="W3862" i="21" s="1"/>
  <c r="L3862" i="21"/>
  <c r="K3862" i="21"/>
  <c r="H3862" i="21"/>
  <c r="G3862" i="21"/>
  <c r="I3862" i="21" s="1"/>
  <c r="AB3861" i="21"/>
  <c r="V3861" i="21"/>
  <c r="W3861" i="21" s="1"/>
  <c r="L3861" i="21"/>
  <c r="K3861" i="21"/>
  <c r="H3861" i="21"/>
  <c r="M3861" i="21" s="1"/>
  <c r="G3861" i="21"/>
  <c r="I3861" i="21" s="1"/>
  <c r="AB3860" i="21"/>
  <c r="V3860" i="21"/>
  <c r="W3860" i="21" s="1"/>
  <c r="L3860" i="21"/>
  <c r="K3860" i="21"/>
  <c r="H3860" i="21"/>
  <c r="G3860" i="21"/>
  <c r="I3860" i="21" s="1"/>
  <c r="AB3859" i="21"/>
  <c r="V3859" i="21"/>
  <c r="W3859" i="21" s="1"/>
  <c r="L3859" i="21"/>
  <c r="K3859" i="21"/>
  <c r="H3859" i="21"/>
  <c r="M3859" i="21" s="1"/>
  <c r="G3859" i="21"/>
  <c r="I3859" i="21" s="1"/>
  <c r="AB3858" i="21"/>
  <c r="V3858" i="21"/>
  <c r="W3858" i="21" s="1"/>
  <c r="L3858" i="21"/>
  <c r="K3858" i="21"/>
  <c r="H3858" i="21"/>
  <c r="G3858" i="21"/>
  <c r="I3858" i="21" s="1"/>
  <c r="AB3857" i="21"/>
  <c r="V3857" i="21"/>
  <c r="W3857" i="21" s="1"/>
  <c r="L3857" i="21"/>
  <c r="K3857" i="21"/>
  <c r="H3857" i="21"/>
  <c r="M3857" i="21" s="1"/>
  <c r="G3857" i="21"/>
  <c r="I3857" i="21" s="1"/>
  <c r="AB3856" i="21"/>
  <c r="V3856" i="21"/>
  <c r="W3856" i="21" s="1"/>
  <c r="L3856" i="21"/>
  <c r="K3856" i="21"/>
  <c r="H3856" i="21"/>
  <c r="G3856" i="21"/>
  <c r="I3856" i="21" s="1"/>
  <c r="AB3855" i="21"/>
  <c r="V3855" i="21"/>
  <c r="W3855" i="21" s="1"/>
  <c r="L3855" i="21"/>
  <c r="K3855" i="21"/>
  <c r="H3855" i="21"/>
  <c r="M3855" i="21" s="1"/>
  <c r="G3855" i="21"/>
  <c r="I3855" i="21" s="1"/>
  <c r="AB3980" i="21"/>
  <c r="V3980" i="21"/>
  <c r="W3980" i="21" s="1"/>
  <c r="L3980" i="21"/>
  <c r="K3980" i="21"/>
  <c r="H3980" i="21"/>
  <c r="M3980" i="21" s="1"/>
  <c r="G3980" i="21"/>
  <c r="I3980" i="21" s="1"/>
  <c r="AB3979" i="21"/>
  <c r="V3979" i="21"/>
  <c r="W3979" i="21" s="1"/>
  <c r="L3979" i="21"/>
  <c r="K3979" i="21"/>
  <c r="H3979" i="21"/>
  <c r="G3979" i="21"/>
  <c r="I3979" i="21" s="1"/>
  <c r="AB3978" i="21"/>
  <c r="V3978" i="21"/>
  <c r="W3978" i="21" s="1"/>
  <c r="L3978" i="21"/>
  <c r="K3978" i="21"/>
  <c r="H3978" i="21"/>
  <c r="M3978" i="21" s="1"/>
  <c r="G3978" i="21"/>
  <c r="I3978" i="21" s="1"/>
  <c r="AB3977" i="21"/>
  <c r="V3977" i="21"/>
  <c r="W3977" i="21" s="1"/>
  <c r="L3977" i="21"/>
  <c r="K3977" i="21"/>
  <c r="H3977" i="21"/>
  <c r="G3977" i="21"/>
  <c r="I3977" i="21" s="1"/>
  <c r="AB3976" i="21"/>
  <c r="V3976" i="21"/>
  <c r="W3976" i="21" s="1"/>
  <c r="L3976" i="21"/>
  <c r="K3976" i="21"/>
  <c r="H3976" i="21"/>
  <c r="M3976" i="21" s="1"/>
  <c r="G3976" i="21"/>
  <c r="I3976" i="21" s="1"/>
  <c r="AB3975" i="21"/>
  <c r="V3975" i="21"/>
  <c r="W3975" i="21" s="1"/>
  <c r="L3975" i="21"/>
  <c r="K3975" i="21"/>
  <c r="H3975" i="21"/>
  <c r="G3975" i="21"/>
  <c r="I3975" i="21" s="1"/>
  <c r="AB3974" i="21"/>
  <c r="V3974" i="21"/>
  <c r="W3974" i="21" s="1"/>
  <c r="L3974" i="21"/>
  <c r="K3974" i="21"/>
  <c r="H3974" i="21"/>
  <c r="M3974" i="21" s="1"/>
  <c r="G3974" i="21"/>
  <c r="I3974" i="21" s="1"/>
  <c r="AB3973" i="21"/>
  <c r="V3973" i="21"/>
  <c r="W3973" i="21" s="1"/>
  <c r="L3973" i="21"/>
  <c r="K3973" i="21"/>
  <c r="H3973" i="21"/>
  <c r="G3973" i="21"/>
  <c r="I3973" i="21" s="1"/>
  <c r="AB3972" i="21"/>
  <c r="V3972" i="21"/>
  <c r="W3972" i="21" s="1"/>
  <c r="L3972" i="21"/>
  <c r="K3972" i="21"/>
  <c r="H3972" i="21"/>
  <c r="M3972" i="21" s="1"/>
  <c r="G3972" i="21"/>
  <c r="I3972" i="21" s="1"/>
  <c r="AB3971" i="21"/>
  <c r="V3971" i="21"/>
  <c r="W3971" i="21" s="1"/>
  <c r="L3971" i="21"/>
  <c r="K3971" i="21"/>
  <c r="H3971" i="21"/>
  <c r="G3971" i="21"/>
  <c r="I3971" i="21" s="1"/>
  <c r="AB3970" i="21"/>
  <c r="V3970" i="21"/>
  <c r="W3970" i="21" s="1"/>
  <c r="L3970" i="21"/>
  <c r="K3970" i="21"/>
  <c r="H3970" i="21"/>
  <c r="M3970" i="21" s="1"/>
  <c r="G3970" i="21"/>
  <c r="I3970" i="21" s="1"/>
  <c r="AB3969" i="21"/>
  <c r="V3969" i="21"/>
  <c r="W3969" i="21" s="1"/>
  <c r="L3969" i="21"/>
  <c r="K3969" i="21"/>
  <c r="H3969" i="21"/>
  <c r="G3969" i="21"/>
  <c r="I3969" i="21" s="1"/>
  <c r="AB3968" i="21"/>
  <c r="V3968" i="21"/>
  <c r="W3968" i="21" s="1"/>
  <c r="L3968" i="21"/>
  <c r="K3968" i="21"/>
  <c r="H3968" i="21"/>
  <c r="M3968" i="21" s="1"/>
  <c r="G3968" i="21"/>
  <c r="I3968" i="21" s="1"/>
  <c r="AB3967" i="21"/>
  <c r="V3967" i="21"/>
  <c r="W3967" i="21" s="1"/>
  <c r="L3967" i="21"/>
  <c r="K3967" i="21"/>
  <c r="H3967" i="21"/>
  <c r="G3967" i="21"/>
  <c r="I3967" i="21" s="1"/>
  <c r="AB3966" i="21"/>
  <c r="V3966" i="21"/>
  <c r="W3966" i="21" s="1"/>
  <c r="L3966" i="21"/>
  <c r="K3966" i="21"/>
  <c r="H3966" i="21"/>
  <c r="M3966" i="21" s="1"/>
  <c r="G3966" i="21"/>
  <c r="I3966" i="21" s="1"/>
  <c r="AB3965" i="21"/>
  <c r="V3965" i="21"/>
  <c r="W3965" i="21" s="1"/>
  <c r="L3965" i="21"/>
  <c r="K3965" i="21"/>
  <c r="H3965" i="21"/>
  <c r="G3965" i="21"/>
  <c r="I3965" i="21" s="1"/>
  <c r="AB3964" i="21"/>
  <c r="V3964" i="21"/>
  <c r="W3964" i="21" s="1"/>
  <c r="L3964" i="21"/>
  <c r="K3964" i="21"/>
  <c r="H3964" i="21"/>
  <c r="M3964" i="21" s="1"/>
  <c r="G3964" i="21"/>
  <c r="I3964" i="21" s="1"/>
  <c r="AB3963" i="21"/>
  <c r="V3963" i="21"/>
  <c r="W3963" i="21" s="1"/>
  <c r="L3963" i="21"/>
  <c r="K3963" i="21"/>
  <c r="H3963" i="21"/>
  <c r="G3963" i="21"/>
  <c r="I3963" i="21" s="1"/>
  <c r="AB3962" i="21"/>
  <c r="V3962" i="21"/>
  <c r="W3962" i="21" s="1"/>
  <c r="L3962" i="21"/>
  <c r="K3962" i="21"/>
  <c r="H3962" i="21"/>
  <c r="M3962" i="21" s="1"/>
  <c r="G3962" i="21"/>
  <c r="I3962" i="21" s="1"/>
  <c r="AB3961" i="21"/>
  <c r="V3961" i="21"/>
  <c r="W3961" i="21" s="1"/>
  <c r="L3961" i="21"/>
  <c r="K3961" i="21"/>
  <c r="H3961" i="21"/>
  <c r="G3961" i="21"/>
  <c r="I3961" i="21" s="1"/>
  <c r="AB3960" i="21"/>
  <c r="V3960" i="21"/>
  <c r="W3960" i="21" s="1"/>
  <c r="L3960" i="21"/>
  <c r="K3960" i="21"/>
  <c r="H3960" i="21"/>
  <c r="M3960" i="21" s="1"/>
  <c r="G3960" i="21"/>
  <c r="I3960" i="21" s="1"/>
  <c r="AB3959" i="21"/>
  <c r="V3959" i="21"/>
  <c r="W3959" i="21" s="1"/>
  <c r="L3959" i="21"/>
  <c r="K3959" i="21"/>
  <c r="H3959" i="21"/>
  <c r="G3959" i="21"/>
  <c r="I3959" i="21" s="1"/>
  <c r="AB3958" i="21"/>
  <c r="V3958" i="21"/>
  <c r="W3958" i="21" s="1"/>
  <c r="L3958" i="21"/>
  <c r="K3958" i="21"/>
  <c r="H3958" i="21"/>
  <c r="M3958" i="21" s="1"/>
  <c r="G3958" i="21"/>
  <c r="I3958" i="21" s="1"/>
  <c r="AB3957" i="21"/>
  <c r="V3957" i="21"/>
  <c r="W3957" i="21" s="1"/>
  <c r="L3957" i="21"/>
  <c r="K3957" i="21"/>
  <c r="H3957" i="21"/>
  <c r="G3957" i="21"/>
  <c r="I3957" i="21" s="1"/>
  <c r="AB3956" i="21"/>
  <c r="V3956" i="21"/>
  <c r="W3956" i="21" s="1"/>
  <c r="L3956" i="21"/>
  <c r="K3956" i="21"/>
  <c r="H3956" i="21"/>
  <c r="M3956" i="21" s="1"/>
  <c r="G3956" i="21"/>
  <c r="I3956" i="21" s="1"/>
  <c r="AB3955" i="21"/>
  <c r="V3955" i="21"/>
  <c r="W3955" i="21" s="1"/>
  <c r="L3955" i="21"/>
  <c r="K3955" i="21"/>
  <c r="H3955" i="21"/>
  <c r="G3955" i="21"/>
  <c r="I3955" i="21" s="1"/>
  <c r="AB3954" i="21"/>
  <c r="V3954" i="21"/>
  <c r="W3954" i="21" s="1"/>
  <c r="L3954" i="21"/>
  <c r="K3954" i="21"/>
  <c r="H3954" i="21"/>
  <c r="M3954" i="21" s="1"/>
  <c r="G3954" i="21"/>
  <c r="I3954" i="21" s="1"/>
  <c r="AB3953" i="21"/>
  <c r="V3953" i="21"/>
  <c r="W3953" i="21" s="1"/>
  <c r="L3953" i="21"/>
  <c r="K3953" i="21"/>
  <c r="H3953" i="21"/>
  <c r="G3953" i="21"/>
  <c r="I3953" i="21" s="1"/>
  <c r="AB3952" i="21"/>
  <c r="V3952" i="21"/>
  <c r="W3952" i="21" s="1"/>
  <c r="L3952" i="21"/>
  <c r="K3952" i="21"/>
  <c r="H3952" i="21"/>
  <c r="M3952" i="21" s="1"/>
  <c r="G3952" i="21"/>
  <c r="I3952" i="21" s="1"/>
  <c r="AB3951" i="21"/>
  <c r="V3951" i="21"/>
  <c r="W3951" i="21" s="1"/>
  <c r="L3951" i="21"/>
  <c r="K3951" i="21"/>
  <c r="H3951" i="21"/>
  <c r="G3951" i="21"/>
  <c r="I3951" i="21" s="1"/>
  <c r="AB3950" i="21"/>
  <c r="V3950" i="21"/>
  <c r="W3950" i="21" s="1"/>
  <c r="L3950" i="21"/>
  <c r="K3950" i="21"/>
  <c r="H3950" i="21"/>
  <c r="M3950" i="21" s="1"/>
  <c r="G3950" i="21"/>
  <c r="I3950" i="21" s="1"/>
  <c r="AB3949" i="21"/>
  <c r="V3949" i="21"/>
  <c r="W3949" i="21" s="1"/>
  <c r="L3949" i="21"/>
  <c r="K3949" i="21"/>
  <c r="H3949" i="21"/>
  <c r="G3949" i="21"/>
  <c r="I3949" i="21" s="1"/>
  <c r="AB3948" i="21"/>
  <c r="V3948" i="21"/>
  <c r="W3948" i="21" s="1"/>
  <c r="L3948" i="21"/>
  <c r="K3948" i="21"/>
  <c r="H3948" i="21"/>
  <c r="M3948" i="21" s="1"/>
  <c r="G3948" i="21"/>
  <c r="I3948" i="21" s="1"/>
  <c r="AB3947" i="21"/>
  <c r="V3947" i="21"/>
  <c r="W3947" i="21" s="1"/>
  <c r="L3947" i="21"/>
  <c r="K3947" i="21"/>
  <c r="H3947" i="21"/>
  <c r="G3947" i="21"/>
  <c r="I3947" i="21" s="1"/>
  <c r="AB3946" i="21"/>
  <c r="V3946" i="21"/>
  <c r="W3946" i="21" s="1"/>
  <c r="L3946" i="21"/>
  <c r="K3946" i="21"/>
  <c r="H3946" i="21"/>
  <c r="M3946" i="21" s="1"/>
  <c r="G3946" i="21"/>
  <c r="I3946" i="21" s="1"/>
  <c r="AB3945" i="21"/>
  <c r="V3945" i="21"/>
  <c r="W3945" i="21" s="1"/>
  <c r="L3945" i="21"/>
  <c r="K3945" i="21"/>
  <c r="H3945" i="21"/>
  <c r="G3945" i="21"/>
  <c r="I3945" i="21" s="1"/>
  <c r="AB3944" i="21"/>
  <c r="V3944" i="21"/>
  <c r="W3944" i="21" s="1"/>
  <c r="L3944" i="21"/>
  <c r="K3944" i="21"/>
  <c r="H3944" i="21"/>
  <c r="M3944" i="21" s="1"/>
  <c r="G3944" i="21"/>
  <c r="I3944" i="21" s="1"/>
  <c r="AB3943" i="21"/>
  <c r="V3943" i="21"/>
  <c r="W3943" i="21" s="1"/>
  <c r="L3943" i="21"/>
  <c r="K3943" i="21"/>
  <c r="H3943" i="21"/>
  <c r="G3943" i="21"/>
  <c r="I3943" i="21" s="1"/>
  <c r="AB3942" i="21"/>
  <c r="V3942" i="21"/>
  <c r="W3942" i="21" s="1"/>
  <c r="L3942" i="21"/>
  <c r="K3942" i="21"/>
  <c r="H3942" i="21"/>
  <c r="M3942" i="21" s="1"/>
  <c r="G3942" i="21"/>
  <c r="I3942" i="21" s="1"/>
  <c r="AB3941" i="21"/>
  <c r="V3941" i="21"/>
  <c r="W3941" i="21" s="1"/>
  <c r="L3941" i="21"/>
  <c r="K3941" i="21"/>
  <c r="H3941" i="21"/>
  <c r="G3941" i="21"/>
  <c r="I3941" i="21" s="1"/>
  <c r="AB3940" i="21"/>
  <c r="V3940" i="21"/>
  <c r="W3940" i="21" s="1"/>
  <c r="L3940" i="21"/>
  <c r="K3940" i="21"/>
  <c r="H3940" i="21"/>
  <c r="M3940" i="21" s="1"/>
  <c r="G3940" i="21"/>
  <c r="I3940" i="21" s="1"/>
  <c r="AB3939" i="21"/>
  <c r="V3939" i="21"/>
  <c r="W3939" i="21" s="1"/>
  <c r="L3939" i="21"/>
  <c r="K3939" i="21"/>
  <c r="H3939" i="21"/>
  <c r="G3939" i="21"/>
  <c r="I3939" i="21" s="1"/>
  <c r="AB4021" i="21"/>
  <c r="V4021" i="21"/>
  <c r="W4021" i="21" s="1"/>
  <c r="L4021" i="21"/>
  <c r="K4021" i="21"/>
  <c r="H4021" i="21"/>
  <c r="M4021" i="21" s="1"/>
  <c r="G4021" i="21"/>
  <c r="I4021" i="21" s="1"/>
  <c r="AB4020" i="21"/>
  <c r="V4020" i="21"/>
  <c r="W4020" i="21" s="1"/>
  <c r="L4020" i="21"/>
  <c r="K4020" i="21"/>
  <c r="H4020" i="21"/>
  <c r="G4020" i="21"/>
  <c r="I4020" i="21" s="1"/>
  <c r="AB4019" i="21"/>
  <c r="V4019" i="21"/>
  <c r="W4019" i="21" s="1"/>
  <c r="L4019" i="21"/>
  <c r="K4019" i="21"/>
  <c r="H4019" i="21"/>
  <c r="M4019" i="21" s="1"/>
  <c r="G4019" i="21"/>
  <c r="I4019" i="21" s="1"/>
  <c r="AB4018" i="21"/>
  <c r="V4018" i="21"/>
  <c r="W4018" i="21" s="1"/>
  <c r="L4018" i="21"/>
  <c r="K4018" i="21"/>
  <c r="H4018" i="21"/>
  <c r="G4018" i="21"/>
  <c r="I4018" i="21" s="1"/>
  <c r="AB4017" i="21"/>
  <c r="V4017" i="21"/>
  <c r="W4017" i="21" s="1"/>
  <c r="L4017" i="21"/>
  <c r="K4017" i="21"/>
  <c r="H4017" i="21"/>
  <c r="M4017" i="21" s="1"/>
  <c r="G4017" i="21"/>
  <c r="I4017" i="21" s="1"/>
  <c r="AB4016" i="21"/>
  <c r="V4016" i="21"/>
  <c r="W4016" i="21" s="1"/>
  <c r="L4016" i="21"/>
  <c r="K4016" i="21"/>
  <c r="H4016" i="21"/>
  <c r="G4016" i="21"/>
  <c r="I4016" i="21" s="1"/>
  <c r="AB4015" i="21"/>
  <c r="V4015" i="21"/>
  <c r="W4015" i="21" s="1"/>
  <c r="L4015" i="21"/>
  <c r="K4015" i="21"/>
  <c r="H4015" i="21"/>
  <c r="M4015" i="21" s="1"/>
  <c r="G4015" i="21"/>
  <c r="I4015" i="21" s="1"/>
  <c r="AB4014" i="21"/>
  <c r="V4014" i="21"/>
  <c r="W4014" i="21" s="1"/>
  <c r="L4014" i="21"/>
  <c r="K4014" i="21"/>
  <c r="H4014" i="21"/>
  <c r="G4014" i="21"/>
  <c r="I4014" i="21" s="1"/>
  <c r="AB4013" i="21"/>
  <c r="V4013" i="21"/>
  <c r="W4013" i="21" s="1"/>
  <c r="L4013" i="21"/>
  <c r="K4013" i="21"/>
  <c r="H4013" i="21"/>
  <c r="M4013" i="21" s="1"/>
  <c r="G4013" i="21"/>
  <c r="I4013" i="21" s="1"/>
  <c r="AB4012" i="21"/>
  <c r="V4012" i="21"/>
  <c r="W4012" i="21" s="1"/>
  <c r="L4012" i="21"/>
  <c r="K4012" i="21"/>
  <c r="H4012" i="21"/>
  <c r="G4012" i="21"/>
  <c r="I4012" i="21" s="1"/>
  <c r="AB4011" i="21"/>
  <c r="V4011" i="21"/>
  <c r="W4011" i="21" s="1"/>
  <c r="L4011" i="21"/>
  <c r="K4011" i="21"/>
  <c r="H4011" i="21"/>
  <c r="M4011" i="21" s="1"/>
  <c r="G4011" i="21"/>
  <c r="I4011" i="21" s="1"/>
  <c r="AB4010" i="21"/>
  <c r="V4010" i="21"/>
  <c r="W4010" i="21" s="1"/>
  <c r="L4010" i="21"/>
  <c r="K4010" i="21"/>
  <c r="H4010" i="21"/>
  <c r="G4010" i="21"/>
  <c r="I4010" i="21" s="1"/>
  <c r="AB4009" i="21"/>
  <c r="V4009" i="21"/>
  <c r="W4009" i="21" s="1"/>
  <c r="L4009" i="21"/>
  <c r="K4009" i="21"/>
  <c r="H4009" i="21"/>
  <c r="M4009" i="21" s="1"/>
  <c r="G4009" i="21"/>
  <c r="I4009" i="21" s="1"/>
  <c r="AB4008" i="21"/>
  <c r="V4008" i="21"/>
  <c r="W4008" i="21" s="1"/>
  <c r="L4008" i="21"/>
  <c r="K4008" i="21"/>
  <c r="H4008" i="21"/>
  <c r="G4008" i="21"/>
  <c r="I4008" i="21" s="1"/>
  <c r="AB4007" i="21"/>
  <c r="V4007" i="21"/>
  <c r="W4007" i="21" s="1"/>
  <c r="L4007" i="21"/>
  <c r="K4007" i="21"/>
  <c r="H4007" i="21"/>
  <c r="M4007" i="21" s="1"/>
  <c r="G4007" i="21"/>
  <c r="I4007" i="21" s="1"/>
  <c r="AB4006" i="21"/>
  <c r="V4006" i="21"/>
  <c r="W4006" i="21" s="1"/>
  <c r="L4006" i="21"/>
  <c r="K4006" i="21"/>
  <c r="H4006" i="21"/>
  <c r="G4006" i="21"/>
  <c r="I4006" i="21" s="1"/>
  <c r="AB4005" i="21"/>
  <c r="V4005" i="21"/>
  <c r="W4005" i="21" s="1"/>
  <c r="L4005" i="21"/>
  <c r="K4005" i="21"/>
  <c r="H4005" i="21"/>
  <c r="M4005" i="21" s="1"/>
  <c r="G4005" i="21"/>
  <c r="I4005" i="21" s="1"/>
  <c r="AB4004" i="21"/>
  <c r="V4004" i="21"/>
  <c r="W4004" i="21" s="1"/>
  <c r="L4004" i="21"/>
  <c r="K4004" i="21"/>
  <c r="H4004" i="21"/>
  <c r="G4004" i="21"/>
  <c r="I4004" i="21" s="1"/>
  <c r="AB4003" i="21"/>
  <c r="V4003" i="21"/>
  <c r="W4003" i="21" s="1"/>
  <c r="L4003" i="21"/>
  <c r="K4003" i="21"/>
  <c r="H4003" i="21"/>
  <c r="M4003" i="21" s="1"/>
  <c r="G4003" i="21"/>
  <c r="I4003" i="21" s="1"/>
  <c r="AB4002" i="21"/>
  <c r="V4002" i="21"/>
  <c r="W4002" i="21" s="1"/>
  <c r="L4002" i="21"/>
  <c r="K4002" i="21"/>
  <c r="H4002" i="21"/>
  <c r="G4002" i="21"/>
  <c r="I4002" i="21" s="1"/>
  <c r="AB4001" i="21"/>
  <c r="V4001" i="21"/>
  <c r="W4001" i="21" s="1"/>
  <c r="L4001" i="21"/>
  <c r="K4001" i="21"/>
  <c r="H4001" i="21"/>
  <c r="M4001" i="21" s="1"/>
  <c r="G4001" i="21"/>
  <c r="I4001" i="21" s="1"/>
  <c r="AB4000" i="21"/>
  <c r="V4000" i="21"/>
  <c r="W4000" i="21" s="1"/>
  <c r="L4000" i="21"/>
  <c r="K4000" i="21"/>
  <c r="H4000" i="21"/>
  <c r="G4000" i="21"/>
  <c r="I4000" i="21" s="1"/>
  <c r="AB3999" i="21"/>
  <c r="V3999" i="21"/>
  <c r="W3999" i="21" s="1"/>
  <c r="L3999" i="21"/>
  <c r="K3999" i="21"/>
  <c r="H3999" i="21"/>
  <c r="M3999" i="21" s="1"/>
  <c r="G3999" i="21"/>
  <c r="I3999" i="21" s="1"/>
  <c r="AB3998" i="21"/>
  <c r="V3998" i="21"/>
  <c r="W3998" i="21" s="1"/>
  <c r="L3998" i="21"/>
  <c r="K3998" i="21"/>
  <c r="H3998" i="21"/>
  <c r="G3998" i="21"/>
  <c r="I3998" i="21" s="1"/>
  <c r="AB3997" i="21"/>
  <c r="V3997" i="21"/>
  <c r="W3997" i="21" s="1"/>
  <c r="L3997" i="21"/>
  <c r="K3997" i="21"/>
  <c r="H3997" i="21"/>
  <c r="M3997" i="21" s="1"/>
  <c r="G3997" i="21"/>
  <c r="I3997" i="21" s="1"/>
  <c r="AB3996" i="21"/>
  <c r="V3996" i="21"/>
  <c r="W3996" i="21" s="1"/>
  <c r="L3996" i="21"/>
  <c r="K3996" i="21"/>
  <c r="H3996" i="21"/>
  <c r="G3996" i="21"/>
  <c r="I3996" i="21" s="1"/>
  <c r="AB3995" i="21"/>
  <c r="V3995" i="21"/>
  <c r="W3995" i="21" s="1"/>
  <c r="L3995" i="21"/>
  <c r="K3995" i="21"/>
  <c r="H3995" i="21"/>
  <c r="M3995" i="21" s="1"/>
  <c r="G3995" i="21"/>
  <c r="I3995" i="21" s="1"/>
  <c r="AB3994" i="21"/>
  <c r="V3994" i="21"/>
  <c r="W3994" i="21" s="1"/>
  <c r="L3994" i="21"/>
  <c r="K3994" i="21"/>
  <c r="H3994" i="21"/>
  <c r="G3994" i="21"/>
  <c r="I3994" i="21" s="1"/>
  <c r="AB3993" i="21"/>
  <c r="V3993" i="21"/>
  <c r="W3993" i="21" s="1"/>
  <c r="L3993" i="21"/>
  <c r="K3993" i="21"/>
  <c r="H3993" i="21"/>
  <c r="M3993" i="21" s="1"/>
  <c r="G3993" i="21"/>
  <c r="I3993" i="21" s="1"/>
  <c r="AB3992" i="21"/>
  <c r="V3992" i="21"/>
  <c r="W3992" i="21" s="1"/>
  <c r="L3992" i="21"/>
  <c r="K3992" i="21"/>
  <c r="H3992" i="21"/>
  <c r="G3992" i="21"/>
  <c r="I3992" i="21" s="1"/>
  <c r="AB3991" i="21"/>
  <c r="V3991" i="21"/>
  <c r="W3991" i="21" s="1"/>
  <c r="L3991" i="21"/>
  <c r="K3991" i="21"/>
  <c r="H3991" i="21"/>
  <c r="M3991" i="21" s="1"/>
  <c r="G3991" i="21"/>
  <c r="I3991" i="21" s="1"/>
  <c r="AB3990" i="21"/>
  <c r="V3990" i="21"/>
  <c r="W3990" i="21" s="1"/>
  <c r="L3990" i="21"/>
  <c r="K3990" i="21"/>
  <c r="H3990" i="21"/>
  <c r="G3990" i="21"/>
  <c r="I3990" i="21" s="1"/>
  <c r="AB3989" i="21"/>
  <c r="V3989" i="21"/>
  <c r="W3989" i="21" s="1"/>
  <c r="L3989" i="21"/>
  <c r="K3989" i="21"/>
  <c r="H3989" i="21"/>
  <c r="M3989" i="21" s="1"/>
  <c r="G3989" i="21"/>
  <c r="I3989" i="21" s="1"/>
  <c r="AB3988" i="21"/>
  <c r="V3988" i="21"/>
  <c r="W3988" i="21" s="1"/>
  <c r="L3988" i="21"/>
  <c r="K3988" i="21"/>
  <c r="H3988" i="21"/>
  <c r="G3988" i="21"/>
  <c r="I3988" i="21" s="1"/>
  <c r="AB3987" i="21"/>
  <c r="V3987" i="21"/>
  <c r="W3987" i="21" s="1"/>
  <c r="L3987" i="21"/>
  <c r="K3987" i="21"/>
  <c r="H3987" i="21"/>
  <c r="G3987" i="21"/>
  <c r="I3987" i="21" s="1"/>
  <c r="AB3986" i="21"/>
  <c r="V3986" i="21"/>
  <c r="W3986" i="21" s="1"/>
  <c r="L3986" i="21"/>
  <c r="K3986" i="21"/>
  <c r="H3986" i="21"/>
  <c r="G3986" i="21"/>
  <c r="I3986" i="21" s="1"/>
  <c r="AB3985" i="21"/>
  <c r="V3985" i="21"/>
  <c r="W3985" i="21" s="1"/>
  <c r="L3985" i="21"/>
  <c r="K3985" i="21"/>
  <c r="H3985" i="21"/>
  <c r="G3985" i="21"/>
  <c r="I3985" i="21" s="1"/>
  <c r="AB3984" i="21"/>
  <c r="V3984" i="21"/>
  <c r="W3984" i="21" s="1"/>
  <c r="L3984" i="21"/>
  <c r="K3984" i="21"/>
  <c r="H3984" i="21"/>
  <c r="G3984" i="21"/>
  <c r="I3984" i="21" s="1"/>
  <c r="AB3983" i="21"/>
  <c r="V3983" i="21"/>
  <c r="W3983" i="21" s="1"/>
  <c r="L3983" i="21"/>
  <c r="K3983" i="21"/>
  <c r="H3983" i="21"/>
  <c r="M3983" i="21" s="1"/>
  <c r="G3983" i="21"/>
  <c r="I3983" i="21" s="1"/>
  <c r="AB3982" i="21"/>
  <c r="V3982" i="21"/>
  <c r="W3982" i="21" s="1"/>
  <c r="L3982" i="21"/>
  <c r="K3982" i="21"/>
  <c r="H3982" i="21"/>
  <c r="G3982" i="21"/>
  <c r="I3982" i="21" s="1"/>
  <c r="AB3981" i="21"/>
  <c r="V3981" i="21"/>
  <c r="W3981" i="21" s="1"/>
  <c r="L3981" i="21"/>
  <c r="K3981" i="21"/>
  <c r="H3981" i="21"/>
  <c r="M3981" i="21" s="1"/>
  <c r="G3981" i="21"/>
  <c r="I3981" i="21" s="1"/>
  <c r="AB4022" i="21"/>
  <c r="V4022" i="21"/>
  <c r="W4022" i="21" s="1"/>
  <c r="L4022" i="21"/>
  <c r="K4022" i="21"/>
  <c r="H4022" i="21"/>
  <c r="M4022" i="21" s="1"/>
  <c r="G4022" i="21"/>
  <c r="I4022" i="21" s="1"/>
  <c r="H58" i="4"/>
  <c r="I58" i="4" s="1"/>
  <c r="H57" i="4"/>
  <c r="I57" i="4" s="1"/>
  <c r="H27" i="27"/>
  <c r="I27" i="27" s="1"/>
  <c r="H26" i="27"/>
  <c r="I26" i="27" s="1"/>
  <c r="H45" i="4"/>
  <c r="I45" i="4" s="1"/>
  <c r="H44" i="4"/>
  <c r="I44" i="4" s="1"/>
  <c r="H1416" i="21" l="1"/>
  <c r="M1416" i="21" s="1"/>
  <c r="H1417" i="21"/>
  <c r="H1419" i="21"/>
  <c r="H1418" i="21"/>
  <c r="M1418" i="21" s="1"/>
  <c r="J1636" i="21"/>
  <c r="J1640" i="21"/>
  <c r="J1644" i="21"/>
  <c r="N1644" i="21" s="1"/>
  <c r="Z1644" i="21" s="1"/>
  <c r="AA1644" i="21" s="1"/>
  <c r="H1278" i="21"/>
  <c r="M1278" i="21" s="1"/>
  <c r="H1297" i="21"/>
  <c r="J1297" i="21" s="1"/>
  <c r="X1297" i="21" s="1"/>
  <c r="H1373" i="21"/>
  <c r="M1373" i="21" s="1"/>
  <c r="H1376" i="21"/>
  <c r="H1333" i="21"/>
  <c r="J1333" i="21" s="1"/>
  <c r="X1333" i="21" s="1"/>
  <c r="H1377" i="21"/>
  <c r="M1377" i="21" s="1"/>
  <c r="H1372" i="21"/>
  <c r="M1372" i="21" s="1"/>
  <c r="H1378" i="21"/>
  <c r="M1378" i="21" s="1"/>
  <c r="H1334" i="21"/>
  <c r="J1334" i="21" s="1"/>
  <c r="X1334" i="21" s="1"/>
  <c r="H1329" i="21"/>
  <c r="J1329" i="21" s="1"/>
  <c r="X1329" i="21" s="1"/>
  <c r="H1346" i="21"/>
  <c r="M1346" i="21" s="1"/>
  <c r="H1357" i="21"/>
  <c r="M1357" i="21" s="1"/>
  <c r="H1366" i="21"/>
  <c r="M1366" i="21" s="1"/>
  <c r="H1406" i="21"/>
  <c r="M1406" i="21" s="1"/>
  <c r="H1409" i="21"/>
  <c r="J1409" i="21" s="1"/>
  <c r="X1409" i="21" s="1"/>
  <c r="H1412" i="21"/>
  <c r="M1412" i="21" s="1"/>
  <c r="H1365" i="21"/>
  <c r="M1365" i="21" s="1"/>
  <c r="H1405" i="21"/>
  <c r="J1405" i="21" s="1"/>
  <c r="X1405" i="21" s="1"/>
  <c r="H1380" i="21"/>
  <c r="M1380" i="21" s="1"/>
  <c r="M1376" i="21"/>
  <c r="H1358" i="21"/>
  <c r="M1358" i="21" s="1"/>
  <c r="H1413" i="21"/>
  <c r="J1413" i="21" s="1"/>
  <c r="X1413" i="21" s="1"/>
  <c r="H1415" i="21"/>
  <c r="J1415" i="21" s="1"/>
  <c r="X1415" i="21" s="1"/>
  <c r="H1414" i="21"/>
  <c r="M1414" i="21" s="1"/>
  <c r="H1411" i="21"/>
  <c r="J1411" i="21" s="1"/>
  <c r="X1411" i="21" s="1"/>
  <c r="H1410" i="21"/>
  <c r="M1410" i="21" s="1"/>
  <c r="H1383" i="21"/>
  <c r="J1383" i="21" s="1"/>
  <c r="X1383" i="21" s="1"/>
  <c r="H1387" i="21"/>
  <c r="H1391" i="21"/>
  <c r="J1391" i="21" s="1"/>
  <c r="X1391" i="21" s="1"/>
  <c r="H1395" i="21"/>
  <c r="H1399" i="21"/>
  <c r="J1399" i="21" s="1"/>
  <c r="X1399" i="21" s="1"/>
  <c r="H1403" i="21"/>
  <c r="M1403" i="21" s="1"/>
  <c r="H1407" i="21"/>
  <c r="J1407" i="21" s="1"/>
  <c r="X1407" i="21" s="1"/>
  <c r="H1382" i="21"/>
  <c r="M1382" i="21" s="1"/>
  <c r="H1386" i="21"/>
  <c r="M1386" i="21" s="1"/>
  <c r="H1390" i="21"/>
  <c r="M1390" i="21" s="1"/>
  <c r="H1394" i="21"/>
  <c r="M1394" i="21" s="1"/>
  <c r="H1398" i="21"/>
  <c r="M1398" i="21" s="1"/>
  <c r="H1402" i="21"/>
  <c r="M1402" i="21" s="1"/>
  <c r="H1381" i="21"/>
  <c r="M1381" i="21" s="1"/>
  <c r="H1385" i="21"/>
  <c r="M1385" i="21" s="1"/>
  <c r="H1389" i="21"/>
  <c r="J1389" i="21" s="1"/>
  <c r="X1389" i="21" s="1"/>
  <c r="H1393" i="21"/>
  <c r="J1393" i="21" s="1"/>
  <c r="X1393" i="21" s="1"/>
  <c r="H1397" i="21"/>
  <c r="H1401" i="21"/>
  <c r="J1401" i="21" s="1"/>
  <c r="X1401" i="21" s="1"/>
  <c r="H1384" i="21"/>
  <c r="M1384" i="21" s="1"/>
  <c r="H1388" i="21"/>
  <c r="M1388" i="21" s="1"/>
  <c r="H1392" i="21"/>
  <c r="M1392" i="21" s="1"/>
  <c r="H1396" i="21"/>
  <c r="M1396" i="21" s="1"/>
  <c r="H1400" i="21"/>
  <c r="M1400" i="21" s="1"/>
  <c r="H1404" i="21"/>
  <c r="M1404" i="21" s="1"/>
  <c r="H1408" i="21"/>
  <c r="M1408" i="21" s="1"/>
  <c r="H1379" i="21"/>
  <c r="M1379" i="21" s="1"/>
  <c r="H1371" i="21"/>
  <c r="M1371" i="21" s="1"/>
  <c r="H1375" i="21"/>
  <c r="M1375" i="21" s="1"/>
  <c r="H1370" i="21"/>
  <c r="M1370" i="21" s="1"/>
  <c r="H1374" i="21"/>
  <c r="M1374" i="21" s="1"/>
  <c r="H1369" i="21"/>
  <c r="M1369" i="21" s="1"/>
  <c r="H1363" i="21"/>
  <c r="M1363" i="21" s="1"/>
  <c r="H1367" i="21"/>
  <c r="M1367" i="21" s="1"/>
  <c r="H1362" i="21"/>
  <c r="M1362" i="21" s="1"/>
  <c r="H1361" i="21"/>
  <c r="M1361" i="21" s="1"/>
  <c r="H1364" i="21"/>
  <c r="M1364" i="21" s="1"/>
  <c r="H1368" i="21"/>
  <c r="M1368" i="21" s="1"/>
  <c r="H1351" i="21"/>
  <c r="M1351" i="21" s="1"/>
  <c r="H1355" i="21"/>
  <c r="M1355" i="21" s="1"/>
  <c r="H1359" i="21"/>
  <c r="M1359" i="21" s="1"/>
  <c r="H1350" i="21"/>
  <c r="M1350" i="21" s="1"/>
  <c r="H1354" i="21"/>
  <c r="M1354" i="21" s="1"/>
  <c r="H1353" i="21"/>
  <c r="M1353" i="21" s="1"/>
  <c r="H1352" i="21"/>
  <c r="M1352" i="21" s="1"/>
  <c r="H1356" i="21"/>
  <c r="M1356" i="21" s="1"/>
  <c r="H1360" i="21"/>
  <c r="M1360" i="21" s="1"/>
  <c r="H1339" i="21"/>
  <c r="M1339" i="21" s="1"/>
  <c r="H1343" i="21"/>
  <c r="M1343" i="21" s="1"/>
  <c r="H1347" i="21"/>
  <c r="M1347" i="21" s="1"/>
  <c r="H1338" i="21"/>
  <c r="M1338" i="21" s="1"/>
  <c r="H1342" i="21"/>
  <c r="M1342" i="21" s="1"/>
  <c r="H1337" i="21"/>
  <c r="J1337" i="21" s="1"/>
  <c r="X1337" i="21" s="1"/>
  <c r="H1341" i="21"/>
  <c r="J1341" i="21" s="1"/>
  <c r="X1341" i="21" s="1"/>
  <c r="H1345" i="21"/>
  <c r="M1345" i="21" s="1"/>
  <c r="H1349" i="21"/>
  <c r="M1349" i="21" s="1"/>
  <c r="H1340" i="21"/>
  <c r="M1340" i="21" s="1"/>
  <c r="H1344" i="21"/>
  <c r="M1344" i="21" s="1"/>
  <c r="H1348" i="21"/>
  <c r="M1348" i="21" s="1"/>
  <c r="H1335" i="21"/>
  <c r="J1335" i="21" s="1"/>
  <c r="X1335" i="21" s="1"/>
  <c r="H1336" i="21"/>
  <c r="M1336" i="21" s="1"/>
  <c r="H1319" i="21"/>
  <c r="M1319" i="21" s="1"/>
  <c r="H1323" i="21"/>
  <c r="J1323" i="21" s="1"/>
  <c r="X1323" i="21" s="1"/>
  <c r="H1318" i="21"/>
  <c r="M1318" i="21" s="1"/>
  <c r="H1322" i="21"/>
  <c r="M1322" i="21" s="1"/>
  <c r="H1326" i="21"/>
  <c r="M1326" i="21" s="1"/>
  <c r="H1330" i="21"/>
  <c r="M1330" i="21" s="1"/>
  <c r="H1331" i="21"/>
  <c r="J1331" i="21" s="1"/>
  <c r="X1331" i="21" s="1"/>
  <c r="H1321" i="21"/>
  <c r="M1321" i="21" s="1"/>
  <c r="H1325" i="21"/>
  <c r="M1325" i="21" s="1"/>
  <c r="H1327" i="21"/>
  <c r="J1327" i="21" s="1"/>
  <c r="X1327" i="21" s="1"/>
  <c r="H1320" i="21"/>
  <c r="M1320" i="21" s="1"/>
  <c r="H1324" i="21"/>
  <c r="M1324" i="21" s="1"/>
  <c r="H1328" i="21"/>
  <c r="M1328" i="21" s="1"/>
  <c r="H1332" i="21"/>
  <c r="M1332" i="21" s="1"/>
  <c r="J1605" i="21"/>
  <c r="J1633" i="21"/>
  <c r="X1633" i="21" s="1"/>
  <c r="J1637" i="21"/>
  <c r="N1637" i="21" s="1"/>
  <c r="Z1637" i="21" s="1"/>
  <c r="AA1637" i="21" s="1"/>
  <c r="J1645" i="21"/>
  <c r="N1645" i="21" s="1"/>
  <c r="Z1645" i="21" s="1"/>
  <c r="AA1645" i="21" s="1"/>
  <c r="J1665" i="21"/>
  <c r="X1665" i="21" s="1"/>
  <c r="J1709" i="21"/>
  <c r="N1709" i="21" s="1"/>
  <c r="Z1709" i="21" s="1"/>
  <c r="AA1709" i="21" s="1"/>
  <c r="J1733" i="21"/>
  <c r="J1773" i="21"/>
  <c r="X1773" i="21" s="1"/>
  <c r="J1777" i="21"/>
  <c r="J1821" i="21"/>
  <c r="X1821" i="21" s="1"/>
  <c r="J1829" i="21"/>
  <c r="N1829" i="21" s="1"/>
  <c r="Z1829" i="21" s="1"/>
  <c r="AA1829" i="21" s="1"/>
  <c r="J1837" i="21"/>
  <c r="X1837" i="21" s="1"/>
  <c r="J1841" i="21"/>
  <c r="N1841" i="21" s="1"/>
  <c r="Z1841" i="21" s="1"/>
  <c r="AA1841" i="21" s="1"/>
  <c r="H1314" i="21"/>
  <c r="M1314" i="21" s="1"/>
  <c r="J1876" i="21"/>
  <c r="J1880" i="21"/>
  <c r="N1880" i="21" s="1"/>
  <c r="Z1880" i="21" s="1"/>
  <c r="AA1880" i="21" s="1"/>
  <c r="J1888" i="21"/>
  <c r="N1888" i="21" s="1"/>
  <c r="Z1888" i="21" s="1"/>
  <c r="AA1888" i="21" s="1"/>
  <c r="J1936" i="21"/>
  <c r="X1936" i="21" s="1"/>
  <c r="J1972" i="21"/>
  <c r="N1972" i="21" s="1"/>
  <c r="Z1972" i="21" s="1"/>
  <c r="AA1972" i="21" s="1"/>
  <c r="H1292" i="21"/>
  <c r="J1292" i="21" s="1"/>
  <c r="X1292" i="21" s="1"/>
  <c r="H1317" i="21"/>
  <c r="J1317" i="21" s="1"/>
  <c r="X1317" i="21" s="1"/>
  <c r="J1976" i="21"/>
  <c r="N1976" i="21" s="1"/>
  <c r="Z1976" i="21" s="1"/>
  <c r="AA1976" i="21" s="1"/>
  <c r="H1316" i="21"/>
  <c r="J1316" i="21" s="1"/>
  <c r="X1316" i="21" s="1"/>
  <c r="H1303" i="21"/>
  <c r="J1303" i="21" s="1"/>
  <c r="X1303" i="21" s="1"/>
  <c r="H1307" i="21"/>
  <c r="J1307" i="21" s="1"/>
  <c r="X1307" i="21" s="1"/>
  <c r="H1311" i="21"/>
  <c r="J1311" i="21" s="1"/>
  <c r="X1311" i="21" s="1"/>
  <c r="H1315" i="21"/>
  <c r="J1315" i="21" s="1"/>
  <c r="X1315" i="21" s="1"/>
  <c r="H1302" i="21"/>
  <c r="M1302" i="21" s="1"/>
  <c r="H1306" i="21"/>
  <c r="M1306" i="21" s="1"/>
  <c r="H1310" i="21"/>
  <c r="M1310" i="21" s="1"/>
  <c r="H1301" i="21"/>
  <c r="J1301" i="21" s="1"/>
  <c r="X1301" i="21" s="1"/>
  <c r="H1305" i="21"/>
  <c r="M1305" i="21" s="1"/>
  <c r="H1309" i="21"/>
  <c r="M1309" i="21" s="1"/>
  <c r="H1313" i="21"/>
  <c r="M1313" i="21" s="1"/>
  <c r="H1304" i="21"/>
  <c r="M1304" i="21" s="1"/>
  <c r="H1308" i="21"/>
  <c r="M1308" i="21" s="1"/>
  <c r="H1312" i="21"/>
  <c r="M1312" i="21" s="1"/>
  <c r="H1295" i="21"/>
  <c r="J1295" i="21" s="1"/>
  <c r="X1295" i="21" s="1"/>
  <c r="H1299" i="21"/>
  <c r="M1299" i="21" s="1"/>
  <c r="H1294" i="21"/>
  <c r="M1294" i="21" s="1"/>
  <c r="H1298" i="21"/>
  <c r="M1298" i="21" s="1"/>
  <c r="H1293" i="21"/>
  <c r="J1293" i="21" s="1"/>
  <c r="X1293" i="21" s="1"/>
  <c r="H1296" i="21"/>
  <c r="M1296" i="21" s="1"/>
  <c r="H1300" i="21"/>
  <c r="M1300" i="21" s="1"/>
  <c r="J1589" i="21"/>
  <c r="X1589" i="21" s="1"/>
  <c r="J1593" i="21"/>
  <c r="N1593" i="21" s="1"/>
  <c r="Z1593" i="21" s="1"/>
  <c r="AA1593" i="21" s="1"/>
  <c r="H1277" i="21"/>
  <c r="J1277" i="21" s="1"/>
  <c r="X1277" i="21" s="1"/>
  <c r="J1585" i="21"/>
  <c r="X1585" i="21" s="1"/>
  <c r="J1601" i="21"/>
  <c r="X1601" i="21" s="1"/>
  <c r="H1288" i="21"/>
  <c r="M1288" i="21" s="1"/>
  <c r="J3613" i="21"/>
  <c r="N3613" i="21" s="1"/>
  <c r="Z3613" i="21" s="1"/>
  <c r="AA3613" i="21" s="1"/>
  <c r="J3617" i="21"/>
  <c r="X3617" i="21" s="1"/>
  <c r="J3621" i="21"/>
  <c r="X3621" i="21" s="1"/>
  <c r="H1289" i="21"/>
  <c r="J1289" i="21" s="1"/>
  <c r="X1289" i="21" s="1"/>
  <c r="H1291" i="21"/>
  <c r="H1282" i="21"/>
  <c r="M1282" i="21" s="1"/>
  <c r="H1286" i="21"/>
  <c r="M1286" i="21" s="1"/>
  <c r="H1290" i="21"/>
  <c r="M1290" i="21" s="1"/>
  <c r="H1287" i="21"/>
  <c r="M1287" i="21" s="1"/>
  <c r="H1283" i="21"/>
  <c r="J1283" i="21" s="1"/>
  <c r="X1283" i="21" s="1"/>
  <c r="H1281" i="21"/>
  <c r="J1281" i="21" s="1"/>
  <c r="X1281" i="21" s="1"/>
  <c r="H1285" i="21"/>
  <c r="J1285" i="21" s="1"/>
  <c r="X1285" i="21" s="1"/>
  <c r="H1284" i="21"/>
  <c r="M1284" i="21" s="1"/>
  <c r="H1174" i="21"/>
  <c r="M1174" i="21" s="1"/>
  <c r="H1177" i="21"/>
  <c r="M1177" i="21" s="1"/>
  <c r="J3629" i="21"/>
  <c r="X3629" i="21" s="1"/>
  <c r="J3633" i="21"/>
  <c r="X3633" i="21" s="1"/>
  <c r="J3653" i="21"/>
  <c r="X3653" i="21" s="1"/>
  <c r="J3661" i="21"/>
  <c r="X3661" i="21" s="1"/>
  <c r="J1521" i="21"/>
  <c r="N1521" i="21" s="1"/>
  <c r="Z1521" i="21" s="1"/>
  <c r="AA1521" i="21" s="1"/>
  <c r="J1561" i="21"/>
  <c r="N1561" i="21" s="1"/>
  <c r="Z1561" i="21" s="1"/>
  <c r="AA1561" i="21" s="1"/>
  <c r="J1565" i="21"/>
  <c r="N1565" i="21" s="1"/>
  <c r="Z1565" i="21" s="1"/>
  <c r="AA1565" i="21" s="1"/>
  <c r="H1260" i="21"/>
  <c r="M1260" i="21" s="1"/>
  <c r="H1255" i="21"/>
  <c r="M1255" i="21" s="1"/>
  <c r="H1279" i="21"/>
  <c r="J1279" i="21" s="1"/>
  <c r="X1279" i="21" s="1"/>
  <c r="H1262" i="21"/>
  <c r="M1262" i="21" s="1"/>
  <c r="H1266" i="21"/>
  <c r="M1266" i="21" s="1"/>
  <c r="H1270" i="21"/>
  <c r="M1270" i="21" s="1"/>
  <c r="H1274" i="21"/>
  <c r="M1274" i="21" s="1"/>
  <c r="H1267" i="21"/>
  <c r="M1267" i="21" s="1"/>
  <c r="H1271" i="21"/>
  <c r="J1271" i="21" s="1"/>
  <c r="X1271" i="21" s="1"/>
  <c r="H1263" i="21"/>
  <c r="J1263" i="21" s="1"/>
  <c r="X1263" i="21" s="1"/>
  <c r="H1275" i="21"/>
  <c r="J1275" i="21" s="1"/>
  <c r="X1275" i="21" s="1"/>
  <c r="H1265" i="21"/>
  <c r="J1265" i="21" s="1"/>
  <c r="X1265" i="21" s="1"/>
  <c r="H1269" i="21"/>
  <c r="J1269" i="21" s="1"/>
  <c r="X1269" i="21" s="1"/>
  <c r="H1273" i="21"/>
  <c r="M1273" i="21" s="1"/>
  <c r="H1264" i="21"/>
  <c r="M1264" i="21" s="1"/>
  <c r="H1268" i="21"/>
  <c r="M1268" i="21" s="1"/>
  <c r="H1272" i="21"/>
  <c r="M1272" i="21" s="1"/>
  <c r="H1276" i="21"/>
  <c r="M1276" i="21" s="1"/>
  <c r="H1280" i="21"/>
  <c r="M1280" i="21" s="1"/>
  <c r="J2646" i="21"/>
  <c r="N2646" i="21" s="1"/>
  <c r="Z2646" i="21" s="1"/>
  <c r="AA2646" i="21" s="1"/>
  <c r="J2726" i="21"/>
  <c r="N2726" i="21" s="1"/>
  <c r="Z2726" i="21" s="1"/>
  <c r="AA2726" i="21" s="1"/>
  <c r="J2734" i="21"/>
  <c r="X2734" i="21" s="1"/>
  <c r="J2004" i="21"/>
  <c r="N2004" i="21" s="1"/>
  <c r="Z2004" i="21" s="1"/>
  <c r="AA2004" i="21" s="1"/>
  <c r="J2097" i="21"/>
  <c r="N2097" i="21" s="1"/>
  <c r="Z2097" i="21" s="1"/>
  <c r="AA2097" i="21" s="1"/>
  <c r="J2265" i="21"/>
  <c r="N2265" i="21" s="1"/>
  <c r="Z2265" i="21" s="1"/>
  <c r="AA2265" i="21" s="1"/>
  <c r="J2297" i="21"/>
  <c r="N2297" i="21" s="1"/>
  <c r="Z2297" i="21" s="1"/>
  <c r="AA2297" i="21" s="1"/>
  <c r="J2337" i="21"/>
  <c r="N2337" i="21" s="1"/>
  <c r="Z2337" i="21" s="1"/>
  <c r="AA2337" i="21" s="1"/>
  <c r="J2341" i="21"/>
  <c r="N2341" i="21" s="1"/>
  <c r="Z2341" i="21" s="1"/>
  <c r="AA2341" i="21" s="1"/>
  <c r="J2353" i="21"/>
  <c r="N2353" i="21" s="1"/>
  <c r="Z2353" i="21" s="1"/>
  <c r="AA2353" i="21" s="1"/>
  <c r="J2357" i="21"/>
  <c r="N2357" i="21" s="1"/>
  <c r="Z2357" i="21" s="1"/>
  <c r="AA2357" i="21" s="1"/>
  <c r="J2365" i="21"/>
  <c r="X2365" i="21" s="1"/>
  <c r="J2369" i="21"/>
  <c r="N2369" i="21" s="1"/>
  <c r="Z2369" i="21" s="1"/>
  <c r="AA2369" i="21" s="1"/>
  <c r="J2377" i="21"/>
  <c r="N2377" i="21" s="1"/>
  <c r="Z2377" i="21" s="1"/>
  <c r="AA2377" i="21" s="1"/>
  <c r="J1862" i="21"/>
  <c r="N1862" i="21" s="1"/>
  <c r="Z1862" i="21" s="1"/>
  <c r="AA1862" i="21" s="1"/>
  <c r="J1866" i="21"/>
  <c r="N1866" i="21" s="1"/>
  <c r="Z1866" i="21" s="1"/>
  <c r="AA1866" i="21" s="1"/>
  <c r="J1874" i="21"/>
  <c r="X1874" i="21" s="1"/>
  <c r="J1878" i="21"/>
  <c r="N1878" i="21" s="1"/>
  <c r="Z1878" i="21" s="1"/>
  <c r="AA1878" i="21" s="1"/>
  <c r="J1938" i="21"/>
  <c r="N1938" i="21" s="1"/>
  <c r="Z1938" i="21" s="1"/>
  <c r="AA1938" i="21" s="1"/>
  <c r="J1942" i="21"/>
  <c r="X1942" i="21" s="1"/>
  <c r="J1950" i="21"/>
  <c r="N1950" i="21" s="1"/>
  <c r="Z1950" i="21" s="1"/>
  <c r="AA1950" i="21" s="1"/>
  <c r="J1954" i="21"/>
  <c r="N1954" i="21" s="1"/>
  <c r="Z1954" i="21" s="1"/>
  <c r="AA1954" i="21" s="1"/>
  <c r="J1958" i="21"/>
  <c r="X1958" i="21" s="1"/>
  <c r="J1962" i="21"/>
  <c r="N1962" i="21" s="1"/>
  <c r="Z1962" i="21" s="1"/>
  <c r="AA1962" i="21" s="1"/>
  <c r="J1966" i="21"/>
  <c r="N1966" i="21" s="1"/>
  <c r="Z1966" i="21" s="1"/>
  <c r="AA1966" i="21" s="1"/>
  <c r="H1248" i="21"/>
  <c r="M1248" i="21" s="1"/>
  <c r="H1259" i="21"/>
  <c r="J1259" i="21" s="1"/>
  <c r="X1259" i="21" s="1"/>
  <c r="J1446" i="21"/>
  <c r="N1446" i="21" s="1"/>
  <c r="Z1446" i="21" s="1"/>
  <c r="AA1446" i="21" s="1"/>
  <c r="J1462" i="21"/>
  <c r="N1462" i="21" s="1"/>
  <c r="Z1462" i="21" s="1"/>
  <c r="AA1462" i="21" s="1"/>
  <c r="H1249" i="21"/>
  <c r="M1249" i="21" s="1"/>
  <c r="J3210" i="21"/>
  <c r="N3210" i="21" s="1"/>
  <c r="Z3210" i="21" s="1"/>
  <c r="AA3210" i="21" s="1"/>
  <c r="J2017" i="21"/>
  <c r="N2017" i="21" s="1"/>
  <c r="Z2017" i="21" s="1"/>
  <c r="AA2017" i="21" s="1"/>
  <c r="H1258" i="21"/>
  <c r="M1258" i="21" s="1"/>
  <c r="I1142" i="21"/>
  <c r="J1142" i="21" s="1"/>
  <c r="H1169" i="21"/>
  <c r="M1169" i="21" s="1"/>
  <c r="H1251" i="21"/>
  <c r="M1251" i="21" s="1"/>
  <c r="H1257" i="21"/>
  <c r="M1257" i="21" s="1"/>
  <c r="J1432" i="21"/>
  <c r="N1432" i="21" s="1"/>
  <c r="Z1432" i="21" s="1"/>
  <c r="AA1432" i="21" s="1"/>
  <c r="J3488" i="21"/>
  <c r="N3488" i="21" s="1"/>
  <c r="Z3488" i="21" s="1"/>
  <c r="AA3488" i="21" s="1"/>
  <c r="J3504" i="21"/>
  <c r="N3504" i="21" s="1"/>
  <c r="Z3504" i="21" s="1"/>
  <c r="AA3504" i="21" s="1"/>
  <c r="J3520" i="21"/>
  <c r="X3520" i="21" s="1"/>
  <c r="J3524" i="21"/>
  <c r="N3524" i="21" s="1"/>
  <c r="Z3524" i="21" s="1"/>
  <c r="AA3524" i="21" s="1"/>
  <c r="J3176" i="21"/>
  <c r="N3176" i="21" s="1"/>
  <c r="Z3176" i="21" s="1"/>
  <c r="AA3176" i="21" s="1"/>
  <c r="J3184" i="21"/>
  <c r="X3184" i="21" s="1"/>
  <c r="J1499" i="21"/>
  <c r="X1499" i="21" s="1"/>
  <c r="H1261" i="21"/>
  <c r="J1261" i="21" s="1"/>
  <c r="X1261" i="21" s="1"/>
  <c r="H1254" i="21"/>
  <c r="M1254" i="21" s="1"/>
  <c r="H1256" i="21"/>
  <c r="M1256" i="21" s="1"/>
  <c r="H1253" i="21"/>
  <c r="M1253" i="21" s="1"/>
  <c r="H1252" i="21"/>
  <c r="M1252" i="21" s="1"/>
  <c r="H1250" i="21"/>
  <c r="M1250" i="21" s="1"/>
  <c r="I1122" i="21"/>
  <c r="J1122" i="21" s="1"/>
  <c r="X1122" i="21" s="1"/>
  <c r="J3125" i="21"/>
  <c r="X3125" i="21" s="1"/>
  <c r="J2728" i="21"/>
  <c r="N2728" i="21" s="1"/>
  <c r="Z2728" i="21" s="1"/>
  <c r="AA2728" i="21" s="1"/>
  <c r="J2732" i="21"/>
  <c r="X2732" i="21" s="1"/>
  <c r="J2736" i="21"/>
  <c r="N2736" i="21" s="1"/>
  <c r="Z2736" i="21" s="1"/>
  <c r="AA2736" i="21" s="1"/>
  <c r="J2027" i="21"/>
  <c r="X2027" i="21" s="1"/>
  <c r="J1519" i="21"/>
  <c r="X1519" i="21" s="1"/>
  <c r="J3722" i="21"/>
  <c r="N3722" i="21" s="1"/>
  <c r="Z3722" i="21" s="1"/>
  <c r="AA3722" i="21" s="1"/>
  <c r="J2119" i="21"/>
  <c r="N2119" i="21" s="1"/>
  <c r="Z2119" i="21" s="1"/>
  <c r="AA2119" i="21" s="1"/>
  <c r="J2187" i="21"/>
  <c r="N2187" i="21" s="1"/>
  <c r="Z2187" i="21" s="1"/>
  <c r="AA2187" i="21" s="1"/>
  <c r="J2223" i="21"/>
  <c r="N2223" i="21" s="1"/>
  <c r="Z2223" i="21" s="1"/>
  <c r="AA2223" i="21" s="1"/>
  <c r="J2235" i="21"/>
  <c r="X2235" i="21" s="1"/>
  <c r="J2331" i="21"/>
  <c r="N2331" i="21" s="1"/>
  <c r="Z2331" i="21" s="1"/>
  <c r="AA2331" i="21" s="1"/>
  <c r="J2583" i="21"/>
  <c r="X2583" i="21" s="1"/>
  <c r="H1077" i="21"/>
  <c r="M1077" i="21" s="1"/>
  <c r="J1583" i="21"/>
  <c r="X1583" i="21" s="1"/>
  <c r="J1595" i="21"/>
  <c r="X1595" i="21" s="1"/>
  <c r="J1599" i="21"/>
  <c r="N1599" i="21" s="1"/>
  <c r="Z1599" i="21" s="1"/>
  <c r="AA1599" i="21" s="1"/>
  <c r="J1751" i="21"/>
  <c r="N1751" i="21" s="1"/>
  <c r="Z1751" i="21" s="1"/>
  <c r="AA1751" i="21" s="1"/>
  <c r="J1759" i="21"/>
  <c r="X1759" i="21" s="1"/>
  <c r="J1779" i="21"/>
  <c r="X1779" i="21" s="1"/>
  <c r="J1783" i="21"/>
  <c r="X1783" i="21" s="1"/>
  <c r="J1787" i="21"/>
  <c r="N1787" i="21" s="1"/>
  <c r="Z1787" i="21" s="1"/>
  <c r="AA1787" i="21" s="1"/>
  <c r="J1815" i="21"/>
  <c r="N1815" i="21" s="1"/>
  <c r="Z1815" i="21" s="1"/>
  <c r="AA1815" i="21" s="1"/>
  <c r="J1823" i="21"/>
  <c r="N1823" i="21" s="1"/>
  <c r="Z1823" i="21" s="1"/>
  <c r="AA1823" i="21" s="1"/>
  <c r="J1827" i="21"/>
  <c r="N1827" i="21" s="1"/>
  <c r="Z1827" i="21" s="1"/>
  <c r="AA1827" i="21" s="1"/>
  <c r="J1839" i="21"/>
  <c r="N1839" i="21" s="1"/>
  <c r="Z1839" i="21" s="1"/>
  <c r="AA1839" i="21" s="1"/>
  <c r="J1847" i="21"/>
  <c r="N1847" i="21" s="1"/>
  <c r="Z1847" i="21" s="1"/>
  <c r="AA1847" i="21" s="1"/>
  <c r="J1855" i="21"/>
  <c r="N1855" i="21" s="1"/>
  <c r="Z1855" i="21" s="1"/>
  <c r="AA1855" i="21" s="1"/>
  <c r="J3412" i="21"/>
  <c r="N3412" i="21" s="1"/>
  <c r="Z3412" i="21" s="1"/>
  <c r="AA3412" i="21" s="1"/>
  <c r="J1797" i="21"/>
  <c r="X1797" i="21" s="1"/>
  <c r="J1813" i="21"/>
  <c r="X1813" i="21" s="1"/>
  <c r="J3435" i="21"/>
  <c r="N3435" i="21" s="1"/>
  <c r="Z3435" i="21" s="1"/>
  <c r="AA3435" i="21" s="1"/>
  <c r="H1247" i="21"/>
  <c r="J1247" i="21" s="1"/>
  <c r="X1247" i="21" s="1"/>
  <c r="J2643" i="21"/>
  <c r="X2643" i="21" s="1"/>
  <c r="J2667" i="21"/>
  <c r="N2667" i="21" s="1"/>
  <c r="Z2667" i="21" s="1"/>
  <c r="AA2667" i="21" s="1"/>
  <c r="H1170" i="21"/>
  <c r="M1170" i="21" s="1"/>
  <c r="H1173" i="21"/>
  <c r="M1173" i="21" s="1"/>
  <c r="H1246" i="21"/>
  <c r="M1246" i="21" s="1"/>
  <c r="J1807" i="21"/>
  <c r="X1807" i="21" s="1"/>
  <c r="J3852" i="21"/>
  <c r="N3852" i="21" s="1"/>
  <c r="Z3852" i="21" s="1"/>
  <c r="AA3852" i="21" s="1"/>
  <c r="J3353" i="21"/>
  <c r="N3353" i="21" s="1"/>
  <c r="Z3353" i="21" s="1"/>
  <c r="AA3353" i="21" s="1"/>
  <c r="J3357" i="21"/>
  <c r="N3357" i="21" s="1"/>
  <c r="Z3357" i="21" s="1"/>
  <c r="AA3357" i="21" s="1"/>
  <c r="J2967" i="21"/>
  <c r="N2967" i="21" s="1"/>
  <c r="Z2967" i="21" s="1"/>
  <c r="AA2967" i="21" s="1"/>
  <c r="I1128" i="21"/>
  <c r="J1128" i="21" s="1"/>
  <c r="X1128" i="21" s="1"/>
  <c r="J1646" i="21"/>
  <c r="X1646" i="21" s="1"/>
  <c r="J1650" i="21"/>
  <c r="N1650" i="21" s="1"/>
  <c r="Z1650" i="21" s="1"/>
  <c r="AA1650" i="21" s="1"/>
  <c r="J1654" i="21"/>
  <c r="N1654" i="21" s="1"/>
  <c r="Z1654" i="21" s="1"/>
  <c r="AA1654" i="21" s="1"/>
  <c r="J1658" i="21"/>
  <c r="N1658" i="21" s="1"/>
  <c r="Z1658" i="21" s="1"/>
  <c r="AA1658" i="21" s="1"/>
  <c r="J1674" i="21"/>
  <c r="X1674" i="21" s="1"/>
  <c r="J3514" i="21"/>
  <c r="N3514" i="21" s="1"/>
  <c r="Z3514" i="21" s="1"/>
  <c r="AA3514" i="21" s="1"/>
  <c r="J3542" i="21"/>
  <c r="N3542" i="21" s="1"/>
  <c r="Z3542" i="21" s="1"/>
  <c r="AA3542" i="21" s="1"/>
  <c r="J3570" i="21"/>
  <c r="N3570" i="21" s="1"/>
  <c r="Z3570" i="21" s="1"/>
  <c r="AA3570" i="21" s="1"/>
  <c r="J2969" i="21"/>
  <c r="N2969" i="21" s="1"/>
  <c r="Z2969" i="21" s="1"/>
  <c r="AA2969" i="21" s="1"/>
  <c r="H1111" i="21"/>
  <c r="J1111" i="21" s="1"/>
  <c r="J1489" i="21"/>
  <c r="N1489" i="21" s="1"/>
  <c r="Z1489" i="21" s="1"/>
  <c r="AA1489" i="21" s="1"/>
  <c r="J1493" i="21"/>
  <c r="X1493" i="21" s="1"/>
  <c r="J1497" i="21"/>
  <c r="N1497" i="21" s="1"/>
  <c r="Z1497" i="21" s="1"/>
  <c r="AA1497" i="21" s="1"/>
  <c r="J1501" i="21"/>
  <c r="X1501" i="21" s="1"/>
  <c r="J1631" i="21"/>
  <c r="X1631" i="21" s="1"/>
  <c r="J1635" i="21"/>
  <c r="X1635" i="21" s="1"/>
  <c r="J1643" i="21"/>
  <c r="N1643" i="21" s="1"/>
  <c r="Z1643" i="21" s="1"/>
  <c r="AA1643" i="21" s="1"/>
  <c r="J1994" i="21"/>
  <c r="N1994" i="21" s="1"/>
  <c r="Z1994" i="21" s="1"/>
  <c r="AA1994" i="21" s="1"/>
  <c r="J2880" i="21"/>
  <c r="X2880" i="21" s="1"/>
  <c r="H1091" i="21"/>
  <c r="M1091" i="21" s="1"/>
  <c r="H1172" i="21"/>
  <c r="J1172" i="21" s="1"/>
  <c r="H1176" i="21"/>
  <c r="J1176" i="21" s="1"/>
  <c r="X1176" i="21" s="1"/>
  <c r="J2934" i="21"/>
  <c r="N2934" i="21" s="1"/>
  <c r="Z2934" i="21" s="1"/>
  <c r="AA2934" i="21" s="1"/>
  <c r="I1031" i="21"/>
  <c r="J1031" i="21" s="1"/>
  <c r="X1031" i="21" s="1"/>
  <c r="H1171" i="21"/>
  <c r="H1175" i="21"/>
  <c r="J1175" i="21" s="1"/>
  <c r="X1175" i="21" s="1"/>
  <c r="J1474" i="21"/>
  <c r="N1474" i="21" s="1"/>
  <c r="Z1474" i="21" s="1"/>
  <c r="AA1474" i="21" s="1"/>
  <c r="J1527" i="21"/>
  <c r="X1527" i="21" s="1"/>
  <c r="J2201" i="21"/>
  <c r="X2201" i="21" s="1"/>
  <c r="J2217" i="21"/>
  <c r="N2217" i="21" s="1"/>
  <c r="Z2217" i="21" s="1"/>
  <c r="AA2217" i="21" s="1"/>
  <c r="J2451" i="21"/>
  <c r="N2451" i="21" s="1"/>
  <c r="Z2451" i="21" s="1"/>
  <c r="AA2451" i="21" s="1"/>
  <c r="J2471" i="21"/>
  <c r="J2479" i="21"/>
  <c r="N2479" i="21" s="1"/>
  <c r="Z2479" i="21" s="1"/>
  <c r="AA2479" i="21" s="1"/>
  <c r="J2986" i="21"/>
  <c r="N2986" i="21" s="1"/>
  <c r="Z2986" i="21" s="1"/>
  <c r="AA2986" i="21" s="1"/>
  <c r="J2990" i="21"/>
  <c r="N2990" i="21" s="1"/>
  <c r="Z2990" i="21" s="1"/>
  <c r="AA2990" i="21" s="1"/>
  <c r="J2994" i="21"/>
  <c r="N2994" i="21" s="1"/>
  <c r="Z2994" i="21" s="1"/>
  <c r="AA2994" i="21" s="1"/>
  <c r="J2998" i="21"/>
  <c r="X2998" i="21" s="1"/>
  <c r="J1555" i="21"/>
  <c r="N1555" i="21" s="1"/>
  <c r="Z1555" i="21" s="1"/>
  <c r="AA1555" i="21" s="1"/>
  <c r="J1567" i="21"/>
  <c r="J1571" i="21"/>
  <c r="N1571" i="21" s="1"/>
  <c r="Z1571" i="21" s="1"/>
  <c r="AA1571" i="21" s="1"/>
  <c r="J1789" i="21"/>
  <c r="X1789" i="21" s="1"/>
  <c r="J2383" i="21"/>
  <c r="N2383" i="21" s="1"/>
  <c r="Z2383" i="21" s="1"/>
  <c r="AA2383" i="21" s="1"/>
  <c r="J2536" i="21"/>
  <c r="N2536" i="21" s="1"/>
  <c r="Z2536" i="21" s="1"/>
  <c r="AA2536" i="21" s="1"/>
  <c r="J2540" i="21"/>
  <c r="X2540" i="21" s="1"/>
  <c r="J2544" i="21"/>
  <c r="X2544" i="21" s="1"/>
  <c r="J2677" i="21"/>
  <c r="X2677" i="21" s="1"/>
  <c r="H1083" i="21"/>
  <c r="H1178" i="21"/>
  <c r="J1178" i="21" s="1"/>
  <c r="X1178" i="21" s="1"/>
  <c r="H1182" i="21"/>
  <c r="M1182" i="21" s="1"/>
  <c r="H1186" i="21"/>
  <c r="M1186" i="21" s="1"/>
  <c r="H1190" i="21"/>
  <c r="M1190" i="21" s="1"/>
  <c r="H1194" i="21"/>
  <c r="M1194" i="21" s="1"/>
  <c r="H1198" i="21"/>
  <c r="M1198" i="21" s="1"/>
  <c r="H1202" i="21"/>
  <c r="M1202" i="21" s="1"/>
  <c r="H1206" i="21"/>
  <c r="H1210" i="21"/>
  <c r="M1210" i="21" s="1"/>
  <c r="H1214" i="21"/>
  <c r="M1214" i="21" s="1"/>
  <c r="H1218" i="21"/>
  <c r="M1218" i="21" s="1"/>
  <c r="H1222" i="21"/>
  <c r="M1222" i="21" s="1"/>
  <c r="H1226" i="21"/>
  <c r="M1226" i="21" s="1"/>
  <c r="H1230" i="21"/>
  <c r="M1230" i="21" s="1"/>
  <c r="H1234" i="21"/>
  <c r="M1234" i="21" s="1"/>
  <c r="H1238" i="21"/>
  <c r="M1238" i="21" s="1"/>
  <c r="H1242" i="21"/>
  <c r="M1242" i="21" s="1"/>
  <c r="J1503" i="21"/>
  <c r="N1503" i="21" s="1"/>
  <c r="Z1503" i="21" s="1"/>
  <c r="AA1503" i="21" s="1"/>
  <c r="J1591" i="21"/>
  <c r="X1591" i="21" s="1"/>
  <c r="J1990" i="21"/>
  <c r="N1990" i="21" s="1"/>
  <c r="Z1990" i="21" s="1"/>
  <c r="AA1990" i="21" s="1"/>
  <c r="J2083" i="21"/>
  <c r="X2083" i="21" s="1"/>
  <c r="J2103" i="21"/>
  <c r="J2185" i="21"/>
  <c r="N2185" i="21" s="1"/>
  <c r="Z2185" i="21" s="1"/>
  <c r="AA2185" i="21" s="1"/>
  <c r="J2271" i="21"/>
  <c r="X2271" i="21" s="1"/>
  <c r="J2620" i="21"/>
  <c r="N2620" i="21" s="1"/>
  <c r="Z2620" i="21" s="1"/>
  <c r="AA2620" i="21" s="1"/>
  <c r="J2628" i="21"/>
  <c r="N2628" i="21" s="1"/>
  <c r="Z2628" i="21" s="1"/>
  <c r="AA2628" i="21" s="1"/>
  <c r="J2632" i="21"/>
  <c r="N2632" i="21" s="1"/>
  <c r="Z2632" i="21" s="1"/>
  <c r="AA2632" i="21" s="1"/>
  <c r="J2648" i="21"/>
  <c r="X2648" i="21" s="1"/>
  <c r="J2860" i="21"/>
  <c r="X2860" i="21" s="1"/>
  <c r="J1653" i="21"/>
  <c r="X1653" i="21" s="1"/>
  <c r="J1661" i="21"/>
  <c r="X1661" i="21" s="1"/>
  <c r="J1662" i="21"/>
  <c r="N1662" i="21" s="1"/>
  <c r="Z1662" i="21" s="1"/>
  <c r="AA1662" i="21" s="1"/>
  <c r="J1747" i="21"/>
  <c r="X1747" i="21" s="1"/>
  <c r="J1835" i="21"/>
  <c r="N1835" i="21" s="1"/>
  <c r="Z1835" i="21" s="1"/>
  <c r="AA1835" i="21" s="1"/>
  <c r="J1998" i="21"/>
  <c r="N1998" i="21" s="1"/>
  <c r="Z1998" i="21" s="1"/>
  <c r="AA1998" i="21" s="1"/>
  <c r="H1181" i="21"/>
  <c r="M1181" i="21" s="1"/>
  <c r="H1185" i="21"/>
  <c r="H1189" i="21"/>
  <c r="M1189" i="21" s="1"/>
  <c r="H1193" i="21"/>
  <c r="J1193" i="21" s="1"/>
  <c r="H1197" i="21"/>
  <c r="M1197" i="21" s="1"/>
  <c r="H1201" i="21"/>
  <c r="J1201" i="21" s="1"/>
  <c r="H1205" i="21"/>
  <c r="J1205" i="21" s="1"/>
  <c r="X1205" i="21" s="1"/>
  <c r="H1209" i="21"/>
  <c r="J1209" i="21" s="1"/>
  <c r="X1209" i="21" s="1"/>
  <c r="H1213" i="21"/>
  <c r="J1213" i="21" s="1"/>
  <c r="X1213" i="21" s="1"/>
  <c r="H1217" i="21"/>
  <c r="H1221" i="21"/>
  <c r="H1225" i="21"/>
  <c r="J1225" i="21" s="1"/>
  <c r="X1225" i="21" s="1"/>
  <c r="H1229" i="21"/>
  <c r="M1229" i="21" s="1"/>
  <c r="H1233" i="21"/>
  <c r="J1233" i="21" s="1"/>
  <c r="X1233" i="21" s="1"/>
  <c r="H1237" i="21"/>
  <c r="J1237" i="21" s="1"/>
  <c r="X1237" i="21" s="1"/>
  <c r="H1241" i="21"/>
  <c r="M1241" i="21" s="1"/>
  <c r="H1245" i="21"/>
  <c r="M1245" i="21" s="1"/>
  <c r="J1763" i="21"/>
  <c r="J2006" i="21"/>
  <c r="X2006" i="21" s="1"/>
  <c r="J1611" i="21"/>
  <c r="X1611" i="21" s="1"/>
  <c r="J1648" i="21"/>
  <c r="N1648" i="21" s="1"/>
  <c r="Z1648" i="21" s="1"/>
  <c r="AA1648" i="21" s="1"/>
  <c r="J1652" i="21"/>
  <c r="X1652" i="21" s="1"/>
  <c r="J1656" i="21"/>
  <c r="N1656" i="21" s="1"/>
  <c r="Z1656" i="21" s="1"/>
  <c r="AA1656" i="21" s="1"/>
  <c r="J1725" i="21"/>
  <c r="N1725" i="21" s="1"/>
  <c r="Z1725" i="21" s="1"/>
  <c r="AA1725" i="21" s="1"/>
  <c r="J1791" i="21"/>
  <c r="N1791" i="21" s="1"/>
  <c r="Z1791" i="21" s="1"/>
  <c r="AA1791" i="21" s="1"/>
  <c r="J1980" i="21"/>
  <c r="J3599" i="21"/>
  <c r="X3599" i="21" s="1"/>
  <c r="J3135" i="21"/>
  <c r="N3135" i="21" s="1"/>
  <c r="Z3135" i="21" s="1"/>
  <c r="AA3135" i="21" s="1"/>
  <c r="J3143" i="21"/>
  <c r="N3143" i="21" s="1"/>
  <c r="Z3143" i="21" s="1"/>
  <c r="AA3143" i="21" s="1"/>
  <c r="J2241" i="21"/>
  <c r="N2241" i="21" s="1"/>
  <c r="Z2241" i="21" s="1"/>
  <c r="AA2241" i="21" s="1"/>
  <c r="J2307" i="21"/>
  <c r="X2307" i="21" s="1"/>
  <c r="J2315" i="21"/>
  <c r="X2315" i="21" s="1"/>
  <c r="J2385" i="21"/>
  <c r="J2389" i="21"/>
  <c r="J2809" i="21"/>
  <c r="X2809" i="21" s="1"/>
  <c r="J2821" i="21"/>
  <c r="N2821" i="21" s="1"/>
  <c r="Z2821" i="21" s="1"/>
  <c r="AA2821" i="21" s="1"/>
  <c r="H1109" i="21"/>
  <c r="J1109" i="21" s="1"/>
  <c r="H1180" i="21"/>
  <c r="M1180" i="21" s="1"/>
  <c r="H1184" i="21"/>
  <c r="M1184" i="21" s="1"/>
  <c r="H1188" i="21"/>
  <c r="M1188" i="21" s="1"/>
  <c r="H1192" i="21"/>
  <c r="H1196" i="21"/>
  <c r="H1200" i="21"/>
  <c r="M1200" i="21" s="1"/>
  <c r="H1204" i="21"/>
  <c r="M1204" i="21" s="1"/>
  <c r="H1208" i="21"/>
  <c r="M1208" i="21" s="1"/>
  <c r="H1212" i="21"/>
  <c r="J1212" i="21" s="1"/>
  <c r="H1216" i="21"/>
  <c r="M1216" i="21" s="1"/>
  <c r="H1220" i="21"/>
  <c r="M1220" i="21" s="1"/>
  <c r="H1224" i="21"/>
  <c r="H1228" i="21"/>
  <c r="M1228" i="21" s="1"/>
  <c r="H1232" i="21"/>
  <c r="M1232" i="21" s="1"/>
  <c r="H1236" i="21"/>
  <c r="M1236" i="21" s="1"/>
  <c r="H1240" i="21"/>
  <c r="M1240" i="21" s="1"/>
  <c r="H1244" i="21"/>
  <c r="J1244" i="21" s="1"/>
  <c r="X1244" i="21" s="1"/>
  <c r="J1539" i="21"/>
  <c r="X1539" i="21" s="1"/>
  <c r="J1373" i="21"/>
  <c r="X1373" i="21" s="1"/>
  <c r="J1430" i="21"/>
  <c r="X1430" i="21" s="1"/>
  <c r="J1543" i="21"/>
  <c r="N1543" i="21" s="1"/>
  <c r="Z1543" i="21" s="1"/>
  <c r="AA1543" i="21" s="1"/>
  <c r="J1745" i="21"/>
  <c r="N1745" i="21" s="1"/>
  <c r="Z1745" i="21" s="1"/>
  <c r="AA1745" i="21" s="1"/>
  <c r="J1833" i="21"/>
  <c r="N1833" i="21" s="1"/>
  <c r="Z1833" i="21" s="1"/>
  <c r="AA1833" i="21" s="1"/>
  <c r="J1992" i="21"/>
  <c r="N1992" i="21" s="1"/>
  <c r="Z1992" i="21" s="1"/>
  <c r="AA1992" i="21" s="1"/>
  <c r="J3437" i="21"/>
  <c r="X3437" i="21" s="1"/>
  <c r="J3441" i="21"/>
  <c r="N3441" i="21" s="1"/>
  <c r="Z3441" i="21" s="1"/>
  <c r="AA3441" i="21" s="1"/>
  <c r="J3154" i="21"/>
  <c r="X3154" i="21" s="1"/>
  <c r="J3158" i="21"/>
  <c r="N3158" i="21" s="1"/>
  <c r="Z3158" i="21" s="1"/>
  <c r="AA3158" i="21" s="1"/>
  <c r="J3311" i="21"/>
  <c r="X3311" i="21" s="1"/>
  <c r="J3339" i="21"/>
  <c r="X3339" i="21" s="1"/>
  <c r="J3347" i="21"/>
  <c r="N3347" i="21" s="1"/>
  <c r="Z3347" i="21" s="1"/>
  <c r="AA3347" i="21" s="1"/>
  <c r="J2375" i="21"/>
  <c r="X2375" i="21" s="1"/>
  <c r="J2449" i="21"/>
  <c r="J2453" i="21"/>
  <c r="J2461" i="21"/>
  <c r="N2461" i="21" s="1"/>
  <c r="Z2461" i="21" s="1"/>
  <c r="AA2461" i="21" s="1"/>
  <c r="J2465" i="21"/>
  <c r="N2465" i="21" s="1"/>
  <c r="Z2465" i="21" s="1"/>
  <c r="AA2465" i="21" s="1"/>
  <c r="J2469" i="21"/>
  <c r="N2469" i="21" s="1"/>
  <c r="Z2469" i="21" s="1"/>
  <c r="AA2469" i="21" s="1"/>
  <c r="J2477" i="21"/>
  <c r="X2477" i="21" s="1"/>
  <c r="J2561" i="21"/>
  <c r="X2561" i="21" s="1"/>
  <c r="J2577" i="21"/>
  <c r="N2577" i="21" s="1"/>
  <c r="Z2577" i="21" s="1"/>
  <c r="AA2577" i="21" s="1"/>
  <c r="J2898" i="21"/>
  <c r="X2898" i="21" s="1"/>
  <c r="J2902" i="21"/>
  <c r="X2902" i="21" s="1"/>
  <c r="J2906" i="21"/>
  <c r="X2906" i="21" s="1"/>
  <c r="J2926" i="21"/>
  <c r="X2926" i="21" s="1"/>
  <c r="J2988" i="21"/>
  <c r="N2988" i="21" s="1"/>
  <c r="Z2988" i="21" s="1"/>
  <c r="AA2988" i="21" s="1"/>
  <c r="J3004" i="21"/>
  <c r="X3004" i="21" s="1"/>
  <c r="J3008" i="21"/>
  <c r="N3008" i="21" s="1"/>
  <c r="Z3008" i="21" s="1"/>
  <c r="AA3008" i="21" s="1"/>
  <c r="H1151" i="21"/>
  <c r="M1151" i="21" s="1"/>
  <c r="H1179" i="21"/>
  <c r="J1179" i="21" s="1"/>
  <c r="H1183" i="21"/>
  <c r="J1183" i="21" s="1"/>
  <c r="X1183" i="21" s="1"/>
  <c r="H1187" i="21"/>
  <c r="M1187" i="21" s="1"/>
  <c r="H1191" i="21"/>
  <c r="M1191" i="21" s="1"/>
  <c r="H1195" i="21"/>
  <c r="J1195" i="21" s="1"/>
  <c r="X1195" i="21" s="1"/>
  <c r="H1199" i="21"/>
  <c r="M1199" i="21" s="1"/>
  <c r="H1203" i="21"/>
  <c r="M1203" i="21" s="1"/>
  <c r="H1207" i="21"/>
  <c r="J1207" i="21" s="1"/>
  <c r="X1207" i="21" s="1"/>
  <c r="H1211" i="21"/>
  <c r="J1211" i="21" s="1"/>
  <c r="X1211" i="21" s="1"/>
  <c r="H1215" i="21"/>
  <c r="H1219" i="21"/>
  <c r="J1219" i="21" s="1"/>
  <c r="X1219" i="21" s="1"/>
  <c r="H1223" i="21"/>
  <c r="J1223" i="21" s="1"/>
  <c r="X1223" i="21" s="1"/>
  <c r="H1227" i="21"/>
  <c r="J1227" i="21" s="1"/>
  <c r="X1227" i="21" s="1"/>
  <c r="H1231" i="21"/>
  <c r="J1231" i="21" s="1"/>
  <c r="X1231" i="21" s="1"/>
  <c r="H1235" i="21"/>
  <c r="J1235" i="21" s="1"/>
  <c r="X1235" i="21" s="1"/>
  <c r="H1239" i="21"/>
  <c r="J1239" i="21" s="1"/>
  <c r="X1239" i="21" s="1"/>
  <c r="H1243" i="21"/>
  <c r="M1243" i="21" s="1"/>
  <c r="J2067" i="21"/>
  <c r="J2071" i="21"/>
  <c r="N2071" i="21" s="1"/>
  <c r="Z2071" i="21" s="1"/>
  <c r="AA2071" i="21" s="1"/>
  <c r="J2137" i="21"/>
  <c r="N2137" i="21" s="1"/>
  <c r="Z2137" i="21" s="1"/>
  <c r="AA2137" i="21" s="1"/>
  <c r="J2141" i="21"/>
  <c r="X2141" i="21" s="1"/>
  <c r="J2199" i="21"/>
  <c r="X2199" i="21" s="1"/>
  <c r="J1793" i="21"/>
  <c r="X1793" i="21" s="1"/>
  <c r="J1978" i="21"/>
  <c r="N1978" i="21" s="1"/>
  <c r="Z1978" i="21" s="1"/>
  <c r="AA1978" i="21" s="1"/>
  <c r="J3162" i="21"/>
  <c r="N3162" i="21" s="1"/>
  <c r="Z3162" i="21" s="1"/>
  <c r="AA3162" i="21" s="1"/>
  <c r="J3271" i="21"/>
  <c r="N3271" i="21" s="1"/>
  <c r="Z3271" i="21" s="1"/>
  <c r="AA3271" i="21" s="1"/>
  <c r="J2019" i="21"/>
  <c r="N2019" i="21" s="1"/>
  <c r="Z2019" i="21" s="1"/>
  <c r="AA2019" i="21" s="1"/>
  <c r="J2065" i="21"/>
  <c r="N2065" i="21" s="1"/>
  <c r="Z2065" i="21" s="1"/>
  <c r="AA2065" i="21" s="1"/>
  <c r="J2073" i="21"/>
  <c r="N2073" i="21" s="1"/>
  <c r="Z2073" i="21" s="1"/>
  <c r="AA2073" i="21" s="1"/>
  <c r="J2518" i="21"/>
  <c r="X2518" i="21" s="1"/>
  <c r="I1027" i="21"/>
  <c r="J1027" i="21" s="1"/>
  <c r="X1027" i="21" s="1"/>
  <c r="H1030" i="21"/>
  <c r="J1030" i="21" s="1"/>
  <c r="X1030" i="21" s="1"/>
  <c r="I1136" i="21"/>
  <c r="J1136" i="21" s="1"/>
  <c r="X1136" i="21" s="1"/>
  <c r="H1162" i="21"/>
  <c r="M1162" i="21" s="1"/>
  <c r="H1168" i="21"/>
  <c r="M1168" i="21" s="1"/>
  <c r="J1390" i="21"/>
  <c r="X1390" i="21" s="1"/>
  <c r="J1442" i="21"/>
  <c r="X1442" i="21" s="1"/>
  <c r="J1464" i="21"/>
  <c r="X1464" i="21" s="1"/>
  <c r="J1505" i="21"/>
  <c r="N1505" i="21" s="1"/>
  <c r="Z1505" i="21" s="1"/>
  <c r="AA1505" i="21" s="1"/>
  <c r="J1541" i="21"/>
  <c r="N1541" i="21" s="1"/>
  <c r="Z1541" i="21" s="1"/>
  <c r="AA1541" i="21" s="1"/>
  <c r="J1860" i="21"/>
  <c r="J1868" i="21"/>
  <c r="J1872" i="21"/>
  <c r="J1984" i="21"/>
  <c r="X1984" i="21" s="1"/>
  <c r="J1988" i="21"/>
  <c r="N1988" i="21" s="1"/>
  <c r="Z1988" i="21" s="1"/>
  <c r="AA1988" i="21" s="1"/>
  <c r="J2813" i="21"/>
  <c r="N2813" i="21" s="1"/>
  <c r="Z2813" i="21" s="1"/>
  <c r="AA2813" i="21" s="1"/>
  <c r="J2835" i="21"/>
  <c r="N2835" i="21" s="1"/>
  <c r="Z2835" i="21" s="1"/>
  <c r="AA2835" i="21" s="1"/>
  <c r="H1033" i="21"/>
  <c r="J1033" i="21" s="1"/>
  <c r="X1033" i="21" s="1"/>
  <c r="I1130" i="21"/>
  <c r="J1130" i="21" s="1"/>
  <c r="X1130" i="21" s="1"/>
  <c r="H1153" i="21"/>
  <c r="M1153" i="21" s="1"/>
  <c r="I1156" i="21"/>
  <c r="J1156" i="21" s="1"/>
  <c r="X1156" i="21" s="1"/>
  <c r="J1755" i="21"/>
  <c r="X1755" i="21" s="1"/>
  <c r="J1809" i="21"/>
  <c r="N1809" i="21" s="1"/>
  <c r="Z1809" i="21" s="1"/>
  <c r="AA1809" i="21" s="1"/>
  <c r="J3148" i="21"/>
  <c r="N3148" i="21" s="1"/>
  <c r="Z3148" i="21" s="1"/>
  <c r="AA3148" i="21" s="1"/>
  <c r="J2051" i="21"/>
  <c r="X2051" i="21" s="1"/>
  <c r="J2089" i="21"/>
  <c r="N2089" i="21" s="1"/>
  <c r="Z2089" i="21" s="1"/>
  <c r="AA2089" i="21" s="1"/>
  <c r="J2149" i="21"/>
  <c r="N2149" i="21" s="1"/>
  <c r="Z2149" i="21" s="1"/>
  <c r="AA2149" i="21" s="1"/>
  <c r="J2153" i="21"/>
  <c r="J2183" i="21"/>
  <c r="X2183" i="21" s="1"/>
  <c r="J2247" i="21"/>
  <c r="X2247" i="21" s="1"/>
  <c r="J2602" i="21"/>
  <c r="X2602" i="21" s="1"/>
  <c r="J2671" i="21"/>
  <c r="N2671" i="21" s="1"/>
  <c r="Z2671" i="21" s="1"/>
  <c r="AA2671" i="21" s="1"/>
  <c r="J1363" i="21"/>
  <c r="J1513" i="21"/>
  <c r="N1513" i="21" s="1"/>
  <c r="Z1513" i="21" s="1"/>
  <c r="AA1513" i="21" s="1"/>
  <c r="J1666" i="21"/>
  <c r="N1666" i="21" s="1"/>
  <c r="Z1666" i="21" s="1"/>
  <c r="AA1666" i="21" s="1"/>
  <c r="J1741" i="21"/>
  <c r="X1741" i="21" s="1"/>
  <c r="J1767" i="21"/>
  <c r="N1767" i="21" s="1"/>
  <c r="Z1767" i="21" s="1"/>
  <c r="AA1767" i="21" s="1"/>
  <c r="J1904" i="21"/>
  <c r="N1904" i="21" s="1"/>
  <c r="Z1904" i="21" s="1"/>
  <c r="AA1904" i="21" s="1"/>
  <c r="J1970" i="21"/>
  <c r="N1970" i="21" s="1"/>
  <c r="Z1970" i="21" s="1"/>
  <c r="AA1970" i="21" s="1"/>
  <c r="J3429" i="21"/>
  <c r="J2463" i="21"/>
  <c r="J2582" i="21"/>
  <c r="X2582" i="21" s="1"/>
  <c r="J2675" i="21"/>
  <c r="X2675" i="21" s="1"/>
  <c r="J2941" i="21"/>
  <c r="X2941" i="21" s="1"/>
  <c r="H1164" i="21"/>
  <c r="M1164" i="21" s="1"/>
  <c r="J2177" i="21"/>
  <c r="X2177" i="21" s="1"/>
  <c r="J2291" i="21"/>
  <c r="J2773" i="21"/>
  <c r="J2829" i="21"/>
  <c r="X2829" i="21" s="1"/>
  <c r="M1140" i="21"/>
  <c r="J1579" i="21"/>
  <c r="X1579" i="21" s="1"/>
  <c r="J1749" i="21"/>
  <c r="J1771" i="21"/>
  <c r="J1803" i="21"/>
  <c r="J1870" i="21"/>
  <c r="N1870" i="21" s="1"/>
  <c r="Z1870" i="21" s="1"/>
  <c r="AA1870" i="21" s="1"/>
  <c r="J1952" i="21"/>
  <c r="X1952" i="21" s="1"/>
  <c r="J3355" i="21"/>
  <c r="X3355" i="21" s="1"/>
  <c r="J2101" i="21"/>
  <c r="N2101" i="21" s="1"/>
  <c r="Z2101" i="21" s="1"/>
  <c r="AA2101" i="21" s="1"/>
  <c r="J2698" i="21"/>
  <c r="J2744" i="21"/>
  <c r="J2815" i="21"/>
  <c r="N2815" i="21" s="1"/>
  <c r="Z2815" i="21" s="1"/>
  <c r="AA2815" i="21" s="1"/>
  <c r="J2837" i="21"/>
  <c r="N2837" i="21" s="1"/>
  <c r="Z2837" i="21" s="1"/>
  <c r="AA2837" i="21" s="1"/>
  <c r="J2854" i="21"/>
  <c r="X2854" i="21" s="1"/>
  <c r="J2878" i="21"/>
  <c r="N2878" i="21" s="1"/>
  <c r="Z2878" i="21" s="1"/>
  <c r="AA2878" i="21" s="1"/>
  <c r="H1048" i="21"/>
  <c r="M1048" i="21" s="1"/>
  <c r="M1134" i="21"/>
  <c r="J1444" i="21"/>
  <c r="J1811" i="21"/>
  <c r="J3793" i="21"/>
  <c r="N3793" i="21" s="1"/>
  <c r="Z3793" i="21" s="1"/>
  <c r="AA3793" i="21" s="1"/>
  <c r="J2033" i="21"/>
  <c r="N2033" i="21" s="1"/>
  <c r="Z2033" i="21" s="1"/>
  <c r="AA2033" i="21" s="1"/>
  <c r="J2049" i="21"/>
  <c r="J2053" i="21"/>
  <c r="N2053" i="21" s="1"/>
  <c r="Z2053" i="21" s="1"/>
  <c r="AA2053" i="21" s="1"/>
  <c r="J2151" i="21"/>
  <c r="X2151" i="21" s="1"/>
  <c r="J2211" i="21"/>
  <c r="J2421" i="21"/>
  <c r="J2429" i="21"/>
  <c r="X2429" i="21" s="1"/>
  <c r="J2604" i="21"/>
  <c r="X2604" i="21" s="1"/>
  <c r="J2653" i="21"/>
  <c r="N2653" i="21" s="1"/>
  <c r="Z2653" i="21" s="1"/>
  <c r="AA2653" i="21" s="1"/>
  <c r="J2657" i="21"/>
  <c r="J2661" i="21"/>
  <c r="X2661" i="21" s="1"/>
  <c r="J2706" i="21"/>
  <c r="X2706" i="21" s="1"/>
  <c r="J1483" i="21"/>
  <c r="X1483" i="21" s="1"/>
  <c r="J1529" i="21"/>
  <c r="N1529" i="21" s="1"/>
  <c r="Z1529" i="21" s="1"/>
  <c r="AA1529" i="21" s="1"/>
  <c r="J1577" i="21"/>
  <c r="X1577" i="21" s="1"/>
  <c r="J1619" i="21"/>
  <c r="J1627" i="21"/>
  <c r="J1681" i="21"/>
  <c r="J1685" i="21"/>
  <c r="N1685" i="21" s="1"/>
  <c r="Z1685" i="21" s="1"/>
  <c r="AA1685" i="21" s="1"/>
  <c r="J1689" i="21"/>
  <c r="X1689" i="21" s="1"/>
  <c r="J1697" i="21"/>
  <c r="X1697" i="21" s="1"/>
  <c r="J1701" i="21"/>
  <c r="N1701" i="21" s="1"/>
  <c r="Z1701" i="21" s="1"/>
  <c r="AA1701" i="21" s="1"/>
  <c r="J1705" i="21"/>
  <c r="N1705" i="21" s="1"/>
  <c r="Z1705" i="21" s="1"/>
  <c r="AA1705" i="21" s="1"/>
  <c r="J1757" i="21"/>
  <c r="J1765" i="21"/>
  <c r="N1765" i="21" s="1"/>
  <c r="Z1765" i="21" s="1"/>
  <c r="AA1765" i="21" s="1"/>
  <c r="J1845" i="21"/>
  <c r="N1845" i="21" s="1"/>
  <c r="Z1845" i="21" s="1"/>
  <c r="AA1845" i="21" s="1"/>
  <c r="J1853" i="21"/>
  <c r="X1853" i="21" s="1"/>
  <c r="J1882" i="21"/>
  <c r="N1882" i="21" s="1"/>
  <c r="Z1882" i="21" s="1"/>
  <c r="AA1882" i="21" s="1"/>
  <c r="J1886" i="21"/>
  <c r="N1886" i="21" s="1"/>
  <c r="Z1886" i="21" s="1"/>
  <c r="AA1886" i="21" s="1"/>
  <c r="J1894" i="21"/>
  <c r="X1894" i="21" s="1"/>
  <c r="J1898" i="21"/>
  <c r="N1898" i="21" s="1"/>
  <c r="Z1898" i="21" s="1"/>
  <c r="AA1898" i="21" s="1"/>
  <c r="J1902" i="21"/>
  <c r="J1906" i="21"/>
  <c r="X1906" i="21" s="1"/>
  <c r="J1968" i="21"/>
  <c r="N1968" i="21" s="1"/>
  <c r="Z1968" i="21" s="1"/>
  <c r="AA1968" i="21" s="1"/>
  <c r="J2000" i="21"/>
  <c r="X2000" i="21" s="1"/>
  <c r="J2720" i="21"/>
  <c r="N2720" i="21" s="1"/>
  <c r="Z2720" i="21" s="1"/>
  <c r="AA2720" i="21" s="1"/>
  <c r="J2081" i="21"/>
  <c r="N2081" i="21" s="1"/>
  <c r="Z2081" i="21" s="1"/>
  <c r="AA2081" i="21" s="1"/>
  <c r="J2109" i="21"/>
  <c r="N2109" i="21" s="1"/>
  <c r="Z2109" i="21" s="1"/>
  <c r="AA2109" i="21" s="1"/>
  <c r="J2113" i="21"/>
  <c r="N2113" i="21" s="1"/>
  <c r="Z2113" i="21" s="1"/>
  <c r="AA2113" i="21" s="1"/>
  <c r="J2179" i="21"/>
  <c r="H1023" i="21"/>
  <c r="J1023" i="21" s="1"/>
  <c r="X1023" i="21" s="1"/>
  <c r="I1068" i="21"/>
  <c r="H1068" i="21"/>
  <c r="M1068" i="21" s="1"/>
  <c r="J3562" i="21"/>
  <c r="N3562" i="21" s="1"/>
  <c r="Z3562" i="21" s="1"/>
  <c r="AA3562" i="21" s="1"/>
  <c r="J3119" i="21"/>
  <c r="X3119" i="21" s="1"/>
  <c r="J3170" i="21"/>
  <c r="N3170" i="21" s="1"/>
  <c r="Z3170" i="21" s="1"/>
  <c r="AA3170" i="21" s="1"/>
  <c r="J3321" i="21"/>
  <c r="N3321" i="21" s="1"/>
  <c r="Z3321" i="21" s="1"/>
  <c r="AA3321" i="21" s="1"/>
  <c r="J2085" i="21"/>
  <c r="J2095" i="21"/>
  <c r="N2095" i="21" s="1"/>
  <c r="Z2095" i="21" s="1"/>
  <c r="AA2095" i="21" s="1"/>
  <c r="J2145" i="21"/>
  <c r="J2159" i="21"/>
  <c r="X2159" i="21" s="1"/>
  <c r="J2207" i="21"/>
  <c r="X2207" i="21" s="1"/>
  <c r="J2255" i="21"/>
  <c r="X2255" i="21" s="1"/>
  <c r="J2259" i="21"/>
  <c r="N2259" i="21" s="1"/>
  <c r="Z2259" i="21" s="1"/>
  <c r="AA2259" i="21" s="1"/>
  <c r="J2359" i="21"/>
  <c r="X2359" i="21" s="1"/>
  <c r="J2447" i="21"/>
  <c r="J2596" i="21"/>
  <c r="H1043" i="21"/>
  <c r="H1046" i="21"/>
  <c r="M1046" i="21" s="1"/>
  <c r="I1065" i="21"/>
  <c r="H1065" i="21"/>
  <c r="M1065" i="21" s="1"/>
  <c r="I1167" i="21"/>
  <c r="H1167" i="21"/>
  <c r="M1167" i="21" s="1"/>
  <c r="I1107" i="21"/>
  <c r="H1107" i="21"/>
  <c r="M1107" i="21" s="1"/>
  <c r="J2579" i="21"/>
  <c r="N2579" i="21" s="1"/>
  <c r="Z2579" i="21" s="1"/>
  <c r="AA2579" i="21" s="1"/>
  <c r="J2612" i="21"/>
  <c r="N2612" i="21" s="1"/>
  <c r="Z2612" i="21" s="1"/>
  <c r="AA2612" i="21" s="1"/>
  <c r="J2894" i="21"/>
  <c r="X2894" i="21" s="1"/>
  <c r="I1117" i="21"/>
  <c r="H1117" i="21"/>
  <c r="J3619" i="21"/>
  <c r="X3619" i="21" s="1"/>
  <c r="J3228" i="21"/>
  <c r="N3228" i="21" s="1"/>
  <c r="Z3228" i="21" s="1"/>
  <c r="AA3228" i="21" s="1"/>
  <c r="J2117" i="21"/>
  <c r="N2117" i="21" s="1"/>
  <c r="Z2117" i="21" s="1"/>
  <c r="AA2117" i="21" s="1"/>
  <c r="J2373" i="21"/>
  <c r="X2373" i="21" s="1"/>
  <c r="I1011" i="21"/>
  <c r="J1011" i="21" s="1"/>
  <c r="X1011" i="21" s="1"/>
  <c r="I1114" i="21"/>
  <c r="H1114" i="21"/>
  <c r="M1114" i="21" s="1"/>
  <c r="J3160" i="21"/>
  <c r="N3160" i="21" s="1"/>
  <c r="Z3160" i="21" s="1"/>
  <c r="AA3160" i="21" s="1"/>
  <c r="J3265" i="21"/>
  <c r="X3265" i="21" s="1"/>
  <c r="J3315" i="21"/>
  <c r="J2035" i="21"/>
  <c r="N2035" i="21" s="1"/>
  <c r="Z2035" i="21" s="1"/>
  <c r="AA2035" i="21" s="1"/>
  <c r="J2043" i="21"/>
  <c r="N2043" i="21" s="1"/>
  <c r="Z2043" i="21" s="1"/>
  <c r="AA2043" i="21" s="1"/>
  <c r="J2125" i="21"/>
  <c r="N2125" i="21" s="1"/>
  <c r="Z2125" i="21" s="1"/>
  <c r="AA2125" i="21" s="1"/>
  <c r="J2191" i="21"/>
  <c r="N2191" i="21" s="1"/>
  <c r="Z2191" i="21" s="1"/>
  <c r="AA2191" i="21" s="1"/>
  <c r="J2249" i="21"/>
  <c r="X2249" i="21" s="1"/>
  <c r="J2343" i="21"/>
  <c r="X2343" i="21" s="1"/>
  <c r="J2391" i="21"/>
  <c r="N2391" i="21" s="1"/>
  <c r="Z2391" i="21" s="1"/>
  <c r="AA2391" i="21" s="1"/>
  <c r="J2554" i="21"/>
  <c r="N2554" i="21" s="1"/>
  <c r="Z2554" i="21" s="1"/>
  <c r="AA2554" i="21" s="1"/>
  <c r="J2635" i="21"/>
  <c r="X2635" i="21" s="1"/>
  <c r="J2754" i="21"/>
  <c r="X2754" i="21" s="1"/>
  <c r="J2868" i="21"/>
  <c r="X2868" i="21" s="1"/>
  <c r="I1039" i="21"/>
  <c r="H1039" i="21"/>
  <c r="I1160" i="21"/>
  <c r="H1160" i="21"/>
  <c r="J3164" i="21"/>
  <c r="X3164" i="21" s="1"/>
  <c r="J3168" i="21"/>
  <c r="X3168" i="21" s="1"/>
  <c r="J3186" i="21"/>
  <c r="N3186" i="21" s="1"/>
  <c r="Z3186" i="21" s="1"/>
  <c r="AA3186" i="21" s="1"/>
  <c r="J3194" i="21"/>
  <c r="X3194" i="21" s="1"/>
  <c r="J3202" i="21"/>
  <c r="N3202" i="21" s="1"/>
  <c r="Z3202" i="21" s="1"/>
  <c r="AA3202" i="21" s="1"/>
  <c r="J3323" i="21"/>
  <c r="N3323" i="21" s="1"/>
  <c r="Z3323" i="21" s="1"/>
  <c r="AA3323" i="21" s="1"/>
  <c r="J3327" i="21"/>
  <c r="N3327" i="21" s="1"/>
  <c r="Z3327" i="21" s="1"/>
  <c r="AA3327" i="21" s="1"/>
  <c r="J2087" i="21"/>
  <c r="X2087" i="21" s="1"/>
  <c r="J2133" i="21"/>
  <c r="X2133" i="21" s="1"/>
  <c r="J2143" i="21"/>
  <c r="N2143" i="21" s="1"/>
  <c r="Z2143" i="21" s="1"/>
  <c r="AA2143" i="21" s="1"/>
  <c r="J2195" i="21"/>
  <c r="X2195" i="21" s="1"/>
  <c r="J2243" i="21"/>
  <c r="X2243" i="21" s="1"/>
  <c r="J2299" i="21"/>
  <c r="X2299" i="21" s="1"/>
  <c r="J2323" i="21"/>
  <c r="J2437" i="21"/>
  <c r="J2445" i="21"/>
  <c r="I1036" i="21"/>
  <c r="H1036" i="21"/>
  <c r="M1036" i="21" s="1"/>
  <c r="J1547" i="21"/>
  <c r="X1547" i="21" s="1"/>
  <c r="J1557" i="21"/>
  <c r="X1557" i="21" s="1"/>
  <c r="J1581" i="21"/>
  <c r="J1615" i="21"/>
  <c r="X1615" i="21" s="1"/>
  <c r="J1621" i="21"/>
  <c r="J1634" i="21"/>
  <c r="X1634" i="21" s="1"/>
  <c r="J1651" i="21"/>
  <c r="X1651" i="21" s="1"/>
  <c r="J1664" i="21"/>
  <c r="N1664" i="21" s="1"/>
  <c r="Z1664" i="21" s="1"/>
  <c r="AA1664" i="21" s="1"/>
  <c r="J1713" i="21"/>
  <c r="N1713" i="21" s="1"/>
  <c r="Z1713" i="21" s="1"/>
  <c r="AA1713" i="21" s="1"/>
  <c r="J1795" i="21"/>
  <c r="N1795" i="21" s="1"/>
  <c r="Z1795" i="21" s="1"/>
  <c r="AA1795" i="21" s="1"/>
  <c r="J1819" i="21"/>
  <c r="X1819" i="21" s="1"/>
  <c r="J1982" i="21"/>
  <c r="N1982" i="21" s="1"/>
  <c r="Z1982" i="21" s="1"/>
  <c r="AA1982" i="21" s="1"/>
  <c r="J1428" i="21"/>
  <c r="J1460" i="21"/>
  <c r="J1480" i="21"/>
  <c r="X1480" i="21" s="1"/>
  <c r="J1481" i="21"/>
  <c r="X1481" i="21" s="1"/>
  <c r="J1487" i="21"/>
  <c r="N1487" i="21" s="1"/>
  <c r="Z1487" i="21" s="1"/>
  <c r="AA1487" i="21" s="1"/>
  <c r="J1563" i="21"/>
  <c r="J1569" i="21"/>
  <c r="X1569" i="21" s="1"/>
  <c r="J1573" i="21"/>
  <c r="X1573" i="21" s="1"/>
  <c r="J1597" i="21"/>
  <c r="N1597" i="21" s="1"/>
  <c r="Z1597" i="21" s="1"/>
  <c r="AA1597" i="21" s="1"/>
  <c r="J1625" i="21"/>
  <c r="J1629" i="21"/>
  <c r="X1629" i="21" s="1"/>
  <c r="J1638" i="21"/>
  <c r="N1638" i="21" s="1"/>
  <c r="Z1638" i="21" s="1"/>
  <c r="AA1638" i="21" s="1"/>
  <c r="J1642" i="21"/>
  <c r="N1642" i="21" s="1"/>
  <c r="Z1642" i="21" s="1"/>
  <c r="AA1642" i="21" s="1"/>
  <c r="J1677" i="21"/>
  <c r="J1717" i="21"/>
  <c r="N1717" i="21" s="1"/>
  <c r="Z1717" i="21" s="1"/>
  <c r="AA1717" i="21" s="1"/>
  <c r="J1721" i="21"/>
  <c r="N1721" i="21" s="1"/>
  <c r="Z1721" i="21" s="1"/>
  <c r="AA1721" i="21" s="1"/>
  <c r="J1735" i="21"/>
  <c r="J1781" i="21"/>
  <c r="X1781" i="21" s="1"/>
  <c r="J1785" i="21"/>
  <c r="N1785" i="21" s="1"/>
  <c r="Z1785" i="21" s="1"/>
  <c r="AA1785" i="21" s="1"/>
  <c r="J1825" i="21"/>
  <c r="N1825" i="21" s="1"/>
  <c r="Z1825" i="21" s="1"/>
  <c r="AA1825" i="21" s="1"/>
  <c r="J1831" i="21"/>
  <c r="N1831" i="21" s="1"/>
  <c r="Z1831" i="21" s="1"/>
  <c r="AA1831" i="21" s="1"/>
  <c r="J1849" i="21"/>
  <c r="J1890" i="21"/>
  <c r="N1890" i="21" s="1"/>
  <c r="Z1890" i="21" s="1"/>
  <c r="AA1890" i="21" s="1"/>
  <c r="J1913" i="21"/>
  <c r="X1913" i="21" s="1"/>
  <c r="J1953" i="21"/>
  <c r="X1953" i="21" s="1"/>
  <c r="J1986" i="21"/>
  <c r="J1996" i="21"/>
  <c r="X1996" i="21" s="1"/>
  <c r="J2002" i="21"/>
  <c r="N2002" i="21" s="1"/>
  <c r="Z2002" i="21" s="1"/>
  <c r="AA2002" i="21" s="1"/>
  <c r="J2566" i="21"/>
  <c r="X2566" i="21" s="1"/>
  <c r="J2664" i="21"/>
  <c r="X2664" i="21" s="1"/>
  <c r="J2758" i="21"/>
  <c r="X2758" i="21" s="1"/>
  <c r="I1098" i="21"/>
  <c r="J1098" i="21" s="1"/>
  <c r="X1098" i="21" s="1"/>
  <c r="M1144" i="21"/>
  <c r="H1150" i="21"/>
  <c r="H1163" i="21"/>
  <c r="M1163" i="21" s="1"/>
  <c r="J1423" i="21"/>
  <c r="X1423" i="21" s="1"/>
  <c r="J1455" i="21"/>
  <c r="X1455" i="21" s="1"/>
  <c r="J1492" i="21"/>
  <c r="X1492" i="21" s="1"/>
  <c r="J2467" i="21"/>
  <c r="N2467" i="21" s="1"/>
  <c r="Z2467" i="21" s="1"/>
  <c r="AA2467" i="21" s="1"/>
  <c r="J2565" i="21"/>
  <c r="X2565" i="21" s="1"/>
  <c r="J2718" i="21"/>
  <c r="N2718" i="21" s="1"/>
  <c r="Z2718" i="21" s="1"/>
  <c r="AA2718" i="21" s="1"/>
  <c r="J2748" i="21"/>
  <c r="N2748" i="21" s="1"/>
  <c r="Z2748" i="21" s="1"/>
  <c r="AA2748" i="21" s="1"/>
  <c r="J2789" i="21"/>
  <c r="N2789" i="21" s="1"/>
  <c r="Z2789" i="21" s="1"/>
  <c r="AA2789" i="21" s="1"/>
  <c r="J2817" i="21"/>
  <c r="X2817" i="21" s="1"/>
  <c r="J2840" i="21"/>
  <c r="J2844" i="21"/>
  <c r="X2844" i="21" s="1"/>
  <c r="J2884" i="21"/>
  <c r="N2884" i="21" s="1"/>
  <c r="Z2884" i="21" s="1"/>
  <c r="AA2884" i="21" s="1"/>
  <c r="J2918" i="21"/>
  <c r="J2945" i="21"/>
  <c r="J2963" i="21"/>
  <c r="N2963" i="21" s="1"/>
  <c r="Z2963" i="21" s="1"/>
  <c r="AA2963" i="21" s="1"/>
  <c r="I999" i="21"/>
  <c r="J999" i="21" s="1"/>
  <c r="X999" i="21" s="1"/>
  <c r="I1055" i="21"/>
  <c r="J1055" i="21" s="1"/>
  <c r="X1055" i="21" s="1"/>
  <c r="H1058" i="21"/>
  <c r="J1058" i="21" s="1"/>
  <c r="X1058" i="21" s="1"/>
  <c r="I1064" i="21"/>
  <c r="J1064" i="21" s="1"/>
  <c r="H1113" i="21"/>
  <c r="M1113" i="21" s="1"/>
  <c r="I1132" i="21"/>
  <c r="J1132" i="21" s="1"/>
  <c r="X1132" i="21" s="1"/>
  <c r="I1144" i="21"/>
  <c r="J1144" i="21" s="1"/>
  <c r="X1144" i="21" s="1"/>
  <c r="H1166" i="21"/>
  <c r="M1166" i="21" s="1"/>
  <c r="J1427" i="21"/>
  <c r="X1427" i="21" s="1"/>
  <c r="J1459" i="21"/>
  <c r="X1459" i="21" s="1"/>
  <c r="J1485" i="21"/>
  <c r="J1729" i="21"/>
  <c r="X1729" i="21" s="1"/>
  <c r="J1753" i="21"/>
  <c r="X1753" i="21" s="1"/>
  <c r="J1801" i="21"/>
  <c r="J1817" i="21"/>
  <c r="N1817" i="21" s="1"/>
  <c r="Z1817" i="21" s="1"/>
  <c r="AA1817" i="21" s="1"/>
  <c r="J1858" i="21"/>
  <c r="N1858" i="21" s="1"/>
  <c r="Z1858" i="21" s="1"/>
  <c r="AA1858" i="21" s="1"/>
  <c r="J1889" i="21"/>
  <c r="X1889" i="21" s="1"/>
  <c r="J1921" i="21"/>
  <c r="X1921" i="21" s="1"/>
  <c r="J1934" i="21"/>
  <c r="X1934" i="21" s="1"/>
  <c r="J1426" i="21"/>
  <c r="N1426" i="21" s="1"/>
  <c r="Z1426" i="21" s="1"/>
  <c r="AA1426" i="21" s="1"/>
  <c r="J1458" i="21"/>
  <c r="J1477" i="21"/>
  <c r="N1477" i="21" s="1"/>
  <c r="Z1477" i="21" s="1"/>
  <c r="AA1477" i="21" s="1"/>
  <c r="J1509" i="21"/>
  <c r="X1509" i="21" s="1"/>
  <c r="J1515" i="21"/>
  <c r="X1515" i="21" s="1"/>
  <c r="J1531" i="21"/>
  <c r="X1531" i="21" s="1"/>
  <c r="J1617" i="21"/>
  <c r="X1617" i="21" s="1"/>
  <c r="J1623" i="21"/>
  <c r="J1632" i="21"/>
  <c r="J1649" i="21"/>
  <c r="X1649" i="21" s="1"/>
  <c r="J1693" i="21"/>
  <c r="J1739" i="21"/>
  <c r="X1739" i="21" s="1"/>
  <c r="J1775" i="21"/>
  <c r="N1775" i="21" s="1"/>
  <c r="Z1775" i="21" s="1"/>
  <c r="AA1775" i="21" s="1"/>
  <c r="J1805" i="21"/>
  <c r="X1805" i="21" s="1"/>
  <c r="J1974" i="21"/>
  <c r="J2581" i="21"/>
  <c r="N2581" i="21" s="1"/>
  <c r="Z2581" i="21" s="1"/>
  <c r="AA2581" i="21" s="1"/>
  <c r="J2783" i="21"/>
  <c r="N2783" i="21" s="1"/>
  <c r="Z2783" i="21" s="1"/>
  <c r="AA2783" i="21" s="1"/>
  <c r="J2900" i="21"/>
  <c r="X2900" i="21" s="1"/>
  <c r="J2930" i="21"/>
  <c r="X2930" i="21" s="1"/>
  <c r="H1018" i="21"/>
  <c r="M1018" i="21" s="1"/>
  <c r="H1021" i="21"/>
  <c r="M1021" i="21" s="1"/>
  <c r="H1041" i="21"/>
  <c r="H1054" i="21"/>
  <c r="H1063" i="21"/>
  <c r="M1063" i="21" s="1"/>
  <c r="H1112" i="21"/>
  <c r="J1535" i="21"/>
  <c r="J1897" i="21"/>
  <c r="X1897" i="21" s="1"/>
  <c r="J1929" i="21"/>
  <c r="X1929" i="21" s="1"/>
  <c r="J2538" i="21"/>
  <c r="X2538" i="21" s="1"/>
  <c r="J2542" i="21"/>
  <c r="N2542" i="21" s="1"/>
  <c r="Z2542" i="21" s="1"/>
  <c r="AA2542" i="21" s="1"/>
  <c r="J2546" i="21"/>
  <c r="X2546" i="21" s="1"/>
  <c r="J2563" i="21"/>
  <c r="X2563" i="21" s="1"/>
  <c r="I1072" i="21"/>
  <c r="J1072" i="21" s="1"/>
  <c r="X1072" i="21" s="1"/>
  <c r="H1078" i="21"/>
  <c r="I1084" i="21"/>
  <c r="J1084" i="21" s="1"/>
  <c r="H1087" i="21"/>
  <c r="M1087" i="21" s="1"/>
  <c r="H1090" i="21"/>
  <c r="J1090" i="21" s="1"/>
  <c r="X1090" i="21" s="1"/>
  <c r="H1096" i="21"/>
  <c r="J1096" i="21" s="1"/>
  <c r="X1096" i="21" s="1"/>
  <c r="H1105" i="21"/>
  <c r="H1121" i="21"/>
  <c r="H1152" i="21"/>
  <c r="M1152" i="21" s="1"/>
  <c r="J1439" i="21"/>
  <c r="X1439" i="21" s="1"/>
  <c r="J1471" i="21"/>
  <c r="X1471" i="21" s="1"/>
  <c r="J1476" i="21"/>
  <c r="X1476" i="21" s="1"/>
  <c r="J1761" i="21"/>
  <c r="X1761" i="21" s="1"/>
  <c r="J1856" i="21"/>
  <c r="X1856" i="21" s="1"/>
  <c r="J2690" i="21"/>
  <c r="X2690" i="21" s="1"/>
  <c r="J2746" i="21"/>
  <c r="X2746" i="21" s="1"/>
  <c r="J2750" i="21"/>
  <c r="X2750" i="21" s="1"/>
  <c r="J2777" i="21"/>
  <c r="N2777" i="21" s="1"/>
  <c r="Z2777" i="21" s="1"/>
  <c r="AA2777" i="21" s="1"/>
  <c r="J2801" i="21"/>
  <c r="N2801" i="21" s="1"/>
  <c r="Z2801" i="21" s="1"/>
  <c r="AA2801" i="21" s="1"/>
  <c r="J2864" i="21"/>
  <c r="N2864" i="21" s="1"/>
  <c r="Z2864" i="21" s="1"/>
  <c r="AA2864" i="21" s="1"/>
  <c r="J2886" i="21"/>
  <c r="J2943" i="21"/>
  <c r="N2943" i="21" s="1"/>
  <c r="Z2943" i="21" s="1"/>
  <c r="AA2943" i="21" s="1"/>
  <c r="H1006" i="21"/>
  <c r="J1006" i="21" s="1"/>
  <c r="X1006" i="21" s="1"/>
  <c r="H1050" i="21"/>
  <c r="J1050" i="21" s="1"/>
  <c r="H1053" i="21"/>
  <c r="M1053" i="21" s="1"/>
  <c r="J1443" i="21"/>
  <c r="X1443" i="21" s="1"/>
  <c r="J1448" i="21"/>
  <c r="X1448" i="21" s="1"/>
  <c r="J1609" i="21"/>
  <c r="X1609" i="21" s="1"/>
  <c r="J1660" i="21"/>
  <c r="J1737" i="21"/>
  <c r="X1737" i="21" s="1"/>
  <c r="J1743" i="21"/>
  <c r="X1743" i="21" s="1"/>
  <c r="J1769" i="21"/>
  <c r="N1769" i="21" s="1"/>
  <c r="Z1769" i="21" s="1"/>
  <c r="AA1769" i="21" s="1"/>
  <c r="J1799" i="21"/>
  <c r="X1799" i="21" s="1"/>
  <c r="J1905" i="21"/>
  <c r="X1905" i="21" s="1"/>
  <c r="J1949" i="21"/>
  <c r="X1949" i="21" s="1"/>
  <c r="J2057" i="21"/>
  <c r="N2057" i="21" s="1"/>
  <c r="Z2057" i="21" s="1"/>
  <c r="AA2057" i="21" s="1"/>
  <c r="J2180" i="21"/>
  <c r="X2180" i="21" s="1"/>
  <c r="J3981" i="21"/>
  <c r="N3981" i="21" s="1"/>
  <c r="Z3981" i="21" s="1"/>
  <c r="AA3981" i="21" s="1"/>
  <c r="J3706" i="21"/>
  <c r="N3706" i="21" s="1"/>
  <c r="Z3706" i="21" s="1"/>
  <c r="AA3706" i="21" s="1"/>
  <c r="J3477" i="21"/>
  <c r="X3477" i="21" s="1"/>
  <c r="J3498" i="21"/>
  <c r="X3498" i="21" s="1"/>
  <c r="J3446" i="21"/>
  <c r="X3446" i="21" s="1"/>
  <c r="J2260" i="21"/>
  <c r="X2260" i="21" s="1"/>
  <c r="I1010" i="21"/>
  <c r="H1010" i="21"/>
  <c r="M1010" i="21" s="1"/>
  <c r="J3526" i="21"/>
  <c r="N3526" i="21" s="1"/>
  <c r="Z3526" i="21" s="1"/>
  <c r="AA3526" i="21" s="1"/>
  <c r="J3564" i="21"/>
  <c r="X3564" i="21" s="1"/>
  <c r="J3581" i="21"/>
  <c r="X3581" i="21" s="1"/>
  <c r="J3607" i="21"/>
  <c r="J3615" i="21"/>
  <c r="X3615" i="21" s="1"/>
  <c r="J3345" i="21"/>
  <c r="X3345" i="21" s="1"/>
  <c r="J2196" i="21"/>
  <c r="X2196" i="21" s="1"/>
  <c r="J3457" i="21"/>
  <c r="X3457" i="21" s="1"/>
  <c r="J3597" i="21"/>
  <c r="X3597" i="21" s="1"/>
  <c r="J3627" i="21"/>
  <c r="X3627" i="21" s="1"/>
  <c r="J3631" i="21"/>
  <c r="N3631" i="21" s="1"/>
  <c r="Z3631" i="21" s="1"/>
  <c r="AA3631" i="21" s="1"/>
  <c r="J3635" i="21"/>
  <c r="X3635" i="21" s="1"/>
  <c r="J3659" i="21"/>
  <c r="X3659" i="21" s="1"/>
  <c r="J3663" i="21"/>
  <c r="X3663" i="21" s="1"/>
  <c r="J3667" i="21"/>
  <c r="N3667" i="21" s="1"/>
  <c r="Z3667" i="21" s="1"/>
  <c r="AA3667" i="21" s="1"/>
  <c r="J3675" i="21"/>
  <c r="X3675" i="21" s="1"/>
  <c r="J3679" i="21"/>
  <c r="X3679" i="21" s="1"/>
  <c r="J3683" i="21"/>
  <c r="N3683" i="21" s="1"/>
  <c r="Z3683" i="21" s="1"/>
  <c r="AA3683" i="21" s="1"/>
  <c r="J3329" i="21"/>
  <c r="J3431" i="21"/>
  <c r="X3431" i="21" s="1"/>
  <c r="J3486" i="21"/>
  <c r="X3486" i="21" s="1"/>
  <c r="J2244" i="21"/>
  <c r="X2244" i="21" s="1"/>
  <c r="J2455" i="21"/>
  <c r="X2455" i="21" s="1"/>
  <c r="J2724" i="21"/>
  <c r="N2724" i="21" s="1"/>
  <c r="Z2724" i="21" s="1"/>
  <c r="AA2724" i="21" s="1"/>
  <c r="J2982" i="21"/>
  <c r="N2982" i="21" s="1"/>
  <c r="Z2982" i="21" s="1"/>
  <c r="AA2982" i="21" s="1"/>
  <c r="I1086" i="21"/>
  <c r="H1086" i="21"/>
  <c r="M1086" i="21" s="1"/>
  <c r="I1095" i="21"/>
  <c r="H1095" i="21"/>
  <c r="J2039" i="21"/>
  <c r="N2039" i="21" s="1"/>
  <c r="Z2039" i="21" s="1"/>
  <c r="AA2039" i="21" s="1"/>
  <c r="J2069" i="21"/>
  <c r="J2075" i="21"/>
  <c r="J2093" i="21"/>
  <c r="X2093" i="21" s="1"/>
  <c r="J2121" i="21"/>
  <c r="N2121" i="21" s="1"/>
  <c r="Z2121" i="21" s="1"/>
  <c r="AA2121" i="21" s="1"/>
  <c r="J2127" i="21"/>
  <c r="X2127" i="21" s="1"/>
  <c r="J2155" i="21"/>
  <c r="N2155" i="21" s="1"/>
  <c r="Z2155" i="21" s="1"/>
  <c r="AA2155" i="21" s="1"/>
  <c r="J2156" i="21"/>
  <c r="X2156" i="21" s="1"/>
  <c r="J2161" i="21"/>
  <c r="N2161" i="21" s="1"/>
  <c r="Z2161" i="21" s="1"/>
  <c r="AA2161" i="21" s="1"/>
  <c r="J2167" i="21"/>
  <c r="X2167" i="21" s="1"/>
  <c r="J2219" i="21"/>
  <c r="J2220" i="21"/>
  <c r="X2220" i="21" s="1"/>
  <c r="J2225" i="21"/>
  <c r="N2225" i="21" s="1"/>
  <c r="Z2225" i="21" s="1"/>
  <c r="AA2225" i="21" s="1"/>
  <c r="J2231" i="21"/>
  <c r="X2231" i="21" s="1"/>
  <c r="J2283" i="21"/>
  <c r="X2283" i="21" s="1"/>
  <c r="J2284" i="21"/>
  <c r="X2284" i="21" s="1"/>
  <c r="J2289" i="21"/>
  <c r="N2289" i="21" s="1"/>
  <c r="Z2289" i="21" s="1"/>
  <c r="AA2289" i="21" s="1"/>
  <c r="J2295" i="21"/>
  <c r="X2295" i="21" s="1"/>
  <c r="J2301" i="21"/>
  <c r="J2302" i="21"/>
  <c r="X2302" i="21" s="1"/>
  <c r="J2309" i="21"/>
  <c r="X2309" i="21" s="1"/>
  <c r="J2310" i="21"/>
  <c r="J2317" i="21"/>
  <c r="X2317" i="21" s="1"/>
  <c r="J2318" i="21"/>
  <c r="X2318" i="21" s="1"/>
  <c r="J2325" i="21"/>
  <c r="X2325" i="21" s="1"/>
  <c r="J2326" i="21"/>
  <c r="J2333" i="21"/>
  <c r="J2361" i="21"/>
  <c r="N2361" i="21" s="1"/>
  <c r="Z2361" i="21" s="1"/>
  <c r="AA2361" i="21" s="1"/>
  <c r="J2367" i="21"/>
  <c r="N2367" i="21" s="1"/>
  <c r="Z2367" i="21" s="1"/>
  <c r="AA2367" i="21" s="1"/>
  <c r="J2459" i="21"/>
  <c r="X2459" i="21" s="1"/>
  <c r="J2473" i="21"/>
  <c r="N2473" i="21" s="1"/>
  <c r="Z2473" i="21" s="1"/>
  <c r="AA2473" i="21" s="1"/>
  <c r="J2564" i="21"/>
  <c r="X2564" i="21" s="1"/>
  <c r="J2569" i="21"/>
  <c r="N2569" i="21" s="1"/>
  <c r="Z2569" i="21" s="1"/>
  <c r="AA2569" i="21" s="1"/>
  <c r="J2614" i="21"/>
  <c r="J2714" i="21"/>
  <c r="J2767" i="21"/>
  <c r="N2767" i="21" s="1"/>
  <c r="Z2767" i="21" s="1"/>
  <c r="AA2767" i="21" s="1"/>
  <c r="J2807" i="21"/>
  <c r="N2807" i="21" s="1"/>
  <c r="Z2807" i="21" s="1"/>
  <c r="AA2807" i="21" s="1"/>
  <c r="J2825" i="21"/>
  <c r="N2825" i="21" s="1"/>
  <c r="Z2825" i="21" s="1"/>
  <c r="AA2825" i="21" s="1"/>
  <c r="J3002" i="21"/>
  <c r="N3002" i="21" s="1"/>
  <c r="Z3002" i="21" s="1"/>
  <c r="AA3002" i="21" s="1"/>
  <c r="I1026" i="21"/>
  <c r="H1026" i="21"/>
  <c r="I1092" i="21"/>
  <c r="H1092" i="21"/>
  <c r="M1092" i="21" s="1"/>
  <c r="I1082" i="21"/>
  <c r="H1082" i="21"/>
  <c r="M1082" i="21" s="1"/>
  <c r="J3637" i="21"/>
  <c r="N3637" i="21" s="1"/>
  <c r="Z3637" i="21" s="1"/>
  <c r="AA3637" i="21" s="1"/>
  <c r="J3645" i="21"/>
  <c r="X3645" i="21" s="1"/>
  <c r="J3649" i="21"/>
  <c r="N3649" i="21" s="1"/>
  <c r="Z3649" i="21" s="1"/>
  <c r="AA3649" i="21" s="1"/>
  <c r="J3152" i="21"/>
  <c r="J3190" i="21"/>
  <c r="N3190" i="21" s="1"/>
  <c r="Z3190" i="21" s="1"/>
  <c r="AA3190" i="21" s="1"/>
  <c r="J2007" i="21"/>
  <c r="N2007" i="21" s="1"/>
  <c r="Z2007" i="21" s="1"/>
  <c r="AA2007" i="21" s="1"/>
  <c r="J2047" i="21"/>
  <c r="N2047" i="21" s="1"/>
  <c r="Z2047" i="21" s="1"/>
  <c r="AA2047" i="21" s="1"/>
  <c r="J2171" i="21"/>
  <c r="X2171" i="21" s="1"/>
  <c r="J2172" i="21"/>
  <c r="X2172" i="21" s="1"/>
  <c r="J2236" i="21"/>
  <c r="J2300" i="21"/>
  <c r="X2300" i="21" s="1"/>
  <c r="J2308" i="21"/>
  <c r="X2308" i="21" s="1"/>
  <c r="J2316" i="21"/>
  <c r="X2316" i="21" s="1"/>
  <c r="J2324" i="21"/>
  <c r="J2349" i="21"/>
  <c r="N2349" i="21" s="1"/>
  <c r="Z2349" i="21" s="1"/>
  <c r="AA2349" i="21" s="1"/>
  <c r="J2870" i="21"/>
  <c r="N2870" i="21" s="1"/>
  <c r="Z2870" i="21" s="1"/>
  <c r="AA2870" i="21" s="1"/>
  <c r="H1007" i="21"/>
  <c r="M1007" i="21" s="1"/>
  <c r="I1007" i="21"/>
  <c r="I1073" i="21"/>
  <c r="H1073" i="21"/>
  <c r="M1073" i="21" s="1"/>
  <c r="H1088" i="21"/>
  <c r="M1088" i="21" s="1"/>
  <c r="I1088" i="21"/>
  <c r="I1106" i="21"/>
  <c r="H1106" i="21"/>
  <c r="M1106" i="21" s="1"/>
  <c r="H1116" i="21"/>
  <c r="M1116" i="21" s="1"/>
  <c r="I1116" i="21"/>
  <c r="J2212" i="21"/>
  <c r="X2212" i="21" s="1"/>
  <c r="J2275" i="21"/>
  <c r="J2276" i="21"/>
  <c r="X2276" i="21" s="1"/>
  <c r="J2281" i="21"/>
  <c r="N2281" i="21" s="1"/>
  <c r="Z2281" i="21" s="1"/>
  <c r="AA2281" i="21" s="1"/>
  <c r="J2287" i="21"/>
  <c r="X2287" i="21" s="1"/>
  <c r="J2526" i="21"/>
  <c r="X2526" i="21" s="1"/>
  <c r="J2567" i="21"/>
  <c r="N2567" i="21" s="1"/>
  <c r="Z2567" i="21" s="1"/>
  <c r="AA2567" i="21" s="1"/>
  <c r="J2630" i="21"/>
  <c r="J2669" i="21"/>
  <c r="N2669" i="21" s="1"/>
  <c r="Z2669" i="21" s="1"/>
  <c r="AA2669" i="21" s="1"/>
  <c r="J2682" i="21"/>
  <c r="N2682" i="21" s="1"/>
  <c r="Z2682" i="21" s="1"/>
  <c r="AA2682" i="21" s="1"/>
  <c r="J3014" i="21"/>
  <c r="N3014" i="21" s="1"/>
  <c r="Z3014" i="21" s="1"/>
  <c r="AA3014" i="21" s="1"/>
  <c r="I1001" i="21"/>
  <c r="H1001" i="21"/>
  <c r="M1001" i="21" s="1"/>
  <c r="J3665" i="21"/>
  <c r="X3665" i="21" s="1"/>
  <c r="J3669" i="21"/>
  <c r="N3669" i="21" s="1"/>
  <c r="Z3669" i="21" s="1"/>
  <c r="AA3669" i="21" s="1"/>
  <c r="J3677" i="21"/>
  <c r="X3677" i="21" s="1"/>
  <c r="J3681" i="21"/>
  <c r="X3681" i="21" s="1"/>
  <c r="J3146" i="21"/>
  <c r="N3146" i="21" s="1"/>
  <c r="Z3146" i="21" s="1"/>
  <c r="AA3146" i="21" s="1"/>
  <c r="J3206" i="21"/>
  <c r="N3206" i="21" s="1"/>
  <c r="Z3206" i="21" s="1"/>
  <c r="AA3206" i="21" s="1"/>
  <c r="J3317" i="21"/>
  <c r="X3317" i="21" s="1"/>
  <c r="J3351" i="21"/>
  <c r="N3351" i="21" s="1"/>
  <c r="Z3351" i="21" s="1"/>
  <c r="AA3351" i="21" s="1"/>
  <c r="J2011" i="21"/>
  <c r="J2188" i="21"/>
  <c r="J2193" i="21"/>
  <c r="J2251" i="21"/>
  <c r="N2251" i="21" s="1"/>
  <c r="Z2251" i="21" s="1"/>
  <c r="AA2251" i="21" s="1"/>
  <c r="J2252" i="21"/>
  <c r="X2252" i="21" s="1"/>
  <c r="J2257" i="21"/>
  <c r="X2257" i="21" s="1"/>
  <c r="J2263" i="21"/>
  <c r="X2263" i="21" s="1"/>
  <c r="J2305" i="21"/>
  <c r="X2305" i="21" s="1"/>
  <c r="J2306" i="21"/>
  <c r="J2313" i="21"/>
  <c r="J2314" i="21"/>
  <c r="X2314" i="21" s="1"/>
  <c r="J2321" i="21"/>
  <c r="X2321" i="21" s="1"/>
  <c r="J2322" i="21"/>
  <c r="X2322" i="21" s="1"/>
  <c r="J2335" i="21"/>
  <c r="X2335" i="21" s="1"/>
  <c r="J2393" i="21"/>
  <c r="N2393" i="21" s="1"/>
  <c r="Z2393" i="21" s="1"/>
  <c r="AA2393" i="21" s="1"/>
  <c r="J2457" i="21"/>
  <c r="N2457" i="21" s="1"/>
  <c r="Z2457" i="21" s="1"/>
  <c r="AA2457" i="21" s="1"/>
  <c r="J2475" i="21"/>
  <c r="N2475" i="21" s="1"/>
  <c r="Z2475" i="21" s="1"/>
  <c r="AA2475" i="21" s="1"/>
  <c r="J2580" i="21"/>
  <c r="X2580" i="21" s="1"/>
  <c r="J2585" i="21"/>
  <c r="X2585" i="21" s="1"/>
  <c r="J2616" i="21"/>
  <c r="X2616" i="21" s="1"/>
  <c r="J2651" i="21"/>
  <c r="X2651" i="21" s="1"/>
  <c r="J2686" i="21"/>
  <c r="X2686" i="21" s="1"/>
  <c r="J2716" i="21"/>
  <c r="N2716" i="21" s="1"/>
  <c r="Z2716" i="21" s="1"/>
  <c r="AA2716" i="21" s="1"/>
  <c r="J2742" i="21"/>
  <c r="N2742" i="21" s="1"/>
  <c r="Z2742" i="21" s="1"/>
  <c r="AA2742" i="21" s="1"/>
  <c r="J2756" i="21"/>
  <c r="X2756" i="21" s="1"/>
  <c r="J3000" i="21"/>
  <c r="I1012" i="21"/>
  <c r="H1012" i="21"/>
  <c r="M1012" i="21" s="1"/>
  <c r="I1137" i="21"/>
  <c r="H1137" i="21"/>
  <c r="M1137" i="21" s="1"/>
  <c r="J3249" i="21"/>
  <c r="X3249" i="21" s="1"/>
  <c r="J2055" i="21"/>
  <c r="N2055" i="21" s="1"/>
  <c r="Z2055" i="21" s="1"/>
  <c r="AA2055" i="21" s="1"/>
  <c r="J2077" i="21"/>
  <c r="N2077" i="21" s="1"/>
  <c r="Z2077" i="21" s="1"/>
  <c r="AA2077" i="21" s="1"/>
  <c r="J2129" i="21"/>
  <c r="X2129" i="21" s="1"/>
  <c r="J2135" i="21"/>
  <c r="X2135" i="21" s="1"/>
  <c r="J2163" i="21"/>
  <c r="N2163" i="21" s="1"/>
  <c r="Z2163" i="21" s="1"/>
  <c r="AA2163" i="21" s="1"/>
  <c r="J2164" i="21"/>
  <c r="X2164" i="21" s="1"/>
  <c r="J2169" i="21"/>
  <c r="X2169" i="21" s="1"/>
  <c r="J2175" i="21"/>
  <c r="X2175" i="21" s="1"/>
  <c r="J2227" i="21"/>
  <c r="N2227" i="21" s="1"/>
  <c r="Z2227" i="21" s="1"/>
  <c r="AA2227" i="21" s="1"/>
  <c r="J2228" i="21"/>
  <c r="X2228" i="21" s="1"/>
  <c r="J2233" i="21"/>
  <c r="N2233" i="21" s="1"/>
  <c r="Z2233" i="21" s="1"/>
  <c r="AA2233" i="21" s="1"/>
  <c r="J2239" i="21"/>
  <c r="X2239" i="21" s="1"/>
  <c r="J2292" i="21"/>
  <c r="X2292" i="21" s="1"/>
  <c r="H1047" i="21"/>
  <c r="M1047" i="21" s="1"/>
  <c r="I1047" i="21"/>
  <c r="H1108" i="21"/>
  <c r="M1108" i="21" s="1"/>
  <c r="I1108" i="21"/>
  <c r="J3643" i="21"/>
  <c r="X3643" i="21" s="1"/>
  <c r="J3647" i="21"/>
  <c r="N3647" i="21" s="1"/>
  <c r="Z3647" i="21" s="1"/>
  <c r="AA3647" i="21" s="1"/>
  <c r="J3651" i="21"/>
  <c r="N3651" i="21" s="1"/>
  <c r="Z3651" i="21" s="1"/>
  <c r="AA3651" i="21" s="1"/>
  <c r="J3685" i="21"/>
  <c r="X3685" i="21" s="1"/>
  <c r="J3174" i="21"/>
  <c r="X3174" i="21" s="1"/>
  <c r="J3299" i="21"/>
  <c r="X3299" i="21" s="1"/>
  <c r="J2015" i="21"/>
  <c r="N2015" i="21" s="1"/>
  <c r="Z2015" i="21" s="1"/>
  <c r="AA2015" i="21" s="1"/>
  <c r="J2025" i="21"/>
  <c r="N2025" i="21" s="1"/>
  <c r="Z2025" i="21" s="1"/>
  <c r="AA2025" i="21" s="1"/>
  <c r="J2059" i="21"/>
  <c r="J2105" i="21"/>
  <c r="N2105" i="21" s="1"/>
  <c r="Z2105" i="21" s="1"/>
  <c r="AA2105" i="21" s="1"/>
  <c r="J2111" i="21"/>
  <c r="N2111" i="21" s="1"/>
  <c r="Z2111" i="21" s="1"/>
  <c r="AA2111" i="21" s="1"/>
  <c r="J2203" i="21"/>
  <c r="N2203" i="21" s="1"/>
  <c r="Z2203" i="21" s="1"/>
  <c r="AA2203" i="21" s="1"/>
  <c r="J2204" i="21"/>
  <c r="J2209" i="21"/>
  <c r="N2209" i="21" s="1"/>
  <c r="Z2209" i="21" s="1"/>
  <c r="AA2209" i="21" s="1"/>
  <c r="J2215" i="21"/>
  <c r="J2267" i="21"/>
  <c r="J2268" i="21"/>
  <c r="X2268" i="21" s="1"/>
  <c r="J2273" i="21"/>
  <c r="N2273" i="21" s="1"/>
  <c r="Z2273" i="21" s="1"/>
  <c r="AA2273" i="21" s="1"/>
  <c r="J2279" i="21"/>
  <c r="N2279" i="21" s="1"/>
  <c r="Z2279" i="21" s="1"/>
  <c r="AA2279" i="21" s="1"/>
  <c r="J2303" i="21"/>
  <c r="X2303" i="21" s="1"/>
  <c r="J2304" i="21"/>
  <c r="X2304" i="21" s="1"/>
  <c r="J2311" i="21"/>
  <c r="X2311" i="21" s="1"/>
  <c r="J2312" i="21"/>
  <c r="J2319" i="21"/>
  <c r="X2319" i="21" s="1"/>
  <c r="J2320" i="21"/>
  <c r="X2320" i="21" s="1"/>
  <c r="J2327" i="21"/>
  <c r="X2327" i="21" s="1"/>
  <c r="J2328" i="21"/>
  <c r="X2328" i="21" s="1"/>
  <c r="J2345" i="21"/>
  <c r="N2345" i="21" s="1"/>
  <c r="Z2345" i="21" s="1"/>
  <c r="AA2345" i="21" s="1"/>
  <c r="J2351" i="21"/>
  <c r="X2351" i="21" s="1"/>
  <c r="J2381" i="21"/>
  <c r="X2381" i="21" s="1"/>
  <c r="J2890" i="21"/>
  <c r="N2890" i="21" s="1"/>
  <c r="Z2890" i="21" s="1"/>
  <c r="AA2890" i="21" s="1"/>
  <c r="I1017" i="21"/>
  <c r="J1017" i="21" s="1"/>
  <c r="X1017" i="21" s="1"/>
  <c r="I1020" i="21"/>
  <c r="H1020" i="21"/>
  <c r="M1020" i="21" s="1"/>
  <c r="H1037" i="21"/>
  <c r="M1037" i="21" s="1"/>
  <c r="I1037" i="21"/>
  <c r="J2974" i="21"/>
  <c r="X2974" i="21" s="1"/>
  <c r="J2978" i="21"/>
  <c r="X2978" i="21" s="1"/>
  <c r="J2996" i="21"/>
  <c r="M1098" i="21"/>
  <c r="H1158" i="21"/>
  <c r="M1158" i="21" s="1"/>
  <c r="J1511" i="21"/>
  <c r="J2608" i="21"/>
  <c r="X2608" i="21" s="1"/>
  <c r="J2622" i="21"/>
  <c r="X2622" i="21" s="1"/>
  <c r="J2640" i="21"/>
  <c r="X2640" i="21" s="1"/>
  <c r="J2672" i="21"/>
  <c r="X2672" i="21" s="1"/>
  <c r="J2694" i="21"/>
  <c r="X2694" i="21" s="1"/>
  <c r="J2722" i="21"/>
  <c r="X2722" i="21" s="1"/>
  <c r="J2760" i="21"/>
  <c r="X2760" i="21" s="1"/>
  <c r="J2765" i="21"/>
  <c r="N2765" i="21" s="1"/>
  <c r="Z2765" i="21" s="1"/>
  <c r="AA2765" i="21" s="1"/>
  <c r="J2911" i="21"/>
  <c r="X2911" i="21" s="1"/>
  <c r="M1049" i="21"/>
  <c r="H1157" i="21"/>
  <c r="M1157" i="21" s="1"/>
  <c r="J2793" i="21"/>
  <c r="J2799" i="21"/>
  <c r="J2805" i="21"/>
  <c r="N2805" i="21" s="1"/>
  <c r="Z2805" i="21" s="1"/>
  <c r="AA2805" i="21" s="1"/>
  <c r="J2833" i="21"/>
  <c r="N2833" i="21" s="1"/>
  <c r="Z2833" i="21" s="1"/>
  <c r="AA2833" i="21" s="1"/>
  <c r="J2848" i="21"/>
  <c r="N2848" i="21" s="1"/>
  <c r="Z2848" i="21" s="1"/>
  <c r="AA2848" i="21" s="1"/>
  <c r="J2892" i="21"/>
  <c r="X2892" i="21" s="1"/>
  <c r="J2957" i="21"/>
  <c r="N2957" i="21" s="1"/>
  <c r="Z2957" i="21" s="1"/>
  <c r="AA2957" i="21" s="1"/>
  <c r="J2976" i="21"/>
  <c r="N2976" i="21" s="1"/>
  <c r="Z2976" i="21" s="1"/>
  <c r="AA2976" i="21" s="1"/>
  <c r="J2980" i="21"/>
  <c r="J3012" i="21"/>
  <c r="X3012" i="21" s="1"/>
  <c r="H1016" i="21"/>
  <c r="M1016" i="21" s="1"/>
  <c r="H1024" i="21"/>
  <c r="M1024" i="21" s="1"/>
  <c r="I1049" i="21"/>
  <c r="J1049" i="21" s="1"/>
  <c r="X1049" i="21" s="1"/>
  <c r="H1059" i="21"/>
  <c r="H1062" i="21"/>
  <c r="M1062" i="21" s="1"/>
  <c r="H1110" i="21"/>
  <c r="J1110" i="21" s="1"/>
  <c r="X1110" i="21" s="1"/>
  <c r="M1120" i="21"/>
  <c r="M1130" i="21"/>
  <c r="M1136" i="21"/>
  <c r="H1143" i="21"/>
  <c r="J1143" i="21" s="1"/>
  <c r="X1143" i="21" s="1"/>
  <c r="H1149" i="21"/>
  <c r="J1149" i="21" s="1"/>
  <c r="X1149" i="21" s="1"/>
  <c r="H1161" i="21"/>
  <c r="J1161" i="21" s="1"/>
  <c r="X1161" i="21" s="1"/>
  <c r="H1165" i="21"/>
  <c r="J1309" i="21"/>
  <c r="X1309" i="21" s="1"/>
  <c r="J2702" i="21"/>
  <c r="X2702" i="21" s="1"/>
  <c r="J2730" i="21"/>
  <c r="N2730" i="21" s="1"/>
  <c r="Z2730" i="21" s="1"/>
  <c r="AA2730" i="21" s="1"/>
  <c r="J2740" i="21"/>
  <c r="N2740" i="21" s="1"/>
  <c r="Z2740" i="21" s="1"/>
  <c r="AA2740" i="21" s="1"/>
  <c r="J2769" i="21"/>
  <c r="N2769" i="21" s="1"/>
  <c r="Z2769" i="21" s="1"/>
  <c r="AA2769" i="21" s="1"/>
  <c r="J2775" i="21"/>
  <c r="N2775" i="21" s="1"/>
  <c r="Z2775" i="21" s="1"/>
  <c r="AA2775" i="21" s="1"/>
  <c r="J2781" i="21"/>
  <c r="J2852" i="21"/>
  <c r="X2852" i="21" s="1"/>
  <c r="J2862" i="21"/>
  <c r="N2862" i="21" s="1"/>
  <c r="Z2862" i="21" s="1"/>
  <c r="AA2862" i="21" s="1"/>
  <c r="J2914" i="21"/>
  <c r="X2914" i="21" s="1"/>
  <c r="J2947" i="21"/>
  <c r="N2947" i="21" s="1"/>
  <c r="Z2947" i="21" s="1"/>
  <c r="AA2947" i="21" s="1"/>
  <c r="J2984" i="21"/>
  <c r="N2984" i="21" s="1"/>
  <c r="Z2984" i="21" s="1"/>
  <c r="AA2984" i="21" s="1"/>
  <c r="J1495" i="21"/>
  <c r="N1495" i="21" s="1"/>
  <c r="Z1495" i="21" s="1"/>
  <c r="AA1495" i="21" s="1"/>
  <c r="J2606" i="21"/>
  <c r="X2606" i="21" s="1"/>
  <c r="J2624" i="21"/>
  <c r="J2638" i="21"/>
  <c r="N2638" i="21" s="1"/>
  <c r="Z2638" i="21" s="1"/>
  <c r="AA2638" i="21" s="1"/>
  <c r="J2710" i="21"/>
  <c r="N2710" i="21" s="1"/>
  <c r="Z2710" i="21" s="1"/>
  <c r="AA2710" i="21" s="1"/>
  <c r="J2738" i="21"/>
  <c r="N2738" i="21" s="1"/>
  <c r="Z2738" i="21" s="1"/>
  <c r="AA2738" i="21" s="1"/>
  <c r="J2752" i="21"/>
  <c r="X2752" i="21" s="1"/>
  <c r="J2785" i="21"/>
  <c r="N2785" i="21" s="1"/>
  <c r="Z2785" i="21" s="1"/>
  <c r="AA2785" i="21" s="1"/>
  <c r="J2791" i="21"/>
  <c r="J2797" i="21"/>
  <c r="N2797" i="21" s="1"/>
  <c r="Z2797" i="21" s="1"/>
  <c r="AA2797" i="21" s="1"/>
  <c r="J2831" i="21"/>
  <c r="N2831" i="21" s="1"/>
  <c r="Z2831" i="21" s="1"/>
  <c r="AA2831" i="21" s="1"/>
  <c r="J2846" i="21"/>
  <c r="X2846" i="21" s="1"/>
  <c r="J2856" i="21"/>
  <c r="X2856" i="21" s="1"/>
  <c r="J2872" i="21"/>
  <c r="X2872" i="21" s="1"/>
  <c r="J2876" i="21"/>
  <c r="N2876" i="21" s="1"/>
  <c r="Z2876" i="21" s="1"/>
  <c r="AA2876" i="21" s="1"/>
  <c r="J2922" i="21"/>
  <c r="X2922" i="21" s="1"/>
  <c r="J2992" i="21"/>
  <c r="M1084" i="21"/>
  <c r="H1129" i="21"/>
  <c r="M1129" i="21" s="1"/>
  <c r="H1159" i="21"/>
  <c r="M1159" i="21" s="1"/>
  <c r="J1291" i="21"/>
  <c r="X1291" i="21" s="1"/>
  <c r="J1339" i="21"/>
  <c r="X1339" i="21" s="1"/>
  <c r="J1525" i="21"/>
  <c r="J1562" i="21"/>
  <c r="N1562" i="21" s="1"/>
  <c r="Z1562" i="21" s="1"/>
  <c r="AA1562" i="21" s="1"/>
  <c r="J1578" i="21"/>
  <c r="N1578" i="21" s="1"/>
  <c r="Z1578" i="21" s="1"/>
  <c r="AA1578" i="21" s="1"/>
  <c r="J1594" i="21"/>
  <c r="J1620" i="21"/>
  <c r="X1620" i="21" s="1"/>
  <c r="J1647" i="21"/>
  <c r="N1647" i="21" s="1"/>
  <c r="Z1647" i="21" s="1"/>
  <c r="AA1647" i="21" s="1"/>
  <c r="J1663" i="21"/>
  <c r="N1663" i="21" s="1"/>
  <c r="Z1663" i="21" s="1"/>
  <c r="AA1663" i="21" s="1"/>
  <c r="J1679" i="21"/>
  <c r="X1679" i="21" s="1"/>
  <c r="J1695" i="21"/>
  <c r="J1711" i="21"/>
  <c r="X1711" i="21" s="1"/>
  <c r="J1727" i="21"/>
  <c r="N1727" i="21" s="1"/>
  <c r="Z1727" i="21" s="1"/>
  <c r="AA1727" i="21" s="1"/>
  <c r="J1881" i="21"/>
  <c r="X1881" i="21" s="1"/>
  <c r="J1945" i="21"/>
  <c r="X1945" i="21" s="1"/>
  <c r="J1961" i="21"/>
  <c r="X1961" i="21" s="1"/>
  <c r="J1417" i="21"/>
  <c r="X1417" i="21" s="1"/>
  <c r="J1422" i="21"/>
  <c r="X1422" i="21" s="1"/>
  <c r="J1433" i="21"/>
  <c r="X1433" i="21" s="1"/>
  <c r="J1438" i="21"/>
  <c r="J1449" i="21"/>
  <c r="X1449" i="21" s="1"/>
  <c r="J1454" i="21"/>
  <c r="N1454" i="21" s="1"/>
  <c r="Z1454" i="21" s="1"/>
  <c r="AA1454" i="21" s="1"/>
  <c r="J1465" i="21"/>
  <c r="X1465" i="21" s="1"/>
  <c r="J1470" i="21"/>
  <c r="N1470" i="21" s="1"/>
  <c r="Z1470" i="21" s="1"/>
  <c r="AA1470" i="21" s="1"/>
  <c r="J1478" i="21"/>
  <c r="X1478" i="21" s="1"/>
  <c r="J1479" i="21"/>
  <c r="N1479" i="21" s="1"/>
  <c r="Z1479" i="21" s="1"/>
  <c r="AA1479" i="21" s="1"/>
  <c r="J1551" i="21"/>
  <c r="N1551" i="21" s="1"/>
  <c r="Z1551" i="21" s="1"/>
  <c r="AA1551" i="21" s="1"/>
  <c r="J1559" i="21"/>
  <c r="J1560" i="21"/>
  <c r="X1560" i="21" s="1"/>
  <c r="J1575" i="21"/>
  <c r="X1575" i="21" s="1"/>
  <c r="J1576" i="21"/>
  <c r="J1592" i="21"/>
  <c r="X1592" i="21" s="1"/>
  <c r="J1618" i="21"/>
  <c r="N1636" i="21"/>
  <c r="Z1636" i="21" s="1"/>
  <c r="AA1636" i="21" s="1"/>
  <c r="J1641" i="21"/>
  <c r="N1641" i="21" s="1"/>
  <c r="Z1641" i="21" s="1"/>
  <c r="AA1641" i="21" s="1"/>
  <c r="J1657" i="21"/>
  <c r="N1657" i="21" s="1"/>
  <c r="Z1657" i="21" s="1"/>
  <c r="AA1657" i="21" s="1"/>
  <c r="J1843" i="21"/>
  <c r="N1843" i="21" s="1"/>
  <c r="Z1843" i="21" s="1"/>
  <c r="AA1843" i="21" s="1"/>
  <c r="J1851" i="21"/>
  <c r="N1851" i="21" s="1"/>
  <c r="Z1851" i="21" s="1"/>
  <c r="AA1851" i="21" s="1"/>
  <c r="J1852" i="21"/>
  <c r="X1852" i="21" s="1"/>
  <c r="J1864" i="21"/>
  <c r="X1864" i="21" s="1"/>
  <c r="J1891" i="21"/>
  <c r="X1891" i="21" s="1"/>
  <c r="J1896" i="21"/>
  <c r="J1907" i="21"/>
  <c r="X1907" i="21" s="1"/>
  <c r="J1923" i="21"/>
  <c r="X1923" i="21" s="1"/>
  <c r="J1939" i="21"/>
  <c r="X1939" i="21" s="1"/>
  <c r="J1944" i="21"/>
  <c r="N1944" i="21" s="1"/>
  <c r="Z1944" i="21" s="1"/>
  <c r="AA1944" i="21" s="1"/>
  <c r="J1955" i="21"/>
  <c r="X1955" i="21" s="1"/>
  <c r="J1960" i="21"/>
  <c r="N1960" i="21" s="1"/>
  <c r="Z1960" i="21" s="1"/>
  <c r="AA1960" i="21" s="1"/>
  <c r="J1416" i="21"/>
  <c r="J1545" i="21"/>
  <c r="X1545" i="21" s="1"/>
  <c r="J1558" i="21"/>
  <c r="X1558" i="21" s="1"/>
  <c r="J1574" i="21"/>
  <c r="J1590" i="21"/>
  <c r="X1590" i="21" s="1"/>
  <c r="J1616" i="21"/>
  <c r="J1667" i="21"/>
  <c r="X1667" i="21" s="1"/>
  <c r="J1668" i="21"/>
  <c r="J1683" i="21"/>
  <c r="N1683" i="21" s="1"/>
  <c r="Z1683" i="21" s="1"/>
  <c r="AA1683" i="21" s="1"/>
  <c r="J1699" i="21"/>
  <c r="J1715" i="21"/>
  <c r="X1715" i="21" s="1"/>
  <c r="J1731" i="21"/>
  <c r="J1885" i="21"/>
  <c r="X1885" i="21" s="1"/>
  <c r="J1901" i="21"/>
  <c r="X1901" i="21" s="1"/>
  <c r="J1917" i="21"/>
  <c r="X1917" i="21" s="1"/>
  <c r="J1933" i="21"/>
  <c r="X1933" i="21" s="1"/>
  <c r="J1421" i="21"/>
  <c r="X1421" i="21" s="1"/>
  <c r="J1437" i="21"/>
  <c r="X1437" i="21" s="1"/>
  <c r="J1453" i="21"/>
  <c r="X1453" i="21" s="1"/>
  <c r="J1469" i="21"/>
  <c r="X1469" i="21" s="1"/>
  <c r="J1475" i="21"/>
  <c r="N1475" i="21" s="1"/>
  <c r="Z1475" i="21" s="1"/>
  <c r="AA1475" i="21" s="1"/>
  <c r="J1490" i="21"/>
  <c r="X1490" i="21" s="1"/>
  <c r="J1491" i="21"/>
  <c r="J1507" i="21"/>
  <c r="N1507" i="21" s="1"/>
  <c r="Z1507" i="21" s="1"/>
  <c r="AA1507" i="21" s="1"/>
  <c r="J1523" i="21"/>
  <c r="J1556" i="21"/>
  <c r="X1556" i="21" s="1"/>
  <c r="J1572" i="21"/>
  <c r="X1572" i="21" s="1"/>
  <c r="J1587" i="21"/>
  <c r="J1588" i="21"/>
  <c r="N1588" i="21" s="1"/>
  <c r="Z1588" i="21" s="1"/>
  <c r="AA1588" i="21" s="1"/>
  <c r="J1603" i="21"/>
  <c r="N1603" i="21" s="1"/>
  <c r="Z1603" i="21" s="1"/>
  <c r="AA1603" i="21" s="1"/>
  <c r="J1613" i="21"/>
  <c r="J1614" i="21"/>
  <c r="N1614" i="21" s="1"/>
  <c r="Z1614" i="21" s="1"/>
  <c r="AA1614" i="21" s="1"/>
  <c r="N1640" i="21"/>
  <c r="Z1640" i="21" s="1"/>
  <c r="AA1640" i="21" s="1"/>
  <c r="J1879" i="21"/>
  <c r="X1879" i="21" s="1"/>
  <c r="J1884" i="21"/>
  <c r="N1884" i="21" s="1"/>
  <c r="Z1884" i="21" s="1"/>
  <c r="AA1884" i="21" s="1"/>
  <c r="J1895" i="21"/>
  <c r="X1895" i="21" s="1"/>
  <c r="J1900" i="21"/>
  <c r="N1900" i="21" s="1"/>
  <c r="Z1900" i="21" s="1"/>
  <c r="AA1900" i="21" s="1"/>
  <c r="J1911" i="21"/>
  <c r="X1911" i="21" s="1"/>
  <c r="J1927" i="21"/>
  <c r="X1927" i="21" s="1"/>
  <c r="J1943" i="21"/>
  <c r="X1943" i="21" s="1"/>
  <c r="J1948" i="21"/>
  <c r="N1948" i="21" s="1"/>
  <c r="Z1948" i="21" s="1"/>
  <c r="AA1948" i="21" s="1"/>
  <c r="J1959" i="21"/>
  <c r="X1959" i="21" s="1"/>
  <c r="J1964" i="21"/>
  <c r="X1964" i="21" s="1"/>
  <c r="J1420" i="21"/>
  <c r="N1420" i="21" s="1"/>
  <c r="Z1420" i="21" s="1"/>
  <c r="AA1420" i="21" s="1"/>
  <c r="J1431" i="21"/>
  <c r="X1431" i="21" s="1"/>
  <c r="J1436" i="21"/>
  <c r="X1436" i="21" s="1"/>
  <c r="J1447" i="21"/>
  <c r="X1447" i="21" s="1"/>
  <c r="J1452" i="21"/>
  <c r="N1452" i="21" s="1"/>
  <c r="Z1452" i="21" s="1"/>
  <c r="AA1452" i="21" s="1"/>
  <c r="J1463" i="21"/>
  <c r="X1463" i="21" s="1"/>
  <c r="J1468" i="21"/>
  <c r="X1468" i="21" s="1"/>
  <c r="J1488" i="21"/>
  <c r="X1488" i="21" s="1"/>
  <c r="J1533" i="21"/>
  <c r="N1533" i="21" s="1"/>
  <c r="Z1533" i="21" s="1"/>
  <c r="AA1533" i="21" s="1"/>
  <c r="J1549" i="21"/>
  <c r="J1570" i="21"/>
  <c r="N1570" i="21" s="1"/>
  <c r="Z1570" i="21" s="1"/>
  <c r="AA1570" i="21" s="1"/>
  <c r="J1586" i="21"/>
  <c r="J1612" i="21"/>
  <c r="X1612" i="21" s="1"/>
  <c r="J1639" i="21"/>
  <c r="N1639" i="21" s="1"/>
  <c r="Z1639" i="21" s="1"/>
  <c r="AA1639" i="21" s="1"/>
  <c r="J1655" i="21"/>
  <c r="N1655" i="21" s="1"/>
  <c r="Z1655" i="21" s="1"/>
  <c r="AA1655" i="21" s="1"/>
  <c r="J1671" i="21"/>
  <c r="J1687" i="21"/>
  <c r="J1703" i="21"/>
  <c r="N1703" i="21" s="1"/>
  <c r="Z1703" i="21" s="1"/>
  <c r="AA1703" i="21" s="1"/>
  <c r="J1719" i="21"/>
  <c r="N1719" i="21" s="1"/>
  <c r="Z1719" i="21" s="1"/>
  <c r="AA1719" i="21" s="1"/>
  <c r="J1937" i="21"/>
  <c r="X1937" i="21" s="1"/>
  <c r="J1425" i="21"/>
  <c r="X1425" i="21" s="1"/>
  <c r="J1441" i="21"/>
  <c r="X1441" i="21" s="1"/>
  <c r="J1457" i="21"/>
  <c r="X1457" i="21" s="1"/>
  <c r="J1473" i="21"/>
  <c r="X1473" i="21" s="1"/>
  <c r="J1486" i="21"/>
  <c r="X1486" i="21" s="1"/>
  <c r="J1568" i="21"/>
  <c r="X1568" i="21" s="1"/>
  <c r="J1584" i="21"/>
  <c r="N1584" i="21" s="1"/>
  <c r="Z1584" i="21" s="1"/>
  <c r="AA1584" i="21" s="1"/>
  <c r="M1592" i="21"/>
  <c r="J1610" i="21"/>
  <c r="X1610" i="21" s="1"/>
  <c r="J1883" i="21"/>
  <c r="X1883" i="21" s="1"/>
  <c r="J1899" i="21"/>
  <c r="X1899" i="21" s="1"/>
  <c r="J1915" i="21"/>
  <c r="X1915" i="21" s="1"/>
  <c r="J1931" i="21"/>
  <c r="X1931" i="21" s="1"/>
  <c r="J1963" i="21"/>
  <c r="X1963" i="21" s="1"/>
  <c r="J1387" i="21"/>
  <c r="X1387" i="21" s="1"/>
  <c r="J1408" i="21"/>
  <c r="X1408" i="21" s="1"/>
  <c r="J1419" i="21"/>
  <c r="X1419" i="21" s="1"/>
  <c r="J1424" i="21"/>
  <c r="N1424" i="21" s="1"/>
  <c r="Z1424" i="21" s="1"/>
  <c r="AA1424" i="21" s="1"/>
  <c r="J1435" i="21"/>
  <c r="X1435" i="21" s="1"/>
  <c r="J1440" i="21"/>
  <c r="X1440" i="21" s="1"/>
  <c r="J1451" i="21"/>
  <c r="X1451" i="21" s="1"/>
  <c r="J1456" i="21"/>
  <c r="J1467" i="21"/>
  <c r="X1467" i="21" s="1"/>
  <c r="J1472" i="21"/>
  <c r="N1472" i="21" s="1"/>
  <c r="Z1472" i="21" s="1"/>
  <c r="AA1472" i="21" s="1"/>
  <c r="J1484" i="21"/>
  <c r="X1484" i="21" s="1"/>
  <c r="J1517" i="21"/>
  <c r="X1517" i="21" s="1"/>
  <c r="J1537" i="21"/>
  <c r="N1537" i="21" s="1"/>
  <c r="Z1537" i="21" s="1"/>
  <c r="AA1537" i="21" s="1"/>
  <c r="J1553" i="21"/>
  <c r="X1553" i="21" s="1"/>
  <c r="M1558" i="21"/>
  <c r="J1566" i="21"/>
  <c r="M1574" i="21"/>
  <c r="J1582" i="21"/>
  <c r="N1582" i="21" s="1"/>
  <c r="Z1582" i="21" s="1"/>
  <c r="AA1582" i="21" s="1"/>
  <c r="M1590" i="21"/>
  <c r="M1616" i="21"/>
  <c r="J1659" i="21"/>
  <c r="J1675" i="21"/>
  <c r="N1675" i="21" s="1"/>
  <c r="Z1675" i="21" s="1"/>
  <c r="AA1675" i="21" s="1"/>
  <c r="J1691" i="21"/>
  <c r="X1691" i="21" s="1"/>
  <c r="J1707" i="21"/>
  <c r="N1707" i="21" s="1"/>
  <c r="Z1707" i="21" s="1"/>
  <c r="AA1707" i="21" s="1"/>
  <c r="J1723" i="21"/>
  <c r="N1723" i="21" s="1"/>
  <c r="Z1723" i="21" s="1"/>
  <c r="AA1723" i="21" s="1"/>
  <c r="J1893" i="21"/>
  <c r="X1893" i="21" s="1"/>
  <c r="J1909" i="21"/>
  <c r="X1909" i="21" s="1"/>
  <c r="J1925" i="21"/>
  <c r="X1925" i="21" s="1"/>
  <c r="J1941" i="21"/>
  <c r="X1941" i="21" s="1"/>
  <c r="J1946" i="21"/>
  <c r="J1957" i="21"/>
  <c r="X1957" i="21" s="1"/>
  <c r="J1418" i="21"/>
  <c r="J1429" i="21"/>
  <c r="X1429" i="21" s="1"/>
  <c r="J1434" i="21"/>
  <c r="J1445" i="21"/>
  <c r="X1445" i="21" s="1"/>
  <c r="J1450" i="21"/>
  <c r="N1450" i="21" s="1"/>
  <c r="Z1450" i="21" s="1"/>
  <c r="AA1450" i="21" s="1"/>
  <c r="J1461" i="21"/>
  <c r="X1461" i="21" s="1"/>
  <c r="J1466" i="21"/>
  <c r="X1466" i="21" s="1"/>
  <c r="J1482" i="21"/>
  <c r="X1482" i="21" s="1"/>
  <c r="J1564" i="21"/>
  <c r="M1572" i="21"/>
  <c r="J1580" i="21"/>
  <c r="N1580" i="21" s="1"/>
  <c r="Z1580" i="21" s="1"/>
  <c r="AA1580" i="21" s="1"/>
  <c r="J1596" i="21"/>
  <c r="X1596" i="21" s="1"/>
  <c r="J1607" i="21"/>
  <c r="N1607" i="21" s="1"/>
  <c r="Z1607" i="21" s="1"/>
  <c r="AA1607" i="21" s="1"/>
  <c r="J1854" i="21"/>
  <c r="X1854" i="21" s="1"/>
  <c r="J1887" i="21"/>
  <c r="X1887" i="21" s="1"/>
  <c r="J1892" i="21"/>
  <c r="X1892" i="21" s="1"/>
  <c r="J1903" i="21"/>
  <c r="X1903" i="21" s="1"/>
  <c r="J1919" i="21"/>
  <c r="X1919" i="21" s="1"/>
  <c r="J1935" i="21"/>
  <c r="X1935" i="21" s="1"/>
  <c r="J1940" i="21"/>
  <c r="J1951" i="21"/>
  <c r="X1951" i="21" s="1"/>
  <c r="J1956" i="21"/>
  <c r="N1956" i="21" s="1"/>
  <c r="Z1956" i="21" s="1"/>
  <c r="AA1956" i="21" s="1"/>
  <c r="M1156" i="21"/>
  <c r="H1155" i="21"/>
  <c r="M1155" i="21" s="1"/>
  <c r="H1154" i="21"/>
  <c r="M1154" i="21" s="1"/>
  <c r="M1126" i="21"/>
  <c r="M1142" i="21"/>
  <c r="M1132" i="21"/>
  <c r="M1122" i="21"/>
  <c r="M1128" i="21"/>
  <c r="H1135" i="21"/>
  <c r="M1135" i="21" s="1"/>
  <c r="H1119" i="21"/>
  <c r="H1124" i="21"/>
  <c r="M1124" i="21" s="1"/>
  <c r="I1134" i="21"/>
  <c r="J1134" i="21" s="1"/>
  <c r="H1139" i="21"/>
  <c r="M1139" i="21" s="1"/>
  <c r="I1140" i="21"/>
  <c r="J1140" i="21" s="1"/>
  <c r="H1118" i="21"/>
  <c r="M1118" i="21" s="1"/>
  <c r="H1133" i="21"/>
  <c r="M1133" i="21" s="1"/>
  <c r="H1138" i="21"/>
  <c r="M1138" i="21" s="1"/>
  <c r="H1148" i="21"/>
  <c r="M1148" i="21" s="1"/>
  <c r="H1127" i="21"/>
  <c r="M1127" i="21" s="1"/>
  <c r="H1141" i="21"/>
  <c r="M1141" i="21" s="1"/>
  <c r="I1120" i="21"/>
  <c r="J1120" i="21" s="1"/>
  <c r="H1125" i="21"/>
  <c r="M1125" i="21" s="1"/>
  <c r="H1123" i="21"/>
  <c r="I1126" i="21"/>
  <c r="J1126" i="21" s="1"/>
  <c r="H1146" i="21"/>
  <c r="M1146" i="21" s="1"/>
  <c r="H1147" i="21"/>
  <c r="H1115" i="21"/>
  <c r="H1131" i="21"/>
  <c r="M1131" i="21" s="1"/>
  <c r="H1145" i="21"/>
  <c r="M1145" i="21" s="1"/>
  <c r="J3485" i="21"/>
  <c r="X3485" i="21" s="1"/>
  <c r="J3295" i="21"/>
  <c r="X3295" i="21" s="1"/>
  <c r="J3330" i="21"/>
  <c r="X3330" i="21" s="1"/>
  <c r="J3338" i="21"/>
  <c r="X3338" i="21" s="1"/>
  <c r="J2092" i="21"/>
  <c r="X2092" i="21" s="1"/>
  <c r="J2100" i="21"/>
  <c r="X2100" i="21" s="1"/>
  <c r="J2108" i="21"/>
  <c r="J2116" i="21"/>
  <c r="J2124" i="21"/>
  <c r="J2132" i="21"/>
  <c r="X2132" i="21" s="1"/>
  <c r="J2140" i="21"/>
  <c r="X2140" i="21" s="1"/>
  <c r="J2148" i="21"/>
  <c r="J2330" i="21"/>
  <c r="X2330" i="21" s="1"/>
  <c r="J2372" i="21"/>
  <c r="X2372" i="21" s="1"/>
  <c r="J2874" i="21"/>
  <c r="X2874" i="21" s="1"/>
  <c r="J2882" i="21"/>
  <c r="X2882" i="21" s="1"/>
  <c r="J2937" i="21"/>
  <c r="X2937" i="21" s="1"/>
  <c r="J2949" i="21"/>
  <c r="X2949" i="21" s="1"/>
  <c r="J2953" i="21"/>
  <c r="X2953" i="21" s="1"/>
  <c r="J2959" i="21"/>
  <c r="X2959" i="21" s="1"/>
  <c r="J2965" i="21"/>
  <c r="X2965" i="21" s="1"/>
  <c r="J1500" i="21"/>
  <c r="J1504" i="21"/>
  <c r="N1504" i="21" s="1"/>
  <c r="Z1504" i="21" s="1"/>
  <c r="AA1504" i="21" s="1"/>
  <c r="J1508" i="21"/>
  <c r="J1512" i="21"/>
  <c r="N1512" i="21" s="1"/>
  <c r="Z1512" i="21" s="1"/>
  <c r="AA1512" i="21" s="1"/>
  <c r="J1516" i="21"/>
  <c r="N1516" i="21" s="1"/>
  <c r="Z1516" i="21" s="1"/>
  <c r="AA1516" i="21" s="1"/>
  <c r="J1520" i="21"/>
  <c r="X1520" i="21" s="1"/>
  <c r="J1524" i="21"/>
  <c r="N1524" i="21" s="1"/>
  <c r="Z1524" i="21" s="1"/>
  <c r="AA1524" i="21" s="1"/>
  <c r="J1600" i="21"/>
  <c r="N1600" i="21" s="1"/>
  <c r="Z1600" i="21" s="1"/>
  <c r="AA1600" i="21" s="1"/>
  <c r="J1784" i="21"/>
  <c r="X1784" i="21" s="1"/>
  <c r="J1786" i="21"/>
  <c r="X1786" i="21" s="1"/>
  <c r="J1788" i="21"/>
  <c r="X1788" i="21" s="1"/>
  <c r="J1790" i="21"/>
  <c r="X1790" i="21" s="1"/>
  <c r="J1792" i="21"/>
  <c r="X1792" i="21" s="1"/>
  <c r="H1097" i="21"/>
  <c r="M1097" i="21" s="1"/>
  <c r="H1104" i="21"/>
  <c r="M1104" i="21" s="1"/>
  <c r="H1089" i="21"/>
  <c r="M1089" i="21" s="1"/>
  <c r="H1094" i="21"/>
  <c r="H1102" i="21"/>
  <c r="M1102" i="21" s="1"/>
  <c r="H1103" i="21"/>
  <c r="H1100" i="21"/>
  <c r="M1100" i="21" s="1"/>
  <c r="H1101" i="21"/>
  <c r="M1101" i="21" s="1"/>
  <c r="H1085" i="21"/>
  <c r="H1093" i="21"/>
  <c r="M1093" i="21" s="1"/>
  <c r="H1099" i="21"/>
  <c r="H1080" i="21"/>
  <c r="M1080" i="21" s="1"/>
  <c r="H1079" i="21"/>
  <c r="M1079" i="21" s="1"/>
  <c r="H1081" i="21"/>
  <c r="M1081" i="21" s="1"/>
  <c r="M1072" i="21"/>
  <c r="H1076" i="21"/>
  <c r="M1076" i="21" s="1"/>
  <c r="H1075" i="21"/>
  <c r="M1075" i="21" s="1"/>
  <c r="H1074" i="21"/>
  <c r="M1074" i="21" s="1"/>
  <c r="H1066" i="21"/>
  <c r="M1066" i="21" s="1"/>
  <c r="H1067" i="21"/>
  <c r="M1067" i="21" s="1"/>
  <c r="H1070" i="21"/>
  <c r="M1070" i="21" s="1"/>
  <c r="H1071" i="21"/>
  <c r="M1071" i="21" s="1"/>
  <c r="H1069" i="21"/>
  <c r="M1069" i="21" s="1"/>
  <c r="M1055" i="21"/>
  <c r="M1064" i="21"/>
  <c r="H1019" i="21"/>
  <c r="J1019" i="21" s="1"/>
  <c r="X1019" i="21" s="1"/>
  <c r="H1025" i="21"/>
  <c r="H1032" i="21"/>
  <c r="M1032" i="21" s="1"/>
  <c r="H1040" i="21"/>
  <c r="M1040" i="21" s="1"/>
  <c r="H1045" i="21"/>
  <c r="H1057" i="21"/>
  <c r="M1057" i="21" s="1"/>
  <c r="H1038" i="21"/>
  <c r="M1038" i="21" s="1"/>
  <c r="H1044" i="21"/>
  <c r="M1044" i="21" s="1"/>
  <c r="H1056" i="21"/>
  <c r="M1056" i="21" s="1"/>
  <c r="H1061" i="21"/>
  <c r="H1029" i="21"/>
  <c r="H1035" i="21"/>
  <c r="J1035" i="21" s="1"/>
  <c r="X1035" i="21" s="1"/>
  <c r="H1051" i="21"/>
  <c r="H1052" i="21"/>
  <c r="M1052" i="21" s="1"/>
  <c r="H1060" i="21"/>
  <c r="M1060" i="21" s="1"/>
  <c r="H1022" i="21"/>
  <c r="M1022" i="21" s="1"/>
  <c r="H1028" i="21"/>
  <c r="M1028" i="21" s="1"/>
  <c r="H1034" i="21"/>
  <c r="M1034" i="21" s="1"/>
  <c r="H1042" i="21"/>
  <c r="M1042" i="21" s="1"/>
  <c r="H1009" i="21"/>
  <c r="M1009" i="21" s="1"/>
  <c r="H1015" i="21"/>
  <c r="J1015" i="21" s="1"/>
  <c r="X1015" i="21" s="1"/>
  <c r="H1008" i="21"/>
  <c r="M1008" i="21" s="1"/>
  <c r="H1014" i="21"/>
  <c r="H1013" i="21"/>
  <c r="H1000" i="21"/>
  <c r="M1000" i="21" s="1"/>
  <c r="H1005" i="21"/>
  <c r="J1005" i="21" s="1"/>
  <c r="X1005" i="21" s="1"/>
  <c r="H1004" i="21"/>
  <c r="M1004" i="21" s="1"/>
  <c r="H1003" i="21"/>
  <c r="H1002" i="21"/>
  <c r="M1002" i="21" s="1"/>
  <c r="J3415" i="21"/>
  <c r="X3415" i="21" s="1"/>
  <c r="J3472" i="21"/>
  <c r="X3472" i="21" s="1"/>
  <c r="J3489" i="21"/>
  <c r="X3489" i="21" s="1"/>
  <c r="J3494" i="21"/>
  <c r="X3494" i="21" s="1"/>
  <c r="J3536" i="21"/>
  <c r="N3536" i="21" s="1"/>
  <c r="Z3536" i="21" s="1"/>
  <c r="AA3536" i="21" s="1"/>
  <c r="J3538" i="21"/>
  <c r="X3538" i="21" s="1"/>
  <c r="J3556" i="21"/>
  <c r="N3556" i="21" s="1"/>
  <c r="Z3556" i="21" s="1"/>
  <c r="AA3556" i="21" s="1"/>
  <c r="J3123" i="21"/>
  <c r="N3123" i="21" s="1"/>
  <c r="Z3123" i="21" s="1"/>
  <c r="AA3123" i="21" s="1"/>
  <c r="J3136" i="21"/>
  <c r="X3136" i="21" s="1"/>
  <c r="J3226" i="21"/>
  <c r="N3226" i="21" s="1"/>
  <c r="Z3226" i="21" s="1"/>
  <c r="AA3226" i="21" s="1"/>
  <c r="J3253" i="21"/>
  <c r="X3253" i="21" s="1"/>
  <c r="J3269" i="21"/>
  <c r="X3269" i="21" s="1"/>
  <c r="J3337" i="21"/>
  <c r="X3337" i="21" s="1"/>
  <c r="J3349" i="21"/>
  <c r="N3349" i="21" s="1"/>
  <c r="Z3349" i="21" s="1"/>
  <c r="AA3349" i="21" s="1"/>
  <c r="J2084" i="21"/>
  <c r="M2084" i="21"/>
  <c r="J3475" i="21"/>
  <c r="X3475" i="21" s="1"/>
  <c r="J3501" i="21"/>
  <c r="X3501" i="21" s="1"/>
  <c r="J3578" i="21"/>
  <c r="X3578" i="21" s="1"/>
  <c r="J3084" i="21"/>
  <c r="X3084" i="21" s="1"/>
  <c r="J3092" i="21"/>
  <c r="X3092" i="21" s="1"/>
  <c r="J3100" i="21"/>
  <c r="X3100" i="21" s="1"/>
  <c r="J3108" i="21"/>
  <c r="X3108" i="21" s="1"/>
  <c r="J3140" i="21"/>
  <c r="X3140" i="21" s="1"/>
  <c r="J3188" i="21"/>
  <c r="N3188" i="21" s="1"/>
  <c r="Z3188" i="21" s="1"/>
  <c r="AA3188" i="21" s="1"/>
  <c r="J3257" i="21"/>
  <c r="X3257" i="21" s="1"/>
  <c r="J3840" i="21"/>
  <c r="N3840" i="21" s="1"/>
  <c r="Z3840" i="21" s="1"/>
  <c r="AA3840" i="21" s="1"/>
  <c r="J3015" i="21"/>
  <c r="N3015" i="21" s="1"/>
  <c r="Z3015" i="21" s="1"/>
  <c r="AA3015" i="21" s="1"/>
  <c r="J3405" i="21"/>
  <c r="N3405" i="21" s="1"/>
  <c r="Z3405" i="21" s="1"/>
  <c r="AA3405" i="21" s="1"/>
  <c r="J3411" i="21"/>
  <c r="N3411" i="21" s="1"/>
  <c r="Z3411" i="21" s="1"/>
  <c r="AA3411" i="21" s="1"/>
  <c r="J3417" i="21"/>
  <c r="N3417" i="21" s="1"/>
  <c r="Z3417" i="21" s="1"/>
  <c r="AA3417" i="21" s="1"/>
  <c r="J3421" i="21"/>
  <c r="X3421" i="21" s="1"/>
  <c r="J3449" i="21"/>
  <c r="X3449" i="21" s="1"/>
  <c r="J3465" i="21"/>
  <c r="X3465" i="21" s="1"/>
  <c r="J3505" i="21"/>
  <c r="X3505" i="21" s="1"/>
  <c r="J3509" i="21"/>
  <c r="X3509" i="21" s="1"/>
  <c r="J3546" i="21"/>
  <c r="X3546" i="21" s="1"/>
  <c r="J3548" i="21"/>
  <c r="X3548" i="21" s="1"/>
  <c r="J3550" i="21"/>
  <c r="N3550" i="21" s="1"/>
  <c r="Z3550" i="21" s="1"/>
  <c r="AA3550" i="21" s="1"/>
  <c r="J3552" i="21"/>
  <c r="N3552" i="21" s="1"/>
  <c r="Z3552" i="21" s="1"/>
  <c r="AA3552" i="21" s="1"/>
  <c r="J3554" i="21"/>
  <c r="X3554" i="21" s="1"/>
  <c r="J3591" i="21"/>
  <c r="X3591" i="21" s="1"/>
  <c r="J3603" i="21"/>
  <c r="J3605" i="21"/>
  <c r="J3139" i="21"/>
  <c r="X3139" i="21" s="1"/>
  <c r="J3144" i="21"/>
  <c r="X3144" i="21" s="1"/>
  <c r="J3150" i="21"/>
  <c r="N3150" i="21" s="1"/>
  <c r="Z3150" i="21" s="1"/>
  <c r="AA3150" i="21" s="1"/>
  <c r="J3156" i="21"/>
  <c r="X3156" i="21" s="1"/>
  <c r="J3166" i="21"/>
  <c r="N3166" i="21" s="1"/>
  <c r="Z3166" i="21" s="1"/>
  <c r="AA3166" i="21" s="1"/>
  <c r="J3172" i="21"/>
  <c r="N3172" i="21" s="1"/>
  <c r="Z3172" i="21" s="1"/>
  <c r="AA3172" i="21" s="1"/>
  <c r="J3198" i="21"/>
  <c r="J3214" i="21"/>
  <c r="N3214" i="21" s="1"/>
  <c r="Z3214" i="21" s="1"/>
  <c r="AA3214" i="21" s="1"/>
  <c r="J3261" i="21"/>
  <c r="X3261" i="21" s="1"/>
  <c r="J3273" i="21"/>
  <c r="X3273" i="21" s="1"/>
  <c r="J3275" i="21"/>
  <c r="X3275" i="21" s="1"/>
  <c r="J3307" i="21"/>
  <c r="X3307" i="21" s="1"/>
  <c r="J3325" i="21"/>
  <c r="X3325" i="21" s="1"/>
  <c r="J3333" i="21"/>
  <c r="X3333" i="21" s="1"/>
  <c r="J3335" i="21"/>
  <c r="J3341" i="21"/>
  <c r="X3341" i="21" s="1"/>
  <c r="J2009" i="21"/>
  <c r="N2009" i="21" s="1"/>
  <c r="Z2009" i="21" s="1"/>
  <c r="AA2009" i="21" s="1"/>
  <c r="J2061" i="21"/>
  <c r="N2061" i="21" s="1"/>
  <c r="Z2061" i="21" s="1"/>
  <c r="AA2061" i="21" s="1"/>
  <c r="J2063" i="21"/>
  <c r="M2156" i="21"/>
  <c r="M2164" i="21"/>
  <c r="M2172" i="21"/>
  <c r="M2180" i="21"/>
  <c r="M2188" i="21"/>
  <c r="M2196" i="21"/>
  <c r="M2204" i="21"/>
  <c r="M2212" i="21"/>
  <c r="M2220" i="21"/>
  <c r="M2228" i="21"/>
  <c r="M2236" i="21"/>
  <c r="M2244" i="21"/>
  <c r="M2252" i="21"/>
  <c r="M2260" i="21"/>
  <c r="M2268" i="21"/>
  <c r="M2276" i="21"/>
  <c r="M2284" i="21"/>
  <c r="M2300" i="21"/>
  <c r="M2302" i="21"/>
  <c r="M2304" i="21"/>
  <c r="M2306" i="21"/>
  <c r="M2308" i="21"/>
  <c r="M2310" i="21"/>
  <c r="M2312" i="21"/>
  <c r="M2314" i="21"/>
  <c r="M2316" i="21"/>
  <c r="M2318" i="21"/>
  <c r="M2320" i="21"/>
  <c r="M2322" i="21"/>
  <c r="M2324" i="21"/>
  <c r="M2326" i="21"/>
  <c r="M2328" i="21"/>
  <c r="X2536" i="21"/>
  <c r="M2564" i="21"/>
  <c r="M2566" i="21"/>
  <c r="M2580" i="21"/>
  <c r="M2582" i="21"/>
  <c r="J2915" i="21"/>
  <c r="X2915" i="21" s="1"/>
  <c r="J2919" i="21"/>
  <c r="X2919" i="21" s="1"/>
  <c r="J2923" i="21"/>
  <c r="X2923" i="21" s="1"/>
  <c r="J2927" i="21"/>
  <c r="X2927" i="21" s="1"/>
  <c r="J2931" i="21"/>
  <c r="X2931" i="21" s="1"/>
  <c r="J2939" i="21"/>
  <c r="N2939" i="21" s="1"/>
  <c r="Z2939" i="21" s="1"/>
  <c r="AA2939" i="21" s="1"/>
  <c r="J2955" i="21"/>
  <c r="J2961" i="21"/>
  <c r="N2961" i="21" s="1"/>
  <c r="Z2961" i="21" s="1"/>
  <c r="AA2961" i="21" s="1"/>
  <c r="J2971" i="21"/>
  <c r="N2971" i="21" s="1"/>
  <c r="Z2971" i="21" s="1"/>
  <c r="AA2971" i="21" s="1"/>
  <c r="J2078" i="21"/>
  <c r="N2078" i="21" s="1"/>
  <c r="Z2078" i="21" s="1"/>
  <c r="AA2078" i="21" s="1"/>
  <c r="J2079" i="21"/>
  <c r="J2091" i="21"/>
  <c r="N2091" i="21" s="1"/>
  <c r="Z2091" i="21" s="1"/>
  <c r="AA2091" i="21" s="1"/>
  <c r="J2099" i="21"/>
  <c r="N2099" i="21" s="1"/>
  <c r="Z2099" i="21" s="1"/>
  <c r="AA2099" i="21" s="1"/>
  <c r="J2107" i="21"/>
  <c r="N2107" i="21" s="1"/>
  <c r="Z2107" i="21" s="1"/>
  <c r="AA2107" i="21" s="1"/>
  <c r="J2115" i="21"/>
  <c r="N2115" i="21" s="1"/>
  <c r="Z2115" i="21" s="1"/>
  <c r="AA2115" i="21" s="1"/>
  <c r="J2123" i="21"/>
  <c r="N2123" i="21" s="1"/>
  <c r="Z2123" i="21" s="1"/>
  <c r="AA2123" i="21" s="1"/>
  <c r="J2131" i="21"/>
  <c r="N2131" i="21" s="1"/>
  <c r="Z2131" i="21" s="1"/>
  <c r="AA2131" i="21" s="1"/>
  <c r="J2139" i="21"/>
  <c r="N2139" i="21" s="1"/>
  <c r="Z2139" i="21" s="1"/>
  <c r="AA2139" i="21" s="1"/>
  <c r="J2147" i="21"/>
  <c r="J2154" i="21"/>
  <c r="M2154" i="21"/>
  <c r="J2162" i="21"/>
  <c r="X2162" i="21" s="1"/>
  <c r="M2162" i="21"/>
  <c r="J2170" i="21"/>
  <c r="X2170" i="21" s="1"/>
  <c r="M2170" i="21"/>
  <c r="J2178" i="21"/>
  <c r="X2178" i="21" s="1"/>
  <c r="M2178" i="21"/>
  <c r="J2186" i="21"/>
  <c r="M2186" i="21"/>
  <c r="J2194" i="21"/>
  <c r="X2194" i="21" s="1"/>
  <c r="M2194" i="21"/>
  <c r="J2202" i="21"/>
  <c r="X2202" i="21" s="1"/>
  <c r="M2202" i="21"/>
  <c r="J2210" i="21"/>
  <c r="X2210" i="21" s="1"/>
  <c r="M2210" i="21"/>
  <c r="J2218" i="21"/>
  <c r="M2218" i="21"/>
  <c r="J2226" i="21"/>
  <c r="M2226" i="21"/>
  <c r="J2234" i="21"/>
  <c r="X2234" i="21" s="1"/>
  <c r="M2234" i="21"/>
  <c r="J2242" i="21"/>
  <c r="X2242" i="21" s="1"/>
  <c r="M2242" i="21"/>
  <c r="J2250" i="21"/>
  <c r="M2250" i="21"/>
  <c r="J2258" i="21"/>
  <c r="X2258" i="21" s="1"/>
  <c r="M2258" i="21"/>
  <c r="J2266" i="21"/>
  <c r="X2266" i="21" s="1"/>
  <c r="M2266" i="21"/>
  <c r="J2274" i="21"/>
  <c r="X2274" i="21" s="1"/>
  <c r="M2274" i="21"/>
  <c r="J2282" i="21"/>
  <c r="M2282" i="21"/>
  <c r="J2290" i="21"/>
  <c r="X2290" i="21" s="1"/>
  <c r="J2298" i="21"/>
  <c r="X2298" i="21" s="1"/>
  <c r="J2329" i="21"/>
  <c r="N2329" i="21" s="1"/>
  <c r="Z2329" i="21" s="1"/>
  <c r="AA2329" i="21" s="1"/>
  <c r="J2338" i="21"/>
  <c r="X2338" i="21" s="1"/>
  <c r="J2339" i="21"/>
  <c r="X2339" i="21" s="1"/>
  <c r="J2346" i="21"/>
  <c r="J2347" i="21"/>
  <c r="X2347" i="21" s="1"/>
  <c r="J2354" i="21"/>
  <c r="J2355" i="21"/>
  <c r="X2355" i="21" s="1"/>
  <c r="J2362" i="21"/>
  <c r="X2362" i="21" s="1"/>
  <c r="J2363" i="21"/>
  <c r="X2363" i="21" s="1"/>
  <c r="J2370" i="21"/>
  <c r="X2370" i="21" s="1"/>
  <c r="J2371" i="21"/>
  <c r="X2371" i="21" s="1"/>
  <c r="J2378" i="21"/>
  <c r="J2379" i="21"/>
  <c r="N2379" i="21" s="1"/>
  <c r="Z2379" i="21" s="1"/>
  <c r="AA2379" i="21" s="1"/>
  <c r="J2386" i="21"/>
  <c r="X2386" i="21" s="1"/>
  <c r="J2387" i="21"/>
  <c r="N2387" i="21" s="1"/>
  <c r="Z2387" i="21" s="1"/>
  <c r="AA2387" i="21" s="1"/>
  <c r="J2394" i="21"/>
  <c r="N2394" i="21" s="1"/>
  <c r="Z2394" i="21" s="1"/>
  <c r="AA2394" i="21" s="1"/>
  <c r="J2395" i="21"/>
  <c r="N2395" i="21" s="1"/>
  <c r="Z2395" i="21" s="1"/>
  <c r="AA2395" i="21" s="1"/>
  <c r="J2396" i="21"/>
  <c r="X2396" i="21" s="1"/>
  <c r="J2398" i="21"/>
  <c r="X2398" i="21" s="1"/>
  <c r="J2400" i="21"/>
  <c r="J2402" i="21"/>
  <c r="X2402" i="21" s="1"/>
  <c r="J2404" i="21"/>
  <c r="J2406" i="21"/>
  <c r="X2406" i="21" s="1"/>
  <c r="J2408" i="21"/>
  <c r="X2408" i="21" s="1"/>
  <c r="J2410" i="21"/>
  <c r="X2410" i="21" s="1"/>
  <c r="J2412" i="21"/>
  <c r="X2412" i="21" s="1"/>
  <c r="J2414" i="21"/>
  <c r="X2414" i="21" s="1"/>
  <c r="J2416" i="21"/>
  <c r="X2416" i="21" s="1"/>
  <c r="J2419" i="21"/>
  <c r="N2419" i="21" s="1"/>
  <c r="Z2419" i="21" s="1"/>
  <c r="AA2419" i="21" s="1"/>
  <c r="J2427" i="21"/>
  <c r="J2435" i="21"/>
  <c r="N2435" i="21" s="1"/>
  <c r="Z2435" i="21" s="1"/>
  <c r="AA2435" i="21" s="1"/>
  <c r="J2443" i="21"/>
  <c r="N2443" i="21" s="1"/>
  <c r="Z2443" i="21" s="1"/>
  <c r="AA2443" i="21" s="1"/>
  <c r="J2516" i="21"/>
  <c r="X2516" i="21" s="1"/>
  <c r="J2524" i="21"/>
  <c r="X2524" i="21" s="1"/>
  <c r="J2532" i="21"/>
  <c r="X2532" i="21" s="1"/>
  <c r="J2534" i="21"/>
  <c r="X2534" i="21" s="1"/>
  <c r="J2548" i="21"/>
  <c r="N2548" i="21" s="1"/>
  <c r="Z2548" i="21" s="1"/>
  <c r="AA2548" i="21" s="1"/>
  <c r="J2550" i="21"/>
  <c r="X2550" i="21" s="1"/>
  <c r="J2552" i="21"/>
  <c r="X2552" i="21" s="1"/>
  <c r="J2562" i="21"/>
  <c r="X2562" i="21" s="1"/>
  <c r="M2562" i="21"/>
  <c r="J2578" i="21"/>
  <c r="X2578" i="21" s="1"/>
  <c r="M2578" i="21"/>
  <c r="J2594" i="21"/>
  <c r="M2594" i="21"/>
  <c r="J2598" i="21"/>
  <c r="N2598" i="21" s="1"/>
  <c r="Z2598" i="21" s="1"/>
  <c r="AA2598" i="21" s="1"/>
  <c r="J2600" i="21"/>
  <c r="X2600" i="21" s="1"/>
  <c r="J2610" i="21"/>
  <c r="X2610" i="21" s="1"/>
  <c r="J2618" i="21"/>
  <c r="X2618" i="21" s="1"/>
  <c r="J2626" i="21"/>
  <c r="X2626" i="21" s="1"/>
  <c r="J2663" i="21"/>
  <c r="N2663" i="21" s="1"/>
  <c r="Z2663" i="21" s="1"/>
  <c r="AA2663" i="21" s="1"/>
  <c r="J2670" i="21"/>
  <c r="X2670" i="21" s="1"/>
  <c r="J2678" i="21"/>
  <c r="X2678" i="21" s="1"/>
  <c r="M2752" i="21"/>
  <c r="M2754" i="21"/>
  <c r="M2756" i="21"/>
  <c r="M2758" i="21"/>
  <c r="M2760" i="21"/>
  <c r="J2832" i="21"/>
  <c r="X2832" i="21" s="1"/>
  <c r="M2832" i="21"/>
  <c r="M2872" i="21"/>
  <c r="M2880" i="21"/>
  <c r="J2888" i="21"/>
  <c r="X2888" i="21" s="1"/>
  <c r="J2896" i="21"/>
  <c r="N2896" i="21" s="1"/>
  <c r="Z2896" i="21" s="1"/>
  <c r="AA2896" i="21" s="1"/>
  <c r="J2904" i="21"/>
  <c r="N2904" i="21" s="1"/>
  <c r="Z2904" i="21" s="1"/>
  <c r="AA2904" i="21" s="1"/>
  <c r="J2909" i="21"/>
  <c r="X2909" i="21" s="1"/>
  <c r="M2949" i="21"/>
  <c r="M2965" i="21"/>
  <c r="J3006" i="21"/>
  <c r="N3006" i="21" s="1"/>
  <c r="Z3006" i="21" s="1"/>
  <c r="AA3006" i="21" s="1"/>
  <c r="J3010" i="21"/>
  <c r="X3010" i="21" s="1"/>
  <c r="J2023" i="21"/>
  <c r="N2023" i="21" s="1"/>
  <c r="Z2023" i="21" s="1"/>
  <c r="AA2023" i="21" s="1"/>
  <c r="J2031" i="21"/>
  <c r="N2031" i="21" s="1"/>
  <c r="Z2031" i="21" s="1"/>
  <c r="AA2031" i="21" s="1"/>
  <c r="J2037" i="21"/>
  <c r="N2037" i="21" s="1"/>
  <c r="Z2037" i="21" s="1"/>
  <c r="AA2037" i="21" s="1"/>
  <c r="J2041" i="21"/>
  <c r="N2041" i="21" s="1"/>
  <c r="Z2041" i="21" s="1"/>
  <c r="AA2041" i="21" s="1"/>
  <c r="J2045" i="21"/>
  <c r="N2045" i="21" s="1"/>
  <c r="Z2045" i="21" s="1"/>
  <c r="AA2045" i="21" s="1"/>
  <c r="N2049" i="21"/>
  <c r="Z2049" i="21" s="1"/>
  <c r="AA2049" i="21" s="1"/>
  <c r="J2152" i="21"/>
  <c r="X2152" i="21" s="1"/>
  <c r="M2152" i="21"/>
  <c r="J2160" i="21"/>
  <c r="M2160" i="21"/>
  <c r="J2168" i="21"/>
  <c r="X2168" i="21" s="1"/>
  <c r="M2168" i="21"/>
  <c r="J2176" i="21"/>
  <c r="M2176" i="21"/>
  <c r="J2184" i="21"/>
  <c r="X2184" i="21" s="1"/>
  <c r="M2184" i="21"/>
  <c r="J2192" i="21"/>
  <c r="X2192" i="21" s="1"/>
  <c r="M2192" i="21"/>
  <c r="J2200" i="21"/>
  <c r="X2200" i="21" s="1"/>
  <c r="M2200" i="21"/>
  <c r="J2208" i="21"/>
  <c r="M2208" i="21"/>
  <c r="J2216" i="21"/>
  <c r="X2216" i="21" s="1"/>
  <c r="M2216" i="21"/>
  <c r="J2224" i="21"/>
  <c r="X2224" i="21" s="1"/>
  <c r="M2224" i="21"/>
  <c r="J2232" i="21"/>
  <c r="X2232" i="21" s="1"/>
  <c r="M2232" i="21"/>
  <c r="J2240" i="21"/>
  <c r="M2240" i="21"/>
  <c r="J2248" i="21"/>
  <c r="X2248" i="21" s="1"/>
  <c r="M2248" i="21"/>
  <c r="J2256" i="21"/>
  <c r="X2256" i="21" s="1"/>
  <c r="M2256" i="21"/>
  <c r="J2264" i="21"/>
  <c r="X2264" i="21" s="1"/>
  <c r="M2264" i="21"/>
  <c r="J2272" i="21"/>
  <c r="M2272" i="21"/>
  <c r="J2280" i="21"/>
  <c r="X2280" i="21" s="1"/>
  <c r="M2280" i="21"/>
  <c r="J2288" i="21"/>
  <c r="X2288" i="21" s="1"/>
  <c r="J2296" i="21"/>
  <c r="X2296" i="21" s="1"/>
  <c r="J2425" i="21"/>
  <c r="N2425" i="21" s="1"/>
  <c r="Z2425" i="21" s="1"/>
  <c r="AA2425" i="21" s="1"/>
  <c r="J2433" i="21"/>
  <c r="J2441" i="21"/>
  <c r="N2441" i="21" s="1"/>
  <c r="Z2441" i="21" s="1"/>
  <c r="AA2441" i="21" s="1"/>
  <c r="J2522" i="21"/>
  <c r="X2522" i="21" s="1"/>
  <c r="J2530" i="21"/>
  <c r="X2530" i="21" s="1"/>
  <c r="J2556" i="21"/>
  <c r="X2556" i="21" s="1"/>
  <c r="M2556" i="21"/>
  <c r="J2558" i="21"/>
  <c r="X2558" i="21" s="1"/>
  <c r="M2558" i="21"/>
  <c r="J2572" i="21"/>
  <c r="M2572" i="21"/>
  <c r="J2574" i="21"/>
  <c r="X2574" i="21" s="1"/>
  <c r="M2574" i="21"/>
  <c r="J2588" i="21"/>
  <c r="X2588" i="21" s="1"/>
  <c r="M2588" i="21"/>
  <c r="J2590" i="21"/>
  <c r="M2590" i="21"/>
  <c r="J2592" i="21"/>
  <c r="X2592" i="21" s="1"/>
  <c r="M2592" i="21"/>
  <c r="J2659" i="21"/>
  <c r="N2659" i="21" s="1"/>
  <c r="Z2659" i="21" s="1"/>
  <c r="AA2659" i="21" s="1"/>
  <c r="J2668" i="21"/>
  <c r="X2668" i="21" s="1"/>
  <c r="J2676" i="21"/>
  <c r="X2676" i="21" s="1"/>
  <c r="J2830" i="21"/>
  <c r="X2830" i="21" s="1"/>
  <c r="M2830" i="21"/>
  <c r="J2834" i="21"/>
  <c r="M2834" i="21"/>
  <c r="J2836" i="21"/>
  <c r="X2836" i="21" s="1"/>
  <c r="M2836" i="21"/>
  <c r="J2838" i="21"/>
  <c r="M2838" i="21"/>
  <c r="M2874" i="21"/>
  <c r="M2882" i="21"/>
  <c r="J2913" i="21"/>
  <c r="X2913" i="21" s="1"/>
  <c r="J2917" i="21"/>
  <c r="X2917" i="21" s="1"/>
  <c r="J2921" i="21"/>
  <c r="X2921" i="21" s="1"/>
  <c r="J2925" i="21"/>
  <c r="X2925" i="21" s="1"/>
  <c r="J2929" i="21"/>
  <c r="X2929" i="21" s="1"/>
  <c r="J2933" i="21"/>
  <c r="X2933" i="21" s="1"/>
  <c r="M2937" i="21"/>
  <c r="M2953" i="21"/>
  <c r="M2959" i="21"/>
  <c r="J2985" i="21"/>
  <c r="X2985" i="21" s="1"/>
  <c r="J2993" i="21"/>
  <c r="X2993" i="21" s="1"/>
  <c r="J3001" i="21"/>
  <c r="X3001" i="21" s="1"/>
  <c r="J3009" i="21"/>
  <c r="X3009" i="21" s="1"/>
  <c r="J2013" i="21"/>
  <c r="N2013" i="21" s="1"/>
  <c r="Z2013" i="21" s="1"/>
  <c r="AA2013" i="21" s="1"/>
  <c r="J2021" i="21"/>
  <c r="J2029" i="21"/>
  <c r="N2029" i="21" s="1"/>
  <c r="Z2029" i="21" s="1"/>
  <c r="AA2029" i="21" s="1"/>
  <c r="X2049" i="21"/>
  <c r="J2086" i="21"/>
  <c r="N2086" i="21" s="1"/>
  <c r="Z2086" i="21" s="1"/>
  <c r="AA2086" i="21" s="1"/>
  <c r="M2092" i="21"/>
  <c r="J2094" i="21"/>
  <c r="N2094" i="21" s="1"/>
  <c r="Z2094" i="21" s="1"/>
  <c r="AA2094" i="21" s="1"/>
  <c r="M2100" i="21"/>
  <c r="J2102" i="21"/>
  <c r="N2102" i="21" s="1"/>
  <c r="Z2102" i="21" s="1"/>
  <c r="AA2102" i="21" s="1"/>
  <c r="M2108" i="21"/>
  <c r="J2110" i="21"/>
  <c r="M2116" i="21"/>
  <c r="J2118" i="21"/>
  <c r="N2118" i="21" s="1"/>
  <c r="Z2118" i="21" s="1"/>
  <c r="AA2118" i="21" s="1"/>
  <c r="M2124" i="21"/>
  <c r="J2126" i="21"/>
  <c r="N2126" i="21" s="1"/>
  <c r="Z2126" i="21" s="1"/>
  <c r="AA2126" i="21" s="1"/>
  <c r="M2132" i="21"/>
  <c r="J2134" i="21"/>
  <c r="N2134" i="21" s="1"/>
  <c r="Z2134" i="21" s="1"/>
  <c r="AA2134" i="21" s="1"/>
  <c r="M2140" i="21"/>
  <c r="J2142" i="21"/>
  <c r="M2148" i="21"/>
  <c r="J2150" i="21"/>
  <c r="X2150" i="21" s="1"/>
  <c r="J2157" i="21"/>
  <c r="N2157" i="21" s="1"/>
  <c r="Z2157" i="21" s="1"/>
  <c r="AA2157" i="21" s="1"/>
  <c r="J2158" i="21"/>
  <c r="M2158" i="21"/>
  <c r="J2165" i="21"/>
  <c r="N2165" i="21" s="1"/>
  <c r="Z2165" i="21" s="1"/>
  <c r="AA2165" i="21" s="1"/>
  <c r="J2166" i="21"/>
  <c r="X2166" i="21" s="1"/>
  <c r="M2166" i="21"/>
  <c r="J2173" i="21"/>
  <c r="N2173" i="21" s="1"/>
  <c r="Z2173" i="21" s="1"/>
  <c r="AA2173" i="21" s="1"/>
  <c r="J2174" i="21"/>
  <c r="M2174" i="21"/>
  <c r="J2181" i="21"/>
  <c r="N2181" i="21" s="1"/>
  <c r="Z2181" i="21" s="1"/>
  <c r="AA2181" i="21" s="1"/>
  <c r="J2182" i="21"/>
  <c r="X2182" i="21" s="1"/>
  <c r="M2182" i="21"/>
  <c r="J2189" i="21"/>
  <c r="J2190" i="21"/>
  <c r="M2190" i="21"/>
  <c r="J2197" i="21"/>
  <c r="X2197" i="21" s="1"/>
  <c r="J2198" i="21"/>
  <c r="X2198" i="21" s="1"/>
  <c r="M2198" i="21"/>
  <c r="J2205" i="21"/>
  <c r="J2206" i="21"/>
  <c r="X2206" i="21" s="1"/>
  <c r="M2206" i="21"/>
  <c r="J2213" i="21"/>
  <c r="J2214" i="21"/>
  <c r="M2214" i="21"/>
  <c r="J2221" i="21"/>
  <c r="X2221" i="21" s="1"/>
  <c r="J2222" i="21"/>
  <c r="X2222" i="21" s="1"/>
  <c r="M2222" i="21"/>
  <c r="J2229" i="21"/>
  <c r="N2229" i="21" s="1"/>
  <c r="Z2229" i="21" s="1"/>
  <c r="AA2229" i="21" s="1"/>
  <c r="J2230" i="21"/>
  <c r="X2230" i="21" s="1"/>
  <c r="M2230" i="21"/>
  <c r="J2237" i="21"/>
  <c r="X2237" i="21" s="1"/>
  <c r="J2238" i="21"/>
  <c r="M2238" i="21"/>
  <c r="J2245" i="21"/>
  <c r="N2245" i="21" s="1"/>
  <c r="Z2245" i="21" s="1"/>
  <c r="AA2245" i="21" s="1"/>
  <c r="J2246" i="21"/>
  <c r="X2246" i="21" s="1"/>
  <c r="M2246" i="21"/>
  <c r="J2253" i="21"/>
  <c r="X2253" i="21" s="1"/>
  <c r="J2254" i="21"/>
  <c r="M2254" i="21"/>
  <c r="J2261" i="21"/>
  <c r="N2261" i="21" s="1"/>
  <c r="Z2261" i="21" s="1"/>
  <c r="AA2261" i="21" s="1"/>
  <c r="J2262" i="21"/>
  <c r="X2262" i="21" s="1"/>
  <c r="M2262" i="21"/>
  <c r="J2269" i="21"/>
  <c r="J2270" i="21"/>
  <c r="M2270" i="21"/>
  <c r="J2277" i="21"/>
  <c r="J2278" i="21"/>
  <c r="X2278" i="21" s="1"/>
  <c r="M2278" i="21"/>
  <c r="J2285" i="21"/>
  <c r="N2285" i="21" s="1"/>
  <c r="Z2285" i="21" s="1"/>
  <c r="AA2285" i="21" s="1"/>
  <c r="J2286" i="21"/>
  <c r="X2286" i="21" s="1"/>
  <c r="M2286" i="21"/>
  <c r="J2293" i="21"/>
  <c r="J2294" i="21"/>
  <c r="X2294" i="21" s="1"/>
  <c r="M2330" i="21"/>
  <c r="J2334" i="21"/>
  <c r="N2334" i="21" s="1"/>
  <c r="Z2334" i="21" s="1"/>
  <c r="AA2334" i="21" s="1"/>
  <c r="J2342" i="21"/>
  <c r="N2342" i="21" s="1"/>
  <c r="Z2342" i="21" s="1"/>
  <c r="AA2342" i="21" s="1"/>
  <c r="J2350" i="21"/>
  <c r="J2358" i="21"/>
  <c r="N2358" i="21" s="1"/>
  <c r="Z2358" i="21" s="1"/>
  <c r="AA2358" i="21" s="1"/>
  <c r="J2366" i="21"/>
  <c r="M2372" i="21"/>
  <c r="J2374" i="21"/>
  <c r="N2374" i="21" s="1"/>
  <c r="Z2374" i="21" s="1"/>
  <c r="AA2374" i="21" s="1"/>
  <c r="J2382" i="21"/>
  <c r="N2382" i="21" s="1"/>
  <c r="Z2382" i="21" s="1"/>
  <c r="AA2382" i="21" s="1"/>
  <c r="J2390" i="21"/>
  <c r="N2390" i="21" s="1"/>
  <c r="Z2390" i="21" s="1"/>
  <c r="AA2390" i="21" s="1"/>
  <c r="J2423" i="21"/>
  <c r="J2431" i="21"/>
  <c r="J2439" i="21"/>
  <c r="N2439" i="21" s="1"/>
  <c r="Z2439" i="21" s="1"/>
  <c r="AA2439" i="21" s="1"/>
  <c r="J2520" i="21"/>
  <c r="X2520" i="21" s="1"/>
  <c r="J2528" i="21"/>
  <c r="X2528" i="21" s="1"/>
  <c r="J2557" i="21"/>
  <c r="J2559" i="21"/>
  <c r="N2559" i="21" s="1"/>
  <c r="Z2559" i="21" s="1"/>
  <c r="AA2559" i="21" s="1"/>
  <c r="J2570" i="21"/>
  <c r="X2570" i="21" s="1"/>
  <c r="M2570" i="21"/>
  <c r="J2571" i="21"/>
  <c r="X2571" i="21" s="1"/>
  <c r="J2573" i="21"/>
  <c r="X2573" i="21" s="1"/>
  <c r="J2575" i="21"/>
  <c r="N2575" i="21" s="1"/>
  <c r="Z2575" i="21" s="1"/>
  <c r="AA2575" i="21" s="1"/>
  <c r="J2586" i="21"/>
  <c r="X2586" i="21" s="1"/>
  <c r="M2586" i="21"/>
  <c r="J2587" i="21"/>
  <c r="N2587" i="21" s="1"/>
  <c r="Z2587" i="21" s="1"/>
  <c r="AA2587" i="21" s="1"/>
  <c r="J2589" i="21"/>
  <c r="X2589" i="21" s="1"/>
  <c r="J2633" i="21"/>
  <c r="J2641" i="21"/>
  <c r="X2641" i="21" s="1"/>
  <c r="J2649" i="21"/>
  <c r="N2649" i="21" s="1"/>
  <c r="Z2649" i="21" s="1"/>
  <c r="AA2649" i="21" s="1"/>
  <c r="J2655" i="21"/>
  <c r="J2665" i="21"/>
  <c r="X2665" i="21" s="1"/>
  <c r="J2666" i="21"/>
  <c r="X2666" i="21" s="1"/>
  <c r="J2673" i="21"/>
  <c r="N2673" i="21" s="1"/>
  <c r="Z2673" i="21" s="1"/>
  <c r="AA2673" i="21" s="1"/>
  <c r="J2674" i="21"/>
  <c r="X2674" i="21" s="1"/>
  <c r="J2680" i="21"/>
  <c r="X2680" i="21" s="1"/>
  <c r="J2684" i="21"/>
  <c r="X2684" i="21" s="1"/>
  <c r="J2688" i="21"/>
  <c r="N2688" i="21" s="1"/>
  <c r="Z2688" i="21" s="1"/>
  <c r="AA2688" i="21" s="1"/>
  <c r="J2692" i="21"/>
  <c r="N2692" i="21" s="1"/>
  <c r="Z2692" i="21" s="1"/>
  <c r="AA2692" i="21" s="1"/>
  <c r="J2696" i="21"/>
  <c r="X2696" i="21" s="1"/>
  <c r="J2700" i="21"/>
  <c r="X2700" i="21" s="1"/>
  <c r="J2704" i="21"/>
  <c r="N2704" i="21" s="1"/>
  <c r="Z2704" i="21" s="1"/>
  <c r="AA2704" i="21" s="1"/>
  <c r="J2708" i="21"/>
  <c r="N2708" i="21" s="1"/>
  <c r="Z2708" i="21" s="1"/>
  <c r="AA2708" i="21" s="1"/>
  <c r="J2712" i="21"/>
  <c r="X2712" i="21" s="1"/>
  <c r="J2763" i="21"/>
  <c r="J2771" i="21"/>
  <c r="N2771" i="21" s="1"/>
  <c r="Z2771" i="21" s="1"/>
  <c r="AA2771" i="21" s="1"/>
  <c r="J2779" i="21"/>
  <c r="N2779" i="21" s="1"/>
  <c r="Z2779" i="21" s="1"/>
  <c r="AA2779" i="21" s="1"/>
  <c r="J2787" i="21"/>
  <c r="N2787" i="21" s="1"/>
  <c r="Z2787" i="21" s="1"/>
  <c r="AA2787" i="21" s="1"/>
  <c r="X2789" i="21"/>
  <c r="J2795" i="21"/>
  <c r="J2803" i="21"/>
  <c r="N2803" i="21" s="1"/>
  <c r="Z2803" i="21" s="1"/>
  <c r="AA2803" i="21" s="1"/>
  <c r="J2811" i="21"/>
  <c r="N2811" i="21" s="1"/>
  <c r="Z2811" i="21" s="1"/>
  <c r="AA2811" i="21" s="1"/>
  <c r="J2819" i="21"/>
  <c r="N2819" i="21" s="1"/>
  <c r="Z2819" i="21" s="1"/>
  <c r="AA2819" i="21" s="1"/>
  <c r="J2823" i="21"/>
  <c r="N2823" i="21" s="1"/>
  <c r="Z2823" i="21" s="1"/>
  <c r="AA2823" i="21" s="1"/>
  <c r="J2827" i="21"/>
  <c r="X2827" i="21" s="1"/>
  <c r="J2842" i="21"/>
  <c r="X2842" i="21" s="1"/>
  <c r="J2850" i="21"/>
  <c r="X2850" i="21" s="1"/>
  <c r="J2858" i="21"/>
  <c r="X2858" i="21" s="1"/>
  <c r="J2866" i="21"/>
  <c r="X2866" i="21" s="1"/>
  <c r="J2916" i="21"/>
  <c r="N2916" i="21" s="1"/>
  <c r="Z2916" i="21" s="1"/>
  <c r="AA2916" i="21" s="1"/>
  <c r="J2920" i="21"/>
  <c r="N2920" i="21" s="1"/>
  <c r="Z2920" i="21" s="1"/>
  <c r="AA2920" i="21" s="1"/>
  <c r="J2924" i="21"/>
  <c r="X2924" i="21" s="1"/>
  <c r="J2928" i="21"/>
  <c r="N2928" i="21" s="1"/>
  <c r="Z2928" i="21" s="1"/>
  <c r="AA2928" i="21" s="1"/>
  <c r="J2932" i="21"/>
  <c r="X2932" i="21" s="1"/>
  <c r="J2935" i="21"/>
  <c r="N2935" i="21" s="1"/>
  <c r="Z2935" i="21" s="1"/>
  <c r="AA2935" i="21" s="1"/>
  <c r="J2951" i="21"/>
  <c r="N2951" i="21" s="1"/>
  <c r="Z2951" i="21" s="1"/>
  <c r="AA2951" i="21" s="1"/>
  <c r="J2979" i="21"/>
  <c r="X2979" i="21" s="1"/>
  <c r="M999" i="21"/>
  <c r="M1011" i="21"/>
  <c r="M1017" i="21"/>
  <c r="M1027" i="21"/>
  <c r="M1031" i="21"/>
  <c r="J1397" i="21"/>
  <c r="X1397" i="21" s="1"/>
  <c r="M1397" i="21"/>
  <c r="M1291" i="21"/>
  <c r="M1297" i="21"/>
  <c r="M1307" i="21"/>
  <c r="M1335" i="21"/>
  <c r="J1376" i="21"/>
  <c r="N1376" i="21" s="1"/>
  <c r="Z1376" i="21" s="1"/>
  <c r="AA1376" i="21" s="1"/>
  <c r="M1387" i="21"/>
  <c r="J1395" i="21"/>
  <c r="X1395" i="21" s="1"/>
  <c r="M1395" i="21"/>
  <c r="M1476" i="21"/>
  <c r="M1478" i="21"/>
  <c r="M1480" i="21"/>
  <c r="M1482" i="21"/>
  <c r="M1484" i="21"/>
  <c r="M1486" i="21"/>
  <c r="M1488" i="21"/>
  <c r="M1490" i="21"/>
  <c r="M1492" i="21"/>
  <c r="M1413" i="21"/>
  <c r="M1417" i="21"/>
  <c r="M1419" i="21"/>
  <c r="M1421" i="21"/>
  <c r="M1423" i="21"/>
  <c r="M1425" i="21"/>
  <c r="M1427" i="21"/>
  <c r="M1429" i="21"/>
  <c r="M1431" i="21"/>
  <c r="M1433" i="21"/>
  <c r="M1435" i="21"/>
  <c r="M1437" i="21"/>
  <c r="M1439" i="21"/>
  <c r="M1441" i="21"/>
  <c r="M1443" i="21"/>
  <c r="M1445" i="21"/>
  <c r="M1447" i="21"/>
  <c r="M1449" i="21"/>
  <c r="M1451" i="21"/>
  <c r="M1453" i="21"/>
  <c r="M1455" i="21"/>
  <c r="M1457" i="21"/>
  <c r="M1459" i="21"/>
  <c r="M1461" i="21"/>
  <c r="M1463" i="21"/>
  <c r="M1465" i="21"/>
  <c r="M1467" i="21"/>
  <c r="M1469" i="21"/>
  <c r="M1471" i="21"/>
  <c r="M1473" i="21"/>
  <c r="J1502" i="21"/>
  <c r="N1502" i="21" s="1"/>
  <c r="Z1502" i="21" s="1"/>
  <c r="AA1502" i="21" s="1"/>
  <c r="J1510" i="21"/>
  <c r="N1510" i="21" s="1"/>
  <c r="Z1510" i="21" s="1"/>
  <c r="AA1510" i="21" s="1"/>
  <c r="J1518" i="21"/>
  <c r="N1518" i="21" s="1"/>
  <c r="Z1518" i="21" s="1"/>
  <c r="AA1518" i="21" s="1"/>
  <c r="J1494" i="21"/>
  <c r="X1494" i="21" s="1"/>
  <c r="J1496" i="21"/>
  <c r="X1496" i="21" s="1"/>
  <c r="J1498" i="21"/>
  <c r="N1498" i="21" s="1"/>
  <c r="Z1498" i="21" s="1"/>
  <c r="AA1498" i="21" s="1"/>
  <c r="J1506" i="21"/>
  <c r="N1506" i="21" s="1"/>
  <c r="Z1506" i="21" s="1"/>
  <c r="AA1506" i="21" s="1"/>
  <c r="J1514" i="21"/>
  <c r="N1514" i="21" s="1"/>
  <c r="Z1514" i="21" s="1"/>
  <c r="AA1514" i="21" s="1"/>
  <c r="J1522" i="21"/>
  <c r="N1522" i="21" s="1"/>
  <c r="Z1522" i="21" s="1"/>
  <c r="AA1522" i="21" s="1"/>
  <c r="X1605" i="21"/>
  <c r="J1598" i="21"/>
  <c r="J1604" i="21"/>
  <c r="X1604" i="21" s="1"/>
  <c r="J1608" i="21"/>
  <c r="X1608" i="21" s="1"/>
  <c r="J1526" i="21"/>
  <c r="X1526" i="21" s="1"/>
  <c r="M1526" i="21"/>
  <c r="J1528" i="21"/>
  <c r="X1528" i="21" s="1"/>
  <c r="M1528" i="21"/>
  <c r="J1530" i="21"/>
  <c r="X1530" i="21" s="1"/>
  <c r="M1530" i="21"/>
  <c r="J1532" i="21"/>
  <c r="X1532" i="21" s="1"/>
  <c r="M1532" i="21"/>
  <c r="J1534" i="21"/>
  <c r="X1534" i="21" s="1"/>
  <c r="M1534" i="21"/>
  <c r="J1536" i="21"/>
  <c r="X1536" i="21" s="1"/>
  <c r="M1536" i="21"/>
  <c r="J1538" i="21"/>
  <c r="X1538" i="21" s="1"/>
  <c r="M1538" i="21"/>
  <c r="J1540" i="21"/>
  <c r="X1540" i="21" s="1"/>
  <c r="M1540" i="21"/>
  <c r="J1542" i="21"/>
  <c r="X1542" i="21" s="1"/>
  <c r="M1542" i="21"/>
  <c r="J1544" i="21"/>
  <c r="X1544" i="21" s="1"/>
  <c r="M1544" i="21"/>
  <c r="J1546" i="21"/>
  <c r="X1546" i="21" s="1"/>
  <c r="M1546" i="21"/>
  <c r="J1548" i="21"/>
  <c r="X1548" i="21" s="1"/>
  <c r="M1548" i="21"/>
  <c r="J1550" i="21"/>
  <c r="X1550" i="21" s="1"/>
  <c r="M1550" i="21"/>
  <c r="J1552" i="21"/>
  <c r="X1552" i="21" s="1"/>
  <c r="M1552" i="21"/>
  <c r="J1554" i="21"/>
  <c r="X1554" i="21" s="1"/>
  <c r="M1554" i="21"/>
  <c r="X1733" i="21"/>
  <c r="N1733" i="21"/>
  <c r="Z1733" i="21" s="1"/>
  <c r="AA1733" i="21" s="1"/>
  <c r="J1602" i="21"/>
  <c r="N1602" i="21" s="1"/>
  <c r="Z1602" i="21" s="1"/>
  <c r="AA1602" i="21" s="1"/>
  <c r="N1605" i="21"/>
  <c r="Z1605" i="21" s="1"/>
  <c r="AA1605" i="21" s="1"/>
  <c r="J1606" i="21"/>
  <c r="N1606" i="21" s="1"/>
  <c r="Z1606" i="21" s="1"/>
  <c r="AA1606" i="21" s="1"/>
  <c r="J1622" i="21"/>
  <c r="N1622" i="21" s="1"/>
  <c r="Z1622" i="21" s="1"/>
  <c r="AA1622" i="21" s="1"/>
  <c r="J1624" i="21"/>
  <c r="X1624" i="21" s="1"/>
  <c r="J1626" i="21"/>
  <c r="X1626" i="21" s="1"/>
  <c r="J1628" i="21"/>
  <c r="N1628" i="21" s="1"/>
  <c r="Z1628" i="21" s="1"/>
  <c r="AA1628" i="21" s="1"/>
  <c r="J1630" i="21"/>
  <c r="N1630" i="21" s="1"/>
  <c r="Z1630" i="21" s="1"/>
  <c r="AA1630" i="21" s="1"/>
  <c r="J1673" i="21"/>
  <c r="N1673" i="21" s="1"/>
  <c r="Z1673" i="21" s="1"/>
  <c r="AA1673" i="21" s="1"/>
  <c r="J1678" i="21"/>
  <c r="X1678" i="21" s="1"/>
  <c r="M1678" i="21"/>
  <c r="J1682" i="21"/>
  <c r="X1682" i="21" s="1"/>
  <c r="M1682" i="21"/>
  <c r="J1686" i="21"/>
  <c r="X1686" i="21" s="1"/>
  <c r="M1686" i="21"/>
  <c r="J1690" i="21"/>
  <c r="X1690" i="21" s="1"/>
  <c r="M1690" i="21"/>
  <c r="J1694" i="21"/>
  <c r="X1694" i="21" s="1"/>
  <c r="M1694" i="21"/>
  <c r="J1698" i="21"/>
  <c r="X1698" i="21" s="1"/>
  <c r="M1698" i="21"/>
  <c r="J1702" i="21"/>
  <c r="X1702" i="21" s="1"/>
  <c r="M1702" i="21"/>
  <c r="J1706" i="21"/>
  <c r="X1706" i="21" s="1"/>
  <c r="M1706" i="21"/>
  <c r="J1710" i="21"/>
  <c r="X1710" i="21" s="1"/>
  <c r="M1710" i="21"/>
  <c r="J1714" i="21"/>
  <c r="X1714" i="21" s="1"/>
  <c r="M1714" i="21"/>
  <c r="J1718" i="21"/>
  <c r="X1718" i="21" s="1"/>
  <c r="M1718" i="21"/>
  <c r="J1722" i="21"/>
  <c r="X1722" i="21" s="1"/>
  <c r="M1722" i="21"/>
  <c r="J1726" i="21"/>
  <c r="X1726" i="21" s="1"/>
  <c r="M1726" i="21"/>
  <c r="J1730" i="21"/>
  <c r="X1730" i="21" s="1"/>
  <c r="M1730" i="21"/>
  <c r="N1777" i="21"/>
  <c r="Z1777" i="21" s="1"/>
  <c r="AA1777" i="21" s="1"/>
  <c r="J1670" i="21"/>
  <c r="N1670" i="21" s="1"/>
  <c r="Z1670" i="21" s="1"/>
  <c r="AA1670" i="21" s="1"/>
  <c r="X1636" i="21"/>
  <c r="X1640" i="21"/>
  <c r="J1669" i="21"/>
  <c r="N1669" i="21" s="1"/>
  <c r="Z1669" i="21" s="1"/>
  <c r="AA1669" i="21" s="1"/>
  <c r="J1672" i="21"/>
  <c r="N1672" i="21" s="1"/>
  <c r="Z1672" i="21" s="1"/>
  <c r="AA1672" i="21" s="1"/>
  <c r="J1676" i="21"/>
  <c r="X1676" i="21" s="1"/>
  <c r="M1676" i="21"/>
  <c r="J1680" i="21"/>
  <c r="X1680" i="21" s="1"/>
  <c r="M1680" i="21"/>
  <c r="J1684" i="21"/>
  <c r="X1684" i="21" s="1"/>
  <c r="M1684" i="21"/>
  <c r="J1688" i="21"/>
  <c r="X1688" i="21" s="1"/>
  <c r="M1688" i="21"/>
  <c r="J1692" i="21"/>
  <c r="X1692" i="21" s="1"/>
  <c r="M1692" i="21"/>
  <c r="J1696" i="21"/>
  <c r="X1696" i="21" s="1"/>
  <c r="M1696" i="21"/>
  <c r="J1700" i="21"/>
  <c r="X1700" i="21" s="1"/>
  <c r="M1700" i="21"/>
  <c r="J1704" i="21"/>
  <c r="X1704" i="21" s="1"/>
  <c r="M1704" i="21"/>
  <c r="J1708" i="21"/>
  <c r="X1708" i="21" s="1"/>
  <c r="M1708" i="21"/>
  <c r="J1712" i="21"/>
  <c r="X1712" i="21" s="1"/>
  <c r="M1712" i="21"/>
  <c r="J1716" i="21"/>
  <c r="X1716" i="21" s="1"/>
  <c r="M1716" i="21"/>
  <c r="J1720" i="21"/>
  <c r="X1720" i="21" s="1"/>
  <c r="M1720" i="21"/>
  <c r="J1724" i="21"/>
  <c r="X1724" i="21" s="1"/>
  <c r="M1724" i="21"/>
  <c r="J1728" i="21"/>
  <c r="X1728" i="21" s="1"/>
  <c r="M1728" i="21"/>
  <c r="J1758" i="21"/>
  <c r="X1758" i="21" s="1"/>
  <c r="M1758" i="21"/>
  <c r="J1760" i="21"/>
  <c r="X1760" i="21" s="1"/>
  <c r="M1760" i="21"/>
  <c r="J1762" i="21"/>
  <c r="X1762" i="21" s="1"/>
  <c r="M1762" i="21"/>
  <c r="J1764" i="21"/>
  <c r="X1764" i="21" s="1"/>
  <c r="M1764" i="21"/>
  <c r="J1766" i="21"/>
  <c r="X1766" i="21" s="1"/>
  <c r="M1766" i="21"/>
  <c r="J1768" i="21"/>
  <c r="X1768" i="21" s="1"/>
  <c r="M1768" i="21"/>
  <c r="J1770" i="21"/>
  <c r="X1770" i="21" s="1"/>
  <c r="M1770" i="21"/>
  <c r="J1772" i="21"/>
  <c r="X1772" i="21" s="1"/>
  <c r="M1772" i="21"/>
  <c r="J1774" i="21"/>
  <c r="X1774" i="21" s="1"/>
  <c r="M1774" i="21"/>
  <c r="J1776" i="21"/>
  <c r="X1776" i="21" s="1"/>
  <c r="M1776" i="21"/>
  <c r="X1777" i="21"/>
  <c r="J1778" i="21"/>
  <c r="X1778" i="21" s="1"/>
  <c r="M1778" i="21"/>
  <c r="J1780" i="21"/>
  <c r="X1780" i="21" s="1"/>
  <c r="M1780" i="21"/>
  <c r="J1782" i="21"/>
  <c r="X1782" i="21" s="1"/>
  <c r="M1782" i="21"/>
  <c r="J1794" i="21"/>
  <c r="X1794" i="21" s="1"/>
  <c r="J1798" i="21"/>
  <c r="X1798" i="21" s="1"/>
  <c r="J1802" i="21"/>
  <c r="X1802" i="21" s="1"/>
  <c r="J1806" i="21"/>
  <c r="X1806" i="21" s="1"/>
  <c r="J1732" i="21"/>
  <c r="X1732" i="21" s="1"/>
  <c r="M1732" i="21"/>
  <c r="J1734" i="21"/>
  <c r="X1734" i="21" s="1"/>
  <c r="M1734" i="21"/>
  <c r="J1736" i="21"/>
  <c r="X1736" i="21" s="1"/>
  <c r="M1736" i="21"/>
  <c r="J1738" i="21"/>
  <c r="X1738" i="21" s="1"/>
  <c r="M1738" i="21"/>
  <c r="J1740" i="21"/>
  <c r="X1740" i="21" s="1"/>
  <c r="M1740" i="21"/>
  <c r="J1742" i="21"/>
  <c r="X1742" i="21" s="1"/>
  <c r="M1742" i="21"/>
  <c r="J1744" i="21"/>
  <c r="X1744" i="21" s="1"/>
  <c r="M1744" i="21"/>
  <c r="J1746" i="21"/>
  <c r="X1746" i="21" s="1"/>
  <c r="M1746" i="21"/>
  <c r="J1748" i="21"/>
  <c r="X1748" i="21" s="1"/>
  <c r="M1748" i="21"/>
  <c r="J1750" i="21"/>
  <c r="X1750" i="21" s="1"/>
  <c r="M1750" i="21"/>
  <c r="J1752" i="21"/>
  <c r="X1752" i="21" s="1"/>
  <c r="M1752" i="21"/>
  <c r="J1754" i="21"/>
  <c r="X1754" i="21" s="1"/>
  <c r="M1754" i="21"/>
  <c r="J1756" i="21"/>
  <c r="X1756" i="21" s="1"/>
  <c r="M1756" i="21"/>
  <c r="J1796" i="21"/>
  <c r="X1796" i="21" s="1"/>
  <c r="J1800" i="21"/>
  <c r="X1800" i="21" s="1"/>
  <c r="J1804" i="21"/>
  <c r="X1804" i="21" s="1"/>
  <c r="J1808" i="21"/>
  <c r="X1808" i="21" s="1"/>
  <c r="M1852" i="21"/>
  <c r="M1857" i="21"/>
  <c r="J1857" i="21"/>
  <c r="X1857" i="21" s="1"/>
  <c r="M1859" i="21"/>
  <c r="J1859" i="21"/>
  <c r="X1859" i="21" s="1"/>
  <c r="M1854" i="21"/>
  <c r="N1876" i="21"/>
  <c r="Z1876" i="21" s="1"/>
  <c r="AA1876" i="21" s="1"/>
  <c r="M1784" i="21"/>
  <c r="M1786" i="21"/>
  <c r="M1788" i="21"/>
  <c r="M1790" i="21"/>
  <c r="M1792" i="21"/>
  <c r="M1794" i="21"/>
  <c r="M1796" i="21"/>
  <c r="M1798" i="21"/>
  <c r="M1800" i="21"/>
  <c r="M1802" i="21"/>
  <c r="M1804" i="21"/>
  <c r="M1806" i="21"/>
  <c r="M1808" i="21"/>
  <c r="M1856" i="21"/>
  <c r="J1810" i="21"/>
  <c r="X1810" i="21" s="1"/>
  <c r="M1810" i="21"/>
  <c r="J1812" i="21"/>
  <c r="X1812" i="21" s="1"/>
  <c r="M1812" i="21"/>
  <c r="J1814" i="21"/>
  <c r="X1814" i="21" s="1"/>
  <c r="M1814" i="21"/>
  <c r="J1816" i="21"/>
  <c r="X1816" i="21" s="1"/>
  <c r="M1816" i="21"/>
  <c r="J1818" i="21"/>
  <c r="X1818" i="21" s="1"/>
  <c r="M1818" i="21"/>
  <c r="J1820" i="21"/>
  <c r="X1820" i="21" s="1"/>
  <c r="M1820" i="21"/>
  <c r="J1822" i="21"/>
  <c r="X1822" i="21" s="1"/>
  <c r="M1822" i="21"/>
  <c r="J1824" i="21"/>
  <c r="X1824" i="21" s="1"/>
  <c r="M1824" i="21"/>
  <c r="J1826" i="21"/>
  <c r="X1826" i="21" s="1"/>
  <c r="M1826" i="21"/>
  <c r="J1828" i="21"/>
  <c r="X1828" i="21" s="1"/>
  <c r="M1828" i="21"/>
  <c r="J1830" i="21"/>
  <c r="X1830" i="21" s="1"/>
  <c r="M1830" i="21"/>
  <c r="J1832" i="21"/>
  <c r="X1832" i="21" s="1"/>
  <c r="M1832" i="21"/>
  <c r="J1834" i="21"/>
  <c r="X1834" i="21" s="1"/>
  <c r="M1834" i="21"/>
  <c r="J1836" i="21"/>
  <c r="X1836" i="21" s="1"/>
  <c r="M1836" i="21"/>
  <c r="J1838" i="21"/>
  <c r="X1838" i="21" s="1"/>
  <c r="M1838" i="21"/>
  <c r="J1840" i="21"/>
  <c r="X1840" i="21" s="1"/>
  <c r="M1840" i="21"/>
  <c r="J1842" i="21"/>
  <c r="X1842" i="21" s="1"/>
  <c r="M1842" i="21"/>
  <c r="J1844" i="21"/>
  <c r="X1844" i="21" s="1"/>
  <c r="M1844" i="21"/>
  <c r="J1846" i="21"/>
  <c r="X1846" i="21" s="1"/>
  <c r="M1846" i="21"/>
  <c r="J1848" i="21"/>
  <c r="X1848" i="21" s="1"/>
  <c r="M1848" i="21"/>
  <c r="J1850" i="21"/>
  <c r="X1850" i="21" s="1"/>
  <c r="M1850" i="21"/>
  <c r="J1861" i="21"/>
  <c r="N1861" i="21" s="1"/>
  <c r="Z1861" i="21" s="1"/>
  <c r="AA1861" i="21" s="1"/>
  <c r="J1863" i="21"/>
  <c r="N1863" i="21" s="1"/>
  <c r="Z1863" i="21" s="1"/>
  <c r="AA1863" i="21" s="1"/>
  <c r="J1865" i="21"/>
  <c r="N1865" i="21" s="1"/>
  <c r="Z1865" i="21" s="1"/>
  <c r="AA1865" i="21" s="1"/>
  <c r="J1867" i="21"/>
  <c r="N1867" i="21" s="1"/>
  <c r="Z1867" i="21" s="1"/>
  <c r="AA1867" i="21" s="1"/>
  <c r="J1869" i="21"/>
  <c r="J1871" i="21"/>
  <c r="N1871" i="21" s="1"/>
  <c r="Z1871" i="21" s="1"/>
  <c r="AA1871" i="21" s="1"/>
  <c r="J1873" i="21"/>
  <c r="J1875" i="21"/>
  <c r="X1875" i="21" s="1"/>
  <c r="J1877" i="21"/>
  <c r="N1877" i="21" s="1"/>
  <c r="Z1877" i="21" s="1"/>
  <c r="AA1877" i="21" s="1"/>
  <c r="X1876" i="21"/>
  <c r="X1888" i="21"/>
  <c r="M1879" i="21"/>
  <c r="M1881" i="21"/>
  <c r="M1883" i="21"/>
  <c r="M1885" i="21"/>
  <c r="M1887" i="21"/>
  <c r="M1889" i="21"/>
  <c r="M1891" i="21"/>
  <c r="M1893" i="21"/>
  <c r="M1895" i="21"/>
  <c r="M1897" i="21"/>
  <c r="M1899" i="21"/>
  <c r="M1901" i="21"/>
  <c r="M1903" i="21"/>
  <c r="M1905" i="21"/>
  <c r="M1907" i="21"/>
  <c r="J1947" i="21"/>
  <c r="X1947" i="21" s="1"/>
  <c r="M1947" i="21"/>
  <c r="M1933" i="21"/>
  <c r="M1935" i="21"/>
  <c r="M1937" i="21"/>
  <c r="M1939" i="21"/>
  <c r="M1941" i="21"/>
  <c r="M1943" i="21"/>
  <c r="M1945" i="21"/>
  <c r="M1909" i="21"/>
  <c r="M1911" i="21"/>
  <c r="M1913" i="21"/>
  <c r="M1915" i="21"/>
  <c r="M1917" i="21"/>
  <c r="M1919" i="21"/>
  <c r="M1921" i="21"/>
  <c r="M1923" i="21"/>
  <c r="M1925" i="21"/>
  <c r="M1927" i="21"/>
  <c r="M1929" i="21"/>
  <c r="M1931" i="21"/>
  <c r="J1908" i="21"/>
  <c r="N1908" i="21" s="1"/>
  <c r="Z1908" i="21" s="1"/>
  <c r="AA1908" i="21" s="1"/>
  <c r="J1910" i="21"/>
  <c r="J1912" i="21"/>
  <c r="J1914" i="21"/>
  <c r="X1914" i="21" s="1"/>
  <c r="J1916" i="21"/>
  <c r="N1916" i="21" s="1"/>
  <c r="Z1916" i="21" s="1"/>
  <c r="AA1916" i="21" s="1"/>
  <c r="J1918" i="21"/>
  <c r="J1920" i="21"/>
  <c r="N1920" i="21" s="1"/>
  <c r="Z1920" i="21" s="1"/>
  <c r="AA1920" i="21" s="1"/>
  <c r="J1922" i="21"/>
  <c r="N1922" i="21" s="1"/>
  <c r="Z1922" i="21" s="1"/>
  <c r="AA1922" i="21" s="1"/>
  <c r="J1924" i="21"/>
  <c r="N1924" i="21" s="1"/>
  <c r="Z1924" i="21" s="1"/>
  <c r="AA1924" i="21" s="1"/>
  <c r="J1926" i="21"/>
  <c r="N1926" i="21" s="1"/>
  <c r="Z1926" i="21" s="1"/>
  <c r="AA1926" i="21" s="1"/>
  <c r="J1928" i="21"/>
  <c r="N1928" i="21" s="1"/>
  <c r="Z1928" i="21" s="1"/>
  <c r="AA1928" i="21" s="1"/>
  <c r="J1930" i="21"/>
  <c r="N1930" i="21" s="1"/>
  <c r="Z1930" i="21" s="1"/>
  <c r="AA1930" i="21" s="1"/>
  <c r="J1932" i="21"/>
  <c r="N1932" i="21" s="1"/>
  <c r="Z1932" i="21" s="1"/>
  <c r="AA1932" i="21" s="1"/>
  <c r="M1949" i="21"/>
  <c r="M1951" i="21"/>
  <c r="M1953" i="21"/>
  <c r="M1955" i="21"/>
  <c r="M1957" i="21"/>
  <c r="M1959" i="21"/>
  <c r="M1961" i="21"/>
  <c r="M1963" i="21"/>
  <c r="J1983" i="21"/>
  <c r="X1983" i="21" s="1"/>
  <c r="J1987" i="21"/>
  <c r="X1987" i="21" s="1"/>
  <c r="J1991" i="21"/>
  <c r="X1991" i="21" s="1"/>
  <c r="J1995" i="21"/>
  <c r="X1995" i="21" s="1"/>
  <c r="J1999" i="21"/>
  <c r="X1999" i="21" s="1"/>
  <c r="J2003" i="21"/>
  <c r="X2003" i="21" s="1"/>
  <c r="J1973" i="21"/>
  <c r="X1973" i="21" s="1"/>
  <c r="M1973" i="21"/>
  <c r="J1975" i="21"/>
  <c r="X1975" i="21" s="1"/>
  <c r="M1975" i="21"/>
  <c r="X1976" i="21"/>
  <c r="J1977" i="21"/>
  <c r="X1977" i="21" s="1"/>
  <c r="M1977" i="21"/>
  <c r="J1979" i="21"/>
  <c r="X1979" i="21" s="1"/>
  <c r="M1979" i="21"/>
  <c r="J1965" i="21"/>
  <c r="X1965" i="21" s="1"/>
  <c r="M1965" i="21"/>
  <c r="J1967" i="21"/>
  <c r="X1967" i="21" s="1"/>
  <c r="M1967" i="21"/>
  <c r="J1969" i="21"/>
  <c r="X1969" i="21" s="1"/>
  <c r="M1969" i="21"/>
  <c r="J1971" i="21"/>
  <c r="X1971" i="21" s="1"/>
  <c r="M1971" i="21"/>
  <c r="J1981" i="21"/>
  <c r="X1981" i="21" s="1"/>
  <c r="J1985" i="21"/>
  <c r="X1985" i="21" s="1"/>
  <c r="J1989" i="21"/>
  <c r="X1989" i="21" s="1"/>
  <c r="J1993" i="21"/>
  <c r="X1993" i="21" s="1"/>
  <c r="J1997" i="21"/>
  <c r="X1997" i="21" s="1"/>
  <c r="J2001" i="21"/>
  <c r="X2001" i="21" s="1"/>
  <c r="J2005" i="21"/>
  <c r="X2005" i="21" s="1"/>
  <c r="M1981" i="21"/>
  <c r="M1983" i="21"/>
  <c r="M1985" i="21"/>
  <c r="M1987" i="21"/>
  <c r="M1989" i="21"/>
  <c r="M1991" i="21"/>
  <c r="M1993" i="21"/>
  <c r="M1995" i="21"/>
  <c r="M1997" i="21"/>
  <c r="M1999" i="21"/>
  <c r="M2001" i="21"/>
  <c r="M2003" i="21"/>
  <c r="M2005" i="21"/>
  <c r="J3838" i="21"/>
  <c r="X3838" i="21" s="1"/>
  <c r="M3838" i="21"/>
  <c r="J3718" i="21"/>
  <c r="X3718" i="21" s="1"/>
  <c r="J3359" i="21"/>
  <c r="N3359" i="21" s="1"/>
  <c r="Z3359" i="21" s="1"/>
  <c r="AA3359" i="21" s="1"/>
  <c r="J3367" i="21"/>
  <c r="X3367" i="21" s="1"/>
  <c r="J3375" i="21"/>
  <c r="N3375" i="21" s="1"/>
  <c r="Z3375" i="21" s="1"/>
  <c r="AA3375" i="21" s="1"/>
  <c r="J3377" i="21"/>
  <c r="N3377" i="21" s="1"/>
  <c r="Z3377" i="21" s="1"/>
  <c r="AA3377" i="21" s="1"/>
  <c r="J3391" i="21"/>
  <c r="X3391" i="21" s="1"/>
  <c r="J3393" i="21"/>
  <c r="N3393" i="21" s="1"/>
  <c r="Z3393" i="21" s="1"/>
  <c r="AA3393" i="21" s="1"/>
  <c r="J3438" i="21"/>
  <c r="X3438" i="21" s="1"/>
  <c r="J3445" i="21"/>
  <c r="X3445" i="21" s="1"/>
  <c r="J3469" i="21"/>
  <c r="N3469" i="21" s="1"/>
  <c r="Z3469" i="21" s="1"/>
  <c r="AA3469" i="21" s="1"/>
  <c r="J3471" i="21"/>
  <c r="N3471" i="21" s="1"/>
  <c r="Z3471" i="21" s="1"/>
  <c r="AA3471" i="21" s="1"/>
  <c r="J3473" i="21"/>
  <c r="N3473" i="21" s="1"/>
  <c r="Z3473" i="21" s="1"/>
  <c r="AA3473" i="21" s="1"/>
  <c r="J3493" i="21"/>
  <c r="X3493" i="21" s="1"/>
  <c r="J3496" i="21"/>
  <c r="N3496" i="21" s="1"/>
  <c r="Z3496" i="21" s="1"/>
  <c r="AA3496" i="21" s="1"/>
  <c r="J3502" i="21"/>
  <c r="X3502" i="21" s="1"/>
  <c r="J3506" i="21"/>
  <c r="X3506" i="21" s="1"/>
  <c r="J3510" i="21"/>
  <c r="X3510" i="21" s="1"/>
  <c r="J3518" i="21"/>
  <c r="J3528" i="21"/>
  <c r="N3528" i="21" s="1"/>
  <c r="Z3528" i="21" s="1"/>
  <c r="AA3528" i="21" s="1"/>
  <c r="J3534" i="21"/>
  <c r="X3534" i="21" s="1"/>
  <c r="J3571" i="21"/>
  <c r="N3571" i="21" s="1"/>
  <c r="Z3571" i="21" s="1"/>
  <c r="AA3571" i="21" s="1"/>
  <c r="J3573" i="21"/>
  <c r="N3573" i="21" s="1"/>
  <c r="Z3573" i="21" s="1"/>
  <c r="AA3573" i="21" s="1"/>
  <c r="J3595" i="21"/>
  <c r="N3595" i="21" s="1"/>
  <c r="Z3595" i="21" s="1"/>
  <c r="AA3595" i="21" s="1"/>
  <c r="J3887" i="21"/>
  <c r="X3887" i="21" s="1"/>
  <c r="J3964" i="21"/>
  <c r="N3964" i="21" s="1"/>
  <c r="Z3964" i="21" s="1"/>
  <c r="AA3964" i="21" s="1"/>
  <c r="J3968" i="21"/>
  <c r="N3968" i="21" s="1"/>
  <c r="Z3968" i="21" s="1"/>
  <c r="AA3968" i="21" s="1"/>
  <c r="J3972" i="21"/>
  <c r="N3972" i="21" s="1"/>
  <c r="Z3972" i="21" s="1"/>
  <c r="AA3972" i="21" s="1"/>
  <c r="J3771" i="21"/>
  <c r="N3771" i="21" s="1"/>
  <c r="Z3771" i="21" s="1"/>
  <c r="AA3771" i="21" s="1"/>
  <c r="J3779" i="21"/>
  <c r="N3779" i="21" s="1"/>
  <c r="Z3779" i="21" s="1"/>
  <c r="AA3779" i="21" s="1"/>
  <c r="J3781" i="21"/>
  <c r="N3781" i="21" s="1"/>
  <c r="Z3781" i="21" s="1"/>
  <c r="AA3781" i="21" s="1"/>
  <c r="J3801" i="21"/>
  <c r="X3801" i="21" s="1"/>
  <c r="J3816" i="21"/>
  <c r="N3816" i="21" s="1"/>
  <c r="Z3816" i="21" s="1"/>
  <c r="AA3816" i="21" s="1"/>
  <c r="J3818" i="21"/>
  <c r="X3818" i="21" s="1"/>
  <c r="J3820" i="21"/>
  <c r="N3820" i="21" s="1"/>
  <c r="Z3820" i="21" s="1"/>
  <c r="AA3820" i="21" s="1"/>
  <c r="J3830" i="21"/>
  <c r="N3830" i="21" s="1"/>
  <c r="Z3830" i="21" s="1"/>
  <c r="AA3830" i="21" s="1"/>
  <c r="J3702" i="21"/>
  <c r="J3730" i="21"/>
  <c r="X3730" i="21" s="1"/>
  <c r="J3363" i="21"/>
  <c r="X3363" i="21" s="1"/>
  <c r="J3371" i="21"/>
  <c r="X3371" i="21" s="1"/>
  <c r="J3383" i="21"/>
  <c r="X3383" i="21" s="1"/>
  <c r="J3385" i="21"/>
  <c r="N3385" i="21" s="1"/>
  <c r="Z3385" i="21" s="1"/>
  <c r="AA3385" i="21" s="1"/>
  <c r="J3399" i="21"/>
  <c r="N3399" i="21" s="1"/>
  <c r="Z3399" i="21" s="1"/>
  <c r="AA3399" i="21" s="1"/>
  <c r="J3401" i="21"/>
  <c r="N3401" i="21" s="1"/>
  <c r="Z3401" i="21" s="1"/>
  <c r="AA3401" i="21" s="1"/>
  <c r="J3410" i="21"/>
  <c r="N3410" i="21" s="1"/>
  <c r="Z3410" i="21" s="1"/>
  <c r="AA3410" i="21" s="1"/>
  <c r="J3461" i="21"/>
  <c r="X3461" i="21" s="1"/>
  <c r="J3490" i="21"/>
  <c r="X3490" i="21" s="1"/>
  <c r="J3497" i="21"/>
  <c r="X3497" i="21" s="1"/>
  <c r="J3560" i="21"/>
  <c r="N3560" i="21" s="1"/>
  <c r="Z3560" i="21" s="1"/>
  <c r="AA3560" i="21" s="1"/>
  <c r="J3566" i="21"/>
  <c r="X3566" i="21" s="1"/>
  <c r="J3568" i="21"/>
  <c r="N3568" i="21" s="1"/>
  <c r="Z3568" i="21" s="1"/>
  <c r="AA3568" i="21" s="1"/>
  <c r="J3579" i="21"/>
  <c r="X3579" i="21" s="1"/>
  <c r="J3587" i="21"/>
  <c r="X3587" i="21" s="1"/>
  <c r="J3017" i="21"/>
  <c r="X3017" i="21" s="1"/>
  <c r="J3019" i="21"/>
  <c r="X3019" i="21" s="1"/>
  <c r="J3021" i="21"/>
  <c r="X3021" i="21" s="1"/>
  <c r="J3023" i="21"/>
  <c r="X3023" i="21" s="1"/>
  <c r="J3025" i="21"/>
  <c r="X3025" i="21" s="1"/>
  <c r="J3027" i="21"/>
  <c r="X3027" i="21" s="1"/>
  <c r="J3029" i="21"/>
  <c r="X3029" i="21" s="1"/>
  <c r="J3031" i="21"/>
  <c r="X3031" i="21" s="1"/>
  <c r="J3033" i="21"/>
  <c r="X3033" i="21" s="1"/>
  <c r="J3035" i="21"/>
  <c r="X3035" i="21" s="1"/>
  <c r="J3037" i="21"/>
  <c r="X3037" i="21" s="1"/>
  <c r="J3039" i="21"/>
  <c r="X3039" i="21" s="1"/>
  <c r="J3041" i="21"/>
  <c r="X3041" i="21" s="1"/>
  <c r="J3043" i="21"/>
  <c r="X3043" i="21" s="1"/>
  <c r="J3045" i="21"/>
  <c r="X3045" i="21" s="1"/>
  <c r="J3047" i="21"/>
  <c r="X3047" i="21" s="1"/>
  <c r="J3049" i="21"/>
  <c r="X3049" i="21" s="1"/>
  <c r="J3051" i="21"/>
  <c r="X3051" i="21" s="1"/>
  <c r="J3053" i="21"/>
  <c r="X3053" i="21" s="1"/>
  <c r="J3055" i="21"/>
  <c r="X3055" i="21" s="1"/>
  <c r="J3057" i="21"/>
  <c r="X3057" i="21" s="1"/>
  <c r="J3059" i="21"/>
  <c r="X3059" i="21" s="1"/>
  <c r="J3061" i="21"/>
  <c r="X3061" i="21" s="1"/>
  <c r="J3063" i="21"/>
  <c r="X3063" i="21" s="1"/>
  <c r="J3065" i="21"/>
  <c r="X3065" i="21" s="1"/>
  <c r="J3067" i="21"/>
  <c r="X3067" i="21" s="1"/>
  <c r="J3069" i="21"/>
  <c r="X3069" i="21" s="1"/>
  <c r="J3071" i="21"/>
  <c r="X3071" i="21" s="1"/>
  <c r="J3073" i="21"/>
  <c r="X3073" i="21" s="1"/>
  <c r="J3075" i="21"/>
  <c r="X3075" i="21" s="1"/>
  <c r="J3077" i="21"/>
  <c r="X3077" i="21" s="1"/>
  <c r="J3079" i="21"/>
  <c r="X3079" i="21" s="1"/>
  <c r="J3081" i="21"/>
  <c r="X3081" i="21" s="1"/>
  <c r="J3281" i="21"/>
  <c r="X3281" i="21" s="1"/>
  <c r="J3291" i="21"/>
  <c r="X3291" i="21" s="1"/>
  <c r="J3611" i="21"/>
  <c r="N3611" i="21" s="1"/>
  <c r="Z3611" i="21" s="1"/>
  <c r="AA3611" i="21" s="1"/>
  <c r="J3625" i="21"/>
  <c r="X3625" i="21" s="1"/>
  <c r="J3641" i="21"/>
  <c r="X3641" i="21" s="1"/>
  <c r="J3657" i="21"/>
  <c r="X3657" i="21" s="1"/>
  <c r="J3673" i="21"/>
  <c r="N3673" i="21" s="1"/>
  <c r="Z3673" i="21" s="1"/>
  <c r="AA3673" i="21" s="1"/>
  <c r="J3090" i="21"/>
  <c r="X3090" i="21" s="1"/>
  <c r="J3098" i="21"/>
  <c r="X3098" i="21" s="1"/>
  <c r="J3106" i="21"/>
  <c r="X3106" i="21" s="1"/>
  <c r="J3114" i="21"/>
  <c r="X3114" i="21" s="1"/>
  <c r="J3121" i="21"/>
  <c r="N3121" i="21" s="1"/>
  <c r="Z3121" i="21" s="1"/>
  <c r="AA3121" i="21" s="1"/>
  <c r="J3224" i="21"/>
  <c r="N3224" i="21" s="1"/>
  <c r="Z3224" i="21" s="1"/>
  <c r="AA3224" i="21" s="1"/>
  <c r="J3289" i="21"/>
  <c r="X3289" i="21" s="1"/>
  <c r="M3017" i="21"/>
  <c r="M3019" i="21"/>
  <c r="M3021" i="21"/>
  <c r="M3023" i="21"/>
  <c r="M3025" i="21"/>
  <c r="M3027" i="21"/>
  <c r="M3029" i="21"/>
  <c r="M3031" i="21"/>
  <c r="M3033" i="21"/>
  <c r="M3035" i="21"/>
  <c r="M3037" i="21"/>
  <c r="M3039" i="21"/>
  <c r="M3041" i="21"/>
  <c r="M3043" i="21"/>
  <c r="M3045" i="21"/>
  <c r="M3047" i="21"/>
  <c r="M3049" i="21"/>
  <c r="M3051" i="21"/>
  <c r="M3053" i="21"/>
  <c r="M3055" i="21"/>
  <c r="M3057" i="21"/>
  <c r="M3059" i="21"/>
  <c r="M3061" i="21"/>
  <c r="M3063" i="21"/>
  <c r="M3065" i="21"/>
  <c r="M3067" i="21"/>
  <c r="M3069" i="21"/>
  <c r="M3071" i="21"/>
  <c r="M3073" i="21"/>
  <c r="M3075" i="21"/>
  <c r="M3077" i="21"/>
  <c r="M3079" i="21"/>
  <c r="M3081" i="21"/>
  <c r="J3088" i="21"/>
  <c r="X3088" i="21" s="1"/>
  <c r="J3096" i="21"/>
  <c r="X3096" i="21" s="1"/>
  <c r="J3104" i="21"/>
  <c r="X3104" i="21" s="1"/>
  <c r="J3112" i="21"/>
  <c r="X3112" i="21" s="1"/>
  <c r="J3115" i="21"/>
  <c r="N3115" i="21" s="1"/>
  <c r="Z3115" i="21" s="1"/>
  <c r="AA3115" i="21" s="1"/>
  <c r="J3131" i="21"/>
  <c r="N3131" i="21" s="1"/>
  <c r="Z3131" i="21" s="1"/>
  <c r="AA3131" i="21" s="1"/>
  <c r="J3138" i="21"/>
  <c r="X3138" i="21" s="1"/>
  <c r="J3142" i="21"/>
  <c r="X3142" i="21" s="1"/>
  <c r="J3182" i="21"/>
  <c r="N3182" i="21" s="1"/>
  <c r="Z3182" i="21" s="1"/>
  <c r="AA3182" i="21" s="1"/>
  <c r="J3183" i="21"/>
  <c r="N3183" i="21" s="1"/>
  <c r="Z3183" i="21" s="1"/>
  <c r="AA3183" i="21" s="1"/>
  <c r="J3185" i="21"/>
  <c r="N3185" i="21" s="1"/>
  <c r="Z3185" i="21" s="1"/>
  <c r="AA3185" i="21" s="1"/>
  <c r="J3222" i="21"/>
  <c r="N3222" i="21" s="1"/>
  <c r="Z3222" i="21" s="1"/>
  <c r="AA3222" i="21" s="1"/>
  <c r="J3231" i="21"/>
  <c r="X3231" i="21" s="1"/>
  <c r="J3247" i="21"/>
  <c r="X3247" i="21" s="1"/>
  <c r="J3251" i="21"/>
  <c r="X3251" i="21" s="1"/>
  <c r="J3255" i="21"/>
  <c r="X3255" i="21" s="1"/>
  <c r="J3259" i="21"/>
  <c r="X3259" i="21" s="1"/>
  <c r="J3263" i="21"/>
  <c r="X3263" i="21" s="1"/>
  <c r="J3267" i="21"/>
  <c r="X3267" i="21" s="1"/>
  <c r="M3273" i="21"/>
  <c r="J3297" i="21"/>
  <c r="X3297" i="21" s="1"/>
  <c r="J3303" i="21"/>
  <c r="X3303" i="21" s="1"/>
  <c r="J2080" i="21"/>
  <c r="N2080" i="21" s="1"/>
  <c r="Z2080" i="21" s="1"/>
  <c r="AA2080" i="21" s="1"/>
  <c r="J2088" i="21"/>
  <c r="J2090" i="21"/>
  <c r="N2090" i="21" s="1"/>
  <c r="Z2090" i="21" s="1"/>
  <c r="AA2090" i="21" s="1"/>
  <c r="J2098" i="21"/>
  <c r="N2098" i="21" s="1"/>
  <c r="Z2098" i="21" s="1"/>
  <c r="AA2098" i="21" s="1"/>
  <c r="J2106" i="21"/>
  <c r="X2106" i="21" s="1"/>
  <c r="J2114" i="21"/>
  <c r="J2122" i="21"/>
  <c r="N2122" i="21" s="1"/>
  <c r="Z2122" i="21" s="1"/>
  <c r="AA2122" i="21" s="1"/>
  <c r="J2130" i="21"/>
  <c r="N2130" i="21" s="1"/>
  <c r="Z2130" i="21" s="1"/>
  <c r="AA2130" i="21" s="1"/>
  <c r="J2138" i="21"/>
  <c r="X2138" i="21" s="1"/>
  <c r="J2146" i="21"/>
  <c r="N2146" i="21" s="1"/>
  <c r="Z2146" i="21" s="1"/>
  <c r="AA2146" i="21" s="1"/>
  <c r="J3522" i="21"/>
  <c r="N3522" i="21" s="1"/>
  <c r="Z3522" i="21" s="1"/>
  <c r="AA3522" i="21" s="1"/>
  <c r="J3544" i="21"/>
  <c r="N3544" i="21" s="1"/>
  <c r="Z3544" i="21" s="1"/>
  <c r="AA3544" i="21" s="1"/>
  <c r="J3558" i="21"/>
  <c r="N3558" i="21" s="1"/>
  <c r="Z3558" i="21" s="1"/>
  <c r="AA3558" i="21" s="1"/>
  <c r="J3583" i="21"/>
  <c r="J3601" i="21"/>
  <c r="X3601" i="21" s="1"/>
  <c r="J3623" i="21"/>
  <c r="X3623" i="21" s="1"/>
  <c r="J3639" i="21"/>
  <c r="N3639" i="21" s="1"/>
  <c r="Z3639" i="21" s="1"/>
  <c r="AA3639" i="21" s="1"/>
  <c r="J3655" i="21"/>
  <c r="N3655" i="21" s="1"/>
  <c r="Z3655" i="21" s="1"/>
  <c r="AA3655" i="21" s="1"/>
  <c r="J3671" i="21"/>
  <c r="N3671" i="21" s="1"/>
  <c r="Z3671" i="21" s="1"/>
  <c r="AA3671" i="21" s="1"/>
  <c r="J3687" i="21"/>
  <c r="N3687" i="21" s="1"/>
  <c r="Z3687" i="21" s="1"/>
  <c r="AA3687" i="21" s="1"/>
  <c r="J3086" i="21"/>
  <c r="X3086" i="21" s="1"/>
  <c r="J3094" i="21"/>
  <c r="X3094" i="21" s="1"/>
  <c r="J3102" i="21"/>
  <c r="X3102" i="21" s="1"/>
  <c r="J3110" i="21"/>
  <c r="X3110" i="21" s="1"/>
  <c r="J3113" i="21"/>
  <c r="N3113" i="21" s="1"/>
  <c r="Z3113" i="21" s="1"/>
  <c r="AA3113" i="21" s="1"/>
  <c r="J3117" i="21"/>
  <c r="N3117" i="21" s="1"/>
  <c r="Z3117" i="21" s="1"/>
  <c r="AA3117" i="21" s="1"/>
  <c r="J3127" i="21"/>
  <c r="J3129" i="21"/>
  <c r="N3129" i="21" s="1"/>
  <c r="Z3129" i="21" s="1"/>
  <c r="AA3129" i="21" s="1"/>
  <c r="J3133" i="21"/>
  <c r="N3133" i="21" s="1"/>
  <c r="Z3133" i="21" s="1"/>
  <c r="AA3133" i="21" s="1"/>
  <c r="J3137" i="21"/>
  <c r="N3137" i="21" s="1"/>
  <c r="Z3137" i="21" s="1"/>
  <c r="AA3137" i="21" s="1"/>
  <c r="J3141" i="21"/>
  <c r="N3141" i="21" s="1"/>
  <c r="Z3141" i="21" s="1"/>
  <c r="AA3141" i="21" s="1"/>
  <c r="J3178" i="21"/>
  <c r="X3178" i="21" s="1"/>
  <c r="J3180" i="21"/>
  <c r="N3180" i="21" s="1"/>
  <c r="Z3180" i="21" s="1"/>
  <c r="AA3180" i="21" s="1"/>
  <c r="J3192" i="21"/>
  <c r="N3192" i="21" s="1"/>
  <c r="Z3192" i="21" s="1"/>
  <c r="AA3192" i="21" s="1"/>
  <c r="J3196" i="21"/>
  <c r="X3196" i="21" s="1"/>
  <c r="J3200" i="21"/>
  <c r="N3200" i="21" s="1"/>
  <c r="Z3200" i="21" s="1"/>
  <c r="AA3200" i="21" s="1"/>
  <c r="J3204" i="21"/>
  <c r="N3204" i="21" s="1"/>
  <c r="Z3204" i="21" s="1"/>
  <c r="AA3204" i="21" s="1"/>
  <c r="J3208" i="21"/>
  <c r="N3208" i="21" s="1"/>
  <c r="Z3208" i="21" s="1"/>
  <c r="AA3208" i="21" s="1"/>
  <c r="J3212" i="21"/>
  <c r="N3212" i="21" s="1"/>
  <c r="Z3212" i="21" s="1"/>
  <c r="AA3212" i="21" s="1"/>
  <c r="J3216" i="21"/>
  <c r="N3216" i="21" s="1"/>
  <c r="Z3216" i="21" s="1"/>
  <c r="AA3216" i="21" s="1"/>
  <c r="J3218" i="21"/>
  <c r="N3218" i="21" s="1"/>
  <c r="Z3218" i="21" s="1"/>
  <c r="AA3218" i="21" s="1"/>
  <c r="J3219" i="21"/>
  <c r="J3220" i="21"/>
  <c r="N3220" i="21" s="1"/>
  <c r="Z3220" i="21" s="1"/>
  <c r="AA3220" i="21" s="1"/>
  <c r="J3279" i="21"/>
  <c r="X3279" i="21" s="1"/>
  <c r="J3305" i="21"/>
  <c r="X3305" i="21" s="1"/>
  <c r="J3313" i="21"/>
  <c r="X3313" i="21" s="1"/>
  <c r="J3319" i="21"/>
  <c r="X3319" i="21" s="1"/>
  <c r="J3331" i="21"/>
  <c r="X3331" i="21" s="1"/>
  <c r="J3343" i="21"/>
  <c r="X3343" i="21" s="1"/>
  <c r="J2008" i="21"/>
  <c r="X2008" i="21" s="1"/>
  <c r="M2008" i="21"/>
  <c r="J2010" i="21"/>
  <c r="X2010" i="21" s="1"/>
  <c r="M2010" i="21"/>
  <c r="J2012" i="21"/>
  <c r="X2012" i="21" s="1"/>
  <c r="M2012" i="21"/>
  <c r="J2014" i="21"/>
  <c r="X2014" i="21" s="1"/>
  <c r="M2014" i="21"/>
  <c r="J2016" i="21"/>
  <c r="X2016" i="21" s="1"/>
  <c r="M2016" i="21"/>
  <c r="J2018" i="21"/>
  <c r="X2018" i="21" s="1"/>
  <c r="M2018" i="21"/>
  <c r="J2020" i="21"/>
  <c r="X2020" i="21" s="1"/>
  <c r="M2020" i="21"/>
  <c r="J2022" i="21"/>
  <c r="X2022" i="21" s="1"/>
  <c r="M2022" i="21"/>
  <c r="J2024" i="21"/>
  <c r="X2024" i="21" s="1"/>
  <c r="M2024" i="21"/>
  <c r="J2026" i="21"/>
  <c r="X2026" i="21" s="1"/>
  <c r="M2026" i="21"/>
  <c r="J2028" i="21"/>
  <c r="X2028" i="21" s="1"/>
  <c r="M2028" i="21"/>
  <c r="J2030" i="21"/>
  <c r="X2030" i="21" s="1"/>
  <c r="M2030" i="21"/>
  <c r="J2032" i="21"/>
  <c r="X2032" i="21" s="1"/>
  <c r="M2032" i="21"/>
  <c r="J2034" i="21"/>
  <c r="X2034" i="21" s="1"/>
  <c r="M2034" i="21"/>
  <c r="J2036" i="21"/>
  <c r="X2036" i="21" s="1"/>
  <c r="M2036" i="21"/>
  <c r="J2038" i="21"/>
  <c r="X2038" i="21" s="1"/>
  <c r="M2038" i="21"/>
  <c r="J2040" i="21"/>
  <c r="X2040" i="21" s="1"/>
  <c r="M2040" i="21"/>
  <c r="J2042" i="21"/>
  <c r="X2042" i="21" s="1"/>
  <c r="M2042" i="21"/>
  <c r="J2044" i="21"/>
  <c r="X2044" i="21" s="1"/>
  <c r="M2044" i="21"/>
  <c r="J2046" i="21"/>
  <c r="X2046" i="21" s="1"/>
  <c r="M2046" i="21"/>
  <c r="J2048" i="21"/>
  <c r="X2048" i="21" s="1"/>
  <c r="M2048" i="21"/>
  <c r="J2050" i="21"/>
  <c r="X2050" i="21" s="1"/>
  <c r="M2050" i="21"/>
  <c r="J2052" i="21"/>
  <c r="X2052" i="21" s="1"/>
  <c r="M2052" i="21"/>
  <c r="J2054" i="21"/>
  <c r="X2054" i="21" s="1"/>
  <c r="M2054" i="21"/>
  <c r="J2056" i="21"/>
  <c r="J2058" i="21"/>
  <c r="X2058" i="21" s="1"/>
  <c r="J2060" i="21"/>
  <c r="X2060" i="21" s="1"/>
  <c r="J2062" i="21"/>
  <c r="X2062" i="21" s="1"/>
  <c r="J2064" i="21"/>
  <c r="X2064" i="21" s="1"/>
  <c r="J2066" i="21"/>
  <c r="X2066" i="21" s="1"/>
  <c r="J2068" i="21"/>
  <c r="X2068" i="21" s="1"/>
  <c r="J2070" i="21"/>
  <c r="X2070" i="21" s="1"/>
  <c r="J2072" i="21"/>
  <c r="X2072" i="21" s="1"/>
  <c r="J2074" i="21"/>
  <c r="X2074" i="21" s="1"/>
  <c r="J2076" i="21"/>
  <c r="X2076" i="21" s="1"/>
  <c r="J2082" i="21"/>
  <c r="X2082" i="21" s="1"/>
  <c r="J2096" i="21"/>
  <c r="N2096" i="21" s="1"/>
  <c r="Z2096" i="21" s="1"/>
  <c r="AA2096" i="21" s="1"/>
  <c r="J2104" i="21"/>
  <c r="X2104" i="21" s="1"/>
  <c r="J2112" i="21"/>
  <c r="N2112" i="21" s="1"/>
  <c r="Z2112" i="21" s="1"/>
  <c r="AA2112" i="21" s="1"/>
  <c r="J2120" i="21"/>
  <c r="N2120" i="21" s="1"/>
  <c r="Z2120" i="21" s="1"/>
  <c r="AA2120" i="21" s="1"/>
  <c r="J2128" i="21"/>
  <c r="J2136" i="21"/>
  <c r="X2136" i="21" s="1"/>
  <c r="J2144" i="21"/>
  <c r="N2144" i="21" s="1"/>
  <c r="Z2144" i="21" s="1"/>
  <c r="AA2144" i="21" s="1"/>
  <c r="M2288" i="21"/>
  <c r="M2290" i="21"/>
  <c r="M2292" i="21"/>
  <c r="M2294" i="21"/>
  <c r="M2296" i="21"/>
  <c r="M2298" i="21"/>
  <c r="J2340" i="21"/>
  <c r="N2340" i="21" s="1"/>
  <c r="Z2340" i="21" s="1"/>
  <c r="AA2340" i="21" s="1"/>
  <c r="J2348" i="21"/>
  <c r="N2348" i="21" s="1"/>
  <c r="Z2348" i="21" s="1"/>
  <c r="AA2348" i="21" s="1"/>
  <c r="J2356" i="21"/>
  <c r="N2356" i="21" s="1"/>
  <c r="Z2356" i="21" s="1"/>
  <c r="AA2356" i="21" s="1"/>
  <c r="J2364" i="21"/>
  <c r="X2364" i="21" s="1"/>
  <c r="J2380" i="21"/>
  <c r="N2380" i="21" s="1"/>
  <c r="Z2380" i="21" s="1"/>
  <c r="AA2380" i="21" s="1"/>
  <c r="J2388" i="21"/>
  <c r="X2388" i="21" s="1"/>
  <c r="J3277" i="21"/>
  <c r="X3277" i="21" s="1"/>
  <c r="J3293" i="21"/>
  <c r="X3293" i="21" s="1"/>
  <c r="J3301" i="21"/>
  <c r="X3301" i="21" s="1"/>
  <c r="J3309" i="21"/>
  <c r="X3309" i="21" s="1"/>
  <c r="J2332" i="21"/>
  <c r="N2332" i="21" s="1"/>
  <c r="Z2332" i="21" s="1"/>
  <c r="AA2332" i="21" s="1"/>
  <c r="J2336" i="21"/>
  <c r="N2336" i="21" s="1"/>
  <c r="Z2336" i="21" s="1"/>
  <c r="AA2336" i="21" s="1"/>
  <c r="J2344" i="21"/>
  <c r="N2344" i="21" s="1"/>
  <c r="Z2344" i="21" s="1"/>
  <c r="AA2344" i="21" s="1"/>
  <c r="J2352" i="21"/>
  <c r="N2352" i="21" s="1"/>
  <c r="Z2352" i="21" s="1"/>
  <c r="AA2352" i="21" s="1"/>
  <c r="J2360" i="21"/>
  <c r="N2360" i="21" s="1"/>
  <c r="Z2360" i="21" s="1"/>
  <c r="AA2360" i="21" s="1"/>
  <c r="J2368" i="21"/>
  <c r="N2368" i="21" s="1"/>
  <c r="Z2368" i="21" s="1"/>
  <c r="AA2368" i="21" s="1"/>
  <c r="J2376" i="21"/>
  <c r="J2384" i="21"/>
  <c r="N2384" i="21" s="1"/>
  <c r="Z2384" i="21" s="1"/>
  <c r="AA2384" i="21" s="1"/>
  <c r="J2392" i="21"/>
  <c r="N2392" i="21" s="1"/>
  <c r="Z2392" i="21" s="1"/>
  <c r="AA2392" i="21" s="1"/>
  <c r="M2595" i="21"/>
  <c r="J2595" i="21"/>
  <c r="X2595" i="21" s="1"/>
  <c r="J2397" i="21"/>
  <c r="N2397" i="21" s="1"/>
  <c r="Z2397" i="21" s="1"/>
  <c r="AA2397" i="21" s="1"/>
  <c r="J2399" i="21"/>
  <c r="N2399" i="21" s="1"/>
  <c r="Z2399" i="21" s="1"/>
  <c r="AA2399" i="21" s="1"/>
  <c r="J2401" i="21"/>
  <c r="X2401" i="21" s="1"/>
  <c r="J2403" i="21"/>
  <c r="N2403" i="21" s="1"/>
  <c r="Z2403" i="21" s="1"/>
  <c r="AA2403" i="21" s="1"/>
  <c r="J2405" i="21"/>
  <c r="N2405" i="21" s="1"/>
  <c r="Z2405" i="21" s="1"/>
  <c r="AA2405" i="21" s="1"/>
  <c r="J2407" i="21"/>
  <c r="N2407" i="21" s="1"/>
  <c r="Z2407" i="21" s="1"/>
  <c r="AA2407" i="21" s="1"/>
  <c r="J2409" i="21"/>
  <c r="X2409" i="21" s="1"/>
  <c r="J2411" i="21"/>
  <c r="N2411" i="21" s="1"/>
  <c r="Z2411" i="21" s="1"/>
  <c r="AA2411" i="21" s="1"/>
  <c r="J2413" i="21"/>
  <c r="J2415" i="21"/>
  <c r="N2415" i="21" s="1"/>
  <c r="Z2415" i="21" s="1"/>
  <c r="AA2415" i="21" s="1"/>
  <c r="J2417" i="21"/>
  <c r="X2417" i="21" s="1"/>
  <c r="J2482" i="21"/>
  <c r="X2482" i="21" s="1"/>
  <c r="M2482" i="21"/>
  <c r="J2484" i="21"/>
  <c r="X2484" i="21" s="1"/>
  <c r="M2484" i="21"/>
  <c r="J2486" i="21"/>
  <c r="X2486" i="21" s="1"/>
  <c r="M2486" i="21"/>
  <c r="J2488" i="21"/>
  <c r="X2488" i="21" s="1"/>
  <c r="M2488" i="21"/>
  <c r="J2490" i="21"/>
  <c r="X2490" i="21" s="1"/>
  <c r="M2490" i="21"/>
  <c r="J2492" i="21"/>
  <c r="X2492" i="21" s="1"/>
  <c r="M2492" i="21"/>
  <c r="J2494" i="21"/>
  <c r="X2494" i="21" s="1"/>
  <c r="M2494" i="21"/>
  <c r="J2496" i="21"/>
  <c r="X2496" i="21" s="1"/>
  <c r="M2496" i="21"/>
  <c r="J2498" i="21"/>
  <c r="X2498" i="21" s="1"/>
  <c r="M2498" i="21"/>
  <c r="J2500" i="21"/>
  <c r="X2500" i="21" s="1"/>
  <c r="M2500" i="21"/>
  <c r="J2502" i="21"/>
  <c r="X2502" i="21" s="1"/>
  <c r="M2502" i="21"/>
  <c r="J2504" i="21"/>
  <c r="X2504" i="21" s="1"/>
  <c r="M2504" i="21"/>
  <c r="J2506" i="21"/>
  <c r="X2506" i="21" s="1"/>
  <c r="M2506" i="21"/>
  <c r="J2508" i="21"/>
  <c r="X2508" i="21" s="1"/>
  <c r="M2508" i="21"/>
  <c r="J2510" i="21"/>
  <c r="X2510" i="21" s="1"/>
  <c r="M2510" i="21"/>
  <c r="J2512" i="21"/>
  <c r="X2512" i="21" s="1"/>
  <c r="M2512" i="21"/>
  <c r="J2514" i="21"/>
  <c r="X2514" i="21" s="1"/>
  <c r="M2514" i="21"/>
  <c r="M2591" i="21"/>
  <c r="J2591" i="21"/>
  <c r="X2591" i="21" s="1"/>
  <c r="M2603" i="21"/>
  <c r="J2603" i="21"/>
  <c r="X2603" i="21" s="1"/>
  <c r="J2418" i="21"/>
  <c r="X2418" i="21" s="1"/>
  <c r="M2418" i="21"/>
  <c r="J2420" i="21"/>
  <c r="X2420" i="21" s="1"/>
  <c r="M2420" i="21"/>
  <c r="J2422" i="21"/>
  <c r="X2422" i="21" s="1"/>
  <c r="M2422" i="21"/>
  <c r="J2424" i="21"/>
  <c r="X2424" i="21" s="1"/>
  <c r="M2424" i="21"/>
  <c r="J2426" i="21"/>
  <c r="X2426" i="21" s="1"/>
  <c r="M2426" i="21"/>
  <c r="J2428" i="21"/>
  <c r="X2428" i="21" s="1"/>
  <c r="M2428" i="21"/>
  <c r="J2430" i="21"/>
  <c r="X2430" i="21" s="1"/>
  <c r="M2430" i="21"/>
  <c r="J2432" i="21"/>
  <c r="X2432" i="21" s="1"/>
  <c r="M2432" i="21"/>
  <c r="J2434" i="21"/>
  <c r="X2434" i="21" s="1"/>
  <c r="M2434" i="21"/>
  <c r="J2436" i="21"/>
  <c r="X2436" i="21" s="1"/>
  <c r="M2436" i="21"/>
  <c r="J2438" i="21"/>
  <c r="X2438" i="21" s="1"/>
  <c r="M2438" i="21"/>
  <c r="J2440" i="21"/>
  <c r="X2440" i="21" s="1"/>
  <c r="M2440" i="21"/>
  <c r="J2442" i="21"/>
  <c r="X2442" i="21" s="1"/>
  <c r="M2442" i="21"/>
  <c r="J2444" i="21"/>
  <c r="X2444" i="21" s="1"/>
  <c r="M2444" i="21"/>
  <c r="J2446" i="21"/>
  <c r="X2446" i="21" s="1"/>
  <c r="M2446" i="21"/>
  <c r="J2448" i="21"/>
  <c r="X2448" i="21" s="1"/>
  <c r="M2448" i="21"/>
  <c r="J2450" i="21"/>
  <c r="X2450" i="21" s="1"/>
  <c r="M2450" i="21"/>
  <c r="J2452" i="21"/>
  <c r="X2452" i="21" s="1"/>
  <c r="M2452" i="21"/>
  <c r="J2454" i="21"/>
  <c r="X2454" i="21" s="1"/>
  <c r="M2454" i="21"/>
  <c r="J2456" i="21"/>
  <c r="X2456" i="21" s="1"/>
  <c r="M2456" i="21"/>
  <c r="J2458" i="21"/>
  <c r="X2458" i="21" s="1"/>
  <c r="M2458" i="21"/>
  <c r="J2460" i="21"/>
  <c r="X2460" i="21" s="1"/>
  <c r="M2460" i="21"/>
  <c r="J2462" i="21"/>
  <c r="X2462" i="21" s="1"/>
  <c r="M2462" i="21"/>
  <c r="J2464" i="21"/>
  <c r="X2464" i="21" s="1"/>
  <c r="M2464" i="21"/>
  <c r="J2466" i="21"/>
  <c r="X2466" i="21" s="1"/>
  <c r="M2466" i="21"/>
  <c r="J2468" i="21"/>
  <c r="X2468" i="21" s="1"/>
  <c r="M2468" i="21"/>
  <c r="J2470" i="21"/>
  <c r="X2470" i="21" s="1"/>
  <c r="M2470" i="21"/>
  <c r="J2472" i="21"/>
  <c r="X2472" i="21" s="1"/>
  <c r="M2472" i="21"/>
  <c r="J2474" i="21"/>
  <c r="X2474" i="21" s="1"/>
  <c r="M2474" i="21"/>
  <c r="J2476" i="21"/>
  <c r="X2476" i="21" s="1"/>
  <c r="M2476" i="21"/>
  <c r="J2478" i="21"/>
  <c r="X2478" i="21" s="1"/>
  <c r="M2478" i="21"/>
  <c r="J2480" i="21"/>
  <c r="X2480" i="21" s="1"/>
  <c r="M2480" i="21"/>
  <c r="M2541" i="21"/>
  <c r="J2541" i="21"/>
  <c r="X2541" i="21" s="1"/>
  <c r="M2599" i="21"/>
  <c r="J2599" i="21"/>
  <c r="X2599" i="21" s="1"/>
  <c r="M2535" i="21"/>
  <c r="J2535" i="21"/>
  <c r="X2535" i="21" s="1"/>
  <c r="M2516" i="21"/>
  <c r="M2518" i="21"/>
  <c r="M2520" i="21"/>
  <c r="M2522" i="21"/>
  <c r="M2524" i="21"/>
  <c r="M2526" i="21"/>
  <c r="M2528" i="21"/>
  <c r="M2530" i="21"/>
  <c r="M2532" i="21"/>
  <c r="M2537" i="21"/>
  <c r="J2537" i="21"/>
  <c r="X2537" i="21" s="1"/>
  <c r="M2593" i="21"/>
  <c r="J2593" i="21"/>
  <c r="X2593" i="21" s="1"/>
  <c r="M2597" i="21"/>
  <c r="J2597" i="21"/>
  <c r="X2597" i="21" s="1"/>
  <c r="M2601" i="21"/>
  <c r="J2601" i="21"/>
  <c r="X2601" i="21" s="1"/>
  <c r="J2481" i="21"/>
  <c r="N2481" i="21" s="1"/>
  <c r="Z2481" i="21" s="1"/>
  <c r="AA2481" i="21" s="1"/>
  <c r="J2483" i="21"/>
  <c r="N2483" i="21" s="1"/>
  <c r="Z2483" i="21" s="1"/>
  <c r="AA2483" i="21" s="1"/>
  <c r="J2485" i="21"/>
  <c r="N2485" i="21" s="1"/>
  <c r="Z2485" i="21" s="1"/>
  <c r="AA2485" i="21" s="1"/>
  <c r="J2487" i="21"/>
  <c r="X2487" i="21" s="1"/>
  <c r="J2489" i="21"/>
  <c r="N2489" i="21" s="1"/>
  <c r="Z2489" i="21" s="1"/>
  <c r="AA2489" i="21" s="1"/>
  <c r="J2491" i="21"/>
  <c r="N2491" i="21" s="1"/>
  <c r="Z2491" i="21" s="1"/>
  <c r="AA2491" i="21" s="1"/>
  <c r="J2493" i="21"/>
  <c r="N2493" i="21" s="1"/>
  <c r="Z2493" i="21" s="1"/>
  <c r="AA2493" i="21" s="1"/>
  <c r="J2495" i="21"/>
  <c r="X2495" i="21" s="1"/>
  <c r="J2497" i="21"/>
  <c r="N2497" i="21" s="1"/>
  <c r="Z2497" i="21" s="1"/>
  <c r="AA2497" i="21" s="1"/>
  <c r="J2499" i="21"/>
  <c r="N2499" i="21" s="1"/>
  <c r="Z2499" i="21" s="1"/>
  <c r="AA2499" i="21" s="1"/>
  <c r="J2501" i="21"/>
  <c r="N2501" i="21" s="1"/>
  <c r="Z2501" i="21" s="1"/>
  <c r="AA2501" i="21" s="1"/>
  <c r="J2503" i="21"/>
  <c r="X2503" i="21" s="1"/>
  <c r="J2505" i="21"/>
  <c r="N2505" i="21" s="1"/>
  <c r="Z2505" i="21" s="1"/>
  <c r="AA2505" i="21" s="1"/>
  <c r="J2507" i="21"/>
  <c r="N2507" i="21" s="1"/>
  <c r="Z2507" i="21" s="1"/>
  <c r="AA2507" i="21" s="1"/>
  <c r="J2509" i="21"/>
  <c r="N2509" i="21" s="1"/>
  <c r="Z2509" i="21" s="1"/>
  <c r="AA2509" i="21" s="1"/>
  <c r="J2511" i="21"/>
  <c r="X2511" i="21" s="1"/>
  <c r="J2513" i="21"/>
  <c r="N2513" i="21" s="1"/>
  <c r="Z2513" i="21" s="1"/>
  <c r="AA2513" i="21" s="1"/>
  <c r="J2515" i="21"/>
  <c r="N2515" i="21" s="1"/>
  <c r="Z2515" i="21" s="1"/>
  <c r="AA2515" i="21" s="1"/>
  <c r="J2517" i="21"/>
  <c r="N2517" i="21" s="1"/>
  <c r="Z2517" i="21" s="1"/>
  <c r="AA2517" i="21" s="1"/>
  <c r="J2519" i="21"/>
  <c r="N2519" i="21" s="1"/>
  <c r="Z2519" i="21" s="1"/>
  <c r="AA2519" i="21" s="1"/>
  <c r="J2521" i="21"/>
  <c r="X2521" i="21" s="1"/>
  <c r="J2523" i="21"/>
  <c r="N2523" i="21" s="1"/>
  <c r="Z2523" i="21" s="1"/>
  <c r="AA2523" i="21" s="1"/>
  <c r="J2525" i="21"/>
  <c r="X2525" i="21" s="1"/>
  <c r="J2527" i="21"/>
  <c r="X2527" i="21" s="1"/>
  <c r="J2529" i="21"/>
  <c r="N2529" i="21" s="1"/>
  <c r="Z2529" i="21" s="1"/>
  <c r="AA2529" i="21" s="1"/>
  <c r="J2531" i="21"/>
  <c r="N2531" i="21" s="1"/>
  <c r="Z2531" i="21" s="1"/>
  <c r="AA2531" i="21" s="1"/>
  <c r="J2533" i="21"/>
  <c r="N2533" i="21" s="1"/>
  <c r="Z2533" i="21" s="1"/>
  <c r="AA2533" i="21" s="1"/>
  <c r="M2539" i="21"/>
  <c r="J2539" i="21"/>
  <c r="X2539" i="21" s="1"/>
  <c r="J2560" i="21"/>
  <c r="X2560" i="21" s="1"/>
  <c r="J2568" i="21"/>
  <c r="X2568" i="21" s="1"/>
  <c r="J2576" i="21"/>
  <c r="J2584" i="21"/>
  <c r="X2584" i="21" s="1"/>
  <c r="N2657" i="21"/>
  <c r="Z2657" i="21" s="1"/>
  <c r="AA2657" i="21" s="1"/>
  <c r="J2543" i="21"/>
  <c r="N2543" i="21" s="1"/>
  <c r="Z2543" i="21" s="1"/>
  <c r="AA2543" i="21" s="1"/>
  <c r="J2545" i="21"/>
  <c r="J2547" i="21"/>
  <c r="X2547" i="21" s="1"/>
  <c r="J2549" i="21"/>
  <c r="N2549" i="21" s="1"/>
  <c r="Z2549" i="21" s="1"/>
  <c r="AA2549" i="21" s="1"/>
  <c r="J2551" i="21"/>
  <c r="N2551" i="21" s="1"/>
  <c r="Z2551" i="21" s="1"/>
  <c r="AA2551" i="21" s="1"/>
  <c r="J2553" i="21"/>
  <c r="N2553" i="21" s="1"/>
  <c r="Z2553" i="21" s="1"/>
  <c r="AA2553" i="21" s="1"/>
  <c r="J2555" i="21"/>
  <c r="N2555" i="21" s="1"/>
  <c r="Z2555" i="21" s="1"/>
  <c r="AA2555" i="21" s="1"/>
  <c r="J2636" i="21"/>
  <c r="N2636" i="21" s="1"/>
  <c r="Z2636" i="21" s="1"/>
  <c r="AA2636" i="21" s="1"/>
  <c r="J2644" i="21"/>
  <c r="N2644" i="21" s="1"/>
  <c r="Z2644" i="21" s="1"/>
  <c r="AA2644" i="21" s="1"/>
  <c r="J2650" i="21"/>
  <c r="X2650" i="21" s="1"/>
  <c r="M2650" i="21"/>
  <c r="J2654" i="21"/>
  <c r="X2654" i="21" s="1"/>
  <c r="M2654" i="21"/>
  <c r="X2657" i="21"/>
  <c r="J2658" i="21"/>
  <c r="X2658" i="21" s="1"/>
  <c r="M2658" i="21"/>
  <c r="J2662" i="21"/>
  <c r="X2662" i="21" s="1"/>
  <c r="M2662" i="21"/>
  <c r="J2605" i="21"/>
  <c r="X2605" i="21" s="1"/>
  <c r="J2607" i="21"/>
  <c r="X2607" i="21" s="1"/>
  <c r="J2609" i="21"/>
  <c r="X2609" i="21" s="1"/>
  <c r="J2611" i="21"/>
  <c r="J2613" i="21"/>
  <c r="X2613" i="21" s="1"/>
  <c r="J2615" i="21"/>
  <c r="X2615" i="21" s="1"/>
  <c r="J2617" i="21"/>
  <c r="X2617" i="21" s="1"/>
  <c r="J2619" i="21"/>
  <c r="J2621" i="21"/>
  <c r="X2621" i="21" s="1"/>
  <c r="J2623" i="21"/>
  <c r="X2623" i="21" s="1"/>
  <c r="J2625" i="21"/>
  <c r="X2625" i="21" s="1"/>
  <c r="J2627" i="21"/>
  <c r="J2629" i="21"/>
  <c r="X2629" i="21" s="1"/>
  <c r="J2637" i="21"/>
  <c r="N2637" i="21" s="1"/>
  <c r="Z2637" i="21" s="1"/>
  <c r="AA2637" i="21" s="1"/>
  <c r="J2645" i="21"/>
  <c r="X2645" i="21" s="1"/>
  <c r="J2652" i="21"/>
  <c r="X2652" i="21" s="1"/>
  <c r="M2652" i="21"/>
  <c r="J2656" i="21"/>
  <c r="X2656" i="21" s="1"/>
  <c r="M2656" i="21"/>
  <c r="J2660" i="21"/>
  <c r="X2660" i="21" s="1"/>
  <c r="M2660" i="21"/>
  <c r="J2631" i="21"/>
  <c r="N2631" i="21" s="1"/>
  <c r="Z2631" i="21" s="1"/>
  <c r="AA2631" i="21" s="1"/>
  <c r="J2634" i="21"/>
  <c r="N2634" i="21" s="1"/>
  <c r="Z2634" i="21" s="1"/>
  <c r="AA2634" i="21" s="1"/>
  <c r="J2639" i="21"/>
  <c r="N2639" i="21" s="1"/>
  <c r="Z2639" i="21" s="1"/>
  <c r="AA2639" i="21" s="1"/>
  <c r="J2642" i="21"/>
  <c r="N2642" i="21" s="1"/>
  <c r="Z2642" i="21" s="1"/>
  <c r="AA2642" i="21" s="1"/>
  <c r="J2647" i="21"/>
  <c r="N2647" i="21" s="1"/>
  <c r="Z2647" i="21" s="1"/>
  <c r="AA2647" i="21" s="1"/>
  <c r="J2751" i="21"/>
  <c r="X2751" i="21" s="1"/>
  <c r="M2751" i="21"/>
  <c r="M2664" i="21"/>
  <c r="M2666" i="21"/>
  <c r="M2668" i="21"/>
  <c r="M2670" i="21"/>
  <c r="M2672" i="21"/>
  <c r="M2674" i="21"/>
  <c r="M2676" i="21"/>
  <c r="M2678" i="21"/>
  <c r="J2715" i="21"/>
  <c r="X2715" i="21" s="1"/>
  <c r="M2715" i="21"/>
  <c r="J2717" i="21"/>
  <c r="X2717" i="21" s="1"/>
  <c r="M2717" i="21"/>
  <c r="J2719" i="21"/>
  <c r="X2719" i="21" s="1"/>
  <c r="M2719" i="21"/>
  <c r="J2721" i="21"/>
  <c r="X2721" i="21" s="1"/>
  <c r="M2721" i="21"/>
  <c r="J2723" i="21"/>
  <c r="X2723" i="21" s="1"/>
  <c r="M2723" i="21"/>
  <c r="J2725" i="21"/>
  <c r="X2725" i="21" s="1"/>
  <c r="M2725" i="21"/>
  <c r="J2727" i="21"/>
  <c r="X2727" i="21" s="1"/>
  <c r="M2727" i="21"/>
  <c r="J2729" i="21"/>
  <c r="X2729" i="21" s="1"/>
  <c r="M2729" i="21"/>
  <c r="J2731" i="21"/>
  <c r="X2731" i="21" s="1"/>
  <c r="M2731" i="21"/>
  <c r="J2733" i="21"/>
  <c r="X2733" i="21" s="1"/>
  <c r="M2733" i="21"/>
  <c r="J2735" i="21"/>
  <c r="X2735" i="21" s="1"/>
  <c r="M2735" i="21"/>
  <c r="J2737" i="21"/>
  <c r="X2737" i="21" s="1"/>
  <c r="M2737" i="21"/>
  <c r="J2739" i="21"/>
  <c r="X2739" i="21" s="1"/>
  <c r="M2739" i="21"/>
  <c r="J2741" i="21"/>
  <c r="X2741" i="21" s="1"/>
  <c r="M2741" i="21"/>
  <c r="J2743" i="21"/>
  <c r="X2743" i="21" s="1"/>
  <c r="M2743" i="21"/>
  <c r="J2745" i="21"/>
  <c r="X2745" i="21" s="1"/>
  <c r="M2745" i="21"/>
  <c r="J2747" i="21"/>
  <c r="X2747" i="21" s="1"/>
  <c r="M2747" i="21"/>
  <c r="J2749" i="21"/>
  <c r="X2749" i="21" s="1"/>
  <c r="M2749" i="21"/>
  <c r="J2679" i="21"/>
  <c r="X2679" i="21" s="1"/>
  <c r="M2679" i="21"/>
  <c r="J2681" i="21"/>
  <c r="X2681" i="21" s="1"/>
  <c r="M2681" i="21"/>
  <c r="J2683" i="21"/>
  <c r="X2683" i="21" s="1"/>
  <c r="M2683" i="21"/>
  <c r="J2685" i="21"/>
  <c r="X2685" i="21" s="1"/>
  <c r="M2685" i="21"/>
  <c r="J2687" i="21"/>
  <c r="X2687" i="21" s="1"/>
  <c r="M2687" i="21"/>
  <c r="J2689" i="21"/>
  <c r="X2689" i="21" s="1"/>
  <c r="M2689" i="21"/>
  <c r="J2691" i="21"/>
  <c r="X2691" i="21" s="1"/>
  <c r="M2691" i="21"/>
  <c r="J2693" i="21"/>
  <c r="X2693" i="21" s="1"/>
  <c r="M2693" i="21"/>
  <c r="J2695" i="21"/>
  <c r="X2695" i="21" s="1"/>
  <c r="M2695" i="21"/>
  <c r="J2697" i="21"/>
  <c r="X2697" i="21" s="1"/>
  <c r="M2697" i="21"/>
  <c r="J2699" i="21"/>
  <c r="X2699" i="21" s="1"/>
  <c r="M2699" i="21"/>
  <c r="J2701" i="21"/>
  <c r="X2701" i="21" s="1"/>
  <c r="M2701" i="21"/>
  <c r="J2703" i="21"/>
  <c r="X2703" i="21" s="1"/>
  <c r="M2703" i="21"/>
  <c r="J2705" i="21"/>
  <c r="X2705" i="21" s="1"/>
  <c r="M2705" i="21"/>
  <c r="J2707" i="21"/>
  <c r="X2707" i="21" s="1"/>
  <c r="M2707" i="21"/>
  <c r="J2709" i="21"/>
  <c r="X2709" i="21" s="1"/>
  <c r="M2709" i="21"/>
  <c r="J2711" i="21"/>
  <c r="X2711" i="21" s="1"/>
  <c r="M2711" i="21"/>
  <c r="J2713" i="21"/>
  <c r="X2713" i="21" s="1"/>
  <c r="M2713" i="21"/>
  <c r="J2753" i="21"/>
  <c r="X2753" i="21" s="1"/>
  <c r="M2753" i="21"/>
  <c r="J2755" i="21"/>
  <c r="X2755" i="21" s="1"/>
  <c r="J2757" i="21"/>
  <c r="X2757" i="21" s="1"/>
  <c r="J2759" i="21"/>
  <c r="X2759" i="21" s="1"/>
  <c r="J2761" i="21"/>
  <c r="X2761" i="21" s="1"/>
  <c r="J2828" i="21"/>
  <c r="X2828" i="21" s="1"/>
  <c r="N2829" i="21"/>
  <c r="Z2829" i="21" s="1"/>
  <c r="AA2829" i="21" s="1"/>
  <c r="N2860" i="21"/>
  <c r="Z2860" i="21" s="1"/>
  <c r="AA2860" i="21" s="1"/>
  <c r="M2755" i="21"/>
  <c r="M2757" i="21"/>
  <c r="M2759" i="21"/>
  <c r="M2761" i="21"/>
  <c r="J2762" i="21"/>
  <c r="X2762" i="21" s="1"/>
  <c r="M2762" i="21"/>
  <c r="J2764" i="21"/>
  <c r="X2764" i="21" s="1"/>
  <c r="M2764" i="21"/>
  <c r="J2766" i="21"/>
  <c r="X2766" i="21" s="1"/>
  <c r="M2766" i="21"/>
  <c r="J2768" i="21"/>
  <c r="X2768" i="21" s="1"/>
  <c r="M2768" i="21"/>
  <c r="J2770" i="21"/>
  <c r="X2770" i="21" s="1"/>
  <c r="M2770" i="21"/>
  <c r="J2772" i="21"/>
  <c r="X2772" i="21" s="1"/>
  <c r="M2772" i="21"/>
  <c r="J2774" i="21"/>
  <c r="X2774" i="21" s="1"/>
  <c r="M2774" i="21"/>
  <c r="J2776" i="21"/>
  <c r="X2776" i="21" s="1"/>
  <c r="M2776" i="21"/>
  <c r="J2778" i="21"/>
  <c r="X2778" i="21" s="1"/>
  <c r="M2778" i="21"/>
  <c r="J2780" i="21"/>
  <c r="X2780" i="21" s="1"/>
  <c r="M2780" i="21"/>
  <c r="J2782" i="21"/>
  <c r="X2782" i="21" s="1"/>
  <c r="M2782" i="21"/>
  <c r="J2784" i="21"/>
  <c r="X2784" i="21" s="1"/>
  <c r="M2784" i="21"/>
  <c r="J2786" i="21"/>
  <c r="X2786" i="21" s="1"/>
  <c r="M2786" i="21"/>
  <c r="J2788" i="21"/>
  <c r="X2788" i="21" s="1"/>
  <c r="M2788" i="21"/>
  <c r="J2790" i="21"/>
  <c r="X2790" i="21" s="1"/>
  <c r="M2790" i="21"/>
  <c r="J2792" i="21"/>
  <c r="X2792" i="21" s="1"/>
  <c r="M2792" i="21"/>
  <c r="J2794" i="21"/>
  <c r="X2794" i="21" s="1"/>
  <c r="M2794" i="21"/>
  <c r="J2796" i="21"/>
  <c r="X2796" i="21" s="1"/>
  <c r="M2796" i="21"/>
  <c r="J2798" i="21"/>
  <c r="X2798" i="21" s="1"/>
  <c r="M2798" i="21"/>
  <c r="J2800" i="21"/>
  <c r="X2800" i="21" s="1"/>
  <c r="M2800" i="21"/>
  <c r="J2802" i="21"/>
  <c r="X2802" i="21" s="1"/>
  <c r="M2802" i="21"/>
  <c r="J2804" i="21"/>
  <c r="X2804" i="21" s="1"/>
  <c r="M2804" i="21"/>
  <c r="J2806" i="21"/>
  <c r="X2806" i="21" s="1"/>
  <c r="M2806" i="21"/>
  <c r="J2808" i="21"/>
  <c r="X2808" i="21" s="1"/>
  <c r="M2808" i="21"/>
  <c r="J2810" i="21"/>
  <c r="X2810" i="21" s="1"/>
  <c r="M2810" i="21"/>
  <c r="J2812" i="21"/>
  <c r="X2812" i="21" s="1"/>
  <c r="M2812" i="21"/>
  <c r="J2814" i="21"/>
  <c r="X2814" i="21" s="1"/>
  <c r="M2814" i="21"/>
  <c r="J2816" i="21"/>
  <c r="X2816" i="21" s="1"/>
  <c r="M2816" i="21"/>
  <c r="J2818" i="21"/>
  <c r="X2818" i="21" s="1"/>
  <c r="M2818" i="21"/>
  <c r="J2820" i="21"/>
  <c r="X2820" i="21" s="1"/>
  <c r="M2820" i="21"/>
  <c r="J2822" i="21"/>
  <c r="X2822" i="21" s="1"/>
  <c r="M2822" i="21"/>
  <c r="J2824" i="21"/>
  <c r="X2824" i="21" s="1"/>
  <c r="M2824" i="21"/>
  <c r="J2826" i="21"/>
  <c r="X2826" i="21" s="1"/>
  <c r="M2826" i="21"/>
  <c r="J2869" i="21"/>
  <c r="X2869" i="21" s="1"/>
  <c r="M2869" i="21"/>
  <c r="J2871" i="21"/>
  <c r="X2871" i="21" s="1"/>
  <c r="M2871" i="21"/>
  <c r="J2873" i="21"/>
  <c r="X2873" i="21" s="1"/>
  <c r="M2873" i="21"/>
  <c r="J2875" i="21"/>
  <c r="X2875" i="21" s="1"/>
  <c r="M2875" i="21"/>
  <c r="J2877" i="21"/>
  <c r="X2877" i="21" s="1"/>
  <c r="M2877" i="21"/>
  <c r="J2879" i="21"/>
  <c r="X2879" i="21" s="1"/>
  <c r="M2879" i="21"/>
  <c r="J2881" i="21"/>
  <c r="X2881" i="21" s="1"/>
  <c r="M2881" i="21"/>
  <c r="J2883" i="21"/>
  <c r="X2883" i="21" s="1"/>
  <c r="M2883" i="21"/>
  <c r="M2913" i="21"/>
  <c r="M2915" i="21"/>
  <c r="M2917" i="21"/>
  <c r="M2919" i="21"/>
  <c r="M2921" i="21"/>
  <c r="M2923" i="21"/>
  <c r="M2925" i="21"/>
  <c r="M2927" i="21"/>
  <c r="M2929" i="21"/>
  <c r="M2931" i="21"/>
  <c r="M2933" i="21"/>
  <c r="J2839" i="21"/>
  <c r="X2839" i="21" s="1"/>
  <c r="M2839" i="21"/>
  <c r="J2841" i="21"/>
  <c r="X2841" i="21" s="1"/>
  <c r="M2841" i="21"/>
  <c r="J2843" i="21"/>
  <c r="X2843" i="21" s="1"/>
  <c r="M2843" i="21"/>
  <c r="J2845" i="21"/>
  <c r="X2845" i="21" s="1"/>
  <c r="M2845" i="21"/>
  <c r="J2847" i="21"/>
  <c r="X2847" i="21" s="1"/>
  <c r="M2847" i="21"/>
  <c r="J2849" i="21"/>
  <c r="X2849" i="21" s="1"/>
  <c r="M2849" i="21"/>
  <c r="J2851" i="21"/>
  <c r="X2851" i="21" s="1"/>
  <c r="M2851" i="21"/>
  <c r="J2853" i="21"/>
  <c r="X2853" i="21" s="1"/>
  <c r="M2853" i="21"/>
  <c r="J2855" i="21"/>
  <c r="X2855" i="21" s="1"/>
  <c r="M2855" i="21"/>
  <c r="J2857" i="21"/>
  <c r="X2857" i="21" s="1"/>
  <c r="M2857" i="21"/>
  <c r="J2859" i="21"/>
  <c r="X2859" i="21" s="1"/>
  <c r="M2859" i="21"/>
  <c r="J2861" i="21"/>
  <c r="X2861" i="21" s="1"/>
  <c r="M2861" i="21"/>
  <c r="J2863" i="21"/>
  <c r="X2863" i="21" s="1"/>
  <c r="M2863" i="21"/>
  <c r="J2865" i="21"/>
  <c r="X2865" i="21" s="1"/>
  <c r="M2865" i="21"/>
  <c r="J2867" i="21"/>
  <c r="X2867" i="21" s="1"/>
  <c r="M2867" i="21"/>
  <c r="J2885" i="21"/>
  <c r="X2885" i="21" s="1"/>
  <c r="J2887" i="21"/>
  <c r="X2887" i="21" s="1"/>
  <c r="J2889" i="21"/>
  <c r="X2889" i="21" s="1"/>
  <c r="J2891" i="21"/>
  <c r="X2891" i="21" s="1"/>
  <c r="J2893" i="21"/>
  <c r="X2893" i="21" s="1"/>
  <c r="J2895" i="21"/>
  <c r="X2895" i="21" s="1"/>
  <c r="J2897" i="21"/>
  <c r="X2897" i="21" s="1"/>
  <c r="J2899" i="21"/>
  <c r="X2899" i="21" s="1"/>
  <c r="J2901" i="21"/>
  <c r="X2901" i="21" s="1"/>
  <c r="J2903" i="21"/>
  <c r="X2903" i="21" s="1"/>
  <c r="J2905" i="21"/>
  <c r="X2905" i="21" s="1"/>
  <c r="J2907" i="21"/>
  <c r="X2907" i="21" s="1"/>
  <c r="M2885" i="21"/>
  <c r="M2887" i="21"/>
  <c r="M2889" i="21"/>
  <c r="M2891" i="21"/>
  <c r="M2893" i="21"/>
  <c r="M2895" i="21"/>
  <c r="M2897" i="21"/>
  <c r="M2899" i="21"/>
  <c r="M2901" i="21"/>
  <c r="M2903" i="21"/>
  <c r="M2905" i="21"/>
  <c r="M2907" i="21"/>
  <c r="M2909" i="21"/>
  <c r="M2911" i="21"/>
  <c r="J2908" i="21"/>
  <c r="X2908" i="21" s="1"/>
  <c r="J2910" i="21"/>
  <c r="N2910" i="21" s="1"/>
  <c r="Z2910" i="21" s="1"/>
  <c r="AA2910" i="21" s="1"/>
  <c r="J2912" i="21"/>
  <c r="N2912" i="21" s="1"/>
  <c r="Z2912" i="21" s="1"/>
  <c r="AA2912" i="21" s="1"/>
  <c r="J2973" i="21"/>
  <c r="X2973" i="21" s="1"/>
  <c r="M2973" i="21"/>
  <c r="J2981" i="21"/>
  <c r="X2981" i="21" s="1"/>
  <c r="J2983" i="21"/>
  <c r="X2983" i="21" s="1"/>
  <c r="J2991" i="21"/>
  <c r="X2991" i="21" s="1"/>
  <c r="J2999" i="21"/>
  <c r="X2999" i="21" s="1"/>
  <c r="J3007" i="21"/>
  <c r="X3007" i="21" s="1"/>
  <c r="J2989" i="21"/>
  <c r="X2989" i="21" s="1"/>
  <c r="J2997" i="21"/>
  <c r="X2997" i="21" s="1"/>
  <c r="J3005" i="21"/>
  <c r="X3005" i="21" s="1"/>
  <c r="J3013" i="21"/>
  <c r="X3013" i="21" s="1"/>
  <c r="J2936" i="21"/>
  <c r="X2936" i="21" s="1"/>
  <c r="M2936" i="21"/>
  <c r="J2938" i="21"/>
  <c r="X2938" i="21" s="1"/>
  <c r="M2938" i="21"/>
  <c r="J2940" i="21"/>
  <c r="X2940" i="21" s="1"/>
  <c r="M2940" i="21"/>
  <c r="J2942" i="21"/>
  <c r="X2942" i="21" s="1"/>
  <c r="M2942" i="21"/>
  <c r="J2944" i="21"/>
  <c r="X2944" i="21" s="1"/>
  <c r="M2944" i="21"/>
  <c r="J2946" i="21"/>
  <c r="X2946" i="21" s="1"/>
  <c r="M2946" i="21"/>
  <c r="J2948" i="21"/>
  <c r="X2948" i="21" s="1"/>
  <c r="M2948" i="21"/>
  <c r="J2950" i="21"/>
  <c r="X2950" i="21" s="1"/>
  <c r="M2950" i="21"/>
  <c r="J2952" i="21"/>
  <c r="X2952" i="21" s="1"/>
  <c r="M2952" i="21"/>
  <c r="J2954" i="21"/>
  <c r="X2954" i="21" s="1"/>
  <c r="M2954" i="21"/>
  <c r="J2956" i="21"/>
  <c r="X2956" i="21" s="1"/>
  <c r="M2956" i="21"/>
  <c r="J2958" i="21"/>
  <c r="X2958" i="21" s="1"/>
  <c r="M2958" i="21"/>
  <c r="J2960" i="21"/>
  <c r="X2960" i="21" s="1"/>
  <c r="M2960" i="21"/>
  <c r="J2962" i="21"/>
  <c r="X2962" i="21" s="1"/>
  <c r="M2962" i="21"/>
  <c r="J2964" i="21"/>
  <c r="X2964" i="21" s="1"/>
  <c r="M2964" i="21"/>
  <c r="J2966" i="21"/>
  <c r="X2966" i="21" s="1"/>
  <c r="M2966" i="21"/>
  <c r="J2968" i="21"/>
  <c r="X2968" i="21" s="1"/>
  <c r="M2968" i="21"/>
  <c r="J2970" i="21"/>
  <c r="X2970" i="21" s="1"/>
  <c r="M2970" i="21"/>
  <c r="J2972" i="21"/>
  <c r="X2972" i="21" s="1"/>
  <c r="M2972" i="21"/>
  <c r="J2975" i="21"/>
  <c r="X2975" i="21" s="1"/>
  <c r="M2975" i="21"/>
  <c r="J2987" i="21"/>
  <c r="X2987" i="21" s="1"/>
  <c r="J2995" i="21"/>
  <c r="X2995" i="21" s="1"/>
  <c r="J3003" i="21"/>
  <c r="X3003" i="21" s="1"/>
  <c r="J3011" i="21"/>
  <c r="X3011" i="21" s="1"/>
  <c r="J2977" i="21"/>
  <c r="X2977" i="21" s="1"/>
  <c r="M2977" i="21"/>
  <c r="M2979" i="21"/>
  <c r="M2981" i="21"/>
  <c r="M2983" i="21"/>
  <c r="M2985" i="21"/>
  <c r="M2987" i="21"/>
  <c r="M2989" i="21"/>
  <c r="M2991" i="21"/>
  <c r="M2993" i="21"/>
  <c r="M2995" i="21"/>
  <c r="M2997" i="21"/>
  <c r="M2999" i="21"/>
  <c r="M3001" i="21"/>
  <c r="M3003" i="21"/>
  <c r="M3005" i="21"/>
  <c r="M3007" i="21"/>
  <c r="M3009" i="21"/>
  <c r="M3011" i="21"/>
  <c r="M3013" i="21"/>
  <c r="J3980" i="21"/>
  <c r="N3980" i="21" s="1"/>
  <c r="Z3980" i="21" s="1"/>
  <c r="AA3980" i="21" s="1"/>
  <c r="J3908" i="21"/>
  <c r="X3908" i="21" s="1"/>
  <c r="J3910" i="21"/>
  <c r="N3910" i="21" s="1"/>
  <c r="Z3910" i="21" s="1"/>
  <c r="AA3910" i="21" s="1"/>
  <c r="J3914" i="21"/>
  <c r="N3914" i="21" s="1"/>
  <c r="Z3914" i="21" s="1"/>
  <c r="AA3914" i="21" s="1"/>
  <c r="J3916" i="21"/>
  <c r="X3916" i="21" s="1"/>
  <c r="J3918" i="21"/>
  <c r="N3918" i="21" s="1"/>
  <c r="Z3918" i="21" s="1"/>
  <c r="AA3918" i="21" s="1"/>
  <c r="J3787" i="21"/>
  <c r="N3787" i="21" s="1"/>
  <c r="Z3787" i="21" s="1"/>
  <c r="AA3787" i="21" s="1"/>
  <c r="J3789" i="21"/>
  <c r="X3789" i="21" s="1"/>
  <c r="J3791" i="21"/>
  <c r="N3791" i="21" s="1"/>
  <c r="Z3791" i="21" s="1"/>
  <c r="AA3791" i="21" s="1"/>
  <c r="J3846" i="21"/>
  <c r="N3846" i="21" s="1"/>
  <c r="Z3846" i="21" s="1"/>
  <c r="AA3846" i="21" s="1"/>
  <c r="J3694" i="21"/>
  <c r="X3694" i="21" s="1"/>
  <c r="J3710" i="21"/>
  <c r="X3710" i="21" s="1"/>
  <c r="J3726" i="21"/>
  <c r="X3726" i="21" s="1"/>
  <c r="J3361" i="21"/>
  <c r="N3361" i="21" s="1"/>
  <c r="Z3361" i="21" s="1"/>
  <c r="AA3361" i="21" s="1"/>
  <c r="J3365" i="21"/>
  <c r="X3365" i="21" s="1"/>
  <c r="J3369" i="21"/>
  <c r="X3369" i="21" s="1"/>
  <c r="J3373" i="21"/>
  <c r="N3373" i="21" s="1"/>
  <c r="Z3373" i="21" s="1"/>
  <c r="AA3373" i="21" s="1"/>
  <c r="J3379" i="21"/>
  <c r="X3379" i="21" s="1"/>
  <c r="J3387" i="21"/>
  <c r="X3387" i="21" s="1"/>
  <c r="J3395" i="21"/>
  <c r="X3395" i="21" s="1"/>
  <c r="J3403" i="21"/>
  <c r="X3403" i="21" s="1"/>
  <c r="J3425" i="21"/>
  <c r="N3425" i="21" s="1"/>
  <c r="Z3425" i="21" s="1"/>
  <c r="AA3425" i="21" s="1"/>
  <c r="J3426" i="21"/>
  <c r="X3426" i="21" s="1"/>
  <c r="J3433" i="21"/>
  <c r="N3433" i="21" s="1"/>
  <c r="Z3433" i="21" s="1"/>
  <c r="AA3433" i="21" s="1"/>
  <c r="J3434" i="21"/>
  <c r="X3434" i="21" s="1"/>
  <c r="J3451" i="21"/>
  <c r="N3451" i="21" s="1"/>
  <c r="Z3451" i="21" s="1"/>
  <c r="AA3451" i="21" s="1"/>
  <c r="J3452" i="21"/>
  <c r="X3452" i="21" s="1"/>
  <c r="J3458" i="21"/>
  <c r="X3458" i="21" s="1"/>
  <c r="J3462" i="21"/>
  <c r="X3462" i="21" s="1"/>
  <c r="J3466" i="21"/>
  <c r="X3466" i="21" s="1"/>
  <c r="J3470" i="21"/>
  <c r="X3470" i="21" s="1"/>
  <c r="J3481" i="21"/>
  <c r="N3481" i="21" s="1"/>
  <c r="Z3481" i="21" s="1"/>
  <c r="AA3481" i="21" s="1"/>
  <c r="J3512" i="21"/>
  <c r="X3512" i="21" s="1"/>
  <c r="J3703" i="21"/>
  <c r="X3703" i="21" s="1"/>
  <c r="J3719" i="21"/>
  <c r="X3719" i="21" s="1"/>
  <c r="J3432" i="21"/>
  <c r="X3432" i="21" s="1"/>
  <c r="J3530" i="21"/>
  <c r="X3530" i="21" s="1"/>
  <c r="M3530" i="21"/>
  <c r="J3532" i="21"/>
  <c r="X3532" i="21" s="1"/>
  <c r="M3532" i="21"/>
  <c r="J3540" i="21"/>
  <c r="X3540" i="21" s="1"/>
  <c r="M3540" i="21"/>
  <c r="J3406" i="21"/>
  <c r="X3406" i="21" s="1"/>
  <c r="J3407" i="21"/>
  <c r="X3407" i="21" s="1"/>
  <c r="J3423" i="21"/>
  <c r="X3423" i="21" s="1"/>
  <c r="J3430" i="21"/>
  <c r="X3430" i="21" s="1"/>
  <c r="J3436" i="21"/>
  <c r="X3436" i="21" s="1"/>
  <c r="J3442" i="21"/>
  <c r="X3442" i="21" s="1"/>
  <c r="J3484" i="21"/>
  <c r="N3484" i="21" s="1"/>
  <c r="Z3484" i="21" s="1"/>
  <c r="AA3484" i="21" s="1"/>
  <c r="J3492" i="21"/>
  <c r="N3492" i="21" s="1"/>
  <c r="Z3492" i="21" s="1"/>
  <c r="AA3492" i="21" s="1"/>
  <c r="J3500" i="21"/>
  <c r="N3500" i="21" s="1"/>
  <c r="Z3500" i="21" s="1"/>
  <c r="AA3500" i="21" s="1"/>
  <c r="J3508" i="21"/>
  <c r="N3508" i="21" s="1"/>
  <c r="Z3508" i="21" s="1"/>
  <c r="AA3508" i="21" s="1"/>
  <c r="J3516" i="21"/>
  <c r="N3516" i="21" s="1"/>
  <c r="Z3516" i="21" s="1"/>
  <c r="AA3516" i="21" s="1"/>
  <c r="J3016" i="21"/>
  <c r="X3016" i="21" s="1"/>
  <c r="J3018" i="21"/>
  <c r="X3018" i="21" s="1"/>
  <c r="J3020" i="21"/>
  <c r="X3020" i="21" s="1"/>
  <c r="J3022" i="21"/>
  <c r="X3022" i="21" s="1"/>
  <c r="J3024" i="21"/>
  <c r="X3024" i="21" s="1"/>
  <c r="J3026" i="21"/>
  <c r="X3026" i="21" s="1"/>
  <c r="J3028" i="21"/>
  <c r="X3028" i="21" s="1"/>
  <c r="J3030" i="21"/>
  <c r="X3030" i="21" s="1"/>
  <c r="J3032" i="21"/>
  <c r="X3032" i="21" s="1"/>
  <c r="J3034" i="21"/>
  <c r="X3034" i="21" s="1"/>
  <c r="J3036" i="21"/>
  <c r="X3036" i="21" s="1"/>
  <c r="J3038" i="21"/>
  <c r="X3038" i="21" s="1"/>
  <c r="J3040" i="21"/>
  <c r="X3040" i="21" s="1"/>
  <c r="J3042" i="21"/>
  <c r="X3042" i="21" s="1"/>
  <c r="J3044" i="21"/>
  <c r="X3044" i="21" s="1"/>
  <c r="J3046" i="21"/>
  <c r="X3046" i="21" s="1"/>
  <c r="J3048" i="21"/>
  <c r="X3048" i="21" s="1"/>
  <c r="J3050" i="21"/>
  <c r="X3050" i="21" s="1"/>
  <c r="J3052" i="21"/>
  <c r="X3052" i="21" s="1"/>
  <c r="J3054" i="21"/>
  <c r="X3054" i="21" s="1"/>
  <c r="J3056" i="21"/>
  <c r="X3056" i="21" s="1"/>
  <c r="J3058" i="21"/>
  <c r="X3058" i="21" s="1"/>
  <c r="J3060" i="21"/>
  <c r="X3060" i="21" s="1"/>
  <c r="J3062" i="21"/>
  <c r="X3062" i="21" s="1"/>
  <c r="J3064" i="21"/>
  <c r="X3064" i="21" s="1"/>
  <c r="J3066" i="21"/>
  <c r="X3066" i="21" s="1"/>
  <c r="J3068" i="21"/>
  <c r="X3068" i="21" s="1"/>
  <c r="J3070" i="21"/>
  <c r="X3070" i="21" s="1"/>
  <c r="J3072" i="21"/>
  <c r="X3072" i="21" s="1"/>
  <c r="J3074" i="21"/>
  <c r="X3074" i="21" s="1"/>
  <c r="J3076" i="21"/>
  <c r="X3076" i="21" s="1"/>
  <c r="J3078" i="21"/>
  <c r="X3078" i="21" s="1"/>
  <c r="J3080" i="21"/>
  <c r="X3080" i="21" s="1"/>
  <c r="J3082" i="21"/>
  <c r="X3082" i="21" s="1"/>
  <c r="J3857" i="21"/>
  <c r="X3857" i="21" s="1"/>
  <c r="J3861" i="21"/>
  <c r="N3861" i="21" s="1"/>
  <c r="Z3861" i="21" s="1"/>
  <c r="AA3861" i="21" s="1"/>
  <c r="J3865" i="21"/>
  <c r="X3865" i="21" s="1"/>
  <c r="J3785" i="21"/>
  <c r="X3785" i="21" s="1"/>
  <c r="J3799" i="21"/>
  <c r="N3799" i="21" s="1"/>
  <c r="Z3799" i="21" s="1"/>
  <c r="AA3799" i="21" s="1"/>
  <c r="J3807" i="21"/>
  <c r="N3807" i="21" s="1"/>
  <c r="Z3807" i="21" s="1"/>
  <c r="AA3807" i="21" s="1"/>
  <c r="J3695" i="21"/>
  <c r="X3695" i="21" s="1"/>
  <c r="J3698" i="21"/>
  <c r="X3698" i="21" s="1"/>
  <c r="J3711" i="21"/>
  <c r="X3711" i="21" s="1"/>
  <c r="J3714" i="21"/>
  <c r="N3714" i="21" s="1"/>
  <c r="Z3714" i="21" s="1"/>
  <c r="AA3714" i="21" s="1"/>
  <c r="J3727" i="21"/>
  <c r="X3727" i="21" s="1"/>
  <c r="J3732" i="21"/>
  <c r="X3732" i="21" s="1"/>
  <c r="J3381" i="21"/>
  <c r="X3381" i="21" s="1"/>
  <c r="J3389" i="21"/>
  <c r="X3389" i="21" s="1"/>
  <c r="J3397" i="21"/>
  <c r="N3397" i="21" s="1"/>
  <c r="Z3397" i="21" s="1"/>
  <c r="AA3397" i="21" s="1"/>
  <c r="J3408" i="21"/>
  <c r="N3408" i="21" s="1"/>
  <c r="Z3408" i="21" s="1"/>
  <c r="AA3408" i="21" s="1"/>
  <c r="J3409" i="21"/>
  <c r="N3409" i="21" s="1"/>
  <c r="Z3409" i="21" s="1"/>
  <c r="AA3409" i="21" s="1"/>
  <c r="J3419" i="21"/>
  <c r="N3419" i="21" s="1"/>
  <c r="Z3419" i="21" s="1"/>
  <c r="AA3419" i="21" s="1"/>
  <c r="J3427" i="21"/>
  <c r="N3427" i="21" s="1"/>
  <c r="Z3427" i="21" s="1"/>
  <c r="AA3427" i="21" s="1"/>
  <c r="J3428" i="21"/>
  <c r="X3428" i="21" s="1"/>
  <c r="J3443" i="21"/>
  <c r="N3443" i="21" s="1"/>
  <c r="Z3443" i="21" s="1"/>
  <c r="AA3443" i="21" s="1"/>
  <c r="J3444" i="21"/>
  <c r="X3444" i="21" s="1"/>
  <c r="J3450" i="21"/>
  <c r="X3450" i="21" s="1"/>
  <c r="J3453" i="21"/>
  <c r="N3453" i="21" s="1"/>
  <c r="Z3453" i="21" s="1"/>
  <c r="AA3453" i="21" s="1"/>
  <c r="J3454" i="21"/>
  <c r="X3454" i="21" s="1"/>
  <c r="J3459" i="21"/>
  <c r="N3459" i="21" s="1"/>
  <c r="Z3459" i="21" s="1"/>
  <c r="AA3459" i="21" s="1"/>
  <c r="J3463" i="21"/>
  <c r="N3463" i="21" s="1"/>
  <c r="Z3463" i="21" s="1"/>
  <c r="AA3463" i="21" s="1"/>
  <c r="J3467" i="21"/>
  <c r="N3467" i="21" s="1"/>
  <c r="Z3467" i="21" s="1"/>
  <c r="AA3467" i="21" s="1"/>
  <c r="M3479" i="21"/>
  <c r="J3479" i="21"/>
  <c r="X3479" i="21" s="1"/>
  <c r="J3122" i="21"/>
  <c r="X3122" i="21" s="1"/>
  <c r="M3122" i="21"/>
  <c r="J3130" i="21"/>
  <c r="X3130" i="21" s="1"/>
  <c r="M3130" i="21"/>
  <c r="M3548" i="21"/>
  <c r="J3574" i="21"/>
  <c r="X3574" i="21" s="1"/>
  <c r="J3575" i="21"/>
  <c r="N3575" i="21" s="1"/>
  <c r="Z3575" i="21" s="1"/>
  <c r="AA3575" i="21" s="1"/>
  <c r="J3576" i="21"/>
  <c r="X3576" i="21" s="1"/>
  <c r="J3577" i="21"/>
  <c r="N3577" i="21" s="1"/>
  <c r="Z3577" i="21" s="1"/>
  <c r="AA3577" i="21" s="1"/>
  <c r="J3585" i="21"/>
  <c r="X3585" i="21" s="1"/>
  <c r="J3586" i="21"/>
  <c r="X3586" i="21" s="1"/>
  <c r="M3587" i="21"/>
  <c r="J3589" i="21"/>
  <c r="X3589" i="21" s="1"/>
  <c r="J3593" i="21"/>
  <c r="X3593" i="21" s="1"/>
  <c r="J3609" i="21"/>
  <c r="X3609" i="21" s="1"/>
  <c r="J3116" i="21"/>
  <c r="X3116" i="21" s="1"/>
  <c r="M3116" i="21"/>
  <c r="J3124" i="21"/>
  <c r="X3124" i="21" s="1"/>
  <c r="M3124" i="21"/>
  <c r="J3132" i="21"/>
  <c r="X3132" i="21" s="1"/>
  <c r="M3132" i="21"/>
  <c r="M3538" i="21"/>
  <c r="M3546" i="21"/>
  <c r="J3572" i="21"/>
  <c r="X3572" i="21" s="1"/>
  <c r="J3646" i="21"/>
  <c r="X3646" i="21" s="1"/>
  <c r="M3016" i="21"/>
  <c r="M3018" i="21"/>
  <c r="M3020" i="21"/>
  <c r="M3022" i="21"/>
  <c r="M3024" i="21"/>
  <c r="M3026" i="21"/>
  <c r="M3028" i="21"/>
  <c r="M3030" i="21"/>
  <c r="M3032" i="21"/>
  <c r="M3034" i="21"/>
  <c r="M3036" i="21"/>
  <c r="M3038" i="21"/>
  <c r="M3040" i="21"/>
  <c r="M3042" i="21"/>
  <c r="M3044" i="21"/>
  <c r="M3046" i="21"/>
  <c r="M3048" i="21"/>
  <c r="M3050" i="21"/>
  <c r="M3052" i="21"/>
  <c r="M3054" i="21"/>
  <c r="M3056" i="21"/>
  <c r="M3058" i="21"/>
  <c r="M3060" i="21"/>
  <c r="M3062" i="21"/>
  <c r="M3064" i="21"/>
  <c r="M3066" i="21"/>
  <c r="M3068" i="21"/>
  <c r="M3070" i="21"/>
  <c r="M3072" i="21"/>
  <c r="M3074" i="21"/>
  <c r="M3076" i="21"/>
  <c r="M3078" i="21"/>
  <c r="M3080" i="21"/>
  <c r="M3082" i="21"/>
  <c r="M3084" i="21"/>
  <c r="M3086" i="21"/>
  <c r="M3088" i="21"/>
  <c r="M3090" i="21"/>
  <c r="M3092" i="21"/>
  <c r="M3094" i="21"/>
  <c r="M3096" i="21"/>
  <c r="M3098" i="21"/>
  <c r="M3100" i="21"/>
  <c r="M3102" i="21"/>
  <c r="M3104" i="21"/>
  <c r="M3106" i="21"/>
  <c r="M3108" i="21"/>
  <c r="M3110" i="21"/>
  <c r="M3112" i="21"/>
  <c r="M3114" i="21"/>
  <c r="J3118" i="21"/>
  <c r="X3118" i="21" s="1"/>
  <c r="M3118" i="21"/>
  <c r="J3126" i="21"/>
  <c r="X3126" i="21" s="1"/>
  <c r="M3126" i="21"/>
  <c r="J3134" i="21"/>
  <c r="X3134" i="21" s="1"/>
  <c r="M3134" i="21"/>
  <c r="J3439" i="21"/>
  <c r="N3439" i="21" s="1"/>
  <c r="Z3439" i="21" s="1"/>
  <c r="AA3439" i="21" s="1"/>
  <c r="J3440" i="21"/>
  <c r="X3440" i="21" s="1"/>
  <c r="J3447" i="21"/>
  <c r="N3447" i="21" s="1"/>
  <c r="Z3447" i="21" s="1"/>
  <c r="AA3447" i="21" s="1"/>
  <c r="J3448" i="21"/>
  <c r="X3448" i="21" s="1"/>
  <c r="J3455" i="21"/>
  <c r="X3455" i="21" s="1"/>
  <c r="J3456" i="21"/>
  <c r="X3456" i="21" s="1"/>
  <c r="J3460" i="21"/>
  <c r="X3460" i="21" s="1"/>
  <c r="J3464" i="21"/>
  <c r="X3464" i="21" s="1"/>
  <c r="J3468" i="21"/>
  <c r="X3468" i="21" s="1"/>
  <c r="J3083" i="21"/>
  <c r="N3083" i="21" s="1"/>
  <c r="Z3083" i="21" s="1"/>
  <c r="AA3083" i="21" s="1"/>
  <c r="J3085" i="21"/>
  <c r="X3085" i="21" s="1"/>
  <c r="J3087" i="21"/>
  <c r="X3087" i="21" s="1"/>
  <c r="J3089" i="21"/>
  <c r="N3089" i="21" s="1"/>
  <c r="Z3089" i="21" s="1"/>
  <c r="AA3089" i="21" s="1"/>
  <c r="J3091" i="21"/>
  <c r="N3091" i="21" s="1"/>
  <c r="Z3091" i="21" s="1"/>
  <c r="AA3091" i="21" s="1"/>
  <c r="J3093" i="21"/>
  <c r="N3093" i="21" s="1"/>
  <c r="Z3093" i="21" s="1"/>
  <c r="AA3093" i="21" s="1"/>
  <c r="J3095" i="21"/>
  <c r="X3095" i="21" s="1"/>
  <c r="J3097" i="21"/>
  <c r="N3097" i="21" s="1"/>
  <c r="Z3097" i="21" s="1"/>
  <c r="AA3097" i="21" s="1"/>
  <c r="J3099" i="21"/>
  <c r="N3099" i="21" s="1"/>
  <c r="Z3099" i="21" s="1"/>
  <c r="AA3099" i="21" s="1"/>
  <c r="J3101" i="21"/>
  <c r="X3101" i="21" s="1"/>
  <c r="J3103" i="21"/>
  <c r="N3103" i="21" s="1"/>
  <c r="Z3103" i="21" s="1"/>
  <c r="AA3103" i="21" s="1"/>
  <c r="J3105" i="21"/>
  <c r="X3105" i="21" s="1"/>
  <c r="J3107" i="21"/>
  <c r="N3107" i="21" s="1"/>
  <c r="Z3107" i="21" s="1"/>
  <c r="AA3107" i="21" s="1"/>
  <c r="J3109" i="21"/>
  <c r="X3109" i="21" s="1"/>
  <c r="J3111" i="21"/>
  <c r="N3111" i="21" s="1"/>
  <c r="Z3111" i="21" s="1"/>
  <c r="AA3111" i="21" s="1"/>
  <c r="J3120" i="21"/>
  <c r="X3120" i="21" s="1"/>
  <c r="M3120" i="21"/>
  <c r="J3128" i="21"/>
  <c r="X3128" i="21" s="1"/>
  <c r="M3128" i="21"/>
  <c r="M3191" i="21"/>
  <c r="J3191" i="21"/>
  <c r="X3191" i="21" s="1"/>
  <c r="M3199" i="21"/>
  <c r="J3199" i="21"/>
  <c r="X3199" i="21" s="1"/>
  <c r="M3136" i="21"/>
  <c r="M3138" i="21"/>
  <c r="M3140" i="21"/>
  <c r="M3142" i="21"/>
  <c r="M3144" i="21"/>
  <c r="M3197" i="21"/>
  <c r="J3197" i="21"/>
  <c r="X3197" i="21" s="1"/>
  <c r="J3145" i="21"/>
  <c r="X3145" i="21" s="1"/>
  <c r="M3145" i="21"/>
  <c r="J3147" i="21"/>
  <c r="X3147" i="21" s="1"/>
  <c r="M3147" i="21"/>
  <c r="J3149" i="21"/>
  <c r="X3149" i="21" s="1"/>
  <c r="M3149" i="21"/>
  <c r="J3151" i="21"/>
  <c r="X3151" i="21" s="1"/>
  <c r="M3151" i="21"/>
  <c r="J3153" i="21"/>
  <c r="X3153" i="21" s="1"/>
  <c r="M3153" i="21"/>
  <c r="J3155" i="21"/>
  <c r="X3155" i="21" s="1"/>
  <c r="M3155" i="21"/>
  <c r="J3157" i="21"/>
  <c r="X3157" i="21" s="1"/>
  <c r="M3157" i="21"/>
  <c r="J3159" i="21"/>
  <c r="X3159" i="21" s="1"/>
  <c r="M3159" i="21"/>
  <c r="J3161" i="21"/>
  <c r="X3161" i="21" s="1"/>
  <c r="M3161" i="21"/>
  <c r="J3163" i="21"/>
  <c r="X3163" i="21" s="1"/>
  <c r="M3163" i="21"/>
  <c r="J3165" i="21"/>
  <c r="X3165" i="21" s="1"/>
  <c r="M3165" i="21"/>
  <c r="J3167" i="21"/>
  <c r="X3167" i="21" s="1"/>
  <c r="M3167" i="21"/>
  <c r="J3169" i="21"/>
  <c r="X3169" i="21" s="1"/>
  <c r="M3169" i="21"/>
  <c r="J3171" i="21"/>
  <c r="X3171" i="21" s="1"/>
  <c r="M3171" i="21"/>
  <c r="J3173" i="21"/>
  <c r="X3173" i="21" s="1"/>
  <c r="M3173" i="21"/>
  <c r="J3175" i="21"/>
  <c r="X3175" i="21" s="1"/>
  <c r="M3175" i="21"/>
  <c r="J3181" i="21"/>
  <c r="N3181" i="21" s="1"/>
  <c r="Z3181" i="21" s="1"/>
  <c r="AA3181" i="21" s="1"/>
  <c r="J3189" i="21"/>
  <c r="N3189" i="21" s="1"/>
  <c r="Z3189" i="21" s="1"/>
  <c r="AA3189" i="21" s="1"/>
  <c r="M3195" i="21"/>
  <c r="J3195" i="21"/>
  <c r="X3195" i="21" s="1"/>
  <c r="J3177" i="21"/>
  <c r="N3177" i="21" s="1"/>
  <c r="Z3177" i="21" s="1"/>
  <c r="AA3177" i="21" s="1"/>
  <c r="J3179" i="21"/>
  <c r="N3179" i="21" s="1"/>
  <c r="Z3179" i="21" s="1"/>
  <c r="AA3179" i="21" s="1"/>
  <c r="J3187" i="21"/>
  <c r="X3187" i="21" s="1"/>
  <c r="M3193" i="21"/>
  <c r="J3193" i="21"/>
  <c r="X3193" i="21" s="1"/>
  <c r="J3201" i="21"/>
  <c r="X3201" i="21" s="1"/>
  <c r="J3203" i="21"/>
  <c r="X3203" i="21" s="1"/>
  <c r="J3205" i="21"/>
  <c r="N3205" i="21" s="1"/>
  <c r="Z3205" i="21" s="1"/>
  <c r="AA3205" i="21" s="1"/>
  <c r="J3207" i="21"/>
  <c r="N3207" i="21" s="1"/>
  <c r="Z3207" i="21" s="1"/>
  <c r="AA3207" i="21" s="1"/>
  <c r="J3209" i="21"/>
  <c r="X3209" i="21" s="1"/>
  <c r="J3211" i="21"/>
  <c r="N3211" i="21" s="1"/>
  <c r="Z3211" i="21" s="1"/>
  <c r="AA3211" i="21" s="1"/>
  <c r="J3213" i="21"/>
  <c r="N3213" i="21" s="1"/>
  <c r="Z3213" i="21" s="1"/>
  <c r="AA3213" i="21" s="1"/>
  <c r="J3215" i="21"/>
  <c r="J3217" i="21"/>
  <c r="M3231" i="21"/>
  <c r="J3237" i="21"/>
  <c r="X3237" i="21" s="1"/>
  <c r="M3237" i="21"/>
  <c r="J3245" i="21"/>
  <c r="X3245" i="21" s="1"/>
  <c r="M3245" i="21"/>
  <c r="J3221" i="21"/>
  <c r="X3221" i="21" s="1"/>
  <c r="M3221" i="21"/>
  <c r="J3223" i="21"/>
  <c r="X3223" i="21" s="1"/>
  <c r="M3223" i="21"/>
  <c r="J3225" i="21"/>
  <c r="X3225" i="21" s="1"/>
  <c r="M3225" i="21"/>
  <c r="J3227" i="21"/>
  <c r="X3227" i="21" s="1"/>
  <c r="M3227" i="21"/>
  <c r="J3229" i="21"/>
  <c r="X3229" i="21" s="1"/>
  <c r="M3229" i="21"/>
  <c r="M3234" i="21"/>
  <c r="J3234" i="21"/>
  <c r="X3234" i="21" s="1"/>
  <c r="J3235" i="21"/>
  <c r="X3235" i="21" s="1"/>
  <c r="M3235" i="21"/>
  <c r="J3243" i="21"/>
  <c r="X3243" i="21" s="1"/>
  <c r="M3243" i="21"/>
  <c r="M3232" i="21"/>
  <c r="J3232" i="21"/>
  <c r="X3232" i="21" s="1"/>
  <c r="J3241" i="21"/>
  <c r="X3241" i="21" s="1"/>
  <c r="M3241" i="21"/>
  <c r="M3230" i="21"/>
  <c r="J3230" i="21"/>
  <c r="X3230" i="21" s="1"/>
  <c r="J3233" i="21"/>
  <c r="X3233" i="21" s="1"/>
  <c r="M3233" i="21"/>
  <c r="J3239" i="21"/>
  <c r="X3239" i="21" s="1"/>
  <c r="M3239" i="21"/>
  <c r="M3276" i="21"/>
  <c r="J3276" i="21"/>
  <c r="X3276" i="21" s="1"/>
  <c r="M3278" i="21"/>
  <c r="J3278" i="21"/>
  <c r="X3278" i="21" s="1"/>
  <c r="M3280" i="21"/>
  <c r="J3280" i="21"/>
  <c r="X3280" i="21" s="1"/>
  <c r="J3283" i="21"/>
  <c r="X3283" i="21" s="1"/>
  <c r="M3283" i="21"/>
  <c r="J3285" i="21"/>
  <c r="X3285" i="21" s="1"/>
  <c r="M3285" i="21"/>
  <c r="J3287" i="21"/>
  <c r="X3287" i="21" s="1"/>
  <c r="M3287" i="21"/>
  <c r="M3247" i="21"/>
  <c r="M3249" i="21"/>
  <c r="M3251" i="21"/>
  <c r="M3253" i="21"/>
  <c r="M3255" i="21"/>
  <c r="M3257" i="21"/>
  <c r="M3259" i="21"/>
  <c r="M3261" i="21"/>
  <c r="M3263" i="21"/>
  <c r="M3265" i="21"/>
  <c r="M3267" i="21"/>
  <c r="M3269" i="21"/>
  <c r="M3270" i="21"/>
  <c r="J3270" i="21"/>
  <c r="X3270" i="21" s="1"/>
  <c r="J3236" i="21"/>
  <c r="X3236" i="21" s="1"/>
  <c r="J3238" i="21"/>
  <c r="N3238" i="21" s="1"/>
  <c r="Z3238" i="21" s="1"/>
  <c r="AA3238" i="21" s="1"/>
  <c r="J3240" i="21"/>
  <c r="J3242" i="21"/>
  <c r="X3242" i="21" s="1"/>
  <c r="J3244" i="21"/>
  <c r="N3244" i="21" s="1"/>
  <c r="Z3244" i="21" s="1"/>
  <c r="AA3244" i="21" s="1"/>
  <c r="J3246" i="21"/>
  <c r="X3246" i="21" s="1"/>
  <c r="J3248" i="21"/>
  <c r="X3248" i="21" s="1"/>
  <c r="J3250" i="21"/>
  <c r="N3250" i="21" s="1"/>
  <c r="Z3250" i="21" s="1"/>
  <c r="AA3250" i="21" s="1"/>
  <c r="J3252" i="21"/>
  <c r="X3252" i="21" s="1"/>
  <c r="J3254" i="21"/>
  <c r="X3254" i="21" s="1"/>
  <c r="J3256" i="21"/>
  <c r="X3256" i="21" s="1"/>
  <c r="J3258" i="21"/>
  <c r="N3258" i="21" s="1"/>
  <c r="Z3258" i="21" s="1"/>
  <c r="AA3258" i="21" s="1"/>
  <c r="J3260" i="21"/>
  <c r="N3260" i="21" s="1"/>
  <c r="Z3260" i="21" s="1"/>
  <c r="AA3260" i="21" s="1"/>
  <c r="J3262" i="21"/>
  <c r="X3262" i="21" s="1"/>
  <c r="J3264" i="21"/>
  <c r="J3266" i="21"/>
  <c r="J3268" i="21"/>
  <c r="X3268" i="21" s="1"/>
  <c r="M3272" i="21"/>
  <c r="J3272" i="21"/>
  <c r="X3272" i="21" s="1"/>
  <c r="M3277" i="21"/>
  <c r="M3279" i="21"/>
  <c r="M3281" i="21"/>
  <c r="M3274" i="21"/>
  <c r="J3274" i="21"/>
  <c r="X3274" i="21" s="1"/>
  <c r="J3310" i="21"/>
  <c r="X3310" i="21" s="1"/>
  <c r="M3310" i="21"/>
  <c r="J3312" i="21"/>
  <c r="X3312" i="21" s="1"/>
  <c r="M3312" i="21"/>
  <c r="J3314" i="21"/>
  <c r="X3314" i="21" s="1"/>
  <c r="M3314" i="21"/>
  <c r="J3318" i="21"/>
  <c r="X3318" i="21" s="1"/>
  <c r="M3318" i="21"/>
  <c r="J3324" i="21"/>
  <c r="X3324" i="21" s="1"/>
  <c r="J3328" i="21"/>
  <c r="X3328" i="21" s="1"/>
  <c r="M3289" i="21"/>
  <c r="M3291" i="21"/>
  <c r="M3293" i="21"/>
  <c r="M3295" i="21"/>
  <c r="M3297" i="21"/>
  <c r="M3299" i="21"/>
  <c r="M3301" i="21"/>
  <c r="M3303" i="21"/>
  <c r="M3305" i="21"/>
  <c r="M3307" i="21"/>
  <c r="M3309" i="21"/>
  <c r="J3322" i="21"/>
  <c r="X3322" i="21" s="1"/>
  <c r="J3282" i="21"/>
  <c r="N3282" i="21" s="1"/>
  <c r="Z3282" i="21" s="1"/>
  <c r="AA3282" i="21" s="1"/>
  <c r="J3284" i="21"/>
  <c r="N3284" i="21" s="1"/>
  <c r="Z3284" i="21" s="1"/>
  <c r="AA3284" i="21" s="1"/>
  <c r="J3286" i="21"/>
  <c r="X3286" i="21" s="1"/>
  <c r="J3288" i="21"/>
  <c r="N3288" i="21" s="1"/>
  <c r="Z3288" i="21" s="1"/>
  <c r="AA3288" i="21" s="1"/>
  <c r="J3290" i="21"/>
  <c r="X3290" i="21" s="1"/>
  <c r="J3292" i="21"/>
  <c r="J3294" i="21"/>
  <c r="N3294" i="21" s="1"/>
  <c r="Z3294" i="21" s="1"/>
  <c r="AA3294" i="21" s="1"/>
  <c r="J3296" i="21"/>
  <c r="X3296" i="21" s="1"/>
  <c r="J3298" i="21"/>
  <c r="N3298" i="21" s="1"/>
  <c r="Z3298" i="21" s="1"/>
  <c r="AA3298" i="21" s="1"/>
  <c r="J3300" i="21"/>
  <c r="N3300" i="21" s="1"/>
  <c r="Z3300" i="21" s="1"/>
  <c r="AA3300" i="21" s="1"/>
  <c r="J3302" i="21"/>
  <c r="X3302" i="21" s="1"/>
  <c r="J3304" i="21"/>
  <c r="X3304" i="21" s="1"/>
  <c r="J3306" i="21"/>
  <c r="N3306" i="21" s="1"/>
  <c r="Z3306" i="21" s="1"/>
  <c r="AA3306" i="21" s="1"/>
  <c r="J3308" i="21"/>
  <c r="X3308" i="21" s="1"/>
  <c r="J3316" i="21"/>
  <c r="X3316" i="21" s="1"/>
  <c r="M3316" i="21"/>
  <c r="J3320" i="21"/>
  <c r="X3320" i="21" s="1"/>
  <c r="J3336" i="21"/>
  <c r="X3336" i="21" s="1"/>
  <c r="J3344" i="21"/>
  <c r="X3344" i="21" s="1"/>
  <c r="J3348" i="21"/>
  <c r="X3348" i="21" s="1"/>
  <c r="J3334" i="21"/>
  <c r="X3334" i="21" s="1"/>
  <c r="J3342" i="21"/>
  <c r="X3342" i="21" s="1"/>
  <c r="J3326" i="21"/>
  <c r="X3326" i="21" s="1"/>
  <c r="J3332" i="21"/>
  <c r="X3332" i="21" s="1"/>
  <c r="J3340" i="21"/>
  <c r="X3340" i="21" s="1"/>
  <c r="J3346" i="21"/>
  <c r="X3346" i="21" s="1"/>
  <c r="J3350" i="21"/>
  <c r="X3350" i="21" s="1"/>
  <c r="M3320" i="21"/>
  <c r="M3322" i="21"/>
  <c r="M3324" i="21"/>
  <c r="M3326" i="21"/>
  <c r="M3328" i="21"/>
  <c r="M3330" i="21"/>
  <c r="M3332" i="21"/>
  <c r="M3334" i="21"/>
  <c r="M3336" i="21"/>
  <c r="M3338" i="21"/>
  <c r="M3340" i="21"/>
  <c r="M3342" i="21"/>
  <c r="M3344" i="21"/>
  <c r="M3346" i="21"/>
  <c r="M3348" i="21"/>
  <c r="M3350" i="21"/>
  <c r="J3898" i="21"/>
  <c r="X3898" i="21" s="1"/>
  <c r="J3902" i="21"/>
  <c r="N3902" i="21" s="1"/>
  <c r="Z3902" i="21" s="1"/>
  <c r="AA3902" i="21" s="1"/>
  <c r="J3904" i="21"/>
  <c r="N3904" i="21" s="1"/>
  <c r="Z3904" i="21" s="1"/>
  <c r="AA3904" i="21" s="1"/>
  <c r="J3773" i="21"/>
  <c r="X3773" i="21" s="1"/>
  <c r="J3822" i="21"/>
  <c r="N3822" i="21" s="1"/>
  <c r="Z3822" i="21" s="1"/>
  <c r="AA3822" i="21" s="1"/>
  <c r="J3842" i="21"/>
  <c r="X3842" i="21" s="1"/>
  <c r="J3736" i="21"/>
  <c r="N3736" i="21" s="1"/>
  <c r="Z3736" i="21" s="1"/>
  <c r="AA3736" i="21" s="1"/>
  <c r="J3738" i="21"/>
  <c r="N3738" i="21" s="1"/>
  <c r="Z3738" i="21" s="1"/>
  <c r="AA3738" i="21" s="1"/>
  <c r="J3740" i="21"/>
  <c r="N3740" i="21" s="1"/>
  <c r="Z3740" i="21" s="1"/>
  <c r="AA3740" i="21" s="1"/>
  <c r="J3742" i="21"/>
  <c r="N3742" i="21" s="1"/>
  <c r="Z3742" i="21" s="1"/>
  <c r="AA3742" i="21" s="1"/>
  <c r="J3744" i="21"/>
  <c r="N3744" i="21" s="1"/>
  <c r="Z3744" i="21" s="1"/>
  <c r="AA3744" i="21" s="1"/>
  <c r="J3746" i="21"/>
  <c r="N3746" i="21" s="1"/>
  <c r="Z3746" i="21" s="1"/>
  <c r="AA3746" i="21" s="1"/>
  <c r="J3748" i="21"/>
  <c r="N3748" i="21" s="1"/>
  <c r="Z3748" i="21" s="1"/>
  <c r="AA3748" i="21" s="1"/>
  <c r="J3750" i="21"/>
  <c r="N3750" i="21" s="1"/>
  <c r="Z3750" i="21" s="1"/>
  <c r="AA3750" i="21" s="1"/>
  <c r="J3752" i="21"/>
  <c r="N3752" i="21" s="1"/>
  <c r="Z3752" i="21" s="1"/>
  <c r="AA3752" i="21" s="1"/>
  <c r="J3754" i="21"/>
  <c r="N3754" i="21" s="1"/>
  <c r="Z3754" i="21" s="1"/>
  <c r="AA3754" i="21" s="1"/>
  <c r="J3756" i="21"/>
  <c r="N3756" i="21" s="1"/>
  <c r="Z3756" i="21" s="1"/>
  <c r="AA3756" i="21" s="1"/>
  <c r="J3758" i="21"/>
  <c r="N3758" i="21" s="1"/>
  <c r="Z3758" i="21" s="1"/>
  <c r="AA3758" i="21" s="1"/>
  <c r="J3760" i="21"/>
  <c r="N3760" i="21" s="1"/>
  <c r="Z3760" i="21" s="1"/>
  <c r="AA3760" i="21" s="1"/>
  <c r="J3762" i="21"/>
  <c r="N3762" i="21" s="1"/>
  <c r="Z3762" i="21" s="1"/>
  <c r="AA3762" i="21" s="1"/>
  <c r="J3764" i="21"/>
  <c r="N3764" i="21" s="1"/>
  <c r="Z3764" i="21" s="1"/>
  <c r="AA3764" i="21" s="1"/>
  <c r="J3766" i="21"/>
  <c r="N3766" i="21" s="1"/>
  <c r="Z3766" i="21" s="1"/>
  <c r="AA3766" i="21" s="1"/>
  <c r="J3352" i="21"/>
  <c r="N3352" i="21" s="1"/>
  <c r="Z3352" i="21" s="1"/>
  <c r="AA3352" i="21" s="1"/>
  <c r="J3354" i="21"/>
  <c r="N3354" i="21" s="1"/>
  <c r="Z3354" i="21" s="1"/>
  <c r="AA3354" i="21" s="1"/>
  <c r="J3356" i="21"/>
  <c r="N3356" i="21" s="1"/>
  <c r="Z3356" i="21" s="1"/>
  <c r="AA3356" i="21" s="1"/>
  <c r="J3358" i="21"/>
  <c r="N3358" i="21" s="1"/>
  <c r="Z3358" i="21" s="1"/>
  <c r="AA3358" i="21" s="1"/>
  <c r="J3360" i="21"/>
  <c r="N3360" i="21" s="1"/>
  <c r="Z3360" i="21" s="1"/>
  <c r="AA3360" i="21" s="1"/>
  <c r="J3362" i="21"/>
  <c r="X3362" i="21" s="1"/>
  <c r="J3364" i="21"/>
  <c r="X3364" i="21" s="1"/>
  <c r="J3366" i="21"/>
  <c r="X3366" i="21" s="1"/>
  <c r="J3368" i="21"/>
  <c r="N3368" i="21" s="1"/>
  <c r="Z3368" i="21" s="1"/>
  <c r="AA3368" i="21" s="1"/>
  <c r="J3370" i="21"/>
  <c r="N3370" i="21" s="1"/>
  <c r="Z3370" i="21" s="1"/>
  <c r="AA3370" i="21" s="1"/>
  <c r="J3372" i="21"/>
  <c r="X3372" i="21" s="1"/>
  <c r="J3374" i="21"/>
  <c r="X3374" i="21" s="1"/>
  <c r="J3376" i="21"/>
  <c r="N3376" i="21" s="1"/>
  <c r="Z3376" i="21" s="1"/>
  <c r="AA3376" i="21" s="1"/>
  <c r="J3378" i="21"/>
  <c r="N3378" i="21" s="1"/>
  <c r="Z3378" i="21" s="1"/>
  <c r="AA3378" i="21" s="1"/>
  <c r="J3380" i="21"/>
  <c r="N3380" i="21" s="1"/>
  <c r="Z3380" i="21" s="1"/>
  <c r="AA3380" i="21" s="1"/>
  <c r="J3382" i="21"/>
  <c r="X3382" i="21" s="1"/>
  <c r="J3384" i="21"/>
  <c r="N3384" i="21" s="1"/>
  <c r="Z3384" i="21" s="1"/>
  <c r="AA3384" i="21" s="1"/>
  <c r="J3386" i="21"/>
  <c r="N3386" i="21" s="1"/>
  <c r="Z3386" i="21" s="1"/>
  <c r="AA3386" i="21" s="1"/>
  <c r="J3388" i="21"/>
  <c r="X3388" i="21" s="1"/>
  <c r="J3390" i="21"/>
  <c r="X3390" i="21" s="1"/>
  <c r="J3392" i="21"/>
  <c r="J3394" i="21"/>
  <c r="N3394" i="21" s="1"/>
  <c r="Z3394" i="21" s="1"/>
  <c r="AA3394" i="21" s="1"/>
  <c r="J3396" i="21"/>
  <c r="N3396" i="21" s="1"/>
  <c r="Z3396" i="21" s="1"/>
  <c r="AA3396" i="21" s="1"/>
  <c r="J3398" i="21"/>
  <c r="X3398" i="21" s="1"/>
  <c r="J3400" i="21"/>
  <c r="N3400" i="21" s="1"/>
  <c r="Z3400" i="21" s="1"/>
  <c r="AA3400" i="21" s="1"/>
  <c r="J3402" i="21"/>
  <c r="N3402" i="21" s="1"/>
  <c r="Z3402" i="21" s="1"/>
  <c r="AA3402" i="21" s="1"/>
  <c r="J3404" i="21"/>
  <c r="N3404" i="21" s="1"/>
  <c r="Z3404" i="21" s="1"/>
  <c r="AA3404" i="21" s="1"/>
  <c r="J3934" i="21"/>
  <c r="N3934" i="21" s="1"/>
  <c r="Z3934" i="21" s="1"/>
  <c r="AA3934" i="21" s="1"/>
  <c r="J3777" i="21"/>
  <c r="X3777" i="21" s="1"/>
  <c r="J3797" i="21"/>
  <c r="N3797" i="21" s="1"/>
  <c r="Z3797" i="21" s="1"/>
  <c r="AA3797" i="21" s="1"/>
  <c r="J3803" i="21"/>
  <c r="N3803" i="21" s="1"/>
  <c r="Z3803" i="21" s="1"/>
  <c r="AA3803" i="21" s="1"/>
  <c r="J3814" i="21"/>
  <c r="N3814" i="21" s="1"/>
  <c r="Z3814" i="21" s="1"/>
  <c r="AA3814" i="21" s="1"/>
  <c r="J3824" i="21"/>
  <c r="N3824" i="21" s="1"/>
  <c r="Z3824" i="21" s="1"/>
  <c r="AA3824" i="21" s="1"/>
  <c r="J3854" i="21"/>
  <c r="N3854" i="21" s="1"/>
  <c r="Z3854" i="21" s="1"/>
  <c r="AA3854" i="21" s="1"/>
  <c r="J3692" i="21"/>
  <c r="N3692" i="21" s="1"/>
  <c r="Z3692" i="21" s="1"/>
  <c r="AA3692" i="21" s="1"/>
  <c r="J3700" i="21"/>
  <c r="N3700" i="21" s="1"/>
  <c r="Z3700" i="21" s="1"/>
  <c r="AA3700" i="21" s="1"/>
  <c r="J3701" i="21"/>
  <c r="X3701" i="21" s="1"/>
  <c r="J3708" i="21"/>
  <c r="N3708" i="21" s="1"/>
  <c r="Z3708" i="21" s="1"/>
  <c r="AA3708" i="21" s="1"/>
  <c r="J3709" i="21"/>
  <c r="X3709" i="21" s="1"/>
  <c r="J3716" i="21"/>
  <c r="N3716" i="21" s="1"/>
  <c r="Z3716" i="21" s="1"/>
  <c r="AA3716" i="21" s="1"/>
  <c r="J3717" i="21"/>
  <c r="X3717" i="21" s="1"/>
  <c r="J3724" i="21"/>
  <c r="X3724" i="21" s="1"/>
  <c r="J3725" i="21"/>
  <c r="X3725" i="21" s="1"/>
  <c r="J3734" i="21"/>
  <c r="N3734" i="21" s="1"/>
  <c r="Z3734" i="21" s="1"/>
  <c r="AA3734" i="21" s="1"/>
  <c r="J3768" i="21"/>
  <c r="N3768" i="21" s="1"/>
  <c r="Z3768" i="21" s="1"/>
  <c r="AA3768" i="21" s="1"/>
  <c r="J3769" i="21"/>
  <c r="X3769" i="21" s="1"/>
  <c r="J3416" i="21"/>
  <c r="X3416" i="21" s="1"/>
  <c r="M3416" i="21"/>
  <c r="J3420" i="21"/>
  <c r="X3420" i="21" s="1"/>
  <c r="M3420" i="21"/>
  <c r="J3424" i="21"/>
  <c r="X3424" i="21" s="1"/>
  <c r="M3424" i="21"/>
  <c r="J3943" i="21"/>
  <c r="X3943" i="21" s="1"/>
  <c r="J3775" i="21"/>
  <c r="N3775" i="21" s="1"/>
  <c r="Z3775" i="21" s="1"/>
  <c r="AA3775" i="21" s="1"/>
  <c r="J3828" i="21"/>
  <c r="X3828" i="21" s="1"/>
  <c r="J3836" i="21"/>
  <c r="X3836" i="21" s="1"/>
  <c r="M3836" i="21"/>
  <c r="J3699" i="21"/>
  <c r="X3699" i="21" s="1"/>
  <c r="J3707" i="21"/>
  <c r="X3707" i="21" s="1"/>
  <c r="J3715" i="21"/>
  <c r="X3715" i="21" s="1"/>
  <c r="J3723" i="21"/>
  <c r="X3723" i="21" s="1"/>
  <c r="J3414" i="21"/>
  <c r="N3414" i="21" s="1"/>
  <c r="Z3414" i="21" s="1"/>
  <c r="AA3414" i="21" s="1"/>
  <c r="J4003" i="21"/>
  <c r="X4003" i="21" s="1"/>
  <c r="J4005" i="21"/>
  <c r="N4005" i="21" s="1"/>
  <c r="Z4005" i="21" s="1"/>
  <c r="AA4005" i="21" s="1"/>
  <c r="J4007" i="21"/>
  <c r="N4007" i="21" s="1"/>
  <c r="Z4007" i="21" s="1"/>
  <c r="AA4007" i="21" s="1"/>
  <c r="J4009" i="21"/>
  <c r="N4009" i="21" s="1"/>
  <c r="Z4009" i="21" s="1"/>
  <c r="AA4009" i="21" s="1"/>
  <c r="J4011" i="21"/>
  <c r="X4011" i="21" s="1"/>
  <c r="J4013" i="21"/>
  <c r="N4013" i="21" s="1"/>
  <c r="Z4013" i="21" s="1"/>
  <c r="AA4013" i="21" s="1"/>
  <c r="J3954" i="21"/>
  <c r="X3954" i="21" s="1"/>
  <c r="J3956" i="21"/>
  <c r="X3956" i="21" s="1"/>
  <c r="J3855" i="21"/>
  <c r="X3855" i="21" s="1"/>
  <c r="J3889" i="21"/>
  <c r="X3889" i="21" s="1"/>
  <c r="J3891" i="21"/>
  <c r="N3891" i="21" s="1"/>
  <c r="Z3891" i="21" s="1"/>
  <c r="AA3891" i="21" s="1"/>
  <c r="J3893" i="21"/>
  <c r="N3893" i="21" s="1"/>
  <c r="Z3893" i="21" s="1"/>
  <c r="AA3893" i="21" s="1"/>
  <c r="J3924" i="21"/>
  <c r="X3924" i="21" s="1"/>
  <c r="J3926" i="21"/>
  <c r="X3926" i="21" s="1"/>
  <c r="J3930" i="21"/>
  <c r="N3930" i="21" s="1"/>
  <c r="Z3930" i="21" s="1"/>
  <c r="AA3930" i="21" s="1"/>
  <c r="J3932" i="21"/>
  <c r="X3932" i="21" s="1"/>
  <c r="J3783" i="21"/>
  <c r="N3783" i="21" s="1"/>
  <c r="Z3783" i="21" s="1"/>
  <c r="AA3783" i="21" s="1"/>
  <c r="J3795" i="21"/>
  <c r="N3795" i="21" s="1"/>
  <c r="Z3795" i="21" s="1"/>
  <c r="AA3795" i="21" s="1"/>
  <c r="J3805" i="21"/>
  <c r="X3805" i="21" s="1"/>
  <c r="J3809" i="21"/>
  <c r="N3809" i="21" s="1"/>
  <c r="Z3809" i="21" s="1"/>
  <c r="AA3809" i="21" s="1"/>
  <c r="J3844" i="21"/>
  <c r="N3844" i="21" s="1"/>
  <c r="Z3844" i="21" s="1"/>
  <c r="AA3844" i="21" s="1"/>
  <c r="J3689" i="21"/>
  <c r="N3689" i="21" s="1"/>
  <c r="Z3689" i="21" s="1"/>
  <c r="AA3689" i="21" s="1"/>
  <c r="J3690" i="21"/>
  <c r="N3690" i="21" s="1"/>
  <c r="Z3690" i="21" s="1"/>
  <c r="AA3690" i="21" s="1"/>
  <c r="J3696" i="21"/>
  <c r="N3696" i="21" s="1"/>
  <c r="Z3696" i="21" s="1"/>
  <c r="AA3696" i="21" s="1"/>
  <c r="J3697" i="21"/>
  <c r="X3697" i="21" s="1"/>
  <c r="J3704" i="21"/>
  <c r="X3704" i="21" s="1"/>
  <c r="J3705" i="21"/>
  <c r="X3705" i="21" s="1"/>
  <c r="J3712" i="21"/>
  <c r="N3712" i="21" s="1"/>
  <c r="Z3712" i="21" s="1"/>
  <c r="AA3712" i="21" s="1"/>
  <c r="J3713" i="21"/>
  <c r="X3713" i="21" s="1"/>
  <c r="J3720" i="21"/>
  <c r="X3720" i="21" s="1"/>
  <c r="J3721" i="21"/>
  <c r="X3721" i="21" s="1"/>
  <c r="J3728" i="21"/>
  <c r="X3728" i="21" s="1"/>
  <c r="J3739" i="21"/>
  <c r="X3739" i="21" s="1"/>
  <c r="J3741" i="21"/>
  <c r="X3741" i="21" s="1"/>
  <c r="J3743" i="21"/>
  <c r="X3743" i="21" s="1"/>
  <c r="J3745" i="21"/>
  <c r="X3745" i="21" s="1"/>
  <c r="J3747" i="21"/>
  <c r="X3747" i="21" s="1"/>
  <c r="J3749" i="21"/>
  <c r="X3749" i="21" s="1"/>
  <c r="J3751" i="21"/>
  <c r="X3751" i="21" s="1"/>
  <c r="J3753" i="21"/>
  <c r="X3753" i="21" s="1"/>
  <c r="J3755" i="21"/>
  <c r="X3755" i="21" s="1"/>
  <c r="J3757" i="21"/>
  <c r="X3757" i="21" s="1"/>
  <c r="J3770" i="21"/>
  <c r="X3770" i="21" s="1"/>
  <c r="J3413" i="21"/>
  <c r="N3413" i="21" s="1"/>
  <c r="Z3413" i="21" s="1"/>
  <c r="AA3413" i="21" s="1"/>
  <c r="J3418" i="21"/>
  <c r="X3418" i="21" s="1"/>
  <c r="M3418" i="21"/>
  <c r="J3422" i="21"/>
  <c r="X3422" i="21" s="1"/>
  <c r="M3422" i="21"/>
  <c r="M3426" i="21"/>
  <c r="M3428" i="21"/>
  <c r="M3430" i="21"/>
  <c r="M3432" i="21"/>
  <c r="M3434" i="21"/>
  <c r="M3436" i="21"/>
  <c r="M3438" i="21"/>
  <c r="M3440" i="21"/>
  <c r="M3442" i="21"/>
  <c r="M3444" i="21"/>
  <c r="M3446" i="21"/>
  <c r="M3448" i="21"/>
  <c r="M3450" i="21"/>
  <c r="M3452" i="21"/>
  <c r="M3454" i="21"/>
  <c r="M3456" i="21"/>
  <c r="M3458" i="21"/>
  <c r="M3460" i="21"/>
  <c r="M3462" i="21"/>
  <c r="M3464" i="21"/>
  <c r="M3466" i="21"/>
  <c r="M3468" i="21"/>
  <c r="M3470" i="21"/>
  <c r="J3483" i="21"/>
  <c r="X3483" i="21" s="1"/>
  <c r="M3489" i="21"/>
  <c r="J3491" i="21"/>
  <c r="X3491" i="21" s="1"/>
  <c r="M3497" i="21"/>
  <c r="J3499" i="21"/>
  <c r="X3499" i="21" s="1"/>
  <c r="M3505" i="21"/>
  <c r="J3507" i="21"/>
  <c r="X3507" i="21" s="1"/>
  <c r="J3474" i="21"/>
  <c r="X3474" i="21" s="1"/>
  <c r="M3474" i="21"/>
  <c r="J3476" i="21"/>
  <c r="X3476" i="21" s="1"/>
  <c r="M3476" i="21"/>
  <c r="J3478" i="21"/>
  <c r="X3478" i="21" s="1"/>
  <c r="M3478" i="21"/>
  <c r="J3480" i="21"/>
  <c r="X3480" i="21" s="1"/>
  <c r="M3480" i="21"/>
  <c r="J3482" i="21"/>
  <c r="X3482" i="21" s="1"/>
  <c r="M3482" i="21"/>
  <c r="M3485" i="21"/>
  <c r="J3487" i="21"/>
  <c r="X3487" i="21" s="1"/>
  <c r="M3493" i="21"/>
  <c r="J3495" i="21"/>
  <c r="X3495" i="21" s="1"/>
  <c r="M3501" i="21"/>
  <c r="J3503" i="21"/>
  <c r="X3503" i="21" s="1"/>
  <c r="M3509" i="21"/>
  <c r="J3511" i="21"/>
  <c r="X3511" i="21" s="1"/>
  <c r="M3511" i="21"/>
  <c r="J3513" i="21"/>
  <c r="X3513" i="21" s="1"/>
  <c r="M3513" i="21"/>
  <c r="J3515" i="21"/>
  <c r="X3515" i="21" s="1"/>
  <c r="M3515" i="21"/>
  <c r="J3517" i="21"/>
  <c r="X3517" i="21" s="1"/>
  <c r="M3517" i="21"/>
  <c r="J3519" i="21"/>
  <c r="X3519" i="21" s="1"/>
  <c r="M3519" i="21"/>
  <c r="J3521" i="21"/>
  <c r="X3521" i="21" s="1"/>
  <c r="M3521" i="21"/>
  <c r="J3523" i="21"/>
  <c r="X3523" i="21" s="1"/>
  <c r="M3523" i="21"/>
  <c r="J3525" i="21"/>
  <c r="X3525" i="21" s="1"/>
  <c r="M3525" i="21"/>
  <c r="M3574" i="21"/>
  <c r="M3578" i="21"/>
  <c r="J3596" i="21"/>
  <c r="X3596" i="21" s="1"/>
  <c r="M3596" i="21"/>
  <c r="J3604" i="21"/>
  <c r="X3604" i="21" s="1"/>
  <c r="M3604" i="21"/>
  <c r="J3612" i="21"/>
  <c r="X3612" i="21" s="1"/>
  <c r="M3612" i="21"/>
  <c r="J3527" i="21"/>
  <c r="X3527" i="21" s="1"/>
  <c r="M3527" i="21"/>
  <c r="J3529" i="21"/>
  <c r="X3529" i="21" s="1"/>
  <c r="M3529" i="21"/>
  <c r="J3531" i="21"/>
  <c r="X3531" i="21" s="1"/>
  <c r="M3531" i="21"/>
  <c r="J3533" i="21"/>
  <c r="X3533" i="21" s="1"/>
  <c r="M3533" i="21"/>
  <c r="J3535" i="21"/>
  <c r="X3535" i="21" s="1"/>
  <c r="M3535" i="21"/>
  <c r="J3537" i="21"/>
  <c r="X3537" i="21" s="1"/>
  <c r="M3537" i="21"/>
  <c r="J3539" i="21"/>
  <c r="X3539" i="21" s="1"/>
  <c r="M3539" i="21"/>
  <c r="J3541" i="21"/>
  <c r="X3541" i="21" s="1"/>
  <c r="M3541" i="21"/>
  <c r="J3543" i="21"/>
  <c r="X3543" i="21" s="1"/>
  <c r="M3543" i="21"/>
  <c r="J3545" i="21"/>
  <c r="X3545" i="21" s="1"/>
  <c r="M3545" i="21"/>
  <c r="J3547" i="21"/>
  <c r="X3547" i="21" s="1"/>
  <c r="M3547" i="21"/>
  <c r="J3549" i="21"/>
  <c r="X3549" i="21" s="1"/>
  <c r="M3549" i="21"/>
  <c r="J3551" i="21"/>
  <c r="X3551" i="21" s="1"/>
  <c r="M3551" i="21"/>
  <c r="J3553" i="21"/>
  <c r="X3553" i="21" s="1"/>
  <c r="M3553" i="21"/>
  <c r="J3555" i="21"/>
  <c r="X3555" i="21" s="1"/>
  <c r="J3557" i="21"/>
  <c r="X3557" i="21" s="1"/>
  <c r="J3559" i="21"/>
  <c r="X3559" i="21" s="1"/>
  <c r="J3561" i="21"/>
  <c r="X3561" i="21" s="1"/>
  <c r="J3563" i="21"/>
  <c r="X3563" i="21" s="1"/>
  <c r="J3565" i="21"/>
  <c r="X3565" i="21" s="1"/>
  <c r="J3567" i="21"/>
  <c r="X3567" i="21" s="1"/>
  <c r="J3569" i="21"/>
  <c r="X3569" i="21" s="1"/>
  <c r="M3572" i="21"/>
  <c r="M3576" i="21"/>
  <c r="M3586" i="21"/>
  <c r="J3584" i="21"/>
  <c r="X3584" i="21" s="1"/>
  <c r="M3584" i="21"/>
  <c r="J3592" i="21"/>
  <c r="X3592" i="21" s="1"/>
  <c r="M3592" i="21"/>
  <c r="J3594" i="21"/>
  <c r="X3594" i="21" s="1"/>
  <c r="J3602" i="21"/>
  <c r="X3602" i="21" s="1"/>
  <c r="J3610" i="21"/>
  <c r="X3610" i="21" s="1"/>
  <c r="M3555" i="21"/>
  <c r="M3557" i="21"/>
  <c r="M3559" i="21"/>
  <c r="M3561" i="21"/>
  <c r="M3563" i="21"/>
  <c r="M3565" i="21"/>
  <c r="M3567" i="21"/>
  <c r="M3569" i="21"/>
  <c r="J3582" i="21"/>
  <c r="X3582" i="21" s="1"/>
  <c r="M3582" i="21"/>
  <c r="J3590" i="21"/>
  <c r="X3590" i="21" s="1"/>
  <c r="M3590" i="21"/>
  <c r="J3600" i="21"/>
  <c r="X3600" i="21" s="1"/>
  <c r="J3608" i="21"/>
  <c r="X3608" i="21" s="1"/>
  <c r="J3580" i="21"/>
  <c r="X3580" i="21" s="1"/>
  <c r="M3580" i="21"/>
  <c r="J3588" i="21"/>
  <c r="X3588" i="21" s="1"/>
  <c r="M3588" i="21"/>
  <c r="J3598" i="21"/>
  <c r="X3598" i="21" s="1"/>
  <c r="J3606" i="21"/>
  <c r="X3606" i="21" s="1"/>
  <c r="J3614" i="21"/>
  <c r="X3614" i="21" s="1"/>
  <c r="M3614" i="21"/>
  <c r="J3616" i="21"/>
  <c r="X3616" i="21" s="1"/>
  <c r="M3616" i="21"/>
  <c r="J3618" i="21"/>
  <c r="X3618" i="21" s="1"/>
  <c r="M3618" i="21"/>
  <c r="J3620" i="21"/>
  <c r="X3620" i="21" s="1"/>
  <c r="M3620" i="21"/>
  <c r="J3622" i="21"/>
  <c r="X3622" i="21" s="1"/>
  <c r="M3622" i="21"/>
  <c r="J3624" i="21"/>
  <c r="X3624" i="21" s="1"/>
  <c r="M3624" i="21"/>
  <c r="J3626" i="21"/>
  <c r="X3626" i="21" s="1"/>
  <c r="M3626" i="21"/>
  <c r="J3628" i="21"/>
  <c r="X3628" i="21" s="1"/>
  <c r="M3628" i="21"/>
  <c r="J3630" i="21"/>
  <c r="X3630" i="21" s="1"/>
  <c r="M3630" i="21"/>
  <c r="J3632" i="21"/>
  <c r="X3632" i="21" s="1"/>
  <c r="M3632" i="21"/>
  <c r="J3634" i="21"/>
  <c r="X3634" i="21" s="1"/>
  <c r="M3634" i="21"/>
  <c r="J3636" i="21"/>
  <c r="X3636" i="21" s="1"/>
  <c r="M3636" i="21"/>
  <c r="J3638" i="21"/>
  <c r="X3638" i="21" s="1"/>
  <c r="M3638" i="21"/>
  <c r="J3640" i="21"/>
  <c r="X3640" i="21" s="1"/>
  <c r="J3642" i="21"/>
  <c r="X3642" i="21" s="1"/>
  <c r="J3644" i="21"/>
  <c r="X3644" i="21" s="1"/>
  <c r="M3646" i="21"/>
  <c r="J3650" i="21"/>
  <c r="X3650" i="21" s="1"/>
  <c r="J3652" i="21"/>
  <c r="X3652" i="21" s="1"/>
  <c r="J3654" i="21"/>
  <c r="X3654" i="21" s="1"/>
  <c r="J3656" i="21"/>
  <c r="X3656" i="21" s="1"/>
  <c r="J3660" i="21"/>
  <c r="X3660" i="21" s="1"/>
  <c r="J3664" i="21"/>
  <c r="X3664" i="21" s="1"/>
  <c r="J3668" i="21"/>
  <c r="X3668" i="21" s="1"/>
  <c r="J3672" i="21"/>
  <c r="X3672" i="21" s="1"/>
  <c r="J3676" i="21"/>
  <c r="X3676" i="21" s="1"/>
  <c r="J3680" i="21"/>
  <c r="X3680" i="21" s="1"/>
  <c r="J3684" i="21"/>
  <c r="X3684" i="21" s="1"/>
  <c r="M3640" i="21"/>
  <c r="M3642" i="21"/>
  <c r="M3644" i="21"/>
  <c r="J3648" i="21"/>
  <c r="X3648" i="21" s="1"/>
  <c r="M3648" i="21"/>
  <c r="J3658" i="21"/>
  <c r="X3658" i="21" s="1"/>
  <c r="J3662" i="21"/>
  <c r="X3662" i="21" s="1"/>
  <c r="J3666" i="21"/>
  <c r="X3666" i="21" s="1"/>
  <c r="J3670" i="21"/>
  <c r="X3670" i="21" s="1"/>
  <c r="J3674" i="21"/>
  <c r="X3674" i="21" s="1"/>
  <c r="J3678" i="21"/>
  <c r="X3678" i="21" s="1"/>
  <c r="J3682" i="21"/>
  <c r="X3682" i="21" s="1"/>
  <c r="J3686" i="21"/>
  <c r="X3686" i="21" s="1"/>
  <c r="M3650" i="21"/>
  <c r="M3652" i="21"/>
  <c r="M3654" i="21"/>
  <c r="M3656" i="21"/>
  <c r="M3658" i="21"/>
  <c r="M3660" i="21"/>
  <c r="M3662" i="21"/>
  <c r="M3664" i="21"/>
  <c r="M3666" i="21"/>
  <c r="M3668" i="21"/>
  <c r="M3670" i="21"/>
  <c r="M3672" i="21"/>
  <c r="M3674" i="21"/>
  <c r="M3676" i="21"/>
  <c r="M3678" i="21"/>
  <c r="M3680" i="21"/>
  <c r="M3682" i="21"/>
  <c r="M3684" i="21"/>
  <c r="M3686" i="21"/>
  <c r="M3842" i="21"/>
  <c r="J3693" i="21"/>
  <c r="X3693" i="21" s="1"/>
  <c r="M3693" i="21"/>
  <c r="J3940" i="21"/>
  <c r="N3940" i="21" s="1"/>
  <c r="Z3940" i="21" s="1"/>
  <c r="AA3940" i="21" s="1"/>
  <c r="J3944" i="21"/>
  <c r="X3944" i="21" s="1"/>
  <c r="J3948" i="21"/>
  <c r="X3948" i="21" s="1"/>
  <c r="J3955" i="21"/>
  <c r="X3955" i="21" s="1"/>
  <c r="J3873" i="21"/>
  <c r="N3873" i="21" s="1"/>
  <c r="Z3873" i="21" s="1"/>
  <c r="AA3873" i="21" s="1"/>
  <c r="J3877" i="21"/>
  <c r="N3877" i="21" s="1"/>
  <c r="Z3877" i="21" s="1"/>
  <c r="AA3877" i="21" s="1"/>
  <c r="J3881" i="21"/>
  <c r="X3881" i="21" s="1"/>
  <c r="J3894" i="21"/>
  <c r="X3894" i="21" s="1"/>
  <c r="J3906" i="21"/>
  <c r="N3906" i="21" s="1"/>
  <c r="Z3906" i="21" s="1"/>
  <c r="AA3906" i="21" s="1"/>
  <c r="J3922" i="21"/>
  <c r="N3922" i="21" s="1"/>
  <c r="Z3922" i="21" s="1"/>
  <c r="AA3922" i="21" s="1"/>
  <c r="J3928" i="21"/>
  <c r="N3928" i="21" s="1"/>
  <c r="Z3928" i="21" s="1"/>
  <c r="AA3928" i="21" s="1"/>
  <c r="J3938" i="21"/>
  <c r="N3938" i="21" s="1"/>
  <c r="Z3938" i="21" s="1"/>
  <c r="AA3938" i="21" s="1"/>
  <c r="J3782" i="21"/>
  <c r="X3782" i="21" s="1"/>
  <c r="J3786" i="21"/>
  <c r="X3786" i="21" s="1"/>
  <c r="J3790" i="21"/>
  <c r="X3790" i="21" s="1"/>
  <c r="J3794" i="21"/>
  <c r="X3794" i="21" s="1"/>
  <c r="J3798" i="21"/>
  <c r="X3798" i="21" s="1"/>
  <c r="J3802" i="21"/>
  <c r="X3802" i="21" s="1"/>
  <c r="J3811" i="21"/>
  <c r="N3811" i="21" s="1"/>
  <c r="Z3811" i="21" s="1"/>
  <c r="AA3811" i="21" s="1"/>
  <c r="M3828" i="21"/>
  <c r="J3848" i="21"/>
  <c r="N3848" i="21" s="1"/>
  <c r="Z3848" i="21" s="1"/>
  <c r="AA3848" i="21" s="1"/>
  <c r="J3850" i="21"/>
  <c r="X3850" i="21" s="1"/>
  <c r="M3850" i="21"/>
  <c r="J3688" i="21"/>
  <c r="N3688" i="21" s="1"/>
  <c r="Z3688" i="21" s="1"/>
  <c r="AA3688" i="21" s="1"/>
  <c r="J3826" i="21"/>
  <c r="X3826" i="21" s="1"/>
  <c r="M3826" i="21"/>
  <c r="J3691" i="21"/>
  <c r="X3691" i="21" s="1"/>
  <c r="M3691" i="21"/>
  <c r="J3967" i="21"/>
  <c r="X3967" i="21" s="1"/>
  <c r="J3969" i="21"/>
  <c r="X3969" i="21" s="1"/>
  <c r="J3871" i="21"/>
  <c r="N3871" i="21" s="1"/>
  <c r="Z3871" i="21" s="1"/>
  <c r="AA3871" i="21" s="1"/>
  <c r="J3936" i="21"/>
  <c r="X3936" i="21" s="1"/>
  <c r="J3784" i="21"/>
  <c r="X3784" i="21" s="1"/>
  <c r="J3788" i="21"/>
  <c r="X3788" i="21" s="1"/>
  <c r="J3792" i="21"/>
  <c r="X3792" i="21" s="1"/>
  <c r="J3796" i="21"/>
  <c r="X3796" i="21" s="1"/>
  <c r="J3800" i="21"/>
  <c r="X3800" i="21" s="1"/>
  <c r="J3804" i="21"/>
  <c r="X3804" i="21" s="1"/>
  <c r="J3832" i="21"/>
  <c r="N3832" i="21" s="1"/>
  <c r="Z3832" i="21" s="1"/>
  <c r="AA3832" i="21" s="1"/>
  <c r="J3834" i="21"/>
  <c r="M3834" i="21"/>
  <c r="M3695" i="21"/>
  <c r="M3697" i="21"/>
  <c r="M3699" i="21"/>
  <c r="M3701" i="21"/>
  <c r="M3703" i="21"/>
  <c r="M3705" i="21"/>
  <c r="M3707" i="21"/>
  <c r="M3709" i="21"/>
  <c r="M3711" i="21"/>
  <c r="M3713" i="21"/>
  <c r="M3715" i="21"/>
  <c r="M3717" i="21"/>
  <c r="M3719" i="21"/>
  <c r="M3721" i="21"/>
  <c r="M3723" i="21"/>
  <c r="M3725" i="21"/>
  <c r="M3727" i="21"/>
  <c r="J3737" i="21"/>
  <c r="X3737" i="21" s="1"/>
  <c r="M3737" i="21"/>
  <c r="J3759" i="21"/>
  <c r="X3759" i="21" s="1"/>
  <c r="J3761" i="21"/>
  <c r="X3761" i="21" s="1"/>
  <c r="J3763" i="21"/>
  <c r="X3763" i="21" s="1"/>
  <c r="J3765" i="21"/>
  <c r="X3765" i="21" s="1"/>
  <c r="J3767" i="21"/>
  <c r="X3767" i="21" s="1"/>
  <c r="J3729" i="21"/>
  <c r="X3729" i="21" s="1"/>
  <c r="M3729" i="21"/>
  <c r="J3731" i="21"/>
  <c r="X3731" i="21" s="1"/>
  <c r="M3731" i="21"/>
  <c r="J3733" i="21"/>
  <c r="X3733" i="21" s="1"/>
  <c r="M3733" i="21"/>
  <c r="J3735" i="21"/>
  <c r="X3735" i="21" s="1"/>
  <c r="M3735" i="21"/>
  <c r="M3739" i="21"/>
  <c r="M3741" i="21"/>
  <c r="M3743" i="21"/>
  <c r="M3745" i="21"/>
  <c r="M3747" i="21"/>
  <c r="M3749" i="21"/>
  <c r="M3751" i="21"/>
  <c r="M3753" i="21"/>
  <c r="M3755" i="21"/>
  <c r="M3757" i="21"/>
  <c r="M3759" i="21"/>
  <c r="M3761" i="21"/>
  <c r="M3763" i="21"/>
  <c r="M3765" i="21"/>
  <c r="M3767" i="21"/>
  <c r="M3769" i="21"/>
  <c r="J3772" i="21"/>
  <c r="X3772" i="21" s="1"/>
  <c r="J3776" i="21"/>
  <c r="X3776" i="21" s="1"/>
  <c r="J3780" i="21"/>
  <c r="X3780" i="21" s="1"/>
  <c r="J3900" i="21"/>
  <c r="J3774" i="21"/>
  <c r="X3774" i="21" s="1"/>
  <c r="J3778" i="21"/>
  <c r="X3778" i="21" s="1"/>
  <c r="M3782" i="21"/>
  <c r="M3784" i="21"/>
  <c r="M3786" i="21"/>
  <c r="M3788" i="21"/>
  <c r="M3790" i="21"/>
  <c r="M3792" i="21"/>
  <c r="M3794" i="21"/>
  <c r="M3796" i="21"/>
  <c r="M3798" i="21"/>
  <c r="M3800" i="21"/>
  <c r="M3802" i="21"/>
  <c r="M3804" i="21"/>
  <c r="J3806" i="21"/>
  <c r="X3806" i="21" s="1"/>
  <c r="M3806" i="21"/>
  <c r="J3997" i="21"/>
  <c r="N3997" i="21" s="1"/>
  <c r="Z3997" i="21" s="1"/>
  <c r="AA3997" i="21" s="1"/>
  <c r="J3947" i="21"/>
  <c r="X3947" i="21" s="1"/>
  <c r="J3957" i="21"/>
  <c r="X3957" i="21" s="1"/>
  <c r="J3971" i="21"/>
  <c r="X3971" i="21" s="1"/>
  <c r="J3973" i="21"/>
  <c r="X3973" i="21" s="1"/>
  <c r="J3867" i="21"/>
  <c r="N3867" i="21" s="1"/>
  <c r="Z3867" i="21" s="1"/>
  <c r="AA3867" i="21" s="1"/>
  <c r="J3883" i="21"/>
  <c r="N3883" i="21" s="1"/>
  <c r="Z3883" i="21" s="1"/>
  <c r="AA3883" i="21" s="1"/>
  <c r="J3892" i="21"/>
  <c r="X3892" i="21" s="1"/>
  <c r="M3898" i="21"/>
  <c r="J3912" i="21"/>
  <c r="X3912" i="21" s="1"/>
  <c r="J3920" i="21"/>
  <c r="X3920" i="21" s="1"/>
  <c r="J3808" i="21"/>
  <c r="X3808" i="21" s="1"/>
  <c r="M3808" i="21"/>
  <c r="J3810" i="21"/>
  <c r="X3810" i="21" s="1"/>
  <c r="M3810" i="21"/>
  <c r="J3951" i="21"/>
  <c r="X3951" i="21" s="1"/>
  <c r="J3959" i="21"/>
  <c r="X3959" i="21" s="1"/>
  <c r="J3961" i="21"/>
  <c r="X3961" i="21" s="1"/>
  <c r="J3863" i="21"/>
  <c r="N3863" i="21" s="1"/>
  <c r="Z3863" i="21" s="1"/>
  <c r="AA3863" i="21" s="1"/>
  <c r="J3879" i="21"/>
  <c r="N3879" i="21" s="1"/>
  <c r="Z3879" i="21" s="1"/>
  <c r="AA3879" i="21" s="1"/>
  <c r="M3900" i="21"/>
  <c r="M3772" i="21"/>
  <c r="M3774" i="21"/>
  <c r="M3776" i="21"/>
  <c r="M3778" i="21"/>
  <c r="M3780" i="21"/>
  <c r="J3812" i="21"/>
  <c r="X3812" i="21" s="1"/>
  <c r="M3812" i="21"/>
  <c r="J3987" i="21"/>
  <c r="X3987" i="21" s="1"/>
  <c r="J3989" i="21"/>
  <c r="N3989" i="21" s="1"/>
  <c r="Z3989" i="21" s="1"/>
  <c r="AA3989" i="21" s="1"/>
  <c r="J3991" i="21"/>
  <c r="N3991" i="21" s="1"/>
  <c r="Z3991" i="21" s="1"/>
  <c r="AA3991" i="21" s="1"/>
  <c r="J3993" i="21"/>
  <c r="N3993" i="21" s="1"/>
  <c r="Z3993" i="21" s="1"/>
  <c r="AA3993" i="21" s="1"/>
  <c r="J3995" i="21"/>
  <c r="X3995" i="21" s="1"/>
  <c r="J4019" i="21"/>
  <c r="N4019" i="21" s="1"/>
  <c r="Z4019" i="21" s="1"/>
  <c r="AA4019" i="21" s="1"/>
  <c r="J4021" i="21"/>
  <c r="X4021" i="21" s="1"/>
  <c r="J3952" i="21"/>
  <c r="N3952" i="21" s="1"/>
  <c r="Z3952" i="21" s="1"/>
  <c r="AA3952" i="21" s="1"/>
  <c r="J3963" i="21"/>
  <c r="X3963" i="21" s="1"/>
  <c r="J3965" i="21"/>
  <c r="X3965" i="21" s="1"/>
  <c r="J3976" i="21"/>
  <c r="X3976" i="21" s="1"/>
  <c r="J3859" i="21"/>
  <c r="X3859" i="21" s="1"/>
  <c r="J3869" i="21"/>
  <c r="N3869" i="21" s="1"/>
  <c r="Z3869" i="21" s="1"/>
  <c r="AA3869" i="21" s="1"/>
  <c r="J3875" i="21"/>
  <c r="X3875" i="21" s="1"/>
  <c r="J3885" i="21"/>
  <c r="N3885" i="21" s="1"/>
  <c r="Z3885" i="21" s="1"/>
  <c r="AA3885" i="21" s="1"/>
  <c r="J3895" i="21"/>
  <c r="N3895" i="21" s="1"/>
  <c r="Z3895" i="21" s="1"/>
  <c r="AA3895" i="21" s="1"/>
  <c r="J3896" i="21"/>
  <c r="X3896" i="21" s="1"/>
  <c r="J3813" i="21"/>
  <c r="X3813" i="21" s="1"/>
  <c r="M3813" i="21"/>
  <c r="J3815" i="21"/>
  <c r="X3815" i="21" s="1"/>
  <c r="M3815" i="21"/>
  <c r="J3817" i="21"/>
  <c r="X3817" i="21" s="1"/>
  <c r="M3817" i="21"/>
  <c r="J3819" i="21"/>
  <c r="X3819" i="21" s="1"/>
  <c r="M3819" i="21"/>
  <c r="J3821" i="21"/>
  <c r="X3821" i="21" s="1"/>
  <c r="M3821" i="21"/>
  <c r="J3823" i="21"/>
  <c r="X3823" i="21" s="1"/>
  <c r="M3823" i="21"/>
  <c r="J3825" i="21"/>
  <c r="X3825" i="21" s="1"/>
  <c r="M3825" i="21"/>
  <c r="J3827" i="21"/>
  <c r="X3827" i="21" s="1"/>
  <c r="M3827" i="21"/>
  <c r="J3829" i="21"/>
  <c r="X3829" i="21" s="1"/>
  <c r="M3829" i="21"/>
  <c r="J3831" i="21"/>
  <c r="X3831" i="21" s="1"/>
  <c r="M3831" i="21"/>
  <c r="J3833" i="21"/>
  <c r="X3833" i="21" s="1"/>
  <c r="M3833" i="21"/>
  <c r="J3835" i="21"/>
  <c r="X3835" i="21" s="1"/>
  <c r="M3835" i="21"/>
  <c r="J3837" i="21"/>
  <c r="X3837" i="21" s="1"/>
  <c r="M3837" i="21"/>
  <c r="J3839" i="21"/>
  <c r="X3839" i="21" s="1"/>
  <c r="M3839" i="21"/>
  <c r="J3841" i="21"/>
  <c r="X3841" i="21" s="1"/>
  <c r="M3841" i="21"/>
  <c r="J3843" i="21"/>
  <c r="X3843" i="21" s="1"/>
  <c r="M3843" i="21"/>
  <c r="J3845" i="21"/>
  <c r="X3845" i="21" s="1"/>
  <c r="M3845" i="21"/>
  <c r="J3847" i="21"/>
  <c r="X3847" i="21" s="1"/>
  <c r="M3847" i="21"/>
  <c r="J3849" i="21"/>
  <c r="X3849" i="21" s="1"/>
  <c r="M3849" i="21"/>
  <c r="J3851" i="21"/>
  <c r="X3851" i="21" s="1"/>
  <c r="M3851" i="21"/>
  <c r="J3853" i="21"/>
  <c r="X3853" i="21" s="1"/>
  <c r="M3853" i="21"/>
  <c r="J3858" i="21"/>
  <c r="X3858" i="21" s="1"/>
  <c r="M3858" i="21"/>
  <c r="J3862" i="21"/>
  <c r="X3862" i="21" s="1"/>
  <c r="M3862" i="21"/>
  <c r="J3866" i="21"/>
  <c r="X3866" i="21" s="1"/>
  <c r="M3866" i="21"/>
  <c r="J3870" i="21"/>
  <c r="X3870" i="21" s="1"/>
  <c r="M3870" i="21"/>
  <c r="J3874" i="21"/>
  <c r="X3874" i="21" s="1"/>
  <c r="M3874" i="21"/>
  <c r="J3878" i="21"/>
  <c r="X3878" i="21" s="1"/>
  <c r="M3878" i="21"/>
  <c r="J3882" i="21"/>
  <c r="X3882" i="21" s="1"/>
  <c r="M3882" i="21"/>
  <c r="J3886" i="21"/>
  <c r="X3886" i="21" s="1"/>
  <c r="M3886" i="21"/>
  <c r="J3890" i="21"/>
  <c r="X3890" i="21" s="1"/>
  <c r="M3890" i="21"/>
  <c r="J4001" i="21"/>
  <c r="N4001" i="21" s="1"/>
  <c r="Z4001" i="21" s="1"/>
  <c r="AA4001" i="21" s="1"/>
  <c r="J4017" i="21"/>
  <c r="N4017" i="21" s="1"/>
  <c r="Z4017" i="21" s="1"/>
  <c r="AA4017" i="21" s="1"/>
  <c r="J3942" i="21"/>
  <c r="N3942" i="21" s="1"/>
  <c r="Z3942" i="21" s="1"/>
  <c r="AA3942" i="21" s="1"/>
  <c r="J3946" i="21"/>
  <c r="X3946" i="21" s="1"/>
  <c r="J3950" i="21"/>
  <c r="X3950" i="21" s="1"/>
  <c r="J3953" i="21"/>
  <c r="X3953" i="21" s="1"/>
  <c r="J3941" i="21"/>
  <c r="X3941" i="21" s="1"/>
  <c r="J3945" i="21"/>
  <c r="X3945" i="21" s="1"/>
  <c r="J3949" i="21"/>
  <c r="X3949" i="21" s="1"/>
  <c r="J3856" i="21"/>
  <c r="X3856" i="21" s="1"/>
  <c r="M3856" i="21"/>
  <c r="J3860" i="21"/>
  <c r="X3860" i="21" s="1"/>
  <c r="M3860" i="21"/>
  <c r="J3864" i="21"/>
  <c r="X3864" i="21" s="1"/>
  <c r="M3864" i="21"/>
  <c r="J3868" i="21"/>
  <c r="X3868" i="21" s="1"/>
  <c r="M3868" i="21"/>
  <c r="J3872" i="21"/>
  <c r="X3872" i="21" s="1"/>
  <c r="M3872" i="21"/>
  <c r="J3876" i="21"/>
  <c r="X3876" i="21" s="1"/>
  <c r="M3876" i="21"/>
  <c r="J3880" i="21"/>
  <c r="X3880" i="21" s="1"/>
  <c r="M3880" i="21"/>
  <c r="J3884" i="21"/>
  <c r="X3884" i="21" s="1"/>
  <c r="M3884" i="21"/>
  <c r="J3888" i="21"/>
  <c r="X3888" i="21" s="1"/>
  <c r="M3888" i="21"/>
  <c r="J3983" i="21"/>
  <c r="N3983" i="21" s="1"/>
  <c r="Z3983" i="21" s="1"/>
  <c r="AA3983" i="21" s="1"/>
  <c r="J3999" i="21"/>
  <c r="N3999" i="21" s="1"/>
  <c r="Z3999" i="21" s="1"/>
  <c r="AA3999" i="21" s="1"/>
  <c r="J4015" i="21"/>
  <c r="N4015" i="21" s="1"/>
  <c r="Z4015" i="21" s="1"/>
  <c r="AA4015" i="21" s="1"/>
  <c r="J3958" i="21"/>
  <c r="X3958" i="21" s="1"/>
  <c r="J3960" i="21"/>
  <c r="N3960" i="21" s="1"/>
  <c r="Z3960" i="21" s="1"/>
  <c r="AA3960" i="21" s="1"/>
  <c r="J3899" i="21"/>
  <c r="X3899" i="21" s="1"/>
  <c r="M3899" i="21"/>
  <c r="J3901" i="21"/>
  <c r="X3901" i="21" s="1"/>
  <c r="M3901" i="21"/>
  <c r="J3903" i="21"/>
  <c r="X3903" i="21" s="1"/>
  <c r="M3903" i="21"/>
  <c r="J3962" i="21"/>
  <c r="X3962" i="21" s="1"/>
  <c r="J3966" i="21"/>
  <c r="X3966" i="21" s="1"/>
  <c r="J3970" i="21"/>
  <c r="N3970" i="21" s="1"/>
  <c r="Z3970" i="21" s="1"/>
  <c r="AA3970" i="21" s="1"/>
  <c r="J3974" i="21"/>
  <c r="X3974" i="21" s="1"/>
  <c r="J3978" i="21"/>
  <c r="N3978" i="21" s="1"/>
  <c r="Z3978" i="21" s="1"/>
  <c r="AA3978" i="21" s="1"/>
  <c r="M3892" i="21"/>
  <c r="M3894" i="21"/>
  <c r="M3896" i="21"/>
  <c r="J3897" i="21"/>
  <c r="X3897" i="21" s="1"/>
  <c r="M3897" i="21"/>
  <c r="J3923" i="21"/>
  <c r="X3923" i="21" s="1"/>
  <c r="J3927" i="21"/>
  <c r="X3927" i="21" s="1"/>
  <c r="J3931" i="21"/>
  <c r="X3931" i="21" s="1"/>
  <c r="J3935" i="21"/>
  <c r="X3935" i="21" s="1"/>
  <c r="J3905" i="21"/>
  <c r="X3905" i="21" s="1"/>
  <c r="J3907" i="21"/>
  <c r="X3907" i="21" s="1"/>
  <c r="J3909" i="21"/>
  <c r="X3909" i="21" s="1"/>
  <c r="J3911" i="21"/>
  <c r="X3911" i="21" s="1"/>
  <c r="J3913" i="21"/>
  <c r="X3913" i="21" s="1"/>
  <c r="J3915" i="21"/>
  <c r="X3915" i="21" s="1"/>
  <c r="J3917" i="21"/>
  <c r="X3917" i="21" s="1"/>
  <c r="J3919" i="21"/>
  <c r="X3919" i="21" s="1"/>
  <c r="J3921" i="21"/>
  <c r="X3921" i="21" s="1"/>
  <c r="J3925" i="21"/>
  <c r="X3925" i="21" s="1"/>
  <c r="J3929" i="21"/>
  <c r="X3929" i="21" s="1"/>
  <c r="J3933" i="21"/>
  <c r="X3933" i="21" s="1"/>
  <c r="J3937" i="21"/>
  <c r="X3937" i="21" s="1"/>
  <c r="M3905" i="21"/>
  <c r="M3907" i="21"/>
  <c r="M3909" i="21"/>
  <c r="M3911" i="21"/>
  <c r="M3913" i="21"/>
  <c r="M3915" i="21"/>
  <c r="M3917" i="21"/>
  <c r="M3919" i="21"/>
  <c r="M3921" i="21"/>
  <c r="M3923" i="21"/>
  <c r="M3925" i="21"/>
  <c r="M3927" i="21"/>
  <c r="M3929" i="21"/>
  <c r="M3931" i="21"/>
  <c r="M3933" i="21"/>
  <c r="M3935" i="21"/>
  <c r="M3937" i="21"/>
  <c r="J3985" i="21"/>
  <c r="J3939" i="21"/>
  <c r="X3939" i="21" s="1"/>
  <c r="M3939" i="21"/>
  <c r="J3977" i="21"/>
  <c r="X3977" i="21" s="1"/>
  <c r="M3985" i="21"/>
  <c r="M3987" i="21"/>
  <c r="J3975" i="21"/>
  <c r="X3975" i="21" s="1"/>
  <c r="J3979" i="21"/>
  <c r="X3979" i="21" s="1"/>
  <c r="M3941" i="21"/>
  <c r="M3943" i="21"/>
  <c r="M3945" i="21"/>
  <c r="M3947" i="21"/>
  <c r="M3949" i="21"/>
  <c r="M3951" i="21"/>
  <c r="M3953" i="21"/>
  <c r="M3955" i="21"/>
  <c r="M3957" i="21"/>
  <c r="M3959" i="21"/>
  <c r="M3961" i="21"/>
  <c r="M3963" i="21"/>
  <c r="M3965" i="21"/>
  <c r="M3967" i="21"/>
  <c r="M3969" i="21"/>
  <c r="M3971" i="21"/>
  <c r="M3973" i="21"/>
  <c r="M3975" i="21"/>
  <c r="M3977" i="21"/>
  <c r="M3979" i="21"/>
  <c r="J4018" i="21"/>
  <c r="X4018" i="21" s="1"/>
  <c r="J3982" i="21"/>
  <c r="X3982" i="21" s="1"/>
  <c r="M3982" i="21"/>
  <c r="J3984" i="21"/>
  <c r="X3984" i="21" s="1"/>
  <c r="M3984" i="21"/>
  <c r="J3986" i="21"/>
  <c r="X3986" i="21" s="1"/>
  <c r="M3986" i="21"/>
  <c r="J3988" i="21"/>
  <c r="X3988" i="21" s="1"/>
  <c r="M3988" i="21"/>
  <c r="J3990" i="21"/>
  <c r="X3990" i="21" s="1"/>
  <c r="J3992" i="21"/>
  <c r="X3992" i="21" s="1"/>
  <c r="J3994" i="21"/>
  <c r="X3994" i="21" s="1"/>
  <c r="J3996" i="21"/>
  <c r="X3996" i="21" s="1"/>
  <c r="J3998" i="21"/>
  <c r="X3998" i="21" s="1"/>
  <c r="J4000" i="21"/>
  <c r="X4000" i="21" s="1"/>
  <c r="J4002" i="21"/>
  <c r="X4002" i="21" s="1"/>
  <c r="J4004" i="21"/>
  <c r="X4004" i="21" s="1"/>
  <c r="J4006" i="21"/>
  <c r="X4006" i="21" s="1"/>
  <c r="J4008" i="21"/>
  <c r="X4008" i="21" s="1"/>
  <c r="J4010" i="21"/>
  <c r="X4010" i="21" s="1"/>
  <c r="J4012" i="21"/>
  <c r="X4012" i="21" s="1"/>
  <c r="J4014" i="21"/>
  <c r="X4014" i="21" s="1"/>
  <c r="J4016" i="21"/>
  <c r="X4016" i="21" s="1"/>
  <c r="J4020" i="21"/>
  <c r="X4020" i="21" s="1"/>
  <c r="M3990" i="21"/>
  <c r="M3992" i="21"/>
  <c r="M3994" i="21"/>
  <c r="M3996" i="21"/>
  <c r="M3998" i="21"/>
  <c r="M4000" i="21"/>
  <c r="M4002" i="21"/>
  <c r="M4004" i="21"/>
  <c r="M4006" i="21"/>
  <c r="M4008" i="21"/>
  <c r="M4010" i="21"/>
  <c r="M4012" i="21"/>
  <c r="M4014" i="21"/>
  <c r="M4016" i="21"/>
  <c r="M4018" i="21"/>
  <c r="M4020" i="21"/>
  <c r="J4022" i="21"/>
  <c r="N4022" i="21" s="1"/>
  <c r="Z4022" i="21" s="1"/>
  <c r="AA4022" i="21" s="1"/>
  <c r="H19" i="27"/>
  <c r="I19" i="27" s="1"/>
  <c r="H43" i="4"/>
  <c r="I43" i="4" s="1"/>
  <c r="H42" i="4"/>
  <c r="I42" i="4" s="1"/>
  <c r="H19" i="4"/>
  <c r="I19" i="4" s="1"/>
  <c r="H115" i="6"/>
  <c r="I115" i="6" s="1"/>
  <c r="H114" i="6"/>
  <c r="I114" i="6" s="1"/>
  <c r="H113" i="6"/>
  <c r="I113" i="6" s="1"/>
  <c r="H12" i="6"/>
  <c r="I12" i="6" s="1"/>
  <c r="H11" i="27"/>
  <c r="I11" i="27" s="1"/>
  <c r="H10" i="27"/>
  <c r="I10" i="27" s="1"/>
  <c r="N1864" i="21" l="1"/>
  <c r="Z1864" i="21" s="1"/>
  <c r="AA1864" i="21" s="1"/>
  <c r="N3350" i="21"/>
  <c r="Z3350" i="21" s="1"/>
  <c r="AA3350" i="21" s="1"/>
  <c r="J1162" i="21"/>
  <c r="X1162" i="21" s="1"/>
  <c r="X1645" i="21"/>
  <c r="N3653" i="21"/>
  <c r="Z3653" i="21" s="1"/>
  <c r="AA3653" i="21" s="1"/>
  <c r="M1411" i="21"/>
  <c r="N1411" i="21" s="1"/>
  <c r="Z1411" i="21" s="1"/>
  <c r="AA1411" i="21" s="1"/>
  <c r="J1374" i="21"/>
  <c r="N1374" i="21" s="1"/>
  <c r="Z1374" i="21" s="1"/>
  <c r="AA1374" i="21" s="1"/>
  <c r="M1283" i="21"/>
  <c r="N1283" i="21" s="1"/>
  <c r="Z1283" i="21" s="1"/>
  <c r="AA1283" i="21" s="1"/>
  <c r="N3617" i="21"/>
  <c r="Z3617" i="21" s="1"/>
  <c r="AA3617" i="21" s="1"/>
  <c r="M1407" i="21"/>
  <c r="J1360" i="21"/>
  <c r="X1360" i="21" s="1"/>
  <c r="M1265" i="21"/>
  <c r="N1265" i="21" s="1"/>
  <c r="Z1265" i="21" s="1"/>
  <c r="AA1265" i="21" s="1"/>
  <c r="J1278" i="21"/>
  <c r="X1278" i="21" s="1"/>
  <c r="M1327" i="21"/>
  <c r="N1327" i="21" s="1"/>
  <c r="Z1327" i="21" s="1"/>
  <c r="AA1327" i="21" s="1"/>
  <c r="N1837" i="21"/>
  <c r="Z1837" i="21" s="1"/>
  <c r="AA1837" i="21" s="1"/>
  <c r="X2646" i="21"/>
  <c r="M1323" i="21"/>
  <c r="N1323" i="21" s="1"/>
  <c r="Z1323" i="21" s="1"/>
  <c r="AA1323" i="21" s="1"/>
  <c r="X2341" i="21"/>
  <c r="J1385" i="21"/>
  <c r="X1385" i="21" s="1"/>
  <c r="J1308" i="21"/>
  <c r="X1308" i="21" s="1"/>
  <c r="J1302" i="21"/>
  <c r="N1302" i="21" s="1"/>
  <c r="Z1302" i="21" s="1"/>
  <c r="AA1302" i="21" s="1"/>
  <c r="J1365" i="21"/>
  <c r="X1365" i="21" s="1"/>
  <c r="N1416" i="21"/>
  <c r="Z1416" i="21" s="1"/>
  <c r="AA1416" i="21" s="1"/>
  <c r="X1644" i="21"/>
  <c r="X2017" i="21"/>
  <c r="X1962" i="21"/>
  <c r="M1405" i="21"/>
  <c r="N1405" i="21" s="1"/>
  <c r="Z1405" i="21" s="1"/>
  <c r="AA1405" i="21" s="1"/>
  <c r="X1878" i="21"/>
  <c r="X1787" i="21"/>
  <c r="N1797" i="21"/>
  <c r="Z1797" i="21" s="1"/>
  <c r="AA1797" i="21" s="1"/>
  <c r="N1665" i="21"/>
  <c r="Z1665" i="21" s="1"/>
  <c r="AA1665" i="21" s="1"/>
  <c r="M1329" i="21"/>
  <c r="N1329" i="21" s="1"/>
  <c r="Z1329" i="21" s="1"/>
  <c r="AA1329" i="21" s="1"/>
  <c r="N1519" i="21"/>
  <c r="Z1519" i="21" s="1"/>
  <c r="AA1519" i="21" s="1"/>
  <c r="X1650" i="21"/>
  <c r="J1369" i="21"/>
  <c r="J1410" i="21"/>
  <c r="N1410" i="21" s="1"/>
  <c r="Z1410" i="21" s="1"/>
  <c r="AA1410" i="21" s="1"/>
  <c r="X1994" i="21"/>
  <c r="J1349" i="21"/>
  <c r="X1349" i="21" s="1"/>
  <c r="J1362" i="21"/>
  <c r="N1362" i="21" s="1"/>
  <c r="Z1362" i="21" s="1"/>
  <c r="AA1362" i="21" s="1"/>
  <c r="J1358" i="21"/>
  <c r="N1358" i="21" s="1"/>
  <c r="Z1358" i="21" s="1"/>
  <c r="AA1358" i="21" s="1"/>
  <c r="M1303" i="21"/>
  <c r="N1303" i="21" s="1"/>
  <c r="Z1303" i="21" s="1"/>
  <c r="AA1303" i="21" s="1"/>
  <c r="M1391" i="21"/>
  <c r="M1401" i="21"/>
  <c r="M1333" i="21"/>
  <c r="N1333" i="21" s="1"/>
  <c r="Z1333" i="21" s="1"/>
  <c r="AA1333" i="21" s="1"/>
  <c r="J1366" i="21"/>
  <c r="N1366" i="21" s="1"/>
  <c r="Z1366" i="21" s="1"/>
  <c r="AA1366" i="21" s="1"/>
  <c r="J1294" i="21"/>
  <c r="N1294" i="21" s="1"/>
  <c r="Z1294" i="21" s="1"/>
  <c r="AA1294" i="21" s="1"/>
  <c r="J1406" i="21"/>
  <c r="X1406" i="21" s="1"/>
  <c r="J1298" i="21"/>
  <c r="N1298" i="21" s="1"/>
  <c r="Z1298" i="21" s="1"/>
  <c r="AA1298" i="21" s="1"/>
  <c r="X2653" i="21"/>
  <c r="N2171" i="21"/>
  <c r="Z2171" i="21" s="1"/>
  <c r="AA2171" i="21" s="1"/>
  <c r="N3119" i="21"/>
  <c r="Z3119" i="21" s="1"/>
  <c r="AA3119" i="21" s="1"/>
  <c r="X2663" i="21"/>
  <c r="N2993" i="21"/>
  <c r="Z2993" i="21" s="1"/>
  <c r="AA2993" i="21" s="1"/>
  <c r="N2339" i="21"/>
  <c r="Z2339" i="21" s="1"/>
  <c r="AA2339" i="21" s="1"/>
  <c r="N2921" i="21"/>
  <c r="Z2921" i="21" s="1"/>
  <c r="AA2921" i="21" s="1"/>
  <c r="X1886" i="21"/>
  <c r="X3180" i="21"/>
  <c r="J1305" i="21"/>
  <c r="X1305" i="21" s="1"/>
  <c r="J1394" i="21"/>
  <c r="N1394" i="21" s="1"/>
  <c r="Z1394" i="21" s="1"/>
  <c r="AA1394" i="21" s="1"/>
  <c r="N1585" i="21"/>
  <c r="Z1585" i="21" s="1"/>
  <c r="AA1585" i="21" s="1"/>
  <c r="J1379" i="21"/>
  <c r="X1379" i="21" s="1"/>
  <c r="X3964" i="21"/>
  <c r="X2297" i="21"/>
  <c r="M1337" i="21"/>
  <c r="N1337" i="21" s="1"/>
  <c r="Z1337" i="21" s="1"/>
  <c r="AA1337" i="21" s="1"/>
  <c r="X3190" i="21"/>
  <c r="X1954" i="21"/>
  <c r="J1372" i="21"/>
  <c r="X1372" i="21" s="1"/>
  <c r="M1415" i="21"/>
  <c r="N1415" i="21" s="1"/>
  <c r="Z1415" i="21" s="1"/>
  <c r="AA1415" i="21" s="1"/>
  <c r="X3014" i="21"/>
  <c r="N3675" i="21"/>
  <c r="Z3675" i="21" s="1"/>
  <c r="AA3675" i="21" s="1"/>
  <c r="N3457" i="21"/>
  <c r="Z3457" i="21" s="1"/>
  <c r="AA3457" i="21" s="1"/>
  <c r="X3210" i="21"/>
  <c r="N3629" i="21"/>
  <c r="Z3629" i="21" s="1"/>
  <c r="AA3629" i="21" s="1"/>
  <c r="M1409" i="21"/>
  <c r="N1409" i="21" s="1"/>
  <c r="Z1409" i="21" s="1"/>
  <c r="AA1409" i="21" s="1"/>
  <c r="J1325" i="21"/>
  <c r="X1325" i="21" s="1"/>
  <c r="X2724" i="21"/>
  <c r="N2180" i="21"/>
  <c r="Z2180" i="21" s="1"/>
  <c r="AA2180" i="21" s="1"/>
  <c r="J1352" i="21"/>
  <c r="N1352" i="21" s="1"/>
  <c r="Z1352" i="21" s="1"/>
  <c r="AA1352" i="21" s="1"/>
  <c r="X2223" i="21"/>
  <c r="N1958" i="21"/>
  <c r="Z1958" i="21" s="1"/>
  <c r="AA1958" i="21" s="1"/>
  <c r="N2530" i="21"/>
  <c r="Z2530" i="21" s="1"/>
  <c r="AA2530" i="21" s="1"/>
  <c r="X1751" i="21"/>
  <c r="J1319" i="21"/>
  <c r="X1319" i="21" s="1"/>
  <c r="X1829" i="21"/>
  <c r="J1255" i="21"/>
  <c r="X1255" i="21" s="1"/>
  <c r="N3633" i="21"/>
  <c r="Z3633" i="21" s="1"/>
  <c r="AA3633" i="21" s="1"/>
  <c r="X1637" i="21"/>
  <c r="J1290" i="21"/>
  <c r="N1290" i="21" s="1"/>
  <c r="Z1290" i="21" s="1"/>
  <c r="AA1290" i="21" s="1"/>
  <c r="X1972" i="21"/>
  <c r="N1501" i="21"/>
  <c r="Z1501" i="21" s="1"/>
  <c r="AA1501" i="21" s="1"/>
  <c r="J1288" i="21"/>
  <c r="X1288" i="21" s="1"/>
  <c r="M1341" i="21"/>
  <c r="N1341" i="21" s="1"/>
  <c r="Z1341" i="21" s="1"/>
  <c r="AA1341" i="21" s="1"/>
  <c r="M1293" i="21"/>
  <c r="N1293" i="21" s="1"/>
  <c r="Z1293" i="21" s="1"/>
  <c r="AA1293" i="21" s="1"/>
  <c r="N1633" i="21"/>
  <c r="Z1633" i="21" s="1"/>
  <c r="AA1633" i="21" s="1"/>
  <c r="J1313" i="21"/>
  <c r="X1313" i="21" s="1"/>
  <c r="J1396" i="21"/>
  <c r="X1396" i="21" s="1"/>
  <c r="M1334" i="21"/>
  <c r="N1334" i="21" s="1"/>
  <c r="Z1334" i="21" s="1"/>
  <c r="AA1334" i="21" s="1"/>
  <c r="J1368" i="21"/>
  <c r="N1368" i="21" s="1"/>
  <c r="Z1368" i="21" s="1"/>
  <c r="AA1368" i="21" s="1"/>
  <c r="M1311" i="21"/>
  <c r="N1311" i="21" s="1"/>
  <c r="Z1311" i="21" s="1"/>
  <c r="AA1311" i="21" s="1"/>
  <c r="X2187" i="21"/>
  <c r="X2390" i="21"/>
  <c r="N1996" i="21"/>
  <c r="Z1996" i="21" s="1"/>
  <c r="AA1996" i="21" s="1"/>
  <c r="N1788" i="21"/>
  <c r="Z1788" i="21" s="1"/>
  <c r="AA1788" i="21" s="1"/>
  <c r="N1629" i="21"/>
  <c r="Z1629" i="21" s="1"/>
  <c r="AA1629" i="21" s="1"/>
  <c r="N1773" i="21"/>
  <c r="Z1773" i="21" s="1"/>
  <c r="AA1773" i="21" s="1"/>
  <c r="N2651" i="21"/>
  <c r="Z2651" i="21" s="1"/>
  <c r="AA2651" i="21" s="1"/>
  <c r="J1377" i="21"/>
  <c r="X1377" i="21" s="1"/>
  <c r="X1960" i="21"/>
  <c r="J1398" i="21"/>
  <c r="X1398" i="21" s="1"/>
  <c r="J1384" i="21"/>
  <c r="X1384" i="21" s="1"/>
  <c r="N2827" i="21"/>
  <c r="Z2827" i="21" s="1"/>
  <c r="AA2827" i="21" s="1"/>
  <c r="X2191" i="21"/>
  <c r="X1880" i="21"/>
  <c r="X2797" i="21"/>
  <c r="X3202" i="21"/>
  <c r="N3367" i="21"/>
  <c r="Z3367" i="21" s="1"/>
  <c r="AA3367" i="21" s="1"/>
  <c r="X2094" i="21"/>
  <c r="X1831" i="21"/>
  <c r="J1353" i="21"/>
  <c r="X1353" i="21" s="1"/>
  <c r="X3206" i="21"/>
  <c r="N2335" i="21"/>
  <c r="Z2335" i="21" s="1"/>
  <c r="AA2335" i="21" s="1"/>
  <c r="J1348" i="21"/>
  <c r="X1348" i="21" s="1"/>
  <c r="J1326" i="21"/>
  <c r="N1326" i="21" s="1"/>
  <c r="Z1326" i="21" s="1"/>
  <c r="AA1326" i="21" s="1"/>
  <c r="X2245" i="21"/>
  <c r="N1515" i="21"/>
  <c r="Z1515" i="21" s="1"/>
  <c r="AA1515" i="21" s="1"/>
  <c r="J1328" i="21"/>
  <c r="N1328" i="21" s="1"/>
  <c r="Z1328" i="21" s="1"/>
  <c r="AA1328" i="21" s="1"/>
  <c r="X2181" i="21"/>
  <c r="M1295" i="21"/>
  <c r="N1295" i="21" s="1"/>
  <c r="Z1295" i="21" s="1"/>
  <c r="AA1295" i="21" s="1"/>
  <c r="N2522" i="21"/>
  <c r="Z2522" i="21" s="1"/>
  <c r="AA2522" i="21" s="1"/>
  <c r="N2257" i="21"/>
  <c r="Z2257" i="21" s="1"/>
  <c r="AA2257" i="21" s="1"/>
  <c r="N2566" i="21"/>
  <c r="Z2566" i="21" s="1"/>
  <c r="AA2566" i="21" s="1"/>
  <c r="N1464" i="21"/>
  <c r="Z1464" i="21" s="1"/>
  <c r="AA1464" i="21" s="1"/>
  <c r="J1262" i="21"/>
  <c r="X1262" i="21" s="1"/>
  <c r="X2353" i="21"/>
  <c r="N3621" i="21"/>
  <c r="Z3621" i="21" s="1"/>
  <c r="AA3621" i="21" s="1"/>
  <c r="M1277" i="21"/>
  <c r="N1277" i="21" s="1"/>
  <c r="Z1277" i="21" s="1"/>
  <c r="AA1277" i="21" s="1"/>
  <c r="X1785" i="21"/>
  <c r="J1330" i="21"/>
  <c r="X1330" i="21" s="1"/>
  <c r="J1332" i="21"/>
  <c r="N1332" i="21" s="1"/>
  <c r="Z1332" i="21" s="1"/>
  <c r="AA1332" i="21" s="1"/>
  <c r="J1342" i="21"/>
  <c r="X1342" i="21" s="1"/>
  <c r="J1370" i="21"/>
  <c r="N1370" i="21" s="1"/>
  <c r="Z1370" i="21" s="1"/>
  <c r="AA1370" i="21" s="1"/>
  <c r="N3505" i="21"/>
  <c r="Z3505" i="21" s="1"/>
  <c r="AA3505" i="21" s="1"/>
  <c r="X3347" i="21"/>
  <c r="X2726" i="21"/>
  <c r="X3840" i="21"/>
  <c r="J1364" i="21"/>
  <c r="X1364" i="21" s="1"/>
  <c r="X1862" i="21"/>
  <c r="M1317" i="21"/>
  <c r="N1317" i="21" s="1"/>
  <c r="Z1317" i="21" s="1"/>
  <c r="AA1317" i="21" s="1"/>
  <c r="N1711" i="21"/>
  <c r="Z1711" i="21" s="1"/>
  <c r="AA1711" i="21" s="1"/>
  <c r="X3488" i="21"/>
  <c r="J1350" i="21"/>
  <c r="X1350" i="21" s="1"/>
  <c r="J1306" i="21"/>
  <c r="N1306" i="21" s="1"/>
  <c r="Z1306" i="21" s="1"/>
  <c r="AA1306" i="21" s="1"/>
  <c r="J1371" i="21"/>
  <c r="X1371" i="21" s="1"/>
  <c r="X2801" i="21"/>
  <c r="X1841" i="21"/>
  <c r="J1378" i="21"/>
  <c r="N1378" i="21" s="1"/>
  <c r="Z1378" i="21" s="1"/>
  <c r="AA1378" i="21" s="1"/>
  <c r="J1367" i="21"/>
  <c r="X1367" i="21" s="1"/>
  <c r="J1392" i="21"/>
  <c r="X1392" i="21" s="1"/>
  <c r="J1318" i="21"/>
  <c r="N1318" i="21" s="1"/>
  <c r="Z1318" i="21" s="1"/>
  <c r="AA1318" i="21" s="1"/>
  <c r="J1340" i="21"/>
  <c r="X1340" i="21" s="1"/>
  <c r="M1247" i="21"/>
  <c r="N1247" i="21" s="1"/>
  <c r="Z1247" i="21" s="1"/>
  <c r="AA1247" i="21" s="1"/>
  <c r="J1359" i="21"/>
  <c r="X1359" i="21" s="1"/>
  <c r="J1343" i="21"/>
  <c r="X1343" i="21" s="1"/>
  <c r="J1320" i="21"/>
  <c r="X1320" i="21" s="1"/>
  <c r="J1403" i="21"/>
  <c r="X1403" i="21" s="1"/>
  <c r="J1381" i="21"/>
  <c r="X1381" i="21" s="1"/>
  <c r="M1316" i="21"/>
  <c r="N1316" i="21" s="1"/>
  <c r="Z1316" i="21" s="1"/>
  <c r="AA1316" i="21" s="1"/>
  <c r="X3353" i="21"/>
  <c r="X2740" i="21"/>
  <c r="N2930" i="21"/>
  <c r="Z2930" i="21" s="1"/>
  <c r="AA2930" i="21" s="1"/>
  <c r="X1950" i="21"/>
  <c r="N1527" i="21"/>
  <c r="Z1527" i="21" s="1"/>
  <c r="AA1527" i="21" s="1"/>
  <c r="X1462" i="21"/>
  <c r="J1338" i="21"/>
  <c r="M1393" i="21"/>
  <c r="N1393" i="21" s="1"/>
  <c r="Z1393" i="21" s="1"/>
  <c r="AA1393" i="21" s="1"/>
  <c r="J1091" i="21"/>
  <c r="N1091" i="21" s="1"/>
  <c r="Z1091" i="21" s="1"/>
  <c r="AA1091" i="21" s="1"/>
  <c r="N2854" i="21"/>
  <c r="Z2854" i="21" s="1"/>
  <c r="AA2854" i="21" s="1"/>
  <c r="N1499" i="21"/>
  <c r="Z1499" i="21" s="1"/>
  <c r="AA1499" i="21" s="1"/>
  <c r="J1380" i="21"/>
  <c r="X1380" i="21" s="1"/>
  <c r="J1346" i="21"/>
  <c r="N1346" i="21" s="1"/>
  <c r="Z1346" i="21" s="1"/>
  <c r="AA1346" i="21" s="1"/>
  <c r="N3125" i="21"/>
  <c r="Z3125" i="21" s="1"/>
  <c r="AA3125" i="21" s="1"/>
  <c r="X2994" i="21"/>
  <c r="X1827" i="21"/>
  <c r="J1404" i="21"/>
  <c r="N1404" i="21" s="1"/>
  <c r="Z1404" i="21" s="1"/>
  <c r="AA1404" i="21" s="1"/>
  <c r="N1674" i="21"/>
  <c r="Z1674" i="21" s="1"/>
  <c r="AA1674" i="21" s="1"/>
  <c r="J1257" i="21"/>
  <c r="X1257" i="21" s="1"/>
  <c r="X1709" i="21"/>
  <c r="X1497" i="21"/>
  <c r="M1383" i="21"/>
  <c r="N1383" i="21" s="1"/>
  <c r="Z1383" i="21" s="1"/>
  <c r="AA1383" i="21" s="1"/>
  <c r="X2848" i="21"/>
  <c r="X2825" i="21"/>
  <c r="X2033" i="21"/>
  <c r="X1599" i="21"/>
  <c r="J1354" i="21"/>
  <c r="X1354" i="21" s="1"/>
  <c r="N3337" i="21"/>
  <c r="Z3337" i="21" s="1"/>
  <c r="AA3337" i="21" s="1"/>
  <c r="M1292" i="21"/>
  <c r="N1292" i="21" s="1"/>
  <c r="Z1292" i="21" s="1"/>
  <c r="AA1292" i="21" s="1"/>
  <c r="N3497" i="21"/>
  <c r="Z3497" i="21" s="1"/>
  <c r="AA3497" i="21" s="1"/>
  <c r="N2641" i="21"/>
  <c r="Z2641" i="21" s="1"/>
  <c r="AA2641" i="21" s="1"/>
  <c r="X1833" i="21"/>
  <c r="J1296" i="21"/>
  <c r="N1296" i="21" s="1"/>
  <c r="Z1296" i="21" s="1"/>
  <c r="AA1296" i="21" s="1"/>
  <c r="J1375" i="21"/>
  <c r="X1375" i="21" s="1"/>
  <c r="J1322" i="21"/>
  <c r="N1322" i="21" s="1"/>
  <c r="Z1322" i="21" s="1"/>
  <c r="AA1322" i="21" s="1"/>
  <c r="X1474" i="21"/>
  <c r="J1324" i="21"/>
  <c r="X1324" i="21" s="1"/>
  <c r="N3677" i="21"/>
  <c r="Z3677" i="21" s="1"/>
  <c r="AA3677" i="21" s="1"/>
  <c r="X3647" i="21"/>
  <c r="M1315" i="21"/>
  <c r="N1315" i="21" s="1"/>
  <c r="Z1315" i="21" s="1"/>
  <c r="AA1315" i="21" s="1"/>
  <c r="J1344" i="21"/>
  <c r="X1344" i="21" s="1"/>
  <c r="J1347" i="21"/>
  <c r="X1347" i="21" s="1"/>
  <c r="N3142" i="21"/>
  <c r="Z3142" i="21" s="1"/>
  <c r="AA3142" i="21" s="1"/>
  <c r="J1386" i="21"/>
  <c r="N1386" i="21" s="1"/>
  <c r="Z1386" i="21" s="1"/>
  <c r="AA1386" i="21" s="1"/>
  <c r="J1357" i="21"/>
  <c r="X1357" i="21" s="1"/>
  <c r="J1314" i="21"/>
  <c r="N1314" i="21" s="1"/>
  <c r="Z1314" i="21" s="1"/>
  <c r="AA1314" i="21" s="1"/>
  <c r="J1361" i="21"/>
  <c r="X1361" i="21" s="1"/>
  <c r="X3514" i="21"/>
  <c r="N2911" i="21"/>
  <c r="Z2911" i="21" s="1"/>
  <c r="AA2911" i="21" s="1"/>
  <c r="M1279" i="21"/>
  <c r="N1279" i="21" s="1"/>
  <c r="Z1279" i="21" s="1"/>
  <c r="AA1279" i="21" s="1"/>
  <c r="J1287" i="21"/>
  <c r="X1287" i="21" s="1"/>
  <c r="N1821" i="21"/>
  <c r="Z1821" i="21" s="1"/>
  <c r="AA1821" i="21" s="1"/>
  <c r="J1117" i="21"/>
  <c r="X1117" i="21" s="1"/>
  <c r="J1355" i="21"/>
  <c r="X3357" i="21"/>
  <c r="X2728" i="21"/>
  <c r="N1620" i="21"/>
  <c r="Z1620" i="21" s="1"/>
  <c r="AA1620" i="21" s="1"/>
  <c r="M1399" i="21"/>
  <c r="N1399" i="21" s="1"/>
  <c r="Z1399" i="21" s="1"/>
  <c r="AA1399" i="21" s="1"/>
  <c r="M1143" i="21"/>
  <c r="N1143" i="21" s="1"/>
  <c r="Z1143" i="21" s="1"/>
  <c r="AA1143" i="21" s="1"/>
  <c r="J1351" i="21"/>
  <c r="X1351" i="21" s="1"/>
  <c r="X3613" i="21"/>
  <c r="N3685" i="21"/>
  <c r="Z3685" i="21" s="1"/>
  <c r="AA3685" i="21" s="1"/>
  <c r="X2831" i="21"/>
  <c r="M1275" i="21"/>
  <c r="N1275" i="21" s="1"/>
  <c r="Z1275" i="21" s="1"/>
  <c r="AA1275" i="21" s="1"/>
  <c r="N2643" i="21"/>
  <c r="Z2643" i="21" s="1"/>
  <c r="AA2643" i="21" s="1"/>
  <c r="N1936" i="21"/>
  <c r="Z1936" i="21" s="1"/>
  <c r="AA1936" i="21" s="1"/>
  <c r="J1414" i="21"/>
  <c r="N1414" i="21" s="1"/>
  <c r="Z1414" i="21" s="1"/>
  <c r="AA1414" i="21" s="1"/>
  <c r="X1839" i="21"/>
  <c r="N2608" i="21"/>
  <c r="Z2608" i="21" s="1"/>
  <c r="AA2608" i="21" s="1"/>
  <c r="J1388" i="21"/>
  <c r="X1388" i="21" s="1"/>
  <c r="X2337" i="21"/>
  <c r="N2455" i="21"/>
  <c r="Z2455" i="21" s="1"/>
  <c r="AA2455" i="21" s="1"/>
  <c r="J1402" i="21"/>
  <c r="X1402" i="21" s="1"/>
  <c r="J1280" i="21"/>
  <c r="X1280" i="21" s="1"/>
  <c r="J1412" i="21"/>
  <c r="N1412" i="21" s="1"/>
  <c r="Z1412" i="21" s="1"/>
  <c r="AA1412" i="21" s="1"/>
  <c r="J1336" i="21"/>
  <c r="X1336" i="21" s="1"/>
  <c r="M1389" i="21"/>
  <c r="N1389" i="21" s="1"/>
  <c r="Z1389" i="21" s="1"/>
  <c r="AA1389" i="21" s="1"/>
  <c r="J1400" i="21"/>
  <c r="N1400" i="21" s="1"/>
  <c r="Z1400" i="21" s="1"/>
  <c r="AA1400" i="21" s="1"/>
  <c r="J1382" i="21"/>
  <c r="N1382" i="21" s="1"/>
  <c r="Z1382" i="21" s="1"/>
  <c r="AA1382" i="21" s="1"/>
  <c r="J1356" i="21"/>
  <c r="X1356" i="21" s="1"/>
  <c r="J1345" i="21"/>
  <c r="X1345" i="21" s="1"/>
  <c r="M1331" i="21"/>
  <c r="N1331" i="21" s="1"/>
  <c r="Z1331" i="21" s="1"/>
  <c r="AA1331" i="21" s="1"/>
  <c r="J1321" i="21"/>
  <c r="X1321" i="21" s="1"/>
  <c r="M1117" i="21"/>
  <c r="N3010" i="21"/>
  <c r="Z3010" i="21" s="1"/>
  <c r="AA3010" i="21" s="1"/>
  <c r="X1851" i="21"/>
  <c r="N1408" i="21"/>
  <c r="Z1408" i="21" s="1"/>
  <c r="AA1408" i="21" s="1"/>
  <c r="X2813" i="21"/>
  <c r="N2580" i="21"/>
  <c r="Z2580" i="21" s="1"/>
  <c r="AA2580" i="21" s="1"/>
  <c r="X2109" i="21"/>
  <c r="X1809" i="21"/>
  <c r="X3220" i="21"/>
  <c r="N3196" i="21"/>
  <c r="Z3196" i="21" s="1"/>
  <c r="AA3196" i="21" s="1"/>
  <c r="X1701" i="21"/>
  <c r="N2546" i="21"/>
  <c r="Z2546" i="21" s="1"/>
  <c r="AA2546" i="21" s="1"/>
  <c r="N1894" i="21"/>
  <c r="Z1894" i="21" s="1"/>
  <c r="AA1894" i="21" s="1"/>
  <c r="N2602" i="21"/>
  <c r="Z2602" i="21" s="1"/>
  <c r="AA2602" i="21" s="1"/>
  <c r="X2233" i="21"/>
  <c r="X2259" i="21"/>
  <c r="M1269" i="21"/>
  <c r="N1269" i="21" s="1"/>
  <c r="Z1269" i="21" s="1"/>
  <c r="AA1269" i="21" s="1"/>
  <c r="X3271" i="21"/>
  <c r="J1299" i="21"/>
  <c r="X1299" i="21" s="1"/>
  <c r="N3619" i="21"/>
  <c r="Z3619" i="21" s="1"/>
  <c r="AA3619" i="21" s="1"/>
  <c r="X2990" i="21"/>
  <c r="N2538" i="21"/>
  <c r="Z2538" i="21" s="1"/>
  <c r="AA2538" i="21" s="1"/>
  <c r="N2359" i="21"/>
  <c r="Z2359" i="21" s="1"/>
  <c r="AA2359" i="21" s="1"/>
  <c r="X2383" i="21"/>
  <c r="X2137" i="21"/>
  <c r="X2542" i="21"/>
  <c r="M1201" i="21"/>
  <c r="N1201" i="21" s="1"/>
  <c r="Z1201" i="21" s="1"/>
  <c r="AA1201" i="21" s="1"/>
  <c r="X3639" i="21"/>
  <c r="N3509" i="21"/>
  <c r="Z3509" i="21" s="1"/>
  <c r="AA3509" i="21" s="1"/>
  <c r="X3321" i="21"/>
  <c r="N3311" i="21"/>
  <c r="Z3311" i="21" s="1"/>
  <c r="AA3311" i="21" s="1"/>
  <c r="N3534" i="21"/>
  <c r="Z3534" i="21" s="1"/>
  <c r="AA3534" i="21" s="1"/>
  <c r="X3405" i="21"/>
  <c r="N2702" i="21"/>
  <c r="Z2702" i="21" s="1"/>
  <c r="AA2702" i="21" s="1"/>
  <c r="X1543" i="21"/>
  <c r="N1615" i="21"/>
  <c r="Z1615" i="21" s="1"/>
  <c r="AA1615" i="21" s="1"/>
  <c r="N1443" i="21"/>
  <c r="Z1443" i="21" s="1"/>
  <c r="AA1443" i="21" s="1"/>
  <c r="J1077" i="21"/>
  <c r="N1077" i="21" s="1"/>
  <c r="Z1077" i="21" s="1"/>
  <c r="AA1077" i="21" s="1"/>
  <c r="N1697" i="21"/>
  <c r="Z1697" i="21" s="1"/>
  <c r="AA1697" i="21" s="1"/>
  <c r="J1251" i="21"/>
  <c r="X1251" i="21" s="1"/>
  <c r="X1593" i="21"/>
  <c r="X2469" i="21"/>
  <c r="N3564" i="21"/>
  <c r="Z3564" i="21" s="1"/>
  <c r="AA3564" i="21" s="1"/>
  <c r="X3706" i="21"/>
  <c r="N3184" i="21"/>
  <c r="Z3184" i="21" s="1"/>
  <c r="AA3184" i="21" s="1"/>
  <c r="X3170" i="21"/>
  <c r="X3143" i="21"/>
  <c r="X2988" i="21"/>
  <c r="X2281" i="21"/>
  <c r="N2141" i="21"/>
  <c r="Z2141" i="21" s="1"/>
  <c r="AA2141" i="21" s="1"/>
  <c r="X1898" i="21"/>
  <c r="X1648" i="21"/>
  <c r="N1747" i="21"/>
  <c r="Z1747" i="21" s="1"/>
  <c r="AA1747" i="21" s="1"/>
  <c r="X1705" i="21"/>
  <c r="X1529" i="21"/>
  <c r="X1503" i="21"/>
  <c r="M1301" i="21"/>
  <c r="N1301" i="21" s="1"/>
  <c r="Z1301" i="21" s="1"/>
  <c r="AA1301" i="21" s="1"/>
  <c r="J1312" i="21"/>
  <c r="N1312" i="21" s="1"/>
  <c r="Z1312" i="21" s="1"/>
  <c r="AA1312" i="21" s="1"/>
  <c r="J1304" i="21"/>
  <c r="X3683" i="21"/>
  <c r="X3148" i="21"/>
  <c r="X2939" i="21"/>
  <c r="X2862" i="21"/>
  <c r="N1589" i="21"/>
  <c r="Z1589" i="21" s="1"/>
  <c r="AA1589" i="21" s="1"/>
  <c r="N1560" i="21"/>
  <c r="Z1560" i="21" s="1"/>
  <c r="AA1560" i="21" s="1"/>
  <c r="N1453" i="21"/>
  <c r="Z1453" i="21" s="1"/>
  <c r="AA1453" i="21" s="1"/>
  <c r="M1050" i="21"/>
  <c r="N1050" i="21" s="1"/>
  <c r="Z1050" i="21" s="1"/>
  <c r="AA1050" i="21" s="1"/>
  <c r="J1284" i="21"/>
  <c r="N1284" i="21" s="1"/>
  <c r="Z1284" i="21" s="1"/>
  <c r="AA1284" i="21" s="1"/>
  <c r="X2391" i="21"/>
  <c r="N3265" i="21"/>
  <c r="Z3265" i="21" s="1"/>
  <c r="AA3265" i="21" s="1"/>
  <c r="X3327" i="21"/>
  <c r="X3214" i="21"/>
  <c r="X2835" i="21"/>
  <c r="X2815" i="21"/>
  <c r="X2377" i="21"/>
  <c r="N2343" i="21"/>
  <c r="Z2343" i="21" s="1"/>
  <c r="AA2343" i="21" s="1"/>
  <c r="X2113" i="21"/>
  <c r="X1982" i="21"/>
  <c r="X1642" i="21"/>
  <c r="X1487" i="21"/>
  <c r="X1505" i="21"/>
  <c r="J1177" i="21"/>
  <c r="X1177" i="21" s="1"/>
  <c r="J1310" i="21"/>
  <c r="X1310" i="21" s="1"/>
  <c r="J1300" i="21"/>
  <c r="X1300" i="21" s="1"/>
  <c r="N3139" i="21"/>
  <c r="Z3139" i="21" s="1"/>
  <c r="AA3139" i="21" s="1"/>
  <c r="X3556" i="21"/>
  <c r="X3649" i="21"/>
  <c r="X3349" i="21"/>
  <c r="N2300" i="21"/>
  <c r="Z2300" i="21" s="1"/>
  <c r="AA2300" i="21" s="1"/>
  <c r="X3902" i="21"/>
  <c r="N3261" i="21"/>
  <c r="Z3261" i="21" s="1"/>
  <c r="AA3261" i="21" s="1"/>
  <c r="N3092" i="21"/>
  <c r="Z3092" i="21" s="1"/>
  <c r="AA3092" i="21" s="1"/>
  <c r="X2279" i="21"/>
  <c r="N2328" i="21"/>
  <c r="Z2328" i="21" s="1"/>
  <c r="AA2328" i="21" s="1"/>
  <c r="N2212" i="21"/>
  <c r="Z2212" i="21" s="1"/>
  <c r="AA2212" i="21" s="1"/>
  <c r="N1741" i="21"/>
  <c r="Z1741" i="21" s="1"/>
  <c r="AA1741" i="21" s="1"/>
  <c r="N1653" i="21"/>
  <c r="Z1653" i="21" s="1"/>
  <c r="AA1653" i="21" s="1"/>
  <c r="N3546" i="21"/>
  <c r="Z3546" i="21" s="1"/>
  <c r="AA3546" i="21" s="1"/>
  <c r="N2941" i="21"/>
  <c r="Z2941" i="21" s="1"/>
  <c r="AA2941" i="21" s="1"/>
  <c r="X2943" i="21"/>
  <c r="N3818" i="21"/>
  <c r="Z3818" i="21" s="1"/>
  <c r="AA3818" i="21" s="1"/>
  <c r="N3661" i="21"/>
  <c r="Z3661" i="21" s="1"/>
  <c r="AA3661" i="21" s="1"/>
  <c r="X3637" i="21"/>
  <c r="N2914" i="21"/>
  <c r="Z2914" i="21" s="1"/>
  <c r="AA2914" i="21" s="1"/>
  <c r="X2101" i="21"/>
  <c r="N1449" i="21"/>
  <c r="Z1449" i="21" s="1"/>
  <c r="AA1449" i="21" s="1"/>
  <c r="J1266" i="21"/>
  <c r="X1266" i="21" s="1"/>
  <c r="N3446" i="21"/>
  <c r="Z3446" i="21" s="1"/>
  <c r="AA3446" i="21" s="1"/>
  <c r="N3194" i="21"/>
  <c r="Z3194" i="21" s="1"/>
  <c r="AA3194" i="21" s="1"/>
  <c r="X1795" i="21"/>
  <c r="X3123" i="21"/>
  <c r="N3431" i="21"/>
  <c r="Z3431" i="21" s="1"/>
  <c r="AA3431" i="21" s="1"/>
  <c r="X2473" i="21"/>
  <c r="N2243" i="21"/>
  <c r="Z2243" i="21" s="1"/>
  <c r="AA2243" i="21" s="1"/>
  <c r="N3659" i="21"/>
  <c r="Z3659" i="21" s="1"/>
  <c r="AA3659" i="21" s="1"/>
  <c r="X1866" i="21"/>
  <c r="N1579" i="21"/>
  <c r="Z1579" i="21" s="1"/>
  <c r="AA1579" i="21" s="1"/>
  <c r="X3441" i="21"/>
  <c r="N3391" i="21"/>
  <c r="Z3391" i="21" s="1"/>
  <c r="AA3391" i="21" s="1"/>
  <c r="N2317" i="21"/>
  <c r="Z2317" i="21" s="1"/>
  <c r="AA2317" i="21" s="1"/>
  <c r="X2155" i="21"/>
  <c r="X3504" i="21"/>
  <c r="N1805" i="21"/>
  <c r="Z1805" i="21" s="1"/>
  <c r="AA1805" i="21" s="1"/>
  <c r="N1557" i="21"/>
  <c r="Z1557" i="21" s="1"/>
  <c r="AA1557" i="21" s="1"/>
  <c r="X2934" i="21"/>
  <c r="X1470" i="21"/>
  <c r="N2287" i="21"/>
  <c r="Z2287" i="21" s="1"/>
  <c r="AA2287" i="21" s="1"/>
  <c r="N2661" i="21"/>
  <c r="Z2661" i="21" s="1"/>
  <c r="AA2661" i="21" s="1"/>
  <c r="X2451" i="21"/>
  <c r="X3968" i="21"/>
  <c r="X1791" i="21"/>
  <c r="J1253" i="21"/>
  <c r="X1253" i="21" s="1"/>
  <c r="X3820" i="21"/>
  <c r="N2734" i="21"/>
  <c r="Z2734" i="21" s="1"/>
  <c r="AA2734" i="21" s="1"/>
  <c r="J1173" i="21"/>
  <c r="X1173" i="21" s="1"/>
  <c r="X3412" i="21"/>
  <c r="X3399" i="21"/>
  <c r="X2329" i="21"/>
  <c r="N1874" i="21"/>
  <c r="Z1874" i="21" s="1"/>
  <c r="AA1874" i="21" s="1"/>
  <c r="M1211" i="21"/>
  <c r="N1211" i="21" s="1"/>
  <c r="Z1211" i="21" s="1"/>
  <c r="AA1211" i="21" s="1"/>
  <c r="X3690" i="21"/>
  <c r="N2974" i="21"/>
  <c r="Z2974" i="21" s="1"/>
  <c r="AA2974" i="21" s="1"/>
  <c r="J1273" i="21"/>
  <c r="X1273" i="21" s="1"/>
  <c r="N2268" i="21"/>
  <c r="Z2268" i="21" s="1"/>
  <c r="AA2268" i="21" s="1"/>
  <c r="N3295" i="21"/>
  <c r="Z3295" i="21" s="1"/>
  <c r="AA3295" i="21" s="1"/>
  <c r="J1129" i="21"/>
  <c r="X1129" i="21" s="1"/>
  <c r="X3687" i="21"/>
  <c r="N2868" i="21"/>
  <c r="Z2868" i="21" s="1"/>
  <c r="AA2868" i="21" s="1"/>
  <c r="N2283" i="21"/>
  <c r="Z2283" i="21" s="1"/>
  <c r="AA2283" i="21" s="1"/>
  <c r="N1856" i="21"/>
  <c r="Z1856" i="21" s="1"/>
  <c r="AA1856" i="21" s="1"/>
  <c r="N2132" i="21"/>
  <c r="Z2132" i="21" s="1"/>
  <c r="AA2132" i="21" s="1"/>
  <c r="N2371" i="21"/>
  <c r="Z2371" i="21" s="1"/>
  <c r="AA2371" i="21" s="1"/>
  <c r="N3887" i="21"/>
  <c r="Z3887" i="21" s="1"/>
  <c r="AA3887" i="21" s="1"/>
  <c r="N2532" i="21"/>
  <c r="Z2532" i="21" s="1"/>
  <c r="AA2532" i="21" s="1"/>
  <c r="X2771" i="21"/>
  <c r="N1903" i="21"/>
  <c r="Z1903" i="21" s="1"/>
  <c r="AA1903" i="21" s="1"/>
  <c r="N2923" i="21"/>
  <c r="Z2923" i="21" s="1"/>
  <c r="AA2923" i="21" s="1"/>
  <c r="N2589" i="21"/>
  <c r="Z2589" i="21" s="1"/>
  <c r="AA2589" i="21" s="1"/>
  <c r="N2398" i="21"/>
  <c r="Z2398" i="21" s="1"/>
  <c r="AA2398" i="21" s="1"/>
  <c r="N2386" i="21"/>
  <c r="Z2386" i="21" s="1"/>
  <c r="AA2386" i="21" s="1"/>
  <c r="J1252" i="21"/>
  <c r="X1252" i="21" s="1"/>
  <c r="J1238" i="21"/>
  <c r="X1238" i="21" s="1"/>
  <c r="N3892" i="21"/>
  <c r="Z3892" i="21" s="1"/>
  <c r="AA3892" i="21" s="1"/>
  <c r="X3844" i="21"/>
  <c r="X3385" i="21"/>
  <c r="N3305" i="21"/>
  <c r="Z3305" i="21" s="1"/>
  <c r="AA3305" i="21" s="1"/>
  <c r="X3162" i="21"/>
  <c r="N3001" i="21"/>
  <c r="Z3001" i="21" s="1"/>
  <c r="AA3001" i="21" s="1"/>
  <c r="N2565" i="21"/>
  <c r="Z2565" i="21" s="1"/>
  <c r="AA2565" i="21" s="1"/>
  <c r="N2563" i="21"/>
  <c r="Z2563" i="21" s="1"/>
  <c r="AA2563" i="21" s="1"/>
  <c r="N1913" i="21"/>
  <c r="Z1913" i="21" s="1"/>
  <c r="AA1913" i="21" s="1"/>
  <c r="N1442" i="21"/>
  <c r="Z1442" i="21" s="1"/>
  <c r="AA1442" i="21" s="1"/>
  <c r="N2640" i="21"/>
  <c r="Z2640" i="21" s="1"/>
  <c r="AA2640" i="21" s="1"/>
  <c r="X3742" i="21"/>
  <c r="N2706" i="21"/>
  <c r="Z2706" i="21" s="1"/>
  <c r="AA2706" i="21" s="1"/>
  <c r="N2151" i="21"/>
  <c r="Z2151" i="21" s="1"/>
  <c r="AA2151" i="21" s="1"/>
  <c r="N1784" i="21"/>
  <c r="Z1784" i="21" s="1"/>
  <c r="AA1784" i="21" s="1"/>
  <c r="X1843" i="21"/>
  <c r="N2006" i="21"/>
  <c r="Z2006" i="21" s="1"/>
  <c r="AA2006" i="21" s="1"/>
  <c r="X2097" i="21"/>
  <c r="J1200" i="21"/>
  <c r="X1200" i="21" s="1"/>
  <c r="J1174" i="21"/>
  <c r="N1174" i="21" s="1"/>
  <c r="Z1174" i="21" s="1"/>
  <c r="AA1174" i="21" s="1"/>
  <c r="N2247" i="21"/>
  <c r="Z2247" i="21" s="1"/>
  <c r="AA2247" i="21" s="1"/>
  <c r="X1767" i="21"/>
  <c r="N1596" i="21"/>
  <c r="Z1596" i="21" s="1"/>
  <c r="AA1596" i="21" s="1"/>
  <c r="J1164" i="21"/>
  <c r="X1164" i="21" s="1"/>
  <c r="X1654" i="21"/>
  <c r="N2362" i="21"/>
  <c r="Z2362" i="21" s="1"/>
  <c r="AA2362" i="21" s="1"/>
  <c r="X1988" i="21"/>
  <c r="X1524" i="21"/>
  <c r="X3469" i="21"/>
  <c r="X3176" i="21"/>
  <c r="X2775" i="21"/>
  <c r="X2659" i="21"/>
  <c r="N2571" i="21"/>
  <c r="Z2571" i="21" s="1"/>
  <c r="AA2571" i="21" s="1"/>
  <c r="N1755" i="21"/>
  <c r="Z1755" i="21" s="1"/>
  <c r="AA1755" i="21" s="1"/>
  <c r="X1721" i="21"/>
  <c r="N1573" i="21"/>
  <c r="Z1573" i="21" s="1"/>
  <c r="AA1573" i="21" s="1"/>
  <c r="X1504" i="21"/>
  <c r="N3468" i="21"/>
  <c r="Z3468" i="21" s="1"/>
  <c r="AA3468" i="21" s="1"/>
  <c r="X3351" i="21"/>
  <c r="M1259" i="21"/>
  <c r="N1259" i="21" s="1"/>
  <c r="Z1259" i="21" s="1"/>
  <c r="AA1259" i="21" s="1"/>
  <c r="N1483" i="21"/>
  <c r="Z1483" i="21" s="1"/>
  <c r="AA1483" i="21" s="1"/>
  <c r="J1242" i="21"/>
  <c r="X1242" i="21" s="1"/>
  <c r="M1193" i="21"/>
  <c r="N1193" i="21" s="1"/>
  <c r="Z1193" i="21" s="1"/>
  <c r="AA1193" i="21" s="1"/>
  <c r="N3916" i="21"/>
  <c r="Z3916" i="21" s="1"/>
  <c r="AA3916" i="21" s="1"/>
  <c r="X3722" i="21"/>
  <c r="X2716" i="21"/>
  <c r="N2311" i="21"/>
  <c r="Z2311" i="21" s="1"/>
  <c r="AA2311" i="21" s="1"/>
  <c r="X1775" i="21"/>
  <c r="M1225" i="21"/>
  <c r="N1225" i="21" s="1"/>
  <c r="Z1225" i="21" s="1"/>
  <c r="AA1225" i="21" s="1"/>
  <c r="N1661" i="21"/>
  <c r="Z1661" i="21" s="1"/>
  <c r="AA1661" i="21" s="1"/>
  <c r="N2906" i="21"/>
  <c r="Z2906" i="21" s="1"/>
  <c r="AA2906" i="21" s="1"/>
  <c r="N2809" i="21"/>
  <c r="Z2809" i="21" s="1"/>
  <c r="AA2809" i="21" s="1"/>
  <c r="X3185" i="21"/>
  <c r="X2461" i="21"/>
  <c r="N2305" i="21"/>
  <c r="Z2305" i="21" s="1"/>
  <c r="AA2305" i="21" s="1"/>
  <c r="N2271" i="21"/>
  <c r="Z2271" i="21" s="1"/>
  <c r="AA2271" i="21" s="1"/>
  <c r="X2047" i="21"/>
  <c r="X1565" i="21"/>
  <c r="J1282" i="21"/>
  <c r="X1282" i="21" s="1"/>
  <c r="X3550" i="21"/>
  <c r="N3140" i="21"/>
  <c r="Z3140" i="21" s="1"/>
  <c r="AA3140" i="21" s="1"/>
  <c r="N2299" i="21"/>
  <c r="Z2299" i="21" s="1"/>
  <c r="AA2299" i="21" s="1"/>
  <c r="X2209" i="21"/>
  <c r="N2249" i="21"/>
  <c r="Z2249" i="21" s="1"/>
  <c r="AA2249" i="21" s="1"/>
  <c r="X1938" i="21"/>
  <c r="N1601" i="21"/>
  <c r="Z1601" i="21" s="1"/>
  <c r="AA1601" i="21" s="1"/>
  <c r="N1484" i="21"/>
  <c r="Z1484" i="21" s="1"/>
  <c r="AA1484" i="21" s="1"/>
  <c r="X2081" i="21"/>
  <c r="J1250" i="21"/>
  <c r="N3249" i="21"/>
  <c r="Z3249" i="21" s="1"/>
  <c r="AA3249" i="21" s="1"/>
  <c r="N3275" i="21"/>
  <c r="Z3275" i="21" s="1"/>
  <c r="AA3275" i="21" s="1"/>
  <c r="N3154" i="21"/>
  <c r="Z3154" i="21" s="1"/>
  <c r="AA3154" i="21" s="1"/>
  <c r="X2349" i="21"/>
  <c r="N2381" i="21"/>
  <c r="Z2381" i="21" s="1"/>
  <c r="AA2381" i="21" s="1"/>
  <c r="N2255" i="21"/>
  <c r="Z2255" i="21" s="1"/>
  <c r="AA2255" i="21" s="1"/>
  <c r="M1219" i="21"/>
  <c r="N1219" i="21" s="1"/>
  <c r="Z1219" i="21" s="1"/>
  <c r="AA1219" i="21" s="1"/>
  <c r="X2071" i="21"/>
  <c r="J1267" i="21"/>
  <c r="X1267" i="21" s="1"/>
  <c r="J1210" i="21"/>
  <c r="X1210" i="21" s="1"/>
  <c r="X3830" i="21"/>
  <c r="X3417" i="21"/>
  <c r="N3445" i="21"/>
  <c r="Z3445" i="21" s="1"/>
  <c r="AA3445" i="21" s="1"/>
  <c r="N2175" i="21"/>
  <c r="Z2175" i="21" s="1"/>
  <c r="AA2175" i="21" s="1"/>
  <c r="N3599" i="21"/>
  <c r="Z3599" i="21" s="1"/>
  <c r="AA3599" i="21" s="1"/>
  <c r="N1531" i="21"/>
  <c r="Z1531" i="21" s="1"/>
  <c r="AA1531" i="21" s="1"/>
  <c r="N3719" i="21"/>
  <c r="Z3719" i="21" s="1"/>
  <c r="AA3719" i="21" s="1"/>
  <c r="X3150" i="21"/>
  <c r="X2718" i="21"/>
  <c r="X2393" i="21"/>
  <c r="N2266" i="21"/>
  <c r="Z2266" i="21" s="1"/>
  <c r="AA2266" i="21" s="1"/>
  <c r="J1232" i="21"/>
  <c r="N1232" i="21" s="1"/>
  <c r="Z1232" i="21" s="1"/>
  <c r="AA1232" i="21" s="1"/>
  <c r="M1195" i="21"/>
  <c r="N1195" i="21" s="1"/>
  <c r="Z1195" i="21" s="1"/>
  <c r="AA1195" i="21" s="1"/>
  <c r="N2965" i="21"/>
  <c r="Z2965" i="21" s="1"/>
  <c r="AA2965" i="21" s="1"/>
  <c r="M1161" i="21"/>
  <c r="N1161" i="21" s="1"/>
  <c r="Z1161" i="21" s="1"/>
  <c r="AA1161" i="21" s="1"/>
  <c r="N1686" i="21"/>
  <c r="Z1686" i="21" s="1"/>
  <c r="AA1686" i="21" s="1"/>
  <c r="X3914" i="21"/>
  <c r="X3854" i="21"/>
  <c r="X2265" i="21"/>
  <c r="N1915" i="21"/>
  <c r="Z1915" i="21" s="1"/>
  <c r="AA1915" i="21" s="1"/>
  <c r="X1446" i="21"/>
  <c r="N3267" i="21"/>
  <c r="Z3267" i="21" s="1"/>
  <c r="AA3267" i="21" s="1"/>
  <c r="X3411" i="21"/>
  <c r="M1271" i="21"/>
  <c r="N1271" i="21" s="1"/>
  <c r="Z1271" i="21" s="1"/>
  <c r="AA1271" i="21" s="1"/>
  <c r="N1942" i="21"/>
  <c r="Z1942" i="21" s="1"/>
  <c r="AA1942" i="21" s="1"/>
  <c r="X3980" i="21"/>
  <c r="X3791" i="21"/>
  <c r="X3135" i="21"/>
  <c r="X2837" i="21"/>
  <c r="X1662" i="21"/>
  <c r="X1537" i="21"/>
  <c r="J1229" i="21"/>
  <c r="X1229" i="21" s="1"/>
  <c r="X3228" i="21"/>
  <c r="N3104" i="21"/>
  <c r="Z3104" i="21" s="1"/>
  <c r="AA3104" i="21" s="1"/>
  <c r="N1556" i="21"/>
  <c r="Z1556" i="21" s="1"/>
  <c r="AA1556" i="21" s="1"/>
  <c r="N1435" i="21"/>
  <c r="Z1435" i="21" s="1"/>
  <c r="AA1435" i="21" s="1"/>
  <c r="N2284" i="21"/>
  <c r="Z2284" i="21" s="1"/>
  <c r="AA2284" i="21" s="1"/>
  <c r="N2156" i="21"/>
  <c r="Z2156" i="21" s="1"/>
  <c r="AA2156" i="21" s="1"/>
  <c r="N3510" i="21"/>
  <c r="Z3510" i="21" s="1"/>
  <c r="AA3510" i="21" s="1"/>
  <c r="N3548" i="21"/>
  <c r="Z3548" i="21" s="1"/>
  <c r="AA3548" i="21" s="1"/>
  <c r="X3471" i="21"/>
  <c r="N3144" i="21"/>
  <c r="Z3144" i="21" s="1"/>
  <c r="AA3144" i="21" s="1"/>
  <c r="N3273" i="21"/>
  <c r="Z3273" i="21" s="1"/>
  <c r="AA3273" i="21" s="1"/>
  <c r="X2620" i="21"/>
  <c r="J1286" i="21"/>
  <c r="N1286" i="21" s="1"/>
  <c r="Z1286" i="21" s="1"/>
  <c r="AA1286" i="21" s="1"/>
  <c r="X1555" i="21"/>
  <c r="X2720" i="21"/>
  <c r="X2357" i="21"/>
  <c r="N3520" i="21"/>
  <c r="Z3520" i="21" s="1"/>
  <c r="AA3520" i="21" s="1"/>
  <c r="X1890" i="21"/>
  <c r="N1547" i="21"/>
  <c r="Z1547" i="21" s="1"/>
  <c r="AA1547" i="21" s="1"/>
  <c r="N2758" i="21"/>
  <c r="Z2758" i="21" s="1"/>
  <c r="AA2758" i="21" s="1"/>
  <c r="J1095" i="21"/>
  <c r="X1095" i="21" s="1"/>
  <c r="J1260" i="21"/>
  <c r="X1260" i="21" s="1"/>
  <c r="X2125" i="21"/>
  <c r="N1887" i="21"/>
  <c r="Z1887" i="21" s="1"/>
  <c r="AA1887" i="21" s="1"/>
  <c r="X2884" i="21"/>
  <c r="X3562" i="21"/>
  <c r="X3397" i="21"/>
  <c r="X2467" i="21"/>
  <c r="N2195" i="21"/>
  <c r="Z2195" i="21" s="1"/>
  <c r="AA2195" i="21" s="1"/>
  <c r="J1131" i="21"/>
  <c r="N1131" i="21" s="1"/>
  <c r="Z1131" i="21" s="1"/>
  <c r="AA1131" i="21" s="1"/>
  <c r="N2874" i="21"/>
  <c r="Z2874" i="21" s="1"/>
  <c r="AA2874" i="21" s="1"/>
  <c r="N2196" i="21"/>
  <c r="Z2196" i="21" s="1"/>
  <c r="AA2196" i="21" s="1"/>
  <c r="X1521" i="21"/>
  <c r="X3846" i="21"/>
  <c r="X3760" i="21"/>
  <c r="X3528" i="21"/>
  <c r="X2569" i="21"/>
  <c r="N2325" i="21"/>
  <c r="Z2325" i="21" s="1"/>
  <c r="AA2325" i="21" s="1"/>
  <c r="N1899" i="21"/>
  <c r="Z1899" i="21" s="1"/>
  <c r="AA1899" i="21" s="1"/>
  <c r="X1717" i="21"/>
  <c r="M1289" i="21"/>
  <c r="N1289" i="21" s="1"/>
  <c r="Z1289" i="21" s="1"/>
  <c r="AA1289" i="21" s="1"/>
  <c r="J1048" i="21"/>
  <c r="X1048" i="21" s="1"/>
  <c r="X3793" i="21"/>
  <c r="N3490" i="21"/>
  <c r="Z3490" i="21" s="1"/>
  <c r="AA3490" i="21" s="1"/>
  <c r="X3186" i="21"/>
  <c r="X2783" i="21"/>
  <c r="N1339" i="21"/>
  <c r="Z1339" i="21" s="1"/>
  <c r="AA1339" i="21" s="1"/>
  <c r="J1113" i="21"/>
  <c r="X1113" i="21" s="1"/>
  <c r="N2092" i="21"/>
  <c r="Z2092" i="21" s="1"/>
  <c r="AA2092" i="21" s="1"/>
  <c r="N2248" i="21"/>
  <c r="Z2248" i="21" s="1"/>
  <c r="AA2248" i="21" s="1"/>
  <c r="J1270" i="21"/>
  <c r="X3667" i="21"/>
  <c r="X3008" i="21"/>
  <c r="X2967" i="21"/>
  <c r="X1966" i="21"/>
  <c r="N2561" i="21"/>
  <c r="Z2561" i="21" s="1"/>
  <c r="AA2561" i="21" s="1"/>
  <c r="N2307" i="21"/>
  <c r="Z2307" i="21" s="1"/>
  <c r="AA2307" i="21" s="1"/>
  <c r="X1713" i="21"/>
  <c r="N1569" i="21"/>
  <c r="Z1569" i="21" s="1"/>
  <c r="AA1569" i="21" s="1"/>
  <c r="M1285" i="21"/>
  <c r="N1285" i="21" s="1"/>
  <c r="Z1285" i="21" s="1"/>
  <c r="AA1285" i="21" s="1"/>
  <c r="M1281" i="21"/>
  <c r="N1281" i="21" s="1"/>
  <c r="Z1281" i="21" s="1"/>
  <c r="AA1281" i="21" s="1"/>
  <c r="X3972" i="21"/>
  <c r="N3936" i="21"/>
  <c r="Z3936" i="21" s="1"/>
  <c r="AA3936" i="21" s="1"/>
  <c r="N3665" i="21"/>
  <c r="Z3665" i="21" s="1"/>
  <c r="AA3665" i="21" s="1"/>
  <c r="X3216" i="21"/>
  <c r="N3645" i="21"/>
  <c r="Z3645" i="21" s="1"/>
  <c r="AA3645" i="21" s="1"/>
  <c r="X3524" i="21"/>
  <c r="N2528" i="21"/>
  <c r="Z2528" i="21" s="1"/>
  <c r="AA2528" i="21" s="1"/>
  <c r="X2577" i="21"/>
  <c r="N2375" i="21"/>
  <c r="Z2375" i="21" s="1"/>
  <c r="AA2375" i="21" s="1"/>
  <c r="N2315" i="21"/>
  <c r="Z2315" i="21" s="1"/>
  <c r="AA2315" i="21" s="1"/>
  <c r="X2025" i="21"/>
  <c r="X1588" i="21"/>
  <c r="X1562" i="21"/>
  <c r="M1095" i="21"/>
  <c r="X1561" i="21"/>
  <c r="M1178" i="21"/>
  <c r="N1178" i="21" s="1"/>
  <c r="Z1178" i="21" s="1"/>
  <c r="AA1178" i="21" s="1"/>
  <c r="N2866" i="21"/>
  <c r="Z2866" i="21" s="1"/>
  <c r="AA2866" i="21" s="1"/>
  <c r="N2544" i="21"/>
  <c r="Z2544" i="21" s="1"/>
  <c r="AA2544" i="21" s="1"/>
  <c r="N2365" i="21"/>
  <c r="Z2365" i="21" s="1"/>
  <c r="AA2365" i="21" s="1"/>
  <c r="X2004" i="21"/>
  <c r="M1207" i="21"/>
  <c r="N1207" i="21" s="1"/>
  <c r="Z1207" i="21" s="1"/>
  <c r="AA1207" i="21" s="1"/>
  <c r="N2978" i="21"/>
  <c r="Z2978" i="21" s="1"/>
  <c r="AA2978" i="21" s="1"/>
  <c r="N3472" i="21"/>
  <c r="Z3472" i="21" s="1"/>
  <c r="AA3472" i="21" s="1"/>
  <c r="X2736" i="21"/>
  <c r="N2622" i="21"/>
  <c r="Z2622" i="21" s="1"/>
  <c r="AA2622" i="21" s="1"/>
  <c r="N2592" i="21"/>
  <c r="Z2592" i="21" s="1"/>
  <c r="AA2592" i="21" s="1"/>
  <c r="X1992" i="21"/>
  <c r="X1944" i="21"/>
  <c r="X1580" i="21"/>
  <c r="X1475" i="21"/>
  <c r="X2870" i="21"/>
  <c r="X3401" i="21"/>
  <c r="N2985" i="21"/>
  <c r="Z2985" i="21" s="1"/>
  <c r="AA2985" i="21" s="1"/>
  <c r="N2917" i="21"/>
  <c r="Z2917" i="21" s="1"/>
  <c r="AA2917" i="21" s="1"/>
  <c r="X2217" i="21"/>
  <c r="N2083" i="21"/>
  <c r="Z2083" i="21" s="1"/>
  <c r="AA2083" i="21" s="1"/>
  <c r="X1855" i="21"/>
  <c r="X1657" i="21"/>
  <c r="N1520" i="21"/>
  <c r="Z1520" i="21" s="1"/>
  <c r="AA1520" i="21" s="1"/>
  <c r="J1009" i="21"/>
  <c r="X1009" i="21" s="1"/>
  <c r="N2746" i="21"/>
  <c r="Z2746" i="21" s="1"/>
  <c r="AA2746" i="21" s="1"/>
  <c r="J1087" i="21"/>
  <c r="X1087" i="21" s="1"/>
  <c r="X2638" i="21"/>
  <c r="X2149" i="21"/>
  <c r="N1901" i="21"/>
  <c r="Z1901" i="21" s="1"/>
  <c r="AA1901" i="21" s="1"/>
  <c r="X3373" i="21"/>
  <c r="X3002" i="21"/>
  <c r="X2457" i="21"/>
  <c r="X1884" i="21"/>
  <c r="N2564" i="21"/>
  <c r="Z2564" i="21" s="1"/>
  <c r="AA2564" i="21" s="1"/>
  <c r="N2318" i="21"/>
  <c r="Z2318" i="21" s="1"/>
  <c r="AA2318" i="21" s="1"/>
  <c r="N2172" i="21"/>
  <c r="Z2172" i="21" s="1"/>
  <c r="AA2172" i="21" s="1"/>
  <c r="N3346" i="21"/>
  <c r="Z3346" i="21" s="1"/>
  <c r="AA3346" i="21" s="1"/>
  <c r="X3570" i="21"/>
  <c r="N3094" i="21"/>
  <c r="Z3094" i="21" s="1"/>
  <c r="AA3094" i="21" s="1"/>
  <c r="N2979" i="21"/>
  <c r="Z2979" i="21" s="1"/>
  <c r="AA2979" i="21" s="1"/>
  <c r="X2029" i="21"/>
  <c r="X1675" i="21"/>
  <c r="N1737" i="21"/>
  <c r="Z1737" i="21" s="1"/>
  <c r="AA1737" i="21" s="1"/>
  <c r="M1239" i="21"/>
  <c r="N1239" i="21" s="1"/>
  <c r="Z1239" i="21" s="1"/>
  <c r="AA1239" i="21" s="1"/>
  <c r="M1019" i="21"/>
  <c r="N1019" i="21" s="1"/>
  <c r="Z1019" i="21" s="1"/>
  <c r="AA1019" i="21" s="1"/>
  <c r="N2164" i="21"/>
  <c r="Z2164" i="21" s="1"/>
  <c r="AA2164" i="21" s="1"/>
  <c r="N1635" i="21"/>
  <c r="Z1635" i="21" s="1"/>
  <c r="AA1635" i="21" s="1"/>
  <c r="X1513" i="21"/>
  <c r="N1883" i="21"/>
  <c r="Z1883" i="21" s="1"/>
  <c r="AA1883" i="21" s="1"/>
  <c r="N1419" i="21"/>
  <c r="Z1419" i="21" s="1"/>
  <c r="AA1419" i="21" s="1"/>
  <c r="N1466" i="21"/>
  <c r="Z1466" i="21" s="1"/>
  <c r="AA1466" i="21" s="1"/>
  <c r="X3410" i="21"/>
  <c r="N3635" i="21"/>
  <c r="Z3635" i="21" s="1"/>
  <c r="AA3635" i="21" s="1"/>
  <c r="X2984" i="21"/>
  <c r="X2969" i="21"/>
  <c r="X2769" i="21"/>
  <c r="N2516" i="21"/>
  <c r="Z2516" i="21" s="1"/>
  <c r="AA2516" i="21" s="1"/>
  <c r="X2395" i="21"/>
  <c r="N2363" i="21"/>
  <c r="Z2363" i="21" s="1"/>
  <c r="AA2363" i="21" s="1"/>
  <c r="N2135" i="21"/>
  <c r="Z2135" i="21" s="1"/>
  <c r="AA2135" i="21" s="1"/>
  <c r="X2111" i="21"/>
  <c r="N1783" i="21"/>
  <c r="Z1783" i="21" s="1"/>
  <c r="AA1783" i="21" s="1"/>
  <c r="X1582" i="21"/>
  <c r="X1643" i="21"/>
  <c r="N1539" i="21"/>
  <c r="Z1539" i="21" s="1"/>
  <c r="AA1539" i="21" s="1"/>
  <c r="X1507" i="21"/>
  <c r="X1472" i="21"/>
  <c r="J1151" i="21"/>
  <c r="X1151" i="21" s="1"/>
  <c r="M1006" i="21"/>
  <c r="N1006" i="21" s="1"/>
  <c r="Z1006" i="21" s="1"/>
  <c r="AA1006" i="21" s="1"/>
  <c r="N2027" i="21"/>
  <c r="Z2027" i="21" s="1"/>
  <c r="AA2027" i="21" s="1"/>
  <c r="N2898" i="21"/>
  <c r="Z2898" i="21" s="1"/>
  <c r="AA2898" i="21" s="1"/>
  <c r="J1274" i="21"/>
  <c r="N3465" i="21"/>
  <c r="Z3465" i="21" s="1"/>
  <c r="AA3465" i="21" s="1"/>
  <c r="X3226" i="21"/>
  <c r="X3182" i="21"/>
  <c r="X3146" i="21"/>
  <c r="X2961" i="21"/>
  <c r="N2292" i="21"/>
  <c r="Z2292" i="21" s="1"/>
  <c r="AA2292" i="21" s="1"/>
  <c r="X2131" i="21"/>
  <c r="X1956" i="21"/>
  <c r="N1790" i="21"/>
  <c r="Z1790" i="21" s="1"/>
  <c r="AA1790" i="21" s="1"/>
  <c r="X1765" i="21"/>
  <c r="N1609" i="21"/>
  <c r="Z1609" i="21" s="1"/>
  <c r="AA1609" i="21" s="1"/>
  <c r="X1426" i="21"/>
  <c r="J1169" i="21"/>
  <c r="N1169" i="21" s="1"/>
  <c r="Z1169" i="21" s="1"/>
  <c r="AA1169" i="21" s="1"/>
  <c r="M1023" i="21"/>
  <c r="N1023" i="21" s="1"/>
  <c r="Z1023" i="21" s="1"/>
  <c r="AA1023" i="21" s="1"/>
  <c r="N2582" i="21"/>
  <c r="Z2582" i="21" s="1"/>
  <c r="AA2582" i="21" s="1"/>
  <c r="N2308" i="21"/>
  <c r="Z2308" i="21" s="1"/>
  <c r="AA2308" i="21" s="1"/>
  <c r="J1245" i="21"/>
  <c r="X1245" i="21" s="1"/>
  <c r="N3730" i="21"/>
  <c r="Z3730" i="21" s="1"/>
  <c r="AA3730" i="21" s="1"/>
  <c r="X3861" i="21"/>
  <c r="N3485" i="21"/>
  <c r="Z3485" i="21" s="1"/>
  <c r="AA3485" i="21" s="1"/>
  <c r="N3591" i="21"/>
  <c r="Z3591" i="21" s="1"/>
  <c r="AA3591" i="21" s="1"/>
  <c r="N2850" i="21"/>
  <c r="Z2850" i="21" s="1"/>
  <c r="AA2850" i="21" s="1"/>
  <c r="X2738" i="21"/>
  <c r="N2677" i="21"/>
  <c r="Z2677" i="21" s="1"/>
  <c r="AA2677" i="21" s="1"/>
  <c r="N2239" i="21"/>
  <c r="Z2239" i="21" s="1"/>
  <c r="AA2239" i="21" s="1"/>
  <c r="N2253" i="21"/>
  <c r="Z2253" i="21" s="1"/>
  <c r="AA2253" i="21" s="1"/>
  <c r="N1952" i="21"/>
  <c r="Z1952" i="21" s="1"/>
  <c r="AA1952" i="21" s="1"/>
  <c r="X1723" i="21"/>
  <c r="X1614" i="21"/>
  <c r="J1153" i="21"/>
  <c r="N1153" i="21" s="1"/>
  <c r="Z1153" i="21" s="1"/>
  <c r="AA1153" i="21" s="1"/>
  <c r="N2583" i="21"/>
  <c r="Z2583" i="21" s="1"/>
  <c r="AA2583" i="21" s="1"/>
  <c r="N2322" i="21"/>
  <c r="Z2322" i="21" s="1"/>
  <c r="AA2322" i="21" s="1"/>
  <c r="N2252" i="21"/>
  <c r="Z2252" i="21" s="1"/>
  <c r="AA2252" i="21" s="1"/>
  <c r="X2878" i="21"/>
  <c r="N1646" i="21"/>
  <c r="Z1646" i="21" s="1"/>
  <c r="AA1646" i="21" s="1"/>
  <c r="J1264" i="21"/>
  <c r="X1264" i="21" s="1"/>
  <c r="N3257" i="21"/>
  <c r="Z3257" i="21" s="1"/>
  <c r="AA3257" i="21" s="1"/>
  <c r="X3172" i="21"/>
  <c r="X2708" i="21"/>
  <c r="N2578" i="21"/>
  <c r="Z2578" i="21" s="1"/>
  <c r="AA2578" i="21" s="1"/>
  <c r="X2369" i="21"/>
  <c r="X2095" i="21"/>
  <c r="N1907" i="21"/>
  <c r="Z1907" i="21" s="1"/>
  <c r="AA1907" i="21" s="1"/>
  <c r="X1817" i="21"/>
  <c r="N1793" i="21"/>
  <c r="Z1793" i="21" s="1"/>
  <c r="AA1793" i="21" s="1"/>
  <c r="N1779" i="21"/>
  <c r="Z1779" i="21" s="1"/>
  <c r="AA1779" i="21" s="1"/>
  <c r="X1607" i="21"/>
  <c r="N1906" i="21"/>
  <c r="Z1906" i="21" s="1"/>
  <c r="AA1906" i="21" s="1"/>
  <c r="J1234" i="21"/>
  <c r="X1234" i="21" s="1"/>
  <c r="X3771" i="21"/>
  <c r="X3673" i="21"/>
  <c r="N3501" i="21"/>
  <c r="Z3501" i="21" s="1"/>
  <c r="AA3501" i="21" s="1"/>
  <c r="X3393" i="21"/>
  <c r="X2935" i="21"/>
  <c r="X1978" i="21"/>
  <c r="X1870" i="21"/>
  <c r="X1707" i="21"/>
  <c r="N1309" i="21"/>
  <c r="Z1309" i="21" s="1"/>
  <c r="AA1309" i="21" s="1"/>
  <c r="M1213" i="21"/>
  <c r="N1213" i="21" s="1"/>
  <c r="Z1213" i="21" s="1"/>
  <c r="AA1213" i="21" s="1"/>
  <c r="M1058" i="21"/>
  <c r="N1058" i="21" s="1"/>
  <c r="Z1058" i="21" s="1"/>
  <c r="AA1058" i="21" s="1"/>
  <c r="J1248" i="21"/>
  <c r="X1248" i="21" s="1"/>
  <c r="J1268" i="21"/>
  <c r="X1268" i="21" s="1"/>
  <c r="N3498" i="21"/>
  <c r="Z3498" i="21" s="1"/>
  <c r="AA3498" i="21" s="1"/>
  <c r="X3218" i="21"/>
  <c r="N3437" i="21"/>
  <c r="Z3437" i="21" s="1"/>
  <c r="AA3437" i="21" s="1"/>
  <c r="X2649" i="21"/>
  <c r="X1725" i="21"/>
  <c r="J1089" i="21"/>
  <c r="N1089" i="21" s="1"/>
  <c r="Z1089" i="21" s="1"/>
  <c r="AA1089" i="21" s="1"/>
  <c r="N2316" i="21"/>
  <c r="Z2316" i="21" s="1"/>
  <c r="AA2316" i="21" s="1"/>
  <c r="J1243" i="21"/>
  <c r="X1243" i="21" s="1"/>
  <c r="M1263" i="21"/>
  <c r="N1263" i="21" s="1"/>
  <c r="Z1263" i="21" s="1"/>
  <c r="AA1263" i="21" s="1"/>
  <c r="J1276" i="21"/>
  <c r="X1276" i="21" s="1"/>
  <c r="J1272" i="21"/>
  <c r="X1272" i="21" s="1"/>
  <c r="X3758" i="21"/>
  <c r="N3438" i="21"/>
  <c r="Z3438" i="21" s="1"/>
  <c r="AA3438" i="21" s="1"/>
  <c r="X3443" i="21"/>
  <c r="X3158" i="21"/>
  <c r="N3415" i="21"/>
  <c r="Z3415" i="21" s="1"/>
  <c r="AA3415" i="21" s="1"/>
  <c r="N2885" i="21"/>
  <c r="Z2885" i="21" s="1"/>
  <c r="AA2885" i="21" s="1"/>
  <c r="N2844" i="21"/>
  <c r="Z2844" i="21" s="1"/>
  <c r="AA2844" i="21" s="1"/>
  <c r="X2119" i="21"/>
  <c r="N1984" i="21"/>
  <c r="Z1984" i="21" s="1"/>
  <c r="AA1984" i="21" s="1"/>
  <c r="N1789" i="21"/>
  <c r="Z1789" i="21" s="1"/>
  <c r="AA1789" i="21" s="1"/>
  <c r="X1658" i="21"/>
  <c r="N2262" i="21"/>
  <c r="Z2262" i="21" s="1"/>
  <c r="AA2262" i="21" s="1"/>
  <c r="N2198" i="21"/>
  <c r="Z2198" i="21" s="1"/>
  <c r="AA2198" i="21" s="1"/>
  <c r="M1175" i="21"/>
  <c r="N1175" i="21" s="1"/>
  <c r="Z1175" i="21" s="1"/>
  <c r="AA1175" i="21" s="1"/>
  <c r="X3435" i="21"/>
  <c r="X3188" i="21"/>
  <c r="N3114" i="21"/>
  <c r="Z3114" i="21" s="1"/>
  <c r="AA3114" i="21" s="1"/>
  <c r="N3355" i="21"/>
  <c r="Z3355" i="21" s="1"/>
  <c r="AA3355" i="21" s="1"/>
  <c r="X2986" i="21"/>
  <c r="N2696" i="21"/>
  <c r="Z2696" i="21" s="1"/>
  <c r="AA2696" i="21" s="1"/>
  <c r="N2183" i="21"/>
  <c r="Z2183" i="21" s="1"/>
  <c r="AA2183" i="21" s="1"/>
  <c r="X1823" i="21"/>
  <c r="N1761" i="21"/>
  <c r="Z1761" i="21" s="1"/>
  <c r="AA1761" i="21" s="1"/>
  <c r="N1612" i="21"/>
  <c r="Z1612" i="21" s="1"/>
  <c r="AA1612" i="21" s="1"/>
  <c r="X1584" i="21"/>
  <c r="X1452" i="21"/>
  <c r="X2765" i="21"/>
  <c r="J1249" i="21"/>
  <c r="X1249" i="21" s="1"/>
  <c r="N3475" i="21"/>
  <c r="Z3475" i="21" s="1"/>
  <c r="AA3475" i="21" s="1"/>
  <c r="X1719" i="21"/>
  <c r="N1611" i="21"/>
  <c r="Z1611" i="21" s="1"/>
  <c r="AA1611" i="21" s="1"/>
  <c r="N1493" i="21"/>
  <c r="Z1493" i="21" s="1"/>
  <c r="AA1493" i="21" s="1"/>
  <c r="X1432" i="21"/>
  <c r="N1853" i="21"/>
  <c r="Z1853" i="21" s="1"/>
  <c r="AA1853" i="21" s="1"/>
  <c r="J1204" i="21"/>
  <c r="N1204" i="21" s="1"/>
  <c r="Z1204" i="21" s="1"/>
  <c r="AA1204" i="21" s="1"/>
  <c r="X3981" i="21"/>
  <c r="X3852" i="21"/>
  <c r="X4009" i="21"/>
  <c r="N3967" i="21"/>
  <c r="Z3967" i="21" s="1"/>
  <c r="AA3967" i="21" s="1"/>
  <c r="N3136" i="21"/>
  <c r="Z3136" i="21" s="1"/>
  <c r="AA3136" i="21" s="1"/>
  <c r="N3679" i="21"/>
  <c r="Z3679" i="21" s="1"/>
  <c r="AA3679" i="21" s="1"/>
  <c r="X2864" i="21"/>
  <c r="X2443" i="21"/>
  <c r="X2394" i="21"/>
  <c r="N2295" i="21"/>
  <c r="Z2295" i="21" s="1"/>
  <c r="AA2295" i="21" s="1"/>
  <c r="X2139" i="21"/>
  <c r="X2078" i="21"/>
  <c r="X1666" i="21"/>
  <c r="N1461" i="21"/>
  <c r="Z1461" i="21" s="1"/>
  <c r="AA1461" i="21" s="1"/>
  <c r="N1691" i="21"/>
  <c r="Z1691" i="21" s="1"/>
  <c r="AA1691" i="21" s="1"/>
  <c r="J1236" i="21"/>
  <c r="X1236" i="21" s="1"/>
  <c r="N2926" i="21"/>
  <c r="Z2926" i="21" s="1"/>
  <c r="AA2926" i="21" s="1"/>
  <c r="N2856" i="21"/>
  <c r="Z2856" i="21" s="1"/>
  <c r="AA2856" i="21" s="1"/>
  <c r="X2821" i="21"/>
  <c r="N2298" i="21"/>
  <c r="Z2298" i="21" s="1"/>
  <c r="AA2298" i="21" s="1"/>
  <c r="N2167" i="21"/>
  <c r="Z2167" i="21" s="1"/>
  <c r="AA2167" i="21" s="1"/>
  <c r="N1595" i="21"/>
  <c r="Z1595" i="21" s="1"/>
  <c r="AA1595" i="21" s="1"/>
  <c r="N1430" i="21"/>
  <c r="Z1430" i="21" s="1"/>
  <c r="AA1430" i="21" s="1"/>
  <c r="M1261" i="21"/>
  <c r="N1261" i="21" s="1"/>
  <c r="Z1261" i="21" s="1"/>
  <c r="AA1261" i="21" s="1"/>
  <c r="M1223" i="21"/>
  <c r="N1223" i="21" s="1"/>
  <c r="Z1223" i="21" s="1"/>
  <c r="AA1223" i="21" s="1"/>
  <c r="N2675" i="21"/>
  <c r="Z2675" i="21" s="1"/>
  <c r="AA2675" i="21" s="1"/>
  <c r="N3297" i="21"/>
  <c r="Z3297" i="21" s="1"/>
  <c r="AA3297" i="21" s="1"/>
  <c r="N3168" i="21"/>
  <c r="Z3168" i="21" s="1"/>
  <c r="AA3168" i="21" s="1"/>
  <c r="N2562" i="21"/>
  <c r="Z2562" i="21" s="1"/>
  <c r="AA2562" i="21" s="1"/>
  <c r="X2143" i="21"/>
  <c r="N1964" i="21"/>
  <c r="Z1964" i="21" s="1"/>
  <c r="AA1964" i="21" s="1"/>
  <c r="N1799" i="21"/>
  <c r="Z1799" i="21" s="1"/>
  <c r="AA1799" i="21" s="1"/>
  <c r="X3526" i="21"/>
  <c r="N3707" i="21"/>
  <c r="Z3707" i="21" s="1"/>
  <c r="AA3707" i="21" s="1"/>
  <c r="X3200" i="21"/>
  <c r="N3156" i="21"/>
  <c r="Z3156" i="21" s="1"/>
  <c r="AA3156" i="21" s="1"/>
  <c r="X2567" i="21"/>
  <c r="X2465" i="21"/>
  <c r="X1664" i="21"/>
  <c r="X1512" i="21"/>
  <c r="J1021" i="21"/>
  <c r="X1021" i="21" s="1"/>
  <c r="N2882" i="21"/>
  <c r="Z2882" i="21" s="1"/>
  <c r="AA2882" i="21" s="1"/>
  <c r="J1024" i="21"/>
  <c r="X1024" i="21" s="1"/>
  <c r="N2616" i="21"/>
  <c r="Z2616" i="21" s="1"/>
  <c r="AA2616" i="21" s="1"/>
  <c r="N1140" i="21"/>
  <c r="Z1140" i="21" s="1"/>
  <c r="AA1140" i="21" s="1"/>
  <c r="J1073" i="21"/>
  <c r="N1073" i="21" s="1"/>
  <c r="Z1073" i="21" s="1"/>
  <c r="AA1073" i="21" s="1"/>
  <c r="J1065" i="21"/>
  <c r="N1065" i="21" s="1"/>
  <c r="Z1065" i="21" s="1"/>
  <c r="AA1065" i="21" s="1"/>
  <c r="N1468" i="21"/>
  <c r="Z1468" i="21" s="1"/>
  <c r="AA1468" i="21" s="1"/>
  <c r="X2061" i="21"/>
  <c r="N3339" i="21"/>
  <c r="Z3339" i="21" s="1"/>
  <c r="AA3339" i="21" s="1"/>
  <c r="N2051" i="21"/>
  <c r="Z2051" i="21" s="1"/>
  <c r="AA2051" i="21" s="1"/>
  <c r="J1240" i="21"/>
  <c r="X1240" i="21" s="1"/>
  <c r="N1802" i="21"/>
  <c r="Z1802" i="21" s="1"/>
  <c r="AA1802" i="21" s="1"/>
  <c r="N1509" i="21"/>
  <c r="Z1509" i="21" s="1"/>
  <c r="AA1509" i="21" s="1"/>
  <c r="N3506" i="21"/>
  <c r="Z3506" i="21" s="1"/>
  <c r="AA3506" i="21" s="1"/>
  <c r="J1163" i="21"/>
  <c r="N1163" i="21" s="1"/>
  <c r="Z1163" i="21" s="1"/>
  <c r="AA1163" i="21" s="1"/>
  <c r="N2953" i="21"/>
  <c r="Z2953" i="21" s="1"/>
  <c r="AA2953" i="21" s="1"/>
  <c r="J1208" i="21"/>
  <c r="N1208" i="21" s="1"/>
  <c r="Z1208" i="21" s="1"/>
  <c r="AA1208" i="21" s="1"/>
  <c r="X3192" i="21"/>
  <c r="N3460" i="21"/>
  <c r="Z3460" i="21" s="1"/>
  <c r="AA3460" i="21" s="1"/>
  <c r="N3955" i="21"/>
  <c r="Z3955" i="21" s="1"/>
  <c r="AA3955" i="21" s="1"/>
  <c r="N3743" i="21"/>
  <c r="Z3743" i="21" s="1"/>
  <c r="AA3743" i="21" s="1"/>
  <c r="N3444" i="21"/>
  <c r="Z3444" i="21" s="1"/>
  <c r="AA3444" i="21" s="1"/>
  <c r="X3427" i="21"/>
  <c r="X3463" i="21"/>
  <c r="X3208" i="21"/>
  <c r="X3133" i="21"/>
  <c r="X2971" i="21"/>
  <c r="N2370" i="21"/>
  <c r="Z2370" i="21" s="1"/>
  <c r="AA2370" i="21" s="1"/>
  <c r="X2123" i="21"/>
  <c r="X2009" i="21"/>
  <c r="N3597" i="21"/>
  <c r="Z3597" i="21" s="1"/>
  <c r="AA3597" i="21" s="1"/>
  <c r="N1753" i="21"/>
  <c r="Z1753" i="21" s="1"/>
  <c r="AA1753" i="21" s="1"/>
  <c r="X1516" i="21"/>
  <c r="N1480" i="21"/>
  <c r="Z1480" i="21" s="1"/>
  <c r="AA1480" i="21" s="1"/>
  <c r="X1477" i="21"/>
  <c r="M1233" i="21"/>
  <c r="N1233" i="21" s="1"/>
  <c r="Z1233" i="21" s="1"/>
  <c r="AA1233" i="21" s="1"/>
  <c r="M1227" i="21"/>
  <c r="N1227" i="21" s="1"/>
  <c r="Z1227" i="21" s="1"/>
  <c r="AA1227" i="21" s="1"/>
  <c r="N2194" i="21"/>
  <c r="Z2194" i="21" s="1"/>
  <c r="AA2194" i="21" s="1"/>
  <c r="X2628" i="21"/>
  <c r="X2065" i="21"/>
  <c r="N1729" i="21"/>
  <c r="Z1729" i="21" s="1"/>
  <c r="AA1729" i="21" s="1"/>
  <c r="X2667" i="21"/>
  <c r="M1109" i="21"/>
  <c r="N1109" i="21" s="1"/>
  <c r="Z1109" i="21" s="1"/>
  <c r="AA1109" i="21" s="1"/>
  <c r="J1216" i="21"/>
  <c r="X1216" i="21" s="1"/>
  <c r="X1745" i="21"/>
  <c r="J1218" i="21"/>
  <c r="X1218" i="21" s="1"/>
  <c r="X3775" i="21"/>
  <c r="X3930" i="21"/>
  <c r="X3573" i="21"/>
  <c r="N3745" i="21"/>
  <c r="Z3745" i="21" s="1"/>
  <c r="AA3745" i="21" s="1"/>
  <c r="X3558" i="21"/>
  <c r="X3809" i="21"/>
  <c r="N3908" i="21"/>
  <c r="Z3908" i="21" s="1"/>
  <c r="AA3908" i="21" s="1"/>
  <c r="X3671" i="21"/>
  <c r="N3586" i="21"/>
  <c r="Z3586" i="21" s="1"/>
  <c r="AA3586" i="21" s="1"/>
  <c r="N3428" i="21"/>
  <c r="Z3428" i="21" s="1"/>
  <c r="AA3428" i="21" s="1"/>
  <c r="N2919" i="21"/>
  <c r="Z2919" i="21" s="1"/>
  <c r="AA2919" i="21" s="1"/>
  <c r="N2508" i="21"/>
  <c r="Z2508" i="21" s="1"/>
  <c r="AA2508" i="21" s="1"/>
  <c r="X1683" i="21"/>
  <c r="N1577" i="21"/>
  <c r="Z1577" i="21" s="1"/>
  <c r="AA1577" i="21" s="1"/>
  <c r="X1663" i="21"/>
  <c r="N1445" i="21"/>
  <c r="Z1445" i="21" s="1"/>
  <c r="AA1445" i="21" s="1"/>
  <c r="N2900" i="21"/>
  <c r="Z2900" i="21" s="1"/>
  <c r="AA2900" i="21" s="1"/>
  <c r="J1010" i="21"/>
  <c r="X1010" i="21" s="1"/>
  <c r="J1186" i="21"/>
  <c r="N1186" i="21" s="1"/>
  <c r="Z1186" i="21" s="1"/>
  <c r="AA1186" i="21" s="1"/>
  <c r="N2158" i="21"/>
  <c r="Z2158" i="21" s="1"/>
  <c r="AA2158" i="21" s="1"/>
  <c r="X3768" i="21"/>
  <c r="N3695" i="21"/>
  <c r="Z3695" i="21" s="1"/>
  <c r="AA3695" i="21" s="1"/>
  <c r="N3449" i="21"/>
  <c r="Z3449" i="21" s="1"/>
  <c r="AA3449" i="21" s="1"/>
  <c r="X2730" i="21"/>
  <c r="N2694" i="21"/>
  <c r="Z2694" i="21" s="1"/>
  <c r="AA2694" i="21" s="1"/>
  <c r="X2342" i="21"/>
  <c r="X2043" i="21"/>
  <c r="X1948" i="21"/>
  <c r="N1881" i="21"/>
  <c r="Z1881" i="21" s="1"/>
  <c r="AA1881" i="21" s="1"/>
  <c r="X1847" i="21"/>
  <c r="X1570" i="21"/>
  <c r="N1492" i="21"/>
  <c r="Z1492" i="21" s="1"/>
  <c r="AA1492" i="21" s="1"/>
  <c r="N1436" i="21"/>
  <c r="Z1436" i="21" s="1"/>
  <c r="AA1436" i="21" s="1"/>
  <c r="X1479" i="21"/>
  <c r="N3012" i="21"/>
  <c r="Z3012" i="21" s="1"/>
  <c r="AA3012" i="21" s="1"/>
  <c r="N1689" i="21"/>
  <c r="Z1689" i="21" s="1"/>
  <c r="AA1689" i="21" s="1"/>
  <c r="N2894" i="21"/>
  <c r="Z2894" i="21" s="1"/>
  <c r="AA2894" i="21" s="1"/>
  <c r="N2648" i="21"/>
  <c r="Z2648" i="21" s="1"/>
  <c r="AA2648" i="21" s="1"/>
  <c r="N2732" i="21"/>
  <c r="Z2732" i="21" s="1"/>
  <c r="AA2732" i="21" s="1"/>
  <c r="J1036" i="21"/>
  <c r="N1036" i="21" s="1"/>
  <c r="Z1036" i="21" s="1"/>
  <c r="AA1036" i="21" s="1"/>
  <c r="X3368" i="21"/>
  <c r="N2924" i="21"/>
  <c r="Z2924" i="21" s="1"/>
  <c r="AA2924" i="21" s="1"/>
  <c r="X2785" i="21"/>
  <c r="X2704" i="21"/>
  <c r="N2674" i="21"/>
  <c r="Z2674" i="21" s="1"/>
  <c r="AA2674" i="21" s="1"/>
  <c r="X2671" i="21"/>
  <c r="X2575" i="21"/>
  <c r="N2319" i="21"/>
  <c r="Z2319" i="21" s="1"/>
  <c r="AA2319" i="21" s="1"/>
  <c r="X2285" i="21"/>
  <c r="N2235" i="21"/>
  <c r="Z2235" i="21" s="1"/>
  <c r="AA2235" i="21" s="1"/>
  <c r="X2126" i="21"/>
  <c r="X1998" i="21"/>
  <c r="X1871" i="21"/>
  <c r="X1882" i="21"/>
  <c r="X1641" i="21"/>
  <c r="N2234" i="21"/>
  <c r="Z2234" i="21" s="1"/>
  <c r="AA2234" i="21" s="1"/>
  <c r="N2202" i="21"/>
  <c r="Z2202" i="21" s="1"/>
  <c r="AA2202" i="21" s="1"/>
  <c r="N2170" i="21"/>
  <c r="Z2170" i="21" s="1"/>
  <c r="AA2170" i="21" s="1"/>
  <c r="N3383" i="21"/>
  <c r="Z3383" i="21" s="1"/>
  <c r="AA3383" i="21" s="1"/>
  <c r="X3141" i="21"/>
  <c r="N2989" i="21"/>
  <c r="Z2989" i="21" s="1"/>
  <c r="AA2989" i="21" s="1"/>
  <c r="N2922" i="21"/>
  <c r="Z2922" i="21" s="1"/>
  <c r="AA2922" i="21" s="1"/>
  <c r="N2540" i="21"/>
  <c r="Z2540" i="21" s="1"/>
  <c r="AA2540" i="21" s="1"/>
  <c r="N2373" i="21"/>
  <c r="Z2373" i="21" s="1"/>
  <c r="AA2373" i="21" s="1"/>
  <c r="N2207" i="21"/>
  <c r="Z2207" i="21" s="1"/>
  <c r="AA2207" i="21" s="1"/>
  <c r="X2158" i="21"/>
  <c r="N2221" i="21"/>
  <c r="Z2221" i="21" s="1"/>
  <c r="AA2221" i="21" s="1"/>
  <c r="X2019" i="21"/>
  <c r="X1904" i="21"/>
  <c r="X1858" i="21"/>
  <c r="N1759" i="21"/>
  <c r="Z1759" i="21" s="1"/>
  <c r="AA1759" i="21" s="1"/>
  <c r="X1656" i="21"/>
  <c r="X1551" i="21"/>
  <c r="N2228" i="21"/>
  <c r="Z2228" i="21" s="1"/>
  <c r="AA2228" i="21" s="1"/>
  <c r="J1168" i="21"/>
  <c r="X1168" i="21" s="1"/>
  <c r="J1184" i="21"/>
  <c r="N1184" i="21" s="1"/>
  <c r="Z1184" i="21" s="1"/>
  <c r="AA1184" i="21" s="1"/>
  <c r="J1181" i="21"/>
  <c r="X1181" i="21" s="1"/>
  <c r="J1226" i="21"/>
  <c r="X1226" i="21" s="1"/>
  <c r="N3954" i="21"/>
  <c r="Z3954" i="21" s="1"/>
  <c r="AA3954" i="21" s="1"/>
  <c r="N3943" i="21"/>
  <c r="Z3943" i="21" s="1"/>
  <c r="AA3943" i="21" s="1"/>
  <c r="X3893" i="21"/>
  <c r="N3926" i="21"/>
  <c r="Z3926" i="21" s="1"/>
  <c r="AA3926" i="21" s="1"/>
  <c r="X3115" i="21"/>
  <c r="X2767" i="21"/>
  <c r="X2367" i="21"/>
  <c r="X2121" i="21"/>
  <c r="X2157" i="21"/>
  <c r="X1990" i="21"/>
  <c r="N1486" i="21"/>
  <c r="Z1486" i="21" s="1"/>
  <c r="AA1486" i="21" s="1"/>
  <c r="J1241" i="21"/>
  <c r="X1241" i="21" s="1"/>
  <c r="J1203" i="21"/>
  <c r="N1203" i="21" s="1"/>
  <c r="Z1203" i="21" s="1"/>
  <c r="AA1203" i="21" s="1"/>
  <c r="X3816" i="21"/>
  <c r="X3752" i="21"/>
  <c r="X3689" i="21"/>
  <c r="X3575" i="21"/>
  <c r="X3536" i="21"/>
  <c r="N3462" i="21"/>
  <c r="Z3462" i="21" s="1"/>
  <c r="AA3462" i="21" s="1"/>
  <c r="N3231" i="21"/>
  <c r="Z3231" i="21" s="1"/>
  <c r="AA3231" i="21" s="1"/>
  <c r="N3643" i="21"/>
  <c r="Z3643" i="21" s="1"/>
  <c r="AA3643" i="21" s="1"/>
  <c r="N2606" i="21"/>
  <c r="Z2606" i="21" s="1"/>
  <c r="AA2606" i="21" s="1"/>
  <c r="N1993" i="21"/>
  <c r="Z1993" i="21" s="1"/>
  <c r="AA1993" i="21" s="1"/>
  <c r="N1617" i="21"/>
  <c r="Z1617" i="21" s="1"/>
  <c r="AA1617" i="21" s="1"/>
  <c r="X1647" i="21"/>
  <c r="N1422" i="21"/>
  <c r="Z1422" i="21" s="1"/>
  <c r="AA1422" i="21" s="1"/>
  <c r="M1235" i="21"/>
  <c r="N1235" i="21" s="1"/>
  <c r="Z1235" i="21" s="1"/>
  <c r="AA1235" i="21" s="1"/>
  <c r="N2754" i="21"/>
  <c r="Z2754" i="21" s="1"/>
  <c r="AA2754" i="21" s="1"/>
  <c r="X2007" i="21"/>
  <c r="N2604" i="21"/>
  <c r="Z2604" i="21" s="1"/>
  <c r="AA2604" i="21" s="1"/>
  <c r="J1194" i="21"/>
  <c r="X1194" i="21" s="1"/>
  <c r="J1258" i="21"/>
  <c r="X1258" i="21" s="1"/>
  <c r="N3574" i="21"/>
  <c r="Z3574" i="21" s="1"/>
  <c r="AA3574" i="21" s="1"/>
  <c r="N3587" i="21"/>
  <c r="Z3587" i="21" s="1"/>
  <c r="AA3587" i="21" s="1"/>
  <c r="N3785" i="21"/>
  <c r="Z3785" i="21" s="1"/>
  <c r="AA3785" i="21" s="1"/>
  <c r="N3277" i="21"/>
  <c r="Z3277" i="21" s="1"/>
  <c r="AA3277" i="21" s="1"/>
  <c r="N3110" i="21"/>
  <c r="Z3110" i="21" s="1"/>
  <c r="AA3110" i="21" s="1"/>
  <c r="N3615" i="21"/>
  <c r="Z3615" i="21" s="1"/>
  <c r="AA3615" i="21" s="1"/>
  <c r="X2947" i="21"/>
  <c r="N2520" i="21"/>
  <c r="Z2520" i="21" s="1"/>
  <c r="AA2520" i="21" s="1"/>
  <c r="N2309" i="21"/>
  <c r="Z2309" i="21" s="1"/>
  <c r="AA2309" i="21" s="1"/>
  <c r="X2225" i="21"/>
  <c r="X2077" i="21"/>
  <c r="N3333" i="21"/>
  <c r="Z3333" i="21" s="1"/>
  <c r="AA3333" i="21" s="1"/>
  <c r="N1291" i="21"/>
  <c r="Z1291" i="21" s="1"/>
  <c r="AA1291" i="21" s="1"/>
  <c r="M1209" i="21"/>
  <c r="N1209" i="21" s="1"/>
  <c r="Z1209" i="21" s="1"/>
  <c r="AA1209" i="21" s="1"/>
  <c r="J1254" i="21"/>
  <c r="X1254" i="21" s="1"/>
  <c r="X4013" i="21"/>
  <c r="X3736" i="21"/>
  <c r="N2927" i="21"/>
  <c r="Z2927" i="21" s="1"/>
  <c r="AA2927" i="21" s="1"/>
  <c r="X1050" i="21"/>
  <c r="N3789" i="21"/>
  <c r="Z3789" i="21" s="1"/>
  <c r="AA3789" i="21" s="1"/>
  <c r="N3751" i="21"/>
  <c r="Z3751" i="21" s="1"/>
  <c r="AA3751" i="21" s="1"/>
  <c r="N3502" i="21"/>
  <c r="Z3502" i="21" s="1"/>
  <c r="AA3502" i="21" s="1"/>
  <c r="N3369" i="21"/>
  <c r="Z3369" i="21" s="1"/>
  <c r="AA3369" i="21" s="1"/>
  <c r="N3291" i="21"/>
  <c r="Z3291" i="21" s="1"/>
  <c r="AA3291" i="21" s="1"/>
  <c r="X3183" i="21"/>
  <c r="N3076" i="21"/>
  <c r="Z3076" i="21" s="1"/>
  <c r="AA3076" i="21" s="1"/>
  <c r="N2909" i="21"/>
  <c r="Z2909" i="21" s="1"/>
  <c r="AA2909" i="21" s="1"/>
  <c r="X2439" i="21"/>
  <c r="N1335" i="21"/>
  <c r="Z1335" i="21" s="1"/>
  <c r="AA1335" i="21" s="1"/>
  <c r="N2330" i="21"/>
  <c r="Z2330" i="21" s="1"/>
  <c r="AA2330" i="21" s="1"/>
  <c r="N2214" i="21"/>
  <c r="Z2214" i="21" s="1"/>
  <c r="AA2214" i="21" s="1"/>
  <c r="X2053" i="21"/>
  <c r="N1892" i="21"/>
  <c r="Z1892" i="21" s="1"/>
  <c r="AA1892" i="21" s="1"/>
  <c r="N1715" i="21"/>
  <c r="Z1715" i="21" s="1"/>
  <c r="AA1715" i="21" s="1"/>
  <c r="X2331" i="21"/>
  <c r="M1176" i="21"/>
  <c r="N1176" i="21" s="1"/>
  <c r="Z1176" i="21" s="1"/>
  <c r="AA1176" i="21" s="1"/>
  <c r="N4011" i="21"/>
  <c r="Z4011" i="21" s="1"/>
  <c r="AA4011" i="21" s="1"/>
  <c r="N3747" i="21"/>
  <c r="Z3747" i="21" s="1"/>
  <c r="AA3747" i="21" s="1"/>
  <c r="N3727" i="21"/>
  <c r="Z3727" i="21" s="1"/>
  <c r="AA3727" i="21" s="1"/>
  <c r="N3703" i="21"/>
  <c r="Z3703" i="21" s="1"/>
  <c r="AA3703" i="21" s="1"/>
  <c r="N3098" i="21"/>
  <c r="Z3098" i="21" s="1"/>
  <c r="AA3098" i="21" s="1"/>
  <c r="X2916" i="21"/>
  <c r="N2759" i="21"/>
  <c r="Z2759" i="21" s="1"/>
  <c r="AA2759" i="21" s="1"/>
  <c r="X2819" i="21"/>
  <c r="N2524" i="21"/>
  <c r="Z2524" i="21" s="1"/>
  <c r="AA2524" i="21" s="1"/>
  <c r="N2396" i="21"/>
  <c r="Z2396" i="21" s="1"/>
  <c r="AA2396" i="21" s="1"/>
  <c r="X2163" i="21"/>
  <c r="N2093" i="21"/>
  <c r="Z2093" i="21" s="1"/>
  <c r="AA2093" i="21" s="1"/>
  <c r="N1957" i="21"/>
  <c r="Z1957" i="21" s="1"/>
  <c r="AA1957" i="21" s="1"/>
  <c r="N1939" i="21"/>
  <c r="Z1939" i="21" s="1"/>
  <c r="AA1939" i="21" s="1"/>
  <c r="X1727" i="21"/>
  <c r="N1437" i="21"/>
  <c r="Z1437" i="21" s="1"/>
  <c r="AA1437" i="21" s="1"/>
  <c r="X1450" i="21"/>
  <c r="X2805" i="21"/>
  <c r="X2031" i="21"/>
  <c r="X2876" i="21"/>
  <c r="N1572" i="21"/>
  <c r="Z1572" i="21" s="1"/>
  <c r="AA1572" i="21" s="1"/>
  <c r="N1592" i="21"/>
  <c r="Z1592" i="21" s="1"/>
  <c r="AA1592" i="21" s="1"/>
  <c r="J1256" i="21"/>
  <c r="J1187" i="21"/>
  <c r="X1187" i="21" s="1"/>
  <c r="N3924" i="21"/>
  <c r="Z3924" i="21" s="1"/>
  <c r="AA3924" i="21" s="1"/>
  <c r="X3934" i="21"/>
  <c r="N3865" i="21"/>
  <c r="Z3865" i="21" s="1"/>
  <c r="AA3865" i="21" s="1"/>
  <c r="X3799" i="21"/>
  <c r="X3744" i="21"/>
  <c r="N3640" i="21"/>
  <c r="Z3640" i="21" s="1"/>
  <c r="AA3640" i="21" s="1"/>
  <c r="N3601" i="21"/>
  <c r="Z3601" i="21" s="1"/>
  <c r="AA3601" i="21" s="1"/>
  <c r="N3309" i="21"/>
  <c r="Z3309" i="21" s="1"/>
  <c r="AA3309" i="21" s="1"/>
  <c r="N3086" i="21"/>
  <c r="Z3086" i="21" s="1"/>
  <c r="AA3086" i="21" s="1"/>
  <c r="X3129" i="21"/>
  <c r="X2787" i="21"/>
  <c r="X2692" i="21"/>
  <c r="N2005" i="21"/>
  <c r="Z2005" i="21" s="1"/>
  <c r="AA2005" i="21" s="1"/>
  <c r="N1989" i="21"/>
  <c r="Z1989" i="21" s="1"/>
  <c r="AA1989" i="21" s="1"/>
  <c r="X1900" i="21"/>
  <c r="X1628" i="21"/>
  <c r="N1425" i="21"/>
  <c r="Z1425" i="21" s="1"/>
  <c r="AA1425" i="21" s="1"/>
  <c r="J1081" i="21"/>
  <c r="X1081" i="21" s="1"/>
  <c r="M1096" i="21"/>
  <c r="N1096" i="21" s="1"/>
  <c r="Z1096" i="21" s="1"/>
  <c r="AA1096" i="21" s="1"/>
  <c r="N2124" i="21"/>
  <c r="Z2124" i="21" s="1"/>
  <c r="AA2124" i="21" s="1"/>
  <c r="N1819" i="21"/>
  <c r="Z1819" i="21" s="1"/>
  <c r="AA1819" i="21" s="1"/>
  <c r="N1590" i="21"/>
  <c r="Z1590" i="21" s="1"/>
  <c r="AA1590" i="21" s="1"/>
  <c r="J1188" i="21"/>
  <c r="X1188" i="21" s="1"/>
  <c r="J1220" i="21"/>
  <c r="X1220" i="21" s="1"/>
  <c r="X3425" i="21"/>
  <c r="X3408" i="21"/>
  <c r="N3718" i="21"/>
  <c r="Z3718" i="21" s="1"/>
  <c r="AA3718" i="21" s="1"/>
  <c r="N2338" i="21"/>
  <c r="Z2338" i="21" s="1"/>
  <c r="AA2338" i="21" s="1"/>
  <c r="X2334" i="21"/>
  <c r="X2115" i="21"/>
  <c r="J1167" i="21"/>
  <c r="X1167" i="21" s="1"/>
  <c r="X3940" i="21"/>
  <c r="X3904" i="21"/>
  <c r="N3721" i="21"/>
  <c r="Z3721" i="21" s="1"/>
  <c r="AA3721" i="21" s="1"/>
  <c r="N3698" i="21"/>
  <c r="Z3698" i="21" s="1"/>
  <c r="AA3698" i="21" s="1"/>
  <c r="X3560" i="21"/>
  <c r="X3400" i="21"/>
  <c r="N3285" i="21"/>
  <c r="Z3285" i="21" s="1"/>
  <c r="AA3285" i="21" s="1"/>
  <c r="X3222" i="21"/>
  <c r="N3112" i="21"/>
  <c r="Z3112" i="21" s="1"/>
  <c r="AA3112" i="21" s="1"/>
  <c r="N2983" i="21"/>
  <c r="Z2983" i="21" s="1"/>
  <c r="AA2983" i="21" s="1"/>
  <c r="N1854" i="21"/>
  <c r="Z1854" i="21" s="1"/>
  <c r="AA1854" i="21" s="1"/>
  <c r="N1476" i="21"/>
  <c r="Z1476" i="21" s="1"/>
  <c r="AA1476" i="21" s="1"/>
  <c r="N1297" i="21"/>
  <c r="Z1297" i="21" s="1"/>
  <c r="AA1297" i="21" s="1"/>
  <c r="M1035" i="21"/>
  <c r="N1035" i="21" s="1"/>
  <c r="Z1035" i="21" s="1"/>
  <c r="AA1035" i="21" s="1"/>
  <c r="J1198" i="21"/>
  <c r="X1198" i="21" s="1"/>
  <c r="X3651" i="21"/>
  <c r="N3387" i="21"/>
  <c r="Z3387" i="21" s="1"/>
  <c r="AA3387" i="21" s="1"/>
  <c r="N3100" i="21"/>
  <c r="Z3100" i="21" s="1"/>
  <c r="AA3100" i="21" s="1"/>
  <c r="N3090" i="21"/>
  <c r="Z3090" i="21" s="1"/>
  <c r="AA3090" i="21" s="1"/>
  <c r="X2682" i="21"/>
  <c r="N3341" i="21"/>
  <c r="Z3341" i="21" s="1"/>
  <c r="AA3341" i="21" s="1"/>
  <c r="X2173" i="21"/>
  <c r="N1739" i="21"/>
  <c r="Z1739" i="21" s="1"/>
  <c r="AA1739" i="21" s="1"/>
  <c r="N1423" i="21"/>
  <c r="Z1423" i="21" s="1"/>
  <c r="AA1423" i="21" s="1"/>
  <c r="N1651" i="21"/>
  <c r="Z1651" i="21" s="1"/>
  <c r="AA1651" i="21" s="1"/>
  <c r="N1813" i="21"/>
  <c r="Z1813" i="21" s="1"/>
  <c r="AA1813" i="21" s="1"/>
  <c r="M1183" i="21"/>
  <c r="N1183" i="21" s="1"/>
  <c r="Z1183" i="21" s="1"/>
  <c r="AA1183" i="21" s="1"/>
  <c r="N3681" i="21"/>
  <c r="Z3681" i="21" s="1"/>
  <c r="AA3681" i="21" s="1"/>
  <c r="X3910" i="21"/>
  <c r="N3646" i="21"/>
  <c r="Z3646" i="21" s="1"/>
  <c r="AA3646" i="21" s="1"/>
  <c r="N3379" i="21"/>
  <c r="Z3379" i="21" s="1"/>
  <c r="AA3379" i="21" s="1"/>
  <c r="N3178" i="21"/>
  <c r="Z3178" i="21" s="1"/>
  <c r="AA3178" i="21" s="1"/>
  <c r="X2777" i="21"/>
  <c r="X2105" i="21"/>
  <c r="X2214" i="21"/>
  <c r="N1905" i="21"/>
  <c r="Z1905" i="21" s="1"/>
  <c r="AA1905" i="21" s="1"/>
  <c r="X1815" i="21"/>
  <c r="M1033" i="21"/>
  <c r="N1033" i="21" s="1"/>
  <c r="Z1033" i="21" s="1"/>
  <c r="AA1033" i="21" s="1"/>
  <c r="N2320" i="21"/>
  <c r="Z2320" i="21" s="1"/>
  <c r="AA2320" i="21" s="1"/>
  <c r="X1970" i="21"/>
  <c r="M1179" i="21"/>
  <c r="N1179" i="21" s="1"/>
  <c r="Z1179" i="21" s="1"/>
  <c r="AA1179" i="21" s="1"/>
  <c r="J1199" i="21"/>
  <c r="N1199" i="21" s="1"/>
  <c r="Z1199" i="21" s="1"/>
  <c r="AA1199" i="21" s="1"/>
  <c r="X3631" i="21"/>
  <c r="N3434" i="21"/>
  <c r="Z3434" i="21" s="1"/>
  <c r="AA3434" i="21" s="1"/>
  <c r="N3340" i="21"/>
  <c r="Z3340" i="21" s="1"/>
  <c r="AA3340" i="21" s="1"/>
  <c r="N3477" i="21"/>
  <c r="Z3477" i="21" s="1"/>
  <c r="AA3477" i="21" s="1"/>
  <c r="X2479" i="21"/>
  <c r="X2185" i="21"/>
  <c r="X2002" i="21"/>
  <c r="X1685" i="21"/>
  <c r="X1541" i="21"/>
  <c r="X1639" i="21"/>
  <c r="N1463" i="21"/>
  <c r="Z1463" i="21" s="1"/>
  <c r="AA1463" i="21" s="1"/>
  <c r="N2270" i="21"/>
  <c r="Z2270" i="21" s="1"/>
  <c r="AA2270" i="21" s="1"/>
  <c r="N2556" i="21"/>
  <c r="Z2556" i="21" s="1"/>
  <c r="AA2556" i="21" s="1"/>
  <c r="X2073" i="21"/>
  <c r="J1127" i="21"/>
  <c r="X1127" i="21" s="1"/>
  <c r="N2817" i="21"/>
  <c r="Z2817" i="21" s="1"/>
  <c r="AA2817" i="21" s="1"/>
  <c r="X1571" i="21"/>
  <c r="N3255" i="21"/>
  <c r="Z3255" i="21" s="1"/>
  <c r="AA3255" i="21" s="1"/>
  <c r="N3769" i="21"/>
  <c r="Z3769" i="21" s="1"/>
  <c r="AA3769" i="21" s="1"/>
  <c r="X3716" i="21"/>
  <c r="X3568" i="21"/>
  <c r="N3432" i="21"/>
  <c r="Z3432" i="21" s="1"/>
  <c r="AA3432" i="21" s="1"/>
  <c r="X2957" i="21"/>
  <c r="X2273" i="21"/>
  <c r="X2124" i="21"/>
  <c r="N1807" i="21"/>
  <c r="Z1807" i="21" s="1"/>
  <c r="AA1807" i="21" s="1"/>
  <c r="X1489" i="21"/>
  <c r="N1448" i="21"/>
  <c r="Z1448" i="21" s="1"/>
  <c r="AA1448" i="21" s="1"/>
  <c r="N1481" i="21"/>
  <c r="Z1481" i="21" s="1"/>
  <c r="AA1481" i="21" s="1"/>
  <c r="N1373" i="21"/>
  <c r="Z1373" i="21" s="1"/>
  <c r="AA1373" i="21" s="1"/>
  <c r="X3375" i="21"/>
  <c r="N3694" i="21"/>
  <c r="Z3694" i="21" s="1"/>
  <c r="AA3694" i="21" s="1"/>
  <c r="N2666" i="21"/>
  <c r="Z2666" i="21" s="1"/>
  <c r="AA2666" i="21" s="1"/>
  <c r="N2327" i="21"/>
  <c r="Z2327" i="21" s="1"/>
  <c r="AA2327" i="21" s="1"/>
  <c r="N2237" i="21"/>
  <c r="Z2237" i="21" s="1"/>
  <c r="AA2237" i="21" s="1"/>
  <c r="N1583" i="21"/>
  <c r="Z1583" i="21" s="1"/>
  <c r="AA1583" i="21" s="1"/>
  <c r="M1015" i="21"/>
  <c r="N1015" i="21" s="1"/>
  <c r="Z1015" i="21" s="1"/>
  <c r="AA1015" i="21" s="1"/>
  <c r="N2429" i="21"/>
  <c r="Z2429" i="21" s="1"/>
  <c r="AA2429" i="21" s="1"/>
  <c r="J1001" i="21"/>
  <c r="X1001" i="21" s="1"/>
  <c r="J1082" i="21"/>
  <c r="N1082" i="21" s="1"/>
  <c r="Z1082" i="21" s="1"/>
  <c r="AA1082" i="21" s="1"/>
  <c r="N2310" i="21"/>
  <c r="Z2310" i="21" s="1"/>
  <c r="AA2310" i="21" s="1"/>
  <c r="N2931" i="21"/>
  <c r="Z2931" i="21" s="1"/>
  <c r="AA2931" i="21" s="1"/>
  <c r="N1929" i="21"/>
  <c r="Z1929" i="21" s="1"/>
  <c r="AA1929" i="21" s="1"/>
  <c r="N2880" i="21"/>
  <c r="Z2880" i="21" s="1"/>
  <c r="AA2880" i="21" s="1"/>
  <c r="J1228" i="21"/>
  <c r="N1228" i="21" s="1"/>
  <c r="Z1228" i="21" s="1"/>
  <c r="AA1228" i="21" s="1"/>
  <c r="N3581" i="21"/>
  <c r="Z3581" i="21" s="1"/>
  <c r="AA3581" i="21" s="1"/>
  <c r="N3450" i="21"/>
  <c r="Z3450" i="21" s="1"/>
  <c r="AA3450" i="21" s="1"/>
  <c r="X3015" i="21"/>
  <c r="N3348" i="21"/>
  <c r="Z3348" i="21" s="1"/>
  <c r="AA3348" i="21" s="1"/>
  <c r="X3522" i="21"/>
  <c r="N2585" i="21"/>
  <c r="Z2585" i="21" s="1"/>
  <c r="AA2585" i="21" s="1"/>
  <c r="N2000" i="21"/>
  <c r="Z2000" i="21" s="1"/>
  <c r="AA2000" i="21" s="1"/>
  <c r="N1937" i="21"/>
  <c r="Z1937" i="21" s="1"/>
  <c r="AA1937" i="21" s="1"/>
  <c r="X1865" i="21"/>
  <c r="N1895" i="21"/>
  <c r="Z1895" i="21" s="1"/>
  <c r="AA1895" i="21" s="1"/>
  <c r="X1825" i="21"/>
  <c r="X1638" i="21"/>
  <c r="N2902" i="21"/>
  <c r="Z2902" i="21" s="1"/>
  <c r="AA2902" i="21" s="1"/>
  <c r="J1106" i="21"/>
  <c r="X1106" i="21" s="1"/>
  <c r="J1092" i="21"/>
  <c r="N1092" i="21" s="1"/>
  <c r="Z1092" i="21" s="1"/>
  <c r="AA1092" i="21" s="1"/>
  <c r="J1202" i="21"/>
  <c r="X1202" i="21" s="1"/>
  <c r="J1246" i="21"/>
  <c r="X1246" i="21" s="1"/>
  <c r="J1189" i="21"/>
  <c r="N1189" i="21" s="1"/>
  <c r="Z1189" i="21" s="1"/>
  <c r="AA1189" i="21" s="1"/>
  <c r="N3805" i="21"/>
  <c r="Z3805" i="21" s="1"/>
  <c r="AA3805" i="21" s="1"/>
  <c r="X3655" i="21"/>
  <c r="X3542" i="21"/>
  <c r="N3363" i="21"/>
  <c r="Z3363" i="21" s="1"/>
  <c r="AA3363" i="21" s="1"/>
  <c r="N3345" i="21"/>
  <c r="Z3345" i="21" s="1"/>
  <c r="AA3345" i="21" s="1"/>
  <c r="N3325" i="21"/>
  <c r="Z3325" i="21" s="1"/>
  <c r="AA3325" i="21" s="1"/>
  <c r="N2932" i="21"/>
  <c r="Z2932" i="21" s="1"/>
  <c r="AA2932" i="21" s="1"/>
  <c r="N2830" i="21"/>
  <c r="Z2830" i="21" s="1"/>
  <c r="AA2830" i="21" s="1"/>
  <c r="X2748" i="21"/>
  <c r="N2690" i="21"/>
  <c r="Z2690" i="21" s="1"/>
  <c r="AA2690" i="21" s="1"/>
  <c r="N2684" i="21"/>
  <c r="Z2684" i="21" s="1"/>
  <c r="AA2684" i="21" s="1"/>
  <c r="X2579" i="21"/>
  <c r="X2374" i="21"/>
  <c r="N2263" i="21"/>
  <c r="Z2263" i="21" s="1"/>
  <c r="AA2263" i="21" s="1"/>
  <c r="X2241" i="21"/>
  <c r="N2127" i="21"/>
  <c r="Z2127" i="21" s="1"/>
  <c r="AA2127" i="21" s="1"/>
  <c r="N1679" i="21"/>
  <c r="Z1679" i="21" s="1"/>
  <c r="AA1679" i="21" s="1"/>
  <c r="M1231" i="21"/>
  <c r="N1231" i="21" s="1"/>
  <c r="Z1231" i="21" s="1"/>
  <c r="AA1231" i="21" s="1"/>
  <c r="N2140" i="21"/>
  <c r="Z2140" i="21" s="1"/>
  <c r="AA2140" i="21" s="1"/>
  <c r="N2282" i="21"/>
  <c r="Z2282" i="21" s="1"/>
  <c r="AA2282" i="21" s="1"/>
  <c r="N3004" i="21"/>
  <c r="Z3004" i="21" s="1"/>
  <c r="AA3004" i="21" s="1"/>
  <c r="J1086" i="21"/>
  <c r="X1086" i="21" s="1"/>
  <c r="J1159" i="21"/>
  <c r="N1159" i="21" s="1"/>
  <c r="Z1159" i="21" s="1"/>
  <c r="AA1159" i="21" s="1"/>
  <c r="J1230" i="21"/>
  <c r="X1230" i="21" s="1"/>
  <c r="J1222" i="21"/>
  <c r="X1222" i="21" s="1"/>
  <c r="X3781" i="21"/>
  <c r="N3705" i="21"/>
  <c r="Z3705" i="21" s="1"/>
  <c r="AA3705" i="21" s="1"/>
  <c r="X3891" i="21"/>
  <c r="N3317" i="21"/>
  <c r="Z3317" i="21" s="1"/>
  <c r="AA3317" i="21" s="1"/>
  <c r="X3166" i="21"/>
  <c r="N3174" i="21"/>
  <c r="Z3174" i="21" s="1"/>
  <c r="AA3174" i="21" s="1"/>
  <c r="X2710" i="21"/>
  <c r="X2632" i="21"/>
  <c r="N2686" i="21"/>
  <c r="Z2686" i="21" s="1"/>
  <c r="AA2686" i="21" s="1"/>
  <c r="N2526" i="21"/>
  <c r="Z2526" i="21" s="1"/>
  <c r="AA2526" i="21" s="1"/>
  <c r="N2303" i="21"/>
  <c r="Z2303" i="21" s="1"/>
  <c r="AA2303" i="21" s="1"/>
  <c r="X1835" i="21"/>
  <c r="N1568" i="21"/>
  <c r="Z1568" i="21" s="1"/>
  <c r="AA1568" i="21" s="1"/>
  <c r="N1471" i="21"/>
  <c r="Z1471" i="21" s="1"/>
  <c r="AA1471" i="21" s="1"/>
  <c r="M1205" i="21"/>
  <c r="N1205" i="21" s="1"/>
  <c r="Z1205" i="21" s="1"/>
  <c r="AA1205" i="21" s="1"/>
  <c r="N1652" i="21"/>
  <c r="Z1652" i="21" s="1"/>
  <c r="AA1652" i="21" s="1"/>
  <c r="M1172" i="21"/>
  <c r="N1172" i="21" s="1"/>
  <c r="Z1172" i="21" s="1"/>
  <c r="AA1172" i="21" s="1"/>
  <c r="J1190" i="21"/>
  <c r="M1212" i="21"/>
  <c r="N1212" i="21" s="1"/>
  <c r="Z1212" i="21" s="1"/>
  <c r="AA1212" i="21" s="1"/>
  <c r="N3770" i="21"/>
  <c r="Z3770" i="21" s="1"/>
  <c r="AA3770" i="21" s="1"/>
  <c r="N3652" i="21"/>
  <c r="Z3652" i="21" s="1"/>
  <c r="AA3652" i="21" s="1"/>
  <c r="N3289" i="21"/>
  <c r="Z3289" i="21" s="1"/>
  <c r="AA3289" i="21" s="1"/>
  <c r="N3281" i="21"/>
  <c r="Z3281" i="21" s="1"/>
  <c r="AA3281" i="21" s="1"/>
  <c r="N3263" i="21"/>
  <c r="Z3263" i="21" s="1"/>
  <c r="AA3263" i="21" s="1"/>
  <c r="N3663" i="21"/>
  <c r="Z3663" i="21" s="1"/>
  <c r="AA3663" i="21" s="1"/>
  <c r="N2846" i="21"/>
  <c r="Z2846" i="21" s="1"/>
  <c r="AA2846" i="21" s="1"/>
  <c r="X2425" i="21"/>
  <c r="X2203" i="21"/>
  <c r="N1893" i="21"/>
  <c r="Z1893" i="21" s="1"/>
  <c r="AA1893" i="21" s="1"/>
  <c r="N1743" i="21"/>
  <c r="Z1743" i="21" s="1"/>
  <c r="AA1743" i="21" s="1"/>
  <c r="M1237" i="21"/>
  <c r="N1237" i="21" s="1"/>
  <c r="Z1237" i="21" s="1"/>
  <c r="AA1237" i="21" s="1"/>
  <c r="J1063" i="21"/>
  <c r="X1063" i="21" s="1"/>
  <c r="N2836" i="21"/>
  <c r="Z2836" i="21" s="1"/>
  <c r="AA2836" i="21" s="1"/>
  <c r="N2574" i="21"/>
  <c r="Z2574" i="21" s="1"/>
  <c r="AA2574" i="21" s="1"/>
  <c r="N2280" i="21"/>
  <c r="Z2280" i="21" s="1"/>
  <c r="AA2280" i="21" s="1"/>
  <c r="N2216" i="21"/>
  <c r="Z2216" i="21" s="1"/>
  <c r="AA2216" i="21" s="1"/>
  <c r="N2184" i="21"/>
  <c r="Z2184" i="21" s="1"/>
  <c r="AA2184" i="21" s="1"/>
  <c r="N2152" i="21"/>
  <c r="Z2152" i="21" s="1"/>
  <c r="AA2152" i="21" s="1"/>
  <c r="X2976" i="21"/>
  <c r="N1517" i="21"/>
  <c r="Z1517" i="21" s="1"/>
  <c r="AA1517" i="21" s="1"/>
  <c r="X2310" i="21"/>
  <c r="J1170" i="21"/>
  <c r="X1170" i="21" s="1"/>
  <c r="M1244" i="21"/>
  <c r="N1244" i="21" s="1"/>
  <c r="Z1244" i="21" s="1"/>
  <c r="AA1244" i="21" s="1"/>
  <c r="X4007" i="21"/>
  <c r="N3710" i="21"/>
  <c r="Z3710" i="21" s="1"/>
  <c r="AA3710" i="21" s="1"/>
  <c r="N3253" i="21"/>
  <c r="Z3253" i="21" s="1"/>
  <c r="AA3253" i="21" s="1"/>
  <c r="N3554" i="21"/>
  <c r="Z3554" i="21" s="1"/>
  <c r="AA3554" i="21" s="1"/>
  <c r="X2807" i="21"/>
  <c r="X2803" i="21"/>
  <c r="X2405" i="21"/>
  <c r="X2345" i="21"/>
  <c r="N2459" i="21"/>
  <c r="Z2459" i="21" s="1"/>
  <c r="AA2459" i="21" s="1"/>
  <c r="N2169" i="21"/>
  <c r="Z2169" i="21" s="1"/>
  <c r="AA2169" i="21" s="1"/>
  <c r="X2099" i="21"/>
  <c r="N1995" i="21"/>
  <c r="Z1995" i="21" s="1"/>
  <c r="AA1995" i="21" s="1"/>
  <c r="N1781" i="21"/>
  <c r="Z1781" i="21" s="1"/>
  <c r="AA1781" i="21" s="1"/>
  <c r="N1718" i="21"/>
  <c r="Z1718" i="21" s="1"/>
  <c r="AA1718" i="21" s="1"/>
  <c r="N2477" i="21"/>
  <c r="Z2477" i="21" s="1"/>
  <c r="AA2477" i="21" s="1"/>
  <c r="N2722" i="21"/>
  <c r="Z2722" i="21" s="1"/>
  <c r="AA2722" i="21" s="1"/>
  <c r="N1649" i="21"/>
  <c r="Z1649" i="21" s="1"/>
  <c r="AA1649" i="21" s="1"/>
  <c r="N1631" i="21"/>
  <c r="Z1631" i="21" s="1"/>
  <c r="AA1631" i="21" s="1"/>
  <c r="N2998" i="21"/>
  <c r="Z2998" i="21" s="1"/>
  <c r="AA2998" i="21" s="1"/>
  <c r="X2581" i="21"/>
  <c r="N2201" i="21"/>
  <c r="Z2201" i="21" s="1"/>
  <c r="AA2201" i="21" s="1"/>
  <c r="X2098" i="21"/>
  <c r="X1968" i="21"/>
  <c r="X1424" i="21"/>
  <c r="J1137" i="21"/>
  <c r="N1137" i="21" s="1"/>
  <c r="Z1137" i="21" s="1"/>
  <c r="AA1137" i="21" s="1"/>
  <c r="N2244" i="21"/>
  <c r="Z2244" i="21" s="1"/>
  <c r="AA2244" i="21" s="1"/>
  <c r="J1166" i="21"/>
  <c r="X1166" i="21" s="1"/>
  <c r="N1558" i="21"/>
  <c r="Z1558" i="21" s="1"/>
  <c r="AA1558" i="21" s="1"/>
  <c r="J1180" i="21"/>
  <c r="X1180" i="21" s="1"/>
  <c r="X3473" i="21"/>
  <c r="N3489" i="21"/>
  <c r="Z3489" i="21" s="1"/>
  <c r="AA3489" i="21" s="1"/>
  <c r="N3319" i="21"/>
  <c r="Z3319" i="21" s="1"/>
  <c r="AA3319" i="21" s="1"/>
  <c r="X3117" i="21"/>
  <c r="N3096" i="21"/>
  <c r="Z3096" i="21" s="1"/>
  <c r="AA3096" i="21" s="1"/>
  <c r="X2963" i="21"/>
  <c r="N2867" i="21"/>
  <c r="Z2867" i="21" s="1"/>
  <c r="AA2867" i="21" s="1"/>
  <c r="N2859" i="21"/>
  <c r="Z2859" i="21" s="1"/>
  <c r="AA2859" i="21" s="1"/>
  <c r="N2851" i="21"/>
  <c r="Z2851" i="21" s="1"/>
  <c r="AA2851" i="21" s="1"/>
  <c r="N2843" i="21"/>
  <c r="Z2843" i="21" s="1"/>
  <c r="AA2843" i="21" s="1"/>
  <c r="N2842" i="21"/>
  <c r="Z2842" i="21" s="1"/>
  <c r="AA2842" i="21" s="1"/>
  <c r="N2510" i="21"/>
  <c r="Z2510" i="21" s="1"/>
  <c r="AA2510" i="21" s="1"/>
  <c r="N2502" i="21"/>
  <c r="Z2502" i="21" s="1"/>
  <c r="AA2502" i="21" s="1"/>
  <c r="N2231" i="21"/>
  <c r="Z2231" i="21" s="1"/>
  <c r="AA2231" i="21" s="1"/>
  <c r="X1703" i="21"/>
  <c r="N1545" i="21"/>
  <c r="Z1545" i="21" s="1"/>
  <c r="AA1545" i="21" s="1"/>
  <c r="X2554" i="21"/>
  <c r="N2087" i="21"/>
  <c r="Z2087" i="21" s="1"/>
  <c r="AA2087" i="21" s="1"/>
  <c r="N3588" i="21"/>
  <c r="Z3588" i="21" s="1"/>
  <c r="AA3588" i="21" s="1"/>
  <c r="N3578" i="21"/>
  <c r="Z3578" i="21" s="1"/>
  <c r="AA3578" i="21" s="1"/>
  <c r="N2907" i="21"/>
  <c r="Z2907" i="21" s="1"/>
  <c r="AA2907" i="21" s="1"/>
  <c r="N2199" i="21"/>
  <c r="Z2199" i="21" s="1"/>
  <c r="AA2199" i="21" s="1"/>
  <c r="X2089" i="21"/>
  <c r="X1845" i="21"/>
  <c r="N1591" i="21"/>
  <c r="Z1591" i="21" s="1"/>
  <c r="AA1591" i="21" s="1"/>
  <c r="N3761" i="21"/>
  <c r="Z3761" i="21" s="1"/>
  <c r="AA3761" i="21" s="1"/>
  <c r="X3377" i="21"/>
  <c r="N2427" i="21"/>
  <c r="Z2427" i="21" s="1"/>
  <c r="AA2427" i="21" s="1"/>
  <c r="X2427" i="21"/>
  <c r="X2404" i="21"/>
  <c r="N2404" i="21"/>
  <c r="Z2404" i="21" s="1"/>
  <c r="AA2404" i="21" s="1"/>
  <c r="N2354" i="21"/>
  <c r="Z2354" i="21" s="1"/>
  <c r="AA2354" i="21" s="1"/>
  <c r="X2354" i="21"/>
  <c r="N1084" i="21"/>
  <c r="Z1084" i="21" s="1"/>
  <c r="AA1084" i="21" s="1"/>
  <c r="X1084" i="21"/>
  <c r="N1500" i="21"/>
  <c r="Z1500" i="21" s="1"/>
  <c r="AA1500" i="21" s="1"/>
  <c r="X1500" i="21"/>
  <c r="X1731" i="21"/>
  <c r="N1731" i="21"/>
  <c r="Z1731" i="21" s="1"/>
  <c r="AA1731" i="21" s="1"/>
  <c r="N1616" i="21"/>
  <c r="Z1616" i="21" s="1"/>
  <c r="AA1616" i="21" s="1"/>
  <c r="X1616" i="21"/>
  <c r="X2075" i="21"/>
  <c r="N2075" i="21"/>
  <c r="Z2075" i="21" s="1"/>
  <c r="AA2075" i="21" s="1"/>
  <c r="N3855" i="21"/>
  <c r="Z3855" i="21" s="1"/>
  <c r="AA3855" i="21" s="1"/>
  <c r="N3541" i="21"/>
  <c r="Z3541" i="21" s="1"/>
  <c r="AA3541" i="21" s="1"/>
  <c r="X3207" i="21"/>
  <c r="N2250" i="21"/>
  <c r="Z2250" i="21" s="1"/>
  <c r="AA2250" i="21" s="1"/>
  <c r="N2218" i="21"/>
  <c r="Z2218" i="21" s="1"/>
  <c r="AA2218" i="21" s="1"/>
  <c r="X2218" i="21"/>
  <c r="N2186" i="21"/>
  <c r="Z2186" i="21" s="1"/>
  <c r="AA2186" i="21" s="1"/>
  <c r="N2154" i="21"/>
  <c r="Z2154" i="21" s="1"/>
  <c r="AA2154" i="21" s="1"/>
  <c r="X2154" i="21"/>
  <c r="N1659" i="21"/>
  <c r="Z1659" i="21" s="1"/>
  <c r="AA1659" i="21" s="1"/>
  <c r="X1659" i="21"/>
  <c r="N2996" i="21"/>
  <c r="Z2996" i="21" s="1"/>
  <c r="AA2996" i="21" s="1"/>
  <c r="X2996" i="21"/>
  <c r="N2267" i="21"/>
  <c r="Z2267" i="21" s="1"/>
  <c r="AA2267" i="21" s="1"/>
  <c r="X2267" i="21"/>
  <c r="X2059" i="21"/>
  <c r="N2059" i="21"/>
  <c r="Z2059" i="21" s="1"/>
  <c r="AA2059" i="21" s="1"/>
  <c r="N3000" i="21"/>
  <c r="Z3000" i="21" s="1"/>
  <c r="AA3000" i="21" s="1"/>
  <c r="X3000" i="21"/>
  <c r="N2193" i="21"/>
  <c r="Z2193" i="21" s="1"/>
  <c r="AA2193" i="21" s="1"/>
  <c r="X2193" i="21"/>
  <c r="X2614" i="21"/>
  <c r="N2614" i="21"/>
  <c r="Z2614" i="21" s="1"/>
  <c r="AA2614" i="21" s="1"/>
  <c r="N2326" i="21"/>
  <c r="Z2326" i="21" s="1"/>
  <c r="AA2326" i="21" s="1"/>
  <c r="X2326" i="21"/>
  <c r="N2069" i="21"/>
  <c r="Z2069" i="21" s="1"/>
  <c r="AA2069" i="21" s="1"/>
  <c r="X2069" i="21"/>
  <c r="X1193" i="21"/>
  <c r="M1014" i="21"/>
  <c r="J1014" i="21"/>
  <c r="X1014" i="21" s="1"/>
  <c r="X2312" i="21"/>
  <c r="N2312" i="21"/>
  <c r="Z2312" i="21" s="1"/>
  <c r="AA2312" i="21" s="1"/>
  <c r="X2215" i="21"/>
  <c r="N2215" i="21"/>
  <c r="Z2215" i="21" s="1"/>
  <c r="AA2215" i="21" s="1"/>
  <c r="X2313" i="21"/>
  <c r="N2313" i="21"/>
  <c r="Z2313" i="21" s="1"/>
  <c r="AA2313" i="21" s="1"/>
  <c r="N2067" i="21"/>
  <c r="Z2067" i="21" s="1"/>
  <c r="AA2067" i="21" s="1"/>
  <c r="X2067" i="21"/>
  <c r="J1215" i="21"/>
  <c r="X1215" i="21" s="1"/>
  <c r="M1215" i="21"/>
  <c r="X2453" i="21"/>
  <c r="N2453" i="21"/>
  <c r="Z2453" i="21" s="1"/>
  <c r="AA2453" i="21" s="1"/>
  <c r="M1196" i="21"/>
  <c r="J1196" i="21"/>
  <c r="X1196" i="21" s="1"/>
  <c r="N2389" i="21"/>
  <c r="Z2389" i="21" s="1"/>
  <c r="AA2389" i="21" s="1"/>
  <c r="X2389" i="21"/>
  <c r="N1980" i="21"/>
  <c r="Z1980" i="21" s="1"/>
  <c r="AA1980" i="21" s="1"/>
  <c r="X1980" i="21"/>
  <c r="X1763" i="21"/>
  <c r="N1763" i="21"/>
  <c r="Z1763" i="21" s="1"/>
  <c r="AA1763" i="21" s="1"/>
  <c r="J1221" i="21"/>
  <c r="X1221" i="21" s="1"/>
  <c r="M1221" i="21"/>
  <c r="M1206" i="21"/>
  <c r="J1206" i="21"/>
  <c r="M1083" i="21"/>
  <c r="J1083" i="21"/>
  <c r="X1083" i="21" s="1"/>
  <c r="M1171" i="21"/>
  <c r="J1171" i="21"/>
  <c r="X1171" i="21" s="1"/>
  <c r="X3783" i="21"/>
  <c r="N3442" i="21"/>
  <c r="Z3442" i="21" s="1"/>
  <c r="AA3442" i="21" s="1"/>
  <c r="X1140" i="21"/>
  <c r="J1003" i="21"/>
  <c r="X1003" i="21" s="1"/>
  <c r="M1003" i="21"/>
  <c r="M1029" i="21"/>
  <c r="J1029" i="21"/>
  <c r="X1029" i="21" s="1"/>
  <c r="N1934" i="21"/>
  <c r="Z1934" i="21" s="1"/>
  <c r="AA1934" i="21" s="1"/>
  <c r="N1564" i="21"/>
  <c r="Z1564" i="21" s="1"/>
  <c r="AA1564" i="21" s="1"/>
  <c r="X1564" i="21"/>
  <c r="N1418" i="21"/>
  <c r="Z1418" i="21" s="1"/>
  <c r="AA1418" i="21" s="1"/>
  <c r="X1418" i="21"/>
  <c r="N2449" i="21"/>
  <c r="Z2449" i="21" s="1"/>
  <c r="AA2449" i="21" s="1"/>
  <c r="X2449" i="21"/>
  <c r="J1224" i="21"/>
  <c r="X1224" i="21" s="1"/>
  <c r="M1224" i="21"/>
  <c r="M1192" i="21"/>
  <c r="J1192" i="21"/>
  <c r="X1192" i="21" s="1"/>
  <c r="X2385" i="21"/>
  <c r="N2385" i="21"/>
  <c r="Z2385" i="21" s="1"/>
  <c r="AA2385" i="21" s="1"/>
  <c r="J1217" i="21"/>
  <c r="X1217" i="21" s="1"/>
  <c r="M1217" i="21"/>
  <c r="J1185" i="21"/>
  <c r="X1185" i="21" s="1"/>
  <c r="M1185" i="21"/>
  <c r="N2103" i="21"/>
  <c r="Z2103" i="21" s="1"/>
  <c r="AA2103" i="21" s="1"/>
  <c r="X2103" i="21"/>
  <c r="X1567" i="21"/>
  <c r="N1567" i="21"/>
  <c r="Z1567" i="21" s="1"/>
  <c r="AA1567" i="21" s="1"/>
  <c r="N2471" i="21"/>
  <c r="Z2471" i="21" s="1"/>
  <c r="AA2471" i="21" s="1"/>
  <c r="X2471" i="21"/>
  <c r="X3928" i="21"/>
  <c r="N3717" i="21"/>
  <c r="Z3717" i="21" s="1"/>
  <c r="AA3717" i="21" s="1"/>
  <c r="X3692" i="21"/>
  <c r="N2763" i="21"/>
  <c r="Z2763" i="21" s="1"/>
  <c r="AA2763" i="21" s="1"/>
  <c r="X2763" i="21"/>
  <c r="N2655" i="21"/>
  <c r="Z2655" i="21" s="1"/>
  <c r="AA2655" i="21" s="1"/>
  <c r="X2655" i="21"/>
  <c r="X2980" i="21"/>
  <c r="N2980" i="21"/>
  <c r="Z2980" i="21" s="1"/>
  <c r="AA2980" i="21" s="1"/>
  <c r="N2799" i="21"/>
  <c r="Z2799" i="21" s="1"/>
  <c r="AA2799" i="21" s="1"/>
  <c r="X2799" i="21"/>
  <c r="X1511" i="21"/>
  <c r="N1511" i="21"/>
  <c r="Z1511" i="21" s="1"/>
  <c r="AA1511" i="21" s="1"/>
  <c r="X1811" i="21"/>
  <c r="N1811" i="21"/>
  <c r="Z1811" i="21" s="1"/>
  <c r="AA1811" i="21" s="1"/>
  <c r="N1803" i="21"/>
  <c r="Z1803" i="21" s="1"/>
  <c r="AA1803" i="21" s="1"/>
  <c r="X1803" i="21"/>
  <c r="N2773" i="21"/>
  <c r="Z2773" i="21" s="1"/>
  <c r="AA2773" i="21" s="1"/>
  <c r="X2773" i="21"/>
  <c r="N2463" i="21"/>
  <c r="Z2463" i="21" s="1"/>
  <c r="AA2463" i="21" s="1"/>
  <c r="X2463" i="21"/>
  <c r="N1868" i="21"/>
  <c r="Z1868" i="21" s="1"/>
  <c r="AA1868" i="21" s="1"/>
  <c r="X1868" i="21"/>
  <c r="N1869" i="21"/>
  <c r="Z1869" i="21" s="1"/>
  <c r="AA1869" i="21" s="1"/>
  <c r="X1869" i="21"/>
  <c r="X2293" i="21"/>
  <c r="N2293" i="21"/>
  <c r="Z2293" i="21" s="1"/>
  <c r="AA2293" i="21" s="1"/>
  <c r="N2189" i="21"/>
  <c r="Z2189" i="21" s="1"/>
  <c r="AA2189" i="21" s="1"/>
  <c r="X2189" i="21"/>
  <c r="X3605" i="21"/>
  <c r="N3605" i="21"/>
  <c r="Z3605" i="21" s="1"/>
  <c r="AA3605" i="21" s="1"/>
  <c r="M1123" i="21"/>
  <c r="J1123" i="21"/>
  <c r="X1123" i="21" s="1"/>
  <c r="N2793" i="21"/>
  <c r="Z2793" i="21" s="1"/>
  <c r="AA2793" i="21" s="1"/>
  <c r="X2793" i="21"/>
  <c r="J1150" i="21"/>
  <c r="X1150" i="21" s="1"/>
  <c r="M1150" i="21"/>
  <c r="X1986" i="21"/>
  <c r="N1986" i="21"/>
  <c r="Z1986" i="21" s="1"/>
  <c r="AA1986" i="21" s="1"/>
  <c r="N1625" i="21"/>
  <c r="Z1625" i="21" s="1"/>
  <c r="AA1625" i="21" s="1"/>
  <c r="X1625" i="21"/>
  <c r="N1460" i="21"/>
  <c r="Z1460" i="21" s="1"/>
  <c r="AA1460" i="21" s="1"/>
  <c r="X1460" i="21"/>
  <c r="N2445" i="21"/>
  <c r="Z2445" i="21" s="1"/>
  <c r="AA2445" i="21" s="1"/>
  <c r="X2445" i="21"/>
  <c r="J1160" i="21"/>
  <c r="X1160" i="21" s="1"/>
  <c r="M1160" i="21"/>
  <c r="X3315" i="21"/>
  <c r="N3315" i="21"/>
  <c r="Z3315" i="21" s="1"/>
  <c r="AA3315" i="21" s="1"/>
  <c r="M1043" i="21"/>
  <c r="J1043" i="21"/>
  <c r="X1043" i="21" s="1"/>
  <c r="N2145" i="21"/>
  <c r="Z2145" i="21" s="1"/>
  <c r="AA2145" i="21" s="1"/>
  <c r="X2145" i="21"/>
  <c r="X1681" i="21"/>
  <c r="N1681" i="21"/>
  <c r="Z1681" i="21" s="1"/>
  <c r="AA1681" i="21" s="1"/>
  <c r="N2421" i="21"/>
  <c r="Z2421" i="21" s="1"/>
  <c r="AA2421" i="21" s="1"/>
  <c r="X2421" i="21"/>
  <c r="N2744" i="21"/>
  <c r="Z2744" i="21" s="1"/>
  <c r="AA2744" i="21" s="1"/>
  <c r="X2744" i="21"/>
  <c r="N1771" i="21"/>
  <c r="Z1771" i="21" s="1"/>
  <c r="AA1771" i="21" s="1"/>
  <c r="X1771" i="21"/>
  <c r="N2291" i="21"/>
  <c r="Z2291" i="21" s="1"/>
  <c r="AA2291" i="21" s="1"/>
  <c r="X2291" i="21"/>
  <c r="N1860" i="21"/>
  <c r="Z1860" i="21" s="1"/>
  <c r="AA1860" i="21" s="1"/>
  <c r="X1860" i="21"/>
  <c r="N2795" i="21"/>
  <c r="Z2795" i="21" s="1"/>
  <c r="AA2795" i="21" s="1"/>
  <c r="X2795" i="21"/>
  <c r="X2366" i="21"/>
  <c r="N2366" i="21"/>
  <c r="Z2366" i="21" s="1"/>
  <c r="AA2366" i="21" s="1"/>
  <c r="N3335" i="21"/>
  <c r="Z3335" i="21" s="1"/>
  <c r="AA3335" i="21" s="1"/>
  <c r="X3335" i="21"/>
  <c r="X1559" i="21"/>
  <c r="N1559" i="21"/>
  <c r="Z1559" i="21" s="1"/>
  <c r="AA1559" i="21" s="1"/>
  <c r="N1438" i="21"/>
  <c r="Z1438" i="21" s="1"/>
  <c r="AA1438" i="21" s="1"/>
  <c r="X1438" i="21"/>
  <c r="X2624" i="21"/>
  <c r="N2624" i="21"/>
  <c r="Z2624" i="21" s="1"/>
  <c r="AA2624" i="21" s="1"/>
  <c r="J1165" i="21"/>
  <c r="X1165" i="21" s="1"/>
  <c r="M1165" i="21"/>
  <c r="M1121" i="21"/>
  <c r="J1121" i="21"/>
  <c r="X1121" i="21" s="1"/>
  <c r="J1054" i="21"/>
  <c r="X1054" i="21" s="1"/>
  <c r="M1054" i="21"/>
  <c r="N1974" i="21"/>
  <c r="Z1974" i="21" s="1"/>
  <c r="AA1974" i="21" s="1"/>
  <c r="X1974" i="21"/>
  <c r="N1632" i="21"/>
  <c r="Z1632" i="21" s="1"/>
  <c r="AA1632" i="21" s="1"/>
  <c r="X1632" i="21"/>
  <c r="N1485" i="21"/>
  <c r="Z1485" i="21" s="1"/>
  <c r="AA1485" i="21" s="1"/>
  <c r="X1485" i="21"/>
  <c r="N2945" i="21"/>
  <c r="Z2945" i="21" s="1"/>
  <c r="AA2945" i="21" s="1"/>
  <c r="X2945" i="21"/>
  <c r="X1735" i="21"/>
  <c r="N1735" i="21"/>
  <c r="Z1735" i="21" s="1"/>
  <c r="AA1735" i="21" s="1"/>
  <c r="N1428" i="21"/>
  <c r="Z1428" i="21" s="1"/>
  <c r="AA1428" i="21" s="1"/>
  <c r="X1428" i="21"/>
  <c r="X1621" i="21"/>
  <c r="N1621" i="21"/>
  <c r="Z1621" i="21" s="1"/>
  <c r="AA1621" i="21" s="1"/>
  <c r="X2437" i="21"/>
  <c r="N2437" i="21"/>
  <c r="Z2437" i="21" s="1"/>
  <c r="AA2437" i="21" s="1"/>
  <c r="X2596" i="21"/>
  <c r="N2596" i="21"/>
  <c r="Z2596" i="21" s="1"/>
  <c r="AA2596" i="21" s="1"/>
  <c r="N1627" i="21"/>
  <c r="Z1627" i="21" s="1"/>
  <c r="AA1627" i="21" s="1"/>
  <c r="X1627" i="21"/>
  <c r="X3360" i="21"/>
  <c r="N2431" i="21"/>
  <c r="Z2431" i="21" s="1"/>
  <c r="AA2431" i="21" s="1"/>
  <c r="X2431" i="21"/>
  <c r="X2838" i="21"/>
  <c r="N2838" i="21"/>
  <c r="Z2838" i="21" s="1"/>
  <c r="AA2838" i="21" s="1"/>
  <c r="X2160" i="21"/>
  <c r="N2160" i="21"/>
  <c r="Z2160" i="21" s="1"/>
  <c r="AA2160" i="21" s="1"/>
  <c r="N2955" i="21"/>
  <c r="Z2955" i="21" s="1"/>
  <c r="AA2955" i="21" s="1"/>
  <c r="X2955" i="21"/>
  <c r="X1587" i="21"/>
  <c r="N1587" i="21"/>
  <c r="Z1587" i="21" s="1"/>
  <c r="AA1587" i="21" s="1"/>
  <c r="X1525" i="21"/>
  <c r="N1525" i="21"/>
  <c r="Z1525" i="21" s="1"/>
  <c r="AA1525" i="21" s="1"/>
  <c r="N2992" i="21"/>
  <c r="Z2992" i="21" s="1"/>
  <c r="AA2992" i="21" s="1"/>
  <c r="X2992" i="21"/>
  <c r="N2791" i="21"/>
  <c r="Z2791" i="21" s="1"/>
  <c r="AA2791" i="21" s="1"/>
  <c r="X2791" i="21"/>
  <c r="N2781" i="21"/>
  <c r="Z2781" i="21" s="1"/>
  <c r="AA2781" i="21" s="1"/>
  <c r="X2781" i="21"/>
  <c r="X1660" i="21"/>
  <c r="N1660" i="21"/>
  <c r="Z1660" i="21" s="1"/>
  <c r="AA1660" i="21" s="1"/>
  <c r="X2886" i="21"/>
  <c r="N2886" i="21"/>
  <c r="Z2886" i="21" s="1"/>
  <c r="AA2886" i="21" s="1"/>
  <c r="M1105" i="21"/>
  <c r="J1105" i="21"/>
  <c r="N1535" i="21"/>
  <c r="Z1535" i="21" s="1"/>
  <c r="AA1535" i="21" s="1"/>
  <c r="X1535" i="21"/>
  <c r="M1041" i="21"/>
  <c r="J1041" i="21"/>
  <c r="X1041" i="21" s="1"/>
  <c r="X1623" i="21"/>
  <c r="N1623" i="21"/>
  <c r="Z1623" i="21" s="1"/>
  <c r="AA1623" i="21" s="1"/>
  <c r="N1458" i="21"/>
  <c r="Z1458" i="21" s="1"/>
  <c r="AA1458" i="21" s="1"/>
  <c r="X1458" i="21"/>
  <c r="X2918" i="21"/>
  <c r="N2918" i="21"/>
  <c r="Z2918" i="21" s="1"/>
  <c r="AA2918" i="21" s="1"/>
  <c r="N3036" i="21"/>
  <c r="Z3036" i="21" s="1"/>
  <c r="AA3036" i="21" s="1"/>
  <c r="N3020" i="21"/>
  <c r="Z3020" i="21" s="1"/>
  <c r="AA3020" i="21" s="1"/>
  <c r="N1925" i="21"/>
  <c r="Z1925" i="21" s="1"/>
  <c r="AA1925" i="21" s="1"/>
  <c r="N1852" i="21"/>
  <c r="Z1852" i="21" s="1"/>
  <c r="AA1852" i="21" s="1"/>
  <c r="N1548" i="21"/>
  <c r="Z1548" i="21" s="1"/>
  <c r="AA1548" i="21" s="1"/>
  <c r="N1540" i="21"/>
  <c r="Z1540" i="21" s="1"/>
  <c r="AA1540" i="21" s="1"/>
  <c r="N1532" i="21"/>
  <c r="Z1532" i="21" s="1"/>
  <c r="AA1532" i="21" s="1"/>
  <c r="N2756" i="21"/>
  <c r="Z2756" i="21" s="1"/>
  <c r="AA2756" i="21" s="1"/>
  <c r="N2288" i="21"/>
  <c r="Z2288" i="21" s="1"/>
  <c r="AA2288" i="21" s="1"/>
  <c r="N1961" i="21"/>
  <c r="Z1961" i="21" s="1"/>
  <c r="AA1961" i="21" s="1"/>
  <c r="N1935" i="21"/>
  <c r="Z1935" i="21" s="1"/>
  <c r="AA1935" i="21" s="1"/>
  <c r="N1407" i="21"/>
  <c r="Z1407" i="21" s="1"/>
  <c r="AA1407" i="21" s="1"/>
  <c r="N2570" i="21"/>
  <c r="Z2570" i="21" s="1"/>
  <c r="AA2570" i="21" s="1"/>
  <c r="N2372" i="21"/>
  <c r="Z2372" i="21" s="1"/>
  <c r="AA2372" i="21" s="1"/>
  <c r="N2230" i="21"/>
  <c r="Z2230" i="21" s="1"/>
  <c r="AA2230" i="21" s="1"/>
  <c r="N2166" i="21"/>
  <c r="Z2166" i="21" s="1"/>
  <c r="AA2166" i="21" s="1"/>
  <c r="N2256" i="21"/>
  <c r="Z2256" i="21" s="1"/>
  <c r="AA2256" i="21" s="1"/>
  <c r="N2224" i="21"/>
  <c r="Z2224" i="21" s="1"/>
  <c r="AA2224" i="21" s="1"/>
  <c r="N2192" i="21"/>
  <c r="Z2192" i="21" s="1"/>
  <c r="AA2192" i="21" s="1"/>
  <c r="M1111" i="21"/>
  <c r="N1111" i="21" s="1"/>
  <c r="Z1111" i="21" s="1"/>
  <c r="AA1111" i="21" s="1"/>
  <c r="N2915" i="21"/>
  <c r="Z2915" i="21" s="1"/>
  <c r="AA2915" i="21" s="1"/>
  <c r="N2877" i="21"/>
  <c r="Z2877" i="21" s="1"/>
  <c r="AA2877" i="21" s="1"/>
  <c r="N2869" i="21"/>
  <c r="Z2869" i="21" s="1"/>
  <c r="AA2869" i="21" s="1"/>
  <c r="N2828" i="21"/>
  <c r="Z2828" i="21" s="1"/>
  <c r="AA2828" i="21" s="1"/>
  <c r="N2518" i="21"/>
  <c r="Z2518" i="21" s="1"/>
  <c r="AA2518" i="21" s="1"/>
  <c r="N1921" i="21"/>
  <c r="Z1921" i="21" s="1"/>
  <c r="AA1921" i="21" s="1"/>
  <c r="N1911" i="21"/>
  <c r="Z1911" i="21" s="1"/>
  <c r="AA1911" i="21" s="1"/>
  <c r="N1945" i="21"/>
  <c r="Z1945" i="21" s="1"/>
  <c r="AA1945" i="21" s="1"/>
  <c r="N1786" i="21"/>
  <c r="Z1786" i="21" s="1"/>
  <c r="AA1786" i="21" s="1"/>
  <c r="X1606" i="21"/>
  <c r="N1451" i="21"/>
  <c r="Z1451" i="21" s="1"/>
  <c r="AA1451" i="21" s="1"/>
  <c r="N1433" i="21"/>
  <c r="Z1433" i="21" s="1"/>
  <c r="AA1433" i="21" s="1"/>
  <c r="N1488" i="21"/>
  <c r="Z1488" i="21" s="1"/>
  <c r="AA1488" i="21" s="1"/>
  <c r="N2586" i="21"/>
  <c r="Z2586" i="21" s="1"/>
  <c r="AA2586" i="21" s="1"/>
  <c r="N2286" i="21"/>
  <c r="Z2286" i="21" s="1"/>
  <c r="AA2286" i="21" s="1"/>
  <c r="N2222" i="21"/>
  <c r="Z2222" i="21" s="1"/>
  <c r="AA2222" i="21" s="1"/>
  <c r="N2100" i="21"/>
  <c r="Z2100" i="21" s="1"/>
  <c r="AA2100" i="21" s="1"/>
  <c r="N2832" i="21"/>
  <c r="Z2832" i="21" s="1"/>
  <c r="AA2832" i="21" s="1"/>
  <c r="N2210" i="21"/>
  <c r="Z2210" i="21" s="1"/>
  <c r="AA2210" i="21" s="1"/>
  <c r="N2314" i="21"/>
  <c r="Z2314" i="21" s="1"/>
  <c r="AA2314" i="21" s="1"/>
  <c r="J1135" i="21"/>
  <c r="N1135" i="21" s="1"/>
  <c r="Z1135" i="21" s="1"/>
  <c r="AA1135" i="21" s="1"/>
  <c r="J1107" i="21"/>
  <c r="N1107" i="21" s="1"/>
  <c r="Z1107" i="21" s="1"/>
  <c r="AA1107" i="21" s="1"/>
  <c r="N3124" i="21"/>
  <c r="Z3124" i="21" s="1"/>
  <c r="AA3124" i="21" s="1"/>
  <c r="N2929" i="21"/>
  <c r="Z2929" i="21" s="1"/>
  <c r="AA2929" i="21" s="1"/>
  <c r="N2650" i="21"/>
  <c r="Z2650" i="21" s="1"/>
  <c r="AA2650" i="21" s="1"/>
  <c r="N1885" i="21"/>
  <c r="Z1885" i="21" s="1"/>
  <c r="AA1885" i="21" s="1"/>
  <c r="N1469" i="21"/>
  <c r="Z1469" i="21" s="1"/>
  <c r="AA1469" i="21" s="1"/>
  <c r="N1459" i="21"/>
  <c r="Z1459" i="21" s="1"/>
  <c r="AA1459" i="21" s="1"/>
  <c r="N3538" i="21"/>
  <c r="Z3538" i="21" s="1"/>
  <c r="AA3538" i="21" s="1"/>
  <c r="N3009" i="21"/>
  <c r="Z3009" i="21" s="1"/>
  <c r="AA3009" i="21" s="1"/>
  <c r="N1955" i="21"/>
  <c r="Z1955" i="21" s="1"/>
  <c r="AA1955" i="21" s="1"/>
  <c r="N1307" i="21"/>
  <c r="Z1307" i="21" s="1"/>
  <c r="AA1307" i="21" s="1"/>
  <c r="N2760" i="21"/>
  <c r="Z2760" i="21" s="1"/>
  <c r="AA2760" i="21" s="1"/>
  <c r="N2925" i="21"/>
  <c r="Z2925" i="21" s="1"/>
  <c r="AA2925" i="21" s="1"/>
  <c r="N2668" i="21"/>
  <c r="Z2668" i="21" s="1"/>
  <c r="AA2668" i="21" s="1"/>
  <c r="X2096" i="21"/>
  <c r="N1963" i="21"/>
  <c r="Z1963" i="21" s="1"/>
  <c r="AA1963" i="21" s="1"/>
  <c r="X1602" i="21"/>
  <c r="N1457" i="21"/>
  <c r="Z1457" i="21" s="1"/>
  <c r="AA1457" i="21" s="1"/>
  <c r="N2278" i="21"/>
  <c r="Z2278" i="21" s="1"/>
  <c r="AA2278" i="21" s="1"/>
  <c r="N2238" i="21"/>
  <c r="Z2238" i="21" s="1"/>
  <c r="AA2238" i="21" s="1"/>
  <c r="N2174" i="21"/>
  <c r="Z2174" i="21" s="1"/>
  <c r="AA2174" i="21" s="1"/>
  <c r="N3857" i="21"/>
  <c r="Z3857" i="21" s="1"/>
  <c r="AA3857" i="21" s="1"/>
  <c r="X3779" i="21"/>
  <c r="N3332" i="21"/>
  <c r="Z3332" i="21" s="1"/>
  <c r="AA3332" i="21" s="1"/>
  <c r="N3088" i="21"/>
  <c r="Z3088" i="21" s="1"/>
  <c r="AA3088" i="21" s="1"/>
  <c r="X2779" i="21"/>
  <c r="N2068" i="21"/>
  <c r="Z2068" i="21" s="1"/>
  <c r="AA2068" i="21" s="1"/>
  <c r="X2086" i="21"/>
  <c r="X2118" i="21"/>
  <c r="M1149" i="21"/>
  <c r="N1149" i="21" s="1"/>
  <c r="Z1149" i="21" s="1"/>
  <c r="AA1149" i="21" s="1"/>
  <c r="J1191" i="21"/>
  <c r="X1191" i="21" s="1"/>
  <c r="X3803" i="21"/>
  <c r="X3822" i="21"/>
  <c r="N3724" i="21"/>
  <c r="Z3724" i="21" s="1"/>
  <c r="AA3724" i="21" s="1"/>
  <c r="N3590" i="21"/>
  <c r="Z3590" i="21" s="1"/>
  <c r="AA3590" i="21" s="1"/>
  <c r="N3461" i="21"/>
  <c r="Z3461" i="21" s="1"/>
  <c r="AA3461" i="21" s="1"/>
  <c r="N3365" i="21"/>
  <c r="Z3365" i="21" s="1"/>
  <c r="AA3365" i="21" s="1"/>
  <c r="N3072" i="21"/>
  <c r="Z3072" i="21" s="1"/>
  <c r="AA3072" i="21" s="1"/>
  <c r="N3056" i="21"/>
  <c r="Z3056" i="21" s="1"/>
  <c r="AA3056" i="21" s="1"/>
  <c r="N3040" i="21"/>
  <c r="Z3040" i="21" s="1"/>
  <c r="AA3040" i="21" s="1"/>
  <c r="X2951" i="21"/>
  <c r="N2858" i="21"/>
  <c r="Z2858" i="21" s="1"/>
  <c r="AA2858" i="21" s="1"/>
  <c r="X2250" i="21"/>
  <c r="X2091" i="21"/>
  <c r="N2001" i="21"/>
  <c r="Z2001" i="21" s="1"/>
  <c r="AA2001" i="21" s="1"/>
  <c r="N1985" i="21"/>
  <c r="Z1985" i="21" s="1"/>
  <c r="AA1985" i="21" s="1"/>
  <c r="X1376" i="21"/>
  <c r="N2937" i="21"/>
  <c r="Z2937" i="21" s="1"/>
  <c r="AA2937" i="21" s="1"/>
  <c r="J1093" i="21"/>
  <c r="X1093" i="21" s="1"/>
  <c r="N1136" i="21"/>
  <c r="Z1136" i="21" s="1"/>
  <c r="AA1136" i="21" s="1"/>
  <c r="J1108" i="21"/>
  <c r="X1108" i="21" s="1"/>
  <c r="J1214" i="21"/>
  <c r="N3973" i="21"/>
  <c r="Z3973" i="21" s="1"/>
  <c r="AA3973" i="21" s="1"/>
  <c r="X2282" i="21"/>
  <c r="N2150" i="21"/>
  <c r="Z2150" i="21" s="1"/>
  <c r="AA2150" i="21" s="1"/>
  <c r="N2052" i="21"/>
  <c r="Z2052" i="21" s="1"/>
  <c r="AA2052" i="21" s="1"/>
  <c r="N2044" i="21"/>
  <c r="Z2044" i="21" s="1"/>
  <c r="AA2044" i="21" s="1"/>
  <c r="N2036" i="21"/>
  <c r="Z2036" i="21" s="1"/>
  <c r="AA2036" i="21" s="1"/>
  <c r="N2028" i="21"/>
  <c r="Z2028" i="21" s="1"/>
  <c r="AA2028" i="21" s="1"/>
  <c r="X2238" i="21"/>
  <c r="N2204" i="21"/>
  <c r="Z2204" i="21" s="1"/>
  <c r="AA2204" i="21" s="1"/>
  <c r="J1047" i="21"/>
  <c r="X1047" i="21" s="1"/>
  <c r="N3896" i="21"/>
  <c r="Z3896" i="21" s="1"/>
  <c r="AA3896" i="21" s="1"/>
  <c r="X3797" i="21"/>
  <c r="N3697" i="21"/>
  <c r="Z3697" i="21" s="1"/>
  <c r="AA3697" i="21" s="1"/>
  <c r="N3293" i="21"/>
  <c r="Z3293" i="21" s="1"/>
  <c r="AA3293" i="21" s="1"/>
  <c r="N2700" i="21"/>
  <c r="Z2700" i="21" s="1"/>
  <c r="AA2700" i="21" s="1"/>
  <c r="X2441" i="21"/>
  <c r="X2419" i="21"/>
  <c r="N2347" i="21"/>
  <c r="Z2347" i="21" s="1"/>
  <c r="AA2347" i="21" s="1"/>
  <c r="X2382" i="21"/>
  <c r="X2146" i="21"/>
  <c r="J1158" i="21"/>
  <c r="N1158" i="21" s="1"/>
  <c r="Z1158" i="21" s="1"/>
  <c r="AA1158" i="21" s="1"/>
  <c r="J1197" i="21"/>
  <c r="N1197" i="21" s="1"/>
  <c r="Z1197" i="21" s="1"/>
  <c r="AA1197" i="21" s="1"/>
  <c r="X3942" i="21"/>
  <c r="X3918" i="21"/>
  <c r="N3755" i="21"/>
  <c r="Z3755" i="21" s="1"/>
  <c r="AA3755" i="21" s="1"/>
  <c r="N3739" i="21"/>
  <c r="Z3739" i="21" s="1"/>
  <c r="AA3739" i="21" s="1"/>
  <c r="N3657" i="21"/>
  <c r="Z3657" i="21" s="1"/>
  <c r="AA3657" i="21" s="1"/>
  <c r="N3493" i="21"/>
  <c r="Z3493" i="21" s="1"/>
  <c r="AA3493" i="21" s="1"/>
  <c r="N3478" i="21"/>
  <c r="Z3478" i="21" s="1"/>
  <c r="AA3478" i="21" s="1"/>
  <c r="N3301" i="21"/>
  <c r="Z3301" i="21" s="1"/>
  <c r="AA3301" i="21" s="1"/>
  <c r="N3318" i="21"/>
  <c r="Z3318" i="21" s="1"/>
  <c r="AA3318" i="21" s="1"/>
  <c r="N3259" i="21"/>
  <c r="Z3259" i="21" s="1"/>
  <c r="AA3259" i="21" s="1"/>
  <c r="N3566" i="21"/>
  <c r="Z3566" i="21" s="1"/>
  <c r="AA3566" i="21" s="1"/>
  <c r="X2811" i="21"/>
  <c r="N2573" i="21"/>
  <c r="Z2573" i="21" s="1"/>
  <c r="AA2573" i="21" s="1"/>
  <c r="X2411" i="21"/>
  <c r="X2379" i="21"/>
  <c r="X2186" i="21"/>
  <c r="X2261" i="21"/>
  <c r="X2174" i="21"/>
  <c r="N2197" i="21"/>
  <c r="Z2197" i="21" s="1"/>
  <c r="AA2197" i="21" s="1"/>
  <c r="J1139" i="21"/>
  <c r="N1139" i="21" s="1"/>
  <c r="Z1139" i="21" s="1"/>
  <c r="AA1139" i="21" s="1"/>
  <c r="J1104" i="21"/>
  <c r="X1104" i="21" s="1"/>
  <c r="J1138" i="21"/>
  <c r="N1138" i="21" s="1"/>
  <c r="Z1138" i="21" s="1"/>
  <c r="AA1138" i="21" s="1"/>
  <c r="J1152" i="21"/>
  <c r="X1152" i="21" s="1"/>
  <c r="X3991" i="21"/>
  <c r="N3974" i="21"/>
  <c r="Z3974" i="21" s="1"/>
  <c r="AA3974" i="21" s="1"/>
  <c r="X3750" i="21"/>
  <c r="X3577" i="21"/>
  <c r="N2678" i="21"/>
  <c r="Z2678" i="21" s="1"/>
  <c r="AA2678" i="21" s="1"/>
  <c r="N2402" i="21"/>
  <c r="Z2402" i="21" s="1"/>
  <c r="AA2402" i="21" s="1"/>
  <c r="N1796" i="21"/>
  <c r="Z1796" i="21" s="1"/>
  <c r="AA1796" i="21" s="1"/>
  <c r="N1682" i="21"/>
  <c r="Z1682" i="21" s="1"/>
  <c r="AA1682" i="21" s="1"/>
  <c r="N2258" i="21"/>
  <c r="Z2258" i="21" s="1"/>
  <c r="AA2258" i="21" s="1"/>
  <c r="N2226" i="21"/>
  <c r="Z2226" i="21" s="1"/>
  <c r="AA2226" i="21" s="1"/>
  <c r="N2892" i="21"/>
  <c r="Z2892" i="21" s="1"/>
  <c r="AA2892" i="21" s="1"/>
  <c r="J1182" i="21"/>
  <c r="N3701" i="21"/>
  <c r="Z3701" i="21" s="1"/>
  <c r="AA3701" i="21" s="1"/>
  <c r="X3766" i="21"/>
  <c r="N3711" i="21"/>
  <c r="Z3711" i="21" s="1"/>
  <c r="AA3711" i="21" s="1"/>
  <c r="X3121" i="21"/>
  <c r="X2013" i="21"/>
  <c r="N1846" i="21"/>
  <c r="Z1846" i="21" s="1"/>
  <c r="AA1846" i="21" s="1"/>
  <c r="N1838" i="21"/>
  <c r="Z1838" i="21" s="1"/>
  <c r="AA1838" i="21" s="1"/>
  <c r="N1830" i="21"/>
  <c r="Z1830" i="21" s="1"/>
  <c r="AA1830" i="21" s="1"/>
  <c r="N1822" i="21"/>
  <c r="Z1822" i="21" s="1"/>
  <c r="AA1822" i="21" s="1"/>
  <c r="N1814" i="21"/>
  <c r="Z1814" i="21" s="1"/>
  <c r="AA1814" i="21" s="1"/>
  <c r="N1714" i="21"/>
  <c r="Z1714" i="21" s="1"/>
  <c r="AA1714" i="21" s="1"/>
  <c r="X2890" i="21"/>
  <c r="J1114" i="21"/>
  <c r="X1114" i="21" s="1"/>
  <c r="X1212" i="21"/>
  <c r="X1179" i="21"/>
  <c r="X1172" i="21"/>
  <c r="N4020" i="21"/>
  <c r="Z4020" i="21" s="1"/>
  <c r="AA4020" i="21" s="1"/>
  <c r="N2323" i="21"/>
  <c r="Z2323" i="21" s="1"/>
  <c r="AA2323" i="21" s="1"/>
  <c r="X2323" i="21"/>
  <c r="M1039" i="21"/>
  <c r="J1039" i="21"/>
  <c r="X1039" i="21" s="1"/>
  <c r="X1444" i="21"/>
  <c r="N1444" i="21"/>
  <c r="Z1444" i="21" s="1"/>
  <c r="AA1444" i="21" s="1"/>
  <c r="X2698" i="21"/>
  <c r="N2698" i="21"/>
  <c r="Z2698" i="21" s="1"/>
  <c r="AA2698" i="21" s="1"/>
  <c r="N3959" i="21"/>
  <c r="Z3959" i="21" s="1"/>
  <c r="AA3959" i="21" s="1"/>
  <c r="N3715" i="21"/>
  <c r="Z3715" i="21" s="1"/>
  <c r="AA3715" i="21" s="1"/>
  <c r="X3712" i="21"/>
  <c r="N3691" i="21"/>
  <c r="Z3691" i="21" s="1"/>
  <c r="AA3691" i="21" s="1"/>
  <c r="N3609" i="21"/>
  <c r="Z3609" i="21" s="1"/>
  <c r="AA3609" i="21" s="1"/>
  <c r="N3392" i="21"/>
  <c r="Z3392" i="21" s="1"/>
  <c r="AA3392" i="21" s="1"/>
  <c r="X3392" i="21"/>
  <c r="N3235" i="21"/>
  <c r="Z3235" i="21" s="1"/>
  <c r="AA3235" i="21" s="1"/>
  <c r="N3225" i="21"/>
  <c r="Z3225" i="21" s="1"/>
  <c r="AA3225" i="21" s="1"/>
  <c r="N3237" i="21"/>
  <c r="Z3237" i="21" s="1"/>
  <c r="AA3237" i="21" s="1"/>
  <c r="N3215" i="21"/>
  <c r="Z3215" i="21" s="1"/>
  <c r="AA3215" i="21" s="1"/>
  <c r="X3215" i="21"/>
  <c r="N2114" i="21"/>
  <c r="Z2114" i="21" s="1"/>
  <c r="AA2114" i="21" s="1"/>
  <c r="X2114" i="21"/>
  <c r="N3198" i="21"/>
  <c r="Z3198" i="21" s="1"/>
  <c r="AA3198" i="21" s="1"/>
  <c r="X3198" i="21"/>
  <c r="X3603" i="21"/>
  <c r="N3603" i="21"/>
  <c r="Z3603" i="21" s="1"/>
  <c r="AA3603" i="21" s="1"/>
  <c r="X2840" i="21"/>
  <c r="N2840" i="21"/>
  <c r="Z2840" i="21" s="1"/>
  <c r="AA2840" i="21" s="1"/>
  <c r="N1849" i="21"/>
  <c r="Z1849" i="21" s="1"/>
  <c r="AA1849" i="21" s="1"/>
  <c r="X1849" i="21"/>
  <c r="X1677" i="21"/>
  <c r="N1677" i="21"/>
  <c r="Z1677" i="21" s="1"/>
  <c r="AA1677" i="21" s="1"/>
  <c r="X1563" i="21"/>
  <c r="N1563" i="21"/>
  <c r="Z1563" i="21" s="1"/>
  <c r="AA1563" i="21" s="1"/>
  <c r="X1581" i="21"/>
  <c r="N1581" i="21"/>
  <c r="Z1581" i="21" s="1"/>
  <c r="AA1581" i="21" s="1"/>
  <c r="N2088" i="21"/>
  <c r="Z2088" i="21" s="1"/>
  <c r="AA2088" i="21" s="1"/>
  <c r="X2088" i="21"/>
  <c r="X3762" i="21"/>
  <c r="X3746" i="21"/>
  <c r="N3731" i="21"/>
  <c r="Z3731" i="21" s="1"/>
  <c r="AA3731" i="21" s="1"/>
  <c r="N2959" i="21"/>
  <c r="Z2959" i="21" s="1"/>
  <c r="AA2959" i="21" s="1"/>
  <c r="X2834" i="21"/>
  <c r="N2834" i="21"/>
  <c r="Z2834" i="21" s="1"/>
  <c r="AA2834" i="21" s="1"/>
  <c r="X2572" i="21"/>
  <c r="N2572" i="21"/>
  <c r="Z2572" i="21" s="1"/>
  <c r="AA2572" i="21" s="1"/>
  <c r="N2272" i="21"/>
  <c r="Z2272" i="21" s="1"/>
  <c r="AA2272" i="21" s="1"/>
  <c r="X2272" i="21"/>
  <c r="X2240" i="21"/>
  <c r="N2240" i="21"/>
  <c r="Z2240" i="21" s="1"/>
  <c r="AA2240" i="21" s="1"/>
  <c r="N2208" i="21"/>
  <c r="Z2208" i="21" s="1"/>
  <c r="AA2208" i="21" s="1"/>
  <c r="X2208" i="21"/>
  <c r="N2176" i="21"/>
  <c r="Z2176" i="21" s="1"/>
  <c r="AA2176" i="21" s="1"/>
  <c r="X2176" i="21"/>
  <c r="M1045" i="21"/>
  <c r="J1045" i="21"/>
  <c r="X1045" i="21" s="1"/>
  <c r="X1613" i="21"/>
  <c r="N1613" i="21"/>
  <c r="Z1613" i="21" s="1"/>
  <c r="AA1613" i="21" s="1"/>
  <c r="X1491" i="21"/>
  <c r="N1491" i="21"/>
  <c r="Z1491" i="21" s="1"/>
  <c r="AA1491" i="21" s="1"/>
  <c r="N1668" i="21"/>
  <c r="Z1668" i="21" s="1"/>
  <c r="AA1668" i="21" s="1"/>
  <c r="X1668" i="21"/>
  <c r="N1896" i="21"/>
  <c r="Z1896" i="21" s="1"/>
  <c r="AA1896" i="21" s="1"/>
  <c r="X1896" i="21"/>
  <c r="N1576" i="21"/>
  <c r="Z1576" i="21" s="1"/>
  <c r="AA1576" i="21" s="1"/>
  <c r="X1576" i="21"/>
  <c r="N1695" i="21"/>
  <c r="Z1695" i="21" s="1"/>
  <c r="AA1695" i="21" s="1"/>
  <c r="X1695" i="21"/>
  <c r="X1594" i="21"/>
  <c r="N1594" i="21"/>
  <c r="Z1594" i="21" s="1"/>
  <c r="AA1594" i="21" s="1"/>
  <c r="M1078" i="21"/>
  <c r="J1078" i="21"/>
  <c r="X1078" i="21" s="1"/>
  <c r="M1112" i="21"/>
  <c r="J1112" i="21"/>
  <c r="X1112" i="21" s="1"/>
  <c r="X1693" i="21"/>
  <c r="N1693" i="21"/>
  <c r="Z1693" i="21" s="1"/>
  <c r="AA1693" i="21" s="1"/>
  <c r="N1801" i="21"/>
  <c r="Z1801" i="21" s="1"/>
  <c r="AA1801" i="21" s="1"/>
  <c r="X1801" i="21"/>
  <c r="N3429" i="21"/>
  <c r="Z3429" i="21" s="1"/>
  <c r="AA3429" i="21" s="1"/>
  <c r="X3429" i="21"/>
  <c r="N3773" i="21"/>
  <c r="Z3773" i="21" s="1"/>
  <c r="AA3773" i="21" s="1"/>
  <c r="N2376" i="21"/>
  <c r="Z2376" i="21" s="1"/>
  <c r="AA2376" i="21" s="1"/>
  <c r="X2376" i="21"/>
  <c r="N1794" i="21"/>
  <c r="Z1794" i="21" s="1"/>
  <c r="AA1794" i="21" s="1"/>
  <c r="M1061" i="21"/>
  <c r="J1061" i="21"/>
  <c r="X1061" i="21" s="1"/>
  <c r="M1115" i="21"/>
  <c r="J1115" i="21"/>
  <c r="X1115" i="21" s="1"/>
  <c r="N1940" i="21"/>
  <c r="Z1940" i="21" s="1"/>
  <c r="AA1940" i="21" s="1"/>
  <c r="X1940" i="21"/>
  <c r="X1456" i="21"/>
  <c r="N1456" i="21"/>
  <c r="Z1456" i="21" s="1"/>
  <c r="AA1456" i="21" s="1"/>
  <c r="X1671" i="21"/>
  <c r="N1671" i="21"/>
  <c r="Z1671" i="21" s="1"/>
  <c r="AA1671" i="21" s="1"/>
  <c r="N1549" i="21"/>
  <c r="Z1549" i="21" s="1"/>
  <c r="AA1549" i="21" s="1"/>
  <c r="X1549" i="21"/>
  <c r="N2447" i="21"/>
  <c r="Z2447" i="21" s="1"/>
  <c r="AA2447" i="21" s="1"/>
  <c r="X2447" i="21"/>
  <c r="N2085" i="21"/>
  <c r="Z2085" i="21" s="1"/>
  <c r="AA2085" i="21" s="1"/>
  <c r="X2085" i="21"/>
  <c r="X2179" i="21"/>
  <c r="N2179" i="21"/>
  <c r="Z2179" i="21" s="1"/>
  <c r="AA2179" i="21" s="1"/>
  <c r="X1902" i="21"/>
  <c r="N1902" i="21"/>
  <c r="Z1902" i="21" s="1"/>
  <c r="AA1902" i="21" s="1"/>
  <c r="N1757" i="21"/>
  <c r="Z1757" i="21" s="1"/>
  <c r="AA1757" i="21" s="1"/>
  <c r="X1757" i="21"/>
  <c r="X1619" i="21"/>
  <c r="N1619" i="21"/>
  <c r="Z1619" i="21" s="1"/>
  <c r="AA1619" i="21" s="1"/>
  <c r="X1369" i="21"/>
  <c r="N1369" i="21"/>
  <c r="Z1369" i="21" s="1"/>
  <c r="AA1369" i="21" s="1"/>
  <c r="N2211" i="21"/>
  <c r="Z2211" i="21" s="1"/>
  <c r="AA2211" i="21" s="1"/>
  <c r="X2211" i="21"/>
  <c r="X1749" i="21"/>
  <c r="N1749" i="21"/>
  <c r="Z1749" i="21" s="1"/>
  <c r="AA1749" i="21" s="1"/>
  <c r="N1363" i="21"/>
  <c r="Z1363" i="21" s="1"/>
  <c r="AA1363" i="21" s="1"/>
  <c r="X1363" i="21"/>
  <c r="X4001" i="21"/>
  <c r="X3811" i="21"/>
  <c r="N3482" i="21"/>
  <c r="Z3482" i="21" s="1"/>
  <c r="AA3482" i="21" s="1"/>
  <c r="N3474" i="21"/>
  <c r="Z3474" i="21" s="1"/>
  <c r="AA3474" i="21" s="1"/>
  <c r="N3310" i="21"/>
  <c r="Z3310" i="21" s="1"/>
  <c r="AA3310" i="21" s="1"/>
  <c r="X3518" i="21"/>
  <c r="N3518" i="21"/>
  <c r="Z3518" i="21" s="1"/>
  <c r="AA3518" i="21" s="1"/>
  <c r="N2108" i="21"/>
  <c r="Z2108" i="21" s="1"/>
  <c r="AA2108" i="21" s="1"/>
  <c r="X2108" i="21"/>
  <c r="X2236" i="21"/>
  <c r="N2236" i="21"/>
  <c r="Z2236" i="21" s="1"/>
  <c r="AA2236" i="21" s="1"/>
  <c r="N3152" i="21"/>
  <c r="Z3152" i="21" s="1"/>
  <c r="AA3152" i="21" s="1"/>
  <c r="X3152" i="21"/>
  <c r="M1026" i="21"/>
  <c r="J1026" i="21"/>
  <c r="X2714" i="21"/>
  <c r="N2714" i="21"/>
  <c r="Z2714" i="21" s="1"/>
  <c r="AA2714" i="21" s="1"/>
  <c r="N2333" i="21"/>
  <c r="Z2333" i="21" s="1"/>
  <c r="AA2333" i="21" s="1"/>
  <c r="X2333" i="21"/>
  <c r="X2301" i="21"/>
  <c r="N2301" i="21"/>
  <c r="Z2301" i="21" s="1"/>
  <c r="AA2301" i="21" s="1"/>
  <c r="N2219" i="21"/>
  <c r="Z2219" i="21" s="1"/>
  <c r="AA2219" i="21" s="1"/>
  <c r="X2219" i="21"/>
  <c r="X3329" i="21"/>
  <c r="N3329" i="21"/>
  <c r="Z3329" i="21" s="1"/>
  <c r="AA3329" i="21" s="1"/>
  <c r="X3607" i="21"/>
  <c r="N3607" i="21"/>
  <c r="Z3607" i="21" s="1"/>
  <c r="AA3607" i="21" s="1"/>
  <c r="N2153" i="21"/>
  <c r="Z2153" i="21" s="1"/>
  <c r="AA2153" i="21" s="1"/>
  <c r="X2153" i="21"/>
  <c r="N3668" i="21"/>
  <c r="Z3668" i="21" s="1"/>
  <c r="AA3668" i="21" s="1"/>
  <c r="X3323" i="21"/>
  <c r="N2177" i="21"/>
  <c r="Z2177" i="21" s="1"/>
  <c r="AA2177" i="21" s="1"/>
  <c r="X3702" i="21"/>
  <c r="N3702" i="21"/>
  <c r="Z3702" i="21" s="1"/>
  <c r="AA3702" i="21" s="1"/>
  <c r="N1598" i="21"/>
  <c r="Z1598" i="21" s="1"/>
  <c r="AA1598" i="21" s="1"/>
  <c r="X1598" i="21"/>
  <c r="N2630" i="21"/>
  <c r="Z2630" i="21" s="1"/>
  <c r="AA2630" i="21" s="1"/>
  <c r="X2630" i="21"/>
  <c r="X2275" i="21"/>
  <c r="N2275" i="21"/>
  <c r="Z2275" i="21" s="1"/>
  <c r="AA2275" i="21" s="1"/>
  <c r="X2324" i="21"/>
  <c r="N2324" i="21"/>
  <c r="Z2324" i="21" s="1"/>
  <c r="AA2324" i="21" s="1"/>
  <c r="N3965" i="21"/>
  <c r="Z3965" i="21" s="1"/>
  <c r="AA3965" i="21" s="1"/>
  <c r="X3160" i="21"/>
  <c r="X2576" i="21"/>
  <c r="N2576" i="21"/>
  <c r="Z2576" i="21" s="1"/>
  <c r="AA2576" i="21" s="1"/>
  <c r="N3219" i="21"/>
  <c r="Z3219" i="21" s="1"/>
  <c r="AA3219" i="21" s="1"/>
  <c r="X3219" i="21"/>
  <c r="N3127" i="21"/>
  <c r="Z3127" i="21" s="1"/>
  <c r="AA3127" i="21" s="1"/>
  <c r="X3127" i="21"/>
  <c r="N3583" i="21"/>
  <c r="Z3583" i="21" s="1"/>
  <c r="AA3583" i="21" s="1"/>
  <c r="X3583" i="21"/>
  <c r="N2147" i="21"/>
  <c r="Z2147" i="21" s="1"/>
  <c r="AA2147" i="21" s="1"/>
  <c r="X2147" i="21"/>
  <c r="X2306" i="21"/>
  <c r="N2306" i="21"/>
  <c r="Z2306" i="21" s="1"/>
  <c r="AA2306" i="21" s="1"/>
  <c r="N2011" i="21"/>
  <c r="Z2011" i="21" s="1"/>
  <c r="AA2011" i="21" s="1"/>
  <c r="X2011" i="21"/>
  <c r="N1872" i="21"/>
  <c r="Z1872" i="21" s="1"/>
  <c r="AA1872" i="21" s="1"/>
  <c r="X1872" i="21"/>
  <c r="N3979" i="21"/>
  <c r="Z3979" i="21" s="1"/>
  <c r="AA3979" i="21" s="1"/>
  <c r="N3549" i="21"/>
  <c r="Z3549" i="21" s="1"/>
  <c r="AA3549" i="21" s="1"/>
  <c r="N3245" i="21"/>
  <c r="Z3245" i="21" s="1"/>
  <c r="AA3245" i="21" s="1"/>
  <c r="X2557" i="21"/>
  <c r="N2557" i="21"/>
  <c r="Z2557" i="21" s="1"/>
  <c r="AA2557" i="21" s="1"/>
  <c r="N2423" i="21"/>
  <c r="Z2423" i="21" s="1"/>
  <c r="AA2423" i="21" s="1"/>
  <c r="X2423" i="21"/>
  <c r="X2350" i="21"/>
  <c r="N2350" i="21"/>
  <c r="Z2350" i="21" s="1"/>
  <c r="AA2350" i="21" s="1"/>
  <c r="N2269" i="21"/>
  <c r="Z2269" i="21" s="1"/>
  <c r="AA2269" i="21" s="1"/>
  <c r="X2269" i="21"/>
  <c r="N2205" i="21"/>
  <c r="Z2205" i="21" s="1"/>
  <c r="AA2205" i="21" s="1"/>
  <c r="X2205" i="21"/>
  <c r="X1064" i="21"/>
  <c r="N1064" i="21"/>
  <c r="Z1064" i="21" s="1"/>
  <c r="AA1064" i="21" s="1"/>
  <c r="N3330" i="21"/>
  <c r="Z3330" i="21" s="1"/>
  <c r="AA3330" i="21" s="1"/>
  <c r="N3251" i="21"/>
  <c r="Z3251" i="21" s="1"/>
  <c r="AA3251" i="21" s="1"/>
  <c r="X3181" i="21"/>
  <c r="N3134" i="21"/>
  <c r="Z3134" i="21" s="1"/>
  <c r="AA3134" i="21" s="1"/>
  <c r="N3108" i="21"/>
  <c r="Z3108" i="21" s="1"/>
  <c r="AA3108" i="21" s="1"/>
  <c r="N3013" i="21"/>
  <c r="Z3013" i="21" s="1"/>
  <c r="AA3013" i="21" s="1"/>
  <c r="N2997" i="21"/>
  <c r="Z2997" i="21" s="1"/>
  <c r="AA2997" i="21" s="1"/>
  <c r="N2913" i="21"/>
  <c r="Z2913" i="21" s="1"/>
  <c r="AA2913" i="21" s="1"/>
  <c r="N2820" i="21"/>
  <c r="Z2820" i="21" s="1"/>
  <c r="AA2820" i="21" s="1"/>
  <c r="N2812" i="21"/>
  <c r="Z2812" i="21" s="1"/>
  <c r="AA2812" i="21" s="1"/>
  <c r="N2804" i="21"/>
  <c r="Z2804" i="21" s="1"/>
  <c r="AA2804" i="21" s="1"/>
  <c r="N2796" i="21"/>
  <c r="Z2796" i="21" s="1"/>
  <c r="AA2796" i="21" s="1"/>
  <c r="N2788" i="21"/>
  <c r="Z2788" i="21" s="1"/>
  <c r="AA2788" i="21" s="1"/>
  <c r="N2780" i="21"/>
  <c r="Z2780" i="21" s="1"/>
  <c r="AA2780" i="21" s="1"/>
  <c r="N2772" i="21"/>
  <c r="Z2772" i="21" s="1"/>
  <c r="AA2772" i="21" s="1"/>
  <c r="N2764" i="21"/>
  <c r="Z2764" i="21" s="1"/>
  <c r="AA2764" i="21" s="1"/>
  <c r="N2660" i="21"/>
  <c r="Z2660" i="21" s="1"/>
  <c r="AA2660" i="21" s="1"/>
  <c r="X2644" i="21"/>
  <c r="N2076" i="21"/>
  <c r="Z2076" i="21" s="1"/>
  <c r="AA2076" i="21" s="1"/>
  <c r="N1979" i="21"/>
  <c r="Z1979" i="21" s="1"/>
  <c r="AA1979" i="21" s="1"/>
  <c r="X1863" i="21"/>
  <c r="X1514" i="21"/>
  <c r="X2037" i="21"/>
  <c r="N2264" i="21"/>
  <c r="Z2264" i="21" s="1"/>
  <c r="AA2264" i="21" s="1"/>
  <c r="N2232" i="21"/>
  <c r="Z2232" i="21" s="1"/>
  <c r="AA2232" i="21" s="1"/>
  <c r="N2200" i="21"/>
  <c r="Z2200" i="21" s="1"/>
  <c r="AA2200" i="21" s="1"/>
  <c r="N2168" i="21"/>
  <c r="Z2168" i="21" s="1"/>
  <c r="AA2168" i="21" s="1"/>
  <c r="J1044" i="21"/>
  <c r="X1044" i="21" s="1"/>
  <c r="N3395" i="21"/>
  <c r="Z3395" i="21" s="1"/>
  <c r="AA3395" i="21" s="1"/>
  <c r="N3381" i="21"/>
  <c r="Z3381" i="21" s="1"/>
  <c r="AA3381" i="21" s="1"/>
  <c r="N3283" i="21"/>
  <c r="Z3283" i="21" s="1"/>
  <c r="AA3283" i="21" s="1"/>
  <c r="N3064" i="21"/>
  <c r="Z3064" i="21" s="1"/>
  <c r="AA3064" i="21" s="1"/>
  <c r="X3516" i="21"/>
  <c r="N2973" i="21"/>
  <c r="Z2973" i="21" s="1"/>
  <c r="AA2973" i="21" s="1"/>
  <c r="N2863" i="21"/>
  <c r="Z2863" i="21" s="1"/>
  <c r="AA2863" i="21" s="1"/>
  <c r="N2855" i="21"/>
  <c r="Z2855" i="21" s="1"/>
  <c r="AA2855" i="21" s="1"/>
  <c r="N2847" i="21"/>
  <c r="Z2847" i="21" s="1"/>
  <c r="AA2847" i="21" s="1"/>
  <c r="N2839" i="21"/>
  <c r="Z2839" i="21" s="1"/>
  <c r="AA2839" i="21" s="1"/>
  <c r="N2875" i="21"/>
  <c r="Z2875" i="21" s="1"/>
  <c r="AA2875" i="21" s="1"/>
  <c r="N2755" i="21"/>
  <c r="Z2755" i="21" s="1"/>
  <c r="AA2755" i="21" s="1"/>
  <c r="N1949" i="21"/>
  <c r="Z1949" i="21" s="1"/>
  <c r="AA1949" i="21" s="1"/>
  <c r="N1943" i="21"/>
  <c r="Z1943" i="21" s="1"/>
  <c r="AA1943" i="21" s="1"/>
  <c r="N1897" i="21"/>
  <c r="Z1897" i="21" s="1"/>
  <c r="AA1897" i="21" s="1"/>
  <c r="N3106" i="21"/>
  <c r="Z3106" i="21" s="1"/>
  <c r="AA3106" i="21" s="1"/>
  <c r="N2891" i="21"/>
  <c r="Z2891" i="21" s="1"/>
  <c r="AA2891" i="21" s="1"/>
  <c r="N1941" i="21"/>
  <c r="Z1941" i="21" s="1"/>
  <c r="AA1941" i="21" s="1"/>
  <c r="N1465" i="21"/>
  <c r="Z1465" i="21" s="1"/>
  <c r="AA1465" i="21" s="1"/>
  <c r="J1007" i="21"/>
  <c r="X1007" i="21" s="1"/>
  <c r="N3138" i="21"/>
  <c r="Z3138" i="21" s="1"/>
  <c r="AA3138" i="21" s="1"/>
  <c r="N3060" i="21"/>
  <c r="Z3060" i="21" s="1"/>
  <c r="AA3060" i="21" s="1"/>
  <c r="N3028" i="21"/>
  <c r="Z3028" i="21" s="1"/>
  <c r="AA3028" i="21" s="1"/>
  <c r="N3122" i="21"/>
  <c r="Z3122" i="21" s="1"/>
  <c r="AA3122" i="21" s="1"/>
  <c r="N2991" i="21"/>
  <c r="Z2991" i="21" s="1"/>
  <c r="AA2991" i="21" s="1"/>
  <c r="N2905" i="21"/>
  <c r="Z2905" i="21" s="1"/>
  <c r="AA2905" i="21" s="1"/>
  <c r="N2861" i="21"/>
  <c r="Z2861" i="21" s="1"/>
  <c r="AA2861" i="21" s="1"/>
  <c r="N2853" i="21"/>
  <c r="Z2853" i="21" s="1"/>
  <c r="AA2853" i="21" s="1"/>
  <c r="N2845" i="21"/>
  <c r="Z2845" i="21" s="1"/>
  <c r="AA2845" i="21" s="1"/>
  <c r="X2403" i="21"/>
  <c r="N2512" i="21"/>
  <c r="Z2512" i="21" s="1"/>
  <c r="AA2512" i="21" s="1"/>
  <c r="N1473" i="21"/>
  <c r="Z1473" i="21" s="1"/>
  <c r="AA1473" i="21" s="1"/>
  <c r="N1439" i="21"/>
  <c r="Z1439" i="21" s="1"/>
  <c r="AA1439" i="21" s="1"/>
  <c r="N1431" i="21"/>
  <c r="Z1431" i="21" s="1"/>
  <c r="AA1431" i="21" s="1"/>
  <c r="N1387" i="21"/>
  <c r="Z1387" i="21" s="1"/>
  <c r="AA1387" i="21" s="1"/>
  <c r="N1390" i="21"/>
  <c r="Z1390" i="21" s="1"/>
  <c r="AA1390" i="21" s="1"/>
  <c r="X2348" i="21"/>
  <c r="N1455" i="21"/>
  <c r="Z1455" i="21" s="1"/>
  <c r="AA1455" i="21" s="1"/>
  <c r="N1144" i="21"/>
  <c r="Z1144" i="21" s="1"/>
  <c r="AA1144" i="21" s="1"/>
  <c r="M1030" i="21"/>
  <c r="N1030" i="21" s="1"/>
  <c r="Z1030" i="21" s="1"/>
  <c r="AA1030" i="21" s="1"/>
  <c r="N1429" i="21"/>
  <c r="Z1429" i="21" s="1"/>
  <c r="AA1429" i="21" s="1"/>
  <c r="N1401" i="21"/>
  <c r="Z1401" i="21" s="1"/>
  <c r="AA1401" i="21" s="1"/>
  <c r="N2752" i="21"/>
  <c r="Z2752" i="21" s="1"/>
  <c r="AA2752" i="21" s="1"/>
  <c r="N2664" i="21"/>
  <c r="Z2664" i="21" s="1"/>
  <c r="AA2664" i="21" s="1"/>
  <c r="N1933" i="21"/>
  <c r="Z1933" i="21" s="1"/>
  <c r="AA1933" i="21" s="1"/>
  <c r="N2246" i="21"/>
  <c r="Z2246" i="21" s="1"/>
  <c r="AA2246" i="21" s="1"/>
  <c r="N2182" i="21"/>
  <c r="Z2182" i="21" s="1"/>
  <c r="AA2182" i="21" s="1"/>
  <c r="N2116" i="21"/>
  <c r="Z2116" i="21" s="1"/>
  <c r="AA2116" i="21" s="1"/>
  <c r="N2188" i="21"/>
  <c r="Z2188" i="21" s="1"/>
  <c r="AA2188" i="21" s="1"/>
  <c r="J1088" i="21"/>
  <c r="X1088" i="21" s="1"/>
  <c r="N2220" i="21"/>
  <c r="Z2220" i="21" s="1"/>
  <c r="AA2220" i="21" s="1"/>
  <c r="N3728" i="21"/>
  <c r="Z3728" i="21" s="1"/>
  <c r="AA3728" i="21" s="1"/>
  <c r="N3579" i="21"/>
  <c r="Z3579" i="21" s="1"/>
  <c r="AA3579" i="21" s="1"/>
  <c r="N3486" i="21"/>
  <c r="Z3486" i="21" s="1"/>
  <c r="AA3486" i="21" s="1"/>
  <c r="N3247" i="21"/>
  <c r="Z3247" i="21" s="1"/>
  <c r="AA3247" i="21" s="1"/>
  <c r="X3224" i="21"/>
  <c r="N3044" i="21"/>
  <c r="Z3044" i="21" s="1"/>
  <c r="AA3044" i="21" s="1"/>
  <c r="N2933" i="21"/>
  <c r="Z2933" i="21" s="1"/>
  <c r="AA2933" i="21" s="1"/>
  <c r="N2737" i="21"/>
  <c r="Z2737" i="21" s="1"/>
  <c r="AA2737" i="21" s="1"/>
  <c r="N2721" i="21"/>
  <c r="Z2721" i="21" s="1"/>
  <c r="AA2721" i="21" s="1"/>
  <c r="N2676" i="21"/>
  <c r="Z2676" i="21" s="1"/>
  <c r="AA2676" i="21" s="1"/>
  <c r="N2560" i="21"/>
  <c r="Z2560" i="21" s="1"/>
  <c r="AA2560" i="21" s="1"/>
  <c r="N2558" i="21"/>
  <c r="Z2558" i="21" s="1"/>
  <c r="AA2558" i="21" s="1"/>
  <c r="X2361" i="21"/>
  <c r="N2351" i="21"/>
  <c r="Z2351" i="21" s="1"/>
  <c r="AA2351" i="21" s="1"/>
  <c r="N2355" i="21"/>
  <c r="Z2355" i="21" s="1"/>
  <c r="AA2355" i="21" s="1"/>
  <c r="N2159" i="21"/>
  <c r="Z2159" i="21" s="1"/>
  <c r="AA2159" i="21" s="1"/>
  <c r="X2204" i="21"/>
  <c r="N2276" i="21"/>
  <c r="Z2276" i="21" s="1"/>
  <c r="AA2276" i="21" s="1"/>
  <c r="X2229" i="21"/>
  <c r="N1983" i="21"/>
  <c r="Z1983" i="21" s="1"/>
  <c r="AA1983" i="21" s="1"/>
  <c r="N1977" i="21"/>
  <c r="Z1977" i="21" s="1"/>
  <c r="AA1977" i="21" s="1"/>
  <c r="N1931" i="21"/>
  <c r="Z1931" i="21" s="1"/>
  <c r="AA1931" i="21" s="1"/>
  <c r="N1792" i="21"/>
  <c r="Z1792" i="21" s="1"/>
  <c r="AA1792" i="21" s="1"/>
  <c r="N1696" i="21"/>
  <c r="Z1696" i="21" s="1"/>
  <c r="AA1696" i="21" s="1"/>
  <c r="X1622" i="21"/>
  <c r="X1533" i="21"/>
  <c r="X1506" i="21"/>
  <c r="N1413" i="21"/>
  <c r="Z1413" i="21" s="1"/>
  <c r="AA1413" i="21" s="1"/>
  <c r="N1440" i="21"/>
  <c r="Z1440" i="21" s="1"/>
  <c r="AA1440" i="21" s="1"/>
  <c r="X2612" i="21"/>
  <c r="J1032" i="21"/>
  <c r="X1032" i="21" s="1"/>
  <c r="J1018" i="21"/>
  <c r="X1018" i="21" s="1"/>
  <c r="N1667" i="21"/>
  <c r="Z1667" i="21" s="1"/>
  <c r="AA1667" i="21" s="1"/>
  <c r="N1156" i="21"/>
  <c r="Z1156" i="21" s="1"/>
  <c r="AA1156" i="21" s="1"/>
  <c r="N1098" i="21"/>
  <c r="Z1098" i="21" s="1"/>
  <c r="AA1098" i="21" s="1"/>
  <c r="N3957" i="21"/>
  <c r="Z3957" i="21" s="1"/>
  <c r="AA3957" i="21" s="1"/>
  <c r="X3669" i="21"/>
  <c r="N3576" i="21"/>
  <c r="Z3576" i="21" s="1"/>
  <c r="AA3576" i="21" s="1"/>
  <c r="X3544" i="21"/>
  <c r="N3533" i="21"/>
  <c r="Z3533" i="21" s="1"/>
  <c r="AA3533" i="21" s="1"/>
  <c r="N3430" i="21"/>
  <c r="Z3430" i="21" s="1"/>
  <c r="AA3430" i="21" s="1"/>
  <c r="X3359" i="21"/>
  <c r="X3484" i="21"/>
  <c r="N3421" i="21"/>
  <c r="Z3421" i="21" s="1"/>
  <c r="AA3421" i="21" s="1"/>
  <c r="X2920" i="21"/>
  <c r="X2742" i="21"/>
  <c r="X2669" i="21"/>
  <c r="N2680" i="21"/>
  <c r="Z2680" i="21" s="1"/>
  <c r="AA2680" i="21" s="1"/>
  <c r="N2588" i="21"/>
  <c r="Z2588" i="21" s="1"/>
  <c r="AA2588" i="21" s="1"/>
  <c r="X2435" i="21"/>
  <c r="X2387" i="21"/>
  <c r="N2296" i="21"/>
  <c r="Z2296" i="21" s="1"/>
  <c r="AA2296" i="21" s="1"/>
  <c r="N2162" i="21"/>
  <c r="Z2162" i="21" s="1"/>
  <c r="AA2162" i="21" s="1"/>
  <c r="N2260" i="21"/>
  <c r="Z2260" i="21" s="1"/>
  <c r="AA2260" i="21" s="1"/>
  <c r="X2035" i="21"/>
  <c r="N1997" i="21"/>
  <c r="Z1997" i="21" s="1"/>
  <c r="AA1997" i="21" s="1"/>
  <c r="N1981" i="21"/>
  <c r="Z1981" i="21" s="1"/>
  <c r="AA1981" i="21" s="1"/>
  <c r="N1947" i="21"/>
  <c r="Z1947" i="21" s="1"/>
  <c r="AA1947" i="21" s="1"/>
  <c r="N1776" i="21"/>
  <c r="Z1776" i="21" s="1"/>
  <c r="AA1776" i="21" s="1"/>
  <c r="N1728" i="21"/>
  <c r="Z1728" i="21" s="1"/>
  <c r="AA1728" i="21" s="1"/>
  <c r="X1769" i="21"/>
  <c r="N1496" i="21"/>
  <c r="Z1496" i="21" s="1"/>
  <c r="AA1496" i="21" s="1"/>
  <c r="N1490" i="21"/>
  <c r="Z1490" i="21" s="1"/>
  <c r="AA1490" i="21" s="1"/>
  <c r="X1420" i="21"/>
  <c r="N1278" i="21"/>
  <c r="Z1278" i="21" s="1"/>
  <c r="AA1278" i="21" s="1"/>
  <c r="M1005" i="21"/>
  <c r="N1005" i="21" s="1"/>
  <c r="Z1005" i="21" s="1"/>
  <c r="AA1005" i="21" s="1"/>
  <c r="X2045" i="21"/>
  <c r="N2872" i="21"/>
  <c r="Z2872" i="21" s="1"/>
  <c r="AA2872" i="21" s="1"/>
  <c r="N2750" i="21"/>
  <c r="Z2750" i="21" s="1"/>
  <c r="AA2750" i="21" s="1"/>
  <c r="X2057" i="21"/>
  <c r="J1008" i="21"/>
  <c r="X1008" i="21" s="1"/>
  <c r="J1046" i="21"/>
  <c r="N1132" i="21"/>
  <c r="Z1132" i="21" s="1"/>
  <c r="AA1132" i="21" s="1"/>
  <c r="N3956" i="21"/>
  <c r="Z3956" i="21" s="1"/>
  <c r="AA3956" i="21" s="1"/>
  <c r="N4021" i="21"/>
  <c r="Z4021" i="21" s="1"/>
  <c r="AA4021" i="21" s="1"/>
  <c r="N3932" i="21"/>
  <c r="Z3932" i="21" s="1"/>
  <c r="AA3932" i="21" s="1"/>
  <c r="X3696" i="21"/>
  <c r="N3371" i="21"/>
  <c r="Z3371" i="21" s="1"/>
  <c r="AA3371" i="21" s="1"/>
  <c r="N3338" i="21"/>
  <c r="Z3338" i="21" s="1"/>
  <c r="AA3338" i="21" s="1"/>
  <c r="N3307" i="21"/>
  <c r="Z3307" i="21" s="1"/>
  <c r="AA3307" i="21" s="1"/>
  <c r="N3299" i="21"/>
  <c r="Z3299" i="21" s="1"/>
  <c r="AA3299" i="21" s="1"/>
  <c r="N3269" i="21"/>
  <c r="Z3269" i="21" s="1"/>
  <c r="AA3269" i="21" s="1"/>
  <c r="N3024" i="21"/>
  <c r="Z3024" i="21" s="1"/>
  <c r="AA3024" i="21" s="1"/>
  <c r="N3116" i="21"/>
  <c r="Z3116" i="21" s="1"/>
  <c r="AA3116" i="21" s="1"/>
  <c r="N2852" i="21"/>
  <c r="Z2852" i="21" s="1"/>
  <c r="AA2852" i="21" s="1"/>
  <c r="N2712" i="21"/>
  <c r="Z2712" i="21" s="1"/>
  <c r="AA2712" i="21" s="1"/>
  <c r="X2559" i="21"/>
  <c r="X2587" i="21"/>
  <c r="X2358" i="21"/>
  <c r="X2227" i="21"/>
  <c r="X2188" i="21"/>
  <c r="X2165" i="21"/>
  <c r="X2102" i="21"/>
  <c r="X1670" i="21"/>
  <c r="X1603" i="21"/>
  <c r="X1600" i="21"/>
  <c r="X1454" i="21"/>
  <c r="X1374" i="21"/>
  <c r="X1416" i="21"/>
  <c r="J1037" i="21"/>
  <c r="X1037" i="21" s="1"/>
  <c r="N2949" i="21"/>
  <c r="Z2949" i="21" s="1"/>
  <c r="AA2949" i="21" s="1"/>
  <c r="N2274" i="21"/>
  <c r="Z2274" i="21" s="1"/>
  <c r="AA2274" i="21" s="1"/>
  <c r="N2242" i="21"/>
  <c r="Z2242" i="21" s="1"/>
  <c r="AA2242" i="21" s="1"/>
  <c r="N2178" i="21"/>
  <c r="Z2178" i="21" s="1"/>
  <c r="AA2178" i="21" s="1"/>
  <c r="X2055" i="21"/>
  <c r="J1016" i="21"/>
  <c r="X1016" i="21" s="1"/>
  <c r="N1634" i="21"/>
  <c r="Z1634" i="21" s="1"/>
  <c r="AA1634" i="21" s="1"/>
  <c r="N3794" i="21"/>
  <c r="Z3794" i="21" s="1"/>
  <c r="AA3794" i="21" s="1"/>
  <c r="N3801" i="21"/>
  <c r="Z3801" i="21" s="1"/>
  <c r="AA3801" i="21" s="1"/>
  <c r="N3452" i="21"/>
  <c r="Z3452" i="21" s="1"/>
  <c r="AA3452" i="21" s="1"/>
  <c r="X3131" i="21"/>
  <c r="N2987" i="21"/>
  <c r="Z2987" i="21" s="1"/>
  <c r="AA2987" i="21" s="1"/>
  <c r="X2226" i="21"/>
  <c r="X2270" i="21"/>
  <c r="X2117" i="21"/>
  <c r="N2206" i="21"/>
  <c r="Z2206" i="21" s="1"/>
  <c r="AA2206" i="21" s="1"/>
  <c r="X2134" i="21"/>
  <c r="N1891" i="21"/>
  <c r="Z1891" i="21" s="1"/>
  <c r="AA1891" i="21" s="1"/>
  <c r="N1780" i="21"/>
  <c r="Z1780" i="21" s="1"/>
  <c r="AA1780" i="21" s="1"/>
  <c r="N1704" i="21"/>
  <c r="Z1704" i="21" s="1"/>
  <c r="AA1704" i="21" s="1"/>
  <c r="N1706" i="21"/>
  <c r="Z1706" i="21" s="1"/>
  <c r="AA1706" i="21" s="1"/>
  <c r="N1610" i="21"/>
  <c r="Z1610" i="21" s="1"/>
  <c r="AA1610" i="21" s="1"/>
  <c r="X1578" i="21"/>
  <c r="X1655" i="21"/>
  <c r="X1495" i="21"/>
  <c r="X1201" i="21"/>
  <c r="J1053" i="21"/>
  <c r="X1053" i="21" s="1"/>
  <c r="J1155" i="21"/>
  <c r="N1155" i="21" s="1"/>
  <c r="Z1155" i="21" s="1"/>
  <c r="AA1155" i="21" s="1"/>
  <c r="J1068" i="21"/>
  <c r="X1068" i="21" s="1"/>
  <c r="X3571" i="21"/>
  <c r="X3361" i="21"/>
  <c r="N3084" i="21"/>
  <c r="Z3084" i="21" s="1"/>
  <c r="AA3084" i="21" s="1"/>
  <c r="N3068" i="21"/>
  <c r="Z3068" i="21" s="1"/>
  <c r="AA3068" i="21" s="1"/>
  <c r="N3052" i="21"/>
  <c r="Z3052" i="21" s="1"/>
  <c r="AA3052" i="21" s="1"/>
  <c r="X2833" i="21"/>
  <c r="N2745" i="21"/>
  <c r="Z2745" i="21" s="1"/>
  <c r="AA2745" i="21" s="1"/>
  <c r="N2729" i="21"/>
  <c r="Z2729" i="21" s="1"/>
  <c r="AA2729" i="21" s="1"/>
  <c r="X2344" i="21"/>
  <c r="N2133" i="21"/>
  <c r="Z2133" i="21" s="1"/>
  <c r="AA2133" i="21" s="1"/>
  <c r="N1927" i="21"/>
  <c r="Z1927" i="21" s="1"/>
  <c r="AA1927" i="21" s="1"/>
  <c r="N1919" i="21"/>
  <c r="Z1919" i="21" s="1"/>
  <c r="AA1919" i="21" s="1"/>
  <c r="N1889" i="21"/>
  <c r="Z1889" i="21" s="1"/>
  <c r="AA1889" i="21" s="1"/>
  <c r="X1597" i="21"/>
  <c r="N1494" i="21"/>
  <c r="Z1494" i="21" s="1"/>
  <c r="AA1494" i="21" s="1"/>
  <c r="N1427" i="21"/>
  <c r="Z1427" i="21" s="1"/>
  <c r="AA1427" i="21" s="1"/>
  <c r="N1011" i="21"/>
  <c r="Z1011" i="21" s="1"/>
  <c r="AA1011" i="21" s="1"/>
  <c r="N2635" i="21"/>
  <c r="Z2635" i="21" s="1"/>
  <c r="AA2635" i="21" s="1"/>
  <c r="J1034" i="21"/>
  <c r="N1034" i="21" s="1"/>
  <c r="Z1034" i="21" s="1"/>
  <c r="AA1034" i="21" s="1"/>
  <c r="J1074" i="21"/>
  <c r="N1074" i="21" s="1"/>
  <c r="Z1074" i="21" s="1"/>
  <c r="AA1074" i="21" s="1"/>
  <c r="M1090" i="21"/>
  <c r="N1090" i="21" s="1"/>
  <c r="Z1090" i="21" s="1"/>
  <c r="AA1090" i="21" s="1"/>
  <c r="J1133" i="21"/>
  <c r="X1133" i="21" s="1"/>
  <c r="J1146" i="21"/>
  <c r="J1154" i="21"/>
  <c r="X1154" i="21" s="1"/>
  <c r="N3949" i="21"/>
  <c r="Z3949" i="21" s="1"/>
  <c r="AA3949" i="21" s="1"/>
  <c r="X3807" i="21"/>
  <c r="X3552" i="21"/>
  <c r="N3494" i="21"/>
  <c r="Z3494" i="21" s="1"/>
  <c r="AA3494" i="21" s="1"/>
  <c r="N3440" i="21"/>
  <c r="Z3440" i="21" s="1"/>
  <c r="AA3440" i="21" s="1"/>
  <c r="X3212" i="21"/>
  <c r="N3164" i="21"/>
  <c r="Z3164" i="21" s="1"/>
  <c r="AA3164" i="21" s="1"/>
  <c r="N2999" i="21"/>
  <c r="Z2999" i="21" s="1"/>
  <c r="AA2999" i="21" s="1"/>
  <c r="X3006" i="21"/>
  <c r="X2982" i="21"/>
  <c r="N2901" i="21"/>
  <c r="Z2901" i="21" s="1"/>
  <c r="AA2901" i="21" s="1"/>
  <c r="N2881" i="21"/>
  <c r="Z2881" i="21" s="1"/>
  <c r="AA2881" i="21" s="1"/>
  <c r="N2709" i="21"/>
  <c r="Z2709" i="21" s="1"/>
  <c r="AA2709" i="21" s="1"/>
  <c r="X2823" i="21"/>
  <c r="N2672" i="21"/>
  <c r="Z2672" i="21" s="1"/>
  <c r="AA2672" i="21" s="1"/>
  <c r="N2658" i="21"/>
  <c r="Z2658" i="21" s="1"/>
  <c r="AA2658" i="21" s="1"/>
  <c r="N2552" i="21"/>
  <c r="Z2552" i="21" s="1"/>
  <c r="AA2552" i="21" s="1"/>
  <c r="X2475" i="21"/>
  <c r="N2494" i="21"/>
  <c r="Z2494" i="21" s="1"/>
  <c r="AA2494" i="21" s="1"/>
  <c r="N2486" i="21"/>
  <c r="Z2486" i="21" s="1"/>
  <c r="AA2486" i="21" s="1"/>
  <c r="N2290" i="21"/>
  <c r="Z2290" i="21" s="1"/>
  <c r="AA2290" i="21" s="1"/>
  <c r="X2107" i="21"/>
  <c r="X2116" i="21"/>
  <c r="N1953" i="21"/>
  <c r="Z1953" i="21" s="1"/>
  <c r="AA1953" i="21" s="1"/>
  <c r="N1553" i="21"/>
  <c r="Z1553" i="21" s="1"/>
  <c r="AA1553" i="21" s="1"/>
  <c r="N1482" i="21"/>
  <c r="Z1482" i="21" s="1"/>
  <c r="AA1482" i="21" s="1"/>
  <c r="N1385" i="21"/>
  <c r="Z1385" i="21" s="1"/>
  <c r="AA1385" i="21" s="1"/>
  <c r="N2304" i="21"/>
  <c r="Z2304" i="21" s="1"/>
  <c r="AA2304" i="21" s="1"/>
  <c r="N3753" i="21"/>
  <c r="Z3753" i="21" s="1"/>
  <c r="AA3753" i="21" s="1"/>
  <c r="N3303" i="21"/>
  <c r="Z3303" i="21" s="1"/>
  <c r="AA3303" i="21" s="1"/>
  <c r="N3171" i="21"/>
  <c r="Z3171" i="21" s="1"/>
  <c r="AA3171" i="21" s="1"/>
  <c r="N3163" i="21"/>
  <c r="Z3163" i="21" s="1"/>
  <c r="AA3163" i="21" s="1"/>
  <c r="N3155" i="21"/>
  <c r="Z3155" i="21" s="1"/>
  <c r="AA3155" i="21" s="1"/>
  <c r="N3147" i="21"/>
  <c r="Z3147" i="21" s="1"/>
  <c r="AA3147" i="21" s="1"/>
  <c r="N3032" i="21"/>
  <c r="Z3032" i="21" s="1"/>
  <c r="AA3032" i="21" s="1"/>
  <c r="X3113" i="21"/>
  <c r="X3500" i="21"/>
  <c r="N2753" i="21"/>
  <c r="Z2753" i="21" s="1"/>
  <c r="AA2753" i="21" s="1"/>
  <c r="X2356" i="21"/>
  <c r="N2302" i="21"/>
  <c r="Z2302" i="21" s="1"/>
  <c r="AA2302" i="21" s="1"/>
  <c r="N2072" i="21"/>
  <c r="Z2072" i="21" s="1"/>
  <c r="AA2072" i="21" s="1"/>
  <c r="N2060" i="21"/>
  <c r="Z2060" i="21" s="1"/>
  <c r="AA2060" i="21" s="1"/>
  <c r="X2130" i="21"/>
  <c r="N1973" i="21"/>
  <c r="Z1973" i="21" s="1"/>
  <c r="AA1973" i="21" s="1"/>
  <c r="N1917" i="21"/>
  <c r="Z1917" i="21" s="1"/>
  <c r="AA1917" i="21" s="1"/>
  <c r="N1909" i="21"/>
  <c r="Z1909" i="21" s="1"/>
  <c r="AA1909" i="21" s="1"/>
  <c r="N1778" i="21"/>
  <c r="Z1778" i="21" s="1"/>
  <c r="AA1778" i="21" s="1"/>
  <c r="N1766" i="21"/>
  <c r="Z1766" i="21" s="1"/>
  <c r="AA1766" i="21" s="1"/>
  <c r="N1758" i="21"/>
  <c r="Z1758" i="21" s="1"/>
  <c r="AA1758" i="21" s="1"/>
  <c r="N1575" i="21"/>
  <c r="Z1575" i="21" s="1"/>
  <c r="AA1575" i="21" s="1"/>
  <c r="X1498" i="21"/>
  <c r="N1441" i="21"/>
  <c r="Z1441" i="21" s="1"/>
  <c r="AA1441" i="21" s="1"/>
  <c r="J1067" i="21"/>
  <c r="N1067" i="21" s="1"/>
  <c r="Z1067" i="21" s="1"/>
  <c r="AA1067" i="21" s="1"/>
  <c r="X2254" i="21"/>
  <c r="N2254" i="21"/>
  <c r="Z2254" i="21" s="1"/>
  <c r="AA2254" i="21" s="1"/>
  <c r="N2142" i="21"/>
  <c r="Z2142" i="21" s="1"/>
  <c r="AA2142" i="21" s="1"/>
  <c r="X2142" i="21"/>
  <c r="J1013" i="21"/>
  <c r="X1013" i="21" s="1"/>
  <c r="M1013" i="21"/>
  <c r="N3732" i="21"/>
  <c r="Z3732" i="21" s="1"/>
  <c r="AA3732" i="21" s="1"/>
  <c r="X3386" i="21"/>
  <c r="N3403" i="21"/>
  <c r="Z3403" i="21" s="1"/>
  <c r="AA3403" i="21" s="1"/>
  <c r="N3279" i="21"/>
  <c r="Z3279" i="21" s="1"/>
  <c r="AA3279" i="21" s="1"/>
  <c r="X3189" i="21"/>
  <c r="N3102" i="21"/>
  <c r="Z3102" i="21" s="1"/>
  <c r="AA3102" i="21" s="1"/>
  <c r="N1873" i="21"/>
  <c r="Z1873" i="21" s="1"/>
  <c r="AA1873" i="21" s="1"/>
  <c r="X1873" i="21"/>
  <c r="N2084" i="21"/>
  <c r="Z2084" i="21" s="1"/>
  <c r="AA2084" i="21" s="1"/>
  <c r="X2084" i="21"/>
  <c r="N2190" i="21"/>
  <c r="Z2190" i="21" s="1"/>
  <c r="AA2190" i="21" s="1"/>
  <c r="X2190" i="21"/>
  <c r="X2110" i="21"/>
  <c r="N2110" i="21"/>
  <c r="Z2110" i="21" s="1"/>
  <c r="AA2110" i="21" s="1"/>
  <c r="X2590" i="21"/>
  <c r="N2590" i="21"/>
  <c r="Z2590" i="21" s="1"/>
  <c r="AA2590" i="21" s="1"/>
  <c r="N2433" i="21"/>
  <c r="Z2433" i="21" s="1"/>
  <c r="AA2433" i="21" s="1"/>
  <c r="X2433" i="21"/>
  <c r="X4019" i="21"/>
  <c r="N3229" i="21"/>
  <c r="Z3229" i="21" s="1"/>
  <c r="AA3229" i="21" s="1"/>
  <c r="N3221" i="21"/>
  <c r="Z3221" i="21" s="1"/>
  <c r="AA3221" i="21" s="1"/>
  <c r="X3204" i="21"/>
  <c r="X3137" i="21"/>
  <c r="N2975" i="21"/>
  <c r="Z2975" i="21" s="1"/>
  <c r="AA2975" i="21" s="1"/>
  <c r="N2707" i="21"/>
  <c r="Z2707" i="21" s="1"/>
  <c r="AA2707" i="21" s="1"/>
  <c r="N2413" i="21"/>
  <c r="Z2413" i="21" s="1"/>
  <c r="AA2413" i="21" s="1"/>
  <c r="X2413" i="21"/>
  <c r="J1025" i="21"/>
  <c r="X1025" i="21" s="1"/>
  <c r="M1025" i="21"/>
  <c r="N1434" i="21"/>
  <c r="Z1434" i="21" s="1"/>
  <c r="AA1434" i="21" s="1"/>
  <c r="X1434" i="21"/>
  <c r="X1946" i="21"/>
  <c r="N1946" i="21"/>
  <c r="Z1946" i="21" s="1"/>
  <c r="AA1946" i="21" s="1"/>
  <c r="N1566" i="21"/>
  <c r="Z1566" i="21" s="1"/>
  <c r="AA1566" i="21" s="1"/>
  <c r="X1566" i="21"/>
  <c r="N1687" i="21"/>
  <c r="Z1687" i="21" s="1"/>
  <c r="AA1687" i="21" s="1"/>
  <c r="X1687" i="21"/>
  <c r="X1586" i="21"/>
  <c r="N1586" i="21"/>
  <c r="Z1586" i="21" s="1"/>
  <c r="AA1586" i="21" s="1"/>
  <c r="X1523" i="21"/>
  <c r="N1523" i="21"/>
  <c r="Z1523" i="21" s="1"/>
  <c r="AA1523" i="21" s="1"/>
  <c r="X1699" i="21"/>
  <c r="N1699" i="21"/>
  <c r="Z1699" i="21" s="1"/>
  <c r="AA1699" i="21" s="1"/>
  <c r="N1574" i="21"/>
  <c r="Z1574" i="21" s="1"/>
  <c r="AA1574" i="21" s="1"/>
  <c r="X1574" i="21"/>
  <c r="N1618" i="21"/>
  <c r="Z1618" i="21" s="1"/>
  <c r="AA1618" i="21" s="1"/>
  <c r="X1618" i="21"/>
  <c r="M1059" i="21"/>
  <c r="J1059" i="21"/>
  <c r="X1059" i="21" s="1"/>
  <c r="N3881" i="21"/>
  <c r="Z3881" i="21" s="1"/>
  <c r="AA3881" i="21" s="1"/>
  <c r="N3725" i="21"/>
  <c r="Z3725" i="21" s="1"/>
  <c r="AA3725" i="21" s="1"/>
  <c r="N3593" i="21"/>
  <c r="Z3593" i="21" s="1"/>
  <c r="AA3593" i="21" s="1"/>
  <c r="N3596" i="21"/>
  <c r="Z3596" i="21" s="1"/>
  <c r="AA3596" i="21" s="1"/>
  <c r="N3324" i="21"/>
  <c r="Z3324" i="21" s="1"/>
  <c r="AA3324" i="21" s="1"/>
  <c r="X2928" i="21"/>
  <c r="N2897" i="21"/>
  <c r="Z2897" i="21" s="1"/>
  <c r="AA2897" i="21" s="1"/>
  <c r="X2688" i="21"/>
  <c r="N2063" i="21"/>
  <c r="Z2063" i="21" s="1"/>
  <c r="AA2063" i="21" s="1"/>
  <c r="X2063" i="21"/>
  <c r="M1147" i="21"/>
  <c r="J1147" i="21"/>
  <c r="X1147" i="21" s="1"/>
  <c r="M1119" i="21"/>
  <c r="J1119" i="21"/>
  <c r="X1119" i="21" s="1"/>
  <c r="X2633" i="21"/>
  <c r="N2633" i="21"/>
  <c r="Z2633" i="21" s="1"/>
  <c r="AA2633" i="21" s="1"/>
  <c r="N2277" i="21"/>
  <c r="Z2277" i="21" s="1"/>
  <c r="AA2277" i="21" s="1"/>
  <c r="X2277" i="21"/>
  <c r="N1120" i="21"/>
  <c r="Z1120" i="21" s="1"/>
  <c r="AA1120" i="21" s="1"/>
  <c r="X1120" i="21"/>
  <c r="N3572" i="21"/>
  <c r="Z3572" i="21" s="1"/>
  <c r="AA3572" i="21" s="1"/>
  <c r="X3370" i="21"/>
  <c r="N3128" i="21"/>
  <c r="Z3128" i="21" s="1"/>
  <c r="AA3128" i="21" s="1"/>
  <c r="N2713" i="21"/>
  <c r="Z2713" i="21" s="1"/>
  <c r="AA2713" i="21" s="1"/>
  <c r="N2705" i="21"/>
  <c r="Z2705" i="21" s="1"/>
  <c r="AA2705" i="21" s="1"/>
  <c r="N2697" i="21"/>
  <c r="Z2697" i="21" s="1"/>
  <c r="AA2697" i="21" s="1"/>
  <c r="N2689" i="21"/>
  <c r="Z2689" i="21" s="1"/>
  <c r="AA2689" i="21" s="1"/>
  <c r="N2681" i="21"/>
  <c r="Z2681" i="21" s="1"/>
  <c r="AA2681" i="21" s="1"/>
  <c r="N2747" i="21"/>
  <c r="Z2747" i="21" s="1"/>
  <c r="AA2747" i="21" s="1"/>
  <c r="N2731" i="21"/>
  <c r="Z2731" i="21" s="1"/>
  <c r="AA2731" i="21" s="1"/>
  <c r="M1051" i="21"/>
  <c r="J1051" i="21"/>
  <c r="X1051" i="21" s="1"/>
  <c r="M1099" i="21"/>
  <c r="J1099" i="21"/>
  <c r="M1094" i="21"/>
  <c r="J1094" i="21"/>
  <c r="X1094" i="21" s="1"/>
  <c r="X2213" i="21"/>
  <c r="N2213" i="21"/>
  <c r="Z2213" i="21" s="1"/>
  <c r="AA2213" i="21" s="1"/>
  <c r="N2021" i="21"/>
  <c r="Z2021" i="21" s="1"/>
  <c r="AA2021" i="21" s="1"/>
  <c r="X2021" i="21"/>
  <c r="X3814" i="21"/>
  <c r="N3464" i="21"/>
  <c r="Z3464" i="21" s="1"/>
  <c r="AA3464" i="21" s="1"/>
  <c r="X3467" i="21"/>
  <c r="N3080" i="21"/>
  <c r="Z3080" i="21" s="1"/>
  <c r="AA3080" i="21" s="1"/>
  <c r="N3048" i="21"/>
  <c r="Z3048" i="21" s="1"/>
  <c r="AA3048" i="21" s="1"/>
  <c r="N3016" i="21"/>
  <c r="Z3016" i="21" s="1"/>
  <c r="AA3016" i="21" s="1"/>
  <c r="N2893" i="21"/>
  <c r="Z2893" i="21" s="1"/>
  <c r="AA2893" i="21" s="1"/>
  <c r="J1148" i="21"/>
  <c r="X1148" i="21" s="1"/>
  <c r="X2056" i="21"/>
  <c r="N2056" i="21"/>
  <c r="Z2056" i="21" s="1"/>
  <c r="AA2056" i="21" s="1"/>
  <c r="N3704" i="21"/>
  <c r="Z3704" i="21" s="1"/>
  <c r="AA3704" i="21" s="1"/>
  <c r="X3451" i="21"/>
  <c r="N2711" i="21"/>
  <c r="Z2711" i="21" s="1"/>
  <c r="AA2711" i="21" s="1"/>
  <c r="N2128" i="21"/>
  <c r="Z2128" i="21" s="1"/>
  <c r="AA2128" i="21" s="1"/>
  <c r="X2128" i="21"/>
  <c r="X2594" i="21"/>
  <c r="N2594" i="21"/>
  <c r="Z2594" i="21" s="1"/>
  <c r="AA2594" i="21" s="1"/>
  <c r="X2400" i="21"/>
  <c r="N2400" i="21"/>
  <c r="Z2400" i="21" s="1"/>
  <c r="AA2400" i="21" s="1"/>
  <c r="N2378" i="21"/>
  <c r="Z2378" i="21" s="1"/>
  <c r="AA2378" i="21" s="1"/>
  <c r="X2378" i="21"/>
  <c r="X2346" i="21"/>
  <c r="N2346" i="21"/>
  <c r="Z2346" i="21" s="1"/>
  <c r="AA2346" i="21" s="1"/>
  <c r="N2079" i="21"/>
  <c r="Z2079" i="21" s="1"/>
  <c r="AA2079" i="21" s="1"/>
  <c r="X2079" i="21"/>
  <c r="X2148" i="21"/>
  <c r="N2148" i="21"/>
  <c r="Z2148" i="21" s="1"/>
  <c r="AA2148" i="21" s="1"/>
  <c r="N3889" i="21"/>
  <c r="Z3889" i="21" s="1"/>
  <c r="AA3889" i="21" s="1"/>
  <c r="N3612" i="21"/>
  <c r="Z3612" i="21" s="1"/>
  <c r="AA3612" i="21" s="1"/>
  <c r="N3726" i="21"/>
  <c r="Z3726" i="21" s="1"/>
  <c r="AA3726" i="21" s="1"/>
  <c r="N3316" i="21"/>
  <c r="Z3316" i="21" s="1"/>
  <c r="AA3316" i="21" s="1"/>
  <c r="N3175" i="21"/>
  <c r="Z3175" i="21" s="1"/>
  <c r="AA3175" i="21" s="1"/>
  <c r="N3167" i="21"/>
  <c r="Z3167" i="21" s="1"/>
  <c r="AA3167" i="21" s="1"/>
  <c r="N3159" i="21"/>
  <c r="Z3159" i="21" s="1"/>
  <c r="AA3159" i="21" s="1"/>
  <c r="N3151" i="21"/>
  <c r="Z3151" i="21" s="1"/>
  <c r="AA3151" i="21" s="1"/>
  <c r="N3126" i="21"/>
  <c r="Z3126" i="21" s="1"/>
  <c r="AA3126" i="21" s="1"/>
  <c r="N2865" i="21"/>
  <c r="Z2865" i="21" s="1"/>
  <c r="AA2865" i="21" s="1"/>
  <c r="N2857" i="21"/>
  <c r="Z2857" i="21" s="1"/>
  <c r="AA2857" i="21" s="1"/>
  <c r="N2849" i="21"/>
  <c r="Z2849" i="21" s="1"/>
  <c r="AA2849" i="21" s="1"/>
  <c r="N2841" i="21"/>
  <c r="Z2841" i="21" s="1"/>
  <c r="AA2841" i="21" s="1"/>
  <c r="N2824" i="21"/>
  <c r="Z2824" i="21" s="1"/>
  <c r="AA2824" i="21" s="1"/>
  <c r="N2816" i="21"/>
  <c r="Z2816" i="21" s="1"/>
  <c r="AA2816" i="21" s="1"/>
  <c r="N2808" i="21"/>
  <c r="Z2808" i="21" s="1"/>
  <c r="AA2808" i="21" s="1"/>
  <c r="N2800" i="21"/>
  <c r="Z2800" i="21" s="1"/>
  <c r="AA2800" i="21" s="1"/>
  <c r="N2792" i="21"/>
  <c r="Z2792" i="21" s="1"/>
  <c r="AA2792" i="21" s="1"/>
  <c r="N2784" i="21"/>
  <c r="Z2784" i="21" s="1"/>
  <c r="AA2784" i="21" s="1"/>
  <c r="N2776" i="21"/>
  <c r="Z2776" i="21" s="1"/>
  <c r="AA2776" i="21" s="1"/>
  <c r="N2768" i="21"/>
  <c r="Z2768" i="21" s="1"/>
  <c r="AA2768" i="21" s="1"/>
  <c r="N1508" i="21"/>
  <c r="Z1508" i="21" s="1"/>
  <c r="AA1508" i="21" s="1"/>
  <c r="X1508" i="21"/>
  <c r="N2703" i="21"/>
  <c r="Z2703" i="21" s="1"/>
  <c r="AA2703" i="21" s="1"/>
  <c r="N2695" i="21"/>
  <c r="Z2695" i="21" s="1"/>
  <c r="AA2695" i="21" s="1"/>
  <c r="N2687" i="21"/>
  <c r="Z2687" i="21" s="1"/>
  <c r="AA2687" i="21" s="1"/>
  <c r="N2679" i="21"/>
  <c r="Z2679" i="21" s="1"/>
  <c r="AA2679" i="21" s="1"/>
  <c r="N2656" i="21"/>
  <c r="Z2656" i="21" s="1"/>
  <c r="AA2656" i="21" s="1"/>
  <c r="X2636" i="21"/>
  <c r="X2415" i="21"/>
  <c r="N2321" i="21"/>
  <c r="Z2321" i="21" s="1"/>
  <c r="AA2321" i="21" s="1"/>
  <c r="X2380" i="21"/>
  <c r="X2161" i="21"/>
  <c r="N2064" i="21"/>
  <c r="Z2064" i="21" s="1"/>
  <c r="AA2064" i="21" s="1"/>
  <c r="N1991" i="21"/>
  <c r="Z1991" i="21" s="1"/>
  <c r="AA1991" i="21" s="1"/>
  <c r="N1967" i="21"/>
  <c r="Z1967" i="21" s="1"/>
  <c r="AA1967" i="21" s="1"/>
  <c r="N1923" i="21"/>
  <c r="Z1923" i="21" s="1"/>
  <c r="AA1923" i="21" s="1"/>
  <c r="X1861" i="21"/>
  <c r="N1750" i="21"/>
  <c r="Z1750" i="21" s="1"/>
  <c r="AA1750" i="21" s="1"/>
  <c r="N1742" i="21"/>
  <c r="Z1742" i="21" s="1"/>
  <c r="AA1742" i="21" s="1"/>
  <c r="N1734" i="21"/>
  <c r="Z1734" i="21" s="1"/>
  <c r="AA1734" i="21" s="1"/>
  <c r="N1724" i="21"/>
  <c r="Z1724" i="21" s="1"/>
  <c r="AA1724" i="21" s="1"/>
  <c r="N1692" i="21"/>
  <c r="Z1692" i="21" s="1"/>
  <c r="AA1692" i="21" s="1"/>
  <c r="N1447" i="21"/>
  <c r="Z1447" i="21" s="1"/>
  <c r="AA1447" i="21" s="1"/>
  <c r="X2015" i="21"/>
  <c r="J1020" i="21"/>
  <c r="X1020" i="21" s="1"/>
  <c r="J1100" i="21"/>
  <c r="X1100" i="21" s="1"/>
  <c r="N1142" i="21"/>
  <c r="Z1142" i="21" s="1"/>
  <c r="AA1142" i="21" s="1"/>
  <c r="M1110" i="21"/>
  <c r="N1110" i="21" s="1"/>
  <c r="Z1110" i="21" s="1"/>
  <c r="AA1110" i="21" s="1"/>
  <c r="N1879" i="21"/>
  <c r="Z1879" i="21" s="1"/>
  <c r="AA1879" i="21" s="1"/>
  <c r="N1712" i="21"/>
  <c r="Z1712" i="21" s="1"/>
  <c r="AA1712" i="21" s="1"/>
  <c r="N1680" i="21"/>
  <c r="Z1680" i="21" s="1"/>
  <c r="AA1680" i="21" s="1"/>
  <c r="X1522" i="21"/>
  <c r="X1502" i="21"/>
  <c r="J1040" i="21"/>
  <c r="X1040" i="21" s="1"/>
  <c r="J1116" i="21"/>
  <c r="N1162" i="21"/>
  <c r="Z1162" i="21" s="1"/>
  <c r="AA1162" i="21" s="1"/>
  <c r="N2701" i="21"/>
  <c r="Z2701" i="21" s="1"/>
  <c r="AA2701" i="21" s="1"/>
  <c r="N2693" i="21"/>
  <c r="Z2693" i="21" s="1"/>
  <c r="AA2693" i="21" s="1"/>
  <c r="N2685" i="21"/>
  <c r="Z2685" i="21" s="1"/>
  <c r="AA2685" i="21" s="1"/>
  <c r="N2739" i="21"/>
  <c r="Z2739" i="21" s="1"/>
  <c r="AA2739" i="21" s="1"/>
  <c r="N2723" i="21"/>
  <c r="Z2723" i="21" s="1"/>
  <c r="AA2723" i="21" s="1"/>
  <c r="N2480" i="21"/>
  <c r="Z2480" i="21" s="1"/>
  <c r="AA2480" i="21" s="1"/>
  <c r="N2472" i="21"/>
  <c r="Z2472" i="21" s="1"/>
  <c r="AA2472" i="21" s="1"/>
  <c r="N2464" i="21"/>
  <c r="Z2464" i="21" s="1"/>
  <c r="AA2464" i="21" s="1"/>
  <c r="N2456" i="21"/>
  <c r="Z2456" i="21" s="1"/>
  <c r="AA2456" i="21" s="1"/>
  <c r="N2448" i="21"/>
  <c r="Z2448" i="21" s="1"/>
  <c r="AA2448" i="21" s="1"/>
  <c r="N2440" i="21"/>
  <c r="Z2440" i="21" s="1"/>
  <c r="AA2440" i="21" s="1"/>
  <c r="N2432" i="21"/>
  <c r="Z2432" i="21" s="1"/>
  <c r="AA2432" i="21" s="1"/>
  <c r="N2424" i="21"/>
  <c r="Z2424" i="21" s="1"/>
  <c r="AA2424" i="21" s="1"/>
  <c r="X2289" i="21"/>
  <c r="N2020" i="21"/>
  <c r="Z2020" i="21" s="1"/>
  <c r="AA2020" i="21" s="1"/>
  <c r="N2012" i="21"/>
  <c r="Z2012" i="21" s="1"/>
  <c r="AA2012" i="21" s="1"/>
  <c r="X2251" i="21"/>
  <c r="N1808" i="21"/>
  <c r="Z1808" i="21" s="1"/>
  <c r="AA1808" i="21" s="1"/>
  <c r="N1421" i="21"/>
  <c r="Z1421" i="21" s="1"/>
  <c r="AA1421" i="21" s="1"/>
  <c r="N2129" i="21"/>
  <c r="Z2129" i="21" s="1"/>
  <c r="AA2129" i="21" s="1"/>
  <c r="J1038" i="21"/>
  <c r="J1141" i="21"/>
  <c r="X1141" i="21" s="1"/>
  <c r="J1062" i="21"/>
  <c r="N2294" i="21"/>
  <c r="Z2294" i="21" s="1"/>
  <c r="AA2294" i="21" s="1"/>
  <c r="X2039" i="21"/>
  <c r="X1877" i="21"/>
  <c r="N1850" i="21"/>
  <c r="Z1850" i="21" s="1"/>
  <c r="AA1850" i="21" s="1"/>
  <c r="N1842" i="21"/>
  <c r="Z1842" i="21" s="1"/>
  <c r="AA1842" i="21" s="1"/>
  <c r="N1834" i="21"/>
  <c r="Z1834" i="21" s="1"/>
  <c r="AA1834" i="21" s="1"/>
  <c r="N1826" i="21"/>
  <c r="Z1826" i="21" s="1"/>
  <c r="AA1826" i="21" s="1"/>
  <c r="N1818" i="21"/>
  <c r="Z1818" i="21" s="1"/>
  <c r="AA1818" i="21" s="1"/>
  <c r="N1810" i="21"/>
  <c r="Z1810" i="21" s="1"/>
  <c r="AA1810" i="21" s="1"/>
  <c r="N1772" i="21"/>
  <c r="Z1772" i="21" s="1"/>
  <c r="AA1772" i="21" s="1"/>
  <c r="N1720" i="21"/>
  <c r="Z1720" i="21" s="1"/>
  <c r="AA1720" i="21" s="1"/>
  <c r="N1688" i="21"/>
  <c r="Z1688" i="21" s="1"/>
  <c r="AA1688" i="21" s="1"/>
  <c r="N1702" i="21"/>
  <c r="Z1702" i="21" s="1"/>
  <c r="AA1702" i="21" s="1"/>
  <c r="X1510" i="21"/>
  <c r="N1478" i="21"/>
  <c r="Z1478" i="21" s="1"/>
  <c r="AA1478" i="21" s="1"/>
  <c r="J1060" i="21"/>
  <c r="X1060" i="21" s="1"/>
  <c r="N2699" i="21"/>
  <c r="Z2699" i="21" s="1"/>
  <c r="AA2699" i="21" s="1"/>
  <c r="N2691" i="21"/>
  <c r="Z2691" i="21" s="1"/>
  <c r="AA2691" i="21" s="1"/>
  <c r="N2683" i="21"/>
  <c r="Z2683" i="21" s="1"/>
  <c r="AA2683" i="21" s="1"/>
  <c r="N2662" i="21"/>
  <c r="Z2662" i="21" s="1"/>
  <c r="AA2662" i="21" s="1"/>
  <c r="X2360" i="21"/>
  <c r="N1999" i="21"/>
  <c r="Z1999" i="21" s="1"/>
  <c r="AA1999" i="21" s="1"/>
  <c r="N1971" i="21"/>
  <c r="Z1971" i="21" s="1"/>
  <c r="AA1971" i="21" s="1"/>
  <c r="N1804" i="21"/>
  <c r="Z1804" i="21" s="1"/>
  <c r="AA1804" i="21" s="1"/>
  <c r="N1754" i="21"/>
  <c r="Z1754" i="21" s="1"/>
  <c r="AA1754" i="21" s="1"/>
  <c r="N1746" i="21"/>
  <c r="Z1746" i="21" s="1"/>
  <c r="AA1746" i="21" s="1"/>
  <c r="N1738" i="21"/>
  <c r="Z1738" i="21" s="1"/>
  <c r="AA1738" i="21" s="1"/>
  <c r="N1708" i="21"/>
  <c r="Z1708" i="21" s="1"/>
  <c r="AA1708" i="21" s="1"/>
  <c r="N1676" i="21"/>
  <c r="Z1676" i="21" s="1"/>
  <c r="AA1676" i="21" s="1"/>
  <c r="N1722" i="21"/>
  <c r="Z1722" i="21" s="1"/>
  <c r="AA1722" i="21" s="1"/>
  <c r="N1690" i="21"/>
  <c r="Z1690" i="21" s="1"/>
  <c r="AA1690" i="21" s="1"/>
  <c r="N1467" i="21"/>
  <c r="Z1467" i="21" s="1"/>
  <c r="AA1467" i="21" s="1"/>
  <c r="N1403" i="21"/>
  <c r="Z1403" i="21" s="1"/>
  <c r="AA1403" i="21" s="1"/>
  <c r="N1959" i="21"/>
  <c r="Z1959" i="21" s="1"/>
  <c r="AA1959" i="21" s="1"/>
  <c r="N1951" i="21"/>
  <c r="Z1951" i="21" s="1"/>
  <c r="AA1951" i="21" s="1"/>
  <c r="N2715" i="21"/>
  <c r="Z2715" i="21" s="1"/>
  <c r="AA2715" i="21" s="1"/>
  <c r="N2670" i="21"/>
  <c r="Z2670" i="21" s="1"/>
  <c r="AA2670" i="21" s="1"/>
  <c r="N2476" i="21"/>
  <c r="Z2476" i="21" s="1"/>
  <c r="AA2476" i="21" s="1"/>
  <c r="N2468" i="21"/>
  <c r="Z2468" i="21" s="1"/>
  <c r="AA2468" i="21" s="1"/>
  <c r="N2460" i="21"/>
  <c r="Z2460" i="21" s="1"/>
  <c r="AA2460" i="21" s="1"/>
  <c r="N2452" i="21"/>
  <c r="Z2452" i="21" s="1"/>
  <c r="AA2452" i="21" s="1"/>
  <c r="N2444" i="21"/>
  <c r="Z2444" i="21" s="1"/>
  <c r="AA2444" i="21" s="1"/>
  <c r="N2436" i="21"/>
  <c r="Z2436" i="21" s="1"/>
  <c r="AA2436" i="21" s="1"/>
  <c r="N2428" i="21"/>
  <c r="Z2428" i="21" s="1"/>
  <c r="AA2428" i="21" s="1"/>
  <c r="N2420" i="21"/>
  <c r="Z2420" i="21" s="1"/>
  <c r="AA2420" i="21" s="1"/>
  <c r="N2048" i="21"/>
  <c r="Z2048" i="21" s="1"/>
  <c r="AA2048" i="21" s="1"/>
  <c r="N2040" i="21"/>
  <c r="Z2040" i="21" s="1"/>
  <c r="AA2040" i="21" s="1"/>
  <c r="N2032" i="21"/>
  <c r="Z2032" i="21" s="1"/>
  <c r="AA2032" i="21" s="1"/>
  <c r="N2024" i="21"/>
  <c r="Z2024" i="21" s="1"/>
  <c r="AA2024" i="21" s="1"/>
  <c r="N2016" i="21"/>
  <c r="Z2016" i="21" s="1"/>
  <c r="AA2016" i="21" s="1"/>
  <c r="N2008" i="21"/>
  <c r="Z2008" i="21" s="1"/>
  <c r="AA2008" i="21" s="1"/>
  <c r="N3627" i="21"/>
  <c r="Z3627" i="21" s="1"/>
  <c r="AA3627" i="21" s="1"/>
  <c r="N1800" i="21"/>
  <c r="Z1800" i="21" s="1"/>
  <c r="AA1800" i="21" s="1"/>
  <c r="N1770" i="21"/>
  <c r="Z1770" i="21" s="1"/>
  <c r="AA1770" i="21" s="1"/>
  <c r="N1762" i="21"/>
  <c r="Z1762" i="21" s="1"/>
  <c r="AA1762" i="21" s="1"/>
  <c r="X1630" i="21"/>
  <c r="N1730" i="21"/>
  <c r="Z1730" i="21" s="1"/>
  <c r="AA1730" i="21" s="1"/>
  <c r="N1698" i="21"/>
  <c r="Z1698" i="21" s="1"/>
  <c r="AA1698" i="21" s="1"/>
  <c r="N1552" i="21"/>
  <c r="Z1552" i="21" s="1"/>
  <c r="AA1552" i="21" s="1"/>
  <c r="N1544" i="21"/>
  <c r="Z1544" i="21" s="1"/>
  <c r="AA1544" i="21" s="1"/>
  <c r="N1536" i="21"/>
  <c r="Z1536" i="21" s="1"/>
  <c r="AA1536" i="21" s="1"/>
  <c r="N1528" i="21"/>
  <c r="Z1528" i="21" s="1"/>
  <c r="AA1528" i="21" s="1"/>
  <c r="N1417" i="21"/>
  <c r="Z1417" i="21" s="1"/>
  <c r="AA1417" i="21" s="1"/>
  <c r="N1395" i="21"/>
  <c r="Z1395" i="21" s="1"/>
  <c r="AA1395" i="21" s="1"/>
  <c r="X1370" i="21"/>
  <c r="N1027" i="21"/>
  <c r="Z1027" i="21" s="1"/>
  <c r="AA1027" i="21" s="1"/>
  <c r="J1000" i="21"/>
  <c r="X1000" i="21" s="1"/>
  <c r="J1157" i="21"/>
  <c r="X1157" i="21" s="1"/>
  <c r="J1012" i="21"/>
  <c r="X1012" i="21" s="1"/>
  <c r="N1122" i="21"/>
  <c r="Z1122" i="21" s="1"/>
  <c r="AA1122" i="21" s="1"/>
  <c r="N1126" i="21"/>
  <c r="Z1126" i="21" s="1"/>
  <c r="AA1126" i="21" s="1"/>
  <c r="X1126" i="21"/>
  <c r="N1134" i="21"/>
  <c r="Z1134" i="21" s="1"/>
  <c r="AA1134" i="21" s="1"/>
  <c r="X1134" i="21"/>
  <c r="J1145" i="21"/>
  <c r="X1145" i="21" s="1"/>
  <c r="N1130" i="21"/>
  <c r="Z1130" i="21" s="1"/>
  <c r="AA1130" i="21" s="1"/>
  <c r="J1125" i="21"/>
  <c r="J1118" i="21"/>
  <c r="X1118" i="21" s="1"/>
  <c r="J1124" i="21"/>
  <c r="X1142" i="21"/>
  <c r="N1128" i="21"/>
  <c r="Z1128" i="21" s="1"/>
  <c r="AA1128" i="21" s="1"/>
  <c r="X1111" i="21"/>
  <c r="X1109" i="21"/>
  <c r="N3292" i="21"/>
  <c r="Z3292" i="21" s="1"/>
  <c r="AA3292" i="21" s="1"/>
  <c r="X3292" i="21"/>
  <c r="N3266" i="21"/>
  <c r="Z3266" i="21" s="1"/>
  <c r="AA3266" i="21" s="1"/>
  <c r="X3266" i="21"/>
  <c r="X3264" i="21"/>
  <c r="N3264" i="21"/>
  <c r="Z3264" i="21" s="1"/>
  <c r="AA3264" i="21" s="1"/>
  <c r="N3240" i="21"/>
  <c r="Z3240" i="21" s="1"/>
  <c r="AA3240" i="21" s="1"/>
  <c r="X3240" i="21"/>
  <c r="X3217" i="21"/>
  <c r="N3217" i="21"/>
  <c r="Z3217" i="21" s="1"/>
  <c r="AA3217" i="21" s="1"/>
  <c r="N3197" i="21"/>
  <c r="Z3197" i="21" s="1"/>
  <c r="AA3197" i="21" s="1"/>
  <c r="X2627" i="21"/>
  <c r="N2627" i="21"/>
  <c r="Z2627" i="21" s="1"/>
  <c r="AA2627" i="21" s="1"/>
  <c r="N2619" i="21"/>
  <c r="Z2619" i="21" s="1"/>
  <c r="AA2619" i="21" s="1"/>
  <c r="X2619" i="21"/>
  <c r="N2611" i="21"/>
  <c r="Z2611" i="21" s="1"/>
  <c r="AA2611" i="21" s="1"/>
  <c r="X2611" i="21"/>
  <c r="X2545" i="21"/>
  <c r="N2545" i="21"/>
  <c r="Z2545" i="21" s="1"/>
  <c r="AA2545" i="21" s="1"/>
  <c r="N2595" i="21"/>
  <c r="Z2595" i="21" s="1"/>
  <c r="AA2595" i="21" s="1"/>
  <c r="X1918" i="21"/>
  <c r="N1918" i="21"/>
  <c r="Z1918" i="21" s="1"/>
  <c r="AA1918" i="21" s="1"/>
  <c r="X1912" i="21"/>
  <c r="N1912" i="21"/>
  <c r="Z1912" i="21" s="1"/>
  <c r="AA1912" i="21" s="1"/>
  <c r="X1910" i="21"/>
  <c r="N1910" i="21"/>
  <c r="Z1910" i="21" s="1"/>
  <c r="AA1910" i="21" s="1"/>
  <c r="J1097" i="21"/>
  <c r="X1097" i="21" s="1"/>
  <c r="J1101" i="21"/>
  <c r="N1101" i="21" s="1"/>
  <c r="Z1101" i="21" s="1"/>
  <c r="AA1101" i="21" s="1"/>
  <c r="J1102" i="21"/>
  <c r="N1102" i="21" s="1"/>
  <c r="Z1102" i="21" s="1"/>
  <c r="AA1102" i="21" s="1"/>
  <c r="J1085" i="21"/>
  <c r="X1085" i="21" s="1"/>
  <c r="M1085" i="21"/>
  <c r="J1103" i="21"/>
  <c r="X1103" i="21" s="1"/>
  <c r="M1103" i="21"/>
  <c r="J1079" i="21"/>
  <c r="X1079" i="21" s="1"/>
  <c r="J1080" i="21"/>
  <c r="N1072" i="21"/>
  <c r="Z1072" i="21" s="1"/>
  <c r="AA1072" i="21" s="1"/>
  <c r="J1075" i="21"/>
  <c r="N1075" i="21" s="1"/>
  <c r="Z1075" i="21" s="1"/>
  <c r="AA1075" i="21" s="1"/>
  <c r="J1076" i="21"/>
  <c r="J1071" i="21"/>
  <c r="J1069" i="21"/>
  <c r="N1069" i="21" s="1"/>
  <c r="Z1069" i="21" s="1"/>
  <c r="AA1069" i="21" s="1"/>
  <c r="J1066" i="21"/>
  <c r="J1070" i="21"/>
  <c r="J1042" i="21"/>
  <c r="N1017" i="21"/>
  <c r="Z1017" i="21" s="1"/>
  <c r="AA1017" i="21" s="1"/>
  <c r="J1052" i="21"/>
  <c r="X1052" i="21" s="1"/>
  <c r="J1057" i="21"/>
  <c r="X1057" i="21" s="1"/>
  <c r="J1028" i="21"/>
  <c r="J1022" i="21"/>
  <c r="X1022" i="21" s="1"/>
  <c r="J1056" i="21"/>
  <c r="N1049" i="21"/>
  <c r="Z1049" i="21" s="1"/>
  <c r="AA1049" i="21" s="1"/>
  <c r="N1055" i="21"/>
  <c r="Z1055" i="21" s="1"/>
  <c r="AA1055" i="21" s="1"/>
  <c r="N1031" i="21"/>
  <c r="Z1031" i="21" s="1"/>
  <c r="AA1031" i="21" s="1"/>
  <c r="J1002" i="21"/>
  <c r="J1004" i="21"/>
  <c r="X1004" i="21" s="1"/>
  <c r="N999" i="21"/>
  <c r="Z999" i="21" s="1"/>
  <c r="AA999" i="21" s="1"/>
  <c r="X2910" i="21"/>
  <c r="N2504" i="21"/>
  <c r="Z2504" i="21" s="1"/>
  <c r="AA2504" i="21" s="1"/>
  <c r="N2500" i="21"/>
  <c r="Z2500" i="21" s="1"/>
  <c r="AA2500" i="21" s="1"/>
  <c r="N2496" i="21"/>
  <c r="Z2496" i="21" s="1"/>
  <c r="AA2496" i="21" s="1"/>
  <c r="N2492" i="21"/>
  <c r="Z2492" i="21" s="1"/>
  <c r="AA2492" i="21" s="1"/>
  <c r="N2488" i="21"/>
  <c r="Z2488" i="21" s="1"/>
  <c r="AA2488" i="21" s="1"/>
  <c r="N2484" i="21"/>
  <c r="Z2484" i="21" s="1"/>
  <c r="AA2484" i="21" s="1"/>
  <c r="X2392" i="21"/>
  <c r="X2352" i="21"/>
  <c r="X2332" i="21"/>
  <c r="X1932" i="21"/>
  <c r="X1924" i="21"/>
  <c r="X1916" i="21"/>
  <c r="X1908" i="21"/>
  <c r="N1914" i="21"/>
  <c r="Z1914" i="21" s="1"/>
  <c r="AA1914" i="21" s="1"/>
  <c r="N1875" i="21"/>
  <c r="Z1875" i="21" s="1"/>
  <c r="AA1875" i="21" s="1"/>
  <c r="N1624" i="21"/>
  <c r="Z1624" i="21" s="1"/>
  <c r="AA1624" i="21" s="1"/>
  <c r="N1604" i="21"/>
  <c r="Z1604" i="21" s="1"/>
  <c r="AA1604" i="21" s="1"/>
  <c r="X1362" i="21"/>
  <c r="N2665" i="21"/>
  <c r="Z2665" i="21" s="1"/>
  <c r="AA2665" i="21" s="1"/>
  <c r="N2600" i="21"/>
  <c r="Z2600" i="21" s="1"/>
  <c r="AA2600" i="21" s="1"/>
  <c r="N2412" i="21"/>
  <c r="Z2412" i="21" s="1"/>
  <c r="AA2412" i="21" s="1"/>
  <c r="N2888" i="21"/>
  <c r="Z2888" i="21" s="1"/>
  <c r="AA2888" i="21" s="1"/>
  <c r="X2598" i="21"/>
  <c r="N2626" i="21"/>
  <c r="Z2626" i="21" s="1"/>
  <c r="AA2626" i="21" s="1"/>
  <c r="X2896" i="21"/>
  <c r="N2414" i="21"/>
  <c r="Z2414" i="21" s="1"/>
  <c r="AA2414" i="21" s="1"/>
  <c r="N4000" i="21"/>
  <c r="Z4000" i="21" s="1"/>
  <c r="AA4000" i="21" s="1"/>
  <c r="N3898" i="21"/>
  <c r="Z3898" i="21" s="1"/>
  <c r="AA3898" i="21" s="1"/>
  <c r="N3456" i="21"/>
  <c r="Z3456" i="21" s="1"/>
  <c r="AA3456" i="21" s="1"/>
  <c r="X3380" i="21"/>
  <c r="N3078" i="21"/>
  <c r="Z3078" i="21" s="1"/>
  <c r="AA3078" i="21" s="1"/>
  <c r="N3070" i="21"/>
  <c r="Z3070" i="21" s="1"/>
  <c r="AA3070" i="21" s="1"/>
  <c r="N3062" i="21"/>
  <c r="Z3062" i="21" s="1"/>
  <c r="AA3062" i="21" s="1"/>
  <c r="N3054" i="21"/>
  <c r="Z3054" i="21" s="1"/>
  <c r="AA3054" i="21" s="1"/>
  <c r="N3046" i="21"/>
  <c r="Z3046" i="21" s="1"/>
  <c r="AA3046" i="21" s="1"/>
  <c r="N3038" i="21"/>
  <c r="Z3038" i="21" s="1"/>
  <c r="AA3038" i="21" s="1"/>
  <c r="N3030" i="21"/>
  <c r="Z3030" i="21" s="1"/>
  <c r="AA3030" i="21" s="1"/>
  <c r="N3022" i="21"/>
  <c r="Z3022" i="21" s="1"/>
  <c r="AA3022" i="21" s="1"/>
  <c r="N3406" i="21"/>
  <c r="Z3406" i="21" s="1"/>
  <c r="AA3406" i="21" s="1"/>
  <c r="N3003" i="21"/>
  <c r="Z3003" i="21" s="1"/>
  <c r="AA3003" i="21" s="1"/>
  <c r="N2899" i="21"/>
  <c r="Z2899" i="21" s="1"/>
  <c r="AA2899" i="21" s="1"/>
  <c r="N2539" i="21"/>
  <c r="Z2539" i="21" s="1"/>
  <c r="AA2539" i="21" s="1"/>
  <c r="X2529" i="21"/>
  <c r="N2104" i="21"/>
  <c r="Z2104" i="21" s="1"/>
  <c r="AA2104" i="21" s="1"/>
  <c r="N3838" i="21"/>
  <c r="Z3838" i="21" s="1"/>
  <c r="AA3838" i="21" s="1"/>
  <c r="X1930" i="21"/>
  <c r="X1922" i="21"/>
  <c r="N1859" i="21"/>
  <c r="Z1859" i="21" s="1"/>
  <c r="AA1859" i="21" s="1"/>
  <c r="X1669" i="21"/>
  <c r="N1626" i="21"/>
  <c r="Z1626" i="21" s="1"/>
  <c r="AA1626" i="21" s="1"/>
  <c r="N1608" i="21"/>
  <c r="Z1608" i="21" s="1"/>
  <c r="AA1608" i="21" s="1"/>
  <c r="X1366" i="21"/>
  <c r="X1358" i="21"/>
  <c r="N1372" i="21"/>
  <c r="Z1372" i="21" s="1"/>
  <c r="AA1372" i="21" s="1"/>
  <c r="X2673" i="21"/>
  <c r="X2904" i="21"/>
  <c r="N2550" i="21"/>
  <c r="Z2550" i="21" s="1"/>
  <c r="AA2550" i="21" s="1"/>
  <c r="X2548" i="21"/>
  <c r="N2416" i="21"/>
  <c r="Z2416" i="21" s="1"/>
  <c r="AA2416" i="21" s="1"/>
  <c r="N2406" i="21"/>
  <c r="Z2406" i="21" s="1"/>
  <c r="AA2406" i="21" s="1"/>
  <c r="N4008" i="21"/>
  <c r="Z4008" i="21" s="1"/>
  <c r="AA4008" i="21" s="1"/>
  <c r="X3867" i="21"/>
  <c r="N3699" i="21"/>
  <c r="Z3699" i="21" s="1"/>
  <c r="AA3699" i="21" s="1"/>
  <c r="X3714" i="21"/>
  <c r="X3708" i="21"/>
  <c r="X3433" i="21"/>
  <c r="X3402" i="21"/>
  <c r="X3459" i="21"/>
  <c r="N3308" i="21"/>
  <c r="Z3308" i="21" s="1"/>
  <c r="AA3308" i="21" s="1"/>
  <c r="N3276" i="21"/>
  <c r="Z3276" i="21" s="1"/>
  <c r="AA3276" i="21" s="1"/>
  <c r="N3242" i="21"/>
  <c r="Z3242" i="21" s="1"/>
  <c r="AA3242" i="21" s="1"/>
  <c r="N2889" i="21"/>
  <c r="Z2889" i="21" s="1"/>
  <c r="AA2889" i="21" s="1"/>
  <c r="X2543" i="21"/>
  <c r="N2601" i="21"/>
  <c r="Z2601" i="21" s="1"/>
  <c r="AA2601" i="21" s="1"/>
  <c r="X2399" i="21"/>
  <c r="N2136" i="21"/>
  <c r="Z2136" i="21" s="1"/>
  <c r="AA2136" i="21" s="1"/>
  <c r="X3595" i="21"/>
  <c r="X1928" i="21"/>
  <c r="X1920" i="21"/>
  <c r="X1867" i="21"/>
  <c r="X1673" i="21"/>
  <c r="X1672" i="21"/>
  <c r="N2610" i="21"/>
  <c r="Z2610" i="21" s="1"/>
  <c r="AA2610" i="21" s="1"/>
  <c r="N2410" i="21"/>
  <c r="Z2410" i="21" s="1"/>
  <c r="AA2410" i="21" s="1"/>
  <c r="N2408" i="21"/>
  <c r="Z2408" i="21" s="1"/>
  <c r="AA2408" i="21" s="1"/>
  <c r="N3992" i="21"/>
  <c r="Z3992" i="21" s="1"/>
  <c r="AA3992" i="21" s="1"/>
  <c r="N3941" i="21"/>
  <c r="Z3941" i="21" s="1"/>
  <c r="AA3941" i="21" s="1"/>
  <c r="X3824" i="21"/>
  <c r="X3756" i="21"/>
  <c r="X3740" i="21"/>
  <c r="N3720" i="21"/>
  <c r="Z3720" i="21" s="1"/>
  <c r="AA3720" i="21" s="1"/>
  <c r="N3828" i="21"/>
  <c r="Z3828" i="21" s="1"/>
  <c r="AA3828" i="21" s="1"/>
  <c r="N3947" i="21"/>
  <c r="Z3947" i="21" s="1"/>
  <c r="AA3947" i="21" s="1"/>
  <c r="X3877" i="21"/>
  <c r="X3795" i="21"/>
  <c r="X4005" i="21"/>
  <c r="X4017" i="21"/>
  <c r="N3969" i="21"/>
  <c r="Z3969" i="21" s="1"/>
  <c r="AA3969" i="21" s="1"/>
  <c r="N3961" i="21"/>
  <c r="Z3961" i="21" s="1"/>
  <c r="AA3961" i="21" s="1"/>
  <c r="X3938" i="21"/>
  <c r="N3876" i="21"/>
  <c r="Z3876" i="21" s="1"/>
  <c r="AA3876" i="21" s="1"/>
  <c r="N4003" i="21"/>
  <c r="Z4003" i="21" s="1"/>
  <c r="AA4003" i="21" s="1"/>
  <c r="X3787" i="21"/>
  <c r="N3778" i="21"/>
  <c r="Z3778" i="21" s="1"/>
  <c r="AA3778" i="21" s="1"/>
  <c r="N3808" i="21"/>
  <c r="Z3808" i="21" s="1"/>
  <c r="AA3808" i="21" s="1"/>
  <c r="N3777" i="21"/>
  <c r="Z3777" i="21" s="1"/>
  <c r="AA3777" i="21" s="1"/>
  <c r="X3764" i="21"/>
  <c r="X3754" i="21"/>
  <c r="X3748" i="21"/>
  <c r="X3738" i="21"/>
  <c r="N3713" i="21"/>
  <c r="Z3713" i="21" s="1"/>
  <c r="AA3713" i="21" s="1"/>
  <c r="N3470" i="21"/>
  <c r="Z3470" i="21" s="1"/>
  <c r="AA3470" i="21" s="1"/>
  <c r="N3458" i="21"/>
  <c r="Z3458" i="21" s="1"/>
  <c r="AA3458" i="21" s="1"/>
  <c r="N3426" i="21"/>
  <c r="Z3426" i="21" s="1"/>
  <c r="AA3426" i="21" s="1"/>
  <c r="X3384" i="21"/>
  <c r="X3376" i="21"/>
  <c r="N3389" i="21"/>
  <c r="Z3389" i="21" s="1"/>
  <c r="AA3389" i="21" s="1"/>
  <c r="X3300" i="21"/>
  <c r="N3241" i="21"/>
  <c r="Z3241" i="21" s="1"/>
  <c r="AA3241" i="21" s="1"/>
  <c r="N3082" i="21"/>
  <c r="Z3082" i="21" s="1"/>
  <c r="AA3082" i="21" s="1"/>
  <c r="N3074" i="21"/>
  <c r="Z3074" i="21" s="1"/>
  <c r="AA3074" i="21" s="1"/>
  <c r="N3066" i="21"/>
  <c r="Z3066" i="21" s="1"/>
  <c r="AA3066" i="21" s="1"/>
  <c r="N3058" i="21"/>
  <c r="Z3058" i="21" s="1"/>
  <c r="AA3058" i="21" s="1"/>
  <c r="N3050" i="21"/>
  <c r="Z3050" i="21" s="1"/>
  <c r="AA3050" i="21" s="1"/>
  <c r="N3042" i="21"/>
  <c r="Z3042" i="21" s="1"/>
  <c r="AA3042" i="21" s="1"/>
  <c r="N3034" i="21"/>
  <c r="Z3034" i="21" s="1"/>
  <c r="AA3034" i="21" s="1"/>
  <c r="N3026" i="21"/>
  <c r="Z3026" i="21" s="1"/>
  <c r="AA3026" i="21" s="1"/>
  <c r="N3018" i="21"/>
  <c r="Z3018" i="21" s="1"/>
  <c r="AA3018" i="21" s="1"/>
  <c r="N3130" i="21"/>
  <c r="Z3130" i="21" s="1"/>
  <c r="AA3130" i="21" s="1"/>
  <c r="X3508" i="21"/>
  <c r="X3492" i="21"/>
  <c r="N3423" i="21"/>
  <c r="Z3423" i="21" s="1"/>
  <c r="AA3423" i="21" s="1"/>
  <c r="N3007" i="21"/>
  <c r="Z3007" i="21" s="1"/>
  <c r="AA3007" i="21" s="1"/>
  <c r="N2970" i="21"/>
  <c r="Z2970" i="21" s="1"/>
  <c r="AA2970" i="21" s="1"/>
  <c r="N2966" i="21"/>
  <c r="Z2966" i="21" s="1"/>
  <c r="AA2966" i="21" s="1"/>
  <c r="N2962" i="21"/>
  <c r="Z2962" i="21" s="1"/>
  <c r="AA2962" i="21" s="1"/>
  <c r="N2958" i="21"/>
  <c r="Z2958" i="21" s="1"/>
  <c r="AA2958" i="21" s="1"/>
  <c r="N2954" i="21"/>
  <c r="Z2954" i="21" s="1"/>
  <c r="AA2954" i="21" s="1"/>
  <c r="N2950" i="21"/>
  <c r="Z2950" i="21" s="1"/>
  <c r="AA2950" i="21" s="1"/>
  <c r="N2946" i="21"/>
  <c r="Z2946" i="21" s="1"/>
  <c r="AA2946" i="21" s="1"/>
  <c r="N2942" i="21"/>
  <c r="Z2942" i="21" s="1"/>
  <c r="AA2942" i="21" s="1"/>
  <c r="N2938" i="21"/>
  <c r="Z2938" i="21" s="1"/>
  <c r="AA2938" i="21" s="1"/>
  <c r="X2912" i="21"/>
  <c r="N2883" i="21"/>
  <c r="Z2883" i="21" s="1"/>
  <c r="AA2883" i="21" s="1"/>
  <c r="N2873" i="21"/>
  <c r="Z2873" i="21" s="1"/>
  <c r="AA2873" i="21" s="1"/>
  <c r="N2757" i="21"/>
  <c r="Z2757" i="21" s="1"/>
  <c r="AA2757" i="21" s="1"/>
  <c r="N2749" i="21"/>
  <c r="Z2749" i="21" s="1"/>
  <c r="AA2749" i="21" s="1"/>
  <c r="N2741" i="21"/>
  <c r="Z2741" i="21" s="1"/>
  <c r="AA2741" i="21" s="1"/>
  <c r="N2733" i="21"/>
  <c r="Z2733" i="21" s="1"/>
  <c r="AA2733" i="21" s="1"/>
  <c r="N2725" i="21"/>
  <c r="Z2725" i="21" s="1"/>
  <c r="AA2725" i="21" s="1"/>
  <c r="N2717" i="21"/>
  <c r="Z2717" i="21" s="1"/>
  <c r="AA2717" i="21" s="1"/>
  <c r="X2637" i="21"/>
  <c r="X2631" i="21"/>
  <c r="X2551" i="21"/>
  <c r="N2535" i="21"/>
  <c r="Z2535" i="21" s="1"/>
  <c r="AA2535" i="21" s="1"/>
  <c r="N2521" i="21"/>
  <c r="Z2521" i="21" s="1"/>
  <c r="AA2521" i="21" s="1"/>
  <c r="X2407" i="21"/>
  <c r="X2397" i="21"/>
  <c r="X2384" i="21"/>
  <c r="X2340" i="21"/>
  <c r="X2120" i="21"/>
  <c r="N2074" i="21"/>
  <c r="Z2074" i="21" s="1"/>
  <c r="AA2074" i="21" s="1"/>
  <c r="N2070" i="21"/>
  <c r="Z2070" i="21" s="1"/>
  <c r="AA2070" i="21" s="1"/>
  <c r="N2066" i="21"/>
  <c r="Z2066" i="21" s="1"/>
  <c r="AA2066" i="21" s="1"/>
  <c r="N2062" i="21"/>
  <c r="Z2062" i="21" s="1"/>
  <c r="AA2062" i="21" s="1"/>
  <c r="N2058" i="21"/>
  <c r="Z2058" i="21" s="1"/>
  <c r="AA2058" i="21" s="1"/>
  <c r="N2054" i="21"/>
  <c r="Z2054" i="21" s="1"/>
  <c r="AA2054" i="21" s="1"/>
  <c r="N2050" i="21"/>
  <c r="Z2050" i="21" s="1"/>
  <c r="AA2050" i="21" s="1"/>
  <c r="N2046" i="21"/>
  <c r="Z2046" i="21" s="1"/>
  <c r="AA2046" i="21" s="1"/>
  <c r="N2042" i="21"/>
  <c r="Z2042" i="21" s="1"/>
  <c r="AA2042" i="21" s="1"/>
  <c r="N2038" i="21"/>
  <c r="Z2038" i="21" s="1"/>
  <c r="AA2038" i="21" s="1"/>
  <c r="N2034" i="21"/>
  <c r="Z2034" i="21" s="1"/>
  <c r="AA2034" i="21" s="1"/>
  <c r="N2030" i="21"/>
  <c r="Z2030" i="21" s="1"/>
  <c r="AA2030" i="21" s="1"/>
  <c r="N2026" i="21"/>
  <c r="Z2026" i="21" s="1"/>
  <c r="AA2026" i="21" s="1"/>
  <c r="N2022" i="21"/>
  <c r="Z2022" i="21" s="1"/>
  <c r="AA2022" i="21" s="1"/>
  <c r="N2018" i="21"/>
  <c r="Z2018" i="21" s="1"/>
  <c r="AA2018" i="21" s="1"/>
  <c r="N2014" i="21"/>
  <c r="Z2014" i="21" s="1"/>
  <c r="AA2014" i="21" s="1"/>
  <c r="N2010" i="21"/>
  <c r="Z2010" i="21" s="1"/>
  <c r="AA2010" i="21" s="1"/>
  <c r="N2003" i="21"/>
  <c r="Z2003" i="21" s="1"/>
  <c r="AA2003" i="21" s="1"/>
  <c r="N1987" i="21"/>
  <c r="Z1987" i="21" s="1"/>
  <c r="AA1987" i="21" s="1"/>
  <c r="N1969" i="21"/>
  <c r="Z1969" i="21" s="1"/>
  <c r="AA1969" i="21" s="1"/>
  <c r="N1965" i="21"/>
  <c r="Z1965" i="21" s="1"/>
  <c r="AA1965" i="21" s="1"/>
  <c r="N1975" i="21"/>
  <c r="Z1975" i="21" s="1"/>
  <c r="AA1975" i="21" s="1"/>
  <c r="X1926" i="21"/>
  <c r="N1848" i="21"/>
  <c r="Z1848" i="21" s="1"/>
  <c r="AA1848" i="21" s="1"/>
  <c r="N1844" i="21"/>
  <c r="Z1844" i="21" s="1"/>
  <c r="AA1844" i="21" s="1"/>
  <c r="N1840" i="21"/>
  <c r="Z1840" i="21" s="1"/>
  <c r="AA1840" i="21" s="1"/>
  <c r="N1836" i="21"/>
  <c r="Z1836" i="21" s="1"/>
  <c r="AA1836" i="21" s="1"/>
  <c r="N1832" i="21"/>
  <c r="Z1832" i="21" s="1"/>
  <c r="AA1832" i="21" s="1"/>
  <c r="N1828" i="21"/>
  <c r="Z1828" i="21" s="1"/>
  <c r="AA1828" i="21" s="1"/>
  <c r="N1824" i="21"/>
  <c r="Z1824" i="21" s="1"/>
  <c r="AA1824" i="21" s="1"/>
  <c r="N1820" i="21"/>
  <c r="Z1820" i="21" s="1"/>
  <c r="AA1820" i="21" s="1"/>
  <c r="N1816" i="21"/>
  <c r="Z1816" i="21" s="1"/>
  <c r="AA1816" i="21" s="1"/>
  <c r="N1812" i="21"/>
  <c r="Z1812" i="21" s="1"/>
  <c r="AA1812" i="21" s="1"/>
  <c r="N1806" i="21"/>
  <c r="Z1806" i="21" s="1"/>
  <c r="AA1806" i="21" s="1"/>
  <c r="N1798" i="21"/>
  <c r="Z1798" i="21" s="1"/>
  <c r="AA1798" i="21" s="1"/>
  <c r="N1857" i="21"/>
  <c r="Z1857" i="21" s="1"/>
  <c r="AA1857" i="21" s="1"/>
  <c r="N1756" i="21"/>
  <c r="Z1756" i="21" s="1"/>
  <c r="AA1756" i="21" s="1"/>
  <c r="N1752" i="21"/>
  <c r="Z1752" i="21" s="1"/>
  <c r="AA1752" i="21" s="1"/>
  <c r="N1748" i="21"/>
  <c r="Z1748" i="21" s="1"/>
  <c r="AA1748" i="21" s="1"/>
  <c r="N1744" i="21"/>
  <c r="Z1744" i="21" s="1"/>
  <c r="AA1744" i="21" s="1"/>
  <c r="N1740" i="21"/>
  <c r="Z1740" i="21" s="1"/>
  <c r="AA1740" i="21" s="1"/>
  <c r="N1736" i="21"/>
  <c r="Z1736" i="21" s="1"/>
  <c r="AA1736" i="21" s="1"/>
  <c r="N1732" i="21"/>
  <c r="Z1732" i="21" s="1"/>
  <c r="AA1732" i="21" s="1"/>
  <c r="N1782" i="21"/>
  <c r="Z1782" i="21" s="1"/>
  <c r="AA1782" i="21" s="1"/>
  <c r="N1774" i="21"/>
  <c r="Z1774" i="21" s="1"/>
  <c r="AA1774" i="21" s="1"/>
  <c r="N1768" i="21"/>
  <c r="Z1768" i="21" s="1"/>
  <c r="AA1768" i="21" s="1"/>
  <c r="N1764" i="21"/>
  <c r="Z1764" i="21" s="1"/>
  <c r="AA1764" i="21" s="1"/>
  <c r="N1760" i="21"/>
  <c r="Z1760" i="21" s="1"/>
  <c r="AA1760" i="21" s="1"/>
  <c r="N1716" i="21"/>
  <c r="Z1716" i="21" s="1"/>
  <c r="AA1716" i="21" s="1"/>
  <c r="N1700" i="21"/>
  <c r="Z1700" i="21" s="1"/>
  <c r="AA1700" i="21" s="1"/>
  <c r="N1684" i="21"/>
  <c r="Z1684" i="21" s="1"/>
  <c r="AA1684" i="21" s="1"/>
  <c r="N1726" i="21"/>
  <c r="Z1726" i="21" s="1"/>
  <c r="AA1726" i="21" s="1"/>
  <c r="N1710" i="21"/>
  <c r="Z1710" i="21" s="1"/>
  <c r="AA1710" i="21" s="1"/>
  <c r="N1694" i="21"/>
  <c r="Z1694" i="21" s="1"/>
  <c r="AA1694" i="21" s="1"/>
  <c r="N1678" i="21"/>
  <c r="Z1678" i="21" s="1"/>
  <c r="AA1678" i="21" s="1"/>
  <c r="N1554" i="21"/>
  <c r="Z1554" i="21" s="1"/>
  <c r="AA1554" i="21" s="1"/>
  <c r="N1550" i="21"/>
  <c r="Z1550" i="21" s="1"/>
  <c r="AA1550" i="21" s="1"/>
  <c r="N1546" i="21"/>
  <c r="Z1546" i="21" s="1"/>
  <c r="AA1546" i="21" s="1"/>
  <c r="N1542" i="21"/>
  <c r="Z1542" i="21" s="1"/>
  <c r="AA1542" i="21" s="1"/>
  <c r="N1538" i="21"/>
  <c r="Z1538" i="21" s="1"/>
  <c r="AA1538" i="21" s="1"/>
  <c r="N1534" i="21"/>
  <c r="Z1534" i="21" s="1"/>
  <c r="AA1534" i="21" s="1"/>
  <c r="N1530" i="21"/>
  <c r="Z1530" i="21" s="1"/>
  <c r="AA1530" i="21" s="1"/>
  <c r="N1526" i="21"/>
  <c r="Z1526" i="21" s="1"/>
  <c r="AA1526" i="21" s="1"/>
  <c r="X1518" i="21"/>
  <c r="N1391" i="21"/>
  <c r="Z1391" i="21" s="1"/>
  <c r="AA1391" i="21" s="1"/>
  <c r="N1397" i="21"/>
  <c r="Z1397" i="21" s="1"/>
  <c r="AA1397" i="21" s="1"/>
  <c r="N1360" i="21"/>
  <c r="Z1360" i="21" s="1"/>
  <c r="AA1360" i="21" s="1"/>
  <c r="X2041" i="21"/>
  <c r="X2023" i="21"/>
  <c r="N2534" i="21"/>
  <c r="Z2534" i="21" s="1"/>
  <c r="AA2534" i="21" s="1"/>
  <c r="N2618" i="21"/>
  <c r="Z2618" i="21" s="1"/>
  <c r="AA2618" i="21" s="1"/>
  <c r="N2908" i="21"/>
  <c r="Z2908" i="21" s="1"/>
  <c r="AA2908" i="21" s="1"/>
  <c r="X2642" i="21"/>
  <c r="N2621" i="21"/>
  <c r="Z2621" i="21" s="1"/>
  <c r="AA2621" i="21" s="1"/>
  <c r="X2555" i="21"/>
  <c r="X2523" i="21"/>
  <c r="X2553" i="21"/>
  <c r="X2533" i="21"/>
  <c r="N2525" i="21"/>
  <c r="Z2525" i="21" s="1"/>
  <c r="AA2525" i="21" s="1"/>
  <c r="N2511" i="21"/>
  <c r="Z2511" i="21" s="1"/>
  <c r="AA2511" i="21" s="1"/>
  <c r="X2509" i="21"/>
  <c r="N2503" i="21"/>
  <c r="Z2503" i="21" s="1"/>
  <c r="AA2503" i="21" s="1"/>
  <c r="X2501" i="21"/>
  <c r="N2495" i="21"/>
  <c r="Z2495" i="21" s="1"/>
  <c r="AA2495" i="21" s="1"/>
  <c r="X2493" i="21"/>
  <c r="N2487" i="21"/>
  <c r="Z2487" i="21" s="1"/>
  <c r="AA2487" i="21" s="1"/>
  <c r="X2485" i="21"/>
  <c r="N2645" i="21"/>
  <c r="Z2645" i="21" s="1"/>
  <c r="AA2645" i="21" s="1"/>
  <c r="N2607" i="21"/>
  <c r="Z2607" i="21" s="1"/>
  <c r="AA2607" i="21" s="1"/>
  <c r="N2527" i="21"/>
  <c r="Z2527" i="21" s="1"/>
  <c r="AA2527" i="21" s="1"/>
  <c r="N2364" i="21"/>
  <c r="Z2364" i="21" s="1"/>
  <c r="AA2364" i="21" s="1"/>
  <c r="N3641" i="21"/>
  <c r="Z3641" i="21" s="1"/>
  <c r="AA3641" i="21" s="1"/>
  <c r="X3611" i="21"/>
  <c r="N3079" i="21"/>
  <c r="Z3079" i="21" s="1"/>
  <c r="AA3079" i="21" s="1"/>
  <c r="N3071" i="21"/>
  <c r="Z3071" i="21" s="1"/>
  <c r="AA3071" i="21" s="1"/>
  <c r="N3063" i="21"/>
  <c r="Z3063" i="21" s="1"/>
  <c r="AA3063" i="21" s="1"/>
  <c r="N3055" i="21"/>
  <c r="Z3055" i="21" s="1"/>
  <c r="AA3055" i="21" s="1"/>
  <c r="N3047" i="21"/>
  <c r="Z3047" i="21" s="1"/>
  <c r="AA3047" i="21" s="1"/>
  <c r="N3039" i="21"/>
  <c r="Z3039" i="21" s="1"/>
  <c r="AA3039" i="21" s="1"/>
  <c r="N3031" i="21"/>
  <c r="Z3031" i="21" s="1"/>
  <c r="AA3031" i="21" s="1"/>
  <c r="N3023" i="21"/>
  <c r="Z3023" i="21" s="1"/>
  <c r="AA3023" i="21" s="1"/>
  <c r="X3496" i="21"/>
  <c r="N3684" i="21"/>
  <c r="Z3684" i="21" s="1"/>
  <c r="AA3684" i="21" s="1"/>
  <c r="X3997" i="21"/>
  <c r="N3594" i="21"/>
  <c r="Z3594" i="21" s="1"/>
  <c r="AA3594" i="21" s="1"/>
  <c r="X3258" i="21"/>
  <c r="N3230" i="21"/>
  <c r="Z3230" i="21" s="1"/>
  <c r="AA3230" i="21" s="1"/>
  <c r="N3005" i="21"/>
  <c r="Z3005" i="21" s="1"/>
  <c r="AA3005" i="21" s="1"/>
  <c r="N2981" i="21"/>
  <c r="Z2981" i="21" s="1"/>
  <c r="AA2981" i="21" s="1"/>
  <c r="X2634" i="21"/>
  <c r="N2625" i="21"/>
  <c r="Z2625" i="21" s="1"/>
  <c r="AA2625" i="21" s="1"/>
  <c r="N2617" i="21"/>
  <c r="Z2617" i="21" s="1"/>
  <c r="AA2617" i="21" s="1"/>
  <c r="N2609" i="21"/>
  <c r="Z2609" i="21" s="1"/>
  <c r="AA2609" i="21" s="1"/>
  <c r="X2549" i="21"/>
  <c r="N2629" i="21"/>
  <c r="Z2629" i="21" s="1"/>
  <c r="AA2629" i="21" s="1"/>
  <c r="N2603" i="21"/>
  <c r="Z2603" i="21" s="1"/>
  <c r="AA2603" i="21" s="1"/>
  <c r="X2531" i="21"/>
  <c r="X2515" i="21"/>
  <c r="X2507" i="21"/>
  <c r="X2499" i="21"/>
  <c r="X2491" i="21"/>
  <c r="X2483" i="21"/>
  <c r="N2615" i="21"/>
  <c r="Z2615" i="21" s="1"/>
  <c r="AA2615" i="21" s="1"/>
  <c r="N2138" i="21"/>
  <c r="Z2138" i="21" s="1"/>
  <c r="AA2138" i="21" s="1"/>
  <c r="N2106" i="21"/>
  <c r="Z2106" i="21" s="1"/>
  <c r="AA2106" i="21" s="1"/>
  <c r="N3077" i="21"/>
  <c r="Z3077" i="21" s="1"/>
  <c r="AA3077" i="21" s="1"/>
  <c r="N3069" i="21"/>
  <c r="Z3069" i="21" s="1"/>
  <c r="AA3069" i="21" s="1"/>
  <c r="N3061" i="21"/>
  <c r="Z3061" i="21" s="1"/>
  <c r="AA3061" i="21" s="1"/>
  <c r="N3053" i="21"/>
  <c r="Z3053" i="21" s="1"/>
  <c r="AA3053" i="21" s="1"/>
  <c r="N3045" i="21"/>
  <c r="Z3045" i="21" s="1"/>
  <c r="AA3045" i="21" s="1"/>
  <c r="N3037" i="21"/>
  <c r="Z3037" i="21" s="1"/>
  <c r="AA3037" i="21" s="1"/>
  <c r="N3029" i="21"/>
  <c r="Z3029" i="21" s="1"/>
  <c r="AA3029" i="21" s="1"/>
  <c r="N3021" i="21"/>
  <c r="Z3021" i="21" s="1"/>
  <c r="AA3021" i="21" s="1"/>
  <c r="X3983" i="21"/>
  <c r="N3948" i="21"/>
  <c r="Z3948" i="21" s="1"/>
  <c r="AA3948" i="21" s="1"/>
  <c r="X3922" i="21"/>
  <c r="X3284" i="21"/>
  <c r="X3250" i="21"/>
  <c r="N3256" i="21"/>
  <c r="Z3256" i="21" s="1"/>
  <c r="AA3256" i="21" s="1"/>
  <c r="N3201" i="21"/>
  <c r="Z3201" i="21" s="1"/>
  <c r="AA3201" i="21" s="1"/>
  <c r="N3011" i="21"/>
  <c r="Z3011" i="21" s="1"/>
  <c r="AA3011" i="21" s="1"/>
  <c r="N2995" i="21"/>
  <c r="Z2995" i="21" s="1"/>
  <c r="AA2995" i="21" s="1"/>
  <c r="X2647" i="21"/>
  <c r="N2605" i="21"/>
  <c r="Z2605" i="21" s="1"/>
  <c r="AA2605" i="21" s="1"/>
  <c r="N2591" i="21"/>
  <c r="Z2591" i="21" s="1"/>
  <c r="AA2591" i="21" s="1"/>
  <c r="X2517" i="21"/>
  <c r="X2513" i="21"/>
  <c r="X2505" i="21"/>
  <c r="X2497" i="21"/>
  <c r="X2489" i="21"/>
  <c r="X2481" i="21"/>
  <c r="N2623" i="21"/>
  <c r="Z2623" i="21" s="1"/>
  <c r="AA2623" i="21" s="1"/>
  <c r="X2519" i="21"/>
  <c r="N2417" i="21"/>
  <c r="Z2417" i="21" s="1"/>
  <c r="AA2417" i="21" s="1"/>
  <c r="N2409" i="21"/>
  <c r="Z2409" i="21" s="1"/>
  <c r="AA2409" i="21" s="1"/>
  <c r="N2401" i="21"/>
  <c r="Z2401" i="21" s="1"/>
  <c r="AA2401" i="21" s="1"/>
  <c r="N2388" i="21"/>
  <c r="Z2388" i="21" s="1"/>
  <c r="AA2388" i="21" s="1"/>
  <c r="N2082" i="21"/>
  <c r="Z2082" i="21" s="1"/>
  <c r="AA2082" i="21" s="1"/>
  <c r="N3625" i="21"/>
  <c r="Z3625" i="21" s="1"/>
  <c r="AA3625" i="21" s="1"/>
  <c r="N3343" i="21"/>
  <c r="Z3343" i="21" s="1"/>
  <c r="AA3343" i="21" s="1"/>
  <c r="N3075" i="21"/>
  <c r="Z3075" i="21" s="1"/>
  <c r="AA3075" i="21" s="1"/>
  <c r="N3067" i="21"/>
  <c r="Z3067" i="21" s="1"/>
  <c r="AA3067" i="21" s="1"/>
  <c r="N3059" i="21"/>
  <c r="Z3059" i="21" s="1"/>
  <c r="AA3059" i="21" s="1"/>
  <c r="N3051" i="21"/>
  <c r="Z3051" i="21" s="1"/>
  <c r="AA3051" i="21" s="1"/>
  <c r="N3043" i="21"/>
  <c r="Z3043" i="21" s="1"/>
  <c r="AA3043" i="21" s="1"/>
  <c r="N3035" i="21"/>
  <c r="Z3035" i="21" s="1"/>
  <c r="AA3035" i="21" s="1"/>
  <c r="N3027" i="21"/>
  <c r="Z3027" i="21" s="1"/>
  <c r="AA3027" i="21" s="1"/>
  <c r="N3019" i="21"/>
  <c r="Z3019" i="21" s="1"/>
  <c r="AA3019" i="21" s="1"/>
  <c r="N3313" i="21"/>
  <c r="Z3313" i="21" s="1"/>
  <c r="AA3313" i="21" s="1"/>
  <c r="N3911" i="21"/>
  <c r="Z3911" i="21" s="1"/>
  <c r="AA3911" i="21" s="1"/>
  <c r="X3848" i="21"/>
  <c r="N3802" i="21"/>
  <c r="Z3802" i="21" s="1"/>
  <c r="AA3802" i="21" s="1"/>
  <c r="N3786" i="21"/>
  <c r="Z3786" i="21" s="1"/>
  <c r="AA3786" i="21" s="1"/>
  <c r="X3871" i="21"/>
  <c r="X3869" i="21"/>
  <c r="N3792" i="21"/>
  <c r="Z3792" i="21" s="1"/>
  <c r="AA3792" i="21" s="1"/>
  <c r="X3734" i="21"/>
  <c r="X3700" i="21"/>
  <c r="N3680" i="21"/>
  <c r="Z3680" i="21" s="1"/>
  <c r="AA3680" i="21" s="1"/>
  <c r="N3664" i="21"/>
  <c r="Z3664" i="21" s="1"/>
  <c r="AA3664" i="21" s="1"/>
  <c r="N3642" i="21"/>
  <c r="Z3642" i="21" s="1"/>
  <c r="AA3642" i="21" s="1"/>
  <c r="X3989" i="21"/>
  <c r="N3944" i="21"/>
  <c r="Z3944" i="21" s="1"/>
  <c r="AA3944" i="21" s="1"/>
  <c r="X3885" i="21"/>
  <c r="X3873" i="21"/>
  <c r="N3798" i="21"/>
  <c r="Z3798" i="21" s="1"/>
  <c r="AA3798" i="21" s="1"/>
  <c r="N3782" i="21"/>
  <c r="Z3782" i="21" s="1"/>
  <c r="AA3782" i="21" s="1"/>
  <c r="N3757" i="21"/>
  <c r="Z3757" i="21" s="1"/>
  <c r="AA3757" i="21" s="1"/>
  <c r="N3749" i="21"/>
  <c r="Z3749" i="21" s="1"/>
  <c r="AA3749" i="21" s="1"/>
  <c r="N3741" i="21"/>
  <c r="Z3741" i="21" s="1"/>
  <c r="AA3741" i="21" s="1"/>
  <c r="N3723" i="21"/>
  <c r="Z3723" i="21" s="1"/>
  <c r="AA3723" i="21" s="1"/>
  <c r="N3709" i="21"/>
  <c r="Z3709" i="21" s="1"/>
  <c r="AA3709" i="21" s="1"/>
  <c r="X3688" i="21"/>
  <c r="N3842" i="21"/>
  <c r="Z3842" i="21" s="1"/>
  <c r="AA3842" i="21" s="1"/>
  <c r="N3686" i="21"/>
  <c r="Z3686" i="21" s="1"/>
  <c r="AA3686" i="21" s="1"/>
  <c r="N3678" i="21"/>
  <c r="Z3678" i="21" s="1"/>
  <c r="AA3678" i="21" s="1"/>
  <c r="N3670" i="21"/>
  <c r="Z3670" i="21" s="1"/>
  <c r="AA3670" i="21" s="1"/>
  <c r="N3662" i="21"/>
  <c r="Z3662" i="21" s="1"/>
  <c r="AA3662" i="21" s="1"/>
  <c r="N3654" i="21"/>
  <c r="Z3654" i="21" s="1"/>
  <c r="AA3654" i="21" s="1"/>
  <c r="N3634" i="21"/>
  <c r="Z3634" i="21" s="1"/>
  <c r="AA3634" i="21" s="1"/>
  <c r="N3584" i="21"/>
  <c r="Z3584" i="21" s="1"/>
  <c r="AA3584" i="21" s="1"/>
  <c r="N3523" i="21"/>
  <c r="Z3523" i="21" s="1"/>
  <c r="AA3523" i="21" s="1"/>
  <c r="N3519" i="21"/>
  <c r="Z3519" i="21" s="1"/>
  <c r="AA3519" i="21" s="1"/>
  <c r="N3515" i="21"/>
  <c r="Z3515" i="21" s="1"/>
  <c r="AA3515" i="21" s="1"/>
  <c r="N3511" i="21"/>
  <c r="Z3511" i="21" s="1"/>
  <c r="AA3511" i="21" s="1"/>
  <c r="X3481" i="21"/>
  <c r="N3466" i="21"/>
  <c r="Z3466" i="21" s="1"/>
  <c r="AA3466" i="21" s="1"/>
  <c r="N3454" i="21"/>
  <c r="Z3454" i="21" s="1"/>
  <c r="AA3454" i="21" s="1"/>
  <c r="N3448" i="21"/>
  <c r="Z3448" i="21" s="1"/>
  <c r="AA3448" i="21" s="1"/>
  <c r="N3436" i="21"/>
  <c r="Z3436" i="21" s="1"/>
  <c r="AA3436" i="21" s="1"/>
  <c r="N3422" i="21"/>
  <c r="Z3422" i="21" s="1"/>
  <c r="AA3422" i="21" s="1"/>
  <c r="X3404" i="21"/>
  <c r="X3394" i="21"/>
  <c r="N3362" i="21"/>
  <c r="Z3362" i="21" s="1"/>
  <c r="AA3362" i="21" s="1"/>
  <c r="N3314" i="21"/>
  <c r="Z3314" i="21" s="1"/>
  <c r="AA3314" i="21" s="1"/>
  <c r="N3272" i="21"/>
  <c r="Z3272" i="21" s="1"/>
  <c r="AA3272" i="21" s="1"/>
  <c r="N3248" i="21"/>
  <c r="Z3248" i="21" s="1"/>
  <c r="AA3248" i="21" s="1"/>
  <c r="N3209" i="21"/>
  <c r="Z3209" i="21" s="1"/>
  <c r="AA3209" i="21" s="1"/>
  <c r="N3191" i="21"/>
  <c r="Z3191" i="21" s="1"/>
  <c r="AA3191" i="21" s="1"/>
  <c r="N3118" i="21"/>
  <c r="Z3118" i="21" s="1"/>
  <c r="AA3118" i="21" s="1"/>
  <c r="N3132" i="21"/>
  <c r="Z3132" i="21" s="1"/>
  <c r="AA3132" i="21" s="1"/>
  <c r="N3512" i="21"/>
  <c r="Z3512" i="21" s="1"/>
  <c r="AA3512" i="21" s="1"/>
  <c r="N2977" i="21"/>
  <c r="Z2977" i="21" s="1"/>
  <c r="AA2977" i="21" s="1"/>
  <c r="N2972" i="21"/>
  <c r="Z2972" i="21" s="1"/>
  <c r="AA2972" i="21" s="1"/>
  <c r="N2968" i="21"/>
  <c r="Z2968" i="21" s="1"/>
  <c r="AA2968" i="21" s="1"/>
  <c r="N2964" i="21"/>
  <c r="Z2964" i="21" s="1"/>
  <c r="AA2964" i="21" s="1"/>
  <c r="N2960" i="21"/>
  <c r="Z2960" i="21" s="1"/>
  <c r="AA2960" i="21" s="1"/>
  <c r="N2956" i="21"/>
  <c r="Z2956" i="21" s="1"/>
  <c r="AA2956" i="21" s="1"/>
  <c r="N2952" i="21"/>
  <c r="Z2952" i="21" s="1"/>
  <c r="AA2952" i="21" s="1"/>
  <c r="N2948" i="21"/>
  <c r="Z2948" i="21" s="1"/>
  <c r="AA2948" i="21" s="1"/>
  <c r="N2944" i="21"/>
  <c r="Z2944" i="21" s="1"/>
  <c r="AA2944" i="21" s="1"/>
  <c r="N2940" i="21"/>
  <c r="Z2940" i="21" s="1"/>
  <c r="AA2940" i="21" s="1"/>
  <c r="N2936" i="21"/>
  <c r="Z2936" i="21" s="1"/>
  <c r="AA2936" i="21" s="1"/>
  <c r="N2903" i="21"/>
  <c r="Z2903" i="21" s="1"/>
  <c r="AA2903" i="21" s="1"/>
  <c r="N2895" i="21"/>
  <c r="Z2895" i="21" s="1"/>
  <c r="AA2895" i="21" s="1"/>
  <c r="N2887" i="21"/>
  <c r="Z2887" i="21" s="1"/>
  <c r="AA2887" i="21" s="1"/>
  <c r="N2879" i="21"/>
  <c r="Z2879" i="21" s="1"/>
  <c r="AA2879" i="21" s="1"/>
  <c r="N2871" i="21"/>
  <c r="Z2871" i="21" s="1"/>
  <c r="AA2871" i="21" s="1"/>
  <c r="N2826" i="21"/>
  <c r="Z2826" i="21" s="1"/>
  <c r="AA2826" i="21" s="1"/>
  <c r="N2822" i="21"/>
  <c r="Z2822" i="21" s="1"/>
  <c r="AA2822" i="21" s="1"/>
  <c r="N2818" i="21"/>
  <c r="Z2818" i="21" s="1"/>
  <c r="AA2818" i="21" s="1"/>
  <c r="N2814" i="21"/>
  <c r="Z2814" i="21" s="1"/>
  <c r="AA2814" i="21" s="1"/>
  <c r="N2810" i="21"/>
  <c r="Z2810" i="21" s="1"/>
  <c r="AA2810" i="21" s="1"/>
  <c r="N2806" i="21"/>
  <c r="Z2806" i="21" s="1"/>
  <c r="AA2806" i="21" s="1"/>
  <c r="N2802" i="21"/>
  <c r="Z2802" i="21" s="1"/>
  <c r="AA2802" i="21" s="1"/>
  <c r="N2798" i="21"/>
  <c r="Z2798" i="21" s="1"/>
  <c r="AA2798" i="21" s="1"/>
  <c r="N2794" i="21"/>
  <c r="Z2794" i="21" s="1"/>
  <c r="AA2794" i="21" s="1"/>
  <c r="N2790" i="21"/>
  <c r="Z2790" i="21" s="1"/>
  <c r="AA2790" i="21" s="1"/>
  <c r="N2786" i="21"/>
  <c r="Z2786" i="21" s="1"/>
  <c r="AA2786" i="21" s="1"/>
  <c r="N2782" i="21"/>
  <c r="Z2782" i="21" s="1"/>
  <c r="AA2782" i="21" s="1"/>
  <c r="N2778" i="21"/>
  <c r="Z2778" i="21" s="1"/>
  <c r="AA2778" i="21" s="1"/>
  <c r="N2774" i="21"/>
  <c r="Z2774" i="21" s="1"/>
  <c r="AA2774" i="21" s="1"/>
  <c r="N2770" i="21"/>
  <c r="Z2770" i="21" s="1"/>
  <c r="AA2770" i="21" s="1"/>
  <c r="N2766" i="21"/>
  <c r="Z2766" i="21" s="1"/>
  <c r="AA2766" i="21" s="1"/>
  <c r="N2762" i="21"/>
  <c r="Z2762" i="21" s="1"/>
  <c r="AA2762" i="21" s="1"/>
  <c r="N2761" i="21"/>
  <c r="Z2761" i="21" s="1"/>
  <c r="AA2761" i="21" s="1"/>
  <c r="N2743" i="21"/>
  <c r="Z2743" i="21" s="1"/>
  <c r="AA2743" i="21" s="1"/>
  <c r="N2735" i="21"/>
  <c r="Z2735" i="21" s="1"/>
  <c r="AA2735" i="21" s="1"/>
  <c r="N2727" i="21"/>
  <c r="Z2727" i="21" s="1"/>
  <c r="AA2727" i="21" s="1"/>
  <c r="N2719" i="21"/>
  <c r="Z2719" i="21" s="1"/>
  <c r="AA2719" i="21" s="1"/>
  <c r="N2751" i="21"/>
  <c r="Z2751" i="21" s="1"/>
  <c r="AA2751" i="21" s="1"/>
  <c r="N2652" i="21"/>
  <c r="Z2652" i="21" s="1"/>
  <c r="AA2652" i="21" s="1"/>
  <c r="N2654" i="21"/>
  <c r="Z2654" i="21" s="1"/>
  <c r="AA2654" i="21" s="1"/>
  <c r="X2639" i="21"/>
  <c r="N2584" i="21"/>
  <c r="Z2584" i="21" s="1"/>
  <c r="AA2584" i="21" s="1"/>
  <c r="N2568" i="21"/>
  <c r="Z2568" i="21" s="1"/>
  <c r="AA2568" i="21" s="1"/>
  <c r="N2597" i="21"/>
  <c r="Z2597" i="21" s="1"/>
  <c r="AA2597" i="21" s="1"/>
  <c r="N2593" i="21"/>
  <c r="Z2593" i="21" s="1"/>
  <c r="AA2593" i="21" s="1"/>
  <c r="N2547" i="21"/>
  <c r="Z2547" i="21" s="1"/>
  <c r="AA2547" i="21" s="1"/>
  <c r="N2537" i="21"/>
  <c r="Z2537" i="21" s="1"/>
  <c r="AA2537" i="21" s="1"/>
  <c r="N2613" i="21"/>
  <c r="Z2613" i="21" s="1"/>
  <c r="AA2613" i="21" s="1"/>
  <c r="N2599" i="21"/>
  <c r="Z2599" i="21" s="1"/>
  <c r="AA2599" i="21" s="1"/>
  <c r="N2541" i="21"/>
  <c r="Z2541" i="21" s="1"/>
  <c r="AA2541" i="21" s="1"/>
  <c r="N2478" i="21"/>
  <c r="Z2478" i="21" s="1"/>
  <c r="AA2478" i="21" s="1"/>
  <c r="N2474" i="21"/>
  <c r="Z2474" i="21" s="1"/>
  <c r="AA2474" i="21" s="1"/>
  <c r="N2470" i="21"/>
  <c r="Z2470" i="21" s="1"/>
  <c r="AA2470" i="21" s="1"/>
  <c r="N2466" i="21"/>
  <c r="Z2466" i="21" s="1"/>
  <c r="AA2466" i="21" s="1"/>
  <c r="N2462" i="21"/>
  <c r="Z2462" i="21" s="1"/>
  <c r="AA2462" i="21" s="1"/>
  <c r="N2458" i="21"/>
  <c r="Z2458" i="21" s="1"/>
  <c r="AA2458" i="21" s="1"/>
  <c r="N2454" i="21"/>
  <c r="Z2454" i="21" s="1"/>
  <c r="AA2454" i="21" s="1"/>
  <c r="N2450" i="21"/>
  <c r="Z2450" i="21" s="1"/>
  <c r="AA2450" i="21" s="1"/>
  <c r="N2446" i="21"/>
  <c r="Z2446" i="21" s="1"/>
  <c r="AA2446" i="21" s="1"/>
  <c r="N2442" i="21"/>
  <c r="Z2442" i="21" s="1"/>
  <c r="AA2442" i="21" s="1"/>
  <c r="N2438" i="21"/>
  <c r="Z2438" i="21" s="1"/>
  <c r="AA2438" i="21" s="1"/>
  <c r="N2434" i="21"/>
  <c r="Z2434" i="21" s="1"/>
  <c r="AA2434" i="21" s="1"/>
  <c r="N2430" i="21"/>
  <c r="Z2430" i="21" s="1"/>
  <c r="AA2430" i="21" s="1"/>
  <c r="N2426" i="21"/>
  <c r="Z2426" i="21" s="1"/>
  <c r="AA2426" i="21" s="1"/>
  <c r="N2422" i="21"/>
  <c r="Z2422" i="21" s="1"/>
  <c r="AA2422" i="21" s="1"/>
  <c r="N2418" i="21"/>
  <c r="Z2418" i="21" s="1"/>
  <c r="AA2418" i="21" s="1"/>
  <c r="N2514" i="21"/>
  <c r="Z2514" i="21" s="1"/>
  <c r="AA2514" i="21" s="1"/>
  <c r="N2506" i="21"/>
  <c r="Z2506" i="21" s="1"/>
  <c r="AA2506" i="21" s="1"/>
  <c r="N2498" i="21"/>
  <c r="Z2498" i="21" s="1"/>
  <c r="AA2498" i="21" s="1"/>
  <c r="N2490" i="21"/>
  <c r="Z2490" i="21" s="1"/>
  <c r="AA2490" i="21" s="1"/>
  <c r="N2482" i="21"/>
  <c r="Z2482" i="21" s="1"/>
  <c r="AA2482" i="21" s="1"/>
  <c r="X2368" i="21"/>
  <c r="X2336" i="21"/>
  <c r="X2144" i="21"/>
  <c r="X2112" i="21"/>
  <c r="X2122" i="21"/>
  <c r="X2090" i="21"/>
  <c r="X2080" i="21"/>
  <c r="N3623" i="21"/>
  <c r="Z3623" i="21" s="1"/>
  <c r="AA3623" i="21" s="1"/>
  <c r="N3081" i="21"/>
  <c r="Z3081" i="21" s="1"/>
  <c r="AA3081" i="21" s="1"/>
  <c r="N3073" i="21"/>
  <c r="Z3073" i="21" s="1"/>
  <c r="AA3073" i="21" s="1"/>
  <c r="N3065" i="21"/>
  <c r="Z3065" i="21" s="1"/>
  <c r="AA3065" i="21" s="1"/>
  <c r="N3057" i="21"/>
  <c r="Z3057" i="21" s="1"/>
  <c r="AA3057" i="21" s="1"/>
  <c r="N3049" i="21"/>
  <c r="Z3049" i="21" s="1"/>
  <c r="AA3049" i="21" s="1"/>
  <c r="N3041" i="21"/>
  <c r="Z3041" i="21" s="1"/>
  <c r="AA3041" i="21" s="1"/>
  <c r="N3033" i="21"/>
  <c r="Z3033" i="21" s="1"/>
  <c r="AA3033" i="21" s="1"/>
  <c r="N3025" i="21"/>
  <c r="Z3025" i="21" s="1"/>
  <c r="AA3025" i="21" s="1"/>
  <c r="N3017" i="21"/>
  <c r="Z3017" i="21" s="1"/>
  <c r="AA3017" i="21" s="1"/>
  <c r="N3331" i="21"/>
  <c r="Z3331" i="21" s="1"/>
  <c r="AA3331" i="21" s="1"/>
  <c r="N3610" i="21"/>
  <c r="Z3610" i="21" s="1"/>
  <c r="AA3610" i="21" s="1"/>
  <c r="N3290" i="21"/>
  <c r="Z3290" i="21" s="1"/>
  <c r="AA3290" i="21" s="1"/>
  <c r="N3304" i="21"/>
  <c r="Z3304" i="21" s="1"/>
  <c r="AA3304" i="21" s="1"/>
  <c r="N3262" i="21"/>
  <c r="Z3262" i="21" s="1"/>
  <c r="AA3262" i="21" s="1"/>
  <c r="N3246" i="21"/>
  <c r="Z3246" i="21" s="1"/>
  <c r="AA3246" i="21" s="1"/>
  <c r="X3244" i="21"/>
  <c r="N3203" i="21"/>
  <c r="Z3203" i="21" s="1"/>
  <c r="AA3203" i="21" s="1"/>
  <c r="N3187" i="21"/>
  <c r="Z3187" i="21" s="1"/>
  <c r="AA3187" i="21" s="1"/>
  <c r="X3107" i="21"/>
  <c r="X3099" i="21"/>
  <c r="X3091" i="21"/>
  <c r="X3083" i="21"/>
  <c r="N3095" i="21"/>
  <c r="Z3095" i="21" s="1"/>
  <c r="AA3095" i="21" s="1"/>
  <c r="N3455" i="21"/>
  <c r="Z3455" i="21" s="1"/>
  <c r="AA3455" i="21" s="1"/>
  <c r="N3105" i="21"/>
  <c r="Z3105" i="21" s="1"/>
  <c r="AA3105" i="21" s="1"/>
  <c r="X3447" i="21"/>
  <c r="N3085" i="21"/>
  <c r="Z3085" i="21" s="1"/>
  <c r="AA3085" i="21" s="1"/>
  <c r="X3419" i="21"/>
  <c r="X4015" i="21"/>
  <c r="N3676" i="21"/>
  <c r="Z3676" i="21" s="1"/>
  <c r="AA3676" i="21" s="1"/>
  <c r="N3660" i="21"/>
  <c r="Z3660" i="21" s="1"/>
  <c r="AA3660" i="21" s="1"/>
  <c r="N3606" i="21"/>
  <c r="Z3606" i="21" s="1"/>
  <c r="AA3606" i="21" s="1"/>
  <c r="N3364" i="21"/>
  <c r="Z3364" i="21" s="1"/>
  <c r="AA3364" i="21" s="1"/>
  <c r="N3388" i="21"/>
  <c r="Z3388" i="21" s="1"/>
  <c r="AA3388" i="21" s="1"/>
  <c r="X3356" i="21"/>
  <c r="N3322" i="21"/>
  <c r="Z3322" i="21" s="1"/>
  <c r="AA3322" i="21" s="1"/>
  <c r="X3306" i="21"/>
  <c r="X3298" i="21"/>
  <c r="X3282" i="21"/>
  <c r="N3296" i="21"/>
  <c r="Z3296" i="21" s="1"/>
  <c r="AA3296" i="21" s="1"/>
  <c r="N3286" i="21"/>
  <c r="Z3286" i="21" s="1"/>
  <c r="AA3286" i="21" s="1"/>
  <c r="N3278" i="21"/>
  <c r="Z3278" i="21" s="1"/>
  <c r="AA3278" i="21" s="1"/>
  <c r="X3213" i="21"/>
  <c r="X3205" i="21"/>
  <c r="N3268" i="21"/>
  <c r="Z3268" i="21" s="1"/>
  <c r="AA3268" i="21" s="1"/>
  <c r="N3252" i="21"/>
  <c r="Z3252" i="21" s="1"/>
  <c r="AA3252" i="21" s="1"/>
  <c r="X3260" i="21"/>
  <c r="N3236" i="21"/>
  <c r="Z3236" i="21" s="1"/>
  <c r="AA3236" i="21" s="1"/>
  <c r="N3193" i="21"/>
  <c r="Z3193" i="21" s="1"/>
  <c r="AA3193" i="21" s="1"/>
  <c r="N3195" i="21"/>
  <c r="Z3195" i="21" s="1"/>
  <c r="AA3195" i="21" s="1"/>
  <c r="X3097" i="21"/>
  <c r="X3089" i="21"/>
  <c r="N3087" i="21"/>
  <c r="Z3087" i="21" s="1"/>
  <c r="AA3087" i="21" s="1"/>
  <c r="N3479" i="21"/>
  <c r="Z3479" i="21" s="1"/>
  <c r="AA3479" i="21" s="1"/>
  <c r="N3532" i="21"/>
  <c r="Z3532" i="21" s="1"/>
  <c r="AA3532" i="21" s="1"/>
  <c r="N3109" i="21"/>
  <c r="Z3109" i="21" s="1"/>
  <c r="AA3109" i="21" s="1"/>
  <c r="N3950" i="21"/>
  <c r="Z3950" i="21" s="1"/>
  <c r="AA3950" i="21" s="1"/>
  <c r="X3970" i="21"/>
  <c r="N3971" i="21"/>
  <c r="Z3971" i="21" s="1"/>
  <c r="AA3971" i="21" s="1"/>
  <c r="X3952" i="21"/>
  <c r="X3883" i="21"/>
  <c r="X3832" i="21"/>
  <c r="N3790" i="21"/>
  <c r="Z3790" i="21" s="1"/>
  <c r="AA3790" i="21" s="1"/>
  <c r="N3650" i="21"/>
  <c r="Z3650" i="21" s="1"/>
  <c r="AA3650" i="21" s="1"/>
  <c r="N3569" i="21"/>
  <c r="Z3569" i="21" s="1"/>
  <c r="AA3569" i="21" s="1"/>
  <c r="N3561" i="21"/>
  <c r="Z3561" i="21" s="1"/>
  <c r="AA3561" i="21" s="1"/>
  <c r="N3600" i="21"/>
  <c r="Z3600" i="21" s="1"/>
  <c r="AA3600" i="21" s="1"/>
  <c r="N3372" i="21"/>
  <c r="Z3372" i="21" s="1"/>
  <c r="AA3372" i="21" s="1"/>
  <c r="N3344" i="21"/>
  <c r="Z3344" i="21" s="1"/>
  <c r="AA3344" i="21" s="1"/>
  <c r="N3336" i="21"/>
  <c r="Z3336" i="21" s="1"/>
  <c r="AA3336" i="21" s="1"/>
  <c r="N3328" i="21"/>
  <c r="Z3328" i="21" s="1"/>
  <c r="AA3328" i="21" s="1"/>
  <c r="N3320" i="21"/>
  <c r="Z3320" i="21" s="1"/>
  <c r="AA3320" i="21" s="1"/>
  <c r="X3288" i="21"/>
  <c r="N3302" i="21"/>
  <c r="Z3302" i="21" s="1"/>
  <c r="AA3302" i="21" s="1"/>
  <c r="N3280" i="21"/>
  <c r="Z3280" i="21" s="1"/>
  <c r="AA3280" i="21" s="1"/>
  <c r="X3238" i="21"/>
  <c r="X3211" i="21"/>
  <c r="N3232" i="21"/>
  <c r="Z3232" i="21" s="1"/>
  <c r="AA3232" i="21" s="1"/>
  <c r="N3254" i="21"/>
  <c r="Z3254" i="21" s="1"/>
  <c r="AA3254" i="21" s="1"/>
  <c r="X3177" i="21"/>
  <c r="N3199" i="21"/>
  <c r="Z3199" i="21" s="1"/>
  <c r="AA3199" i="21" s="1"/>
  <c r="X3179" i="21"/>
  <c r="X3111" i="21"/>
  <c r="X3103" i="21"/>
  <c r="N3589" i="21"/>
  <c r="Z3589" i="21" s="1"/>
  <c r="AA3589" i="21" s="1"/>
  <c r="N3540" i="21"/>
  <c r="Z3540" i="21" s="1"/>
  <c r="AA3540" i="21" s="1"/>
  <c r="X3439" i="21"/>
  <c r="N3101" i="21"/>
  <c r="Z3101" i="21" s="1"/>
  <c r="AA3101" i="21" s="1"/>
  <c r="N3585" i="21"/>
  <c r="Z3585" i="21" s="1"/>
  <c r="AA3585" i="21" s="1"/>
  <c r="X3453" i="21"/>
  <c r="X3409" i="21"/>
  <c r="N3986" i="21"/>
  <c r="Z3986" i="21" s="1"/>
  <c r="AA3986" i="21" s="1"/>
  <c r="N3894" i="21"/>
  <c r="Z3894" i="21" s="1"/>
  <c r="AA3894" i="21" s="1"/>
  <c r="N3899" i="21"/>
  <c r="Z3899" i="21" s="1"/>
  <c r="AA3899" i="21" s="1"/>
  <c r="N3878" i="21"/>
  <c r="Z3878" i="21" s="1"/>
  <c r="AA3878" i="21" s="1"/>
  <c r="N3862" i="21"/>
  <c r="Z3862" i="21" s="1"/>
  <c r="AA3862" i="21" s="1"/>
  <c r="N3796" i="21"/>
  <c r="Z3796" i="21" s="1"/>
  <c r="AA3796" i="21" s="1"/>
  <c r="N3763" i="21"/>
  <c r="Z3763" i="21" s="1"/>
  <c r="AA3763" i="21" s="1"/>
  <c r="N3644" i="21"/>
  <c r="Z3644" i="21" s="1"/>
  <c r="AA3644" i="21" s="1"/>
  <c r="N3636" i="21"/>
  <c r="Z3636" i="21" s="1"/>
  <c r="AA3636" i="21" s="1"/>
  <c r="N3628" i="21"/>
  <c r="Z3628" i="21" s="1"/>
  <c r="AA3628" i="21" s="1"/>
  <c r="N3624" i="21"/>
  <c r="Z3624" i="21" s="1"/>
  <c r="AA3624" i="21" s="1"/>
  <c r="N3620" i="21"/>
  <c r="Z3620" i="21" s="1"/>
  <c r="AA3620" i="21" s="1"/>
  <c r="N3616" i="21"/>
  <c r="Z3616" i="21" s="1"/>
  <c r="AA3616" i="21" s="1"/>
  <c r="N3582" i="21"/>
  <c r="Z3582" i="21" s="1"/>
  <c r="AA3582" i="21" s="1"/>
  <c r="N3567" i="21"/>
  <c r="Z3567" i="21" s="1"/>
  <c r="AA3567" i="21" s="1"/>
  <c r="N3559" i="21"/>
  <c r="Z3559" i="21" s="1"/>
  <c r="AA3559" i="21" s="1"/>
  <c r="N3551" i="21"/>
  <c r="Z3551" i="21" s="1"/>
  <c r="AA3551" i="21" s="1"/>
  <c r="N3543" i="21"/>
  <c r="Z3543" i="21" s="1"/>
  <c r="AA3543" i="21" s="1"/>
  <c r="N3535" i="21"/>
  <c r="Z3535" i="21" s="1"/>
  <c r="AA3535" i="21" s="1"/>
  <c r="N3527" i="21"/>
  <c r="Z3527" i="21" s="1"/>
  <c r="AA3527" i="21" s="1"/>
  <c r="N3487" i="21"/>
  <c r="Z3487" i="21" s="1"/>
  <c r="AA3487" i="21" s="1"/>
  <c r="N3491" i="21"/>
  <c r="Z3491" i="21" s="1"/>
  <c r="AA3491" i="21" s="1"/>
  <c r="X3396" i="21"/>
  <c r="X3378" i="21"/>
  <c r="N3420" i="21"/>
  <c r="Z3420" i="21" s="1"/>
  <c r="AA3420" i="21" s="1"/>
  <c r="X3354" i="21"/>
  <c r="N3342" i="21"/>
  <c r="Z3342" i="21" s="1"/>
  <c r="AA3342" i="21" s="1"/>
  <c r="N3334" i="21"/>
  <c r="Z3334" i="21" s="1"/>
  <c r="AA3334" i="21" s="1"/>
  <c r="N3326" i="21"/>
  <c r="Z3326" i="21" s="1"/>
  <c r="AA3326" i="21" s="1"/>
  <c r="N3312" i="21"/>
  <c r="Z3312" i="21" s="1"/>
  <c r="AA3312" i="21" s="1"/>
  <c r="X3294" i="21"/>
  <c r="N3274" i="21"/>
  <c r="Z3274" i="21" s="1"/>
  <c r="AA3274" i="21" s="1"/>
  <c r="N3270" i="21"/>
  <c r="Z3270" i="21" s="1"/>
  <c r="AA3270" i="21" s="1"/>
  <c r="N3287" i="21"/>
  <c r="Z3287" i="21" s="1"/>
  <c r="AA3287" i="21" s="1"/>
  <c r="N3239" i="21"/>
  <c r="Z3239" i="21" s="1"/>
  <c r="AA3239" i="21" s="1"/>
  <c r="N3233" i="21"/>
  <c r="Z3233" i="21" s="1"/>
  <c r="AA3233" i="21" s="1"/>
  <c r="N3243" i="21"/>
  <c r="Z3243" i="21" s="1"/>
  <c r="AA3243" i="21" s="1"/>
  <c r="N3234" i="21"/>
  <c r="Z3234" i="21" s="1"/>
  <c r="AA3234" i="21" s="1"/>
  <c r="N3227" i="21"/>
  <c r="Z3227" i="21" s="1"/>
  <c r="AA3227" i="21" s="1"/>
  <c r="N3223" i="21"/>
  <c r="Z3223" i="21" s="1"/>
  <c r="AA3223" i="21" s="1"/>
  <c r="N3173" i="21"/>
  <c r="Z3173" i="21" s="1"/>
  <c r="AA3173" i="21" s="1"/>
  <c r="N3169" i="21"/>
  <c r="Z3169" i="21" s="1"/>
  <c r="AA3169" i="21" s="1"/>
  <c r="N3165" i="21"/>
  <c r="Z3165" i="21" s="1"/>
  <c r="AA3165" i="21" s="1"/>
  <c r="N3161" i="21"/>
  <c r="Z3161" i="21" s="1"/>
  <c r="AA3161" i="21" s="1"/>
  <c r="N3157" i="21"/>
  <c r="Z3157" i="21" s="1"/>
  <c r="AA3157" i="21" s="1"/>
  <c r="N3153" i="21"/>
  <c r="Z3153" i="21" s="1"/>
  <c r="AA3153" i="21" s="1"/>
  <c r="N3149" i="21"/>
  <c r="Z3149" i="21" s="1"/>
  <c r="AA3149" i="21" s="1"/>
  <c r="N3145" i="21"/>
  <c r="Z3145" i="21" s="1"/>
  <c r="AA3145" i="21" s="1"/>
  <c r="N3120" i="21"/>
  <c r="Z3120" i="21" s="1"/>
  <c r="AA3120" i="21" s="1"/>
  <c r="X3093" i="21"/>
  <c r="N3530" i="21"/>
  <c r="Z3530" i="21" s="1"/>
  <c r="AA3530" i="21" s="1"/>
  <c r="N3407" i="21"/>
  <c r="Z3407" i="21" s="1"/>
  <c r="AA3407" i="21" s="1"/>
  <c r="N3733" i="21"/>
  <c r="Z3733" i="21" s="1"/>
  <c r="AA3733" i="21" s="1"/>
  <c r="N3729" i="21"/>
  <c r="Z3729" i="21" s="1"/>
  <c r="AA3729" i="21" s="1"/>
  <c r="N3693" i="21"/>
  <c r="Z3693" i="21" s="1"/>
  <c r="AA3693" i="21" s="1"/>
  <c r="N3632" i="21"/>
  <c r="Z3632" i="21" s="1"/>
  <c r="AA3632" i="21" s="1"/>
  <c r="N3630" i="21"/>
  <c r="Z3630" i="21" s="1"/>
  <c r="AA3630" i="21" s="1"/>
  <c r="N3626" i="21"/>
  <c r="Z3626" i="21" s="1"/>
  <c r="AA3626" i="21" s="1"/>
  <c r="N3622" i="21"/>
  <c r="Z3622" i="21" s="1"/>
  <c r="AA3622" i="21" s="1"/>
  <c r="N3618" i="21"/>
  <c r="Z3618" i="21" s="1"/>
  <c r="AA3618" i="21" s="1"/>
  <c r="N3614" i="21"/>
  <c r="Z3614" i="21" s="1"/>
  <c r="AA3614" i="21" s="1"/>
  <c r="N3580" i="21"/>
  <c r="Z3580" i="21" s="1"/>
  <c r="AA3580" i="21" s="1"/>
  <c r="N3598" i="21"/>
  <c r="Z3598" i="21" s="1"/>
  <c r="AA3598" i="21" s="1"/>
  <c r="N3608" i="21"/>
  <c r="Z3608" i="21" s="1"/>
  <c r="AA3608" i="21" s="1"/>
  <c r="N3592" i="21"/>
  <c r="Z3592" i="21" s="1"/>
  <c r="AA3592" i="21" s="1"/>
  <c r="N3547" i="21"/>
  <c r="Z3547" i="21" s="1"/>
  <c r="AA3547" i="21" s="1"/>
  <c r="N3539" i="21"/>
  <c r="Z3539" i="21" s="1"/>
  <c r="AA3539" i="21" s="1"/>
  <c r="N3531" i="21"/>
  <c r="Z3531" i="21" s="1"/>
  <c r="AA3531" i="21" s="1"/>
  <c r="N3495" i="21"/>
  <c r="Z3495" i="21" s="1"/>
  <c r="AA3495" i="21" s="1"/>
  <c r="N3418" i="21"/>
  <c r="Z3418" i="21" s="1"/>
  <c r="AA3418" i="21" s="1"/>
  <c r="X3352" i="21"/>
  <c r="N3398" i="21"/>
  <c r="Z3398" i="21" s="1"/>
  <c r="AA3398" i="21" s="1"/>
  <c r="N3382" i="21"/>
  <c r="Z3382" i="21" s="1"/>
  <c r="AA3382" i="21" s="1"/>
  <c r="N4016" i="21"/>
  <c r="Z4016" i="21" s="1"/>
  <c r="AA4016" i="21" s="1"/>
  <c r="N3602" i="21"/>
  <c r="Z3602" i="21" s="1"/>
  <c r="AA3602" i="21" s="1"/>
  <c r="N3507" i="21"/>
  <c r="Z3507" i="21" s="1"/>
  <c r="AA3507" i="21" s="1"/>
  <c r="X3413" i="21"/>
  <c r="N3834" i="21"/>
  <c r="Z3834" i="21" s="1"/>
  <c r="AA3834" i="21" s="1"/>
  <c r="N3682" i="21"/>
  <c r="Z3682" i="21" s="1"/>
  <c r="AA3682" i="21" s="1"/>
  <c r="N3674" i="21"/>
  <c r="Z3674" i="21" s="1"/>
  <c r="AA3674" i="21" s="1"/>
  <c r="N3666" i="21"/>
  <c r="Z3666" i="21" s="1"/>
  <c r="AA3666" i="21" s="1"/>
  <c r="N3658" i="21"/>
  <c r="Z3658" i="21" s="1"/>
  <c r="AA3658" i="21" s="1"/>
  <c r="N3565" i="21"/>
  <c r="Z3565" i="21" s="1"/>
  <c r="AA3565" i="21" s="1"/>
  <c r="N3557" i="21"/>
  <c r="Z3557" i="21" s="1"/>
  <c r="AA3557" i="21" s="1"/>
  <c r="N3390" i="21"/>
  <c r="Z3390" i="21" s="1"/>
  <c r="AA3390" i="21" s="1"/>
  <c r="N3374" i="21"/>
  <c r="Z3374" i="21" s="1"/>
  <c r="AA3374" i="21" s="1"/>
  <c r="N3366" i="21"/>
  <c r="Z3366" i="21" s="1"/>
  <c r="AA3366" i="21" s="1"/>
  <c r="X3999" i="21"/>
  <c r="N3945" i="21"/>
  <c r="Z3945" i="21" s="1"/>
  <c r="AA3945" i="21" s="1"/>
  <c r="N3958" i="21"/>
  <c r="Z3958" i="21" s="1"/>
  <c r="AA3958" i="21" s="1"/>
  <c r="N3995" i="21"/>
  <c r="Z3995" i="21" s="1"/>
  <c r="AA3995" i="21" s="1"/>
  <c r="X3993" i="21"/>
  <c r="N3975" i="21"/>
  <c r="Z3975" i="21" s="1"/>
  <c r="AA3975" i="21" s="1"/>
  <c r="N3951" i="21"/>
  <c r="Z3951" i="21" s="1"/>
  <c r="AA3951" i="21" s="1"/>
  <c r="N3966" i="21"/>
  <c r="Z3966" i="21" s="1"/>
  <c r="AA3966" i="21" s="1"/>
  <c r="N3962" i="21"/>
  <c r="Z3962" i="21" s="1"/>
  <c r="AA3962" i="21" s="1"/>
  <c r="X3960" i="21"/>
  <c r="X3879" i="21"/>
  <c r="N3851" i="21"/>
  <c r="Z3851" i="21" s="1"/>
  <c r="AA3851" i="21" s="1"/>
  <c r="N3847" i="21"/>
  <c r="Z3847" i="21" s="1"/>
  <c r="AA3847" i="21" s="1"/>
  <c r="N3843" i="21"/>
  <c r="Z3843" i="21" s="1"/>
  <c r="AA3843" i="21" s="1"/>
  <c r="N3839" i="21"/>
  <c r="Z3839" i="21" s="1"/>
  <c r="AA3839" i="21" s="1"/>
  <c r="N3831" i="21"/>
  <c r="Z3831" i="21" s="1"/>
  <c r="AA3831" i="21" s="1"/>
  <c r="N3827" i="21"/>
  <c r="Z3827" i="21" s="1"/>
  <c r="AA3827" i="21" s="1"/>
  <c r="N3823" i="21"/>
  <c r="Z3823" i="21" s="1"/>
  <c r="AA3823" i="21" s="1"/>
  <c r="N3819" i="21"/>
  <c r="Z3819" i="21" s="1"/>
  <c r="AA3819" i="21" s="1"/>
  <c r="N3815" i="21"/>
  <c r="Z3815" i="21" s="1"/>
  <c r="AA3815" i="21" s="1"/>
  <c r="N3780" i="21"/>
  <c r="Z3780" i="21" s="1"/>
  <c r="AA3780" i="21" s="1"/>
  <c r="N3772" i="21"/>
  <c r="Z3772" i="21" s="1"/>
  <c r="AA3772" i="21" s="1"/>
  <c r="X3834" i="21"/>
  <c r="N3804" i="21"/>
  <c r="Z3804" i="21" s="1"/>
  <c r="AA3804" i="21" s="1"/>
  <c r="N3788" i="21"/>
  <c r="Z3788" i="21" s="1"/>
  <c r="AA3788" i="21" s="1"/>
  <c r="N3767" i="21"/>
  <c r="Z3767" i="21" s="1"/>
  <c r="AA3767" i="21" s="1"/>
  <c r="N3759" i="21"/>
  <c r="Z3759" i="21" s="1"/>
  <c r="AA3759" i="21" s="1"/>
  <c r="N3737" i="21"/>
  <c r="Z3737" i="21" s="1"/>
  <c r="AA3737" i="21" s="1"/>
  <c r="N3672" i="21"/>
  <c r="Z3672" i="21" s="1"/>
  <c r="AA3672" i="21" s="1"/>
  <c r="N3656" i="21"/>
  <c r="Z3656" i="21" s="1"/>
  <c r="AA3656" i="21" s="1"/>
  <c r="N3648" i="21"/>
  <c r="Z3648" i="21" s="1"/>
  <c r="AA3648" i="21" s="1"/>
  <c r="N3638" i="21"/>
  <c r="Z3638" i="21" s="1"/>
  <c r="AA3638" i="21" s="1"/>
  <c r="N3563" i="21"/>
  <c r="Z3563" i="21" s="1"/>
  <c r="AA3563" i="21" s="1"/>
  <c r="N3555" i="21"/>
  <c r="Z3555" i="21" s="1"/>
  <c r="AA3555" i="21" s="1"/>
  <c r="N3553" i="21"/>
  <c r="Z3553" i="21" s="1"/>
  <c r="AA3553" i="21" s="1"/>
  <c r="N3545" i="21"/>
  <c r="Z3545" i="21" s="1"/>
  <c r="AA3545" i="21" s="1"/>
  <c r="N3537" i="21"/>
  <c r="Z3537" i="21" s="1"/>
  <c r="AA3537" i="21" s="1"/>
  <c r="N3529" i="21"/>
  <c r="Z3529" i="21" s="1"/>
  <c r="AA3529" i="21" s="1"/>
  <c r="N3604" i="21"/>
  <c r="Z3604" i="21" s="1"/>
  <c r="AA3604" i="21" s="1"/>
  <c r="N3525" i="21"/>
  <c r="Z3525" i="21" s="1"/>
  <c r="AA3525" i="21" s="1"/>
  <c r="N3521" i="21"/>
  <c r="Z3521" i="21" s="1"/>
  <c r="AA3521" i="21" s="1"/>
  <c r="N3517" i="21"/>
  <c r="Z3517" i="21" s="1"/>
  <c r="AA3517" i="21" s="1"/>
  <c r="N3513" i="21"/>
  <c r="Z3513" i="21" s="1"/>
  <c r="AA3513" i="21" s="1"/>
  <c r="N3480" i="21"/>
  <c r="Z3480" i="21" s="1"/>
  <c r="AA3480" i="21" s="1"/>
  <c r="N3476" i="21"/>
  <c r="Z3476" i="21" s="1"/>
  <c r="AA3476" i="21" s="1"/>
  <c r="N3503" i="21"/>
  <c r="Z3503" i="21" s="1"/>
  <c r="AA3503" i="21" s="1"/>
  <c r="N3499" i="21"/>
  <c r="Z3499" i="21" s="1"/>
  <c r="AA3499" i="21" s="1"/>
  <c r="N3483" i="21"/>
  <c r="Z3483" i="21" s="1"/>
  <c r="AA3483" i="21" s="1"/>
  <c r="X3414" i="21"/>
  <c r="X3358" i="21"/>
  <c r="N3836" i="21"/>
  <c r="Z3836" i="21" s="1"/>
  <c r="AA3836" i="21" s="1"/>
  <c r="N3424" i="21"/>
  <c r="Z3424" i="21" s="1"/>
  <c r="AA3424" i="21" s="1"/>
  <c r="N3416" i="21"/>
  <c r="Z3416" i="21" s="1"/>
  <c r="AA3416" i="21" s="1"/>
  <c r="N3860" i="21"/>
  <c r="Z3860" i="21" s="1"/>
  <c r="AA3860" i="21" s="1"/>
  <c r="X3906" i="21"/>
  <c r="X3978" i="21"/>
  <c r="N3765" i="21"/>
  <c r="Z3765" i="21" s="1"/>
  <c r="AA3765" i="21" s="1"/>
  <c r="N3826" i="21"/>
  <c r="Z3826" i="21" s="1"/>
  <c r="AA3826" i="21" s="1"/>
  <c r="N3850" i="21"/>
  <c r="Z3850" i="21" s="1"/>
  <c r="AA3850" i="21" s="1"/>
  <c r="N4004" i="21"/>
  <c r="Z4004" i="21" s="1"/>
  <c r="AA4004" i="21" s="1"/>
  <c r="N3953" i="21"/>
  <c r="Z3953" i="21" s="1"/>
  <c r="AA3953" i="21" s="1"/>
  <c r="N3946" i="21"/>
  <c r="Z3946" i="21" s="1"/>
  <c r="AA3946" i="21" s="1"/>
  <c r="N3987" i="21"/>
  <c r="Z3987" i="21" s="1"/>
  <c r="AA3987" i="21" s="1"/>
  <c r="N3935" i="21"/>
  <c r="Z3935" i="21" s="1"/>
  <c r="AA3935" i="21" s="1"/>
  <c r="N3927" i="21"/>
  <c r="Z3927" i="21" s="1"/>
  <c r="AA3927" i="21" s="1"/>
  <c r="N3919" i="21"/>
  <c r="Z3919" i="21" s="1"/>
  <c r="AA3919" i="21" s="1"/>
  <c r="X3895" i="21"/>
  <c r="X3863" i="21"/>
  <c r="N3774" i="21"/>
  <c r="Z3774" i="21" s="1"/>
  <c r="AA3774" i="21" s="1"/>
  <c r="N3810" i="21"/>
  <c r="Z3810" i="21" s="1"/>
  <c r="AA3810" i="21" s="1"/>
  <c r="N3800" i="21"/>
  <c r="Z3800" i="21" s="1"/>
  <c r="AA3800" i="21" s="1"/>
  <c r="N3784" i="21"/>
  <c r="Z3784" i="21" s="1"/>
  <c r="AA3784" i="21" s="1"/>
  <c r="N3735" i="21"/>
  <c r="Z3735" i="21" s="1"/>
  <c r="AA3735" i="21" s="1"/>
  <c r="N3897" i="21"/>
  <c r="Z3897" i="21" s="1"/>
  <c r="AA3897" i="21" s="1"/>
  <c r="N3900" i="21"/>
  <c r="Z3900" i="21" s="1"/>
  <c r="AA3900" i="21" s="1"/>
  <c r="X3900" i="21"/>
  <c r="N3835" i="21"/>
  <c r="Z3835" i="21" s="1"/>
  <c r="AA3835" i="21" s="1"/>
  <c r="N3859" i="21"/>
  <c r="Z3859" i="21" s="1"/>
  <c r="AA3859" i="21" s="1"/>
  <c r="N3806" i="21"/>
  <c r="Z3806" i="21" s="1"/>
  <c r="AA3806" i="21" s="1"/>
  <c r="N3976" i="21"/>
  <c r="Z3976" i="21" s="1"/>
  <c r="AA3976" i="21" s="1"/>
  <c r="N3912" i="21"/>
  <c r="Z3912" i="21" s="1"/>
  <c r="AA3912" i="21" s="1"/>
  <c r="N4012" i="21"/>
  <c r="Z4012" i="21" s="1"/>
  <c r="AA4012" i="21" s="1"/>
  <c r="N3996" i="21"/>
  <c r="Z3996" i="21" s="1"/>
  <c r="AA3996" i="21" s="1"/>
  <c r="N3875" i="21"/>
  <c r="Z3875" i="21" s="1"/>
  <c r="AA3875" i="21" s="1"/>
  <c r="N3963" i="21"/>
  <c r="Z3963" i="21" s="1"/>
  <c r="AA3963" i="21" s="1"/>
  <c r="N3931" i="21"/>
  <c r="Z3931" i="21" s="1"/>
  <c r="AA3931" i="21" s="1"/>
  <c r="N3915" i="21"/>
  <c r="Z3915" i="21" s="1"/>
  <c r="AA3915" i="21" s="1"/>
  <c r="N3907" i="21"/>
  <c r="Z3907" i="21" s="1"/>
  <c r="AA3907" i="21" s="1"/>
  <c r="N3903" i="21"/>
  <c r="Z3903" i="21" s="1"/>
  <c r="AA3903" i="21" s="1"/>
  <c r="N3884" i="21"/>
  <c r="Z3884" i="21" s="1"/>
  <c r="AA3884" i="21" s="1"/>
  <c r="N3868" i="21"/>
  <c r="Z3868" i="21" s="1"/>
  <c r="AA3868" i="21" s="1"/>
  <c r="N3886" i="21"/>
  <c r="Z3886" i="21" s="1"/>
  <c r="AA3886" i="21" s="1"/>
  <c r="N3870" i="21"/>
  <c r="Z3870" i="21" s="1"/>
  <c r="AA3870" i="21" s="1"/>
  <c r="N3853" i="21"/>
  <c r="Z3853" i="21" s="1"/>
  <c r="AA3853" i="21" s="1"/>
  <c r="N3849" i="21"/>
  <c r="Z3849" i="21" s="1"/>
  <c r="AA3849" i="21" s="1"/>
  <c r="N3845" i="21"/>
  <c r="Z3845" i="21" s="1"/>
  <c r="AA3845" i="21" s="1"/>
  <c r="N3841" i="21"/>
  <c r="Z3841" i="21" s="1"/>
  <c r="AA3841" i="21" s="1"/>
  <c r="N3837" i="21"/>
  <c r="Z3837" i="21" s="1"/>
  <c r="AA3837" i="21" s="1"/>
  <c r="N3833" i="21"/>
  <c r="Z3833" i="21" s="1"/>
  <c r="AA3833" i="21" s="1"/>
  <c r="N3829" i="21"/>
  <c r="Z3829" i="21" s="1"/>
  <c r="AA3829" i="21" s="1"/>
  <c r="N3825" i="21"/>
  <c r="Z3825" i="21" s="1"/>
  <c r="AA3825" i="21" s="1"/>
  <c r="N3821" i="21"/>
  <c r="Z3821" i="21" s="1"/>
  <c r="AA3821" i="21" s="1"/>
  <c r="N3817" i="21"/>
  <c r="Z3817" i="21" s="1"/>
  <c r="AA3817" i="21" s="1"/>
  <c r="N3813" i="21"/>
  <c r="Z3813" i="21" s="1"/>
  <c r="AA3813" i="21" s="1"/>
  <c r="N3812" i="21"/>
  <c r="Z3812" i="21" s="1"/>
  <c r="AA3812" i="21" s="1"/>
  <c r="N3776" i="21"/>
  <c r="Z3776" i="21" s="1"/>
  <c r="AA3776" i="21" s="1"/>
  <c r="N3920" i="21"/>
  <c r="Z3920" i="21" s="1"/>
  <c r="AA3920" i="21" s="1"/>
  <c r="N3998" i="21"/>
  <c r="Z3998" i="21" s="1"/>
  <c r="AA3998" i="21" s="1"/>
  <c r="N3939" i="21"/>
  <c r="Z3939" i="21" s="1"/>
  <c r="AA3939" i="21" s="1"/>
  <c r="N3933" i="21"/>
  <c r="Z3933" i="21" s="1"/>
  <c r="AA3933" i="21" s="1"/>
  <c r="N3925" i="21"/>
  <c r="Z3925" i="21" s="1"/>
  <c r="AA3925" i="21" s="1"/>
  <c r="N3917" i="21"/>
  <c r="Z3917" i="21" s="1"/>
  <c r="AA3917" i="21" s="1"/>
  <c r="N3909" i="21"/>
  <c r="Z3909" i="21" s="1"/>
  <c r="AA3909" i="21" s="1"/>
  <c r="N3901" i="21"/>
  <c r="Z3901" i="21" s="1"/>
  <c r="AA3901" i="21" s="1"/>
  <c r="N3880" i="21"/>
  <c r="Z3880" i="21" s="1"/>
  <c r="AA3880" i="21" s="1"/>
  <c r="N3864" i="21"/>
  <c r="Z3864" i="21" s="1"/>
  <c r="AA3864" i="21" s="1"/>
  <c r="N3882" i="21"/>
  <c r="Z3882" i="21" s="1"/>
  <c r="AA3882" i="21" s="1"/>
  <c r="N3866" i="21"/>
  <c r="Z3866" i="21" s="1"/>
  <c r="AA3866" i="21" s="1"/>
  <c r="N3923" i="21"/>
  <c r="Z3923" i="21" s="1"/>
  <c r="AA3923" i="21" s="1"/>
  <c r="N3937" i="21"/>
  <c r="Z3937" i="21" s="1"/>
  <c r="AA3937" i="21" s="1"/>
  <c r="N3929" i="21"/>
  <c r="Z3929" i="21" s="1"/>
  <c r="AA3929" i="21" s="1"/>
  <c r="N3921" i="21"/>
  <c r="Z3921" i="21" s="1"/>
  <c r="AA3921" i="21" s="1"/>
  <c r="N3913" i="21"/>
  <c r="Z3913" i="21" s="1"/>
  <c r="AA3913" i="21" s="1"/>
  <c r="N3905" i="21"/>
  <c r="Z3905" i="21" s="1"/>
  <c r="AA3905" i="21" s="1"/>
  <c r="N3888" i="21"/>
  <c r="Z3888" i="21" s="1"/>
  <c r="AA3888" i="21" s="1"/>
  <c r="N3872" i="21"/>
  <c r="Z3872" i="21" s="1"/>
  <c r="AA3872" i="21" s="1"/>
  <c r="N3856" i="21"/>
  <c r="Z3856" i="21" s="1"/>
  <c r="AA3856" i="21" s="1"/>
  <c r="N3890" i="21"/>
  <c r="Z3890" i="21" s="1"/>
  <c r="AA3890" i="21" s="1"/>
  <c r="N3874" i="21"/>
  <c r="Z3874" i="21" s="1"/>
  <c r="AA3874" i="21" s="1"/>
  <c r="N3858" i="21"/>
  <c r="Z3858" i="21" s="1"/>
  <c r="AA3858" i="21" s="1"/>
  <c r="N3985" i="21"/>
  <c r="Z3985" i="21" s="1"/>
  <c r="AA3985" i="21" s="1"/>
  <c r="N3990" i="21"/>
  <c r="Z3990" i="21" s="1"/>
  <c r="AA3990" i="21" s="1"/>
  <c r="N3988" i="21"/>
  <c r="Z3988" i="21" s="1"/>
  <c r="AA3988" i="21" s="1"/>
  <c r="N3982" i="21"/>
  <c r="Z3982" i="21" s="1"/>
  <c r="AA3982" i="21" s="1"/>
  <c r="N3977" i="21"/>
  <c r="Z3977" i="21" s="1"/>
  <c r="AA3977" i="21" s="1"/>
  <c r="X3985" i="21"/>
  <c r="N4014" i="21"/>
  <c r="Z4014" i="21" s="1"/>
  <c r="AA4014" i="21" s="1"/>
  <c r="N4006" i="21"/>
  <c r="Z4006" i="21" s="1"/>
  <c r="AA4006" i="21" s="1"/>
  <c r="N4018" i="21"/>
  <c r="Z4018" i="21" s="1"/>
  <c r="AA4018" i="21" s="1"/>
  <c r="N4010" i="21"/>
  <c r="Z4010" i="21" s="1"/>
  <c r="AA4010" i="21" s="1"/>
  <c r="N4002" i="21"/>
  <c r="Z4002" i="21" s="1"/>
  <c r="AA4002" i="21" s="1"/>
  <c r="N3994" i="21"/>
  <c r="Z3994" i="21" s="1"/>
  <c r="AA3994" i="21" s="1"/>
  <c r="N3984" i="21"/>
  <c r="Z3984" i="21" s="1"/>
  <c r="AA3984" i="21" s="1"/>
  <c r="X4022" i="21"/>
  <c r="H15" i="27"/>
  <c r="I15" i="27" s="1"/>
  <c r="H14" i="27"/>
  <c r="I14" i="27" s="1"/>
  <c r="H18" i="4"/>
  <c r="I18" i="4" s="1"/>
  <c r="H17" i="4"/>
  <c r="I17" i="4" s="1"/>
  <c r="H112" i="6"/>
  <c r="I112" i="6" s="1"/>
  <c r="H111" i="6"/>
  <c r="I111" i="6" s="1"/>
  <c r="H110" i="6"/>
  <c r="I110" i="6" s="1"/>
  <c r="H109" i="6"/>
  <c r="I109" i="6" s="1"/>
  <c r="H108" i="6"/>
  <c r="I108" i="6" s="1"/>
  <c r="H107" i="6"/>
  <c r="I107" i="6" s="1"/>
  <c r="H106" i="6"/>
  <c r="I106" i="6" s="1"/>
  <c r="H105" i="6"/>
  <c r="I105" i="6" s="1"/>
  <c r="H104" i="6"/>
  <c r="I104" i="6" s="1"/>
  <c r="H103" i="6"/>
  <c r="I103" i="6" s="1"/>
  <c r="H102" i="6"/>
  <c r="I102" i="6" s="1"/>
  <c r="H101" i="6"/>
  <c r="I101" i="6" s="1"/>
  <c r="H100" i="6"/>
  <c r="I100" i="6" s="1"/>
  <c r="H99" i="6"/>
  <c r="I99" i="6" s="1"/>
  <c r="H98" i="6"/>
  <c r="I98" i="6" s="1"/>
  <c r="H97" i="6"/>
  <c r="I97" i="6" s="1"/>
  <c r="H16" i="4"/>
  <c r="I16" i="4" s="1"/>
  <c r="H95" i="6"/>
  <c r="I95" i="6" s="1"/>
  <c r="H94" i="6"/>
  <c r="I94" i="6" s="1"/>
  <c r="H93" i="6"/>
  <c r="I93" i="6" s="1"/>
  <c r="H92" i="6"/>
  <c r="I92" i="6" s="1"/>
  <c r="H91" i="6"/>
  <c r="I91" i="6" s="1"/>
  <c r="H90" i="6"/>
  <c r="I90" i="6" s="1"/>
  <c r="H89" i="6"/>
  <c r="I89" i="6" s="1"/>
  <c r="H88" i="6"/>
  <c r="I88" i="6" s="1"/>
  <c r="H96" i="6"/>
  <c r="I96" i="6" s="1"/>
  <c r="H87" i="6"/>
  <c r="I87" i="6" s="1"/>
  <c r="H86" i="6"/>
  <c r="I86" i="6" s="1"/>
  <c r="H85" i="6"/>
  <c r="I85" i="6" s="1"/>
  <c r="N1375" i="21" l="1"/>
  <c r="Z1375" i="21" s="1"/>
  <c r="AA1375" i="21" s="1"/>
  <c r="X1302" i="21"/>
  <c r="N1365" i="21"/>
  <c r="Z1365" i="21" s="1"/>
  <c r="AA1365" i="21" s="1"/>
  <c r="N1308" i="21"/>
  <c r="Z1308" i="21" s="1"/>
  <c r="AA1308" i="21" s="1"/>
  <c r="X1410" i="21"/>
  <c r="N1349" i="21"/>
  <c r="Z1349" i="21" s="1"/>
  <c r="AA1349" i="21" s="1"/>
  <c r="X1368" i="21"/>
  <c r="N1288" i="21"/>
  <c r="Z1288" i="21" s="1"/>
  <c r="AA1288" i="21" s="1"/>
  <c r="N1325" i="21"/>
  <c r="Z1325" i="21" s="1"/>
  <c r="AA1325" i="21" s="1"/>
  <c r="N1305" i="21"/>
  <c r="Z1305" i="21" s="1"/>
  <c r="AA1305" i="21" s="1"/>
  <c r="X1294" i="21"/>
  <c r="X1298" i="21"/>
  <c r="N1313" i="21"/>
  <c r="Z1313" i="21" s="1"/>
  <c r="AA1313" i="21" s="1"/>
  <c r="N1406" i="21"/>
  <c r="Z1406" i="21" s="1"/>
  <c r="AA1406" i="21" s="1"/>
  <c r="X1394" i="21"/>
  <c r="N1319" i="21"/>
  <c r="Z1319" i="21" s="1"/>
  <c r="AA1319" i="21" s="1"/>
  <c r="N1379" i="21"/>
  <c r="Z1379" i="21" s="1"/>
  <c r="AA1379" i="21" s="1"/>
  <c r="X1352" i="21"/>
  <c r="N1251" i="21"/>
  <c r="Z1251" i="21" s="1"/>
  <c r="AA1251" i="21" s="1"/>
  <c r="N1262" i="21"/>
  <c r="Z1262" i="21" s="1"/>
  <c r="AA1262" i="21" s="1"/>
  <c r="N1398" i="21"/>
  <c r="Z1398" i="21" s="1"/>
  <c r="AA1398" i="21" s="1"/>
  <c r="N1255" i="21"/>
  <c r="Z1255" i="21" s="1"/>
  <c r="AA1255" i="21" s="1"/>
  <c r="X1328" i="21"/>
  <c r="N1396" i="21"/>
  <c r="Z1396" i="21" s="1"/>
  <c r="AA1396" i="21" s="1"/>
  <c r="N1384" i="21"/>
  <c r="Z1384" i="21" s="1"/>
  <c r="AA1384" i="21" s="1"/>
  <c r="X1290" i="21"/>
  <c r="N1371" i="21"/>
  <c r="Z1371" i="21" s="1"/>
  <c r="AA1371" i="21" s="1"/>
  <c r="N1347" i="21"/>
  <c r="Z1347" i="21" s="1"/>
  <c r="AA1347" i="21" s="1"/>
  <c r="X1332" i="21"/>
  <c r="X1092" i="21"/>
  <c r="X1346" i="21"/>
  <c r="N1343" i="21"/>
  <c r="Z1343" i="21" s="1"/>
  <c r="AA1343" i="21" s="1"/>
  <c r="X1378" i="21"/>
  <c r="N1320" i="21"/>
  <c r="Z1320" i="21" s="1"/>
  <c r="AA1320" i="21" s="1"/>
  <c r="N1351" i="21"/>
  <c r="Z1351" i="21" s="1"/>
  <c r="AA1351" i="21" s="1"/>
  <c r="N1377" i="21"/>
  <c r="Z1377" i="21" s="1"/>
  <c r="AA1377" i="21" s="1"/>
  <c r="X1312" i="21"/>
  <c r="X1306" i="21"/>
  <c r="N1340" i="21"/>
  <c r="Z1340" i="21" s="1"/>
  <c r="AA1340" i="21" s="1"/>
  <c r="N1021" i="21"/>
  <c r="Z1021" i="21" s="1"/>
  <c r="AA1021" i="21" s="1"/>
  <c r="X1091" i="21"/>
  <c r="N1381" i="21"/>
  <c r="Z1381" i="21" s="1"/>
  <c r="AA1381" i="21" s="1"/>
  <c r="N1392" i="21"/>
  <c r="Z1392" i="21" s="1"/>
  <c r="AA1392" i="21" s="1"/>
  <c r="X1404" i="21"/>
  <c r="N1361" i="21"/>
  <c r="Z1361" i="21" s="1"/>
  <c r="AA1361" i="21" s="1"/>
  <c r="N1357" i="21"/>
  <c r="Z1357" i="21" s="1"/>
  <c r="AA1357" i="21" s="1"/>
  <c r="N1364" i="21"/>
  <c r="Z1364" i="21" s="1"/>
  <c r="AA1364" i="21" s="1"/>
  <c r="N1348" i="21"/>
  <c r="Z1348" i="21" s="1"/>
  <c r="AA1348" i="21" s="1"/>
  <c r="N1330" i="21"/>
  <c r="Z1330" i="21" s="1"/>
  <c r="AA1330" i="21" s="1"/>
  <c r="N1342" i="21"/>
  <c r="Z1342" i="21" s="1"/>
  <c r="AA1342" i="21" s="1"/>
  <c r="N1324" i="21"/>
  <c r="Z1324" i="21" s="1"/>
  <c r="AA1324" i="21" s="1"/>
  <c r="N1243" i="21"/>
  <c r="Z1243" i="21" s="1"/>
  <c r="AA1243" i="21" s="1"/>
  <c r="N1268" i="21"/>
  <c r="Z1268" i="21" s="1"/>
  <c r="AA1268" i="21" s="1"/>
  <c r="X1318" i="21"/>
  <c r="N1350" i="21"/>
  <c r="Z1350" i="21" s="1"/>
  <c r="AA1350" i="21" s="1"/>
  <c r="X1382" i="21"/>
  <c r="N1353" i="21"/>
  <c r="Z1353" i="21" s="1"/>
  <c r="AA1353" i="21" s="1"/>
  <c r="N1380" i="21"/>
  <c r="Z1380" i="21" s="1"/>
  <c r="AA1380" i="21" s="1"/>
  <c r="N1230" i="21"/>
  <c r="Z1230" i="21" s="1"/>
  <c r="AA1230" i="21" s="1"/>
  <c r="X1326" i="21"/>
  <c r="X1073" i="21"/>
  <c r="X1314" i="21"/>
  <c r="X1203" i="21"/>
  <c r="N1367" i="21"/>
  <c r="Z1367" i="21" s="1"/>
  <c r="AA1367" i="21" s="1"/>
  <c r="N1321" i="21"/>
  <c r="Z1321" i="21" s="1"/>
  <c r="AA1321" i="21" s="1"/>
  <c r="N1177" i="21"/>
  <c r="Z1177" i="21" s="1"/>
  <c r="AA1177" i="21" s="1"/>
  <c r="N1167" i="21"/>
  <c r="Z1167" i="21" s="1"/>
  <c r="AA1167" i="21" s="1"/>
  <c r="N1354" i="21"/>
  <c r="Z1354" i="21" s="1"/>
  <c r="AA1354" i="21" s="1"/>
  <c r="N1359" i="21"/>
  <c r="Z1359" i="21" s="1"/>
  <c r="AA1359" i="21" s="1"/>
  <c r="N1245" i="21"/>
  <c r="Z1245" i="21" s="1"/>
  <c r="AA1245" i="21" s="1"/>
  <c r="N1287" i="21"/>
  <c r="Z1287" i="21" s="1"/>
  <c r="AA1287" i="21" s="1"/>
  <c r="N1257" i="21"/>
  <c r="Z1257" i="21" s="1"/>
  <c r="AA1257" i="21" s="1"/>
  <c r="N1280" i="21"/>
  <c r="Z1280" i="21" s="1"/>
  <c r="AA1280" i="21" s="1"/>
  <c r="X1322" i="21"/>
  <c r="N1356" i="21"/>
  <c r="Z1356" i="21" s="1"/>
  <c r="AA1356" i="21" s="1"/>
  <c r="N1117" i="21"/>
  <c r="Z1117" i="21" s="1"/>
  <c r="AA1117" i="21" s="1"/>
  <c r="N1336" i="21"/>
  <c r="Z1336" i="21" s="1"/>
  <c r="AA1336" i="21" s="1"/>
  <c r="N1194" i="21"/>
  <c r="Z1194" i="21" s="1"/>
  <c r="AA1194" i="21" s="1"/>
  <c r="N1402" i="21"/>
  <c r="Z1402" i="21" s="1"/>
  <c r="AA1402" i="21" s="1"/>
  <c r="X1338" i="21"/>
  <c r="N1338" i="21"/>
  <c r="Z1338" i="21" s="1"/>
  <c r="AA1338" i="21" s="1"/>
  <c r="X1412" i="21"/>
  <c r="X1414" i="21"/>
  <c r="X1102" i="21"/>
  <c r="X1386" i="21"/>
  <c r="N1200" i="21"/>
  <c r="Z1200" i="21" s="1"/>
  <c r="AA1200" i="21" s="1"/>
  <c r="N1266" i="21"/>
  <c r="Z1266" i="21" s="1"/>
  <c r="AA1266" i="21" s="1"/>
  <c r="X1296" i="21"/>
  <c r="X1077" i="21"/>
  <c r="N1344" i="21"/>
  <c r="Z1344" i="21" s="1"/>
  <c r="AA1344" i="21" s="1"/>
  <c r="N1267" i="21"/>
  <c r="Z1267" i="21" s="1"/>
  <c r="AA1267" i="21" s="1"/>
  <c r="N1081" i="21"/>
  <c r="Z1081" i="21" s="1"/>
  <c r="AA1081" i="21" s="1"/>
  <c r="N1355" i="21"/>
  <c r="Z1355" i="21" s="1"/>
  <c r="AA1355" i="21" s="1"/>
  <c r="X1355" i="21"/>
  <c r="X1284" i="21"/>
  <c r="N1388" i="21"/>
  <c r="Z1388" i="21" s="1"/>
  <c r="AA1388" i="21" s="1"/>
  <c r="X1400" i="21"/>
  <c r="N1345" i="21"/>
  <c r="Z1345" i="21" s="1"/>
  <c r="AA1345" i="21" s="1"/>
  <c r="N1273" i="21"/>
  <c r="Z1273" i="21" s="1"/>
  <c r="AA1273" i="21" s="1"/>
  <c r="N1173" i="21"/>
  <c r="Z1173" i="21" s="1"/>
  <c r="AA1173" i="21" s="1"/>
  <c r="N1300" i="21"/>
  <c r="Z1300" i="21" s="1"/>
  <c r="AA1300" i="21" s="1"/>
  <c r="X1304" i="21"/>
  <c r="N1304" i="21"/>
  <c r="Z1304" i="21" s="1"/>
  <c r="AA1304" i="21" s="1"/>
  <c r="N1299" i="21"/>
  <c r="Z1299" i="21" s="1"/>
  <c r="AA1299" i="21" s="1"/>
  <c r="N1310" i="21"/>
  <c r="Z1310" i="21" s="1"/>
  <c r="AA1310" i="21" s="1"/>
  <c r="N1087" i="21"/>
  <c r="Z1087" i="21" s="1"/>
  <c r="AA1087" i="21" s="1"/>
  <c r="N1164" i="21"/>
  <c r="Z1164" i="21" s="1"/>
  <c r="AA1164" i="21" s="1"/>
  <c r="X1089" i="21"/>
  <c r="X1153" i="21"/>
  <c r="X1232" i="21"/>
  <c r="X1135" i="21"/>
  <c r="N1063" i="21"/>
  <c r="Z1063" i="21" s="1"/>
  <c r="AA1063" i="21" s="1"/>
  <c r="N1168" i="21"/>
  <c r="Z1168" i="21" s="1"/>
  <c r="AA1168" i="21" s="1"/>
  <c r="N1238" i="21"/>
  <c r="Z1238" i="21" s="1"/>
  <c r="AA1238" i="21" s="1"/>
  <c r="N1252" i="21"/>
  <c r="Z1252" i="21" s="1"/>
  <c r="AA1252" i="21" s="1"/>
  <c r="N1253" i="21"/>
  <c r="Z1253" i="21" s="1"/>
  <c r="AA1253" i="21" s="1"/>
  <c r="N1129" i="21"/>
  <c r="Z1129" i="21" s="1"/>
  <c r="AA1129" i="21" s="1"/>
  <c r="N1229" i="21"/>
  <c r="Z1229" i="21" s="1"/>
  <c r="AA1229" i="21" s="1"/>
  <c r="N1210" i="21"/>
  <c r="Z1210" i="21" s="1"/>
  <c r="AA1210" i="21" s="1"/>
  <c r="X1174" i="21"/>
  <c r="N1216" i="21"/>
  <c r="Z1216" i="21" s="1"/>
  <c r="AA1216" i="21" s="1"/>
  <c r="X1286" i="21"/>
  <c r="N1202" i="21"/>
  <c r="Z1202" i="21" s="1"/>
  <c r="AA1202" i="21" s="1"/>
  <c r="N1127" i="21"/>
  <c r="Z1127" i="21" s="1"/>
  <c r="AA1127" i="21" s="1"/>
  <c r="N1226" i="21"/>
  <c r="Z1226" i="21" s="1"/>
  <c r="AA1226" i="21" s="1"/>
  <c r="N1095" i="21"/>
  <c r="Z1095" i="21" s="1"/>
  <c r="AA1095" i="21" s="1"/>
  <c r="N1242" i="21"/>
  <c r="Z1242" i="21" s="1"/>
  <c r="AA1242" i="21" s="1"/>
  <c r="N1276" i="21"/>
  <c r="Z1276" i="21" s="1"/>
  <c r="AA1276" i="21" s="1"/>
  <c r="X1131" i="21"/>
  <c r="X1186" i="21"/>
  <c r="N1234" i="21"/>
  <c r="Z1234" i="21" s="1"/>
  <c r="AA1234" i="21" s="1"/>
  <c r="N1009" i="21"/>
  <c r="Z1009" i="21" s="1"/>
  <c r="AA1009" i="21" s="1"/>
  <c r="N1083" i="21"/>
  <c r="Z1083" i="21" s="1"/>
  <c r="AA1083" i="21" s="1"/>
  <c r="X1163" i="21"/>
  <c r="X1204" i="21"/>
  <c r="N1282" i="21"/>
  <c r="Z1282" i="21" s="1"/>
  <c r="AA1282" i="21" s="1"/>
  <c r="X1169" i="21"/>
  <c r="N1250" i="21"/>
  <c r="Z1250" i="21" s="1"/>
  <c r="AA1250" i="21" s="1"/>
  <c r="X1250" i="21"/>
  <c r="N1236" i="21"/>
  <c r="Z1236" i="21" s="1"/>
  <c r="AA1236" i="21" s="1"/>
  <c r="N1249" i="21"/>
  <c r="Z1249" i="21" s="1"/>
  <c r="AA1249" i="21" s="1"/>
  <c r="N1264" i="21"/>
  <c r="Z1264" i="21" s="1"/>
  <c r="AA1264" i="21" s="1"/>
  <c r="N1240" i="21"/>
  <c r="Z1240" i="21" s="1"/>
  <c r="AA1240" i="21" s="1"/>
  <c r="N1260" i="21"/>
  <c r="Z1260" i="21" s="1"/>
  <c r="AA1260" i="21" s="1"/>
  <c r="N1113" i="21"/>
  <c r="Z1113" i="21" s="1"/>
  <c r="AA1113" i="21" s="1"/>
  <c r="X1228" i="21"/>
  <c r="X1137" i="21"/>
  <c r="N1220" i="21"/>
  <c r="Z1220" i="21" s="1"/>
  <c r="AA1220" i="21" s="1"/>
  <c r="N1106" i="21"/>
  <c r="Z1106" i="21" s="1"/>
  <c r="AA1106" i="21" s="1"/>
  <c r="X1107" i="21"/>
  <c r="X1197" i="21"/>
  <c r="X1065" i="21"/>
  <c r="N1254" i="21"/>
  <c r="Z1254" i="21" s="1"/>
  <c r="AA1254" i="21" s="1"/>
  <c r="N1048" i="21"/>
  <c r="Z1048" i="21" s="1"/>
  <c r="AA1048" i="21" s="1"/>
  <c r="N1198" i="21"/>
  <c r="Z1198" i="21" s="1"/>
  <c r="AA1198" i="21" s="1"/>
  <c r="N1270" i="21"/>
  <c r="Z1270" i="21" s="1"/>
  <c r="AA1270" i="21" s="1"/>
  <c r="X1270" i="21"/>
  <c r="N1181" i="21"/>
  <c r="Z1181" i="21" s="1"/>
  <c r="AA1181" i="21" s="1"/>
  <c r="N1010" i="21"/>
  <c r="Z1010" i="21" s="1"/>
  <c r="AA1010" i="21" s="1"/>
  <c r="N1151" i="21"/>
  <c r="Z1151" i="21" s="1"/>
  <c r="AA1151" i="21" s="1"/>
  <c r="N1024" i="21"/>
  <c r="Z1024" i="21" s="1"/>
  <c r="AA1024" i="21" s="1"/>
  <c r="X1184" i="21"/>
  <c r="N1272" i="21"/>
  <c r="Z1272" i="21" s="1"/>
  <c r="AA1272" i="21" s="1"/>
  <c r="N1165" i="21"/>
  <c r="Z1165" i="21" s="1"/>
  <c r="AA1165" i="21" s="1"/>
  <c r="N1217" i="21"/>
  <c r="Z1217" i="21" s="1"/>
  <c r="AA1217" i="21" s="1"/>
  <c r="N1274" i="21"/>
  <c r="Z1274" i="21" s="1"/>
  <c r="AA1274" i="21" s="1"/>
  <c r="X1274" i="21"/>
  <c r="N1248" i="21"/>
  <c r="Z1248" i="21" s="1"/>
  <c r="AA1248" i="21" s="1"/>
  <c r="N1037" i="21"/>
  <c r="Z1037" i="21" s="1"/>
  <c r="AA1037" i="21" s="1"/>
  <c r="N1185" i="21"/>
  <c r="Z1185" i="21" s="1"/>
  <c r="AA1185" i="21" s="1"/>
  <c r="N1224" i="21"/>
  <c r="Z1224" i="21" s="1"/>
  <c r="AA1224" i="21" s="1"/>
  <c r="N1221" i="21"/>
  <c r="Z1221" i="21" s="1"/>
  <c r="AA1221" i="21" s="1"/>
  <c r="X1189" i="21"/>
  <c r="X1138" i="21"/>
  <c r="N1001" i="21"/>
  <c r="Z1001" i="21" s="1"/>
  <c r="AA1001" i="21" s="1"/>
  <c r="N1218" i="21"/>
  <c r="Z1218" i="21" s="1"/>
  <c r="AA1218" i="21" s="1"/>
  <c r="X1208" i="21"/>
  <c r="X1159" i="21"/>
  <c r="X1074" i="21"/>
  <c r="X1036" i="21"/>
  <c r="N1047" i="21"/>
  <c r="Z1047" i="21" s="1"/>
  <c r="AA1047" i="21" s="1"/>
  <c r="X1139" i="21"/>
  <c r="N1222" i="21"/>
  <c r="Z1222" i="21" s="1"/>
  <c r="AA1222" i="21" s="1"/>
  <c r="N1258" i="21"/>
  <c r="Z1258" i="21" s="1"/>
  <c r="AA1258" i="21" s="1"/>
  <c r="N1241" i="21"/>
  <c r="Z1241" i="21" s="1"/>
  <c r="AA1241" i="21" s="1"/>
  <c r="N1013" i="21"/>
  <c r="Z1013" i="21" s="1"/>
  <c r="AA1013" i="21" s="1"/>
  <c r="N1104" i="21"/>
  <c r="Z1104" i="21" s="1"/>
  <c r="AA1104" i="21" s="1"/>
  <c r="N1061" i="21"/>
  <c r="Z1061" i="21" s="1"/>
  <c r="AA1061" i="21" s="1"/>
  <c r="N1078" i="21"/>
  <c r="Z1078" i="21" s="1"/>
  <c r="AA1078" i="21" s="1"/>
  <c r="N1007" i="21"/>
  <c r="Z1007" i="21" s="1"/>
  <c r="AA1007" i="21" s="1"/>
  <c r="N1041" i="21"/>
  <c r="Z1041" i="21" s="1"/>
  <c r="AA1041" i="21" s="1"/>
  <c r="N1123" i="21"/>
  <c r="Z1123" i="21" s="1"/>
  <c r="AA1123" i="21" s="1"/>
  <c r="X1256" i="21"/>
  <c r="N1256" i="21"/>
  <c r="Z1256" i="21" s="1"/>
  <c r="AA1256" i="21" s="1"/>
  <c r="X1034" i="21"/>
  <c r="N1044" i="21"/>
  <c r="Z1044" i="21" s="1"/>
  <c r="AA1044" i="21" s="1"/>
  <c r="X1067" i="21"/>
  <c r="N1188" i="21"/>
  <c r="Z1188" i="21" s="1"/>
  <c r="AA1188" i="21" s="1"/>
  <c r="N1053" i="21"/>
  <c r="Z1053" i="21" s="1"/>
  <c r="AA1053" i="21" s="1"/>
  <c r="N1187" i="21"/>
  <c r="Z1187" i="21" s="1"/>
  <c r="AA1187" i="21" s="1"/>
  <c r="N1180" i="21"/>
  <c r="Z1180" i="21" s="1"/>
  <c r="AA1180" i="21" s="1"/>
  <c r="N1029" i="21"/>
  <c r="Z1029" i="21" s="1"/>
  <c r="AA1029" i="21" s="1"/>
  <c r="N1112" i="21"/>
  <c r="Z1112" i="21" s="1"/>
  <c r="AA1112" i="21" s="1"/>
  <c r="N1170" i="21"/>
  <c r="Z1170" i="21" s="1"/>
  <c r="AA1170" i="21" s="1"/>
  <c r="X1082" i="21"/>
  <c r="N1014" i="21"/>
  <c r="Z1014" i="21" s="1"/>
  <c r="AA1014" i="21" s="1"/>
  <c r="N1246" i="21"/>
  <c r="Z1246" i="21" s="1"/>
  <c r="AA1246" i="21" s="1"/>
  <c r="N1166" i="21"/>
  <c r="Z1166" i="21" s="1"/>
  <c r="AA1166" i="21" s="1"/>
  <c r="N1160" i="21"/>
  <c r="Z1160" i="21" s="1"/>
  <c r="AA1160" i="21" s="1"/>
  <c r="N1105" i="21"/>
  <c r="Z1105" i="21" s="1"/>
  <c r="AA1105" i="21" s="1"/>
  <c r="N1192" i="21"/>
  <c r="Z1192" i="21" s="1"/>
  <c r="AA1192" i="21" s="1"/>
  <c r="N1068" i="21"/>
  <c r="Z1068" i="21" s="1"/>
  <c r="AA1068" i="21" s="1"/>
  <c r="X1199" i="21"/>
  <c r="N1039" i="21"/>
  <c r="Z1039" i="21" s="1"/>
  <c r="AA1039" i="21" s="1"/>
  <c r="N1045" i="21"/>
  <c r="Z1045" i="21" s="1"/>
  <c r="AA1045" i="21" s="1"/>
  <c r="N1196" i="21"/>
  <c r="Z1196" i="21" s="1"/>
  <c r="AA1196" i="21" s="1"/>
  <c r="N1152" i="21"/>
  <c r="Z1152" i="21" s="1"/>
  <c r="AA1152" i="21" s="1"/>
  <c r="N1043" i="21"/>
  <c r="Z1043" i="21" s="1"/>
  <c r="AA1043" i="21" s="1"/>
  <c r="X1158" i="21"/>
  <c r="X1105" i="21"/>
  <c r="N1171" i="21"/>
  <c r="Z1171" i="21" s="1"/>
  <c r="AA1171" i="21" s="1"/>
  <c r="N1190" i="21"/>
  <c r="Z1190" i="21" s="1"/>
  <c r="AA1190" i="21" s="1"/>
  <c r="X1190" i="21"/>
  <c r="N1086" i="21"/>
  <c r="Z1086" i="21" s="1"/>
  <c r="AA1086" i="21" s="1"/>
  <c r="N1003" i="21"/>
  <c r="Z1003" i="21" s="1"/>
  <c r="AA1003" i="21" s="1"/>
  <c r="N1215" i="21"/>
  <c r="Z1215" i="21" s="1"/>
  <c r="AA1215" i="21" s="1"/>
  <c r="N1054" i="21"/>
  <c r="Z1054" i="21" s="1"/>
  <c r="AA1054" i="21" s="1"/>
  <c r="N1008" i="21"/>
  <c r="Z1008" i="21" s="1"/>
  <c r="AA1008" i="21" s="1"/>
  <c r="N1121" i="21"/>
  <c r="Z1121" i="21" s="1"/>
  <c r="AA1121" i="21" s="1"/>
  <c r="N1150" i="21"/>
  <c r="Z1150" i="21" s="1"/>
  <c r="AA1150" i="21" s="1"/>
  <c r="N1206" i="21"/>
  <c r="Z1206" i="21" s="1"/>
  <c r="AA1206" i="21" s="1"/>
  <c r="X1206" i="21"/>
  <c r="N1026" i="21"/>
  <c r="Z1026" i="21" s="1"/>
  <c r="AA1026" i="21" s="1"/>
  <c r="N1025" i="21"/>
  <c r="Z1025" i="21" s="1"/>
  <c r="AA1025" i="21" s="1"/>
  <c r="N1114" i="21"/>
  <c r="Z1114" i="21" s="1"/>
  <c r="AA1114" i="21" s="1"/>
  <c r="N1100" i="21"/>
  <c r="Z1100" i="21" s="1"/>
  <c r="AA1100" i="21" s="1"/>
  <c r="N1032" i="21"/>
  <c r="Z1032" i="21" s="1"/>
  <c r="AA1032" i="21" s="1"/>
  <c r="N1182" i="21"/>
  <c r="Z1182" i="21" s="1"/>
  <c r="AA1182" i="21" s="1"/>
  <c r="X1182" i="21"/>
  <c r="X1069" i="21"/>
  <c r="N1000" i="21"/>
  <c r="Z1000" i="21" s="1"/>
  <c r="AA1000" i="21" s="1"/>
  <c r="N1059" i="21"/>
  <c r="Z1059" i="21" s="1"/>
  <c r="AA1059" i="21" s="1"/>
  <c r="N1148" i="21"/>
  <c r="Z1148" i="21" s="1"/>
  <c r="AA1148" i="21" s="1"/>
  <c r="N1097" i="21"/>
  <c r="Z1097" i="21" s="1"/>
  <c r="AA1097" i="21" s="1"/>
  <c r="N1141" i="21"/>
  <c r="Z1141" i="21" s="1"/>
  <c r="AA1141" i="21" s="1"/>
  <c r="N1093" i="21"/>
  <c r="Z1093" i="21" s="1"/>
  <c r="AA1093" i="21" s="1"/>
  <c r="N1051" i="21"/>
  <c r="Z1051" i="21" s="1"/>
  <c r="AA1051" i="21" s="1"/>
  <c r="N1154" i="21"/>
  <c r="Z1154" i="21" s="1"/>
  <c r="AA1154" i="21" s="1"/>
  <c r="N1214" i="21"/>
  <c r="Z1214" i="21" s="1"/>
  <c r="AA1214" i="21" s="1"/>
  <c r="X1214" i="21"/>
  <c r="N1108" i="21"/>
  <c r="Z1108" i="21" s="1"/>
  <c r="AA1108" i="21" s="1"/>
  <c r="N1085" i="21"/>
  <c r="Z1085" i="21" s="1"/>
  <c r="AA1085" i="21" s="1"/>
  <c r="N1191" i="21"/>
  <c r="Z1191" i="21" s="1"/>
  <c r="AA1191" i="21" s="1"/>
  <c r="N1016" i="21"/>
  <c r="Z1016" i="21" s="1"/>
  <c r="AA1016" i="21" s="1"/>
  <c r="N1119" i="21"/>
  <c r="Z1119" i="21" s="1"/>
  <c r="AA1119" i="21" s="1"/>
  <c r="N1088" i="21"/>
  <c r="Z1088" i="21" s="1"/>
  <c r="AA1088" i="21" s="1"/>
  <c r="X1155" i="21"/>
  <c r="N1115" i="21"/>
  <c r="Z1115" i="21" s="1"/>
  <c r="AA1115" i="21" s="1"/>
  <c r="X1101" i="21"/>
  <c r="X1026" i="21"/>
  <c r="N1146" i="21"/>
  <c r="Z1146" i="21" s="1"/>
  <c r="AA1146" i="21" s="1"/>
  <c r="X1146" i="21"/>
  <c r="N1133" i="21"/>
  <c r="Z1133" i="21" s="1"/>
  <c r="AA1133" i="21" s="1"/>
  <c r="N1018" i="21"/>
  <c r="Z1018" i="21" s="1"/>
  <c r="AA1018" i="21" s="1"/>
  <c r="N1057" i="21"/>
  <c r="Z1057" i="21" s="1"/>
  <c r="AA1057" i="21" s="1"/>
  <c r="N1046" i="21"/>
  <c r="Z1046" i="21" s="1"/>
  <c r="AA1046" i="21" s="1"/>
  <c r="X1046" i="21"/>
  <c r="N1012" i="21"/>
  <c r="Z1012" i="21" s="1"/>
  <c r="AA1012" i="21" s="1"/>
  <c r="N1099" i="21"/>
  <c r="Z1099" i="21" s="1"/>
  <c r="AA1099" i="21" s="1"/>
  <c r="X1099" i="21"/>
  <c r="N1147" i="21"/>
  <c r="Z1147" i="21" s="1"/>
  <c r="AA1147" i="21" s="1"/>
  <c r="N1157" i="21"/>
  <c r="Z1157" i="21" s="1"/>
  <c r="AA1157" i="21" s="1"/>
  <c r="X1062" i="21"/>
  <c r="N1062" i="21"/>
  <c r="Z1062" i="21" s="1"/>
  <c r="AA1062" i="21" s="1"/>
  <c r="N1040" i="21"/>
  <c r="Z1040" i="21" s="1"/>
  <c r="AA1040" i="21" s="1"/>
  <c r="X1038" i="21"/>
  <c r="N1038" i="21"/>
  <c r="Z1038" i="21" s="1"/>
  <c r="AA1038" i="21" s="1"/>
  <c r="N1020" i="21"/>
  <c r="Z1020" i="21" s="1"/>
  <c r="AA1020" i="21" s="1"/>
  <c r="N1116" i="21"/>
  <c r="Z1116" i="21" s="1"/>
  <c r="AA1116" i="21" s="1"/>
  <c r="X1116" i="21"/>
  <c r="N1060" i="21"/>
  <c r="Z1060" i="21" s="1"/>
  <c r="AA1060" i="21" s="1"/>
  <c r="N1094" i="21"/>
  <c r="Z1094" i="21" s="1"/>
  <c r="AA1094" i="21" s="1"/>
  <c r="N1124" i="21"/>
  <c r="Z1124" i="21" s="1"/>
  <c r="AA1124" i="21" s="1"/>
  <c r="X1124" i="21"/>
  <c r="N1145" i="21"/>
  <c r="Z1145" i="21" s="1"/>
  <c r="AA1145" i="21" s="1"/>
  <c r="X1125" i="21"/>
  <c r="N1125" i="21"/>
  <c r="Z1125" i="21" s="1"/>
  <c r="AA1125" i="21" s="1"/>
  <c r="N1118" i="21"/>
  <c r="Z1118" i="21" s="1"/>
  <c r="AA1118" i="21" s="1"/>
  <c r="X1056" i="21"/>
  <c r="N1056" i="21"/>
  <c r="Z1056" i="21" s="1"/>
  <c r="AA1056" i="21" s="1"/>
  <c r="N1103" i="21"/>
  <c r="Z1103" i="21" s="1"/>
  <c r="AA1103" i="21" s="1"/>
  <c r="X1080" i="21"/>
  <c r="N1080" i="21"/>
  <c r="Z1080" i="21" s="1"/>
  <c r="AA1080" i="21" s="1"/>
  <c r="N1079" i="21"/>
  <c r="Z1079" i="21" s="1"/>
  <c r="AA1079" i="21" s="1"/>
  <c r="X1075" i="21"/>
  <c r="X1076" i="21"/>
  <c r="N1076" i="21"/>
  <c r="Z1076" i="21" s="1"/>
  <c r="AA1076" i="21" s="1"/>
  <c r="N1070" i="21"/>
  <c r="Z1070" i="21" s="1"/>
  <c r="AA1070" i="21" s="1"/>
  <c r="X1070" i="21"/>
  <c r="X1066" i="21"/>
  <c r="N1066" i="21"/>
  <c r="Z1066" i="21" s="1"/>
  <c r="AA1066" i="21" s="1"/>
  <c r="N1071" i="21"/>
  <c r="Z1071" i="21" s="1"/>
  <c r="AA1071" i="21" s="1"/>
  <c r="X1071" i="21"/>
  <c r="X1028" i="21"/>
  <c r="N1028" i="21"/>
  <c r="Z1028" i="21" s="1"/>
  <c r="AA1028" i="21" s="1"/>
  <c r="N1052" i="21"/>
  <c r="Z1052" i="21" s="1"/>
  <c r="AA1052" i="21" s="1"/>
  <c r="N1042" i="21"/>
  <c r="Z1042" i="21" s="1"/>
  <c r="AA1042" i="21" s="1"/>
  <c r="X1042" i="21"/>
  <c r="N1022" i="21"/>
  <c r="Z1022" i="21" s="1"/>
  <c r="AA1022" i="21" s="1"/>
  <c r="N1002" i="21"/>
  <c r="Z1002" i="21" s="1"/>
  <c r="AA1002" i="21" s="1"/>
  <c r="X1002" i="21"/>
  <c r="N1004" i="21"/>
  <c r="Z1004" i="21" s="1"/>
  <c r="AA1004" i="21" s="1"/>
  <c r="H142" i="6"/>
  <c r="I142" i="6" s="1"/>
  <c r="H141" i="6"/>
  <c r="I141" i="6" s="1"/>
  <c r="H41" i="4"/>
  <c r="I41" i="4" s="1"/>
  <c r="H40" i="4"/>
  <c r="I40" i="4" s="1"/>
  <c r="H39" i="4"/>
  <c r="I39" i="4" s="1"/>
  <c r="H69" i="4" l="1"/>
  <c r="I69" i="4" s="1"/>
  <c r="H68" i="4"/>
  <c r="I68" i="4" s="1"/>
  <c r="H67" i="4"/>
  <c r="I67" i="4" s="1"/>
  <c r="F19" i="49"/>
  <c r="H66" i="4"/>
  <c r="I66" i="4" s="1"/>
  <c r="H56" i="4"/>
  <c r="I56" i="4" s="1"/>
  <c r="H55" i="4" l="1"/>
  <c r="I55" i="4" s="1"/>
  <c r="H54" i="4"/>
  <c r="I54" i="4" s="1"/>
  <c r="H25" i="27"/>
  <c r="I25" i="27" s="1"/>
  <c r="H24" i="27"/>
  <c r="I24" i="27" s="1"/>
  <c r="H180" i="6"/>
  <c r="I180" i="6" s="1"/>
  <c r="H179" i="6"/>
  <c r="I179" i="6" s="1"/>
  <c r="H178" i="6"/>
  <c r="I178" i="6" s="1"/>
  <c r="H177" i="6"/>
  <c r="I177" i="6" s="1"/>
  <c r="H176" i="6"/>
  <c r="I176" i="6" s="1"/>
  <c r="H175" i="6"/>
  <c r="I175" i="6" s="1"/>
  <c r="H174" i="6"/>
  <c r="I174" i="6" s="1"/>
  <c r="H173" i="6"/>
  <c r="I173" i="6" s="1"/>
  <c r="H171" i="6"/>
  <c r="I171" i="6" s="1"/>
  <c r="H170" i="6"/>
  <c r="I170" i="6" s="1"/>
  <c r="H169" i="6"/>
  <c r="I169" i="6" s="1"/>
  <c r="H168" i="6"/>
  <c r="I168" i="6" s="1"/>
  <c r="H167" i="6"/>
  <c r="I167" i="6" s="1"/>
  <c r="H166" i="6"/>
  <c r="I166" i="6" s="1"/>
  <c r="H165" i="6"/>
  <c r="I165" i="6" s="1"/>
  <c r="H164" i="6"/>
  <c r="I164" i="6" s="1"/>
  <c r="H163" i="6"/>
  <c r="I163" i="6" s="1"/>
  <c r="H162" i="6"/>
  <c r="I162" i="6" s="1"/>
  <c r="H161" i="6"/>
  <c r="I161" i="6" s="1"/>
  <c r="H160" i="6"/>
  <c r="I160" i="6" s="1"/>
  <c r="H159" i="6"/>
  <c r="I159" i="6" s="1"/>
  <c r="H140" i="6"/>
  <c r="I140" i="6" s="1"/>
  <c r="H139" i="6"/>
  <c r="I139" i="6" s="1"/>
  <c r="H38" i="4"/>
  <c r="I38" i="4" s="1"/>
  <c r="H37" i="4"/>
  <c r="I37" i="4" s="1"/>
  <c r="H36" i="4"/>
  <c r="I36" i="4" s="1"/>
  <c r="H138" i="6"/>
  <c r="I138" i="6" s="1"/>
  <c r="H18" i="27"/>
  <c r="I18" i="27" s="1"/>
  <c r="H35" i="4"/>
  <c r="I35" i="4" s="1"/>
  <c r="H34" i="4"/>
  <c r="I34" i="4" s="1"/>
  <c r="H15" i="4" l="1"/>
  <c r="I15" i="4" s="1"/>
  <c r="H84" i="6"/>
  <c r="I84" i="6" s="1"/>
  <c r="H83" i="6"/>
  <c r="I83" i="6" s="1"/>
  <c r="H82" i="6"/>
  <c r="I82" i="6" s="1"/>
  <c r="H81" i="6"/>
  <c r="I81" i="6" s="1"/>
  <c r="H80" i="6"/>
  <c r="I80" i="6" s="1"/>
  <c r="H79" i="6"/>
  <c r="I79" i="6" s="1"/>
  <c r="H78" i="6"/>
  <c r="I78" i="6" s="1"/>
  <c r="H77" i="6"/>
  <c r="I77" i="6" s="1"/>
  <c r="H14" i="4"/>
  <c r="I14" i="4" s="1"/>
  <c r="H13" i="27"/>
  <c r="I13" i="27" s="1"/>
  <c r="H12" i="27"/>
  <c r="I12" i="27" s="1"/>
  <c r="H76" i="6"/>
  <c r="I76" i="6" s="1"/>
  <c r="H75" i="6"/>
  <c r="I75" i="6" s="1"/>
  <c r="H74" i="6"/>
  <c r="I74" i="6" s="1"/>
  <c r="H73" i="6"/>
  <c r="I73" i="6" s="1"/>
  <c r="H72" i="6"/>
  <c r="I72" i="6" s="1"/>
  <c r="H71" i="6"/>
  <c r="I71" i="6" s="1"/>
  <c r="H70" i="6"/>
  <c r="I70" i="6" s="1"/>
  <c r="H69" i="6"/>
  <c r="I69" i="6" s="1"/>
  <c r="F18" i="49" l="1"/>
  <c r="F17" i="49"/>
  <c r="H65" i="4" l="1"/>
  <c r="I65" i="4" s="1"/>
  <c r="H53" i="4"/>
  <c r="I53" i="4" s="1"/>
  <c r="H158" i="6"/>
  <c r="I158" i="6" s="1"/>
  <c r="H157" i="6"/>
  <c r="I157" i="6" s="1"/>
  <c r="H156" i="6"/>
  <c r="I156" i="6" s="1"/>
  <c r="H33" i="4"/>
  <c r="I33" i="4" s="1"/>
  <c r="H137" i="6"/>
  <c r="I137" i="6" s="1"/>
  <c r="H136" i="6"/>
  <c r="I136" i="6" s="1"/>
  <c r="H32" i="4"/>
  <c r="I32" i="4" s="1"/>
  <c r="H13" i="4"/>
  <c r="I13" i="4" s="1"/>
  <c r="H68" i="6"/>
  <c r="I68" i="6" s="1"/>
  <c r="H67" i="6"/>
  <c r="I67" i="6" s="1"/>
  <c r="H66" i="6"/>
  <c r="I66" i="6" s="1"/>
  <c r="H65" i="6"/>
  <c r="I65" i="6" s="1"/>
  <c r="H64" i="6"/>
  <c r="I64" i="6" s="1"/>
  <c r="H63" i="6"/>
  <c r="I63" i="6" s="1"/>
  <c r="H62" i="6"/>
  <c r="I62" i="6" s="1"/>
  <c r="H61" i="6"/>
  <c r="I61" i="6" s="1"/>
  <c r="H60" i="6"/>
  <c r="I60" i="6" s="1"/>
  <c r="H59" i="6"/>
  <c r="I59" i="6" s="1"/>
  <c r="H58" i="6"/>
  <c r="I58" i="6" s="1"/>
  <c r="H57" i="6"/>
  <c r="I57" i="6" s="1"/>
  <c r="H56" i="6"/>
  <c r="I56" i="6" s="1"/>
  <c r="H55" i="6"/>
  <c r="I55" i="6" s="1"/>
  <c r="H52" i="4" l="1"/>
  <c r="I52" i="4" s="1"/>
  <c r="H155" i="6"/>
  <c r="I155" i="6" s="1"/>
  <c r="H30" i="4"/>
  <c r="I30" i="4" s="1"/>
  <c r="H135" i="6"/>
  <c r="I135" i="6" s="1"/>
  <c r="H134" i="6"/>
  <c r="I134" i="6" s="1"/>
  <c r="H29" i="4"/>
  <c r="I29" i="4" s="1"/>
  <c r="H64" i="4" l="1"/>
  <c r="I64" i="4" s="1"/>
  <c r="H12" i="4"/>
  <c r="I12" i="4" s="1"/>
  <c r="H54" i="6"/>
  <c r="I54" i="6" s="1"/>
  <c r="H53" i="6"/>
  <c r="I53" i="6" s="1"/>
  <c r="H52" i="6"/>
  <c r="I52" i="6" s="1"/>
  <c r="H51" i="6"/>
  <c r="I51" i="6" s="1"/>
  <c r="H50" i="6"/>
  <c r="I50" i="6" s="1"/>
  <c r="H49" i="6"/>
  <c r="I49" i="6" s="1"/>
  <c r="H48" i="6"/>
  <c r="I48" i="6" s="1"/>
  <c r="H47" i="6"/>
  <c r="I47" i="6" s="1"/>
  <c r="H46" i="6"/>
  <c r="I46" i="6" s="1"/>
  <c r="H34" i="27" l="1"/>
  <c r="I34" i="27" s="1"/>
  <c r="H63" i="4"/>
  <c r="I63" i="4" s="1"/>
  <c r="H33" i="27"/>
  <c r="I33" i="27" s="1"/>
  <c r="H62" i="4"/>
  <c r="I62" i="4" s="1"/>
  <c r="H61" i="4"/>
  <c r="I61" i="4" s="1"/>
  <c r="H51" i="4" l="1"/>
  <c r="I51" i="4" s="1"/>
  <c r="H50" i="4"/>
  <c r="I50" i="4" s="1"/>
  <c r="H151" i="6"/>
  <c r="I151" i="6" s="1"/>
  <c r="H150" i="6"/>
  <c r="I150" i="6" s="1"/>
  <c r="H149" i="6"/>
  <c r="I149" i="6" s="1"/>
  <c r="H49" i="4"/>
  <c r="I49" i="4" s="1"/>
  <c r="H48" i="4"/>
  <c r="I48" i="4" s="1"/>
  <c r="H148" i="6"/>
  <c r="I148" i="6" s="1"/>
  <c r="H147" i="6"/>
  <c r="I147" i="6" s="1"/>
  <c r="H146" i="6"/>
  <c r="I146" i="6" s="1"/>
  <c r="H145" i="6"/>
  <c r="I145" i="6" s="1"/>
  <c r="H144" i="6"/>
  <c r="I144" i="6" s="1"/>
  <c r="H28" i="4"/>
  <c r="I28" i="4" s="1"/>
  <c r="H27" i="4"/>
  <c r="I27" i="4" s="1"/>
  <c r="H26" i="4"/>
  <c r="I26" i="4" s="1"/>
  <c r="H133" i="6"/>
  <c r="I133" i="6" s="1"/>
  <c r="H132" i="6"/>
  <c r="I132" i="6" s="1"/>
  <c r="H25" i="4"/>
  <c r="I25" i="4" s="1"/>
  <c r="H24" i="4"/>
  <c r="I24" i="4" s="1"/>
  <c r="H23" i="4"/>
  <c r="I23" i="4" s="1"/>
  <c r="H131" i="6"/>
  <c r="I131" i="6" s="1"/>
  <c r="H11" i="4"/>
  <c r="I11" i="4" s="1"/>
  <c r="H154" i="6"/>
  <c r="I154" i="6" s="1"/>
  <c r="H153" i="6"/>
  <c r="I153" i="6" s="1"/>
  <c r="H152" i="6"/>
  <c r="I152" i="6" s="1"/>
  <c r="H45" i="6"/>
  <c r="I45" i="6" s="1"/>
  <c r="H44" i="6"/>
  <c r="I44" i="6" s="1"/>
  <c r="H43" i="6"/>
  <c r="I43" i="6" s="1"/>
  <c r="H42" i="6"/>
  <c r="I42" i="6" s="1"/>
  <c r="H41" i="6"/>
  <c r="I41" i="6" s="1"/>
  <c r="H40" i="6"/>
  <c r="I40" i="6" s="1"/>
  <c r="H39" i="6"/>
  <c r="I39" i="6" s="1"/>
  <c r="H38" i="6"/>
  <c r="I38" i="6" s="1"/>
  <c r="H37" i="6"/>
  <c r="I37" i="6" s="1"/>
  <c r="H36" i="6"/>
  <c r="I36" i="6" s="1"/>
  <c r="H35" i="6"/>
  <c r="I35" i="6" s="1"/>
  <c r="H34" i="6"/>
  <c r="I34" i="6" s="1"/>
  <c r="H10" i="4" l="1"/>
  <c r="I10" i="4" s="1"/>
  <c r="H33" i="6"/>
  <c r="I33" i="6" s="1"/>
  <c r="H32" i="6"/>
  <c r="I32" i="6" s="1"/>
  <c r="H31" i="6"/>
  <c r="I31" i="6" s="1"/>
  <c r="H30" i="6"/>
  <c r="I30" i="6" s="1"/>
  <c r="H29" i="6"/>
  <c r="I29" i="6" s="1"/>
  <c r="H28" i="6"/>
  <c r="I28" i="6" s="1"/>
  <c r="H27" i="6"/>
  <c r="I27" i="6" s="1"/>
  <c r="H26" i="6"/>
  <c r="I26" i="6" s="1"/>
  <c r="H9" i="4"/>
  <c r="I9" i="4" s="1"/>
  <c r="H293" i="23" l="1"/>
  <c r="H294" i="23" s="1"/>
  <c r="H295" i="23" s="1"/>
  <c r="H296" i="23" s="1"/>
  <c r="H297" i="23" s="1"/>
  <c r="H298" i="23" s="1"/>
  <c r="H299" i="23" s="1"/>
  <c r="H300" i="23" s="1"/>
  <c r="H301" i="23" s="1"/>
  <c r="H361" i="23"/>
  <c r="H357" i="23"/>
  <c r="H356" i="23"/>
  <c r="H352" i="23"/>
  <c r="H351" i="23"/>
  <c r="H350" i="23"/>
  <c r="H346" i="23"/>
  <c r="H345" i="23"/>
  <c r="H344" i="23"/>
  <c r="H343" i="23"/>
  <c r="H339" i="23"/>
  <c r="H338" i="23"/>
  <c r="H337" i="23"/>
  <c r="H336" i="23"/>
  <c r="H335" i="23"/>
  <c r="H331" i="23"/>
  <c r="H330" i="23"/>
  <c r="H329" i="23"/>
  <c r="H328" i="23"/>
  <c r="H327" i="23"/>
  <c r="H326" i="23"/>
  <c r="H322" i="23"/>
  <c r="H321" i="23"/>
  <c r="H320" i="23"/>
  <c r="H319" i="23"/>
  <c r="H318" i="23"/>
  <c r="H317" i="23"/>
  <c r="H316" i="23"/>
  <c r="H312" i="23"/>
  <c r="H311" i="23"/>
  <c r="H310" i="23"/>
  <c r="H309" i="23"/>
  <c r="H308" i="23"/>
  <c r="H307" i="23"/>
  <c r="H306" i="23"/>
  <c r="H305" i="23"/>
  <c r="H265" i="23"/>
  <c r="H260" i="23"/>
  <c r="H261" i="23" s="1"/>
  <c r="H254" i="23"/>
  <c r="H255" i="23" s="1"/>
  <c r="H256" i="23" s="1"/>
  <c r="H247" i="23"/>
  <c r="H248" i="23" s="1"/>
  <c r="H249" i="23" s="1"/>
  <c r="H250" i="23" s="1"/>
  <c r="H239" i="23"/>
  <c r="H240" i="23" s="1"/>
  <c r="H241" i="23" s="1"/>
  <c r="H242" i="23" s="1"/>
  <c r="H243" i="23" s="1"/>
  <c r="H230" i="23"/>
  <c r="H231" i="23" s="1"/>
  <c r="H232" i="23" s="1"/>
  <c r="H233" i="23" s="1"/>
  <c r="H234" i="23" s="1"/>
  <c r="H235" i="23" s="1"/>
  <c r="H220" i="23"/>
  <c r="H221" i="23" s="1"/>
  <c r="H222" i="23" s="1"/>
  <c r="H223" i="23" s="1"/>
  <c r="H224" i="23" s="1"/>
  <c r="H225" i="23" s="1"/>
  <c r="H226" i="23" s="1"/>
  <c r="H209" i="23"/>
  <c r="H210" i="23" s="1"/>
  <c r="H211" i="23" s="1"/>
  <c r="H212" i="23" s="1"/>
  <c r="H213" i="23" s="1"/>
  <c r="H214" i="23" s="1"/>
  <c r="H215" i="23" s="1"/>
  <c r="H216" i="23" s="1"/>
  <c r="H197" i="23"/>
  <c r="H198" i="23" s="1"/>
  <c r="H199" i="23" s="1"/>
  <c r="H200" i="23" s="1"/>
  <c r="H201" i="23" s="1"/>
  <c r="H202" i="23" s="1"/>
  <c r="H203" i="23" s="1"/>
  <c r="H204" i="23" s="1"/>
  <c r="H205" i="23" s="1"/>
  <c r="H175" i="23"/>
  <c r="H170" i="23"/>
  <c r="H171" i="23" s="1"/>
  <c r="H164" i="23"/>
  <c r="H165" i="23" s="1"/>
  <c r="H166" i="23" s="1"/>
  <c r="H157" i="23"/>
  <c r="H158" i="23" s="1"/>
  <c r="H159" i="23" s="1"/>
  <c r="H160" i="23" s="1"/>
  <c r="H149" i="23"/>
  <c r="H150" i="23" s="1"/>
  <c r="H151" i="23" s="1"/>
  <c r="H152" i="23" s="1"/>
  <c r="H153" i="23" s="1"/>
  <c r="H140" i="23"/>
  <c r="H141" i="23" s="1"/>
  <c r="H142" i="23" s="1"/>
  <c r="H143" i="23" s="1"/>
  <c r="H144" i="23" s="1"/>
  <c r="H145" i="23" s="1"/>
  <c r="H130" i="23"/>
  <c r="H131" i="23" s="1"/>
  <c r="H132" i="23" s="1"/>
  <c r="H133" i="23" s="1"/>
  <c r="H134" i="23" s="1"/>
  <c r="H135" i="23" s="1"/>
  <c r="H136" i="23" s="1"/>
  <c r="H119" i="23"/>
  <c r="H120" i="23" s="1"/>
  <c r="H121" i="23" s="1"/>
  <c r="H122" i="23" s="1"/>
  <c r="H123" i="23" s="1"/>
  <c r="H124" i="23" s="1"/>
  <c r="H125" i="23" s="1"/>
  <c r="H126" i="23" s="1"/>
  <c r="H107" i="23"/>
  <c r="H108" i="23" s="1"/>
  <c r="H109" i="23" s="1"/>
  <c r="H110" i="23" s="1"/>
  <c r="H111" i="23" s="1"/>
  <c r="H112" i="23" s="1"/>
  <c r="H113" i="23" s="1"/>
  <c r="H114" i="23" s="1"/>
  <c r="H115" i="23" s="1"/>
  <c r="H78" i="23"/>
  <c r="H73" i="23"/>
  <c r="H74" i="23" s="1"/>
  <c r="H67" i="23"/>
  <c r="H68" i="23" s="1"/>
  <c r="H69" i="23" s="1"/>
  <c r="H60" i="23"/>
  <c r="H61" i="23" s="1"/>
  <c r="H62" i="23" s="1"/>
  <c r="H63" i="23" s="1"/>
  <c r="H52" i="23"/>
  <c r="H53" i="23" s="1"/>
  <c r="H54" i="23" s="1"/>
  <c r="H55" i="23" s="1"/>
  <c r="H56" i="23" s="1"/>
  <c r="H43" i="23"/>
  <c r="H44" i="23" s="1"/>
  <c r="H45" i="23" s="1"/>
  <c r="H46" i="23" s="1"/>
  <c r="H47" i="23" s="1"/>
  <c r="H48" i="23" s="1"/>
  <c r="H33" i="23"/>
  <c r="H34" i="23" s="1"/>
  <c r="H35" i="23" s="1"/>
  <c r="H36" i="23" s="1"/>
  <c r="H37" i="23" s="1"/>
  <c r="H38" i="23" s="1"/>
  <c r="H39" i="23" s="1"/>
  <c r="H22" i="23"/>
  <c r="H23" i="23" s="1"/>
  <c r="H24" i="23" s="1"/>
  <c r="H25" i="23" s="1"/>
  <c r="H26" i="23" s="1"/>
  <c r="H27" i="23" s="1"/>
  <c r="H28" i="23" s="1"/>
  <c r="H29" i="23" s="1"/>
  <c r="H10" i="23"/>
  <c r="H11" i="23" s="1"/>
  <c r="H12" i="23" s="1"/>
  <c r="H13" i="23" s="1"/>
  <c r="H14" i="23" s="1"/>
  <c r="H15" i="23" s="1"/>
  <c r="H16" i="23" s="1"/>
  <c r="H17" i="23" s="1"/>
  <c r="H18" i="23" s="1"/>
  <c r="Q2" i="47"/>
  <c r="H177" i="23" l="1"/>
  <c r="H267" i="23"/>
  <c r="E10" i="35" s="1"/>
  <c r="H363" i="23"/>
  <c r="E13" i="55" s="1"/>
  <c r="H81" i="23"/>
  <c r="AB2" i="21"/>
  <c r="V2" i="21"/>
  <c r="W2" i="21" s="1"/>
  <c r="G2" i="21"/>
  <c r="H2" i="21" s="1"/>
  <c r="G3"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6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7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821" i="21"/>
  <c r="G822" i="21"/>
  <c r="G823" i="21"/>
  <c r="G824" i="21"/>
  <c r="G825" i="21"/>
  <c r="G826" i="21"/>
  <c r="G827" i="21"/>
  <c r="G828" i="21"/>
  <c r="G829" i="21"/>
  <c r="G830" i="21"/>
  <c r="G831" i="21"/>
  <c r="G832" i="21"/>
  <c r="G833" i="21"/>
  <c r="G834" i="21"/>
  <c r="G835" i="21"/>
  <c r="G836" i="21"/>
  <c r="G837" i="21"/>
  <c r="G838" i="21"/>
  <c r="G839" i="21"/>
  <c r="G840" i="21"/>
  <c r="G841" i="21"/>
  <c r="G842" i="21"/>
  <c r="G843" i="21"/>
  <c r="G844" i="21"/>
  <c r="G845" i="21"/>
  <c r="G846" i="21"/>
  <c r="G847" i="21"/>
  <c r="G848" i="21"/>
  <c r="G849" i="21"/>
  <c r="G850" i="21"/>
  <c r="G851" i="21"/>
  <c r="G852" i="21"/>
  <c r="G853" i="21"/>
  <c r="G854" i="21"/>
  <c r="G855" i="21"/>
  <c r="G856" i="21"/>
  <c r="G857" i="21"/>
  <c r="G858" i="21"/>
  <c r="G859" i="21"/>
  <c r="G860" i="21"/>
  <c r="G861" i="21"/>
  <c r="G862" i="21"/>
  <c r="G863" i="21"/>
  <c r="G864" i="21"/>
  <c r="G865" i="21"/>
  <c r="G866" i="21"/>
  <c r="G867" i="21"/>
  <c r="G868" i="21"/>
  <c r="G869" i="21"/>
  <c r="G870" i="21"/>
  <c r="G871" i="21"/>
  <c r="G872" i="21"/>
  <c r="G873" i="21"/>
  <c r="G874" i="21"/>
  <c r="G875" i="21"/>
  <c r="G876" i="21"/>
  <c r="G877" i="21"/>
  <c r="G878" i="21"/>
  <c r="G879" i="21"/>
  <c r="G880" i="21"/>
  <c r="G881" i="21"/>
  <c r="G882" i="21"/>
  <c r="G883" i="21"/>
  <c r="G884" i="21"/>
  <c r="G885" i="21"/>
  <c r="G886" i="21"/>
  <c r="G887" i="21"/>
  <c r="G888" i="21"/>
  <c r="G889" i="21"/>
  <c r="G890" i="21"/>
  <c r="G891" i="21"/>
  <c r="G892" i="21"/>
  <c r="G893" i="21"/>
  <c r="G894" i="21"/>
  <c r="G895" i="21"/>
  <c r="G896" i="21"/>
  <c r="G897" i="21"/>
  <c r="G898" i="21"/>
  <c r="G899" i="21"/>
  <c r="G900" i="21"/>
  <c r="G901" i="21"/>
  <c r="G902" i="21"/>
  <c r="G903" i="21"/>
  <c r="G904" i="21"/>
  <c r="G905" i="21"/>
  <c r="G906" i="21"/>
  <c r="G907" i="21"/>
  <c r="G908" i="21"/>
  <c r="G909" i="21"/>
  <c r="G910" i="21"/>
  <c r="G911" i="21"/>
  <c r="G912" i="21"/>
  <c r="G913" i="21"/>
  <c r="G914" i="21"/>
  <c r="G915" i="21"/>
  <c r="G916" i="21"/>
  <c r="G917" i="21"/>
  <c r="G918" i="21"/>
  <c r="G919" i="21"/>
  <c r="G920" i="21"/>
  <c r="G921" i="21"/>
  <c r="G922" i="21"/>
  <c r="G923" i="21"/>
  <c r="G924" i="21"/>
  <c r="G925" i="21"/>
  <c r="G926" i="21"/>
  <c r="G927" i="21"/>
  <c r="G928" i="21"/>
  <c r="G929" i="21"/>
  <c r="G930" i="21"/>
  <c r="G931" i="21"/>
  <c r="G932" i="21"/>
  <c r="G933" i="21"/>
  <c r="G934" i="21"/>
  <c r="G935" i="21"/>
  <c r="G936" i="21"/>
  <c r="G937" i="21"/>
  <c r="G938" i="21"/>
  <c r="G939" i="21"/>
  <c r="G940" i="21"/>
  <c r="G941" i="21"/>
  <c r="G942" i="21"/>
  <c r="G943" i="21"/>
  <c r="G944" i="21"/>
  <c r="G945" i="21"/>
  <c r="G946" i="21"/>
  <c r="G947" i="21"/>
  <c r="G948" i="21"/>
  <c r="G949" i="21"/>
  <c r="G950" i="21"/>
  <c r="G951" i="21"/>
  <c r="G952" i="21"/>
  <c r="G953" i="21"/>
  <c r="G954" i="21"/>
  <c r="G955" i="21"/>
  <c r="G956" i="21"/>
  <c r="G957" i="21"/>
  <c r="G958" i="21"/>
  <c r="G959" i="21"/>
  <c r="G960" i="21"/>
  <c r="G961" i="21"/>
  <c r="G962" i="21"/>
  <c r="G963" i="21"/>
  <c r="G964" i="21"/>
  <c r="G965" i="21"/>
  <c r="G966" i="21"/>
  <c r="G967" i="21"/>
  <c r="G968" i="21"/>
  <c r="G969" i="21"/>
  <c r="G970" i="21"/>
  <c r="G971" i="21"/>
  <c r="G972" i="21"/>
  <c r="G973" i="21"/>
  <c r="G974" i="21"/>
  <c r="G975" i="21"/>
  <c r="G976" i="21"/>
  <c r="G977" i="21"/>
  <c r="G978" i="21"/>
  <c r="G979" i="21"/>
  <c r="G980" i="21"/>
  <c r="G981" i="21"/>
  <c r="G982" i="21"/>
  <c r="G983" i="21"/>
  <c r="G984" i="21"/>
  <c r="G985" i="21"/>
  <c r="G986" i="21"/>
  <c r="G987" i="21"/>
  <c r="G988" i="21"/>
  <c r="G989" i="21"/>
  <c r="G990" i="21"/>
  <c r="G991" i="21"/>
  <c r="G992" i="21"/>
  <c r="G993" i="21"/>
  <c r="G994" i="21"/>
  <c r="G995" i="21"/>
  <c r="G996" i="21"/>
  <c r="G997" i="21"/>
  <c r="G998" i="21"/>
  <c r="G4023" i="21"/>
  <c r="G4024" i="21"/>
  <c r="AH29" i="23"/>
  <c r="AH28" i="23"/>
  <c r="AH27" i="23"/>
  <c r="AH26" i="23"/>
  <c r="AH25" i="23"/>
  <c r="AH24" i="23"/>
  <c r="AH22" i="23"/>
  <c r="AH18" i="23"/>
  <c r="AH17" i="23"/>
  <c r="AH16" i="23"/>
  <c r="AH15" i="23"/>
  <c r="AH14" i="23"/>
  <c r="AH13" i="23"/>
  <c r="AH11" i="23"/>
  <c r="AM17" i="23"/>
  <c r="AM16" i="23"/>
  <c r="AM15" i="23"/>
  <c r="AM13" i="23"/>
  <c r="AM12" i="23"/>
  <c r="AM11" i="23"/>
  <c r="AM215" i="23"/>
  <c r="AM214" i="23"/>
  <c r="AM213" i="23"/>
  <c r="AM212" i="23"/>
  <c r="AM211" i="23"/>
  <c r="AM210" i="23"/>
  <c r="AM125" i="23"/>
  <c r="AN125" i="23" s="1"/>
  <c r="AM124" i="23"/>
  <c r="AN124" i="23" s="1"/>
  <c r="AM123" i="23"/>
  <c r="AN123" i="23" s="1"/>
  <c r="AM122" i="23"/>
  <c r="AN122" i="23" s="1"/>
  <c r="AM119" i="23"/>
  <c r="AN119" i="23" s="1"/>
  <c r="AM114" i="23"/>
  <c r="AM113" i="23"/>
  <c r="AM112" i="23"/>
  <c r="AM111" i="23"/>
  <c r="AM110" i="23"/>
  <c r="AM109" i="23"/>
  <c r="AM108" i="23"/>
  <c r="AM203" i="23"/>
  <c r="AH205" i="23"/>
  <c r="AI205" i="23" s="1"/>
  <c r="AH204" i="23"/>
  <c r="AI204" i="23" s="1"/>
  <c r="AL204" i="23" s="1"/>
  <c r="AH203" i="23"/>
  <c r="AI203" i="23" s="1"/>
  <c r="AH202" i="23"/>
  <c r="AI202" i="23" s="1"/>
  <c r="AL202" i="23" s="1"/>
  <c r="AH201" i="23"/>
  <c r="AI201" i="23" s="1"/>
  <c r="AL201" i="23" s="1"/>
  <c r="AH200" i="23"/>
  <c r="AI200" i="23" s="1"/>
  <c r="AL200" i="23" s="1"/>
  <c r="AH199" i="23"/>
  <c r="AI199" i="23" s="1"/>
  <c r="AL199" i="23" s="1"/>
  <c r="AH198" i="23"/>
  <c r="AI198" i="23" s="1"/>
  <c r="AL198" i="23" s="1"/>
  <c r="AM198" i="23" s="1"/>
  <c r="AH197" i="23"/>
  <c r="AH331" i="23"/>
  <c r="AH330" i="23"/>
  <c r="AH329" i="23"/>
  <c r="AH328" i="23"/>
  <c r="AH327" i="23"/>
  <c r="AH326" i="23"/>
  <c r="AH321" i="23"/>
  <c r="AH320" i="23"/>
  <c r="AH319" i="23"/>
  <c r="AH318" i="23"/>
  <c r="AH317" i="23"/>
  <c r="AH316" i="23"/>
  <c r="AH312" i="23"/>
  <c r="AH311" i="23"/>
  <c r="AH310" i="23"/>
  <c r="AH309" i="23"/>
  <c r="AH308" i="23"/>
  <c r="AH307" i="23"/>
  <c r="AH306" i="23"/>
  <c r="AH305" i="23"/>
  <c r="AH301" i="23"/>
  <c r="AI301" i="23" s="1"/>
  <c r="AH300" i="23"/>
  <c r="AI300" i="23" s="1"/>
  <c r="AH299" i="23"/>
  <c r="AI299" i="23" s="1"/>
  <c r="AH298" i="23"/>
  <c r="AI298" i="23" s="1"/>
  <c r="AH297" i="23"/>
  <c r="AI297" i="23" s="1"/>
  <c r="AH296" i="23"/>
  <c r="AI296" i="23" s="1"/>
  <c r="AH295" i="23"/>
  <c r="AI295" i="23" s="1"/>
  <c r="AH294" i="23"/>
  <c r="AH293" i="23"/>
  <c r="AI293" i="23" s="1"/>
  <c r="AI294" i="23"/>
  <c r="AK301" i="23"/>
  <c r="AK300" i="23"/>
  <c r="AK299" i="23"/>
  <c r="AK298" i="23"/>
  <c r="AK297" i="23"/>
  <c r="AK296" i="23"/>
  <c r="AK295" i="23"/>
  <c r="AK294" i="23"/>
  <c r="AK293" i="23"/>
  <c r="AK292" i="23"/>
  <c r="AL300" i="23"/>
  <c r="AL299" i="23"/>
  <c r="AL298" i="23"/>
  <c r="AL297" i="23"/>
  <c r="AL296" i="23"/>
  <c r="AL295" i="23"/>
  <c r="AL294" i="23"/>
  <c r="AO301" i="23"/>
  <c r="AM300" i="23"/>
  <c r="AO300" i="23" s="1"/>
  <c r="AM299" i="23"/>
  <c r="AO299" i="23" s="1"/>
  <c r="AM298" i="23"/>
  <c r="AO298" i="23" s="1"/>
  <c r="AM297" i="23"/>
  <c r="AO297" i="23" s="1"/>
  <c r="AM296" i="23"/>
  <c r="AO296" i="23" s="1"/>
  <c r="AM295" i="23"/>
  <c r="AO295" i="23" s="1"/>
  <c r="AM294" i="23"/>
  <c r="AO294" i="23" s="1"/>
  <c r="AM293" i="23"/>
  <c r="AO293" i="23" s="1"/>
  <c r="AL293" i="23"/>
  <c r="AI292" i="23"/>
  <c r="AM321" i="23"/>
  <c r="AM320" i="23"/>
  <c r="AM318" i="23"/>
  <c r="AM317" i="23"/>
  <c r="AM316" i="23"/>
  <c r="AM311" i="23"/>
  <c r="AM310" i="23"/>
  <c r="AM309" i="23"/>
  <c r="AM308" i="23"/>
  <c r="AM307" i="23"/>
  <c r="AM306" i="23"/>
  <c r="AM305" i="23"/>
  <c r="AM319" i="23"/>
  <c r="AM356" i="23"/>
  <c r="AM351" i="23"/>
  <c r="AM345" i="23"/>
  <c r="AM344" i="23"/>
  <c r="AM343" i="23"/>
  <c r="AM338" i="23"/>
  <c r="AM337" i="23"/>
  <c r="AM336" i="23"/>
  <c r="AM335" i="23"/>
  <c r="AM330" i="23"/>
  <c r="AM329" i="23"/>
  <c r="AM327" i="23"/>
  <c r="AM326" i="23"/>
  <c r="AH322" i="23"/>
  <c r="AM328" i="23"/>
  <c r="AH345" i="23"/>
  <c r="AH344" i="23"/>
  <c r="AH351" i="23"/>
  <c r="AH350" i="23"/>
  <c r="AM225" i="23"/>
  <c r="AM224" i="23"/>
  <c r="AM223" i="23"/>
  <c r="AM221" i="23"/>
  <c r="AM220" i="23"/>
  <c r="AM209" i="23"/>
  <c r="AK204" i="23"/>
  <c r="AK203" i="23"/>
  <c r="AK202" i="23"/>
  <c r="AK201" i="23"/>
  <c r="AK200" i="23"/>
  <c r="AK199" i="23"/>
  <c r="AK198" i="23"/>
  <c r="AK197" i="23"/>
  <c r="AH216" i="23"/>
  <c r="AH215" i="23"/>
  <c r="AK205" i="23"/>
  <c r="AL203" i="23"/>
  <c r="AL197" i="23"/>
  <c r="AM197" i="23" s="1"/>
  <c r="AN197" i="23" s="1"/>
  <c r="AI197" i="23"/>
  <c r="AK196" i="23"/>
  <c r="AI196" i="23"/>
  <c r="AH226" i="23"/>
  <c r="AM249" i="23"/>
  <c r="AM248" i="23"/>
  <c r="AM247" i="23"/>
  <c r="AN175" i="23"/>
  <c r="AH175" i="23"/>
  <c r="AI175" i="23" s="1"/>
  <c r="AK174" i="23"/>
  <c r="AI174" i="23"/>
  <c r="AN171" i="23"/>
  <c r="AH171" i="23"/>
  <c r="AI171" i="23" s="1"/>
  <c r="AM170" i="23"/>
  <c r="AN170" i="23" s="1"/>
  <c r="AL170" i="23"/>
  <c r="AK170" i="23"/>
  <c r="AH170" i="23"/>
  <c r="AI170" i="23" s="1"/>
  <c r="AK169" i="23"/>
  <c r="AI169" i="23"/>
  <c r="AN166" i="23"/>
  <c r="AH166" i="23"/>
  <c r="AI166" i="23" s="1"/>
  <c r="AM165" i="23"/>
  <c r="AN165" i="23" s="1"/>
  <c r="AL165" i="23"/>
  <c r="AK165" i="23"/>
  <c r="AH165" i="23"/>
  <c r="AI165" i="23" s="1"/>
  <c r="AM164" i="23"/>
  <c r="AN164" i="23" s="1"/>
  <c r="AL164" i="23"/>
  <c r="AK164" i="23"/>
  <c r="AH164" i="23"/>
  <c r="AI164" i="23" s="1"/>
  <c r="AK163" i="23"/>
  <c r="AI163" i="23"/>
  <c r="AN160" i="23"/>
  <c r="AH160" i="23"/>
  <c r="AI160" i="23" s="1"/>
  <c r="AM159" i="23"/>
  <c r="AN159" i="23" s="1"/>
  <c r="AL159" i="23"/>
  <c r="AK159" i="23"/>
  <c r="AH159" i="23"/>
  <c r="AI159" i="23" s="1"/>
  <c r="AM158" i="23"/>
  <c r="AN158" i="23" s="1"/>
  <c r="AL158" i="23"/>
  <c r="AK158" i="23"/>
  <c r="AH158" i="23"/>
  <c r="AI158" i="23" s="1"/>
  <c r="AM157" i="23"/>
  <c r="AN157" i="23" s="1"/>
  <c r="AL157" i="23"/>
  <c r="AK157" i="23"/>
  <c r="AH157" i="23"/>
  <c r="AI157" i="23" s="1"/>
  <c r="AK156" i="23"/>
  <c r="AI156" i="23"/>
  <c r="AN153" i="23"/>
  <c r="AH153" i="23"/>
  <c r="AI153" i="23" s="1"/>
  <c r="AM152" i="23"/>
  <c r="AN152" i="23" s="1"/>
  <c r="AL152" i="23"/>
  <c r="AK152" i="23"/>
  <c r="AH152" i="23"/>
  <c r="AI152" i="23" s="1"/>
  <c r="AM151" i="23"/>
  <c r="AN151" i="23" s="1"/>
  <c r="AL151" i="23"/>
  <c r="AK151" i="23"/>
  <c r="AH151" i="23"/>
  <c r="AI151" i="23" s="1"/>
  <c r="AM150" i="23"/>
  <c r="AN150" i="23" s="1"/>
  <c r="AL150" i="23"/>
  <c r="AK150" i="23"/>
  <c r="AH150" i="23"/>
  <c r="AI150" i="23" s="1"/>
  <c r="AM149" i="23"/>
  <c r="AN149" i="23" s="1"/>
  <c r="AL149" i="23"/>
  <c r="AK149" i="23"/>
  <c r="AH149" i="23"/>
  <c r="AI149" i="23" s="1"/>
  <c r="AK148" i="23"/>
  <c r="AI148" i="23"/>
  <c r="AN145" i="23"/>
  <c r="AH145" i="23"/>
  <c r="AI145" i="23" s="1"/>
  <c r="AM144" i="23"/>
  <c r="AN144" i="23" s="1"/>
  <c r="AL144" i="23"/>
  <c r="AK144" i="23"/>
  <c r="AH144" i="23"/>
  <c r="AI144" i="23" s="1"/>
  <c r="AM143" i="23"/>
  <c r="AN143" i="23" s="1"/>
  <c r="AL143" i="23"/>
  <c r="AK143" i="23"/>
  <c r="AH143" i="23"/>
  <c r="AI143" i="23" s="1"/>
  <c r="AM142" i="23"/>
  <c r="AN142" i="23" s="1"/>
  <c r="AL142" i="23"/>
  <c r="AK142" i="23"/>
  <c r="AH142" i="23"/>
  <c r="AI142" i="23" s="1"/>
  <c r="AM141" i="23"/>
  <c r="AN141" i="23" s="1"/>
  <c r="AL141" i="23"/>
  <c r="AK141" i="23"/>
  <c r="AH141" i="23"/>
  <c r="AI141" i="23" s="1"/>
  <c r="AM140" i="23"/>
  <c r="AN140" i="23" s="1"/>
  <c r="AL140" i="23"/>
  <c r="AK140" i="23"/>
  <c r="AH140" i="23"/>
  <c r="AI140" i="23" s="1"/>
  <c r="AK139" i="23"/>
  <c r="AI139" i="23"/>
  <c r="AN136" i="23"/>
  <c r="AH136" i="23"/>
  <c r="AI136" i="23" s="1"/>
  <c r="AM135" i="23"/>
  <c r="AN135" i="23" s="1"/>
  <c r="AL135" i="23"/>
  <c r="AK135" i="23"/>
  <c r="AH135" i="23"/>
  <c r="AI135" i="23" s="1"/>
  <c r="AM134" i="23"/>
  <c r="AN134" i="23" s="1"/>
  <c r="AL134" i="23"/>
  <c r="AK134" i="23"/>
  <c r="AH134" i="23"/>
  <c r="AI134" i="23" s="1"/>
  <c r="AM133" i="23"/>
  <c r="AN133" i="23" s="1"/>
  <c r="AL133" i="23"/>
  <c r="AK133" i="23"/>
  <c r="AH133" i="23"/>
  <c r="AI133" i="23" s="1"/>
  <c r="AM132" i="23"/>
  <c r="AN132" i="23" s="1"/>
  <c r="AL132" i="23"/>
  <c r="AK132" i="23"/>
  <c r="AH132" i="23"/>
  <c r="AI132" i="23" s="1"/>
  <c r="AM131" i="23"/>
  <c r="AN131" i="23" s="1"/>
  <c r="AL131" i="23"/>
  <c r="AK131" i="23"/>
  <c r="AH131" i="23"/>
  <c r="AI131" i="23" s="1"/>
  <c r="AM130" i="23"/>
  <c r="AN130" i="23" s="1"/>
  <c r="AL130" i="23"/>
  <c r="AK130" i="23"/>
  <c r="AH130" i="23"/>
  <c r="AI130" i="23" s="1"/>
  <c r="AK129" i="23"/>
  <c r="AI129" i="23"/>
  <c r="AH126" i="23"/>
  <c r="AI126" i="23" s="1"/>
  <c r="AL125" i="23"/>
  <c r="AK125" i="23"/>
  <c r="AH125" i="23"/>
  <c r="AI125" i="23" s="1"/>
  <c r="AL124" i="23"/>
  <c r="AK124" i="23"/>
  <c r="AH124" i="23"/>
  <c r="AI124" i="23" s="1"/>
  <c r="AL123" i="23"/>
  <c r="AK123" i="23"/>
  <c r="AH123" i="23"/>
  <c r="AI123" i="23" s="1"/>
  <c r="AL122" i="23"/>
  <c r="AK122" i="23"/>
  <c r="AH122" i="23"/>
  <c r="AI122" i="23" s="1"/>
  <c r="AM121" i="23"/>
  <c r="AN121" i="23" s="1"/>
  <c r="AL121" i="23"/>
  <c r="AK121" i="23"/>
  <c r="AH121" i="23"/>
  <c r="AI121" i="23" s="1"/>
  <c r="AM120" i="23"/>
  <c r="AN120" i="23" s="1"/>
  <c r="AL120" i="23"/>
  <c r="AK120" i="23"/>
  <c r="AH120" i="23"/>
  <c r="AI120" i="23" s="1"/>
  <c r="AL119" i="23"/>
  <c r="AK119" i="23"/>
  <c r="AH119" i="23"/>
  <c r="AI119" i="23" s="1"/>
  <c r="AK118" i="23"/>
  <c r="AI118" i="23"/>
  <c r="AH115" i="23"/>
  <c r="AI115" i="23" s="1"/>
  <c r="AL114" i="23"/>
  <c r="AK114" i="23"/>
  <c r="AH114" i="23"/>
  <c r="AI114" i="23" s="1"/>
  <c r="AL113" i="23"/>
  <c r="AK113" i="23"/>
  <c r="AH113" i="23"/>
  <c r="AI113" i="23" s="1"/>
  <c r="AK112" i="23"/>
  <c r="AH112" i="23"/>
  <c r="AI112" i="23" s="1"/>
  <c r="AL112" i="23" s="1"/>
  <c r="AK111" i="23"/>
  <c r="AH111" i="23"/>
  <c r="AI111" i="23" s="1"/>
  <c r="AL111" i="23" s="1"/>
  <c r="AL110" i="23"/>
  <c r="AK110" i="23"/>
  <c r="AH110" i="23"/>
  <c r="AI110" i="23" s="1"/>
  <c r="AL109" i="23"/>
  <c r="AK109" i="23"/>
  <c r="AH109" i="23"/>
  <c r="AI109" i="23" s="1"/>
  <c r="AK108" i="23"/>
  <c r="AH108" i="23"/>
  <c r="AI108" i="23" s="1"/>
  <c r="AL108" i="23" s="1"/>
  <c r="AM107" i="23"/>
  <c r="AN107" i="23" s="1"/>
  <c r="AL107" i="23"/>
  <c r="AK107" i="23"/>
  <c r="AH107" i="23"/>
  <c r="AI107" i="23" s="1"/>
  <c r="AK106" i="23"/>
  <c r="AI106" i="23"/>
  <c r="AL301" i="23" l="1"/>
  <c r="AL292" i="23"/>
  <c r="AM292" i="23" s="1"/>
  <c r="AN109" i="23"/>
  <c r="AN110" i="23"/>
  <c r="AN113" i="23"/>
  <c r="AN112" i="23"/>
  <c r="AN198" i="23"/>
  <c r="AM199" i="23" s="1"/>
  <c r="AN199" i="23" s="1"/>
  <c r="AN111" i="23"/>
  <c r="AL118" i="23"/>
  <c r="AM118" i="23" s="1"/>
  <c r="AM301" i="23"/>
  <c r="AQ301" i="23" s="1"/>
  <c r="AL196" i="23"/>
  <c r="AM196" i="23" s="1"/>
  <c r="AL205" i="23"/>
  <c r="AL106" i="23"/>
  <c r="AM106" i="23" s="1"/>
  <c r="AL148" i="23"/>
  <c r="AM148" i="23" s="1"/>
  <c r="AL169" i="23"/>
  <c r="AM169" i="23" s="1"/>
  <c r="AL129" i="23"/>
  <c r="AM129" i="23" s="1"/>
  <c r="AL139" i="23"/>
  <c r="AM139" i="23" s="1"/>
  <c r="AL156" i="23"/>
  <c r="AM156" i="23" s="1"/>
  <c r="AL163" i="23"/>
  <c r="AM163" i="23" s="1"/>
  <c r="AL174" i="23"/>
  <c r="AM174" i="23" s="1"/>
  <c r="AN114" i="23"/>
  <c r="AN108" i="23"/>
  <c r="AH39" i="23"/>
  <c r="AI39" i="23" s="1"/>
  <c r="AI27" i="23"/>
  <c r="AO15" i="23"/>
  <c r="AL17" i="23"/>
  <c r="AL15" i="23"/>
  <c r="AL13" i="23"/>
  <c r="AO13" i="23" s="1"/>
  <c r="AL12" i="23"/>
  <c r="AO12" i="23" s="1"/>
  <c r="AL11" i="23"/>
  <c r="AO11" i="23" s="1"/>
  <c r="AL10" i="23"/>
  <c r="AI18" i="23"/>
  <c r="AK17" i="23"/>
  <c r="AI17" i="23"/>
  <c r="AI16" i="23"/>
  <c r="AL16" i="23" s="1"/>
  <c r="AI15" i="23"/>
  <c r="AI13" i="23"/>
  <c r="AH12" i="23"/>
  <c r="AI12" i="23" s="1"/>
  <c r="AK16" i="23"/>
  <c r="AK15" i="23"/>
  <c r="AK14" i="23"/>
  <c r="AI14" i="23"/>
  <c r="AL14" i="23" s="1"/>
  <c r="AM14" i="23" s="1"/>
  <c r="AO14" i="23" s="1"/>
  <c r="AK13" i="23"/>
  <c r="AK12" i="23"/>
  <c r="AK11" i="23"/>
  <c r="AI11" i="23"/>
  <c r="AM10" i="23"/>
  <c r="AO10" i="23" s="1"/>
  <c r="AK10" i="23"/>
  <c r="AH10" i="23"/>
  <c r="AI10" i="23" s="1"/>
  <c r="AK9" i="23"/>
  <c r="AI9" i="23"/>
  <c r="AK62" i="23"/>
  <c r="AK61" i="23"/>
  <c r="AK60" i="23"/>
  <c r="AK59" i="23"/>
  <c r="AB22" i="18"/>
  <c r="AA22" i="18"/>
  <c r="Z22" i="18"/>
  <c r="Y22" i="18"/>
  <c r="X22" i="18"/>
  <c r="W22" i="18"/>
  <c r="V22" i="18"/>
  <c r="U22" i="18"/>
  <c r="T22" i="18"/>
  <c r="S22" i="18"/>
  <c r="R22" i="18"/>
  <c r="Q22" i="18"/>
  <c r="AB20" i="18"/>
  <c r="AA20" i="18"/>
  <c r="Z20" i="18"/>
  <c r="Y20" i="18"/>
  <c r="X20" i="18"/>
  <c r="W20" i="18"/>
  <c r="V20" i="18"/>
  <c r="U20" i="18"/>
  <c r="T20" i="18"/>
  <c r="S20" i="18"/>
  <c r="R20" i="18"/>
  <c r="Q20" i="18"/>
  <c r="A16" i="57"/>
  <c r="K16" i="57" s="1"/>
  <c r="A15" i="57"/>
  <c r="M15" i="57" s="1"/>
  <c r="A14" i="57"/>
  <c r="G14" i="57" s="1"/>
  <c r="A13" i="57"/>
  <c r="H13" i="57" s="1"/>
  <c r="N15" i="57"/>
  <c r="L15" i="57"/>
  <c r="K15" i="57"/>
  <c r="H15" i="57"/>
  <c r="C15" i="57"/>
  <c r="N14" i="57"/>
  <c r="L14" i="57"/>
  <c r="K14" i="57"/>
  <c r="J14" i="57"/>
  <c r="C14" i="57"/>
  <c r="N13" i="57"/>
  <c r="M13" i="57"/>
  <c r="L13" i="57"/>
  <c r="K13" i="57"/>
  <c r="F13" i="57"/>
  <c r="E13" i="57"/>
  <c r="D13" i="57"/>
  <c r="C13" i="57"/>
  <c r="A12" i="57"/>
  <c r="C12" i="57" s="1"/>
  <c r="A11" i="57"/>
  <c r="K11" i="57" s="1"/>
  <c r="A10" i="57"/>
  <c r="G10" i="57" s="1"/>
  <c r="A9" i="57"/>
  <c r="D9" i="57" s="1"/>
  <c r="A8" i="57"/>
  <c r="N8" i="57" s="1"/>
  <c r="A7" i="57"/>
  <c r="N7" i="57" s="1"/>
  <c r="A6" i="57"/>
  <c r="L6" i="57" s="1"/>
  <c r="A28" i="57"/>
  <c r="A42" i="57" s="1"/>
  <c r="L42" i="57" s="1"/>
  <c r="A27" i="57"/>
  <c r="A41" i="57" s="1"/>
  <c r="H41" i="57" s="1"/>
  <c r="B15" i="57"/>
  <c r="B14" i="57"/>
  <c r="B13" i="57"/>
  <c r="B12" i="57"/>
  <c r="A25" i="57"/>
  <c r="B10" i="57"/>
  <c r="B9" i="57"/>
  <c r="A23" i="57"/>
  <c r="B8" i="57"/>
  <c r="H8" i="36"/>
  <c r="I8" i="36" s="1"/>
  <c r="H8" i="8"/>
  <c r="I8" i="8" s="1"/>
  <c r="H8" i="12"/>
  <c r="I8" i="12" s="1"/>
  <c r="I2" i="21"/>
  <c r="G16" i="49"/>
  <c r="H16" i="49" s="1"/>
  <c r="G17" i="49"/>
  <c r="H17" i="49" s="1"/>
  <c r="G18" i="49"/>
  <c r="H18" i="49" s="1"/>
  <c r="M22" i="49"/>
  <c r="O22" i="49" s="1"/>
  <c r="M23" i="49"/>
  <c r="O23" i="49" s="1"/>
  <c r="M24" i="49"/>
  <c r="O24" i="49" s="1"/>
  <c r="M25" i="49"/>
  <c r="O25" i="49" s="1"/>
  <c r="M26" i="49"/>
  <c r="O26" i="49" s="1"/>
  <c r="M27" i="49"/>
  <c r="O27" i="49" s="1"/>
  <c r="H8" i="27"/>
  <c r="I8" i="27" s="1"/>
  <c r="W2" i="47"/>
  <c r="X2" i="47" s="1"/>
  <c r="W3" i="47"/>
  <c r="X3" i="47" s="1"/>
  <c r="W4" i="47"/>
  <c r="X4" i="47" s="1"/>
  <c r="W5" i="47"/>
  <c r="X5" i="47" s="1"/>
  <c r="W6" i="47"/>
  <c r="X6" i="47" s="1"/>
  <c r="W7" i="47"/>
  <c r="X7" i="47" s="1"/>
  <c r="W8" i="47"/>
  <c r="X8" i="47" s="1"/>
  <c r="W9" i="47"/>
  <c r="X9" i="47" s="1"/>
  <c r="W10" i="47"/>
  <c r="X10" i="47" s="1"/>
  <c r="W11" i="47"/>
  <c r="X11" i="47" s="1"/>
  <c r="P11" i="47"/>
  <c r="AC11" i="47" s="1"/>
  <c r="W12" i="47"/>
  <c r="X12" i="47" s="1"/>
  <c r="P12" i="47"/>
  <c r="AC12" i="47" s="1"/>
  <c r="W13" i="47"/>
  <c r="X13" i="47" s="1"/>
  <c r="P13" i="47"/>
  <c r="AC13" i="47" s="1"/>
  <c r="W14" i="47"/>
  <c r="X14" i="47" s="1"/>
  <c r="P14" i="47"/>
  <c r="AC14" i="47" s="1"/>
  <c r="W15" i="47"/>
  <c r="X15" i="47" s="1"/>
  <c r="P15" i="47"/>
  <c r="AC15" i="47" s="1"/>
  <c r="W16" i="47"/>
  <c r="X16" i="47" s="1"/>
  <c r="P16" i="47"/>
  <c r="AC16" i="47" s="1"/>
  <c r="W17" i="47"/>
  <c r="X17" i="47" s="1"/>
  <c r="P17" i="47"/>
  <c r="AC17" i="47" s="1"/>
  <c r="W18" i="47"/>
  <c r="X18" i="47" s="1"/>
  <c r="P18" i="47"/>
  <c r="AC18" i="47" s="1"/>
  <c r="W19" i="47"/>
  <c r="X19" i="47" s="1"/>
  <c r="P19" i="47"/>
  <c r="AC19" i="47" s="1"/>
  <c r="W20" i="47"/>
  <c r="X20" i="47" s="1"/>
  <c r="P20" i="47"/>
  <c r="AC20" i="47" s="1"/>
  <c r="W21" i="47"/>
  <c r="X21" i="47" s="1"/>
  <c r="P21" i="47"/>
  <c r="AC21" i="47" s="1"/>
  <c r="W22" i="47"/>
  <c r="X22" i="47" s="1"/>
  <c r="P22" i="47"/>
  <c r="AC22" i="47" s="1"/>
  <c r="W23" i="47"/>
  <c r="X23" i="47" s="1"/>
  <c r="P23" i="47"/>
  <c r="AC23" i="47" s="1"/>
  <c r="W24" i="47"/>
  <c r="X24" i="47" s="1"/>
  <c r="P24" i="47"/>
  <c r="AC24" i="47" s="1"/>
  <c r="W25" i="47"/>
  <c r="X25" i="47" s="1"/>
  <c r="P25" i="47"/>
  <c r="AC25" i="47" s="1"/>
  <c r="W26" i="47"/>
  <c r="X26" i="47" s="1"/>
  <c r="P26" i="47"/>
  <c r="AC26" i="47" s="1"/>
  <c r="W27" i="47"/>
  <c r="X27" i="47" s="1"/>
  <c r="P27" i="47"/>
  <c r="AC27" i="47" s="1"/>
  <c r="W28" i="47"/>
  <c r="X28" i="47" s="1"/>
  <c r="P28" i="47"/>
  <c r="AC28" i="47" s="1"/>
  <c r="W29" i="47"/>
  <c r="X29" i="47" s="1"/>
  <c r="P29" i="47"/>
  <c r="AC29" i="47" s="1"/>
  <c r="W30" i="47"/>
  <c r="X30" i="47" s="1"/>
  <c r="P30" i="47"/>
  <c r="AC30" i="47" s="1"/>
  <c r="W31" i="47"/>
  <c r="X31" i="47" s="1"/>
  <c r="P31" i="47"/>
  <c r="AC31" i="47" s="1"/>
  <c r="W32" i="47"/>
  <c r="X32" i="47" s="1"/>
  <c r="P32" i="47"/>
  <c r="AC32" i="47" s="1"/>
  <c r="W33" i="47"/>
  <c r="X33" i="47" s="1"/>
  <c r="P33" i="47"/>
  <c r="AC33" i="47" s="1"/>
  <c r="W34" i="47"/>
  <c r="X34" i="47" s="1"/>
  <c r="P34" i="47"/>
  <c r="AC34" i="47" s="1"/>
  <c r="W35" i="47"/>
  <c r="X35" i="47" s="1"/>
  <c r="P35" i="47"/>
  <c r="AC35" i="47" s="1"/>
  <c r="W36" i="47"/>
  <c r="X36" i="47" s="1"/>
  <c r="P36" i="47"/>
  <c r="AC36" i="47" s="1"/>
  <c r="W37" i="47"/>
  <c r="X37" i="47" s="1"/>
  <c r="P37" i="47"/>
  <c r="AC37" i="47" s="1"/>
  <c r="W38" i="47"/>
  <c r="X38" i="47" s="1"/>
  <c r="P38" i="47"/>
  <c r="AC38" i="47" s="1"/>
  <c r="W39" i="47"/>
  <c r="X39" i="47" s="1"/>
  <c r="P39" i="47"/>
  <c r="AC39" i="47" s="1"/>
  <c r="W40" i="47"/>
  <c r="X40" i="47" s="1"/>
  <c r="P40" i="47"/>
  <c r="AC40" i="47" s="1"/>
  <c r="W41" i="47"/>
  <c r="X41" i="47" s="1"/>
  <c r="P41" i="47"/>
  <c r="AC41" i="47" s="1"/>
  <c r="W42" i="47"/>
  <c r="X42" i="47" s="1"/>
  <c r="P42" i="47"/>
  <c r="AC42" i="47" s="1"/>
  <c r="W43" i="47"/>
  <c r="X43" i="47" s="1"/>
  <c r="P43" i="47"/>
  <c r="AC43" i="47" s="1"/>
  <c r="W44" i="47"/>
  <c r="X44" i="47" s="1"/>
  <c r="P44" i="47"/>
  <c r="AC44" i="47" s="1"/>
  <c r="W45" i="47"/>
  <c r="X45" i="47" s="1"/>
  <c r="P45" i="47"/>
  <c r="AC45" i="47" s="1"/>
  <c r="W46" i="47"/>
  <c r="X46" i="47" s="1"/>
  <c r="P46" i="47"/>
  <c r="AC46" i="47" s="1"/>
  <c r="W47" i="47"/>
  <c r="X47" i="47" s="1"/>
  <c r="P47" i="47"/>
  <c r="AC47" i="47" s="1"/>
  <c r="W48" i="47"/>
  <c r="X48" i="47" s="1"/>
  <c r="P48" i="47"/>
  <c r="AC48" i="47" s="1"/>
  <c r="W49" i="47"/>
  <c r="X49" i="47" s="1"/>
  <c r="P49" i="47"/>
  <c r="AC49" i="47" s="1"/>
  <c r="W50" i="47"/>
  <c r="X50" i="47" s="1"/>
  <c r="P50" i="47"/>
  <c r="AC50" i="47" s="1"/>
  <c r="W51" i="47"/>
  <c r="X51" i="47" s="1"/>
  <c r="P51" i="47"/>
  <c r="AC51" i="47" s="1"/>
  <c r="W52" i="47"/>
  <c r="X52" i="47" s="1"/>
  <c r="P52" i="47"/>
  <c r="AC52" i="47" s="1"/>
  <c r="W53" i="47"/>
  <c r="X53" i="47" s="1"/>
  <c r="P53" i="47"/>
  <c r="AC53" i="47" s="1"/>
  <c r="W54" i="47"/>
  <c r="X54" i="47" s="1"/>
  <c r="P54" i="47"/>
  <c r="AC54" i="47" s="1"/>
  <c r="W55" i="47"/>
  <c r="X55" i="47" s="1"/>
  <c r="P55" i="47"/>
  <c r="AC55" i="47" s="1"/>
  <c r="W56" i="47"/>
  <c r="X56" i="47" s="1"/>
  <c r="P56" i="47"/>
  <c r="AC56" i="47" s="1"/>
  <c r="W57" i="47"/>
  <c r="X57" i="47" s="1"/>
  <c r="P57" i="47"/>
  <c r="AC57" i="47" s="1"/>
  <c r="W58" i="47"/>
  <c r="X58" i="47" s="1"/>
  <c r="P58" i="47"/>
  <c r="AC58" i="47" s="1"/>
  <c r="W59" i="47"/>
  <c r="X59" i="47" s="1"/>
  <c r="P59" i="47"/>
  <c r="AC59" i="47" s="1"/>
  <c r="W60" i="47"/>
  <c r="X60" i="47" s="1"/>
  <c r="P60" i="47"/>
  <c r="AC60" i="47" s="1"/>
  <c r="W61" i="47"/>
  <c r="X61" i="47" s="1"/>
  <c r="P61" i="47"/>
  <c r="AC61" i="47" s="1"/>
  <c r="W62" i="47"/>
  <c r="X62" i="47" s="1"/>
  <c r="P62" i="47"/>
  <c r="AC62" i="47" s="1"/>
  <c r="W63" i="47"/>
  <c r="X63" i="47" s="1"/>
  <c r="P63" i="47"/>
  <c r="AC63" i="47" s="1"/>
  <c r="W64" i="47"/>
  <c r="X64" i="47" s="1"/>
  <c r="P64" i="47"/>
  <c r="AC64" i="47" s="1"/>
  <c r="W65" i="47"/>
  <c r="X65" i="47" s="1"/>
  <c r="P65" i="47"/>
  <c r="AC65" i="47" s="1"/>
  <c r="W66" i="47"/>
  <c r="X66" i="47" s="1"/>
  <c r="P66" i="47"/>
  <c r="AC66" i="47" s="1"/>
  <c r="W67" i="47"/>
  <c r="X67" i="47" s="1"/>
  <c r="P67" i="47"/>
  <c r="AC67" i="47" s="1"/>
  <c r="W68" i="47"/>
  <c r="X68" i="47" s="1"/>
  <c r="P68" i="47"/>
  <c r="AC68" i="47" s="1"/>
  <c r="W69" i="47"/>
  <c r="X69" i="47" s="1"/>
  <c r="P69" i="47"/>
  <c r="AC69" i="47" s="1"/>
  <c r="W70" i="47"/>
  <c r="X70" i="47" s="1"/>
  <c r="P70" i="47"/>
  <c r="AC70" i="47" s="1"/>
  <c r="W71" i="47"/>
  <c r="X71" i="47" s="1"/>
  <c r="P71" i="47"/>
  <c r="AC71" i="47" s="1"/>
  <c r="W72" i="47"/>
  <c r="X72" i="47" s="1"/>
  <c r="P72" i="47"/>
  <c r="AC72" i="47" s="1"/>
  <c r="W73" i="47"/>
  <c r="X73" i="47" s="1"/>
  <c r="P73" i="47"/>
  <c r="AC73" i="47" s="1"/>
  <c r="W74" i="47"/>
  <c r="X74" i="47" s="1"/>
  <c r="P74" i="47"/>
  <c r="AC74" i="47" s="1"/>
  <c r="W75" i="47"/>
  <c r="X75" i="47" s="1"/>
  <c r="P75" i="47"/>
  <c r="AC75" i="47" s="1"/>
  <c r="W76" i="47"/>
  <c r="X76" i="47" s="1"/>
  <c r="P76" i="47"/>
  <c r="AC76" i="47" s="1"/>
  <c r="W77" i="47"/>
  <c r="X77" i="47" s="1"/>
  <c r="P77" i="47"/>
  <c r="AC77" i="47" s="1"/>
  <c r="W78" i="47"/>
  <c r="X78" i="47" s="1"/>
  <c r="P78" i="47"/>
  <c r="AC78" i="47" s="1"/>
  <c r="W79" i="47"/>
  <c r="X79" i="47" s="1"/>
  <c r="P79" i="47"/>
  <c r="AC79" i="47" s="1"/>
  <c r="W80" i="47"/>
  <c r="X80" i="47" s="1"/>
  <c r="P80" i="47"/>
  <c r="AC80" i="47" s="1"/>
  <c r="W81" i="47"/>
  <c r="X81" i="47" s="1"/>
  <c r="P81" i="47"/>
  <c r="AC81" i="47" s="1"/>
  <c r="W82" i="47"/>
  <c r="X82" i="47" s="1"/>
  <c r="P82" i="47"/>
  <c r="AC82" i="47" s="1"/>
  <c r="W83" i="47"/>
  <c r="X83" i="47" s="1"/>
  <c r="P83" i="47"/>
  <c r="AC83" i="47" s="1"/>
  <c r="W84" i="47"/>
  <c r="X84" i="47" s="1"/>
  <c r="P84" i="47"/>
  <c r="AC84" i="47" s="1"/>
  <c r="W85" i="47"/>
  <c r="X85" i="47" s="1"/>
  <c r="P85" i="47"/>
  <c r="AC85" i="47" s="1"/>
  <c r="W86" i="47"/>
  <c r="X86" i="47" s="1"/>
  <c r="P86" i="47"/>
  <c r="AC86" i="47" s="1"/>
  <c r="W87" i="47"/>
  <c r="X87" i="47" s="1"/>
  <c r="P87" i="47"/>
  <c r="AC87" i="47" s="1"/>
  <c r="W88" i="47"/>
  <c r="X88" i="47" s="1"/>
  <c r="P88" i="47"/>
  <c r="AC88" i="47" s="1"/>
  <c r="W89" i="47"/>
  <c r="X89" i="47" s="1"/>
  <c r="P89" i="47"/>
  <c r="AC89" i="47" s="1"/>
  <c r="W90" i="47"/>
  <c r="X90" i="47" s="1"/>
  <c r="P90" i="47"/>
  <c r="AC90" i="47" s="1"/>
  <c r="W91" i="47"/>
  <c r="X91" i="47" s="1"/>
  <c r="P91" i="47"/>
  <c r="AC91" i="47" s="1"/>
  <c r="W92" i="47"/>
  <c r="X92" i="47" s="1"/>
  <c r="P92" i="47"/>
  <c r="AC92" i="47" s="1"/>
  <c r="W93" i="47"/>
  <c r="X93" i="47" s="1"/>
  <c r="P93" i="47"/>
  <c r="AC93" i="47" s="1"/>
  <c r="W94" i="47"/>
  <c r="X94" i="47" s="1"/>
  <c r="P94" i="47"/>
  <c r="AC94" i="47" s="1"/>
  <c r="W95" i="47"/>
  <c r="X95" i="47" s="1"/>
  <c r="P95" i="47"/>
  <c r="AC95" i="47" s="1"/>
  <c r="W96" i="47"/>
  <c r="X96" i="47" s="1"/>
  <c r="P96" i="47"/>
  <c r="AC96" i="47" s="1"/>
  <c r="W97" i="47"/>
  <c r="X97" i="47" s="1"/>
  <c r="P97" i="47"/>
  <c r="AC97" i="47" s="1"/>
  <c r="W98" i="47"/>
  <c r="X98" i="47" s="1"/>
  <c r="P98" i="47"/>
  <c r="AC98" i="47" s="1"/>
  <c r="W99" i="47"/>
  <c r="X99" i="47" s="1"/>
  <c r="P99" i="47"/>
  <c r="AC99" i="47" s="1"/>
  <c r="W100" i="47"/>
  <c r="X100" i="47" s="1"/>
  <c r="P100" i="47"/>
  <c r="AC100" i="47" s="1"/>
  <c r="W101" i="47"/>
  <c r="X101" i="47" s="1"/>
  <c r="P101" i="47"/>
  <c r="AC101" i="47" s="1"/>
  <c r="W102" i="47"/>
  <c r="X102" i="47" s="1"/>
  <c r="P102" i="47"/>
  <c r="AC102" i="47" s="1"/>
  <c r="W103" i="47"/>
  <c r="X103" i="47" s="1"/>
  <c r="P103" i="47"/>
  <c r="AC103" i="47" s="1"/>
  <c r="W104" i="47"/>
  <c r="X104" i="47" s="1"/>
  <c r="P104" i="47"/>
  <c r="AC104" i="47" s="1"/>
  <c r="W105" i="47"/>
  <c r="X105" i="47" s="1"/>
  <c r="P105" i="47"/>
  <c r="AC105" i="47" s="1"/>
  <c r="W106" i="47"/>
  <c r="X106" i="47" s="1"/>
  <c r="P106" i="47"/>
  <c r="AC106" i="47" s="1"/>
  <c r="W107" i="47"/>
  <c r="X107" i="47" s="1"/>
  <c r="P107" i="47"/>
  <c r="AC107" i="47" s="1"/>
  <c r="W108" i="47"/>
  <c r="X108" i="47" s="1"/>
  <c r="P108" i="47"/>
  <c r="AC108" i="47" s="1"/>
  <c r="W109" i="47"/>
  <c r="X109" i="47" s="1"/>
  <c r="P109" i="47"/>
  <c r="AC109" i="47" s="1"/>
  <c r="W110" i="47"/>
  <c r="X110" i="47" s="1"/>
  <c r="P110" i="47"/>
  <c r="AC110" i="47" s="1"/>
  <c r="W111" i="47"/>
  <c r="X111" i="47" s="1"/>
  <c r="P111" i="47"/>
  <c r="AC111" i="47" s="1"/>
  <c r="W112" i="47"/>
  <c r="X112" i="47" s="1"/>
  <c r="P112" i="47"/>
  <c r="AC112" i="47" s="1"/>
  <c r="W113" i="47"/>
  <c r="X113" i="47" s="1"/>
  <c r="P113" i="47"/>
  <c r="AC113" i="47" s="1"/>
  <c r="W114" i="47"/>
  <c r="X114" i="47" s="1"/>
  <c r="P114" i="47"/>
  <c r="AC114" i="47" s="1"/>
  <c r="W115" i="47"/>
  <c r="X115" i="47" s="1"/>
  <c r="P115" i="47"/>
  <c r="AC115" i="47" s="1"/>
  <c r="W116" i="47"/>
  <c r="X116" i="47" s="1"/>
  <c r="P116" i="47"/>
  <c r="AC116" i="47" s="1"/>
  <c r="W117" i="47"/>
  <c r="X117" i="47" s="1"/>
  <c r="P117" i="47"/>
  <c r="AC117" i="47" s="1"/>
  <c r="W118" i="47"/>
  <c r="X118" i="47" s="1"/>
  <c r="P118" i="47"/>
  <c r="AC118" i="47" s="1"/>
  <c r="W119" i="47"/>
  <c r="X119" i="47" s="1"/>
  <c r="P119" i="47"/>
  <c r="AC119" i="47" s="1"/>
  <c r="W120" i="47"/>
  <c r="X120" i="47" s="1"/>
  <c r="P120" i="47"/>
  <c r="AC120" i="47" s="1"/>
  <c r="W121" i="47"/>
  <c r="X121" i="47" s="1"/>
  <c r="P121" i="47"/>
  <c r="AC121" i="47" s="1"/>
  <c r="W122" i="47"/>
  <c r="X122" i="47" s="1"/>
  <c r="P122" i="47"/>
  <c r="AC122" i="47" s="1"/>
  <c r="W123" i="47"/>
  <c r="X123" i="47" s="1"/>
  <c r="P123" i="47"/>
  <c r="AC123" i="47" s="1"/>
  <c r="W124" i="47"/>
  <c r="X124" i="47" s="1"/>
  <c r="P124" i="47"/>
  <c r="AC124" i="47" s="1"/>
  <c r="W125" i="47"/>
  <c r="X125" i="47" s="1"/>
  <c r="P125" i="47"/>
  <c r="AC125" i="47" s="1"/>
  <c r="W126" i="47"/>
  <c r="X126" i="47" s="1"/>
  <c r="P126" i="47"/>
  <c r="AC126" i="47" s="1"/>
  <c r="W127" i="47"/>
  <c r="X127" i="47" s="1"/>
  <c r="P127" i="47"/>
  <c r="AC127" i="47" s="1"/>
  <c r="W128" i="47"/>
  <c r="X128" i="47" s="1"/>
  <c r="P128" i="47"/>
  <c r="AC128" i="47" s="1"/>
  <c r="W129" i="47"/>
  <c r="X129" i="47" s="1"/>
  <c r="P129" i="47"/>
  <c r="AC129" i="47" s="1"/>
  <c r="W130" i="47"/>
  <c r="X130" i="47" s="1"/>
  <c r="P130" i="47"/>
  <c r="AC130" i="47" s="1"/>
  <c r="W131" i="47"/>
  <c r="X131" i="47" s="1"/>
  <c r="P131" i="47"/>
  <c r="AC131" i="47" s="1"/>
  <c r="W132" i="47"/>
  <c r="X132" i="47" s="1"/>
  <c r="P132" i="47"/>
  <c r="AC132" i="47" s="1"/>
  <c r="W133" i="47"/>
  <c r="X133" i="47" s="1"/>
  <c r="P133" i="47"/>
  <c r="AC133" i="47" s="1"/>
  <c r="W134" i="47"/>
  <c r="X134" i="47" s="1"/>
  <c r="P134" i="47"/>
  <c r="AC134" i="47" s="1"/>
  <c r="W135" i="47"/>
  <c r="X135" i="47" s="1"/>
  <c r="P135" i="47"/>
  <c r="AC135" i="47" s="1"/>
  <c r="W136" i="47"/>
  <c r="X136" i="47" s="1"/>
  <c r="P136" i="47"/>
  <c r="AC136" i="47" s="1"/>
  <c r="W137" i="47"/>
  <c r="X137" i="47" s="1"/>
  <c r="P137" i="47"/>
  <c r="AC137" i="47" s="1"/>
  <c r="W138" i="47"/>
  <c r="X138" i="47" s="1"/>
  <c r="P138" i="47"/>
  <c r="AC138" i="47" s="1"/>
  <c r="W139" i="47"/>
  <c r="X139" i="47" s="1"/>
  <c r="P139" i="47"/>
  <c r="AC139" i="47" s="1"/>
  <c r="W140" i="47"/>
  <c r="X140" i="47" s="1"/>
  <c r="P140" i="47"/>
  <c r="AC140" i="47" s="1"/>
  <c r="W141" i="47"/>
  <c r="X141" i="47" s="1"/>
  <c r="P141" i="47"/>
  <c r="AC141" i="47" s="1"/>
  <c r="W142" i="47"/>
  <c r="X142" i="47" s="1"/>
  <c r="P142" i="47"/>
  <c r="AC142" i="47" s="1"/>
  <c r="W143" i="47"/>
  <c r="X143" i="47" s="1"/>
  <c r="P143" i="47"/>
  <c r="AC143" i="47" s="1"/>
  <c r="W144" i="47"/>
  <c r="X144" i="47" s="1"/>
  <c r="P144" i="47"/>
  <c r="AC144" i="47" s="1"/>
  <c r="W145" i="47"/>
  <c r="X145" i="47" s="1"/>
  <c r="P145" i="47"/>
  <c r="AC145" i="47" s="1"/>
  <c r="W146" i="47"/>
  <c r="X146" i="47" s="1"/>
  <c r="P146" i="47"/>
  <c r="AC146" i="47" s="1"/>
  <c r="W147" i="47"/>
  <c r="X147" i="47" s="1"/>
  <c r="P147" i="47"/>
  <c r="AC147" i="47" s="1"/>
  <c r="W148" i="47"/>
  <c r="X148" i="47" s="1"/>
  <c r="P148" i="47"/>
  <c r="AC148" i="47" s="1"/>
  <c r="W149" i="47"/>
  <c r="X149" i="47" s="1"/>
  <c r="P149" i="47"/>
  <c r="AC149" i="47" s="1"/>
  <c r="W150" i="47"/>
  <c r="X150" i="47" s="1"/>
  <c r="P150" i="47"/>
  <c r="AC150" i="47" s="1"/>
  <c r="W151" i="47"/>
  <c r="X151" i="47" s="1"/>
  <c r="P151" i="47"/>
  <c r="AC151" i="47" s="1"/>
  <c r="W152" i="47"/>
  <c r="X152" i="47" s="1"/>
  <c r="P152" i="47"/>
  <c r="AC152" i="47" s="1"/>
  <c r="W153" i="47"/>
  <c r="X153" i="47" s="1"/>
  <c r="P153" i="47"/>
  <c r="AC153" i="47" s="1"/>
  <c r="W154" i="47"/>
  <c r="X154" i="47" s="1"/>
  <c r="P154" i="47"/>
  <c r="AC154" i="47" s="1"/>
  <c r="W155" i="47"/>
  <c r="X155" i="47" s="1"/>
  <c r="P155" i="47"/>
  <c r="AC155" i="47" s="1"/>
  <c r="W156" i="47"/>
  <c r="X156" i="47" s="1"/>
  <c r="P156" i="47"/>
  <c r="AC156" i="47" s="1"/>
  <c r="W157" i="47"/>
  <c r="X157" i="47" s="1"/>
  <c r="P157" i="47"/>
  <c r="AC157" i="47" s="1"/>
  <c r="W158" i="47"/>
  <c r="X158" i="47" s="1"/>
  <c r="P158" i="47"/>
  <c r="AC158" i="47" s="1"/>
  <c r="W159" i="47"/>
  <c r="X159" i="47" s="1"/>
  <c r="P159" i="47"/>
  <c r="AC159" i="47" s="1"/>
  <c r="W160" i="47"/>
  <c r="X160" i="47" s="1"/>
  <c r="P160" i="47"/>
  <c r="AC160" i="47" s="1"/>
  <c r="W161" i="47"/>
  <c r="X161" i="47" s="1"/>
  <c r="P161" i="47"/>
  <c r="AC161" i="47" s="1"/>
  <c r="W162" i="47"/>
  <c r="X162" i="47" s="1"/>
  <c r="P162" i="47"/>
  <c r="AC162" i="47" s="1"/>
  <c r="W163" i="47"/>
  <c r="X163" i="47" s="1"/>
  <c r="P163" i="47"/>
  <c r="AC163" i="47" s="1"/>
  <c r="W164" i="47"/>
  <c r="X164" i="47" s="1"/>
  <c r="P164" i="47"/>
  <c r="AC164" i="47" s="1"/>
  <c r="W165" i="47"/>
  <c r="X165" i="47" s="1"/>
  <c r="P165" i="47"/>
  <c r="AC165" i="47" s="1"/>
  <c r="W166" i="47"/>
  <c r="X166" i="47" s="1"/>
  <c r="P166" i="47"/>
  <c r="AC166" i="47" s="1"/>
  <c r="W167" i="47"/>
  <c r="X167" i="47" s="1"/>
  <c r="P167" i="47"/>
  <c r="AC167" i="47" s="1"/>
  <c r="W168" i="47"/>
  <c r="X168" i="47" s="1"/>
  <c r="P168" i="47"/>
  <c r="AC168" i="47" s="1"/>
  <c r="W169" i="47"/>
  <c r="X169" i="47" s="1"/>
  <c r="P169" i="47"/>
  <c r="AC169" i="47" s="1"/>
  <c r="W170" i="47"/>
  <c r="X170" i="47" s="1"/>
  <c r="P170" i="47"/>
  <c r="AC170" i="47" s="1"/>
  <c r="W171" i="47"/>
  <c r="X171" i="47" s="1"/>
  <c r="P171" i="47"/>
  <c r="AC171" i="47" s="1"/>
  <c r="W172" i="47"/>
  <c r="X172" i="47" s="1"/>
  <c r="P172" i="47"/>
  <c r="AC172" i="47" s="1"/>
  <c r="W173" i="47"/>
  <c r="X173" i="47" s="1"/>
  <c r="P173" i="47"/>
  <c r="AC173" i="47" s="1"/>
  <c r="W174" i="47"/>
  <c r="X174" i="47" s="1"/>
  <c r="P174" i="47"/>
  <c r="AC174" i="47" s="1"/>
  <c r="W175" i="47"/>
  <c r="X175" i="47" s="1"/>
  <c r="P175" i="47"/>
  <c r="AC175" i="47" s="1"/>
  <c r="W176" i="47"/>
  <c r="X176" i="47" s="1"/>
  <c r="P176" i="47"/>
  <c r="AC176" i="47" s="1"/>
  <c r="W177" i="47"/>
  <c r="X177" i="47" s="1"/>
  <c r="P177" i="47"/>
  <c r="AC177" i="47" s="1"/>
  <c r="W178" i="47"/>
  <c r="X178" i="47" s="1"/>
  <c r="P178" i="47"/>
  <c r="AC178" i="47" s="1"/>
  <c r="W179" i="47"/>
  <c r="X179" i="47" s="1"/>
  <c r="P179" i="47"/>
  <c r="AC179" i="47" s="1"/>
  <c r="W180" i="47"/>
  <c r="X180" i="47" s="1"/>
  <c r="P180" i="47"/>
  <c r="AC180" i="47" s="1"/>
  <c r="W181" i="47"/>
  <c r="X181" i="47" s="1"/>
  <c r="P181" i="47"/>
  <c r="AC181" i="47" s="1"/>
  <c r="W182" i="47"/>
  <c r="X182" i="47" s="1"/>
  <c r="P182" i="47"/>
  <c r="AC182" i="47" s="1"/>
  <c r="W183" i="47"/>
  <c r="X183" i="47" s="1"/>
  <c r="P183" i="47"/>
  <c r="AC183" i="47" s="1"/>
  <c r="W184" i="47"/>
  <c r="X184" i="47" s="1"/>
  <c r="P184" i="47"/>
  <c r="AC184" i="47" s="1"/>
  <c r="W185" i="47"/>
  <c r="X185" i="47" s="1"/>
  <c r="P185" i="47"/>
  <c r="AC185" i="47" s="1"/>
  <c r="W186" i="47"/>
  <c r="X186" i="47" s="1"/>
  <c r="P186" i="47"/>
  <c r="AC186" i="47" s="1"/>
  <c r="W187" i="47"/>
  <c r="X187" i="47" s="1"/>
  <c r="P187" i="47"/>
  <c r="AC187" i="47" s="1"/>
  <c r="W188" i="47"/>
  <c r="X188" i="47" s="1"/>
  <c r="P188" i="47"/>
  <c r="AC188" i="47" s="1"/>
  <c r="W189" i="47"/>
  <c r="X189" i="47" s="1"/>
  <c r="P189" i="47"/>
  <c r="AC189" i="47" s="1"/>
  <c r="W190" i="47"/>
  <c r="X190" i="47" s="1"/>
  <c r="P190" i="47"/>
  <c r="AC190" i="47" s="1"/>
  <c r="W191" i="47"/>
  <c r="X191" i="47" s="1"/>
  <c r="P191" i="47"/>
  <c r="AC191" i="47" s="1"/>
  <c r="W192" i="47"/>
  <c r="X192" i="47" s="1"/>
  <c r="P192" i="47"/>
  <c r="AC192" i="47" s="1"/>
  <c r="W193" i="47"/>
  <c r="X193" i="47" s="1"/>
  <c r="P193" i="47"/>
  <c r="AC193" i="47" s="1"/>
  <c r="W194" i="47"/>
  <c r="X194" i="47" s="1"/>
  <c r="P194" i="47"/>
  <c r="AC194" i="47" s="1"/>
  <c r="W195" i="47"/>
  <c r="X195" i="47" s="1"/>
  <c r="P195" i="47"/>
  <c r="AC195" i="47" s="1"/>
  <c r="W196" i="47"/>
  <c r="X196" i="47" s="1"/>
  <c r="P196" i="47"/>
  <c r="AC196" i="47" s="1"/>
  <c r="W197" i="47"/>
  <c r="X197" i="47" s="1"/>
  <c r="P197" i="47"/>
  <c r="AC197" i="47" s="1"/>
  <c r="W198" i="47"/>
  <c r="X198" i="47" s="1"/>
  <c r="P198" i="47"/>
  <c r="AC198" i="47" s="1"/>
  <c r="W199" i="47"/>
  <c r="X199" i="47" s="1"/>
  <c r="P199" i="47"/>
  <c r="AC199" i="47" s="1"/>
  <c r="W200" i="47"/>
  <c r="X200" i="47" s="1"/>
  <c r="P200" i="47"/>
  <c r="AC200" i="47" s="1"/>
  <c r="W201" i="47"/>
  <c r="X201" i="47" s="1"/>
  <c r="P201" i="47"/>
  <c r="AC201" i="47" s="1"/>
  <c r="W202" i="47"/>
  <c r="X202" i="47" s="1"/>
  <c r="P202" i="47"/>
  <c r="AC202" i="47" s="1"/>
  <c r="W203" i="47"/>
  <c r="X203" i="47" s="1"/>
  <c r="P203" i="47"/>
  <c r="AC203" i="47" s="1"/>
  <c r="W204" i="47"/>
  <c r="X204" i="47" s="1"/>
  <c r="P204" i="47"/>
  <c r="AC204" i="47" s="1"/>
  <c r="W205" i="47"/>
  <c r="X205" i="47" s="1"/>
  <c r="P205" i="47"/>
  <c r="AC205" i="47" s="1"/>
  <c r="W206" i="47"/>
  <c r="X206" i="47" s="1"/>
  <c r="P206" i="47"/>
  <c r="AC206" i="47" s="1"/>
  <c r="W207" i="47"/>
  <c r="X207" i="47" s="1"/>
  <c r="P207" i="47"/>
  <c r="AC207" i="47" s="1"/>
  <c r="W208" i="47"/>
  <c r="X208" i="47" s="1"/>
  <c r="P208" i="47"/>
  <c r="AC208" i="47" s="1"/>
  <c r="W209" i="47"/>
  <c r="X209" i="47" s="1"/>
  <c r="P209" i="47"/>
  <c r="AC209" i="47" s="1"/>
  <c r="W210" i="47"/>
  <c r="X210" i="47" s="1"/>
  <c r="P210" i="47"/>
  <c r="AC210" i="47" s="1"/>
  <c r="W211" i="47"/>
  <c r="X211" i="47" s="1"/>
  <c r="P211" i="47"/>
  <c r="AC211" i="47" s="1"/>
  <c r="W212" i="47"/>
  <c r="X212" i="47" s="1"/>
  <c r="P212" i="47"/>
  <c r="AC212" i="47" s="1"/>
  <c r="W213" i="47"/>
  <c r="X213" i="47" s="1"/>
  <c r="P213" i="47"/>
  <c r="AC213" i="47" s="1"/>
  <c r="W214" i="47"/>
  <c r="X214" i="47" s="1"/>
  <c r="P214" i="47"/>
  <c r="AC214" i="47" s="1"/>
  <c r="W215" i="47"/>
  <c r="X215" i="47" s="1"/>
  <c r="P215" i="47"/>
  <c r="AC215" i="47" s="1"/>
  <c r="W216" i="47"/>
  <c r="X216" i="47" s="1"/>
  <c r="P216" i="47"/>
  <c r="AC216" i="47" s="1"/>
  <c r="W217" i="47"/>
  <c r="X217" i="47" s="1"/>
  <c r="P217" i="47"/>
  <c r="AC217" i="47" s="1"/>
  <c r="W218" i="47"/>
  <c r="X218" i="47" s="1"/>
  <c r="P218" i="47"/>
  <c r="AC218" i="47" s="1"/>
  <c r="W219" i="47"/>
  <c r="X219" i="47" s="1"/>
  <c r="P219" i="47"/>
  <c r="AC219" i="47" s="1"/>
  <c r="W220" i="47"/>
  <c r="X220" i="47" s="1"/>
  <c r="P220" i="47"/>
  <c r="AC220" i="47" s="1"/>
  <c r="W221" i="47"/>
  <c r="X221" i="47" s="1"/>
  <c r="P221" i="47"/>
  <c r="AC221" i="47" s="1"/>
  <c r="W222" i="47"/>
  <c r="X222" i="47" s="1"/>
  <c r="P222" i="47"/>
  <c r="AC222" i="47" s="1"/>
  <c r="W223" i="47"/>
  <c r="X223" i="47" s="1"/>
  <c r="P223" i="47"/>
  <c r="AC223" i="47" s="1"/>
  <c r="W224" i="47"/>
  <c r="X224" i="47" s="1"/>
  <c r="P224" i="47"/>
  <c r="AC224" i="47" s="1"/>
  <c r="W225" i="47"/>
  <c r="X225" i="47" s="1"/>
  <c r="P225" i="47"/>
  <c r="AC225" i="47" s="1"/>
  <c r="W226" i="47"/>
  <c r="X226" i="47" s="1"/>
  <c r="P226" i="47"/>
  <c r="AC226" i="47" s="1"/>
  <c r="W227" i="47"/>
  <c r="X227" i="47" s="1"/>
  <c r="P227" i="47"/>
  <c r="AC227" i="47" s="1"/>
  <c r="W228" i="47"/>
  <c r="X228" i="47" s="1"/>
  <c r="P228" i="47"/>
  <c r="AC228" i="47" s="1"/>
  <c r="W229" i="47"/>
  <c r="X229" i="47" s="1"/>
  <c r="P229" i="47"/>
  <c r="AC229" i="47" s="1"/>
  <c r="W230" i="47"/>
  <c r="X230" i="47" s="1"/>
  <c r="P230" i="47"/>
  <c r="AC230" i="47" s="1"/>
  <c r="W231" i="47"/>
  <c r="X231" i="47" s="1"/>
  <c r="P231" i="47"/>
  <c r="AC231" i="47" s="1"/>
  <c r="W232" i="47"/>
  <c r="X232" i="47" s="1"/>
  <c r="P232" i="47"/>
  <c r="AC232" i="47" s="1"/>
  <c r="W233" i="47"/>
  <c r="X233" i="47" s="1"/>
  <c r="P233" i="47"/>
  <c r="AC233" i="47" s="1"/>
  <c r="W234" i="47"/>
  <c r="X234" i="47" s="1"/>
  <c r="P234" i="47"/>
  <c r="AC234" i="47" s="1"/>
  <c r="W235" i="47"/>
  <c r="X235" i="47" s="1"/>
  <c r="P235" i="47"/>
  <c r="AC235" i="47" s="1"/>
  <c r="W236" i="47"/>
  <c r="X236" i="47" s="1"/>
  <c r="P236" i="47"/>
  <c r="AC236" i="47" s="1"/>
  <c r="W237" i="47"/>
  <c r="X237" i="47" s="1"/>
  <c r="P237" i="47"/>
  <c r="AC237" i="47" s="1"/>
  <c r="W238" i="47"/>
  <c r="X238" i="47" s="1"/>
  <c r="P238" i="47"/>
  <c r="AC238" i="47" s="1"/>
  <c r="W239" i="47"/>
  <c r="X239" i="47" s="1"/>
  <c r="P239" i="47"/>
  <c r="AC239" i="47" s="1"/>
  <c r="W240" i="47"/>
  <c r="X240" i="47" s="1"/>
  <c r="P240" i="47"/>
  <c r="AC240" i="47" s="1"/>
  <c r="W241" i="47"/>
  <c r="X241" i="47" s="1"/>
  <c r="P241" i="47"/>
  <c r="AC241" i="47" s="1"/>
  <c r="W242" i="47"/>
  <c r="X242" i="47" s="1"/>
  <c r="P242" i="47"/>
  <c r="AC242" i="47" s="1"/>
  <c r="W243" i="47"/>
  <c r="X243" i="47" s="1"/>
  <c r="P243" i="47"/>
  <c r="AC243" i="47" s="1"/>
  <c r="W244" i="47"/>
  <c r="X244" i="47" s="1"/>
  <c r="P244" i="47"/>
  <c r="AC244" i="47" s="1"/>
  <c r="W245" i="47"/>
  <c r="X245" i="47" s="1"/>
  <c r="P245" i="47"/>
  <c r="AC245" i="47" s="1"/>
  <c r="W246" i="47"/>
  <c r="X246" i="47" s="1"/>
  <c r="P246" i="47"/>
  <c r="AC246" i="47" s="1"/>
  <c r="W247" i="47"/>
  <c r="X247" i="47" s="1"/>
  <c r="P247" i="47"/>
  <c r="AC247" i="47" s="1"/>
  <c r="W248" i="47"/>
  <c r="X248" i="47" s="1"/>
  <c r="P248" i="47"/>
  <c r="AC248" i="47" s="1"/>
  <c r="W249" i="47"/>
  <c r="X249" i="47" s="1"/>
  <c r="P249" i="47"/>
  <c r="AC249" i="47" s="1"/>
  <c r="W250" i="47"/>
  <c r="X250" i="47" s="1"/>
  <c r="P250" i="47"/>
  <c r="AC250" i="47" s="1"/>
  <c r="W251" i="47"/>
  <c r="X251" i="47" s="1"/>
  <c r="P251" i="47"/>
  <c r="AC251" i="47" s="1"/>
  <c r="W252" i="47"/>
  <c r="X252" i="47" s="1"/>
  <c r="P252" i="47"/>
  <c r="AC252" i="47" s="1"/>
  <c r="W253" i="47"/>
  <c r="X253" i="47" s="1"/>
  <c r="P253" i="47"/>
  <c r="AC253" i="47" s="1"/>
  <c r="W254" i="47"/>
  <c r="X254" i="47" s="1"/>
  <c r="P254" i="47"/>
  <c r="AC254" i="47" s="1"/>
  <c r="W255" i="47"/>
  <c r="X255" i="47" s="1"/>
  <c r="P255" i="47"/>
  <c r="AC255" i="47" s="1"/>
  <c r="W256" i="47"/>
  <c r="X256" i="47" s="1"/>
  <c r="P256" i="47"/>
  <c r="AC256" i="47" s="1"/>
  <c r="W257" i="47"/>
  <c r="X257" i="47" s="1"/>
  <c r="P257" i="47"/>
  <c r="AC257" i="47" s="1"/>
  <c r="W258" i="47"/>
  <c r="X258" i="47" s="1"/>
  <c r="P258" i="47"/>
  <c r="AC258" i="47" s="1"/>
  <c r="W259" i="47"/>
  <c r="X259" i="47" s="1"/>
  <c r="P259" i="47"/>
  <c r="AC259" i="47" s="1"/>
  <c r="W260" i="47"/>
  <c r="X260" i="47" s="1"/>
  <c r="P260" i="47"/>
  <c r="AC260" i="47" s="1"/>
  <c r="W261" i="47"/>
  <c r="X261" i="47" s="1"/>
  <c r="P261" i="47"/>
  <c r="AC261" i="47" s="1"/>
  <c r="W262" i="47"/>
  <c r="X262" i="47" s="1"/>
  <c r="P262" i="47"/>
  <c r="AC262" i="47" s="1"/>
  <c r="W263" i="47"/>
  <c r="X263" i="47" s="1"/>
  <c r="P263" i="47"/>
  <c r="AC263" i="47" s="1"/>
  <c r="W264" i="47"/>
  <c r="X264" i="47" s="1"/>
  <c r="P264" i="47"/>
  <c r="AC264" i="47" s="1"/>
  <c r="W265" i="47"/>
  <c r="X265" i="47" s="1"/>
  <c r="P265" i="47"/>
  <c r="AC265" i="47" s="1"/>
  <c r="W266" i="47"/>
  <c r="X266" i="47" s="1"/>
  <c r="P266" i="47"/>
  <c r="AC266" i="47" s="1"/>
  <c r="W267" i="47"/>
  <c r="X267" i="47" s="1"/>
  <c r="P267" i="47"/>
  <c r="AC267" i="47" s="1"/>
  <c r="W268" i="47"/>
  <c r="X268" i="47" s="1"/>
  <c r="P268" i="47"/>
  <c r="AC268" i="47" s="1"/>
  <c r="W269" i="47"/>
  <c r="X269" i="47" s="1"/>
  <c r="P269" i="47"/>
  <c r="AC269" i="47" s="1"/>
  <c r="W270" i="47"/>
  <c r="X270" i="47" s="1"/>
  <c r="P270" i="47"/>
  <c r="AC270" i="47" s="1"/>
  <c r="W271" i="47"/>
  <c r="X271" i="47" s="1"/>
  <c r="P271" i="47"/>
  <c r="AC271" i="47" s="1"/>
  <c r="W272" i="47"/>
  <c r="X272" i="47" s="1"/>
  <c r="P272" i="47"/>
  <c r="AC272" i="47" s="1"/>
  <c r="W273" i="47"/>
  <c r="X273" i="47" s="1"/>
  <c r="P273" i="47"/>
  <c r="AC273" i="47" s="1"/>
  <c r="W274" i="47"/>
  <c r="X274" i="47" s="1"/>
  <c r="P274" i="47"/>
  <c r="AC274" i="47" s="1"/>
  <c r="W275" i="47"/>
  <c r="X275" i="47" s="1"/>
  <c r="P275" i="47"/>
  <c r="AC275" i="47" s="1"/>
  <c r="W276" i="47"/>
  <c r="X276" i="47" s="1"/>
  <c r="P276" i="47"/>
  <c r="AC276" i="47" s="1"/>
  <c r="W277" i="47"/>
  <c r="X277" i="47" s="1"/>
  <c r="P277" i="47"/>
  <c r="AC277" i="47" s="1"/>
  <c r="W278" i="47"/>
  <c r="X278" i="47" s="1"/>
  <c r="P278" i="47"/>
  <c r="AC278" i="47" s="1"/>
  <c r="W279" i="47"/>
  <c r="X279" i="47" s="1"/>
  <c r="P279" i="47"/>
  <c r="AC279" i="47" s="1"/>
  <c r="W280" i="47"/>
  <c r="X280" i="47" s="1"/>
  <c r="P280" i="47"/>
  <c r="AC280" i="47" s="1"/>
  <c r="W281" i="47"/>
  <c r="X281" i="47" s="1"/>
  <c r="P281" i="47"/>
  <c r="AC281" i="47" s="1"/>
  <c r="W282" i="47"/>
  <c r="X282" i="47" s="1"/>
  <c r="P282" i="47"/>
  <c r="AC282" i="47" s="1"/>
  <c r="W283" i="47"/>
  <c r="X283" i="47" s="1"/>
  <c r="P283" i="47"/>
  <c r="AC283" i="47" s="1"/>
  <c r="W284" i="47"/>
  <c r="X284" i="47" s="1"/>
  <c r="P284" i="47"/>
  <c r="AC284" i="47" s="1"/>
  <c r="W285" i="47"/>
  <c r="X285" i="47" s="1"/>
  <c r="P285" i="47"/>
  <c r="AC285" i="47" s="1"/>
  <c r="W286" i="47"/>
  <c r="X286" i="47" s="1"/>
  <c r="P286" i="47"/>
  <c r="AC286" i="47" s="1"/>
  <c r="W287" i="47"/>
  <c r="X287" i="47" s="1"/>
  <c r="P287" i="47"/>
  <c r="AC287" i="47" s="1"/>
  <c r="W288" i="47"/>
  <c r="X288" i="47" s="1"/>
  <c r="P288" i="47"/>
  <c r="AC288" i="47" s="1"/>
  <c r="W289" i="47"/>
  <c r="X289" i="47" s="1"/>
  <c r="P289" i="47"/>
  <c r="AC289" i="47" s="1"/>
  <c r="W290" i="47"/>
  <c r="X290" i="47" s="1"/>
  <c r="P290" i="47"/>
  <c r="AC290" i="47" s="1"/>
  <c r="W291" i="47"/>
  <c r="X291" i="47" s="1"/>
  <c r="P291" i="47"/>
  <c r="AC291" i="47" s="1"/>
  <c r="W292" i="47"/>
  <c r="X292" i="47" s="1"/>
  <c r="P292" i="47"/>
  <c r="AC292" i="47" s="1"/>
  <c r="W293" i="47"/>
  <c r="X293" i="47" s="1"/>
  <c r="P293" i="47"/>
  <c r="AC293" i="47" s="1"/>
  <c r="W294" i="47"/>
  <c r="X294" i="47" s="1"/>
  <c r="P294" i="47"/>
  <c r="AC294" i="47" s="1"/>
  <c r="W295" i="47"/>
  <c r="X295" i="47" s="1"/>
  <c r="P295" i="47"/>
  <c r="AC295" i="47" s="1"/>
  <c r="W296" i="47"/>
  <c r="X296" i="47" s="1"/>
  <c r="P296" i="47"/>
  <c r="AC296" i="47" s="1"/>
  <c r="W297" i="47"/>
  <c r="X297" i="47" s="1"/>
  <c r="P297" i="47"/>
  <c r="AC297" i="47" s="1"/>
  <c r="W298" i="47"/>
  <c r="X298" i="47" s="1"/>
  <c r="P298" i="47"/>
  <c r="AC298" i="47" s="1"/>
  <c r="W299" i="47"/>
  <c r="X299" i="47" s="1"/>
  <c r="P299" i="47"/>
  <c r="AC299" i="47" s="1"/>
  <c r="W300" i="47"/>
  <c r="X300" i="47" s="1"/>
  <c r="P300" i="47"/>
  <c r="AC300" i="47" s="1"/>
  <c r="W301" i="47"/>
  <c r="X301" i="47" s="1"/>
  <c r="P301" i="47"/>
  <c r="AC301" i="47" s="1"/>
  <c r="W302" i="47"/>
  <c r="X302" i="47" s="1"/>
  <c r="P302" i="47"/>
  <c r="AC302" i="47" s="1"/>
  <c r="W303" i="47"/>
  <c r="X303" i="47" s="1"/>
  <c r="P303" i="47"/>
  <c r="AC303" i="47" s="1"/>
  <c r="W304" i="47"/>
  <c r="X304" i="47" s="1"/>
  <c r="P304" i="47"/>
  <c r="AC304" i="47" s="1"/>
  <c r="W305" i="47"/>
  <c r="X305" i="47" s="1"/>
  <c r="P305" i="47"/>
  <c r="AC305" i="47" s="1"/>
  <c r="W306" i="47"/>
  <c r="X306" i="47" s="1"/>
  <c r="P306" i="47"/>
  <c r="AC306" i="47" s="1"/>
  <c r="W307" i="47"/>
  <c r="X307" i="47" s="1"/>
  <c r="P307" i="47"/>
  <c r="AC307" i="47" s="1"/>
  <c r="W308" i="47"/>
  <c r="X308" i="47" s="1"/>
  <c r="P308" i="47"/>
  <c r="AC308" i="47" s="1"/>
  <c r="W309" i="47"/>
  <c r="X309" i="47" s="1"/>
  <c r="P309" i="47"/>
  <c r="AC309" i="47" s="1"/>
  <c r="W310" i="47"/>
  <c r="X310" i="47" s="1"/>
  <c r="P310" i="47"/>
  <c r="AC310" i="47" s="1"/>
  <c r="W311" i="47"/>
  <c r="X311" i="47" s="1"/>
  <c r="P311" i="47"/>
  <c r="AC311" i="47" s="1"/>
  <c r="W312" i="47"/>
  <c r="X312" i="47" s="1"/>
  <c r="P312" i="47"/>
  <c r="AC312" i="47" s="1"/>
  <c r="W313" i="47"/>
  <c r="X313" i="47" s="1"/>
  <c r="P313" i="47"/>
  <c r="AC313" i="47" s="1"/>
  <c r="W314" i="47"/>
  <c r="X314" i="47" s="1"/>
  <c r="P314" i="47"/>
  <c r="AC314" i="47" s="1"/>
  <c r="W315" i="47"/>
  <c r="X315" i="47" s="1"/>
  <c r="P315" i="47"/>
  <c r="AC315" i="47" s="1"/>
  <c r="W316" i="47"/>
  <c r="X316" i="47" s="1"/>
  <c r="P316" i="47"/>
  <c r="AC316" i="47" s="1"/>
  <c r="W317" i="47"/>
  <c r="X317" i="47" s="1"/>
  <c r="P317" i="47"/>
  <c r="AC317" i="47" s="1"/>
  <c r="W318" i="47"/>
  <c r="X318" i="47" s="1"/>
  <c r="P318" i="47"/>
  <c r="AC318" i="47" s="1"/>
  <c r="W319" i="47"/>
  <c r="X319" i="47" s="1"/>
  <c r="P319" i="47"/>
  <c r="AC319" i="47" s="1"/>
  <c r="W320" i="47"/>
  <c r="X320" i="47" s="1"/>
  <c r="P320" i="47"/>
  <c r="AC320" i="47" s="1"/>
  <c r="W321" i="47"/>
  <c r="X321" i="47" s="1"/>
  <c r="P321" i="47"/>
  <c r="AC321" i="47" s="1"/>
  <c r="W322" i="47"/>
  <c r="X322" i="47" s="1"/>
  <c r="P322" i="47"/>
  <c r="AC322" i="47" s="1"/>
  <c r="W323" i="47"/>
  <c r="X323" i="47" s="1"/>
  <c r="P323" i="47"/>
  <c r="AC323" i="47" s="1"/>
  <c r="W324" i="47"/>
  <c r="X324" i="47" s="1"/>
  <c r="P324" i="47"/>
  <c r="AC324" i="47" s="1"/>
  <c r="W325" i="47"/>
  <c r="X325" i="47" s="1"/>
  <c r="P325" i="47"/>
  <c r="AC325" i="47" s="1"/>
  <c r="W326" i="47"/>
  <c r="X326" i="47" s="1"/>
  <c r="P326" i="47"/>
  <c r="AC326" i="47" s="1"/>
  <c r="W327" i="47"/>
  <c r="X327" i="47" s="1"/>
  <c r="P327" i="47"/>
  <c r="AC327" i="47" s="1"/>
  <c r="W328" i="47"/>
  <c r="X328" i="47" s="1"/>
  <c r="P328" i="47"/>
  <c r="AC328" i="47" s="1"/>
  <c r="W329" i="47"/>
  <c r="X329" i="47" s="1"/>
  <c r="P329" i="47"/>
  <c r="AC329" i="47" s="1"/>
  <c r="W330" i="47"/>
  <c r="X330" i="47" s="1"/>
  <c r="P330" i="47"/>
  <c r="AC330" i="47" s="1"/>
  <c r="W331" i="47"/>
  <c r="X331" i="47" s="1"/>
  <c r="P331" i="47"/>
  <c r="AC331" i="47" s="1"/>
  <c r="W332" i="47"/>
  <c r="X332" i="47" s="1"/>
  <c r="P332" i="47"/>
  <c r="AC332" i="47" s="1"/>
  <c r="W333" i="47"/>
  <c r="X333" i="47" s="1"/>
  <c r="P333" i="47"/>
  <c r="AC333" i="47" s="1"/>
  <c r="W334" i="47"/>
  <c r="X334" i="47" s="1"/>
  <c r="P334" i="47"/>
  <c r="AC334" i="47" s="1"/>
  <c r="W335" i="47"/>
  <c r="X335" i="47" s="1"/>
  <c r="P335" i="47"/>
  <c r="AC335" i="47" s="1"/>
  <c r="W336" i="47"/>
  <c r="X336" i="47" s="1"/>
  <c r="P336" i="47"/>
  <c r="AC336" i="47" s="1"/>
  <c r="W337" i="47"/>
  <c r="X337" i="47" s="1"/>
  <c r="P337" i="47"/>
  <c r="AC337" i="47" s="1"/>
  <c r="W338" i="47"/>
  <c r="X338" i="47" s="1"/>
  <c r="P338" i="47"/>
  <c r="AC338" i="47" s="1"/>
  <c r="W339" i="47"/>
  <c r="X339" i="47" s="1"/>
  <c r="P339" i="47"/>
  <c r="AC339" i="47" s="1"/>
  <c r="W340" i="47"/>
  <c r="X340" i="47" s="1"/>
  <c r="P340" i="47"/>
  <c r="AC340" i="47" s="1"/>
  <c r="W341" i="47"/>
  <c r="X341" i="47" s="1"/>
  <c r="P341" i="47"/>
  <c r="AC341" i="47" s="1"/>
  <c r="W342" i="47"/>
  <c r="X342" i="47" s="1"/>
  <c r="P342" i="47"/>
  <c r="AC342" i="47" s="1"/>
  <c r="W343" i="47"/>
  <c r="X343" i="47" s="1"/>
  <c r="P343" i="47"/>
  <c r="AC343" i="47" s="1"/>
  <c r="W344" i="47"/>
  <c r="X344" i="47" s="1"/>
  <c r="P344" i="47"/>
  <c r="AC344" i="47" s="1"/>
  <c r="W345" i="47"/>
  <c r="X345" i="47" s="1"/>
  <c r="P345" i="47"/>
  <c r="AC345" i="47" s="1"/>
  <c r="W346" i="47"/>
  <c r="X346" i="47" s="1"/>
  <c r="P346" i="47"/>
  <c r="AC346" i="47" s="1"/>
  <c r="W347" i="47"/>
  <c r="X347" i="47" s="1"/>
  <c r="P347" i="47"/>
  <c r="AC347" i="47" s="1"/>
  <c r="W348" i="47"/>
  <c r="X348" i="47" s="1"/>
  <c r="P348" i="47"/>
  <c r="AC348" i="47" s="1"/>
  <c r="W349" i="47"/>
  <c r="X349" i="47" s="1"/>
  <c r="P349" i="47"/>
  <c r="AC349" i="47" s="1"/>
  <c r="W350" i="47"/>
  <c r="X350" i="47" s="1"/>
  <c r="P350" i="47"/>
  <c r="AC350" i="47" s="1"/>
  <c r="W351" i="47"/>
  <c r="X351" i="47" s="1"/>
  <c r="P351" i="47"/>
  <c r="AC351" i="47" s="1"/>
  <c r="W352" i="47"/>
  <c r="X352" i="47" s="1"/>
  <c r="P352" i="47"/>
  <c r="AC352" i="47" s="1"/>
  <c r="W353" i="47"/>
  <c r="X353" i="47" s="1"/>
  <c r="P353" i="47"/>
  <c r="AC353" i="47" s="1"/>
  <c r="W354" i="47"/>
  <c r="X354" i="47" s="1"/>
  <c r="P354" i="47"/>
  <c r="AC354" i="47" s="1"/>
  <c r="W355" i="47"/>
  <c r="X355" i="47" s="1"/>
  <c r="P355" i="47"/>
  <c r="AC355" i="47" s="1"/>
  <c r="W356" i="47"/>
  <c r="X356" i="47" s="1"/>
  <c r="P356" i="47"/>
  <c r="AC356" i="47" s="1"/>
  <c r="W357" i="47"/>
  <c r="X357" i="47" s="1"/>
  <c r="P357" i="47"/>
  <c r="AC357" i="47" s="1"/>
  <c r="W358" i="47"/>
  <c r="X358" i="47" s="1"/>
  <c r="P358" i="47"/>
  <c r="AC358" i="47" s="1"/>
  <c r="W359" i="47"/>
  <c r="X359" i="47" s="1"/>
  <c r="P359" i="47"/>
  <c r="AC359" i="47" s="1"/>
  <c r="W360" i="47"/>
  <c r="X360" i="47" s="1"/>
  <c r="P360" i="47"/>
  <c r="AC360" i="47" s="1"/>
  <c r="W361" i="47"/>
  <c r="X361" i="47" s="1"/>
  <c r="P361" i="47"/>
  <c r="AC361" i="47" s="1"/>
  <c r="W362" i="47"/>
  <c r="X362" i="47" s="1"/>
  <c r="P362" i="47"/>
  <c r="AC362" i="47" s="1"/>
  <c r="W363" i="47"/>
  <c r="X363" i="47" s="1"/>
  <c r="P363" i="47"/>
  <c r="AC363" i="47" s="1"/>
  <c r="W364" i="47"/>
  <c r="X364" i="47" s="1"/>
  <c r="P364" i="47"/>
  <c r="AC364" i="47" s="1"/>
  <c r="W365" i="47"/>
  <c r="X365" i="47" s="1"/>
  <c r="P365" i="47"/>
  <c r="AC365" i="47" s="1"/>
  <c r="W366" i="47"/>
  <c r="X366" i="47" s="1"/>
  <c r="P366" i="47"/>
  <c r="AC366" i="47" s="1"/>
  <c r="W367" i="47"/>
  <c r="X367" i="47" s="1"/>
  <c r="P367" i="47"/>
  <c r="AC367" i="47" s="1"/>
  <c r="W368" i="47"/>
  <c r="X368" i="47" s="1"/>
  <c r="P368" i="47"/>
  <c r="AC368" i="47" s="1"/>
  <c r="W369" i="47"/>
  <c r="X369" i="47" s="1"/>
  <c r="P369" i="47"/>
  <c r="AC369" i="47" s="1"/>
  <c r="W370" i="47"/>
  <c r="X370" i="47" s="1"/>
  <c r="P370" i="47"/>
  <c r="AC370" i="47" s="1"/>
  <c r="W371" i="47"/>
  <c r="X371" i="47" s="1"/>
  <c r="P371" i="47"/>
  <c r="AC371" i="47" s="1"/>
  <c r="W372" i="47"/>
  <c r="X372" i="47" s="1"/>
  <c r="P372" i="47"/>
  <c r="AC372" i="47" s="1"/>
  <c r="W373" i="47"/>
  <c r="X373" i="47" s="1"/>
  <c r="P373" i="47"/>
  <c r="AC373" i="47" s="1"/>
  <c r="W374" i="47"/>
  <c r="X374" i="47" s="1"/>
  <c r="P374" i="47"/>
  <c r="AC374" i="47" s="1"/>
  <c r="W375" i="47"/>
  <c r="X375" i="47" s="1"/>
  <c r="P375" i="47"/>
  <c r="AC375" i="47" s="1"/>
  <c r="W376" i="47"/>
  <c r="X376" i="47" s="1"/>
  <c r="P376" i="47"/>
  <c r="AC376" i="47" s="1"/>
  <c r="W377" i="47"/>
  <c r="X377" i="47" s="1"/>
  <c r="P377" i="47"/>
  <c r="AC377" i="47" s="1"/>
  <c r="W378" i="47"/>
  <c r="X378" i="47" s="1"/>
  <c r="P378" i="47"/>
  <c r="AC378" i="47" s="1"/>
  <c r="W379" i="47"/>
  <c r="X379" i="47" s="1"/>
  <c r="P379" i="47"/>
  <c r="AC379" i="47" s="1"/>
  <c r="W380" i="47"/>
  <c r="X380" i="47" s="1"/>
  <c r="P380" i="47"/>
  <c r="AC380" i="47" s="1"/>
  <c r="W381" i="47"/>
  <c r="X381" i="47" s="1"/>
  <c r="P381" i="47"/>
  <c r="AC381" i="47" s="1"/>
  <c r="W382" i="47"/>
  <c r="X382" i="47" s="1"/>
  <c r="P382" i="47"/>
  <c r="AC382" i="47" s="1"/>
  <c r="W383" i="47"/>
  <c r="X383" i="47" s="1"/>
  <c r="P383" i="47"/>
  <c r="AC383" i="47" s="1"/>
  <c r="W384" i="47"/>
  <c r="X384" i="47" s="1"/>
  <c r="P384" i="47"/>
  <c r="AC384" i="47" s="1"/>
  <c r="W385" i="47"/>
  <c r="X385" i="47" s="1"/>
  <c r="P385" i="47"/>
  <c r="AC385" i="47" s="1"/>
  <c r="W386" i="47"/>
  <c r="X386" i="47" s="1"/>
  <c r="P386" i="47"/>
  <c r="AC386" i="47" s="1"/>
  <c r="W387" i="47"/>
  <c r="X387" i="47" s="1"/>
  <c r="P387" i="47"/>
  <c r="AC387" i="47" s="1"/>
  <c r="W388" i="47"/>
  <c r="X388" i="47" s="1"/>
  <c r="P388" i="47"/>
  <c r="AC388" i="47" s="1"/>
  <c r="W389" i="47"/>
  <c r="X389" i="47" s="1"/>
  <c r="P389" i="47"/>
  <c r="AC389" i="47" s="1"/>
  <c r="W390" i="47"/>
  <c r="X390" i="47" s="1"/>
  <c r="P390" i="47"/>
  <c r="AC390" i="47" s="1"/>
  <c r="W391" i="47"/>
  <c r="X391" i="47" s="1"/>
  <c r="P391" i="47"/>
  <c r="AC391" i="47" s="1"/>
  <c r="W392" i="47"/>
  <c r="X392" i="47" s="1"/>
  <c r="P392" i="47"/>
  <c r="AC392" i="47" s="1"/>
  <c r="W393" i="47"/>
  <c r="X393" i="47" s="1"/>
  <c r="P393" i="47"/>
  <c r="AC393" i="47" s="1"/>
  <c r="W394" i="47"/>
  <c r="X394" i="47" s="1"/>
  <c r="P394" i="47"/>
  <c r="AC394" i="47" s="1"/>
  <c r="W395" i="47"/>
  <c r="X395" i="47" s="1"/>
  <c r="P395" i="47"/>
  <c r="AC395" i="47" s="1"/>
  <c r="W396" i="47"/>
  <c r="X396" i="47" s="1"/>
  <c r="P396" i="47"/>
  <c r="AC396" i="47" s="1"/>
  <c r="W397" i="47"/>
  <c r="X397" i="47" s="1"/>
  <c r="P397" i="47"/>
  <c r="AC397" i="47" s="1"/>
  <c r="W398" i="47"/>
  <c r="X398" i="47" s="1"/>
  <c r="P398" i="47"/>
  <c r="AC398" i="47" s="1"/>
  <c r="W399" i="47"/>
  <c r="X399" i="47" s="1"/>
  <c r="P399" i="47"/>
  <c r="AC399" i="47" s="1"/>
  <c r="W400" i="47"/>
  <c r="X400" i="47" s="1"/>
  <c r="P400" i="47"/>
  <c r="AC400" i="47" s="1"/>
  <c r="W401" i="47"/>
  <c r="X401" i="47" s="1"/>
  <c r="P401" i="47"/>
  <c r="AC401" i="47" s="1"/>
  <c r="W402" i="47"/>
  <c r="X402" i="47" s="1"/>
  <c r="P402" i="47"/>
  <c r="AC402" i="47" s="1"/>
  <c r="W403" i="47"/>
  <c r="X403" i="47" s="1"/>
  <c r="P403" i="47"/>
  <c r="AC403" i="47" s="1"/>
  <c r="W404" i="47"/>
  <c r="X404" i="47" s="1"/>
  <c r="P404" i="47"/>
  <c r="AC404" i="47" s="1"/>
  <c r="W405" i="47"/>
  <c r="X405" i="47" s="1"/>
  <c r="P405" i="47"/>
  <c r="AC405" i="47" s="1"/>
  <c r="W406" i="47"/>
  <c r="X406" i="47" s="1"/>
  <c r="P406" i="47"/>
  <c r="AC406" i="47" s="1"/>
  <c r="W407" i="47"/>
  <c r="X407" i="47" s="1"/>
  <c r="P407" i="47"/>
  <c r="AC407" i="47" s="1"/>
  <c r="W408" i="47"/>
  <c r="X408" i="47" s="1"/>
  <c r="P408" i="47"/>
  <c r="AC408" i="47" s="1"/>
  <c r="W409" i="47"/>
  <c r="X409" i="47" s="1"/>
  <c r="P409" i="47"/>
  <c r="AC409" i="47" s="1"/>
  <c r="W410" i="47"/>
  <c r="X410" i="47" s="1"/>
  <c r="P410" i="47"/>
  <c r="AC410" i="47" s="1"/>
  <c r="W411" i="47"/>
  <c r="X411" i="47" s="1"/>
  <c r="P411" i="47"/>
  <c r="AC411" i="47" s="1"/>
  <c r="W412" i="47"/>
  <c r="X412" i="47" s="1"/>
  <c r="P412" i="47"/>
  <c r="AC412" i="47" s="1"/>
  <c r="W413" i="47"/>
  <c r="X413" i="47" s="1"/>
  <c r="P413" i="47"/>
  <c r="AC413" i="47" s="1"/>
  <c r="W414" i="47"/>
  <c r="X414" i="47" s="1"/>
  <c r="P414" i="47"/>
  <c r="AC414" i="47" s="1"/>
  <c r="W415" i="47"/>
  <c r="X415" i="47" s="1"/>
  <c r="P415" i="47"/>
  <c r="AC415" i="47" s="1"/>
  <c r="W416" i="47"/>
  <c r="X416" i="47" s="1"/>
  <c r="P416" i="47"/>
  <c r="AC416" i="47" s="1"/>
  <c r="W417" i="47"/>
  <c r="X417" i="47" s="1"/>
  <c r="P417" i="47"/>
  <c r="AC417" i="47" s="1"/>
  <c r="W418" i="47"/>
  <c r="X418" i="47" s="1"/>
  <c r="P418" i="47"/>
  <c r="AC418" i="47" s="1"/>
  <c r="W419" i="47"/>
  <c r="X419" i="47" s="1"/>
  <c r="P419" i="47"/>
  <c r="AC419" i="47" s="1"/>
  <c r="W420" i="47"/>
  <c r="X420" i="47" s="1"/>
  <c r="P420" i="47"/>
  <c r="AC420" i="47" s="1"/>
  <c r="W421" i="47"/>
  <c r="X421" i="47" s="1"/>
  <c r="P421" i="47"/>
  <c r="AC421" i="47" s="1"/>
  <c r="W422" i="47"/>
  <c r="X422" i="47" s="1"/>
  <c r="P422" i="47"/>
  <c r="AC422" i="47" s="1"/>
  <c r="W423" i="47"/>
  <c r="X423" i="47" s="1"/>
  <c r="P423" i="47"/>
  <c r="AC423" i="47" s="1"/>
  <c r="W424" i="47"/>
  <c r="X424" i="47" s="1"/>
  <c r="P424" i="47"/>
  <c r="AC424" i="47" s="1"/>
  <c r="W425" i="47"/>
  <c r="X425" i="47" s="1"/>
  <c r="P425" i="47"/>
  <c r="AC425" i="47" s="1"/>
  <c r="W426" i="47"/>
  <c r="X426" i="47" s="1"/>
  <c r="P426" i="47"/>
  <c r="AC426" i="47" s="1"/>
  <c r="W427" i="47"/>
  <c r="X427" i="47" s="1"/>
  <c r="P427" i="47"/>
  <c r="AC427" i="47" s="1"/>
  <c r="W428" i="47"/>
  <c r="X428" i="47" s="1"/>
  <c r="P428" i="47"/>
  <c r="AC428" i="47" s="1"/>
  <c r="W429" i="47"/>
  <c r="X429" i="47" s="1"/>
  <c r="P429" i="47"/>
  <c r="AC429" i="47" s="1"/>
  <c r="W430" i="47"/>
  <c r="X430" i="47" s="1"/>
  <c r="P430" i="47"/>
  <c r="AC430" i="47" s="1"/>
  <c r="W431" i="47"/>
  <c r="X431" i="47" s="1"/>
  <c r="P431" i="47"/>
  <c r="AC431" i="47" s="1"/>
  <c r="W432" i="47"/>
  <c r="X432" i="47" s="1"/>
  <c r="P432" i="47"/>
  <c r="AC432" i="47" s="1"/>
  <c r="W433" i="47"/>
  <c r="X433" i="47" s="1"/>
  <c r="P433" i="47"/>
  <c r="AC433" i="47" s="1"/>
  <c r="W434" i="47"/>
  <c r="X434" i="47" s="1"/>
  <c r="P434" i="47"/>
  <c r="AC434" i="47" s="1"/>
  <c r="W435" i="47"/>
  <c r="X435" i="47" s="1"/>
  <c r="P435" i="47"/>
  <c r="AC435" i="47" s="1"/>
  <c r="W436" i="47"/>
  <c r="X436" i="47" s="1"/>
  <c r="P436" i="47"/>
  <c r="AC436" i="47" s="1"/>
  <c r="W437" i="47"/>
  <c r="X437" i="47" s="1"/>
  <c r="P437" i="47"/>
  <c r="AC437" i="47" s="1"/>
  <c r="W438" i="47"/>
  <c r="X438" i="47" s="1"/>
  <c r="P438" i="47"/>
  <c r="AC438" i="47" s="1"/>
  <c r="W439" i="47"/>
  <c r="X439" i="47" s="1"/>
  <c r="P439" i="47"/>
  <c r="AC439" i="47" s="1"/>
  <c r="W440" i="47"/>
  <c r="X440" i="47" s="1"/>
  <c r="P440" i="47"/>
  <c r="AC440" i="47" s="1"/>
  <c r="W441" i="47"/>
  <c r="X441" i="47" s="1"/>
  <c r="P441" i="47"/>
  <c r="AC441" i="47" s="1"/>
  <c r="W442" i="47"/>
  <c r="X442" i="47" s="1"/>
  <c r="P442" i="47"/>
  <c r="AC442" i="47" s="1"/>
  <c r="W443" i="47"/>
  <c r="X443" i="47" s="1"/>
  <c r="P443" i="47"/>
  <c r="AC443" i="47" s="1"/>
  <c r="W444" i="47"/>
  <c r="X444" i="47" s="1"/>
  <c r="P444" i="47"/>
  <c r="AC444" i="47" s="1"/>
  <c r="W445" i="47"/>
  <c r="X445" i="47" s="1"/>
  <c r="P445" i="47"/>
  <c r="AC445" i="47" s="1"/>
  <c r="W446" i="47"/>
  <c r="X446" i="47" s="1"/>
  <c r="P446" i="47"/>
  <c r="AC446" i="47" s="1"/>
  <c r="W447" i="47"/>
  <c r="X447" i="47" s="1"/>
  <c r="P447" i="47"/>
  <c r="AC447" i="47" s="1"/>
  <c r="W448" i="47"/>
  <c r="X448" i="47" s="1"/>
  <c r="P448" i="47"/>
  <c r="AC448" i="47" s="1"/>
  <c r="W449" i="47"/>
  <c r="X449" i="47" s="1"/>
  <c r="P449" i="47"/>
  <c r="AC449" i="47" s="1"/>
  <c r="W450" i="47"/>
  <c r="X450" i="47" s="1"/>
  <c r="P450" i="47"/>
  <c r="AC450" i="47" s="1"/>
  <c r="W451" i="47"/>
  <c r="X451" i="47" s="1"/>
  <c r="P451" i="47"/>
  <c r="AC451" i="47" s="1"/>
  <c r="W452" i="47"/>
  <c r="X452" i="47" s="1"/>
  <c r="P452" i="47"/>
  <c r="AC452" i="47" s="1"/>
  <c r="W453" i="47"/>
  <c r="X453" i="47" s="1"/>
  <c r="P453" i="47"/>
  <c r="AC453" i="47" s="1"/>
  <c r="W454" i="47"/>
  <c r="X454" i="47" s="1"/>
  <c r="P454" i="47"/>
  <c r="AC454" i="47" s="1"/>
  <c r="W455" i="47"/>
  <c r="X455" i="47" s="1"/>
  <c r="P455" i="47"/>
  <c r="AC455" i="47" s="1"/>
  <c r="W456" i="47"/>
  <c r="X456" i="47" s="1"/>
  <c r="P456" i="47"/>
  <c r="AC456" i="47" s="1"/>
  <c r="W457" i="47"/>
  <c r="X457" i="47" s="1"/>
  <c r="P457" i="47"/>
  <c r="AC457" i="47" s="1"/>
  <c r="W458" i="47"/>
  <c r="X458" i="47" s="1"/>
  <c r="P458" i="47"/>
  <c r="AC458" i="47" s="1"/>
  <c r="W459" i="47"/>
  <c r="X459" i="47" s="1"/>
  <c r="P459" i="47"/>
  <c r="AC459" i="47" s="1"/>
  <c r="W460" i="47"/>
  <c r="X460" i="47" s="1"/>
  <c r="P460" i="47"/>
  <c r="AC460" i="47" s="1"/>
  <c r="W461" i="47"/>
  <c r="X461" i="47" s="1"/>
  <c r="P461" i="47"/>
  <c r="AC461" i="47" s="1"/>
  <c r="W462" i="47"/>
  <c r="X462" i="47" s="1"/>
  <c r="P462" i="47"/>
  <c r="AC462" i="47" s="1"/>
  <c r="W463" i="47"/>
  <c r="X463" i="47" s="1"/>
  <c r="P463" i="47"/>
  <c r="AC463" i="47" s="1"/>
  <c r="W464" i="47"/>
  <c r="X464" i="47" s="1"/>
  <c r="P464" i="47"/>
  <c r="AC464" i="47" s="1"/>
  <c r="W465" i="47"/>
  <c r="X465" i="47" s="1"/>
  <c r="P465" i="47"/>
  <c r="AC465" i="47" s="1"/>
  <c r="W466" i="47"/>
  <c r="X466" i="47" s="1"/>
  <c r="P466" i="47"/>
  <c r="AC466" i="47" s="1"/>
  <c r="W467" i="47"/>
  <c r="X467" i="47" s="1"/>
  <c r="P467" i="47"/>
  <c r="AC467" i="47" s="1"/>
  <c r="W468" i="47"/>
  <c r="X468" i="47" s="1"/>
  <c r="P468" i="47"/>
  <c r="AC468" i="47" s="1"/>
  <c r="W469" i="47"/>
  <c r="X469" i="47" s="1"/>
  <c r="P469" i="47"/>
  <c r="AC469" i="47" s="1"/>
  <c r="W470" i="47"/>
  <c r="X470" i="47" s="1"/>
  <c r="P470" i="47"/>
  <c r="AC470" i="47" s="1"/>
  <c r="W471" i="47"/>
  <c r="X471" i="47" s="1"/>
  <c r="P471" i="47"/>
  <c r="AC471" i="47" s="1"/>
  <c r="W472" i="47"/>
  <c r="X472" i="47" s="1"/>
  <c r="P472" i="47"/>
  <c r="AC472" i="47" s="1"/>
  <c r="W473" i="47"/>
  <c r="X473" i="47" s="1"/>
  <c r="P473" i="47"/>
  <c r="AC473" i="47" s="1"/>
  <c r="W474" i="47"/>
  <c r="X474" i="47" s="1"/>
  <c r="P474" i="47"/>
  <c r="AC474" i="47" s="1"/>
  <c r="W475" i="47"/>
  <c r="X475" i="47" s="1"/>
  <c r="P475" i="47"/>
  <c r="AC475" i="47" s="1"/>
  <c r="W476" i="47"/>
  <c r="X476" i="47" s="1"/>
  <c r="P476" i="47"/>
  <c r="AC476" i="47" s="1"/>
  <c r="W477" i="47"/>
  <c r="X477" i="47" s="1"/>
  <c r="P477" i="47"/>
  <c r="AC477" i="47" s="1"/>
  <c r="W478" i="47"/>
  <c r="X478" i="47" s="1"/>
  <c r="P478" i="47"/>
  <c r="AC478" i="47" s="1"/>
  <c r="W479" i="47"/>
  <c r="X479" i="47" s="1"/>
  <c r="P479" i="47"/>
  <c r="AC479" i="47" s="1"/>
  <c r="W480" i="47"/>
  <c r="X480" i="47" s="1"/>
  <c r="P480" i="47"/>
  <c r="AC480" i="47" s="1"/>
  <c r="W481" i="47"/>
  <c r="X481" i="47" s="1"/>
  <c r="P481" i="47"/>
  <c r="AC481" i="47" s="1"/>
  <c r="W482" i="47"/>
  <c r="X482" i="47" s="1"/>
  <c r="P482" i="47"/>
  <c r="AC482" i="47" s="1"/>
  <c r="W483" i="47"/>
  <c r="X483" i="47" s="1"/>
  <c r="P483" i="47"/>
  <c r="AC483" i="47" s="1"/>
  <c r="W484" i="47"/>
  <c r="X484" i="47" s="1"/>
  <c r="P484" i="47"/>
  <c r="AC484" i="47" s="1"/>
  <c r="W485" i="47"/>
  <c r="X485" i="47" s="1"/>
  <c r="P485" i="47"/>
  <c r="AC485" i="47" s="1"/>
  <c r="W486" i="47"/>
  <c r="X486" i="47" s="1"/>
  <c r="P486" i="47"/>
  <c r="AC486" i="47" s="1"/>
  <c r="W487" i="47"/>
  <c r="X487" i="47" s="1"/>
  <c r="P487" i="47"/>
  <c r="AC487" i="47" s="1"/>
  <c r="W488" i="47"/>
  <c r="X488" i="47" s="1"/>
  <c r="P488" i="47"/>
  <c r="AC488" i="47" s="1"/>
  <c r="W489" i="47"/>
  <c r="X489" i="47" s="1"/>
  <c r="P489" i="47"/>
  <c r="AC489" i="47" s="1"/>
  <c r="W490" i="47"/>
  <c r="X490" i="47" s="1"/>
  <c r="P490" i="47"/>
  <c r="AC490" i="47" s="1"/>
  <c r="W491" i="47"/>
  <c r="X491" i="47" s="1"/>
  <c r="P491" i="47"/>
  <c r="AC491" i="47" s="1"/>
  <c r="W492" i="47"/>
  <c r="X492" i="47" s="1"/>
  <c r="P492" i="47"/>
  <c r="AC492" i="47" s="1"/>
  <c r="W493" i="47"/>
  <c r="X493" i="47" s="1"/>
  <c r="P493" i="47"/>
  <c r="AC493" i="47" s="1"/>
  <c r="W494" i="47"/>
  <c r="X494" i="47" s="1"/>
  <c r="P494" i="47"/>
  <c r="AC494" i="47" s="1"/>
  <c r="W495" i="47"/>
  <c r="X495" i="47" s="1"/>
  <c r="P495" i="47"/>
  <c r="AC495" i="47" s="1"/>
  <c r="W496" i="47"/>
  <c r="X496" i="47" s="1"/>
  <c r="P496" i="47"/>
  <c r="AC496" i="47" s="1"/>
  <c r="W497" i="47"/>
  <c r="X497" i="47" s="1"/>
  <c r="P497" i="47"/>
  <c r="AC497" i="47" s="1"/>
  <c r="W498" i="47"/>
  <c r="X498" i="47" s="1"/>
  <c r="P498" i="47"/>
  <c r="AC498" i="47" s="1"/>
  <c r="W499" i="47"/>
  <c r="X499" i="47" s="1"/>
  <c r="P499" i="47"/>
  <c r="AC499" i="47" s="1"/>
  <c r="W500" i="47"/>
  <c r="X500" i="47" s="1"/>
  <c r="P500" i="47"/>
  <c r="AC500" i="47" s="1"/>
  <c r="W501" i="47"/>
  <c r="X501" i="47" s="1"/>
  <c r="P501" i="47"/>
  <c r="AC501" i="47" s="1"/>
  <c r="W502" i="47"/>
  <c r="X502" i="47" s="1"/>
  <c r="P502" i="47"/>
  <c r="AC502" i="47" s="1"/>
  <c r="W503" i="47"/>
  <c r="X503" i="47" s="1"/>
  <c r="P503" i="47"/>
  <c r="AC503" i="47" s="1"/>
  <c r="W504" i="47"/>
  <c r="X504" i="47" s="1"/>
  <c r="P504" i="47"/>
  <c r="AC504" i="47" s="1"/>
  <c r="W505" i="47"/>
  <c r="X505" i="47" s="1"/>
  <c r="P505" i="47"/>
  <c r="AC505" i="47" s="1"/>
  <c r="W506" i="47"/>
  <c r="X506" i="47" s="1"/>
  <c r="P506" i="47"/>
  <c r="AC506" i="47" s="1"/>
  <c r="W507" i="47"/>
  <c r="X507" i="47" s="1"/>
  <c r="P507" i="47"/>
  <c r="AC507" i="47" s="1"/>
  <c r="W508" i="47"/>
  <c r="X508" i="47" s="1"/>
  <c r="P508" i="47"/>
  <c r="AC508" i="47" s="1"/>
  <c r="W509" i="47"/>
  <c r="X509" i="47" s="1"/>
  <c r="P509" i="47"/>
  <c r="AC509" i="47" s="1"/>
  <c r="W510" i="47"/>
  <c r="X510" i="47" s="1"/>
  <c r="P510" i="47"/>
  <c r="AC510" i="47" s="1"/>
  <c r="W511" i="47"/>
  <c r="X511" i="47" s="1"/>
  <c r="P511" i="47"/>
  <c r="AC511" i="47" s="1"/>
  <c r="W512" i="47"/>
  <c r="X512" i="47" s="1"/>
  <c r="P512" i="47"/>
  <c r="AC512" i="47" s="1"/>
  <c r="W513" i="47"/>
  <c r="X513" i="47" s="1"/>
  <c r="P513" i="47"/>
  <c r="AC513" i="47" s="1"/>
  <c r="W514" i="47"/>
  <c r="X514" i="47" s="1"/>
  <c r="P514" i="47"/>
  <c r="AC514" i="47" s="1"/>
  <c r="W515" i="47"/>
  <c r="X515" i="47" s="1"/>
  <c r="P515" i="47"/>
  <c r="AC515" i="47" s="1"/>
  <c r="W516" i="47"/>
  <c r="X516" i="47" s="1"/>
  <c r="P516" i="47"/>
  <c r="AC516" i="47" s="1"/>
  <c r="W517" i="47"/>
  <c r="X517" i="47" s="1"/>
  <c r="P517" i="47"/>
  <c r="AC517" i="47" s="1"/>
  <c r="W518" i="47"/>
  <c r="X518" i="47" s="1"/>
  <c r="P518" i="47"/>
  <c r="AC518" i="47" s="1"/>
  <c r="W519" i="47"/>
  <c r="X519" i="47" s="1"/>
  <c r="P519" i="47"/>
  <c r="AC519" i="47" s="1"/>
  <c r="W520" i="47"/>
  <c r="X520" i="47" s="1"/>
  <c r="P520" i="47"/>
  <c r="AC520" i="47" s="1"/>
  <c r="W521" i="47"/>
  <c r="X521" i="47" s="1"/>
  <c r="P521" i="47"/>
  <c r="AC521" i="47" s="1"/>
  <c r="W522" i="47"/>
  <c r="X522" i="47" s="1"/>
  <c r="P522" i="47"/>
  <c r="AC522" i="47" s="1"/>
  <c r="W523" i="47"/>
  <c r="X523" i="47" s="1"/>
  <c r="P523" i="47"/>
  <c r="AC523" i="47" s="1"/>
  <c r="W524" i="47"/>
  <c r="X524" i="47" s="1"/>
  <c r="P524" i="47"/>
  <c r="AC524" i="47" s="1"/>
  <c r="W525" i="47"/>
  <c r="X525" i="47" s="1"/>
  <c r="P525" i="47"/>
  <c r="AC525" i="47" s="1"/>
  <c r="W526" i="47"/>
  <c r="X526" i="47" s="1"/>
  <c r="P526" i="47"/>
  <c r="AC526" i="47" s="1"/>
  <c r="W527" i="47"/>
  <c r="X527" i="47" s="1"/>
  <c r="P527" i="47"/>
  <c r="AC527" i="47" s="1"/>
  <c r="W528" i="47"/>
  <c r="X528" i="47" s="1"/>
  <c r="P528" i="47"/>
  <c r="AC528" i="47" s="1"/>
  <c r="W529" i="47"/>
  <c r="X529" i="47" s="1"/>
  <c r="P529" i="47"/>
  <c r="AC529" i="47" s="1"/>
  <c r="W530" i="47"/>
  <c r="X530" i="47" s="1"/>
  <c r="P530" i="47"/>
  <c r="AC530" i="47" s="1"/>
  <c r="W531" i="47"/>
  <c r="X531" i="47" s="1"/>
  <c r="P531" i="47"/>
  <c r="AC531" i="47" s="1"/>
  <c r="W532" i="47"/>
  <c r="X532" i="47" s="1"/>
  <c r="P532" i="47"/>
  <c r="AC532" i="47" s="1"/>
  <c r="W533" i="47"/>
  <c r="X533" i="47" s="1"/>
  <c r="P533" i="47"/>
  <c r="AC533" i="47" s="1"/>
  <c r="W534" i="47"/>
  <c r="X534" i="47" s="1"/>
  <c r="P534" i="47"/>
  <c r="AC534" i="47" s="1"/>
  <c r="W535" i="47"/>
  <c r="X535" i="47" s="1"/>
  <c r="P535" i="47"/>
  <c r="AC535" i="47" s="1"/>
  <c r="W536" i="47"/>
  <c r="X536" i="47" s="1"/>
  <c r="P536" i="47"/>
  <c r="AC536" i="47" s="1"/>
  <c r="W537" i="47"/>
  <c r="X537" i="47" s="1"/>
  <c r="P537" i="47"/>
  <c r="AC537" i="47" s="1"/>
  <c r="W538" i="47"/>
  <c r="X538" i="47" s="1"/>
  <c r="P538" i="47"/>
  <c r="AC538" i="47" s="1"/>
  <c r="W539" i="47"/>
  <c r="X539" i="47" s="1"/>
  <c r="P539" i="47"/>
  <c r="AC539" i="47" s="1"/>
  <c r="W540" i="47"/>
  <c r="X540" i="47" s="1"/>
  <c r="P540" i="47"/>
  <c r="AC540" i="47" s="1"/>
  <c r="W541" i="47"/>
  <c r="X541" i="47" s="1"/>
  <c r="P541" i="47"/>
  <c r="AC541" i="47" s="1"/>
  <c r="W542" i="47"/>
  <c r="X542" i="47" s="1"/>
  <c r="P542" i="47"/>
  <c r="AC542" i="47" s="1"/>
  <c r="W543" i="47"/>
  <c r="X543" i="47" s="1"/>
  <c r="P543" i="47"/>
  <c r="AC543" i="47" s="1"/>
  <c r="W544" i="47"/>
  <c r="X544" i="47" s="1"/>
  <c r="P544" i="47"/>
  <c r="AC544" i="47" s="1"/>
  <c r="W545" i="47"/>
  <c r="X545" i="47" s="1"/>
  <c r="P545" i="47"/>
  <c r="AC545" i="47" s="1"/>
  <c r="W546" i="47"/>
  <c r="X546" i="47" s="1"/>
  <c r="P546" i="47"/>
  <c r="AC546" i="47" s="1"/>
  <c r="W547" i="47"/>
  <c r="X547" i="47" s="1"/>
  <c r="P547" i="47"/>
  <c r="AC547" i="47" s="1"/>
  <c r="W548" i="47"/>
  <c r="X548" i="47" s="1"/>
  <c r="P548" i="47"/>
  <c r="AC548" i="47" s="1"/>
  <c r="W549" i="47"/>
  <c r="X549" i="47" s="1"/>
  <c r="P549" i="47"/>
  <c r="AC549" i="47" s="1"/>
  <c r="W550" i="47"/>
  <c r="X550" i="47" s="1"/>
  <c r="P550" i="47"/>
  <c r="AC550" i="47" s="1"/>
  <c r="W551" i="47"/>
  <c r="X551" i="47" s="1"/>
  <c r="P551" i="47"/>
  <c r="AC551" i="47" s="1"/>
  <c r="W552" i="47"/>
  <c r="X552" i="47" s="1"/>
  <c r="P552" i="47"/>
  <c r="AC552" i="47" s="1"/>
  <c r="W553" i="47"/>
  <c r="X553" i="47" s="1"/>
  <c r="P553" i="47"/>
  <c r="AC553" i="47" s="1"/>
  <c r="W554" i="47"/>
  <c r="X554" i="47" s="1"/>
  <c r="P554" i="47"/>
  <c r="AC554" i="47" s="1"/>
  <c r="W555" i="47"/>
  <c r="X555" i="47" s="1"/>
  <c r="P555" i="47"/>
  <c r="AC555" i="47" s="1"/>
  <c r="W556" i="47"/>
  <c r="X556" i="47" s="1"/>
  <c r="P556" i="47"/>
  <c r="AC556" i="47" s="1"/>
  <c r="W557" i="47"/>
  <c r="X557" i="47" s="1"/>
  <c r="P557" i="47"/>
  <c r="AC557" i="47" s="1"/>
  <c r="W558" i="47"/>
  <c r="X558" i="47" s="1"/>
  <c r="P558" i="47"/>
  <c r="AC558" i="47" s="1"/>
  <c r="W559" i="47"/>
  <c r="X559" i="47" s="1"/>
  <c r="P559" i="47"/>
  <c r="AC559" i="47" s="1"/>
  <c r="W560" i="47"/>
  <c r="X560" i="47" s="1"/>
  <c r="P560" i="47"/>
  <c r="AC560" i="47" s="1"/>
  <c r="W561" i="47"/>
  <c r="X561" i="47" s="1"/>
  <c r="P561" i="47"/>
  <c r="AC561" i="47" s="1"/>
  <c r="W562" i="47"/>
  <c r="X562" i="47" s="1"/>
  <c r="P562" i="47"/>
  <c r="AC562" i="47" s="1"/>
  <c r="W563" i="47"/>
  <c r="X563" i="47" s="1"/>
  <c r="P563" i="47"/>
  <c r="AC563" i="47" s="1"/>
  <c r="W564" i="47"/>
  <c r="X564" i="47" s="1"/>
  <c r="P564" i="47"/>
  <c r="AC564" i="47" s="1"/>
  <c r="W565" i="47"/>
  <c r="X565" i="47" s="1"/>
  <c r="P565" i="47"/>
  <c r="AC565" i="47" s="1"/>
  <c r="W566" i="47"/>
  <c r="X566" i="47" s="1"/>
  <c r="P566" i="47"/>
  <c r="AC566" i="47" s="1"/>
  <c r="W567" i="47"/>
  <c r="X567" i="47" s="1"/>
  <c r="P567" i="47"/>
  <c r="AC567" i="47" s="1"/>
  <c r="W568" i="47"/>
  <c r="X568" i="47" s="1"/>
  <c r="P568" i="47"/>
  <c r="AC568" i="47" s="1"/>
  <c r="W569" i="47"/>
  <c r="X569" i="47" s="1"/>
  <c r="P569" i="47"/>
  <c r="AC569" i="47" s="1"/>
  <c r="W570" i="47"/>
  <c r="X570" i="47" s="1"/>
  <c r="P570" i="47"/>
  <c r="AC570" i="47" s="1"/>
  <c r="W571" i="47"/>
  <c r="X571" i="47" s="1"/>
  <c r="P571" i="47"/>
  <c r="AC571" i="47" s="1"/>
  <c r="W572" i="47"/>
  <c r="X572" i="47" s="1"/>
  <c r="P572" i="47"/>
  <c r="AC572" i="47" s="1"/>
  <c r="W573" i="47"/>
  <c r="X573" i="47" s="1"/>
  <c r="P573" i="47"/>
  <c r="AC573" i="47" s="1"/>
  <c r="W574" i="47"/>
  <c r="X574" i="47" s="1"/>
  <c r="P574" i="47"/>
  <c r="AC574" i="47" s="1"/>
  <c r="W575" i="47"/>
  <c r="X575" i="47" s="1"/>
  <c r="P575" i="47"/>
  <c r="AC575" i="47" s="1"/>
  <c r="W576" i="47"/>
  <c r="X576" i="47" s="1"/>
  <c r="P576" i="47"/>
  <c r="AC576" i="47" s="1"/>
  <c r="W577" i="47"/>
  <c r="X577" i="47" s="1"/>
  <c r="P577" i="47"/>
  <c r="AC577" i="47" s="1"/>
  <c r="W578" i="47"/>
  <c r="X578" i="47" s="1"/>
  <c r="P578" i="47"/>
  <c r="AC578" i="47" s="1"/>
  <c r="W579" i="47"/>
  <c r="X579" i="47" s="1"/>
  <c r="P579" i="47"/>
  <c r="AC579" i="47" s="1"/>
  <c r="W580" i="47"/>
  <c r="X580" i="47" s="1"/>
  <c r="P580" i="47"/>
  <c r="AC580" i="47" s="1"/>
  <c r="W581" i="47"/>
  <c r="X581" i="47" s="1"/>
  <c r="P581" i="47"/>
  <c r="AC581" i="47" s="1"/>
  <c r="W582" i="47"/>
  <c r="X582" i="47" s="1"/>
  <c r="P582" i="47"/>
  <c r="AC582" i="47" s="1"/>
  <c r="W583" i="47"/>
  <c r="X583" i="47" s="1"/>
  <c r="P583" i="47"/>
  <c r="AC583" i="47" s="1"/>
  <c r="W584" i="47"/>
  <c r="X584" i="47" s="1"/>
  <c r="P584" i="47"/>
  <c r="AC584" i="47" s="1"/>
  <c r="W585" i="47"/>
  <c r="X585" i="47" s="1"/>
  <c r="P585" i="47"/>
  <c r="AC585" i="47" s="1"/>
  <c r="W586" i="47"/>
  <c r="X586" i="47" s="1"/>
  <c r="P586" i="47"/>
  <c r="AC586" i="47" s="1"/>
  <c r="W587" i="47"/>
  <c r="X587" i="47" s="1"/>
  <c r="P587" i="47"/>
  <c r="AC587" i="47" s="1"/>
  <c r="W588" i="47"/>
  <c r="X588" i="47" s="1"/>
  <c r="P588" i="47"/>
  <c r="AC588" i="47" s="1"/>
  <c r="W589" i="47"/>
  <c r="X589" i="47" s="1"/>
  <c r="P589" i="47"/>
  <c r="AC589" i="47" s="1"/>
  <c r="W590" i="47"/>
  <c r="X590" i="47" s="1"/>
  <c r="P590" i="47"/>
  <c r="AC590" i="47" s="1"/>
  <c r="W591" i="47"/>
  <c r="X591" i="47" s="1"/>
  <c r="P591" i="47"/>
  <c r="AC591" i="47" s="1"/>
  <c r="W592" i="47"/>
  <c r="X592" i="47" s="1"/>
  <c r="P592" i="47"/>
  <c r="AC592" i="47" s="1"/>
  <c r="W593" i="47"/>
  <c r="X593" i="47" s="1"/>
  <c r="P593" i="47"/>
  <c r="AC593" i="47" s="1"/>
  <c r="W594" i="47"/>
  <c r="X594" i="47" s="1"/>
  <c r="P594" i="47"/>
  <c r="AC594" i="47" s="1"/>
  <c r="W595" i="47"/>
  <c r="X595" i="47" s="1"/>
  <c r="P595" i="47"/>
  <c r="AC595" i="47" s="1"/>
  <c r="W596" i="47"/>
  <c r="X596" i="47" s="1"/>
  <c r="P596" i="47"/>
  <c r="AC596" i="47" s="1"/>
  <c r="W597" i="47"/>
  <c r="X597" i="47" s="1"/>
  <c r="P597" i="47"/>
  <c r="AC597" i="47" s="1"/>
  <c r="W598" i="47"/>
  <c r="X598" i="47" s="1"/>
  <c r="P598" i="47"/>
  <c r="AC598" i="47" s="1"/>
  <c r="W599" i="47"/>
  <c r="X599" i="47" s="1"/>
  <c r="P599" i="47"/>
  <c r="AC599" i="47" s="1"/>
  <c r="W600" i="47"/>
  <c r="X600" i="47" s="1"/>
  <c r="P600" i="47"/>
  <c r="AC600" i="47" s="1"/>
  <c r="W601" i="47"/>
  <c r="X601" i="47" s="1"/>
  <c r="P601" i="47"/>
  <c r="AC601" i="47" s="1"/>
  <c r="W602" i="47"/>
  <c r="X602" i="47" s="1"/>
  <c r="P602" i="47"/>
  <c r="AC602" i="47" s="1"/>
  <c r="W603" i="47"/>
  <c r="X603" i="47" s="1"/>
  <c r="P603" i="47"/>
  <c r="AC603" i="47" s="1"/>
  <c r="W604" i="47"/>
  <c r="X604" i="47" s="1"/>
  <c r="P604" i="47"/>
  <c r="AC604" i="47" s="1"/>
  <c r="W605" i="47"/>
  <c r="X605" i="47" s="1"/>
  <c r="P605" i="47"/>
  <c r="AC605" i="47" s="1"/>
  <c r="W606" i="47"/>
  <c r="X606" i="47" s="1"/>
  <c r="P606" i="47"/>
  <c r="AC606" i="47" s="1"/>
  <c r="W607" i="47"/>
  <c r="X607" i="47" s="1"/>
  <c r="P607" i="47"/>
  <c r="AC607" i="47" s="1"/>
  <c r="W608" i="47"/>
  <c r="X608" i="47" s="1"/>
  <c r="P608" i="47"/>
  <c r="AC608" i="47" s="1"/>
  <c r="W609" i="47"/>
  <c r="X609" i="47" s="1"/>
  <c r="P609" i="47"/>
  <c r="AC609" i="47" s="1"/>
  <c r="W610" i="47"/>
  <c r="X610" i="47" s="1"/>
  <c r="P610" i="47"/>
  <c r="AC610" i="47" s="1"/>
  <c r="W611" i="47"/>
  <c r="X611" i="47" s="1"/>
  <c r="P611" i="47"/>
  <c r="AC611" i="47" s="1"/>
  <c r="W612" i="47"/>
  <c r="X612" i="47" s="1"/>
  <c r="P612" i="47"/>
  <c r="AC612" i="47" s="1"/>
  <c r="W613" i="47"/>
  <c r="X613" i="47" s="1"/>
  <c r="P613" i="47"/>
  <c r="AC613" i="47" s="1"/>
  <c r="W614" i="47"/>
  <c r="X614" i="47" s="1"/>
  <c r="P614" i="47"/>
  <c r="AC614" i="47" s="1"/>
  <c r="W615" i="47"/>
  <c r="X615" i="47" s="1"/>
  <c r="P615" i="47"/>
  <c r="AC615" i="47" s="1"/>
  <c r="W616" i="47"/>
  <c r="X616" i="47" s="1"/>
  <c r="P616" i="47"/>
  <c r="AC616" i="47" s="1"/>
  <c r="W617" i="47"/>
  <c r="X617" i="47" s="1"/>
  <c r="P617" i="47"/>
  <c r="AC617" i="47" s="1"/>
  <c r="W618" i="47"/>
  <c r="X618" i="47" s="1"/>
  <c r="P618" i="47"/>
  <c r="AC618" i="47" s="1"/>
  <c r="W619" i="47"/>
  <c r="X619" i="47" s="1"/>
  <c r="P619" i="47"/>
  <c r="AC619" i="47" s="1"/>
  <c r="W620" i="47"/>
  <c r="X620" i="47" s="1"/>
  <c r="P620" i="47"/>
  <c r="AC620" i="47" s="1"/>
  <c r="W621" i="47"/>
  <c r="X621" i="47" s="1"/>
  <c r="P621" i="47"/>
  <c r="AC621" i="47" s="1"/>
  <c r="W622" i="47"/>
  <c r="X622" i="47" s="1"/>
  <c r="P622" i="47"/>
  <c r="AC622" i="47" s="1"/>
  <c r="W623" i="47"/>
  <c r="X623" i="47" s="1"/>
  <c r="P623" i="47"/>
  <c r="AC623" i="47" s="1"/>
  <c r="W624" i="47"/>
  <c r="X624" i="47" s="1"/>
  <c r="P624" i="47"/>
  <c r="AC624" i="47" s="1"/>
  <c r="W625" i="47"/>
  <c r="X625" i="47" s="1"/>
  <c r="P625" i="47"/>
  <c r="AC625" i="47" s="1"/>
  <c r="W626" i="47"/>
  <c r="X626" i="47" s="1"/>
  <c r="P626" i="47"/>
  <c r="AC626" i="47" s="1"/>
  <c r="W627" i="47"/>
  <c r="X627" i="47" s="1"/>
  <c r="P627" i="47"/>
  <c r="AC627" i="47" s="1"/>
  <c r="W628" i="47"/>
  <c r="X628" i="47" s="1"/>
  <c r="P628" i="47"/>
  <c r="AC628" i="47" s="1"/>
  <c r="W629" i="47"/>
  <c r="X629" i="47" s="1"/>
  <c r="P629" i="47"/>
  <c r="AC629" i="47" s="1"/>
  <c r="W630" i="47"/>
  <c r="X630" i="47" s="1"/>
  <c r="P630" i="47"/>
  <c r="AC630" i="47" s="1"/>
  <c r="W631" i="47"/>
  <c r="X631" i="47" s="1"/>
  <c r="P631" i="47"/>
  <c r="AC631" i="47" s="1"/>
  <c r="W632" i="47"/>
  <c r="X632" i="47" s="1"/>
  <c r="P632" i="47"/>
  <c r="AC632" i="47" s="1"/>
  <c r="W633" i="47"/>
  <c r="X633" i="47" s="1"/>
  <c r="P633" i="47"/>
  <c r="AC633" i="47" s="1"/>
  <c r="W634" i="47"/>
  <c r="X634" i="47" s="1"/>
  <c r="P634" i="47"/>
  <c r="AC634" i="47" s="1"/>
  <c r="W635" i="47"/>
  <c r="X635" i="47" s="1"/>
  <c r="P635" i="47"/>
  <c r="AC635" i="47" s="1"/>
  <c r="W636" i="47"/>
  <c r="X636" i="47" s="1"/>
  <c r="P636" i="47"/>
  <c r="AC636" i="47" s="1"/>
  <c r="W637" i="47"/>
  <c r="X637" i="47" s="1"/>
  <c r="P637" i="47"/>
  <c r="AC637" i="47" s="1"/>
  <c r="W638" i="47"/>
  <c r="X638" i="47" s="1"/>
  <c r="P638" i="47"/>
  <c r="AC638" i="47" s="1"/>
  <c r="W639" i="47"/>
  <c r="X639" i="47" s="1"/>
  <c r="P639" i="47"/>
  <c r="AC639" i="47" s="1"/>
  <c r="W640" i="47"/>
  <c r="X640" i="47" s="1"/>
  <c r="P640" i="47"/>
  <c r="AC640" i="47" s="1"/>
  <c r="W641" i="47"/>
  <c r="X641" i="47" s="1"/>
  <c r="P641" i="47"/>
  <c r="AC641" i="47" s="1"/>
  <c r="W642" i="47"/>
  <c r="X642" i="47" s="1"/>
  <c r="P642" i="47"/>
  <c r="AC642" i="47" s="1"/>
  <c r="W643" i="47"/>
  <c r="X643" i="47" s="1"/>
  <c r="P643" i="47"/>
  <c r="AC643" i="47" s="1"/>
  <c r="W644" i="47"/>
  <c r="X644" i="47" s="1"/>
  <c r="P644" i="47"/>
  <c r="AC644" i="47" s="1"/>
  <c r="W645" i="47"/>
  <c r="X645" i="47" s="1"/>
  <c r="P645" i="47"/>
  <c r="AC645" i="47" s="1"/>
  <c r="W646" i="47"/>
  <c r="X646" i="47" s="1"/>
  <c r="P646" i="47"/>
  <c r="AC646" i="47" s="1"/>
  <c r="W647" i="47"/>
  <c r="X647" i="47" s="1"/>
  <c r="P647" i="47"/>
  <c r="AC647" i="47" s="1"/>
  <c r="W648" i="47"/>
  <c r="X648" i="47" s="1"/>
  <c r="P648" i="47"/>
  <c r="AC648" i="47" s="1"/>
  <c r="W649" i="47"/>
  <c r="X649" i="47" s="1"/>
  <c r="P649" i="47"/>
  <c r="AC649" i="47" s="1"/>
  <c r="W650" i="47"/>
  <c r="X650" i="47" s="1"/>
  <c r="P650" i="47"/>
  <c r="AC650" i="47" s="1"/>
  <c r="W651" i="47"/>
  <c r="X651" i="47" s="1"/>
  <c r="P651" i="47"/>
  <c r="AC651" i="47" s="1"/>
  <c r="W652" i="47"/>
  <c r="X652" i="47" s="1"/>
  <c r="P652" i="47"/>
  <c r="AC652" i="47" s="1"/>
  <c r="W653" i="47"/>
  <c r="X653" i="47" s="1"/>
  <c r="P653" i="47"/>
  <c r="AC653" i="47" s="1"/>
  <c r="W654" i="47"/>
  <c r="X654" i="47" s="1"/>
  <c r="P654" i="47"/>
  <c r="AC654" i="47" s="1"/>
  <c r="W655" i="47"/>
  <c r="X655" i="47" s="1"/>
  <c r="P655" i="47"/>
  <c r="AC655" i="47" s="1"/>
  <c r="W656" i="47"/>
  <c r="X656" i="47" s="1"/>
  <c r="P656" i="47"/>
  <c r="AC656" i="47" s="1"/>
  <c r="W657" i="47"/>
  <c r="X657" i="47" s="1"/>
  <c r="P657" i="47"/>
  <c r="AC657" i="47" s="1"/>
  <c r="W658" i="47"/>
  <c r="X658" i="47" s="1"/>
  <c r="P658" i="47"/>
  <c r="AC658" i="47" s="1"/>
  <c r="W659" i="47"/>
  <c r="X659" i="47" s="1"/>
  <c r="P659" i="47"/>
  <c r="AC659" i="47" s="1"/>
  <c r="W660" i="47"/>
  <c r="X660" i="47" s="1"/>
  <c r="P660" i="47"/>
  <c r="AC660" i="47" s="1"/>
  <c r="W661" i="47"/>
  <c r="X661" i="47" s="1"/>
  <c r="P661" i="47"/>
  <c r="AC661" i="47" s="1"/>
  <c r="W662" i="47"/>
  <c r="X662" i="47" s="1"/>
  <c r="P662" i="47"/>
  <c r="AC662" i="47" s="1"/>
  <c r="W663" i="47"/>
  <c r="X663" i="47" s="1"/>
  <c r="P663" i="47"/>
  <c r="AC663" i="47" s="1"/>
  <c r="W664" i="47"/>
  <c r="X664" i="47" s="1"/>
  <c r="P664" i="47"/>
  <c r="AC664" i="47" s="1"/>
  <c r="W665" i="47"/>
  <c r="X665" i="47" s="1"/>
  <c r="P665" i="47"/>
  <c r="AC665" i="47" s="1"/>
  <c r="W666" i="47"/>
  <c r="X666" i="47" s="1"/>
  <c r="P666" i="47"/>
  <c r="AC666" i="47" s="1"/>
  <c r="W667" i="47"/>
  <c r="X667" i="47" s="1"/>
  <c r="P667" i="47"/>
  <c r="AC667" i="47" s="1"/>
  <c r="W668" i="47"/>
  <c r="X668" i="47" s="1"/>
  <c r="P668" i="47"/>
  <c r="AC668" i="47" s="1"/>
  <c r="W669" i="47"/>
  <c r="X669" i="47" s="1"/>
  <c r="P669" i="47"/>
  <c r="AC669" i="47" s="1"/>
  <c r="W670" i="47"/>
  <c r="X670" i="47" s="1"/>
  <c r="P670" i="47"/>
  <c r="AC670" i="47" s="1"/>
  <c r="W671" i="47"/>
  <c r="X671" i="47" s="1"/>
  <c r="P671" i="47"/>
  <c r="AC671" i="47" s="1"/>
  <c r="W672" i="47"/>
  <c r="X672" i="47" s="1"/>
  <c r="P672" i="47"/>
  <c r="AC672" i="47" s="1"/>
  <c r="W673" i="47"/>
  <c r="X673" i="47" s="1"/>
  <c r="P673" i="47"/>
  <c r="AC673" i="47" s="1"/>
  <c r="W674" i="47"/>
  <c r="X674" i="47" s="1"/>
  <c r="P674" i="47"/>
  <c r="AC674" i="47" s="1"/>
  <c r="W675" i="47"/>
  <c r="X675" i="47" s="1"/>
  <c r="P675" i="47"/>
  <c r="AC675" i="47" s="1"/>
  <c r="W676" i="47"/>
  <c r="X676" i="47" s="1"/>
  <c r="P676" i="47"/>
  <c r="AC676" i="47" s="1"/>
  <c r="W677" i="47"/>
  <c r="X677" i="47" s="1"/>
  <c r="P677" i="47"/>
  <c r="AC677" i="47" s="1"/>
  <c r="W678" i="47"/>
  <c r="X678" i="47" s="1"/>
  <c r="P678" i="47"/>
  <c r="AC678" i="47" s="1"/>
  <c r="W679" i="47"/>
  <c r="X679" i="47" s="1"/>
  <c r="P679" i="47"/>
  <c r="AC679" i="47" s="1"/>
  <c r="W680" i="47"/>
  <c r="X680" i="47" s="1"/>
  <c r="P680" i="47"/>
  <c r="AC680" i="47" s="1"/>
  <c r="W681" i="47"/>
  <c r="X681" i="47" s="1"/>
  <c r="P681" i="47"/>
  <c r="AC681" i="47" s="1"/>
  <c r="W682" i="47"/>
  <c r="X682" i="47" s="1"/>
  <c r="P682" i="47"/>
  <c r="AC682" i="47" s="1"/>
  <c r="W683" i="47"/>
  <c r="X683" i="47" s="1"/>
  <c r="P683" i="47"/>
  <c r="AC683" i="47" s="1"/>
  <c r="W684" i="47"/>
  <c r="X684" i="47" s="1"/>
  <c r="P684" i="47"/>
  <c r="AC684" i="47" s="1"/>
  <c r="W685" i="47"/>
  <c r="X685" i="47" s="1"/>
  <c r="P685" i="47"/>
  <c r="AC685" i="47" s="1"/>
  <c r="W686" i="47"/>
  <c r="X686" i="47" s="1"/>
  <c r="P686" i="47"/>
  <c r="AC686" i="47" s="1"/>
  <c r="W687" i="47"/>
  <c r="X687" i="47" s="1"/>
  <c r="P687" i="47"/>
  <c r="AC687" i="47" s="1"/>
  <c r="W688" i="47"/>
  <c r="X688" i="47" s="1"/>
  <c r="P688" i="47"/>
  <c r="AC688" i="47" s="1"/>
  <c r="W689" i="47"/>
  <c r="X689" i="47" s="1"/>
  <c r="P689" i="47"/>
  <c r="AC689" i="47" s="1"/>
  <c r="W690" i="47"/>
  <c r="X690" i="47" s="1"/>
  <c r="P690" i="47"/>
  <c r="AC690" i="47" s="1"/>
  <c r="W691" i="47"/>
  <c r="X691" i="47" s="1"/>
  <c r="P691" i="47"/>
  <c r="AC691" i="47" s="1"/>
  <c r="W692" i="47"/>
  <c r="X692" i="47" s="1"/>
  <c r="P692" i="47"/>
  <c r="AC692" i="47" s="1"/>
  <c r="W693" i="47"/>
  <c r="X693" i="47" s="1"/>
  <c r="P693" i="47"/>
  <c r="AC693" i="47" s="1"/>
  <c r="W694" i="47"/>
  <c r="X694" i="47" s="1"/>
  <c r="P694" i="47"/>
  <c r="AC694" i="47" s="1"/>
  <c r="W695" i="47"/>
  <c r="X695" i="47" s="1"/>
  <c r="P695" i="47"/>
  <c r="AC695" i="47" s="1"/>
  <c r="W696" i="47"/>
  <c r="X696" i="47" s="1"/>
  <c r="P696" i="47"/>
  <c r="AC696" i="47" s="1"/>
  <c r="W697" i="47"/>
  <c r="X697" i="47" s="1"/>
  <c r="P697" i="47"/>
  <c r="AC697" i="47" s="1"/>
  <c r="W698" i="47"/>
  <c r="X698" i="47" s="1"/>
  <c r="P698" i="47"/>
  <c r="AC698" i="47" s="1"/>
  <c r="W699" i="47"/>
  <c r="X699" i="47" s="1"/>
  <c r="P699" i="47"/>
  <c r="AC699" i="47" s="1"/>
  <c r="W700" i="47"/>
  <c r="X700" i="47" s="1"/>
  <c r="P700" i="47"/>
  <c r="AC700" i="47" s="1"/>
  <c r="W701" i="47"/>
  <c r="X701" i="47" s="1"/>
  <c r="P701" i="47"/>
  <c r="AC701" i="47" s="1"/>
  <c r="W702" i="47"/>
  <c r="X702" i="47" s="1"/>
  <c r="P702" i="47"/>
  <c r="AC702" i="47" s="1"/>
  <c r="W703" i="47"/>
  <c r="X703" i="47" s="1"/>
  <c r="P703" i="47"/>
  <c r="AC703" i="47" s="1"/>
  <c r="W704" i="47"/>
  <c r="X704" i="47" s="1"/>
  <c r="P704" i="47"/>
  <c r="AC704" i="47" s="1"/>
  <c r="W705" i="47"/>
  <c r="X705" i="47" s="1"/>
  <c r="P705" i="47"/>
  <c r="AC705" i="47" s="1"/>
  <c r="W706" i="47"/>
  <c r="X706" i="47" s="1"/>
  <c r="P706" i="47"/>
  <c r="AC706" i="47" s="1"/>
  <c r="W707" i="47"/>
  <c r="X707" i="47" s="1"/>
  <c r="P707" i="47"/>
  <c r="AC707" i="47" s="1"/>
  <c r="W708" i="47"/>
  <c r="X708" i="47" s="1"/>
  <c r="P708" i="47"/>
  <c r="AC708" i="47" s="1"/>
  <c r="W709" i="47"/>
  <c r="X709" i="47" s="1"/>
  <c r="P709" i="47"/>
  <c r="AC709" i="47" s="1"/>
  <c r="W710" i="47"/>
  <c r="X710" i="47" s="1"/>
  <c r="P710" i="47"/>
  <c r="AC710" i="47" s="1"/>
  <c r="W711" i="47"/>
  <c r="X711" i="47" s="1"/>
  <c r="P711" i="47"/>
  <c r="AC711" i="47" s="1"/>
  <c r="W712" i="47"/>
  <c r="X712" i="47" s="1"/>
  <c r="P712" i="47"/>
  <c r="AC712" i="47" s="1"/>
  <c r="W713" i="47"/>
  <c r="X713" i="47" s="1"/>
  <c r="P713" i="47"/>
  <c r="AC713" i="47" s="1"/>
  <c r="W714" i="47"/>
  <c r="X714" i="47" s="1"/>
  <c r="P714" i="47"/>
  <c r="AC714" i="47" s="1"/>
  <c r="W715" i="47"/>
  <c r="X715" i="47" s="1"/>
  <c r="P715" i="47"/>
  <c r="AC715" i="47" s="1"/>
  <c r="W716" i="47"/>
  <c r="X716" i="47" s="1"/>
  <c r="P716" i="47"/>
  <c r="AC716" i="47" s="1"/>
  <c r="W717" i="47"/>
  <c r="X717" i="47" s="1"/>
  <c r="P717" i="47"/>
  <c r="AC717" i="47" s="1"/>
  <c r="W718" i="47"/>
  <c r="X718" i="47" s="1"/>
  <c r="P718" i="47"/>
  <c r="AC718" i="47" s="1"/>
  <c r="W719" i="47"/>
  <c r="X719" i="47" s="1"/>
  <c r="P719" i="47"/>
  <c r="AC719" i="47" s="1"/>
  <c r="W720" i="47"/>
  <c r="X720" i="47" s="1"/>
  <c r="P720" i="47"/>
  <c r="AC720" i="47" s="1"/>
  <c r="W721" i="47"/>
  <c r="X721" i="47" s="1"/>
  <c r="P721" i="47"/>
  <c r="AC721" i="47" s="1"/>
  <c r="W722" i="47"/>
  <c r="X722" i="47" s="1"/>
  <c r="P722" i="47"/>
  <c r="AC722" i="47" s="1"/>
  <c r="W723" i="47"/>
  <c r="X723" i="47" s="1"/>
  <c r="P723" i="47"/>
  <c r="AC723" i="47" s="1"/>
  <c r="W724" i="47"/>
  <c r="X724" i="47" s="1"/>
  <c r="P724" i="47"/>
  <c r="AC724" i="47" s="1"/>
  <c r="W725" i="47"/>
  <c r="X725" i="47" s="1"/>
  <c r="P725" i="47"/>
  <c r="AC725" i="47" s="1"/>
  <c r="W726" i="47"/>
  <c r="X726" i="47" s="1"/>
  <c r="P726" i="47"/>
  <c r="AC726" i="47" s="1"/>
  <c r="W727" i="47"/>
  <c r="X727" i="47" s="1"/>
  <c r="P727" i="47"/>
  <c r="AC727" i="47" s="1"/>
  <c r="W728" i="47"/>
  <c r="X728" i="47" s="1"/>
  <c r="P728" i="47"/>
  <c r="AC728" i="47" s="1"/>
  <c r="W729" i="47"/>
  <c r="X729" i="47" s="1"/>
  <c r="P729" i="47"/>
  <c r="AC729" i="47" s="1"/>
  <c r="W730" i="47"/>
  <c r="X730" i="47" s="1"/>
  <c r="P730" i="47"/>
  <c r="AC730" i="47" s="1"/>
  <c r="W731" i="47"/>
  <c r="X731" i="47" s="1"/>
  <c r="P731" i="47"/>
  <c r="AC731" i="47" s="1"/>
  <c r="W732" i="47"/>
  <c r="X732" i="47" s="1"/>
  <c r="P732" i="47"/>
  <c r="AC732" i="47" s="1"/>
  <c r="W733" i="47"/>
  <c r="X733" i="47" s="1"/>
  <c r="P733" i="47"/>
  <c r="AC733" i="47" s="1"/>
  <c r="W734" i="47"/>
  <c r="X734" i="47" s="1"/>
  <c r="P734" i="47"/>
  <c r="AC734" i="47" s="1"/>
  <c r="W735" i="47"/>
  <c r="X735" i="47" s="1"/>
  <c r="P735" i="47"/>
  <c r="AC735" i="47" s="1"/>
  <c r="W736" i="47"/>
  <c r="X736" i="47" s="1"/>
  <c r="P736" i="47"/>
  <c r="AC736" i="47" s="1"/>
  <c r="W737" i="47"/>
  <c r="X737" i="47" s="1"/>
  <c r="P737" i="47"/>
  <c r="AC737" i="47" s="1"/>
  <c r="W738" i="47"/>
  <c r="X738" i="47" s="1"/>
  <c r="P738" i="47"/>
  <c r="AC738" i="47" s="1"/>
  <c r="W739" i="47"/>
  <c r="X739" i="47" s="1"/>
  <c r="P739" i="47"/>
  <c r="AC739" i="47" s="1"/>
  <c r="W740" i="47"/>
  <c r="X740" i="47" s="1"/>
  <c r="P740" i="47"/>
  <c r="AC740" i="47" s="1"/>
  <c r="W741" i="47"/>
  <c r="X741" i="47" s="1"/>
  <c r="P741" i="47"/>
  <c r="AC741" i="47" s="1"/>
  <c r="W742" i="47"/>
  <c r="X742" i="47" s="1"/>
  <c r="P742" i="47"/>
  <c r="AC742" i="47" s="1"/>
  <c r="W743" i="47"/>
  <c r="X743" i="47" s="1"/>
  <c r="P743" i="47"/>
  <c r="AC743" i="47" s="1"/>
  <c r="W744" i="47"/>
  <c r="X744" i="47" s="1"/>
  <c r="P744" i="47"/>
  <c r="AC744" i="47" s="1"/>
  <c r="W745" i="47"/>
  <c r="X745" i="47" s="1"/>
  <c r="P745" i="47"/>
  <c r="AC745" i="47" s="1"/>
  <c r="W746" i="47"/>
  <c r="X746" i="47" s="1"/>
  <c r="P746" i="47"/>
  <c r="AC746" i="47" s="1"/>
  <c r="W747" i="47"/>
  <c r="X747" i="47" s="1"/>
  <c r="P747" i="47"/>
  <c r="AC747" i="47" s="1"/>
  <c r="W748" i="47"/>
  <c r="X748" i="47" s="1"/>
  <c r="P748" i="47"/>
  <c r="AC748" i="47" s="1"/>
  <c r="W749" i="47"/>
  <c r="X749" i="47" s="1"/>
  <c r="P749" i="47"/>
  <c r="AC749" i="47" s="1"/>
  <c r="W750" i="47"/>
  <c r="X750" i="47" s="1"/>
  <c r="P750" i="47"/>
  <c r="AC750" i="47" s="1"/>
  <c r="W751" i="47"/>
  <c r="X751" i="47" s="1"/>
  <c r="P751" i="47"/>
  <c r="AC751" i="47" s="1"/>
  <c r="W752" i="47"/>
  <c r="X752" i="47" s="1"/>
  <c r="P752" i="47"/>
  <c r="AC752" i="47" s="1"/>
  <c r="W753" i="47"/>
  <c r="X753" i="47" s="1"/>
  <c r="P753" i="47"/>
  <c r="AC753" i="47" s="1"/>
  <c r="W754" i="47"/>
  <c r="X754" i="47" s="1"/>
  <c r="P754" i="47"/>
  <c r="AC754" i="47" s="1"/>
  <c r="W755" i="47"/>
  <c r="X755" i="47" s="1"/>
  <c r="P755" i="47"/>
  <c r="AC755" i="47" s="1"/>
  <c r="W756" i="47"/>
  <c r="X756" i="47" s="1"/>
  <c r="P756" i="47"/>
  <c r="AC756" i="47" s="1"/>
  <c r="W757" i="47"/>
  <c r="X757" i="47" s="1"/>
  <c r="P757" i="47"/>
  <c r="AC757" i="47" s="1"/>
  <c r="W758" i="47"/>
  <c r="X758" i="47" s="1"/>
  <c r="P758" i="47"/>
  <c r="AC758" i="47" s="1"/>
  <c r="W759" i="47"/>
  <c r="X759" i="47" s="1"/>
  <c r="P759" i="47"/>
  <c r="AC759" i="47" s="1"/>
  <c r="W760" i="47"/>
  <c r="X760" i="47" s="1"/>
  <c r="P760" i="47"/>
  <c r="AC760" i="47" s="1"/>
  <c r="W761" i="47"/>
  <c r="X761" i="47" s="1"/>
  <c r="P761" i="47"/>
  <c r="AC761" i="47" s="1"/>
  <c r="W762" i="47"/>
  <c r="X762" i="47" s="1"/>
  <c r="P762" i="47"/>
  <c r="AC762" i="47" s="1"/>
  <c r="W763" i="47"/>
  <c r="X763" i="47" s="1"/>
  <c r="P763" i="47"/>
  <c r="AC763" i="47" s="1"/>
  <c r="W764" i="47"/>
  <c r="X764" i="47" s="1"/>
  <c r="P764" i="47"/>
  <c r="AC764" i="47" s="1"/>
  <c r="W765" i="47"/>
  <c r="X765" i="47" s="1"/>
  <c r="P765" i="47"/>
  <c r="AC765" i="47" s="1"/>
  <c r="W766" i="47"/>
  <c r="X766" i="47" s="1"/>
  <c r="P766" i="47"/>
  <c r="AC766" i="47" s="1"/>
  <c r="W767" i="47"/>
  <c r="X767" i="47" s="1"/>
  <c r="P767" i="47"/>
  <c r="AC767" i="47" s="1"/>
  <c r="W768" i="47"/>
  <c r="X768" i="47" s="1"/>
  <c r="P768" i="47"/>
  <c r="AC768" i="47" s="1"/>
  <c r="W769" i="47"/>
  <c r="X769" i="47" s="1"/>
  <c r="P769" i="47"/>
  <c r="AC769" i="47" s="1"/>
  <c r="W770" i="47"/>
  <c r="X770" i="47" s="1"/>
  <c r="P770" i="47"/>
  <c r="AC770" i="47" s="1"/>
  <c r="W771" i="47"/>
  <c r="X771" i="47" s="1"/>
  <c r="P771" i="47"/>
  <c r="AC771" i="47" s="1"/>
  <c r="W772" i="47"/>
  <c r="X772" i="47" s="1"/>
  <c r="P772" i="47"/>
  <c r="AC772" i="47" s="1"/>
  <c r="W773" i="47"/>
  <c r="X773" i="47" s="1"/>
  <c r="P773" i="47"/>
  <c r="AC773" i="47" s="1"/>
  <c r="W774" i="47"/>
  <c r="X774" i="47" s="1"/>
  <c r="P774" i="47"/>
  <c r="AC774" i="47" s="1"/>
  <c r="W775" i="47"/>
  <c r="X775" i="47" s="1"/>
  <c r="P775" i="47"/>
  <c r="AC775" i="47" s="1"/>
  <c r="W776" i="47"/>
  <c r="X776" i="47" s="1"/>
  <c r="P776" i="47"/>
  <c r="AC776" i="47" s="1"/>
  <c r="W777" i="47"/>
  <c r="X777" i="47" s="1"/>
  <c r="P777" i="47"/>
  <c r="AC777" i="47" s="1"/>
  <c r="W778" i="47"/>
  <c r="X778" i="47" s="1"/>
  <c r="P778" i="47"/>
  <c r="AC778" i="47" s="1"/>
  <c r="W779" i="47"/>
  <c r="X779" i="47" s="1"/>
  <c r="P779" i="47"/>
  <c r="AC779" i="47" s="1"/>
  <c r="W780" i="47"/>
  <c r="X780" i="47" s="1"/>
  <c r="P780" i="47"/>
  <c r="AC780" i="47" s="1"/>
  <c r="W781" i="47"/>
  <c r="X781" i="47" s="1"/>
  <c r="P781" i="47"/>
  <c r="AC781" i="47" s="1"/>
  <c r="W782" i="47"/>
  <c r="X782" i="47" s="1"/>
  <c r="P782" i="47"/>
  <c r="AC782" i="47" s="1"/>
  <c r="W783" i="47"/>
  <c r="X783" i="47" s="1"/>
  <c r="P783" i="47"/>
  <c r="AC783" i="47" s="1"/>
  <c r="W784" i="47"/>
  <c r="X784" i="47" s="1"/>
  <c r="P784" i="47"/>
  <c r="AC784" i="47" s="1"/>
  <c r="W785" i="47"/>
  <c r="X785" i="47" s="1"/>
  <c r="P785" i="47"/>
  <c r="AC785" i="47" s="1"/>
  <c r="W786" i="47"/>
  <c r="X786" i="47" s="1"/>
  <c r="P786" i="47"/>
  <c r="AC786" i="47" s="1"/>
  <c r="W787" i="47"/>
  <c r="X787" i="47" s="1"/>
  <c r="P787" i="47"/>
  <c r="AC787" i="47" s="1"/>
  <c r="W788" i="47"/>
  <c r="X788" i="47" s="1"/>
  <c r="P788" i="47"/>
  <c r="AC788" i="47" s="1"/>
  <c r="W789" i="47"/>
  <c r="X789" i="47" s="1"/>
  <c r="P789" i="47"/>
  <c r="AC789" i="47" s="1"/>
  <c r="W790" i="47"/>
  <c r="X790" i="47" s="1"/>
  <c r="P790" i="47"/>
  <c r="AC790" i="47" s="1"/>
  <c r="W791" i="47"/>
  <c r="X791" i="47" s="1"/>
  <c r="P791" i="47"/>
  <c r="AC791" i="47" s="1"/>
  <c r="W792" i="47"/>
  <c r="X792" i="47" s="1"/>
  <c r="P792" i="47"/>
  <c r="AC792" i="47" s="1"/>
  <c r="W793" i="47"/>
  <c r="X793" i="47" s="1"/>
  <c r="P793" i="47"/>
  <c r="AC793" i="47" s="1"/>
  <c r="W794" i="47"/>
  <c r="X794" i="47" s="1"/>
  <c r="P794" i="47"/>
  <c r="AC794" i="47" s="1"/>
  <c r="W795" i="47"/>
  <c r="X795" i="47" s="1"/>
  <c r="P795" i="47"/>
  <c r="AC795" i="47" s="1"/>
  <c r="W796" i="47"/>
  <c r="X796" i="47" s="1"/>
  <c r="P796" i="47"/>
  <c r="AC796" i="47" s="1"/>
  <c r="W797" i="47"/>
  <c r="X797" i="47" s="1"/>
  <c r="P797" i="47"/>
  <c r="AC797" i="47" s="1"/>
  <c r="W798" i="47"/>
  <c r="X798" i="47" s="1"/>
  <c r="P798" i="47"/>
  <c r="AC798" i="47" s="1"/>
  <c r="W799" i="47"/>
  <c r="X799" i="47" s="1"/>
  <c r="P799" i="47"/>
  <c r="AC799" i="47" s="1"/>
  <c r="W800" i="47"/>
  <c r="X800" i="47" s="1"/>
  <c r="P800" i="47"/>
  <c r="AC800" i="47" s="1"/>
  <c r="W801" i="47"/>
  <c r="X801" i="47" s="1"/>
  <c r="P801" i="47"/>
  <c r="AC801" i="47" s="1"/>
  <c r="W802" i="47"/>
  <c r="X802" i="47" s="1"/>
  <c r="P802" i="47"/>
  <c r="AC802" i="47" s="1"/>
  <c r="W803" i="47"/>
  <c r="X803" i="47" s="1"/>
  <c r="P803" i="47"/>
  <c r="AC803" i="47" s="1"/>
  <c r="W804" i="47"/>
  <c r="X804" i="47" s="1"/>
  <c r="P804" i="47"/>
  <c r="AC804" i="47" s="1"/>
  <c r="W805" i="47"/>
  <c r="X805" i="47" s="1"/>
  <c r="P805" i="47"/>
  <c r="AC805" i="47" s="1"/>
  <c r="W806" i="47"/>
  <c r="X806" i="47" s="1"/>
  <c r="P806" i="47"/>
  <c r="AC806" i="47" s="1"/>
  <c r="W807" i="47"/>
  <c r="X807" i="47" s="1"/>
  <c r="P807" i="47"/>
  <c r="AC807" i="47" s="1"/>
  <c r="W808" i="47"/>
  <c r="X808" i="47" s="1"/>
  <c r="P808" i="47"/>
  <c r="AC808" i="47" s="1"/>
  <c r="W809" i="47"/>
  <c r="X809" i="47" s="1"/>
  <c r="P809" i="47"/>
  <c r="AC809" i="47" s="1"/>
  <c r="W810" i="47"/>
  <c r="X810" i="47" s="1"/>
  <c r="P810" i="47"/>
  <c r="AC810" i="47" s="1"/>
  <c r="W811" i="47"/>
  <c r="X811" i="47" s="1"/>
  <c r="P811" i="47"/>
  <c r="AC811" i="47" s="1"/>
  <c r="W812" i="47"/>
  <c r="X812" i="47" s="1"/>
  <c r="P812" i="47"/>
  <c r="AC812" i="47" s="1"/>
  <c r="W813" i="47"/>
  <c r="X813" i="47" s="1"/>
  <c r="P813" i="47"/>
  <c r="AC813" i="47" s="1"/>
  <c r="W814" i="47"/>
  <c r="X814" i="47" s="1"/>
  <c r="P814" i="47"/>
  <c r="AC814" i="47" s="1"/>
  <c r="W815" i="47"/>
  <c r="X815" i="47" s="1"/>
  <c r="P815" i="47"/>
  <c r="AC815" i="47" s="1"/>
  <c r="W816" i="47"/>
  <c r="X816" i="47" s="1"/>
  <c r="P816" i="47"/>
  <c r="AC816" i="47" s="1"/>
  <c r="W817" i="47"/>
  <c r="X817" i="47" s="1"/>
  <c r="P817" i="47"/>
  <c r="AC817" i="47" s="1"/>
  <c r="W818" i="47"/>
  <c r="X818" i="47" s="1"/>
  <c r="P818" i="47"/>
  <c r="AC818" i="47" s="1"/>
  <c r="W819" i="47"/>
  <c r="X819" i="47" s="1"/>
  <c r="P819" i="47"/>
  <c r="AC819" i="47" s="1"/>
  <c r="W820" i="47"/>
  <c r="X820" i="47" s="1"/>
  <c r="P820" i="47"/>
  <c r="AC820" i="47" s="1"/>
  <c r="W821" i="47"/>
  <c r="X821" i="47" s="1"/>
  <c r="P821" i="47"/>
  <c r="AC821" i="47" s="1"/>
  <c r="W822" i="47"/>
  <c r="X822" i="47" s="1"/>
  <c r="P822" i="47"/>
  <c r="AC822" i="47" s="1"/>
  <c r="W823" i="47"/>
  <c r="X823" i="47" s="1"/>
  <c r="P823" i="47"/>
  <c r="AC823" i="47" s="1"/>
  <c r="W824" i="47"/>
  <c r="X824" i="47" s="1"/>
  <c r="P824" i="47"/>
  <c r="AC824" i="47" s="1"/>
  <c r="W825" i="47"/>
  <c r="X825" i="47" s="1"/>
  <c r="P825" i="47"/>
  <c r="AC825" i="47" s="1"/>
  <c r="W826" i="47"/>
  <c r="X826" i="47" s="1"/>
  <c r="P826" i="47"/>
  <c r="AC826" i="47" s="1"/>
  <c r="W827" i="47"/>
  <c r="X827" i="47" s="1"/>
  <c r="P827" i="47"/>
  <c r="AC827" i="47" s="1"/>
  <c r="W828" i="47"/>
  <c r="X828" i="47" s="1"/>
  <c r="P828" i="47"/>
  <c r="AC828" i="47" s="1"/>
  <c r="W829" i="47"/>
  <c r="X829" i="47" s="1"/>
  <c r="P829" i="47"/>
  <c r="AC829" i="47" s="1"/>
  <c r="W830" i="47"/>
  <c r="X830" i="47" s="1"/>
  <c r="P830" i="47"/>
  <c r="AC830" i="47" s="1"/>
  <c r="W831" i="47"/>
  <c r="X831" i="47" s="1"/>
  <c r="P831" i="47"/>
  <c r="AC831" i="47" s="1"/>
  <c r="W832" i="47"/>
  <c r="X832" i="47" s="1"/>
  <c r="P832" i="47"/>
  <c r="AC832" i="47" s="1"/>
  <c r="W833" i="47"/>
  <c r="X833" i="47" s="1"/>
  <c r="P833" i="47"/>
  <c r="AC833" i="47" s="1"/>
  <c r="W834" i="47"/>
  <c r="X834" i="47" s="1"/>
  <c r="P834" i="47"/>
  <c r="AC834" i="47" s="1"/>
  <c r="W835" i="47"/>
  <c r="X835" i="47" s="1"/>
  <c r="P835" i="47"/>
  <c r="AC835" i="47" s="1"/>
  <c r="W836" i="47"/>
  <c r="X836" i="47" s="1"/>
  <c r="P836" i="47"/>
  <c r="AC836" i="47" s="1"/>
  <c r="W837" i="47"/>
  <c r="X837" i="47" s="1"/>
  <c r="P837" i="47"/>
  <c r="AC837" i="47" s="1"/>
  <c r="W838" i="47"/>
  <c r="X838" i="47" s="1"/>
  <c r="P838" i="47"/>
  <c r="AC838" i="47" s="1"/>
  <c r="W839" i="47"/>
  <c r="X839" i="47" s="1"/>
  <c r="P839" i="47"/>
  <c r="AC839" i="47" s="1"/>
  <c r="W840" i="47"/>
  <c r="X840" i="47" s="1"/>
  <c r="P840" i="47"/>
  <c r="AC840" i="47" s="1"/>
  <c r="W841" i="47"/>
  <c r="X841" i="47" s="1"/>
  <c r="P841" i="47"/>
  <c r="AC841" i="47" s="1"/>
  <c r="W842" i="47"/>
  <c r="X842" i="47" s="1"/>
  <c r="P842" i="47"/>
  <c r="AC842" i="47" s="1"/>
  <c r="W843" i="47"/>
  <c r="X843" i="47" s="1"/>
  <c r="P843" i="47"/>
  <c r="AC843" i="47" s="1"/>
  <c r="W844" i="47"/>
  <c r="X844" i="47" s="1"/>
  <c r="P844" i="47"/>
  <c r="AC844" i="47" s="1"/>
  <c r="W845" i="47"/>
  <c r="X845" i="47" s="1"/>
  <c r="P845" i="47"/>
  <c r="AC845" i="47" s="1"/>
  <c r="W846" i="47"/>
  <c r="X846" i="47" s="1"/>
  <c r="P846" i="47"/>
  <c r="AC846" i="47" s="1"/>
  <c r="W847" i="47"/>
  <c r="X847" i="47" s="1"/>
  <c r="P847" i="47"/>
  <c r="AC847" i="47" s="1"/>
  <c r="W848" i="47"/>
  <c r="X848" i="47" s="1"/>
  <c r="P848" i="47"/>
  <c r="AC848" i="47" s="1"/>
  <c r="W849" i="47"/>
  <c r="X849" i="47" s="1"/>
  <c r="P849" i="47"/>
  <c r="AC849" i="47" s="1"/>
  <c r="W850" i="47"/>
  <c r="X850" i="47" s="1"/>
  <c r="P850" i="47"/>
  <c r="AC850" i="47" s="1"/>
  <c r="W851" i="47"/>
  <c r="X851" i="47" s="1"/>
  <c r="P851" i="47"/>
  <c r="AC851" i="47" s="1"/>
  <c r="W852" i="47"/>
  <c r="X852" i="47" s="1"/>
  <c r="P852" i="47"/>
  <c r="AC852" i="47" s="1"/>
  <c r="W853" i="47"/>
  <c r="X853" i="47" s="1"/>
  <c r="P853" i="47"/>
  <c r="AC853" i="47" s="1"/>
  <c r="W854" i="47"/>
  <c r="X854" i="47" s="1"/>
  <c r="P854" i="47"/>
  <c r="AC854" i="47" s="1"/>
  <c r="W855" i="47"/>
  <c r="X855" i="47" s="1"/>
  <c r="P855" i="47"/>
  <c r="AC855" i="47" s="1"/>
  <c r="W856" i="47"/>
  <c r="X856" i="47" s="1"/>
  <c r="P856" i="47"/>
  <c r="AC856" i="47" s="1"/>
  <c r="W857" i="47"/>
  <c r="X857" i="47" s="1"/>
  <c r="P857" i="47"/>
  <c r="AC857" i="47" s="1"/>
  <c r="W858" i="47"/>
  <c r="X858" i="47" s="1"/>
  <c r="P858" i="47"/>
  <c r="AC858" i="47" s="1"/>
  <c r="W859" i="47"/>
  <c r="X859" i="47" s="1"/>
  <c r="P859" i="47"/>
  <c r="AC859" i="47" s="1"/>
  <c r="W860" i="47"/>
  <c r="X860" i="47" s="1"/>
  <c r="P860" i="47"/>
  <c r="AC860" i="47" s="1"/>
  <c r="W861" i="47"/>
  <c r="X861" i="47" s="1"/>
  <c r="P861" i="47"/>
  <c r="AC861" i="47" s="1"/>
  <c r="W862" i="47"/>
  <c r="X862" i="47" s="1"/>
  <c r="P862" i="47"/>
  <c r="AC862" i="47" s="1"/>
  <c r="W863" i="47"/>
  <c r="X863" i="47" s="1"/>
  <c r="P863" i="47"/>
  <c r="AC863" i="47" s="1"/>
  <c r="W864" i="47"/>
  <c r="X864" i="47" s="1"/>
  <c r="P864" i="47"/>
  <c r="AC864" i="47" s="1"/>
  <c r="W865" i="47"/>
  <c r="X865" i="47" s="1"/>
  <c r="P865" i="47"/>
  <c r="AC865" i="47" s="1"/>
  <c r="W866" i="47"/>
  <c r="X866" i="47" s="1"/>
  <c r="P866" i="47"/>
  <c r="AC866" i="47" s="1"/>
  <c r="W867" i="47"/>
  <c r="X867" i="47" s="1"/>
  <c r="P867" i="47"/>
  <c r="AC867" i="47" s="1"/>
  <c r="W868" i="47"/>
  <c r="X868" i="47" s="1"/>
  <c r="P868" i="47"/>
  <c r="AC868" i="47" s="1"/>
  <c r="W869" i="47"/>
  <c r="X869" i="47" s="1"/>
  <c r="P869" i="47"/>
  <c r="AC869" i="47" s="1"/>
  <c r="W870" i="47"/>
  <c r="X870" i="47" s="1"/>
  <c r="P870" i="47"/>
  <c r="AC870" i="47" s="1"/>
  <c r="W871" i="47"/>
  <c r="X871" i="47" s="1"/>
  <c r="P871" i="47"/>
  <c r="AC871" i="47" s="1"/>
  <c r="W872" i="47"/>
  <c r="X872" i="47" s="1"/>
  <c r="P872" i="47"/>
  <c r="AC872" i="47" s="1"/>
  <c r="W873" i="47"/>
  <c r="X873" i="47" s="1"/>
  <c r="P873" i="47"/>
  <c r="AC873" i="47" s="1"/>
  <c r="W874" i="47"/>
  <c r="X874" i="47" s="1"/>
  <c r="P874" i="47"/>
  <c r="AC874" i="47" s="1"/>
  <c r="W875" i="47"/>
  <c r="X875" i="47" s="1"/>
  <c r="P875" i="47"/>
  <c r="AC875" i="47" s="1"/>
  <c r="W876" i="47"/>
  <c r="X876" i="47" s="1"/>
  <c r="P876" i="47"/>
  <c r="AC876" i="47" s="1"/>
  <c r="W877" i="47"/>
  <c r="X877" i="47" s="1"/>
  <c r="P877" i="47"/>
  <c r="AC877" i="47" s="1"/>
  <c r="W878" i="47"/>
  <c r="X878" i="47" s="1"/>
  <c r="P878" i="47"/>
  <c r="AC878" i="47" s="1"/>
  <c r="W879" i="47"/>
  <c r="X879" i="47" s="1"/>
  <c r="P879" i="47"/>
  <c r="AC879" i="47" s="1"/>
  <c r="W880" i="47"/>
  <c r="X880" i="47" s="1"/>
  <c r="P880" i="47"/>
  <c r="AC880" i="47" s="1"/>
  <c r="W881" i="47"/>
  <c r="X881" i="47" s="1"/>
  <c r="P881" i="47"/>
  <c r="AC881" i="47" s="1"/>
  <c r="W882" i="47"/>
  <c r="X882" i="47" s="1"/>
  <c r="P882" i="47"/>
  <c r="AC882" i="47" s="1"/>
  <c r="W883" i="47"/>
  <c r="X883" i="47" s="1"/>
  <c r="P883" i="47"/>
  <c r="AC883" i="47" s="1"/>
  <c r="W884" i="47"/>
  <c r="X884" i="47" s="1"/>
  <c r="P884" i="47"/>
  <c r="AC884" i="47" s="1"/>
  <c r="W885" i="47"/>
  <c r="X885" i="47" s="1"/>
  <c r="P885" i="47"/>
  <c r="AC885" i="47" s="1"/>
  <c r="W886" i="47"/>
  <c r="X886" i="47" s="1"/>
  <c r="P886" i="47"/>
  <c r="AC886" i="47" s="1"/>
  <c r="W887" i="47"/>
  <c r="X887" i="47" s="1"/>
  <c r="P887" i="47"/>
  <c r="AC887" i="47" s="1"/>
  <c r="W888" i="47"/>
  <c r="X888" i="47" s="1"/>
  <c r="P888" i="47"/>
  <c r="AC888" i="47" s="1"/>
  <c r="W889" i="47"/>
  <c r="X889" i="47" s="1"/>
  <c r="P889" i="47"/>
  <c r="AC889" i="47" s="1"/>
  <c r="W890" i="47"/>
  <c r="X890" i="47" s="1"/>
  <c r="P890" i="47"/>
  <c r="AC890" i="47" s="1"/>
  <c r="W891" i="47"/>
  <c r="X891" i="47" s="1"/>
  <c r="P891" i="47"/>
  <c r="AC891" i="47" s="1"/>
  <c r="W892" i="47"/>
  <c r="X892" i="47" s="1"/>
  <c r="P892" i="47"/>
  <c r="AC892" i="47" s="1"/>
  <c r="W893" i="47"/>
  <c r="X893" i="47" s="1"/>
  <c r="P893" i="47"/>
  <c r="AC893" i="47" s="1"/>
  <c r="W894" i="47"/>
  <c r="X894" i="47" s="1"/>
  <c r="P894" i="47"/>
  <c r="AC894" i="47" s="1"/>
  <c r="W895" i="47"/>
  <c r="X895" i="47" s="1"/>
  <c r="P895" i="47"/>
  <c r="AC895" i="47" s="1"/>
  <c r="W896" i="47"/>
  <c r="X896" i="47" s="1"/>
  <c r="P896" i="47"/>
  <c r="AC896" i="47" s="1"/>
  <c r="W897" i="47"/>
  <c r="X897" i="47" s="1"/>
  <c r="P897" i="47"/>
  <c r="AC897" i="47" s="1"/>
  <c r="W898" i="47"/>
  <c r="X898" i="47" s="1"/>
  <c r="P898" i="47"/>
  <c r="AC898" i="47" s="1"/>
  <c r="W899" i="47"/>
  <c r="X899" i="47" s="1"/>
  <c r="P899" i="47"/>
  <c r="AC899" i="47" s="1"/>
  <c r="W900" i="47"/>
  <c r="X900" i="47" s="1"/>
  <c r="P900" i="47"/>
  <c r="AC900" i="47" s="1"/>
  <c r="W901" i="47"/>
  <c r="X901" i="47" s="1"/>
  <c r="P901" i="47"/>
  <c r="AC901" i="47" s="1"/>
  <c r="W902" i="47"/>
  <c r="X902" i="47" s="1"/>
  <c r="P902" i="47"/>
  <c r="AC902" i="47" s="1"/>
  <c r="W903" i="47"/>
  <c r="X903" i="47" s="1"/>
  <c r="P903" i="47"/>
  <c r="AC903" i="47" s="1"/>
  <c r="W904" i="47"/>
  <c r="X904" i="47" s="1"/>
  <c r="P904" i="47"/>
  <c r="AC904" i="47" s="1"/>
  <c r="W905" i="47"/>
  <c r="X905" i="47" s="1"/>
  <c r="P905" i="47"/>
  <c r="AC905" i="47" s="1"/>
  <c r="W906" i="47"/>
  <c r="X906" i="47" s="1"/>
  <c r="P906" i="47"/>
  <c r="AC906" i="47" s="1"/>
  <c r="W907" i="47"/>
  <c r="X907" i="47" s="1"/>
  <c r="P907" i="47"/>
  <c r="AC907" i="47" s="1"/>
  <c r="W908" i="47"/>
  <c r="X908" i="47" s="1"/>
  <c r="P908" i="47"/>
  <c r="AC908" i="47" s="1"/>
  <c r="W909" i="47"/>
  <c r="X909" i="47" s="1"/>
  <c r="P909" i="47"/>
  <c r="AC909" i="47" s="1"/>
  <c r="W910" i="47"/>
  <c r="X910" i="47" s="1"/>
  <c r="P910" i="47"/>
  <c r="AC910" i="47" s="1"/>
  <c r="W911" i="47"/>
  <c r="X911" i="47" s="1"/>
  <c r="P911" i="47"/>
  <c r="AC911" i="47" s="1"/>
  <c r="W912" i="47"/>
  <c r="X912" i="47" s="1"/>
  <c r="P912" i="47"/>
  <c r="AC912" i="47" s="1"/>
  <c r="W913" i="47"/>
  <c r="X913" i="47" s="1"/>
  <c r="P913" i="47"/>
  <c r="AC913" i="47" s="1"/>
  <c r="W914" i="47"/>
  <c r="X914" i="47" s="1"/>
  <c r="P914" i="47"/>
  <c r="AC914" i="47" s="1"/>
  <c r="W915" i="47"/>
  <c r="X915" i="47" s="1"/>
  <c r="P915" i="47"/>
  <c r="AC915" i="47" s="1"/>
  <c r="W916" i="47"/>
  <c r="X916" i="47" s="1"/>
  <c r="P916" i="47"/>
  <c r="AC916" i="47" s="1"/>
  <c r="W917" i="47"/>
  <c r="X917" i="47" s="1"/>
  <c r="P917" i="47"/>
  <c r="AC917" i="47" s="1"/>
  <c r="W918" i="47"/>
  <c r="X918" i="47" s="1"/>
  <c r="P918" i="47"/>
  <c r="AC918" i="47" s="1"/>
  <c r="W919" i="47"/>
  <c r="X919" i="47" s="1"/>
  <c r="P919" i="47"/>
  <c r="AC919" i="47" s="1"/>
  <c r="W920" i="47"/>
  <c r="X920" i="47" s="1"/>
  <c r="P920" i="47"/>
  <c r="AC920" i="47" s="1"/>
  <c r="W921" i="47"/>
  <c r="X921" i="47" s="1"/>
  <c r="P921" i="47"/>
  <c r="AC921" i="47" s="1"/>
  <c r="W922" i="47"/>
  <c r="X922" i="47" s="1"/>
  <c r="P922" i="47"/>
  <c r="AC922" i="47" s="1"/>
  <c r="W923" i="47"/>
  <c r="X923" i="47" s="1"/>
  <c r="P923" i="47"/>
  <c r="AC923" i="47" s="1"/>
  <c r="W924" i="47"/>
  <c r="X924" i="47" s="1"/>
  <c r="P924" i="47"/>
  <c r="AC924" i="47" s="1"/>
  <c r="W925" i="47"/>
  <c r="X925" i="47" s="1"/>
  <c r="P925" i="47"/>
  <c r="AC925" i="47" s="1"/>
  <c r="W926" i="47"/>
  <c r="X926" i="47" s="1"/>
  <c r="P926" i="47"/>
  <c r="AC926" i="47" s="1"/>
  <c r="W927" i="47"/>
  <c r="X927" i="47" s="1"/>
  <c r="P927" i="47"/>
  <c r="AC927" i="47" s="1"/>
  <c r="W928" i="47"/>
  <c r="X928" i="47" s="1"/>
  <c r="P928" i="47"/>
  <c r="AC928" i="47" s="1"/>
  <c r="W929" i="47"/>
  <c r="X929" i="47" s="1"/>
  <c r="P929" i="47"/>
  <c r="AC929" i="47" s="1"/>
  <c r="W930" i="47"/>
  <c r="X930" i="47" s="1"/>
  <c r="P930" i="47"/>
  <c r="AC930" i="47" s="1"/>
  <c r="W931" i="47"/>
  <c r="X931" i="47" s="1"/>
  <c r="P931" i="47"/>
  <c r="AC931" i="47" s="1"/>
  <c r="W932" i="47"/>
  <c r="X932" i="47" s="1"/>
  <c r="P932" i="47"/>
  <c r="AC932" i="47" s="1"/>
  <c r="W933" i="47"/>
  <c r="X933" i="47" s="1"/>
  <c r="P933" i="47"/>
  <c r="AC933" i="47" s="1"/>
  <c r="W934" i="47"/>
  <c r="X934" i="47" s="1"/>
  <c r="P934" i="47"/>
  <c r="AC934" i="47" s="1"/>
  <c r="W935" i="47"/>
  <c r="X935" i="47" s="1"/>
  <c r="P935" i="47"/>
  <c r="AC935" i="47" s="1"/>
  <c r="W936" i="47"/>
  <c r="X936" i="47" s="1"/>
  <c r="P936" i="47"/>
  <c r="AC936" i="47" s="1"/>
  <c r="W937" i="47"/>
  <c r="X937" i="47" s="1"/>
  <c r="P937" i="47"/>
  <c r="AC937" i="47" s="1"/>
  <c r="W938" i="47"/>
  <c r="X938" i="47" s="1"/>
  <c r="P938" i="47"/>
  <c r="AC938" i="47" s="1"/>
  <c r="W939" i="47"/>
  <c r="X939" i="47" s="1"/>
  <c r="P939" i="47"/>
  <c r="AC939" i="47" s="1"/>
  <c r="W940" i="47"/>
  <c r="X940" i="47" s="1"/>
  <c r="P940" i="47"/>
  <c r="AC940" i="47" s="1"/>
  <c r="W941" i="47"/>
  <c r="X941" i="47" s="1"/>
  <c r="P941" i="47"/>
  <c r="AC941" i="47" s="1"/>
  <c r="W942" i="47"/>
  <c r="X942" i="47" s="1"/>
  <c r="P942" i="47"/>
  <c r="AC942" i="47" s="1"/>
  <c r="W943" i="47"/>
  <c r="X943" i="47" s="1"/>
  <c r="P943" i="47"/>
  <c r="AC943" i="47" s="1"/>
  <c r="W944" i="47"/>
  <c r="X944" i="47" s="1"/>
  <c r="P944" i="47"/>
  <c r="AC944" i="47" s="1"/>
  <c r="W945" i="47"/>
  <c r="X945" i="47" s="1"/>
  <c r="P945" i="47"/>
  <c r="AC945" i="47" s="1"/>
  <c r="W946" i="47"/>
  <c r="X946" i="47" s="1"/>
  <c r="P946" i="47"/>
  <c r="AC946" i="47" s="1"/>
  <c r="W947" i="47"/>
  <c r="X947" i="47" s="1"/>
  <c r="P947" i="47"/>
  <c r="AC947" i="47" s="1"/>
  <c r="W948" i="47"/>
  <c r="X948" i="47" s="1"/>
  <c r="P948" i="47"/>
  <c r="AC948" i="47" s="1"/>
  <c r="W949" i="47"/>
  <c r="X949" i="47" s="1"/>
  <c r="P949" i="47"/>
  <c r="AC949" i="47" s="1"/>
  <c r="W950" i="47"/>
  <c r="X950" i="47" s="1"/>
  <c r="P950" i="47"/>
  <c r="AC950" i="47" s="1"/>
  <c r="W951" i="47"/>
  <c r="X951" i="47" s="1"/>
  <c r="P951" i="47"/>
  <c r="AC951" i="47" s="1"/>
  <c r="W952" i="47"/>
  <c r="X952" i="47" s="1"/>
  <c r="P952" i="47"/>
  <c r="AC952" i="47" s="1"/>
  <c r="W953" i="47"/>
  <c r="X953" i="47" s="1"/>
  <c r="P953" i="47"/>
  <c r="AC953" i="47" s="1"/>
  <c r="W954" i="47"/>
  <c r="X954" i="47" s="1"/>
  <c r="P954" i="47"/>
  <c r="AC954" i="47" s="1"/>
  <c r="W955" i="47"/>
  <c r="X955" i="47" s="1"/>
  <c r="P955" i="47"/>
  <c r="AC955" i="47" s="1"/>
  <c r="W956" i="47"/>
  <c r="X956" i="47" s="1"/>
  <c r="P956" i="47"/>
  <c r="AC956" i="47" s="1"/>
  <c r="W957" i="47"/>
  <c r="X957" i="47" s="1"/>
  <c r="P957" i="47"/>
  <c r="AC957" i="47" s="1"/>
  <c r="W958" i="47"/>
  <c r="X958" i="47" s="1"/>
  <c r="P958" i="47"/>
  <c r="AC958" i="47" s="1"/>
  <c r="W959" i="47"/>
  <c r="X959" i="47" s="1"/>
  <c r="P959" i="47"/>
  <c r="AC959" i="47" s="1"/>
  <c r="W960" i="47"/>
  <c r="X960" i="47" s="1"/>
  <c r="P960" i="47"/>
  <c r="AC960" i="47" s="1"/>
  <c r="W961" i="47"/>
  <c r="X961" i="47" s="1"/>
  <c r="P961" i="47"/>
  <c r="AC961" i="47" s="1"/>
  <c r="W962" i="47"/>
  <c r="X962" i="47" s="1"/>
  <c r="P962" i="47"/>
  <c r="AC962" i="47" s="1"/>
  <c r="W963" i="47"/>
  <c r="X963" i="47" s="1"/>
  <c r="P963" i="47"/>
  <c r="AC963" i="47" s="1"/>
  <c r="W964" i="47"/>
  <c r="X964" i="47" s="1"/>
  <c r="P964" i="47"/>
  <c r="AC964" i="47" s="1"/>
  <c r="W965" i="47"/>
  <c r="X965" i="47" s="1"/>
  <c r="P965" i="47"/>
  <c r="AC965" i="47" s="1"/>
  <c r="W966" i="47"/>
  <c r="X966" i="47" s="1"/>
  <c r="P966" i="47"/>
  <c r="AC966" i="47" s="1"/>
  <c r="W967" i="47"/>
  <c r="X967" i="47" s="1"/>
  <c r="P967" i="47"/>
  <c r="AC967" i="47" s="1"/>
  <c r="W968" i="47"/>
  <c r="X968" i="47" s="1"/>
  <c r="P968" i="47"/>
  <c r="AC968" i="47" s="1"/>
  <c r="W969" i="47"/>
  <c r="X969" i="47" s="1"/>
  <c r="P969" i="47"/>
  <c r="AC969" i="47" s="1"/>
  <c r="W970" i="47"/>
  <c r="X970" i="47" s="1"/>
  <c r="P970" i="47"/>
  <c r="AC970" i="47" s="1"/>
  <c r="W971" i="47"/>
  <c r="X971" i="47" s="1"/>
  <c r="P971" i="47"/>
  <c r="AC971" i="47" s="1"/>
  <c r="W972" i="47"/>
  <c r="X972" i="47" s="1"/>
  <c r="P972" i="47"/>
  <c r="AC972" i="47" s="1"/>
  <c r="W973" i="47"/>
  <c r="X973" i="47" s="1"/>
  <c r="P973" i="47"/>
  <c r="AC973" i="47" s="1"/>
  <c r="W974" i="47"/>
  <c r="X974" i="47" s="1"/>
  <c r="P974" i="47"/>
  <c r="AC974" i="47" s="1"/>
  <c r="W975" i="47"/>
  <c r="X975" i="47" s="1"/>
  <c r="P975" i="47"/>
  <c r="AC975" i="47" s="1"/>
  <c r="W976" i="47"/>
  <c r="X976" i="47" s="1"/>
  <c r="P976" i="47"/>
  <c r="AC976" i="47" s="1"/>
  <c r="W977" i="47"/>
  <c r="X977" i="47" s="1"/>
  <c r="P977" i="47"/>
  <c r="AC977" i="47" s="1"/>
  <c r="W978" i="47"/>
  <c r="X978" i="47" s="1"/>
  <c r="P978" i="47"/>
  <c r="AC978" i="47" s="1"/>
  <c r="W979" i="47"/>
  <c r="X979" i="47" s="1"/>
  <c r="P979" i="47"/>
  <c r="AC979" i="47" s="1"/>
  <c r="W980" i="47"/>
  <c r="X980" i="47" s="1"/>
  <c r="P980" i="47"/>
  <c r="AC980" i="47" s="1"/>
  <c r="W981" i="47"/>
  <c r="X981" i="47" s="1"/>
  <c r="P981" i="47"/>
  <c r="AC981" i="47" s="1"/>
  <c r="W982" i="47"/>
  <c r="X982" i="47" s="1"/>
  <c r="P982" i="47"/>
  <c r="AC982" i="47" s="1"/>
  <c r="W983" i="47"/>
  <c r="X983" i="47" s="1"/>
  <c r="P983" i="47"/>
  <c r="AC983" i="47" s="1"/>
  <c r="W984" i="47"/>
  <c r="X984" i="47" s="1"/>
  <c r="P984" i="47"/>
  <c r="AC984" i="47" s="1"/>
  <c r="W985" i="47"/>
  <c r="X985" i="47" s="1"/>
  <c r="P985" i="47"/>
  <c r="AC985" i="47" s="1"/>
  <c r="W986" i="47"/>
  <c r="X986" i="47" s="1"/>
  <c r="P986" i="47"/>
  <c r="AC986" i="47" s="1"/>
  <c r="W987" i="47"/>
  <c r="X987" i="47" s="1"/>
  <c r="P987" i="47"/>
  <c r="AC987" i="47" s="1"/>
  <c r="W988" i="47"/>
  <c r="X988" i="47" s="1"/>
  <c r="P988" i="47"/>
  <c r="AC988" i="47" s="1"/>
  <c r="W989" i="47"/>
  <c r="X989" i="47" s="1"/>
  <c r="P989" i="47"/>
  <c r="AC989" i="47" s="1"/>
  <c r="W990" i="47"/>
  <c r="X990" i="47" s="1"/>
  <c r="P990" i="47"/>
  <c r="AC990" i="47" s="1"/>
  <c r="W991" i="47"/>
  <c r="X991" i="47" s="1"/>
  <c r="P991" i="47"/>
  <c r="AC991" i="47" s="1"/>
  <c r="W992" i="47"/>
  <c r="X992" i="47" s="1"/>
  <c r="P992" i="47"/>
  <c r="AC992" i="47" s="1"/>
  <c r="W993" i="47"/>
  <c r="X993" i="47" s="1"/>
  <c r="P993" i="47"/>
  <c r="AC993" i="47" s="1"/>
  <c r="W994" i="47"/>
  <c r="X994" i="47" s="1"/>
  <c r="P994" i="47"/>
  <c r="AC994" i="47" s="1"/>
  <c r="W995" i="47"/>
  <c r="X995" i="47" s="1"/>
  <c r="P995" i="47"/>
  <c r="AC995" i="47" s="1"/>
  <c r="W996" i="47"/>
  <c r="X996" i="47" s="1"/>
  <c r="P996" i="47"/>
  <c r="AC996" i="47" s="1"/>
  <c r="W997" i="47"/>
  <c r="X997" i="47" s="1"/>
  <c r="P997" i="47"/>
  <c r="AC997" i="47" s="1"/>
  <c r="W998" i="47"/>
  <c r="X998" i="47" s="1"/>
  <c r="P998" i="47"/>
  <c r="AC998" i="47" s="1"/>
  <c r="W999" i="47"/>
  <c r="X999" i="47" s="1"/>
  <c r="P999" i="47"/>
  <c r="AC999" i="47" s="1"/>
  <c r="H8" i="52"/>
  <c r="I8" i="52" s="1"/>
  <c r="H9" i="52"/>
  <c r="I9" i="52" s="1"/>
  <c r="H10" i="52"/>
  <c r="I10" i="52" s="1"/>
  <c r="H11" i="52"/>
  <c r="I11" i="52" s="1"/>
  <c r="H12" i="52"/>
  <c r="I12" i="52" s="1"/>
  <c r="H13" i="52"/>
  <c r="I13" i="52" s="1"/>
  <c r="H14" i="52"/>
  <c r="I14" i="52" s="1"/>
  <c r="Q3" i="47"/>
  <c r="Q4" i="47"/>
  <c r="Q5" i="47"/>
  <c r="Q6" i="47"/>
  <c r="Q7" i="47"/>
  <c r="Q8" i="47"/>
  <c r="Q9" i="47"/>
  <c r="Q10" i="47"/>
  <c r="Q11" i="47"/>
  <c r="Q12" i="47"/>
  <c r="Q13" i="47"/>
  <c r="Q14" i="47"/>
  <c r="Q15" i="47"/>
  <c r="Q16" i="47"/>
  <c r="Q17" i="47"/>
  <c r="Q18" i="47"/>
  <c r="Q19" i="47"/>
  <c r="Q20" i="47"/>
  <c r="Q21" i="47"/>
  <c r="Q22" i="47"/>
  <c r="Q23" i="47"/>
  <c r="Q24" i="47"/>
  <c r="Q25" i="47"/>
  <c r="Q26" i="47"/>
  <c r="Q27" i="47"/>
  <c r="Q28" i="47"/>
  <c r="Q29" i="47"/>
  <c r="Q30" i="47"/>
  <c r="Q31" i="47"/>
  <c r="Q32" i="47"/>
  <c r="Q33" i="47"/>
  <c r="Q34" i="47"/>
  <c r="Q35" i="47"/>
  <c r="Q36" i="47"/>
  <c r="Q37" i="47"/>
  <c r="Q38" i="47"/>
  <c r="Q39" i="47"/>
  <c r="Q40" i="47"/>
  <c r="Q41" i="47"/>
  <c r="Q42" i="47"/>
  <c r="Q43" i="47"/>
  <c r="Q44" i="47"/>
  <c r="Q45" i="47"/>
  <c r="Q46" i="47"/>
  <c r="Q47" i="47"/>
  <c r="Q48" i="47"/>
  <c r="Q49" i="47"/>
  <c r="Q50" i="47"/>
  <c r="Q51" i="47"/>
  <c r="Q52" i="47"/>
  <c r="Q53" i="47"/>
  <c r="Q54" i="47"/>
  <c r="Q55" i="47"/>
  <c r="Q56" i="47"/>
  <c r="Q57" i="47"/>
  <c r="Q58" i="47"/>
  <c r="Q59" i="47"/>
  <c r="Q60" i="47"/>
  <c r="Q61" i="47"/>
  <c r="Q62" i="47"/>
  <c r="Q63" i="47"/>
  <c r="Q64" i="47"/>
  <c r="Q65" i="47"/>
  <c r="Q66" i="47"/>
  <c r="Q67" i="47"/>
  <c r="Q68" i="47"/>
  <c r="Q69" i="47"/>
  <c r="Q70" i="47"/>
  <c r="Q71" i="47"/>
  <c r="Q72" i="47"/>
  <c r="Q73" i="47"/>
  <c r="Q74" i="47"/>
  <c r="Q75" i="47"/>
  <c r="Q76" i="47"/>
  <c r="Q77" i="47"/>
  <c r="Q78" i="47"/>
  <c r="Q79" i="47"/>
  <c r="Q80" i="47"/>
  <c r="Q81" i="47"/>
  <c r="Q82" i="47"/>
  <c r="Q83" i="47"/>
  <c r="Q84" i="47"/>
  <c r="Q85" i="47"/>
  <c r="Q86" i="47"/>
  <c r="Q87" i="47"/>
  <c r="Q88" i="47"/>
  <c r="Q89" i="47"/>
  <c r="Q90" i="47"/>
  <c r="Q91" i="47"/>
  <c r="Q92" i="47"/>
  <c r="Q93" i="47"/>
  <c r="Q94" i="47"/>
  <c r="Q95" i="47"/>
  <c r="Q96" i="47"/>
  <c r="Q97" i="47"/>
  <c r="Q98" i="47"/>
  <c r="Q99" i="47"/>
  <c r="Q100" i="47"/>
  <c r="Q101" i="47"/>
  <c r="Q102" i="47"/>
  <c r="Q103" i="47"/>
  <c r="Q104" i="47"/>
  <c r="Q105" i="47"/>
  <c r="Q106" i="47"/>
  <c r="Q107" i="47"/>
  <c r="Q108" i="47"/>
  <c r="Q109" i="47"/>
  <c r="Q110" i="47"/>
  <c r="Q111" i="47"/>
  <c r="Q112" i="47"/>
  <c r="Q113" i="47"/>
  <c r="Q114" i="47"/>
  <c r="Q115" i="47"/>
  <c r="Q116" i="47"/>
  <c r="Q117" i="47"/>
  <c r="Q118" i="47"/>
  <c r="Q119" i="47"/>
  <c r="Q120" i="47"/>
  <c r="Q121" i="47"/>
  <c r="Q122" i="47"/>
  <c r="Q123" i="47"/>
  <c r="Q124" i="47"/>
  <c r="Q125" i="47"/>
  <c r="Q126" i="47"/>
  <c r="Q127" i="47"/>
  <c r="Q128" i="47"/>
  <c r="Q129" i="47"/>
  <c r="Q130" i="47"/>
  <c r="Q131" i="47"/>
  <c r="Q132" i="47"/>
  <c r="Q133" i="47"/>
  <c r="Q134" i="47"/>
  <c r="Q135" i="47"/>
  <c r="Q136" i="47"/>
  <c r="Q137" i="47"/>
  <c r="Q138" i="47"/>
  <c r="Q139" i="47"/>
  <c r="Q140" i="47"/>
  <c r="Q141" i="47"/>
  <c r="Q142" i="47"/>
  <c r="Q143" i="47"/>
  <c r="Q144" i="47"/>
  <c r="Q145" i="47"/>
  <c r="Q146" i="47"/>
  <c r="Q147" i="47"/>
  <c r="Q148" i="47"/>
  <c r="Q149" i="47"/>
  <c r="Q150" i="47"/>
  <c r="Q151" i="47"/>
  <c r="Q152" i="47"/>
  <c r="Q153" i="47"/>
  <c r="Q154" i="47"/>
  <c r="Q155" i="47"/>
  <c r="Q156" i="47"/>
  <c r="Q157" i="47"/>
  <c r="Q158" i="47"/>
  <c r="Q159" i="47"/>
  <c r="Q160" i="47"/>
  <c r="Q161" i="47"/>
  <c r="Q162" i="47"/>
  <c r="Q163" i="47"/>
  <c r="Q164" i="47"/>
  <c r="Q165" i="47"/>
  <c r="Q166" i="47"/>
  <c r="Q167" i="47"/>
  <c r="Q168" i="47"/>
  <c r="Q169" i="47"/>
  <c r="Q170" i="47"/>
  <c r="Q171" i="47"/>
  <c r="Q172" i="47"/>
  <c r="Q173" i="47"/>
  <c r="Q174" i="47"/>
  <c r="Q175" i="47"/>
  <c r="Q176" i="47"/>
  <c r="Q177" i="47"/>
  <c r="Q178" i="47"/>
  <c r="Q179" i="47"/>
  <c r="Q180" i="47"/>
  <c r="Q181" i="47"/>
  <c r="Q182" i="47"/>
  <c r="Q183" i="47"/>
  <c r="Q184" i="47"/>
  <c r="Q185" i="47"/>
  <c r="Q186" i="47"/>
  <c r="Q187" i="47"/>
  <c r="Q188" i="47"/>
  <c r="Q189" i="47"/>
  <c r="Q190" i="47"/>
  <c r="Q191" i="47"/>
  <c r="Q192" i="47"/>
  <c r="Q193" i="47"/>
  <c r="Q194" i="47"/>
  <c r="Q195" i="47"/>
  <c r="Q196" i="47"/>
  <c r="Q197" i="47"/>
  <c r="Q198" i="47"/>
  <c r="Q199" i="47"/>
  <c r="Q200" i="47"/>
  <c r="Q201" i="47"/>
  <c r="Q202" i="47"/>
  <c r="Q203" i="47"/>
  <c r="Q204" i="47"/>
  <c r="Q205" i="47"/>
  <c r="Q206" i="47"/>
  <c r="Q207" i="47"/>
  <c r="Q208" i="47"/>
  <c r="Q209" i="47"/>
  <c r="Q210" i="47"/>
  <c r="Q211" i="47"/>
  <c r="Q212" i="47"/>
  <c r="Q213" i="47"/>
  <c r="Q214" i="47"/>
  <c r="Q215" i="47"/>
  <c r="Q216" i="47"/>
  <c r="Q217" i="47"/>
  <c r="Q218" i="47"/>
  <c r="Q219" i="47"/>
  <c r="Q220" i="47"/>
  <c r="Q221" i="47"/>
  <c r="Q222" i="47"/>
  <c r="Q223" i="47"/>
  <c r="Q224" i="47"/>
  <c r="Q225" i="47"/>
  <c r="Q226" i="47"/>
  <c r="Q227" i="47"/>
  <c r="Q228" i="47"/>
  <c r="Q229" i="47"/>
  <c r="Q230" i="47"/>
  <c r="Q231" i="47"/>
  <c r="Q232" i="47"/>
  <c r="Q233" i="47"/>
  <c r="Q234" i="47"/>
  <c r="Q235" i="47"/>
  <c r="Q236" i="47"/>
  <c r="Q237" i="47"/>
  <c r="Q238" i="47"/>
  <c r="Q239" i="47"/>
  <c r="Q240" i="47"/>
  <c r="Q241" i="47"/>
  <c r="Q242" i="47"/>
  <c r="Q243" i="47"/>
  <c r="Q244" i="47"/>
  <c r="Q245" i="47"/>
  <c r="Q246" i="47"/>
  <c r="Q247" i="47"/>
  <c r="Q248" i="47"/>
  <c r="Q249" i="47"/>
  <c r="Q250" i="47"/>
  <c r="Q251" i="47"/>
  <c r="Q252" i="47"/>
  <c r="Q253" i="47"/>
  <c r="Q254" i="47"/>
  <c r="Q255" i="47"/>
  <c r="Q256" i="47"/>
  <c r="Q257" i="47"/>
  <c r="Q258" i="47"/>
  <c r="Q259" i="47"/>
  <c r="Q260" i="47"/>
  <c r="Q261" i="47"/>
  <c r="Q262" i="47"/>
  <c r="Q263" i="47"/>
  <c r="Q264" i="47"/>
  <c r="Q265" i="47"/>
  <c r="Q266" i="47"/>
  <c r="Q267" i="47"/>
  <c r="Q268" i="47"/>
  <c r="Q269" i="47"/>
  <c r="Q270" i="47"/>
  <c r="Q271" i="47"/>
  <c r="Q272" i="47"/>
  <c r="Q273" i="47"/>
  <c r="Q274" i="47"/>
  <c r="Q275" i="47"/>
  <c r="Q276" i="47"/>
  <c r="Q277" i="47"/>
  <c r="Q278" i="47"/>
  <c r="Q279" i="47"/>
  <c r="Q280" i="47"/>
  <c r="Q281" i="47"/>
  <c r="Q282" i="47"/>
  <c r="Q283" i="47"/>
  <c r="Q284" i="47"/>
  <c r="Q285" i="47"/>
  <c r="Q286" i="47"/>
  <c r="Q287" i="47"/>
  <c r="Q288" i="47"/>
  <c r="Q289" i="47"/>
  <c r="Q290" i="47"/>
  <c r="Q291" i="47"/>
  <c r="Q292" i="47"/>
  <c r="Q293" i="47"/>
  <c r="Q294" i="47"/>
  <c r="Q295" i="47"/>
  <c r="Q296" i="47"/>
  <c r="Q297" i="47"/>
  <c r="Q298" i="47"/>
  <c r="Q299" i="47"/>
  <c r="Q300" i="47"/>
  <c r="Q301" i="47"/>
  <c r="Q302" i="47"/>
  <c r="Q303" i="47"/>
  <c r="Q304" i="47"/>
  <c r="Q305" i="47"/>
  <c r="Q306" i="47"/>
  <c r="Q307" i="47"/>
  <c r="Q308" i="47"/>
  <c r="Q309" i="47"/>
  <c r="Q310" i="47"/>
  <c r="Q311" i="47"/>
  <c r="Q312" i="47"/>
  <c r="Q313" i="47"/>
  <c r="Q314" i="47"/>
  <c r="Q315" i="47"/>
  <c r="Q316" i="47"/>
  <c r="Q317" i="47"/>
  <c r="Q318" i="47"/>
  <c r="Q319" i="47"/>
  <c r="Q320" i="47"/>
  <c r="Q321" i="47"/>
  <c r="Q322" i="47"/>
  <c r="Q323" i="47"/>
  <c r="Q324" i="47"/>
  <c r="Q325" i="47"/>
  <c r="Q326" i="47"/>
  <c r="Q327" i="47"/>
  <c r="Q328" i="47"/>
  <c r="Q329" i="47"/>
  <c r="Q330" i="47"/>
  <c r="Q331" i="47"/>
  <c r="Q332" i="47"/>
  <c r="Q333" i="47"/>
  <c r="Q334" i="47"/>
  <c r="Q335" i="47"/>
  <c r="Q336" i="47"/>
  <c r="Q337" i="47"/>
  <c r="Q338" i="47"/>
  <c r="Q339" i="47"/>
  <c r="Q340" i="47"/>
  <c r="Q341" i="47"/>
  <c r="Q342" i="47"/>
  <c r="Q343" i="47"/>
  <c r="Q344" i="47"/>
  <c r="Q345" i="47"/>
  <c r="Q346" i="47"/>
  <c r="Q347" i="47"/>
  <c r="Q348" i="47"/>
  <c r="Q349" i="47"/>
  <c r="Q350" i="47"/>
  <c r="Q351" i="47"/>
  <c r="Q352" i="47"/>
  <c r="Q353" i="47"/>
  <c r="Q354" i="47"/>
  <c r="Q355" i="47"/>
  <c r="Q356" i="47"/>
  <c r="Q357" i="47"/>
  <c r="Q358" i="47"/>
  <c r="Q359" i="47"/>
  <c r="Q360" i="47"/>
  <c r="Q361" i="47"/>
  <c r="Q362" i="47"/>
  <c r="Q363" i="47"/>
  <c r="Q364" i="47"/>
  <c r="Q365" i="47"/>
  <c r="Q366" i="47"/>
  <c r="Q367" i="47"/>
  <c r="Q368" i="47"/>
  <c r="Q369" i="47"/>
  <c r="Q370" i="47"/>
  <c r="Q371" i="47"/>
  <c r="Q372" i="47"/>
  <c r="Q373" i="47"/>
  <c r="Q374" i="47"/>
  <c r="Q375" i="47"/>
  <c r="Q376" i="47"/>
  <c r="Q377" i="47"/>
  <c r="Q378" i="47"/>
  <c r="Q379" i="47"/>
  <c r="Q380" i="47"/>
  <c r="Q381" i="47"/>
  <c r="Q382" i="47"/>
  <c r="Q383" i="47"/>
  <c r="Q384" i="47"/>
  <c r="Q385" i="47"/>
  <c r="Q386" i="47"/>
  <c r="Q387" i="47"/>
  <c r="Q388" i="47"/>
  <c r="Q389" i="47"/>
  <c r="Q390" i="47"/>
  <c r="Q391" i="47"/>
  <c r="Q392" i="47"/>
  <c r="Q393" i="47"/>
  <c r="Q394" i="47"/>
  <c r="Q395" i="47"/>
  <c r="Q396" i="47"/>
  <c r="Q397" i="47"/>
  <c r="Q398" i="47"/>
  <c r="Q399" i="47"/>
  <c r="Q400" i="47"/>
  <c r="Q401" i="47"/>
  <c r="Q402" i="47"/>
  <c r="Q403" i="47"/>
  <c r="Q404" i="47"/>
  <c r="Q405" i="47"/>
  <c r="Q406" i="47"/>
  <c r="Q407" i="47"/>
  <c r="Q408" i="47"/>
  <c r="Q409" i="47"/>
  <c r="Q410" i="47"/>
  <c r="Q411" i="47"/>
  <c r="Q412" i="47"/>
  <c r="Q413" i="47"/>
  <c r="Q414" i="47"/>
  <c r="Q415" i="47"/>
  <c r="Q416" i="47"/>
  <c r="Q417" i="47"/>
  <c r="Q418" i="47"/>
  <c r="Q419" i="47"/>
  <c r="Q420" i="47"/>
  <c r="Q421" i="47"/>
  <c r="Q422" i="47"/>
  <c r="Q423" i="47"/>
  <c r="Q424" i="47"/>
  <c r="Q425" i="47"/>
  <c r="Q426" i="47"/>
  <c r="Q427" i="47"/>
  <c r="Q428" i="47"/>
  <c r="Q429" i="47"/>
  <c r="Q430" i="47"/>
  <c r="Q431" i="47"/>
  <c r="Q432" i="47"/>
  <c r="Q433" i="47"/>
  <c r="Q434" i="47"/>
  <c r="Q435" i="47"/>
  <c r="Q436" i="47"/>
  <c r="Q437" i="47"/>
  <c r="Q438" i="47"/>
  <c r="Q439" i="47"/>
  <c r="Q440" i="47"/>
  <c r="Q441" i="47"/>
  <c r="Q442" i="47"/>
  <c r="Q443" i="47"/>
  <c r="Q444" i="47"/>
  <c r="Q445" i="47"/>
  <c r="Q446" i="47"/>
  <c r="Q447" i="47"/>
  <c r="Q448" i="47"/>
  <c r="Q449" i="47"/>
  <c r="Q450" i="47"/>
  <c r="Q451" i="47"/>
  <c r="Q452" i="47"/>
  <c r="Q453" i="47"/>
  <c r="Q454" i="47"/>
  <c r="Q455" i="47"/>
  <c r="Q456" i="47"/>
  <c r="Q457" i="47"/>
  <c r="Q458" i="47"/>
  <c r="Q459" i="47"/>
  <c r="Q460" i="47"/>
  <c r="Q461" i="47"/>
  <c r="Q462" i="47"/>
  <c r="Q463" i="47"/>
  <c r="Q464" i="47"/>
  <c r="Q465" i="47"/>
  <c r="Q466" i="47"/>
  <c r="Q467" i="47"/>
  <c r="Q468" i="47"/>
  <c r="Q469" i="47"/>
  <c r="Q470" i="47"/>
  <c r="Q471" i="47"/>
  <c r="Q472" i="47"/>
  <c r="Q473" i="47"/>
  <c r="Q474" i="47"/>
  <c r="Q475" i="47"/>
  <c r="Q476" i="47"/>
  <c r="Q477" i="47"/>
  <c r="Q478" i="47"/>
  <c r="Q479" i="47"/>
  <c r="Q480" i="47"/>
  <c r="Q481" i="47"/>
  <c r="Q482" i="47"/>
  <c r="Q483" i="47"/>
  <c r="Q484" i="47"/>
  <c r="Q485" i="47"/>
  <c r="Q486" i="47"/>
  <c r="Q487" i="47"/>
  <c r="Q488" i="47"/>
  <c r="Q489" i="47"/>
  <c r="Q490" i="47"/>
  <c r="Q491" i="47"/>
  <c r="Q492" i="47"/>
  <c r="Q493" i="47"/>
  <c r="Q494" i="47"/>
  <c r="Q495" i="47"/>
  <c r="Q496" i="47"/>
  <c r="Q497" i="47"/>
  <c r="Q498" i="47"/>
  <c r="Q499" i="47"/>
  <c r="Q500" i="47"/>
  <c r="Q501" i="47"/>
  <c r="Q502" i="47"/>
  <c r="Q503" i="47"/>
  <c r="Q504" i="47"/>
  <c r="Q505" i="47"/>
  <c r="Q506" i="47"/>
  <c r="Q507" i="47"/>
  <c r="Q508" i="47"/>
  <c r="Q509" i="47"/>
  <c r="Q510" i="47"/>
  <c r="Q511" i="47"/>
  <c r="Q512" i="47"/>
  <c r="Q513" i="47"/>
  <c r="Q514" i="47"/>
  <c r="Q515" i="47"/>
  <c r="Q516" i="47"/>
  <c r="Q517" i="47"/>
  <c r="Q518" i="47"/>
  <c r="Q519" i="47"/>
  <c r="Q520" i="47"/>
  <c r="Q521" i="47"/>
  <c r="Q522" i="47"/>
  <c r="Q523" i="47"/>
  <c r="Q524" i="47"/>
  <c r="Q525" i="47"/>
  <c r="Q526" i="47"/>
  <c r="Q527" i="47"/>
  <c r="Q528" i="47"/>
  <c r="Q529" i="47"/>
  <c r="Q530" i="47"/>
  <c r="Q531" i="47"/>
  <c r="Q532" i="47"/>
  <c r="Q533" i="47"/>
  <c r="Q534" i="47"/>
  <c r="Q535" i="47"/>
  <c r="Q536" i="47"/>
  <c r="Q537" i="47"/>
  <c r="Q538" i="47"/>
  <c r="Q539" i="47"/>
  <c r="Q540" i="47"/>
  <c r="Q541" i="47"/>
  <c r="Q542" i="47"/>
  <c r="Q543" i="47"/>
  <c r="Q544" i="47"/>
  <c r="Q545" i="47"/>
  <c r="Q546" i="47"/>
  <c r="Q547" i="47"/>
  <c r="Q548" i="47"/>
  <c r="Q549" i="47"/>
  <c r="Q550" i="47"/>
  <c r="Q551" i="47"/>
  <c r="Q552" i="47"/>
  <c r="Q553" i="47"/>
  <c r="Q554" i="47"/>
  <c r="Q555" i="47"/>
  <c r="Q556" i="47"/>
  <c r="Q557" i="47"/>
  <c r="Q558" i="47"/>
  <c r="Q559" i="47"/>
  <c r="Q560" i="47"/>
  <c r="Q561" i="47"/>
  <c r="Q562" i="47"/>
  <c r="Q563" i="47"/>
  <c r="Q564" i="47"/>
  <c r="Q565" i="47"/>
  <c r="Q566" i="47"/>
  <c r="Q567" i="47"/>
  <c r="Q568" i="47"/>
  <c r="Q569" i="47"/>
  <c r="Q570" i="47"/>
  <c r="Q571" i="47"/>
  <c r="Q572" i="47"/>
  <c r="Q573" i="47"/>
  <c r="Q574" i="47"/>
  <c r="Q575" i="47"/>
  <c r="Q576" i="47"/>
  <c r="Q577" i="47"/>
  <c r="Q578" i="47"/>
  <c r="Q579" i="47"/>
  <c r="Q580" i="47"/>
  <c r="Q581" i="47"/>
  <c r="Q582" i="47"/>
  <c r="Q583" i="47"/>
  <c r="Q584" i="47"/>
  <c r="Q585" i="47"/>
  <c r="Q586" i="47"/>
  <c r="Q587" i="47"/>
  <c r="Q588" i="47"/>
  <c r="Q589" i="47"/>
  <c r="Q590" i="47"/>
  <c r="Q591" i="47"/>
  <c r="Q592" i="47"/>
  <c r="Q593" i="47"/>
  <c r="Q594" i="47"/>
  <c r="Q595" i="47"/>
  <c r="Q596" i="47"/>
  <c r="Q597" i="47"/>
  <c r="Q598" i="47"/>
  <c r="Q599" i="47"/>
  <c r="Q600" i="47"/>
  <c r="Q601" i="47"/>
  <c r="Q602" i="47"/>
  <c r="Q603" i="47"/>
  <c r="Q604" i="47"/>
  <c r="Q605" i="47"/>
  <c r="Q606" i="47"/>
  <c r="Q607" i="47"/>
  <c r="Q608" i="47"/>
  <c r="Q609" i="47"/>
  <c r="Q610" i="47"/>
  <c r="Q611" i="47"/>
  <c r="Q612" i="47"/>
  <c r="Q613" i="47"/>
  <c r="Q614" i="47"/>
  <c r="Q615" i="47"/>
  <c r="Q616" i="47"/>
  <c r="Q617" i="47"/>
  <c r="Q618" i="47"/>
  <c r="Q619" i="47"/>
  <c r="Q620" i="47"/>
  <c r="Q621" i="47"/>
  <c r="Q622" i="47"/>
  <c r="Q623" i="47"/>
  <c r="Q624" i="47"/>
  <c r="Q625" i="47"/>
  <c r="Q626" i="47"/>
  <c r="Q627" i="47"/>
  <c r="Q628" i="47"/>
  <c r="Q629" i="47"/>
  <c r="Q630" i="47"/>
  <c r="Q631" i="47"/>
  <c r="Q632" i="47"/>
  <c r="Q633" i="47"/>
  <c r="Q634" i="47"/>
  <c r="Q635" i="47"/>
  <c r="Q636" i="47"/>
  <c r="Q637" i="47"/>
  <c r="Q638" i="47"/>
  <c r="Q639" i="47"/>
  <c r="Q640" i="47"/>
  <c r="Q641" i="47"/>
  <c r="Q642" i="47"/>
  <c r="Q643" i="47"/>
  <c r="Q644" i="47"/>
  <c r="Q645" i="47"/>
  <c r="Q646" i="47"/>
  <c r="Q647" i="47"/>
  <c r="Q648" i="47"/>
  <c r="Q649" i="47"/>
  <c r="Q650" i="47"/>
  <c r="Q651" i="47"/>
  <c r="Q652" i="47"/>
  <c r="Q653" i="47"/>
  <c r="Q654" i="47"/>
  <c r="Q655" i="47"/>
  <c r="Q656" i="47"/>
  <c r="Q657" i="47"/>
  <c r="Q658" i="47"/>
  <c r="Q659" i="47"/>
  <c r="Q660" i="47"/>
  <c r="Q661" i="47"/>
  <c r="Q662" i="47"/>
  <c r="Q663" i="47"/>
  <c r="Q664" i="47"/>
  <c r="Q665" i="47"/>
  <c r="Q666" i="47"/>
  <c r="Q667" i="47"/>
  <c r="Q668" i="47"/>
  <c r="Q669" i="47"/>
  <c r="Q670" i="47"/>
  <c r="Q671" i="47"/>
  <c r="Q672" i="47"/>
  <c r="Q673" i="47"/>
  <c r="Q674" i="47"/>
  <c r="Q675" i="47"/>
  <c r="Q676" i="47"/>
  <c r="Q677" i="47"/>
  <c r="Q678" i="47"/>
  <c r="Q679" i="47"/>
  <c r="Q680" i="47"/>
  <c r="Q681" i="47"/>
  <c r="Q682" i="47"/>
  <c r="Q683" i="47"/>
  <c r="Q684" i="47"/>
  <c r="Q685" i="47"/>
  <c r="Q686" i="47"/>
  <c r="Q687" i="47"/>
  <c r="Q688" i="47"/>
  <c r="Q689" i="47"/>
  <c r="Q690" i="47"/>
  <c r="Q691" i="47"/>
  <c r="Q692" i="47"/>
  <c r="Q693" i="47"/>
  <c r="Q694" i="47"/>
  <c r="Q695" i="47"/>
  <c r="Q696" i="47"/>
  <c r="Q697" i="47"/>
  <c r="Q698" i="47"/>
  <c r="Q699" i="47"/>
  <c r="Q700" i="47"/>
  <c r="Q701" i="47"/>
  <c r="Q702" i="47"/>
  <c r="Q703" i="47"/>
  <c r="Q704" i="47"/>
  <c r="Q705" i="47"/>
  <c r="Q706" i="47"/>
  <c r="Q707" i="47"/>
  <c r="Q708" i="47"/>
  <c r="Q709" i="47"/>
  <c r="Q710" i="47"/>
  <c r="Q711" i="47"/>
  <c r="Q712" i="47"/>
  <c r="Q713" i="47"/>
  <c r="Q714" i="47"/>
  <c r="Q715" i="47"/>
  <c r="Q716" i="47"/>
  <c r="Q717" i="47"/>
  <c r="Q718" i="47"/>
  <c r="Q719" i="47"/>
  <c r="Q720" i="47"/>
  <c r="Q721" i="47"/>
  <c r="Q722" i="47"/>
  <c r="Q723" i="47"/>
  <c r="Q724" i="47"/>
  <c r="Q725" i="47"/>
  <c r="Q726" i="47"/>
  <c r="Q727" i="47"/>
  <c r="Q728" i="47"/>
  <c r="Q729" i="47"/>
  <c r="Q730" i="47"/>
  <c r="Q731" i="47"/>
  <c r="Q732" i="47"/>
  <c r="Q733" i="47"/>
  <c r="Q734" i="47"/>
  <c r="Q735" i="47"/>
  <c r="Q736" i="47"/>
  <c r="Q737" i="47"/>
  <c r="Q738" i="47"/>
  <c r="Q739" i="47"/>
  <c r="Q740" i="47"/>
  <c r="Q741" i="47"/>
  <c r="Q742" i="47"/>
  <c r="Q743" i="47"/>
  <c r="Q744" i="47"/>
  <c r="Q745" i="47"/>
  <c r="Q746" i="47"/>
  <c r="Q747" i="47"/>
  <c r="Q748" i="47"/>
  <c r="Q749" i="47"/>
  <c r="Q750" i="47"/>
  <c r="Q751" i="47"/>
  <c r="Q752" i="47"/>
  <c r="Q753" i="47"/>
  <c r="Q754" i="47"/>
  <c r="Q755" i="47"/>
  <c r="Q756" i="47"/>
  <c r="Q757" i="47"/>
  <c r="Q758" i="47"/>
  <c r="Q759" i="47"/>
  <c r="Q760" i="47"/>
  <c r="Q761" i="47"/>
  <c r="Q762" i="47"/>
  <c r="Q763" i="47"/>
  <c r="Q764" i="47"/>
  <c r="Q765" i="47"/>
  <c r="Q766" i="47"/>
  <c r="Q767" i="47"/>
  <c r="Q768" i="47"/>
  <c r="Q769" i="47"/>
  <c r="Q770" i="47"/>
  <c r="Q771" i="47"/>
  <c r="Q772" i="47"/>
  <c r="Q773" i="47"/>
  <c r="Q774" i="47"/>
  <c r="Q775" i="47"/>
  <c r="Q776" i="47"/>
  <c r="Q777" i="47"/>
  <c r="Q778" i="47"/>
  <c r="Q779" i="47"/>
  <c r="Q780" i="47"/>
  <c r="Q781" i="47"/>
  <c r="Q782" i="47"/>
  <c r="Q783" i="47"/>
  <c r="Q784" i="47"/>
  <c r="Q785" i="47"/>
  <c r="Q786" i="47"/>
  <c r="Q787" i="47"/>
  <c r="Q788" i="47"/>
  <c r="Q789" i="47"/>
  <c r="Q790" i="47"/>
  <c r="Q791" i="47"/>
  <c r="Q792" i="47"/>
  <c r="Q793" i="47"/>
  <c r="Q794" i="47"/>
  <c r="Q795" i="47"/>
  <c r="Q796" i="47"/>
  <c r="Q797" i="47"/>
  <c r="Q798" i="47"/>
  <c r="Q799" i="47"/>
  <c r="Q800" i="47"/>
  <c r="Q801" i="47"/>
  <c r="Q802" i="47"/>
  <c r="Q803" i="47"/>
  <c r="Q804" i="47"/>
  <c r="Q805" i="47"/>
  <c r="Q806" i="47"/>
  <c r="Q807" i="47"/>
  <c r="Q808" i="47"/>
  <c r="Q809" i="47"/>
  <c r="Q810" i="47"/>
  <c r="Q811" i="47"/>
  <c r="Q812" i="47"/>
  <c r="Q813" i="47"/>
  <c r="Q814" i="47"/>
  <c r="Q815" i="47"/>
  <c r="Q816" i="47"/>
  <c r="Q817" i="47"/>
  <c r="Q818" i="47"/>
  <c r="Q819" i="47"/>
  <c r="Q820" i="47"/>
  <c r="Q821" i="47"/>
  <c r="Q822" i="47"/>
  <c r="Q823" i="47"/>
  <c r="Q824" i="47"/>
  <c r="Q825" i="47"/>
  <c r="Q826" i="47"/>
  <c r="Q827" i="47"/>
  <c r="Q828" i="47"/>
  <c r="Q829" i="47"/>
  <c r="Q830" i="47"/>
  <c r="Q831" i="47"/>
  <c r="Q832" i="47"/>
  <c r="Q833" i="47"/>
  <c r="Q834" i="47"/>
  <c r="Q835" i="47"/>
  <c r="Q836" i="47"/>
  <c r="Q837" i="47"/>
  <c r="Q838" i="47"/>
  <c r="Q839" i="47"/>
  <c r="Q840" i="47"/>
  <c r="Q841" i="47"/>
  <c r="Q842" i="47"/>
  <c r="Q843" i="47"/>
  <c r="Q844" i="47"/>
  <c r="Q845" i="47"/>
  <c r="Q846" i="47"/>
  <c r="Q847" i="47"/>
  <c r="Q848" i="47"/>
  <c r="Q849" i="47"/>
  <c r="Q850" i="47"/>
  <c r="Q851" i="47"/>
  <c r="Q852" i="47"/>
  <c r="Q853" i="47"/>
  <c r="Q854" i="47"/>
  <c r="Q855" i="47"/>
  <c r="Q856" i="47"/>
  <c r="Q857" i="47"/>
  <c r="Q858" i="47"/>
  <c r="Q859" i="47"/>
  <c r="Q860" i="47"/>
  <c r="Q861" i="47"/>
  <c r="Q862" i="47"/>
  <c r="Q863" i="47"/>
  <c r="Q864" i="47"/>
  <c r="Q865" i="47"/>
  <c r="Q866" i="47"/>
  <c r="Q867" i="47"/>
  <c r="Q868" i="47"/>
  <c r="Q869" i="47"/>
  <c r="Q870" i="47"/>
  <c r="Q871" i="47"/>
  <c r="Q872" i="47"/>
  <c r="Q873" i="47"/>
  <c r="Q874" i="47"/>
  <c r="Q875" i="47"/>
  <c r="Q876" i="47"/>
  <c r="Q877" i="47"/>
  <c r="Q878" i="47"/>
  <c r="Q879" i="47"/>
  <c r="Q880" i="47"/>
  <c r="Q881" i="47"/>
  <c r="Q882" i="47"/>
  <c r="Q883" i="47"/>
  <c r="Q884" i="47"/>
  <c r="Q885" i="47"/>
  <c r="Q886" i="47"/>
  <c r="Q887" i="47"/>
  <c r="Q888" i="47"/>
  <c r="Q889" i="47"/>
  <c r="Q890" i="47"/>
  <c r="Q891" i="47"/>
  <c r="Q892" i="47"/>
  <c r="Q893" i="47"/>
  <c r="Q894" i="47"/>
  <c r="Q895" i="47"/>
  <c r="Q896" i="47"/>
  <c r="Q897" i="47"/>
  <c r="Q898" i="47"/>
  <c r="Q899" i="47"/>
  <c r="Q900" i="47"/>
  <c r="Q901" i="47"/>
  <c r="Q902" i="47"/>
  <c r="Q903" i="47"/>
  <c r="Q904" i="47"/>
  <c r="Q905" i="47"/>
  <c r="Q906" i="47"/>
  <c r="Q907" i="47"/>
  <c r="Q908" i="47"/>
  <c r="Q909" i="47"/>
  <c r="Q910" i="47"/>
  <c r="Q911" i="47"/>
  <c r="Q912" i="47"/>
  <c r="Q913" i="47"/>
  <c r="Q914" i="47"/>
  <c r="Q915" i="47"/>
  <c r="Q916" i="47"/>
  <c r="Q917" i="47"/>
  <c r="Q918" i="47"/>
  <c r="Q919" i="47"/>
  <c r="Q920" i="47"/>
  <c r="Q921" i="47"/>
  <c r="Q922" i="47"/>
  <c r="Q923" i="47"/>
  <c r="Q924" i="47"/>
  <c r="Q925" i="47"/>
  <c r="Q926" i="47"/>
  <c r="Q927" i="47"/>
  <c r="Q928" i="47"/>
  <c r="Q929" i="47"/>
  <c r="Q930" i="47"/>
  <c r="Q931" i="47"/>
  <c r="Q932" i="47"/>
  <c r="Q933" i="47"/>
  <c r="Q934" i="47"/>
  <c r="Q935" i="47"/>
  <c r="Q936" i="47"/>
  <c r="Q937" i="47"/>
  <c r="Q938" i="47"/>
  <c r="Q939" i="47"/>
  <c r="Q940" i="47"/>
  <c r="Q941" i="47"/>
  <c r="Q942" i="47"/>
  <c r="Q943" i="47"/>
  <c r="Q944" i="47"/>
  <c r="Q945" i="47"/>
  <c r="Q946" i="47"/>
  <c r="Q947" i="47"/>
  <c r="Q948" i="47"/>
  <c r="Q949" i="47"/>
  <c r="Q950" i="47"/>
  <c r="Q951" i="47"/>
  <c r="Q952" i="47"/>
  <c r="Q953" i="47"/>
  <c r="Q954" i="47"/>
  <c r="Q955" i="47"/>
  <c r="Q956" i="47"/>
  <c r="Q957" i="47"/>
  <c r="Q958" i="47"/>
  <c r="Q959" i="47"/>
  <c r="Q960" i="47"/>
  <c r="Q961" i="47"/>
  <c r="Q962" i="47"/>
  <c r="Q963" i="47"/>
  <c r="Q964" i="47"/>
  <c r="Q965" i="47"/>
  <c r="Q966" i="47"/>
  <c r="Q967" i="47"/>
  <c r="Q968" i="47"/>
  <c r="Q969" i="47"/>
  <c r="Q970" i="47"/>
  <c r="Q971" i="47"/>
  <c r="Q972" i="47"/>
  <c r="Q973" i="47"/>
  <c r="Q974" i="47"/>
  <c r="Q975" i="47"/>
  <c r="Q976" i="47"/>
  <c r="Q977" i="47"/>
  <c r="Q978" i="47"/>
  <c r="Q979" i="47"/>
  <c r="Q980" i="47"/>
  <c r="Q981" i="47"/>
  <c r="Q982" i="47"/>
  <c r="Q983" i="47"/>
  <c r="Q984" i="47"/>
  <c r="Q985" i="47"/>
  <c r="Q986" i="47"/>
  <c r="Q987" i="47"/>
  <c r="Q988" i="47"/>
  <c r="Q989" i="47"/>
  <c r="Q990" i="47"/>
  <c r="Q991" i="47"/>
  <c r="Q992" i="47"/>
  <c r="Q993" i="47"/>
  <c r="Q994" i="47"/>
  <c r="Q995" i="47"/>
  <c r="Q996" i="47"/>
  <c r="Q997" i="47"/>
  <c r="Q998" i="47"/>
  <c r="Q999" i="47"/>
  <c r="AI315" i="23"/>
  <c r="AK315" i="23"/>
  <c r="AK322" i="23"/>
  <c r="AI322" i="23"/>
  <c r="AI325" i="23"/>
  <c r="AK325" i="23"/>
  <c r="AK331" i="23"/>
  <c r="AI331" i="23"/>
  <c r="AI334" i="23"/>
  <c r="AK334" i="23"/>
  <c r="AK339" i="23"/>
  <c r="AH339" i="23"/>
  <c r="AI339" i="23" s="1"/>
  <c r="AI342" i="23"/>
  <c r="AK342" i="23"/>
  <c r="AK346" i="23"/>
  <c r="AH346" i="23"/>
  <c r="AI346" i="23" s="1"/>
  <c r="AI349" i="23"/>
  <c r="AK349" i="23"/>
  <c r="AK352" i="23"/>
  <c r="AH352" i="23"/>
  <c r="AI352" i="23" s="1"/>
  <c r="AI355" i="23"/>
  <c r="AK355" i="23"/>
  <c r="AK357" i="23"/>
  <c r="AH357" i="23"/>
  <c r="AI357" i="23" s="1"/>
  <c r="AI360" i="23"/>
  <c r="AK360" i="23"/>
  <c r="AK361" i="23"/>
  <c r="AH361" i="23"/>
  <c r="AI361" i="23" s="1"/>
  <c r="AO361" i="23"/>
  <c r="AO357" i="23"/>
  <c r="AO356" i="23"/>
  <c r="AL356" i="23"/>
  <c r="AK356" i="23"/>
  <c r="AH356" i="23"/>
  <c r="AI356" i="23" s="1"/>
  <c r="AO352" i="23"/>
  <c r="AO351" i="23"/>
  <c r="AL351" i="23"/>
  <c r="AK351" i="23"/>
  <c r="AI351" i="23"/>
  <c r="AM350" i="23"/>
  <c r="AO350" i="23" s="1"/>
  <c r="AL350" i="23"/>
  <c r="AK350" i="23"/>
  <c r="AI350" i="23"/>
  <c r="AO346" i="23"/>
  <c r="AO345" i="23"/>
  <c r="AL345" i="23"/>
  <c r="AK345" i="23"/>
  <c r="AI345" i="23"/>
  <c r="AO344" i="23"/>
  <c r="AL344" i="23"/>
  <c r="AK344" i="23"/>
  <c r="AI344" i="23"/>
  <c r="AO343" i="23"/>
  <c r="AL343" i="23"/>
  <c r="AK343" i="23"/>
  <c r="AH343" i="23"/>
  <c r="AI343" i="23" s="1"/>
  <c r="AO339" i="23"/>
  <c r="AO338" i="23"/>
  <c r="AL338" i="23"/>
  <c r="AK338" i="23"/>
  <c r="AH338" i="23"/>
  <c r="AI338" i="23" s="1"/>
  <c r="AO337" i="23"/>
  <c r="AL337" i="23"/>
  <c r="AK337" i="23"/>
  <c r="AH337" i="23"/>
  <c r="AI337" i="23" s="1"/>
  <c r="AO336" i="23"/>
  <c r="AL336" i="23"/>
  <c r="AK336" i="23"/>
  <c r="AH336" i="23"/>
  <c r="AI336" i="23" s="1"/>
  <c r="AO335" i="23"/>
  <c r="AL335" i="23"/>
  <c r="AK335" i="23"/>
  <c r="AH335" i="23"/>
  <c r="AI335" i="23" s="1"/>
  <c r="AO331" i="23"/>
  <c r="AO330" i="23"/>
  <c r="AL330" i="23"/>
  <c r="AK330" i="23"/>
  <c r="AI330" i="23"/>
  <c r="AO329" i="23"/>
  <c r="AL329" i="23"/>
  <c r="AK329" i="23"/>
  <c r="AI329" i="23"/>
  <c r="AO328" i="23"/>
  <c r="AL328" i="23"/>
  <c r="AK328" i="23"/>
  <c r="AI328" i="23"/>
  <c r="AO327" i="23"/>
  <c r="AL327" i="23"/>
  <c r="AK327" i="23"/>
  <c r="AI327" i="23"/>
  <c r="AO326" i="23"/>
  <c r="AL326" i="23"/>
  <c r="AK326" i="23"/>
  <c r="AI326" i="23"/>
  <c r="AO322" i="23"/>
  <c r="AO321" i="23"/>
  <c r="AL321" i="23"/>
  <c r="AK321" i="23"/>
  <c r="AI321" i="23"/>
  <c r="AO320" i="23"/>
  <c r="AL320" i="23"/>
  <c r="AK320" i="23"/>
  <c r="AI320" i="23"/>
  <c r="AO319" i="23"/>
  <c r="AL319" i="23"/>
  <c r="AK319" i="23"/>
  <c r="AI319" i="23"/>
  <c r="AO318" i="23"/>
  <c r="AL318" i="23"/>
  <c r="AK318" i="23"/>
  <c r="AI318" i="23"/>
  <c r="AO317" i="23"/>
  <c r="AL317" i="23"/>
  <c r="AK317" i="23"/>
  <c r="AI317" i="23"/>
  <c r="AO316" i="23"/>
  <c r="AL316" i="23"/>
  <c r="AK316" i="23"/>
  <c r="AI316" i="23"/>
  <c r="AI304" i="23"/>
  <c r="AK304" i="23"/>
  <c r="AK312" i="23"/>
  <c r="AI312" i="23"/>
  <c r="AO312" i="23"/>
  <c r="AO311" i="23"/>
  <c r="AL311" i="23"/>
  <c r="AK311" i="23"/>
  <c r="AI311" i="23"/>
  <c r="AO310" i="23"/>
  <c r="AL310" i="23"/>
  <c r="AK310" i="23"/>
  <c r="AI310" i="23"/>
  <c r="AO309" i="23"/>
  <c r="AL309" i="23"/>
  <c r="AK309" i="23"/>
  <c r="AI309" i="23"/>
  <c r="AO308" i="23"/>
  <c r="AL308" i="23"/>
  <c r="AK308" i="23"/>
  <c r="AI308" i="23"/>
  <c r="AO307" i="23"/>
  <c r="AL307" i="23"/>
  <c r="AK307" i="23"/>
  <c r="AI307" i="23"/>
  <c r="AO306" i="23"/>
  <c r="AL306" i="23"/>
  <c r="AK306" i="23"/>
  <c r="AI306" i="23"/>
  <c r="AO305" i="23"/>
  <c r="AL305" i="23"/>
  <c r="AK305" i="23"/>
  <c r="AI305" i="23"/>
  <c r="F21" i="36"/>
  <c r="F22" i="36"/>
  <c r="G22" i="36" s="1"/>
  <c r="H9" i="36"/>
  <c r="I9" i="36" s="1"/>
  <c r="F23" i="36"/>
  <c r="H10" i="36"/>
  <c r="I10" i="36" s="1"/>
  <c r="F24" i="36"/>
  <c r="H11" i="36"/>
  <c r="I11" i="36" s="1"/>
  <c r="F25" i="36"/>
  <c r="G25" i="36" s="1"/>
  <c r="H12" i="36"/>
  <c r="I12" i="36" s="1"/>
  <c r="F26" i="36"/>
  <c r="H13" i="36"/>
  <c r="I13" i="36" s="1"/>
  <c r="F27" i="36"/>
  <c r="H14" i="36"/>
  <c r="I14" i="36" s="1"/>
  <c r="F28" i="36"/>
  <c r="I28" i="36" s="1"/>
  <c r="F29" i="36"/>
  <c r="I29" i="36" s="1"/>
  <c r="F30" i="36"/>
  <c r="I30" i="36" s="1"/>
  <c r="F31" i="36"/>
  <c r="I31" i="36" s="1"/>
  <c r="F32" i="36"/>
  <c r="I32" i="36" s="1"/>
  <c r="F33" i="36"/>
  <c r="I33" i="36" s="1"/>
  <c r="F34" i="36"/>
  <c r="I34" i="36" s="1"/>
  <c r="F35" i="36"/>
  <c r="I35" i="36" s="1"/>
  <c r="F36" i="36"/>
  <c r="I36" i="36" s="1"/>
  <c r="F37" i="36"/>
  <c r="I37" i="36" s="1"/>
  <c r="F38" i="36"/>
  <c r="I38" i="36" s="1"/>
  <c r="H8" i="4"/>
  <c r="I8" i="4" s="1"/>
  <c r="H21" i="4"/>
  <c r="I21" i="4" s="1"/>
  <c r="H22" i="4"/>
  <c r="I22" i="4" s="1"/>
  <c r="H60" i="4"/>
  <c r="I60" i="4" s="1"/>
  <c r="H8" i="5"/>
  <c r="I8" i="5" s="1"/>
  <c r="H9" i="5"/>
  <c r="I9" i="5" s="1"/>
  <c r="H10" i="5"/>
  <c r="I10" i="5" s="1"/>
  <c r="H11" i="5"/>
  <c r="I11" i="5" s="1"/>
  <c r="H12" i="5"/>
  <c r="I12" i="5" s="1"/>
  <c r="H13" i="5"/>
  <c r="I13" i="5" s="1"/>
  <c r="H14" i="5"/>
  <c r="I14" i="5" s="1"/>
  <c r="I8" i="25"/>
  <c r="J8" i="25" s="1"/>
  <c r="L8" i="25" s="1"/>
  <c r="H8" i="25"/>
  <c r="I9" i="25"/>
  <c r="J9" i="25" s="1"/>
  <c r="I10" i="25"/>
  <c r="J10" i="25" s="1"/>
  <c r="I11" i="25"/>
  <c r="J11" i="25" s="1"/>
  <c r="I12" i="25"/>
  <c r="J12" i="25" s="1"/>
  <c r="I13" i="25"/>
  <c r="J13" i="25" s="1"/>
  <c r="I14" i="25"/>
  <c r="J14" i="25" s="1"/>
  <c r="L14" i="25" s="1"/>
  <c r="I15" i="25"/>
  <c r="J15" i="25" s="1"/>
  <c r="L15" i="25" s="1"/>
  <c r="I16" i="25"/>
  <c r="J16" i="25" s="1"/>
  <c r="I17" i="25"/>
  <c r="J17" i="25" s="1"/>
  <c r="L17" i="25" s="1"/>
  <c r="I18" i="25"/>
  <c r="J18" i="25" s="1"/>
  <c r="L18" i="25" s="1"/>
  <c r="I19" i="25"/>
  <c r="J19" i="25" s="1"/>
  <c r="I20" i="25"/>
  <c r="J20" i="25" s="1"/>
  <c r="I21" i="25"/>
  <c r="J21" i="25" s="1"/>
  <c r="I22" i="25"/>
  <c r="J22" i="25" s="1"/>
  <c r="I23" i="25"/>
  <c r="J23" i="25" s="1"/>
  <c r="I24" i="25"/>
  <c r="J24" i="25" s="1"/>
  <c r="I25" i="25"/>
  <c r="J25" i="25" s="1"/>
  <c r="L25" i="25" s="1"/>
  <c r="H8" i="6"/>
  <c r="I8" i="6" s="1"/>
  <c r="H9" i="6"/>
  <c r="I9" i="6" s="1"/>
  <c r="H10" i="6"/>
  <c r="I10" i="6" s="1"/>
  <c r="H11" i="6"/>
  <c r="I11" i="6" s="1"/>
  <c r="H13" i="6"/>
  <c r="I13" i="6" s="1"/>
  <c r="H14" i="6"/>
  <c r="I14" i="6" s="1"/>
  <c r="H15" i="6"/>
  <c r="I15" i="6" s="1"/>
  <c r="H16" i="6"/>
  <c r="I16" i="6" s="1"/>
  <c r="H17" i="6"/>
  <c r="I17" i="6" s="1"/>
  <c r="H18" i="6"/>
  <c r="I18" i="6" s="1"/>
  <c r="H19" i="6"/>
  <c r="I19" i="6" s="1"/>
  <c r="H20" i="6"/>
  <c r="I20" i="6" s="1"/>
  <c r="H21" i="6"/>
  <c r="I21" i="6" s="1"/>
  <c r="H22" i="6"/>
  <c r="I22" i="6" s="1"/>
  <c r="H23" i="6"/>
  <c r="I23" i="6" s="1"/>
  <c r="H24" i="6"/>
  <c r="I24" i="6" s="1"/>
  <c r="H25" i="6"/>
  <c r="I25" i="6" s="1"/>
  <c r="H9" i="8"/>
  <c r="I9" i="8" s="1"/>
  <c r="H10" i="8"/>
  <c r="I10" i="8" s="1"/>
  <c r="H11" i="8"/>
  <c r="I11" i="8" s="1"/>
  <c r="H12" i="8"/>
  <c r="I12" i="8" s="1"/>
  <c r="H13" i="8"/>
  <c r="I13" i="8" s="1"/>
  <c r="H14" i="8"/>
  <c r="I14" i="8" s="1"/>
  <c r="H15" i="8"/>
  <c r="I15" i="8" s="1"/>
  <c r="H16" i="8"/>
  <c r="I16" i="8" s="1"/>
  <c r="H17" i="8"/>
  <c r="I17" i="8" s="1"/>
  <c r="H18" i="8"/>
  <c r="I18" i="8" s="1"/>
  <c r="H19" i="8"/>
  <c r="I19" i="8" s="1"/>
  <c r="H20" i="8"/>
  <c r="I20" i="8" s="1"/>
  <c r="H21" i="8"/>
  <c r="I21" i="8" s="1"/>
  <c r="H22" i="8"/>
  <c r="I22" i="8" s="1"/>
  <c r="H23" i="8"/>
  <c r="I23" i="8" s="1"/>
  <c r="H8" i="10"/>
  <c r="I8" i="10" s="1"/>
  <c r="H9" i="10"/>
  <c r="I9" i="10" s="1"/>
  <c r="H10" i="10"/>
  <c r="I10" i="10" s="1"/>
  <c r="H11" i="10"/>
  <c r="I11" i="10" s="1"/>
  <c r="H12" i="10"/>
  <c r="I12" i="10" s="1"/>
  <c r="H13" i="10"/>
  <c r="I13" i="10" s="1"/>
  <c r="H14" i="10"/>
  <c r="I14" i="10" s="1"/>
  <c r="H15" i="10"/>
  <c r="I15" i="10" s="1"/>
  <c r="H16" i="10"/>
  <c r="I16" i="10" s="1"/>
  <c r="H17" i="10"/>
  <c r="I17" i="10" s="1"/>
  <c r="H18" i="10"/>
  <c r="I18" i="10" s="1"/>
  <c r="H19" i="10"/>
  <c r="I19" i="10" s="1"/>
  <c r="H20" i="10"/>
  <c r="I20" i="10" s="1"/>
  <c r="H21" i="10"/>
  <c r="I21" i="10" s="1"/>
  <c r="H22" i="10"/>
  <c r="I22" i="10" s="1"/>
  <c r="H23" i="10"/>
  <c r="I23" i="10" s="1"/>
  <c r="H24" i="10"/>
  <c r="I24" i="10" s="1"/>
  <c r="H25" i="10"/>
  <c r="I25" i="10" s="1"/>
  <c r="G19" i="49"/>
  <c r="H19" i="49" s="1"/>
  <c r="G20" i="49"/>
  <c r="H20" i="49" s="1"/>
  <c r="G21" i="49"/>
  <c r="H21" i="49" s="1"/>
  <c r="G22" i="49"/>
  <c r="H22" i="49" s="1"/>
  <c r="G23" i="49"/>
  <c r="H23" i="49" s="1"/>
  <c r="G24" i="49"/>
  <c r="H24" i="49" s="1"/>
  <c r="G25" i="49"/>
  <c r="H25" i="49" s="1"/>
  <c r="G26" i="49"/>
  <c r="H26" i="49" s="1"/>
  <c r="G27" i="49"/>
  <c r="H27" i="49" s="1"/>
  <c r="M42" i="49"/>
  <c r="O42" i="49" s="1"/>
  <c r="M43" i="49"/>
  <c r="O43" i="49" s="1"/>
  <c r="M44" i="49"/>
  <c r="O44" i="49" s="1"/>
  <c r="M45" i="49"/>
  <c r="O45" i="49" s="1"/>
  <c r="M46" i="49"/>
  <c r="O46" i="49" s="1"/>
  <c r="M47" i="49"/>
  <c r="O47" i="49" s="1"/>
  <c r="M48" i="49"/>
  <c r="O48" i="49" s="1"/>
  <c r="M49" i="49"/>
  <c r="O49" i="49" s="1"/>
  <c r="M50" i="49"/>
  <c r="O50" i="49" s="1"/>
  <c r="M51" i="49"/>
  <c r="O51" i="49" s="1"/>
  <c r="M52" i="49"/>
  <c r="O52" i="49" s="1"/>
  <c r="M53" i="49"/>
  <c r="O53" i="49" s="1"/>
  <c r="G42" i="49"/>
  <c r="H42" i="49" s="1"/>
  <c r="I42" i="49" s="1"/>
  <c r="G43" i="49"/>
  <c r="H43" i="49" s="1"/>
  <c r="G44" i="49"/>
  <c r="H44" i="49" s="1"/>
  <c r="G45" i="49"/>
  <c r="H45" i="49" s="1"/>
  <c r="G46" i="49"/>
  <c r="H46" i="49" s="1"/>
  <c r="G47" i="49"/>
  <c r="H47" i="49" s="1"/>
  <c r="G48" i="49"/>
  <c r="H48" i="49" s="1"/>
  <c r="G49" i="49"/>
  <c r="H49" i="49" s="1"/>
  <c r="G50" i="49"/>
  <c r="H50" i="49" s="1"/>
  <c r="G51" i="49"/>
  <c r="H51" i="49" s="1"/>
  <c r="G52" i="49"/>
  <c r="H52" i="49" s="1"/>
  <c r="G53" i="49"/>
  <c r="H53" i="49" s="1"/>
  <c r="M68" i="49"/>
  <c r="O68" i="49" s="1"/>
  <c r="M69" i="49"/>
  <c r="O69" i="49" s="1"/>
  <c r="M70" i="49"/>
  <c r="O70" i="49" s="1"/>
  <c r="M71" i="49"/>
  <c r="O71" i="49" s="1"/>
  <c r="M72" i="49"/>
  <c r="O72" i="49" s="1"/>
  <c r="M73" i="49"/>
  <c r="O73" i="49" s="1"/>
  <c r="M74" i="49"/>
  <c r="O74" i="49" s="1"/>
  <c r="M75" i="49"/>
  <c r="O75" i="49" s="1"/>
  <c r="M76" i="49"/>
  <c r="O76" i="49" s="1"/>
  <c r="M77" i="49"/>
  <c r="O77" i="49" s="1"/>
  <c r="M78" i="49"/>
  <c r="O78" i="49" s="1"/>
  <c r="M79" i="49"/>
  <c r="O79" i="49" s="1"/>
  <c r="G68" i="49"/>
  <c r="H68" i="49" s="1"/>
  <c r="I68" i="49" s="1"/>
  <c r="G69" i="49"/>
  <c r="H69" i="49" s="1"/>
  <c r="G70" i="49"/>
  <c r="H70" i="49" s="1"/>
  <c r="G71" i="49"/>
  <c r="H71" i="49" s="1"/>
  <c r="G72" i="49"/>
  <c r="H72" i="49" s="1"/>
  <c r="G73" i="49"/>
  <c r="H73" i="49" s="1"/>
  <c r="G74" i="49"/>
  <c r="H74" i="49" s="1"/>
  <c r="G75" i="49"/>
  <c r="H75" i="49" s="1"/>
  <c r="G76" i="49"/>
  <c r="H76" i="49" s="1"/>
  <c r="G77" i="49"/>
  <c r="H77" i="49" s="1"/>
  <c r="G78" i="49"/>
  <c r="H78" i="49" s="1"/>
  <c r="G79" i="49"/>
  <c r="H79" i="49" s="1"/>
  <c r="M94" i="49"/>
  <c r="O94" i="49" s="1"/>
  <c r="M95" i="49"/>
  <c r="O95" i="49" s="1"/>
  <c r="M96" i="49"/>
  <c r="O96" i="49" s="1"/>
  <c r="M97" i="49"/>
  <c r="O97" i="49" s="1"/>
  <c r="M98" i="49"/>
  <c r="O98" i="49" s="1"/>
  <c r="M99" i="49"/>
  <c r="O99" i="49" s="1"/>
  <c r="M100" i="49"/>
  <c r="O100" i="49" s="1"/>
  <c r="M101" i="49"/>
  <c r="O101" i="49" s="1"/>
  <c r="M102" i="49"/>
  <c r="O102" i="49" s="1"/>
  <c r="M103" i="49"/>
  <c r="O103" i="49" s="1"/>
  <c r="M104" i="49"/>
  <c r="O104" i="49" s="1"/>
  <c r="M105" i="49"/>
  <c r="O105" i="49" s="1"/>
  <c r="G94" i="49"/>
  <c r="H94" i="49" s="1"/>
  <c r="G95" i="49"/>
  <c r="H95" i="49" s="1"/>
  <c r="G96" i="49"/>
  <c r="H96" i="49" s="1"/>
  <c r="G97" i="49"/>
  <c r="H97" i="49" s="1"/>
  <c r="G98" i="49"/>
  <c r="H98" i="49" s="1"/>
  <c r="G99" i="49"/>
  <c r="H99" i="49" s="1"/>
  <c r="G100" i="49"/>
  <c r="H100" i="49" s="1"/>
  <c r="G101" i="49"/>
  <c r="H101" i="49" s="1"/>
  <c r="G102" i="49"/>
  <c r="H102" i="49" s="1"/>
  <c r="G103" i="49"/>
  <c r="H103" i="49" s="1"/>
  <c r="G104" i="49"/>
  <c r="H104" i="49" s="1"/>
  <c r="G105" i="49"/>
  <c r="H105" i="49" s="1"/>
  <c r="M120" i="49"/>
  <c r="O120" i="49" s="1"/>
  <c r="M121" i="49"/>
  <c r="O121" i="49" s="1"/>
  <c r="M122" i="49"/>
  <c r="O122" i="49" s="1"/>
  <c r="M123" i="49"/>
  <c r="O123" i="49" s="1"/>
  <c r="M124" i="49"/>
  <c r="O124" i="49" s="1"/>
  <c r="M125" i="49"/>
  <c r="O125" i="49" s="1"/>
  <c r="M126" i="49"/>
  <c r="O126" i="49" s="1"/>
  <c r="M127" i="49"/>
  <c r="O127" i="49" s="1"/>
  <c r="M128" i="49"/>
  <c r="O128" i="49" s="1"/>
  <c r="M129" i="49"/>
  <c r="O129" i="49" s="1"/>
  <c r="M130" i="49"/>
  <c r="O130" i="49" s="1"/>
  <c r="M131" i="49"/>
  <c r="O131" i="49" s="1"/>
  <c r="G120" i="49"/>
  <c r="H120" i="49" s="1"/>
  <c r="I120" i="49" s="1"/>
  <c r="G121" i="49"/>
  <c r="H121" i="49" s="1"/>
  <c r="G122" i="49"/>
  <c r="H122" i="49" s="1"/>
  <c r="G123" i="49"/>
  <c r="H123" i="49" s="1"/>
  <c r="G124" i="49"/>
  <c r="H124" i="49" s="1"/>
  <c r="G125" i="49"/>
  <c r="H125" i="49" s="1"/>
  <c r="G126" i="49"/>
  <c r="H126" i="49" s="1"/>
  <c r="G127" i="49"/>
  <c r="H127" i="49" s="1"/>
  <c r="G128" i="49"/>
  <c r="H128" i="49" s="1"/>
  <c r="G129" i="49"/>
  <c r="H129" i="49" s="1"/>
  <c r="G130" i="49"/>
  <c r="H130" i="49" s="1"/>
  <c r="G131" i="49"/>
  <c r="H131" i="49" s="1"/>
  <c r="M146" i="49"/>
  <c r="O146" i="49" s="1"/>
  <c r="M147" i="49"/>
  <c r="O147" i="49" s="1"/>
  <c r="M148" i="49"/>
  <c r="O148" i="49" s="1"/>
  <c r="M149" i="49"/>
  <c r="O149" i="49" s="1"/>
  <c r="M150" i="49"/>
  <c r="O150" i="49" s="1"/>
  <c r="M151" i="49"/>
  <c r="O151" i="49" s="1"/>
  <c r="M152" i="49"/>
  <c r="O152" i="49" s="1"/>
  <c r="M153" i="49"/>
  <c r="O153" i="49" s="1"/>
  <c r="M154" i="49"/>
  <c r="O154" i="49" s="1"/>
  <c r="M155" i="49"/>
  <c r="O155" i="49" s="1"/>
  <c r="M156" i="49"/>
  <c r="O156" i="49" s="1"/>
  <c r="M157" i="49"/>
  <c r="O157" i="49" s="1"/>
  <c r="G146" i="49"/>
  <c r="H146" i="49" s="1"/>
  <c r="G147" i="49"/>
  <c r="H147" i="49" s="1"/>
  <c r="G148" i="49"/>
  <c r="H148" i="49" s="1"/>
  <c r="G149" i="49"/>
  <c r="H149" i="49" s="1"/>
  <c r="G150" i="49"/>
  <c r="H150" i="49" s="1"/>
  <c r="G151" i="49"/>
  <c r="H151" i="49" s="1"/>
  <c r="G152" i="49"/>
  <c r="H152" i="49" s="1"/>
  <c r="G153" i="49"/>
  <c r="H153" i="49" s="1"/>
  <c r="G154" i="49"/>
  <c r="H154" i="49" s="1"/>
  <c r="G155" i="49"/>
  <c r="H155" i="49" s="1"/>
  <c r="G156" i="49"/>
  <c r="H156" i="49" s="1"/>
  <c r="G157" i="49"/>
  <c r="H157" i="49" s="1"/>
  <c r="H9" i="27"/>
  <c r="I9" i="27" s="1"/>
  <c r="H16" i="27"/>
  <c r="I16" i="27" s="1"/>
  <c r="H17" i="27"/>
  <c r="I17" i="27" s="1"/>
  <c r="H20" i="27"/>
  <c r="I20" i="27" s="1"/>
  <c r="H21" i="27"/>
  <c r="I21" i="27" s="1"/>
  <c r="H28" i="27"/>
  <c r="I28" i="27" s="1"/>
  <c r="H29" i="27"/>
  <c r="I29" i="27" s="1"/>
  <c r="H30" i="27"/>
  <c r="I30" i="27" s="1"/>
  <c r="H35" i="27"/>
  <c r="I35" i="27" s="1"/>
  <c r="H36" i="27"/>
  <c r="I36" i="27" s="1"/>
  <c r="H37" i="27"/>
  <c r="I37" i="27" s="1"/>
  <c r="H38" i="27"/>
  <c r="I38" i="27" s="1"/>
  <c r="H39" i="27"/>
  <c r="I39" i="27" s="1"/>
  <c r="H40" i="27"/>
  <c r="I40" i="27" s="1"/>
  <c r="H9" i="12"/>
  <c r="I9" i="12" s="1"/>
  <c r="H10" i="12"/>
  <c r="I10" i="12" s="1"/>
  <c r="H11" i="12"/>
  <c r="I11" i="12" s="1"/>
  <c r="H12" i="12"/>
  <c r="I12" i="12" s="1"/>
  <c r="H13" i="12"/>
  <c r="I13" i="12" s="1"/>
  <c r="H14" i="12"/>
  <c r="I14" i="12" s="1"/>
  <c r="H15" i="12"/>
  <c r="I15" i="12" s="1"/>
  <c r="H16" i="12"/>
  <c r="I16" i="12" s="1"/>
  <c r="H17" i="12"/>
  <c r="I17" i="12" s="1"/>
  <c r="H18" i="12"/>
  <c r="I18" i="12" s="1"/>
  <c r="H19" i="12"/>
  <c r="I19" i="12" s="1"/>
  <c r="H20" i="12"/>
  <c r="I20" i="12" s="1"/>
  <c r="H21" i="12"/>
  <c r="I21" i="12" s="1"/>
  <c r="H22" i="12"/>
  <c r="I22" i="12" s="1"/>
  <c r="H23" i="12"/>
  <c r="I23" i="12" s="1"/>
  <c r="H24" i="12"/>
  <c r="I24" i="12" s="1"/>
  <c r="H25" i="12"/>
  <c r="I25" i="12" s="1"/>
  <c r="F21" i="52"/>
  <c r="F22" i="52"/>
  <c r="F23" i="52"/>
  <c r="G23" i="52" s="1"/>
  <c r="F24" i="52"/>
  <c r="G24" i="52" s="1"/>
  <c r="F25" i="52"/>
  <c r="F26" i="52"/>
  <c r="F27" i="52"/>
  <c r="F28" i="52"/>
  <c r="I28" i="52" s="1"/>
  <c r="F29" i="52"/>
  <c r="I29" i="52" s="1"/>
  <c r="F30" i="52"/>
  <c r="I30" i="52" s="1"/>
  <c r="F31" i="52"/>
  <c r="I31" i="52" s="1"/>
  <c r="F32" i="52"/>
  <c r="I32" i="52" s="1"/>
  <c r="F33" i="52"/>
  <c r="I33" i="52" s="1"/>
  <c r="F34" i="52"/>
  <c r="I34" i="52" s="1"/>
  <c r="F35" i="52"/>
  <c r="I35" i="52" s="1"/>
  <c r="F36" i="52"/>
  <c r="I36" i="52" s="1"/>
  <c r="F37" i="52"/>
  <c r="I37" i="52" s="1"/>
  <c r="F38" i="52"/>
  <c r="I38" i="52" s="1"/>
  <c r="G21" i="52"/>
  <c r="G22" i="52"/>
  <c r="G25" i="52"/>
  <c r="G26" i="52"/>
  <c r="G27" i="52"/>
  <c r="G28" i="52"/>
  <c r="G29" i="52"/>
  <c r="G30" i="52"/>
  <c r="G31" i="52"/>
  <c r="G32" i="52"/>
  <c r="G33" i="52"/>
  <c r="G34" i="52"/>
  <c r="G35" i="52"/>
  <c r="G36" i="52"/>
  <c r="G37" i="52"/>
  <c r="G38" i="52"/>
  <c r="G16" i="52"/>
  <c r="AB3" i="21"/>
  <c r="AB4" i="21"/>
  <c r="AB5" i="21"/>
  <c r="AB6" i="21"/>
  <c r="AB7" i="21"/>
  <c r="AB8" i="21"/>
  <c r="AB9" i="21"/>
  <c r="AB10" i="21"/>
  <c r="AB11" i="21"/>
  <c r="AB12" i="21"/>
  <c r="AB13" i="21"/>
  <c r="AB14" i="21"/>
  <c r="AB15" i="21"/>
  <c r="AB16" i="21"/>
  <c r="AB17" i="21"/>
  <c r="AB18" i="21"/>
  <c r="AB19" i="21"/>
  <c r="AB20" i="21"/>
  <c r="AB21" i="21"/>
  <c r="AB22" i="21"/>
  <c r="AB23" i="21"/>
  <c r="AB24" i="21"/>
  <c r="AB25" i="21"/>
  <c r="AB26" i="21"/>
  <c r="AB27" i="21"/>
  <c r="AB28" i="21"/>
  <c r="AB29" i="21"/>
  <c r="AB30" i="21"/>
  <c r="AB31" i="21"/>
  <c r="AB32" i="21"/>
  <c r="AB33" i="21"/>
  <c r="AB34" i="21"/>
  <c r="AB35"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59" i="21"/>
  <c r="AB60" i="21"/>
  <c r="AB61" i="21"/>
  <c r="AB62" i="21"/>
  <c r="AB63" i="21"/>
  <c r="AB64" i="21"/>
  <c r="AB65" i="21"/>
  <c r="AB66" i="21"/>
  <c r="AB67" i="21"/>
  <c r="AB68" i="21"/>
  <c r="AB69" i="21"/>
  <c r="AB70" i="21"/>
  <c r="AB71" i="21"/>
  <c r="AB72" i="21"/>
  <c r="AB73" i="21"/>
  <c r="AB74" i="21"/>
  <c r="AB75" i="21"/>
  <c r="AB76" i="21"/>
  <c r="AB77" i="21"/>
  <c r="AB78" i="21"/>
  <c r="AB79" i="21"/>
  <c r="AB80" i="21"/>
  <c r="AB81" i="21"/>
  <c r="AB82" i="21"/>
  <c r="AB83" i="21"/>
  <c r="AB84" i="21"/>
  <c r="AB85" i="21"/>
  <c r="AB86" i="21"/>
  <c r="AB87" i="21"/>
  <c r="AB88" i="21"/>
  <c r="AB89" i="21"/>
  <c r="AB90" i="21"/>
  <c r="AB91" i="21"/>
  <c r="AB92" i="21"/>
  <c r="AB93" i="21"/>
  <c r="AB94" i="21"/>
  <c r="AB95" i="21"/>
  <c r="AB96" i="21"/>
  <c r="AB97" i="21"/>
  <c r="AB98" i="21"/>
  <c r="AB99" i="21"/>
  <c r="AB100" i="21"/>
  <c r="AB101" i="21"/>
  <c r="AB102" i="21"/>
  <c r="AB103" i="21"/>
  <c r="AB104" i="21"/>
  <c r="AB105" i="21"/>
  <c r="AB106" i="21"/>
  <c r="AB107" i="21"/>
  <c r="AB108" i="21"/>
  <c r="AB109" i="21"/>
  <c r="AB110" i="21"/>
  <c r="AB111" i="21"/>
  <c r="AB112" i="21"/>
  <c r="AB113" i="21"/>
  <c r="AB114" i="21"/>
  <c r="AB115" i="21"/>
  <c r="AB116" i="21"/>
  <c r="AB117" i="21"/>
  <c r="AB118" i="21"/>
  <c r="AB119" i="21"/>
  <c r="AB120" i="21"/>
  <c r="AB121" i="21"/>
  <c r="AB122" i="21"/>
  <c r="AB123" i="21"/>
  <c r="AB124" i="21"/>
  <c r="AB125" i="21"/>
  <c r="AB126" i="21"/>
  <c r="AB127" i="21"/>
  <c r="AB128" i="21"/>
  <c r="AB129" i="21"/>
  <c r="AB130" i="21"/>
  <c r="AB131" i="21"/>
  <c r="AB132" i="21"/>
  <c r="AB133" i="21"/>
  <c r="AB134" i="21"/>
  <c r="AB135" i="21"/>
  <c r="AB136" i="21"/>
  <c r="AB137" i="21"/>
  <c r="AB138" i="21"/>
  <c r="AB139" i="21"/>
  <c r="AB140" i="21"/>
  <c r="AB141" i="21"/>
  <c r="AB142" i="21"/>
  <c r="AB143" i="21"/>
  <c r="AB144" i="21"/>
  <c r="AB145" i="21"/>
  <c r="AB146" i="21"/>
  <c r="AB147" i="21"/>
  <c r="AB148" i="21"/>
  <c r="AB149" i="21"/>
  <c r="AB150" i="21"/>
  <c r="AB151" i="21"/>
  <c r="AB152" i="21"/>
  <c r="AB153" i="21"/>
  <c r="AB154" i="21"/>
  <c r="AB155" i="21"/>
  <c r="AB156" i="21"/>
  <c r="AB157" i="21"/>
  <c r="AB158" i="21"/>
  <c r="AB159" i="21"/>
  <c r="AB160" i="21"/>
  <c r="AB161" i="21"/>
  <c r="AB162" i="21"/>
  <c r="AB163" i="21"/>
  <c r="AB164" i="21"/>
  <c r="AB165" i="21"/>
  <c r="AB166" i="21"/>
  <c r="AB167" i="21"/>
  <c r="AB168" i="21"/>
  <c r="AB169" i="21"/>
  <c r="AB170" i="21"/>
  <c r="AB171" i="21"/>
  <c r="AB172" i="21"/>
  <c r="AB173" i="21"/>
  <c r="AB174" i="21"/>
  <c r="AB175" i="21"/>
  <c r="AB176" i="21"/>
  <c r="AB177" i="21"/>
  <c r="AB178" i="21"/>
  <c r="AB179" i="21"/>
  <c r="AB180" i="21"/>
  <c r="AB181" i="21"/>
  <c r="AB182" i="21"/>
  <c r="AB183" i="21"/>
  <c r="AB184" i="21"/>
  <c r="AB185" i="21"/>
  <c r="AB186" i="21"/>
  <c r="AB187" i="21"/>
  <c r="AB188" i="21"/>
  <c r="AB189" i="21"/>
  <c r="AB190" i="21"/>
  <c r="AB191" i="21"/>
  <c r="AB192" i="21"/>
  <c r="AB193" i="21"/>
  <c r="AB194" i="21"/>
  <c r="AB195" i="21"/>
  <c r="AB196" i="21"/>
  <c r="AB197" i="21"/>
  <c r="AB198" i="21"/>
  <c r="AB199" i="21"/>
  <c r="AB200" i="21"/>
  <c r="AB201" i="21"/>
  <c r="AB202" i="21"/>
  <c r="AB203" i="21"/>
  <c r="AB204" i="21"/>
  <c r="AB205" i="21"/>
  <c r="AB206" i="21"/>
  <c r="AB207" i="21"/>
  <c r="AB208" i="21"/>
  <c r="AB209" i="21"/>
  <c r="AB210" i="21"/>
  <c r="AB211" i="21"/>
  <c r="AB212" i="21"/>
  <c r="AB213" i="21"/>
  <c r="AB214" i="21"/>
  <c r="AB215" i="21"/>
  <c r="AB216" i="21"/>
  <c r="AB217" i="21"/>
  <c r="AB218" i="21"/>
  <c r="AB219" i="21"/>
  <c r="AB220" i="21"/>
  <c r="AB221" i="21"/>
  <c r="AB222" i="21"/>
  <c r="AB223" i="21"/>
  <c r="AB224" i="21"/>
  <c r="AB225" i="21"/>
  <c r="AB226" i="21"/>
  <c r="AB227" i="21"/>
  <c r="AB228" i="21"/>
  <c r="AB229" i="21"/>
  <c r="AB230" i="21"/>
  <c r="AB231" i="21"/>
  <c r="AB232" i="21"/>
  <c r="AB233" i="21"/>
  <c r="AB234" i="21"/>
  <c r="AB235" i="21"/>
  <c r="AB236" i="21"/>
  <c r="AB237" i="21"/>
  <c r="AB238" i="21"/>
  <c r="AB239" i="21"/>
  <c r="AB240" i="21"/>
  <c r="AB241" i="21"/>
  <c r="AB242" i="21"/>
  <c r="AB243" i="21"/>
  <c r="AB244" i="21"/>
  <c r="AB245" i="21"/>
  <c r="AB246" i="21"/>
  <c r="AB247" i="21"/>
  <c r="AB248" i="21"/>
  <c r="AB249" i="21"/>
  <c r="AB250" i="21"/>
  <c r="AB251" i="21"/>
  <c r="AB252" i="21"/>
  <c r="AB253" i="21"/>
  <c r="AB254" i="21"/>
  <c r="AB255" i="21"/>
  <c r="AB256" i="21"/>
  <c r="AB257" i="21"/>
  <c r="AB258" i="21"/>
  <c r="AB259" i="21"/>
  <c r="AB260" i="21"/>
  <c r="AB261" i="21"/>
  <c r="AB262" i="21"/>
  <c r="AB263" i="21"/>
  <c r="AB264" i="21"/>
  <c r="AB265" i="21"/>
  <c r="AB266" i="21"/>
  <c r="AB267" i="21"/>
  <c r="AB268" i="21"/>
  <c r="AB269" i="21"/>
  <c r="AB270" i="21"/>
  <c r="AB271" i="21"/>
  <c r="AB272" i="21"/>
  <c r="AB273" i="21"/>
  <c r="AB274" i="21"/>
  <c r="AB275" i="21"/>
  <c r="AB276" i="21"/>
  <c r="AB277" i="21"/>
  <c r="AB278" i="21"/>
  <c r="AB279" i="21"/>
  <c r="AB280" i="21"/>
  <c r="AB281" i="21"/>
  <c r="AB282" i="21"/>
  <c r="AB283" i="21"/>
  <c r="AB284" i="21"/>
  <c r="AB285" i="21"/>
  <c r="AB286" i="21"/>
  <c r="AB287" i="21"/>
  <c r="AB288" i="21"/>
  <c r="AB289" i="21"/>
  <c r="AB290" i="21"/>
  <c r="AB291" i="21"/>
  <c r="AB292" i="21"/>
  <c r="AB293" i="21"/>
  <c r="AB294" i="21"/>
  <c r="AB295" i="21"/>
  <c r="AB296" i="21"/>
  <c r="AB297" i="21"/>
  <c r="AB298" i="21"/>
  <c r="AB299" i="21"/>
  <c r="AB300" i="21"/>
  <c r="AB301" i="21"/>
  <c r="AB302" i="21"/>
  <c r="AB303" i="21"/>
  <c r="AB304" i="21"/>
  <c r="AB305" i="21"/>
  <c r="AB306" i="21"/>
  <c r="AB307" i="21"/>
  <c r="AB308" i="21"/>
  <c r="AB309" i="21"/>
  <c r="AB310" i="21"/>
  <c r="AB311" i="21"/>
  <c r="AB312" i="21"/>
  <c r="AB313" i="21"/>
  <c r="AB314" i="21"/>
  <c r="AB315" i="21"/>
  <c r="AB316" i="21"/>
  <c r="AB317" i="21"/>
  <c r="AB318" i="21"/>
  <c r="AB319" i="21"/>
  <c r="AB320" i="21"/>
  <c r="AB321" i="21"/>
  <c r="AB322" i="21"/>
  <c r="AB323" i="21"/>
  <c r="AB324" i="21"/>
  <c r="AB325" i="21"/>
  <c r="AB326" i="21"/>
  <c r="AB327" i="21"/>
  <c r="AB328" i="21"/>
  <c r="AB329" i="21"/>
  <c r="AB330" i="21"/>
  <c r="AB331" i="21"/>
  <c r="AB332" i="21"/>
  <c r="AB333" i="21"/>
  <c r="AB334" i="21"/>
  <c r="AB335" i="21"/>
  <c r="AB336" i="21"/>
  <c r="AB337" i="21"/>
  <c r="AB338" i="21"/>
  <c r="AB339" i="21"/>
  <c r="AB340" i="21"/>
  <c r="AB341" i="21"/>
  <c r="AB342" i="21"/>
  <c r="AB343" i="21"/>
  <c r="AB344" i="21"/>
  <c r="AB345" i="21"/>
  <c r="AB346" i="21"/>
  <c r="AB347" i="21"/>
  <c r="AB348" i="21"/>
  <c r="AB349" i="21"/>
  <c r="AB350" i="21"/>
  <c r="AB351" i="21"/>
  <c r="AB352" i="21"/>
  <c r="AB353" i="21"/>
  <c r="AB354" i="21"/>
  <c r="AB355" i="21"/>
  <c r="AB356" i="21"/>
  <c r="AB357" i="21"/>
  <c r="AB358" i="21"/>
  <c r="AB359" i="21"/>
  <c r="AB360" i="21"/>
  <c r="AB361" i="21"/>
  <c r="AB362" i="21"/>
  <c r="AB363" i="21"/>
  <c r="AB364" i="21"/>
  <c r="AB365" i="21"/>
  <c r="AB366" i="21"/>
  <c r="AB367" i="21"/>
  <c r="AB368" i="21"/>
  <c r="AB369" i="21"/>
  <c r="AB370" i="21"/>
  <c r="AB371" i="21"/>
  <c r="AB372" i="21"/>
  <c r="AB373" i="21"/>
  <c r="AB374" i="21"/>
  <c r="AB375" i="21"/>
  <c r="AB376" i="21"/>
  <c r="AB377" i="21"/>
  <c r="AB378" i="21"/>
  <c r="AB379" i="21"/>
  <c r="AB380" i="21"/>
  <c r="AB381" i="21"/>
  <c r="AB382" i="21"/>
  <c r="AB383" i="21"/>
  <c r="AB384" i="21"/>
  <c r="AB385" i="21"/>
  <c r="AB386" i="21"/>
  <c r="AB387" i="21"/>
  <c r="AB388" i="21"/>
  <c r="AB389" i="21"/>
  <c r="AB390" i="21"/>
  <c r="AB391" i="21"/>
  <c r="AB392" i="21"/>
  <c r="AB393" i="21"/>
  <c r="AB394" i="21"/>
  <c r="AB395" i="21"/>
  <c r="AB396" i="21"/>
  <c r="AB397" i="21"/>
  <c r="AB398" i="21"/>
  <c r="AB399" i="21"/>
  <c r="AB400" i="21"/>
  <c r="AB401" i="21"/>
  <c r="AB402" i="21"/>
  <c r="AB403" i="21"/>
  <c r="AB404" i="21"/>
  <c r="AB405" i="21"/>
  <c r="AB406" i="21"/>
  <c r="AB407" i="21"/>
  <c r="AB408" i="21"/>
  <c r="AB409" i="21"/>
  <c r="AB410" i="21"/>
  <c r="AB411" i="21"/>
  <c r="AB412" i="21"/>
  <c r="AB413" i="21"/>
  <c r="AB414" i="21"/>
  <c r="AB415" i="21"/>
  <c r="AB416" i="21"/>
  <c r="AB417" i="21"/>
  <c r="AB418" i="21"/>
  <c r="AB419" i="21"/>
  <c r="AB420" i="21"/>
  <c r="AB421" i="21"/>
  <c r="AB422" i="21"/>
  <c r="AB423" i="21"/>
  <c r="AB424" i="21"/>
  <c r="AB425" i="21"/>
  <c r="AB426" i="21"/>
  <c r="AB427" i="21"/>
  <c r="AB428" i="21"/>
  <c r="AB429" i="21"/>
  <c r="AB430" i="21"/>
  <c r="AB431" i="21"/>
  <c r="AB432" i="21"/>
  <c r="AB433" i="21"/>
  <c r="AB434" i="21"/>
  <c r="AB435" i="21"/>
  <c r="AB436" i="21"/>
  <c r="AB437" i="21"/>
  <c r="AB438" i="21"/>
  <c r="AB439" i="21"/>
  <c r="AB440" i="21"/>
  <c r="AB441" i="21"/>
  <c r="AB442" i="21"/>
  <c r="AB443" i="21"/>
  <c r="AB444" i="21"/>
  <c r="AB445" i="21"/>
  <c r="AB446" i="21"/>
  <c r="AB447" i="21"/>
  <c r="AB448" i="21"/>
  <c r="AB449" i="21"/>
  <c r="AB450" i="21"/>
  <c r="AB451" i="21"/>
  <c r="AB452" i="21"/>
  <c r="AB453" i="21"/>
  <c r="AB454" i="21"/>
  <c r="AB455" i="21"/>
  <c r="AB456" i="21"/>
  <c r="AB457" i="21"/>
  <c r="AB458" i="21"/>
  <c r="AB459" i="21"/>
  <c r="AB460" i="21"/>
  <c r="AB461" i="21"/>
  <c r="AB462" i="21"/>
  <c r="AB463" i="21"/>
  <c r="AB464" i="21"/>
  <c r="AB465" i="21"/>
  <c r="AB466" i="21"/>
  <c r="AB467" i="21"/>
  <c r="AB468" i="21"/>
  <c r="AB469" i="21"/>
  <c r="AB470" i="21"/>
  <c r="AB471" i="21"/>
  <c r="AB472" i="21"/>
  <c r="AB473" i="21"/>
  <c r="AB474" i="21"/>
  <c r="AB475" i="21"/>
  <c r="AB476" i="21"/>
  <c r="AB477" i="21"/>
  <c r="AB478" i="21"/>
  <c r="AB479" i="21"/>
  <c r="AB480" i="21"/>
  <c r="AB481" i="21"/>
  <c r="AB482" i="21"/>
  <c r="AB483" i="21"/>
  <c r="AB484" i="21"/>
  <c r="AB485" i="21"/>
  <c r="AB486" i="21"/>
  <c r="AB487" i="21"/>
  <c r="AB488" i="21"/>
  <c r="AB489" i="21"/>
  <c r="AB490" i="21"/>
  <c r="AB491" i="21"/>
  <c r="AB492" i="21"/>
  <c r="AB493" i="21"/>
  <c r="AB494" i="21"/>
  <c r="AB495" i="21"/>
  <c r="AB496" i="21"/>
  <c r="AB497" i="21"/>
  <c r="AB498" i="21"/>
  <c r="AB499" i="21"/>
  <c r="AB500" i="21"/>
  <c r="AB501" i="21"/>
  <c r="AB502" i="21"/>
  <c r="AB503" i="21"/>
  <c r="AB504" i="21"/>
  <c r="AB505" i="21"/>
  <c r="AB506" i="21"/>
  <c r="AB507" i="21"/>
  <c r="AB508" i="21"/>
  <c r="AB509" i="21"/>
  <c r="AB510" i="21"/>
  <c r="AB511" i="21"/>
  <c r="AB512" i="21"/>
  <c r="AB513" i="21"/>
  <c r="AB514" i="21"/>
  <c r="AB515" i="21"/>
  <c r="AB516" i="21"/>
  <c r="AB517" i="21"/>
  <c r="AB518" i="21"/>
  <c r="AB519" i="21"/>
  <c r="AB520" i="21"/>
  <c r="AB521" i="21"/>
  <c r="AB522" i="21"/>
  <c r="AB523" i="21"/>
  <c r="AB524" i="21"/>
  <c r="AB525" i="21"/>
  <c r="AB526" i="21"/>
  <c r="AB527" i="21"/>
  <c r="AB528" i="21"/>
  <c r="AB529" i="21"/>
  <c r="AB530" i="21"/>
  <c r="AB531" i="21"/>
  <c r="AB532" i="21"/>
  <c r="AB533" i="21"/>
  <c r="AB534" i="21"/>
  <c r="AB535" i="21"/>
  <c r="AB536" i="21"/>
  <c r="AB537" i="21"/>
  <c r="AB538" i="21"/>
  <c r="AB539" i="21"/>
  <c r="AB540" i="21"/>
  <c r="AB541" i="21"/>
  <c r="AB542" i="21"/>
  <c r="AB543" i="21"/>
  <c r="AB544" i="21"/>
  <c r="AB545" i="21"/>
  <c r="AB546" i="21"/>
  <c r="AB547" i="21"/>
  <c r="AB548" i="21"/>
  <c r="AB549" i="21"/>
  <c r="AB550" i="21"/>
  <c r="AB551" i="21"/>
  <c r="AB552" i="21"/>
  <c r="AB553" i="21"/>
  <c r="AB554" i="21"/>
  <c r="AB555" i="21"/>
  <c r="AB556" i="21"/>
  <c r="AB557" i="21"/>
  <c r="AB558" i="21"/>
  <c r="AB559" i="21"/>
  <c r="AB560" i="21"/>
  <c r="AB561" i="21"/>
  <c r="AB562" i="21"/>
  <c r="AB563" i="21"/>
  <c r="AB564" i="21"/>
  <c r="AB565" i="21"/>
  <c r="AB566" i="21"/>
  <c r="AB567" i="21"/>
  <c r="AB568" i="21"/>
  <c r="AB569" i="21"/>
  <c r="AB570" i="21"/>
  <c r="AB571" i="21"/>
  <c r="AB572" i="21"/>
  <c r="AB573" i="21"/>
  <c r="AB574" i="21"/>
  <c r="AB575" i="21"/>
  <c r="AB576" i="21"/>
  <c r="AB577" i="21"/>
  <c r="AB578" i="21"/>
  <c r="AB579" i="21"/>
  <c r="AB580" i="21"/>
  <c r="AB581" i="21"/>
  <c r="AB582" i="21"/>
  <c r="AB583" i="21"/>
  <c r="AB584" i="21"/>
  <c r="AB585" i="21"/>
  <c r="AB586" i="21"/>
  <c r="AB587" i="21"/>
  <c r="AB588" i="21"/>
  <c r="AB589" i="21"/>
  <c r="AB590" i="21"/>
  <c r="AB591" i="21"/>
  <c r="AB592" i="21"/>
  <c r="AB593" i="21"/>
  <c r="AB594" i="21"/>
  <c r="AB595" i="21"/>
  <c r="AB596" i="21"/>
  <c r="AB597" i="21"/>
  <c r="AB598" i="21"/>
  <c r="AB599" i="21"/>
  <c r="AB600" i="21"/>
  <c r="AB601" i="21"/>
  <c r="AB602" i="21"/>
  <c r="AB603" i="21"/>
  <c r="AB604" i="21"/>
  <c r="AB605" i="21"/>
  <c r="AB606" i="21"/>
  <c r="AB607" i="21"/>
  <c r="AB608" i="21"/>
  <c r="AB609" i="21"/>
  <c r="AB610" i="21"/>
  <c r="AB611" i="21"/>
  <c r="AB612" i="21"/>
  <c r="AB613" i="21"/>
  <c r="AB614" i="21"/>
  <c r="AB615" i="21"/>
  <c r="AB616" i="21"/>
  <c r="AB617" i="21"/>
  <c r="AB618" i="21"/>
  <c r="AB619" i="21"/>
  <c r="AB620" i="21"/>
  <c r="AB621" i="21"/>
  <c r="AB622" i="21"/>
  <c r="AB623" i="21"/>
  <c r="AB624" i="21"/>
  <c r="AB625" i="21"/>
  <c r="AB626" i="21"/>
  <c r="AB627" i="21"/>
  <c r="AB628" i="21"/>
  <c r="AB629" i="21"/>
  <c r="AB630" i="21"/>
  <c r="AB631" i="21"/>
  <c r="AB632" i="21"/>
  <c r="AB633" i="21"/>
  <c r="AB634" i="21"/>
  <c r="AB635" i="21"/>
  <c r="AB636" i="21"/>
  <c r="AB637" i="21"/>
  <c r="AB638" i="21"/>
  <c r="AB639" i="21"/>
  <c r="AB640" i="21"/>
  <c r="AB641" i="21"/>
  <c r="AB642" i="21"/>
  <c r="AB643" i="21"/>
  <c r="AB644" i="21"/>
  <c r="AB645" i="21"/>
  <c r="AB646" i="21"/>
  <c r="AB647" i="21"/>
  <c r="AB648" i="21"/>
  <c r="AB649" i="21"/>
  <c r="AB650" i="21"/>
  <c r="AB651" i="21"/>
  <c r="AB652" i="21"/>
  <c r="AB653" i="21"/>
  <c r="AB654" i="21"/>
  <c r="AB655" i="21"/>
  <c r="AB656" i="21"/>
  <c r="AB657" i="21"/>
  <c r="AB658" i="21"/>
  <c r="AB659" i="21"/>
  <c r="AB660" i="21"/>
  <c r="AB661" i="21"/>
  <c r="AB662" i="21"/>
  <c r="AB663" i="21"/>
  <c r="AB664" i="21"/>
  <c r="AB665" i="21"/>
  <c r="AB666" i="21"/>
  <c r="AB667" i="21"/>
  <c r="AB668" i="21"/>
  <c r="AB669" i="21"/>
  <c r="AB670" i="21"/>
  <c r="AB671" i="21"/>
  <c r="AB672" i="21"/>
  <c r="AB673" i="21"/>
  <c r="AB674" i="21"/>
  <c r="AB675" i="21"/>
  <c r="AB676" i="21"/>
  <c r="AB677" i="21"/>
  <c r="AB678" i="21"/>
  <c r="AB679" i="21"/>
  <c r="AB680" i="21"/>
  <c r="AB681" i="21"/>
  <c r="AB682" i="21"/>
  <c r="AB683" i="21"/>
  <c r="AB684" i="21"/>
  <c r="AB685" i="21"/>
  <c r="AB686" i="21"/>
  <c r="AB687" i="21"/>
  <c r="AB688" i="21"/>
  <c r="AB689" i="21"/>
  <c r="AB690" i="21"/>
  <c r="AB691" i="21"/>
  <c r="AB692" i="21"/>
  <c r="AB693" i="21"/>
  <c r="AB694" i="21"/>
  <c r="AB695" i="21"/>
  <c r="AB696" i="21"/>
  <c r="AB697" i="21"/>
  <c r="AB698" i="21"/>
  <c r="AB699" i="21"/>
  <c r="AB700" i="21"/>
  <c r="AB701" i="21"/>
  <c r="AB702" i="21"/>
  <c r="AB703" i="21"/>
  <c r="AB704" i="21"/>
  <c r="AB705" i="21"/>
  <c r="AB706" i="21"/>
  <c r="AB707" i="21"/>
  <c r="AB708" i="21"/>
  <c r="AB709" i="21"/>
  <c r="AB710" i="21"/>
  <c r="AB711" i="21"/>
  <c r="AB712" i="21"/>
  <c r="AB713" i="21"/>
  <c r="AB714" i="21"/>
  <c r="AB715" i="21"/>
  <c r="AB716" i="21"/>
  <c r="AB717" i="21"/>
  <c r="AB718" i="21"/>
  <c r="AB719" i="21"/>
  <c r="AB720" i="21"/>
  <c r="AB721" i="21"/>
  <c r="AB722" i="21"/>
  <c r="AB723" i="21"/>
  <c r="AB724" i="21"/>
  <c r="AB725" i="21"/>
  <c r="AB726" i="21"/>
  <c r="AB727" i="21"/>
  <c r="AB728" i="21"/>
  <c r="AB729" i="21"/>
  <c r="AB730" i="21"/>
  <c r="AB731" i="21"/>
  <c r="AB732" i="21"/>
  <c r="AB733" i="21"/>
  <c r="AB734" i="21"/>
  <c r="AB735" i="21"/>
  <c r="AB736" i="21"/>
  <c r="AB737" i="21"/>
  <c r="AB738" i="21"/>
  <c r="AB739" i="21"/>
  <c r="AB740" i="21"/>
  <c r="AB741" i="21"/>
  <c r="AB742" i="21"/>
  <c r="AB743" i="21"/>
  <c r="AB744" i="21"/>
  <c r="AB745" i="21"/>
  <c r="AB746" i="21"/>
  <c r="AB747" i="21"/>
  <c r="AB748" i="21"/>
  <c r="AB749" i="21"/>
  <c r="AB750" i="21"/>
  <c r="AB751" i="21"/>
  <c r="AB752" i="21"/>
  <c r="AB753" i="21"/>
  <c r="AB754" i="21"/>
  <c r="AB755" i="21"/>
  <c r="AB756" i="21"/>
  <c r="AB757" i="21"/>
  <c r="AB758" i="21"/>
  <c r="AB759" i="21"/>
  <c r="AB760" i="21"/>
  <c r="AB761" i="21"/>
  <c r="AB762" i="21"/>
  <c r="AB763" i="21"/>
  <c r="AB764" i="21"/>
  <c r="AB765" i="21"/>
  <c r="AB766" i="21"/>
  <c r="AB767" i="21"/>
  <c r="AB768" i="21"/>
  <c r="AB769" i="21"/>
  <c r="AB770" i="21"/>
  <c r="AB771" i="21"/>
  <c r="AB772" i="21"/>
  <c r="AB773" i="21"/>
  <c r="AB774" i="21"/>
  <c r="AB775" i="21"/>
  <c r="AB776" i="21"/>
  <c r="AB777" i="21"/>
  <c r="AB778" i="21"/>
  <c r="AB779" i="21"/>
  <c r="AB780" i="21"/>
  <c r="AB781" i="21"/>
  <c r="AB782" i="21"/>
  <c r="AB783" i="21"/>
  <c r="AB784" i="21"/>
  <c r="AB785" i="21"/>
  <c r="AB786" i="21"/>
  <c r="AB787" i="21"/>
  <c r="AB788" i="21"/>
  <c r="AB789" i="21"/>
  <c r="AB790" i="21"/>
  <c r="AB791" i="21"/>
  <c r="AB792" i="21"/>
  <c r="AB793" i="21"/>
  <c r="AB794" i="21"/>
  <c r="AB795" i="21"/>
  <c r="AB796" i="21"/>
  <c r="AB797" i="21"/>
  <c r="AB798" i="21"/>
  <c r="AB799" i="21"/>
  <c r="AB800" i="21"/>
  <c r="AB801" i="21"/>
  <c r="AB802" i="21"/>
  <c r="AB803" i="21"/>
  <c r="AB804" i="21"/>
  <c r="AB805" i="21"/>
  <c r="AB806" i="21"/>
  <c r="AB807" i="21"/>
  <c r="AB808" i="21"/>
  <c r="AB809" i="21"/>
  <c r="AB810" i="21"/>
  <c r="AB811" i="21"/>
  <c r="AB812" i="21"/>
  <c r="AB813" i="21"/>
  <c r="AB814" i="21"/>
  <c r="AB815" i="21"/>
  <c r="AB816" i="21"/>
  <c r="AB817" i="21"/>
  <c r="AB818" i="21"/>
  <c r="AB819" i="21"/>
  <c r="AB820" i="21"/>
  <c r="AB821" i="21"/>
  <c r="AB822" i="21"/>
  <c r="AB823" i="21"/>
  <c r="AB824" i="21"/>
  <c r="AB825" i="21"/>
  <c r="AB826" i="21"/>
  <c r="AB827" i="21"/>
  <c r="AB828" i="21"/>
  <c r="AB829" i="21"/>
  <c r="AB830" i="21"/>
  <c r="AB831" i="21"/>
  <c r="AB832" i="21"/>
  <c r="AB833" i="21"/>
  <c r="AB834" i="21"/>
  <c r="AB835" i="21"/>
  <c r="AB836" i="21"/>
  <c r="AB837" i="21"/>
  <c r="AB838" i="21"/>
  <c r="AB839" i="21"/>
  <c r="AB840" i="21"/>
  <c r="AB841" i="21"/>
  <c r="AB842" i="21"/>
  <c r="AB843" i="21"/>
  <c r="AB844" i="21"/>
  <c r="AB845" i="21"/>
  <c r="AB846" i="21"/>
  <c r="AB847" i="21"/>
  <c r="AB848" i="21"/>
  <c r="AB849" i="21"/>
  <c r="AB850" i="21"/>
  <c r="AB851" i="21"/>
  <c r="AB852" i="21"/>
  <c r="AB853" i="21"/>
  <c r="AB854" i="21"/>
  <c r="AB855" i="21"/>
  <c r="AB856" i="21"/>
  <c r="AB857" i="21"/>
  <c r="AB858" i="21"/>
  <c r="AB859" i="21"/>
  <c r="AB860" i="21"/>
  <c r="AB861" i="21"/>
  <c r="AB862" i="21"/>
  <c r="AB863" i="21"/>
  <c r="AB864" i="21"/>
  <c r="AB865" i="21"/>
  <c r="AB866" i="21"/>
  <c r="AB867" i="21"/>
  <c r="AB868" i="21"/>
  <c r="AB869" i="21"/>
  <c r="AB870" i="21"/>
  <c r="AB871" i="21"/>
  <c r="AB872" i="21"/>
  <c r="AB873" i="21"/>
  <c r="AB874" i="21"/>
  <c r="AB875" i="21"/>
  <c r="AB876" i="21"/>
  <c r="AB877" i="21"/>
  <c r="AB878" i="21"/>
  <c r="AB879" i="21"/>
  <c r="AB880" i="21"/>
  <c r="AB881" i="21"/>
  <c r="AB882" i="21"/>
  <c r="AB883" i="21"/>
  <c r="AB884" i="21"/>
  <c r="AB885" i="21"/>
  <c r="AB886" i="21"/>
  <c r="AB887" i="21"/>
  <c r="AB888" i="21"/>
  <c r="AB889" i="21"/>
  <c r="AB890" i="21"/>
  <c r="AB891" i="21"/>
  <c r="AB892" i="21"/>
  <c r="AB893" i="21"/>
  <c r="AB894" i="21"/>
  <c r="AB895" i="21"/>
  <c r="AB896" i="21"/>
  <c r="AB897" i="21"/>
  <c r="AB898" i="21"/>
  <c r="AB899" i="21"/>
  <c r="AB900" i="21"/>
  <c r="AB901" i="21"/>
  <c r="AB902" i="21"/>
  <c r="AB903" i="21"/>
  <c r="AB904" i="21"/>
  <c r="AB905" i="21"/>
  <c r="AB906" i="21"/>
  <c r="AB907" i="21"/>
  <c r="AB908" i="21"/>
  <c r="AB909" i="21"/>
  <c r="AB910" i="21"/>
  <c r="AB911" i="21"/>
  <c r="AB912" i="21"/>
  <c r="AB913" i="21"/>
  <c r="AB914" i="21"/>
  <c r="AB915" i="21"/>
  <c r="AB916" i="21"/>
  <c r="AB917" i="21"/>
  <c r="AB918" i="21"/>
  <c r="AB919" i="21"/>
  <c r="AB920" i="21"/>
  <c r="AB921" i="21"/>
  <c r="AB922" i="21"/>
  <c r="AB923" i="21"/>
  <c r="AB924" i="21"/>
  <c r="AB925" i="21"/>
  <c r="AB926" i="21"/>
  <c r="AB927" i="21"/>
  <c r="AB928" i="21"/>
  <c r="AB929" i="21"/>
  <c r="AB930" i="21"/>
  <c r="AB931" i="21"/>
  <c r="AB932" i="21"/>
  <c r="AB933" i="21"/>
  <c r="AB934" i="21"/>
  <c r="AB935" i="21"/>
  <c r="AB936" i="21"/>
  <c r="AB937" i="21"/>
  <c r="AB938" i="21"/>
  <c r="AB939" i="21"/>
  <c r="AB940" i="21"/>
  <c r="AB941" i="21"/>
  <c r="AB942" i="21"/>
  <c r="AB943" i="21"/>
  <c r="AB944" i="21"/>
  <c r="AB945" i="21"/>
  <c r="AB946" i="21"/>
  <c r="AB947" i="21"/>
  <c r="AB948" i="21"/>
  <c r="AB949" i="21"/>
  <c r="AB950" i="21"/>
  <c r="AB951" i="21"/>
  <c r="AB952" i="21"/>
  <c r="AB953" i="21"/>
  <c r="AB954" i="21"/>
  <c r="AB955" i="21"/>
  <c r="AB956" i="21"/>
  <c r="AB957" i="21"/>
  <c r="AB958" i="21"/>
  <c r="AB959" i="21"/>
  <c r="AB960" i="21"/>
  <c r="AB961" i="21"/>
  <c r="AB962" i="21"/>
  <c r="AB963" i="21"/>
  <c r="AB964" i="21"/>
  <c r="AB965" i="21"/>
  <c r="AB966" i="21"/>
  <c r="AB967" i="21"/>
  <c r="AB968" i="21"/>
  <c r="AB969" i="21"/>
  <c r="AB970" i="21"/>
  <c r="AB971" i="21"/>
  <c r="AB972" i="21"/>
  <c r="AB973" i="21"/>
  <c r="AB974" i="21"/>
  <c r="AB975" i="21"/>
  <c r="AB976" i="21"/>
  <c r="AB977" i="21"/>
  <c r="AB978" i="21"/>
  <c r="AB979" i="21"/>
  <c r="AB980" i="21"/>
  <c r="AB981" i="21"/>
  <c r="AB982" i="21"/>
  <c r="AB983" i="21"/>
  <c r="AB984" i="21"/>
  <c r="AB985" i="21"/>
  <c r="AB986" i="21"/>
  <c r="AB987" i="21"/>
  <c r="AB988" i="21"/>
  <c r="AB989" i="21"/>
  <c r="AB990" i="21"/>
  <c r="AB991" i="21"/>
  <c r="AB992" i="21"/>
  <c r="AB993" i="21"/>
  <c r="AB994" i="21"/>
  <c r="AB995" i="21"/>
  <c r="AB996" i="21"/>
  <c r="AB997" i="21"/>
  <c r="AB998" i="21"/>
  <c r="AB4023" i="21"/>
  <c r="AB4024" i="21"/>
  <c r="V3" i="21"/>
  <c r="W3" i="21" s="1"/>
  <c r="H3" i="21"/>
  <c r="I3" i="21"/>
  <c r="V4" i="21"/>
  <c r="W4" i="21" s="1"/>
  <c r="H4" i="21"/>
  <c r="I4" i="21"/>
  <c r="V5" i="21"/>
  <c r="W5" i="21" s="1"/>
  <c r="H5" i="21"/>
  <c r="I5" i="21"/>
  <c r="V6" i="21"/>
  <c r="W6" i="21" s="1"/>
  <c r="H6" i="21"/>
  <c r="I6" i="21"/>
  <c r="V7" i="21"/>
  <c r="W7" i="21" s="1"/>
  <c r="H7" i="21"/>
  <c r="I7" i="21"/>
  <c r="V8" i="21"/>
  <c r="W8" i="21" s="1"/>
  <c r="H8" i="21"/>
  <c r="I8" i="21"/>
  <c r="V9" i="21"/>
  <c r="W9" i="21" s="1"/>
  <c r="H9" i="21"/>
  <c r="I9" i="21"/>
  <c r="V10" i="21"/>
  <c r="W10" i="21" s="1"/>
  <c r="H10" i="21"/>
  <c r="I10" i="21"/>
  <c r="V11" i="21"/>
  <c r="W11" i="21" s="1"/>
  <c r="H11" i="21"/>
  <c r="I11" i="21"/>
  <c r="V12" i="21"/>
  <c r="W12" i="21" s="1"/>
  <c r="H12" i="21"/>
  <c r="I12" i="21"/>
  <c r="V13" i="21"/>
  <c r="W13" i="21" s="1"/>
  <c r="H13" i="21"/>
  <c r="I13" i="21"/>
  <c r="V14" i="21"/>
  <c r="W14" i="21" s="1"/>
  <c r="H14" i="21"/>
  <c r="I14" i="21"/>
  <c r="V15" i="21"/>
  <c r="W15" i="21" s="1"/>
  <c r="H15" i="21"/>
  <c r="I15" i="21"/>
  <c r="V16" i="21"/>
  <c r="W16" i="21" s="1"/>
  <c r="H16" i="21"/>
  <c r="I16" i="21"/>
  <c r="V17" i="21"/>
  <c r="W17" i="21" s="1"/>
  <c r="H17" i="21"/>
  <c r="I17" i="21"/>
  <c r="V18" i="21"/>
  <c r="W18" i="21" s="1"/>
  <c r="H18" i="21"/>
  <c r="I18" i="21"/>
  <c r="V19" i="21"/>
  <c r="W19" i="21" s="1"/>
  <c r="H19" i="21"/>
  <c r="I19" i="21"/>
  <c r="V20" i="21"/>
  <c r="W20" i="21" s="1"/>
  <c r="H20" i="21"/>
  <c r="I20" i="21"/>
  <c r="V21" i="21"/>
  <c r="W21" i="21" s="1"/>
  <c r="H21" i="21"/>
  <c r="I21" i="21"/>
  <c r="V22" i="21"/>
  <c r="W22" i="21" s="1"/>
  <c r="H22" i="21"/>
  <c r="I22" i="21"/>
  <c r="V23" i="21"/>
  <c r="W23" i="21" s="1"/>
  <c r="H23" i="21"/>
  <c r="I23" i="21"/>
  <c r="V24" i="21"/>
  <c r="W24" i="21" s="1"/>
  <c r="H24" i="21"/>
  <c r="I24" i="21"/>
  <c r="V25" i="21"/>
  <c r="W25" i="21" s="1"/>
  <c r="H25" i="21"/>
  <c r="I25" i="21"/>
  <c r="V26" i="21"/>
  <c r="W26" i="21" s="1"/>
  <c r="H26" i="21"/>
  <c r="I26" i="21"/>
  <c r="V27" i="21"/>
  <c r="W27" i="21" s="1"/>
  <c r="H27" i="21"/>
  <c r="I27" i="21"/>
  <c r="V28" i="21"/>
  <c r="W28" i="21" s="1"/>
  <c r="H28" i="21"/>
  <c r="I28" i="21"/>
  <c r="V29" i="21"/>
  <c r="W29" i="21" s="1"/>
  <c r="H29" i="21"/>
  <c r="I29" i="21"/>
  <c r="V30" i="21"/>
  <c r="W30" i="21" s="1"/>
  <c r="H30" i="21"/>
  <c r="I30" i="21"/>
  <c r="V31" i="21"/>
  <c r="W31" i="21" s="1"/>
  <c r="H31" i="21"/>
  <c r="I31" i="21"/>
  <c r="V32" i="21"/>
  <c r="W32" i="21" s="1"/>
  <c r="H32" i="21"/>
  <c r="I32" i="21"/>
  <c r="V33" i="21"/>
  <c r="W33" i="21" s="1"/>
  <c r="H33" i="21"/>
  <c r="I33" i="21"/>
  <c r="V34" i="21"/>
  <c r="W34" i="21" s="1"/>
  <c r="H34" i="21"/>
  <c r="I34" i="21"/>
  <c r="V35" i="21"/>
  <c r="W35" i="21" s="1"/>
  <c r="H35" i="21"/>
  <c r="I35" i="21"/>
  <c r="V36" i="21"/>
  <c r="W36" i="21" s="1"/>
  <c r="H36" i="21"/>
  <c r="I36" i="21"/>
  <c r="V37" i="21"/>
  <c r="W37" i="21" s="1"/>
  <c r="H37" i="21"/>
  <c r="I37" i="21"/>
  <c r="V38" i="21"/>
  <c r="W38" i="21" s="1"/>
  <c r="H38" i="21"/>
  <c r="I38" i="21"/>
  <c r="V39" i="21"/>
  <c r="W39" i="21" s="1"/>
  <c r="H39" i="21"/>
  <c r="I39" i="21"/>
  <c r="V40" i="21"/>
  <c r="W40" i="21" s="1"/>
  <c r="H40" i="21"/>
  <c r="I40" i="21"/>
  <c r="V41" i="21"/>
  <c r="W41" i="21" s="1"/>
  <c r="H41" i="21"/>
  <c r="I41" i="21"/>
  <c r="V42" i="21"/>
  <c r="W42" i="21" s="1"/>
  <c r="H42" i="21"/>
  <c r="I42" i="21"/>
  <c r="V43" i="21"/>
  <c r="W43" i="21" s="1"/>
  <c r="H43" i="21"/>
  <c r="I43" i="21"/>
  <c r="V44" i="21"/>
  <c r="W44" i="21" s="1"/>
  <c r="H44" i="21"/>
  <c r="I44" i="21"/>
  <c r="V45" i="21"/>
  <c r="W45" i="21" s="1"/>
  <c r="H45" i="21"/>
  <c r="I45" i="21"/>
  <c r="V46" i="21"/>
  <c r="W46" i="21" s="1"/>
  <c r="H46" i="21"/>
  <c r="I46" i="21"/>
  <c r="V47" i="21"/>
  <c r="W47" i="21" s="1"/>
  <c r="H47" i="21"/>
  <c r="I47" i="21"/>
  <c r="V48" i="21"/>
  <c r="W48" i="21" s="1"/>
  <c r="H48" i="21"/>
  <c r="I48" i="21"/>
  <c r="V49" i="21"/>
  <c r="W49" i="21" s="1"/>
  <c r="H49" i="21"/>
  <c r="I49" i="21"/>
  <c r="V50" i="21"/>
  <c r="W50" i="21" s="1"/>
  <c r="H50" i="21"/>
  <c r="I50" i="21"/>
  <c r="V51" i="21"/>
  <c r="W51" i="21" s="1"/>
  <c r="H51" i="21"/>
  <c r="I51" i="21"/>
  <c r="V52" i="21"/>
  <c r="W52" i="21" s="1"/>
  <c r="H52" i="21"/>
  <c r="I52" i="21"/>
  <c r="V53" i="21"/>
  <c r="W53" i="21" s="1"/>
  <c r="H53" i="21"/>
  <c r="I53" i="21"/>
  <c r="V54" i="21"/>
  <c r="W54" i="21" s="1"/>
  <c r="H54" i="21"/>
  <c r="I54" i="21"/>
  <c r="V55" i="21"/>
  <c r="W55" i="21" s="1"/>
  <c r="H55" i="21"/>
  <c r="I55" i="21"/>
  <c r="V56" i="21"/>
  <c r="W56" i="21" s="1"/>
  <c r="H56" i="21"/>
  <c r="I56" i="21"/>
  <c r="V57" i="21"/>
  <c r="W57" i="21" s="1"/>
  <c r="H57" i="21"/>
  <c r="I57" i="21"/>
  <c r="V58" i="21"/>
  <c r="W58" i="21" s="1"/>
  <c r="H58" i="21"/>
  <c r="I58" i="21"/>
  <c r="V59" i="21"/>
  <c r="W59" i="21" s="1"/>
  <c r="H59" i="21"/>
  <c r="I59" i="21"/>
  <c r="V60" i="21"/>
  <c r="W60" i="21" s="1"/>
  <c r="H60" i="21"/>
  <c r="I60" i="21"/>
  <c r="V61" i="21"/>
  <c r="W61" i="21" s="1"/>
  <c r="H61" i="21"/>
  <c r="I61" i="21"/>
  <c r="V62" i="21"/>
  <c r="W62" i="21" s="1"/>
  <c r="H62" i="21"/>
  <c r="I62" i="21"/>
  <c r="V63" i="21"/>
  <c r="W63" i="21" s="1"/>
  <c r="H63" i="21"/>
  <c r="I63" i="21"/>
  <c r="V64" i="21"/>
  <c r="W64" i="21" s="1"/>
  <c r="H64" i="21"/>
  <c r="I64" i="21"/>
  <c r="V65" i="21"/>
  <c r="W65" i="21" s="1"/>
  <c r="H65" i="21"/>
  <c r="I65" i="21"/>
  <c r="V66" i="21"/>
  <c r="W66" i="21" s="1"/>
  <c r="H66" i="21"/>
  <c r="I66" i="21"/>
  <c r="V67" i="21"/>
  <c r="W67" i="21" s="1"/>
  <c r="H67" i="21"/>
  <c r="I67" i="21"/>
  <c r="V68" i="21"/>
  <c r="W68" i="21" s="1"/>
  <c r="H68" i="21"/>
  <c r="I68" i="21"/>
  <c r="V69" i="21"/>
  <c r="W69" i="21" s="1"/>
  <c r="H69" i="21"/>
  <c r="I69" i="21"/>
  <c r="V70" i="21"/>
  <c r="W70" i="21" s="1"/>
  <c r="H70" i="21"/>
  <c r="I70" i="21"/>
  <c r="V71" i="21"/>
  <c r="W71" i="21" s="1"/>
  <c r="H71" i="21"/>
  <c r="I71" i="21"/>
  <c r="V72" i="21"/>
  <c r="W72" i="21" s="1"/>
  <c r="H72" i="21"/>
  <c r="I72" i="21"/>
  <c r="V73" i="21"/>
  <c r="W73" i="21" s="1"/>
  <c r="H73" i="21"/>
  <c r="I73" i="21"/>
  <c r="V74" i="21"/>
  <c r="W74" i="21" s="1"/>
  <c r="H74" i="21"/>
  <c r="I74" i="21"/>
  <c r="V75" i="21"/>
  <c r="W75" i="21" s="1"/>
  <c r="H75" i="21"/>
  <c r="I75" i="21"/>
  <c r="V76" i="21"/>
  <c r="W76" i="21" s="1"/>
  <c r="H76" i="21"/>
  <c r="I76" i="21"/>
  <c r="V77" i="21"/>
  <c r="W77" i="21" s="1"/>
  <c r="H77" i="21"/>
  <c r="I77" i="21"/>
  <c r="V78" i="21"/>
  <c r="W78" i="21" s="1"/>
  <c r="H78" i="21"/>
  <c r="I78" i="21"/>
  <c r="V79" i="21"/>
  <c r="W79" i="21" s="1"/>
  <c r="H79" i="21"/>
  <c r="I79" i="21"/>
  <c r="V80" i="21"/>
  <c r="W80" i="21" s="1"/>
  <c r="H80" i="21"/>
  <c r="I80" i="21"/>
  <c r="V81" i="21"/>
  <c r="W81" i="21" s="1"/>
  <c r="H81" i="21"/>
  <c r="I81" i="21"/>
  <c r="V82" i="21"/>
  <c r="W82" i="21" s="1"/>
  <c r="H82" i="21"/>
  <c r="I82" i="21"/>
  <c r="V83" i="21"/>
  <c r="W83" i="21" s="1"/>
  <c r="H83" i="21"/>
  <c r="I83" i="21"/>
  <c r="V84" i="21"/>
  <c r="W84" i="21" s="1"/>
  <c r="H84" i="21"/>
  <c r="I84" i="21"/>
  <c r="V85" i="21"/>
  <c r="W85" i="21" s="1"/>
  <c r="H85" i="21"/>
  <c r="I85" i="21"/>
  <c r="V86" i="21"/>
  <c r="W86" i="21" s="1"/>
  <c r="H86" i="21"/>
  <c r="I86" i="21"/>
  <c r="V87" i="21"/>
  <c r="W87" i="21" s="1"/>
  <c r="H87" i="21"/>
  <c r="I87" i="21"/>
  <c r="V88" i="21"/>
  <c r="W88" i="21" s="1"/>
  <c r="H88" i="21"/>
  <c r="I88" i="21"/>
  <c r="V89" i="21"/>
  <c r="W89" i="21" s="1"/>
  <c r="H89" i="21"/>
  <c r="I89" i="21"/>
  <c r="V90" i="21"/>
  <c r="W90" i="21" s="1"/>
  <c r="H90" i="21"/>
  <c r="I90" i="21"/>
  <c r="V91" i="21"/>
  <c r="W91" i="21" s="1"/>
  <c r="H91" i="21"/>
  <c r="I91" i="21"/>
  <c r="V92" i="21"/>
  <c r="W92" i="21" s="1"/>
  <c r="H92" i="21"/>
  <c r="I92" i="21"/>
  <c r="V93" i="21"/>
  <c r="W93" i="21" s="1"/>
  <c r="H93" i="21"/>
  <c r="I93" i="21"/>
  <c r="V94" i="21"/>
  <c r="W94" i="21" s="1"/>
  <c r="H94" i="21"/>
  <c r="I94" i="21"/>
  <c r="V95" i="21"/>
  <c r="W95" i="21" s="1"/>
  <c r="H95" i="21"/>
  <c r="I95" i="21"/>
  <c r="V96" i="21"/>
  <c r="W96" i="21" s="1"/>
  <c r="H96" i="21"/>
  <c r="I96" i="21"/>
  <c r="V97" i="21"/>
  <c r="W97" i="21" s="1"/>
  <c r="H97" i="21"/>
  <c r="I97" i="21"/>
  <c r="V98" i="21"/>
  <c r="W98" i="21" s="1"/>
  <c r="H98" i="21"/>
  <c r="I98" i="21"/>
  <c r="V99" i="21"/>
  <c r="W99" i="21" s="1"/>
  <c r="H99" i="21"/>
  <c r="I99" i="21"/>
  <c r="V100" i="21"/>
  <c r="W100" i="21" s="1"/>
  <c r="H100" i="21"/>
  <c r="I100" i="21"/>
  <c r="V101" i="21"/>
  <c r="W101" i="21" s="1"/>
  <c r="H101" i="21"/>
  <c r="I101" i="21"/>
  <c r="V102" i="21"/>
  <c r="W102" i="21" s="1"/>
  <c r="H102" i="21"/>
  <c r="I102" i="21"/>
  <c r="V103" i="21"/>
  <c r="W103" i="21" s="1"/>
  <c r="H103" i="21"/>
  <c r="I103" i="21"/>
  <c r="V104" i="21"/>
  <c r="W104" i="21" s="1"/>
  <c r="H104" i="21"/>
  <c r="I104" i="21"/>
  <c r="V105" i="21"/>
  <c r="W105" i="21" s="1"/>
  <c r="H105" i="21"/>
  <c r="I105" i="21"/>
  <c r="V106" i="21"/>
  <c r="W106" i="21" s="1"/>
  <c r="H106" i="21"/>
  <c r="I106" i="21"/>
  <c r="V107" i="21"/>
  <c r="W107" i="21" s="1"/>
  <c r="H107" i="21"/>
  <c r="I107" i="21"/>
  <c r="V108" i="21"/>
  <c r="W108" i="21" s="1"/>
  <c r="H108" i="21"/>
  <c r="I108" i="21"/>
  <c r="V109" i="21"/>
  <c r="W109" i="21" s="1"/>
  <c r="H109" i="21"/>
  <c r="I109" i="21"/>
  <c r="V110" i="21"/>
  <c r="W110" i="21" s="1"/>
  <c r="H110" i="21"/>
  <c r="I110" i="21"/>
  <c r="V111" i="21"/>
  <c r="W111" i="21" s="1"/>
  <c r="H111" i="21"/>
  <c r="I111" i="21"/>
  <c r="V112" i="21"/>
  <c r="W112" i="21" s="1"/>
  <c r="H112" i="21"/>
  <c r="I112" i="21"/>
  <c r="V113" i="21"/>
  <c r="W113" i="21" s="1"/>
  <c r="H113" i="21"/>
  <c r="I113" i="21"/>
  <c r="V114" i="21"/>
  <c r="W114" i="21" s="1"/>
  <c r="H114" i="21"/>
  <c r="I114" i="21"/>
  <c r="V115" i="21"/>
  <c r="W115" i="21" s="1"/>
  <c r="H115" i="21"/>
  <c r="I115" i="21"/>
  <c r="V116" i="21"/>
  <c r="W116" i="21" s="1"/>
  <c r="H116" i="21"/>
  <c r="I116" i="21"/>
  <c r="V117" i="21"/>
  <c r="W117" i="21" s="1"/>
  <c r="H117" i="21"/>
  <c r="I117" i="21"/>
  <c r="V118" i="21"/>
  <c r="W118" i="21" s="1"/>
  <c r="H118" i="21"/>
  <c r="I118" i="21"/>
  <c r="V119" i="21"/>
  <c r="W119" i="21" s="1"/>
  <c r="H119" i="21"/>
  <c r="I119" i="21"/>
  <c r="V120" i="21"/>
  <c r="W120" i="21" s="1"/>
  <c r="H120" i="21"/>
  <c r="I120" i="21"/>
  <c r="V121" i="21"/>
  <c r="W121" i="21" s="1"/>
  <c r="H121" i="21"/>
  <c r="I121" i="21"/>
  <c r="V122" i="21"/>
  <c r="W122" i="21" s="1"/>
  <c r="H122" i="21"/>
  <c r="I122" i="21"/>
  <c r="V123" i="21"/>
  <c r="W123" i="21" s="1"/>
  <c r="H123" i="21"/>
  <c r="I123" i="21"/>
  <c r="V124" i="21"/>
  <c r="W124" i="21" s="1"/>
  <c r="H124" i="21"/>
  <c r="I124" i="21"/>
  <c r="V125" i="21"/>
  <c r="W125" i="21" s="1"/>
  <c r="H125" i="21"/>
  <c r="I125" i="21"/>
  <c r="V126" i="21"/>
  <c r="W126" i="21" s="1"/>
  <c r="H126" i="21"/>
  <c r="I126" i="21"/>
  <c r="V127" i="21"/>
  <c r="W127" i="21" s="1"/>
  <c r="H127" i="21"/>
  <c r="I127" i="21"/>
  <c r="V128" i="21"/>
  <c r="W128" i="21" s="1"/>
  <c r="H128" i="21"/>
  <c r="I128" i="21"/>
  <c r="V129" i="21"/>
  <c r="W129" i="21" s="1"/>
  <c r="H129" i="21"/>
  <c r="I129" i="21"/>
  <c r="V130" i="21"/>
  <c r="W130" i="21" s="1"/>
  <c r="H130" i="21"/>
  <c r="I130" i="21"/>
  <c r="V131" i="21"/>
  <c r="W131" i="21" s="1"/>
  <c r="H131" i="21"/>
  <c r="I131" i="21"/>
  <c r="V132" i="21"/>
  <c r="W132" i="21" s="1"/>
  <c r="H132" i="21"/>
  <c r="I132" i="21"/>
  <c r="V133" i="21"/>
  <c r="W133" i="21" s="1"/>
  <c r="H133" i="21"/>
  <c r="I133" i="21"/>
  <c r="V134" i="21"/>
  <c r="W134" i="21" s="1"/>
  <c r="H134" i="21"/>
  <c r="I134" i="21"/>
  <c r="V135" i="21"/>
  <c r="W135" i="21" s="1"/>
  <c r="H135" i="21"/>
  <c r="I135" i="21"/>
  <c r="V136" i="21"/>
  <c r="W136" i="21" s="1"/>
  <c r="H136" i="21"/>
  <c r="I136" i="21"/>
  <c r="V137" i="21"/>
  <c r="W137" i="21" s="1"/>
  <c r="H137" i="21"/>
  <c r="I137" i="21"/>
  <c r="V138" i="21"/>
  <c r="W138" i="21" s="1"/>
  <c r="H138" i="21"/>
  <c r="I138" i="21"/>
  <c r="V139" i="21"/>
  <c r="W139" i="21" s="1"/>
  <c r="H139" i="21"/>
  <c r="I139" i="21"/>
  <c r="V140" i="21"/>
  <c r="W140" i="21" s="1"/>
  <c r="H140" i="21"/>
  <c r="I140" i="21"/>
  <c r="V141" i="21"/>
  <c r="W141" i="21" s="1"/>
  <c r="H141" i="21"/>
  <c r="I141" i="21"/>
  <c r="V142" i="21"/>
  <c r="W142" i="21" s="1"/>
  <c r="H142" i="21"/>
  <c r="I142" i="21"/>
  <c r="V143" i="21"/>
  <c r="W143" i="21" s="1"/>
  <c r="H143" i="21"/>
  <c r="I143" i="21"/>
  <c r="V144" i="21"/>
  <c r="W144" i="21" s="1"/>
  <c r="H144" i="21"/>
  <c r="I144" i="21"/>
  <c r="V145" i="21"/>
  <c r="W145" i="21" s="1"/>
  <c r="H145" i="21"/>
  <c r="I145" i="21"/>
  <c r="V146" i="21"/>
  <c r="W146" i="21" s="1"/>
  <c r="H146" i="21"/>
  <c r="I146" i="21"/>
  <c r="V147" i="21"/>
  <c r="W147" i="21" s="1"/>
  <c r="H147" i="21"/>
  <c r="I147" i="21"/>
  <c r="V148" i="21"/>
  <c r="W148" i="21" s="1"/>
  <c r="H148" i="21"/>
  <c r="I148" i="21"/>
  <c r="V149" i="21"/>
  <c r="W149" i="21" s="1"/>
  <c r="H149" i="21"/>
  <c r="I149" i="21"/>
  <c r="V150" i="21"/>
  <c r="W150" i="21" s="1"/>
  <c r="H150" i="21"/>
  <c r="I150" i="21"/>
  <c r="V151" i="21"/>
  <c r="W151" i="21" s="1"/>
  <c r="H151" i="21"/>
  <c r="I151" i="21"/>
  <c r="V152" i="21"/>
  <c r="W152" i="21" s="1"/>
  <c r="H152" i="21"/>
  <c r="I152" i="21"/>
  <c r="V153" i="21"/>
  <c r="W153" i="21" s="1"/>
  <c r="H153" i="21"/>
  <c r="I153" i="21"/>
  <c r="V154" i="21"/>
  <c r="W154" i="21" s="1"/>
  <c r="H154" i="21"/>
  <c r="I154" i="21"/>
  <c r="V155" i="21"/>
  <c r="W155" i="21" s="1"/>
  <c r="H155" i="21"/>
  <c r="I155" i="21"/>
  <c r="V156" i="21"/>
  <c r="W156" i="21" s="1"/>
  <c r="H156" i="21"/>
  <c r="I156" i="21"/>
  <c r="V157" i="21"/>
  <c r="W157" i="21" s="1"/>
  <c r="H157" i="21"/>
  <c r="I157" i="21"/>
  <c r="V158" i="21"/>
  <c r="W158" i="21" s="1"/>
  <c r="H158" i="21"/>
  <c r="I158" i="21"/>
  <c r="V159" i="21"/>
  <c r="W159" i="21" s="1"/>
  <c r="H159" i="21"/>
  <c r="I159" i="21"/>
  <c r="V160" i="21"/>
  <c r="W160" i="21" s="1"/>
  <c r="H160" i="21"/>
  <c r="I160" i="21"/>
  <c r="V161" i="21"/>
  <c r="W161" i="21" s="1"/>
  <c r="H161" i="21"/>
  <c r="I161" i="21"/>
  <c r="V162" i="21"/>
  <c r="W162" i="21" s="1"/>
  <c r="H162" i="21"/>
  <c r="I162" i="21"/>
  <c r="V163" i="21"/>
  <c r="W163" i="21" s="1"/>
  <c r="H163" i="21"/>
  <c r="I163" i="21"/>
  <c r="V164" i="21"/>
  <c r="W164" i="21" s="1"/>
  <c r="H164" i="21"/>
  <c r="I164" i="21"/>
  <c r="V165" i="21"/>
  <c r="W165" i="21" s="1"/>
  <c r="H165" i="21"/>
  <c r="I165" i="21"/>
  <c r="V166" i="21"/>
  <c r="W166" i="21" s="1"/>
  <c r="H166" i="21"/>
  <c r="I166" i="21"/>
  <c r="V167" i="21"/>
  <c r="W167" i="21" s="1"/>
  <c r="H167" i="21"/>
  <c r="I167" i="21"/>
  <c r="V168" i="21"/>
  <c r="W168" i="21" s="1"/>
  <c r="H168" i="21"/>
  <c r="I168" i="21"/>
  <c r="V169" i="21"/>
  <c r="W169" i="21" s="1"/>
  <c r="H169" i="21"/>
  <c r="I169" i="21"/>
  <c r="V170" i="21"/>
  <c r="W170" i="21" s="1"/>
  <c r="H170" i="21"/>
  <c r="I170" i="21"/>
  <c r="V171" i="21"/>
  <c r="W171" i="21" s="1"/>
  <c r="H171" i="21"/>
  <c r="I171" i="21"/>
  <c r="V172" i="21"/>
  <c r="W172" i="21" s="1"/>
  <c r="H172" i="21"/>
  <c r="I172" i="21"/>
  <c r="V173" i="21"/>
  <c r="W173" i="21" s="1"/>
  <c r="H173" i="21"/>
  <c r="I173" i="21"/>
  <c r="V174" i="21"/>
  <c r="W174" i="21" s="1"/>
  <c r="H174" i="21"/>
  <c r="I174" i="21"/>
  <c r="V175" i="21"/>
  <c r="W175" i="21" s="1"/>
  <c r="H175" i="21"/>
  <c r="I175" i="21"/>
  <c r="V176" i="21"/>
  <c r="W176" i="21" s="1"/>
  <c r="H176" i="21"/>
  <c r="I176" i="21"/>
  <c r="V177" i="21"/>
  <c r="W177" i="21" s="1"/>
  <c r="H177" i="21"/>
  <c r="I177" i="21"/>
  <c r="V178" i="21"/>
  <c r="W178" i="21" s="1"/>
  <c r="H178" i="21"/>
  <c r="I178" i="21"/>
  <c r="V179" i="21"/>
  <c r="W179" i="21" s="1"/>
  <c r="H179" i="21"/>
  <c r="I179" i="21"/>
  <c r="V180" i="21"/>
  <c r="W180" i="21" s="1"/>
  <c r="H180" i="21"/>
  <c r="I180" i="21"/>
  <c r="V181" i="21"/>
  <c r="W181" i="21" s="1"/>
  <c r="H181" i="21"/>
  <c r="I181" i="21"/>
  <c r="V182" i="21"/>
  <c r="W182" i="21" s="1"/>
  <c r="H182" i="21"/>
  <c r="I182" i="21"/>
  <c r="V183" i="21"/>
  <c r="W183" i="21" s="1"/>
  <c r="H183" i="21"/>
  <c r="I183" i="21"/>
  <c r="V184" i="21"/>
  <c r="W184" i="21" s="1"/>
  <c r="H184" i="21"/>
  <c r="I184" i="21"/>
  <c r="V185" i="21"/>
  <c r="W185" i="21" s="1"/>
  <c r="H185" i="21"/>
  <c r="I185" i="21"/>
  <c r="V186" i="21"/>
  <c r="W186" i="21" s="1"/>
  <c r="H186" i="21"/>
  <c r="I186" i="21"/>
  <c r="V187" i="21"/>
  <c r="W187" i="21" s="1"/>
  <c r="H187" i="21"/>
  <c r="I187" i="21"/>
  <c r="V188" i="21"/>
  <c r="W188" i="21" s="1"/>
  <c r="H188" i="21"/>
  <c r="I188" i="21"/>
  <c r="V189" i="21"/>
  <c r="W189" i="21" s="1"/>
  <c r="H189" i="21"/>
  <c r="I189" i="21"/>
  <c r="V190" i="21"/>
  <c r="W190" i="21" s="1"/>
  <c r="H190" i="21"/>
  <c r="I190" i="21"/>
  <c r="V191" i="21"/>
  <c r="W191" i="21" s="1"/>
  <c r="H191" i="21"/>
  <c r="I191" i="21"/>
  <c r="V192" i="21"/>
  <c r="W192" i="21" s="1"/>
  <c r="H192" i="21"/>
  <c r="I192" i="21"/>
  <c r="V193" i="21"/>
  <c r="W193" i="21" s="1"/>
  <c r="H193" i="21"/>
  <c r="I193" i="21"/>
  <c r="V194" i="21"/>
  <c r="W194" i="21" s="1"/>
  <c r="H194" i="21"/>
  <c r="I194" i="21"/>
  <c r="V195" i="21"/>
  <c r="W195" i="21" s="1"/>
  <c r="H195" i="21"/>
  <c r="I195" i="21"/>
  <c r="V196" i="21"/>
  <c r="W196" i="21" s="1"/>
  <c r="H196" i="21"/>
  <c r="I196" i="21"/>
  <c r="V197" i="21"/>
  <c r="W197" i="21" s="1"/>
  <c r="H197" i="21"/>
  <c r="I197" i="21"/>
  <c r="V198" i="21"/>
  <c r="W198" i="21" s="1"/>
  <c r="H198" i="21"/>
  <c r="I198" i="21"/>
  <c r="V199" i="21"/>
  <c r="W199" i="21" s="1"/>
  <c r="H199" i="21"/>
  <c r="I199" i="21"/>
  <c r="V200" i="21"/>
  <c r="W200" i="21" s="1"/>
  <c r="H200" i="21"/>
  <c r="I200" i="21"/>
  <c r="V201" i="21"/>
  <c r="W201" i="21" s="1"/>
  <c r="H201" i="21"/>
  <c r="I201" i="21"/>
  <c r="V202" i="21"/>
  <c r="W202" i="21" s="1"/>
  <c r="H202" i="21"/>
  <c r="I202" i="21"/>
  <c r="V203" i="21"/>
  <c r="W203" i="21" s="1"/>
  <c r="H203" i="21"/>
  <c r="I203" i="21"/>
  <c r="V204" i="21"/>
  <c r="W204" i="21" s="1"/>
  <c r="H204" i="21"/>
  <c r="I204" i="21"/>
  <c r="V205" i="21"/>
  <c r="W205" i="21" s="1"/>
  <c r="H205" i="21"/>
  <c r="I205" i="21"/>
  <c r="V206" i="21"/>
  <c r="W206" i="21" s="1"/>
  <c r="H206" i="21"/>
  <c r="I206" i="21"/>
  <c r="V207" i="21"/>
  <c r="W207" i="21" s="1"/>
  <c r="H207" i="21"/>
  <c r="I207" i="21"/>
  <c r="V208" i="21"/>
  <c r="W208" i="21" s="1"/>
  <c r="H208" i="21"/>
  <c r="I208" i="21"/>
  <c r="V209" i="21"/>
  <c r="W209" i="21" s="1"/>
  <c r="H209" i="21"/>
  <c r="I209" i="21"/>
  <c r="V210" i="21"/>
  <c r="W210" i="21" s="1"/>
  <c r="H210" i="21"/>
  <c r="I210" i="21"/>
  <c r="V211" i="21"/>
  <c r="W211" i="21" s="1"/>
  <c r="H211" i="21"/>
  <c r="I211" i="21"/>
  <c r="V212" i="21"/>
  <c r="W212" i="21" s="1"/>
  <c r="H212" i="21"/>
  <c r="I212" i="21"/>
  <c r="V213" i="21"/>
  <c r="W213" i="21" s="1"/>
  <c r="H213" i="21"/>
  <c r="I213" i="21"/>
  <c r="V214" i="21"/>
  <c r="W214" i="21" s="1"/>
  <c r="H214" i="21"/>
  <c r="I214" i="21"/>
  <c r="V215" i="21"/>
  <c r="W215" i="21" s="1"/>
  <c r="H215" i="21"/>
  <c r="I215" i="21"/>
  <c r="V216" i="21"/>
  <c r="W216" i="21" s="1"/>
  <c r="H216" i="21"/>
  <c r="I216" i="21"/>
  <c r="V217" i="21"/>
  <c r="W217" i="21" s="1"/>
  <c r="H217" i="21"/>
  <c r="I217" i="21"/>
  <c r="V218" i="21"/>
  <c r="W218" i="21" s="1"/>
  <c r="H218" i="21"/>
  <c r="I218" i="21"/>
  <c r="V219" i="21"/>
  <c r="W219" i="21" s="1"/>
  <c r="H219" i="21"/>
  <c r="I219" i="21"/>
  <c r="V220" i="21"/>
  <c r="W220" i="21" s="1"/>
  <c r="H220" i="21"/>
  <c r="I220" i="21"/>
  <c r="V221" i="21"/>
  <c r="W221" i="21" s="1"/>
  <c r="H221" i="21"/>
  <c r="I221" i="21"/>
  <c r="V222" i="21"/>
  <c r="W222" i="21" s="1"/>
  <c r="H222" i="21"/>
  <c r="I222" i="21"/>
  <c r="V223" i="21"/>
  <c r="W223" i="21" s="1"/>
  <c r="H223" i="21"/>
  <c r="I223" i="21"/>
  <c r="V224" i="21"/>
  <c r="W224" i="21" s="1"/>
  <c r="H224" i="21"/>
  <c r="I224" i="21"/>
  <c r="V225" i="21"/>
  <c r="W225" i="21" s="1"/>
  <c r="H225" i="21"/>
  <c r="I225" i="21"/>
  <c r="V226" i="21"/>
  <c r="W226" i="21" s="1"/>
  <c r="H226" i="21"/>
  <c r="I226" i="21"/>
  <c r="V227" i="21"/>
  <c r="W227" i="21" s="1"/>
  <c r="H227" i="21"/>
  <c r="I227" i="21"/>
  <c r="V228" i="21"/>
  <c r="W228" i="21" s="1"/>
  <c r="H228" i="21"/>
  <c r="I228" i="21"/>
  <c r="V229" i="21"/>
  <c r="W229" i="21" s="1"/>
  <c r="H229" i="21"/>
  <c r="I229" i="21"/>
  <c r="V230" i="21"/>
  <c r="W230" i="21" s="1"/>
  <c r="H230" i="21"/>
  <c r="I230" i="21"/>
  <c r="V231" i="21"/>
  <c r="W231" i="21" s="1"/>
  <c r="H231" i="21"/>
  <c r="I231" i="21"/>
  <c r="V232" i="21"/>
  <c r="W232" i="21" s="1"/>
  <c r="H232" i="21"/>
  <c r="I232" i="21"/>
  <c r="V233" i="21"/>
  <c r="W233" i="21" s="1"/>
  <c r="H233" i="21"/>
  <c r="I233" i="21"/>
  <c r="V234" i="21"/>
  <c r="W234" i="21" s="1"/>
  <c r="H234" i="21"/>
  <c r="I234" i="21"/>
  <c r="V235" i="21"/>
  <c r="W235" i="21" s="1"/>
  <c r="H235" i="21"/>
  <c r="I235" i="21"/>
  <c r="V236" i="21"/>
  <c r="W236" i="21" s="1"/>
  <c r="H236" i="21"/>
  <c r="I236" i="21"/>
  <c r="V237" i="21"/>
  <c r="W237" i="21" s="1"/>
  <c r="H237" i="21"/>
  <c r="I237" i="21"/>
  <c r="V238" i="21"/>
  <c r="W238" i="21" s="1"/>
  <c r="H238" i="21"/>
  <c r="I238" i="21"/>
  <c r="V239" i="21"/>
  <c r="W239" i="21" s="1"/>
  <c r="H239" i="21"/>
  <c r="I239" i="21"/>
  <c r="V240" i="21"/>
  <c r="W240" i="21" s="1"/>
  <c r="H240" i="21"/>
  <c r="I240" i="21"/>
  <c r="V241" i="21"/>
  <c r="W241" i="21" s="1"/>
  <c r="H241" i="21"/>
  <c r="I241" i="21"/>
  <c r="V242" i="21"/>
  <c r="W242" i="21" s="1"/>
  <c r="H242" i="21"/>
  <c r="I242" i="21"/>
  <c r="V243" i="21"/>
  <c r="W243" i="21" s="1"/>
  <c r="H243" i="21"/>
  <c r="I243" i="21"/>
  <c r="V244" i="21"/>
  <c r="W244" i="21" s="1"/>
  <c r="H244" i="21"/>
  <c r="I244" i="21"/>
  <c r="V245" i="21"/>
  <c r="W245" i="21" s="1"/>
  <c r="H245" i="21"/>
  <c r="I245" i="21"/>
  <c r="V246" i="21"/>
  <c r="W246" i="21" s="1"/>
  <c r="H246" i="21"/>
  <c r="I246" i="21"/>
  <c r="V247" i="21"/>
  <c r="W247" i="21" s="1"/>
  <c r="H247" i="21"/>
  <c r="I247" i="21"/>
  <c r="V248" i="21"/>
  <c r="W248" i="21" s="1"/>
  <c r="H248" i="21"/>
  <c r="I248" i="21"/>
  <c r="V249" i="21"/>
  <c r="W249" i="21" s="1"/>
  <c r="H249" i="21"/>
  <c r="I249" i="21"/>
  <c r="V250" i="21"/>
  <c r="W250" i="21" s="1"/>
  <c r="H250" i="21"/>
  <c r="I250" i="21"/>
  <c r="V251" i="21"/>
  <c r="W251" i="21" s="1"/>
  <c r="H251" i="21"/>
  <c r="I251" i="21"/>
  <c r="V252" i="21"/>
  <c r="W252" i="21" s="1"/>
  <c r="H252" i="21"/>
  <c r="I252" i="21"/>
  <c r="V253" i="21"/>
  <c r="W253" i="21" s="1"/>
  <c r="H253" i="21"/>
  <c r="I253" i="21"/>
  <c r="V254" i="21"/>
  <c r="W254" i="21" s="1"/>
  <c r="H254" i="21"/>
  <c r="I254" i="21"/>
  <c r="V255" i="21"/>
  <c r="W255" i="21" s="1"/>
  <c r="H255" i="21"/>
  <c r="I255" i="21"/>
  <c r="V256" i="21"/>
  <c r="W256" i="21" s="1"/>
  <c r="H256" i="21"/>
  <c r="I256" i="21"/>
  <c r="V257" i="21"/>
  <c r="W257" i="21" s="1"/>
  <c r="H257" i="21"/>
  <c r="I257" i="21"/>
  <c r="V258" i="21"/>
  <c r="W258" i="21" s="1"/>
  <c r="H258" i="21"/>
  <c r="I258" i="21"/>
  <c r="V259" i="21"/>
  <c r="W259" i="21" s="1"/>
  <c r="H259" i="21"/>
  <c r="I259" i="21"/>
  <c r="V260" i="21"/>
  <c r="W260" i="21" s="1"/>
  <c r="H260" i="21"/>
  <c r="I260" i="21"/>
  <c r="V261" i="21"/>
  <c r="W261" i="21" s="1"/>
  <c r="H261" i="21"/>
  <c r="I261" i="21"/>
  <c r="V262" i="21"/>
  <c r="W262" i="21" s="1"/>
  <c r="H262" i="21"/>
  <c r="I262" i="21"/>
  <c r="V263" i="21"/>
  <c r="W263" i="21" s="1"/>
  <c r="H263" i="21"/>
  <c r="I263" i="21"/>
  <c r="V264" i="21"/>
  <c r="W264" i="21" s="1"/>
  <c r="H264" i="21"/>
  <c r="I264" i="21"/>
  <c r="V265" i="21"/>
  <c r="W265" i="21" s="1"/>
  <c r="H265" i="21"/>
  <c r="I265" i="21"/>
  <c r="V266" i="21"/>
  <c r="W266" i="21" s="1"/>
  <c r="H266" i="21"/>
  <c r="I266" i="21"/>
  <c r="V267" i="21"/>
  <c r="W267" i="21" s="1"/>
  <c r="H267" i="21"/>
  <c r="I267" i="21"/>
  <c r="V268" i="21"/>
  <c r="W268" i="21" s="1"/>
  <c r="H268" i="21"/>
  <c r="I268" i="21"/>
  <c r="V269" i="21"/>
  <c r="W269" i="21" s="1"/>
  <c r="H269" i="21"/>
  <c r="I269" i="21"/>
  <c r="V270" i="21"/>
  <c r="W270" i="21" s="1"/>
  <c r="H270" i="21"/>
  <c r="I270" i="21"/>
  <c r="V271" i="21"/>
  <c r="W271" i="21" s="1"/>
  <c r="H271" i="21"/>
  <c r="I271" i="21"/>
  <c r="V272" i="21"/>
  <c r="W272" i="21" s="1"/>
  <c r="H272" i="21"/>
  <c r="I272" i="21"/>
  <c r="V273" i="21"/>
  <c r="W273" i="21" s="1"/>
  <c r="H273" i="21"/>
  <c r="I273" i="21"/>
  <c r="V274" i="21"/>
  <c r="W274" i="21" s="1"/>
  <c r="H274" i="21"/>
  <c r="I274" i="21"/>
  <c r="V275" i="21"/>
  <c r="W275" i="21" s="1"/>
  <c r="H275" i="21"/>
  <c r="I275" i="21"/>
  <c r="V276" i="21"/>
  <c r="W276" i="21" s="1"/>
  <c r="H276" i="21"/>
  <c r="I276" i="21"/>
  <c r="V277" i="21"/>
  <c r="W277" i="21" s="1"/>
  <c r="H277" i="21"/>
  <c r="I277" i="21"/>
  <c r="V278" i="21"/>
  <c r="W278" i="21" s="1"/>
  <c r="H278" i="21"/>
  <c r="I278" i="21"/>
  <c r="V279" i="21"/>
  <c r="W279" i="21" s="1"/>
  <c r="H279" i="21"/>
  <c r="I279" i="21"/>
  <c r="V280" i="21"/>
  <c r="W280" i="21" s="1"/>
  <c r="H280" i="21"/>
  <c r="I280" i="21"/>
  <c r="V281" i="21"/>
  <c r="W281" i="21" s="1"/>
  <c r="H281" i="21"/>
  <c r="I281" i="21"/>
  <c r="V282" i="21"/>
  <c r="W282" i="21" s="1"/>
  <c r="H282" i="21"/>
  <c r="I282" i="21"/>
  <c r="V283" i="21"/>
  <c r="W283" i="21" s="1"/>
  <c r="H283" i="21"/>
  <c r="I283" i="21"/>
  <c r="V284" i="21"/>
  <c r="W284" i="21" s="1"/>
  <c r="H284" i="21"/>
  <c r="I284" i="21"/>
  <c r="V285" i="21"/>
  <c r="W285" i="21" s="1"/>
  <c r="H285" i="21"/>
  <c r="I285" i="21"/>
  <c r="V286" i="21"/>
  <c r="W286" i="21" s="1"/>
  <c r="H286" i="21"/>
  <c r="I286" i="21"/>
  <c r="V287" i="21"/>
  <c r="W287" i="21" s="1"/>
  <c r="H287" i="21"/>
  <c r="I287" i="21"/>
  <c r="V288" i="21"/>
  <c r="W288" i="21" s="1"/>
  <c r="H288" i="21"/>
  <c r="I288" i="21"/>
  <c r="V289" i="21"/>
  <c r="W289" i="21" s="1"/>
  <c r="H289" i="21"/>
  <c r="I289" i="21"/>
  <c r="V290" i="21"/>
  <c r="W290" i="21" s="1"/>
  <c r="H290" i="21"/>
  <c r="I290" i="21"/>
  <c r="V291" i="21"/>
  <c r="W291" i="21" s="1"/>
  <c r="H291" i="21"/>
  <c r="I291" i="21"/>
  <c r="V292" i="21"/>
  <c r="W292" i="21" s="1"/>
  <c r="H292" i="21"/>
  <c r="I292" i="21"/>
  <c r="V293" i="21"/>
  <c r="W293" i="21" s="1"/>
  <c r="H293" i="21"/>
  <c r="I293" i="21"/>
  <c r="V294" i="21"/>
  <c r="W294" i="21" s="1"/>
  <c r="H294" i="21"/>
  <c r="I294" i="21"/>
  <c r="V295" i="21"/>
  <c r="W295" i="21" s="1"/>
  <c r="H295" i="21"/>
  <c r="I295" i="21"/>
  <c r="V296" i="21"/>
  <c r="W296" i="21" s="1"/>
  <c r="H296" i="21"/>
  <c r="I296" i="21"/>
  <c r="V297" i="21"/>
  <c r="W297" i="21" s="1"/>
  <c r="H297" i="21"/>
  <c r="I297" i="21"/>
  <c r="V298" i="21"/>
  <c r="W298" i="21" s="1"/>
  <c r="H298" i="21"/>
  <c r="I298" i="21"/>
  <c r="V299" i="21"/>
  <c r="W299" i="21" s="1"/>
  <c r="H299" i="21"/>
  <c r="I299" i="21"/>
  <c r="V300" i="21"/>
  <c r="W300" i="21" s="1"/>
  <c r="H300" i="21"/>
  <c r="I300" i="21"/>
  <c r="V301" i="21"/>
  <c r="W301" i="21" s="1"/>
  <c r="H301" i="21"/>
  <c r="I301" i="21"/>
  <c r="V302" i="21"/>
  <c r="W302" i="21" s="1"/>
  <c r="H302" i="21"/>
  <c r="I302" i="21"/>
  <c r="V303" i="21"/>
  <c r="W303" i="21" s="1"/>
  <c r="H303" i="21"/>
  <c r="I303" i="21"/>
  <c r="V304" i="21"/>
  <c r="W304" i="21" s="1"/>
  <c r="H304" i="21"/>
  <c r="I304" i="21"/>
  <c r="V305" i="21"/>
  <c r="W305" i="21" s="1"/>
  <c r="H305" i="21"/>
  <c r="I305" i="21"/>
  <c r="V306" i="21"/>
  <c r="W306" i="21" s="1"/>
  <c r="H306" i="21"/>
  <c r="I306" i="21"/>
  <c r="V307" i="21"/>
  <c r="W307" i="21" s="1"/>
  <c r="H307" i="21"/>
  <c r="I307" i="21"/>
  <c r="V308" i="21"/>
  <c r="W308" i="21" s="1"/>
  <c r="H308" i="21"/>
  <c r="I308" i="21"/>
  <c r="V309" i="21"/>
  <c r="W309" i="21" s="1"/>
  <c r="H309" i="21"/>
  <c r="I309" i="21"/>
  <c r="V310" i="21"/>
  <c r="W310" i="21" s="1"/>
  <c r="H310" i="21"/>
  <c r="I310" i="21"/>
  <c r="V311" i="21"/>
  <c r="W311" i="21" s="1"/>
  <c r="H311" i="21"/>
  <c r="I311" i="21"/>
  <c r="V312" i="21"/>
  <c r="W312" i="21" s="1"/>
  <c r="H312" i="21"/>
  <c r="I312" i="21"/>
  <c r="V313" i="21"/>
  <c r="W313" i="21" s="1"/>
  <c r="H313" i="21"/>
  <c r="I313" i="21"/>
  <c r="V314" i="21"/>
  <c r="W314" i="21" s="1"/>
  <c r="H314" i="21"/>
  <c r="I314" i="21"/>
  <c r="V315" i="21"/>
  <c r="W315" i="21" s="1"/>
  <c r="H315" i="21"/>
  <c r="I315" i="21"/>
  <c r="V316" i="21"/>
  <c r="W316" i="21" s="1"/>
  <c r="H316" i="21"/>
  <c r="I316" i="21"/>
  <c r="V317" i="21"/>
  <c r="W317" i="21" s="1"/>
  <c r="H317" i="21"/>
  <c r="I317" i="21"/>
  <c r="V318" i="21"/>
  <c r="W318" i="21" s="1"/>
  <c r="H318" i="21"/>
  <c r="I318" i="21"/>
  <c r="V319" i="21"/>
  <c r="W319" i="21" s="1"/>
  <c r="H319" i="21"/>
  <c r="I319" i="21"/>
  <c r="V320" i="21"/>
  <c r="W320" i="21" s="1"/>
  <c r="H320" i="21"/>
  <c r="I320" i="21"/>
  <c r="V321" i="21"/>
  <c r="W321" i="21" s="1"/>
  <c r="H321" i="21"/>
  <c r="I321" i="21"/>
  <c r="V322" i="21"/>
  <c r="W322" i="21" s="1"/>
  <c r="H322" i="21"/>
  <c r="I322" i="21"/>
  <c r="V323" i="21"/>
  <c r="W323" i="21" s="1"/>
  <c r="H323" i="21"/>
  <c r="I323" i="21"/>
  <c r="V324" i="21"/>
  <c r="W324" i="21" s="1"/>
  <c r="H324" i="21"/>
  <c r="I324" i="21"/>
  <c r="V325" i="21"/>
  <c r="W325" i="21" s="1"/>
  <c r="H325" i="21"/>
  <c r="I325" i="21"/>
  <c r="V326" i="21"/>
  <c r="W326" i="21" s="1"/>
  <c r="H326" i="21"/>
  <c r="I326" i="21"/>
  <c r="V327" i="21"/>
  <c r="W327" i="21" s="1"/>
  <c r="H327" i="21"/>
  <c r="I327" i="21"/>
  <c r="V328" i="21"/>
  <c r="W328" i="21" s="1"/>
  <c r="H328" i="21"/>
  <c r="I328" i="21"/>
  <c r="V329" i="21"/>
  <c r="W329" i="21" s="1"/>
  <c r="H329" i="21"/>
  <c r="I329" i="21"/>
  <c r="V330" i="21"/>
  <c r="W330" i="21" s="1"/>
  <c r="H330" i="21"/>
  <c r="I330" i="21"/>
  <c r="V331" i="21"/>
  <c r="W331" i="21" s="1"/>
  <c r="H331" i="21"/>
  <c r="I331" i="21"/>
  <c r="V332" i="21"/>
  <c r="W332" i="21" s="1"/>
  <c r="H332" i="21"/>
  <c r="I332" i="21"/>
  <c r="V333" i="21"/>
  <c r="W333" i="21" s="1"/>
  <c r="H333" i="21"/>
  <c r="I333" i="21"/>
  <c r="V334" i="21"/>
  <c r="W334" i="21" s="1"/>
  <c r="H334" i="21"/>
  <c r="I334" i="21"/>
  <c r="V335" i="21"/>
  <c r="W335" i="21" s="1"/>
  <c r="H335" i="21"/>
  <c r="I335" i="21"/>
  <c r="V336" i="21"/>
  <c r="W336" i="21" s="1"/>
  <c r="H336" i="21"/>
  <c r="I336" i="21"/>
  <c r="V337" i="21"/>
  <c r="W337" i="21" s="1"/>
  <c r="H337" i="21"/>
  <c r="I337" i="21"/>
  <c r="V338" i="21"/>
  <c r="W338" i="21" s="1"/>
  <c r="H338" i="21"/>
  <c r="I338" i="21"/>
  <c r="V339" i="21"/>
  <c r="W339" i="21" s="1"/>
  <c r="H339" i="21"/>
  <c r="I339" i="21"/>
  <c r="V340" i="21"/>
  <c r="W340" i="21" s="1"/>
  <c r="H340" i="21"/>
  <c r="I340" i="21"/>
  <c r="V341" i="21"/>
  <c r="W341" i="21" s="1"/>
  <c r="H341" i="21"/>
  <c r="I341" i="21"/>
  <c r="V342" i="21"/>
  <c r="W342" i="21" s="1"/>
  <c r="H342" i="21"/>
  <c r="I342" i="21"/>
  <c r="V343" i="21"/>
  <c r="W343" i="21" s="1"/>
  <c r="H343" i="21"/>
  <c r="I343" i="21"/>
  <c r="V344" i="21"/>
  <c r="W344" i="21" s="1"/>
  <c r="H344" i="21"/>
  <c r="I344" i="21"/>
  <c r="V345" i="21"/>
  <c r="W345" i="21" s="1"/>
  <c r="H345" i="21"/>
  <c r="I345" i="21"/>
  <c r="V346" i="21"/>
  <c r="W346" i="21" s="1"/>
  <c r="H346" i="21"/>
  <c r="I346" i="21"/>
  <c r="V347" i="21"/>
  <c r="W347" i="21" s="1"/>
  <c r="H347" i="21"/>
  <c r="I347" i="21"/>
  <c r="V348" i="21"/>
  <c r="W348" i="21" s="1"/>
  <c r="H348" i="21"/>
  <c r="I348" i="21"/>
  <c r="V349" i="21"/>
  <c r="W349" i="21" s="1"/>
  <c r="H349" i="21"/>
  <c r="I349" i="21"/>
  <c r="V350" i="21"/>
  <c r="W350" i="21" s="1"/>
  <c r="H350" i="21"/>
  <c r="I350" i="21"/>
  <c r="V351" i="21"/>
  <c r="W351" i="21" s="1"/>
  <c r="H351" i="21"/>
  <c r="I351" i="21"/>
  <c r="V352" i="21"/>
  <c r="W352" i="21" s="1"/>
  <c r="H352" i="21"/>
  <c r="I352" i="21"/>
  <c r="V353" i="21"/>
  <c r="W353" i="21" s="1"/>
  <c r="H353" i="21"/>
  <c r="I353" i="21"/>
  <c r="V354" i="21"/>
  <c r="W354" i="21" s="1"/>
  <c r="H354" i="21"/>
  <c r="I354" i="21"/>
  <c r="V355" i="21"/>
  <c r="W355" i="21" s="1"/>
  <c r="H355" i="21"/>
  <c r="I355" i="21"/>
  <c r="V356" i="21"/>
  <c r="W356" i="21" s="1"/>
  <c r="H356" i="21"/>
  <c r="I356" i="21"/>
  <c r="V357" i="21"/>
  <c r="W357" i="21" s="1"/>
  <c r="H357" i="21"/>
  <c r="I357" i="21"/>
  <c r="V358" i="21"/>
  <c r="W358" i="21" s="1"/>
  <c r="H358" i="21"/>
  <c r="I358" i="21"/>
  <c r="V359" i="21"/>
  <c r="W359" i="21" s="1"/>
  <c r="H359" i="21"/>
  <c r="I359" i="21"/>
  <c r="V360" i="21"/>
  <c r="W360" i="21" s="1"/>
  <c r="H360" i="21"/>
  <c r="I360" i="21"/>
  <c r="V361" i="21"/>
  <c r="W361" i="21" s="1"/>
  <c r="H361" i="21"/>
  <c r="I361" i="21"/>
  <c r="V362" i="21"/>
  <c r="W362" i="21" s="1"/>
  <c r="H362" i="21"/>
  <c r="I362" i="21"/>
  <c r="V363" i="21"/>
  <c r="W363" i="21" s="1"/>
  <c r="H363" i="21"/>
  <c r="I363" i="21"/>
  <c r="V364" i="21"/>
  <c r="W364" i="21" s="1"/>
  <c r="H364" i="21"/>
  <c r="I364" i="21"/>
  <c r="V365" i="21"/>
  <c r="W365" i="21" s="1"/>
  <c r="H365" i="21"/>
  <c r="I365" i="21"/>
  <c r="V366" i="21"/>
  <c r="W366" i="21" s="1"/>
  <c r="H366" i="21"/>
  <c r="I366" i="21"/>
  <c r="V367" i="21"/>
  <c r="W367" i="21" s="1"/>
  <c r="H367" i="21"/>
  <c r="I367" i="21"/>
  <c r="V368" i="21"/>
  <c r="W368" i="21" s="1"/>
  <c r="H368" i="21"/>
  <c r="I368" i="21"/>
  <c r="V369" i="21"/>
  <c r="W369" i="21" s="1"/>
  <c r="H369" i="21"/>
  <c r="I369" i="21"/>
  <c r="V370" i="21"/>
  <c r="W370" i="21" s="1"/>
  <c r="H370" i="21"/>
  <c r="I370" i="21"/>
  <c r="V371" i="21"/>
  <c r="W371" i="21" s="1"/>
  <c r="H371" i="21"/>
  <c r="I371" i="21"/>
  <c r="V372" i="21"/>
  <c r="W372" i="21" s="1"/>
  <c r="H372" i="21"/>
  <c r="I372" i="21"/>
  <c r="V373" i="21"/>
  <c r="W373" i="21" s="1"/>
  <c r="H373" i="21"/>
  <c r="I373" i="21"/>
  <c r="V374" i="21"/>
  <c r="W374" i="21" s="1"/>
  <c r="H374" i="21"/>
  <c r="I374" i="21"/>
  <c r="V375" i="21"/>
  <c r="W375" i="21" s="1"/>
  <c r="H375" i="21"/>
  <c r="I375" i="21"/>
  <c r="V376" i="21"/>
  <c r="W376" i="21" s="1"/>
  <c r="H376" i="21"/>
  <c r="I376" i="21"/>
  <c r="V377" i="21"/>
  <c r="W377" i="21" s="1"/>
  <c r="H377" i="21"/>
  <c r="I377" i="21"/>
  <c r="V378" i="21"/>
  <c r="W378" i="21" s="1"/>
  <c r="H378" i="21"/>
  <c r="I378" i="21"/>
  <c r="V379" i="21"/>
  <c r="W379" i="21" s="1"/>
  <c r="H379" i="21"/>
  <c r="I379" i="21"/>
  <c r="V380" i="21"/>
  <c r="W380" i="21" s="1"/>
  <c r="H380" i="21"/>
  <c r="I380" i="21"/>
  <c r="V381" i="21"/>
  <c r="W381" i="21" s="1"/>
  <c r="H381" i="21"/>
  <c r="I381" i="21"/>
  <c r="V382" i="21"/>
  <c r="W382" i="21" s="1"/>
  <c r="H382" i="21"/>
  <c r="I382" i="21"/>
  <c r="V383" i="21"/>
  <c r="W383" i="21" s="1"/>
  <c r="H383" i="21"/>
  <c r="I383" i="21"/>
  <c r="V384" i="21"/>
  <c r="W384" i="21" s="1"/>
  <c r="H384" i="21"/>
  <c r="I384" i="21"/>
  <c r="V385" i="21"/>
  <c r="W385" i="21" s="1"/>
  <c r="H385" i="21"/>
  <c r="I385" i="21"/>
  <c r="V386" i="21"/>
  <c r="W386" i="21" s="1"/>
  <c r="H386" i="21"/>
  <c r="I386" i="21"/>
  <c r="V387" i="21"/>
  <c r="W387" i="21" s="1"/>
  <c r="H387" i="21"/>
  <c r="I387" i="21"/>
  <c r="V388" i="21"/>
  <c r="W388" i="21" s="1"/>
  <c r="H388" i="21"/>
  <c r="I388" i="21"/>
  <c r="V389" i="21"/>
  <c r="W389" i="21" s="1"/>
  <c r="H389" i="21"/>
  <c r="I389" i="21"/>
  <c r="V390" i="21"/>
  <c r="W390" i="21" s="1"/>
  <c r="H390" i="21"/>
  <c r="I390" i="21"/>
  <c r="V391" i="21"/>
  <c r="W391" i="21" s="1"/>
  <c r="H391" i="21"/>
  <c r="I391" i="21"/>
  <c r="V392" i="21"/>
  <c r="W392" i="21" s="1"/>
  <c r="H392" i="21"/>
  <c r="I392" i="21"/>
  <c r="V393" i="21"/>
  <c r="W393" i="21" s="1"/>
  <c r="H393" i="21"/>
  <c r="I393" i="21"/>
  <c r="V394" i="21"/>
  <c r="W394" i="21" s="1"/>
  <c r="H394" i="21"/>
  <c r="I394" i="21"/>
  <c r="V395" i="21"/>
  <c r="W395" i="21" s="1"/>
  <c r="H395" i="21"/>
  <c r="I395" i="21"/>
  <c r="V396" i="21"/>
  <c r="W396" i="21" s="1"/>
  <c r="H396" i="21"/>
  <c r="I396" i="21"/>
  <c r="V397" i="21"/>
  <c r="W397" i="21" s="1"/>
  <c r="H397" i="21"/>
  <c r="I397" i="21"/>
  <c r="V398" i="21"/>
  <c r="W398" i="21" s="1"/>
  <c r="H398" i="21"/>
  <c r="I398" i="21"/>
  <c r="V399" i="21"/>
  <c r="W399" i="21" s="1"/>
  <c r="H399" i="21"/>
  <c r="I399" i="21"/>
  <c r="V400" i="21"/>
  <c r="W400" i="21" s="1"/>
  <c r="H400" i="21"/>
  <c r="I400" i="21"/>
  <c r="V401" i="21"/>
  <c r="W401" i="21" s="1"/>
  <c r="H401" i="21"/>
  <c r="I401" i="21"/>
  <c r="V402" i="21"/>
  <c r="W402" i="21" s="1"/>
  <c r="H402" i="21"/>
  <c r="I402" i="21"/>
  <c r="V403" i="21"/>
  <c r="W403" i="21" s="1"/>
  <c r="H403" i="21"/>
  <c r="I403" i="21"/>
  <c r="V404" i="21"/>
  <c r="W404" i="21" s="1"/>
  <c r="H404" i="21"/>
  <c r="I404" i="21"/>
  <c r="V405" i="21"/>
  <c r="W405" i="21" s="1"/>
  <c r="H405" i="21"/>
  <c r="I405" i="21"/>
  <c r="V406" i="21"/>
  <c r="W406" i="21" s="1"/>
  <c r="H406" i="21"/>
  <c r="I406" i="21"/>
  <c r="V407" i="21"/>
  <c r="W407" i="21" s="1"/>
  <c r="H407" i="21"/>
  <c r="I407" i="21"/>
  <c r="V408" i="21"/>
  <c r="W408" i="21" s="1"/>
  <c r="H408" i="21"/>
  <c r="I408" i="21"/>
  <c r="V409" i="21"/>
  <c r="W409" i="21" s="1"/>
  <c r="H409" i="21"/>
  <c r="I409" i="21"/>
  <c r="V410" i="21"/>
  <c r="W410" i="21" s="1"/>
  <c r="H410" i="21"/>
  <c r="I410" i="21"/>
  <c r="V411" i="21"/>
  <c r="W411" i="21" s="1"/>
  <c r="H411" i="21"/>
  <c r="I411" i="21"/>
  <c r="V412" i="21"/>
  <c r="W412" i="21" s="1"/>
  <c r="H412" i="21"/>
  <c r="I412" i="21"/>
  <c r="V413" i="21"/>
  <c r="W413" i="21" s="1"/>
  <c r="H413" i="21"/>
  <c r="I413" i="21"/>
  <c r="V414" i="21"/>
  <c r="W414" i="21" s="1"/>
  <c r="H414" i="21"/>
  <c r="I414" i="21"/>
  <c r="V415" i="21"/>
  <c r="W415" i="21" s="1"/>
  <c r="H415" i="21"/>
  <c r="I415" i="21"/>
  <c r="V416" i="21"/>
  <c r="W416" i="21" s="1"/>
  <c r="H416" i="21"/>
  <c r="I416" i="21"/>
  <c r="V417" i="21"/>
  <c r="W417" i="21" s="1"/>
  <c r="H417" i="21"/>
  <c r="I417" i="21"/>
  <c r="V418" i="21"/>
  <c r="W418" i="21" s="1"/>
  <c r="H418" i="21"/>
  <c r="I418" i="21"/>
  <c r="V419" i="21"/>
  <c r="W419" i="21" s="1"/>
  <c r="H419" i="21"/>
  <c r="I419" i="21"/>
  <c r="V420" i="21"/>
  <c r="W420" i="21" s="1"/>
  <c r="H420" i="21"/>
  <c r="I420" i="21"/>
  <c r="V421" i="21"/>
  <c r="W421" i="21" s="1"/>
  <c r="H421" i="21"/>
  <c r="I421" i="21"/>
  <c r="V422" i="21"/>
  <c r="W422" i="21" s="1"/>
  <c r="H422" i="21"/>
  <c r="I422" i="21"/>
  <c r="V423" i="21"/>
  <c r="W423" i="21" s="1"/>
  <c r="H423" i="21"/>
  <c r="I423" i="21"/>
  <c r="V424" i="21"/>
  <c r="W424" i="21" s="1"/>
  <c r="H424" i="21"/>
  <c r="I424" i="21"/>
  <c r="V425" i="21"/>
  <c r="W425" i="21" s="1"/>
  <c r="H425" i="21"/>
  <c r="I425" i="21"/>
  <c r="V426" i="21"/>
  <c r="W426" i="21" s="1"/>
  <c r="H426" i="21"/>
  <c r="I426" i="21"/>
  <c r="V427" i="21"/>
  <c r="W427" i="21" s="1"/>
  <c r="H427" i="21"/>
  <c r="I427" i="21"/>
  <c r="V428" i="21"/>
  <c r="W428" i="21" s="1"/>
  <c r="H428" i="21"/>
  <c r="I428" i="21"/>
  <c r="V429" i="21"/>
  <c r="W429" i="21" s="1"/>
  <c r="H429" i="21"/>
  <c r="I429" i="21"/>
  <c r="V430" i="21"/>
  <c r="W430" i="21" s="1"/>
  <c r="H430" i="21"/>
  <c r="I430" i="21"/>
  <c r="V431" i="21"/>
  <c r="W431" i="21" s="1"/>
  <c r="H431" i="21"/>
  <c r="I431" i="21"/>
  <c r="V432" i="21"/>
  <c r="W432" i="21" s="1"/>
  <c r="H432" i="21"/>
  <c r="I432" i="21"/>
  <c r="V433" i="21"/>
  <c r="W433" i="21" s="1"/>
  <c r="H433" i="21"/>
  <c r="I433" i="21"/>
  <c r="V434" i="21"/>
  <c r="W434" i="21" s="1"/>
  <c r="H434" i="21"/>
  <c r="I434" i="21"/>
  <c r="V435" i="21"/>
  <c r="W435" i="21" s="1"/>
  <c r="H435" i="21"/>
  <c r="I435" i="21"/>
  <c r="V436" i="21"/>
  <c r="W436" i="21" s="1"/>
  <c r="H436" i="21"/>
  <c r="I436" i="21"/>
  <c r="V437" i="21"/>
  <c r="W437" i="21" s="1"/>
  <c r="H437" i="21"/>
  <c r="I437" i="21"/>
  <c r="V438" i="21"/>
  <c r="W438" i="21" s="1"/>
  <c r="H438" i="21"/>
  <c r="I438" i="21"/>
  <c r="V439" i="21"/>
  <c r="W439" i="21" s="1"/>
  <c r="H439" i="21"/>
  <c r="I439" i="21"/>
  <c r="V440" i="21"/>
  <c r="W440" i="21" s="1"/>
  <c r="H440" i="21"/>
  <c r="I440" i="21"/>
  <c r="V441" i="21"/>
  <c r="W441" i="21" s="1"/>
  <c r="H441" i="21"/>
  <c r="I441" i="21"/>
  <c r="V442" i="21"/>
  <c r="W442" i="21" s="1"/>
  <c r="H442" i="21"/>
  <c r="I442" i="21"/>
  <c r="V443" i="21"/>
  <c r="W443" i="21" s="1"/>
  <c r="H443" i="21"/>
  <c r="I443" i="21"/>
  <c r="V444" i="21"/>
  <c r="W444" i="21" s="1"/>
  <c r="H444" i="21"/>
  <c r="I444" i="21"/>
  <c r="V445" i="21"/>
  <c r="W445" i="21" s="1"/>
  <c r="H445" i="21"/>
  <c r="I445" i="21"/>
  <c r="V446" i="21"/>
  <c r="W446" i="21" s="1"/>
  <c r="H446" i="21"/>
  <c r="I446" i="21"/>
  <c r="V447" i="21"/>
  <c r="W447" i="21" s="1"/>
  <c r="H447" i="21"/>
  <c r="I447" i="21"/>
  <c r="V448" i="21"/>
  <c r="W448" i="21" s="1"/>
  <c r="H448" i="21"/>
  <c r="I448" i="21"/>
  <c r="V449" i="21"/>
  <c r="W449" i="21" s="1"/>
  <c r="H449" i="21"/>
  <c r="I449" i="21"/>
  <c r="V450" i="21"/>
  <c r="W450" i="21" s="1"/>
  <c r="H450" i="21"/>
  <c r="I450" i="21"/>
  <c r="V451" i="21"/>
  <c r="W451" i="21" s="1"/>
  <c r="H451" i="21"/>
  <c r="I451" i="21"/>
  <c r="V452" i="21"/>
  <c r="W452" i="21" s="1"/>
  <c r="H452" i="21"/>
  <c r="I452" i="21"/>
  <c r="V453" i="21"/>
  <c r="W453" i="21" s="1"/>
  <c r="H453" i="21"/>
  <c r="I453" i="21"/>
  <c r="V454" i="21"/>
  <c r="W454" i="21" s="1"/>
  <c r="H454" i="21"/>
  <c r="I454" i="21"/>
  <c r="V455" i="21"/>
  <c r="W455" i="21" s="1"/>
  <c r="H455" i="21"/>
  <c r="I455" i="21"/>
  <c r="V456" i="21"/>
  <c r="W456" i="21" s="1"/>
  <c r="H456" i="21"/>
  <c r="I456" i="21"/>
  <c r="V457" i="21"/>
  <c r="W457" i="21" s="1"/>
  <c r="H457" i="21"/>
  <c r="I457" i="21"/>
  <c r="V458" i="21"/>
  <c r="W458" i="21" s="1"/>
  <c r="H458" i="21"/>
  <c r="I458" i="21"/>
  <c r="V459" i="21"/>
  <c r="W459" i="21" s="1"/>
  <c r="H459" i="21"/>
  <c r="I459" i="21"/>
  <c r="V460" i="21"/>
  <c r="W460" i="21" s="1"/>
  <c r="H460" i="21"/>
  <c r="I460" i="21"/>
  <c r="V461" i="21"/>
  <c r="W461" i="21" s="1"/>
  <c r="H461" i="21"/>
  <c r="I461" i="21"/>
  <c r="V462" i="21"/>
  <c r="W462" i="21" s="1"/>
  <c r="H462" i="21"/>
  <c r="I462" i="21"/>
  <c r="V463" i="21"/>
  <c r="W463" i="21" s="1"/>
  <c r="H463" i="21"/>
  <c r="I463" i="21"/>
  <c r="V464" i="21"/>
  <c r="W464" i="21" s="1"/>
  <c r="H464" i="21"/>
  <c r="I464" i="21"/>
  <c r="V465" i="21"/>
  <c r="W465" i="21" s="1"/>
  <c r="H465" i="21"/>
  <c r="I465" i="21"/>
  <c r="V466" i="21"/>
  <c r="W466" i="21" s="1"/>
  <c r="H466" i="21"/>
  <c r="I466" i="21"/>
  <c r="V467" i="21"/>
  <c r="W467" i="21" s="1"/>
  <c r="H467" i="21"/>
  <c r="I467" i="21"/>
  <c r="V468" i="21"/>
  <c r="W468" i="21" s="1"/>
  <c r="H468" i="21"/>
  <c r="I468" i="21"/>
  <c r="V469" i="21"/>
  <c r="W469" i="21" s="1"/>
  <c r="H469" i="21"/>
  <c r="I469" i="21"/>
  <c r="V470" i="21"/>
  <c r="W470" i="21" s="1"/>
  <c r="H470" i="21"/>
  <c r="I470" i="21"/>
  <c r="V471" i="21"/>
  <c r="W471" i="21" s="1"/>
  <c r="H471" i="21"/>
  <c r="I471" i="21"/>
  <c r="V472" i="21"/>
  <c r="W472" i="21" s="1"/>
  <c r="H472" i="21"/>
  <c r="I472" i="21"/>
  <c r="V473" i="21"/>
  <c r="W473" i="21" s="1"/>
  <c r="H473" i="21"/>
  <c r="I473" i="21"/>
  <c r="V474" i="21"/>
  <c r="W474" i="21" s="1"/>
  <c r="H474" i="21"/>
  <c r="I474" i="21"/>
  <c r="V475" i="21"/>
  <c r="W475" i="21" s="1"/>
  <c r="H475" i="21"/>
  <c r="I475" i="21"/>
  <c r="V476" i="21"/>
  <c r="W476" i="21" s="1"/>
  <c r="H476" i="21"/>
  <c r="I476" i="21"/>
  <c r="V477" i="21"/>
  <c r="W477" i="21" s="1"/>
  <c r="H477" i="21"/>
  <c r="I477" i="21"/>
  <c r="V478" i="21"/>
  <c r="W478" i="21" s="1"/>
  <c r="H478" i="21"/>
  <c r="I478" i="21"/>
  <c r="V479" i="21"/>
  <c r="W479" i="21" s="1"/>
  <c r="H479" i="21"/>
  <c r="I479" i="21"/>
  <c r="V480" i="21"/>
  <c r="W480" i="21" s="1"/>
  <c r="H480" i="21"/>
  <c r="I480" i="21"/>
  <c r="V481" i="21"/>
  <c r="W481" i="21" s="1"/>
  <c r="H481" i="21"/>
  <c r="I481" i="21"/>
  <c r="V482" i="21"/>
  <c r="W482" i="21" s="1"/>
  <c r="H482" i="21"/>
  <c r="I482" i="21"/>
  <c r="V483" i="21"/>
  <c r="W483" i="21" s="1"/>
  <c r="H483" i="21"/>
  <c r="I483" i="21"/>
  <c r="V484" i="21"/>
  <c r="W484" i="21" s="1"/>
  <c r="H484" i="21"/>
  <c r="I484" i="21"/>
  <c r="V485" i="21"/>
  <c r="W485" i="21" s="1"/>
  <c r="H485" i="21"/>
  <c r="I485" i="21"/>
  <c r="V486" i="21"/>
  <c r="W486" i="21" s="1"/>
  <c r="H486" i="21"/>
  <c r="I486" i="21"/>
  <c r="V487" i="21"/>
  <c r="W487" i="21" s="1"/>
  <c r="H487" i="21"/>
  <c r="I487" i="21"/>
  <c r="V488" i="21"/>
  <c r="W488" i="21" s="1"/>
  <c r="H488" i="21"/>
  <c r="I488" i="21"/>
  <c r="V489" i="21"/>
  <c r="W489" i="21" s="1"/>
  <c r="H489" i="21"/>
  <c r="I489" i="21"/>
  <c r="V490" i="21"/>
  <c r="W490" i="21" s="1"/>
  <c r="H490" i="21"/>
  <c r="I490" i="21"/>
  <c r="V491" i="21"/>
  <c r="W491" i="21" s="1"/>
  <c r="H491" i="21"/>
  <c r="I491" i="21"/>
  <c r="V492" i="21"/>
  <c r="W492" i="21" s="1"/>
  <c r="H492" i="21"/>
  <c r="I492" i="21"/>
  <c r="V493" i="21"/>
  <c r="W493" i="21" s="1"/>
  <c r="H493" i="21"/>
  <c r="I493" i="21"/>
  <c r="V494" i="21"/>
  <c r="W494" i="21" s="1"/>
  <c r="H494" i="21"/>
  <c r="I494" i="21"/>
  <c r="V495" i="21"/>
  <c r="W495" i="21" s="1"/>
  <c r="H495" i="21"/>
  <c r="I495" i="21"/>
  <c r="V496" i="21"/>
  <c r="W496" i="21" s="1"/>
  <c r="H496" i="21"/>
  <c r="I496" i="21"/>
  <c r="V497" i="21"/>
  <c r="W497" i="21" s="1"/>
  <c r="H497" i="21"/>
  <c r="I497" i="21"/>
  <c r="V498" i="21"/>
  <c r="W498" i="21" s="1"/>
  <c r="H498" i="21"/>
  <c r="I498" i="21"/>
  <c r="V499" i="21"/>
  <c r="W499" i="21" s="1"/>
  <c r="H499" i="21"/>
  <c r="I499" i="21"/>
  <c r="V500" i="21"/>
  <c r="W500" i="21" s="1"/>
  <c r="H500" i="21"/>
  <c r="I500" i="21"/>
  <c r="V501" i="21"/>
  <c r="W501" i="21" s="1"/>
  <c r="H501" i="21"/>
  <c r="I501" i="21"/>
  <c r="V502" i="21"/>
  <c r="W502" i="21" s="1"/>
  <c r="H502" i="21"/>
  <c r="I502" i="21"/>
  <c r="V503" i="21"/>
  <c r="W503" i="21" s="1"/>
  <c r="H503" i="21"/>
  <c r="I503" i="21"/>
  <c r="V504" i="21"/>
  <c r="W504" i="21" s="1"/>
  <c r="H504" i="21"/>
  <c r="I504" i="21"/>
  <c r="V505" i="21"/>
  <c r="W505" i="21" s="1"/>
  <c r="H505" i="21"/>
  <c r="I505" i="21"/>
  <c r="V506" i="21"/>
  <c r="W506" i="21" s="1"/>
  <c r="H506" i="21"/>
  <c r="I506" i="21"/>
  <c r="V507" i="21"/>
  <c r="W507" i="21" s="1"/>
  <c r="H507" i="21"/>
  <c r="I507" i="21"/>
  <c r="V508" i="21"/>
  <c r="W508" i="21" s="1"/>
  <c r="H508" i="21"/>
  <c r="I508" i="21"/>
  <c r="V509" i="21"/>
  <c r="W509" i="21" s="1"/>
  <c r="H509" i="21"/>
  <c r="I509" i="21"/>
  <c r="V510" i="21"/>
  <c r="W510" i="21" s="1"/>
  <c r="H510" i="21"/>
  <c r="I510" i="21"/>
  <c r="V511" i="21"/>
  <c r="W511" i="21" s="1"/>
  <c r="H511" i="21"/>
  <c r="I511" i="21"/>
  <c r="V512" i="21"/>
  <c r="W512" i="21" s="1"/>
  <c r="H512" i="21"/>
  <c r="I512" i="21"/>
  <c r="V513" i="21"/>
  <c r="W513" i="21" s="1"/>
  <c r="H513" i="21"/>
  <c r="I513" i="21"/>
  <c r="V514" i="21"/>
  <c r="W514" i="21" s="1"/>
  <c r="H514" i="21"/>
  <c r="I514" i="21"/>
  <c r="V515" i="21"/>
  <c r="W515" i="21" s="1"/>
  <c r="H515" i="21"/>
  <c r="I515" i="21"/>
  <c r="V516" i="21"/>
  <c r="W516" i="21" s="1"/>
  <c r="H516" i="21"/>
  <c r="I516" i="21"/>
  <c r="V517" i="21"/>
  <c r="W517" i="21" s="1"/>
  <c r="H517" i="21"/>
  <c r="I517" i="21"/>
  <c r="V518" i="21"/>
  <c r="W518" i="21" s="1"/>
  <c r="H518" i="21"/>
  <c r="I518" i="21"/>
  <c r="V519" i="21"/>
  <c r="W519" i="21" s="1"/>
  <c r="H519" i="21"/>
  <c r="I519" i="21"/>
  <c r="V520" i="21"/>
  <c r="W520" i="21" s="1"/>
  <c r="H520" i="21"/>
  <c r="I520" i="21"/>
  <c r="V521" i="21"/>
  <c r="W521" i="21" s="1"/>
  <c r="H521" i="21"/>
  <c r="I521" i="21"/>
  <c r="V522" i="21"/>
  <c r="W522" i="21" s="1"/>
  <c r="H522" i="21"/>
  <c r="I522" i="21"/>
  <c r="V523" i="21"/>
  <c r="W523" i="21" s="1"/>
  <c r="H523" i="21"/>
  <c r="I523" i="21"/>
  <c r="V524" i="21"/>
  <c r="W524" i="21" s="1"/>
  <c r="H524" i="21"/>
  <c r="I524" i="21"/>
  <c r="V525" i="21"/>
  <c r="W525" i="21" s="1"/>
  <c r="H525" i="21"/>
  <c r="I525" i="21"/>
  <c r="V526" i="21"/>
  <c r="W526" i="21" s="1"/>
  <c r="H526" i="21"/>
  <c r="I526" i="21"/>
  <c r="V527" i="21"/>
  <c r="W527" i="21" s="1"/>
  <c r="H527" i="21"/>
  <c r="I527" i="21"/>
  <c r="V528" i="21"/>
  <c r="W528" i="21" s="1"/>
  <c r="H528" i="21"/>
  <c r="I528" i="21"/>
  <c r="V529" i="21"/>
  <c r="W529" i="21" s="1"/>
  <c r="H529" i="21"/>
  <c r="I529" i="21"/>
  <c r="V530" i="21"/>
  <c r="W530" i="21" s="1"/>
  <c r="H530" i="21"/>
  <c r="I530" i="21"/>
  <c r="V531" i="21"/>
  <c r="W531" i="21" s="1"/>
  <c r="H531" i="21"/>
  <c r="I531" i="21"/>
  <c r="V532" i="21"/>
  <c r="W532" i="21" s="1"/>
  <c r="H532" i="21"/>
  <c r="I532" i="21"/>
  <c r="V533" i="21"/>
  <c r="W533" i="21" s="1"/>
  <c r="H533" i="21"/>
  <c r="I533" i="21"/>
  <c r="V534" i="21"/>
  <c r="W534" i="21" s="1"/>
  <c r="H534" i="21"/>
  <c r="I534" i="21"/>
  <c r="V535" i="21"/>
  <c r="W535" i="21" s="1"/>
  <c r="H535" i="21"/>
  <c r="I535" i="21"/>
  <c r="V536" i="21"/>
  <c r="W536" i="21" s="1"/>
  <c r="H536" i="21"/>
  <c r="I536" i="21"/>
  <c r="V537" i="21"/>
  <c r="W537" i="21" s="1"/>
  <c r="H537" i="21"/>
  <c r="I537" i="21"/>
  <c r="V538" i="21"/>
  <c r="W538" i="21" s="1"/>
  <c r="H538" i="21"/>
  <c r="I538" i="21"/>
  <c r="V539" i="21"/>
  <c r="W539" i="21" s="1"/>
  <c r="H539" i="21"/>
  <c r="I539" i="21"/>
  <c r="V540" i="21"/>
  <c r="W540" i="21" s="1"/>
  <c r="H540" i="21"/>
  <c r="I540" i="21"/>
  <c r="V541" i="21"/>
  <c r="W541" i="21" s="1"/>
  <c r="H541" i="21"/>
  <c r="I541" i="21"/>
  <c r="V542" i="21"/>
  <c r="W542" i="21" s="1"/>
  <c r="H542" i="21"/>
  <c r="I542" i="21"/>
  <c r="V543" i="21"/>
  <c r="W543" i="21" s="1"/>
  <c r="H543" i="21"/>
  <c r="I543" i="21"/>
  <c r="V544" i="21"/>
  <c r="W544" i="21" s="1"/>
  <c r="H544" i="21"/>
  <c r="I544" i="21"/>
  <c r="V545" i="21"/>
  <c r="W545" i="21" s="1"/>
  <c r="H545" i="21"/>
  <c r="I545" i="21"/>
  <c r="V546" i="21"/>
  <c r="W546" i="21" s="1"/>
  <c r="H546" i="21"/>
  <c r="I546" i="21"/>
  <c r="V547" i="21"/>
  <c r="W547" i="21" s="1"/>
  <c r="H547" i="21"/>
  <c r="I547" i="21"/>
  <c r="V548" i="21"/>
  <c r="W548" i="21" s="1"/>
  <c r="H548" i="21"/>
  <c r="I548" i="21"/>
  <c r="V549" i="21"/>
  <c r="W549" i="21" s="1"/>
  <c r="H549" i="21"/>
  <c r="I549" i="21"/>
  <c r="V550" i="21"/>
  <c r="W550" i="21" s="1"/>
  <c r="H550" i="21"/>
  <c r="I550" i="21"/>
  <c r="V551" i="21"/>
  <c r="W551" i="21" s="1"/>
  <c r="H551" i="21"/>
  <c r="I551" i="21"/>
  <c r="V552" i="21"/>
  <c r="W552" i="21" s="1"/>
  <c r="H552" i="21"/>
  <c r="I552" i="21"/>
  <c r="V553" i="21"/>
  <c r="W553" i="21" s="1"/>
  <c r="H553" i="21"/>
  <c r="I553" i="21"/>
  <c r="V554" i="21"/>
  <c r="W554" i="21" s="1"/>
  <c r="H554" i="21"/>
  <c r="I554" i="21"/>
  <c r="V555" i="21"/>
  <c r="W555" i="21" s="1"/>
  <c r="H555" i="21"/>
  <c r="I555" i="21"/>
  <c r="V556" i="21"/>
  <c r="W556" i="21" s="1"/>
  <c r="H556" i="21"/>
  <c r="I556" i="21"/>
  <c r="V557" i="21"/>
  <c r="W557" i="21" s="1"/>
  <c r="H557" i="21"/>
  <c r="I557" i="21"/>
  <c r="V558" i="21"/>
  <c r="W558" i="21" s="1"/>
  <c r="H558" i="21"/>
  <c r="I558" i="21"/>
  <c r="V559" i="21"/>
  <c r="W559" i="21" s="1"/>
  <c r="H559" i="21"/>
  <c r="I559" i="21"/>
  <c r="V560" i="21"/>
  <c r="W560" i="21" s="1"/>
  <c r="H560" i="21"/>
  <c r="I560" i="21"/>
  <c r="V561" i="21"/>
  <c r="W561" i="21" s="1"/>
  <c r="H561" i="21"/>
  <c r="I561" i="21"/>
  <c r="V562" i="21"/>
  <c r="W562" i="21" s="1"/>
  <c r="H562" i="21"/>
  <c r="I562" i="21"/>
  <c r="V563" i="21"/>
  <c r="W563" i="21" s="1"/>
  <c r="H563" i="21"/>
  <c r="I563" i="21"/>
  <c r="V564" i="21"/>
  <c r="W564" i="21" s="1"/>
  <c r="H564" i="21"/>
  <c r="I564" i="21"/>
  <c r="V565" i="21"/>
  <c r="W565" i="21" s="1"/>
  <c r="H565" i="21"/>
  <c r="I565" i="21"/>
  <c r="V566" i="21"/>
  <c r="W566" i="21" s="1"/>
  <c r="H566" i="21"/>
  <c r="I566" i="21"/>
  <c r="V567" i="21"/>
  <c r="W567" i="21" s="1"/>
  <c r="H567" i="21"/>
  <c r="I567" i="21"/>
  <c r="V568" i="21"/>
  <c r="W568" i="21" s="1"/>
  <c r="H568" i="21"/>
  <c r="I568" i="21"/>
  <c r="V569" i="21"/>
  <c r="W569" i="21" s="1"/>
  <c r="H569" i="21"/>
  <c r="I569" i="21"/>
  <c r="V570" i="21"/>
  <c r="W570" i="21" s="1"/>
  <c r="H570" i="21"/>
  <c r="I570" i="21"/>
  <c r="V571" i="21"/>
  <c r="W571" i="21" s="1"/>
  <c r="H571" i="21"/>
  <c r="I571" i="21"/>
  <c r="V572" i="21"/>
  <c r="W572" i="21" s="1"/>
  <c r="H572" i="21"/>
  <c r="I572" i="21"/>
  <c r="V573" i="21"/>
  <c r="W573" i="21" s="1"/>
  <c r="H573" i="21"/>
  <c r="I573" i="21"/>
  <c r="V574" i="21"/>
  <c r="W574" i="21" s="1"/>
  <c r="H574" i="21"/>
  <c r="I574" i="21"/>
  <c r="V575" i="21"/>
  <c r="W575" i="21" s="1"/>
  <c r="H575" i="21"/>
  <c r="I575" i="21"/>
  <c r="V576" i="21"/>
  <c r="W576" i="21" s="1"/>
  <c r="H576" i="21"/>
  <c r="I576" i="21"/>
  <c r="V577" i="21"/>
  <c r="W577" i="21" s="1"/>
  <c r="H577" i="21"/>
  <c r="I577" i="21"/>
  <c r="V578" i="21"/>
  <c r="W578" i="21" s="1"/>
  <c r="H578" i="21"/>
  <c r="I578" i="21"/>
  <c r="V579" i="21"/>
  <c r="W579" i="21" s="1"/>
  <c r="H579" i="21"/>
  <c r="I579" i="21"/>
  <c r="V580" i="21"/>
  <c r="W580" i="21" s="1"/>
  <c r="H580" i="21"/>
  <c r="I580" i="21"/>
  <c r="V581" i="21"/>
  <c r="W581" i="21" s="1"/>
  <c r="H581" i="21"/>
  <c r="I581" i="21"/>
  <c r="V582" i="21"/>
  <c r="W582" i="21" s="1"/>
  <c r="H582" i="21"/>
  <c r="I582" i="21"/>
  <c r="V583" i="21"/>
  <c r="W583" i="21" s="1"/>
  <c r="H583" i="21"/>
  <c r="I583" i="21"/>
  <c r="V584" i="21"/>
  <c r="W584" i="21" s="1"/>
  <c r="H584" i="21"/>
  <c r="I584" i="21"/>
  <c r="V585" i="21"/>
  <c r="W585" i="21" s="1"/>
  <c r="H585" i="21"/>
  <c r="I585" i="21"/>
  <c r="V586" i="21"/>
  <c r="W586" i="21" s="1"/>
  <c r="H586" i="21"/>
  <c r="I586" i="21"/>
  <c r="V587" i="21"/>
  <c r="W587" i="21" s="1"/>
  <c r="H587" i="21"/>
  <c r="I587" i="21"/>
  <c r="V588" i="21"/>
  <c r="W588" i="21" s="1"/>
  <c r="H588" i="21"/>
  <c r="I588" i="21"/>
  <c r="V589" i="21"/>
  <c r="W589" i="21" s="1"/>
  <c r="H589" i="21"/>
  <c r="I589" i="21"/>
  <c r="V590" i="21"/>
  <c r="W590" i="21" s="1"/>
  <c r="H590" i="21"/>
  <c r="I590" i="21"/>
  <c r="V591" i="21"/>
  <c r="W591" i="21" s="1"/>
  <c r="H591" i="21"/>
  <c r="I591" i="21"/>
  <c r="V592" i="21"/>
  <c r="W592" i="21" s="1"/>
  <c r="H592" i="21"/>
  <c r="I592" i="21"/>
  <c r="V593" i="21"/>
  <c r="W593" i="21" s="1"/>
  <c r="H593" i="21"/>
  <c r="I593" i="21"/>
  <c r="V594" i="21"/>
  <c r="W594" i="21" s="1"/>
  <c r="H594" i="21"/>
  <c r="I594" i="21"/>
  <c r="V595" i="21"/>
  <c r="W595" i="21" s="1"/>
  <c r="H595" i="21"/>
  <c r="I595" i="21"/>
  <c r="V596" i="21"/>
  <c r="W596" i="21" s="1"/>
  <c r="H596" i="21"/>
  <c r="I596" i="21"/>
  <c r="V597" i="21"/>
  <c r="W597" i="21" s="1"/>
  <c r="H597" i="21"/>
  <c r="I597" i="21"/>
  <c r="V598" i="21"/>
  <c r="W598" i="21" s="1"/>
  <c r="H598" i="21"/>
  <c r="I598" i="21"/>
  <c r="V599" i="21"/>
  <c r="W599" i="21" s="1"/>
  <c r="H599" i="21"/>
  <c r="I599" i="21"/>
  <c r="V600" i="21"/>
  <c r="W600" i="21" s="1"/>
  <c r="H600" i="21"/>
  <c r="I600" i="21"/>
  <c r="V601" i="21"/>
  <c r="W601" i="21" s="1"/>
  <c r="H601" i="21"/>
  <c r="I601" i="21"/>
  <c r="V602" i="21"/>
  <c r="W602" i="21" s="1"/>
  <c r="H602" i="21"/>
  <c r="I602" i="21"/>
  <c r="V603" i="21"/>
  <c r="W603" i="21" s="1"/>
  <c r="H603" i="21"/>
  <c r="I603" i="21"/>
  <c r="V604" i="21"/>
  <c r="W604" i="21" s="1"/>
  <c r="H604" i="21"/>
  <c r="I604" i="21"/>
  <c r="V605" i="21"/>
  <c r="W605" i="21" s="1"/>
  <c r="H605" i="21"/>
  <c r="I605" i="21"/>
  <c r="V606" i="21"/>
  <c r="W606" i="21" s="1"/>
  <c r="H606" i="21"/>
  <c r="I606" i="21"/>
  <c r="V607" i="21"/>
  <c r="W607" i="21" s="1"/>
  <c r="H607" i="21"/>
  <c r="I607" i="21"/>
  <c r="V608" i="21"/>
  <c r="W608" i="21" s="1"/>
  <c r="H608" i="21"/>
  <c r="I608" i="21"/>
  <c r="V609" i="21"/>
  <c r="W609" i="21" s="1"/>
  <c r="H609" i="21"/>
  <c r="I609" i="21"/>
  <c r="V610" i="21"/>
  <c r="W610" i="21" s="1"/>
  <c r="H610" i="21"/>
  <c r="I610" i="21"/>
  <c r="V611" i="21"/>
  <c r="W611" i="21" s="1"/>
  <c r="H611" i="21"/>
  <c r="I611" i="21"/>
  <c r="V612" i="21"/>
  <c r="W612" i="21" s="1"/>
  <c r="H612" i="21"/>
  <c r="I612" i="21"/>
  <c r="V613" i="21"/>
  <c r="W613" i="21" s="1"/>
  <c r="H613" i="21"/>
  <c r="I613" i="21"/>
  <c r="V614" i="21"/>
  <c r="W614" i="21" s="1"/>
  <c r="H614" i="21"/>
  <c r="I614" i="21"/>
  <c r="V615" i="21"/>
  <c r="W615" i="21" s="1"/>
  <c r="H615" i="21"/>
  <c r="I615" i="21"/>
  <c r="V616" i="21"/>
  <c r="W616" i="21" s="1"/>
  <c r="H616" i="21"/>
  <c r="I616" i="21"/>
  <c r="V617" i="21"/>
  <c r="W617" i="21" s="1"/>
  <c r="H617" i="21"/>
  <c r="I617" i="21"/>
  <c r="V618" i="21"/>
  <c r="W618" i="21" s="1"/>
  <c r="H618" i="21"/>
  <c r="I618" i="21"/>
  <c r="V619" i="21"/>
  <c r="W619" i="21" s="1"/>
  <c r="H619" i="21"/>
  <c r="I619" i="21"/>
  <c r="V620" i="21"/>
  <c r="W620" i="21" s="1"/>
  <c r="H620" i="21"/>
  <c r="I620" i="21"/>
  <c r="V621" i="21"/>
  <c r="W621" i="21" s="1"/>
  <c r="H621" i="21"/>
  <c r="I621" i="21"/>
  <c r="V622" i="21"/>
  <c r="W622" i="21" s="1"/>
  <c r="H622" i="21"/>
  <c r="I622" i="21"/>
  <c r="V623" i="21"/>
  <c r="W623" i="21" s="1"/>
  <c r="H623" i="21"/>
  <c r="I623" i="21"/>
  <c r="V624" i="21"/>
  <c r="W624" i="21" s="1"/>
  <c r="H624" i="21"/>
  <c r="I624" i="21"/>
  <c r="V625" i="21"/>
  <c r="W625" i="21" s="1"/>
  <c r="H625" i="21"/>
  <c r="I625" i="21"/>
  <c r="V626" i="21"/>
  <c r="W626" i="21" s="1"/>
  <c r="H626" i="21"/>
  <c r="I626" i="21"/>
  <c r="V627" i="21"/>
  <c r="W627" i="21" s="1"/>
  <c r="H627" i="21"/>
  <c r="I627" i="21"/>
  <c r="V628" i="21"/>
  <c r="W628" i="21" s="1"/>
  <c r="H628" i="21"/>
  <c r="I628" i="21"/>
  <c r="V629" i="21"/>
  <c r="W629" i="21" s="1"/>
  <c r="H629" i="21"/>
  <c r="I629" i="21"/>
  <c r="V630" i="21"/>
  <c r="W630" i="21" s="1"/>
  <c r="H630" i="21"/>
  <c r="I630" i="21"/>
  <c r="V631" i="21"/>
  <c r="W631" i="21" s="1"/>
  <c r="H631" i="21"/>
  <c r="I631" i="21"/>
  <c r="V632" i="21"/>
  <c r="W632" i="21" s="1"/>
  <c r="H632" i="21"/>
  <c r="I632" i="21"/>
  <c r="V633" i="21"/>
  <c r="W633" i="21" s="1"/>
  <c r="H633" i="21"/>
  <c r="I633" i="21"/>
  <c r="V634" i="21"/>
  <c r="W634" i="21" s="1"/>
  <c r="H634" i="21"/>
  <c r="I634" i="21"/>
  <c r="V635" i="21"/>
  <c r="W635" i="21" s="1"/>
  <c r="H635" i="21"/>
  <c r="I635" i="21"/>
  <c r="V636" i="21"/>
  <c r="W636" i="21" s="1"/>
  <c r="H636" i="21"/>
  <c r="I636" i="21"/>
  <c r="V637" i="21"/>
  <c r="W637" i="21" s="1"/>
  <c r="H637" i="21"/>
  <c r="I637" i="21"/>
  <c r="V638" i="21"/>
  <c r="W638" i="21" s="1"/>
  <c r="H638" i="21"/>
  <c r="I638" i="21"/>
  <c r="V639" i="21"/>
  <c r="W639" i="21" s="1"/>
  <c r="H639" i="21"/>
  <c r="I639" i="21"/>
  <c r="V640" i="21"/>
  <c r="W640" i="21" s="1"/>
  <c r="H640" i="21"/>
  <c r="I640" i="21"/>
  <c r="V641" i="21"/>
  <c r="W641" i="21" s="1"/>
  <c r="H641" i="21"/>
  <c r="I641" i="21"/>
  <c r="V642" i="21"/>
  <c r="W642" i="21" s="1"/>
  <c r="H642" i="21"/>
  <c r="I642" i="21"/>
  <c r="V643" i="21"/>
  <c r="W643" i="21" s="1"/>
  <c r="H643" i="21"/>
  <c r="I643" i="21"/>
  <c r="V644" i="21"/>
  <c r="W644" i="21" s="1"/>
  <c r="H644" i="21"/>
  <c r="I644" i="21"/>
  <c r="V645" i="21"/>
  <c r="W645" i="21" s="1"/>
  <c r="H645" i="21"/>
  <c r="I645" i="21"/>
  <c r="V646" i="21"/>
  <c r="W646" i="21" s="1"/>
  <c r="H646" i="21"/>
  <c r="I646" i="21"/>
  <c r="V647" i="21"/>
  <c r="W647" i="21" s="1"/>
  <c r="H647" i="21"/>
  <c r="I647" i="21"/>
  <c r="V648" i="21"/>
  <c r="W648" i="21" s="1"/>
  <c r="H648" i="21"/>
  <c r="I648" i="21"/>
  <c r="V649" i="21"/>
  <c r="W649" i="21" s="1"/>
  <c r="H649" i="21"/>
  <c r="I649" i="21"/>
  <c r="V650" i="21"/>
  <c r="W650" i="21" s="1"/>
  <c r="H650" i="21"/>
  <c r="I650" i="21"/>
  <c r="V651" i="21"/>
  <c r="W651" i="21" s="1"/>
  <c r="H651" i="21"/>
  <c r="I651" i="21"/>
  <c r="V652" i="21"/>
  <c r="W652" i="21" s="1"/>
  <c r="H652" i="21"/>
  <c r="I652" i="21"/>
  <c r="V653" i="21"/>
  <c r="W653" i="21" s="1"/>
  <c r="H653" i="21"/>
  <c r="I653" i="21"/>
  <c r="V654" i="21"/>
  <c r="W654" i="21" s="1"/>
  <c r="H654" i="21"/>
  <c r="I654" i="21"/>
  <c r="V655" i="21"/>
  <c r="W655" i="21" s="1"/>
  <c r="H655" i="21"/>
  <c r="I655" i="21"/>
  <c r="V656" i="21"/>
  <c r="W656" i="21" s="1"/>
  <c r="H656" i="21"/>
  <c r="I656" i="21"/>
  <c r="V657" i="21"/>
  <c r="W657" i="21" s="1"/>
  <c r="H657" i="21"/>
  <c r="I657" i="21"/>
  <c r="V658" i="21"/>
  <c r="W658" i="21" s="1"/>
  <c r="H658" i="21"/>
  <c r="I658" i="21"/>
  <c r="V659" i="21"/>
  <c r="W659" i="21" s="1"/>
  <c r="H659" i="21"/>
  <c r="I659" i="21"/>
  <c r="V660" i="21"/>
  <c r="W660" i="21" s="1"/>
  <c r="H660" i="21"/>
  <c r="I660" i="21"/>
  <c r="V661" i="21"/>
  <c r="W661" i="21" s="1"/>
  <c r="H661" i="21"/>
  <c r="I661" i="21"/>
  <c r="V662" i="21"/>
  <c r="W662" i="21" s="1"/>
  <c r="H662" i="21"/>
  <c r="I662" i="21"/>
  <c r="V663" i="21"/>
  <c r="W663" i="21" s="1"/>
  <c r="H663" i="21"/>
  <c r="I663" i="21"/>
  <c r="V664" i="21"/>
  <c r="W664" i="21" s="1"/>
  <c r="H664" i="21"/>
  <c r="I664" i="21"/>
  <c r="V665" i="21"/>
  <c r="W665" i="21" s="1"/>
  <c r="H665" i="21"/>
  <c r="I665" i="21"/>
  <c r="V666" i="21"/>
  <c r="W666" i="21" s="1"/>
  <c r="H666" i="21"/>
  <c r="I666" i="21"/>
  <c r="V667" i="21"/>
  <c r="W667" i="21" s="1"/>
  <c r="H667" i="21"/>
  <c r="I667" i="21"/>
  <c r="V668" i="21"/>
  <c r="W668" i="21" s="1"/>
  <c r="H668" i="21"/>
  <c r="I668" i="21"/>
  <c r="V669" i="21"/>
  <c r="W669" i="21" s="1"/>
  <c r="H669" i="21"/>
  <c r="I669" i="21"/>
  <c r="V670" i="21"/>
  <c r="W670" i="21" s="1"/>
  <c r="H670" i="21"/>
  <c r="I670" i="21"/>
  <c r="V671" i="21"/>
  <c r="W671" i="21" s="1"/>
  <c r="H671" i="21"/>
  <c r="I671" i="21"/>
  <c r="V672" i="21"/>
  <c r="W672" i="21" s="1"/>
  <c r="H672" i="21"/>
  <c r="I672" i="21"/>
  <c r="V673" i="21"/>
  <c r="W673" i="21" s="1"/>
  <c r="H673" i="21"/>
  <c r="I673" i="21"/>
  <c r="V674" i="21"/>
  <c r="W674" i="21" s="1"/>
  <c r="H674" i="21"/>
  <c r="I674" i="21"/>
  <c r="V675" i="21"/>
  <c r="W675" i="21" s="1"/>
  <c r="H675" i="21"/>
  <c r="I675" i="21"/>
  <c r="V676" i="21"/>
  <c r="W676" i="21" s="1"/>
  <c r="H676" i="21"/>
  <c r="I676" i="21"/>
  <c r="V677" i="21"/>
  <c r="W677" i="21" s="1"/>
  <c r="H677" i="21"/>
  <c r="I677" i="21"/>
  <c r="V678" i="21"/>
  <c r="W678" i="21" s="1"/>
  <c r="H678" i="21"/>
  <c r="I678" i="21"/>
  <c r="V679" i="21"/>
  <c r="W679" i="21" s="1"/>
  <c r="H679" i="21"/>
  <c r="I679" i="21"/>
  <c r="V680" i="21"/>
  <c r="W680" i="21" s="1"/>
  <c r="H680" i="21"/>
  <c r="I680" i="21"/>
  <c r="V681" i="21"/>
  <c r="W681" i="21" s="1"/>
  <c r="H681" i="21"/>
  <c r="I681" i="21"/>
  <c r="V682" i="21"/>
  <c r="W682" i="21" s="1"/>
  <c r="H682" i="21"/>
  <c r="I682" i="21"/>
  <c r="V683" i="21"/>
  <c r="W683" i="21" s="1"/>
  <c r="H683" i="21"/>
  <c r="I683" i="21"/>
  <c r="V684" i="21"/>
  <c r="W684" i="21" s="1"/>
  <c r="H684" i="21"/>
  <c r="I684" i="21"/>
  <c r="V685" i="21"/>
  <c r="W685" i="21" s="1"/>
  <c r="H685" i="21"/>
  <c r="I685" i="21"/>
  <c r="V686" i="21"/>
  <c r="W686" i="21" s="1"/>
  <c r="H686" i="21"/>
  <c r="I686" i="21"/>
  <c r="V687" i="21"/>
  <c r="W687" i="21" s="1"/>
  <c r="H687" i="21"/>
  <c r="I687" i="21"/>
  <c r="V688" i="21"/>
  <c r="W688" i="21" s="1"/>
  <c r="H688" i="21"/>
  <c r="I688" i="21"/>
  <c r="V689" i="21"/>
  <c r="W689" i="21" s="1"/>
  <c r="H689" i="21"/>
  <c r="I689" i="21"/>
  <c r="V690" i="21"/>
  <c r="W690" i="21" s="1"/>
  <c r="H690" i="21"/>
  <c r="I690" i="21"/>
  <c r="V691" i="21"/>
  <c r="W691" i="21" s="1"/>
  <c r="H691" i="21"/>
  <c r="I691" i="21"/>
  <c r="V692" i="21"/>
  <c r="W692" i="21" s="1"/>
  <c r="H692" i="21"/>
  <c r="I692" i="21"/>
  <c r="V693" i="21"/>
  <c r="W693" i="21" s="1"/>
  <c r="H693" i="21"/>
  <c r="I693" i="21"/>
  <c r="V694" i="21"/>
  <c r="W694" i="21" s="1"/>
  <c r="H694" i="21"/>
  <c r="I694" i="21"/>
  <c r="V695" i="21"/>
  <c r="W695" i="21" s="1"/>
  <c r="H695" i="21"/>
  <c r="I695" i="21"/>
  <c r="V696" i="21"/>
  <c r="W696" i="21" s="1"/>
  <c r="H696" i="21"/>
  <c r="I696" i="21"/>
  <c r="V697" i="21"/>
  <c r="W697" i="21" s="1"/>
  <c r="H697" i="21"/>
  <c r="I697" i="21"/>
  <c r="V698" i="21"/>
  <c r="W698" i="21" s="1"/>
  <c r="H698" i="21"/>
  <c r="I698" i="21"/>
  <c r="V699" i="21"/>
  <c r="W699" i="21" s="1"/>
  <c r="H699" i="21"/>
  <c r="I699" i="21"/>
  <c r="V700" i="21"/>
  <c r="W700" i="21" s="1"/>
  <c r="H700" i="21"/>
  <c r="I700" i="21"/>
  <c r="V701" i="21"/>
  <c r="W701" i="21" s="1"/>
  <c r="H701" i="21"/>
  <c r="I701" i="21"/>
  <c r="V702" i="21"/>
  <c r="W702" i="21" s="1"/>
  <c r="H702" i="21"/>
  <c r="I702" i="21"/>
  <c r="V703" i="21"/>
  <c r="W703" i="21" s="1"/>
  <c r="H703" i="21"/>
  <c r="I703" i="21"/>
  <c r="V704" i="21"/>
  <c r="W704" i="21" s="1"/>
  <c r="H704" i="21"/>
  <c r="I704" i="21"/>
  <c r="V705" i="21"/>
  <c r="W705" i="21" s="1"/>
  <c r="H705" i="21"/>
  <c r="I705" i="21"/>
  <c r="V706" i="21"/>
  <c r="W706" i="21" s="1"/>
  <c r="H706" i="21"/>
  <c r="I706" i="21"/>
  <c r="V707" i="21"/>
  <c r="W707" i="21" s="1"/>
  <c r="H707" i="21"/>
  <c r="I707" i="21"/>
  <c r="V708" i="21"/>
  <c r="W708" i="21" s="1"/>
  <c r="H708" i="21"/>
  <c r="I708" i="21"/>
  <c r="V709" i="21"/>
  <c r="W709" i="21" s="1"/>
  <c r="H709" i="21"/>
  <c r="I709" i="21"/>
  <c r="V710" i="21"/>
  <c r="W710" i="21" s="1"/>
  <c r="H710" i="21"/>
  <c r="I710" i="21"/>
  <c r="V711" i="21"/>
  <c r="W711" i="21" s="1"/>
  <c r="H711" i="21"/>
  <c r="I711" i="21"/>
  <c r="V712" i="21"/>
  <c r="W712" i="21" s="1"/>
  <c r="H712" i="21"/>
  <c r="I712" i="21"/>
  <c r="V713" i="21"/>
  <c r="W713" i="21" s="1"/>
  <c r="H713" i="21"/>
  <c r="I713" i="21"/>
  <c r="V714" i="21"/>
  <c r="W714" i="21" s="1"/>
  <c r="H714" i="21"/>
  <c r="I714" i="21"/>
  <c r="V715" i="21"/>
  <c r="W715" i="21" s="1"/>
  <c r="H715" i="21"/>
  <c r="I715" i="21"/>
  <c r="V716" i="21"/>
  <c r="W716" i="21" s="1"/>
  <c r="H716" i="21"/>
  <c r="I716" i="21"/>
  <c r="V717" i="21"/>
  <c r="W717" i="21" s="1"/>
  <c r="H717" i="21"/>
  <c r="I717" i="21"/>
  <c r="V718" i="21"/>
  <c r="W718" i="21" s="1"/>
  <c r="H718" i="21"/>
  <c r="I718" i="21"/>
  <c r="V719" i="21"/>
  <c r="W719" i="21" s="1"/>
  <c r="H719" i="21"/>
  <c r="I719" i="21"/>
  <c r="V720" i="21"/>
  <c r="W720" i="21" s="1"/>
  <c r="H720" i="21"/>
  <c r="I720" i="21"/>
  <c r="V721" i="21"/>
  <c r="W721" i="21" s="1"/>
  <c r="H721" i="21"/>
  <c r="I721" i="21"/>
  <c r="V722" i="21"/>
  <c r="W722" i="21" s="1"/>
  <c r="H722" i="21"/>
  <c r="I722" i="21"/>
  <c r="V723" i="21"/>
  <c r="W723" i="21" s="1"/>
  <c r="H723" i="21"/>
  <c r="I723" i="21"/>
  <c r="V724" i="21"/>
  <c r="W724" i="21" s="1"/>
  <c r="H724" i="21"/>
  <c r="I724" i="21"/>
  <c r="V725" i="21"/>
  <c r="W725" i="21" s="1"/>
  <c r="H725" i="21"/>
  <c r="I725" i="21"/>
  <c r="V726" i="21"/>
  <c r="W726" i="21" s="1"/>
  <c r="H726" i="21"/>
  <c r="I726" i="21"/>
  <c r="V727" i="21"/>
  <c r="W727" i="21" s="1"/>
  <c r="H727" i="21"/>
  <c r="I727" i="21"/>
  <c r="V728" i="21"/>
  <c r="W728" i="21" s="1"/>
  <c r="H728" i="21"/>
  <c r="I728" i="21"/>
  <c r="V729" i="21"/>
  <c r="W729" i="21" s="1"/>
  <c r="H729" i="21"/>
  <c r="I729" i="21"/>
  <c r="V730" i="21"/>
  <c r="W730" i="21" s="1"/>
  <c r="H730" i="21"/>
  <c r="I730" i="21"/>
  <c r="V731" i="21"/>
  <c r="W731" i="21" s="1"/>
  <c r="H731" i="21"/>
  <c r="I731" i="21"/>
  <c r="V732" i="21"/>
  <c r="W732" i="21" s="1"/>
  <c r="H732" i="21"/>
  <c r="I732" i="21"/>
  <c r="V733" i="21"/>
  <c r="W733" i="21" s="1"/>
  <c r="H733" i="21"/>
  <c r="I733" i="21"/>
  <c r="V734" i="21"/>
  <c r="W734" i="21" s="1"/>
  <c r="H734" i="21"/>
  <c r="I734" i="21"/>
  <c r="V735" i="21"/>
  <c r="W735" i="21" s="1"/>
  <c r="H735" i="21"/>
  <c r="I735" i="21"/>
  <c r="V736" i="21"/>
  <c r="W736" i="21" s="1"/>
  <c r="H736" i="21"/>
  <c r="I736" i="21"/>
  <c r="V737" i="21"/>
  <c r="W737" i="21" s="1"/>
  <c r="H737" i="21"/>
  <c r="I737" i="21"/>
  <c r="V738" i="21"/>
  <c r="W738" i="21" s="1"/>
  <c r="H738" i="21"/>
  <c r="I738" i="21"/>
  <c r="V739" i="21"/>
  <c r="W739" i="21" s="1"/>
  <c r="H739" i="21"/>
  <c r="I739" i="21"/>
  <c r="V740" i="21"/>
  <c r="W740" i="21" s="1"/>
  <c r="H740" i="21"/>
  <c r="I740" i="21"/>
  <c r="V741" i="21"/>
  <c r="W741" i="21" s="1"/>
  <c r="H741" i="21"/>
  <c r="I741" i="21"/>
  <c r="V742" i="21"/>
  <c r="W742" i="21" s="1"/>
  <c r="H742" i="21"/>
  <c r="I742" i="21"/>
  <c r="V743" i="21"/>
  <c r="W743" i="21" s="1"/>
  <c r="H743" i="21"/>
  <c r="I743" i="21"/>
  <c r="V744" i="21"/>
  <c r="W744" i="21" s="1"/>
  <c r="H744" i="21"/>
  <c r="I744" i="21"/>
  <c r="V745" i="21"/>
  <c r="W745" i="21" s="1"/>
  <c r="H745" i="21"/>
  <c r="I745" i="21"/>
  <c r="V746" i="21"/>
  <c r="W746" i="21" s="1"/>
  <c r="H746" i="21"/>
  <c r="I746" i="21"/>
  <c r="V747" i="21"/>
  <c r="W747" i="21" s="1"/>
  <c r="H747" i="21"/>
  <c r="I747" i="21"/>
  <c r="V748" i="21"/>
  <c r="W748" i="21" s="1"/>
  <c r="H748" i="21"/>
  <c r="I748" i="21"/>
  <c r="V749" i="21"/>
  <c r="W749" i="21" s="1"/>
  <c r="H749" i="21"/>
  <c r="I749" i="21"/>
  <c r="V750" i="21"/>
  <c r="W750" i="21" s="1"/>
  <c r="H750" i="21"/>
  <c r="I750" i="21"/>
  <c r="V751" i="21"/>
  <c r="W751" i="21" s="1"/>
  <c r="H751" i="21"/>
  <c r="I751" i="21"/>
  <c r="V752" i="21"/>
  <c r="W752" i="21" s="1"/>
  <c r="H752" i="21"/>
  <c r="I752" i="21"/>
  <c r="V753" i="21"/>
  <c r="W753" i="21" s="1"/>
  <c r="H753" i="21"/>
  <c r="I753" i="21"/>
  <c r="V754" i="21"/>
  <c r="W754" i="21" s="1"/>
  <c r="H754" i="21"/>
  <c r="I754" i="21"/>
  <c r="V755" i="21"/>
  <c r="W755" i="21" s="1"/>
  <c r="H755" i="21"/>
  <c r="I755" i="21"/>
  <c r="V756" i="21"/>
  <c r="W756" i="21" s="1"/>
  <c r="H756" i="21"/>
  <c r="I756" i="21"/>
  <c r="V757" i="21"/>
  <c r="W757" i="21" s="1"/>
  <c r="H757" i="21"/>
  <c r="I757" i="21"/>
  <c r="V758" i="21"/>
  <c r="W758" i="21" s="1"/>
  <c r="H758" i="21"/>
  <c r="I758" i="21"/>
  <c r="V759" i="21"/>
  <c r="W759" i="21" s="1"/>
  <c r="H759" i="21"/>
  <c r="I759" i="21"/>
  <c r="V760" i="21"/>
  <c r="W760" i="21" s="1"/>
  <c r="H760" i="21"/>
  <c r="I760" i="21"/>
  <c r="V761" i="21"/>
  <c r="W761" i="21" s="1"/>
  <c r="H761" i="21"/>
  <c r="I761" i="21"/>
  <c r="V762" i="21"/>
  <c r="W762" i="21" s="1"/>
  <c r="H762" i="21"/>
  <c r="I762" i="21"/>
  <c r="V763" i="21"/>
  <c r="W763" i="21" s="1"/>
  <c r="H763" i="21"/>
  <c r="I763" i="21"/>
  <c r="V764" i="21"/>
  <c r="W764" i="21" s="1"/>
  <c r="H764" i="21"/>
  <c r="I764" i="21"/>
  <c r="V765" i="21"/>
  <c r="W765" i="21" s="1"/>
  <c r="H765" i="21"/>
  <c r="I765" i="21"/>
  <c r="V766" i="21"/>
  <c r="W766" i="21" s="1"/>
  <c r="H766" i="21"/>
  <c r="I766" i="21"/>
  <c r="V767" i="21"/>
  <c r="W767" i="21" s="1"/>
  <c r="H767" i="21"/>
  <c r="I767" i="21"/>
  <c r="V768" i="21"/>
  <c r="W768" i="21" s="1"/>
  <c r="H768" i="21"/>
  <c r="I768" i="21"/>
  <c r="V769" i="21"/>
  <c r="W769" i="21" s="1"/>
  <c r="H769" i="21"/>
  <c r="I769" i="21"/>
  <c r="V770" i="21"/>
  <c r="W770" i="21" s="1"/>
  <c r="H770" i="21"/>
  <c r="I770" i="21"/>
  <c r="V771" i="21"/>
  <c r="W771" i="21" s="1"/>
  <c r="H771" i="21"/>
  <c r="I771" i="21"/>
  <c r="V772" i="21"/>
  <c r="W772" i="21" s="1"/>
  <c r="H772" i="21"/>
  <c r="I772" i="21"/>
  <c r="V773" i="21"/>
  <c r="W773" i="21" s="1"/>
  <c r="H773" i="21"/>
  <c r="I773" i="21"/>
  <c r="V774" i="21"/>
  <c r="W774" i="21" s="1"/>
  <c r="H774" i="21"/>
  <c r="I774" i="21"/>
  <c r="V775" i="21"/>
  <c r="W775" i="21" s="1"/>
  <c r="H775" i="21"/>
  <c r="I775" i="21"/>
  <c r="V776" i="21"/>
  <c r="W776" i="21" s="1"/>
  <c r="H776" i="21"/>
  <c r="I776" i="21"/>
  <c r="V777" i="21"/>
  <c r="W777" i="21" s="1"/>
  <c r="H777" i="21"/>
  <c r="I777" i="21"/>
  <c r="V778" i="21"/>
  <c r="W778" i="21" s="1"/>
  <c r="H778" i="21"/>
  <c r="I778" i="21"/>
  <c r="V779" i="21"/>
  <c r="W779" i="21" s="1"/>
  <c r="H779" i="21"/>
  <c r="I779" i="21"/>
  <c r="V780" i="21"/>
  <c r="W780" i="21" s="1"/>
  <c r="H780" i="21"/>
  <c r="I780" i="21"/>
  <c r="V781" i="21"/>
  <c r="W781" i="21" s="1"/>
  <c r="H781" i="21"/>
  <c r="I781" i="21"/>
  <c r="V782" i="21"/>
  <c r="W782" i="21" s="1"/>
  <c r="H782" i="21"/>
  <c r="I782" i="21"/>
  <c r="V783" i="21"/>
  <c r="W783" i="21" s="1"/>
  <c r="H783" i="21"/>
  <c r="I783" i="21"/>
  <c r="V784" i="21"/>
  <c r="W784" i="21" s="1"/>
  <c r="H784" i="21"/>
  <c r="I784" i="21"/>
  <c r="V785" i="21"/>
  <c r="W785" i="21" s="1"/>
  <c r="H785" i="21"/>
  <c r="I785" i="21"/>
  <c r="V786" i="21"/>
  <c r="W786" i="21" s="1"/>
  <c r="H786" i="21"/>
  <c r="I786" i="21"/>
  <c r="V787" i="21"/>
  <c r="W787" i="21" s="1"/>
  <c r="H787" i="21"/>
  <c r="I787" i="21"/>
  <c r="V788" i="21"/>
  <c r="W788" i="21" s="1"/>
  <c r="H788" i="21"/>
  <c r="I788" i="21"/>
  <c r="V789" i="21"/>
  <c r="W789" i="21" s="1"/>
  <c r="H789" i="21"/>
  <c r="I789" i="21"/>
  <c r="V790" i="21"/>
  <c r="W790" i="21" s="1"/>
  <c r="H790" i="21"/>
  <c r="I790" i="21"/>
  <c r="V791" i="21"/>
  <c r="W791" i="21" s="1"/>
  <c r="H791" i="21"/>
  <c r="I791" i="21"/>
  <c r="V792" i="21"/>
  <c r="W792" i="21" s="1"/>
  <c r="H792" i="21"/>
  <c r="I792" i="21"/>
  <c r="V793" i="21"/>
  <c r="W793" i="21" s="1"/>
  <c r="H793" i="21"/>
  <c r="I793" i="21"/>
  <c r="V794" i="21"/>
  <c r="W794" i="21" s="1"/>
  <c r="H794" i="21"/>
  <c r="I794" i="21"/>
  <c r="V795" i="21"/>
  <c r="W795" i="21" s="1"/>
  <c r="H795" i="21"/>
  <c r="I795" i="21"/>
  <c r="V796" i="21"/>
  <c r="W796" i="21" s="1"/>
  <c r="H796" i="21"/>
  <c r="I796" i="21"/>
  <c r="V797" i="21"/>
  <c r="W797" i="21" s="1"/>
  <c r="H797" i="21"/>
  <c r="I797" i="21"/>
  <c r="V798" i="21"/>
  <c r="W798" i="21" s="1"/>
  <c r="H798" i="21"/>
  <c r="I798" i="21"/>
  <c r="V799" i="21"/>
  <c r="W799" i="21" s="1"/>
  <c r="H799" i="21"/>
  <c r="I799" i="21"/>
  <c r="V800" i="21"/>
  <c r="W800" i="21" s="1"/>
  <c r="H800" i="21"/>
  <c r="I800" i="21"/>
  <c r="V801" i="21"/>
  <c r="W801" i="21" s="1"/>
  <c r="H801" i="21"/>
  <c r="I801" i="21"/>
  <c r="V802" i="21"/>
  <c r="W802" i="21" s="1"/>
  <c r="H802" i="21"/>
  <c r="I802" i="21"/>
  <c r="V803" i="21"/>
  <c r="W803" i="21" s="1"/>
  <c r="H803" i="21"/>
  <c r="I803" i="21"/>
  <c r="V804" i="21"/>
  <c r="W804" i="21" s="1"/>
  <c r="H804" i="21"/>
  <c r="I804" i="21"/>
  <c r="V805" i="21"/>
  <c r="W805" i="21" s="1"/>
  <c r="H805" i="21"/>
  <c r="I805" i="21"/>
  <c r="V806" i="21"/>
  <c r="W806" i="21" s="1"/>
  <c r="H806" i="21"/>
  <c r="I806" i="21"/>
  <c r="V807" i="21"/>
  <c r="W807" i="21" s="1"/>
  <c r="H807" i="21"/>
  <c r="I807" i="21"/>
  <c r="V808" i="21"/>
  <c r="W808" i="21" s="1"/>
  <c r="H808" i="21"/>
  <c r="I808" i="21"/>
  <c r="V809" i="21"/>
  <c r="W809" i="21" s="1"/>
  <c r="H809" i="21"/>
  <c r="I809" i="21"/>
  <c r="V810" i="21"/>
  <c r="W810" i="21" s="1"/>
  <c r="H810" i="21"/>
  <c r="I810" i="21"/>
  <c r="V811" i="21"/>
  <c r="W811" i="21" s="1"/>
  <c r="H811" i="21"/>
  <c r="I811" i="21"/>
  <c r="V812" i="21"/>
  <c r="W812" i="21" s="1"/>
  <c r="H812" i="21"/>
  <c r="I812" i="21"/>
  <c r="V813" i="21"/>
  <c r="W813" i="21" s="1"/>
  <c r="H813" i="21"/>
  <c r="I813" i="21"/>
  <c r="V814" i="21"/>
  <c r="W814" i="21" s="1"/>
  <c r="H814" i="21"/>
  <c r="I814" i="21"/>
  <c r="V815" i="21"/>
  <c r="W815" i="21" s="1"/>
  <c r="H815" i="21"/>
  <c r="I815" i="21"/>
  <c r="V816" i="21"/>
  <c r="W816" i="21" s="1"/>
  <c r="H816" i="21"/>
  <c r="I816" i="21"/>
  <c r="V817" i="21"/>
  <c r="W817" i="21" s="1"/>
  <c r="H817" i="21"/>
  <c r="I817" i="21"/>
  <c r="V818" i="21"/>
  <c r="W818" i="21" s="1"/>
  <c r="H818" i="21"/>
  <c r="I818" i="21"/>
  <c r="V819" i="21"/>
  <c r="W819" i="21" s="1"/>
  <c r="H819" i="21"/>
  <c r="I819" i="21"/>
  <c r="V820" i="21"/>
  <c r="W820" i="21" s="1"/>
  <c r="H820" i="21"/>
  <c r="I820" i="21"/>
  <c r="V821" i="21"/>
  <c r="W821" i="21" s="1"/>
  <c r="H821" i="21"/>
  <c r="I821" i="21"/>
  <c r="V822" i="21"/>
  <c r="W822" i="21" s="1"/>
  <c r="H822" i="21"/>
  <c r="I822" i="21"/>
  <c r="V823" i="21"/>
  <c r="W823" i="21" s="1"/>
  <c r="H823" i="21"/>
  <c r="I823" i="21"/>
  <c r="V824" i="21"/>
  <c r="W824" i="21" s="1"/>
  <c r="H824" i="21"/>
  <c r="I824" i="21"/>
  <c r="V825" i="21"/>
  <c r="W825" i="21" s="1"/>
  <c r="H825" i="21"/>
  <c r="I825" i="21"/>
  <c r="V826" i="21"/>
  <c r="W826" i="21" s="1"/>
  <c r="H826" i="21"/>
  <c r="I826" i="21"/>
  <c r="V827" i="21"/>
  <c r="W827" i="21" s="1"/>
  <c r="H827" i="21"/>
  <c r="I827" i="21"/>
  <c r="V828" i="21"/>
  <c r="W828" i="21" s="1"/>
  <c r="H828" i="21"/>
  <c r="I828" i="21"/>
  <c r="V829" i="21"/>
  <c r="W829" i="21" s="1"/>
  <c r="H829" i="21"/>
  <c r="I829" i="21"/>
  <c r="V830" i="21"/>
  <c r="W830" i="21" s="1"/>
  <c r="H830" i="21"/>
  <c r="I830" i="21"/>
  <c r="V831" i="21"/>
  <c r="W831" i="21" s="1"/>
  <c r="H831" i="21"/>
  <c r="I831" i="21"/>
  <c r="V832" i="21"/>
  <c r="W832" i="21" s="1"/>
  <c r="H832" i="21"/>
  <c r="I832" i="21"/>
  <c r="V833" i="21"/>
  <c r="W833" i="21" s="1"/>
  <c r="H833" i="21"/>
  <c r="I833" i="21"/>
  <c r="V834" i="21"/>
  <c r="W834" i="21" s="1"/>
  <c r="H834" i="21"/>
  <c r="I834" i="21"/>
  <c r="V835" i="21"/>
  <c r="W835" i="21" s="1"/>
  <c r="H835" i="21"/>
  <c r="I835" i="21"/>
  <c r="V836" i="21"/>
  <c r="W836" i="21" s="1"/>
  <c r="H836" i="21"/>
  <c r="I836" i="21"/>
  <c r="V837" i="21"/>
  <c r="W837" i="21" s="1"/>
  <c r="H837" i="21"/>
  <c r="I837" i="21"/>
  <c r="V838" i="21"/>
  <c r="W838" i="21" s="1"/>
  <c r="H838" i="21"/>
  <c r="I838" i="21"/>
  <c r="V839" i="21"/>
  <c r="W839" i="21" s="1"/>
  <c r="H839" i="21"/>
  <c r="I839" i="21"/>
  <c r="V840" i="21"/>
  <c r="W840" i="21" s="1"/>
  <c r="H840" i="21"/>
  <c r="I840" i="21"/>
  <c r="V841" i="21"/>
  <c r="W841" i="21" s="1"/>
  <c r="H841" i="21"/>
  <c r="I841" i="21"/>
  <c r="V842" i="21"/>
  <c r="W842" i="21" s="1"/>
  <c r="H842" i="21"/>
  <c r="I842" i="21"/>
  <c r="V843" i="21"/>
  <c r="W843" i="21" s="1"/>
  <c r="H843" i="21"/>
  <c r="I843" i="21"/>
  <c r="V844" i="21"/>
  <c r="W844" i="21" s="1"/>
  <c r="H844" i="21"/>
  <c r="I844" i="21"/>
  <c r="V845" i="21"/>
  <c r="W845" i="21" s="1"/>
  <c r="H845" i="21"/>
  <c r="I845" i="21"/>
  <c r="V846" i="21"/>
  <c r="W846" i="21" s="1"/>
  <c r="H846" i="21"/>
  <c r="I846" i="21"/>
  <c r="V847" i="21"/>
  <c r="W847" i="21" s="1"/>
  <c r="H847" i="21"/>
  <c r="I847" i="21"/>
  <c r="V848" i="21"/>
  <c r="W848" i="21" s="1"/>
  <c r="H848" i="21"/>
  <c r="I848" i="21"/>
  <c r="V849" i="21"/>
  <c r="W849" i="21" s="1"/>
  <c r="H849" i="21"/>
  <c r="I849" i="21"/>
  <c r="V850" i="21"/>
  <c r="W850" i="21" s="1"/>
  <c r="H850" i="21"/>
  <c r="I850" i="21"/>
  <c r="V851" i="21"/>
  <c r="W851" i="21" s="1"/>
  <c r="H851" i="21"/>
  <c r="I851" i="21"/>
  <c r="V852" i="21"/>
  <c r="W852" i="21" s="1"/>
  <c r="H852" i="21"/>
  <c r="I852" i="21"/>
  <c r="V853" i="21"/>
  <c r="W853" i="21" s="1"/>
  <c r="H853" i="21"/>
  <c r="I853" i="21"/>
  <c r="V854" i="21"/>
  <c r="W854" i="21" s="1"/>
  <c r="H854" i="21"/>
  <c r="I854" i="21"/>
  <c r="V855" i="21"/>
  <c r="W855" i="21" s="1"/>
  <c r="H855" i="21"/>
  <c r="I855" i="21"/>
  <c r="V856" i="21"/>
  <c r="W856" i="21" s="1"/>
  <c r="H856" i="21"/>
  <c r="I856" i="21"/>
  <c r="V857" i="21"/>
  <c r="W857" i="21" s="1"/>
  <c r="H857" i="21"/>
  <c r="I857" i="21"/>
  <c r="V858" i="21"/>
  <c r="W858" i="21" s="1"/>
  <c r="H858" i="21"/>
  <c r="I858" i="21"/>
  <c r="V859" i="21"/>
  <c r="W859" i="21" s="1"/>
  <c r="H859" i="21"/>
  <c r="I859" i="21"/>
  <c r="V860" i="21"/>
  <c r="W860" i="21" s="1"/>
  <c r="H860" i="21"/>
  <c r="I860" i="21"/>
  <c r="V861" i="21"/>
  <c r="W861" i="21" s="1"/>
  <c r="H861" i="21"/>
  <c r="I861" i="21"/>
  <c r="V862" i="21"/>
  <c r="W862" i="21" s="1"/>
  <c r="H862" i="21"/>
  <c r="I862" i="21"/>
  <c r="V863" i="21"/>
  <c r="W863" i="21" s="1"/>
  <c r="H863" i="21"/>
  <c r="I863" i="21"/>
  <c r="V864" i="21"/>
  <c r="W864" i="21" s="1"/>
  <c r="H864" i="21"/>
  <c r="I864" i="21"/>
  <c r="V865" i="21"/>
  <c r="W865" i="21" s="1"/>
  <c r="H865" i="21"/>
  <c r="I865" i="21"/>
  <c r="V866" i="21"/>
  <c r="W866" i="21" s="1"/>
  <c r="H866" i="21"/>
  <c r="I866" i="21"/>
  <c r="V867" i="21"/>
  <c r="W867" i="21" s="1"/>
  <c r="H867" i="21"/>
  <c r="I867" i="21"/>
  <c r="V868" i="21"/>
  <c r="W868" i="21" s="1"/>
  <c r="H868" i="21"/>
  <c r="I868" i="21"/>
  <c r="V869" i="21"/>
  <c r="W869" i="21" s="1"/>
  <c r="H869" i="21"/>
  <c r="I869" i="21"/>
  <c r="V870" i="21"/>
  <c r="W870" i="21" s="1"/>
  <c r="H870" i="21"/>
  <c r="I870" i="21"/>
  <c r="V871" i="21"/>
  <c r="W871" i="21" s="1"/>
  <c r="H871" i="21"/>
  <c r="I871" i="21"/>
  <c r="V872" i="21"/>
  <c r="W872" i="21" s="1"/>
  <c r="H872" i="21"/>
  <c r="I872" i="21"/>
  <c r="V873" i="21"/>
  <c r="W873" i="21" s="1"/>
  <c r="H873" i="21"/>
  <c r="I873" i="21"/>
  <c r="V874" i="21"/>
  <c r="W874" i="21" s="1"/>
  <c r="H874" i="21"/>
  <c r="I874" i="21"/>
  <c r="V875" i="21"/>
  <c r="W875" i="21" s="1"/>
  <c r="H875" i="21"/>
  <c r="I875" i="21"/>
  <c r="V876" i="21"/>
  <c r="W876" i="21" s="1"/>
  <c r="H876" i="21"/>
  <c r="I876" i="21"/>
  <c r="V877" i="21"/>
  <c r="W877" i="21" s="1"/>
  <c r="H877" i="21"/>
  <c r="I877" i="21"/>
  <c r="V878" i="21"/>
  <c r="W878" i="21" s="1"/>
  <c r="H878" i="21"/>
  <c r="I878" i="21"/>
  <c r="V879" i="21"/>
  <c r="W879" i="21" s="1"/>
  <c r="H879" i="21"/>
  <c r="I879" i="21"/>
  <c r="V880" i="21"/>
  <c r="W880" i="21" s="1"/>
  <c r="H880" i="21"/>
  <c r="I880" i="21"/>
  <c r="V881" i="21"/>
  <c r="W881" i="21" s="1"/>
  <c r="H881" i="21"/>
  <c r="I881" i="21"/>
  <c r="V882" i="21"/>
  <c r="W882" i="21" s="1"/>
  <c r="H882" i="21"/>
  <c r="I882" i="21"/>
  <c r="V883" i="21"/>
  <c r="W883" i="21" s="1"/>
  <c r="H883" i="21"/>
  <c r="I883" i="21"/>
  <c r="V884" i="21"/>
  <c r="W884" i="21" s="1"/>
  <c r="H884" i="21"/>
  <c r="I884" i="21"/>
  <c r="V885" i="21"/>
  <c r="W885" i="21" s="1"/>
  <c r="H885" i="21"/>
  <c r="I885" i="21"/>
  <c r="V886" i="21"/>
  <c r="W886" i="21" s="1"/>
  <c r="H886" i="21"/>
  <c r="I886" i="21"/>
  <c r="V887" i="21"/>
  <c r="W887" i="21" s="1"/>
  <c r="H887" i="21"/>
  <c r="I887" i="21"/>
  <c r="V888" i="21"/>
  <c r="W888" i="21" s="1"/>
  <c r="H888" i="21"/>
  <c r="I888" i="21"/>
  <c r="V889" i="21"/>
  <c r="W889" i="21" s="1"/>
  <c r="H889" i="21"/>
  <c r="I889" i="21"/>
  <c r="V890" i="21"/>
  <c r="W890" i="21" s="1"/>
  <c r="H890" i="21"/>
  <c r="I890" i="21"/>
  <c r="V891" i="21"/>
  <c r="W891" i="21" s="1"/>
  <c r="H891" i="21"/>
  <c r="I891" i="21"/>
  <c r="V892" i="21"/>
  <c r="W892" i="21" s="1"/>
  <c r="H892" i="21"/>
  <c r="I892" i="21"/>
  <c r="V893" i="21"/>
  <c r="W893" i="21" s="1"/>
  <c r="H893" i="21"/>
  <c r="I893" i="21"/>
  <c r="V894" i="21"/>
  <c r="W894" i="21" s="1"/>
  <c r="H894" i="21"/>
  <c r="I894" i="21"/>
  <c r="V895" i="21"/>
  <c r="W895" i="21" s="1"/>
  <c r="H895" i="21"/>
  <c r="I895" i="21"/>
  <c r="V896" i="21"/>
  <c r="W896" i="21" s="1"/>
  <c r="H896" i="21"/>
  <c r="I896" i="21"/>
  <c r="V897" i="21"/>
  <c r="W897" i="21" s="1"/>
  <c r="H897" i="21"/>
  <c r="I897" i="21"/>
  <c r="V898" i="21"/>
  <c r="W898" i="21" s="1"/>
  <c r="H898" i="21"/>
  <c r="I898" i="21"/>
  <c r="V899" i="21"/>
  <c r="W899" i="21" s="1"/>
  <c r="H899" i="21"/>
  <c r="I899" i="21"/>
  <c r="V900" i="21"/>
  <c r="W900" i="21" s="1"/>
  <c r="H900" i="21"/>
  <c r="I900" i="21"/>
  <c r="V901" i="21"/>
  <c r="W901" i="21" s="1"/>
  <c r="H901" i="21"/>
  <c r="I901" i="21"/>
  <c r="V902" i="21"/>
  <c r="W902" i="21" s="1"/>
  <c r="H902" i="21"/>
  <c r="I902" i="21"/>
  <c r="V903" i="21"/>
  <c r="W903" i="21" s="1"/>
  <c r="H903" i="21"/>
  <c r="I903" i="21"/>
  <c r="V904" i="21"/>
  <c r="W904" i="21" s="1"/>
  <c r="H904" i="21"/>
  <c r="I904" i="21"/>
  <c r="V905" i="21"/>
  <c r="W905" i="21" s="1"/>
  <c r="H905" i="21"/>
  <c r="I905" i="21"/>
  <c r="V906" i="21"/>
  <c r="W906" i="21" s="1"/>
  <c r="H906" i="21"/>
  <c r="I906" i="21"/>
  <c r="V907" i="21"/>
  <c r="W907" i="21" s="1"/>
  <c r="H907" i="21"/>
  <c r="I907" i="21"/>
  <c r="V908" i="21"/>
  <c r="W908" i="21" s="1"/>
  <c r="H908" i="21"/>
  <c r="I908" i="21"/>
  <c r="V909" i="21"/>
  <c r="W909" i="21" s="1"/>
  <c r="H909" i="21"/>
  <c r="I909" i="21"/>
  <c r="V910" i="21"/>
  <c r="W910" i="21" s="1"/>
  <c r="H910" i="21"/>
  <c r="I910" i="21"/>
  <c r="V911" i="21"/>
  <c r="W911" i="21" s="1"/>
  <c r="H911" i="21"/>
  <c r="I911" i="21"/>
  <c r="V912" i="21"/>
  <c r="W912" i="21" s="1"/>
  <c r="H912" i="21"/>
  <c r="I912" i="21"/>
  <c r="V913" i="21"/>
  <c r="W913" i="21" s="1"/>
  <c r="H913" i="21"/>
  <c r="I913" i="21"/>
  <c r="V914" i="21"/>
  <c r="W914" i="21" s="1"/>
  <c r="H914" i="21"/>
  <c r="I914" i="21"/>
  <c r="V915" i="21"/>
  <c r="W915" i="21" s="1"/>
  <c r="H915" i="21"/>
  <c r="I915" i="21"/>
  <c r="V916" i="21"/>
  <c r="W916" i="21" s="1"/>
  <c r="H916" i="21"/>
  <c r="I916" i="21"/>
  <c r="V917" i="21"/>
  <c r="W917" i="21" s="1"/>
  <c r="H917" i="21"/>
  <c r="I917" i="21"/>
  <c r="V918" i="21"/>
  <c r="W918" i="21" s="1"/>
  <c r="H918" i="21"/>
  <c r="I918" i="21"/>
  <c r="V919" i="21"/>
  <c r="W919" i="21" s="1"/>
  <c r="H919" i="21"/>
  <c r="I919" i="21"/>
  <c r="V920" i="21"/>
  <c r="W920" i="21" s="1"/>
  <c r="H920" i="21"/>
  <c r="I920" i="21"/>
  <c r="V921" i="21"/>
  <c r="W921" i="21" s="1"/>
  <c r="H921" i="21"/>
  <c r="I921" i="21"/>
  <c r="V922" i="21"/>
  <c r="W922" i="21" s="1"/>
  <c r="H922" i="21"/>
  <c r="I922" i="21"/>
  <c r="V923" i="21"/>
  <c r="W923" i="21" s="1"/>
  <c r="H923" i="21"/>
  <c r="I923" i="21"/>
  <c r="V924" i="21"/>
  <c r="W924" i="21" s="1"/>
  <c r="H924" i="21"/>
  <c r="I924" i="21"/>
  <c r="V925" i="21"/>
  <c r="W925" i="21" s="1"/>
  <c r="H925" i="21"/>
  <c r="I925" i="21"/>
  <c r="V926" i="21"/>
  <c r="W926" i="21" s="1"/>
  <c r="H926" i="21"/>
  <c r="I926" i="21"/>
  <c r="V927" i="21"/>
  <c r="W927" i="21" s="1"/>
  <c r="H927" i="21"/>
  <c r="I927" i="21"/>
  <c r="V928" i="21"/>
  <c r="W928" i="21" s="1"/>
  <c r="H928" i="21"/>
  <c r="I928" i="21"/>
  <c r="V929" i="21"/>
  <c r="W929" i="21" s="1"/>
  <c r="H929" i="21"/>
  <c r="I929" i="21"/>
  <c r="V930" i="21"/>
  <c r="W930" i="21" s="1"/>
  <c r="H930" i="21"/>
  <c r="I930" i="21"/>
  <c r="V931" i="21"/>
  <c r="W931" i="21" s="1"/>
  <c r="H931" i="21"/>
  <c r="I931" i="21"/>
  <c r="V932" i="21"/>
  <c r="W932" i="21" s="1"/>
  <c r="H932" i="21"/>
  <c r="I932" i="21"/>
  <c r="V933" i="21"/>
  <c r="W933" i="21" s="1"/>
  <c r="H933" i="21"/>
  <c r="I933" i="21"/>
  <c r="V934" i="21"/>
  <c r="W934" i="21" s="1"/>
  <c r="H934" i="21"/>
  <c r="I934" i="21"/>
  <c r="V935" i="21"/>
  <c r="W935" i="21" s="1"/>
  <c r="H935" i="21"/>
  <c r="I935" i="21"/>
  <c r="V936" i="21"/>
  <c r="W936" i="21" s="1"/>
  <c r="H936" i="21"/>
  <c r="I936" i="21"/>
  <c r="V937" i="21"/>
  <c r="W937" i="21" s="1"/>
  <c r="H937" i="21"/>
  <c r="I937" i="21"/>
  <c r="V938" i="21"/>
  <c r="W938" i="21" s="1"/>
  <c r="H938" i="21"/>
  <c r="I938" i="21"/>
  <c r="V939" i="21"/>
  <c r="W939" i="21" s="1"/>
  <c r="H939" i="21"/>
  <c r="I939" i="21"/>
  <c r="V940" i="21"/>
  <c r="W940" i="21" s="1"/>
  <c r="H940" i="21"/>
  <c r="I940" i="21"/>
  <c r="V941" i="21"/>
  <c r="W941" i="21" s="1"/>
  <c r="H941" i="21"/>
  <c r="I941" i="21"/>
  <c r="V942" i="21"/>
  <c r="W942" i="21" s="1"/>
  <c r="H942" i="21"/>
  <c r="I942" i="21"/>
  <c r="V943" i="21"/>
  <c r="W943" i="21" s="1"/>
  <c r="H943" i="21"/>
  <c r="I943" i="21"/>
  <c r="V944" i="21"/>
  <c r="W944" i="21" s="1"/>
  <c r="H944" i="21"/>
  <c r="I944" i="21"/>
  <c r="V945" i="21"/>
  <c r="W945" i="21" s="1"/>
  <c r="H945" i="21"/>
  <c r="I945" i="21"/>
  <c r="V946" i="21"/>
  <c r="W946" i="21" s="1"/>
  <c r="H946" i="21"/>
  <c r="I946" i="21"/>
  <c r="V947" i="21"/>
  <c r="W947" i="21" s="1"/>
  <c r="H947" i="21"/>
  <c r="I947" i="21"/>
  <c r="V948" i="21"/>
  <c r="W948" i="21" s="1"/>
  <c r="H948" i="21"/>
  <c r="I948" i="21"/>
  <c r="V949" i="21"/>
  <c r="W949" i="21" s="1"/>
  <c r="H949" i="21"/>
  <c r="I949" i="21"/>
  <c r="V950" i="21"/>
  <c r="W950" i="21" s="1"/>
  <c r="H950" i="21"/>
  <c r="I950" i="21"/>
  <c r="V951" i="21"/>
  <c r="W951" i="21" s="1"/>
  <c r="H951" i="21"/>
  <c r="I951" i="21"/>
  <c r="V952" i="21"/>
  <c r="W952" i="21" s="1"/>
  <c r="H952" i="21"/>
  <c r="I952" i="21"/>
  <c r="V953" i="21"/>
  <c r="W953" i="21" s="1"/>
  <c r="H953" i="21"/>
  <c r="I953" i="21"/>
  <c r="V954" i="21"/>
  <c r="W954" i="21" s="1"/>
  <c r="H954" i="21"/>
  <c r="I954" i="21"/>
  <c r="V955" i="21"/>
  <c r="W955" i="21" s="1"/>
  <c r="H955" i="21"/>
  <c r="I955" i="21"/>
  <c r="V956" i="21"/>
  <c r="W956" i="21" s="1"/>
  <c r="H956" i="21"/>
  <c r="I956" i="21"/>
  <c r="V957" i="21"/>
  <c r="W957" i="21" s="1"/>
  <c r="H957" i="21"/>
  <c r="I957" i="21"/>
  <c r="V958" i="21"/>
  <c r="W958" i="21" s="1"/>
  <c r="H958" i="21"/>
  <c r="I958" i="21"/>
  <c r="V959" i="21"/>
  <c r="W959" i="21" s="1"/>
  <c r="H959" i="21"/>
  <c r="I959" i="21"/>
  <c r="V960" i="21"/>
  <c r="W960" i="21" s="1"/>
  <c r="H960" i="21"/>
  <c r="I960" i="21"/>
  <c r="V961" i="21"/>
  <c r="W961" i="21" s="1"/>
  <c r="H961" i="21"/>
  <c r="I961" i="21"/>
  <c r="V962" i="21"/>
  <c r="W962" i="21" s="1"/>
  <c r="H962" i="21"/>
  <c r="I962" i="21"/>
  <c r="V963" i="21"/>
  <c r="W963" i="21" s="1"/>
  <c r="H963" i="21"/>
  <c r="I963" i="21"/>
  <c r="V964" i="21"/>
  <c r="W964" i="21" s="1"/>
  <c r="H964" i="21"/>
  <c r="I964" i="21"/>
  <c r="V965" i="21"/>
  <c r="W965" i="21" s="1"/>
  <c r="H965" i="21"/>
  <c r="I965" i="21"/>
  <c r="V966" i="21"/>
  <c r="W966" i="21" s="1"/>
  <c r="H966" i="21"/>
  <c r="I966" i="21"/>
  <c r="V967" i="21"/>
  <c r="W967" i="21" s="1"/>
  <c r="H967" i="21"/>
  <c r="I967" i="21"/>
  <c r="V968" i="21"/>
  <c r="W968" i="21" s="1"/>
  <c r="H968" i="21"/>
  <c r="I968" i="21"/>
  <c r="V969" i="21"/>
  <c r="W969" i="21" s="1"/>
  <c r="H969" i="21"/>
  <c r="I969" i="21"/>
  <c r="V970" i="21"/>
  <c r="W970" i="21" s="1"/>
  <c r="H970" i="21"/>
  <c r="I970" i="21"/>
  <c r="V971" i="21"/>
  <c r="W971" i="21" s="1"/>
  <c r="H971" i="21"/>
  <c r="I971" i="21"/>
  <c r="V972" i="21"/>
  <c r="W972" i="21" s="1"/>
  <c r="H972" i="21"/>
  <c r="I972" i="21"/>
  <c r="V973" i="21"/>
  <c r="W973" i="21" s="1"/>
  <c r="H973" i="21"/>
  <c r="I973" i="21"/>
  <c r="V974" i="21"/>
  <c r="W974" i="21" s="1"/>
  <c r="H974" i="21"/>
  <c r="I974" i="21"/>
  <c r="V975" i="21"/>
  <c r="W975" i="21" s="1"/>
  <c r="H975" i="21"/>
  <c r="I975" i="21"/>
  <c r="V976" i="21"/>
  <c r="W976" i="21" s="1"/>
  <c r="H976" i="21"/>
  <c r="I976" i="21"/>
  <c r="V977" i="21"/>
  <c r="W977" i="21" s="1"/>
  <c r="H977" i="21"/>
  <c r="I977" i="21"/>
  <c r="V978" i="21"/>
  <c r="W978" i="21" s="1"/>
  <c r="H978" i="21"/>
  <c r="I978" i="21"/>
  <c r="V979" i="21"/>
  <c r="W979" i="21" s="1"/>
  <c r="H979" i="21"/>
  <c r="I979" i="21"/>
  <c r="V980" i="21"/>
  <c r="W980" i="21" s="1"/>
  <c r="H980" i="21"/>
  <c r="I980" i="21"/>
  <c r="V981" i="21"/>
  <c r="W981" i="21" s="1"/>
  <c r="H981" i="21"/>
  <c r="I981" i="21"/>
  <c r="V982" i="21"/>
  <c r="W982" i="21" s="1"/>
  <c r="H982" i="21"/>
  <c r="I982" i="21"/>
  <c r="V983" i="21"/>
  <c r="W983" i="21" s="1"/>
  <c r="H983" i="21"/>
  <c r="I983" i="21"/>
  <c r="V984" i="21"/>
  <c r="W984" i="21" s="1"/>
  <c r="H984" i="21"/>
  <c r="I984" i="21"/>
  <c r="V985" i="21"/>
  <c r="W985" i="21" s="1"/>
  <c r="H985" i="21"/>
  <c r="I985" i="21"/>
  <c r="V986" i="21"/>
  <c r="W986" i="21" s="1"/>
  <c r="H986" i="21"/>
  <c r="I986" i="21"/>
  <c r="V987" i="21"/>
  <c r="W987" i="21" s="1"/>
  <c r="H987" i="21"/>
  <c r="I987" i="21"/>
  <c r="V988" i="21"/>
  <c r="W988" i="21" s="1"/>
  <c r="H988" i="21"/>
  <c r="I988" i="21"/>
  <c r="V989" i="21"/>
  <c r="W989" i="21" s="1"/>
  <c r="H989" i="21"/>
  <c r="I989" i="21"/>
  <c r="V990" i="21"/>
  <c r="W990" i="21" s="1"/>
  <c r="H990" i="21"/>
  <c r="I990" i="21"/>
  <c r="V991" i="21"/>
  <c r="W991" i="21" s="1"/>
  <c r="H991" i="21"/>
  <c r="I991" i="21"/>
  <c r="V992" i="21"/>
  <c r="W992" i="21" s="1"/>
  <c r="H992" i="21"/>
  <c r="I992" i="21"/>
  <c r="V993" i="21"/>
  <c r="W993" i="21" s="1"/>
  <c r="H993" i="21"/>
  <c r="I993" i="21"/>
  <c r="V994" i="21"/>
  <c r="W994" i="21" s="1"/>
  <c r="H994" i="21"/>
  <c r="I994" i="21"/>
  <c r="V995" i="21"/>
  <c r="W995" i="21" s="1"/>
  <c r="H995" i="21"/>
  <c r="I995" i="21"/>
  <c r="V996" i="21"/>
  <c r="W996" i="21" s="1"/>
  <c r="H996" i="21"/>
  <c r="I996" i="21"/>
  <c r="V997" i="21"/>
  <c r="W997" i="21" s="1"/>
  <c r="H997" i="21"/>
  <c r="I997" i="21"/>
  <c r="V998" i="21"/>
  <c r="W998" i="21" s="1"/>
  <c r="H998" i="21"/>
  <c r="I998" i="21"/>
  <c r="V4023" i="21"/>
  <c r="W4023" i="21" s="1"/>
  <c r="H4023" i="21"/>
  <c r="M4023" i="21" s="1"/>
  <c r="I4023" i="21"/>
  <c r="V4024" i="21"/>
  <c r="W4024" i="21" s="1"/>
  <c r="H4024" i="21"/>
  <c r="M4024" i="21" s="1"/>
  <c r="I4024" i="21"/>
  <c r="L2" i="21"/>
  <c r="K5" i="21"/>
  <c r="L5" i="21"/>
  <c r="K6" i="21"/>
  <c r="L6" i="21"/>
  <c r="K7" i="21"/>
  <c r="L7" i="21"/>
  <c r="K8" i="21"/>
  <c r="L8" i="21"/>
  <c r="K9" i="21"/>
  <c r="L9" i="21"/>
  <c r="K10" i="21"/>
  <c r="L10" i="21"/>
  <c r="K11" i="21"/>
  <c r="L11" i="21"/>
  <c r="K12" i="21"/>
  <c r="L12" i="21"/>
  <c r="K13" i="21"/>
  <c r="L13" i="21"/>
  <c r="K14" i="21"/>
  <c r="L14" i="21"/>
  <c r="K15" i="21"/>
  <c r="L15" i="21"/>
  <c r="K16" i="21"/>
  <c r="L16" i="21"/>
  <c r="K17" i="21"/>
  <c r="L17" i="21"/>
  <c r="K18" i="21"/>
  <c r="L18" i="21"/>
  <c r="K19" i="21"/>
  <c r="L19" i="21"/>
  <c r="K20" i="21"/>
  <c r="L20" i="21"/>
  <c r="K21" i="21"/>
  <c r="L21" i="21"/>
  <c r="K22" i="21"/>
  <c r="L22" i="21"/>
  <c r="K23" i="21"/>
  <c r="L23" i="21"/>
  <c r="K24" i="21"/>
  <c r="L24" i="21"/>
  <c r="K25" i="21"/>
  <c r="L25" i="21"/>
  <c r="K26" i="21"/>
  <c r="L26" i="21"/>
  <c r="K27" i="21"/>
  <c r="L27" i="21"/>
  <c r="K28" i="21"/>
  <c r="L28" i="21"/>
  <c r="K29" i="21"/>
  <c r="L29" i="21"/>
  <c r="K30" i="21"/>
  <c r="L30" i="21"/>
  <c r="K31" i="21"/>
  <c r="L31" i="21"/>
  <c r="K32" i="21"/>
  <c r="L32" i="21"/>
  <c r="K33" i="21"/>
  <c r="L33" i="21"/>
  <c r="K34" i="21"/>
  <c r="L34" i="21"/>
  <c r="K35" i="21"/>
  <c r="L35" i="21"/>
  <c r="K36" i="21"/>
  <c r="L36" i="21"/>
  <c r="K37" i="21"/>
  <c r="L37" i="21"/>
  <c r="K38" i="21"/>
  <c r="L38" i="21"/>
  <c r="K39" i="21"/>
  <c r="L39" i="21"/>
  <c r="K40" i="21"/>
  <c r="L40" i="21"/>
  <c r="K41" i="21"/>
  <c r="L41" i="21"/>
  <c r="K42" i="21"/>
  <c r="L42" i="21"/>
  <c r="K43" i="21"/>
  <c r="L43" i="21"/>
  <c r="K44" i="21"/>
  <c r="L44" i="21"/>
  <c r="K45" i="21"/>
  <c r="L45" i="21"/>
  <c r="K46" i="21"/>
  <c r="L46" i="21"/>
  <c r="K47" i="21"/>
  <c r="L47" i="21"/>
  <c r="K48" i="21"/>
  <c r="L48" i="21"/>
  <c r="K49" i="21"/>
  <c r="L49" i="21"/>
  <c r="K50" i="21"/>
  <c r="L50" i="21"/>
  <c r="K51" i="21"/>
  <c r="L51" i="21"/>
  <c r="K52" i="21"/>
  <c r="L52" i="21"/>
  <c r="K53" i="21"/>
  <c r="L53" i="21"/>
  <c r="K54" i="21"/>
  <c r="L54" i="21"/>
  <c r="K55" i="21"/>
  <c r="L55" i="21"/>
  <c r="K56" i="21"/>
  <c r="L56" i="21"/>
  <c r="K57" i="21"/>
  <c r="L57" i="21"/>
  <c r="K58" i="21"/>
  <c r="L58" i="21"/>
  <c r="K59" i="21"/>
  <c r="L59" i="21"/>
  <c r="K60" i="21"/>
  <c r="L60" i="21"/>
  <c r="K61" i="21"/>
  <c r="L61" i="21"/>
  <c r="K62" i="21"/>
  <c r="L62" i="21"/>
  <c r="K63" i="21"/>
  <c r="L63" i="21"/>
  <c r="K64" i="21"/>
  <c r="L64" i="21"/>
  <c r="K65" i="21"/>
  <c r="L65" i="21"/>
  <c r="K66" i="21"/>
  <c r="L66" i="21"/>
  <c r="K67" i="21"/>
  <c r="L67" i="21"/>
  <c r="K68" i="21"/>
  <c r="L68" i="21"/>
  <c r="K69" i="21"/>
  <c r="L69" i="21"/>
  <c r="K70" i="21"/>
  <c r="L70" i="21"/>
  <c r="K71" i="21"/>
  <c r="L71" i="21"/>
  <c r="K72" i="21"/>
  <c r="L72" i="21"/>
  <c r="K73" i="21"/>
  <c r="L73" i="21"/>
  <c r="K74" i="21"/>
  <c r="L74" i="21"/>
  <c r="K75" i="21"/>
  <c r="L75" i="21"/>
  <c r="K76" i="21"/>
  <c r="L76" i="21"/>
  <c r="K77" i="21"/>
  <c r="L77" i="21"/>
  <c r="K78" i="21"/>
  <c r="L78" i="21"/>
  <c r="K79" i="21"/>
  <c r="L79" i="21"/>
  <c r="K80" i="21"/>
  <c r="L80" i="21"/>
  <c r="K81" i="21"/>
  <c r="L81" i="21"/>
  <c r="K82" i="21"/>
  <c r="L82" i="21"/>
  <c r="K83" i="21"/>
  <c r="L83" i="21"/>
  <c r="K84" i="21"/>
  <c r="L84" i="21"/>
  <c r="K85" i="21"/>
  <c r="L85" i="21"/>
  <c r="K86" i="21"/>
  <c r="L86" i="21"/>
  <c r="K87" i="21"/>
  <c r="L87" i="21"/>
  <c r="K88" i="21"/>
  <c r="L88" i="21"/>
  <c r="K89" i="21"/>
  <c r="L89" i="21"/>
  <c r="K90" i="21"/>
  <c r="L90" i="21"/>
  <c r="K91" i="21"/>
  <c r="L91" i="21"/>
  <c r="K92" i="21"/>
  <c r="L92" i="21"/>
  <c r="K93" i="21"/>
  <c r="L93" i="21"/>
  <c r="K94" i="21"/>
  <c r="L94" i="21"/>
  <c r="K95" i="21"/>
  <c r="L95" i="21"/>
  <c r="K96" i="21"/>
  <c r="L96" i="21"/>
  <c r="K97" i="21"/>
  <c r="L97" i="21"/>
  <c r="K98" i="21"/>
  <c r="L98" i="21"/>
  <c r="K99" i="21"/>
  <c r="L99" i="21"/>
  <c r="K100" i="21"/>
  <c r="L100" i="21"/>
  <c r="K101" i="21"/>
  <c r="L101" i="21"/>
  <c r="K102" i="21"/>
  <c r="L102" i="21"/>
  <c r="K103" i="21"/>
  <c r="L103" i="21"/>
  <c r="K104" i="21"/>
  <c r="L104" i="21"/>
  <c r="K105" i="21"/>
  <c r="L105" i="21"/>
  <c r="K106" i="21"/>
  <c r="L106" i="21"/>
  <c r="K107" i="21"/>
  <c r="L107" i="21"/>
  <c r="K108" i="21"/>
  <c r="L108" i="21"/>
  <c r="K109" i="21"/>
  <c r="L109" i="21"/>
  <c r="K110" i="21"/>
  <c r="L110" i="21"/>
  <c r="K111" i="21"/>
  <c r="L111" i="21"/>
  <c r="K112" i="21"/>
  <c r="L112" i="21"/>
  <c r="K113" i="21"/>
  <c r="L113" i="21"/>
  <c r="K114" i="21"/>
  <c r="L114" i="21"/>
  <c r="K115" i="21"/>
  <c r="L115" i="21"/>
  <c r="K116" i="21"/>
  <c r="L116" i="21"/>
  <c r="K117" i="21"/>
  <c r="L117" i="21"/>
  <c r="K118" i="21"/>
  <c r="L118" i="21"/>
  <c r="K119" i="21"/>
  <c r="L119" i="21"/>
  <c r="K120" i="21"/>
  <c r="L120" i="21"/>
  <c r="K121" i="21"/>
  <c r="L121" i="21"/>
  <c r="K122" i="21"/>
  <c r="L122" i="21"/>
  <c r="K123" i="21"/>
  <c r="L123" i="21"/>
  <c r="K124" i="21"/>
  <c r="L124" i="21"/>
  <c r="K125" i="21"/>
  <c r="L125" i="21"/>
  <c r="K126" i="21"/>
  <c r="L126" i="21"/>
  <c r="K127" i="21"/>
  <c r="L127" i="21"/>
  <c r="K128" i="21"/>
  <c r="L128" i="21"/>
  <c r="K129" i="21"/>
  <c r="L129" i="21"/>
  <c r="K130" i="21"/>
  <c r="L130" i="21"/>
  <c r="K131" i="21"/>
  <c r="L131" i="21"/>
  <c r="K132" i="21"/>
  <c r="L132" i="21"/>
  <c r="K133" i="21"/>
  <c r="L133" i="21"/>
  <c r="K134" i="21"/>
  <c r="L134" i="21"/>
  <c r="K135" i="21"/>
  <c r="L135" i="21"/>
  <c r="K136" i="21"/>
  <c r="L136" i="21"/>
  <c r="K137" i="21"/>
  <c r="L137" i="21"/>
  <c r="K138" i="21"/>
  <c r="L138" i="21"/>
  <c r="K139" i="21"/>
  <c r="L139" i="21"/>
  <c r="K140" i="21"/>
  <c r="L140" i="21"/>
  <c r="K141" i="21"/>
  <c r="L141" i="21"/>
  <c r="K142" i="21"/>
  <c r="L142" i="21"/>
  <c r="K143" i="21"/>
  <c r="L143" i="21"/>
  <c r="K144" i="21"/>
  <c r="L144" i="21"/>
  <c r="K145" i="21"/>
  <c r="L145" i="21"/>
  <c r="K146" i="21"/>
  <c r="L146" i="21"/>
  <c r="K147" i="21"/>
  <c r="L147" i="21"/>
  <c r="K148" i="21"/>
  <c r="L148" i="21"/>
  <c r="K149" i="21"/>
  <c r="L149" i="21"/>
  <c r="K150" i="21"/>
  <c r="L150" i="21"/>
  <c r="K151" i="21"/>
  <c r="L151" i="21"/>
  <c r="K152" i="21"/>
  <c r="L152" i="21"/>
  <c r="K153" i="21"/>
  <c r="L153" i="21"/>
  <c r="K154" i="21"/>
  <c r="L154" i="21"/>
  <c r="K155" i="21"/>
  <c r="L155" i="21"/>
  <c r="K156" i="21"/>
  <c r="L156" i="21"/>
  <c r="K157" i="21"/>
  <c r="L157" i="21"/>
  <c r="K158" i="21"/>
  <c r="L158" i="21"/>
  <c r="K159" i="21"/>
  <c r="L159" i="21"/>
  <c r="K160" i="21"/>
  <c r="L160" i="21"/>
  <c r="K161" i="21"/>
  <c r="L161" i="21"/>
  <c r="K162" i="21"/>
  <c r="L162" i="21"/>
  <c r="K163" i="21"/>
  <c r="L163" i="21"/>
  <c r="K164" i="21"/>
  <c r="L164" i="21"/>
  <c r="K165" i="21"/>
  <c r="L165" i="21"/>
  <c r="K166" i="21"/>
  <c r="L166" i="21"/>
  <c r="K167" i="21"/>
  <c r="L167" i="21"/>
  <c r="K168" i="21"/>
  <c r="L168" i="21"/>
  <c r="K169" i="21"/>
  <c r="L169" i="21"/>
  <c r="K170" i="21"/>
  <c r="L170" i="21"/>
  <c r="K171" i="21"/>
  <c r="L171" i="21"/>
  <c r="K172" i="21"/>
  <c r="L172" i="21"/>
  <c r="K173" i="21"/>
  <c r="L173" i="21"/>
  <c r="K174" i="21"/>
  <c r="L174" i="21"/>
  <c r="K175" i="21"/>
  <c r="L175" i="21"/>
  <c r="K176" i="21"/>
  <c r="L176" i="21"/>
  <c r="K177" i="21"/>
  <c r="L177" i="21"/>
  <c r="K178" i="21"/>
  <c r="L178" i="21"/>
  <c r="K179" i="21"/>
  <c r="L179" i="21"/>
  <c r="K180" i="21"/>
  <c r="L180" i="21"/>
  <c r="K181" i="21"/>
  <c r="L181" i="21"/>
  <c r="K182" i="21"/>
  <c r="L182" i="21"/>
  <c r="K183" i="21"/>
  <c r="L183" i="21"/>
  <c r="K184" i="21"/>
  <c r="L184" i="21"/>
  <c r="K185" i="21"/>
  <c r="L185" i="21"/>
  <c r="K186" i="21"/>
  <c r="L186" i="21"/>
  <c r="K187" i="21"/>
  <c r="L187" i="21"/>
  <c r="K188" i="21"/>
  <c r="L188" i="21"/>
  <c r="K189" i="21"/>
  <c r="L189" i="21"/>
  <c r="K190" i="21"/>
  <c r="L190" i="21"/>
  <c r="K191" i="21"/>
  <c r="L191" i="21"/>
  <c r="K192" i="21"/>
  <c r="L192" i="21"/>
  <c r="K193" i="21"/>
  <c r="L193" i="21"/>
  <c r="K194" i="21"/>
  <c r="L194" i="21"/>
  <c r="K195" i="21"/>
  <c r="L195" i="21"/>
  <c r="K196" i="21"/>
  <c r="L196" i="21"/>
  <c r="K197" i="21"/>
  <c r="L197" i="21"/>
  <c r="K198" i="21"/>
  <c r="L198" i="21"/>
  <c r="K199" i="21"/>
  <c r="L199" i="21"/>
  <c r="K200" i="21"/>
  <c r="L200" i="21"/>
  <c r="K201" i="21"/>
  <c r="L201" i="21"/>
  <c r="K202" i="21"/>
  <c r="L202" i="21"/>
  <c r="K203" i="21"/>
  <c r="L203" i="21"/>
  <c r="K204" i="21"/>
  <c r="L204" i="21"/>
  <c r="K205" i="21"/>
  <c r="L205" i="21"/>
  <c r="K206" i="21"/>
  <c r="L206" i="21"/>
  <c r="K207" i="21"/>
  <c r="L207" i="21"/>
  <c r="K208" i="21"/>
  <c r="L208" i="21"/>
  <c r="K209" i="21"/>
  <c r="L209" i="21"/>
  <c r="K210" i="21"/>
  <c r="L210" i="21"/>
  <c r="K211" i="21"/>
  <c r="L211" i="21"/>
  <c r="K212" i="21"/>
  <c r="L212" i="21"/>
  <c r="K213" i="21"/>
  <c r="L213" i="21"/>
  <c r="K214" i="21"/>
  <c r="L214" i="21"/>
  <c r="K215" i="21"/>
  <c r="L215" i="21"/>
  <c r="K216" i="21"/>
  <c r="L216" i="21"/>
  <c r="K217" i="21"/>
  <c r="L217" i="21"/>
  <c r="K218" i="21"/>
  <c r="L218" i="21"/>
  <c r="K219" i="21"/>
  <c r="L219" i="21"/>
  <c r="K220" i="21"/>
  <c r="L220" i="21"/>
  <c r="K221" i="21"/>
  <c r="L221" i="21"/>
  <c r="K222" i="21"/>
  <c r="L222" i="21"/>
  <c r="K223" i="21"/>
  <c r="L223" i="21"/>
  <c r="K224" i="21"/>
  <c r="L224" i="21"/>
  <c r="K225" i="21"/>
  <c r="L225" i="21"/>
  <c r="K226" i="21"/>
  <c r="L226" i="21"/>
  <c r="K227" i="21"/>
  <c r="L227" i="21"/>
  <c r="K228" i="21"/>
  <c r="L228" i="21"/>
  <c r="K229" i="21"/>
  <c r="L229" i="21"/>
  <c r="K230" i="21"/>
  <c r="L230" i="21"/>
  <c r="K231" i="21"/>
  <c r="L231" i="21"/>
  <c r="K232" i="21"/>
  <c r="L232" i="21"/>
  <c r="K233" i="21"/>
  <c r="L233" i="21"/>
  <c r="K234" i="21"/>
  <c r="L234" i="21"/>
  <c r="K235" i="21"/>
  <c r="L235" i="21"/>
  <c r="K236" i="21"/>
  <c r="L236" i="21"/>
  <c r="K237" i="21"/>
  <c r="L237" i="21"/>
  <c r="K238" i="21"/>
  <c r="L238" i="21"/>
  <c r="K239" i="21"/>
  <c r="L239" i="21"/>
  <c r="K240" i="21"/>
  <c r="L240" i="21"/>
  <c r="K241" i="21"/>
  <c r="L241" i="21"/>
  <c r="K242" i="21"/>
  <c r="L242" i="21"/>
  <c r="K243" i="21"/>
  <c r="L243" i="21"/>
  <c r="K244" i="21"/>
  <c r="L244" i="21"/>
  <c r="K245" i="21"/>
  <c r="L245" i="21"/>
  <c r="K246" i="21"/>
  <c r="L246" i="21"/>
  <c r="K247" i="21"/>
  <c r="L247" i="21"/>
  <c r="K248" i="21"/>
  <c r="L248" i="21"/>
  <c r="K249" i="21"/>
  <c r="L249" i="21"/>
  <c r="K250" i="21"/>
  <c r="L250" i="21"/>
  <c r="K251" i="21"/>
  <c r="L251" i="21"/>
  <c r="K252" i="21"/>
  <c r="L252" i="21"/>
  <c r="K253" i="21"/>
  <c r="L253" i="21"/>
  <c r="K254" i="21"/>
  <c r="L254" i="21"/>
  <c r="K255" i="21"/>
  <c r="L255" i="21"/>
  <c r="K256" i="21"/>
  <c r="L256" i="21"/>
  <c r="K257" i="21"/>
  <c r="L257" i="21"/>
  <c r="K258" i="21"/>
  <c r="L258" i="21"/>
  <c r="K259" i="21"/>
  <c r="L259" i="21"/>
  <c r="K260" i="21"/>
  <c r="L260" i="21"/>
  <c r="K261" i="21"/>
  <c r="L261" i="21"/>
  <c r="K262" i="21"/>
  <c r="L262" i="21"/>
  <c r="K263" i="21"/>
  <c r="L263" i="21"/>
  <c r="K264" i="21"/>
  <c r="L264" i="21"/>
  <c r="K265" i="21"/>
  <c r="L265" i="21"/>
  <c r="K266" i="21"/>
  <c r="L266" i="21"/>
  <c r="K267" i="21"/>
  <c r="L267" i="21"/>
  <c r="K268" i="21"/>
  <c r="L268" i="21"/>
  <c r="K269" i="21"/>
  <c r="L269" i="21"/>
  <c r="K270" i="21"/>
  <c r="L270" i="21"/>
  <c r="K271" i="21"/>
  <c r="L271" i="21"/>
  <c r="K272" i="21"/>
  <c r="L272" i="21"/>
  <c r="K273" i="21"/>
  <c r="L273" i="21"/>
  <c r="K274" i="21"/>
  <c r="L274" i="21"/>
  <c r="K275" i="21"/>
  <c r="L275" i="21"/>
  <c r="K276" i="21"/>
  <c r="L276" i="21"/>
  <c r="K277" i="21"/>
  <c r="L277" i="21"/>
  <c r="K278" i="21"/>
  <c r="L278" i="21"/>
  <c r="K279" i="21"/>
  <c r="L279" i="21"/>
  <c r="K280" i="21"/>
  <c r="L280" i="21"/>
  <c r="K281" i="21"/>
  <c r="L281" i="21"/>
  <c r="K282" i="21"/>
  <c r="L282" i="21"/>
  <c r="K283" i="21"/>
  <c r="L283" i="21"/>
  <c r="K284" i="21"/>
  <c r="L284" i="21"/>
  <c r="K285" i="21"/>
  <c r="L285" i="21"/>
  <c r="K286" i="21"/>
  <c r="L286" i="21"/>
  <c r="K287" i="21"/>
  <c r="L287" i="21"/>
  <c r="K288" i="21"/>
  <c r="L288" i="21"/>
  <c r="K289" i="21"/>
  <c r="L289" i="21"/>
  <c r="K290" i="21"/>
  <c r="L290" i="21"/>
  <c r="K291" i="21"/>
  <c r="L291" i="21"/>
  <c r="K292" i="21"/>
  <c r="L292" i="21"/>
  <c r="K293" i="21"/>
  <c r="L293" i="21"/>
  <c r="K294" i="21"/>
  <c r="L294" i="21"/>
  <c r="K295" i="21"/>
  <c r="L295" i="21"/>
  <c r="K296" i="21"/>
  <c r="L296" i="21"/>
  <c r="K297" i="21"/>
  <c r="L297" i="21"/>
  <c r="K298" i="21"/>
  <c r="L298" i="21"/>
  <c r="K299" i="21"/>
  <c r="L299" i="21"/>
  <c r="K300" i="21"/>
  <c r="L300" i="21"/>
  <c r="K301" i="21"/>
  <c r="L301" i="21"/>
  <c r="K302" i="21"/>
  <c r="L302" i="21"/>
  <c r="K303" i="21"/>
  <c r="L303" i="21"/>
  <c r="K304" i="21"/>
  <c r="L304" i="21"/>
  <c r="K305" i="21"/>
  <c r="L305" i="21"/>
  <c r="K306" i="21"/>
  <c r="L306" i="21"/>
  <c r="K307" i="21"/>
  <c r="L307" i="21"/>
  <c r="K308" i="21"/>
  <c r="L308" i="21"/>
  <c r="K309" i="21"/>
  <c r="L309" i="21"/>
  <c r="K310" i="21"/>
  <c r="L310" i="21"/>
  <c r="K311" i="21"/>
  <c r="L311" i="21"/>
  <c r="K312" i="21"/>
  <c r="L312" i="21"/>
  <c r="K313" i="21"/>
  <c r="L313" i="21"/>
  <c r="K314" i="21"/>
  <c r="L314" i="21"/>
  <c r="K315" i="21"/>
  <c r="L315" i="21"/>
  <c r="K316" i="21"/>
  <c r="L316" i="21"/>
  <c r="K317" i="21"/>
  <c r="L317" i="21"/>
  <c r="K318" i="21"/>
  <c r="L318" i="21"/>
  <c r="K319" i="21"/>
  <c r="L319" i="21"/>
  <c r="K320" i="21"/>
  <c r="L320" i="21"/>
  <c r="K321" i="21"/>
  <c r="L321" i="21"/>
  <c r="K322" i="21"/>
  <c r="L322" i="21"/>
  <c r="K323" i="21"/>
  <c r="L323" i="21"/>
  <c r="K324" i="21"/>
  <c r="L324" i="21"/>
  <c r="K325" i="21"/>
  <c r="L325" i="21"/>
  <c r="K326" i="21"/>
  <c r="L326" i="21"/>
  <c r="K327" i="21"/>
  <c r="L327" i="21"/>
  <c r="K328" i="21"/>
  <c r="L328" i="21"/>
  <c r="K329" i="21"/>
  <c r="L329" i="21"/>
  <c r="K330" i="21"/>
  <c r="L330" i="21"/>
  <c r="K331" i="21"/>
  <c r="L331" i="21"/>
  <c r="K332" i="21"/>
  <c r="L332" i="21"/>
  <c r="K333" i="21"/>
  <c r="L333" i="21"/>
  <c r="K334" i="21"/>
  <c r="L334" i="21"/>
  <c r="K335" i="21"/>
  <c r="L335" i="21"/>
  <c r="K336" i="21"/>
  <c r="L336" i="21"/>
  <c r="K337" i="21"/>
  <c r="L337" i="21"/>
  <c r="K338" i="21"/>
  <c r="L338" i="21"/>
  <c r="K339" i="21"/>
  <c r="L339" i="21"/>
  <c r="K340" i="21"/>
  <c r="L340" i="21"/>
  <c r="K341" i="21"/>
  <c r="L341" i="21"/>
  <c r="K342" i="21"/>
  <c r="L342" i="21"/>
  <c r="K343" i="21"/>
  <c r="L343" i="21"/>
  <c r="K344" i="21"/>
  <c r="L344" i="21"/>
  <c r="K345" i="21"/>
  <c r="L345" i="21"/>
  <c r="K346" i="21"/>
  <c r="L346" i="21"/>
  <c r="K347" i="21"/>
  <c r="L347" i="21"/>
  <c r="K348" i="21"/>
  <c r="L348" i="21"/>
  <c r="K349" i="21"/>
  <c r="L349" i="21"/>
  <c r="K350" i="21"/>
  <c r="L350" i="21"/>
  <c r="K351" i="21"/>
  <c r="L351" i="21"/>
  <c r="K352" i="21"/>
  <c r="L352" i="21"/>
  <c r="K353" i="21"/>
  <c r="L353" i="21"/>
  <c r="K354" i="21"/>
  <c r="L354" i="21"/>
  <c r="K355" i="21"/>
  <c r="L355" i="21"/>
  <c r="K356" i="21"/>
  <c r="L356" i="21"/>
  <c r="K357" i="21"/>
  <c r="L357" i="21"/>
  <c r="K358" i="21"/>
  <c r="L358" i="21"/>
  <c r="K359" i="21"/>
  <c r="L359" i="21"/>
  <c r="K360" i="21"/>
  <c r="L360" i="21"/>
  <c r="K361" i="21"/>
  <c r="L361" i="21"/>
  <c r="K362" i="21"/>
  <c r="L362" i="21"/>
  <c r="K363" i="21"/>
  <c r="L363" i="21"/>
  <c r="K364" i="21"/>
  <c r="L364" i="21"/>
  <c r="K365" i="21"/>
  <c r="L365" i="21"/>
  <c r="K366" i="21"/>
  <c r="L366" i="21"/>
  <c r="K367" i="21"/>
  <c r="L367" i="21"/>
  <c r="K368" i="21"/>
  <c r="L368" i="21"/>
  <c r="K369" i="21"/>
  <c r="L369" i="21"/>
  <c r="K370" i="21"/>
  <c r="L370" i="21"/>
  <c r="K371" i="21"/>
  <c r="L371" i="21"/>
  <c r="K372" i="21"/>
  <c r="L372" i="21"/>
  <c r="K373" i="21"/>
  <c r="L373" i="21"/>
  <c r="K374" i="21"/>
  <c r="L374" i="21"/>
  <c r="K375" i="21"/>
  <c r="L375" i="21"/>
  <c r="K376" i="21"/>
  <c r="L376" i="21"/>
  <c r="K377" i="21"/>
  <c r="L377" i="21"/>
  <c r="K378" i="21"/>
  <c r="L378" i="21"/>
  <c r="K379" i="21"/>
  <c r="L379" i="21"/>
  <c r="K380" i="21"/>
  <c r="L380" i="21"/>
  <c r="K381" i="21"/>
  <c r="L381" i="21"/>
  <c r="K382" i="21"/>
  <c r="L382" i="21"/>
  <c r="K383" i="21"/>
  <c r="L383" i="21"/>
  <c r="K384" i="21"/>
  <c r="L384" i="21"/>
  <c r="K385" i="21"/>
  <c r="L385" i="21"/>
  <c r="K386" i="21"/>
  <c r="L386" i="21"/>
  <c r="K387" i="21"/>
  <c r="L387" i="21"/>
  <c r="K388" i="21"/>
  <c r="L388" i="21"/>
  <c r="K389" i="21"/>
  <c r="L389" i="21"/>
  <c r="K390" i="21"/>
  <c r="L390" i="21"/>
  <c r="K391" i="21"/>
  <c r="L391" i="21"/>
  <c r="K392" i="21"/>
  <c r="L392" i="21"/>
  <c r="K393" i="21"/>
  <c r="L393" i="21"/>
  <c r="K394" i="21"/>
  <c r="L394" i="21"/>
  <c r="K395" i="21"/>
  <c r="L395" i="21"/>
  <c r="K396" i="21"/>
  <c r="L396" i="21"/>
  <c r="K397" i="21"/>
  <c r="L397" i="21"/>
  <c r="K398" i="21"/>
  <c r="L398" i="21"/>
  <c r="K399" i="21"/>
  <c r="L399" i="21"/>
  <c r="K400" i="21"/>
  <c r="L400" i="21"/>
  <c r="K401" i="21"/>
  <c r="L401" i="21"/>
  <c r="K402" i="21"/>
  <c r="L402" i="21"/>
  <c r="K403" i="21"/>
  <c r="L403" i="21"/>
  <c r="K404" i="21"/>
  <c r="L404" i="21"/>
  <c r="K405" i="21"/>
  <c r="L405" i="21"/>
  <c r="K406" i="21"/>
  <c r="L406" i="21"/>
  <c r="K407" i="21"/>
  <c r="L407" i="21"/>
  <c r="K408" i="21"/>
  <c r="L408" i="21"/>
  <c r="K409" i="21"/>
  <c r="L409" i="21"/>
  <c r="K410" i="21"/>
  <c r="L410" i="21"/>
  <c r="K411" i="21"/>
  <c r="L411" i="21"/>
  <c r="K412" i="21"/>
  <c r="L412" i="21"/>
  <c r="K413" i="21"/>
  <c r="L413" i="21"/>
  <c r="K414" i="21"/>
  <c r="L414" i="21"/>
  <c r="K415" i="21"/>
  <c r="L415" i="21"/>
  <c r="K416" i="21"/>
  <c r="L416" i="21"/>
  <c r="K417" i="21"/>
  <c r="L417" i="21"/>
  <c r="K418" i="21"/>
  <c r="L418" i="21"/>
  <c r="K419" i="21"/>
  <c r="L419" i="21"/>
  <c r="K420" i="21"/>
  <c r="L420" i="21"/>
  <c r="K421" i="21"/>
  <c r="L421" i="21"/>
  <c r="K422" i="21"/>
  <c r="L422" i="21"/>
  <c r="K423" i="21"/>
  <c r="L423" i="21"/>
  <c r="K424" i="21"/>
  <c r="L424" i="21"/>
  <c r="K425" i="21"/>
  <c r="L425" i="21"/>
  <c r="K426" i="21"/>
  <c r="L426" i="21"/>
  <c r="K427" i="21"/>
  <c r="L427" i="21"/>
  <c r="K428" i="21"/>
  <c r="L428" i="21"/>
  <c r="K429" i="21"/>
  <c r="L429" i="21"/>
  <c r="K430" i="21"/>
  <c r="L430" i="21"/>
  <c r="K431" i="21"/>
  <c r="L431" i="21"/>
  <c r="K432" i="21"/>
  <c r="L432" i="21"/>
  <c r="K433" i="21"/>
  <c r="L433" i="21"/>
  <c r="K434" i="21"/>
  <c r="L434" i="21"/>
  <c r="K435" i="21"/>
  <c r="L435" i="21"/>
  <c r="K436" i="21"/>
  <c r="L436" i="21"/>
  <c r="K437" i="21"/>
  <c r="L437" i="21"/>
  <c r="K438" i="21"/>
  <c r="L438" i="21"/>
  <c r="K439" i="21"/>
  <c r="L439" i="21"/>
  <c r="K440" i="21"/>
  <c r="L440" i="21"/>
  <c r="K441" i="21"/>
  <c r="L441" i="21"/>
  <c r="K442" i="21"/>
  <c r="L442" i="21"/>
  <c r="K443" i="21"/>
  <c r="L443" i="21"/>
  <c r="K444" i="21"/>
  <c r="L444" i="21"/>
  <c r="K445" i="21"/>
  <c r="L445" i="21"/>
  <c r="K446" i="21"/>
  <c r="L446" i="21"/>
  <c r="K447" i="21"/>
  <c r="L447" i="21"/>
  <c r="K448" i="21"/>
  <c r="L448" i="21"/>
  <c r="K449" i="21"/>
  <c r="L449" i="21"/>
  <c r="K450" i="21"/>
  <c r="L450" i="21"/>
  <c r="K451" i="21"/>
  <c r="L451" i="21"/>
  <c r="K452" i="21"/>
  <c r="L452" i="21"/>
  <c r="K453" i="21"/>
  <c r="L453" i="21"/>
  <c r="K454" i="21"/>
  <c r="L454" i="21"/>
  <c r="K455" i="21"/>
  <c r="L455" i="21"/>
  <c r="K456" i="21"/>
  <c r="L456" i="21"/>
  <c r="K457" i="21"/>
  <c r="L457" i="21"/>
  <c r="K458" i="21"/>
  <c r="L458" i="21"/>
  <c r="K459" i="21"/>
  <c r="L459" i="21"/>
  <c r="K460" i="21"/>
  <c r="L460" i="21"/>
  <c r="K461" i="21"/>
  <c r="L461" i="21"/>
  <c r="K462" i="21"/>
  <c r="L462" i="21"/>
  <c r="K463" i="21"/>
  <c r="L463" i="21"/>
  <c r="K464" i="21"/>
  <c r="L464" i="21"/>
  <c r="K465" i="21"/>
  <c r="L465" i="21"/>
  <c r="K466" i="21"/>
  <c r="L466" i="21"/>
  <c r="K467" i="21"/>
  <c r="L467" i="21"/>
  <c r="K468" i="21"/>
  <c r="L468" i="21"/>
  <c r="K469" i="21"/>
  <c r="L469" i="21"/>
  <c r="K470" i="21"/>
  <c r="L470" i="21"/>
  <c r="K471" i="21"/>
  <c r="L471" i="21"/>
  <c r="K472" i="21"/>
  <c r="L472" i="21"/>
  <c r="K473" i="21"/>
  <c r="L473" i="21"/>
  <c r="K474" i="21"/>
  <c r="L474" i="21"/>
  <c r="K475" i="21"/>
  <c r="L475" i="21"/>
  <c r="K476" i="21"/>
  <c r="L476" i="21"/>
  <c r="K477" i="21"/>
  <c r="L477" i="21"/>
  <c r="K478" i="21"/>
  <c r="L478" i="21"/>
  <c r="K479" i="21"/>
  <c r="L479" i="21"/>
  <c r="K480" i="21"/>
  <c r="L480" i="21"/>
  <c r="K481" i="21"/>
  <c r="L481" i="21"/>
  <c r="K482" i="21"/>
  <c r="L482" i="21"/>
  <c r="K483" i="21"/>
  <c r="L483" i="21"/>
  <c r="K484" i="21"/>
  <c r="L484" i="21"/>
  <c r="K485" i="21"/>
  <c r="L485" i="21"/>
  <c r="K486" i="21"/>
  <c r="L486" i="21"/>
  <c r="K487" i="21"/>
  <c r="L487" i="21"/>
  <c r="K488" i="21"/>
  <c r="L488" i="21"/>
  <c r="K489" i="21"/>
  <c r="L489" i="21"/>
  <c r="K490" i="21"/>
  <c r="L490" i="21"/>
  <c r="K491" i="21"/>
  <c r="L491" i="21"/>
  <c r="K492" i="21"/>
  <c r="L492" i="21"/>
  <c r="K493" i="21"/>
  <c r="L493" i="21"/>
  <c r="K494" i="21"/>
  <c r="L494" i="21"/>
  <c r="K495" i="21"/>
  <c r="L495" i="21"/>
  <c r="K496" i="21"/>
  <c r="L496" i="21"/>
  <c r="K497" i="21"/>
  <c r="L497" i="21"/>
  <c r="K498" i="21"/>
  <c r="L498" i="21"/>
  <c r="K499" i="21"/>
  <c r="L499" i="21"/>
  <c r="K500" i="21"/>
  <c r="L500" i="21"/>
  <c r="K501" i="21"/>
  <c r="L501" i="21"/>
  <c r="K502" i="21"/>
  <c r="L502" i="21"/>
  <c r="K503" i="21"/>
  <c r="L503" i="21"/>
  <c r="K504" i="21"/>
  <c r="L504" i="21"/>
  <c r="K505" i="21"/>
  <c r="L505" i="21"/>
  <c r="K506" i="21"/>
  <c r="L506" i="21"/>
  <c r="K507" i="21"/>
  <c r="L507" i="21"/>
  <c r="K508" i="21"/>
  <c r="L508" i="21"/>
  <c r="K509" i="21"/>
  <c r="L509" i="21"/>
  <c r="K510" i="21"/>
  <c r="L510" i="21"/>
  <c r="K511" i="21"/>
  <c r="L511" i="21"/>
  <c r="K512" i="21"/>
  <c r="L512" i="21"/>
  <c r="K513" i="21"/>
  <c r="L513" i="21"/>
  <c r="K514" i="21"/>
  <c r="L514" i="21"/>
  <c r="K515" i="21"/>
  <c r="L515" i="21"/>
  <c r="K516" i="21"/>
  <c r="L516" i="21"/>
  <c r="K517" i="21"/>
  <c r="L517" i="21"/>
  <c r="K518" i="21"/>
  <c r="L518" i="21"/>
  <c r="K519" i="21"/>
  <c r="L519" i="21"/>
  <c r="K520" i="21"/>
  <c r="L520" i="21"/>
  <c r="K521" i="21"/>
  <c r="L521" i="21"/>
  <c r="K522" i="21"/>
  <c r="L522" i="21"/>
  <c r="K523" i="21"/>
  <c r="L523" i="21"/>
  <c r="K524" i="21"/>
  <c r="L524" i="21"/>
  <c r="K525" i="21"/>
  <c r="L525" i="21"/>
  <c r="K526" i="21"/>
  <c r="L526" i="21"/>
  <c r="K527" i="21"/>
  <c r="L527" i="21"/>
  <c r="K528" i="21"/>
  <c r="L528" i="21"/>
  <c r="K529" i="21"/>
  <c r="L529" i="21"/>
  <c r="K530" i="21"/>
  <c r="L530" i="21"/>
  <c r="K531" i="21"/>
  <c r="L531" i="21"/>
  <c r="K532" i="21"/>
  <c r="L532" i="21"/>
  <c r="K533" i="21"/>
  <c r="L533" i="21"/>
  <c r="K534" i="21"/>
  <c r="L534" i="21"/>
  <c r="K535" i="21"/>
  <c r="L535" i="21"/>
  <c r="K536" i="21"/>
  <c r="L536" i="21"/>
  <c r="K537" i="21"/>
  <c r="L537" i="21"/>
  <c r="K538" i="21"/>
  <c r="L538" i="21"/>
  <c r="K539" i="21"/>
  <c r="L539" i="21"/>
  <c r="K540" i="21"/>
  <c r="L540" i="21"/>
  <c r="K541" i="21"/>
  <c r="L541" i="21"/>
  <c r="K542" i="21"/>
  <c r="L542" i="21"/>
  <c r="K543" i="21"/>
  <c r="L543" i="21"/>
  <c r="K544" i="21"/>
  <c r="L544" i="21"/>
  <c r="K545" i="21"/>
  <c r="L545" i="21"/>
  <c r="K546" i="21"/>
  <c r="L546" i="21"/>
  <c r="K547" i="21"/>
  <c r="L547" i="21"/>
  <c r="K548" i="21"/>
  <c r="L548" i="21"/>
  <c r="K549" i="21"/>
  <c r="L549" i="21"/>
  <c r="K550" i="21"/>
  <c r="L550" i="21"/>
  <c r="K551" i="21"/>
  <c r="L551" i="21"/>
  <c r="K552" i="21"/>
  <c r="L552" i="21"/>
  <c r="K553" i="21"/>
  <c r="L553" i="21"/>
  <c r="K554" i="21"/>
  <c r="L554" i="21"/>
  <c r="K555" i="21"/>
  <c r="L555" i="21"/>
  <c r="K556" i="21"/>
  <c r="L556" i="21"/>
  <c r="K557" i="21"/>
  <c r="L557" i="21"/>
  <c r="K558" i="21"/>
  <c r="L558" i="21"/>
  <c r="K559" i="21"/>
  <c r="L559" i="21"/>
  <c r="K560" i="21"/>
  <c r="L560" i="21"/>
  <c r="K561" i="21"/>
  <c r="L561" i="21"/>
  <c r="K562" i="21"/>
  <c r="L562" i="21"/>
  <c r="K563" i="21"/>
  <c r="L563" i="21"/>
  <c r="K564" i="21"/>
  <c r="L564" i="21"/>
  <c r="K565" i="21"/>
  <c r="L565" i="21"/>
  <c r="K566" i="21"/>
  <c r="L566" i="21"/>
  <c r="K567" i="21"/>
  <c r="L567" i="21"/>
  <c r="K568" i="21"/>
  <c r="L568" i="21"/>
  <c r="K569" i="21"/>
  <c r="L569" i="21"/>
  <c r="K570" i="21"/>
  <c r="L570" i="21"/>
  <c r="K571" i="21"/>
  <c r="L571" i="21"/>
  <c r="K572" i="21"/>
  <c r="L572" i="21"/>
  <c r="K573" i="21"/>
  <c r="L573" i="21"/>
  <c r="K574" i="21"/>
  <c r="L574" i="21"/>
  <c r="K575" i="21"/>
  <c r="L575" i="21"/>
  <c r="K576" i="21"/>
  <c r="L576" i="21"/>
  <c r="K577" i="21"/>
  <c r="L577" i="21"/>
  <c r="K578" i="21"/>
  <c r="L578" i="21"/>
  <c r="K579" i="21"/>
  <c r="L579" i="21"/>
  <c r="K580" i="21"/>
  <c r="L580" i="21"/>
  <c r="K581" i="21"/>
  <c r="L581" i="21"/>
  <c r="K582" i="21"/>
  <c r="L582" i="21"/>
  <c r="K583" i="21"/>
  <c r="L583" i="21"/>
  <c r="K584" i="21"/>
  <c r="L584" i="21"/>
  <c r="K585" i="21"/>
  <c r="L585" i="21"/>
  <c r="K586" i="21"/>
  <c r="L586" i="21"/>
  <c r="K587" i="21"/>
  <c r="L587" i="21"/>
  <c r="K588" i="21"/>
  <c r="L588" i="21"/>
  <c r="K589" i="21"/>
  <c r="L589" i="21"/>
  <c r="K590" i="21"/>
  <c r="L590" i="21"/>
  <c r="K591" i="21"/>
  <c r="L591" i="21"/>
  <c r="K592" i="21"/>
  <c r="L592" i="21"/>
  <c r="K593" i="21"/>
  <c r="L593" i="21"/>
  <c r="K594" i="21"/>
  <c r="L594" i="21"/>
  <c r="K595" i="21"/>
  <c r="L595" i="21"/>
  <c r="K596" i="21"/>
  <c r="L596" i="21"/>
  <c r="K597" i="21"/>
  <c r="L597" i="21"/>
  <c r="K598" i="21"/>
  <c r="L598" i="21"/>
  <c r="K599" i="21"/>
  <c r="L599" i="21"/>
  <c r="K600" i="21"/>
  <c r="L600" i="21"/>
  <c r="K601" i="21"/>
  <c r="L601" i="21"/>
  <c r="K602" i="21"/>
  <c r="L602" i="21"/>
  <c r="K603" i="21"/>
  <c r="L603" i="21"/>
  <c r="K604" i="21"/>
  <c r="L604" i="21"/>
  <c r="K605" i="21"/>
  <c r="L605" i="21"/>
  <c r="K606" i="21"/>
  <c r="L606" i="21"/>
  <c r="K607" i="21"/>
  <c r="L607" i="21"/>
  <c r="K608" i="21"/>
  <c r="L608" i="21"/>
  <c r="K609" i="21"/>
  <c r="L609" i="21"/>
  <c r="K610" i="21"/>
  <c r="L610" i="21"/>
  <c r="K611" i="21"/>
  <c r="L611" i="21"/>
  <c r="K612" i="21"/>
  <c r="L612" i="21"/>
  <c r="K613" i="21"/>
  <c r="L613" i="21"/>
  <c r="K614" i="21"/>
  <c r="L614" i="21"/>
  <c r="K615" i="21"/>
  <c r="L615" i="21"/>
  <c r="K616" i="21"/>
  <c r="L616" i="21"/>
  <c r="K617" i="21"/>
  <c r="L617" i="21"/>
  <c r="K618" i="21"/>
  <c r="L618" i="21"/>
  <c r="K619" i="21"/>
  <c r="L619" i="21"/>
  <c r="K620" i="21"/>
  <c r="L620" i="21"/>
  <c r="K621" i="21"/>
  <c r="L621" i="21"/>
  <c r="K622" i="21"/>
  <c r="L622" i="21"/>
  <c r="K623" i="21"/>
  <c r="L623" i="21"/>
  <c r="K624" i="21"/>
  <c r="L624" i="21"/>
  <c r="K625" i="21"/>
  <c r="L625" i="21"/>
  <c r="K626" i="21"/>
  <c r="L626" i="21"/>
  <c r="K627" i="21"/>
  <c r="L627" i="21"/>
  <c r="K628" i="21"/>
  <c r="L628" i="21"/>
  <c r="K629" i="21"/>
  <c r="L629" i="21"/>
  <c r="K630" i="21"/>
  <c r="L630" i="21"/>
  <c r="K631" i="21"/>
  <c r="L631" i="21"/>
  <c r="K632" i="21"/>
  <c r="L632" i="21"/>
  <c r="K633" i="21"/>
  <c r="L633" i="21"/>
  <c r="K634" i="21"/>
  <c r="L634" i="21"/>
  <c r="K635" i="21"/>
  <c r="L635" i="21"/>
  <c r="K636" i="21"/>
  <c r="L636" i="21"/>
  <c r="K637" i="21"/>
  <c r="L637" i="21"/>
  <c r="K638" i="21"/>
  <c r="L638" i="21"/>
  <c r="K639" i="21"/>
  <c r="L639" i="21"/>
  <c r="K640" i="21"/>
  <c r="L640" i="21"/>
  <c r="K641" i="21"/>
  <c r="L641" i="21"/>
  <c r="K642" i="21"/>
  <c r="L642" i="21"/>
  <c r="K643" i="21"/>
  <c r="L643" i="21"/>
  <c r="K644" i="21"/>
  <c r="L644" i="21"/>
  <c r="K645" i="21"/>
  <c r="L645" i="21"/>
  <c r="K646" i="21"/>
  <c r="L646" i="21"/>
  <c r="K647" i="21"/>
  <c r="L647" i="21"/>
  <c r="K648" i="21"/>
  <c r="L648" i="21"/>
  <c r="K649" i="21"/>
  <c r="L649" i="21"/>
  <c r="K650" i="21"/>
  <c r="L650" i="21"/>
  <c r="K651" i="21"/>
  <c r="L651" i="21"/>
  <c r="K652" i="21"/>
  <c r="L652" i="21"/>
  <c r="K653" i="21"/>
  <c r="L653" i="21"/>
  <c r="K654" i="21"/>
  <c r="L654" i="21"/>
  <c r="K655" i="21"/>
  <c r="L655" i="21"/>
  <c r="K656" i="21"/>
  <c r="L656" i="21"/>
  <c r="K657" i="21"/>
  <c r="L657" i="21"/>
  <c r="K658" i="21"/>
  <c r="L658" i="21"/>
  <c r="K659" i="21"/>
  <c r="L659" i="21"/>
  <c r="K660" i="21"/>
  <c r="L660" i="21"/>
  <c r="K661" i="21"/>
  <c r="L661" i="21"/>
  <c r="K662" i="21"/>
  <c r="L662" i="21"/>
  <c r="K663" i="21"/>
  <c r="L663" i="21"/>
  <c r="K664" i="21"/>
  <c r="L664" i="21"/>
  <c r="K665" i="21"/>
  <c r="L665" i="21"/>
  <c r="K666" i="21"/>
  <c r="L666" i="21"/>
  <c r="K667" i="21"/>
  <c r="L667" i="21"/>
  <c r="K668" i="21"/>
  <c r="L668" i="21"/>
  <c r="K669" i="21"/>
  <c r="L669" i="21"/>
  <c r="K670" i="21"/>
  <c r="L670" i="21"/>
  <c r="K671" i="21"/>
  <c r="L671" i="21"/>
  <c r="K672" i="21"/>
  <c r="L672" i="21"/>
  <c r="K673" i="21"/>
  <c r="L673" i="21"/>
  <c r="K674" i="21"/>
  <c r="L674" i="21"/>
  <c r="K675" i="21"/>
  <c r="L675" i="21"/>
  <c r="K676" i="21"/>
  <c r="L676" i="21"/>
  <c r="K677" i="21"/>
  <c r="L677" i="21"/>
  <c r="K678" i="21"/>
  <c r="L678" i="21"/>
  <c r="K679" i="21"/>
  <c r="L679" i="21"/>
  <c r="K680" i="21"/>
  <c r="L680" i="21"/>
  <c r="K681" i="21"/>
  <c r="L681" i="21"/>
  <c r="K682" i="21"/>
  <c r="L682" i="21"/>
  <c r="K683" i="21"/>
  <c r="L683" i="21"/>
  <c r="K684" i="21"/>
  <c r="L684" i="21"/>
  <c r="K685" i="21"/>
  <c r="L685" i="21"/>
  <c r="K686" i="21"/>
  <c r="L686" i="21"/>
  <c r="K687" i="21"/>
  <c r="L687" i="21"/>
  <c r="K688" i="21"/>
  <c r="L688" i="21"/>
  <c r="K689" i="21"/>
  <c r="L689" i="21"/>
  <c r="K690" i="21"/>
  <c r="L690" i="21"/>
  <c r="K691" i="21"/>
  <c r="L691" i="21"/>
  <c r="K692" i="21"/>
  <c r="L692" i="21"/>
  <c r="K693" i="21"/>
  <c r="L693" i="21"/>
  <c r="K694" i="21"/>
  <c r="L694" i="21"/>
  <c r="K695" i="21"/>
  <c r="L695" i="21"/>
  <c r="K696" i="21"/>
  <c r="L696" i="21"/>
  <c r="K697" i="21"/>
  <c r="L697" i="21"/>
  <c r="K698" i="21"/>
  <c r="L698" i="21"/>
  <c r="K699" i="21"/>
  <c r="L699" i="21"/>
  <c r="K700" i="21"/>
  <c r="L700" i="21"/>
  <c r="K701" i="21"/>
  <c r="L701" i="21"/>
  <c r="K702" i="21"/>
  <c r="L702" i="21"/>
  <c r="K703" i="21"/>
  <c r="L703" i="21"/>
  <c r="K704" i="21"/>
  <c r="L704" i="21"/>
  <c r="K705" i="21"/>
  <c r="L705" i="21"/>
  <c r="K706" i="21"/>
  <c r="L706" i="21"/>
  <c r="K707" i="21"/>
  <c r="L707" i="21"/>
  <c r="K708" i="21"/>
  <c r="L708" i="21"/>
  <c r="K709" i="21"/>
  <c r="L709" i="21"/>
  <c r="K710" i="21"/>
  <c r="L710" i="21"/>
  <c r="K711" i="21"/>
  <c r="L711" i="21"/>
  <c r="K712" i="21"/>
  <c r="L712" i="21"/>
  <c r="K713" i="21"/>
  <c r="L713" i="21"/>
  <c r="K714" i="21"/>
  <c r="L714" i="21"/>
  <c r="K715" i="21"/>
  <c r="L715" i="21"/>
  <c r="K716" i="21"/>
  <c r="L716" i="21"/>
  <c r="K717" i="21"/>
  <c r="L717" i="21"/>
  <c r="K718" i="21"/>
  <c r="L718" i="21"/>
  <c r="K719" i="21"/>
  <c r="L719" i="21"/>
  <c r="K720" i="21"/>
  <c r="L720" i="21"/>
  <c r="K721" i="21"/>
  <c r="L721" i="21"/>
  <c r="K722" i="21"/>
  <c r="L722" i="21"/>
  <c r="K723" i="21"/>
  <c r="L723" i="21"/>
  <c r="K724" i="21"/>
  <c r="L724" i="21"/>
  <c r="K725" i="21"/>
  <c r="L725" i="21"/>
  <c r="K726" i="21"/>
  <c r="L726" i="21"/>
  <c r="K727" i="21"/>
  <c r="L727" i="21"/>
  <c r="K728" i="21"/>
  <c r="L728" i="21"/>
  <c r="K729" i="21"/>
  <c r="L729" i="21"/>
  <c r="K730" i="21"/>
  <c r="L730" i="21"/>
  <c r="K731" i="21"/>
  <c r="L731" i="21"/>
  <c r="K732" i="21"/>
  <c r="L732" i="21"/>
  <c r="K733" i="21"/>
  <c r="L733" i="21"/>
  <c r="K734" i="21"/>
  <c r="L734" i="21"/>
  <c r="K735" i="21"/>
  <c r="L735" i="21"/>
  <c r="K736" i="21"/>
  <c r="L736" i="21"/>
  <c r="K737" i="21"/>
  <c r="L737" i="21"/>
  <c r="K738" i="21"/>
  <c r="L738" i="21"/>
  <c r="K739" i="21"/>
  <c r="L739" i="21"/>
  <c r="K740" i="21"/>
  <c r="L740" i="21"/>
  <c r="K741" i="21"/>
  <c r="L741" i="21"/>
  <c r="K742" i="21"/>
  <c r="L742" i="21"/>
  <c r="K743" i="21"/>
  <c r="L743" i="21"/>
  <c r="K744" i="21"/>
  <c r="L744" i="21"/>
  <c r="K745" i="21"/>
  <c r="L745" i="21"/>
  <c r="K746" i="21"/>
  <c r="L746" i="21"/>
  <c r="K747" i="21"/>
  <c r="L747" i="21"/>
  <c r="K748" i="21"/>
  <c r="L748" i="21"/>
  <c r="K749" i="21"/>
  <c r="L749" i="21"/>
  <c r="K750" i="21"/>
  <c r="L750" i="21"/>
  <c r="K751" i="21"/>
  <c r="L751" i="21"/>
  <c r="K752" i="21"/>
  <c r="L752" i="21"/>
  <c r="K753" i="21"/>
  <c r="L753" i="21"/>
  <c r="K754" i="21"/>
  <c r="L754" i="21"/>
  <c r="K755" i="21"/>
  <c r="L755" i="21"/>
  <c r="K756" i="21"/>
  <c r="L756" i="21"/>
  <c r="K757" i="21"/>
  <c r="L757" i="21"/>
  <c r="K758" i="21"/>
  <c r="L758" i="21"/>
  <c r="K759" i="21"/>
  <c r="L759" i="21"/>
  <c r="K760" i="21"/>
  <c r="L760" i="21"/>
  <c r="K761" i="21"/>
  <c r="L761" i="21"/>
  <c r="K762" i="21"/>
  <c r="L762" i="21"/>
  <c r="K763" i="21"/>
  <c r="L763" i="21"/>
  <c r="K764" i="21"/>
  <c r="L764" i="21"/>
  <c r="K765" i="21"/>
  <c r="L765" i="21"/>
  <c r="K766" i="21"/>
  <c r="L766" i="21"/>
  <c r="K767" i="21"/>
  <c r="L767" i="21"/>
  <c r="K768" i="21"/>
  <c r="L768" i="21"/>
  <c r="K769" i="21"/>
  <c r="L769" i="21"/>
  <c r="K770" i="21"/>
  <c r="L770" i="21"/>
  <c r="K771" i="21"/>
  <c r="L771" i="21"/>
  <c r="K772" i="21"/>
  <c r="L772" i="21"/>
  <c r="K773" i="21"/>
  <c r="L773" i="21"/>
  <c r="K774" i="21"/>
  <c r="L774" i="21"/>
  <c r="K775" i="21"/>
  <c r="L775" i="21"/>
  <c r="K776" i="21"/>
  <c r="L776" i="21"/>
  <c r="K777" i="21"/>
  <c r="L777" i="21"/>
  <c r="K778" i="21"/>
  <c r="L778" i="21"/>
  <c r="K779" i="21"/>
  <c r="L779" i="21"/>
  <c r="K780" i="21"/>
  <c r="L780" i="21"/>
  <c r="K781" i="21"/>
  <c r="L781" i="21"/>
  <c r="K782" i="21"/>
  <c r="L782" i="21"/>
  <c r="K783" i="21"/>
  <c r="L783" i="21"/>
  <c r="K784" i="21"/>
  <c r="L784" i="21"/>
  <c r="K785" i="21"/>
  <c r="L785" i="21"/>
  <c r="K786" i="21"/>
  <c r="L786" i="21"/>
  <c r="K787" i="21"/>
  <c r="L787" i="21"/>
  <c r="K788" i="21"/>
  <c r="L788" i="21"/>
  <c r="K789" i="21"/>
  <c r="L789" i="21"/>
  <c r="K790" i="21"/>
  <c r="L790" i="21"/>
  <c r="K791" i="21"/>
  <c r="L791" i="21"/>
  <c r="K792" i="21"/>
  <c r="L792" i="21"/>
  <c r="K793" i="21"/>
  <c r="L793" i="21"/>
  <c r="K794" i="21"/>
  <c r="L794" i="21"/>
  <c r="K795" i="21"/>
  <c r="L795" i="21"/>
  <c r="K796" i="21"/>
  <c r="L796" i="21"/>
  <c r="K797" i="21"/>
  <c r="L797" i="21"/>
  <c r="K798" i="21"/>
  <c r="L798" i="21"/>
  <c r="K799" i="21"/>
  <c r="L799" i="21"/>
  <c r="K800" i="21"/>
  <c r="L800" i="21"/>
  <c r="K801" i="21"/>
  <c r="L801" i="21"/>
  <c r="K802" i="21"/>
  <c r="L802" i="21"/>
  <c r="K803" i="21"/>
  <c r="L803" i="21"/>
  <c r="K804" i="21"/>
  <c r="L804" i="21"/>
  <c r="K805" i="21"/>
  <c r="L805" i="21"/>
  <c r="K806" i="21"/>
  <c r="L806" i="21"/>
  <c r="K807" i="21"/>
  <c r="L807" i="21"/>
  <c r="K808" i="21"/>
  <c r="L808" i="21"/>
  <c r="K809" i="21"/>
  <c r="L809" i="21"/>
  <c r="K810" i="21"/>
  <c r="L810" i="21"/>
  <c r="K811" i="21"/>
  <c r="L811" i="21"/>
  <c r="K812" i="21"/>
  <c r="L812" i="21"/>
  <c r="K813" i="21"/>
  <c r="L813" i="21"/>
  <c r="K814" i="21"/>
  <c r="L814" i="21"/>
  <c r="K815" i="21"/>
  <c r="L815" i="21"/>
  <c r="K816" i="21"/>
  <c r="L816" i="21"/>
  <c r="K817" i="21"/>
  <c r="L817" i="21"/>
  <c r="K818" i="21"/>
  <c r="L818" i="21"/>
  <c r="K819" i="21"/>
  <c r="L819" i="21"/>
  <c r="K820" i="21"/>
  <c r="L820" i="21"/>
  <c r="K821" i="21"/>
  <c r="L821" i="21"/>
  <c r="K822" i="21"/>
  <c r="L822" i="21"/>
  <c r="K823" i="21"/>
  <c r="L823" i="21"/>
  <c r="K824" i="21"/>
  <c r="L824" i="21"/>
  <c r="K825" i="21"/>
  <c r="L825" i="21"/>
  <c r="K826" i="21"/>
  <c r="L826" i="21"/>
  <c r="K827" i="21"/>
  <c r="L827" i="21"/>
  <c r="K828" i="21"/>
  <c r="L828" i="21"/>
  <c r="K829" i="21"/>
  <c r="L829" i="21"/>
  <c r="K830" i="21"/>
  <c r="L830" i="21"/>
  <c r="K831" i="21"/>
  <c r="L831" i="21"/>
  <c r="K832" i="21"/>
  <c r="L832" i="21"/>
  <c r="K833" i="21"/>
  <c r="L833" i="21"/>
  <c r="K834" i="21"/>
  <c r="L834" i="21"/>
  <c r="K835" i="21"/>
  <c r="L835" i="21"/>
  <c r="K836" i="21"/>
  <c r="L836" i="21"/>
  <c r="K837" i="21"/>
  <c r="L837" i="21"/>
  <c r="K838" i="21"/>
  <c r="L838" i="21"/>
  <c r="K839" i="21"/>
  <c r="L839" i="21"/>
  <c r="K840" i="21"/>
  <c r="L840" i="21"/>
  <c r="K841" i="21"/>
  <c r="L841" i="21"/>
  <c r="K842" i="21"/>
  <c r="L842" i="21"/>
  <c r="K843" i="21"/>
  <c r="L843" i="21"/>
  <c r="K844" i="21"/>
  <c r="L844" i="21"/>
  <c r="K845" i="21"/>
  <c r="L845" i="21"/>
  <c r="K846" i="21"/>
  <c r="L846" i="21"/>
  <c r="K847" i="21"/>
  <c r="L847" i="21"/>
  <c r="K848" i="21"/>
  <c r="L848" i="21"/>
  <c r="K849" i="21"/>
  <c r="L849" i="21"/>
  <c r="K850" i="21"/>
  <c r="L850" i="21"/>
  <c r="K851" i="21"/>
  <c r="L851" i="21"/>
  <c r="K852" i="21"/>
  <c r="L852" i="21"/>
  <c r="K853" i="21"/>
  <c r="L853" i="21"/>
  <c r="K854" i="21"/>
  <c r="L854" i="21"/>
  <c r="K855" i="21"/>
  <c r="L855" i="21"/>
  <c r="K856" i="21"/>
  <c r="L856" i="21"/>
  <c r="K857" i="21"/>
  <c r="L857" i="21"/>
  <c r="K858" i="21"/>
  <c r="L858" i="21"/>
  <c r="K859" i="21"/>
  <c r="L859" i="21"/>
  <c r="K860" i="21"/>
  <c r="L860" i="21"/>
  <c r="K861" i="21"/>
  <c r="L861" i="21"/>
  <c r="K862" i="21"/>
  <c r="L862" i="21"/>
  <c r="K863" i="21"/>
  <c r="L863" i="21"/>
  <c r="K864" i="21"/>
  <c r="L864" i="21"/>
  <c r="K865" i="21"/>
  <c r="L865" i="21"/>
  <c r="K866" i="21"/>
  <c r="L866" i="21"/>
  <c r="K867" i="21"/>
  <c r="L867" i="21"/>
  <c r="K868" i="21"/>
  <c r="L868" i="21"/>
  <c r="K869" i="21"/>
  <c r="L869" i="21"/>
  <c r="K870" i="21"/>
  <c r="L870" i="21"/>
  <c r="K871" i="21"/>
  <c r="L871" i="21"/>
  <c r="K872" i="21"/>
  <c r="L872" i="21"/>
  <c r="K873" i="21"/>
  <c r="L873" i="21"/>
  <c r="K874" i="21"/>
  <c r="L874" i="21"/>
  <c r="K875" i="21"/>
  <c r="L875" i="21"/>
  <c r="K876" i="21"/>
  <c r="L876" i="21"/>
  <c r="K877" i="21"/>
  <c r="L877" i="21"/>
  <c r="K878" i="21"/>
  <c r="L878" i="21"/>
  <c r="K879" i="21"/>
  <c r="L879" i="21"/>
  <c r="K880" i="21"/>
  <c r="L880" i="21"/>
  <c r="K881" i="21"/>
  <c r="L881" i="21"/>
  <c r="K882" i="21"/>
  <c r="L882" i="21"/>
  <c r="K883" i="21"/>
  <c r="L883" i="21"/>
  <c r="K884" i="21"/>
  <c r="L884" i="21"/>
  <c r="K885" i="21"/>
  <c r="L885" i="21"/>
  <c r="K886" i="21"/>
  <c r="L886" i="21"/>
  <c r="K887" i="21"/>
  <c r="L887" i="21"/>
  <c r="K888" i="21"/>
  <c r="L888" i="21"/>
  <c r="K889" i="21"/>
  <c r="L889" i="21"/>
  <c r="K890" i="21"/>
  <c r="L890" i="21"/>
  <c r="K891" i="21"/>
  <c r="L891" i="21"/>
  <c r="K892" i="21"/>
  <c r="L892" i="21"/>
  <c r="K893" i="21"/>
  <c r="L893" i="21"/>
  <c r="K894" i="21"/>
  <c r="L894" i="21"/>
  <c r="K895" i="21"/>
  <c r="L895" i="21"/>
  <c r="K896" i="21"/>
  <c r="L896" i="21"/>
  <c r="K897" i="21"/>
  <c r="L897" i="21"/>
  <c r="K898" i="21"/>
  <c r="L898" i="21"/>
  <c r="K899" i="21"/>
  <c r="L899" i="21"/>
  <c r="K900" i="21"/>
  <c r="L900" i="21"/>
  <c r="K901" i="21"/>
  <c r="L901" i="21"/>
  <c r="K902" i="21"/>
  <c r="L902" i="21"/>
  <c r="K903" i="21"/>
  <c r="L903" i="21"/>
  <c r="K904" i="21"/>
  <c r="L904" i="21"/>
  <c r="K905" i="21"/>
  <c r="L905" i="21"/>
  <c r="K906" i="21"/>
  <c r="L906" i="21"/>
  <c r="K907" i="21"/>
  <c r="L907" i="21"/>
  <c r="K908" i="21"/>
  <c r="L908" i="21"/>
  <c r="K909" i="21"/>
  <c r="L909" i="21"/>
  <c r="K910" i="21"/>
  <c r="L910" i="21"/>
  <c r="K911" i="21"/>
  <c r="L911" i="21"/>
  <c r="K912" i="21"/>
  <c r="L912" i="21"/>
  <c r="K913" i="21"/>
  <c r="L913" i="21"/>
  <c r="K914" i="21"/>
  <c r="L914" i="21"/>
  <c r="K915" i="21"/>
  <c r="L915" i="21"/>
  <c r="K916" i="21"/>
  <c r="L916" i="21"/>
  <c r="K917" i="21"/>
  <c r="L917" i="21"/>
  <c r="K918" i="21"/>
  <c r="L918" i="21"/>
  <c r="K919" i="21"/>
  <c r="L919" i="21"/>
  <c r="K920" i="21"/>
  <c r="L920" i="21"/>
  <c r="K921" i="21"/>
  <c r="L921" i="21"/>
  <c r="K922" i="21"/>
  <c r="L922" i="21"/>
  <c r="K923" i="21"/>
  <c r="L923" i="21"/>
  <c r="K924" i="21"/>
  <c r="L924" i="21"/>
  <c r="K925" i="21"/>
  <c r="L925" i="21"/>
  <c r="K926" i="21"/>
  <c r="L926" i="21"/>
  <c r="K927" i="21"/>
  <c r="L927" i="21"/>
  <c r="K928" i="21"/>
  <c r="L928" i="21"/>
  <c r="K929" i="21"/>
  <c r="L929" i="21"/>
  <c r="K930" i="21"/>
  <c r="L930" i="21"/>
  <c r="K931" i="21"/>
  <c r="L931" i="21"/>
  <c r="K932" i="21"/>
  <c r="L932" i="21"/>
  <c r="K933" i="21"/>
  <c r="L933" i="21"/>
  <c r="K934" i="21"/>
  <c r="L934" i="21"/>
  <c r="K935" i="21"/>
  <c r="L935" i="21"/>
  <c r="K936" i="21"/>
  <c r="L936" i="21"/>
  <c r="K937" i="21"/>
  <c r="L937" i="21"/>
  <c r="K938" i="21"/>
  <c r="L938" i="21"/>
  <c r="K939" i="21"/>
  <c r="L939" i="21"/>
  <c r="K940" i="21"/>
  <c r="L940" i="21"/>
  <c r="K941" i="21"/>
  <c r="L941" i="21"/>
  <c r="K942" i="21"/>
  <c r="L942" i="21"/>
  <c r="K943" i="21"/>
  <c r="L943" i="21"/>
  <c r="K944" i="21"/>
  <c r="L944" i="21"/>
  <c r="K945" i="21"/>
  <c r="L945" i="21"/>
  <c r="K946" i="21"/>
  <c r="L946" i="21"/>
  <c r="K947" i="21"/>
  <c r="L947" i="21"/>
  <c r="K948" i="21"/>
  <c r="L948" i="21"/>
  <c r="K949" i="21"/>
  <c r="L949" i="21"/>
  <c r="K950" i="21"/>
  <c r="L950" i="21"/>
  <c r="K951" i="21"/>
  <c r="L951" i="21"/>
  <c r="K952" i="21"/>
  <c r="L952" i="21"/>
  <c r="K953" i="21"/>
  <c r="L953" i="21"/>
  <c r="K954" i="21"/>
  <c r="L954" i="21"/>
  <c r="K955" i="21"/>
  <c r="L955" i="21"/>
  <c r="K956" i="21"/>
  <c r="L956" i="21"/>
  <c r="K957" i="21"/>
  <c r="L957" i="21"/>
  <c r="K958" i="21"/>
  <c r="L958" i="21"/>
  <c r="K959" i="21"/>
  <c r="L959" i="21"/>
  <c r="K960" i="21"/>
  <c r="L960" i="21"/>
  <c r="K961" i="21"/>
  <c r="L961" i="21"/>
  <c r="K962" i="21"/>
  <c r="L962" i="21"/>
  <c r="K963" i="21"/>
  <c r="L963" i="21"/>
  <c r="K964" i="21"/>
  <c r="L964" i="21"/>
  <c r="K965" i="21"/>
  <c r="L965" i="21"/>
  <c r="K966" i="21"/>
  <c r="L966" i="21"/>
  <c r="K967" i="21"/>
  <c r="L967" i="21"/>
  <c r="K968" i="21"/>
  <c r="L968" i="21"/>
  <c r="K969" i="21"/>
  <c r="L969" i="21"/>
  <c r="K970" i="21"/>
  <c r="L970" i="21"/>
  <c r="K971" i="21"/>
  <c r="L971" i="21"/>
  <c r="K972" i="21"/>
  <c r="L972" i="21"/>
  <c r="K973" i="21"/>
  <c r="L973" i="21"/>
  <c r="K974" i="21"/>
  <c r="L974" i="21"/>
  <c r="K975" i="21"/>
  <c r="L975" i="21"/>
  <c r="K976" i="21"/>
  <c r="L976" i="21"/>
  <c r="K977" i="21"/>
  <c r="L977" i="21"/>
  <c r="K978" i="21"/>
  <c r="L978" i="21"/>
  <c r="K979" i="21"/>
  <c r="L979" i="21"/>
  <c r="K980" i="21"/>
  <c r="L980" i="21"/>
  <c r="K981" i="21"/>
  <c r="L981" i="21"/>
  <c r="K982" i="21"/>
  <c r="L982" i="21"/>
  <c r="K983" i="21"/>
  <c r="L983" i="21"/>
  <c r="K984" i="21"/>
  <c r="L984" i="21"/>
  <c r="K985" i="21"/>
  <c r="L985" i="21"/>
  <c r="K986" i="21"/>
  <c r="L986" i="21"/>
  <c r="K987" i="21"/>
  <c r="L987" i="21"/>
  <c r="K988" i="21"/>
  <c r="L988" i="21"/>
  <c r="K989" i="21"/>
  <c r="L989" i="21"/>
  <c r="K990" i="21"/>
  <c r="L990" i="21"/>
  <c r="K991" i="21"/>
  <c r="L991" i="21"/>
  <c r="K992" i="21"/>
  <c r="L992" i="21"/>
  <c r="K993" i="21"/>
  <c r="L993" i="21"/>
  <c r="K994" i="21"/>
  <c r="L994" i="21"/>
  <c r="K995" i="21"/>
  <c r="L995" i="21"/>
  <c r="K996" i="21"/>
  <c r="L996" i="21"/>
  <c r="K997" i="21"/>
  <c r="L997" i="21"/>
  <c r="K998" i="21"/>
  <c r="L998" i="21"/>
  <c r="K4023" i="21"/>
  <c r="L4023" i="21"/>
  <c r="K4024" i="21"/>
  <c r="L4024" i="21"/>
  <c r="K3" i="21"/>
  <c r="L3" i="21"/>
  <c r="K4" i="21"/>
  <c r="L4" i="21"/>
  <c r="J2" i="47"/>
  <c r="K2" i="47" s="1"/>
  <c r="AI208" i="23"/>
  <c r="AK208" i="23"/>
  <c r="AK216" i="23"/>
  <c r="AI216" i="23"/>
  <c r="AN216" i="23"/>
  <c r="AN215" i="23"/>
  <c r="AL215" i="23"/>
  <c r="AK215" i="23"/>
  <c r="AI215" i="23"/>
  <c r="AN214" i="23"/>
  <c r="AL214" i="23"/>
  <c r="AK214" i="23"/>
  <c r="AH214" i="23"/>
  <c r="AI214" i="23" s="1"/>
  <c r="AN213" i="23"/>
  <c r="AL213" i="23"/>
  <c r="AK213" i="23"/>
  <c r="AH213" i="23"/>
  <c r="AI213" i="23" s="1"/>
  <c r="AN212" i="23"/>
  <c r="AL212" i="23"/>
  <c r="AK212" i="23"/>
  <c r="AH212" i="23"/>
  <c r="AI212" i="23" s="1"/>
  <c r="AN211" i="23"/>
  <c r="AL211" i="23"/>
  <c r="AK211" i="23"/>
  <c r="AH211" i="23"/>
  <c r="AI211" i="23" s="1"/>
  <c r="AN210" i="23"/>
  <c r="AL210" i="23"/>
  <c r="AK210" i="23"/>
  <c r="AH210" i="23"/>
  <c r="AI210" i="23" s="1"/>
  <c r="AN209" i="23"/>
  <c r="AL209" i="23"/>
  <c r="AK209" i="23"/>
  <c r="AH209" i="23"/>
  <c r="AI209" i="23" s="1"/>
  <c r="AI28" i="23"/>
  <c r="AL28" i="23"/>
  <c r="AL27" i="23"/>
  <c r="AI26" i="23"/>
  <c r="AL26" i="23"/>
  <c r="AL25" i="23"/>
  <c r="AK24" i="23"/>
  <c r="AI24" i="23"/>
  <c r="AL24" i="23"/>
  <c r="AK23" i="23"/>
  <c r="AH23" i="23"/>
  <c r="AI23" i="23" s="1"/>
  <c r="AL23" i="23"/>
  <c r="AK22" i="23"/>
  <c r="AI22" i="23"/>
  <c r="AL22" i="23"/>
  <c r="AI21" i="23"/>
  <c r="AK21" i="23"/>
  <c r="AK28" i="23"/>
  <c r="AK27" i="23"/>
  <c r="AK26" i="23"/>
  <c r="AK25" i="23"/>
  <c r="AI25" i="23"/>
  <c r="AM22" i="23"/>
  <c r="AO22" i="23" s="1"/>
  <c r="AM23" i="23"/>
  <c r="AO23" i="23" s="1"/>
  <c r="AM24" i="23"/>
  <c r="AO24" i="23" s="1"/>
  <c r="AM25" i="23"/>
  <c r="AO25" i="23" s="1"/>
  <c r="AM26" i="23"/>
  <c r="AO26" i="23" s="1"/>
  <c r="AM27" i="23"/>
  <c r="AO27" i="23" s="1"/>
  <c r="AM28" i="23"/>
  <c r="AO28" i="23" s="1"/>
  <c r="AI29" i="23"/>
  <c r="AI32" i="23"/>
  <c r="AK32" i="23"/>
  <c r="AL35" i="23"/>
  <c r="AM35" i="23"/>
  <c r="AO35" i="23" s="1"/>
  <c r="AL38" i="23"/>
  <c r="AM38" i="23"/>
  <c r="AO38" i="23" s="1"/>
  <c r="AH37" i="23"/>
  <c r="AI37" i="23" s="1"/>
  <c r="AL37" i="23"/>
  <c r="AM37" i="23"/>
  <c r="AO37" i="23" s="1"/>
  <c r="AP22" i="18"/>
  <c r="AO22" i="18"/>
  <c r="AN22" i="18"/>
  <c r="AM22" i="18"/>
  <c r="AL22" i="18"/>
  <c r="AK22" i="18"/>
  <c r="AJ22" i="18"/>
  <c r="AI22" i="18"/>
  <c r="AH22" i="18"/>
  <c r="AG22" i="18"/>
  <c r="AP20" i="18"/>
  <c r="AO20" i="18"/>
  <c r="AN20" i="18"/>
  <c r="AM20" i="18"/>
  <c r="AL20" i="18"/>
  <c r="AK20" i="18"/>
  <c r="AJ20" i="18"/>
  <c r="AI20" i="18"/>
  <c r="AH20" i="18"/>
  <c r="AG20" i="18"/>
  <c r="B5" i="19"/>
  <c r="C5" i="19"/>
  <c r="D5" i="19"/>
  <c r="E5" i="19"/>
  <c r="F5" i="19"/>
  <c r="G5" i="19"/>
  <c r="H5" i="19"/>
  <c r="I5" i="19"/>
  <c r="J5" i="19"/>
  <c r="K5" i="19"/>
  <c r="L5" i="19"/>
  <c r="M5" i="19"/>
  <c r="N5" i="19"/>
  <c r="FV5" i="19"/>
  <c r="FF5" i="19"/>
  <c r="EP5" i="19"/>
  <c r="DZ5" i="19"/>
  <c r="DJ5" i="19"/>
  <c r="CT5" i="19"/>
  <c r="CD5" i="19"/>
  <c r="BN5" i="19"/>
  <c r="AX5" i="19"/>
  <c r="AH5" i="19"/>
  <c r="R5" i="19"/>
  <c r="S5" i="19"/>
  <c r="T5" i="19"/>
  <c r="U5" i="19"/>
  <c r="V5" i="19"/>
  <c r="W5" i="19"/>
  <c r="X5" i="19"/>
  <c r="Y5" i="19"/>
  <c r="Z5" i="19"/>
  <c r="AA5" i="19"/>
  <c r="AB5" i="19"/>
  <c r="AC5" i="19"/>
  <c r="AD5" i="19"/>
  <c r="BD22" i="18"/>
  <c r="BC22" i="18"/>
  <c r="BB22" i="18"/>
  <c r="BA22" i="18"/>
  <c r="AX22" i="18"/>
  <c r="BD20" i="18"/>
  <c r="BC20" i="18"/>
  <c r="BB20" i="18"/>
  <c r="BA20" i="18"/>
  <c r="AX20" i="18"/>
  <c r="AI5" i="19"/>
  <c r="AJ5" i="19"/>
  <c r="AK5" i="19"/>
  <c r="AL5" i="19"/>
  <c r="AM5" i="19"/>
  <c r="AN5" i="19"/>
  <c r="AO5" i="19"/>
  <c r="AP5" i="19"/>
  <c r="AQ5" i="19"/>
  <c r="AR5" i="19"/>
  <c r="AS5" i="19"/>
  <c r="AT5" i="19"/>
  <c r="AI219" i="23"/>
  <c r="AK219" i="23"/>
  <c r="AK226" i="23"/>
  <c r="AI226" i="23"/>
  <c r="AI229" i="23"/>
  <c r="AK229" i="23"/>
  <c r="AK235" i="23"/>
  <c r="AH235" i="23"/>
  <c r="AI235" i="23" s="1"/>
  <c r="AI238" i="23"/>
  <c r="AK238" i="23"/>
  <c r="AK243" i="23"/>
  <c r="AH243" i="23"/>
  <c r="AI243" i="23" s="1"/>
  <c r="AI246" i="23"/>
  <c r="AK246" i="23"/>
  <c r="AK250" i="23"/>
  <c r="AH250" i="23"/>
  <c r="AI250" i="23" s="1"/>
  <c r="AI253" i="23"/>
  <c r="AK253" i="23"/>
  <c r="AK256" i="23"/>
  <c r="AH256" i="23"/>
  <c r="AI256" i="23" s="1"/>
  <c r="AI259" i="23"/>
  <c r="AK259" i="23"/>
  <c r="AK261" i="23"/>
  <c r="AH261" i="23"/>
  <c r="AI261" i="23" s="1"/>
  <c r="AI264" i="23"/>
  <c r="AK264" i="23"/>
  <c r="AK265" i="23"/>
  <c r="AH265" i="23"/>
  <c r="AI265" i="23" s="1"/>
  <c r="G14" i="42"/>
  <c r="H14" i="42" s="1"/>
  <c r="BR22" i="18"/>
  <c r="BR20" i="18"/>
  <c r="K2" i="21"/>
  <c r="F48" i="27"/>
  <c r="G48" i="27" s="1"/>
  <c r="F49" i="27"/>
  <c r="F50" i="27"/>
  <c r="F51" i="27"/>
  <c r="G51" i="27" s="1"/>
  <c r="F52" i="27"/>
  <c r="G52" i="27" s="1"/>
  <c r="F53" i="27"/>
  <c r="G53" i="27" s="1"/>
  <c r="F54" i="27"/>
  <c r="G54" i="27" s="1"/>
  <c r="F55" i="27"/>
  <c r="I55" i="27" s="1"/>
  <c r="F56" i="27"/>
  <c r="G56" i="27" s="1"/>
  <c r="F57" i="27"/>
  <c r="F58" i="27"/>
  <c r="F59" i="27"/>
  <c r="G59" i="27" s="1"/>
  <c r="F60" i="27"/>
  <c r="G60" i="27" s="1"/>
  <c r="F61" i="27"/>
  <c r="G61" i="27" s="1"/>
  <c r="F62" i="27"/>
  <c r="F63" i="27"/>
  <c r="G63" i="27" s="1"/>
  <c r="F64" i="27"/>
  <c r="G64" i="27" s="1"/>
  <c r="F65" i="27"/>
  <c r="F33" i="12"/>
  <c r="G33" i="12" s="1"/>
  <c r="F34" i="12"/>
  <c r="F35" i="12"/>
  <c r="F36" i="12"/>
  <c r="F37" i="12"/>
  <c r="F38" i="12"/>
  <c r="F39" i="12"/>
  <c r="F40" i="12"/>
  <c r="F41" i="12"/>
  <c r="F42" i="12"/>
  <c r="F43" i="12"/>
  <c r="F44" i="12"/>
  <c r="F45" i="12"/>
  <c r="G45" i="12" s="1"/>
  <c r="F46" i="12"/>
  <c r="F47" i="12"/>
  <c r="F48" i="12"/>
  <c r="F49" i="12"/>
  <c r="F50" i="12"/>
  <c r="L3" i="47"/>
  <c r="J3" i="47"/>
  <c r="K3" i="47" s="1"/>
  <c r="L4" i="47"/>
  <c r="J4" i="47"/>
  <c r="K4" i="47" s="1"/>
  <c r="Y4" i="47" s="1"/>
  <c r="J5" i="47"/>
  <c r="K5" i="47" s="1"/>
  <c r="Y5" i="47" s="1"/>
  <c r="J6" i="47"/>
  <c r="K6" i="47" s="1"/>
  <c r="J7" i="47"/>
  <c r="K7" i="47" s="1"/>
  <c r="J8" i="47"/>
  <c r="K8" i="47" s="1"/>
  <c r="Y8" i="47" s="1"/>
  <c r="J9" i="47"/>
  <c r="K9" i="47" s="1"/>
  <c r="Y9" i="47" s="1"/>
  <c r="J10" i="47"/>
  <c r="J11" i="47"/>
  <c r="K11" i="47" s="1"/>
  <c r="J12" i="47"/>
  <c r="K12" i="47" s="1"/>
  <c r="Y12" i="47" s="1"/>
  <c r="J13" i="47"/>
  <c r="K13" i="47" s="1"/>
  <c r="Y13" i="47" s="1"/>
  <c r="J14" i="47"/>
  <c r="K14" i="47" s="1"/>
  <c r="Y14" i="47" s="1"/>
  <c r="J15" i="47"/>
  <c r="K15" i="47" s="1"/>
  <c r="J16" i="47"/>
  <c r="K16" i="47" s="1"/>
  <c r="J17" i="47"/>
  <c r="K17" i="47" s="1"/>
  <c r="Y17" i="47" s="1"/>
  <c r="J18" i="47"/>
  <c r="K18" i="47" s="1"/>
  <c r="Y18" i="47" s="1"/>
  <c r="J19" i="47"/>
  <c r="K19" i="47" s="1"/>
  <c r="Y19" i="47" s="1"/>
  <c r="J20" i="47"/>
  <c r="K20" i="47" s="1"/>
  <c r="Y20" i="47" s="1"/>
  <c r="J21" i="47"/>
  <c r="K21" i="47" s="1"/>
  <c r="Y21" i="47" s="1"/>
  <c r="J22" i="47"/>
  <c r="K22" i="47" s="1"/>
  <c r="Y22" i="47" s="1"/>
  <c r="J23" i="47"/>
  <c r="K23" i="47" s="1"/>
  <c r="Y23" i="47" s="1"/>
  <c r="J24" i="47"/>
  <c r="K24" i="47" s="1"/>
  <c r="N24" i="47"/>
  <c r="J25" i="47"/>
  <c r="K25" i="47" s="1"/>
  <c r="Y25" i="47" s="1"/>
  <c r="J26" i="47"/>
  <c r="K26" i="47" s="1"/>
  <c r="Y26" i="47" s="1"/>
  <c r="J27" i="47"/>
  <c r="K27" i="47" s="1"/>
  <c r="J28" i="47"/>
  <c r="K28" i="47" s="1"/>
  <c r="Y28" i="47" s="1"/>
  <c r="J29" i="47"/>
  <c r="K29" i="47" s="1"/>
  <c r="Y29" i="47" s="1"/>
  <c r="J30" i="47"/>
  <c r="K30" i="47" s="1"/>
  <c r="Y30" i="47" s="1"/>
  <c r="J31" i="47"/>
  <c r="K31" i="47" s="1"/>
  <c r="J32" i="47"/>
  <c r="K32" i="47" s="1"/>
  <c r="Y32" i="47" s="1"/>
  <c r="J33" i="47"/>
  <c r="K33" i="47" s="1"/>
  <c r="Y33" i="47" s="1"/>
  <c r="J34" i="47"/>
  <c r="K34" i="47" s="1"/>
  <c r="Y34" i="47" s="1"/>
  <c r="J35" i="47"/>
  <c r="K35" i="47" s="1"/>
  <c r="J36" i="47"/>
  <c r="K36" i="47" s="1"/>
  <c r="Y36" i="47" s="1"/>
  <c r="J37" i="47"/>
  <c r="K37" i="47" s="1"/>
  <c r="J38" i="47"/>
  <c r="K38" i="47" s="1"/>
  <c r="Y38" i="47" s="1"/>
  <c r="J39" i="47"/>
  <c r="K39" i="47" s="1"/>
  <c r="N39" i="47"/>
  <c r="J40" i="47"/>
  <c r="K40" i="47" s="1"/>
  <c r="Y40" i="47" s="1"/>
  <c r="N40" i="47"/>
  <c r="J41" i="47"/>
  <c r="K41" i="47" s="1"/>
  <c r="J42" i="47"/>
  <c r="K42" i="47" s="1"/>
  <c r="Y42" i="47" s="1"/>
  <c r="J43" i="47"/>
  <c r="K43" i="47" s="1"/>
  <c r="J44" i="47"/>
  <c r="K44" i="47" s="1"/>
  <c r="Y44" i="47" s="1"/>
  <c r="J45" i="47"/>
  <c r="K45" i="47" s="1"/>
  <c r="J46" i="47"/>
  <c r="K46" i="47" s="1"/>
  <c r="Y46" i="47" s="1"/>
  <c r="J47" i="47"/>
  <c r="K47" i="47" s="1"/>
  <c r="J48" i="47"/>
  <c r="K48" i="47" s="1"/>
  <c r="Y48" i="47" s="1"/>
  <c r="J49" i="47"/>
  <c r="K49" i="47" s="1"/>
  <c r="Y49" i="47" s="1"/>
  <c r="J50" i="47"/>
  <c r="K50" i="47" s="1"/>
  <c r="Y50" i="47" s="1"/>
  <c r="J51" i="47"/>
  <c r="K51" i="47" s="1"/>
  <c r="J52" i="47"/>
  <c r="K52" i="47" s="1"/>
  <c r="Y52" i="47" s="1"/>
  <c r="J53" i="47"/>
  <c r="K53" i="47" s="1"/>
  <c r="J54" i="47"/>
  <c r="K54" i="47" s="1"/>
  <c r="Y54" i="47" s="1"/>
  <c r="J55" i="47"/>
  <c r="K55" i="47" s="1"/>
  <c r="Y55" i="47" s="1"/>
  <c r="N55" i="47"/>
  <c r="J56" i="47"/>
  <c r="K56" i="47" s="1"/>
  <c r="J57" i="47"/>
  <c r="K57" i="47" s="1"/>
  <c r="Y57" i="47" s="1"/>
  <c r="J58" i="47"/>
  <c r="K58" i="47" s="1"/>
  <c r="Y58" i="47" s="1"/>
  <c r="J59" i="47"/>
  <c r="K59" i="47" s="1"/>
  <c r="J60" i="47"/>
  <c r="K60" i="47" s="1"/>
  <c r="Y60" i="47" s="1"/>
  <c r="J61" i="47"/>
  <c r="K61" i="47" s="1"/>
  <c r="J62" i="47"/>
  <c r="K62" i="47" s="1"/>
  <c r="Y62" i="47" s="1"/>
  <c r="J63" i="47"/>
  <c r="K63" i="47" s="1"/>
  <c r="J64" i="47"/>
  <c r="K64" i="47" s="1"/>
  <c r="N64" i="47"/>
  <c r="J65" i="47"/>
  <c r="K65" i="47" s="1"/>
  <c r="Y65" i="47" s="1"/>
  <c r="J66" i="47"/>
  <c r="K66" i="47" s="1"/>
  <c r="Y66" i="47" s="1"/>
  <c r="J67" i="47"/>
  <c r="K67" i="47" s="1"/>
  <c r="J68" i="47"/>
  <c r="K68" i="47" s="1"/>
  <c r="Y68" i="47" s="1"/>
  <c r="J69" i="47"/>
  <c r="K69" i="47" s="1"/>
  <c r="Y69" i="47" s="1"/>
  <c r="J70" i="47"/>
  <c r="K70" i="47" s="1"/>
  <c r="Y70" i="47" s="1"/>
  <c r="J71" i="47"/>
  <c r="K71" i="47" s="1"/>
  <c r="J72" i="47"/>
  <c r="K72" i="47" s="1"/>
  <c r="Y72" i="47" s="1"/>
  <c r="N72" i="47"/>
  <c r="J73" i="47"/>
  <c r="K73" i="47" s="1"/>
  <c r="J74" i="47"/>
  <c r="K74" i="47" s="1"/>
  <c r="Y74" i="47" s="1"/>
  <c r="J75" i="47"/>
  <c r="K75" i="47" s="1"/>
  <c r="J76" i="47"/>
  <c r="K76" i="47" s="1"/>
  <c r="Y76" i="47" s="1"/>
  <c r="J77" i="47"/>
  <c r="K77" i="47" s="1"/>
  <c r="Y77" i="47" s="1"/>
  <c r="J78" i="47"/>
  <c r="K78" i="47" s="1"/>
  <c r="Y78" i="47" s="1"/>
  <c r="J79" i="47"/>
  <c r="K79" i="47" s="1"/>
  <c r="Y79" i="47" s="1"/>
  <c r="J80" i="47"/>
  <c r="K80" i="47" s="1"/>
  <c r="Y80" i="47" s="1"/>
  <c r="J81" i="47"/>
  <c r="K81" i="47" s="1"/>
  <c r="Y81" i="47" s="1"/>
  <c r="J82" i="47"/>
  <c r="K82" i="47" s="1"/>
  <c r="Y82" i="47" s="1"/>
  <c r="J83" i="47"/>
  <c r="K83" i="47" s="1"/>
  <c r="J84" i="47"/>
  <c r="K84" i="47" s="1"/>
  <c r="Y84" i="47" s="1"/>
  <c r="J85" i="47"/>
  <c r="K85" i="47" s="1"/>
  <c r="J86" i="47"/>
  <c r="K86" i="47" s="1"/>
  <c r="Y86" i="47" s="1"/>
  <c r="J87" i="47"/>
  <c r="K87" i="47" s="1"/>
  <c r="J88" i="47"/>
  <c r="K88" i="47" s="1"/>
  <c r="Y88" i="47" s="1"/>
  <c r="J89" i="47"/>
  <c r="K89" i="47" s="1"/>
  <c r="J90" i="47"/>
  <c r="K90" i="47" s="1"/>
  <c r="J91" i="47"/>
  <c r="K91" i="47" s="1"/>
  <c r="J92" i="47"/>
  <c r="K92" i="47" s="1"/>
  <c r="Y92" i="47" s="1"/>
  <c r="J93" i="47"/>
  <c r="K93" i="47" s="1"/>
  <c r="Y93" i="47" s="1"/>
  <c r="J94" i="47"/>
  <c r="K94" i="47" s="1"/>
  <c r="J95" i="47"/>
  <c r="K95" i="47" s="1"/>
  <c r="J96" i="47"/>
  <c r="K96" i="47" s="1"/>
  <c r="Y96" i="47" s="1"/>
  <c r="J97" i="47"/>
  <c r="K97" i="47" s="1"/>
  <c r="Y97" i="47" s="1"/>
  <c r="J98" i="47"/>
  <c r="K98" i="47" s="1"/>
  <c r="J99" i="47"/>
  <c r="K99" i="47" s="1"/>
  <c r="Y99" i="47" s="1"/>
  <c r="J100" i="47"/>
  <c r="K100" i="47" s="1"/>
  <c r="Y100" i="47" s="1"/>
  <c r="J101" i="47"/>
  <c r="K101" i="47" s="1"/>
  <c r="J102" i="47"/>
  <c r="K102" i="47" s="1"/>
  <c r="J103" i="47"/>
  <c r="K103" i="47" s="1"/>
  <c r="J104" i="47"/>
  <c r="K104" i="47" s="1"/>
  <c r="Y104" i="47" s="1"/>
  <c r="N104" i="47"/>
  <c r="J105" i="47"/>
  <c r="K105" i="47" s="1"/>
  <c r="J106" i="47"/>
  <c r="K106" i="47" s="1"/>
  <c r="Y106" i="47" s="1"/>
  <c r="J107" i="47"/>
  <c r="K107" i="47" s="1"/>
  <c r="Y107" i="47" s="1"/>
  <c r="J108" i="47"/>
  <c r="K108" i="47" s="1"/>
  <c r="Y108" i="47" s="1"/>
  <c r="J109" i="47"/>
  <c r="K109" i="47" s="1"/>
  <c r="Y109" i="47" s="1"/>
  <c r="J110" i="47"/>
  <c r="K110" i="47" s="1"/>
  <c r="Y110" i="47" s="1"/>
  <c r="J111" i="47"/>
  <c r="K111" i="47" s="1"/>
  <c r="J112" i="47"/>
  <c r="K112" i="47" s="1"/>
  <c r="Y112" i="47" s="1"/>
  <c r="J113" i="47"/>
  <c r="K113" i="47" s="1"/>
  <c r="Y113" i="47" s="1"/>
  <c r="J114" i="47"/>
  <c r="K114" i="47" s="1"/>
  <c r="Y114" i="47" s="1"/>
  <c r="J115" i="47"/>
  <c r="K115" i="47" s="1"/>
  <c r="J116" i="47"/>
  <c r="K116" i="47" s="1"/>
  <c r="Y116" i="47" s="1"/>
  <c r="J117" i="47"/>
  <c r="K117" i="47" s="1"/>
  <c r="J118" i="47"/>
  <c r="K118" i="47" s="1"/>
  <c r="Y118" i="47" s="1"/>
  <c r="J119" i="47"/>
  <c r="K119" i="47" s="1"/>
  <c r="N119" i="47"/>
  <c r="J120" i="47"/>
  <c r="K120" i="47" s="1"/>
  <c r="Y120" i="47" s="1"/>
  <c r="J121" i="47"/>
  <c r="K121" i="47" s="1"/>
  <c r="Y121" i="47" s="1"/>
  <c r="J122" i="47"/>
  <c r="K122" i="47" s="1"/>
  <c r="Y122" i="47" s="1"/>
  <c r="J123" i="47"/>
  <c r="K123" i="47" s="1"/>
  <c r="J124" i="47"/>
  <c r="K124" i="47" s="1"/>
  <c r="Y124" i="47" s="1"/>
  <c r="J125" i="47"/>
  <c r="K125" i="47" s="1"/>
  <c r="Y125" i="47" s="1"/>
  <c r="J126" i="47"/>
  <c r="K126" i="47" s="1"/>
  <c r="Y126" i="47" s="1"/>
  <c r="J127" i="47"/>
  <c r="K127" i="47" s="1"/>
  <c r="Y127" i="47" s="1"/>
  <c r="J128" i="47"/>
  <c r="K128" i="47" s="1"/>
  <c r="J129" i="47"/>
  <c r="K129" i="47" s="1"/>
  <c r="Y129" i="47" s="1"/>
  <c r="J130" i="47"/>
  <c r="K130" i="47" s="1"/>
  <c r="Y130" i="47" s="1"/>
  <c r="J131" i="47"/>
  <c r="K131" i="47" s="1"/>
  <c r="J132" i="47"/>
  <c r="K132" i="47" s="1"/>
  <c r="Y132" i="47" s="1"/>
  <c r="J133" i="47"/>
  <c r="K133" i="47" s="1"/>
  <c r="Y133" i="47" s="1"/>
  <c r="J134" i="47"/>
  <c r="K134" i="47" s="1"/>
  <c r="Y134" i="47" s="1"/>
  <c r="J135" i="47"/>
  <c r="K135" i="47" s="1"/>
  <c r="Y135" i="47" s="1"/>
  <c r="N135" i="47"/>
  <c r="J136" i="47"/>
  <c r="K136" i="47" s="1"/>
  <c r="Y136" i="47" s="1"/>
  <c r="J137" i="47"/>
  <c r="K137" i="47" s="1"/>
  <c r="Y137" i="47" s="1"/>
  <c r="J138" i="47"/>
  <c r="K138" i="47" s="1"/>
  <c r="Y138" i="47" s="1"/>
  <c r="J139" i="47"/>
  <c r="K139" i="47" s="1"/>
  <c r="N139" i="47"/>
  <c r="J140" i="47"/>
  <c r="K140" i="47" s="1"/>
  <c r="Y140" i="47" s="1"/>
  <c r="J141" i="47"/>
  <c r="K141" i="47" s="1"/>
  <c r="J142" i="47"/>
  <c r="K142" i="47" s="1"/>
  <c r="J143" i="47"/>
  <c r="K143" i="47" s="1"/>
  <c r="Y143" i="47" s="1"/>
  <c r="N143" i="47"/>
  <c r="J144" i="47"/>
  <c r="K144" i="47" s="1"/>
  <c r="Y144" i="47" s="1"/>
  <c r="N144" i="47"/>
  <c r="J145" i="47"/>
  <c r="K145" i="47" s="1"/>
  <c r="Y145" i="47" s="1"/>
  <c r="J146" i="47"/>
  <c r="K146" i="47" s="1"/>
  <c r="Y146" i="47" s="1"/>
  <c r="J147" i="47"/>
  <c r="K147" i="47" s="1"/>
  <c r="J148" i="47"/>
  <c r="K148" i="47" s="1"/>
  <c r="J149" i="47"/>
  <c r="K149" i="47" s="1"/>
  <c r="Y149" i="47" s="1"/>
  <c r="J150" i="47"/>
  <c r="K150" i="47" s="1"/>
  <c r="Y150" i="47" s="1"/>
  <c r="J151" i="47"/>
  <c r="K151" i="47" s="1"/>
  <c r="Y151" i="47" s="1"/>
  <c r="J152" i="47"/>
  <c r="K152" i="47" s="1"/>
  <c r="Y152" i="47" s="1"/>
  <c r="J153" i="47"/>
  <c r="K153" i="47" s="1"/>
  <c r="Y153" i="47" s="1"/>
  <c r="J154" i="47"/>
  <c r="K154" i="47" s="1"/>
  <c r="Y154" i="47" s="1"/>
  <c r="J155" i="47"/>
  <c r="K155" i="47" s="1"/>
  <c r="Y155" i="47" s="1"/>
  <c r="J156" i="47"/>
  <c r="K156" i="47" s="1"/>
  <c r="J157" i="47"/>
  <c r="K157" i="47" s="1"/>
  <c r="Y157" i="47" s="1"/>
  <c r="J158" i="47"/>
  <c r="K158" i="47" s="1"/>
  <c r="Y158" i="47" s="1"/>
  <c r="J159" i="47"/>
  <c r="K159" i="47" s="1"/>
  <c r="Y159" i="47" s="1"/>
  <c r="J160" i="47"/>
  <c r="K160" i="47" s="1"/>
  <c r="Y160" i="47" s="1"/>
  <c r="N160" i="47"/>
  <c r="J161" i="47"/>
  <c r="K161" i="47" s="1"/>
  <c r="J162" i="47"/>
  <c r="K162" i="47" s="1"/>
  <c r="Y162" i="47" s="1"/>
  <c r="N162" i="47"/>
  <c r="J163" i="47"/>
  <c r="K163" i="47" s="1"/>
  <c r="Y163" i="47" s="1"/>
  <c r="J164" i="47"/>
  <c r="K164" i="47" s="1"/>
  <c r="Y164" i="47" s="1"/>
  <c r="J165" i="47"/>
  <c r="K165" i="47" s="1"/>
  <c r="J166" i="47"/>
  <c r="K166" i="47" s="1"/>
  <c r="J167" i="47"/>
  <c r="K167" i="47" s="1"/>
  <c r="Y167" i="47" s="1"/>
  <c r="N167" i="47"/>
  <c r="J168" i="47"/>
  <c r="K168" i="47" s="1"/>
  <c r="Y168" i="47" s="1"/>
  <c r="J169" i="47"/>
  <c r="K169" i="47" s="1"/>
  <c r="Y169" i="47" s="1"/>
  <c r="J170" i="47"/>
  <c r="K170" i="47" s="1"/>
  <c r="Y170" i="47" s="1"/>
  <c r="J171" i="47"/>
  <c r="K171" i="47" s="1"/>
  <c r="N171" i="47"/>
  <c r="J172" i="47"/>
  <c r="K172" i="47" s="1"/>
  <c r="Y172" i="47" s="1"/>
  <c r="J173" i="47"/>
  <c r="K173" i="47" s="1"/>
  <c r="Y173" i="47" s="1"/>
  <c r="J174" i="47"/>
  <c r="K174" i="47" s="1"/>
  <c r="Y174" i="47" s="1"/>
  <c r="J175" i="47"/>
  <c r="K175" i="47" s="1"/>
  <c r="J176" i="47"/>
  <c r="K176" i="47" s="1"/>
  <c r="J177" i="47"/>
  <c r="K177" i="47" s="1"/>
  <c r="Y177" i="47" s="1"/>
  <c r="J178" i="47"/>
  <c r="K178" i="47" s="1"/>
  <c r="Y178" i="47" s="1"/>
  <c r="J179" i="47"/>
  <c r="K179" i="47" s="1"/>
  <c r="J180" i="47"/>
  <c r="K180" i="47" s="1"/>
  <c r="J181" i="47"/>
  <c r="K181" i="47" s="1"/>
  <c r="Y181" i="47" s="1"/>
  <c r="J182" i="47"/>
  <c r="K182" i="47" s="1"/>
  <c r="Y182" i="47" s="1"/>
  <c r="J183" i="47"/>
  <c r="K183" i="47" s="1"/>
  <c r="N183" i="47"/>
  <c r="J184" i="47"/>
  <c r="K184" i="47" s="1"/>
  <c r="Y184" i="47" s="1"/>
  <c r="N184" i="47"/>
  <c r="J185" i="47"/>
  <c r="K185" i="47" s="1"/>
  <c r="J186" i="47"/>
  <c r="K186" i="47" s="1"/>
  <c r="J187" i="47"/>
  <c r="K187" i="47" s="1"/>
  <c r="Y187" i="47" s="1"/>
  <c r="J188" i="47"/>
  <c r="K188" i="47" s="1"/>
  <c r="Y188" i="47" s="1"/>
  <c r="J189" i="47"/>
  <c r="K189" i="47" s="1"/>
  <c r="J190" i="47"/>
  <c r="K190" i="47" s="1"/>
  <c r="J191" i="47"/>
  <c r="K191" i="47" s="1"/>
  <c r="J192" i="47"/>
  <c r="K192" i="47" s="1"/>
  <c r="Y192" i="47" s="1"/>
  <c r="N192" i="47"/>
  <c r="J193" i="47"/>
  <c r="K193" i="47" s="1"/>
  <c r="J194" i="47"/>
  <c r="K194" i="47" s="1"/>
  <c r="Y194" i="47" s="1"/>
  <c r="J195" i="47"/>
  <c r="K195" i="47" s="1"/>
  <c r="J196" i="47"/>
  <c r="K196" i="47" s="1"/>
  <c r="Y196" i="47" s="1"/>
  <c r="J197" i="47"/>
  <c r="K197" i="47" s="1"/>
  <c r="J198" i="47"/>
  <c r="K198" i="47" s="1"/>
  <c r="Y198" i="47" s="1"/>
  <c r="J199" i="47"/>
  <c r="K199" i="47" s="1"/>
  <c r="N199" i="47"/>
  <c r="J200" i="47"/>
  <c r="K200" i="47" s="1"/>
  <c r="J201" i="47"/>
  <c r="K201" i="47" s="1"/>
  <c r="Y201" i="47" s="1"/>
  <c r="J202" i="47"/>
  <c r="K202" i="47" s="1"/>
  <c r="Y202" i="47" s="1"/>
  <c r="J203" i="47"/>
  <c r="K203" i="47" s="1"/>
  <c r="N203" i="47"/>
  <c r="J204" i="47"/>
  <c r="K204" i="47" s="1"/>
  <c r="Y204" i="47" s="1"/>
  <c r="J205" i="47"/>
  <c r="K205" i="47" s="1"/>
  <c r="J206" i="47"/>
  <c r="K206" i="47" s="1"/>
  <c r="Y206" i="47" s="1"/>
  <c r="J207" i="47"/>
  <c r="K207" i="47" s="1"/>
  <c r="N207" i="47"/>
  <c r="J208" i="47"/>
  <c r="K208" i="47" s="1"/>
  <c r="Y208" i="47" s="1"/>
  <c r="N208" i="47"/>
  <c r="J209" i="47"/>
  <c r="K209" i="47" s="1"/>
  <c r="J210" i="47"/>
  <c r="K210" i="47" s="1"/>
  <c r="Y210" i="47" s="1"/>
  <c r="J211" i="47"/>
  <c r="K211" i="47" s="1"/>
  <c r="J212" i="47"/>
  <c r="K212" i="47" s="1"/>
  <c r="Y212" i="47" s="1"/>
  <c r="J213" i="47"/>
  <c r="K213" i="47" s="1"/>
  <c r="Y213" i="47" s="1"/>
  <c r="J214" i="47"/>
  <c r="K214" i="47" s="1"/>
  <c r="Y214" i="47" s="1"/>
  <c r="J215" i="47"/>
  <c r="K215" i="47" s="1"/>
  <c r="J216" i="47"/>
  <c r="K216" i="47" s="1"/>
  <c r="Y216" i="47" s="1"/>
  <c r="N216" i="47"/>
  <c r="J217" i="47"/>
  <c r="K217" i="47" s="1"/>
  <c r="Y217" i="47" s="1"/>
  <c r="J218" i="47"/>
  <c r="K218" i="47" s="1"/>
  <c r="Y218" i="47" s="1"/>
  <c r="J219" i="47"/>
  <c r="K219" i="47" s="1"/>
  <c r="J220" i="47"/>
  <c r="K220" i="47" s="1"/>
  <c r="J221" i="47"/>
  <c r="K221" i="47" s="1"/>
  <c r="Y221" i="47" s="1"/>
  <c r="J222" i="47"/>
  <c r="K222" i="47" s="1"/>
  <c r="Y222" i="47" s="1"/>
  <c r="J223" i="47"/>
  <c r="K223" i="47" s="1"/>
  <c r="J224" i="47"/>
  <c r="K224" i="47" s="1"/>
  <c r="Y224" i="47" s="1"/>
  <c r="N224" i="47"/>
  <c r="J225" i="47"/>
  <c r="K225" i="47" s="1"/>
  <c r="J226" i="47"/>
  <c r="K226" i="47" s="1"/>
  <c r="Y226" i="47" s="1"/>
  <c r="J227" i="47"/>
  <c r="K227" i="47" s="1"/>
  <c r="N227" i="47"/>
  <c r="J228" i="47"/>
  <c r="K228" i="47" s="1"/>
  <c r="Y228" i="47" s="1"/>
  <c r="J229" i="47"/>
  <c r="K229" i="47" s="1"/>
  <c r="Y229" i="47" s="1"/>
  <c r="J230" i="47"/>
  <c r="K230" i="47" s="1"/>
  <c r="Y230" i="47" s="1"/>
  <c r="J231" i="47"/>
  <c r="K231" i="47" s="1"/>
  <c r="Y231" i="47" s="1"/>
  <c r="J232" i="47"/>
  <c r="K232" i="47" s="1"/>
  <c r="Y232" i="47" s="1"/>
  <c r="J233" i="47"/>
  <c r="K233" i="47" s="1"/>
  <c r="Y233" i="47" s="1"/>
  <c r="J234" i="47"/>
  <c r="K234" i="47" s="1"/>
  <c r="Y234" i="47" s="1"/>
  <c r="J235" i="47"/>
  <c r="K235" i="47" s="1"/>
  <c r="Y235" i="47" s="1"/>
  <c r="N235" i="47"/>
  <c r="J236" i="47"/>
  <c r="K236" i="47" s="1"/>
  <c r="Y236" i="47" s="1"/>
  <c r="J237" i="47"/>
  <c r="K237" i="47" s="1"/>
  <c r="Y237" i="47" s="1"/>
  <c r="J238" i="47"/>
  <c r="K238" i="47" s="1"/>
  <c r="Y238" i="47" s="1"/>
  <c r="J239" i="47"/>
  <c r="K239" i="47" s="1"/>
  <c r="N239" i="47"/>
  <c r="J240" i="47"/>
  <c r="K240" i="47" s="1"/>
  <c r="N240" i="47"/>
  <c r="J241" i="47"/>
  <c r="K241" i="47" s="1"/>
  <c r="J242" i="47"/>
  <c r="K242" i="47" s="1"/>
  <c r="Y242" i="47" s="1"/>
  <c r="J243" i="47"/>
  <c r="K243" i="47" s="1"/>
  <c r="J244" i="47"/>
  <c r="K244" i="47" s="1"/>
  <c r="Y244" i="47" s="1"/>
  <c r="J245" i="47"/>
  <c r="K245" i="47" s="1"/>
  <c r="J246" i="47"/>
  <c r="K246" i="47" s="1"/>
  <c r="Y246" i="47" s="1"/>
  <c r="J247" i="47"/>
  <c r="K247" i="47" s="1"/>
  <c r="J248" i="47"/>
  <c r="K248" i="47" s="1"/>
  <c r="Y248" i="47" s="1"/>
  <c r="N248" i="47"/>
  <c r="J249" i="47"/>
  <c r="K249" i="47" s="1"/>
  <c r="Y249" i="47" s="1"/>
  <c r="J250" i="47"/>
  <c r="K250" i="47" s="1"/>
  <c r="Y250" i="47" s="1"/>
  <c r="J251" i="47"/>
  <c r="K251" i="47" s="1"/>
  <c r="Y251" i="47" s="1"/>
  <c r="J252" i="47"/>
  <c r="K252" i="47" s="1"/>
  <c r="Y252" i="47" s="1"/>
  <c r="J253" i="47"/>
  <c r="K253" i="47" s="1"/>
  <c r="Y253" i="47" s="1"/>
  <c r="J254" i="47"/>
  <c r="K254" i="47" s="1"/>
  <c r="Y254" i="47" s="1"/>
  <c r="J255" i="47"/>
  <c r="K255" i="47" s="1"/>
  <c r="Y255" i="47" s="1"/>
  <c r="J256" i="47"/>
  <c r="K256" i="47" s="1"/>
  <c r="Y256" i="47" s="1"/>
  <c r="J257" i="47"/>
  <c r="K257" i="47" s="1"/>
  <c r="J258" i="47"/>
  <c r="K258" i="47" s="1"/>
  <c r="J259" i="47"/>
  <c r="K259" i="47" s="1"/>
  <c r="J260" i="47"/>
  <c r="K260" i="47" s="1"/>
  <c r="Y260" i="47" s="1"/>
  <c r="J261" i="47"/>
  <c r="K261" i="47" s="1"/>
  <c r="J262" i="47"/>
  <c r="K262" i="47" s="1"/>
  <c r="J263" i="47"/>
  <c r="K263" i="47" s="1"/>
  <c r="Y263" i="47" s="1"/>
  <c r="N263" i="47"/>
  <c r="J264" i="47"/>
  <c r="K264" i="47" s="1"/>
  <c r="Y264" i="47" s="1"/>
  <c r="J265" i="47"/>
  <c r="K265" i="47" s="1"/>
  <c r="Y265" i="47" s="1"/>
  <c r="J266" i="47"/>
  <c r="K266" i="47" s="1"/>
  <c r="Y266" i="47" s="1"/>
  <c r="J267" i="47"/>
  <c r="K267" i="47" s="1"/>
  <c r="J268" i="47"/>
  <c r="K268" i="47" s="1"/>
  <c r="Y268" i="47" s="1"/>
  <c r="J269" i="47"/>
  <c r="K269" i="47" s="1"/>
  <c r="Y269" i="47" s="1"/>
  <c r="J270" i="47"/>
  <c r="K270" i="47" s="1"/>
  <c r="Y270" i="47" s="1"/>
  <c r="J271" i="47"/>
  <c r="K271" i="47" s="1"/>
  <c r="N271" i="47"/>
  <c r="J272" i="47"/>
  <c r="K272" i="47" s="1"/>
  <c r="Y272" i="47" s="1"/>
  <c r="N272" i="47"/>
  <c r="J273" i="47"/>
  <c r="K273" i="47" s="1"/>
  <c r="Y273" i="47" s="1"/>
  <c r="J274" i="47"/>
  <c r="K274" i="47" s="1"/>
  <c r="Y274" i="47" s="1"/>
  <c r="J275" i="47"/>
  <c r="K275" i="47" s="1"/>
  <c r="J276" i="47"/>
  <c r="K276" i="47" s="1"/>
  <c r="Y276" i="47" s="1"/>
  <c r="J277" i="47"/>
  <c r="K277" i="47" s="1"/>
  <c r="J278" i="47"/>
  <c r="K278" i="47" s="1"/>
  <c r="Y278" i="47" s="1"/>
  <c r="J279" i="47"/>
  <c r="K279" i="47" s="1"/>
  <c r="J280" i="47"/>
  <c r="K280" i="47" s="1"/>
  <c r="Y280" i="47" s="1"/>
  <c r="N280" i="47"/>
  <c r="J281" i="47"/>
  <c r="K281" i="47" s="1"/>
  <c r="Y281" i="47" s="1"/>
  <c r="J282" i="47"/>
  <c r="K282" i="47" s="1"/>
  <c r="J283" i="47"/>
  <c r="K283" i="47" s="1"/>
  <c r="Y283" i="47" s="1"/>
  <c r="J284" i="47"/>
  <c r="K284" i="47" s="1"/>
  <c r="Y284" i="47" s="1"/>
  <c r="J285" i="47"/>
  <c r="K285" i="47" s="1"/>
  <c r="J286" i="47"/>
  <c r="K286" i="47" s="1"/>
  <c r="J287" i="47"/>
  <c r="K287" i="47" s="1"/>
  <c r="Y287" i="47" s="1"/>
  <c r="J288" i="47"/>
  <c r="K288" i="47" s="1"/>
  <c r="Y288" i="47" s="1"/>
  <c r="J289" i="47"/>
  <c r="K289" i="47" s="1"/>
  <c r="J290" i="47"/>
  <c r="K290" i="47" s="1"/>
  <c r="J291" i="47"/>
  <c r="K291" i="47" s="1"/>
  <c r="Y291" i="47" s="1"/>
  <c r="N291" i="47"/>
  <c r="J292" i="47"/>
  <c r="K292" i="47" s="1"/>
  <c r="Y292" i="47" s="1"/>
  <c r="J293" i="47"/>
  <c r="K293" i="47" s="1"/>
  <c r="J294" i="47"/>
  <c r="K294" i="47" s="1"/>
  <c r="Y294" i="47" s="1"/>
  <c r="J295" i="47"/>
  <c r="K295" i="47" s="1"/>
  <c r="J296" i="47"/>
  <c r="K296" i="47" s="1"/>
  <c r="Y296" i="47" s="1"/>
  <c r="N296" i="47"/>
  <c r="J297" i="47"/>
  <c r="K297" i="47" s="1"/>
  <c r="Y297" i="47" s="1"/>
  <c r="J298" i="47"/>
  <c r="K298" i="47" s="1"/>
  <c r="Y298" i="47" s="1"/>
  <c r="J299" i="47"/>
  <c r="K299" i="47" s="1"/>
  <c r="N299" i="47"/>
  <c r="J300" i="47"/>
  <c r="K300" i="47" s="1"/>
  <c r="Y300" i="47" s="1"/>
  <c r="J301" i="47"/>
  <c r="K301" i="47" s="1"/>
  <c r="Y301" i="47" s="1"/>
  <c r="J302" i="47"/>
  <c r="K302" i="47" s="1"/>
  <c r="Y302" i="47" s="1"/>
  <c r="J303" i="47"/>
  <c r="K303" i="47" s="1"/>
  <c r="J304" i="47"/>
  <c r="K304" i="47" s="1"/>
  <c r="Y304" i="47" s="1"/>
  <c r="J305" i="47"/>
  <c r="K305" i="47" s="1"/>
  <c r="J306" i="47"/>
  <c r="K306" i="47" s="1"/>
  <c r="Y306" i="47" s="1"/>
  <c r="J307" i="47"/>
  <c r="K307" i="47" s="1"/>
  <c r="J308" i="47"/>
  <c r="K308" i="47" s="1"/>
  <c r="Y308" i="47" s="1"/>
  <c r="J309" i="47"/>
  <c r="K309" i="47" s="1"/>
  <c r="J310" i="47"/>
  <c r="K310" i="47" s="1"/>
  <c r="Y310" i="47" s="1"/>
  <c r="J311" i="47"/>
  <c r="K311" i="47" s="1"/>
  <c r="N311" i="47"/>
  <c r="J312" i="47"/>
  <c r="K312" i="47" s="1"/>
  <c r="Y312" i="47" s="1"/>
  <c r="J313" i="47"/>
  <c r="K313" i="47" s="1"/>
  <c r="J314" i="47"/>
  <c r="K314" i="47" s="1"/>
  <c r="Y314" i="47" s="1"/>
  <c r="J315" i="47"/>
  <c r="K315" i="47" s="1"/>
  <c r="Y315" i="47" s="1"/>
  <c r="J316" i="47"/>
  <c r="K316" i="47" s="1"/>
  <c r="Y316" i="47" s="1"/>
  <c r="J317" i="47"/>
  <c r="K317" i="47" s="1"/>
  <c r="J318" i="47"/>
  <c r="K318" i="47" s="1"/>
  <c r="J319" i="47"/>
  <c r="K319" i="47" s="1"/>
  <c r="Y319" i="47" s="1"/>
  <c r="J320" i="47"/>
  <c r="K320" i="47" s="1"/>
  <c r="Y320" i="47" s="1"/>
  <c r="N320" i="47"/>
  <c r="J321" i="47"/>
  <c r="K321" i="47" s="1"/>
  <c r="J322" i="47"/>
  <c r="K322" i="47" s="1"/>
  <c r="Y322" i="47" s="1"/>
  <c r="J323" i="47"/>
  <c r="K323" i="47" s="1"/>
  <c r="J324" i="47"/>
  <c r="K324" i="47" s="1"/>
  <c r="Y324" i="47" s="1"/>
  <c r="J325" i="47"/>
  <c r="K325" i="47" s="1"/>
  <c r="J326" i="47"/>
  <c r="K326" i="47" s="1"/>
  <c r="Y326" i="47" s="1"/>
  <c r="J327" i="47"/>
  <c r="K327" i="47" s="1"/>
  <c r="N327" i="47"/>
  <c r="J328" i="47"/>
  <c r="K328" i="47" s="1"/>
  <c r="Y328" i="47" s="1"/>
  <c r="J329" i="47"/>
  <c r="K329" i="47" s="1"/>
  <c r="J330" i="47"/>
  <c r="K330" i="47" s="1"/>
  <c r="Y330" i="47" s="1"/>
  <c r="J331" i="47"/>
  <c r="K331" i="47" s="1"/>
  <c r="Y331" i="47" s="1"/>
  <c r="J332" i="47"/>
  <c r="K332" i="47" s="1"/>
  <c r="J333" i="47"/>
  <c r="K333" i="47" s="1"/>
  <c r="Y333" i="47" s="1"/>
  <c r="J334" i="47"/>
  <c r="K334" i="47" s="1"/>
  <c r="Y334" i="47" s="1"/>
  <c r="J335" i="47"/>
  <c r="K335" i="47" s="1"/>
  <c r="N335" i="47"/>
  <c r="J336" i="47"/>
  <c r="K336" i="47" s="1"/>
  <c r="Y336" i="47" s="1"/>
  <c r="N336" i="47"/>
  <c r="J337" i="47"/>
  <c r="K337" i="47" s="1"/>
  <c r="Y337" i="47" s="1"/>
  <c r="J338" i="47"/>
  <c r="K338" i="47" s="1"/>
  <c r="J339" i="47"/>
  <c r="K339" i="47" s="1"/>
  <c r="J340" i="47"/>
  <c r="K340" i="47" s="1"/>
  <c r="Y340" i="47" s="1"/>
  <c r="J341" i="47"/>
  <c r="K341" i="47" s="1"/>
  <c r="J342" i="47"/>
  <c r="K342" i="47" s="1"/>
  <c r="J343" i="47"/>
  <c r="K343" i="47" s="1"/>
  <c r="J344" i="47"/>
  <c r="K344" i="47" s="1"/>
  <c r="Y344" i="47" s="1"/>
  <c r="N344" i="47"/>
  <c r="J345" i="47"/>
  <c r="K345" i="47" s="1"/>
  <c r="J346" i="47"/>
  <c r="K346" i="47" s="1"/>
  <c r="Y346" i="47" s="1"/>
  <c r="J347" i="47"/>
  <c r="K347" i="47" s="1"/>
  <c r="J348" i="47"/>
  <c r="K348" i="47" s="1"/>
  <c r="Y348" i="47" s="1"/>
  <c r="J349" i="47"/>
  <c r="K349" i="47" s="1"/>
  <c r="Y349" i="47" s="1"/>
  <c r="J350" i="47"/>
  <c r="K350" i="47" s="1"/>
  <c r="Y350" i="47" s="1"/>
  <c r="J351" i="47"/>
  <c r="K351" i="47" s="1"/>
  <c r="Y351" i="47" s="1"/>
  <c r="J352" i="47"/>
  <c r="K352" i="47" s="1"/>
  <c r="Y352" i="47" s="1"/>
  <c r="J353" i="47"/>
  <c r="K353" i="47" s="1"/>
  <c r="J354" i="47"/>
  <c r="K354" i="47" s="1"/>
  <c r="Y354" i="47" s="1"/>
  <c r="J355" i="47"/>
  <c r="K355" i="47" s="1"/>
  <c r="N355" i="47"/>
  <c r="J356" i="47"/>
  <c r="K356" i="47" s="1"/>
  <c r="Y356" i="47" s="1"/>
  <c r="J357" i="47"/>
  <c r="K357" i="47" s="1"/>
  <c r="Y357" i="47" s="1"/>
  <c r="J358" i="47"/>
  <c r="K358" i="47" s="1"/>
  <c r="Y358" i="47" s="1"/>
  <c r="J359" i="47"/>
  <c r="K359" i="47" s="1"/>
  <c r="J360" i="47"/>
  <c r="K360" i="47" s="1"/>
  <c r="Y360" i="47" s="1"/>
  <c r="N360" i="47"/>
  <c r="J361" i="47"/>
  <c r="K361" i="47" s="1"/>
  <c r="J362" i="47"/>
  <c r="K362" i="47" s="1"/>
  <c r="Y362" i="47" s="1"/>
  <c r="J363" i="47"/>
  <c r="K363" i="47" s="1"/>
  <c r="N363" i="47"/>
  <c r="J364" i="47"/>
  <c r="K364" i="47" s="1"/>
  <c r="Y364" i="47" s="1"/>
  <c r="J365" i="47"/>
  <c r="K365" i="47" s="1"/>
  <c r="Y365" i="47" s="1"/>
  <c r="J366" i="47"/>
  <c r="K366" i="47" s="1"/>
  <c r="Y366" i="47" s="1"/>
  <c r="J367" i="47"/>
  <c r="K367" i="47" s="1"/>
  <c r="J368" i="47"/>
  <c r="K368" i="47" s="1"/>
  <c r="Y368" i="47" s="1"/>
  <c r="N368" i="47"/>
  <c r="J369" i="47"/>
  <c r="K369" i="47" s="1"/>
  <c r="J370" i="47"/>
  <c r="K370" i="47" s="1"/>
  <c r="Y370" i="47" s="1"/>
  <c r="J371" i="47"/>
  <c r="K371" i="47" s="1"/>
  <c r="J372" i="47"/>
  <c r="K372" i="47" s="1"/>
  <c r="Y372" i="47" s="1"/>
  <c r="J373" i="47"/>
  <c r="K373" i="47" s="1"/>
  <c r="J374" i="47"/>
  <c r="K374" i="47" s="1"/>
  <c r="Y374" i="47" s="1"/>
  <c r="J375" i="47"/>
  <c r="K375" i="47" s="1"/>
  <c r="J376" i="47"/>
  <c r="K376" i="47" s="1"/>
  <c r="Y376" i="47" s="1"/>
  <c r="N376" i="47"/>
  <c r="J377" i="47"/>
  <c r="K377" i="47" s="1"/>
  <c r="Y377" i="47" s="1"/>
  <c r="J378" i="47"/>
  <c r="K378" i="47" s="1"/>
  <c r="Y378" i="47" s="1"/>
  <c r="J379" i="47"/>
  <c r="K379" i="47" s="1"/>
  <c r="Y379" i="47" s="1"/>
  <c r="J380" i="47"/>
  <c r="K380" i="47" s="1"/>
  <c r="J381" i="47"/>
  <c r="K381" i="47" s="1"/>
  <c r="Y381" i="47" s="1"/>
  <c r="J382" i="47"/>
  <c r="K382" i="47" s="1"/>
  <c r="Y382" i="47" s="1"/>
  <c r="J383" i="47"/>
  <c r="K383" i="47" s="1"/>
  <c r="Y383" i="47" s="1"/>
  <c r="J384" i="47"/>
  <c r="K384" i="47" s="1"/>
  <c r="J385" i="47"/>
  <c r="K385" i="47" s="1"/>
  <c r="Y385" i="47" s="1"/>
  <c r="J386" i="47"/>
  <c r="K386" i="47" s="1"/>
  <c r="Y386" i="47" s="1"/>
  <c r="J387" i="47"/>
  <c r="K387" i="47" s="1"/>
  <c r="J388" i="47"/>
  <c r="K388" i="47" s="1"/>
  <c r="Y388" i="47" s="1"/>
  <c r="J389" i="47"/>
  <c r="K389" i="47" s="1"/>
  <c r="Y389" i="47" s="1"/>
  <c r="J390" i="47"/>
  <c r="K390" i="47" s="1"/>
  <c r="Y390" i="47" s="1"/>
  <c r="J391" i="47"/>
  <c r="K391" i="47" s="1"/>
  <c r="Y391" i="47" s="1"/>
  <c r="N391" i="47"/>
  <c r="J392" i="47"/>
  <c r="K392" i="47" s="1"/>
  <c r="Y392" i="47" s="1"/>
  <c r="N392" i="47"/>
  <c r="J393" i="47"/>
  <c r="K393" i="47" s="1"/>
  <c r="J394" i="47"/>
  <c r="K394" i="47" s="1"/>
  <c r="Y394" i="47" s="1"/>
  <c r="J395" i="47"/>
  <c r="K395" i="47" s="1"/>
  <c r="Y395" i="47" s="1"/>
  <c r="J396" i="47"/>
  <c r="K396" i="47" s="1"/>
  <c r="Y396" i="47" s="1"/>
  <c r="J397" i="47"/>
  <c r="K397" i="47" s="1"/>
  <c r="Y397" i="47" s="1"/>
  <c r="J398" i="47"/>
  <c r="K398" i="47" s="1"/>
  <c r="Y398" i="47" s="1"/>
  <c r="J399" i="47"/>
  <c r="K399" i="47" s="1"/>
  <c r="Y399" i="47" s="1"/>
  <c r="N399" i="47"/>
  <c r="J400" i="47"/>
  <c r="K400" i="47" s="1"/>
  <c r="Y400" i="47" s="1"/>
  <c r="N400" i="47"/>
  <c r="J401" i="47"/>
  <c r="K401" i="47" s="1"/>
  <c r="Y401" i="47" s="1"/>
  <c r="J402" i="47"/>
  <c r="K402" i="47" s="1"/>
  <c r="Y402" i="47" s="1"/>
  <c r="J403" i="47"/>
  <c r="K403" i="47" s="1"/>
  <c r="J404" i="47"/>
  <c r="K404" i="47" s="1"/>
  <c r="Y404" i="47" s="1"/>
  <c r="J405" i="47"/>
  <c r="K405" i="47" s="1"/>
  <c r="Y405" i="47" s="1"/>
  <c r="J406" i="47"/>
  <c r="K406" i="47" s="1"/>
  <c r="Y406" i="47" s="1"/>
  <c r="J407" i="47"/>
  <c r="K407" i="47" s="1"/>
  <c r="J408" i="47"/>
  <c r="K408" i="47" s="1"/>
  <c r="J409" i="47"/>
  <c r="K409" i="47" s="1"/>
  <c r="Y409" i="47" s="1"/>
  <c r="J410" i="47"/>
  <c r="K410" i="47" s="1"/>
  <c r="Y410" i="47" s="1"/>
  <c r="J411" i="47"/>
  <c r="K411" i="47" s="1"/>
  <c r="J412" i="47"/>
  <c r="K412" i="47" s="1"/>
  <c r="J413" i="47"/>
  <c r="K413" i="47" s="1"/>
  <c r="J414" i="47"/>
  <c r="K414" i="47" s="1"/>
  <c r="Y414" i="47" s="1"/>
  <c r="J415" i="47"/>
  <c r="K415" i="47" s="1"/>
  <c r="Y415" i="47" s="1"/>
  <c r="J416" i="47"/>
  <c r="K416" i="47" s="1"/>
  <c r="N416" i="47"/>
  <c r="J417" i="47"/>
  <c r="K417" i="47" s="1"/>
  <c r="J418" i="47"/>
  <c r="K418" i="47" s="1"/>
  <c r="Y418" i="47" s="1"/>
  <c r="J419" i="47"/>
  <c r="K419" i="47" s="1"/>
  <c r="Y419" i="47" s="1"/>
  <c r="N419" i="47"/>
  <c r="J420" i="47"/>
  <c r="K420" i="47" s="1"/>
  <c r="Y420" i="47" s="1"/>
  <c r="J421" i="47"/>
  <c r="K421" i="47" s="1"/>
  <c r="Y421" i="47" s="1"/>
  <c r="J422" i="47"/>
  <c r="K422" i="47" s="1"/>
  <c r="J423" i="47"/>
  <c r="K423" i="47" s="1"/>
  <c r="Y423" i="47" s="1"/>
  <c r="J424" i="47"/>
  <c r="K424" i="47" s="1"/>
  <c r="Y424" i="47" s="1"/>
  <c r="J425" i="47"/>
  <c r="K425" i="47" s="1"/>
  <c r="J426" i="47"/>
  <c r="K426" i="47" s="1"/>
  <c r="Y426" i="47" s="1"/>
  <c r="J427" i="47"/>
  <c r="K427" i="47" s="1"/>
  <c r="Y427" i="47" s="1"/>
  <c r="N427" i="47"/>
  <c r="J428" i="47"/>
  <c r="K428" i="47" s="1"/>
  <c r="Y428" i="47" s="1"/>
  <c r="J429" i="47"/>
  <c r="K429" i="47" s="1"/>
  <c r="J430" i="47"/>
  <c r="K430" i="47" s="1"/>
  <c r="Y430" i="47" s="1"/>
  <c r="J431" i="47"/>
  <c r="K431" i="47" s="1"/>
  <c r="J432" i="47"/>
  <c r="K432" i="47" s="1"/>
  <c r="Y432" i="47" s="1"/>
  <c r="J433" i="47"/>
  <c r="K433" i="47" s="1"/>
  <c r="Y433" i="47" s="1"/>
  <c r="J434" i="47"/>
  <c r="K434" i="47" s="1"/>
  <c r="Y434" i="47" s="1"/>
  <c r="J435" i="47"/>
  <c r="K435" i="47" s="1"/>
  <c r="J436" i="47"/>
  <c r="K436" i="47" s="1"/>
  <c r="Y436" i="47" s="1"/>
  <c r="J437" i="47"/>
  <c r="K437" i="47" s="1"/>
  <c r="Y437" i="47" s="1"/>
  <c r="J438" i="47"/>
  <c r="K438" i="47" s="1"/>
  <c r="Y438" i="47" s="1"/>
  <c r="J439" i="47"/>
  <c r="K439" i="47" s="1"/>
  <c r="J440" i="47"/>
  <c r="K440" i="47" s="1"/>
  <c r="Y440" i="47" s="1"/>
  <c r="J441" i="47"/>
  <c r="K441" i="47" s="1"/>
  <c r="J442" i="47"/>
  <c r="K442" i="47" s="1"/>
  <c r="Y442" i="47" s="1"/>
  <c r="J443" i="47"/>
  <c r="K443" i="47" s="1"/>
  <c r="J444" i="47"/>
  <c r="K444" i="47" s="1"/>
  <c r="Y444" i="47" s="1"/>
  <c r="J445" i="47"/>
  <c r="K445" i="47" s="1"/>
  <c r="J446" i="47"/>
  <c r="K446" i="47" s="1"/>
  <c r="Y446" i="47" s="1"/>
  <c r="J447" i="47"/>
  <c r="K447" i="47" s="1"/>
  <c r="Y447" i="47" s="1"/>
  <c r="J448" i="47"/>
  <c r="K448" i="47" s="1"/>
  <c r="Y448" i="47" s="1"/>
  <c r="J449" i="47"/>
  <c r="K449" i="47" s="1"/>
  <c r="J450" i="47"/>
  <c r="K450" i="47" s="1"/>
  <c r="Y450" i="47" s="1"/>
  <c r="J451" i="47"/>
  <c r="K451" i="47" s="1"/>
  <c r="J452" i="47"/>
  <c r="K452" i="47" s="1"/>
  <c r="Y452" i="47" s="1"/>
  <c r="J453" i="47"/>
  <c r="K453" i="47" s="1"/>
  <c r="J454" i="47"/>
  <c r="K454" i="47" s="1"/>
  <c r="Y454" i="47" s="1"/>
  <c r="J455" i="47"/>
  <c r="K455" i="47" s="1"/>
  <c r="Y455" i="47" s="1"/>
  <c r="N455" i="47"/>
  <c r="J456" i="47"/>
  <c r="K456" i="47" s="1"/>
  <c r="Y456" i="47" s="1"/>
  <c r="N456" i="47"/>
  <c r="J457" i="47"/>
  <c r="K457" i="47" s="1"/>
  <c r="J458" i="47"/>
  <c r="K458" i="47" s="1"/>
  <c r="Y458" i="47" s="1"/>
  <c r="J459" i="47"/>
  <c r="K459" i="47" s="1"/>
  <c r="Y459" i="47" s="1"/>
  <c r="J460" i="47"/>
  <c r="K460" i="47" s="1"/>
  <c r="Y460" i="47" s="1"/>
  <c r="J461" i="47"/>
  <c r="K461" i="47" s="1"/>
  <c r="J462" i="47"/>
  <c r="K462" i="47" s="1"/>
  <c r="Y462" i="47" s="1"/>
  <c r="J463" i="47"/>
  <c r="K463" i="47" s="1"/>
  <c r="N463" i="47"/>
  <c r="J464" i="47"/>
  <c r="K464" i="47" s="1"/>
  <c r="Y464" i="47" s="1"/>
  <c r="N464" i="47"/>
  <c r="J465" i="47"/>
  <c r="K465" i="47" s="1"/>
  <c r="J466" i="47"/>
  <c r="K466" i="47" s="1"/>
  <c r="Y466" i="47" s="1"/>
  <c r="J467" i="47"/>
  <c r="K467" i="47" s="1"/>
  <c r="J468" i="47"/>
  <c r="K468" i="47" s="1"/>
  <c r="Y468" i="47" s="1"/>
  <c r="J469" i="47"/>
  <c r="K469" i="47" s="1"/>
  <c r="Y469" i="47" s="1"/>
  <c r="J470" i="47"/>
  <c r="K470" i="47" s="1"/>
  <c r="Y470" i="47" s="1"/>
  <c r="J471" i="47"/>
  <c r="K471" i="47" s="1"/>
  <c r="J472" i="47"/>
  <c r="K472" i="47" s="1"/>
  <c r="Y472" i="47" s="1"/>
  <c r="J473" i="47"/>
  <c r="K473" i="47" s="1"/>
  <c r="J474" i="47"/>
  <c r="K474" i="47" s="1"/>
  <c r="Y474" i="47" s="1"/>
  <c r="J475" i="47"/>
  <c r="K475" i="47" s="1"/>
  <c r="J476" i="47"/>
  <c r="K476" i="47" s="1"/>
  <c r="Y476" i="47" s="1"/>
  <c r="J477" i="47"/>
  <c r="K477" i="47" s="1"/>
  <c r="Y477" i="47" s="1"/>
  <c r="J478" i="47"/>
  <c r="K478" i="47" s="1"/>
  <c r="Y478" i="47" s="1"/>
  <c r="J479" i="47"/>
  <c r="K479" i="47" s="1"/>
  <c r="J480" i="47"/>
  <c r="K480" i="47" s="1"/>
  <c r="Y480" i="47" s="1"/>
  <c r="N480" i="47"/>
  <c r="J481" i="47"/>
  <c r="K481" i="47" s="1"/>
  <c r="J482" i="47"/>
  <c r="K482" i="47" s="1"/>
  <c r="Y482" i="47" s="1"/>
  <c r="J483" i="47"/>
  <c r="K483" i="47" s="1"/>
  <c r="N483" i="47"/>
  <c r="J484" i="47"/>
  <c r="K484" i="47" s="1"/>
  <c r="Y484" i="47" s="1"/>
  <c r="J485" i="47"/>
  <c r="K485" i="47" s="1"/>
  <c r="Y485" i="47" s="1"/>
  <c r="J486" i="47"/>
  <c r="K486" i="47" s="1"/>
  <c r="Y486" i="47" s="1"/>
  <c r="J487" i="47"/>
  <c r="K487" i="47" s="1"/>
  <c r="J488" i="47"/>
  <c r="K488" i="47" s="1"/>
  <c r="Y488" i="47" s="1"/>
  <c r="N488" i="47"/>
  <c r="J489" i="47"/>
  <c r="K489" i="47" s="1"/>
  <c r="J490" i="47"/>
  <c r="K490" i="47" s="1"/>
  <c r="Y490" i="47" s="1"/>
  <c r="J491" i="47"/>
  <c r="K491" i="47" s="1"/>
  <c r="Y491" i="47" s="1"/>
  <c r="N491" i="47"/>
  <c r="J492" i="47"/>
  <c r="K492" i="47" s="1"/>
  <c r="Y492" i="47" s="1"/>
  <c r="J493" i="47"/>
  <c r="K493" i="47" s="1"/>
  <c r="J494" i="47"/>
  <c r="K494" i="47" s="1"/>
  <c r="Y494" i="47" s="1"/>
  <c r="J495" i="47"/>
  <c r="K495" i="47" s="1"/>
  <c r="J496" i="47"/>
  <c r="K496" i="47" s="1"/>
  <c r="Y496" i="47" s="1"/>
  <c r="J497" i="47"/>
  <c r="K497" i="47" s="1"/>
  <c r="J498" i="47"/>
  <c r="K498" i="47" s="1"/>
  <c r="Y498" i="47" s="1"/>
  <c r="J499" i="47"/>
  <c r="K499" i="47" s="1"/>
  <c r="Y499" i="47" s="1"/>
  <c r="J500" i="47"/>
  <c r="K500" i="47" s="1"/>
  <c r="Y500" i="47" s="1"/>
  <c r="J501" i="47"/>
  <c r="K501" i="47" s="1"/>
  <c r="J502" i="47"/>
  <c r="K502" i="47" s="1"/>
  <c r="Y502" i="47" s="1"/>
  <c r="J503" i="47"/>
  <c r="K503" i="47" s="1"/>
  <c r="J504" i="47"/>
  <c r="K504" i="47" s="1"/>
  <c r="Y504" i="47" s="1"/>
  <c r="J505" i="47"/>
  <c r="K505" i="47" s="1"/>
  <c r="J506" i="47"/>
  <c r="K506" i="47" s="1"/>
  <c r="Y506" i="47" s="1"/>
  <c r="J507" i="47"/>
  <c r="K507" i="47" s="1"/>
  <c r="J508" i="47"/>
  <c r="K508" i="47" s="1"/>
  <c r="Y508" i="47" s="1"/>
  <c r="J509" i="47"/>
  <c r="K509" i="47" s="1"/>
  <c r="J510" i="47"/>
  <c r="K510" i="47" s="1"/>
  <c r="Y510" i="47" s="1"/>
  <c r="J511" i="47"/>
  <c r="K511" i="47" s="1"/>
  <c r="J512" i="47"/>
  <c r="K512" i="47" s="1"/>
  <c r="Y512" i="47" s="1"/>
  <c r="N512" i="47"/>
  <c r="J513" i="47"/>
  <c r="K513" i="47" s="1"/>
  <c r="Y513" i="47" s="1"/>
  <c r="J514" i="47"/>
  <c r="K514" i="47" s="1"/>
  <c r="Y514" i="47" s="1"/>
  <c r="J515" i="47"/>
  <c r="K515" i="47" s="1"/>
  <c r="J516" i="47"/>
  <c r="K516" i="47" s="1"/>
  <c r="Y516" i="47" s="1"/>
  <c r="J517" i="47"/>
  <c r="K517" i="47" s="1"/>
  <c r="J518" i="47"/>
  <c r="K518" i="47" s="1"/>
  <c r="Y518" i="47" s="1"/>
  <c r="J519" i="47"/>
  <c r="K519" i="47" s="1"/>
  <c r="Y519" i="47" s="1"/>
  <c r="N519" i="47"/>
  <c r="J520" i="47"/>
  <c r="K520" i="47" s="1"/>
  <c r="Y520" i="47" s="1"/>
  <c r="N520" i="47"/>
  <c r="J521" i="47"/>
  <c r="K521" i="47" s="1"/>
  <c r="Y521" i="47" s="1"/>
  <c r="J522" i="47"/>
  <c r="K522" i="47" s="1"/>
  <c r="J523" i="47"/>
  <c r="K523" i="47" s="1"/>
  <c r="J524" i="47"/>
  <c r="K524" i="47" s="1"/>
  <c r="Y524" i="47" s="1"/>
  <c r="J525" i="47"/>
  <c r="K525" i="47" s="1"/>
  <c r="J526" i="47"/>
  <c r="K526" i="47" s="1"/>
  <c r="Y526" i="47" s="1"/>
  <c r="J527" i="47"/>
  <c r="K527" i="47" s="1"/>
  <c r="Y527" i="47" s="1"/>
  <c r="N527" i="47"/>
  <c r="J528" i="47"/>
  <c r="K528" i="47" s="1"/>
  <c r="Y528" i="47" s="1"/>
  <c r="N528" i="47"/>
  <c r="J529" i="47"/>
  <c r="K529" i="47" s="1"/>
  <c r="Y529" i="47" s="1"/>
  <c r="J530" i="47"/>
  <c r="K530" i="47" s="1"/>
  <c r="Y530" i="47" s="1"/>
  <c r="J531" i="47"/>
  <c r="K531" i="47" s="1"/>
  <c r="J532" i="47"/>
  <c r="K532" i="47" s="1"/>
  <c r="J533" i="47"/>
  <c r="K533" i="47" s="1"/>
  <c r="Y533" i="47" s="1"/>
  <c r="J534" i="47"/>
  <c r="K534" i="47" s="1"/>
  <c r="Y534" i="47" s="1"/>
  <c r="J535" i="47"/>
  <c r="K535" i="47" s="1"/>
  <c r="J536" i="47"/>
  <c r="K536" i="47" s="1"/>
  <c r="Y536" i="47" s="1"/>
  <c r="N536" i="47"/>
  <c r="J537" i="47"/>
  <c r="K537" i="47" s="1"/>
  <c r="J538" i="47"/>
  <c r="K538" i="47" s="1"/>
  <c r="Y538" i="47" s="1"/>
  <c r="J539" i="47"/>
  <c r="K539" i="47" s="1"/>
  <c r="N539" i="47"/>
  <c r="J540" i="47"/>
  <c r="K540" i="47" s="1"/>
  <c r="Y540" i="47" s="1"/>
  <c r="J541" i="47"/>
  <c r="K541" i="47" s="1"/>
  <c r="J542" i="47"/>
  <c r="K542" i="47" s="1"/>
  <c r="Y542" i="47" s="1"/>
  <c r="J543" i="47"/>
  <c r="K543" i="47" s="1"/>
  <c r="Y543" i="47" s="1"/>
  <c r="J544" i="47"/>
  <c r="K544" i="47" s="1"/>
  <c r="Y544" i="47" s="1"/>
  <c r="N544" i="47"/>
  <c r="J545" i="47"/>
  <c r="K545" i="47" s="1"/>
  <c r="Y545" i="47" s="1"/>
  <c r="J546" i="47"/>
  <c r="K546" i="47" s="1"/>
  <c r="Y546" i="47" s="1"/>
  <c r="J547" i="47"/>
  <c r="K547" i="47" s="1"/>
  <c r="J548" i="47"/>
  <c r="K548" i="47" s="1"/>
  <c r="Y548" i="47" s="1"/>
  <c r="J549" i="47"/>
  <c r="K549" i="47" s="1"/>
  <c r="Y549" i="47" s="1"/>
  <c r="J550" i="47"/>
  <c r="K550" i="47" s="1"/>
  <c r="Y550" i="47" s="1"/>
  <c r="J551" i="47"/>
  <c r="K551" i="47" s="1"/>
  <c r="Y551" i="47" s="1"/>
  <c r="J552" i="47"/>
  <c r="K552" i="47" s="1"/>
  <c r="Y552" i="47" s="1"/>
  <c r="N552" i="47"/>
  <c r="J553" i="47"/>
  <c r="K553" i="47" s="1"/>
  <c r="Y553" i="47" s="1"/>
  <c r="J554" i="47"/>
  <c r="K554" i="47" s="1"/>
  <c r="Y554" i="47" s="1"/>
  <c r="J555" i="47"/>
  <c r="K555" i="47" s="1"/>
  <c r="J556" i="47"/>
  <c r="K556" i="47" s="1"/>
  <c r="Y556" i="47" s="1"/>
  <c r="J557" i="47"/>
  <c r="K557" i="47" s="1"/>
  <c r="Y557" i="47" s="1"/>
  <c r="J558" i="47"/>
  <c r="K558" i="47" s="1"/>
  <c r="Y558" i="47" s="1"/>
  <c r="J559" i="47"/>
  <c r="K559" i="47" s="1"/>
  <c r="Y559" i="47" s="1"/>
  <c r="N559" i="47"/>
  <c r="J560" i="47"/>
  <c r="K560" i="47" s="1"/>
  <c r="Y560" i="47" s="1"/>
  <c r="N560" i="47"/>
  <c r="J561" i="47"/>
  <c r="K561" i="47" s="1"/>
  <c r="J562" i="47"/>
  <c r="K562" i="47" s="1"/>
  <c r="Y562" i="47" s="1"/>
  <c r="J563" i="47"/>
  <c r="K563" i="47" s="1"/>
  <c r="Y563" i="47" s="1"/>
  <c r="J564" i="47"/>
  <c r="K564" i="47" s="1"/>
  <c r="Y564" i="47" s="1"/>
  <c r="J565" i="47"/>
  <c r="K565" i="47" s="1"/>
  <c r="J566" i="47"/>
  <c r="K566" i="47" s="1"/>
  <c r="J567" i="47"/>
  <c r="K567" i="47" s="1"/>
  <c r="J568" i="47"/>
  <c r="K568" i="47" s="1"/>
  <c r="Y568" i="47" s="1"/>
  <c r="J569" i="47"/>
  <c r="K569" i="47" s="1"/>
  <c r="Y569" i="47" s="1"/>
  <c r="J570" i="47"/>
  <c r="K570" i="47" s="1"/>
  <c r="Y570" i="47" s="1"/>
  <c r="J571" i="47"/>
  <c r="K571" i="47" s="1"/>
  <c r="Y571" i="47" s="1"/>
  <c r="N571" i="47"/>
  <c r="J572" i="47"/>
  <c r="K572" i="47" s="1"/>
  <c r="Y572" i="47" s="1"/>
  <c r="J573" i="47"/>
  <c r="K573" i="47" s="1"/>
  <c r="J574" i="47"/>
  <c r="K574" i="47" s="1"/>
  <c r="Y574" i="47" s="1"/>
  <c r="J575" i="47"/>
  <c r="K575" i="47" s="1"/>
  <c r="J576" i="47"/>
  <c r="K576" i="47" s="1"/>
  <c r="Y576" i="47" s="1"/>
  <c r="N576" i="47"/>
  <c r="J577" i="47"/>
  <c r="K577" i="47" s="1"/>
  <c r="Y577" i="47" s="1"/>
  <c r="J578" i="47"/>
  <c r="K578" i="47" s="1"/>
  <c r="Y578" i="47" s="1"/>
  <c r="J579" i="47"/>
  <c r="K579" i="47" s="1"/>
  <c r="J580" i="47"/>
  <c r="K580" i="47" s="1"/>
  <c r="Y580" i="47" s="1"/>
  <c r="J581" i="47"/>
  <c r="K581" i="47" s="1"/>
  <c r="J582" i="47"/>
  <c r="K582" i="47" s="1"/>
  <c r="Y582" i="47" s="1"/>
  <c r="J583" i="47"/>
  <c r="K583" i="47" s="1"/>
  <c r="Y583" i="47" s="1"/>
  <c r="J584" i="47"/>
  <c r="K584" i="47" s="1"/>
  <c r="N584" i="47"/>
  <c r="J585" i="47"/>
  <c r="K585" i="47" s="1"/>
  <c r="Y585" i="47" s="1"/>
  <c r="J586" i="47"/>
  <c r="K586" i="47" s="1"/>
  <c r="Y586" i="47" s="1"/>
  <c r="J587" i="47"/>
  <c r="K587" i="47" s="1"/>
  <c r="J588" i="47"/>
  <c r="K588" i="47" s="1"/>
  <c r="Y588" i="47" s="1"/>
  <c r="J589" i="47"/>
  <c r="K589" i="47" s="1"/>
  <c r="Y589" i="47" s="1"/>
  <c r="J590" i="47"/>
  <c r="K590" i="47" s="1"/>
  <c r="Y590" i="47" s="1"/>
  <c r="J591" i="47"/>
  <c r="K591" i="47" s="1"/>
  <c r="N591" i="47"/>
  <c r="J592" i="47"/>
  <c r="K592" i="47" s="1"/>
  <c r="Y592" i="47" s="1"/>
  <c r="N592" i="47"/>
  <c r="J593" i="47"/>
  <c r="K593" i="47" s="1"/>
  <c r="J594" i="47"/>
  <c r="K594" i="47" s="1"/>
  <c r="Y594" i="47" s="1"/>
  <c r="J595" i="47"/>
  <c r="K595" i="47" s="1"/>
  <c r="J596" i="47"/>
  <c r="K596" i="47" s="1"/>
  <c r="Y596" i="47" s="1"/>
  <c r="J597" i="47"/>
  <c r="K597" i="47" s="1"/>
  <c r="Y597" i="47" s="1"/>
  <c r="J598" i="47"/>
  <c r="K598" i="47" s="1"/>
  <c r="Y598" i="47" s="1"/>
  <c r="J599" i="47"/>
  <c r="K599" i="47" s="1"/>
  <c r="J600" i="47"/>
  <c r="K600" i="47" s="1"/>
  <c r="Y600" i="47" s="1"/>
  <c r="N600" i="47"/>
  <c r="J601" i="47"/>
  <c r="K601" i="47" s="1"/>
  <c r="Y601" i="47" s="1"/>
  <c r="J602" i="47"/>
  <c r="K602" i="47" s="1"/>
  <c r="Y602" i="47" s="1"/>
  <c r="J603" i="47"/>
  <c r="K603" i="47" s="1"/>
  <c r="N603" i="47"/>
  <c r="J604" i="47"/>
  <c r="K604" i="47" s="1"/>
  <c r="Y604" i="47" s="1"/>
  <c r="J605" i="47"/>
  <c r="K605" i="47" s="1"/>
  <c r="J606" i="47"/>
  <c r="K606" i="47" s="1"/>
  <c r="Y606" i="47" s="1"/>
  <c r="J607" i="47"/>
  <c r="K607" i="47" s="1"/>
  <c r="J608" i="47"/>
  <c r="K608" i="47" s="1"/>
  <c r="Y608" i="47" s="1"/>
  <c r="N608" i="47"/>
  <c r="J609" i="47"/>
  <c r="K609" i="47" s="1"/>
  <c r="J610" i="47"/>
  <c r="K610" i="47" s="1"/>
  <c r="Y610" i="47" s="1"/>
  <c r="J611" i="47"/>
  <c r="K611" i="47" s="1"/>
  <c r="J612" i="47"/>
  <c r="K612" i="47" s="1"/>
  <c r="Y612" i="47" s="1"/>
  <c r="J613" i="47"/>
  <c r="K613" i="47" s="1"/>
  <c r="Y613" i="47" s="1"/>
  <c r="J614" i="47"/>
  <c r="K614" i="47" s="1"/>
  <c r="Y614" i="47" s="1"/>
  <c r="J615" i="47"/>
  <c r="K615" i="47" s="1"/>
  <c r="Y615" i="47" s="1"/>
  <c r="J616" i="47"/>
  <c r="K616" i="47" s="1"/>
  <c r="Y616" i="47" s="1"/>
  <c r="N616" i="47"/>
  <c r="J617" i="47"/>
  <c r="K617" i="47" s="1"/>
  <c r="Y617" i="47" s="1"/>
  <c r="J618" i="47"/>
  <c r="K618" i="47" s="1"/>
  <c r="Y618" i="47" s="1"/>
  <c r="J619" i="47"/>
  <c r="K619" i="47" s="1"/>
  <c r="J620" i="47"/>
  <c r="K620" i="47" s="1"/>
  <c r="Y620" i="47" s="1"/>
  <c r="J621" i="47"/>
  <c r="K621" i="47" s="1"/>
  <c r="Y621" i="47" s="1"/>
  <c r="J622" i="47"/>
  <c r="K622" i="47" s="1"/>
  <c r="Y622" i="47" s="1"/>
  <c r="J623" i="47"/>
  <c r="K623" i="47" s="1"/>
  <c r="N623" i="47"/>
  <c r="J624" i="47"/>
  <c r="K624" i="47" s="1"/>
  <c r="Y624" i="47" s="1"/>
  <c r="N624" i="47"/>
  <c r="J625" i="47"/>
  <c r="K625" i="47" s="1"/>
  <c r="J626" i="47"/>
  <c r="K626" i="47" s="1"/>
  <c r="Y626" i="47" s="1"/>
  <c r="J627" i="47"/>
  <c r="K627" i="47" s="1"/>
  <c r="J628" i="47"/>
  <c r="K628" i="47" s="1"/>
  <c r="Y628" i="47" s="1"/>
  <c r="J629" i="47"/>
  <c r="K629" i="47" s="1"/>
  <c r="J630" i="47"/>
  <c r="K630" i="47" s="1"/>
  <c r="Y630" i="47" s="1"/>
  <c r="J631" i="47"/>
  <c r="K631" i="47" s="1"/>
  <c r="Y631" i="47" s="1"/>
  <c r="J632" i="47"/>
  <c r="K632" i="47" s="1"/>
  <c r="Y632" i="47" s="1"/>
  <c r="N632" i="47"/>
  <c r="J633" i="47"/>
  <c r="K633" i="47" s="1"/>
  <c r="Y633" i="47" s="1"/>
  <c r="J634" i="47"/>
  <c r="K634" i="47" s="1"/>
  <c r="Y634" i="47" s="1"/>
  <c r="J635" i="47"/>
  <c r="K635" i="47" s="1"/>
  <c r="J636" i="47"/>
  <c r="K636" i="47" s="1"/>
  <c r="Y636" i="47" s="1"/>
  <c r="J637" i="47"/>
  <c r="K637" i="47" s="1"/>
  <c r="Y637" i="47" s="1"/>
  <c r="J638" i="47"/>
  <c r="K638" i="47" s="1"/>
  <c r="Y638" i="47" s="1"/>
  <c r="J639" i="47"/>
  <c r="K639" i="47" s="1"/>
  <c r="J640" i="47"/>
  <c r="K640" i="47" s="1"/>
  <c r="Y640" i="47" s="1"/>
  <c r="N640" i="47"/>
  <c r="J641" i="47"/>
  <c r="K641" i="47" s="1"/>
  <c r="J642" i="47"/>
  <c r="K642" i="47" s="1"/>
  <c r="Y642" i="47" s="1"/>
  <c r="J643" i="47"/>
  <c r="K643" i="47" s="1"/>
  <c r="N643" i="47"/>
  <c r="J644" i="47"/>
  <c r="K644" i="47" s="1"/>
  <c r="Y644" i="47" s="1"/>
  <c r="J645" i="47"/>
  <c r="K645" i="47" s="1"/>
  <c r="Y645" i="47" s="1"/>
  <c r="J646" i="47"/>
  <c r="K646" i="47" s="1"/>
  <c r="Y646" i="47" s="1"/>
  <c r="J647" i="47"/>
  <c r="K647" i="47" s="1"/>
  <c r="Y647" i="47" s="1"/>
  <c r="J648" i="47"/>
  <c r="K648" i="47" s="1"/>
  <c r="N648" i="47"/>
  <c r="J649" i="47"/>
  <c r="K649" i="47" s="1"/>
  <c r="Y649" i="47" s="1"/>
  <c r="J650" i="47"/>
  <c r="K650" i="47" s="1"/>
  <c r="Y650" i="47" s="1"/>
  <c r="J651" i="47"/>
  <c r="K651" i="47" s="1"/>
  <c r="J652" i="47"/>
  <c r="K652" i="47" s="1"/>
  <c r="Y652" i="47" s="1"/>
  <c r="J653" i="47"/>
  <c r="K653" i="47" s="1"/>
  <c r="Y653" i="47" s="1"/>
  <c r="J654" i="47"/>
  <c r="K654" i="47" s="1"/>
  <c r="Y654" i="47" s="1"/>
  <c r="J655" i="47"/>
  <c r="K655" i="47" s="1"/>
  <c r="Y655" i="47" s="1"/>
  <c r="J656" i="47"/>
  <c r="K656" i="47" s="1"/>
  <c r="Y656" i="47" s="1"/>
  <c r="N656" i="47"/>
  <c r="J657" i="47"/>
  <c r="K657" i="47" s="1"/>
  <c r="Y657" i="47" s="1"/>
  <c r="J658" i="47"/>
  <c r="K658" i="47" s="1"/>
  <c r="J659" i="47"/>
  <c r="K659" i="47" s="1"/>
  <c r="Y659" i="47" s="1"/>
  <c r="J660" i="47"/>
  <c r="K660" i="47" s="1"/>
  <c r="Y660" i="47" s="1"/>
  <c r="J661" i="47"/>
  <c r="K661" i="47" s="1"/>
  <c r="J662" i="47"/>
  <c r="K662" i="47" s="1"/>
  <c r="J663" i="47"/>
  <c r="K663" i="47" s="1"/>
  <c r="J664" i="47"/>
  <c r="K664" i="47" s="1"/>
  <c r="Y664" i="47" s="1"/>
  <c r="N664" i="47"/>
  <c r="J665" i="47"/>
  <c r="K665" i="47" s="1"/>
  <c r="J666" i="47"/>
  <c r="K666" i="47" s="1"/>
  <c r="Y666" i="47" s="1"/>
  <c r="J667" i="47"/>
  <c r="K667" i="47" s="1"/>
  <c r="Y667" i="47" s="1"/>
  <c r="J668" i="47"/>
  <c r="K668" i="47" s="1"/>
  <c r="Y668" i="47" s="1"/>
  <c r="J669" i="47"/>
  <c r="K669" i="47" s="1"/>
  <c r="Y669" i="47" s="1"/>
  <c r="J670" i="47"/>
  <c r="K670" i="47" s="1"/>
  <c r="Y670" i="47" s="1"/>
  <c r="J671" i="47"/>
  <c r="K671" i="47" s="1"/>
  <c r="Y671" i="47" s="1"/>
  <c r="J672" i="47"/>
  <c r="K672" i="47" s="1"/>
  <c r="Y672" i="47" s="1"/>
  <c r="N672" i="47"/>
  <c r="J673" i="47"/>
  <c r="K673" i="47" s="1"/>
  <c r="Y673" i="47" s="1"/>
  <c r="J674" i="47"/>
  <c r="K674" i="47" s="1"/>
  <c r="Y674" i="47" s="1"/>
  <c r="J675" i="47"/>
  <c r="K675" i="47" s="1"/>
  <c r="N675" i="47"/>
  <c r="J676" i="47"/>
  <c r="K676" i="47" s="1"/>
  <c r="Y676" i="47" s="1"/>
  <c r="J677" i="47"/>
  <c r="K677" i="47" s="1"/>
  <c r="J678" i="47"/>
  <c r="K678" i="47" s="1"/>
  <c r="Y678" i="47" s="1"/>
  <c r="J679" i="47"/>
  <c r="K679" i="47" s="1"/>
  <c r="J680" i="47"/>
  <c r="K680" i="47" s="1"/>
  <c r="Y680" i="47" s="1"/>
  <c r="N680" i="47"/>
  <c r="J681" i="47"/>
  <c r="K681" i="47" s="1"/>
  <c r="J682" i="47"/>
  <c r="K682" i="47" s="1"/>
  <c r="Y682" i="47" s="1"/>
  <c r="J683" i="47"/>
  <c r="K683" i="47" s="1"/>
  <c r="Y683" i="47" s="1"/>
  <c r="J684" i="47"/>
  <c r="K684" i="47" s="1"/>
  <c r="Y684" i="47" s="1"/>
  <c r="J685" i="47"/>
  <c r="K685" i="47" s="1"/>
  <c r="Y685" i="47" s="1"/>
  <c r="J686" i="47"/>
  <c r="K686" i="47" s="1"/>
  <c r="J687" i="47"/>
  <c r="K687" i="47" s="1"/>
  <c r="Y687" i="47" s="1"/>
  <c r="J688" i="47"/>
  <c r="K688" i="47" s="1"/>
  <c r="Y688" i="47" s="1"/>
  <c r="N688" i="47"/>
  <c r="J689" i="47"/>
  <c r="K689" i="47" s="1"/>
  <c r="Y689" i="47" s="1"/>
  <c r="J690" i="47"/>
  <c r="K690" i="47" s="1"/>
  <c r="Y690" i="47" s="1"/>
  <c r="J691" i="47"/>
  <c r="K691" i="47" s="1"/>
  <c r="J692" i="47"/>
  <c r="K692" i="47" s="1"/>
  <c r="Y692" i="47" s="1"/>
  <c r="J693" i="47"/>
  <c r="K693" i="47" s="1"/>
  <c r="J694" i="47"/>
  <c r="K694" i="47" s="1"/>
  <c r="Y694" i="47" s="1"/>
  <c r="J695" i="47"/>
  <c r="K695" i="47" s="1"/>
  <c r="N695" i="47"/>
  <c r="J696" i="47"/>
  <c r="K696" i="47" s="1"/>
  <c r="Y696" i="47" s="1"/>
  <c r="N696" i="47"/>
  <c r="J697" i="47"/>
  <c r="K697" i="47" s="1"/>
  <c r="Y697" i="47" s="1"/>
  <c r="J698" i="47"/>
  <c r="K698" i="47" s="1"/>
  <c r="Y698" i="47" s="1"/>
  <c r="J699" i="47"/>
  <c r="K699" i="47" s="1"/>
  <c r="Y699" i="47" s="1"/>
  <c r="J700" i="47"/>
  <c r="K700" i="47" s="1"/>
  <c r="Y700" i="47" s="1"/>
  <c r="J701" i="47"/>
  <c r="K701" i="47" s="1"/>
  <c r="Y701" i="47" s="1"/>
  <c r="J702" i="47"/>
  <c r="K702" i="47" s="1"/>
  <c r="Y702" i="47" s="1"/>
  <c r="J703" i="47"/>
  <c r="K703" i="47" s="1"/>
  <c r="Y703" i="47" s="1"/>
  <c r="J704" i="47"/>
  <c r="K704" i="47" s="1"/>
  <c r="Y704" i="47" s="1"/>
  <c r="N704" i="47"/>
  <c r="J705" i="47"/>
  <c r="K705" i="47" s="1"/>
  <c r="J706" i="47"/>
  <c r="K706" i="47" s="1"/>
  <c r="Y706" i="47" s="1"/>
  <c r="J707" i="47"/>
  <c r="K707" i="47" s="1"/>
  <c r="Y707" i="47" s="1"/>
  <c r="N707" i="47"/>
  <c r="J708" i="47"/>
  <c r="K708" i="47" s="1"/>
  <c r="Y708" i="47" s="1"/>
  <c r="J709" i="47"/>
  <c r="K709" i="47" s="1"/>
  <c r="J710" i="47"/>
  <c r="K710" i="47" s="1"/>
  <c r="Y710" i="47" s="1"/>
  <c r="J711" i="47"/>
  <c r="K711" i="47" s="1"/>
  <c r="J712" i="47"/>
  <c r="K712" i="47" s="1"/>
  <c r="Y712" i="47" s="1"/>
  <c r="N712" i="47"/>
  <c r="J713" i="47"/>
  <c r="K713" i="47" s="1"/>
  <c r="Y713" i="47" s="1"/>
  <c r="J714" i="47"/>
  <c r="K714" i="47" s="1"/>
  <c r="Y714" i="47" s="1"/>
  <c r="J715" i="47"/>
  <c r="K715" i="47" s="1"/>
  <c r="Y715" i="47" s="1"/>
  <c r="J716" i="47"/>
  <c r="K716" i="47" s="1"/>
  <c r="Y716" i="47" s="1"/>
  <c r="J717" i="47"/>
  <c r="K717" i="47" s="1"/>
  <c r="Y717" i="47" s="1"/>
  <c r="J718" i="47"/>
  <c r="K718" i="47" s="1"/>
  <c r="Y718" i="47" s="1"/>
  <c r="J719" i="47"/>
  <c r="K719" i="47" s="1"/>
  <c r="Y719" i="47" s="1"/>
  <c r="N719" i="47"/>
  <c r="J720" i="47"/>
  <c r="K720" i="47" s="1"/>
  <c r="Y720" i="47" s="1"/>
  <c r="N720" i="47"/>
  <c r="J721" i="47"/>
  <c r="K721" i="47" s="1"/>
  <c r="J722" i="47"/>
  <c r="K722" i="47" s="1"/>
  <c r="Y722" i="47" s="1"/>
  <c r="J723" i="47"/>
  <c r="K723" i="47" s="1"/>
  <c r="Y723" i="47" s="1"/>
  <c r="J724" i="47"/>
  <c r="K724" i="47" s="1"/>
  <c r="Y724" i="47" s="1"/>
  <c r="J725" i="47"/>
  <c r="K725" i="47" s="1"/>
  <c r="J726" i="47"/>
  <c r="K726" i="47" s="1"/>
  <c r="Y726" i="47" s="1"/>
  <c r="J727" i="47"/>
  <c r="K727" i="47" s="1"/>
  <c r="Y727" i="47" s="1"/>
  <c r="N727" i="47"/>
  <c r="J728" i="47"/>
  <c r="K728" i="47" s="1"/>
  <c r="Y728" i="47" s="1"/>
  <c r="N728" i="47"/>
  <c r="J729" i="47"/>
  <c r="K729" i="47" s="1"/>
  <c r="Y729" i="47" s="1"/>
  <c r="J730" i="47"/>
  <c r="K730" i="47" s="1"/>
  <c r="Y730" i="47" s="1"/>
  <c r="J731" i="47"/>
  <c r="K731" i="47" s="1"/>
  <c r="J732" i="47"/>
  <c r="K732" i="47" s="1"/>
  <c r="J733" i="47"/>
  <c r="K733" i="47" s="1"/>
  <c r="Y733" i="47" s="1"/>
  <c r="J734" i="47"/>
  <c r="K734" i="47" s="1"/>
  <c r="Y734" i="47" s="1"/>
  <c r="J735" i="47"/>
  <c r="K735" i="47" s="1"/>
  <c r="J736" i="47"/>
  <c r="K736" i="47" s="1"/>
  <c r="Y736" i="47" s="1"/>
  <c r="N736" i="47"/>
  <c r="J737" i="47"/>
  <c r="K737" i="47" s="1"/>
  <c r="Y737" i="47" s="1"/>
  <c r="J738" i="47"/>
  <c r="K738" i="47" s="1"/>
  <c r="Y738" i="47" s="1"/>
  <c r="J739" i="47"/>
  <c r="K739" i="47" s="1"/>
  <c r="N739" i="47"/>
  <c r="J740" i="47"/>
  <c r="K740" i="47" s="1"/>
  <c r="Y740" i="47" s="1"/>
  <c r="J741" i="47"/>
  <c r="K741" i="47" s="1"/>
  <c r="Y741" i="47" s="1"/>
  <c r="J742" i="47"/>
  <c r="K742" i="47" s="1"/>
  <c r="J743" i="47"/>
  <c r="K743" i="47" s="1"/>
  <c r="Y743" i="47" s="1"/>
  <c r="N743" i="47"/>
  <c r="J744" i="47"/>
  <c r="K744" i="47" s="1"/>
  <c r="Y744" i="47" s="1"/>
  <c r="N744" i="47"/>
  <c r="J745" i="47"/>
  <c r="K745" i="47" s="1"/>
  <c r="J746" i="47"/>
  <c r="K746" i="47" s="1"/>
  <c r="Y746" i="47" s="1"/>
  <c r="J747" i="47"/>
  <c r="K747" i="47" s="1"/>
  <c r="J748" i="47"/>
  <c r="K748" i="47" s="1"/>
  <c r="J749" i="47"/>
  <c r="K749" i="47" s="1"/>
  <c r="Y749" i="47" s="1"/>
  <c r="J750" i="47"/>
  <c r="K750" i="47" s="1"/>
  <c r="Y750" i="47" s="1"/>
  <c r="J751" i="47"/>
  <c r="K751" i="47" s="1"/>
  <c r="J752" i="47"/>
  <c r="K752" i="47" s="1"/>
  <c r="Y752" i="47" s="1"/>
  <c r="N752" i="47"/>
  <c r="J753" i="47"/>
  <c r="K753" i="47" s="1"/>
  <c r="J754" i="47"/>
  <c r="K754" i="47" s="1"/>
  <c r="Y754" i="47" s="1"/>
  <c r="J755" i="47"/>
  <c r="K755" i="47" s="1"/>
  <c r="J756" i="47"/>
  <c r="K756" i="47" s="1"/>
  <c r="Y756" i="47" s="1"/>
  <c r="J757" i="47"/>
  <c r="K757" i="47" s="1"/>
  <c r="J758" i="47"/>
  <c r="K758" i="47" s="1"/>
  <c r="Y758" i="47" s="1"/>
  <c r="J759" i="47"/>
  <c r="K759" i="47" s="1"/>
  <c r="N759" i="47"/>
  <c r="J760" i="47"/>
  <c r="K760" i="47" s="1"/>
  <c r="Y760" i="47" s="1"/>
  <c r="J761" i="47"/>
  <c r="K761" i="47" s="1"/>
  <c r="J762" i="47"/>
  <c r="K762" i="47" s="1"/>
  <c r="Y762" i="47" s="1"/>
  <c r="J763" i="47"/>
  <c r="K763" i="47" s="1"/>
  <c r="Y763" i="47" s="1"/>
  <c r="J764" i="47"/>
  <c r="K764" i="47" s="1"/>
  <c r="Y764" i="47" s="1"/>
  <c r="J765" i="47"/>
  <c r="K765" i="47" s="1"/>
  <c r="J766" i="47"/>
  <c r="K766" i="47" s="1"/>
  <c r="Y766" i="47" s="1"/>
  <c r="J767" i="47"/>
  <c r="K767" i="47" s="1"/>
  <c r="N767" i="47"/>
  <c r="J768" i="47"/>
  <c r="K768" i="47" s="1"/>
  <c r="Y768" i="47" s="1"/>
  <c r="N768" i="47"/>
  <c r="J769" i="47"/>
  <c r="K769" i="47" s="1"/>
  <c r="Y769" i="47" s="1"/>
  <c r="J770" i="47"/>
  <c r="K770" i="47" s="1"/>
  <c r="Y770" i="47" s="1"/>
  <c r="J771" i="47"/>
  <c r="K771" i="47" s="1"/>
  <c r="Y771" i="47" s="1"/>
  <c r="J772" i="47"/>
  <c r="K772" i="47" s="1"/>
  <c r="Y772" i="47" s="1"/>
  <c r="J773" i="47"/>
  <c r="K773" i="47" s="1"/>
  <c r="J774" i="47"/>
  <c r="K774" i="47" s="1"/>
  <c r="Y774" i="47" s="1"/>
  <c r="J775" i="47"/>
  <c r="K775" i="47" s="1"/>
  <c r="Y775" i="47" s="1"/>
  <c r="J776" i="47"/>
  <c r="K776" i="47" s="1"/>
  <c r="Y776" i="47" s="1"/>
  <c r="N776" i="47"/>
  <c r="J777" i="47"/>
  <c r="K777" i="47" s="1"/>
  <c r="J778" i="47"/>
  <c r="K778" i="47" s="1"/>
  <c r="Y778" i="47" s="1"/>
  <c r="J779" i="47"/>
  <c r="K779" i="47" s="1"/>
  <c r="Y779" i="47" s="1"/>
  <c r="N779" i="47"/>
  <c r="J780" i="47"/>
  <c r="K780" i="47" s="1"/>
  <c r="Y780" i="47" s="1"/>
  <c r="J781" i="47"/>
  <c r="K781" i="47" s="1"/>
  <c r="Y781" i="47" s="1"/>
  <c r="J782" i="47"/>
  <c r="K782" i="47" s="1"/>
  <c r="Y782" i="47" s="1"/>
  <c r="J783" i="47"/>
  <c r="K783" i="47" s="1"/>
  <c r="Y783" i="47" s="1"/>
  <c r="J784" i="47"/>
  <c r="K784" i="47" s="1"/>
  <c r="Y784" i="47" s="1"/>
  <c r="N784" i="47"/>
  <c r="J785" i="47"/>
  <c r="K785" i="47" s="1"/>
  <c r="J786" i="47"/>
  <c r="K786" i="47" s="1"/>
  <c r="Y786" i="47" s="1"/>
  <c r="J787" i="47"/>
  <c r="K787" i="47" s="1"/>
  <c r="J788" i="47"/>
  <c r="K788" i="47" s="1"/>
  <c r="Y788" i="47" s="1"/>
  <c r="J789" i="47"/>
  <c r="K789" i="47" s="1"/>
  <c r="J790" i="47"/>
  <c r="K790" i="47" s="1"/>
  <c r="Y790" i="47" s="1"/>
  <c r="J791" i="47"/>
  <c r="K791" i="47" s="1"/>
  <c r="Y791" i="47" s="1"/>
  <c r="J792" i="47"/>
  <c r="K792" i="47" s="1"/>
  <c r="Y792" i="47" s="1"/>
  <c r="N792" i="47"/>
  <c r="J793" i="47"/>
  <c r="K793" i="47" s="1"/>
  <c r="Y793" i="47" s="1"/>
  <c r="J794" i="47"/>
  <c r="K794" i="47" s="1"/>
  <c r="Y794" i="47" s="1"/>
  <c r="J795" i="47"/>
  <c r="K795" i="47" s="1"/>
  <c r="Y795" i="47" s="1"/>
  <c r="J796" i="47"/>
  <c r="K796" i="47" s="1"/>
  <c r="Y796" i="47" s="1"/>
  <c r="J797" i="47"/>
  <c r="K797" i="47" s="1"/>
  <c r="Y797" i="47" s="1"/>
  <c r="J798" i="47"/>
  <c r="K798" i="47" s="1"/>
  <c r="Y798" i="47" s="1"/>
  <c r="J799" i="47"/>
  <c r="K799" i="47" s="1"/>
  <c r="Y799" i="47" s="1"/>
  <c r="N799" i="47"/>
  <c r="J800" i="47"/>
  <c r="K800" i="47" s="1"/>
  <c r="Y800" i="47" s="1"/>
  <c r="N800" i="47"/>
  <c r="J801" i="47"/>
  <c r="K801" i="47" s="1"/>
  <c r="Y801" i="47" s="1"/>
  <c r="J802" i="47"/>
  <c r="K802" i="47" s="1"/>
  <c r="Y802" i="47" s="1"/>
  <c r="J803" i="47"/>
  <c r="K803" i="47" s="1"/>
  <c r="J804" i="47"/>
  <c r="K804" i="47" s="1"/>
  <c r="Y804" i="47" s="1"/>
  <c r="J805" i="47"/>
  <c r="K805" i="47" s="1"/>
  <c r="J806" i="47"/>
  <c r="K806" i="47" s="1"/>
  <c r="Y806" i="47" s="1"/>
  <c r="J807" i="47"/>
  <c r="K807" i="47" s="1"/>
  <c r="Y807" i="47" s="1"/>
  <c r="J808" i="47"/>
  <c r="K808" i="47" s="1"/>
  <c r="Y808" i="47" s="1"/>
  <c r="N808" i="47"/>
  <c r="J809" i="47"/>
  <c r="K809" i="47" s="1"/>
  <c r="J810" i="47"/>
  <c r="K810" i="47" s="1"/>
  <c r="Y810" i="47" s="1"/>
  <c r="J811" i="47"/>
  <c r="K811" i="47" s="1"/>
  <c r="N811" i="47"/>
  <c r="J812" i="47"/>
  <c r="K812" i="47" s="1"/>
  <c r="Y812" i="47" s="1"/>
  <c r="J813" i="47"/>
  <c r="K813" i="47" s="1"/>
  <c r="J814" i="47"/>
  <c r="K814" i="47" s="1"/>
  <c r="Y814" i="47" s="1"/>
  <c r="J815" i="47"/>
  <c r="K815" i="47" s="1"/>
  <c r="J816" i="47"/>
  <c r="K816" i="47" s="1"/>
  <c r="N816" i="47"/>
  <c r="J817" i="47"/>
  <c r="K817" i="47" s="1"/>
  <c r="Y817" i="47" s="1"/>
  <c r="J818" i="47"/>
  <c r="K818" i="47" s="1"/>
  <c r="Y818" i="47" s="1"/>
  <c r="J819" i="47"/>
  <c r="K819" i="47" s="1"/>
  <c r="J820" i="47"/>
  <c r="K820" i="47" s="1"/>
  <c r="Y820" i="47" s="1"/>
  <c r="J821" i="47"/>
  <c r="K821" i="47" s="1"/>
  <c r="Y821" i="47" s="1"/>
  <c r="J822" i="47"/>
  <c r="K822" i="47" s="1"/>
  <c r="Y822" i="47" s="1"/>
  <c r="J823" i="47"/>
  <c r="K823" i="47" s="1"/>
  <c r="J824" i="47"/>
  <c r="K824" i="47" s="1"/>
  <c r="Y824" i="47" s="1"/>
  <c r="N824" i="47"/>
  <c r="J825" i="47"/>
  <c r="K825" i="47" s="1"/>
  <c r="J826" i="47"/>
  <c r="K826" i="47" s="1"/>
  <c r="Y826" i="47" s="1"/>
  <c r="J827" i="47"/>
  <c r="K827" i="47" s="1"/>
  <c r="J828" i="47"/>
  <c r="K828" i="47" s="1"/>
  <c r="Y828" i="47" s="1"/>
  <c r="J829" i="47"/>
  <c r="K829" i="47" s="1"/>
  <c r="Y829" i="47" s="1"/>
  <c r="J830" i="47"/>
  <c r="K830" i="47" s="1"/>
  <c r="J831" i="47"/>
  <c r="K831" i="47" s="1"/>
  <c r="Y831" i="47" s="1"/>
  <c r="N831" i="47"/>
  <c r="J832" i="47"/>
  <c r="K832" i="47" s="1"/>
  <c r="Y832" i="47" s="1"/>
  <c r="N832" i="47"/>
  <c r="J833" i="47"/>
  <c r="K833" i="47" s="1"/>
  <c r="Y833" i="47" s="1"/>
  <c r="J834" i="47"/>
  <c r="K834" i="47" s="1"/>
  <c r="Y834" i="47" s="1"/>
  <c r="J835" i="47"/>
  <c r="K835" i="47" s="1"/>
  <c r="Y835" i="47" s="1"/>
  <c r="J836" i="47"/>
  <c r="K836" i="47" s="1"/>
  <c r="J837" i="47"/>
  <c r="K837" i="47" s="1"/>
  <c r="J838" i="47"/>
  <c r="K838" i="47" s="1"/>
  <c r="Y838" i="47" s="1"/>
  <c r="J839" i="47"/>
  <c r="K839" i="47" s="1"/>
  <c r="Y839" i="47" s="1"/>
  <c r="J840" i="47"/>
  <c r="K840" i="47" s="1"/>
  <c r="Y840" i="47" s="1"/>
  <c r="N840" i="47"/>
  <c r="J841" i="47"/>
  <c r="K841" i="47" s="1"/>
  <c r="Y841" i="47" s="1"/>
  <c r="J842" i="47"/>
  <c r="K842" i="47" s="1"/>
  <c r="Y842" i="47" s="1"/>
  <c r="J843" i="47"/>
  <c r="K843" i="47" s="1"/>
  <c r="N843" i="47"/>
  <c r="J844" i="47"/>
  <c r="K844" i="47" s="1"/>
  <c r="Y844" i="47" s="1"/>
  <c r="J845" i="47"/>
  <c r="K845" i="47" s="1"/>
  <c r="J846" i="47"/>
  <c r="K846" i="47" s="1"/>
  <c r="Y846" i="47" s="1"/>
  <c r="J847" i="47"/>
  <c r="K847" i="47" s="1"/>
  <c r="J848" i="47"/>
  <c r="K848" i="47" s="1"/>
  <c r="Y848" i="47" s="1"/>
  <c r="N848" i="47"/>
  <c r="J849" i="47"/>
  <c r="K849" i="47" s="1"/>
  <c r="Y849" i="47" s="1"/>
  <c r="J850" i="47"/>
  <c r="K850" i="47" s="1"/>
  <c r="Y850" i="47" s="1"/>
  <c r="J851" i="47"/>
  <c r="K851" i="47" s="1"/>
  <c r="J852" i="47"/>
  <c r="K852" i="47" s="1"/>
  <c r="Y852" i="47" s="1"/>
  <c r="J853" i="47"/>
  <c r="K853" i="47" s="1"/>
  <c r="Y853" i="47" s="1"/>
  <c r="J854" i="47"/>
  <c r="K854" i="47" s="1"/>
  <c r="Y854" i="47" s="1"/>
  <c r="J855" i="47"/>
  <c r="K855" i="47" s="1"/>
  <c r="J856" i="47"/>
  <c r="K856" i="47" s="1"/>
  <c r="Y856" i="47" s="1"/>
  <c r="N856" i="47"/>
  <c r="J857" i="47"/>
  <c r="K857" i="47" s="1"/>
  <c r="Y857" i="47" s="1"/>
  <c r="J858" i="47"/>
  <c r="K858" i="47" s="1"/>
  <c r="Y858" i="47" s="1"/>
  <c r="J859" i="47"/>
  <c r="K859" i="47" s="1"/>
  <c r="J860" i="47"/>
  <c r="K860" i="47" s="1"/>
  <c r="J861" i="47"/>
  <c r="K861" i="47" s="1"/>
  <c r="J862" i="47"/>
  <c r="K862" i="47" s="1"/>
  <c r="Y862" i="47" s="1"/>
  <c r="J863" i="47"/>
  <c r="K863" i="47" s="1"/>
  <c r="Y863" i="47" s="1"/>
  <c r="N863" i="47"/>
  <c r="J864" i="47"/>
  <c r="K864" i="47" s="1"/>
  <c r="Y864" i="47" s="1"/>
  <c r="N864" i="47"/>
  <c r="J865" i="47"/>
  <c r="K865" i="47" s="1"/>
  <c r="J866" i="47"/>
  <c r="K866" i="47" s="1"/>
  <c r="Y866" i="47" s="1"/>
  <c r="J867" i="47"/>
  <c r="K867" i="47" s="1"/>
  <c r="Y867" i="47" s="1"/>
  <c r="J868" i="47"/>
  <c r="K868" i="47" s="1"/>
  <c r="Y868" i="47" s="1"/>
  <c r="J869" i="47"/>
  <c r="K869" i="47" s="1"/>
  <c r="J870" i="47"/>
  <c r="K870" i="47" s="1"/>
  <c r="J871" i="47"/>
  <c r="K871" i="47" s="1"/>
  <c r="Y871" i="47" s="1"/>
  <c r="J872" i="47"/>
  <c r="K872" i="47" s="1"/>
  <c r="Y872" i="47" s="1"/>
  <c r="N872" i="47"/>
  <c r="J873" i="47"/>
  <c r="K873" i="47" s="1"/>
  <c r="J874" i="47"/>
  <c r="K874" i="47" s="1"/>
  <c r="Y874" i="47" s="1"/>
  <c r="J875" i="47"/>
  <c r="K875" i="47" s="1"/>
  <c r="Y875" i="47" s="1"/>
  <c r="N875" i="47"/>
  <c r="J876" i="47"/>
  <c r="K876" i="47" s="1"/>
  <c r="Y876" i="47" s="1"/>
  <c r="J877" i="47"/>
  <c r="K877" i="47" s="1"/>
  <c r="Y877" i="47" s="1"/>
  <c r="J878" i="47"/>
  <c r="K878" i="47" s="1"/>
  <c r="Y878" i="47" s="1"/>
  <c r="J879" i="47"/>
  <c r="K879" i="47" s="1"/>
  <c r="J880" i="47"/>
  <c r="K880" i="47" s="1"/>
  <c r="Y880" i="47" s="1"/>
  <c r="N880" i="47"/>
  <c r="J881" i="47"/>
  <c r="K881" i="47" s="1"/>
  <c r="Y881" i="47" s="1"/>
  <c r="J882" i="47"/>
  <c r="K882" i="47" s="1"/>
  <c r="Y882" i="47" s="1"/>
  <c r="J883" i="47"/>
  <c r="K883" i="47" s="1"/>
  <c r="J884" i="47"/>
  <c r="K884" i="47" s="1"/>
  <c r="Y884" i="47" s="1"/>
  <c r="J885" i="47"/>
  <c r="K885" i="47" s="1"/>
  <c r="J886" i="47"/>
  <c r="K886" i="47" s="1"/>
  <c r="Y886" i="47" s="1"/>
  <c r="J887" i="47"/>
  <c r="K887" i="47" s="1"/>
  <c r="J888" i="47"/>
  <c r="K888" i="47" s="1"/>
  <c r="Y888" i="47" s="1"/>
  <c r="N888" i="47"/>
  <c r="J889" i="47"/>
  <c r="K889" i="47" s="1"/>
  <c r="Y889" i="47" s="1"/>
  <c r="J890" i="47"/>
  <c r="K890" i="47" s="1"/>
  <c r="Y890" i="47" s="1"/>
  <c r="J891" i="47"/>
  <c r="K891" i="47" s="1"/>
  <c r="N891" i="47"/>
  <c r="J892" i="47"/>
  <c r="K892" i="47" s="1"/>
  <c r="Y892" i="47" s="1"/>
  <c r="J893" i="47"/>
  <c r="K893" i="47" s="1"/>
  <c r="J894" i="47"/>
  <c r="K894" i="47" s="1"/>
  <c r="Y894" i="47" s="1"/>
  <c r="J895" i="47"/>
  <c r="K895" i="47" s="1"/>
  <c r="J896" i="47"/>
  <c r="K896" i="47" s="1"/>
  <c r="Y896" i="47" s="1"/>
  <c r="N896" i="47"/>
  <c r="J897" i="47"/>
  <c r="K897" i="47" s="1"/>
  <c r="Y897" i="47" s="1"/>
  <c r="J898" i="47"/>
  <c r="K898" i="47" s="1"/>
  <c r="Y898" i="47" s="1"/>
  <c r="J899" i="47"/>
  <c r="K899" i="47" s="1"/>
  <c r="J900" i="47"/>
  <c r="K900" i="47" s="1"/>
  <c r="Y900" i="47" s="1"/>
  <c r="J901" i="47"/>
  <c r="K901" i="47" s="1"/>
  <c r="J902" i="47"/>
  <c r="K902" i="47" s="1"/>
  <c r="Y902" i="47" s="1"/>
  <c r="J903" i="47"/>
  <c r="K903" i="47" s="1"/>
  <c r="Y903" i="47" s="1"/>
  <c r="N903" i="47"/>
  <c r="J904" i="47"/>
  <c r="K904" i="47" s="1"/>
  <c r="Y904" i="47" s="1"/>
  <c r="N904" i="47"/>
  <c r="J905" i="47"/>
  <c r="K905" i="47" s="1"/>
  <c r="Y905" i="47" s="1"/>
  <c r="J906" i="47"/>
  <c r="K906" i="47" s="1"/>
  <c r="Y906" i="47" s="1"/>
  <c r="J907" i="47"/>
  <c r="K907" i="47" s="1"/>
  <c r="Y907" i="47" s="1"/>
  <c r="J908" i="47"/>
  <c r="K908" i="47" s="1"/>
  <c r="Y908" i="47" s="1"/>
  <c r="J909" i="47"/>
  <c r="K909" i="47" s="1"/>
  <c r="J910" i="47"/>
  <c r="K910" i="47" s="1"/>
  <c r="J911" i="47"/>
  <c r="K911" i="47" s="1"/>
  <c r="J912" i="47"/>
  <c r="K912" i="47" s="1"/>
  <c r="Y912" i="47" s="1"/>
  <c r="N912" i="47"/>
  <c r="J913" i="47"/>
  <c r="K913" i="47" s="1"/>
  <c r="Y913" i="47" s="1"/>
  <c r="J914" i="47"/>
  <c r="K914" i="47" s="1"/>
  <c r="Y914" i="47" s="1"/>
  <c r="J915" i="47"/>
  <c r="K915" i="47" s="1"/>
  <c r="N915" i="47"/>
  <c r="J916" i="47"/>
  <c r="K916" i="47" s="1"/>
  <c r="J917" i="47"/>
  <c r="K917" i="47" s="1"/>
  <c r="Y917" i="47" s="1"/>
  <c r="J918" i="47"/>
  <c r="K918" i="47" s="1"/>
  <c r="Y918" i="47" s="1"/>
  <c r="J919" i="47"/>
  <c r="K919" i="47" s="1"/>
  <c r="J920" i="47"/>
  <c r="K920" i="47" s="1"/>
  <c r="Y920" i="47" s="1"/>
  <c r="N920" i="47"/>
  <c r="J921" i="47"/>
  <c r="K921" i="47" s="1"/>
  <c r="J922" i="47"/>
  <c r="K922" i="47" s="1"/>
  <c r="Y922" i="47" s="1"/>
  <c r="J923" i="47"/>
  <c r="K923" i="47" s="1"/>
  <c r="Y923" i="47" s="1"/>
  <c r="J924" i="47"/>
  <c r="K924" i="47" s="1"/>
  <c r="Y924" i="47" s="1"/>
  <c r="J925" i="47"/>
  <c r="K925" i="47" s="1"/>
  <c r="J926" i="47"/>
  <c r="K926" i="47" s="1"/>
  <c r="Y926" i="47" s="1"/>
  <c r="J927" i="47"/>
  <c r="K927" i="47" s="1"/>
  <c r="J928" i="47"/>
  <c r="K928" i="47" s="1"/>
  <c r="Y928" i="47" s="1"/>
  <c r="N928" i="47"/>
  <c r="J929" i="47"/>
  <c r="K929" i="47" s="1"/>
  <c r="Y929" i="47" s="1"/>
  <c r="J930" i="47"/>
  <c r="K930" i="47" s="1"/>
  <c r="J931" i="47"/>
  <c r="K931" i="47" s="1"/>
  <c r="Y931" i="47" s="1"/>
  <c r="J932" i="47"/>
  <c r="K932" i="47" s="1"/>
  <c r="Y932" i="47" s="1"/>
  <c r="J933" i="47"/>
  <c r="K933" i="47" s="1"/>
  <c r="Y933" i="47" s="1"/>
  <c r="J934" i="47"/>
  <c r="K934" i="47" s="1"/>
  <c r="J935" i="47"/>
  <c r="K935" i="47" s="1"/>
  <c r="Y935" i="47" s="1"/>
  <c r="N935" i="47"/>
  <c r="J936" i="47"/>
  <c r="K936" i="47" s="1"/>
  <c r="Y936" i="47" s="1"/>
  <c r="N936" i="47"/>
  <c r="J937" i="47"/>
  <c r="K937" i="47" s="1"/>
  <c r="Y937" i="47" s="1"/>
  <c r="J938" i="47"/>
  <c r="K938" i="47" s="1"/>
  <c r="Y938" i="47" s="1"/>
  <c r="J939" i="47"/>
  <c r="K939" i="47" s="1"/>
  <c r="J940" i="47"/>
  <c r="K940" i="47" s="1"/>
  <c r="J941" i="47"/>
  <c r="K941" i="47" s="1"/>
  <c r="J942" i="47"/>
  <c r="K942" i="47" s="1"/>
  <c r="Y942" i="47" s="1"/>
  <c r="J943" i="47"/>
  <c r="K943" i="47" s="1"/>
  <c r="Y943" i="47" s="1"/>
  <c r="J944" i="47"/>
  <c r="K944" i="47" s="1"/>
  <c r="N944" i="47"/>
  <c r="J945" i="47"/>
  <c r="K945" i="47" s="1"/>
  <c r="J946" i="47"/>
  <c r="K946" i="47" s="1"/>
  <c r="Y946" i="47" s="1"/>
  <c r="J947" i="47"/>
  <c r="K947" i="47" s="1"/>
  <c r="N947" i="47"/>
  <c r="J948" i="47"/>
  <c r="K948" i="47" s="1"/>
  <c r="Y948" i="47" s="1"/>
  <c r="J949" i="47"/>
  <c r="K949" i="47" s="1"/>
  <c r="J950" i="47"/>
  <c r="K950" i="47" s="1"/>
  <c r="Y950" i="47" s="1"/>
  <c r="J951" i="47"/>
  <c r="K951" i="47" s="1"/>
  <c r="J952" i="47"/>
  <c r="K952" i="47" s="1"/>
  <c r="Y952" i="47" s="1"/>
  <c r="N952" i="47"/>
  <c r="J953" i="47"/>
  <c r="K953" i="47" s="1"/>
  <c r="J954" i="47"/>
  <c r="K954" i="47" s="1"/>
  <c r="Y954" i="47" s="1"/>
  <c r="J955" i="47"/>
  <c r="K955" i="47" s="1"/>
  <c r="Y955" i="47" s="1"/>
  <c r="N955" i="47"/>
  <c r="J956" i="47"/>
  <c r="K956" i="47" s="1"/>
  <c r="Y956" i="47" s="1"/>
  <c r="J957" i="47"/>
  <c r="K957" i="47" s="1"/>
  <c r="J958" i="47"/>
  <c r="K958" i="47" s="1"/>
  <c r="Y958" i="47" s="1"/>
  <c r="J959" i="47"/>
  <c r="K959" i="47" s="1"/>
  <c r="Y959" i="47" s="1"/>
  <c r="J960" i="47"/>
  <c r="K960" i="47" s="1"/>
  <c r="Y960" i="47" s="1"/>
  <c r="N960" i="47"/>
  <c r="J961" i="47"/>
  <c r="K961" i="47" s="1"/>
  <c r="J962" i="47"/>
  <c r="K962" i="47" s="1"/>
  <c r="Y962" i="47" s="1"/>
  <c r="J963" i="47"/>
  <c r="K963" i="47" s="1"/>
  <c r="J964" i="47"/>
  <c r="K964" i="47" s="1"/>
  <c r="Y964" i="47" s="1"/>
  <c r="J965" i="47"/>
  <c r="K965" i="47" s="1"/>
  <c r="Y965" i="47" s="1"/>
  <c r="J966" i="47"/>
  <c r="K966" i="47" s="1"/>
  <c r="Y966" i="47" s="1"/>
  <c r="J967" i="47"/>
  <c r="K967" i="47" s="1"/>
  <c r="J968" i="47"/>
  <c r="K968" i="47" s="1"/>
  <c r="Y968" i="47" s="1"/>
  <c r="N968" i="47"/>
  <c r="J969" i="47"/>
  <c r="K969" i="47" s="1"/>
  <c r="Y969" i="47" s="1"/>
  <c r="J970" i="47"/>
  <c r="K970" i="47" s="1"/>
  <c r="Y970" i="47" s="1"/>
  <c r="J971" i="47"/>
  <c r="K971" i="47" s="1"/>
  <c r="J972" i="47"/>
  <c r="K972" i="47" s="1"/>
  <c r="Y972" i="47" s="1"/>
  <c r="J973" i="47"/>
  <c r="K973" i="47" s="1"/>
  <c r="J974" i="47"/>
  <c r="K974" i="47" s="1"/>
  <c r="J975" i="47"/>
  <c r="K975" i="47" s="1"/>
  <c r="Y975" i="47" s="1"/>
  <c r="N975" i="47"/>
  <c r="J976" i="47"/>
  <c r="K976" i="47" s="1"/>
  <c r="Y976" i="47" s="1"/>
  <c r="N976" i="47"/>
  <c r="J977" i="47"/>
  <c r="K977" i="47" s="1"/>
  <c r="Y977" i="47" s="1"/>
  <c r="J978" i="47"/>
  <c r="K978" i="47" s="1"/>
  <c r="Y978" i="47" s="1"/>
  <c r="J979" i="47"/>
  <c r="K979" i="47" s="1"/>
  <c r="Y979" i="47" s="1"/>
  <c r="J980" i="47"/>
  <c r="K980" i="47" s="1"/>
  <c r="J981" i="47"/>
  <c r="K981" i="47" s="1"/>
  <c r="J982" i="47"/>
  <c r="K982" i="47" s="1"/>
  <c r="Y982" i="47" s="1"/>
  <c r="J983" i="47"/>
  <c r="K983" i="47" s="1"/>
  <c r="Y983" i="47" s="1"/>
  <c r="N983" i="47"/>
  <c r="J984" i="47"/>
  <c r="K984" i="47" s="1"/>
  <c r="Y984" i="47" s="1"/>
  <c r="N984" i="47"/>
  <c r="J985" i="47"/>
  <c r="K985" i="47" s="1"/>
  <c r="Y985" i="47" s="1"/>
  <c r="J986" i="47"/>
  <c r="K986" i="47" s="1"/>
  <c r="Y986" i="47" s="1"/>
  <c r="J987" i="47"/>
  <c r="K987" i="47" s="1"/>
  <c r="Y987" i="47" s="1"/>
  <c r="N987" i="47"/>
  <c r="J988" i="47"/>
  <c r="K988" i="47" s="1"/>
  <c r="Y988" i="47" s="1"/>
  <c r="J989" i="47"/>
  <c r="K989" i="47" s="1"/>
  <c r="J990" i="47"/>
  <c r="K990" i="47" s="1"/>
  <c r="Y990" i="47" s="1"/>
  <c r="J991" i="47"/>
  <c r="K991" i="47" s="1"/>
  <c r="J992" i="47"/>
  <c r="K992" i="47" s="1"/>
  <c r="Y992" i="47" s="1"/>
  <c r="N992" i="47"/>
  <c r="J993" i="47"/>
  <c r="K993" i="47" s="1"/>
  <c r="Y993" i="47" s="1"/>
  <c r="J994" i="47"/>
  <c r="K994" i="47" s="1"/>
  <c r="Y994" i="47" s="1"/>
  <c r="J995" i="47"/>
  <c r="K995" i="47" s="1"/>
  <c r="J996" i="47"/>
  <c r="K996" i="47" s="1"/>
  <c r="Y996" i="47" s="1"/>
  <c r="J997" i="47"/>
  <c r="K997" i="47" s="1"/>
  <c r="Y997" i="47" s="1"/>
  <c r="J998" i="47"/>
  <c r="K998" i="47" s="1"/>
  <c r="Y998" i="47" s="1"/>
  <c r="N998" i="47"/>
  <c r="J999" i="47"/>
  <c r="K999" i="47" s="1"/>
  <c r="K10" i="47"/>
  <c r="Y10" i="47" s="1"/>
  <c r="N116" i="47"/>
  <c r="N148" i="47"/>
  <c r="N156" i="47"/>
  <c r="N172" i="47"/>
  <c r="N196" i="47"/>
  <c r="N220" i="47"/>
  <c r="N228" i="47"/>
  <c r="N236" i="47"/>
  <c r="N252" i="47"/>
  <c r="N260" i="47"/>
  <c r="N308" i="47"/>
  <c r="N324" i="47"/>
  <c r="N332" i="47"/>
  <c r="N388" i="47"/>
  <c r="N436" i="47"/>
  <c r="N468" i="47"/>
  <c r="N476" i="47"/>
  <c r="N500" i="47"/>
  <c r="N524" i="47"/>
  <c r="N556" i="47"/>
  <c r="N572" i="47"/>
  <c r="N644" i="47"/>
  <c r="N788" i="47"/>
  <c r="N804" i="47"/>
  <c r="N820" i="47"/>
  <c r="N836" i="47"/>
  <c r="N844" i="47"/>
  <c r="N940" i="47"/>
  <c r="N956" i="47"/>
  <c r="N972" i="47"/>
  <c r="N996" i="47"/>
  <c r="M3" i="47"/>
  <c r="N3" i="47" s="1"/>
  <c r="M4" i="47"/>
  <c r="N4" i="47" s="1"/>
  <c r="M2" i="47"/>
  <c r="N2" i="47" s="1"/>
  <c r="L2" i="47"/>
  <c r="N11" i="47"/>
  <c r="N12" i="47"/>
  <c r="N13" i="47"/>
  <c r="N14" i="47"/>
  <c r="N15" i="47"/>
  <c r="N16" i="47"/>
  <c r="N17" i="47"/>
  <c r="N18" i="47"/>
  <c r="N19" i="47"/>
  <c r="N20" i="47"/>
  <c r="N21" i="47"/>
  <c r="N22" i="47"/>
  <c r="N23" i="47"/>
  <c r="N25" i="47"/>
  <c r="N26" i="47"/>
  <c r="N27" i="47"/>
  <c r="N28" i="47"/>
  <c r="N29" i="47"/>
  <c r="N30" i="47"/>
  <c r="N31" i="47"/>
  <c r="N32" i="47"/>
  <c r="N33" i="47"/>
  <c r="N34" i="47"/>
  <c r="N35" i="47"/>
  <c r="N36" i="47"/>
  <c r="N37" i="47"/>
  <c r="O37" i="47" s="1"/>
  <c r="N38" i="47"/>
  <c r="O38" i="47" s="1"/>
  <c r="N41" i="47"/>
  <c r="N42" i="47"/>
  <c r="N43" i="47"/>
  <c r="N44" i="47"/>
  <c r="N45" i="47"/>
  <c r="N46" i="47"/>
  <c r="N47" i="47"/>
  <c r="N48" i="47"/>
  <c r="N49" i="47"/>
  <c r="N50" i="47"/>
  <c r="N51" i="47"/>
  <c r="N52" i="47"/>
  <c r="N53" i="47"/>
  <c r="N54" i="47"/>
  <c r="N56" i="47"/>
  <c r="N57" i="47"/>
  <c r="N58" i="47"/>
  <c r="N59" i="47"/>
  <c r="N60" i="47"/>
  <c r="N61" i="47"/>
  <c r="N62" i="47"/>
  <c r="N63" i="47"/>
  <c r="N65" i="47"/>
  <c r="N66" i="47"/>
  <c r="N67" i="47"/>
  <c r="N68" i="47"/>
  <c r="N69" i="47"/>
  <c r="N70" i="47"/>
  <c r="N71" i="47"/>
  <c r="N73" i="47"/>
  <c r="N74" i="47"/>
  <c r="N75" i="47"/>
  <c r="N76" i="47"/>
  <c r="N77" i="47"/>
  <c r="N78" i="47"/>
  <c r="N79" i="47"/>
  <c r="N80" i="47"/>
  <c r="N81" i="47"/>
  <c r="N82" i="47"/>
  <c r="N83" i="47"/>
  <c r="N84" i="47"/>
  <c r="N85" i="47"/>
  <c r="N86" i="47"/>
  <c r="N87" i="47"/>
  <c r="N88" i="47"/>
  <c r="N89" i="47"/>
  <c r="N90" i="47"/>
  <c r="N91" i="47"/>
  <c r="N92" i="47"/>
  <c r="N93" i="47"/>
  <c r="N94" i="47"/>
  <c r="N95" i="47"/>
  <c r="N96" i="47"/>
  <c r="N97" i="47"/>
  <c r="N98" i="47"/>
  <c r="N99" i="47"/>
  <c r="N100" i="47"/>
  <c r="N101" i="47"/>
  <c r="N102" i="47"/>
  <c r="N103" i="47"/>
  <c r="N105" i="47"/>
  <c r="N106" i="47"/>
  <c r="N107" i="47"/>
  <c r="N108" i="47"/>
  <c r="N109" i="47"/>
  <c r="N110" i="47"/>
  <c r="N111" i="47"/>
  <c r="N112" i="47"/>
  <c r="N113" i="47"/>
  <c r="N114" i="47"/>
  <c r="N115" i="47"/>
  <c r="N117" i="47"/>
  <c r="N118" i="47"/>
  <c r="N120" i="47"/>
  <c r="N121" i="47"/>
  <c r="N122" i="47"/>
  <c r="N123" i="47"/>
  <c r="N124" i="47"/>
  <c r="N125" i="47"/>
  <c r="N126" i="47"/>
  <c r="N127" i="47"/>
  <c r="N128" i="47"/>
  <c r="N129" i="47"/>
  <c r="N130" i="47"/>
  <c r="N131" i="47"/>
  <c r="N132" i="47"/>
  <c r="N133" i="47"/>
  <c r="N134" i="47"/>
  <c r="N136" i="47"/>
  <c r="N137" i="47"/>
  <c r="N138" i="47"/>
  <c r="N140" i="47"/>
  <c r="O140" i="47" s="1"/>
  <c r="N141" i="47"/>
  <c r="O141" i="47" s="1"/>
  <c r="N142" i="47"/>
  <c r="N145" i="47"/>
  <c r="N146" i="47"/>
  <c r="N147" i="47"/>
  <c r="N149" i="47"/>
  <c r="N150" i="47"/>
  <c r="N151" i="47"/>
  <c r="N152" i="47"/>
  <c r="N153" i="47"/>
  <c r="N154" i="47"/>
  <c r="N155" i="47"/>
  <c r="N157" i="47"/>
  <c r="N158" i="47"/>
  <c r="N159" i="47"/>
  <c r="N161" i="47"/>
  <c r="N163" i="47"/>
  <c r="N164" i="47"/>
  <c r="N165" i="47"/>
  <c r="N166" i="47"/>
  <c r="N168" i="47"/>
  <c r="N169" i="47"/>
  <c r="N170" i="47"/>
  <c r="N173" i="47"/>
  <c r="N174" i="47"/>
  <c r="N175" i="47"/>
  <c r="N176" i="47"/>
  <c r="N177" i="47"/>
  <c r="N178" i="47"/>
  <c r="N179" i="47"/>
  <c r="N180" i="47"/>
  <c r="N181" i="47"/>
  <c r="N182" i="47"/>
  <c r="N185" i="47"/>
  <c r="N186" i="47"/>
  <c r="N187" i="47"/>
  <c r="N188" i="47"/>
  <c r="N189" i="47"/>
  <c r="N190" i="47"/>
  <c r="N191" i="47"/>
  <c r="N193" i="47"/>
  <c r="N194" i="47"/>
  <c r="N195" i="47"/>
  <c r="N197" i="47"/>
  <c r="N198" i="47"/>
  <c r="N200" i="47"/>
  <c r="N201" i="47"/>
  <c r="N202" i="47"/>
  <c r="N204" i="47"/>
  <c r="N205" i="47"/>
  <c r="N206" i="47"/>
  <c r="N209" i="47"/>
  <c r="N210" i="47"/>
  <c r="N211" i="47"/>
  <c r="N212" i="47"/>
  <c r="N213" i="47"/>
  <c r="N214" i="47"/>
  <c r="N215" i="47"/>
  <c r="N217" i="47"/>
  <c r="N218" i="47"/>
  <c r="N219" i="47"/>
  <c r="N221" i="47"/>
  <c r="N222" i="47"/>
  <c r="N223" i="47"/>
  <c r="N225" i="47"/>
  <c r="N226" i="47"/>
  <c r="N229" i="47"/>
  <c r="N230" i="47"/>
  <c r="N231" i="47"/>
  <c r="N232" i="47"/>
  <c r="N233" i="47"/>
  <c r="N234" i="47"/>
  <c r="N237" i="47"/>
  <c r="N238" i="47"/>
  <c r="N241" i="47"/>
  <c r="N242" i="47"/>
  <c r="N243" i="47"/>
  <c r="N244" i="47"/>
  <c r="N245" i="47"/>
  <c r="N246" i="47"/>
  <c r="N247" i="47"/>
  <c r="N249" i="47"/>
  <c r="N250" i="47"/>
  <c r="N251" i="47"/>
  <c r="N253" i="47"/>
  <c r="N254" i="47"/>
  <c r="N255" i="47"/>
  <c r="N256" i="47"/>
  <c r="N257" i="47"/>
  <c r="N258" i="47"/>
  <c r="N259" i="47"/>
  <c r="N261" i="47"/>
  <c r="N262" i="47"/>
  <c r="N264" i="47"/>
  <c r="N265" i="47"/>
  <c r="N266" i="47"/>
  <c r="N267" i="47"/>
  <c r="N268" i="47"/>
  <c r="N269" i="47"/>
  <c r="N270" i="47"/>
  <c r="N273" i="47"/>
  <c r="N274" i="47"/>
  <c r="N275" i="47"/>
  <c r="N276" i="47"/>
  <c r="N277" i="47"/>
  <c r="N278" i="47"/>
  <c r="N279" i="47"/>
  <c r="N281" i="47"/>
  <c r="N282" i="47"/>
  <c r="N283" i="47"/>
  <c r="N284" i="47"/>
  <c r="N285" i="47"/>
  <c r="N286" i="47"/>
  <c r="N287" i="47"/>
  <c r="N288" i="47"/>
  <c r="N289" i="47"/>
  <c r="N290" i="47"/>
  <c r="N292" i="47"/>
  <c r="N293" i="47"/>
  <c r="N294" i="47"/>
  <c r="N295" i="47"/>
  <c r="N297" i="47"/>
  <c r="N298" i="47"/>
  <c r="N300" i="47"/>
  <c r="N301" i="47"/>
  <c r="N302" i="47"/>
  <c r="N303" i="47"/>
  <c r="N304" i="47"/>
  <c r="N305" i="47"/>
  <c r="N306" i="47"/>
  <c r="N307" i="47"/>
  <c r="N309" i="47"/>
  <c r="N310" i="47"/>
  <c r="N312" i="47"/>
  <c r="N313" i="47"/>
  <c r="N314" i="47"/>
  <c r="N315" i="47"/>
  <c r="N316" i="47"/>
  <c r="N317" i="47"/>
  <c r="N318" i="47"/>
  <c r="N319" i="47"/>
  <c r="N321" i="47"/>
  <c r="N322" i="47"/>
  <c r="N323" i="47"/>
  <c r="N325" i="47"/>
  <c r="N326" i="47"/>
  <c r="N328" i="47"/>
  <c r="N329" i="47"/>
  <c r="N330" i="47"/>
  <c r="N331" i="47"/>
  <c r="N333" i="47"/>
  <c r="N334" i="47"/>
  <c r="N337" i="47"/>
  <c r="N338" i="47"/>
  <c r="N339" i="47"/>
  <c r="N340" i="47"/>
  <c r="N341" i="47"/>
  <c r="N342" i="47"/>
  <c r="N343" i="47"/>
  <c r="N345" i="47"/>
  <c r="N346" i="47"/>
  <c r="N347" i="47"/>
  <c r="N348" i="47"/>
  <c r="N349" i="47"/>
  <c r="N350" i="47"/>
  <c r="N351" i="47"/>
  <c r="N352" i="47"/>
  <c r="N353" i="47"/>
  <c r="N354" i="47"/>
  <c r="N356" i="47"/>
  <c r="N357" i="47"/>
  <c r="N358" i="47"/>
  <c r="N359" i="47"/>
  <c r="N361" i="47"/>
  <c r="N362" i="47"/>
  <c r="N364" i="47"/>
  <c r="N365" i="47"/>
  <c r="N366" i="47"/>
  <c r="N367" i="47"/>
  <c r="N369" i="47"/>
  <c r="N370" i="47"/>
  <c r="N371" i="47"/>
  <c r="N372" i="47"/>
  <c r="N373" i="47"/>
  <c r="N374" i="47"/>
  <c r="N375" i="47"/>
  <c r="N377" i="47"/>
  <c r="N378" i="47"/>
  <c r="N379" i="47"/>
  <c r="N380" i="47"/>
  <c r="N381" i="47"/>
  <c r="N382" i="47"/>
  <c r="N383" i="47"/>
  <c r="N384" i="47"/>
  <c r="N385" i="47"/>
  <c r="N386" i="47"/>
  <c r="N387" i="47"/>
  <c r="N389" i="47"/>
  <c r="N390" i="47"/>
  <c r="N393" i="47"/>
  <c r="N394" i="47"/>
  <c r="N395" i="47"/>
  <c r="N396" i="47"/>
  <c r="N397" i="47"/>
  <c r="N398" i="47"/>
  <c r="N401" i="47"/>
  <c r="N402" i="47"/>
  <c r="N403" i="47"/>
  <c r="O403" i="47" s="1"/>
  <c r="N404" i="47"/>
  <c r="N405" i="47"/>
  <c r="N406" i="47"/>
  <c r="N407" i="47"/>
  <c r="N408" i="47"/>
  <c r="N409" i="47"/>
  <c r="N410" i="47"/>
  <c r="N411" i="47"/>
  <c r="N412" i="47"/>
  <c r="N413" i="47"/>
  <c r="N414" i="47"/>
  <c r="N415" i="47"/>
  <c r="N417" i="47"/>
  <c r="N418" i="47"/>
  <c r="N420" i="47"/>
  <c r="N421" i="47"/>
  <c r="N422" i="47"/>
  <c r="N423" i="47"/>
  <c r="N424" i="47"/>
  <c r="N425" i="47"/>
  <c r="N426" i="47"/>
  <c r="N428" i="47"/>
  <c r="N429" i="47"/>
  <c r="N430" i="47"/>
  <c r="N431" i="47"/>
  <c r="N432" i="47"/>
  <c r="N433" i="47"/>
  <c r="N434" i="47"/>
  <c r="N435" i="47"/>
  <c r="N437" i="47"/>
  <c r="N438" i="47"/>
  <c r="N439" i="47"/>
  <c r="N440" i="47"/>
  <c r="N441" i="47"/>
  <c r="N442" i="47"/>
  <c r="N443" i="47"/>
  <c r="N444" i="47"/>
  <c r="N445" i="47"/>
  <c r="N446" i="47"/>
  <c r="N447" i="47"/>
  <c r="N448" i="47"/>
  <c r="N449" i="47"/>
  <c r="N450" i="47"/>
  <c r="N451" i="47"/>
  <c r="N452" i="47"/>
  <c r="N453" i="47"/>
  <c r="N454" i="47"/>
  <c r="N457" i="47"/>
  <c r="N458" i="47"/>
  <c r="N459" i="47"/>
  <c r="N460" i="47"/>
  <c r="N461" i="47"/>
  <c r="N462" i="47"/>
  <c r="N465" i="47"/>
  <c r="N466" i="47"/>
  <c r="N467" i="47"/>
  <c r="N469" i="47"/>
  <c r="N470" i="47"/>
  <c r="N471" i="47"/>
  <c r="N472" i="47"/>
  <c r="N473" i="47"/>
  <c r="N474" i="47"/>
  <c r="N475" i="47"/>
  <c r="N477" i="47"/>
  <c r="N478" i="47"/>
  <c r="N479" i="47"/>
  <c r="N481" i="47"/>
  <c r="N482" i="47"/>
  <c r="O482" i="47" s="1"/>
  <c r="N484" i="47"/>
  <c r="N485" i="47"/>
  <c r="N486" i="47"/>
  <c r="N487" i="47"/>
  <c r="N489" i="47"/>
  <c r="N490" i="47"/>
  <c r="N492" i="47"/>
  <c r="N493" i="47"/>
  <c r="N494" i="47"/>
  <c r="N495" i="47"/>
  <c r="N496" i="47"/>
  <c r="N497" i="47"/>
  <c r="N498" i="47"/>
  <c r="N499" i="47"/>
  <c r="N501" i="47"/>
  <c r="N502" i="47"/>
  <c r="N503" i="47"/>
  <c r="N504" i="47"/>
  <c r="N505" i="47"/>
  <c r="N506" i="47"/>
  <c r="N507" i="47"/>
  <c r="N508" i="47"/>
  <c r="N509" i="47"/>
  <c r="N510" i="47"/>
  <c r="N511" i="47"/>
  <c r="N513" i="47"/>
  <c r="N514" i="47"/>
  <c r="N515" i="47"/>
  <c r="N516" i="47"/>
  <c r="N517" i="47"/>
  <c r="N518" i="47"/>
  <c r="N521" i="47"/>
  <c r="N522" i="47"/>
  <c r="N523" i="47"/>
  <c r="N525" i="47"/>
  <c r="N526" i="47"/>
  <c r="N529" i="47"/>
  <c r="N530" i="47"/>
  <c r="N531" i="47"/>
  <c r="N532" i="47"/>
  <c r="N533" i="47"/>
  <c r="N534" i="47"/>
  <c r="N535" i="47"/>
  <c r="N537" i="47"/>
  <c r="N538" i="47"/>
  <c r="N540" i="47"/>
  <c r="N541" i="47"/>
  <c r="N542" i="47"/>
  <c r="N543" i="47"/>
  <c r="N545" i="47"/>
  <c r="N546" i="47"/>
  <c r="N547" i="47"/>
  <c r="N548" i="47"/>
  <c r="N549" i="47"/>
  <c r="N550" i="47"/>
  <c r="N551" i="47"/>
  <c r="N553" i="47"/>
  <c r="N554" i="47"/>
  <c r="N555" i="47"/>
  <c r="N557" i="47"/>
  <c r="N558" i="47"/>
  <c r="N561" i="47"/>
  <c r="N562" i="47"/>
  <c r="N563" i="47"/>
  <c r="N564" i="47"/>
  <c r="N565" i="47"/>
  <c r="N566" i="47"/>
  <c r="N567" i="47"/>
  <c r="N568" i="47"/>
  <c r="N569" i="47"/>
  <c r="N570" i="47"/>
  <c r="N573" i="47"/>
  <c r="N574" i="47"/>
  <c r="N575" i="47"/>
  <c r="N577" i="47"/>
  <c r="N578" i="47"/>
  <c r="N579" i="47"/>
  <c r="N580" i="47"/>
  <c r="N581" i="47"/>
  <c r="N582" i="47"/>
  <c r="N583" i="47"/>
  <c r="N585" i="47"/>
  <c r="N586" i="47"/>
  <c r="N587" i="47"/>
  <c r="N588" i="47"/>
  <c r="N589" i="47"/>
  <c r="N590" i="47"/>
  <c r="N593" i="47"/>
  <c r="N594" i="47"/>
  <c r="N595" i="47"/>
  <c r="N596" i="47"/>
  <c r="N597" i="47"/>
  <c r="N598" i="47"/>
  <c r="N599" i="47"/>
  <c r="N601" i="47"/>
  <c r="N602" i="47"/>
  <c r="N604" i="47"/>
  <c r="N605" i="47"/>
  <c r="N606" i="47"/>
  <c r="N607" i="47"/>
  <c r="N609" i="47"/>
  <c r="N610" i="47"/>
  <c r="N611" i="47"/>
  <c r="N612" i="47"/>
  <c r="N613" i="47"/>
  <c r="N614" i="47"/>
  <c r="N615" i="47"/>
  <c r="N617" i="47"/>
  <c r="N618" i="47"/>
  <c r="N619" i="47"/>
  <c r="N620" i="47"/>
  <c r="N621" i="47"/>
  <c r="N622" i="47"/>
  <c r="N625" i="47"/>
  <c r="N626" i="47"/>
  <c r="N627" i="47"/>
  <c r="N628" i="47"/>
  <c r="N629" i="47"/>
  <c r="N630" i="47"/>
  <c r="N631" i="47"/>
  <c r="N633" i="47"/>
  <c r="N634" i="47"/>
  <c r="N635" i="47"/>
  <c r="N636" i="47"/>
  <c r="N637" i="47"/>
  <c r="N638" i="47"/>
  <c r="N639" i="47"/>
  <c r="N641" i="47"/>
  <c r="N642" i="47"/>
  <c r="N645" i="47"/>
  <c r="N646" i="47"/>
  <c r="N647" i="47"/>
  <c r="N649" i="47"/>
  <c r="N650" i="47"/>
  <c r="N651" i="47"/>
  <c r="N652" i="47"/>
  <c r="N653" i="47"/>
  <c r="N654" i="47"/>
  <c r="N655" i="47"/>
  <c r="N657" i="47"/>
  <c r="N658" i="47"/>
  <c r="N659" i="47"/>
  <c r="N660" i="47"/>
  <c r="N661" i="47"/>
  <c r="N662" i="47"/>
  <c r="N663" i="47"/>
  <c r="N665" i="47"/>
  <c r="N666" i="47"/>
  <c r="N667" i="47"/>
  <c r="N668" i="47"/>
  <c r="N669" i="47"/>
  <c r="N670" i="47"/>
  <c r="N671" i="47"/>
  <c r="N673" i="47"/>
  <c r="N674" i="47"/>
  <c r="N676" i="47"/>
  <c r="N677" i="47"/>
  <c r="N678" i="47"/>
  <c r="N679" i="47"/>
  <c r="N681" i="47"/>
  <c r="N682" i="47"/>
  <c r="N683" i="47"/>
  <c r="N684" i="47"/>
  <c r="N685" i="47"/>
  <c r="N686" i="47"/>
  <c r="N687" i="47"/>
  <c r="N689" i="47"/>
  <c r="N690" i="47"/>
  <c r="N691" i="47"/>
  <c r="N692" i="47"/>
  <c r="N693" i="47"/>
  <c r="N694" i="47"/>
  <c r="N697" i="47"/>
  <c r="N698" i="47"/>
  <c r="N699" i="47"/>
  <c r="N700" i="47"/>
  <c r="N701" i="47"/>
  <c r="N702" i="47"/>
  <c r="N703" i="47"/>
  <c r="N705" i="47"/>
  <c r="N706" i="47"/>
  <c r="N708" i="47"/>
  <c r="N709" i="47"/>
  <c r="N710" i="47"/>
  <c r="N711" i="47"/>
  <c r="N713" i="47"/>
  <c r="N714" i="47"/>
  <c r="N715" i="47"/>
  <c r="N716" i="47"/>
  <c r="N717" i="47"/>
  <c r="N718" i="47"/>
  <c r="N721" i="47"/>
  <c r="N722" i="47"/>
  <c r="N723" i="47"/>
  <c r="N724" i="47"/>
  <c r="N725" i="47"/>
  <c r="N726" i="47"/>
  <c r="N729" i="47"/>
  <c r="N730" i="47"/>
  <c r="N731" i="47"/>
  <c r="N732" i="47"/>
  <c r="N733" i="47"/>
  <c r="N734" i="47"/>
  <c r="N735" i="47"/>
  <c r="O735" i="47" s="1"/>
  <c r="N737" i="47"/>
  <c r="N738" i="47"/>
  <c r="N740" i="47"/>
  <c r="N741" i="47"/>
  <c r="N742" i="47"/>
  <c r="N745" i="47"/>
  <c r="N746" i="47"/>
  <c r="N747" i="47"/>
  <c r="N748" i="47"/>
  <c r="N749" i="47"/>
  <c r="N750" i="47"/>
  <c r="N751" i="47"/>
  <c r="N753" i="47"/>
  <c r="N754" i="47"/>
  <c r="N755" i="47"/>
  <c r="N756" i="47"/>
  <c r="N757" i="47"/>
  <c r="N758" i="47"/>
  <c r="N760" i="47"/>
  <c r="N761" i="47"/>
  <c r="N762" i="47"/>
  <c r="N763" i="47"/>
  <c r="N764" i="47"/>
  <c r="N765" i="47"/>
  <c r="N766" i="47"/>
  <c r="N769" i="47"/>
  <c r="N770" i="47"/>
  <c r="N771" i="47"/>
  <c r="N772" i="47"/>
  <c r="N773" i="47"/>
  <c r="N774" i="47"/>
  <c r="N775" i="47"/>
  <c r="N777" i="47"/>
  <c r="N778" i="47"/>
  <c r="N780" i="47"/>
  <c r="N781" i="47"/>
  <c r="N782" i="47"/>
  <c r="N783" i="47"/>
  <c r="N785" i="47"/>
  <c r="N786" i="47"/>
  <c r="N787" i="47"/>
  <c r="N789" i="47"/>
  <c r="N790" i="47"/>
  <c r="N791" i="47"/>
  <c r="N793" i="47"/>
  <c r="N794" i="47"/>
  <c r="N795" i="47"/>
  <c r="N796" i="47"/>
  <c r="N797" i="47"/>
  <c r="N798" i="47"/>
  <c r="N801" i="47"/>
  <c r="N802" i="47"/>
  <c r="N803" i="47"/>
  <c r="N805" i="47"/>
  <c r="N806" i="47"/>
  <c r="N807" i="47"/>
  <c r="N809" i="47"/>
  <c r="N810" i="47"/>
  <c r="N812" i="47"/>
  <c r="N813" i="47"/>
  <c r="N814" i="47"/>
  <c r="N815" i="47"/>
  <c r="N817" i="47"/>
  <c r="N818" i="47"/>
  <c r="N819" i="47"/>
  <c r="N821" i="47"/>
  <c r="N822" i="47"/>
  <c r="N823" i="47"/>
  <c r="N825" i="47"/>
  <c r="N826" i="47"/>
  <c r="N827" i="47"/>
  <c r="N828" i="47"/>
  <c r="N829" i="47"/>
  <c r="N830" i="47"/>
  <c r="N833" i="47"/>
  <c r="N834" i="47"/>
  <c r="N835" i="47"/>
  <c r="N837" i="47"/>
  <c r="N838" i="47"/>
  <c r="N839" i="47"/>
  <c r="N841" i="47"/>
  <c r="N842" i="47"/>
  <c r="N845" i="47"/>
  <c r="N846" i="47"/>
  <c r="N847" i="47"/>
  <c r="N849" i="47"/>
  <c r="N850" i="47"/>
  <c r="N851" i="47"/>
  <c r="N852" i="47"/>
  <c r="N853" i="47"/>
  <c r="N854" i="47"/>
  <c r="N855" i="47"/>
  <c r="N857" i="47"/>
  <c r="N858" i="47"/>
  <c r="N859" i="47"/>
  <c r="N860" i="47"/>
  <c r="N861" i="47"/>
  <c r="N862" i="47"/>
  <c r="N865" i="47"/>
  <c r="N866" i="47"/>
  <c r="N867" i="47"/>
  <c r="N868" i="47"/>
  <c r="N869" i="47"/>
  <c r="N870" i="47"/>
  <c r="N871" i="47"/>
  <c r="N873" i="47"/>
  <c r="N874" i="47"/>
  <c r="N876" i="47"/>
  <c r="N877" i="47"/>
  <c r="N878" i="47"/>
  <c r="N879" i="47"/>
  <c r="N881" i="47"/>
  <c r="N882" i="47"/>
  <c r="N883" i="47"/>
  <c r="N884" i="47"/>
  <c r="N885" i="47"/>
  <c r="N886" i="47"/>
  <c r="N887" i="47"/>
  <c r="N889" i="47"/>
  <c r="N890" i="47"/>
  <c r="N892" i="47"/>
  <c r="N893" i="47"/>
  <c r="N894" i="47"/>
  <c r="N895" i="47"/>
  <c r="N897" i="47"/>
  <c r="N898" i="47"/>
  <c r="N899" i="47"/>
  <c r="N900" i="47"/>
  <c r="N901" i="47"/>
  <c r="N902" i="47"/>
  <c r="N905" i="47"/>
  <c r="N906" i="47"/>
  <c r="N907" i="47"/>
  <c r="N908" i="47"/>
  <c r="N909" i="47"/>
  <c r="N910" i="47"/>
  <c r="N911" i="47"/>
  <c r="N913" i="47"/>
  <c r="N914" i="47"/>
  <c r="N916" i="47"/>
  <c r="N917" i="47"/>
  <c r="N918" i="47"/>
  <c r="N919" i="47"/>
  <c r="N921" i="47"/>
  <c r="N922" i="47"/>
  <c r="N923" i="47"/>
  <c r="N924" i="47"/>
  <c r="N925" i="47"/>
  <c r="N926" i="47"/>
  <c r="N927" i="47"/>
  <c r="N929" i="47"/>
  <c r="N930" i="47"/>
  <c r="N931" i="47"/>
  <c r="N932" i="47"/>
  <c r="N933" i="47"/>
  <c r="N934" i="47"/>
  <c r="N937" i="47"/>
  <c r="N938" i="47"/>
  <c r="N939" i="47"/>
  <c r="N941" i="47"/>
  <c r="N942" i="47"/>
  <c r="N943" i="47"/>
  <c r="N945" i="47"/>
  <c r="N946" i="47"/>
  <c r="N948" i="47"/>
  <c r="N949" i="47"/>
  <c r="N950" i="47"/>
  <c r="N951" i="47"/>
  <c r="N953" i="47"/>
  <c r="N954" i="47"/>
  <c r="N957" i="47"/>
  <c r="N958" i="47"/>
  <c r="N959" i="47"/>
  <c r="N961" i="47"/>
  <c r="N962" i="47"/>
  <c r="N963" i="47"/>
  <c r="N964" i="47"/>
  <c r="N965" i="47"/>
  <c r="N966" i="47"/>
  <c r="N967" i="47"/>
  <c r="N969" i="47"/>
  <c r="N970" i="47"/>
  <c r="N971" i="47"/>
  <c r="N973" i="47"/>
  <c r="N974" i="47"/>
  <c r="N977" i="47"/>
  <c r="N978" i="47"/>
  <c r="N979" i="47"/>
  <c r="N980" i="47"/>
  <c r="N981" i="47"/>
  <c r="N982" i="47"/>
  <c r="N985" i="47"/>
  <c r="N986" i="47"/>
  <c r="N988" i="47"/>
  <c r="N989" i="47"/>
  <c r="N990" i="47"/>
  <c r="N991" i="47"/>
  <c r="N993" i="47"/>
  <c r="N994" i="47"/>
  <c r="N995" i="47"/>
  <c r="N997" i="47"/>
  <c r="N999" i="47"/>
  <c r="M999" i="47"/>
  <c r="L999" i="47"/>
  <c r="M998" i="47"/>
  <c r="L998" i="47"/>
  <c r="M997" i="47"/>
  <c r="L997" i="47"/>
  <c r="M996" i="47"/>
  <c r="L996" i="47"/>
  <c r="M995" i="47"/>
  <c r="L995" i="47"/>
  <c r="M994" i="47"/>
  <c r="L994" i="47"/>
  <c r="M993" i="47"/>
  <c r="L993" i="47"/>
  <c r="M992" i="47"/>
  <c r="L992" i="47"/>
  <c r="M991" i="47"/>
  <c r="L991" i="47"/>
  <c r="M990" i="47"/>
  <c r="L990" i="47"/>
  <c r="M989" i="47"/>
  <c r="L989" i="47"/>
  <c r="M988" i="47"/>
  <c r="L988" i="47"/>
  <c r="M987" i="47"/>
  <c r="L987" i="47"/>
  <c r="M986" i="47"/>
  <c r="L986" i="47"/>
  <c r="M985" i="47"/>
  <c r="L985" i="47"/>
  <c r="M984" i="47"/>
  <c r="L984" i="47"/>
  <c r="M983" i="47"/>
  <c r="L983" i="47"/>
  <c r="M982" i="47"/>
  <c r="L982" i="47"/>
  <c r="M981" i="47"/>
  <c r="L981" i="47"/>
  <c r="M980" i="47"/>
  <c r="L980" i="47"/>
  <c r="M979" i="47"/>
  <c r="L979" i="47"/>
  <c r="M978" i="47"/>
  <c r="L978" i="47"/>
  <c r="M977" i="47"/>
  <c r="L977" i="47"/>
  <c r="M976" i="47"/>
  <c r="L976" i="47"/>
  <c r="M975" i="47"/>
  <c r="L975" i="47"/>
  <c r="M974" i="47"/>
  <c r="L974" i="47"/>
  <c r="M973" i="47"/>
  <c r="L973" i="47"/>
  <c r="M972" i="47"/>
  <c r="L972" i="47"/>
  <c r="M971" i="47"/>
  <c r="L971" i="47"/>
  <c r="M970" i="47"/>
  <c r="L970" i="47"/>
  <c r="M969" i="47"/>
  <c r="L969" i="47"/>
  <c r="M968" i="47"/>
  <c r="L968" i="47"/>
  <c r="M967" i="47"/>
  <c r="L967" i="47"/>
  <c r="M966" i="47"/>
  <c r="L966" i="47"/>
  <c r="M965" i="47"/>
  <c r="L965" i="47"/>
  <c r="M964" i="47"/>
  <c r="L964" i="47"/>
  <c r="M963" i="47"/>
  <c r="L963" i="47"/>
  <c r="M962" i="47"/>
  <c r="L962" i="47"/>
  <c r="M961" i="47"/>
  <c r="L961" i="47"/>
  <c r="M960" i="47"/>
  <c r="L960" i="47"/>
  <c r="M959" i="47"/>
  <c r="L959" i="47"/>
  <c r="M958" i="47"/>
  <c r="L958" i="47"/>
  <c r="M957" i="47"/>
  <c r="L957" i="47"/>
  <c r="M956" i="47"/>
  <c r="L956" i="47"/>
  <c r="M955" i="47"/>
  <c r="L955" i="47"/>
  <c r="M954" i="47"/>
  <c r="L954" i="47"/>
  <c r="M953" i="47"/>
  <c r="L953" i="47"/>
  <c r="M952" i="47"/>
  <c r="L952" i="47"/>
  <c r="M951" i="47"/>
  <c r="L951" i="47"/>
  <c r="M950" i="47"/>
  <c r="L950" i="47"/>
  <c r="M949" i="47"/>
  <c r="L949" i="47"/>
  <c r="M948" i="47"/>
  <c r="L948" i="47"/>
  <c r="M947" i="47"/>
  <c r="L947" i="47"/>
  <c r="M946" i="47"/>
  <c r="L946" i="47"/>
  <c r="M945" i="47"/>
  <c r="L945" i="47"/>
  <c r="M944" i="47"/>
  <c r="L944" i="47"/>
  <c r="M943" i="47"/>
  <c r="L943" i="47"/>
  <c r="M942" i="47"/>
  <c r="L942" i="47"/>
  <c r="M941" i="47"/>
  <c r="L941" i="47"/>
  <c r="M940" i="47"/>
  <c r="L940" i="47"/>
  <c r="M939" i="47"/>
  <c r="L939" i="47"/>
  <c r="M938" i="47"/>
  <c r="L938" i="47"/>
  <c r="M937" i="47"/>
  <c r="L937" i="47"/>
  <c r="M936" i="47"/>
  <c r="L936" i="47"/>
  <c r="M935" i="47"/>
  <c r="L935" i="47"/>
  <c r="M934" i="47"/>
  <c r="L934" i="47"/>
  <c r="M933" i="47"/>
  <c r="L933" i="47"/>
  <c r="M932" i="47"/>
  <c r="L932" i="47"/>
  <c r="M931" i="47"/>
  <c r="L931" i="47"/>
  <c r="M930" i="47"/>
  <c r="L930" i="47"/>
  <c r="M929" i="47"/>
  <c r="L929" i="47"/>
  <c r="M928" i="47"/>
  <c r="L928" i="47"/>
  <c r="M927" i="47"/>
  <c r="L927" i="47"/>
  <c r="M926" i="47"/>
  <c r="L926" i="47"/>
  <c r="M925" i="47"/>
  <c r="L925" i="47"/>
  <c r="M924" i="47"/>
  <c r="L924" i="47"/>
  <c r="M923" i="47"/>
  <c r="L923" i="47"/>
  <c r="M922" i="47"/>
  <c r="L922" i="47"/>
  <c r="M921" i="47"/>
  <c r="L921" i="47"/>
  <c r="M920" i="47"/>
  <c r="L920" i="47"/>
  <c r="M919" i="47"/>
  <c r="L919" i="47"/>
  <c r="M918" i="47"/>
  <c r="L918" i="47"/>
  <c r="M917" i="47"/>
  <c r="L917" i="47"/>
  <c r="M916" i="47"/>
  <c r="L916" i="47"/>
  <c r="M915" i="47"/>
  <c r="L915" i="47"/>
  <c r="M914" i="47"/>
  <c r="L914" i="47"/>
  <c r="M913" i="47"/>
  <c r="L913" i="47"/>
  <c r="M912" i="47"/>
  <c r="L912" i="47"/>
  <c r="M911" i="47"/>
  <c r="L911" i="47"/>
  <c r="M910" i="47"/>
  <c r="L910" i="47"/>
  <c r="M909" i="47"/>
  <c r="L909" i="47"/>
  <c r="M908" i="47"/>
  <c r="L908" i="47"/>
  <c r="M907" i="47"/>
  <c r="L907" i="47"/>
  <c r="M906" i="47"/>
  <c r="L906" i="47"/>
  <c r="M905" i="47"/>
  <c r="L905" i="47"/>
  <c r="M904" i="47"/>
  <c r="L904" i="47"/>
  <c r="M903" i="47"/>
  <c r="L903" i="47"/>
  <c r="M902" i="47"/>
  <c r="L902" i="47"/>
  <c r="M901" i="47"/>
  <c r="L901" i="47"/>
  <c r="M900" i="47"/>
  <c r="L900" i="47"/>
  <c r="M899" i="47"/>
  <c r="L899" i="47"/>
  <c r="M898" i="47"/>
  <c r="L898" i="47"/>
  <c r="M897" i="47"/>
  <c r="L897" i="47"/>
  <c r="M896" i="47"/>
  <c r="L896" i="47"/>
  <c r="M895" i="47"/>
  <c r="L895" i="47"/>
  <c r="M894" i="47"/>
  <c r="L894" i="47"/>
  <c r="M893" i="47"/>
  <c r="L893" i="47"/>
  <c r="M892" i="47"/>
  <c r="L892" i="47"/>
  <c r="M891" i="47"/>
  <c r="L891" i="47"/>
  <c r="M890" i="47"/>
  <c r="L890" i="47"/>
  <c r="M889" i="47"/>
  <c r="L889" i="47"/>
  <c r="M888" i="47"/>
  <c r="L888" i="47"/>
  <c r="M887" i="47"/>
  <c r="L887" i="47"/>
  <c r="M886" i="47"/>
  <c r="L886" i="47"/>
  <c r="M885" i="47"/>
  <c r="L885" i="47"/>
  <c r="M884" i="47"/>
  <c r="L884" i="47"/>
  <c r="M883" i="47"/>
  <c r="L883" i="47"/>
  <c r="M882" i="47"/>
  <c r="L882" i="47"/>
  <c r="M881" i="47"/>
  <c r="L881" i="47"/>
  <c r="M880" i="47"/>
  <c r="L880" i="47"/>
  <c r="M879" i="47"/>
  <c r="L879" i="47"/>
  <c r="M878" i="47"/>
  <c r="L878" i="47"/>
  <c r="M877" i="47"/>
  <c r="L877" i="47"/>
  <c r="M876" i="47"/>
  <c r="L876" i="47"/>
  <c r="M875" i="47"/>
  <c r="L875" i="47"/>
  <c r="M874" i="47"/>
  <c r="L874" i="47"/>
  <c r="M873" i="47"/>
  <c r="L873" i="47"/>
  <c r="M872" i="47"/>
  <c r="L872" i="47"/>
  <c r="M871" i="47"/>
  <c r="L871" i="47"/>
  <c r="M870" i="47"/>
  <c r="L870" i="47"/>
  <c r="M869" i="47"/>
  <c r="L869" i="47"/>
  <c r="M868" i="47"/>
  <c r="L868" i="47"/>
  <c r="M867" i="47"/>
  <c r="L867" i="47"/>
  <c r="M866" i="47"/>
  <c r="L866" i="47"/>
  <c r="M865" i="47"/>
  <c r="L865" i="47"/>
  <c r="M864" i="47"/>
  <c r="L864" i="47"/>
  <c r="M863" i="47"/>
  <c r="L863" i="47"/>
  <c r="M862" i="47"/>
  <c r="L862" i="47"/>
  <c r="M861" i="47"/>
  <c r="L861" i="47"/>
  <c r="M860" i="47"/>
  <c r="L860" i="47"/>
  <c r="M859" i="47"/>
  <c r="L859" i="47"/>
  <c r="M858" i="47"/>
  <c r="L858" i="47"/>
  <c r="M857" i="47"/>
  <c r="L857" i="47"/>
  <c r="M856" i="47"/>
  <c r="L856" i="47"/>
  <c r="M855" i="47"/>
  <c r="L855" i="47"/>
  <c r="M854" i="47"/>
  <c r="L854" i="47"/>
  <c r="M853" i="47"/>
  <c r="L853" i="47"/>
  <c r="M852" i="47"/>
  <c r="L852" i="47"/>
  <c r="M851" i="47"/>
  <c r="L851" i="47"/>
  <c r="M850" i="47"/>
  <c r="L850" i="47"/>
  <c r="M849" i="47"/>
  <c r="L849" i="47"/>
  <c r="M848" i="47"/>
  <c r="L848" i="47"/>
  <c r="M847" i="47"/>
  <c r="L847" i="47"/>
  <c r="M846" i="47"/>
  <c r="L846" i="47"/>
  <c r="M845" i="47"/>
  <c r="L845" i="47"/>
  <c r="M844" i="47"/>
  <c r="L844" i="47"/>
  <c r="M843" i="47"/>
  <c r="L843" i="47"/>
  <c r="M842" i="47"/>
  <c r="L842" i="47"/>
  <c r="M841" i="47"/>
  <c r="L841" i="47"/>
  <c r="M840" i="47"/>
  <c r="L840" i="47"/>
  <c r="M839" i="47"/>
  <c r="L839" i="47"/>
  <c r="M838" i="47"/>
  <c r="L838" i="47"/>
  <c r="M837" i="47"/>
  <c r="L837" i="47"/>
  <c r="M836" i="47"/>
  <c r="L836" i="47"/>
  <c r="M835" i="47"/>
  <c r="L835" i="47"/>
  <c r="M834" i="47"/>
  <c r="L834" i="47"/>
  <c r="M833" i="47"/>
  <c r="L833" i="47"/>
  <c r="M832" i="47"/>
  <c r="L832" i="47"/>
  <c r="M831" i="47"/>
  <c r="L831" i="47"/>
  <c r="M830" i="47"/>
  <c r="L830" i="47"/>
  <c r="M829" i="47"/>
  <c r="L829" i="47"/>
  <c r="M828" i="47"/>
  <c r="L828" i="47"/>
  <c r="M827" i="47"/>
  <c r="L827" i="47"/>
  <c r="M826" i="47"/>
  <c r="L826" i="47"/>
  <c r="M825" i="47"/>
  <c r="L825" i="47"/>
  <c r="M824" i="47"/>
  <c r="L824" i="47"/>
  <c r="M823" i="47"/>
  <c r="L823" i="47"/>
  <c r="M822" i="47"/>
  <c r="L822" i="47"/>
  <c r="M821" i="47"/>
  <c r="L821" i="47"/>
  <c r="M820" i="47"/>
  <c r="L820" i="47"/>
  <c r="M819" i="47"/>
  <c r="L819" i="47"/>
  <c r="M818" i="47"/>
  <c r="L818" i="47"/>
  <c r="M817" i="47"/>
  <c r="L817" i="47"/>
  <c r="M816" i="47"/>
  <c r="L816" i="47"/>
  <c r="M815" i="47"/>
  <c r="L815" i="47"/>
  <c r="M814" i="47"/>
  <c r="L814" i="47"/>
  <c r="M813" i="47"/>
  <c r="L813" i="47"/>
  <c r="M812" i="47"/>
  <c r="L812" i="47"/>
  <c r="M811" i="47"/>
  <c r="L811" i="47"/>
  <c r="M810" i="47"/>
  <c r="L810" i="47"/>
  <c r="M809" i="47"/>
  <c r="L809" i="47"/>
  <c r="M808" i="47"/>
  <c r="L808" i="47"/>
  <c r="M807" i="47"/>
  <c r="L807" i="47"/>
  <c r="M806" i="47"/>
  <c r="L806" i="47"/>
  <c r="M805" i="47"/>
  <c r="L805" i="47"/>
  <c r="M804" i="47"/>
  <c r="L804" i="47"/>
  <c r="M803" i="47"/>
  <c r="L803" i="47"/>
  <c r="M802" i="47"/>
  <c r="L802" i="47"/>
  <c r="M801" i="47"/>
  <c r="L801" i="47"/>
  <c r="M800" i="47"/>
  <c r="L800" i="47"/>
  <c r="M799" i="47"/>
  <c r="L799" i="47"/>
  <c r="M798" i="47"/>
  <c r="L798" i="47"/>
  <c r="M797" i="47"/>
  <c r="L797" i="47"/>
  <c r="M796" i="47"/>
  <c r="L796" i="47"/>
  <c r="M795" i="47"/>
  <c r="L795" i="47"/>
  <c r="M794" i="47"/>
  <c r="L794" i="47"/>
  <c r="M793" i="47"/>
  <c r="L793" i="47"/>
  <c r="M792" i="47"/>
  <c r="L792" i="47"/>
  <c r="M791" i="47"/>
  <c r="L791" i="47"/>
  <c r="M790" i="47"/>
  <c r="L790" i="47"/>
  <c r="M789" i="47"/>
  <c r="L789" i="47"/>
  <c r="M788" i="47"/>
  <c r="L788" i="47"/>
  <c r="M787" i="47"/>
  <c r="L787" i="47"/>
  <c r="M786" i="47"/>
  <c r="L786" i="47"/>
  <c r="M785" i="47"/>
  <c r="L785" i="47"/>
  <c r="M784" i="47"/>
  <c r="L784" i="47"/>
  <c r="M783" i="47"/>
  <c r="L783" i="47"/>
  <c r="M782" i="47"/>
  <c r="L782" i="47"/>
  <c r="M781" i="47"/>
  <c r="L781" i="47"/>
  <c r="M780" i="47"/>
  <c r="L780" i="47"/>
  <c r="M779" i="47"/>
  <c r="L779" i="47"/>
  <c r="M778" i="47"/>
  <c r="L778" i="47"/>
  <c r="M777" i="47"/>
  <c r="L777" i="47"/>
  <c r="M776" i="47"/>
  <c r="L776" i="47"/>
  <c r="M775" i="47"/>
  <c r="L775" i="47"/>
  <c r="M774" i="47"/>
  <c r="L774" i="47"/>
  <c r="M773" i="47"/>
  <c r="L773" i="47"/>
  <c r="M772" i="47"/>
  <c r="L772" i="47"/>
  <c r="M771" i="47"/>
  <c r="L771" i="47"/>
  <c r="M770" i="47"/>
  <c r="L770" i="47"/>
  <c r="M769" i="47"/>
  <c r="L769" i="47"/>
  <c r="M768" i="47"/>
  <c r="L768" i="47"/>
  <c r="M767" i="47"/>
  <c r="L767" i="47"/>
  <c r="M766" i="47"/>
  <c r="L766" i="47"/>
  <c r="M765" i="47"/>
  <c r="L765" i="47"/>
  <c r="M764" i="47"/>
  <c r="L764" i="47"/>
  <c r="M763" i="47"/>
  <c r="L763" i="47"/>
  <c r="M762" i="47"/>
  <c r="L762" i="47"/>
  <c r="M761" i="47"/>
  <c r="L761" i="47"/>
  <c r="M760" i="47"/>
  <c r="L760" i="47"/>
  <c r="M759" i="47"/>
  <c r="L759" i="47"/>
  <c r="M758" i="47"/>
  <c r="L758" i="47"/>
  <c r="M757" i="47"/>
  <c r="L757" i="47"/>
  <c r="M756" i="47"/>
  <c r="L756" i="47"/>
  <c r="M755" i="47"/>
  <c r="L755" i="47"/>
  <c r="M754" i="47"/>
  <c r="L754" i="47"/>
  <c r="M753" i="47"/>
  <c r="L753" i="47"/>
  <c r="M752" i="47"/>
  <c r="L752" i="47"/>
  <c r="M751" i="47"/>
  <c r="L751" i="47"/>
  <c r="M750" i="47"/>
  <c r="L750" i="47"/>
  <c r="M749" i="47"/>
  <c r="L749" i="47"/>
  <c r="M748" i="47"/>
  <c r="L748" i="47"/>
  <c r="M747" i="47"/>
  <c r="L747" i="47"/>
  <c r="M746" i="47"/>
  <c r="L746" i="47"/>
  <c r="M745" i="47"/>
  <c r="L745" i="47"/>
  <c r="M744" i="47"/>
  <c r="L744" i="47"/>
  <c r="M743" i="47"/>
  <c r="L743" i="47"/>
  <c r="M742" i="47"/>
  <c r="L742" i="47"/>
  <c r="M741" i="47"/>
  <c r="L741" i="47"/>
  <c r="M740" i="47"/>
  <c r="L740" i="47"/>
  <c r="M739" i="47"/>
  <c r="L739" i="47"/>
  <c r="M738" i="47"/>
  <c r="L738" i="47"/>
  <c r="M737" i="47"/>
  <c r="L737" i="47"/>
  <c r="M736" i="47"/>
  <c r="L736" i="47"/>
  <c r="M735" i="47"/>
  <c r="L735" i="47"/>
  <c r="M734" i="47"/>
  <c r="L734" i="47"/>
  <c r="M733" i="47"/>
  <c r="L733" i="47"/>
  <c r="M732" i="47"/>
  <c r="L732" i="47"/>
  <c r="M731" i="47"/>
  <c r="L731" i="47"/>
  <c r="M730" i="47"/>
  <c r="L730" i="47"/>
  <c r="M729" i="47"/>
  <c r="L729" i="47"/>
  <c r="M728" i="47"/>
  <c r="L728" i="47"/>
  <c r="M727" i="47"/>
  <c r="L727" i="47"/>
  <c r="M726" i="47"/>
  <c r="L726" i="47"/>
  <c r="M725" i="47"/>
  <c r="L725" i="47"/>
  <c r="M724" i="47"/>
  <c r="L724" i="47"/>
  <c r="M723" i="47"/>
  <c r="L723" i="47"/>
  <c r="M722" i="47"/>
  <c r="L722" i="47"/>
  <c r="M721" i="47"/>
  <c r="L721" i="47"/>
  <c r="M720" i="47"/>
  <c r="L720" i="47"/>
  <c r="M719" i="47"/>
  <c r="L719" i="47"/>
  <c r="M718" i="47"/>
  <c r="L718" i="47"/>
  <c r="M717" i="47"/>
  <c r="L717" i="47"/>
  <c r="M716" i="47"/>
  <c r="L716" i="47"/>
  <c r="M715" i="47"/>
  <c r="L715" i="47"/>
  <c r="M714" i="47"/>
  <c r="L714" i="47"/>
  <c r="M713" i="47"/>
  <c r="L713" i="47"/>
  <c r="M712" i="47"/>
  <c r="L712" i="47"/>
  <c r="M711" i="47"/>
  <c r="L711" i="47"/>
  <c r="M710" i="47"/>
  <c r="L710" i="47"/>
  <c r="M709" i="47"/>
  <c r="L709" i="47"/>
  <c r="M708" i="47"/>
  <c r="L708" i="47"/>
  <c r="M707" i="47"/>
  <c r="L707" i="47"/>
  <c r="M706" i="47"/>
  <c r="L706" i="47"/>
  <c r="M705" i="47"/>
  <c r="L705" i="47"/>
  <c r="M704" i="47"/>
  <c r="L704" i="47"/>
  <c r="M703" i="47"/>
  <c r="L703" i="47"/>
  <c r="M702" i="47"/>
  <c r="L702" i="47"/>
  <c r="M701" i="47"/>
  <c r="L701" i="47"/>
  <c r="M700" i="47"/>
  <c r="L700" i="47"/>
  <c r="M699" i="47"/>
  <c r="L699" i="47"/>
  <c r="M698" i="47"/>
  <c r="L698" i="47"/>
  <c r="M697" i="47"/>
  <c r="L697" i="47"/>
  <c r="M696" i="47"/>
  <c r="L696" i="47"/>
  <c r="M695" i="47"/>
  <c r="L695" i="47"/>
  <c r="M694" i="47"/>
  <c r="L694" i="47"/>
  <c r="M693" i="47"/>
  <c r="L693" i="47"/>
  <c r="M692" i="47"/>
  <c r="L692" i="47"/>
  <c r="M691" i="47"/>
  <c r="L691" i="47"/>
  <c r="M690" i="47"/>
  <c r="L690" i="47"/>
  <c r="M689" i="47"/>
  <c r="L689" i="47"/>
  <c r="M688" i="47"/>
  <c r="L688" i="47"/>
  <c r="M687" i="47"/>
  <c r="L687" i="47"/>
  <c r="M686" i="47"/>
  <c r="L686" i="47"/>
  <c r="M685" i="47"/>
  <c r="L685" i="47"/>
  <c r="M684" i="47"/>
  <c r="L684" i="47"/>
  <c r="M683" i="47"/>
  <c r="L683" i="47"/>
  <c r="M682" i="47"/>
  <c r="L682" i="47"/>
  <c r="M681" i="47"/>
  <c r="L681" i="47"/>
  <c r="M680" i="47"/>
  <c r="L680" i="47"/>
  <c r="M679" i="47"/>
  <c r="L679" i="47"/>
  <c r="M678" i="47"/>
  <c r="L678" i="47"/>
  <c r="M677" i="47"/>
  <c r="L677" i="47"/>
  <c r="M676" i="47"/>
  <c r="L676" i="47"/>
  <c r="M675" i="47"/>
  <c r="L675" i="47"/>
  <c r="M674" i="47"/>
  <c r="L674" i="47"/>
  <c r="M673" i="47"/>
  <c r="L673" i="47"/>
  <c r="M672" i="47"/>
  <c r="L672" i="47"/>
  <c r="M671" i="47"/>
  <c r="L671" i="47"/>
  <c r="M670" i="47"/>
  <c r="L670" i="47"/>
  <c r="M669" i="47"/>
  <c r="L669" i="47"/>
  <c r="M668" i="47"/>
  <c r="L668" i="47"/>
  <c r="M667" i="47"/>
  <c r="L667" i="47"/>
  <c r="M666" i="47"/>
  <c r="L666" i="47"/>
  <c r="M665" i="47"/>
  <c r="L665" i="47"/>
  <c r="M664" i="47"/>
  <c r="L664" i="47"/>
  <c r="M663" i="47"/>
  <c r="L663" i="47"/>
  <c r="M662" i="47"/>
  <c r="L662" i="47"/>
  <c r="M661" i="47"/>
  <c r="L661" i="47"/>
  <c r="M660" i="47"/>
  <c r="L660" i="47"/>
  <c r="M659" i="47"/>
  <c r="L659" i="47"/>
  <c r="M658" i="47"/>
  <c r="L658" i="47"/>
  <c r="M657" i="47"/>
  <c r="L657" i="47"/>
  <c r="M656" i="47"/>
  <c r="L656" i="47"/>
  <c r="M655" i="47"/>
  <c r="L655" i="47"/>
  <c r="M654" i="47"/>
  <c r="L654" i="47"/>
  <c r="M653" i="47"/>
  <c r="L653" i="47"/>
  <c r="M652" i="47"/>
  <c r="L652" i="47"/>
  <c r="M651" i="47"/>
  <c r="L651" i="47"/>
  <c r="M650" i="47"/>
  <c r="L650" i="47"/>
  <c r="M649" i="47"/>
  <c r="L649" i="47"/>
  <c r="M648" i="47"/>
  <c r="L648" i="47"/>
  <c r="M647" i="47"/>
  <c r="L647" i="47"/>
  <c r="M646" i="47"/>
  <c r="L646" i="47"/>
  <c r="M645" i="47"/>
  <c r="L645" i="47"/>
  <c r="M644" i="47"/>
  <c r="L644" i="47"/>
  <c r="M643" i="47"/>
  <c r="L643" i="47"/>
  <c r="M642" i="47"/>
  <c r="L642" i="47"/>
  <c r="M641" i="47"/>
  <c r="L641" i="47"/>
  <c r="M640" i="47"/>
  <c r="L640" i="47"/>
  <c r="M639" i="47"/>
  <c r="L639" i="47"/>
  <c r="M638" i="47"/>
  <c r="L638" i="47"/>
  <c r="M637" i="47"/>
  <c r="L637" i="47"/>
  <c r="M636" i="47"/>
  <c r="L636" i="47"/>
  <c r="M635" i="47"/>
  <c r="L635" i="47"/>
  <c r="M634" i="47"/>
  <c r="L634" i="47"/>
  <c r="M633" i="47"/>
  <c r="L633" i="47"/>
  <c r="M632" i="47"/>
  <c r="L632" i="47"/>
  <c r="M631" i="47"/>
  <c r="L631" i="47"/>
  <c r="M630" i="47"/>
  <c r="L630" i="47"/>
  <c r="M629" i="47"/>
  <c r="L629" i="47"/>
  <c r="M628" i="47"/>
  <c r="L628" i="47"/>
  <c r="M627" i="47"/>
  <c r="L627" i="47"/>
  <c r="M626" i="47"/>
  <c r="L626" i="47"/>
  <c r="M625" i="47"/>
  <c r="L625" i="47"/>
  <c r="M624" i="47"/>
  <c r="L624" i="47"/>
  <c r="M623" i="47"/>
  <c r="L623" i="47"/>
  <c r="M622" i="47"/>
  <c r="L622" i="47"/>
  <c r="M621" i="47"/>
  <c r="L621" i="47"/>
  <c r="M620" i="47"/>
  <c r="L620" i="47"/>
  <c r="M619" i="47"/>
  <c r="L619" i="47"/>
  <c r="M618" i="47"/>
  <c r="L618" i="47"/>
  <c r="M617" i="47"/>
  <c r="L617" i="47"/>
  <c r="M616" i="47"/>
  <c r="L616" i="47"/>
  <c r="M615" i="47"/>
  <c r="L615" i="47"/>
  <c r="M614" i="47"/>
  <c r="L614" i="47"/>
  <c r="M613" i="47"/>
  <c r="L613" i="47"/>
  <c r="M612" i="47"/>
  <c r="L612" i="47"/>
  <c r="M611" i="47"/>
  <c r="L611" i="47"/>
  <c r="M610" i="47"/>
  <c r="L610" i="47"/>
  <c r="M609" i="47"/>
  <c r="L609" i="47"/>
  <c r="M608" i="47"/>
  <c r="L608" i="47"/>
  <c r="M607" i="47"/>
  <c r="L607" i="47"/>
  <c r="M606" i="47"/>
  <c r="L606" i="47"/>
  <c r="M605" i="47"/>
  <c r="L605" i="47"/>
  <c r="M604" i="47"/>
  <c r="L604" i="47"/>
  <c r="M603" i="47"/>
  <c r="L603" i="47"/>
  <c r="M602" i="47"/>
  <c r="L602" i="47"/>
  <c r="M601" i="47"/>
  <c r="L601" i="47"/>
  <c r="M600" i="47"/>
  <c r="L600" i="47"/>
  <c r="M599" i="47"/>
  <c r="L599" i="47"/>
  <c r="M598" i="47"/>
  <c r="L598" i="47"/>
  <c r="M597" i="47"/>
  <c r="L597" i="47"/>
  <c r="M596" i="47"/>
  <c r="L596" i="47"/>
  <c r="M595" i="47"/>
  <c r="L595" i="47"/>
  <c r="M594" i="47"/>
  <c r="L594" i="47"/>
  <c r="M593" i="47"/>
  <c r="L593" i="47"/>
  <c r="M592" i="47"/>
  <c r="L592" i="47"/>
  <c r="M591" i="47"/>
  <c r="L591" i="47"/>
  <c r="M590" i="47"/>
  <c r="L590" i="47"/>
  <c r="M589" i="47"/>
  <c r="L589" i="47"/>
  <c r="M588" i="47"/>
  <c r="L588" i="47"/>
  <c r="M587" i="47"/>
  <c r="L587" i="47"/>
  <c r="M586" i="47"/>
  <c r="L586" i="47"/>
  <c r="M585" i="47"/>
  <c r="L585" i="47"/>
  <c r="M584" i="47"/>
  <c r="L584" i="47"/>
  <c r="M583" i="47"/>
  <c r="L583" i="47"/>
  <c r="M582" i="47"/>
  <c r="L582" i="47"/>
  <c r="M581" i="47"/>
  <c r="L581" i="47"/>
  <c r="M580" i="47"/>
  <c r="L580" i="47"/>
  <c r="M579" i="47"/>
  <c r="L579" i="47"/>
  <c r="M578" i="47"/>
  <c r="L578" i="47"/>
  <c r="M577" i="47"/>
  <c r="L577" i="47"/>
  <c r="M576" i="47"/>
  <c r="L576" i="47"/>
  <c r="M575" i="47"/>
  <c r="L575" i="47"/>
  <c r="M574" i="47"/>
  <c r="L574" i="47"/>
  <c r="M573" i="47"/>
  <c r="L573" i="47"/>
  <c r="M572" i="47"/>
  <c r="L572" i="47"/>
  <c r="M571" i="47"/>
  <c r="L571" i="47"/>
  <c r="M570" i="47"/>
  <c r="L570" i="47"/>
  <c r="M569" i="47"/>
  <c r="L569" i="47"/>
  <c r="M568" i="47"/>
  <c r="L568" i="47"/>
  <c r="M567" i="47"/>
  <c r="L567" i="47"/>
  <c r="M566" i="47"/>
  <c r="L566" i="47"/>
  <c r="M565" i="47"/>
  <c r="L565" i="47"/>
  <c r="M564" i="47"/>
  <c r="L564" i="47"/>
  <c r="M563" i="47"/>
  <c r="L563" i="47"/>
  <c r="M562" i="47"/>
  <c r="L562" i="47"/>
  <c r="M561" i="47"/>
  <c r="L561" i="47"/>
  <c r="M560" i="47"/>
  <c r="L560" i="47"/>
  <c r="M559" i="47"/>
  <c r="L559" i="47"/>
  <c r="M558" i="47"/>
  <c r="L558" i="47"/>
  <c r="M557" i="47"/>
  <c r="L557" i="47"/>
  <c r="M556" i="47"/>
  <c r="L556" i="47"/>
  <c r="M555" i="47"/>
  <c r="L555" i="47"/>
  <c r="M554" i="47"/>
  <c r="L554" i="47"/>
  <c r="M553" i="47"/>
  <c r="L553" i="47"/>
  <c r="M552" i="47"/>
  <c r="L552" i="47"/>
  <c r="M551" i="47"/>
  <c r="L551" i="47"/>
  <c r="M550" i="47"/>
  <c r="L550" i="47"/>
  <c r="M549" i="47"/>
  <c r="L549" i="47"/>
  <c r="M548" i="47"/>
  <c r="L548" i="47"/>
  <c r="M547" i="47"/>
  <c r="L547" i="47"/>
  <c r="M546" i="47"/>
  <c r="L546" i="47"/>
  <c r="M545" i="47"/>
  <c r="L545" i="47"/>
  <c r="M544" i="47"/>
  <c r="L544" i="47"/>
  <c r="M543" i="47"/>
  <c r="L543" i="47"/>
  <c r="M542" i="47"/>
  <c r="L542" i="47"/>
  <c r="M541" i="47"/>
  <c r="L541" i="47"/>
  <c r="M540" i="47"/>
  <c r="L540" i="47"/>
  <c r="M539" i="47"/>
  <c r="L539" i="47"/>
  <c r="M538" i="47"/>
  <c r="L538" i="47"/>
  <c r="M537" i="47"/>
  <c r="L537" i="47"/>
  <c r="M536" i="47"/>
  <c r="L536" i="47"/>
  <c r="M535" i="47"/>
  <c r="L535" i="47"/>
  <c r="M534" i="47"/>
  <c r="L534" i="47"/>
  <c r="M533" i="47"/>
  <c r="L533" i="47"/>
  <c r="M532" i="47"/>
  <c r="L532" i="47"/>
  <c r="M531" i="47"/>
  <c r="L531" i="47"/>
  <c r="M530" i="47"/>
  <c r="L530" i="47"/>
  <c r="M529" i="47"/>
  <c r="L529" i="47"/>
  <c r="M528" i="47"/>
  <c r="L528" i="47"/>
  <c r="M527" i="47"/>
  <c r="L527" i="47"/>
  <c r="M526" i="47"/>
  <c r="L526" i="47"/>
  <c r="M525" i="47"/>
  <c r="L525" i="47"/>
  <c r="M524" i="47"/>
  <c r="L524" i="47"/>
  <c r="M523" i="47"/>
  <c r="L523" i="47"/>
  <c r="M522" i="47"/>
  <c r="L522" i="47"/>
  <c r="M521" i="47"/>
  <c r="L521" i="47"/>
  <c r="M520" i="47"/>
  <c r="L520" i="47"/>
  <c r="M519" i="47"/>
  <c r="L519" i="47"/>
  <c r="M518" i="47"/>
  <c r="L518" i="47"/>
  <c r="M517" i="47"/>
  <c r="L517" i="47"/>
  <c r="M516" i="47"/>
  <c r="L516" i="47"/>
  <c r="M515" i="47"/>
  <c r="L515" i="47"/>
  <c r="M514" i="47"/>
  <c r="L514" i="47"/>
  <c r="M513" i="47"/>
  <c r="L513" i="47"/>
  <c r="M512" i="47"/>
  <c r="L512" i="47"/>
  <c r="M511" i="47"/>
  <c r="L511" i="47"/>
  <c r="M510" i="47"/>
  <c r="L510" i="47"/>
  <c r="M509" i="47"/>
  <c r="L509" i="47"/>
  <c r="M508" i="47"/>
  <c r="L508" i="47"/>
  <c r="M507" i="47"/>
  <c r="L507" i="47"/>
  <c r="M506" i="47"/>
  <c r="L506" i="47"/>
  <c r="M505" i="47"/>
  <c r="L505" i="47"/>
  <c r="M504" i="47"/>
  <c r="L504" i="47"/>
  <c r="M503" i="47"/>
  <c r="L503" i="47"/>
  <c r="M502" i="47"/>
  <c r="L502" i="47"/>
  <c r="M501" i="47"/>
  <c r="L501" i="47"/>
  <c r="M500" i="47"/>
  <c r="L500" i="47"/>
  <c r="M499" i="47"/>
  <c r="L499" i="47"/>
  <c r="M498" i="47"/>
  <c r="L498" i="47"/>
  <c r="M497" i="47"/>
  <c r="L497" i="47"/>
  <c r="M496" i="47"/>
  <c r="L496" i="47"/>
  <c r="M495" i="47"/>
  <c r="L495" i="47"/>
  <c r="M494" i="47"/>
  <c r="L494" i="47"/>
  <c r="M493" i="47"/>
  <c r="L493" i="47"/>
  <c r="M492" i="47"/>
  <c r="L492" i="47"/>
  <c r="M491" i="47"/>
  <c r="L491" i="47"/>
  <c r="M490" i="47"/>
  <c r="L490" i="47"/>
  <c r="M489" i="47"/>
  <c r="L489" i="47"/>
  <c r="M488" i="47"/>
  <c r="L488" i="47"/>
  <c r="M487" i="47"/>
  <c r="L487" i="47"/>
  <c r="M486" i="47"/>
  <c r="L486" i="47"/>
  <c r="M485" i="47"/>
  <c r="L485" i="47"/>
  <c r="M484" i="47"/>
  <c r="L484" i="47"/>
  <c r="M483" i="47"/>
  <c r="L483" i="47"/>
  <c r="M482" i="47"/>
  <c r="L482" i="47"/>
  <c r="M481" i="47"/>
  <c r="L481" i="47"/>
  <c r="M480" i="47"/>
  <c r="L480" i="47"/>
  <c r="M479" i="47"/>
  <c r="L479" i="47"/>
  <c r="M478" i="47"/>
  <c r="L478" i="47"/>
  <c r="M477" i="47"/>
  <c r="L477" i="47"/>
  <c r="M476" i="47"/>
  <c r="L476" i="47"/>
  <c r="M475" i="47"/>
  <c r="L475" i="47"/>
  <c r="M474" i="47"/>
  <c r="L474" i="47"/>
  <c r="M473" i="47"/>
  <c r="L473" i="47"/>
  <c r="M472" i="47"/>
  <c r="L472" i="47"/>
  <c r="M471" i="47"/>
  <c r="L471" i="47"/>
  <c r="M470" i="47"/>
  <c r="L470" i="47"/>
  <c r="M469" i="47"/>
  <c r="L469" i="47"/>
  <c r="M468" i="47"/>
  <c r="L468" i="47"/>
  <c r="M467" i="47"/>
  <c r="L467" i="47"/>
  <c r="M466" i="47"/>
  <c r="L466" i="47"/>
  <c r="M465" i="47"/>
  <c r="L465" i="47"/>
  <c r="M464" i="47"/>
  <c r="L464" i="47"/>
  <c r="M463" i="47"/>
  <c r="L463" i="47"/>
  <c r="M462" i="47"/>
  <c r="L462" i="47"/>
  <c r="M461" i="47"/>
  <c r="L461" i="47"/>
  <c r="M460" i="47"/>
  <c r="L460" i="47"/>
  <c r="M459" i="47"/>
  <c r="L459" i="47"/>
  <c r="M458" i="47"/>
  <c r="L458" i="47"/>
  <c r="M457" i="47"/>
  <c r="L457" i="47"/>
  <c r="M456" i="47"/>
  <c r="L456" i="47"/>
  <c r="M455" i="47"/>
  <c r="L455" i="47"/>
  <c r="M454" i="47"/>
  <c r="L454" i="47"/>
  <c r="M453" i="47"/>
  <c r="L453" i="47"/>
  <c r="M452" i="47"/>
  <c r="L452" i="47"/>
  <c r="M451" i="47"/>
  <c r="L451" i="47"/>
  <c r="M450" i="47"/>
  <c r="L450" i="47"/>
  <c r="M449" i="47"/>
  <c r="L449" i="47"/>
  <c r="M448" i="47"/>
  <c r="L448" i="47"/>
  <c r="M447" i="47"/>
  <c r="L447" i="47"/>
  <c r="M446" i="47"/>
  <c r="L446" i="47"/>
  <c r="M445" i="47"/>
  <c r="L445" i="47"/>
  <c r="M444" i="47"/>
  <c r="L444" i="47"/>
  <c r="M443" i="47"/>
  <c r="L443" i="47"/>
  <c r="M442" i="47"/>
  <c r="L442" i="47"/>
  <c r="M441" i="47"/>
  <c r="L441" i="47"/>
  <c r="M440" i="47"/>
  <c r="L440" i="47"/>
  <c r="M439" i="47"/>
  <c r="L439" i="47"/>
  <c r="M438" i="47"/>
  <c r="L438" i="47"/>
  <c r="M437" i="47"/>
  <c r="L437" i="47"/>
  <c r="M436" i="47"/>
  <c r="L436" i="47"/>
  <c r="M435" i="47"/>
  <c r="L435" i="47"/>
  <c r="M434" i="47"/>
  <c r="L434" i="47"/>
  <c r="M433" i="47"/>
  <c r="L433" i="47"/>
  <c r="M432" i="47"/>
  <c r="L432" i="47"/>
  <c r="M431" i="47"/>
  <c r="L431" i="47"/>
  <c r="M430" i="47"/>
  <c r="L430" i="47"/>
  <c r="M429" i="47"/>
  <c r="L429" i="47"/>
  <c r="M428" i="47"/>
  <c r="L428" i="47"/>
  <c r="M427" i="47"/>
  <c r="L427" i="47"/>
  <c r="M426" i="47"/>
  <c r="L426" i="47"/>
  <c r="M425" i="47"/>
  <c r="L425" i="47"/>
  <c r="M424" i="47"/>
  <c r="L424" i="47"/>
  <c r="M423" i="47"/>
  <c r="L423" i="47"/>
  <c r="M422" i="47"/>
  <c r="L422" i="47"/>
  <c r="M421" i="47"/>
  <c r="L421" i="47"/>
  <c r="M420" i="47"/>
  <c r="L420" i="47"/>
  <c r="M419" i="47"/>
  <c r="L419" i="47"/>
  <c r="M418" i="47"/>
  <c r="L418" i="47"/>
  <c r="M417" i="47"/>
  <c r="L417" i="47"/>
  <c r="M416" i="47"/>
  <c r="L416" i="47"/>
  <c r="M415" i="47"/>
  <c r="L415" i="47"/>
  <c r="M414" i="47"/>
  <c r="L414" i="47"/>
  <c r="M413" i="47"/>
  <c r="L413" i="47"/>
  <c r="M412" i="47"/>
  <c r="L412" i="47"/>
  <c r="M411" i="47"/>
  <c r="L411" i="47"/>
  <c r="M410" i="47"/>
  <c r="L410" i="47"/>
  <c r="M409" i="47"/>
  <c r="L409" i="47"/>
  <c r="M408" i="47"/>
  <c r="L408" i="47"/>
  <c r="M407" i="47"/>
  <c r="L407" i="47"/>
  <c r="M406" i="47"/>
  <c r="L406" i="47"/>
  <c r="M405" i="47"/>
  <c r="L405" i="47"/>
  <c r="M404" i="47"/>
  <c r="L404" i="47"/>
  <c r="M403" i="47"/>
  <c r="L403" i="47"/>
  <c r="M402" i="47"/>
  <c r="L402" i="47"/>
  <c r="M401" i="47"/>
  <c r="L401" i="47"/>
  <c r="M400" i="47"/>
  <c r="L400" i="47"/>
  <c r="M399" i="47"/>
  <c r="L399" i="47"/>
  <c r="M398" i="47"/>
  <c r="L398" i="47"/>
  <c r="M397" i="47"/>
  <c r="L397" i="47"/>
  <c r="M396" i="47"/>
  <c r="L396" i="47"/>
  <c r="M395" i="47"/>
  <c r="L395" i="47"/>
  <c r="M394" i="47"/>
  <c r="L394" i="47"/>
  <c r="M393" i="47"/>
  <c r="L393" i="47"/>
  <c r="M392" i="47"/>
  <c r="L392" i="47"/>
  <c r="M391" i="47"/>
  <c r="L391" i="47"/>
  <c r="M390" i="47"/>
  <c r="L390" i="47"/>
  <c r="M389" i="47"/>
  <c r="L389" i="47"/>
  <c r="M388" i="47"/>
  <c r="L388" i="47"/>
  <c r="M387" i="47"/>
  <c r="L387" i="47"/>
  <c r="M386" i="47"/>
  <c r="L386" i="47"/>
  <c r="M385" i="47"/>
  <c r="L385" i="47"/>
  <c r="M384" i="47"/>
  <c r="L384" i="47"/>
  <c r="M383" i="47"/>
  <c r="L383" i="47"/>
  <c r="M382" i="47"/>
  <c r="L382" i="47"/>
  <c r="M381" i="47"/>
  <c r="L381" i="47"/>
  <c r="M380" i="47"/>
  <c r="L380" i="47"/>
  <c r="M379" i="47"/>
  <c r="L379" i="47"/>
  <c r="M378" i="47"/>
  <c r="L378" i="47"/>
  <c r="M377" i="47"/>
  <c r="L377" i="47"/>
  <c r="M376" i="47"/>
  <c r="L376" i="47"/>
  <c r="M375" i="47"/>
  <c r="L375" i="47"/>
  <c r="M374" i="47"/>
  <c r="L374" i="47"/>
  <c r="M373" i="47"/>
  <c r="L373" i="47"/>
  <c r="M372" i="47"/>
  <c r="L372" i="47"/>
  <c r="M371" i="47"/>
  <c r="L371" i="47"/>
  <c r="M370" i="47"/>
  <c r="L370" i="47"/>
  <c r="M369" i="47"/>
  <c r="L369" i="47"/>
  <c r="M368" i="47"/>
  <c r="L368" i="47"/>
  <c r="M367" i="47"/>
  <c r="L367" i="47"/>
  <c r="M366" i="47"/>
  <c r="L366" i="47"/>
  <c r="M365" i="47"/>
  <c r="L365" i="47"/>
  <c r="M364" i="47"/>
  <c r="L364" i="47"/>
  <c r="M363" i="47"/>
  <c r="L363" i="47"/>
  <c r="M362" i="47"/>
  <c r="L362" i="47"/>
  <c r="M361" i="47"/>
  <c r="L361" i="47"/>
  <c r="M360" i="47"/>
  <c r="L360" i="47"/>
  <c r="M359" i="47"/>
  <c r="L359" i="47"/>
  <c r="M358" i="47"/>
  <c r="L358" i="47"/>
  <c r="M357" i="47"/>
  <c r="L357" i="47"/>
  <c r="M356" i="47"/>
  <c r="L356" i="47"/>
  <c r="M355" i="47"/>
  <c r="L355" i="47"/>
  <c r="M354" i="47"/>
  <c r="L354" i="47"/>
  <c r="M353" i="47"/>
  <c r="L353" i="47"/>
  <c r="M352" i="47"/>
  <c r="L352" i="47"/>
  <c r="M351" i="47"/>
  <c r="L351" i="47"/>
  <c r="M350" i="47"/>
  <c r="L350" i="47"/>
  <c r="M349" i="47"/>
  <c r="L349" i="47"/>
  <c r="M348" i="47"/>
  <c r="L348" i="47"/>
  <c r="M347" i="47"/>
  <c r="L347" i="47"/>
  <c r="M346" i="47"/>
  <c r="L346" i="47"/>
  <c r="M345" i="47"/>
  <c r="L345" i="47"/>
  <c r="M344" i="47"/>
  <c r="L344" i="47"/>
  <c r="M343" i="47"/>
  <c r="L343" i="47"/>
  <c r="M342" i="47"/>
  <c r="L342" i="47"/>
  <c r="M341" i="47"/>
  <c r="L341" i="47"/>
  <c r="M340" i="47"/>
  <c r="L340" i="47"/>
  <c r="M339" i="47"/>
  <c r="L339" i="47"/>
  <c r="M338" i="47"/>
  <c r="L338" i="47"/>
  <c r="M337" i="47"/>
  <c r="L337" i="47"/>
  <c r="M336" i="47"/>
  <c r="L336" i="47"/>
  <c r="M335" i="47"/>
  <c r="L335" i="47"/>
  <c r="M334" i="47"/>
  <c r="L334" i="47"/>
  <c r="M333" i="47"/>
  <c r="L333" i="47"/>
  <c r="M332" i="47"/>
  <c r="L332" i="47"/>
  <c r="M331" i="47"/>
  <c r="L331" i="47"/>
  <c r="M330" i="47"/>
  <c r="L330" i="47"/>
  <c r="M329" i="47"/>
  <c r="L329" i="47"/>
  <c r="M328" i="47"/>
  <c r="L328" i="47"/>
  <c r="M327" i="47"/>
  <c r="L327" i="47"/>
  <c r="M326" i="47"/>
  <c r="L326" i="47"/>
  <c r="M325" i="47"/>
  <c r="L325" i="47"/>
  <c r="M324" i="47"/>
  <c r="L324" i="47"/>
  <c r="M323" i="47"/>
  <c r="L323" i="47"/>
  <c r="M322" i="47"/>
  <c r="L322" i="47"/>
  <c r="M321" i="47"/>
  <c r="L321" i="47"/>
  <c r="M320" i="47"/>
  <c r="L320" i="47"/>
  <c r="M319" i="47"/>
  <c r="L319" i="47"/>
  <c r="M318" i="47"/>
  <c r="L318" i="47"/>
  <c r="M317" i="47"/>
  <c r="L317" i="47"/>
  <c r="M316" i="47"/>
  <c r="L316" i="47"/>
  <c r="M315" i="47"/>
  <c r="L315" i="47"/>
  <c r="M314" i="47"/>
  <c r="L314" i="47"/>
  <c r="M313" i="47"/>
  <c r="L313" i="47"/>
  <c r="M312" i="47"/>
  <c r="L312" i="47"/>
  <c r="M311" i="47"/>
  <c r="L311" i="47"/>
  <c r="M310" i="47"/>
  <c r="L310" i="47"/>
  <c r="M309" i="47"/>
  <c r="L309" i="47"/>
  <c r="M308" i="47"/>
  <c r="L308" i="47"/>
  <c r="M307" i="47"/>
  <c r="L307" i="47"/>
  <c r="M306" i="47"/>
  <c r="L306" i="47"/>
  <c r="M305" i="47"/>
  <c r="L305" i="47"/>
  <c r="M304" i="47"/>
  <c r="L304" i="47"/>
  <c r="M303" i="47"/>
  <c r="L303" i="47"/>
  <c r="M302" i="47"/>
  <c r="L302" i="47"/>
  <c r="M301" i="47"/>
  <c r="L301" i="47"/>
  <c r="M300" i="47"/>
  <c r="L300" i="47"/>
  <c r="M299" i="47"/>
  <c r="L299" i="47"/>
  <c r="M298" i="47"/>
  <c r="L298" i="47"/>
  <c r="M297" i="47"/>
  <c r="L297" i="47"/>
  <c r="M296" i="47"/>
  <c r="L296" i="47"/>
  <c r="M295" i="47"/>
  <c r="L295" i="47"/>
  <c r="M294" i="47"/>
  <c r="L294" i="47"/>
  <c r="M293" i="47"/>
  <c r="L293" i="47"/>
  <c r="M292" i="47"/>
  <c r="L292" i="47"/>
  <c r="M291" i="47"/>
  <c r="L291" i="47"/>
  <c r="M290" i="47"/>
  <c r="L290" i="47"/>
  <c r="M289" i="47"/>
  <c r="L289" i="47"/>
  <c r="M288" i="47"/>
  <c r="L288" i="47"/>
  <c r="M287" i="47"/>
  <c r="L287" i="47"/>
  <c r="M286" i="47"/>
  <c r="L286" i="47"/>
  <c r="M285" i="47"/>
  <c r="L285" i="47"/>
  <c r="M284" i="47"/>
  <c r="L284" i="47"/>
  <c r="M283" i="47"/>
  <c r="L283" i="47"/>
  <c r="M282" i="47"/>
  <c r="L282" i="47"/>
  <c r="M281" i="47"/>
  <c r="L281" i="47"/>
  <c r="M280" i="47"/>
  <c r="L280" i="47"/>
  <c r="M279" i="47"/>
  <c r="L279" i="47"/>
  <c r="M278" i="47"/>
  <c r="L278" i="47"/>
  <c r="M277" i="47"/>
  <c r="L277" i="47"/>
  <c r="M276" i="47"/>
  <c r="L276" i="47"/>
  <c r="M275" i="47"/>
  <c r="L275" i="47"/>
  <c r="M274" i="47"/>
  <c r="L274" i="47"/>
  <c r="M273" i="47"/>
  <c r="L273" i="47"/>
  <c r="M272" i="47"/>
  <c r="L272" i="47"/>
  <c r="M271" i="47"/>
  <c r="L271" i="47"/>
  <c r="M270" i="47"/>
  <c r="L270" i="47"/>
  <c r="M269" i="47"/>
  <c r="L269" i="47"/>
  <c r="M268" i="47"/>
  <c r="L268" i="47"/>
  <c r="M267" i="47"/>
  <c r="L267" i="47"/>
  <c r="M266" i="47"/>
  <c r="L266" i="47"/>
  <c r="M265" i="47"/>
  <c r="L265" i="47"/>
  <c r="M264" i="47"/>
  <c r="L264" i="47"/>
  <c r="M263" i="47"/>
  <c r="L263" i="47"/>
  <c r="M262" i="47"/>
  <c r="L262" i="47"/>
  <c r="M261" i="47"/>
  <c r="L261" i="47"/>
  <c r="M260" i="47"/>
  <c r="L260" i="47"/>
  <c r="M259" i="47"/>
  <c r="L259" i="47"/>
  <c r="M258" i="47"/>
  <c r="L258" i="47"/>
  <c r="M257" i="47"/>
  <c r="L257" i="47"/>
  <c r="M256" i="47"/>
  <c r="L256" i="47"/>
  <c r="M255" i="47"/>
  <c r="L255" i="47"/>
  <c r="M254" i="47"/>
  <c r="L254" i="47"/>
  <c r="M253" i="47"/>
  <c r="L253" i="47"/>
  <c r="M252" i="47"/>
  <c r="L252" i="47"/>
  <c r="M251" i="47"/>
  <c r="L251" i="47"/>
  <c r="M250" i="47"/>
  <c r="L250" i="47"/>
  <c r="M249" i="47"/>
  <c r="L249" i="47"/>
  <c r="M248" i="47"/>
  <c r="L248" i="47"/>
  <c r="M247" i="47"/>
  <c r="L247" i="47"/>
  <c r="M246" i="47"/>
  <c r="L246" i="47"/>
  <c r="M245" i="47"/>
  <c r="L245" i="47"/>
  <c r="M244" i="47"/>
  <c r="L244" i="47"/>
  <c r="M243" i="47"/>
  <c r="L243" i="47"/>
  <c r="M242" i="47"/>
  <c r="L242" i="47"/>
  <c r="M241" i="47"/>
  <c r="L241" i="47"/>
  <c r="M240" i="47"/>
  <c r="L240" i="47"/>
  <c r="M239" i="47"/>
  <c r="L239" i="47"/>
  <c r="M238" i="47"/>
  <c r="L238" i="47"/>
  <c r="M237" i="47"/>
  <c r="L237" i="47"/>
  <c r="M236" i="47"/>
  <c r="L236" i="47"/>
  <c r="M235" i="47"/>
  <c r="L235" i="47"/>
  <c r="M234" i="47"/>
  <c r="L234" i="47"/>
  <c r="M233" i="47"/>
  <c r="L233" i="47"/>
  <c r="M232" i="47"/>
  <c r="L232" i="47"/>
  <c r="M231" i="47"/>
  <c r="L231" i="47"/>
  <c r="M230" i="47"/>
  <c r="L230" i="47"/>
  <c r="M229" i="47"/>
  <c r="L229" i="47"/>
  <c r="M228" i="47"/>
  <c r="L228" i="47"/>
  <c r="M227" i="47"/>
  <c r="L227" i="47"/>
  <c r="M226" i="47"/>
  <c r="L226" i="47"/>
  <c r="M225" i="47"/>
  <c r="L225" i="47"/>
  <c r="M224" i="47"/>
  <c r="L224" i="47"/>
  <c r="M223" i="47"/>
  <c r="L223" i="47"/>
  <c r="M222" i="47"/>
  <c r="L222" i="47"/>
  <c r="M221" i="47"/>
  <c r="L221" i="47"/>
  <c r="M220" i="47"/>
  <c r="L220" i="47"/>
  <c r="M219" i="47"/>
  <c r="L219" i="47"/>
  <c r="M218" i="47"/>
  <c r="L218" i="47"/>
  <c r="M217" i="47"/>
  <c r="L217" i="47"/>
  <c r="M216" i="47"/>
  <c r="L216" i="47"/>
  <c r="M215" i="47"/>
  <c r="L215" i="47"/>
  <c r="M214" i="47"/>
  <c r="L214" i="47"/>
  <c r="M213" i="47"/>
  <c r="L213" i="47"/>
  <c r="M212" i="47"/>
  <c r="L212" i="47"/>
  <c r="M211" i="47"/>
  <c r="L211" i="47"/>
  <c r="M210" i="47"/>
  <c r="L210" i="47"/>
  <c r="M209" i="47"/>
  <c r="L209" i="47"/>
  <c r="M208" i="47"/>
  <c r="L208" i="47"/>
  <c r="M207" i="47"/>
  <c r="L207" i="47"/>
  <c r="M206" i="47"/>
  <c r="L206" i="47"/>
  <c r="M205" i="47"/>
  <c r="L205" i="47"/>
  <c r="M204" i="47"/>
  <c r="L204" i="47"/>
  <c r="M203" i="47"/>
  <c r="L203" i="47"/>
  <c r="M202" i="47"/>
  <c r="L202" i="47"/>
  <c r="M201" i="47"/>
  <c r="L201" i="47"/>
  <c r="M200" i="47"/>
  <c r="L200" i="47"/>
  <c r="M199" i="47"/>
  <c r="L199" i="47"/>
  <c r="M198" i="47"/>
  <c r="L198" i="47"/>
  <c r="M197" i="47"/>
  <c r="L197" i="47"/>
  <c r="M196" i="47"/>
  <c r="L196" i="47"/>
  <c r="M195" i="47"/>
  <c r="L195" i="47"/>
  <c r="M194" i="47"/>
  <c r="L194" i="47"/>
  <c r="M193" i="47"/>
  <c r="L193" i="47"/>
  <c r="M192" i="47"/>
  <c r="L192" i="47"/>
  <c r="M191" i="47"/>
  <c r="L191" i="47"/>
  <c r="M190" i="47"/>
  <c r="L190" i="47"/>
  <c r="M189" i="47"/>
  <c r="L189" i="47"/>
  <c r="M188" i="47"/>
  <c r="L188" i="47"/>
  <c r="M187" i="47"/>
  <c r="L187" i="47"/>
  <c r="M186" i="47"/>
  <c r="L186" i="47"/>
  <c r="M185" i="47"/>
  <c r="L185" i="47"/>
  <c r="M184" i="47"/>
  <c r="L184" i="47"/>
  <c r="M183" i="47"/>
  <c r="L183" i="47"/>
  <c r="M182" i="47"/>
  <c r="L182" i="47"/>
  <c r="M181" i="47"/>
  <c r="L181" i="47"/>
  <c r="M180" i="47"/>
  <c r="L180" i="47"/>
  <c r="M179" i="47"/>
  <c r="L179" i="47"/>
  <c r="M178" i="47"/>
  <c r="L178" i="47"/>
  <c r="M177" i="47"/>
  <c r="L177" i="47"/>
  <c r="M176" i="47"/>
  <c r="L176" i="47"/>
  <c r="M175" i="47"/>
  <c r="L175" i="47"/>
  <c r="M174" i="47"/>
  <c r="L174" i="47"/>
  <c r="M173" i="47"/>
  <c r="L173" i="47"/>
  <c r="M172" i="47"/>
  <c r="L172" i="47"/>
  <c r="M171" i="47"/>
  <c r="L171" i="47"/>
  <c r="M170" i="47"/>
  <c r="L170" i="47"/>
  <c r="M169" i="47"/>
  <c r="L169" i="47"/>
  <c r="M168" i="47"/>
  <c r="L168" i="47"/>
  <c r="M167" i="47"/>
  <c r="L167" i="47"/>
  <c r="M166" i="47"/>
  <c r="L166" i="47"/>
  <c r="M165" i="47"/>
  <c r="L165" i="47"/>
  <c r="M164" i="47"/>
  <c r="L164" i="47"/>
  <c r="M163" i="47"/>
  <c r="L163" i="47"/>
  <c r="M162" i="47"/>
  <c r="L162" i="47"/>
  <c r="M161" i="47"/>
  <c r="L161" i="47"/>
  <c r="M160" i="47"/>
  <c r="L160" i="47"/>
  <c r="M159" i="47"/>
  <c r="L159" i="47"/>
  <c r="M158" i="47"/>
  <c r="L158" i="47"/>
  <c r="M157" i="47"/>
  <c r="L157" i="47"/>
  <c r="M156" i="47"/>
  <c r="L156" i="47"/>
  <c r="M155" i="47"/>
  <c r="L155" i="47"/>
  <c r="M154" i="47"/>
  <c r="L154" i="47"/>
  <c r="M153" i="47"/>
  <c r="L153" i="47"/>
  <c r="M152" i="47"/>
  <c r="L152" i="47"/>
  <c r="M151" i="47"/>
  <c r="L151" i="47"/>
  <c r="M150" i="47"/>
  <c r="L150" i="47"/>
  <c r="M149" i="47"/>
  <c r="L149" i="47"/>
  <c r="M148" i="47"/>
  <c r="L148" i="47"/>
  <c r="M147" i="47"/>
  <c r="L147" i="47"/>
  <c r="M146" i="47"/>
  <c r="L146" i="47"/>
  <c r="M145" i="47"/>
  <c r="L145" i="47"/>
  <c r="M144" i="47"/>
  <c r="L144" i="47"/>
  <c r="M143" i="47"/>
  <c r="L143" i="47"/>
  <c r="M142" i="47"/>
  <c r="L142" i="47"/>
  <c r="M141" i="47"/>
  <c r="L141" i="47"/>
  <c r="M140" i="47"/>
  <c r="L140" i="47"/>
  <c r="M139" i="47"/>
  <c r="L139" i="47"/>
  <c r="M138" i="47"/>
  <c r="L138" i="47"/>
  <c r="M137" i="47"/>
  <c r="L137" i="47"/>
  <c r="M136" i="47"/>
  <c r="L136" i="47"/>
  <c r="M135" i="47"/>
  <c r="L135" i="47"/>
  <c r="M134" i="47"/>
  <c r="L134" i="47"/>
  <c r="M133" i="47"/>
  <c r="L133" i="47"/>
  <c r="M132" i="47"/>
  <c r="L132" i="47"/>
  <c r="M131" i="47"/>
  <c r="L131" i="47"/>
  <c r="M130" i="47"/>
  <c r="L130" i="47"/>
  <c r="M129" i="47"/>
  <c r="L129" i="47"/>
  <c r="M128" i="47"/>
  <c r="L128" i="47"/>
  <c r="M127" i="47"/>
  <c r="L127" i="47"/>
  <c r="M126" i="47"/>
  <c r="L126" i="47"/>
  <c r="M125" i="47"/>
  <c r="L125" i="47"/>
  <c r="M124" i="47"/>
  <c r="L124" i="47"/>
  <c r="M123" i="47"/>
  <c r="L123" i="47"/>
  <c r="M122" i="47"/>
  <c r="L122" i="47"/>
  <c r="M121" i="47"/>
  <c r="L121" i="47"/>
  <c r="M120" i="47"/>
  <c r="L120" i="47"/>
  <c r="M119" i="47"/>
  <c r="L119" i="47"/>
  <c r="M118" i="47"/>
  <c r="L118" i="47"/>
  <c r="M117" i="47"/>
  <c r="L117" i="47"/>
  <c r="M116" i="47"/>
  <c r="L116" i="47"/>
  <c r="M115" i="47"/>
  <c r="L115" i="47"/>
  <c r="M114" i="47"/>
  <c r="L114" i="47"/>
  <c r="M113" i="47"/>
  <c r="L113" i="47"/>
  <c r="M112" i="47"/>
  <c r="L112" i="47"/>
  <c r="M111" i="47"/>
  <c r="L111" i="47"/>
  <c r="M110" i="47"/>
  <c r="L110" i="47"/>
  <c r="M109" i="47"/>
  <c r="L109" i="47"/>
  <c r="M108" i="47"/>
  <c r="L108" i="47"/>
  <c r="M107" i="47"/>
  <c r="L107" i="47"/>
  <c r="M106" i="47"/>
  <c r="L106" i="47"/>
  <c r="M105" i="47"/>
  <c r="L105" i="47"/>
  <c r="M104" i="47"/>
  <c r="L104" i="47"/>
  <c r="M103" i="47"/>
  <c r="L103" i="47"/>
  <c r="M102" i="47"/>
  <c r="L102" i="47"/>
  <c r="M101" i="47"/>
  <c r="L101" i="47"/>
  <c r="M100" i="47"/>
  <c r="L100" i="47"/>
  <c r="M99" i="47"/>
  <c r="L99" i="47"/>
  <c r="M98" i="47"/>
  <c r="L98" i="47"/>
  <c r="M97" i="47"/>
  <c r="L97" i="47"/>
  <c r="M96" i="47"/>
  <c r="L96" i="47"/>
  <c r="M95" i="47"/>
  <c r="L95" i="47"/>
  <c r="M94" i="47"/>
  <c r="L94" i="47"/>
  <c r="M93" i="47"/>
  <c r="L93" i="47"/>
  <c r="M92" i="47"/>
  <c r="L92" i="47"/>
  <c r="M91" i="47"/>
  <c r="L91" i="47"/>
  <c r="M90" i="47"/>
  <c r="L90" i="47"/>
  <c r="M89" i="47"/>
  <c r="L89" i="47"/>
  <c r="M88" i="47"/>
  <c r="L88" i="47"/>
  <c r="M87" i="47"/>
  <c r="L87" i="47"/>
  <c r="M86" i="47"/>
  <c r="L86" i="47"/>
  <c r="M85" i="47"/>
  <c r="L85" i="47"/>
  <c r="M84" i="47"/>
  <c r="L84" i="47"/>
  <c r="M83" i="47"/>
  <c r="L83" i="47"/>
  <c r="M82" i="47"/>
  <c r="L82" i="47"/>
  <c r="M81" i="47"/>
  <c r="L81" i="47"/>
  <c r="M80" i="47"/>
  <c r="L80" i="47"/>
  <c r="M79" i="47"/>
  <c r="L79" i="47"/>
  <c r="M78" i="47"/>
  <c r="L78" i="47"/>
  <c r="M77" i="47"/>
  <c r="L77" i="47"/>
  <c r="M76" i="47"/>
  <c r="L76" i="47"/>
  <c r="M75" i="47"/>
  <c r="L75" i="47"/>
  <c r="M74" i="47"/>
  <c r="L74" i="47"/>
  <c r="M73" i="47"/>
  <c r="L73" i="47"/>
  <c r="M72" i="47"/>
  <c r="L72" i="47"/>
  <c r="M71" i="47"/>
  <c r="L71" i="47"/>
  <c r="M70" i="47"/>
  <c r="L70" i="47"/>
  <c r="M69" i="47"/>
  <c r="L69" i="47"/>
  <c r="M68" i="47"/>
  <c r="L68" i="47"/>
  <c r="M67" i="47"/>
  <c r="L67" i="47"/>
  <c r="M66" i="47"/>
  <c r="L66" i="47"/>
  <c r="M65" i="47"/>
  <c r="L65" i="47"/>
  <c r="M64" i="47"/>
  <c r="L64" i="47"/>
  <c r="M63" i="47"/>
  <c r="L63" i="47"/>
  <c r="M62" i="47"/>
  <c r="L62" i="47"/>
  <c r="M61" i="47"/>
  <c r="L61" i="47"/>
  <c r="M60" i="47"/>
  <c r="L60" i="47"/>
  <c r="M59" i="47"/>
  <c r="L59" i="47"/>
  <c r="M58" i="47"/>
  <c r="L58" i="47"/>
  <c r="M57" i="47"/>
  <c r="L57" i="47"/>
  <c r="M56" i="47"/>
  <c r="L56" i="47"/>
  <c r="M55" i="47"/>
  <c r="L55" i="47"/>
  <c r="M54" i="47"/>
  <c r="L54" i="47"/>
  <c r="M53" i="47"/>
  <c r="L53" i="47"/>
  <c r="M52" i="47"/>
  <c r="L52" i="47"/>
  <c r="M51" i="47"/>
  <c r="L51" i="47"/>
  <c r="M50" i="47"/>
  <c r="L50" i="47"/>
  <c r="M49" i="47"/>
  <c r="L49" i="47"/>
  <c r="M48" i="47"/>
  <c r="L48" i="47"/>
  <c r="M47" i="47"/>
  <c r="L47" i="47"/>
  <c r="M46" i="47"/>
  <c r="L46" i="47"/>
  <c r="M45" i="47"/>
  <c r="L45" i="47"/>
  <c r="M44" i="47"/>
  <c r="L44" i="47"/>
  <c r="M43" i="47"/>
  <c r="L43" i="47"/>
  <c r="M42" i="47"/>
  <c r="L42" i="47"/>
  <c r="M41" i="47"/>
  <c r="L41" i="47"/>
  <c r="M40" i="47"/>
  <c r="L40" i="47"/>
  <c r="M39" i="47"/>
  <c r="L39" i="47"/>
  <c r="M38" i="47"/>
  <c r="L38" i="47"/>
  <c r="M37" i="47"/>
  <c r="L37" i="47"/>
  <c r="M36" i="47"/>
  <c r="L36" i="47"/>
  <c r="M35" i="47"/>
  <c r="L35" i="47"/>
  <c r="M34" i="47"/>
  <c r="L34" i="47"/>
  <c r="M33" i="47"/>
  <c r="L33" i="47"/>
  <c r="M32" i="47"/>
  <c r="L32" i="47"/>
  <c r="M31" i="47"/>
  <c r="L31" i="47"/>
  <c r="M30" i="47"/>
  <c r="L30" i="47"/>
  <c r="M29" i="47"/>
  <c r="L29" i="47"/>
  <c r="M28" i="47"/>
  <c r="L28" i="47"/>
  <c r="M27" i="47"/>
  <c r="L27" i="47"/>
  <c r="M26" i="47"/>
  <c r="L26" i="47"/>
  <c r="M25" i="47"/>
  <c r="L25" i="47"/>
  <c r="M24" i="47"/>
  <c r="L24" i="47"/>
  <c r="M23" i="47"/>
  <c r="L23" i="47"/>
  <c r="M22" i="47"/>
  <c r="L22" i="47"/>
  <c r="M21" i="47"/>
  <c r="L21" i="47"/>
  <c r="M20" i="47"/>
  <c r="L20" i="47"/>
  <c r="M19" i="47"/>
  <c r="L19" i="47"/>
  <c r="M18" i="47"/>
  <c r="L18" i="47"/>
  <c r="M17" i="47"/>
  <c r="L17" i="47"/>
  <c r="M16" i="47"/>
  <c r="L16" i="47"/>
  <c r="M15" i="47"/>
  <c r="L15" i="47"/>
  <c r="M14" i="47"/>
  <c r="L14" i="47"/>
  <c r="M13" i="47"/>
  <c r="L13" i="47"/>
  <c r="M12" i="47"/>
  <c r="L12" i="47"/>
  <c r="M11" i="47"/>
  <c r="L11" i="47"/>
  <c r="M10" i="47"/>
  <c r="N10" i="47" s="1"/>
  <c r="L10" i="47"/>
  <c r="M9" i="47"/>
  <c r="N9" i="47" s="1"/>
  <c r="L9" i="47"/>
  <c r="M8" i="47"/>
  <c r="N8" i="47" s="1"/>
  <c r="L8" i="47"/>
  <c r="M7" i="47"/>
  <c r="N7" i="47" s="1"/>
  <c r="L7" i="47"/>
  <c r="M6" i="47"/>
  <c r="N6" i="47" s="1"/>
  <c r="L6" i="47"/>
  <c r="M5" i="47"/>
  <c r="N5" i="47" s="1"/>
  <c r="L5" i="47"/>
  <c r="AK231" i="23"/>
  <c r="AH231" i="23"/>
  <c r="AI231" i="23" s="1"/>
  <c r="AL231" i="23"/>
  <c r="AM231" i="23"/>
  <c r="AN231" i="23" s="1"/>
  <c r="AK233" i="23"/>
  <c r="AH233" i="23"/>
  <c r="AI233" i="23" s="1"/>
  <c r="AL233" i="23"/>
  <c r="AM233" i="23"/>
  <c r="AN233" i="23" s="1"/>
  <c r="AK241" i="23"/>
  <c r="AH241" i="23"/>
  <c r="AI241" i="23" s="1"/>
  <c r="AL241" i="23"/>
  <c r="AM241" i="23"/>
  <c r="AN241" i="23" s="1"/>
  <c r="H9" i="25"/>
  <c r="H10" i="25"/>
  <c r="H11" i="25"/>
  <c r="H12" i="25"/>
  <c r="H13" i="25"/>
  <c r="H14" i="25"/>
  <c r="H15" i="25"/>
  <c r="H16" i="25"/>
  <c r="H17" i="25"/>
  <c r="H18" i="25"/>
  <c r="H19" i="25"/>
  <c r="H20" i="25"/>
  <c r="H21" i="25"/>
  <c r="H22" i="25"/>
  <c r="H23" i="25"/>
  <c r="H24" i="25"/>
  <c r="H25" i="25"/>
  <c r="AN261" i="23"/>
  <c r="AM260" i="23"/>
  <c r="AN260" i="23" s="1"/>
  <c r="AL260" i="23"/>
  <c r="AK260" i="23"/>
  <c r="AH260" i="23"/>
  <c r="AI260" i="23" s="1"/>
  <c r="AN256" i="23"/>
  <c r="AM255" i="23"/>
  <c r="AN255" i="23" s="1"/>
  <c r="AL255" i="23"/>
  <c r="AK255" i="23"/>
  <c r="AH255" i="23"/>
  <c r="AI255" i="23" s="1"/>
  <c r="AM254" i="23"/>
  <c r="AN254" i="23" s="1"/>
  <c r="AL254" i="23"/>
  <c r="AK254" i="23"/>
  <c r="AH254" i="23"/>
  <c r="AI254" i="23" s="1"/>
  <c r="AN250" i="23"/>
  <c r="AN249" i="23"/>
  <c r="AL249" i="23"/>
  <c r="AK249" i="23"/>
  <c r="AH249" i="23"/>
  <c r="AI249" i="23" s="1"/>
  <c r="AN248" i="23"/>
  <c r="AL248" i="23"/>
  <c r="AK248" i="23"/>
  <c r="AH248" i="23"/>
  <c r="AI248" i="23" s="1"/>
  <c r="AN247" i="23"/>
  <c r="AL247" i="23"/>
  <c r="AK247" i="23"/>
  <c r="AH247" i="23"/>
  <c r="AI247" i="23" s="1"/>
  <c r="AN243" i="23"/>
  <c r="AM242" i="23"/>
  <c r="AN242" i="23" s="1"/>
  <c r="AL242" i="23"/>
  <c r="AK242" i="23"/>
  <c r="AH242" i="23"/>
  <c r="AI242" i="23" s="1"/>
  <c r="AM240" i="23"/>
  <c r="AN240" i="23" s="1"/>
  <c r="AL240" i="23"/>
  <c r="AK240" i="23"/>
  <c r="AH240" i="23"/>
  <c r="AI240" i="23" s="1"/>
  <c r="AM239" i="23"/>
  <c r="AN239" i="23" s="1"/>
  <c r="AL239" i="23"/>
  <c r="AK239" i="23"/>
  <c r="AH239" i="23"/>
  <c r="AI239" i="23" s="1"/>
  <c r="AN235" i="23"/>
  <c r="AM234" i="23"/>
  <c r="AN234" i="23" s="1"/>
  <c r="AL234" i="23"/>
  <c r="AK234" i="23"/>
  <c r="AH234" i="23"/>
  <c r="AI234" i="23" s="1"/>
  <c r="AM232" i="23"/>
  <c r="AN232" i="23" s="1"/>
  <c r="AL232" i="23"/>
  <c r="AK232" i="23"/>
  <c r="AH232" i="23"/>
  <c r="AI232" i="23" s="1"/>
  <c r="AM230" i="23"/>
  <c r="AN230" i="23" s="1"/>
  <c r="AL230" i="23"/>
  <c r="AK230" i="23"/>
  <c r="AH230" i="23"/>
  <c r="AI230" i="23" s="1"/>
  <c r="AK225" i="23"/>
  <c r="AH225" i="23"/>
  <c r="AI225" i="23" s="1"/>
  <c r="AL225" i="23"/>
  <c r="AN225" i="23"/>
  <c r="AN226" i="23"/>
  <c r="AN224" i="23"/>
  <c r="AL224" i="23"/>
  <c r="AK224" i="23"/>
  <c r="AH224" i="23"/>
  <c r="AI224" i="23" s="1"/>
  <c r="AN223" i="23"/>
  <c r="AL223" i="23"/>
  <c r="AK223" i="23"/>
  <c r="AH223" i="23"/>
  <c r="AI223" i="23" s="1"/>
  <c r="AM222" i="23"/>
  <c r="AN222" i="23" s="1"/>
  <c r="AL222" i="23"/>
  <c r="AK222" i="23"/>
  <c r="AH222" i="23"/>
  <c r="AI222" i="23" s="1"/>
  <c r="AN221" i="23"/>
  <c r="AL221" i="23"/>
  <c r="AK221" i="23"/>
  <c r="AH221" i="23"/>
  <c r="AI221" i="23" s="1"/>
  <c r="AN220" i="23"/>
  <c r="AL220" i="23"/>
  <c r="AK220" i="23"/>
  <c r="AH220" i="23"/>
  <c r="AI220" i="23" s="1"/>
  <c r="AI42" i="23"/>
  <c r="AK42" i="23"/>
  <c r="AK44" i="23"/>
  <c r="AH44" i="23"/>
  <c r="AI44" i="23" s="1"/>
  <c r="AL44" i="23"/>
  <c r="AM44" i="23"/>
  <c r="AO44" i="23" s="1"/>
  <c r="AK46" i="23"/>
  <c r="AH46" i="23"/>
  <c r="AI46" i="23" s="1"/>
  <c r="AL46" i="23"/>
  <c r="AM46" i="23"/>
  <c r="AO46" i="23" s="1"/>
  <c r="AH48" i="23"/>
  <c r="AI48" i="23" s="1"/>
  <c r="AI51" i="23"/>
  <c r="AK51" i="23"/>
  <c r="AK54" i="23"/>
  <c r="AH54" i="23"/>
  <c r="AI54" i="23" s="1"/>
  <c r="AL54" i="23"/>
  <c r="AM54" i="23"/>
  <c r="AO54" i="23" s="1"/>
  <c r="AH56" i="23"/>
  <c r="AI56" i="23" s="1"/>
  <c r="AI59" i="23"/>
  <c r="AH63" i="23"/>
  <c r="AI63" i="23" s="1"/>
  <c r="AI66" i="23"/>
  <c r="AK66" i="23"/>
  <c r="AH69" i="23"/>
  <c r="AI69" i="23" s="1"/>
  <c r="AI72" i="23"/>
  <c r="AK72" i="23"/>
  <c r="AH74" i="23"/>
  <c r="AI74" i="23" s="1"/>
  <c r="AI77" i="23"/>
  <c r="AK77" i="23"/>
  <c r="AH78" i="23"/>
  <c r="AI78" i="23" s="1"/>
  <c r="AO69" i="23"/>
  <c r="AO63" i="23"/>
  <c r="AO56" i="23"/>
  <c r="AO48" i="23"/>
  <c r="AO39" i="23"/>
  <c r="AL36" i="23"/>
  <c r="AM36" i="23"/>
  <c r="AO36" i="23" s="1"/>
  <c r="AL34" i="23"/>
  <c r="AM34" i="23"/>
  <c r="AO34" i="23" s="1"/>
  <c r="AM33" i="23"/>
  <c r="AO33" i="23" s="1"/>
  <c r="AL33" i="23"/>
  <c r="AK33" i="23"/>
  <c r="AH33" i="23"/>
  <c r="AI33" i="23" s="1"/>
  <c r="AK34" i="23"/>
  <c r="AH34" i="23"/>
  <c r="AI34" i="23" s="1"/>
  <c r="AK35" i="23"/>
  <c r="AH35" i="23"/>
  <c r="AI35" i="23" s="1"/>
  <c r="AK36" i="23"/>
  <c r="AH36" i="23"/>
  <c r="AI36" i="23" s="1"/>
  <c r="AK37" i="23"/>
  <c r="AK38" i="23"/>
  <c r="AH38" i="23"/>
  <c r="AI38" i="23" s="1"/>
  <c r="AM47" i="23"/>
  <c r="AO47" i="23" s="1"/>
  <c r="BQ22" i="18"/>
  <c r="BP22" i="18"/>
  <c r="BN22" i="18"/>
  <c r="BM22" i="18"/>
  <c r="BL22" i="18"/>
  <c r="BK22" i="18"/>
  <c r="BG22" i="18"/>
  <c r="BQ20" i="18"/>
  <c r="BP20" i="18"/>
  <c r="BN20" i="18"/>
  <c r="BM20" i="18"/>
  <c r="BL20" i="18"/>
  <c r="BK20" i="18"/>
  <c r="BG20" i="18"/>
  <c r="G27" i="10"/>
  <c r="G25" i="8"/>
  <c r="F27" i="25"/>
  <c r="G8" i="42"/>
  <c r="H8" i="42" s="1"/>
  <c r="F27" i="42"/>
  <c r="G182" i="6"/>
  <c r="G16" i="5"/>
  <c r="G73" i="4"/>
  <c r="G25" i="42"/>
  <c r="H25" i="42" s="1"/>
  <c r="G24" i="42"/>
  <c r="H24" i="42" s="1"/>
  <c r="G23" i="42"/>
  <c r="H23" i="42" s="1"/>
  <c r="G22" i="42"/>
  <c r="H22" i="42" s="1"/>
  <c r="G21" i="42"/>
  <c r="H21" i="42" s="1"/>
  <c r="G20" i="42"/>
  <c r="H20" i="42" s="1"/>
  <c r="G19" i="42"/>
  <c r="H19" i="42" s="1"/>
  <c r="G18" i="42"/>
  <c r="H18" i="42" s="1"/>
  <c r="G17" i="42"/>
  <c r="H17" i="42" s="1"/>
  <c r="G16" i="42"/>
  <c r="H16" i="42" s="1"/>
  <c r="G15" i="42"/>
  <c r="H15" i="42" s="1"/>
  <c r="G13" i="42"/>
  <c r="H13" i="42" s="1"/>
  <c r="G12" i="42"/>
  <c r="H12" i="42" s="1"/>
  <c r="G11" i="42"/>
  <c r="H11" i="42" s="1"/>
  <c r="G10" i="42"/>
  <c r="H10" i="42" s="1"/>
  <c r="G9" i="42"/>
  <c r="H9" i="42" s="1"/>
  <c r="E49" i="42"/>
  <c r="F49" i="42" s="1"/>
  <c r="E48" i="42"/>
  <c r="F48" i="42" s="1"/>
  <c r="E47" i="42"/>
  <c r="F47" i="42" s="1"/>
  <c r="E46" i="42"/>
  <c r="E45" i="42"/>
  <c r="F45" i="42" s="1"/>
  <c r="E44" i="42"/>
  <c r="F44" i="42" s="1"/>
  <c r="E43" i="42"/>
  <c r="F43" i="42" s="1"/>
  <c r="E42" i="42"/>
  <c r="F42" i="42" s="1"/>
  <c r="E41" i="42"/>
  <c r="E40" i="42"/>
  <c r="F40" i="42" s="1"/>
  <c r="E39" i="42"/>
  <c r="F39" i="42" s="1"/>
  <c r="E38" i="42"/>
  <c r="F38" i="42" s="1"/>
  <c r="E37" i="42"/>
  <c r="F37" i="42" s="1"/>
  <c r="E36" i="42"/>
  <c r="F36" i="42" s="1"/>
  <c r="E35" i="42"/>
  <c r="F35" i="42" s="1"/>
  <c r="E34" i="42"/>
  <c r="F34" i="42" s="1"/>
  <c r="E33" i="42"/>
  <c r="F33" i="42" s="1"/>
  <c r="E32" i="42"/>
  <c r="F32" i="42" s="1"/>
  <c r="F46" i="42"/>
  <c r="AL73" i="23"/>
  <c r="AK73" i="23"/>
  <c r="AH73" i="23"/>
  <c r="AI73" i="23" s="1"/>
  <c r="AL68" i="23"/>
  <c r="AK68" i="23"/>
  <c r="AH68" i="23"/>
  <c r="AI68" i="23" s="1"/>
  <c r="AL67" i="23"/>
  <c r="AK67" i="23"/>
  <c r="AH67" i="23"/>
  <c r="AI67" i="23" s="1"/>
  <c r="AL62" i="23"/>
  <c r="AH62" i="23"/>
  <c r="AI62" i="23" s="1"/>
  <c r="AL61" i="23"/>
  <c r="AH61" i="23"/>
  <c r="AI61" i="23" s="1"/>
  <c r="AL60" i="23"/>
  <c r="AH60" i="23"/>
  <c r="AI60" i="23" s="1"/>
  <c r="AL55" i="23"/>
  <c r="AK55" i="23"/>
  <c r="AH55" i="23"/>
  <c r="AI55" i="23" s="1"/>
  <c r="AL53" i="23"/>
  <c r="AK53" i="23"/>
  <c r="AH53" i="23"/>
  <c r="AI53" i="23" s="1"/>
  <c r="AL52" i="23"/>
  <c r="AK52" i="23"/>
  <c r="AH52" i="23"/>
  <c r="AI52" i="23" s="1"/>
  <c r="AH47" i="23"/>
  <c r="AI47" i="23" s="1"/>
  <c r="AH45" i="23"/>
  <c r="AI45" i="23" s="1"/>
  <c r="AK47" i="23"/>
  <c r="AK45" i="23"/>
  <c r="AK43" i="23"/>
  <c r="AM67" i="23"/>
  <c r="AO67" i="23" s="1"/>
  <c r="AM68" i="23"/>
  <c r="AO68" i="23" s="1"/>
  <c r="AM60" i="23"/>
  <c r="AO60" i="23" s="1"/>
  <c r="AM61" i="23"/>
  <c r="AO61" i="23" s="1"/>
  <c r="AM62" i="23"/>
  <c r="AO62" i="23" s="1"/>
  <c r="AM52" i="23"/>
  <c r="AO52" i="23" s="1"/>
  <c r="AM53" i="23"/>
  <c r="AO53" i="23" s="1"/>
  <c r="AM55" i="23"/>
  <c r="AO55" i="23" s="1"/>
  <c r="F26" i="5"/>
  <c r="F27" i="5"/>
  <c r="F28" i="5"/>
  <c r="F29" i="5"/>
  <c r="I29" i="5" s="1"/>
  <c r="F30" i="5"/>
  <c r="I30" i="5" s="1"/>
  <c r="F31" i="5"/>
  <c r="F32" i="5"/>
  <c r="G32" i="5" s="1"/>
  <c r="F33" i="5"/>
  <c r="G33" i="5" s="1"/>
  <c r="F34" i="5"/>
  <c r="F35" i="5"/>
  <c r="F36" i="5"/>
  <c r="F37" i="5"/>
  <c r="G37" i="5" s="1"/>
  <c r="F38" i="5"/>
  <c r="I38" i="5" s="1"/>
  <c r="F39" i="5"/>
  <c r="F82" i="4"/>
  <c r="G82" i="4" s="1"/>
  <c r="F83" i="4"/>
  <c r="G83" i="4" s="1"/>
  <c r="F84" i="4"/>
  <c r="G84" i="4" s="1"/>
  <c r="F85" i="4"/>
  <c r="G85" i="4" s="1"/>
  <c r="F86" i="4"/>
  <c r="G86" i="4" s="1"/>
  <c r="F87" i="4"/>
  <c r="G87" i="4" s="1"/>
  <c r="F88" i="4"/>
  <c r="G88" i="4" s="1"/>
  <c r="F89" i="4"/>
  <c r="G89" i="4" s="1"/>
  <c r="F90" i="4"/>
  <c r="G90" i="4" s="1"/>
  <c r="F91" i="4"/>
  <c r="G91" i="4" s="1"/>
  <c r="F92" i="4"/>
  <c r="G92" i="4" s="1"/>
  <c r="F93" i="4"/>
  <c r="G93" i="4" s="1"/>
  <c r="F94" i="4"/>
  <c r="G94" i="4" s="1"/>
  <c r="F95" i="4"/>
  <c r="G95" i="4" s="1"/>
  <c r="AL45" i="23"/>
  <c r="AL43" i="23"/>
  <c r="AH43" i="23"/>
  <c r="AI43" i="23" s="1"/>
  <c r="AL47" i="23"/>
  <c r="AM43" i="23"/>
  <c r="AO43" i="23" s="1"/>
  <c r="AM45" i="23"/>
  <c r="AO45" i="23" s="1"/>
  <c r="G27" i="14"/>
  <c r="G27" i="12"/>
  <c r="G16" i="36"/>
  <c r="G33" i="36"/>
  <c r="G23" i="36"/>
  <c r="G21" i="36"/>
  <c r="G24" i="36"/>
  <c r="G26" i="36"/>
  <c r="G27" i="36"/>
  <c r="G28" i="36"/>
  <c r="G29" i="36"/>
  <c r="G31" i="36"/>
  <c r="G32" i="36"/>
  <c r="G34" i="36"/>
  <c r="G35" i="36"/>
  <c r="G36" i="36"/>
  <c r="G37" i="36"/>
  <c r="G38" i="36"/>
  <c r="F38" i="14"/>
  <c r="G38" i="14" s="1"/>
  <c r="F39" i="14"/>
  <c r="G39" i="14" s="1"/>
  <c r="F40" i="14"/>
  <c r="G40" i="14" s="1"/>
  <c r="F41" i="14"/>
  <c r="G41" i="14" s="1"/>
  <c r="F42" i="14"/>
  <c r="G42" i="14" s="1"/>
  <c r="F43" i="14"/>
  <c r="G43" i="14" s="1"/>
  <c r="F44" i="14"/>
  <c r="F45" i="14"/>
  <c r="G45" i="14" s="1"/>
  <c r="F46" i="14"/>
  <c r="G46" i="14" s="1"/>
  <c r="F47" i="14"/>
  <c r="G47" i="14" s="1"/>
  <c r="F48" i="14"/>
  <c r="F49" i="14"/>
  <c r="G49" i="14" s="1"/>
  <c r="F50" i="14"/>
  <c r="G50" i="14" s="1"/>
  <c r="H25" i="14"/>
  <c r="I25" i="14" s="1"/>
  <c r="H24" i="14"/>
  <c r="I24" i="14" s="1"/>
  <c r="H23" i="14"/>
  <c r="I23" i="14" s="1"/>
  <c r="I48" i="14" s="1"/>
  <c r="H22" i="14"/>
  <c r="I22" i="14" s="1"/>
  <c r="I47" i="14" s="1"/>
  <c r="H21" i="14"/>
  <c r="I21" i="14" s="1"/>
  <c r="H20" i="14"/>
  <c r="I20" i="14" s="1"/>
  <c r="H19" i="14"/>
  <c r="I19" i="14" s="1"/>
  <c r="I44" i="14" s="1"/>
  <c r="H18" i="14"/>
  <c r="I18" i="14" s="1"/>
  <c r="H17" i="14"/>
  <c r="I17" i="14" s="1"/>
  <c r="I42" i="14" s="1"/>
  <c r="H16" i="14"/>
  <c r="I16" i="14" s="1"/>
  <c r="H15" i="14"/>
  <c r="I15" i="14" s="1"/>
  <c r="I40" i="14" s="1"/>
  <c r="H14" i="14"/>
  <c r="I14" i="14" s="1"/>
  <c r="H8" i="14"/>
  <c r="I8" i="14" s="1"/>
  <c r="G48" i="14"/>
  <c r="G44" i="14"/>
  <c r="G40" i="12"/>
  <c r="G41" i="12"/>
  <c r="G42" i="12"/>
  <c r="G43" i="12"/>
  <c r="G44" i="12"/>
  <c r="G46" i="12"/>
  <c r="G47" i="12"/>
  <c r="G48" i="12"/>
  <c r="G49" i="12"/>
  <c r="G50" i="12"/>
  <c r="G42" i="27"/>
  <c r="G55" i="27"/>
  <c r="G57" i="27"/>
  <c r="G58" i="27"/>
  <c r="G62" i="27"/>
  <c r="G65" i="27"/>
  <c r="F39" i="10"/>
  <c r="G39" i="10" s="1"/>
  <c r="F40" i="10"/>
  <c r="F41" i="10"/>
  <c r="G41" i="10" s="1"/>
  <c r="F42" i="10"/>
  <c r="G42" i="10" s="1"/>
  <c r="F43" i="10"/>
  <c r="G43" i="10" s="1"/>
  <c r="F44" i="10"/>
  <c r="G44" i="10" s="1"/>
  <c r="F45" i="10"/>
  <c r="G45" i="10" s="1"/>
  <c r="F46" i="10"/>
  <c r="G46" i="10" s="1"/>
  <c r="F47" i="10"/>
  <c r="G47" i="10" s="1"/>
  <c r="F48" i="10"/>
  <c r="G48" i="10" s="1"/>
  <c r="F49" i="10"/>
  <c r="G49" i="10" s="1"/>
  <c r="G39" i="5"/>
  <c r="G38" i="5"/>
  <c r="G36" i="5"/>
  <c r="G35" i="5"/>
  <c r="G34" i="5"/>
  <c r="G31" i="5"/>
  <c r="G28" i="5"/>
  <c r="G27" i="5"/>
  <c r="G26" i="5"/>
  <c r="F32" i="8"/>
  <c r="F33" i="8"/>
  <c r="F34" i="8"/>
  <c r="F35" i="8"/>
  <c r="F36" i="8"/>
  <c r="F37" i="8"/>
  <c r="F38" i="8"/>
  <c r="G38" i="8" s="1"/>
  <c r="F39" i="8"/>
  <c r="F40" i="8"/>
  <c r="G40" i="8" s="1"/>
  <c r="F41" i="8"/>
  <c r="G41" i="8" s="1"/>
  <c r="F42" i="8"/>
  <c r="G42" i="8" s="1"/>
  <c r="F43" i="8"/>
  <c r="G43" i="8" s="1"/>
  <c r="F44" i="8"/>
  <c r="G44" i="8" s="1"/>
  <c r="F45" i="8"/>
  <c r="G45" i="8" s="1"/>
  <c r="F46" i="8"/>
  <c r="G46" i="8" s="1"/>
  <c r="F47" i="8"/>
  <c r="I47" i="8" s="1"/>
  <c r="F48" i="8"/>
  <c r="I48" i="8" s="1"/>
  <c r="F190" i="6"/>
  <c r="G190" i="6" s="1"/>
  <c r="F191" i="6"/>
  <c r="G191" i="6" s="1"/>
  <c r="F192" i="6"/>
  <c r="G192" i="6" s="1"/>
  <c r="F193" i="6"/>
  <c r="G193" i="6" s="1"/>
  <c r="F194" i="6"/>
  <c r="G194" i="6" s="1"/>
  <c r="F195" i="6"/>
  <c r="G195" i="6" s="1"/>
  <c r="F196" i="6"/>
  <c r="G196" i="6" s="1"/>
  <c r="F197" i="6"/>
  <c r="G197" i="6" s="1"/>
  <c r="F198" i="6"/>
  <c r="G198" i="6" s="1"/>
  <c r="F199" i="6"/>
  <c r="G199" i="6" s="1"/>
  <c r="F200" i="6"/>
  <c r="G200" i="6" s="1"/>
  <c r="F201" i="6"/>
  <c r="G201" i="6" s="1"/>
  <c r="F202" i="6"/>
  <c r="G202" i="6" s="1"/>
  <c r="F203" i="6"/>
  <c r="G203" i="6" s="1"/>
  <c r="F204" i="6"/>
  <c r="G204" i="6" s="1"/>
  <c r="CU5" i="19"/>
  <c r="CV5" i="19"/>
  <c r="CW5" i="19"/>
  <c r="CX5" i="19"/>
  <c r="CY5" i="19"/>
  <c r="CZ5" i="19"/>
  <c r="DA5" i="19"/>
  <c r="DB5" i="19"/>
  <c r="DC5" i="19"/>
  <c r="DD5" i="19"/>
  <c r="DE5" i="19"/>
  <c r="DF5" i="19"/>
  <c r="DK5" i="19"/>
  <c r="DL5" i="19"/>
  <c r="DM5" i="19"/>
  <c r="DN5" i="19"/>
  <c r="DO5" i="19"/>
  <c r="DP5" i="19"/>
  <c r="DQ5" i="19"/>
  <c r="DR5" i="19"/>
  <c r="DS5" i="19"/>
  <c r="DT5" i="19"/>
  <c r="DU5" i="19"/>
  <c r="DV5" i="19"/>
  <c r="EA5" i="19"/>
  <c r="EB5" i="19"/>
  <c r="EC5" i="19"/>
  <c r="ED5" i="19"/>
  <c r="EE5" i="19"/>
  <c r="EF5" i="19"/>
  <c r="EG5" i="19"/>
  <c r="EH5" i="19"/>
  <c r="EI5" i="19"/>
  <c r="EJ5" i="19"/>
  <c r="EK5" i="19"/>
  <c r="EL5" i="19"/>
  <c r="EQ5" i="19"/>
  <c r="ER5" i="19"/>
  <c r="ES5" i="19"/>
  <c r="ET5" i="19"/>
  <c r="EU5" i="19"/>
  <c r="EV5" i="19"/>
  <c r="EW5" i="19"/>
  <c r="EX5" i="19"/>
  <c r="EY5" i="19"/>
  <c r="EZ5" i="19"/>
  <c r="FA5" i="19"/>
  <c r="FB5" i="19"/>
  <c r="FG5" i="19"/>
  <c r="FH5" i="19"/>
  <c r="FI5" i="19"/>
  <c r="FJ5" i="19"/>
  <c r="FK5" i="19"/>
  <c r="FL5" i="19"/>
  <c r="FM5" i="19"/>
  <c r="FN5" i="19"/>
  <c r="FO5" i="19"/>
  <c r="FP5" i="19"/>
  <c r="FQ5" i="19"/>
  <c r="FR5" i="19"/>
  <c r="FW5" i="19"/>
  <c r="FX5" i="19"/>
  <c r="FY5" i="19"/>
  <c r="FZ5" i="19"/>
  <c r="GA5" i="19"/>
  <c r="GB5" i="19"/>
  <c r="GC5" i="19"/>
  <c r="GD5" i="19"/>
  <c r="GE5" i="19"/>
  <c r="GF5" i="19"/>
  <c r="GG5" i="19"/>
  <c r="GH5" i="19"/>
  <c r="GM5" i="19"/>
  <c r="GN5" i="19"/>
  <c r="GO5" i="19"/>
  <c r="GP5" i="19"/>
  <c r="GQ5" i="19"/>
  <c r="GR5" i="19"/>
  <c r="GS5" i="19"/>
  <c r="GT5" i="19"/>
  <c r="GU5" i="19"/>
  <c r="GV5" i="19"/>
  <c r="GW5" i="19"/>
  <c r="GX5" i="19"/>
  <c r="E49" i="25"/>
  <c r="F49" i="25" s="1"/>
  <c r="E46" i="25"/>
  <c r="H46" i="25" s="1"/>
  <c r="E47" i="25"/>
  <c r="F47" i="25" s="1"/>
  <c r="E48" i="25"/>
  <c r="H48" i="25" s="1"/>
  <c r="E36" i="25"/>
  <c r="F36" i="25" s="1"/>
  <c r="E37" i="25"/>
  <c r="F37" i="25" s="1"/>
  <c r="E38" i="25"/>
  <c r="E39" i="25"/>
  <c r="H39" i="25" s="1"/>
  <c r="E40" i="25"/>
  <c r="F40" i="25" s="1"/>
  <c r="E41" i="25"/>
  <c r="H41" i="25" s="1"/>
  <c r="E42" i="25"/>
  <c r="E43" i="25"/>
  <c r="F43" i="25" s="1"/>
  <c r="E44" i="25"/>
  <c r="F44" i="25" s="1"/>
  <c r="E45" i="25"/>
  <c r="F45" i="25" s="1"/>
  <c r="I31" i="5"/>
  <c r="I32" i="5"/>
  <c r="I34" i="5"/>
  <c r="I35" i="5"/>
  <c r="I36" i="5"/>
  <c r="I41" i="10"/>
  <c r="G47" i="8"/>
  <c r="I39" i="8"/>
  <c r="G39" i="8"/>
  <c r="F48" i="25"/>
  <c r="G50" i="27"/>
  <c r="G49" i="27"/>
  <c r="E33" i="25"/>
  <c r="E34" i="25"/>
  <c r="F34" i="25" s="1"/>
  <c r="E35" i="25"/>
  <c r="E32" i="25"/>
  <c r="H40" i="25"/>
  <c r="H45" i="25"/>
  <c r="H49" i="25"/>
  <c r="B2" i="3"/>
  <c r="F78" i="4"/>
  <c r="G78" i="4" s="1"/>
  <c r="G99" i="4" s="1"/>
  <c r="H13" i="14"/>
  <c r="I13" i="14" s="1"/>
  <c r="I38" i="14" s="1"/>
  <c r="H12" i="14"/>
  <c r="I12" i="14" s="1"/>
  <c r="H11" i="14"/>
  <c r="I11" i="14" s="1"/>
  <c r="H10" i="14"/>
  <c r="I10" i="14" s="1"/>
  <c r="H9" i="14"/>
  <c r="I9" i="14" s="1"/>
  <c r="F37" i="14"/>
  <c r="G37" i="14" s="1"/>
  <c r="F36" i="14"/>
  <c r="G36" i="14" s="1"/>
  <c r="F35" i="14"/>
  <c r="G35" i="14"/>
  <c r="F34" i="14"/>
  <c r="G34" i="14" s="1"/>
  <c r="F33" i="14"/>
  <c r="G33" i="14" s="1"/>
  <c r="G39" i="12"/>
  <c r="G38" i="12"/>
  <c r="G37" i="12"/>
  <c r="G36" i="12"/>
  <c r="G35" i="12"/>
  <c r="G34" i="12"/>
  <c r="F33" i="10"/>
  <c r="G33" i="10" s="1"/>
  <c r="F34" i="10"/>
  <c r="G34" i="10" s="1"/>
  <c r="F35" i="10"/>
  <c r="G35" i="10" s="1"/>
  <c r="F36" i="10"/>
  <c r="G36" i="10" s="1"/>
  <c r="F37" i="10"/>
  <c r="G37" i="10" s="1"/>
  <c r="F38" i="10"/>
  <c r="G38" i="10" s="1"/>
  <c r="G40" i="10"/>
  <c r="F32" i="10"/>
  <c r="G32" i="10" s="1"/>
  <c r="F31" i="8"/>
  <c r="G31" i="8" s="1"/>
  <c r="G32" i="8"/>
  <c r="G33" i="8"/>
  <c r="G35" i="8"/>
  <c r="G36" i="8"/>
  <c r="G37" i="8"/>
  <c r="F189" i="6"/>
  <c r="G189" i="6" s="1"/>
  <c r="F188" i="6"/>
  <c r="G188" i="6" s="1"/>
  <c r="F187" i="6"/>
  <c r="G187" i="6" s="1"/>
  <c r="F22" i="5"/>
  <c r="G22" i="5"/>
  <c r="I39" i="5"/>
  <c r="F25" i="5"/>
  <c r="G25" i="5" s="1"/>
  <c r="F24" i="5"/>
  <c r="G24" i="5" s="1"/>
  <c r="F23" i="5"/>
  <c r="G23" i="5"/>
  <c r="F79" i="4"/>
  <c r="G79" i="4" s="1"/>
  <c r="G100" i="4" s="1"/>
  <c r="F80" i="4"/>
  <c r="G80" i="4" s="1"/>
  <c r="F81" i="4"/>
  <c r="G81" i="4" s="1"/>
  <c r="G102" i="4" s="1"/>
  <c r="H27" i="25"/>
  <c r="H32" i="25"/>
  <c r="F32" i="25"/>
  <c r="H38" i="25"/>
  <c r="H36" i="25"/>
  <c r="H37" i="25"/>
  <c r="H34" i="25"/>
  <c r="F33" i="25"/>
  <c r="H33" i="25"/>
  <c r="F35" i="25"/>
  <c r="H35" i="25"/>
  <c r="I22" i="5"/>
  <c r="I40" i="10"/>
  <c r="I36" i="10"/>
  <c r="I36" i="8"/>
  <c r="J44" i="25"/>
  <c r="I35" i="8"/>
  <c r="J32" i="25"/>
  <c r="L16" i="25"/>
  <c r="L40" i="25" s="1"/>
  <c r="J40" i="25"/>
  <c r="L19" i="25"/>
  <c r="L43" i="25" s="1"/>
  <c r="J43" i="25"/>
  <c r="L24" i="25"/>
  <c r="J48" i="25"/>
  <c r="L20" i="25"/>
  <c r="L44" i="25" s="1"/>
  <c r="O407" i="47"/>
  <c r="O411" i="47"/>
  <c r="O319" i="47"/>
  <c r="L23" i="25"/>
  <c r="L47" i="25" s="1"/>
  <c r="O432" i="47"/>
  <c r="O26" i="47"/>
  <c r="O278" i="47"/>
  <c r="O466" i="47"/>
  <c r="H43" i="25"/>
  <c r="F38" i="25"/>
  <c r="F42" i="25"/>
  <c r="I43" i="8"/>
  <c r="CE5" i="19"/>
  <c r="CF5" i="19"/>
  <c r="CG5" i="19"/>
  <c r="CH5" i="19"/>
  <c r="CI5" i="19"/>
  <c r="CJ5" i="19"/>
  <c r="CK5" i="19"/>
  <c r="CL5" i="19"/>
  <c r="CM5" i="19"/>
  <c r="CN5" i="19"/>
  <c r="CO5" i="19"/>
  <c r="CP5" i="19"/>
  <c r="J47" i="25"/>
  <c r="G34" i="8"/>
  <c r="H47" i="25"/>
  <c r="H42" i="25"/>
  <c r="I196" i="6"/>
  <c r="I26" i="5"/>
  <c r="I25" i="5"/>
  <c r="I24" i="5"/>
  <c r="I37" i="5"/>
  <c r="I33" i="5"/>
  <c r="G29" i="5"/>
  <c r="F41" i="42"/>
  <c r="J42" i="25"/>
  <c r="BO5" i="19"/>
  <c r="BP5" i="19"/>
  <c r="BQ5" i="19"/>
  <c r="BR5" i="19"/>
  <c r="BS5" i="19"/>
  <c r="BT5" i="19"/>
  <c r="BU5" i="19"/>
  <c r="BV5" i="19"/>
  <c r="BW5" i="19"/>
  <c r="BX5" i="19"/>
  <c r="BY5" i="19"/>
  <c r="BZ5" i="19"/>
  <c r="AO78" i="23"/>
  <c r="AO74" i="23"/>
  <c r="AY5" i="19"/>
  <c r="AZ5" i="19"/>
  <c r="BA5" i="19"/>
  <c r="BB5" i="19"/>
  <c r="BC5" i="19"/>
  <c r="BD5" i="19"/>
  <c r="BE5" i="19"/>
  <c r="BF5" i="19"/>
  <c r="BG5" i="19"/>
  <c r="BH5" i="19"/>
  <c r="BI5" i="19"/>
  <c r="BJ5" i="19"/>
  <c r="G101" i="4" l="1"/>
  <c r="B16" i="57"/>
  <c r="D16" i="57"/>
  <c r="G30" i="5"/>
  <c r="G13" i="57"/>
  <c r="E14" i="57"/>
  <c r="E15" i="57"/>
  <c r="H16" i="57"/>
  <c r="L48" i="25"/>
  <c r="H44" i="25"/>
  <c r="I45" i="14"/>
  <c r="I13" i="57"/>
  <c r="F14" i="57"/>
  <c r="F15" i="57"/>
  <c r="L16" i="57"/>
  <c r="I46" i="14"/>
  <c r="B11" i="57"/>
  <c r="A29" i="57"/>
  <c r="A43" i="57" s="1"/>
  <c r="N43" i="57" s="1"/>
  <c r="L11" i="57"/>
  <c r="J13" i="57"/>
  <c r="H14" i="57"/>
  <c r="G15" i="57"/>
  <c r="I15" i="57"/>
  <c r="I43" i="10"/>
  <c r="F46" i="25"/>
  <c r="A30" i="57"/>
  <c r="D30" i="57" s="1"/>
  <c r="F41" i="25"/>
  <c r="G30" i="36"/>
  <c r="E16" i="57"/>
  <c r="M16" i="57"/>
  <c r="I39" i="14"/>
  <c r="D14" i="57"/>
  <c r="M14" i="57"/>
  <c r="J15" i="57"/>
  <c r="F16" i="57"/>
  <c r="N16" i="57"/>
  <c r="J46" i="25"/>
  <c r="I28" i="5"/>
  <c r="G16" i="57"/>
  <c r="I14" i="57"/>
  <c r="F39" i="25"/>
  <c r="F51" i="25" s="1"/>
  <c r="D15" i="57"/>
  <c r="I16" i="57"/>
  <c r="J16" i="57"/>
  <c r="I39" i="10"/>
  <c r="I38" i="8"/>
  <c r="L42" i="25"/>
  <c r="C16" i="57"/>
  <c r="M993" i="21"/>
  <c r="M985" i="21"/>
  <c r="M977" i="21"/>
  <c r="M969" i="21"/>
  <c r="M998" i="21"/>
  <c r="M995" i="21"/>
  <c r="M997" i="21"/>
  <c r="M996" i="21"/>
  <c r="M990" i="21"/>
  <c r="M992" i="21"/>
  <c r="M989" i="21"/>
  <c r="M994" i="21"/>
  <c r="M991" i="21"/>
  <c r="M982" i="21"/>
  <c r="M987" i="21"/>
  <c r="M984" i="21"/>
  <c r="M981" i="21"/>
  <c r="M986" i="21"/>
  <c r="M983" i="21"/>
  <c r="M988" i="21"/>
  <c r="M980" i="21"/>
  <c r="M974" i="21"/>
  <c r="M966" i="21"/>
  <c r="M979" i="21"/>
  <c r="M971" i="21"/>
  <c r="M976" i="21"/>
  <c r="M968" i="21"/>
  <c r="M973" i="21"/>
  <c r="M965" i="21"/>
  <c r="M978" i="21"/>
  <c r="M970" i="21"/>
  <c r="M975" i="21"/>
  <c r="M967" i="21"/>
  <c r="M972" i="21"/>
  <c r="M961" i="21"/>
  <c r="M945" i="21"/>
  <c r="M953" i="21"/>
  <c r="M958" i="21"/>
  <c r="M950" i="21"/>
  <c r="M963" i="21"/>
  <c r="M955" i="21"/>
  <c r="M947" i="21"/>
  <c r="M960" i="21"/>
  <c r="M952" i="21"/>
  <c r="M957" i="21"/>
  <c r="M949" i="21"/>
  <c r="M962" i="21"/>
  <c r="M954" i="21"/>
  <c r="M946" i="21"/>
  <c r="M959" i="21"/>
  <c r="M951" i="21"/>
  <c r="M964" i="21"/>
  <c r="M956" i="21"/>
  <c r="M948" i="21"/>
  <c r="M942" i="21"/>
  <c r="M939" i="21"/>
  <c r="M944" i="21"/>
  <c r="M941" i="21"/>
  <c r="M938" i="21"/>
  <c r="M943" i="21"/>
  <c r="M940" i="21"/>
  <c r="M937" i="21"/>
  <c r="M870" i="21"/>
  <c r="M931" i="21"/>
  <c r="M936" i="21"/>
  <c r="M935" i="21"/>
  <c r="M934" i="21"/>
  <c r="M933" i="21"/>
  <c r="M932" i="21"/>
  <c r="M930" i="21"/>
  <c r="M857" i="21"/>
  <c r="M825" i="21"/>
  <c r="M923" i="21"/>
  <c r="M867" i="21"/>
  <c r="M859" i="21"/>
  <c r="M851" i="21"/>
  <c r="M843" i="21"/>
  <c r="M835" i="21"/>
  <c r="M873" i="21"/>
  <c r="M865" i="21"/>
  <c r="M928" i="21"/>
  <c r="M929" i="21"/>
  <c r="M841" i="21"/>
  <c r="M833" i="21"/>
  <c r="M829" i="21"/>
  <c r="M821" i="21"/>
  <c r="M889" i="21"/>
  <c r="M849" i="21"/>
  <c r="M831" i="21"/>
  <c r="M823" i="21"/>
  <c r="M817" i="21"/>
  <c r="M921" i="21"/>
  <c r="M926" i="21"/>
  <c r="M918" i="21"/>
  <c r="M920" i="21"/>
  <c r="M925" i="21"/>
  <c r="M922" i="21"/>
  <c r="M927" i="21"/>
  <c r="M919" i="21"/>
  <c r="M924" i="21"/>
  <c r="M913" i="21"/>
  <c r="M905" i="21"/>
  <c r="M897" i="21"/>
  <c r="M910" i="21"/>
  <c r="M902" i="21"/>
  <c r="M894" i="21"/>
  <c r="M915" i="21"/>
  <c r="M907" i="21"/>
  <c r="M899" i="21"/>
  <c r="M912" i="21"/>
  <c r="M904" i="21"/>
  <c r="M896" i="21"/>
  <c r="M917" i="21"/>
  <c r="M909" i="21"/>
  <c r="M901" i="21"/>
  <c r="M914" i="21"/>
  <c r="M906" i="21"/>
  <c r="M898" i="21"/>
  <c r="M911" i="21"/>
  <c r="M903" i="21"/>
  <c r="M895" i="21"/>
  <c r="M916" i="21"/>
  <c r="M908" i="21"/>
  <c r="M900" i="21"/>
  <c r="M891" i="21"/>
  <c r="M888" i="21"/>
  <c r="M893" i="21"/>
  <c r="M890" i="21"/>
  <c r="M887" i="21"/>
  <c r="M892" i="21"/>
  <c r="M881" i="21"/>
  <c r="M886" i="21"/>
  <c r="M883" i="21"/>
  <c r="M880" i="21"/>
  <c r="M885" i="21"/>
  <c r="M882" i="21"/>
  <c r="M884" i="21"/>
  <c r="M878" i="21"/>
  <c r="M877" i="21"/>
  <c r="M879" i="21"/>
  <c r="M876" i="21"/>
  <c r="M875" i="21"/>
  <c r="M872" i="21"/>
  <c r="M874" i="21"/>
  <c r="M871" i="21"/>
  <c r="M862" i="21"/>
  <c r="M854" i="21"/>
  <c r="M846" i="21"/>
  <c r="M838" i="21"/>
  <c r="M864" i="21"/>
  <c r="M856" i="21"/>
  <c r="M848" i="21"/>
  <c r="M840" i="21"/>
  <c r="M832" i="21"/>
  <c r="M869" i="21"/>
  <c r="M861" i="21"/>
  <c r="M853" i="21"/>
  <c r="M845" i="21"/>
  <c r="M837" i="21"/>
  <c r="M866" i="21"/>
  <c r="M858" i="21"/>
  <c r="M850" i="21"/>
  <c r="M842" i="21"/>
  <c r="M834" i="21"/>
  <c r="M863" i="21"/>
  <c r="M855" i="21"/>
  <c r="M847" i="21"/>
  <c r="M839" i="21"/>
  <c r="M868" i="21"/>
  <c r="M860" i="21"/>
  <c r="M852" i="21"/>
  <c r="M844" i="21"/>
  <c r="M836" i="21"/>
  <c r="M809" i="21"/>
  <c r="M830" i="21"/>
  <c r="M822" i="21"/>
  <c r="M814" i="21"/>
  <c r="M827" i="21"/>
  <c r="M819" i="21"/>
  <c r="M811" i="21"/>
  <c r="M824" i="21"/>
  <c r="M816" i="21"/>
  <c r="M808" i="21"/>
  <c r="M813" i="21"/>
  <c r="M826" i="21"/>
  <c r="M818" i="21"/>
  <c r="M810" i="21"/>
  <c r="M815" i="21"/>
  <c r="M828" i="21"/>
  <c r="M820" i="21"/>
  <c r="M812" i="21"/>
  <c r="M807" i="21"/>
  <c r="M806" i="21"/>
  <c r="M805" i="21"/>
  <c r="M804" i="21"/>
  <c r="M793" i="21"/>
  <c r="M801" i="21"/>
  <c r="M798" i="21"/>
  <c r="M803" i="21"/>
  <c r="M795" i="21"/>
  <c r="M800" i="21"/>
  <c r="M797" i="21"/>
  <c r="M802" i="21"/>
  <c r="M794" i="21"/>
  <c r="M799" i="21"/>
  <c r="M796" i="21"/>
  <c r="M758" i="21"/>
  <c r="M787" i="21"/>
  <c r="M792" i="21"/>
  <c r="M790" i="21"/>
  <c r="M789" i="21"/>
  <c r="M791" i="21"/>
  <c r="M788" i="21"/>
  <c r="M782" i="21"/>
  <c r="M784" i="21"/>
  <c r="M781" i="21"/>
  <c r="M785" i="21"/>
  <c r="M786" i="21"/>
  <c r="M783" i="21"/>
  <c r="M779" i="21"/>
  <c r="M778" i="21"/>
  <c r="M780" i="21"/>
  <c r="M777" i="21"/>
  <c r="M774" i="21"/>
  <c r="M771" i="21"/>
  <c r="M776" i="21"/>
  <c r="M773" i="21"/>
  <c r="M775" i="21"/>
  <c r="M772" i="21"/>
  <c r="M769" i="21"/>
  <c r="M761" i="21"/>
  <c r="M766" i="21"/>
  <c r="M763" i="21"/>
  <c r="M768" i="21"/>
  <c r="M765" i="21"/>
  <c r="M770" i="21"/>
  <c r="M762" i="21"/>
  <c r="M767" i="21"/>
  <c r="M764" i="21"/>
  <c r="M760" i="21"/>
  <c r="M757" i="21"/>
  <c r="M759" i="21"/>
  <c r="M756" i="21"/>
  <c r="M755" i="21"/>
  <c r="I199" i="6"/>
  <c r="I85" i="4"/>
  <c r="I88" i="4"/>
  <c r="I87" i="4"/>
  <c r="M745" i="21"/>
  <c r="M729" i="21"/>
  <c r="M721" i="21"/>
  <c r="M726" i="21"/>
  <c r="M718" i="21"/>
  <c r="M723" i="21"/>
  <c r="M715" i="21"/>
  <c r="M728" i="21"/>
  <c r="M720" i="21"/>
  <c r="M725" i="21"/>
  <c r="M717" i="21"/>
  <c r="M754" i="21"/>
  <c r="M730" i="21"/>
  <c r="M722" i="21"/>
  <c r="M727" i="21"/>
  <c r="M719" i="21"/>
  <c r="M724" i="21"/>
  <c r="M716" i="21"/>
  <c r="M753" i="21"/>
  <c r="M750" i="21"/>
  <c r="M752" i="21"/>
  <c r="M749" i="21"/>
  <c r="M751" i="21"/>
  <c r="M748" i="21"/>
  <c r="M747" i="21"/>
  <c r="M746" i="21"/>
  <c r="M742" i="21"/>
  <c r="M744" i="21"/>
  <c r="M741" i="21"/>
  <c r="M743" i="21"/>
  <c r="M737" i="21"/>
  <c r="M734" i="21"/>
  <c r="M739" i="21"/>
  <c r="M736" i="21"/>
  <c r="M733" i="21"/>
  <c r="M738" i="21"/>
  <c r="M735" i="21"/>
  <c r="M740" i="21"/>
  <c r="M732" i="21"/>
  <c r="M731" i="21"/>
  <c r="M713" i="21"/>
  <c r="M714" i="21"/>
  <c r="M712" i="21"/>
  <c r="M705" i="21"/>
  <c r="M697" i="21"/>
  <c r="M689" i="21"/>
  <c r="M681" i="21"/>
  <c r="M673" i="21"/>
  <c r="M665" i="21"/>
  <c r="M657" i="21"/>
  <c r="M649" i="21"/>
  <c r="M641" i="21"/>
  <c r="M633" i="21"/>
  <c r="M710" i="21"/>
  <c r="M702" i="21"/>
  <c r="M694" i="21"/>
  <c r="M686" i="21"/>
  <c r="M678" i="21"/>
  <c r="M670" i="21"/>
  <c r="M662" i="21"/>
  <c r="M654" i="21"/>
  <c r="M646" i="21"/>
  <c r="M638" i="21"/>
  <c r="M630" i="21"/>
  <c r="M707" i="21"/>
  <c r="M699" i="21"/>
  <c r="M691" i="21"/>
  <c r="M683" i="21"/>
  <c r="M675" i="21"/>
  <c r="M667" i="21"/>
  <c r="M659" i="21"/>
  <c r="M651" i="21"/>
  <c r="M643" i="21"/>
  <c r="M635" i="21"/>
  <c r="M704" i="21"/>
  <c r="M696" i="21"/>
  <c r="M688" i="21"/>
  <c r="M680" i="21"/>
  <c r="M672" i="21"/>
  <c r="M664" i="21"/>
  <c r="M656" i="21"/>
  <c r="M648" i="21"/>
  <c r="M640" i="21"/>
  <c r="M632" i="21"/>
  <c r="M709" i="21"/>
  <c r="M701" i="21"/>
  <c r="M693" i="21"/>
  <c r="M685" i="21"/>
  <c r="M677" i="21"/>
  <c r="M669" i="21"/>
  <c r="M661" i="21"/>
  <c r="M653" i="21"/>
  <c r="M645" i="21"/>
  <c r="M637" i="21"/>
  <c r="M629" i="21"/>
  <c r="M706" i="21"/>
  <c r="M698" i="21"/>
  <c r="M690" i="21"/>
  <c r="M682" i="21"/>
  <c r="M674" i="21"/>
  <c r="M666" i="21"/>
  <c r="M658" i="21"/>
  <c r="M650" i="21"/>
  <c r="M642" i="21"/>
  <c r="M634" i="21"/>
  <c r="M711" i="21"/>
  <c r="M703" i="21"/>
  <c r="M695" i="21"/>
  <c r="M687" i="21"/>
  <c r="M679" i="21"/>
  <c r="M671" i="21"/>
  <c r="M663" i="21"/>
  <c r="M655" i="21"/>
  <c r="M647" i="21"/>
  <c r="M639" i="21"/>
  <c r="M631" i="21"/>
  <c r="M708" i="21"/>
  <c r="M700" i="21"/>
  <c r="M692" i="21"/>
  <c r="M684" i="21"/>
  <c r="M676" i="21"/>
  <c r="M668" i="21"/>
  <c r="M660" i="21"/>
  <c r="M652" i="21"/>
  <c r="M644" i="21"/>
  <c r="M636" i="21"/>
  <c r="M628" i="21"/>
  <c r="M627" i="21"/>
  <c r="M626" i="21"/>
  <c r="M614" i="21"/>
  <c r="M625" i="21"/>
  <c r="M617" i="21"/>
  <c r="M622" i="21"/>
  <c r="M619" i="21"/>
  <c r="M624" i="21"/>
  <c r="M616" i="21"/>
  <c r="M621" i="21"/>
  <c r="M618" i="21"/>
  <c r="M623" i="21"/>
  <c r="M615" i="21"/>
  <c r="M620" i="21"/>
  <c r="M609" i="21"/>
  <c r="M601" i="21"/>
  <c r="M606" i="21"/>
  <c r="M589" i="21"/>
  <c r="M596" i="21"/>
  <c r="M588" i="21"/>
  <c r="M611" i="21"/>
  <c r="M613" i="21"/>
  <c r="M612" i="21"/>
  <c r="M605" i="21"/>
  <c r="M610" i="21"/>
  <c r="M607" i="21"/>
  <c r="M608" i="21"/>
  <c r="M604" i="21"/>
  <c r="M603" i="21"/>
  <c r="M602" i="21"/>
  <c r="M600" i="21"/>
  <c r="M599" i="21"/>
  <c r="M598" i="21"/>
  <c r="M597" i="21"/>
  <c r="M595" i="21"/>
  <c r="M592" i="21"/>
  <c r="M594" i="21"/>
  <c r="M593" i="21"/>
  <c r="M591" i="21"/>
  <c r="M590" i="21"/>
  <c r="M587" i="21"/>
  <c r="M586" i="21"/>
  <c r="M585" i="21"/>
  <c r="M584" i="21"/>
  <c r="M582" i="21"/>
  <c r="M581" i="21"/>
  <c r="M583" i="21"/>
  <c r="M577" i="21"/>
  <c r="M569" i="21"/>
  <c r="M561" i="21"/>
  <c r="M553" i="21"/>
  <c r="M545" i="21"/>
  <c r="M537" i="21"/>
  <c r="M529" i="21"/>
  <c r="M457" i="21"/>
  <c r="M449" i="21"/>
  <c r="M441" i="21"/>
  <c r="M433" i="21"/>
  <c r="M425" i="21"/>
  <c r="M417" i="21"/>
  <c r="M409" i="21"/>
  <c r="M401" i="21"/>
  <c r="M393" i="21"/>
  <c r="M385" i="21"/>
  <c r="M377" i="21"/>
  <c r="M369" i="21"/>
  <c r="M361" i="21"/>
  <c r="M353" i="21"/>
  <c r="M534" i="21"/>
  <c r="M414" i="21"/>
  <c r="M406" i="21"/>
  <c r="M398" i="21"/>
  <c r="M390" i="21"/>
  <c r="M382" i="21"/>
  <c r="M374" i="21"/>
  <c r="M366" i="21"/>
  <c r="M358" i="21"/>
  <c r="M350" i="21"/>
  <c r="M579" i="21"/>
  <c r="M571" i="21"/>
  <c r="M563" i="21"/>
  <c r="M539" i="21"/>
  <c r="M531" i="21"/>
  <c r="M523" i="21"/>
  <c r="M536" i="21"/>
  <c r="M528" i="21"/>
  <c r="M533" i="21"/>
  <c r="M538" i="21"/>
  <c r="M530" i="21"/>
  <c r="M535" i="21"/>
  <c r="M532" i="21"/>
  <c r="M580" i="21"/>
  <c r="M574" i="21"/>
  <c r="M566" i="21"/>
  <c r="M576" i="21"/>
  <c r="M568" i="21"/>
  <c r="M573" i="21"/>
  <c r="M565" i="21"/>
  <c r="M578" i="21"/>
  <c r="M570" i="21"/>
  <c r="M562" i="21"/>
  <c r="M575" i="21"/>
  <c r="M567" i="21"/>
  <c r="M572" i="21"/>
  <c r="M564" i="21"/>
  <c r="M558" i="21"/>
  <c r="M555" i="21"/>
  <c r="M560" i="21"/>
  <c r="M557" i="21"/>
  <c r="M554" i="21"/>
  <c r="M559" i="21"/>
  <c r="M556" i="21"/>
  <c r="I195" i="6"/>
  <c r="M550" i="21"/>
  <c r="M547" i="21"/>
  <c r="M552" i="21"/>
  <c r="M544" i="21"/>
  <c r="M549" i="21"/>
  <c r="M546" i="21"/>
  <c r="M551" i="21"/>
  <c r="M548" i="21"/>
  <c r="M542" i="21"/>
  <c r="M541" i="21"/>
  <c r="M543" i="21"/>
  <c r="M540" i="21"/>
  <c r="M521" i="21"/>
  <c r="M526" i="21"/>
  <c r="M518" i="21"/>
  <c r="M520" i="21"/>
  <c r="M525" i="21"/>
  <c r="M517" i="21"/>
  <c r="M522" i="21"/>
  <c r="M527" i="21"/>
  <c r="M519" i="21"/>
  <c r="M524" i="21"/>
  <c r="M502" i="21"/>
  <c r="M507" i="21"/>
  <c r="M504" i="21"/>
  <c r="M505" i="21"/>
  <c r="M509" i="21"/>
  <c r="M501" i="21"/>
  <c r="M506" i="21"/>
  <c r="M503" i="21"/>
  <c r="M508" i="21"/>
  <c r="M516" i="21"/>
  <c r="M513" i="21"/>
  <c r="M510" i="21"/>
  <c r="M515" i="21"/>
  <c r="M512" i="21"/>
  <c r="M514" i="21"/>
  <c r="M511" i="21"/>
  <c r="M499" i="21"/>
  <c r="M500" i="21"/>
  <c r="M497" i="21"/>
  <c r="M489" i="21"/>
  <c r="M481" i="21"/>
  <c r="M494" i="21"/>
  <c r="M486" i="21"/>
  <c r="M478" i="21"/>
  <c r="M491" i="21"/>
  <c r="M483" i="21"/>
  <c r="M496" i="21"/>
  <c r="M488" i="21"/>
  <c r="M480" i="21"/>
  <c r="M493" i="21"/>
  <c r="M485" i="21"/>
  <c r="M477" i="21"/>
  <c r="M498" i="21"/>
  <c r="M490" i="21"/>
  <c r="M482" i="21"/>
  <c r="M495" i="21"/>
  <c r="M487" i="21"/>
  <c r="M479" i="21"/>
  <c r="M492" i="21"/>
  <c r="M484" i="21"/>
  <c r="M473" i="21"/>
  <c r="M465" i="21"/>
  <c r="M470" i="21"/>
  <c r="M462" i="21"/>
  <c r="M475" i="21"/>
  <c r="M467" i="21"/>
  <c r="M459" i="21"/>
  <c r="M472" i="21"/>
  <c r="M464" i="21"/>
  <c r="M469" i="21"/>
  <c r="M461" i="21"/>
  <c r="M474" i="21"/>
  <c r="M466" i="21"/>
  <c r="M458" i="21"/>
  <c r="M471" i="21"/>
  <c r="M463" i="21"/>
  <c r="M476" i="21"/>
  <c r="M468" i="21"/>
  <c r="M460" i="21"/>
  <c r="M454" i="21"/>
  <c r="M446" i="21"/>
  <c r="M438" i="21"/>
  <c r="M430" i="21"/>
  <c r="M422" i="21"/>
  <c r="M451" i="21"/>
  <c r="M443" i="21"/>
  <c r="M435" i="21"/>
  <c r="M427" i="21"/>
  <c r="M456" i="21"/>
  <c r="M448" i="21"/>
  <c r="M440" i="21"/>
  <c r="M432" i="21"/>
  <c r="M424" i="21"/>
  <c r="M453" i="21"/>
  <c r="M445" i="21"/>
  <c r="M437" i="21"/>
  <c r="M429" i="21"/>
  <c r="M421" i="21"/>
  <c r="M450" i="21"/>
  <c r="M442" i="21"/>
  <c r="M434" i="21"/>
  <c r="M426" i="21"/>
  <c r="M455" i="21"/>
  <c r="M447" i="21"/>
  <c r="M439" i="21"/>
  <c r="M431" i="21"/>
  <c r="M423" i="21"/>
  <c r="M452" i="21"/>
  <c r="M444" i="21"/>
  <c r="M436" i="21"/>
  <c r="M428" i="21"/>
  <c r="M420" i="21"/>
  <c r="M419" i="21"/>
  <c r="M411" i="21"/>
  <c r="M403" i="21"/>
  <c r="M395" i="21"/>
  <c r="M416" i="21"/>
  <c r="M408" i="21"/>
  <c r="M400" i="21"/>
  <c r="M392" i="21"/>
  <c r="M413" i="21"/>
  <c r="M405" i="21"/>
  <c r="M397" i="21"/>
  <c r="M418" i="21"/>
  <c r="M410" i="21"/>
  <c r="M402" i="21"/>
  <c r="M394" i="21"/>
  <c r="M415" i="21"/>
  <c r="M407" i="21"/>
  <c r="M399" i="21"/>
  <c r="M391" i="21"/>
  <c r="M412" i="21"/>
  <c r="M404" i="21"/>
  <c r="M396" i="21"/>
  <c r="M387" i="21"/>
  <c r="M379" i="21"/>
  <c r="M371" i="21"/>
  <c r="M363" i="21"/>
  <c r="M355" i="21"/>
  <c r="M384" i="21"/>
  <c r="M376" i="21"/>
  <c r="M368" i="21"/>
  <c r="M360" i="21"/>
  <c r="M352" i="21"/>
  <c r="M389" i="21"/>
  <c r="M381" i="21"/>
  <c r="M373" i="21"/>
  <c r="M365" i="21"/>
  <c r="M357" i="21"/>
  <c r="M386" i="21"/>
  <c r="M378" i="21"/>
  <c r="M370" i="21"/>
  <c r="M362" i="21"/>
  <c r="M354" i="21"/>
  <c r="M383" i="21"/>
  <c r="M375" i="21"/>
  <c r="M367" i="21"/>
  <c r="M359" i="21"/>
  <c r="M351" i="21"/>
  <c r="M388" i="21"/>
  <c r="M380" i="21"/>
  <c r="M372" i="21"/>
  <c r="M364" i="21"/>
  <c r="M356" i="21"/>
  <c r="M282" i="21"/>
  <c r="M29" i="21"/>
  <c r="M13" i="21"/>
  <c r="J994" i="21"/>
  <c r="X994" i="21" s="1"/>
  <c r="J986" i="21"/>
  <c r="X986" i="21" s="1"/>
  <c r="J978" i="21"/>
  <c r="X978" i="21" s="1"/>
  <c r="J970" i="21"/>
  <c r="J962" i="21"/>
  <c r="J954" i="21"/>
  <c r="X954" i="21" s="1"/>
  <c r="J946" i="21"/>
  <c r="J938" i="21"/>
  <c r="J930" i="21"/>
  <c r="M276" i="21"/>
  <c r="M272" i="21"/>
  <c r="M188" i="21"/>
  <c r="M335" i="21"/>
  <c r="J922" i="21"/>
  <c r="X922" i="21" s="1"/>
  <c r="J914" i="21"/>
  <c r="J906" i="21"/>
  <c r="J898" i="21"/>
  <c r="X898" i="21" s="1"/>
  <c r="J890" i="21"/>
  <c r="J882" i="21"/>
  <c r="X882" i="21" s="1"/>
  <c r="J874" i="21"/>
  <c r="J866" i="21"/>
  <c r="J858" i="21"/>
  <c r="X858" i="21" s="1"/>
  <c r="J850" i="21"/>
  <c r="J842" i="21"/>
  <c r="J834" i="21"/>
  <c r="J826" i="21"/>
  <c r="J818" i="21"/>
  <c r="J810" i="21"/>
  <c r="X810" i="21" s="1"/>
  <c r="J802" i="21"/>
  <c r="X802" i="21" s="1"/>
  <c r="J794" i="21"/>
  <c r="J786" i="21"/>
  <c r="J778" i="21"/>
  <c r="J770" i="21"/>
  <c r="J762" i="21"/>
  <c r="J754" i="21"/>
  <c r="X754" i="21" s="1"/>
  <c r="J746" i="21"/>
  <c r="X746" i="21" s="1"/>
  <c r="J738" i="21"/>
  <c r="J730" i="21"/>
  <c r="X730" i="21" s="1"/>
  <c r="J722" i="21"/>
  <c r="X722" i="21" s="1"/>
  <c r="J714" i="21"/>
  <c r="J706" i="21"/>
  <c r="X706" i="21" s="1"/>
  <c r="J698" i="21"/>
  <c r="X698" i="21" s="1"/>
  <c r="J31" i="21"/>
  <c r="X31" i="21" s="1"/>
  <c r="M265" i="21"/>
  <c r="M187" i="21"/>
  <c r="M183" i="21"/>
  <c r="M171" i="21"/>
  <c r="M167" i="21"/>
  <c r="M99" i="21"/>
  <c r="M95" i="21"/>
  <c r="M250" i="21"/>
  <c r="M154" i="21"/>
  <c r="M138" i="21"/>
  <c r="M98" i="21"/>
  <c r="M329" i="21"/>
  <c r="M136" i="21"/>
  <c r="M96" i="21"/>
  <c r="M247" i="21"/>
  <c r="M322" i="21"/>
  <c r="M318" i="21"/>
  <c r="M314" i="21"/>
  <c r="M246" i="21"/>
  <c r="M230" i="21"/>
  <c r="M269" i="21"/>
  <c r="M348" i="21"/>
  <c r="M237" i="21"/>
  <c r="M233" i="21"/>
  <c r="M217" i="21"/>
  <c r="M291" i="21"/>
  <c r="M279" i="21"/>
  <c r="M275" i="21"/>
  <c r="M244" i="21"/>
  <c r="M240" i="21"/>
  <c r="M208" i="21"/>
  <c r="M192" i="21"/>
  <c r="J998" i="21"/>
  <c r="X998" i="21" s="1"/>
  <c r="J990" i="21"/>
  <c r="J982" i="21"/>
  <c r="J974" i="21"/>
  <c r="J966" i="21"/>
  <c r="X966" i="21" s="1"/>
  <c r="J958" i="21"/>
  <c r="J950" i="21"/>
  <c r="X950" i="21" s="1"/>
  <c r="J942" i="21"/>
  <c r="J934" i="21"/>
  <c r="X934" i="21" s="1"/>
  <c r="J926" i="21"/>
  <c r="X926" i="21" s="1"/>
  <c r="J918" i="21"/>
  <c r="X918" i="21" s="1"/>
  <c r="J910" i="21"/>
  <c r="N910" i="21" s="1"/>
  <c r="Z910" i="21" s="1"/>
  <c r="AA910" i="21" s="1"/>
  <c r="J902" i="21"/>
  <c r="N902" i="21" s="1"/>
  <c r="Z902" i="21" s="1"/>
  <c r="AA902" i="21" s="1"/>
  <c r="J894" i="21"/>
  <c r="N894" i="21" s="1"/>
  <c r="Z894" i="21" s="1"/>
  <c r="AA894" i="21" s="1"/>
  <c r="J886" i="21"/>
  <c r="J878" i="21"/>
  <c r="X878" i="21" s="1"/>
  <c r="J870" i="21"/>
  <c r="X870" i="21" s="1"/>
  <c r="J862" i="21"/>
  <c r="X862" i="21" s="1"/>
  <c r="J854" i="21"/>
  <c r="X854" i="21" s="1"/>
  <c r="J846" i="21"/>
  <c r="X846" i="21" s="1"/>
  <c r="J838" i="21"/>
  <c r="J830" i="21"/>
  <c r="X830" i="21" s="1"/>
  <c r="J822" i="21"/>
  <c r="X822" i="21" s="1"/>
  <c r="J814" i="21"/>
  <c r="X814" i="21" s="1"/>
  <c r="J806" i="21"/>
  <c r="X806" i="21" s="1"/>
  <c r="J798" i="21"/>
  <c r="N798" i="21" s="1"/>
  <c r="Z798" i="21" s="1"/>
  <c r="AA798" i="21" s="1"/>
  <c r="J790" i="21"/>
  <c r="X790" i="21" s="1"/>
  <c r="J782" i="21"/>
  <c r="J774" i="21"/>
  <c r="X774" i="21" s="1"/>
  <c r="J766" i="21"/>
  <c r="J758" i="21"/>
  <c r="X758" i="21" s="1"/>
  <c r="J750" i="21"/>
  <c r="X750" i="21" s="1"/>
  <c r="J742" i="21"/>
  <c r="J734" i="21"/>
  <c r="J726" i="21"/>
  <c r="J710" i="21"/>
  <c r="J702" i="21"/>
  <c r="X702" i="21" s="1"/>
  <c r="J694" i="21"/>
  <c r="J686" i="21"/>
  <c r="X686" i="21" s="1"/>
  <c r="J678" i="21"/>
  <c r="X678" i="21" s="1"/>
  <c r="J670" i="21"/>
  <c r="M294" i="21"/>
  <c r="M160" i="21"/>
  <c r="M156" i="21"/>
  <c r="M140" i="21"/>
  <c r="M88" i="21"/>
  <c r="M12" i="21"/>
  <c r="J35" i="21"/>
  <c r="X35" i="21" s="1"/>
  <c r="J27" i="21"/>
  <c r="X27" i="21" s="1"/>
  <c r="M313" i="21"/>
  <c r="M211" i="21"/>
  <c r="M147" i="21"/>
  <c r="M79" i="21"/>
  <c r="J690" i="21"/>
  <c r="N690" i="21" s="1"/>
  <c r="Z690" i="21" s="1"/>
  <c r="AA690" i="21" s="1"/>
  <c r="J682" i="21"/>
  <c r="X682" i="21" s="1"/>
  <c r="J674" i="21"/>
  <c r="X674" i="21" s="1"/>
  <c r="J666" i="21"/>
  <c r="X666" i="21" s="1"/>
  <c r="J362" i="21"/>
  <c r="X362" i="21" s="1"/>
  <c r="J170" i="21"/>
  <c r="X170" i="21" s="1"/>
  <c r="J162" i="21"/>
  <c r="X162" i="21" s="1"/>
  <c r="J154" i="21"/>
  <c r="X154" i="21" s="1"/>
  <c r="J146" i="21"/>
  <c r="X146" i="21" s="1"/>
  <c r="J138" i="21"/>
  <c r="X138" i="21" s="1"/>
  <c r="M284" i="21"/>
  <c r="M90" i="21"/>
  <c r="M82" i="21"/>
  <c r="M74" i="21"/>
  <c r="M62" i="21"/>
  <c r="M327" i="21"/>
  <c r="M311" i="21"/>
  <c r="M307" i="21"/>
  <c r="J718" i="21"/>
  <c r="X718" i="21" s="1"/>
  <c r="J366" i="21"/>
  <c r="J358" i="21"/>
  <c r="M253" i="21"/>
  <c r="M226" i="21"/>
  <c r="M222" i="21"/>
  <c r="M218" i="21"/>
  <c r="M202" i="21"/>
  <c r="M131" i="21"/>
  <c r="M76" i="21"/>
  <c r="M72" i="21"/>
  <c r="M323" i="21"/>
  <c r="J160" i="21"/>
  <c r="X160" i="21" s="1"/>
  <c r="J152" i="21"/>
  <c r="X152" i="21" s="1"/>
  <c r="J144" i="21"/>
  <c r="X144" i="21" s="1"/>
  <c r="J136" i="21"/>
  <c r="X136" i="21" s="1"/>
  <c r="J128" i="21"/>
  <c r="X128" i="21" s="1"/>
  <c r="J120" i="21"/>
  <c r="X120" i="21" s="1"/>
  <c r="M326" i="21"/>
  <c r="M310" i="21"/>
  <c r="M298" i="21"/>
  <c r="M252" i="21"/>
  <c r="M229" i="21"/>
  <c r="M114" i="21"/>
  <c r="M102" i="21"/>
  <c r="M51" i="21"/>
  <c r="M47" i="21"/>
  <c r="M43" i="21"/>
  <c r="M35" i="21"/>
  <c r="M31" i="21"/>
  <c r="M15" i="21"/>
  <c r="M317" i="21"/>
  <c r="M301" i="21"/>
  <c r="M204" i="21"/>
  <c r="M200" i="21"/>
  <c r="M297" i="21"/>
  <c r="M290" i="21"/>
  <c r="M286" i="21"/>
  <c r="M278" i="21"/>
  <c r="M266" i="21"/>
  <c r="M259" i="21"/>
  <c r="M243" i="21"/>
  <c r="M231" i="21"/>
  <c r="M195" i="21"/>
  <c r="M144" i="21"/>
  <c r="M316" i="21"/>
  <c r="M308" i="21"/>
  <c r="M304" i="21"/>
  <c r="M285" i="21"/>
  <c r="M262" i="21"/>
  <c r="M159" i="21"/>
  <c r="M112" i="21"/>
  <c r="M100" i="21"/>
  <c r="M92" i="21"/>
  <c r="J174" i="21"/>
  <c r="X174" i="21" s="1"/>
  <c r="J166" i="21"/>
  <c r="X166" i="21" s="1"/>
  <c r="J158" i="21"/>
  <c r="X158" i="21" s="1"/>
  <c r="J150" i="21"/>
  <c r="J142" i="21"/>
  <c r="X142" i="21" s="1"/>
  <c r="J134" i="21"/>
  <c r="X134" i="21" s="1"/>
  <c r="M277" i="21"/>
  <c r="M273" i="21"/>
  <c r="M251" i="21"/>
  <c r="M210" i="21"/>
  <c r="M176" i="21"/>
  <c r="M172" i="21"/>
  <c r="M119" i="21"/>
  <c r="M115" i="21"/>
  <c r="M111" i="21"/>
  <c r="M107" i="21"/>
  <c r="M103" i="21"/>
  <c r="M86" i="21"/>
  <c r="M40" i="21"/>
  <c r="M258" i="21"/>
  <c r="M254" i="21"/>
  <c r="J168" i="21"/>
  <c r="X168" i="21" s="1"/>
  <c r="M334" i="21"/>
  <c r="M309" i="21"/>
  <c r="M305" i="21"/>
  <c r="M283" i="21"/>
  <c r="M239" i="21"/>
  <c r="M228" i="21"/>
  <c r="M179" i="21"/>
  <c r="M175" i="21"/>
  <c r="M163" i="21"/>
  <c r="M152" i="21"/>
  <c r="N152" i="21" s="1"/>
  <c r="Z152" i="21" s="1"/>
  <c r="AA152" i="21" s="1"/>
  <c r="M106" i="21"/>
  <c r="M78" i="21"/>
  <c r="M11" i="21"/>
  <c r="M7" i="21"/>
  <c r="J354" i="21"/>
  <c r="X354" i="21" s="1"/>
  <c r="M315" i="21"/>
  <c r="M271" i="21"/>
  <c r="M263" i="21"/>
  <c r="M249" i="21"/>
  <c r="M234" i="21"/>
  <c r="M227" i="21"/>
  <c r="M182" i="21"/>
  <c r="M166" i="21"/>
  <c r="M162" i="21"/>
  <c r="M84" i="21"/>
  <c r="M128" i="21"/>
  <c r="M124" i="21"/>
  <c r="M80" i="21"/>
  <c r="M33" i="21"/>
  <c r="J172" i="21"/>
  <c r="J164" i="21"/>
  <c r="X164" i="21" s="1"/>
  <c r="J156" i="21"/>
  <c r="X156" i="21" s="1"/>
  <c r="J140" i="21"/>
  <c r="X140" i="21" s="1"/>
  <c r="J132" i="21"/>
  <c r="X132" i="21" s="1"/>
  <c r="J124" i="21"/>
  <c r="X124" i="21" s="1"/>
  <c r="M3" i="21"/>
  <c r="M303" i="21"/>
  <c r="M295" i="21"/>
  <c r="M281" i="21"/>
  <c r="M245" i="21"/>
  <c r="M241" i="21"/>
  <c r="M146" i="21"/>
  <c r="M108" i="21"/>
  <c r="M104" i="21"/>
  <c r="M87" i="21"/>
  <c r="M83" i="21"/>
  <c r="O445" i="47"/>
  <c r="M332" i="21"/>
  <c r="M320" i="21"/>
  <c r="M288" i="21"/>
  <c r="M256" i="21"/>
  <c r="M214" i="21"/>
  <c r="M207" i="21"/>
  <c r="M194" i="21"/>
  <c r="M150" i="21"/>
  <c r="M143" i="21"/>
  <c r="M130" i="21"/>
  <c r="M94" i="21"/>
  <c r="M75" i="21"/>
  <c r="M71" i="21"/>
  <c r="M67" i="21"/>
  <c r="M63" i="21"/>
  <c r="M59" i="21"/>
  <c r="M55" i="21"/>
  <c r="M27" i="21"/>
  <c r="M23" i="21"/>
  <c r="M19" i="21"/>
  <c r="M109" i="21"/>
  <c r="M105" i="21"/>
  <c r="M97" i="21"/>
  <c r="M93" i="21"/>
  <c r="M89" i="21"/>
  <c r="M81" i="21"/>
  <c r="M77" i="21"/>
  <c r="M73" i="21"/>
  <c r="M53" i="21"/>
  <c r="M45" i="21"/>
  <c r="M9" i="21"/>
  <c r="O879" i="47"/>
  <c r="O815" i="47"/>
  <c r="O805" i="47"/>
  <c r="O765" i="47"/>
  <c r="O751" i="47"/>
  <c r="O725" i="47"/>
  <c r="O565" i="47"/>
  <c r="O525" i="47"/>
  <c r="O515" i="47"/>
  <c r="O387" i="47"/>
  <c r="O219" i="47"/>
  <c r="O189" i="47"/>
  <c r="O179" i="47"/>
  <c r="O147" i="47"/>
  <c r="O131" i="47"/>
  <c r="O123" i="47"/>
  <c r="O85" i="47"/>
  <c r="O63" i="47"/>
  <c r="M2" i="21"/>
  <c r="O211" i="47"/>
  <c r="M347" i="21"/>
  <c r="M343" i="21"/>
  <c r="M339" i="21"/>
  <c r="M325" i="21"/>
  <c r="M299" i="21"/>
  <c r="M293" i="21"/>
  <c r="M267" i="21"/>
  <c r="M261" i="21"/>
  <c r="M235" i="21"/>
  <c r="M225" i="21"/>
  <c r="M223" i="21"/>
  <c r="M221" i="21"/>
  <c r="M219" i="21"/>
  <c r="M203" i="21"/>
  <c r="M199" i="21"/>
  <c r="M170" i="21"/>
  <c r="M168" i="21"/>
  <c r="M139" i="21"/>
  <c r="M135" i="21"/>
  <c r="M122" i="21"/>
  <c r="M120" i="21"/>
  <c r="M118" i="21"/>
  <c r="M116" i="21"/>
  <c r="M58" i="21"/>
  <c r="M54" i="21"/>
  <c r="M39" i="21"/>
  <c r="M20" i="21"/>
  <c r="O773" i="47"/>
  <c r="O635" i="47"/>
  <c r="O523" i="47"/>
  <c r="O413" i="47"/>
  <c r="O367" i="47"/>
  <c r="O343" i="47"/>
  <c r="O339" i="47"/>
  <c r="O259" i="47"/>
  <c r="O191" i="47"/>
  <c r="O95" i="47"/>
  <c r="O83" i="47"/>
  <c r="O61" i="47"/>
  <c r="M338" i="21"/>
  <c r="M324" i="21"/>
  <c r="M321" i="21"/>
  <c r="M319" i="21"/>
  <c r="M306" i="21"/>
  <c r="M302" i="21"/>
  <c r="M300" i="21"/>
  <c r="M292" i="21"/>
  <c r="M289" i="21"/>
  <c r="M287" i="21"/>
  <c r="M274" i="21"/>
  <c r="M270" i="21"/>
  <c r="M268" i="21"/>
  <c r="M260" i="21"/>
  <c r="M257" i="21"/>
  <c r="M255" i="21"/>
  <c r="M242" i="21"/>
  <c r="M238" i="21"/>
  <c r="M236" i="21"/>
  <c r="M220" i="21"/>
  <c r="M215" i="21"/>
  <c r="M198" i="21"/>
  <c r="M191" i="21"/>
  <c r="M186" i="21"/>
  <c r="M184" i="21"/>
  <c r="M178" i="21"/>
  <c r="M155" i="21"/>
  <c r="M151" i="21"/>
  <c r="M134" i="21"/>
  <c r="M127" i="21"/>
  <c r="M110" i="21"/>
  <c r="M91" i="21"/>
  <c r="O354" i="47"/>
  <c r="O210" i="47"/>
  <c r="O99" i="47"/>
  <c r="O964" i="47"/>
  <c r="O346" i="47"/>
  <c r="O194" i="47"/>
  <c r="O543" i="47"/>
  <c r="O221" i="47"/>
  <c r="O255" i="47"/>
  <c r="O112" i="47"/>
  <c r="O292" i="47"/>
  <c r="O155" i="47"/>
  <c r="O563" i="47"/>
  <c r="O87" i="47"/>
  <c r="O430" i="47"/>
  <c r="O21" i="47"/>
  <c r="L22" i="25"/>
  <c r="L46" i="25" s="1"/>
  <c r="O374" i="47"/>
  <c r="O533" i="47"/>
  <c r="O733" i="47"/>
  <c r="O615" i="47"/>
  <c r="O304" i="47"/>
  <c r="O786" i="47"/>
  <c r="O683" i="47"/>
  <c r="O294" i="47"/>
  <c r="O557" i="47"/>
  <c r="O118" i="47"/>
  <c r="O460" i="47"/>
  <c r="O125" i="47"/>
  <c r="O666" i="47"/>
  <c r="O168" i="47"/>
  <c r="O79" i="47"/>
  <c r="O50" i="47"/>
  <c r="O157" i="47"/>
  <c r="O645" i="47"/>
  <c r="O723" i="47"/>
  <c r="O5" i="47"/>
  <c r="P5" i="47" s="1"/>
  <c r="AC5" i="47" s="1"/>
  <c r="AB5" i="47" s="1"/>
  <c r="O9" i="47"/>
  <c r="P9" i="47" s="1"/>
  <c r="AC9" i="47" s="1"/>
  <c r="O198" i="47"/>
  <c r="O745" i="47"/>
  <c r="O698" i="47"/>
  <c r="O517" i="47"/>
  <c r="O238" i="47"/>
  <c r="M330" i="21"/>
  <c r="M346" i="21"/>
  <c r="M344" i="21"/>
  <c r="M342" i="21"/>
  <c r="M340" i="21"/>
  <c r="M336" i="21"/>
  <c r="M331" i="21"/>
  <c r="M349" i="21"/>
  <c r="M345" i="21"/>
  <c r="M341" i="21"/>
  <c r="M337" i="21"/>
  <c r="M333" i="21"/>
  <c r="M328" i="21"/>
  <c r="M312" i="21"/>
  <c r="M296" i="21"/>
  <c r="M280" i="21"/>
  <c r="M264" i="21"/>
  <c r="M248" i="21"/>
  <c r="M232" i="21"/>
  <c r="M216" i="21"/>
  <c r="M224" i="21"/>
  <c r="M196" i="21"/>
  <c r="M190" i="21"/>
  <c r="M164" i="21"/>
  <c r="M158" i="21"/>
  <c r="N158" i="21" s="1"/>
  <c r="Z158" i="21" s="1"/>
  <c r="AA158" i="21" s="1"/>
  <c r="M132" i="21"/>
  <c r="M126" i="21"/>
  <c r="M213" i="21"/>
  <c r="M205" i="21"/>
  <c r="M201" i="21"/>
  <c r="M197" i="21"/>
  <c r="M189" i="21"/>
  <c r="M185" i="21"/>
  <c r="M181" i="21"/>
  <c r="M173" i="21"/>
  <c r="M169" i="21"/>
  <c r="M165" i="21"/>
  <c r="M157" i="21"/>
  <c r="M153" i="21"/>
  <c r="M149" i="21"/>
  <c r="M141" i="21"/>
  <c r="M137" i="21"/>
  <c r="M133" i="21"/>
  <c r="M125" i="21"/>
  <c r="M121" i="21"/>
  <c r="M117" i="21"/>
  <c r="M212" i="21"/>
  <c r="M206" i="21"/>
  <c r="M180" i="21"/>
  <c r="M174" i="21"/>
  <c r="M148" i="21"/>
  <c r="M142" i="21"/>
  <c r="M123" i="21"/>
  <c r="M209" i="21"/>
  <c r="M193" i="21"/>
  <c r="M177" i="21"/>
  <c r="M129" i="21"/>
  <c r="M113" i="21"/>
  <c r="M161" i="21"/>
  <c r="M145" i="21"/>
  <c r="J116" i="21"/>
  <c r="N116" i="21" s="1"/>
  <c r="Z116" i="21" s="1"/>
  <c r="AA116" i="21" s="1"/>
  <c r="M50" i="21"/>
  <c r="M42" i="21"/>
  <c r="M38" i="21"/>
  <c r="M34" i="21"/>
  <c r="M26" i="21"/>
  <c r="M22" i="21"/>
  <c r="M85" i="21"/>
  <c r="M101" i="21"/>
  <c r="M61" i="21"/>
  <c r="M37" i="21"/>
  <c r="M64" i="21"/>
  <c r="M52" i="21"/>
  <c r="M48" i="21"/>
  <c r="M32" i="21"/>
  <c r="M28" i="21"/>
  <c r="M24" i="21"/>
  <c r="M16" i="21"/>
  <c r="M4" i="21"/>
  <c r="J112" i="21"/>
  <c r="X112" i="21" s="1"/>
  <c r="J108" i="21"/>
  <c r="X108" i="21" s="1"/>
  <c r="J104" i="21"/>
  <c r="J100" i="21"/>
  <c r="X100" i="21" s="1"/>
  <c r="J96" i="21"/>
  <c r="J92" i="21"/>
  <c r="X92" i="21" s="1"/>
  <c r="J88" i="21"/>
  <c r="X88" i="21" s="1"/>
  <c r="J84" i="21"/>
  <c r="X84" i="21" s="1"/>
  <c r="J80" i="21"/>
  <c r="N80" i="21" s="1"/>
  <c r="Z80" i="21" s="1"/>
  <c r="AA80" i="21" s="1"/>
  <c r="J76" i="21"/>
  <c r="X76" i="21" s="1"/>
  <c r="J72" i="21"/>
  <c r="M57" i="21"/>
  <c r="M41" i="21"/>
  <c r="M69" i="21"/>
  <c r="M65" i="21"/>
  <c r="M25" i="21"/>
  <c r="M21" i="21"/>
  <c r="M49" i="21"/>
  <c r="M17" i="21"/>
  <c r="M5" i="21"/>
  <c r="M60" i="21"/>
  <c r="M68" i="21"/>
  <c r="M56" i="21"/>
  <c r="M36" i="21"/>
  <c r="M8" i="21"/>
  <c r="M44" i="21"/>
  <c r="J52" i="21"/>
  <c r="X52" i="21" s="1"/>
  <c r="J48" i="21"/>
  <c r="X48" i="21" s="1"/>
  <c r="M70" i="21"/>
  <c r="J68" i="21"/>
  <c r="X68" i="21" s="1"/>
  <c r="M66" i="21"/>
  <c r="J64" i="21"/>
  <c r="J60" i="21"/>
  <c r="X60" i="21" s="1"/>
  <c r="J56" i="21"/>
  <c r="X56" i="21" s="1"/>
  <c r="I81" i="4"/>
  <c r="I197" i="6"/>
  <c r="I201" i="6"/>
  <c r="I83" i="4"/>
  <c r="M46" i="21"/>
  <c r="M30" i="21"/>
  <c r="M18" i="21"/>
  <c r="M14" i="21"/>
  <c r="M10" i="21"/>
  <c r="M6" i="21"/>
  <c r="J3" i="21"/>
  <c r="X3" i="21" s="1"/>
  <c r="I80" i="4"/>
  <c r="I84" i="4"/>
  <c r="I192" i="6"/>
  <c r="I193" i="6"/>
  <c r="I50" i="14"/>
  <c r="H36" i="42"/>
  <c r="H41" i="42"/>
  <c r="H45" i="42"/>
  <c r="H49" i="42"/>
  <c r="H38" i="42"/>
  <c r="I48" i="12"/>
  <c r="I44" i="12"/>
  <c r="I40" i="12"/>
  <c r="I64" i="27"/>
  <c r="I60" i="27"/>
  <c r="I49" i="10"/>
  <c r="I45" i="10"/>
  <c r="I44" i="8"/>
  <c r="J36" i="25"/>
  <c r="I93" i="4"/>
  <c r="I89" i="4"/>
  <c r="I27" i="52"/>
  <c r="K10" i="57"/>
  <c r="I42" i="8"/>
  <c r="I43" i="14"/>
  <c r="H37" i="42"/>
  <c r="H42" i="42"/>
  <c r="H46" i="42"/>
  <c r="I47" i="12"/>
  <c r="I43" i="12"/>
  <c r="I39" i="12"/>
  <c r="I63" i="27"/>
  <c r="I59" i="27"/>
  <c r="I54" i="27"/>
  <c r="I48" i="10"/>
  <c r="I44" i="10"/>
  <c r="I204" i="6"/>
  <c r="I200" i="6"/>
  <c r="I92" i="4"/>
  <c r="B29" i="57"/>
  <c r="H10" i="57"/>
  <c r="L10" i="57"/>
  <c r="I37" i="14"/>
  <c r="H39" i="42"/>
  <c r="H43" i="42"/>
  <c r="H47" i="42"/>
  <c r="I50" i="12"/>
  <c r="I46" i="12"/>
  <c r="I42" i="12"/>
  <c r="I38" i="12"/>
  <c r="I62" i="27"/>
  <c r="I58" i="27"/>
  <c r="I53" i="27"/>
  <c r="I47" i="10"/>
  <c r="I46" i="8"/>
  <c r="I203" i="6"/>
  <c r="I191" i="6"/>
  <c r="L38" i="25"/>
  <c r="I95" i="4"/>
  <c r="I91" i="4"/>
  <c r="I25" i="52"/>
  <c r="I10" i="57"/>
  <c r="M10" i="57"/>
  <c r="M11" i="57"/>
  <c r="I37" i="10"/>
  <c r="G48" i="8"/>
  <c r="G50" i="8" s="1"/>
  <c r="I40" i="8"/>
  <c r="I41" i="14"/>
  <c r="I49" i="14"/>
  <c r="H40" i="42"/>
  <c r="H44" i="42"/>
  <c r="H48" i="42"/>
  <c r="I49" i="12"/>
  <c r="I45" i="12"/>
  <c r="I41" i="12"/>
  <c r="I37" i="12"/>
  <c r="I65" i="27"/>
  <c r="I61" i="27"/>
  <c r="I57" i="27"/>
  <c r="I52" i="27"/>
  <c r="I46" i="10"/>
  <c r="I42" i="10"/>
  <c r="I38" i="10"/>
  <c r="I45" i="8"/>
  <c r="I41" i="8"/>
  <c r="I37" i="8"/>
  <c r="I202" i="6"/>
  <c r="I198" i="6"/>
  <c r="I194" i="6"/>
  <c r="L49" i="25"/>
  <c r="J45" i="25"/>
  <c r="L41" i="25"/>
  <c r="J37" i="25"/>
  <c r="I27" i="5"/>
  <c r="I94" i="4"/>
  <c r="I90" i="4"/>
  <c r="I86" i="4"/>
  <c r="I82" i="4"/>
  <c r="I27" i="36"/>
  <c r="I25" i="36"/>
  <c r="B30" i="57"/>
  <c r="J10" i="57"/>
  <c r="N10" i="57"/>
  <c r="N11" i="57"/>
  <c r="A22" i="57"/>
  <c r="E8" i="57"/>
  <c r="I34" i="12"/>
  <c r="I49" i="27"/>
  <c r="I79" i="4"/>
  <c r="I48" i="27"/>
  <c r="I33" i="14"/>
  <c r="I36" i="12"/>
  <c r="I51" i="27"/>
  <c r="G9" i="57"/>
  <c r="K9" i="57"/>
  <c r="J35" i="25"/>
  <c r="I24" i="36"/>
  <c r="H9" i="57"/>
  <c r="L9" i="57"/>
  <c r="H35" i="42"/>
  <c r="I35" i="10"/>
  <c r="I34" i="8"/>
  <c r="E9" i="57"/>
  <c r="I9" i="57"/>
  <c r="M9" i="57"/>
  <c r="I36" i="14"/>
  <c r="I190" i="6"/>
  <c r="I24" i="52"/>
  <c r="F9" i="57"/>
  <c r="J9" i="57"/>
  <c r="N9" i="57"/>
  <c r="I35" i="12"/>
  <c r="I50" i="27"/>
  <c r="D8" i="57"/>
  <c r="H8" i="57"/>
  <c r="H51" i="25"/>
  <c r="J34" i="25"/>
  <c r="I34" i="10"/>
  <c r="I33" i="8"/>
  <c r="I23" i="36"/>
  <c r="F8" i="57"/>
  <c r="I35" i="14"/>
  <c r="G67" i="27"/>
  <c r="H34" i="42"/>
  <c r="I189" i="6"/>
  <c r="I23" i="52"/>
  <c r="C8" i="57"/>
  <c r="G8" i="57"/>
  <c r="G41" i="5"/>
  <c r="G40" i="36"/>
  <c r="I188" i="6"/>
  <c r="I22" i="36"/>
  <c r="I22" i="52"/>
  <c r="G97" i="4"/>
  <c r="G52" i="14"/>
  <c r="G206" i="6"/>
  <c r="H33" i="42"/>
  <c r="G40" i="52"/>
  <c r="J33" i="25"/>
  <c r="I23" i="5"/>
  <c r="I41" i="5" s="1"/>
  <c r="G51" i="10"/>
  <c r="F51" i="42"/>
  <c r="G52" i="12"/>
  <c r="I33" i="10"/>
  <c r="I32" i="8"/>
  <c r="I78" i="4"/>
  <c r="N6" i="57"/>
  <c r="I32" i="10"/>
  <c r="I51" i="10" s="1"/>
  <c r="L32" i="25"/>
  <c r="I33" i="12"/>
  <c r="I187" i="6"/>
  <c r="I21" i="52"/>
  <c r="I31" i="8"/>
  <c r="I21" i="36"/>
  <c r="M6" i="57"/>
  <c r="O661" i="47"/>
  <c r="O579" i="47"/>
  <c r="O285" i="47"/>
  <c r="O75" i="47"/>
  <c r="O103" i="47"/>
  <c r="O91" i="47"/>
  <c r="O717" i="47"/>
  <c r="O57" i="47"/>
  <c r="O270" i="47"/>
  <c r="O484" i="47"/>
  <c r="O42" i="47"/>
  <c r="O145" i="47"/>
  <c r="O13" i="47"/>
  <c r="O687" i="47"/>
  <c r="O618" i="47"/>
  <c r="O874" i="47"/>
  <c r="O659" i="47"/>
  <c r="O17" i="47"/>
  <c r="O93" i="47"/>
  <c r="L12" i="25"/>
  <c r="L36" i="25" s="1"/>
  <c r="L11" i="25"/>
  <c r="L35" i="25" s="1"/>
  <c r="L10" i="25"/>
  <c r="L34" i="25" s="1"/>
  <c r="O122" i="47"/>
  <c r="O850" i="47"/>
  <c r="O204" i="47"/>
  <c r="O229" i="47"/>
  <c r="J38" i="25"/>
  <c r="O231" i="47"/>
  <c r="O106" i="47"/>
  <c r="O149" i="47"/>
  <c r="O136" i="47"/>
  <c r="O48" i="47"/>
  <c r="O287" i="47"/>
  <c r="O315" i="47"/>
  <c r="O138" i="47"/>
  <c r="O34" i="47"/>
  <c r="O415" i="47"/>
  <c r="O650" i="47"/>
  <c r="O424" i="47"/>
  <c r="AM200" i="23"/>
  <c r="AN200" i="23" s="1"/>
  <c r="AL51" i="23"/>
  <c r="AM51" i="23" s="1"/>
  <c r="AL59" i="23"/>
  <c r="AM59" i="23" s="1"/>
  <c r="J39" i="21"/>
  <c r="X39" i="21" s="1"/>
  <c r="J58" i="21"/>
  <c r="X58" i="21" s="1"/>
  <c r="Z998" i="47"/>
  <c r="Z996" i="47"/>
  <c r="Z994" i="47"/>
  <c r="Z992" i="47"/>
  <c r="Z990" i="47"/>
  <c r="Z988" i="47"/>
  <c r="Z986" i="47"/>
  <c r="Z984" i="47"/>
  <c r="Z982" i="47"/>
  <c r="Z978" i="47"/>
  <c r="Z976" i="47"/>
  <c r="Z972" i="47"/>
  <c r="Z970" i="47"/>
  <c r="Z968" i="47"/>
  <c r="Z966" i="47"/>
  <c r="Z964" i="47"/>
  <c r="Z962" i="47"/>
  <c r="Z960" i="47"/>
  <c r="Z958" i="47"/>
  <c r="Z956" i="47"/>
  <c r="Z954" i="47"/>
  <c r="Z952" i="47"/>
  <c r="Z950" i="47"/>
  <c r="Z948" i="47"/>
  <c r="Z946" i="47"/>
  <c r="Z942" i="47"/>
  <c r="Z938" i="47"/>
  <c r="Z936" i="47"/>
  <c r="Z932" i="47"/>
  <c r="Z928" i="47"/>
  <c r="Z926" i="47"/>
  <c r="Z924" i="47"/>
  <c r="Z922" i="47"/>
  <c r="Z920" i="47"/>
  <c r="Z918" i="47"/>
  <c r="Z914" i="47"/>
  <c r="Z912" i="47"/>
  <c r="Z908" i="47"/>
  <c r="Z906" i="47"/>
  <c r="Z904" i="47"/>
  <c r="Z902" i="47"/>
  <c r="Z900" i="47"/>
  <c r="Z898" i="47"/>
  <c r="Z896" i="47"/>
  <c r="Z894" i="47"/>
  <c r="Z892" i="47"/>
  <c r="Z890" i="47"/>
  <c r="Z888" i="47"/>
  <c r="Z886" i="47"/>
  <c r="Z884" i="47"/>
  <c r="Z882" i="47"/>
  <c r="Z880" i="47"/>
  <c r="Z878" i="47"/>
  <c r="Z876" i="47"/>
  <c r="Z874" i="47"/>
  <c r="Z872" i="47"/>
  <c r="Z868" i="47"/>
  <c r="Z866" i="47"/>
  <c r="Z864" i="47"/>
  <c r="Z862" i="47"/>
  <c r="Z858" i="47"/>
  <c r="Z856" i="47"/>
  <c r="Z854" i="47"/>
  <c r="Z852" i="47"/>
  <c r="Z850" i="47"/>
  <c r="Z848" i="47"/>
  <c r="Z846" i="47"/>
  <c r="Z844" i="47"/>
  <c r="Z842" i="47"/>
  <c r="Z840" i="47"/>
  <c r="Z838" i="47"/>
  <c r="Z834" i="47"/>
  <c r="Z832" i="47"/>
  <c r="Z828" i="47"/>
  <c r="Z826" i="47"/>
  <c r="Z824" i="47"/>
  <c r="Z822" i="47"/>
  <c r="Z820" i="47"/>
  <c r="Z818" i="47"/>
  <c r="Z814" i="47"/>
  <c r="Z812" i="47"/>
  <c r="Z810" i="47"/>
  <c r="Z808" i="47"/>
  <c r="Z806" i="47"/>
  <c r="Z804" i="47"/>
  <c r="Z802" i="47"/>
  <c r="Z800" i="47"/>
  <c r="Z798" i="47"/>
  <c r="Z796" i="47"/>
  <c r="Z794" i="47"/>
  <c r="Z792" i="47"/>
  <c r="Z790" i="47"/>
  <c r="Z788" i="47"/>
  <c r="Z786" i="47"/>
  <c r="Z784" i="47"/>
  <c r="Z782" i="47"/>
  <c r="Z780" i="47"/>
  <c r="Z778" i="47"/>
  <c r="Z776" i="47"/>
  <c r="Z774" i="47"/>
  <c r="Z997" i="47"/>
  <c r="Z993" i="47"/>
  <c r="Z987" i="47"/>
  <c r="Z985" i="47"/>
  <c r="Z983" i="47"/>
  <c r="Z979" i="47"/>
  <c r="Z977" i="47"/>
  <c r="Z975" i="47"/>
  <c r="Z969" i="47"/>
  <c r="Z965" i="47"/>
  <c r="Z959" i="47"/>
  <c r="Z955" i="47"/>
  <c r="Z943" i="47"/>
  <c r="Z937" i="47"/>
  <c r="Z935" i="47"/>
  <c r="Z933" i="47"/>
  <c r="Z931" i="47"/>
  <c r="Z929" i="47"/>
  <c r="Z923" i="47"/>
  <c r="Z917" i="47"/>
  <c r="Z913" i="47"/>
  <c r="Z907" i="47"/>
  <c r="Z905" i="47"/>
  <c r="Z903" i="47"/>
  <c r="Z772" i="47"/>
  <c r="Z770" i="47"/>
  <c r="Z768" i="47"/>
  <c r="Z766" i="47"/>
  <c r="Z764" i="47"/>
  <c r="Z762" i="47"/>
  <c r="Z760" i="47"/>
  <c r="Z758" i="47"/>
  <c r="Z756" i="47"/>
  <c r="Z754" i="47"/>
  <c r="Z752" i="47"/>
  <c r="Z750" i="47"/>
  <c r="Z746" i="47"/>
  <c r="Z744" i="47"/>
  <c r="Z740" i="47"/>
  <c r="Z738" i="47"/>
  <c r="Z736" i="47"/>
  <c r="Z734" i="47"/>
  <c r="Z730" i="47"/>
  <c r="Z728" i="47"/>
  <c r="Z726" i="47"/>
  <c r="Z724" i="47"/>
  <c r="Z722" i="47"/>
  <c r="Z720" i="47"/>
  <c r="Z718" i="47"/>
  <c r="Z716" i="47"/>
  <c r="Z714" i="47"/>
  <c r="Z712" i="47"/>
  <c r="Z710" i="47"/>
  <c r="Z708" i="47"/>
  <c r="Z706" i="47"/>
  <c r="Z704" i="47"/>
  <c r="Z702" i="47"/>
  <c r="Z700" i="47"/>
  <c r="Z698" i="47"/>
  <c r="Z696" i="47"/>
  <c r="Z694" i="47"/>
  <c r="Z692" i="47"/>
  <c r="Z690" i="47"/>
  <c r="Z688" i="47"/>
  <c r="Z684" i="47"/>
  <c r="Z682" i="47"/>
  <c r="Z680" i="47"/>
  <c r="Z678" i="47"/>
  <c r="Z676" i="47"/>
  <c r="Z674" i="47"/>
  <c r="Z672" i="47"/>
  <c r="Z670" i="47"/>
  <c r="Z668" i="47"/>
  <c r="Z666" i="47"/>
  <c r="Z664" i="47"/>
  <c r="Z660" i="47"/>
  <c r="Z656" i="47"/>
  <c r="Z654" i="47"/>
  <c r="Z652" i="47"/>
  <c r="Z650" i="47"/>
  <c r="Z646" i="47"/>
  <c r="Z644" i="47"/>
  <c r="Z642" i="47"/>
  <c r="Z640" i="47"/>
  <c r="Z638" i="47"/>
  <c r="Z636" i="47"/>
  <c r="Z634" i="47"/>
  <c r="Z632" i="47"/>
  <c r="Z630" i="47"/>
  <c r="Z628" i="47"/>
  <c r="Z626" i="47"/>
  <c r="Z624" i="47"/>
  <c r="Z622" i="47"/>
  <c r="Z620" i="47"/>
  <c r="Z618" i="47"/>
  <c r="Z616" i="47"/>
  <c r="Z614" i="47"/>
  <c r="Z612" i="47"/>
  <c r="Z610" i="47"/>
  <c r="Z608" i="47"/>
  <c r="Z606" i="47"/>
  <c r="Z604" i="47"/>
  <c r="Z602" i="47"/>
  <c r="Z600" i="47"/>
  <c r="Z598" i="47"/>
  <c r="Z596" i="47"/>
  <c r="Z594" i="47"/>
  <c r="Z592" i="47"/>
  <c r="Z590" i="47"/>
  <c r="Z588" i="47"/>
  <c r="Z586" i="47"/>
  <c r="Z582" i="47"/>
  <c r="Z580" i="47"/>
  <c r="Z578" i="47"/>
  <c r="Z576" i="47"/>
  <c r="Z574" i="47"/>
  <c r="Z572" i="47"/>
  <c r="Z570" i="47"/>
  <c r="Z568" i="47"/>
  <c r="Z564" i="47"/>
  <c r="Z562" i="47"/>
  <c r="Z560" i="47"/>
  <c r="Z558" i="47"/>
  <c r="Z556" i="47"/>
  <c r="Z554" i="47"/>
  <c r="Z552" i="47"/>
  <c r="Z550" i="47"/>
  <c r="Z548" i="47"/>
  <c r="Z546" i="47"/>
  <c r="Z544" i="47"/>
  <c r="Z542" i="47"/>
  <c r="Z540" i="47"/>
  <c r="Z538" i="47"/>
  <c r="Z536" i="47"/>
  <c r="Z534" i="47"/>
  <c r="Z530" i="47"/>
  <c r="Z528" i="47"/>
  <c r="Z526" i="47"/>
  <c r="Z524" i="47"/>
  <c r="Z520" i="47"/>
  <c r="Z518" i="47"/>
  <c r="Z516" i="47"/>
  <c r="Z514" i="47"/>
  <c r="Z512" i="47"/>
  <c r="Z510" i="47"/>
  <c r="Z508" i="47"/>
  <c r="Z506" i="47"/>
  <c r="Z504" i="47"/>
  <c r="Z502" i="47"/>
  <c r="Z500" i="47"/>
  <c r="Z498" i="47"/>
  <c r="Z496" i="47"/>
  <c r="Z494" i="47"/>
  <c r="Z492" i="47"/>
  <c r="Z490" i="47"/>
  <c r="Z488" i="47"/>
  <c r="Z486" i="47"/>
  <c r="Z484" i="47"/>
  <c r="Z482" i="47"/>
  <c r="Z480" i="47"/>
  <c r="Z478" i="47"/>
  <c r="Z476" i="47"/>
  <c r="Z474" i="47"/>
  <c r="Z472" i="47"/>
  <c r="Z470" i="47"/>
  <c r="Z468" i="47"/>
  <c r="Z466" i="47"/>
  <c r="Z464" i="47"/>
  <c r="Z462" i="47"/>
  <c r="Z460" i="47"/>
  <c r="Z458" i="47"/>
  <c r="Z456" i="47"/>
  <c r="Z454" i="47"/>
  <c r="Z452" i="47"/>
  <c r="Z450" i="47"/>
  <c r="Z448" i="47"/>
  <c r="Z446" i="47"/>
  <c r="Z444" i="47"/>
  <c r="Z442" i="47"/>
  <c r="Z440" i="47"/>
  <c r="Z438" i="47"/>
  <c r="Z436" i="47"/>
  <c r="Z434" i="47"/>
  <c r="Z897" i="47"/>
  <c r="Z889" i="47"/>
  <c r="Z881" i="47"/>
  <c r="Z877" i="47"/>
  <c r="Z875" i="47"/>
  <c r="Z871" i="47"/>
  <c r="Z867" i="47"/>
  <c r="Z863" i="47"/>
  <c r="Z857" i="47"/>
  <c r="Z853" i="47"/>
  <c r="Z849" i="47"/>
  <c r="Z841" i="47"/>
  <c r="Z839" i="47"/>
  <c r="Z835" i="47"/>
  <c r="Z833" i="47"/>
  <c r="Z831" i="47"/>
  <c r="Z829" i="47"/>
  <c r="Z821" i="47"/>
  <c r="Z817" i="47"/>
  <c r="Z807" i="47"/>
  <c r="Z801" i="47"/>
  <c r="Z799" i="47"/>
  <c r="Z797" i="47"/>
  <c r="Z795" i="47"/>
  <c r="Z793" i="47"/>
  <c r="Z791" i="47"/>
  <c r="Z783" i="47"/>
  <c r="Z781" i="47"/>
  <c r="Z779" i="47"/>
  <c r="Z775" i="47"/>
  <c r="Z771" i="47"/>
  <c r="Z769" i="47"/>
  <c r="Z763" i="47"/>
  <c r="Z749" i="47"/>
  <c r="Z743" i="47"/>
  <c r="Z741" i="47"/>
  <c r="Z737" i="47"/>
  <c r="Z733" i="47"/>
  <c r="Z729" i="47"/>
  <c r="Z727" i="47"/>
  <c r="Z723" i="47"/>
  <c r="Z719" i="47"/>
  <c r="Z717" i="47"/>
  <c r="Z715" i="47"/>
  <c r="Z713" i="47"/>
  <c r="Z707" i="47"/>
  <c r="Z703" i="47"/>
  <c r="Z701" i="47"/>
  <c r="Z699" i="47"/>
  <c r="Z697" i="47"/>
  <c r="Z689" i="47"/>
  <c r="Z687" i="47"/>
  <c r="Z685" i="47"/>
  <c r="Z683" i="47"/>
  <c r="Z673" i="47"/>
  <c r="Z671" i="47"/>
  <c r="Z669" i="47"/>
  <c r="Z667" i="47"/>
  <c r="Z659" i="47"/>
  <c r="Z657" i="47"/>
  <c r="Z655" i="47"/>
  <c r="Z653" i="47"/>
  <c r="Z649" i="47"/>
  <c r="Z647" i="47"/>
  <c r="Z645" i="47"/>
  <c r="Z637" i="47"/>
  <c r="Z633" i="47"/>
  <c r="Z631" i="47"/>
  <c r="Z621" i="47"/>
  <c r="Z617" i="47"/>
  <c r="Z615" i="47"/>
  <c r="Z613" i="47"/>
  <c r="Z601" i="47"/>
  <c r="Z597" i="47"/>
  <c r="Z589" i="47"/>
  <c r="Z585" i="47"/>
  <c r="Z583" i="47"/>
  <c r="Z577" i="47"/>
  <c r="Z571" i="47"/>
  <c r="Z569" i="47"/>
  <c r="Z563" i="47"/>
  <c r="Z559" i="47"/>
  <c r="Z557" i="47"/>
  <c r="Z553" i="47"/>
  <c r="Z551" i="47"/>
  <c r="Z549" i="47"/>
  <c r="Z545" i="47"/>
  <c r="Z543" i="47"/>
  <c r="Z533" i="47"/>
  <c r="Z529" i="47"/>
  <c r="Z527" i="47"/>
  <c r="Z521" i="47"/>
  <c r="Z519" i="47"/>
  <c r="Z432" i="47"/>
  <c r="Z430" i="47"/>
  <c r="Z428" i="47"/>
  <c r="Z426" i="47"/>
  <c r="Z424" i="47"/>
  <c r="Z420" i="47"/>
  <c r="Z418" i="47"/>
  <c r="Z414" i="47"/>
  <c r="Z410" i="47"/>
  <c r="Z406" i="47"/>
  <c r="Z404" i="47"/>
  <c r="Z402" i="47"/>
  <c r="Z400" i="47"/>
  <c r="Z398" i="47"/>
  <c r="Z396" i="47"/>
  <c r="Z394" i="47"/>
  <c r="Z392" i="47"/>
  <c r="Z390" i="47"/>
  <c r="Z388" i="47"/>
  <c r="Z386" i="47"/>
  <c r="Z382" i="47"/>
  <c r="Z378" i="47"/>
  <c r="Z376" i="47"/>
  <c r="Z374" i="47"/>
  <c r="Z372" i="47"/>
  <c r="Z370" i="47"/>
  <c r="Z368" i="47"/>
  <c r="Z366" i="47"/>
  <c r="Z364" i="47"/>
  <c r="Z362" i="47"/>
  <c r="Z360" i="47"/>
  <c r="Z358" i="47"/>
  <c r="Z356" i="47"/>
  <c r="Z354" i="47"/>
  <c r="Z352" i="47"/>
  <c r="Z350" i="47"/>
  <c r="Z348" i="47"/>
  <c r="Z346" i="47"/>
  <c r="Z344" i="47"/>
  <c r="Z340" i="47"/>
  <c r="Z336" i="47"/>
  <c r="Z334" i="47"/>
  <c r="Z330" i="47"/>
  <c r="Z328" i="47"/>
  <c r="Z326" i="47"/>
  <c r="Z324" i="47"/>
  <c r="Z322" i="47"/>
  <c r="Z320" i="47"/>
  <c r="Z316" i="47"/>
  <c r="Z314" i="47"/>
  <c r="Z312" i="47"/>
  <c r="Z310" i="47"/>
  <c r="Z308" i="47"/>
  <c r="Z306" i="47"/>
  <c r="Z304" i="47"/>
  <c r="Z302" i="47"/>
  <c r="Z300" i="47"/>
  <c r="Z298" i="47"/>
  <c r="Z296" i="47"/>
  <c r="Z294" i="47"/>
  <c r="Z292" i="47"/>
  <c r="Z288" i="47"/>
  <c r="Z284" i="47"/>
  <c r="Z280" i="47"/>
  <c r="Z278" i="47"/>
  <c r="Z276" i="47"/>
  <c r="Z274" i="47"/>
  <c r="Z272" i="47"/>
  <c r="Z270" i="47"/>
  <c r="Z268" i="47"/>
  <c r="Z266" i="47"/>
  <c r="Z264" i="47"/>
  <c r="Z260" i="47"/>
  <c r="Z256" i="47"/>
  <c r="Z254" i="47"/>
  <c r="Z252" i="47"/>
  <c r="Z250" i="47"/>
  <c r="Z248" i="47"/>
  <c r="Z246" i="47"/>
  <c r="Z244" i="47"/>
  <c r="Z242" i="47"/>
  <c r="Z238" i="47"/>
  <c r="Z236" i="47"/>
  <c r="Z234" i="47"/>
  <c r="Z232" i="47"/>
  <c r="Z230" i="47"/>
  <c r="Z228" i="47"/>
  <c r="Z226" i="47"/>
  <c r="Z224" i="47"/>
  <c r="Z222" i="47"/>
  <c r="Z218" i="47"/>
  <c r="Z216" i="47"/>
  <c r="Z214" i="47"/>
  <c r="Z212" i="47"/>
  <c r="Z210" i="47"/>
  <c r="Z208" i="47"/>
  <c r="Z206" i="47"/>
  <c r="Z204" i="47"/>
  <c r="Z202" i="47"/>
  <c r="Z198" i="47"/>
  <c r="Z196" i="47"/>
  <c r="Z194" i="47"/>
  <c r="Z192" i="47"/>
  <c r="Z188" i="47"/>
  <c r="Z184" i="47"/>
  <c r="Z182" i="47"/>
  <c r="Z513" i="47"/>
  <c r="Z499" i="47"/>
  <c r="Z491" i="47"/>
  <c r="Z485" i="47"/>
  <c r="Z477" i="47"/>
  <c r="Z469" i="47"/>
  <c r="Z459" i="47"/>
  <c r="Z455" i="47"/>
  <c r="Z447" i="47"/>
  <c r="Z437" i="47"/>
  <c r="Z433" i="47"/>
  <c r="Z427" i="47"/>
  <c r="Z423" i="47"/>
  <c r="Z421" i="47"/>
  <c r="Z419" i="47"/>
  <c r="Z415" i="47"/>
  <c r="Z409" i="47"/>
  <c r="Z405" i="47"/>
  <c r="Z401" i="47"/>
  <c r="Z399" i="47"/>
  <c r="Z397" i="47"/>
  <c r="Z395" i="47"/>
  <c r="Z391" i="47"/>
  <c r="Z389" i="47"/>
  <c r="Z385" i="47"/>
  <c r="Z383" i="47"/>
  <c r="Z381" i="47"/>
  <c r="Z379" i="47"/>
  <c r="Z377" i="47"/>
  <c r="Z365" i="47"/>
  <c r="Z357" i="47"/>
  <c r="Z351" i="47"/>
  <c r="Z349" i="47"/>
  <c r="Z337" i="47"/>
  <c r="Z333" i="47"/>
  <c r="Z331" i="47"/>
  <c r="Z319" i="47"/>
  <c r="Z315" i="47"/>
  <c r="Z301" i="47"/>
  <c r="Z297" i="47"/>
  <c r="Z291" i="47"/>
  <c r="Z287" i="47"/>
  <c r="Z283" i="47"/>
  <c r="Z281" i="47"/>
  <c r="Z273" i="47"/>
  <c r="Z269" i="47"/>
  <c r="Z265" i="47"/>
  <c r="Z263" i="47"/>
  <c r="Z255" i="47"/>
  <c r="Z253" i="47"/>
  <c r="Z251" i="47"/>
  <c r="Z249" i="47"/>
  <c r="Z237" i="47"/>
  <c r="Z235" i="47"/>
  <c r="Z233" i="47"/>
  <c r="Z231" i="47"/>
  <c r="Z229" i="47"/>
  <c r="Z221" i="47"/>
  <c r="Z217" i="47"/>
  <c r="Z213" i="47"/>
  <c r="Z201" i="47"/>
  <c r="Z187" i="47"/>
  <c r="Z181" i="47"/>
  <c r="Z177" i="47"/>
  <c r="Z178" i="47"/>
  <c r="Z174" i="47"/>
  <c r="Z172" i="47"/>
  <c r="Z170" i="47"/>
  <c r="Z168" i="47"/>
  <c r="Z164" i="47"/>
  <c r="Z162" i="47"/>
  <c r="Z160" i="47"/>
  <c r="Z158" i="47"/>
  <c r="Z154" i="47"/>
  <c r="Z152" i="47"/>
  <c r="Z150" i="47"/>
  <c r="Z146" i="47"/>
  <c r="Z144" i="47"/>
  <c r="Z140" i="47"/>
  <c r="Z138" i="47"/>
  <c r="Z136" i="47"/>
  <c r="Z134" i="47"/>
  <c r="Z132" i="47"/>
  <c r="Z130" i="47"/>
  <c r="Z126" i="47"/>
  <c r="Z124" i="47"/>
  <c r="Z122" i="47"/>
  <c r="Z120" i="47"/>
  <c r="Z118" i="47"/>
  <c r="Z116" i="47"/>
  <c r="Z114" i="47"/>
  <c r="Z112" i="47"/>
  <c r="Z110" i="47"/>
  <c r="Z108" i="47"/>
  <c r="Z106" i="47"/>
  <c r="Z104" i="47"/>
  <c r="Z100" i="47"/>
  <c r="Z96" i="47"/>
  <c r="Z92" i="47"/>
  <c r="Z88" i="47"/>
  <c r="Z86" i="47"/>
  <c r="Z84" i="47"/>
  <c r="Z82" i="47"/>
  <c r="Z80" i="47"/>
  <c r="Z78" i="47"/>
  <c r="Z76" i="47"/>
  <c r="Z74" i="47"/>
  <c r="Z72" i="47"/>
  <c r="Z70" i="47"/>
  <c r="Z68" i="47"/>
  <c r="Z66" i="47"/>
  <c r="Z62" i="47"/>
  <c r="Z60" i="47"/>
  <c r="Z58" i="47"/>
  <c r="Z54" i="47"/>
  <c r="Z52" i="47"/>
  <c r="Z50" i="47"/>
  <c r="Z48" i="47"/>
  <c r="Z46" i="47"/>
  <c r="Z44" i="47"/>
  <c r="Z42" i="47"/>
  <c r="Z40" i="47"/>
  <c r="Z38" i="47"/>
  <c r="Z36" i="47"/>
  <c r="Z34" i="47"/>
  <c r="Z32" i="47"/>
  <c r="Z30" i="47"/>
  <c r="Z28" i="47"/>
  <c r="Z26" i="47"/>
  <c r="Z22" i="47"/>
  <c r="Z20" i="47"/>
  <c r="Z18" i="47"/>
  <c r="Z14" i="47"/>
  <c r="Z12" i="47"/>
  <c r="Z9" i="47"/>
  <c r="Z5" i="47"/>
  <c r="Z8" i="47"/>
  <c r="Z4" i="47"/>
  <c r="Z173" i="47"/>
  <c r="Z169" i="47"/>
  <c r="Z167" i="47"/>
  <c r="Z163" i="47"/>
  <c r="Z159" i="47"/>
  <c r="Z157" i="47"/>
  <c r="Z155" i="47"/>
  <c r="Z153" i="47"/>
  <c r="Z151" i="47"/>
  <c r="Z149" i="47"/>
  <c r="Z145" i="47"/>
  <c r="Z143" i="47"/>
  <c r="Z137" i="47"/>
  <c r="Z135" i="47"/>
  <c r="Z133" i="47"/>
  <c r="Z129" i="47"/>
  <c r="Z127" i="47"/>
  <c r="Z125" i="47"/>
  <c r="Z121" i="47"/>
  <c r="Z113" i="47"/>
  <c r="Z109" i="47"/>
  <c r="Z107" i="47"/>
  <c r="Z99" i="47"/>
  <c r="Z97" i="47"/>
  <c r="Z93" i="47"/>
  <c r="Z81" i="47"/>
  <c r="Z79" i="47"/>
  <c r="Z77" i="47"/>
  <c r="Z69" i="47"/>
  <c r="Z65" i="47"/>
  <c r="Z57" i="47"/>
  <c r="Z55" i="47"/>
  <c r="Z49" i="47"/>
  <c r="Z33" i="47"/>
  <c r="Z29" i="47"/>
  <c r="Z25" i="47"/>
  <c r="Z23" i="47"/>
  <c r="Z21" i="47"/>
  <c r="Z19" i="47"/>
  <c r="Z17" i="47"/>
  <c r="Z13" i="47"/>
  <c r="Z10" i="47"/>
  <c r="J350" i="21"/>
  <c r="J54" i="21"/>
  <c r="J728" i="21"/>
  <c r="J724" i="21"/>
  <c r="X724" i="21" s="1"/>
  <c r="J720" i="21"/>
  <c r="J716" i="21"/>
  <c r="J712" i="21"/>
  <c r="J708" i="21"/>
  <c r="J704" i="21"/>
  <c r="X704" i="21" s="1"/>
  <c r="J700" i="21"/>
  <c r="X700" i="21" s="1"/>
  <c r="J696" i="21"/>
  <c r="J692" i="21"/>
  <c r="J688" i="21"/>
  <c r="X688" i="21" s="1"/>
  <c r="J684" i="21"/>
  <c r="J680" i="21"/>
  <c r="J676" i="21"/>
  <c r="J672" i="21"/>
  <c r="X672" i="21" s="1"/>
  <c r="J668" i="21"/>
  <c r="X668" i="21" s="1"/>
  <c r="J664" i="21"/>
  <c r="J660" i="21"/>
  <c r="J656" i="21"/>
  <c r="J652" i="21"/>
  <c r="J648" i="21"/>
  <c r="J644" i="21"/>
  <c r="J640" i="21"/>
  <c r="J636" i="21"/>
  <c r="J632" i="21"/>
  <c r="X632" i="21" s="1"/>
  <c r="J628" i="21"/>
  <c r="J920" i="21"/>
  <c r="J916" i="21"/>
  <c r="J912" i="21"/>
  <c r="J908" i="21"/>
  <c r="X908" i="21" s="1"/>
  <c r="J904" i="21"/>
  <c r="J900" i="21"/>
  <c r="X900" i="21" s="1"/>
  <c r="J896" i="21"/>
  <c r="J892" i="21"/>
  <c r="J888" i="21"/>
  <c r="J884" i="21"/>
  <c r="J880" i="21"/>
  <c r="X880" i="21" s="1"/>
  <c r="J876" i="21"/>
  <c r="X876" i="21" s="1"/>
  <c r="J872" i="21"/>
  <c r="J868" i="21"/>
  <c r="X868" i="21" s="1"/>
  <c r="J864" i="21"/>
  <c r="J860" i="21"/>
  <c r="X860" i="21" s="1"/>
  <c r="J856" i="21"/>
  <c r="J852" i="21"/>
  <c r="X852" i="21" s="1"/>
  <c r="J848" i="21"/>
  <c r="J844" i="21"/>
  <c r="J840" i="21"/>
  <c r="J836" i="21"/>
  <c r="J832" i="21"/>
  <c r="J828" i="21"/>
  <c r="J824" i="21"/>
  <c r="J820" i="21"/>
  <c r="J816" i="21"/>
  <c r="X816" i="21" s="1"/>
  <c r="J812" i="21"/>
  <c r="J808" i="21"/>
  <c r="J804" i="21"/>
  <c r="J800" i="21"/>
  <c r="J796" i="21"/>
  <c r="J792" i="21"/>
  <c r="J788" i="21"/>
  <c r="J662" i="21"/>
  <c r="J130" i="21"/>
  <c r="J126" i="21"/>
  <c r="J122" i="21"/>
  <c r="J50" i="21"/>
  <c r="J784" i="21"/>
  <c r="J780" i="21"/>
  <c r="J776" i="21"/>
  <c r="J772" i="21"/>
  <c r="J768" i="21"/>
  <c r="J764" i="21"/>
  <c r="J760" i="21"/>
  <c r="J756" i="21"/>
  <c r="J752" i="21"/>
  <c r="J748" i="21"/>
  <c r="J744" i="21"/>
  <c r="J740" i="21"/>
  <c r="J736" i="21"/>
  <c r="J732" i="21"/>
  <c r="J624" i="21"/>
  <c r="J620" i="21"/>
  <c r="J616" i="21"/>
  <c r="J612" i="21"/>
  <c r="J608" i="21"/>
  <c r="J604" i="21"/>
  <c r="J600" i="21"/>
  <c r="X600" i="21" s="1"/>
  <c r="J596" i="21"/>
  <c r="J592" i="21"/>
  <c r="J588" i="21"/>
  <c r="J584" i="21"/>
  <c r="X584" i="21" s="1"/>
  <c r="J580" i="21"/>
  <c r="J576" i="21"/>
  <c r="J572" i="21"/>
  <c r="X572" i="21" s="1"/>
  <c r="J568" i="21"/>
  <c r="X568" i="21" s="1"/>
  <c r="J564" i="21"/>
  <c r="J560" i="21"/>
  <c r="J556" i="21"/>
  <c r="X556" i="21" s="1"/>
  <c r="J552" i="21"/>
  <c r="J548" i="21"/>
  <c r="J544" i="21"/>
  <c r="J540" i="21"/>
  <c r="J536" i="21"/>
  <c r="J532" i="21"/>
  <c r="X532" i="21" s="1"/>
  <c r="J528" i="21"/>
  <c r="J524" i="21"/>
  <c r="J520" i="21"/>
  <c r="J516" i="21"/>
  <c r="X516" i="21" s="1"/>
  <c r="J512" i="21"/>
  <c r="X512" i="21" s="1"/>
  <c r="J508" i="21"/>
  <c r="J504" i="21"/>
  <c r="J500" i="21"/>
  <c r="J496" i="21"/>
  <c r="X496" i="21" s="1"/>
  <c r="J492" i="21"/>
  <c r="J488" i="21"/>
  <c r="J484" i="21"/>
  <c r="X484" i="21" s="1"/>
  <c r="J480" i="21"/>
  <c r="X480" i="21" s="1"/>
  <c r="J476" i="21"/>
  <c r="X476" i="21" s="1"/>
  <c r="J472" i="21"/>
  <c r="J468" i="21"/>
  <c r="J464" i="21"/>
  <c r="X464" i="21" s="1"/>
  <c r="J460" i="21"/>
  <c r="J456" i="21"/>
  <c r="J452" i="21"/>
  <c r="J448" i="21"/>
  <c r="X448" i="21" s="1"/>
  <c r="J444" i="21"/>
  <c r="J440" i="21"/>
  <c r="J436" i="21"/>
  <c r="J432" i="21"/>
  <c r="X432" i="21" s="1"/>
  <c r="J428" i="21"/>
  <c r="J424" i="21"/>
  <c r="J420" i="21"/>
  <c r="J416" i="21"/>
  <c r="J412" i="21"/>
  <c r="J408" i="21"/>
  <c r="J404" i="21"/>
  <c r="J400" i="21"/>
  <c r="J396" i="21"/>
  <c r="J392" i="21"/>
  <c r="J388" i="21"/>
  <c r="X388" i="21" s="1"/>
  <c r="J384" i="21"/>
  <c r="X384" i="21" s="1"/>
  <c r="J380" i="21"/>
  <c r="J376" i="21"/>
  <c r="J372" i="21"/>
  <c r="J368" i="21"/>
  <c r="J364" i="21"/>
  <c r="J360" i="21"/>
  <c r="J356" i="21"/>
  <c r="X356" i="21" s="1"/>
  <c r="J352" i="21"/>
  <c r="J348" i="21"/>
  <c r="J344" i="21"/>
  <c r="X344" i="21" s="1"/>
  <c r="J4023" i="21"/>
  <c r="N4023" i="21" s="1"/>
  <c r="Z4023" i="21" s="1"/>
  <c r="AA4023" i="21" s="1"/>
  <c r="J658" i="21"/>
  <c r="X658" i="21" s="1"/>
  <c r="J46" i="21"/>
  <c r="X46" i="21" s="1"/>
  <c r="J38" i="21"/>
  <c r="X38" i="21" s="1"/>
  <c r="J34" i="21"/>
  <c r="J30" i="21"/>
  <c r="J26" i="21"/>
  <c r="J19" i="21"/>
  <c r="J995" i="21"/>
  <c r="X995" i="21" s="1"/>
  <c r="J991" i="21"/>
  <c r="J987" i="21"/>
  <c r="X987" i="21" s="1"/>
  <c r="J979" i="21"/>
  <c r="X979" i="21" s="1"/>
  <c r="J975" i="21"/>
  <c r="J971" i="21"/>
  <c r="J967" i="21"/>
  <c r="J963" i="21"/>
  <c r="N963" i="21" s="1"/>
  <c r="Z963" i="21" s="1"/>
  <c r="AA963" i="21" s="1"/>
  <c r="J955" i="21"/>
  <c r="N955" i="21" s="1"/>
  <c r="Z955" i="21" s="1"/>
  <c r="AA955" i="21" s="1"/>
  <c r="J951" i="21"/>
  <c r="J935" i="21"/>
  <c r="J931" i="21"/>
  <c r="J927" i="21"/>
  <c r="J923" i="21"/>
  <c r="J919" i="21"/>
  <c r="J915" i="21"/>
  <c r="J911" i="21"/>
  <c r="J907" i="21"/>
  <c r="X907" i="21" s="1"/>
  <c r="J903" i="21"/>
  <c r="J899" i="21"/>
  <c r="J895" i="21"/>
  <c r="J891" i="21"/>
  <c r="J887" i="21"/>
  <c r="J883" i="21"/>
  <c r="X883" i="21" s="1"/>
  <c r="J879" i="21"/>
  <c r="X879" i="21" s="1"/>
  <c r="J875" i="21"/>
  <c r="J871" i="21"/>
  <c r="J867" i="21"/>
  <c r="J863" i="21"/>
  <c r="J859" i="21"/>
  <c r="J855" i="21"/>
  <c r="X855" i="21" s="1"/>
  <c r="J851" i="21"/>
  <c r="N851" i="21" s="1"/>
  <c r="Z851" i="21" s="1"/>
  <c r="AA851" i="21" s="1"/>
  <c r="J847" i="21"/>
  <c r="X847" i="21" s="1"/>
  <c r="J843" i="21"/>
  <c r="J839" i="21"/>
  <c r="X839" i="21" s="1"/>
  <c r="J835" i="21"/>
  <c r="J831" i="21"/>
  <c r="J827" i="21"/>
  <c r="J823" i="21"/>
  <c r="J819" i="21"/>
  <c r="X819" i="21" s="1"/>
  <c r="J815" i="21"/>
  <c r="X815" i="21" s="1"/>
  <c r="J811" i="21"/>
  <c r="J40" i="21"/>
  <c r="J5" i="21"/>
  <c r="J118" i="21"/>
  <c r="J42" i="21"/>
  <c r="J22" i="21"/>
  <c r="X22" i="21" s="1"/>
  <c r="J10" i="21"/>
  <c r="X10" i="21" s="1"/>
  <c r="J983" i="21"/>
  <c r="J959" i="21"/>
  <c r="J947" i="21"/>
  <c r="X947" i="21" s="1"/>
  <c r="J943" i="21"/>
  <c r="X943" i="21" s="1"/>
  <c r="J939" i="21"/>
  <c r="J631" i="21"/>
  <c r="J595" i="21"/>
  <c r="J591" i="21"/>
  <c r="X591" i="21" s="1"/>
  <c r="J587" i="21"/>
  <c r="J583" i="21"/>
  <c r="X583" i="21" s="1"/>
  <c r="J579" i="21"/>
  <c r="J575" i="21"/>
  <c r="J571" i="21"/>
  <c r="X571" i="21" s="1"/>
  <c r="J567" i="21"/>
  <c r="J563" i="21"/>
  <c r="J559" i="21"/>
  <c r="J555" i="21"/>
  <c r="J551" i="21"/>
  <c r="J547" i="21"/>
  <c r="X547" i="21" s="1"/>
  <c r="J543" i="21"/>
  <c r="X543" i="21" s="1"/>
  <c r="J539" i="21"/>
  <c r="J427" i="21"/>
  <c r="J423" i="21"/>
  <c r="J419" i="21"/>
  <c r="X419" i="21" s="1"/>
  <c r="J415" i="21"/>
  <c r="J411" i="21"/>
  <c r="J407" i="21"/>
  <c r="J403" i="21"/>
  <c r="X403" i="21" s="1"/>
  <c r="J399" i="21"/>
  <c r="J395" i="21"/>
  <c r="J391" i="21"/>
  <c r="X391" i="21" s="1"/>
  <c r="J379" i="21"/>
  <c r="X379" i="21" s="1"/>
  <c r="J371" i="21"/>
  <c r="J367" i="21"/>
  <c r="J363" i="21"/>
  <c r="X363" i="21" s="1"/>
  <c r="J359" i="21"/>
  <c r="X359" i="21" s="1"/>
  <c r="J355" i="21"/>
  <c r="J351" i="21"/>
  <c r="J75" i="21"/>
  <c r="X75" i="21" s="1"/>
  <c r="J71" i="21"/>
  <c r="J67" i="21"/>
  <c r="J63" i="21"/>
  <c r="J59" i="21"/>
  <c r="X59" i="21" s="1"/>
  <c r="J23" i="21"/>
  <c r="X23" i="21" s="1"/>
  <c r="J15" i="21"/>
  <c r="J4024" i="21"/>
  <c r="N4024" i="21" s="1"/>
  <c r="Z4024" i="21" s="1"/>
  <c r="AA4024" i="21" s="1"/>
  <c r="J996" i="21"/>
  <c r="X996" i="21" s="1"/>
  <c r="J992" i="21"/>
  <c r="J988" i="21"/>
  <c r="X988" i="21" s="1"/>
  <c r="J984" i="21"/>
  <c r="J980" i="21"/>
  <c r="J976" i="21"/>
  <c r="X976" i="21" s="1"/>
  <c r="J972" i="21"/>
  <c r="X972" i="21" s="1"/>
  <c r="J968" i="21"/>
  <c r="J964" i="21"/>
  <c r="X964" i="21" s="1"/>
  <c r="J960" i="21"/>
  <c r="J956" i="21"/>
  <c r="N956" i="21" s="1"/>
  <c r="Z956" i="21" s="1"/>
  <c r="AA956" i="21" s="1"/>
  <c r="J952" i="21"/>
  <c r="J948" i="21"/>
  <c r="X948" i="21" s="1"/>
  <c r="J944" i="21"/>
  <c r="X944" i="21" s="1"/>
  <c r="J940" i="21"/>
  <c r="J936" i="21"/>
  <c r="J932" i="21"/>
  <c r="X932" i="21" s="1"/>
  <c r="J928" i="21"/>
  <c r="J924" i="21"/>
  <c r="J8" i="21"/>
  <c r="J161" i="21"/>
  <c r="X161" i="21" s="1"/>
  <c r="J157" i="21"/>
  <c r="J145" i="21"/>
  <c r="J141" i="21"/>
  <c r="J137" i="21"/>
  <c r="X137" i="21" s="1"/>
  <c r="J133" i="21"/>
  <c r="J113" i="21"/>
  <c r="J109" i="21"/>
  <c r="J13" i="21"/>
  <c r="X13" i="21" s="1"/>
  <c r="J654" i="21"/>
  <c r="X654" i="21" s="1"/>
  <c r="J650" i="21"/>
  <c r="J646" i="21"/>
  <c r="J642" i="21"/>
  <c r="X642" i="21" s="1"/>
  <c r="J638" i="21"/>
  <c r="J634" i="21"/>
  <c r="J630" i="21"/>
  <c r="J626" i="21"/>
  <c r="J622" i="21"/>
  <c r="J618" i="21"/>
  <c r="J614" i="21"/>
  <c r="J610" i="21"/>
  <c r="J606" i="21"/>
  <c r="J602" i="21"/>
  <c r="J598" i="21"/>
  <c r="J594" i="21"/>
  <c r="X594" i="21" s="1"/>
  <c r="J590" i="21"/>
  <c r="X590" i="21" s="1"/>
  <c r="J586" i="21"/>
  <c r="J582" i="21"/>
  <c r="J578" i="21"/>
  <c r="X578" i="21" s="1"/>
  <c r="J574" i="21"/>
  <c r="J570" i="21"/>
  <c r="J566" i="21"/>
  <c r="X566" i="21" s="1"/>
  <c r="J562" i="21"/>
  <c r="J558" i="21"/>
  <c r="J554" i="21"/>
  <c r="J550" i="21"/>
  <c r="J546" i="21"/>
  <c r="J542" i="21"/>
  <c r="J538" i="21"/>
  <c r="X538" i="21" s="1"/>
  <c r="J534" i="21"/>
  <c r="J530" i="21"/>
  <c r="X530" i="21" s="1"/>
  <c r="J526" i="21"/>
  <c r="J522" i="21"/>
  <c r="J518" i="21"/>
  <c r="J114" i="21"/>
  <c r="J102" i="21"/>
  <c r="J98" i="21"/>
  <c r="J90" i="21"/>
  <c r="J86" i="21"/>
  <c r="J70" i="21"/>
  <c r="J66" i="21"/>
  <c r="J18" i="21"/>
  <c r="J14" i="21"/>
  <c r="X14" i="21" s="1"/>
  <c r="J807" i="21"/>
  <c r="X807" i="21" s="1"/>
  <c r="J803" i="21"/>
  <c r="J799" i="21"/>
  <c r="J795" i="21"/>
  <c r="J791" i="21"/>
  <c r="J787" i="21"/>
  <c r="J783" i="21"/>
  <c r="J779" i="21"/>
  <c r="J775" i="21"/>
  <c r="J771" i="21"/>
  <c r="J767" i="21"/>
  <c r="J763" i="21"/>
  <c r="X763" i="21" s="1"/>
  <c r="J759" i="21"/>
  <c r="J755" i="21"/>
  <c r="X755" i="21" s="1"/>
  <c r="J751" i="21"/>
  <c r="J747" i="21"/>
  <c r="J743" i="21"/>
  <c r="J739" i="21"/>
  <c r="X739" i="21" s="1"/>
  <c r="J735" i="21"/>
  <c r="J731" i="21"/>
  <c r="X731" i="21" s="1"/>
  <c r="J727" i="21"/>
  <c r="J723" i="21"/>
  <c r="J719" i="21"/>
  <c r="J715" i="21"/>
  <c r="X715" i="21" s="1"/>
  <c r="J711" i="21"/>
  <c r="J707" i="21"/>
  <c r="X707" i="21" s="1"/>
  <c r="J703" i="21"/>
  <c r="J699" i="21"/>
  <c r="J695" i="21"/>
  <c r="J691" i="21"/>
  <c r="J687" i="21"/>
  <c r="J683" i="21"/>
  <c r="J679" i="21"/>
  <c r="J675" i="21"/>
  <c r="N675" i="21" s="1"/>
  <c r="Z675" i="21" s="1"/>
  <c r="AA675" i="21" s="1"/>
  <c r="J671" i="21"/>
  <c r="J667" i="21"/>
  <c r="X667" i="21" s="1"/>
  <c r="J663" i="21"/>
  <c r="J659" i="21"/>
  <c r="X659" i="21" s="1"/>
  <c r="J655" i="21"/>
  <c r="J651" i="21"/>
  <c r="X651" i="21" s="1"/>
  <c r="J647" i="21"/>
  <c r="J643" i="21"/>
  <c r="X643" i="21" s="1"/>
  <c r="J639" i="21"/>
  <c r="J635" i="21"/>
  <c r="X635" i="21" s="1"/>
  <c r="J627" i="21"/>
  <c r="J623" i="21"/>
  <c r="X623" i="21" s="1"/>
  <c r="J619" i="21"/>
  <c r="J615" i="21"/>
  <c r="J611" i="21"/>
  <c r="J607" i="21"/>
  <c r="J603" i="21"/>
  <c r="J599" i="21"/>
  <c r="J535" i="21"/>
  <c r="J531" i="21"/>
  <c r="X531" i="21" s="1"/>
  <c r="J527" i="21"/>
  <c r="J523" i="21"/>
  <c r="J519" i="21"/>
  <c r="J515" i="21"/>
  <c r="J511" i="21"/>
  <c r="J507" i="21"/>
  <c r="J503" i="21"/>
  <c r="J499" i="21"/>
  <c r="J495" i="21"/>
  <c r="J491" i="21"/>
  <c r="J487" i="21"/>
  <c r="J483" i="21"/>
  <c r="X483" i="21" s="1"/>
  <c r="J479" i="21"/>
  <c r="J475" i="21"/>
  <c r="J471" i="21"/>
  <c r="J467" i="21"/>
  <c r="J463" i="21"/>
  <c r="J459" i="21"/>
  <c r="J455" i="21"/>
  <c r="J451" i="21"/>
  <c r="X451" i="21" s="1"/>
  <c r="J447" i="21"/>
  <c r="J443" i="21"/>
  <c r="J439" i="21"/>
  <c r="J435" i="21"/>
  <c r="J431" i="21"/>
  <c r="J387" i="21"/>
  <c r="J383" i="21"/>
  <c r="J375" i="21"/>
  <c r="J347" i="21"/>
  <c r="J83" i="21"/>
  <c r="X83" i="21" s="1"/>
  <c r="J11" i="21"/>
  <c r="J148" i="21"/>
  <c r="J44" i="21"/>
  <c r="J129" i="21"/>
  <c r="X129" i="21" s="1"/>
  <c r="J125" i="21"/>
  <c r="X125" i="21" s="1"/>
  <c r="J121" i="21"/>
  <c r="J105" i="21"/>
  <c r="J101" i="21"/>
  <c r="J97" i="21"/>
  <c r="J93" i="21"/>
  <c r="X93" i="21" s="1"/>
  <c r="J89" i="21"/>
  <c r="J85" i="21"/>
  <c r="J81" i="21"/>
  <c r="J73" i="21"/>
  <c r="J45" i="21"/>
  <c r="J41" i="21"/>
  <c r="X41" i="21" s="1"/>
  <c r="J997" i="21"/>
  <c r="J993" i="21"/>
  <c r="X993" i="21" s="1"/>
  <c r="J989" i="21"/>
  <c r="J985" i="21"/>
  <c r="X985" i="21" s="1"/>
  <c r="J981" i="21"/>
  <c r="J977" i="21"/>
  <c r="X977" i="21" s="1"/>
  <c r="J973" i="21"/>
  <c r="J969" i="21"/>
  <c r="X969" i="21" s="1"/>
  <c r="J965" i="21"/>
  <c r="J961" i="21"/>
  <c r="X961" i="21" s="1"/>
  <c r="J957" i="21"/>
  <c r="J953" i="21"/>
  <c r="J949" i="21"/>
  <c r="J945" i="21"/>
  <c r="X945" i="21" s="1"/>
  <c r="J941" i="21"/>
  <c r="J937" i="21"/>
  <c r="X937" i="21" s="1"/>
  <c r="J933" i="21"/>
  <c r="J929" i="21"/>
  <c r="J925" i="21"/>
  <c r="J921" i="21"/>
  <c r="J917" i="21"/>
  <c r="X917" i="21" s="1"/>
  <c r="J913" i="21"/>
  <c r="N913" i="21" s="1"/>
  <c r="Z913" i="21" s="1"/>
  <c r="AA913" i="21" s="1"/>
  <c r="J909" i="21"/>
  <c r="J905" i="21"/>
  <c r="J901" i="21"/>
  <c r="J897" i="21"/>
  <c r="X897" i="21" s="1"/>
  <c r="J893" i="21"/>
  <c r="J889" i="21"/>
  <c r="N889" i="21" s="1"/>
  <c r="Z889" i="21" s="1"/>
  <c r="AA889" i="21" s="1"/>
  <c r="J885" i="21"/>
  <c r="J881" i="21"/>
  <c r="X881" i="21" s="1"/>
  <c r="J877" i="21"/>
  <c r="J873" i="21"/>
  <c r="J869" i="21"/>
  <c r="X869" i="21" s="1"/>
  <c r="J865" i="21"/>
  <c r="X865" i="21" s="1"/>
  <c r="J861" i="21"/>
  <c r="J857" i="21"/>
  <c r="N857" i="21" s="1"/>
  <c r="Z857" i="21" s="1"/>
  <c r="AA857" i="21" s="1"/>
  <c r="J853" i="21"/>
  <c r="J849" i="21"/>
  <c r="J845" i="21"/>
  <c r="X845" i="21" s="1"/>
  <c r="J841" i="21"/>
  <c r="X841" i="21" s="1"/>
  <c r="J837" i="21"/>
  <c r="J833" i="21"/>
  <c r="X833" i="21" s="1"/>
  <c r="J829" i="21"/>
  <c r="X829" i="21" s="1"/>
  <c r="J825" i="21"/>
  <c r="X825" i="21" s="1"/>
  <c r="J821" i="21"/>
  <c r="X821" i="21" s="1"/>
  <c r="J817" i="21"/>
  <c r="J813" i="21"/>
  <c r="J809" i="21"/>
  <c r="J805" i="21"/>
  <c r="X805" i="21" s="1"/>
  <c r="J801" i="21"/>
  <c r="X801" i="21" s="1"/>
  <c r="J797" i="21"/>
  <c r="J793" i="21"/>
  <c r="J789" i="21"/>
  <c r="X789" i="21" s="1"/>
  <c r="J785" i="21"/>
  <c r="X785" i="21" s="1"/>
  <c r="J781" i="21"/>
  <c r="X781" i="21" s="1"/>
  <c r="J777" i="21"/>
  <c r="X777" i="21" s="1"/>
  <c r="J773" i="21"/>
  <c r="J769" i="21"/>
  <c r="X769" i="21" s="1"/>
  <c r="J765" i="21"/>
  <c r="J761" i="21"/>
  <c r="N761" i="21" s="1"/>
  <c r="Z761" i="21" s="1"/>
  <c r="AA761" i="21" s="1"/>
  <c r="J757" i="21"/>
  <c r="J753" i="21"/>
  <c r="X753" i="21" s="1"/>
  <c r="J749" i="21"/>
  <c r="J745" i="21"/>
  <c r="J741" i="21"/>
  <c r="X741" i="21" s="1"/>
  <c r="J737" i="21"/>
  <c r="J733" i="21"/>
  <c r="J729" i="21"/>
  <c r="J725" i="21"/>
  <c r="J721" i="21"/>
  <c r="J717" i="21"/>
  <c r="J713" i="21"/>
  <c r="J709" i="21"/>
  <c r="J705" i="21"/>
  <c r="J701" i="21"/>
  <c r="J697" i="21"/>
  <c r="X697" i="21" s="1"/>
  <c r="J693" i="21"/>
  <c r="J689" i="21"/>
  <c r="X689" i="21" s="1"/>
  <c r="J685" i="21"/>
  <c r="J681" i="21"/>
  <c r="X681" i="21" s="1"/>
  <c r="J677" i="21"/>
  <c r="J673" i="21"/>
  <c r="X673" i="21" s="1"/>
  <c r="J669" i="21"/>
  <c r="J665" i="21"/>
  <c r="J661" i="21"/>
  <c r="J657" i="21"/>
  <c r="J653" i="21"/>
  <c r="J649" i="21"/>
  <c r="X649" i="21" s="1"/>
  <c r="J645" i="21"/>
  <c r="X645" i="21" s="1"/>
  <c r="J641" i="21"/>
  <c r="J637" i="21"/>
  <c r="J633" i="21"/>
  <c r="J629" i="21"/>
  <c r="J625" i="21"/>
  <c r="X625" i="21" s="1"/>
  <c r="J621" i="21"/>
  <c r="J617" i="21"/>
  <c r="X617" i="21" s="1"/>
  <c r="J613" i="21"/>
  <c r="X613" i="21" s="1"/>
  <c r="J609" i="21"/>
  <c r="J605" i="21"/>
  <c r="J514" i="21"/>
  <c r="J510" i="21"/>
  <c r="J506" i="21"/>
  <c r="X506" i="21" s="1"/>
  <c r="J502" i="21"/>
  <c r="J498" i="21"/>
  <c r="J494" i="21"/>
  <c r="X494" i="21" s="1"/>
  <c r="J490" i="21"/>
  <c r="J486" i="21"/>
  <c r="J482" i="21"/>
  <c r="X482" i="21" s="1"/>
  <c r="J478" i="21"/>
  <c r="J474" i="21"/>
  <c r="X474" i="21" s="1"/>
  <c r="J470" i="21"/>
  <c r="J466" i="21"/>
  <c r="J462" i="21"/>
  <c r="J458" i="21"/>
  <c r="J454" i="21"/>
  <c r="J450" i="21"/>
  <c r="J446" i="21"/>
  <c r="X446" i="21" s="1"/>
  <c r="J442" i="21"/>
  <c r="X442" i="21" s="1"/>
  <c r="J438" i="21"/>
  <c r="J434" i="21"/>
  <c r="J430" i="21"/>
  <c r="J426" i="21"/>
  <c r="J422" i="21"/>
  <c r="J418" i="21"/>
  <c r="J414" i="21"/>
  <c r="J410" i="21"/>
  <c r="X410" i="21" s="1"/>
  <c r="J406" i="21"/>
  <c r="J402" i="21"/>
  <c r="J398" i="21"/>
  <c r="J394" i="21"/>
  <c r="J390" i="21"/>
  <c r="J386" i="21"/>
  <c r="J382" i="21"/>
  <c r="J378" i="21"/>
  <c r="X378" i="21" s="1"/>
  <c r="J374" i="21"/>
  <c r="J370" i="21"/>
  <c r="X370" i="21" s="1"/>
  <c r="J346" i="21"/>
  <c r="J110" i="21"/>
  <c r="J106" i="21"/>
  <c r="J94" i="21"/>
  <c r="J82" i="21"/>
  <c r="J78" i="21"/>
  <c r="X78" i="21" s="1"/>
  <c r="J74" i="21"/>
  <c r="J62" i="21"/>
  <c r="X62" i="21" s="1"/>
  <c r="J6" i="21"/>
  <c r="J171" i="21"/>
  <c r="J167" i="21"/>
  <c r="J163" i="21"/>
  <c r="X163" i="21" s="1"/>
  <c r="J159" i="21"/>
  <c r="X159" i="21" s="1"/>
  <c r="J155" i="21"/>
  <c r="J151" i="21"/>
  <c r="J147" i="21"/>
  <c r="X147" i="21" s="1"/>
  <c r="J143" i="21"/>
  <c r="J139" i="21"/>
  <c r="J135" i="21"/>
  <c r="J131" i="21"/>
  <c r="X131" i="21" s="1"/>
  <c r="J127" i="21"/>
  <c r="J123" i="21"/>
  <c r="J119" i="21"/>
  <c r="J115" i="21"/>
  <c r="J111" i="21"/>
  <c r="J107" i="21"/>
  <c r="X107" i="21" s="1"/>
  <c r="J103" i="21"/>
  <c r="J99" i="21"/>
  <c r="J95" i="21"/>
  <c r="J91" i="21"/>
  <c r="J87" i="21"/>
  <c r="J79" i="21"/>
  <c r="X79" i="21" s="1"/>
  <c r="J55" i="21"/>
  <c r="J51" i="21"/>
  <c r="X51" i="21" s="1"/>
  <c r="J47" i="21"/>
  <c r="J43" i="21"/>
  <c r="J7" i="21"/>
  <c r="J36" i="21"/>
  <c r="J32" i="21"/>
  <c r="J28" i="21"/>
  <c r="J24" i="21"/>
  <c r="J20" i="21"/>
  <c r="J16" i="21"/>
  <c r="J12" i="21"/>
  <c r="J4" i="21"/>
  <c r="J601" i="21"/>
  <c r="X601" i="21" s="1"/>
  <c r="J597" i="21"/>
  <c r="J593" i="21"/>
  <c r="J589" i="21"/>
  <c r="J585" i="21"/>
  <c r="J581" i="21"/>
  <c r="J577" i="21"/>
  <c r="X577" i="21" s="1"/>
  <c r="J573" i="21"/>
  <c r="J569" i="21"/>
  <c r="J565" i="21"/>
  <c r="J561" i="21"/>
  <c r="J557" i="21"/>
  <c r="J553" i="21"/>
  <c r="X553" i="21" s="1"/>
  <c r="J549" i="21"/>
  <c r="J545" i="21"/>
  <c r="J541" i="21"/>
  <c r="X541" i="21" s="1"/>
  <c r="J537" i="21"/>
  <c r="X537" i="21" s="1"/>
  <c r="J533" i="21"/>
  <c r="J529" i="21"/>
  <c r="X529" i="21" s="1"/>
  <c r="J525" i="21"/>
  <c r="J521" i="21"/>
  <c r="J517" i="21"/>
  <c r="X517" i="21" s="1"/>
  <c r="J513" i="21"/>
  <c r="X513" i="21" s="1"/>
  <c r="J509" i="21"/>
  <c r="J505" i="21"/>
  <c r="X505" i="21" s="1"/>
  <c r="J501" i="21"/>
  <c r="J497" i="21"/>
  <c r="J493" i="21"/>
  <c r="J489" i="21"/>
  <c r="J485" i="21"/>
  <c r="J481" i="21"/>
  <c r="J477" i="21"/>
  <c r="J473" i="21"/>
  <c r="X473" i="21" s="1"/>
  <c r="J469" i="21"/>
  <c r="J465" i="21"/>
  <c r="J461" i="21"/>
  <c r="J457" i="21"/>
  <c r="X457" i="21" s="1"/>
  <c r="J453" i="21"/>
  <c r="J449" i="21"/>
  <c r="J445" i="21"/>
  <c r="J441" i="21"/>
  <c r="J437" i="21"/>
  <c r="J433" i="21"/>
  <c r="X433" i="21" s="1"/>
  <c r="J429" i="21"/>
  <c r="J425" i="21"/>
  <c r="X425" i="21" s="1"/>
  <c r="J421" i="21"/>
  <c r="J417" i="21"/>
  <c r="J413" i="21"/>
  <c r="J409" i="21"/>
  <c r="J405" i="21"/>
  <c r="X405" i="21" s="1"/>
  <c r="J401" i="21"/>
  <c r="X401" i="21" s="1"/>
  <c r="J397" i="21"/>
  <c r="J393" i="21"/>
  <c r="X393" i="21" s="1"/>
  <c r="J389" i="21"/>
  <c r="J385" i="21"/>
  <c r="X385" i="21" s="1"/>
  <c r="J381" i="21"/>
  <c r="J377" i="21"/>
  <c r="J373" i="21"/>
  <c r="J369" i="21"/>
  <c r="J365" i="21"/>
  <c r="J361" i="21"/>
  <c r="J357" i="21"/>
  <c r="J353" i="21"/>
  <c r="J349" i="21"/>
  <c r="J345" i="21"/>
  <c r="X345" i="21" s="1"/>
  <c r="J173" i="21"/>
  <c r="J169" i="21"/>
  <c r="X169" i="21" s="1"/>
  <c r="J165" i="21"/>
  <c r="J153" i="21"/>
  <c r="X153" i="21" s="1"/>
  <c r="J149" i="21"/>
  <c r="J117" i="21"/>
  <c r="J77" i="21"/>
  <c r="J69" i="21"/>
  <c r="J65" i="21"/>
  <c r="X65" i="21" s="1"/>
  <c r="J61" i="21"/>
  <c r="X61" i="21" s="1"/>
  <c r="J57" i="21"/>
  <c r="J53" i="21"/>
  <c r="J49" i="21"/>
  <c r="J37" i="21"/>
  <c r="X37" i="21" s="1"/>
  <c r="J33" i="21"/>
  <c r="X33" i="21" s="1"/>
  <c r="J29" i="21"/>
  <c r="X29" i="21" s="1"/>
  <c r="J25" i="21"/>
  <c r="J21" i="21"/>
  <c r="X21" i="21" s="1"/>
  <c r="J17" i="21"/>
  <c r="X17" i="21" s="1"/>
  <c r="J9" i="21"/>
  <c r="X9" i="21" s="1"/>
  <c r="J2" i="21"/>
  <c r="X2" i="21" s="1"/>
  <c r="J343" i="21"/>
  <c r="J342" i="21"/>
  <c r="J341" i="21"/>
  <c r="J340" i="21"/>
  <c r="J339" i="21"/>
  <c r="J338" i="21"/>
  <c r="J337" i="21"/>
  <c r="J336" i="21"/>
  <c r="J335" i="21"/>
  <c r="J334" i="21"/>
  <c r="J333" i="21"/>
  <c r="J332" i="21"/>
  <c r="J331" i="21"/>
  <c r="X331" i="21" s="1"/>
  <c r="J330" i="21"/>
  <c r="J329" i="21"/>
  <c r="J328" i="21"/>
  <c r="J327" i="21"/>
  <c r="X327" i="21" s="1"/>
  <c r="J326" i="21"/>
  <c r="J325" i="21"/>
  <c r="J324" i="21"/>
  <c r="X324" i="21" s="1"/>
  <c r="J323" i="21"/>
  <c r="J322" i="21"/>
  <c r="J321" i="21"/>
  <c r="J320" i="21"/>
  <c r="J319" i="21"/>
  <c r="J318" i="21"/>
  <c r="J317" i="21"/>
  <c r="J316" i="21"/>
  <c r="J315" i="21"/>
  <c r="J314" i="21"/>
  <c r="J313" i="21"/>
  <c r="X313" i="21" s="1"/>
  <c r="J312" i="21"/>
  <c r="X312" i="21" s="1"/>
  <c r="J311" i="21"/>
  <c r="J310" i="21"/>
  <c r="J309" i="21"/>
  <c r="J308" i="21"/>
  <c r="J307" i="21"/>
  <c r="J306" i="21"/>
  <c r="X306" i="21" s="1"/>
  <c r="J305" i="21"/>
  <c r="J304" i="21"/>
  <c r="J303" i="21"/>
  <c r="J302" i="21"/>
  <c r="J301" i="21"/>
  <c r="J300" i="21"/>
  <c r="J299" i="21"/>
  <c r="X299" i="21" s="1"/>
  <c r="J298" i="21"/>
  <c r="J297" i="21"/>
  <c r="X297" i="21" s="1"/>
  <c r="J296" i="21"/>
  <c r="J295" i="21"/>
  <c r="J294" i="21"/>
  <c r="J293" i="21"/>
  <c r="J292" i="21"/>
  <c r="J291" i="21"/>
  <c r="X291" i="21" s="1"/>
  <c r="J290" i="21"/>
  <c r="J289" i="21"/>
  <c r="X289" i="21" s="1"/>
  <c r="J288" i="21"/>
  <c r="J287" i="21"/>
  <c r="X287" i="21" s="1"/>
  <c r="J286" i="21"/>
  <c r="J285" i="21"/>
  <c r="X285" i="21" s="1"/>
  <c r="J284" i="21"/>
  <c r="J283" i="21"/>
  <c r="X283" i="21" s="1"/>
  <c r="J282" i="21"/>
  <c r="J281" i="21"/>
  <c r="J280" i="21"/>
  <c r="J279" i="21"/>
  <c r="X279" i="21" s="1"/>
  <c r="J278" i="21"/>
  <c r="J277" i="21"/>
  <c r="J276" i="21"/>
  <c r="J275" i="21"/>
  <c r="J274" i="21"/>
  <c r="J273" i="21"/>
  <c r="J272" i="21"/>
  <c r="J271" i="21"/>
  <c r="J270" i="21"/>
  <c r="J269" i="21"/>
  <c r="J268" i="21"/>
  <c r="J267" i="21"/>
  <c r="J266" i="21"/>
  <c r="J265" i="21"/>
  <c r="J264" i="21"/>
  <c r="J263" i="21"/>
  <c r="J262" i="21"/>
  <c r="J261" i="21"/>
  <c r="J260" i="21"/>
  <c r="J259" i="21"/>
  <c r="J258" i="21"/>
  <c r="J257" i="21"/>
  <c r="J256" i="21"/>
  <c r="J255" i="21"/>
  <c r="J254" i="21"/>
  <c r="J253" i="21"/>
  <c r="J252" i="21"/>
  <c r="J251" i="21"/>
  <c r="J250" i="21"/>
  <c r="J249" i="21"/>
  <c r="J248" i="21"/>
  <c r="J247" i="21"/>
  <c r="J246" i="21"/>
  <c r="X246" i="21" s="1"/>
  <c r="J245" i="21"/>
  <c r="X245" i="21" s="1"/>
  <c r="J244" i="21"/>
  <c r="J243" i="21"/>
  <c r="X243" i="21" s="1"/>
  <c r="J242" i="21"/>
  <c r="J241" i="21"/>
  <c r="J240" i="21"/>
  <c r="J239" i="21"/>
  <c r="J238" i="21"/>
  <c r="J237" i="21"/>
  <c r="J236" i="21"/>
  <c r="J235" i="21"/>
  <c r="J234" i="21"/>
  <c r="J233" i="21"/>
  <c r="J232" i="21"/>
  <c r="X232" i="21" s="1"/>
  <c r="J231" i="21"/>
  <c r="X231" i="21" s="1"/>
  <c r="J230" i="21"/>
  <c r="J229" i="21"/>
  <c r="J228" i="21"/>
  <c r="J227" i="21"/>
  <c r="J226" i="21"/>
  <c r="J225" i="21"/>
  <c r="J224" i="21"/>
  <c r="J223" i="21"/>
  <c r="X223" i="21" s="1"/>
  <c r="J222" i="21"/>
  <c r="J221" i="21"/>
  <c r="X221" i="21" s="1"/>
  <c r="J220" i="21"/>
  <c r="J219" i="21"/>
  <c r="J218" i="21"/>
  <c r="J217" i="21"/>
  <c r="J216" i="21"/>
  <c r="J215" i="21"/>
  <c r="J214" i="21"/>
  <c r="J213" i="21"/>
  <c r="J212" i="21"/>
  <c r="J211" i="21"/>
  <c r="J210" i="21"/>
  <c r="X210" i="21" s="1"/>
  <c r="J209" i="21"/>
  <c r="J208" i="21"/>
  <c r="X208" i="21" s="1"/>
  <c r="J207" i="21"/>
  <c r="X207" i="21" s="1"/>
  <c r="J206" i="21"/>
  <c r="J205" i="21"/>
  <c r="J204" i="21"/>
  <c r="J203" i="21"/>
  <c r="J202" i="21"/>
  <c r="X202" i="21" s="1"/>
  <c r="J201" i="21"/>
  <c r="J200" i="21"/>
  <c r="J199" i="21"/>
  <c r="X199" i="21" s="1"/>
  <c r="J198" i="21"/>
  <c r="J197" i="21"/>
  <c r="J196" i="21"/>
  <c r="J195" i="21"/>
  <c r="X195" i="21" s="1"/>
  <c r="J194" i="21"/>
  <c r="J193" i="21"/>
  <c r="J192" i="21"/>
  <c r="J191" i="21"/>
  <c r="X191" i="21" s="1"/>
  <c r="J190" i="21"/>
  <c r="J189" i="21"/>
  <c r="J188" i="21"/>
  <c r="J187" i="21"/>
  <c r="X187" i="21" s="1"/>
  <c r="J186" i="21"/>
  <c r="J185" i="21"/>
  <c r="X185" i="21" s="1"/>
  <c r="J184" i="21"/>
  <c r="J183" i="21"/>
  <c r="X183" i="21" s="1"/>
  <c r="J182" i="21"/>
  <c r="J181" i="21"/>
  <c r="J180" i="21"/>
  <c r="J179" i="21"/>
  <c r="X179" i="21" s="1"/>
  <c r="J178" i="21"/>
  <c r="J177" i="21"/>
  <c r="J176" i="21"/>
  <c r="J175" i="21"/>
  <c r="X175" i="21" s="1"/>
  <c r="Y991" i="47"/>
  <c r="Z991" i="47" s="1"/>
  <c r="Y961" i="47"/>
  <c r="Z961" i="47" s="1"/>
  <c r="Y945" i="47"/>
  <c r="Z945" i="47" s="1"/>
  <c r="Y925" i="47"/>
  <c r="Z925" i="47" s="1"/>
  <c r="Y921" i="47"/>
  <c r="Z921" i="47" s="1"/>
  <c r="Y915" i="47"/>
  <c r="Z915" i="47" s="1"/>
  <c r="Y895" i="47"/>
  <c r="Z895" i="47" s="1"/>
  <c r="Y885" i="47"/>
  <c r="Z885" i="47" s="1"/>
  <c r="Y855" i="47"/>
  <c r="Z855" i="47" s="1"/>
  <c r="Y851" i="47"/>
  <c r="Z851" i="47" s="1"/>
  <c r="Y811" i="47"/>
  <c r="Z811" i="47" s="1"/>
  <c r="Y787" i="47"/>
  <c r="Z787" i="47" s="1"/>
  <c r="Y777" i="47"/>
  <c r="Z777" i="47" s="1"/>
  <c r="Y757" i="47"/>
  <c r="Z757" i="47" s="1"/>
  <c r="Y753" i="47"/>
  <c r="Z753" i="47" s="1"/>
  <c r="Y711" i="47"/>
  <c r="Z711" i="47" s="1"/>
  <c r="Y695" i="47"/>
  <c r="Z695" i="47" s="1"/>
  <c r="Y691" i="47"/>
  <c r="Z691" i="47" s="1"/>
  <c r="Y677" i="47"/>
  <c r="Z677" i="47" s="1"/>
  <c r="Y643" i="47"/>
  <c r="Z643" i="47" s="1"/>
  <c r="Y629" i="47"/>
  <c r="Z629" i="47" s="1"/>
  <c r="Y625" i="47"/>
  <c r="Z625" i="47" s="1"/>
  <c r="Y623" i="47"/>
  <c r="Z623" i="47" s="1"/>
  <c r="Y619" i="47"/>
  <c r="Z619" i="47" s="1"/>
  <c r="Y605" i="47"/>
  <c r="Z605" i="47" s="1"/>
  <c r="Y599" i="47"/>
  <c r="Z599" i="47" s="1"/>
  <c r="Y595" i="47"/>
  <c r="Z595" i="47" s="1"/>
  <c r="Y575" i="47"/>
  <c r="Z575" i="47" s="1"/>
  <c r="Y547" i="47"/>
  <c r="Z547" i="47" s="1"/>
  <c r="Y537" i="47"/>
  <c r="Z537" i="47" s="1"/>
  <c r="Y511" i="47"/>
  <c r="Z511" i="47" s="1"/>
  <c r="Y507" i="47"/>
  <c r="Z507" i="47" s="1"/>
  <c r="Y503" i="47"/>
  <c r="Z503" i="47" s="1"/>
  <c r="Y495" i="47"/>
  <c r="Z495" i="47" s="1"/>
  <c r="Y479" i="47"/>
  <c r="Z479" i="47" s="1"/>
  <c r="Y475" i="47"/>
  <c r="Z475" i="47" s="1"/>
  <c r="Y471" i="47"/>
  <c r="Z471" i="47" s="1"/>
  <c r="Y467" i="47"/>
  <c r="Z467" i="47" s="1"/>
  <c r="Y461" i="47"/>
  <c r="Z461" i="47" s="1"/>
  <c r="Y457" i="47"/>
  <c r="Z457" i="47" s="1"/>
  <c r="Y451" i="47"/>
  <c r="Z451" i="47" s="1"/>
  <c r="Y443" i="47"/>
  <c r="Z443" i="47" s="1"/>
  <c r="Y439" i="47"/>
  <c r="Z439" i="47" s="1"/>
  <c r="Y435" i="47"/>
  <c r="Z435" i="47" s="1"/>
  <c r="Y431" i="47"/>
  <c r="Z431" i="47" s="1"/>
  <c r="Y417" i="47"/>
  <c r="Z417" i="47" s="1"/>
  <c r="Y375" i="47"/>
  <c r="Z375" i="47" s="1"/>
  <c r="Y371" i="47"/>
  <c r="Z371" i="47" s="1"/>
  <c r="Y361" i="47"/>
  <c r="Z361" i="47" s="1"/>
  <c r="Y355" i="47"/>
  <c r="Z355" i="47" s="1"/>
  <c r="Y347" i="47"/>
  <c r="Z347" i="47" s="1"/>
  <c r="Y327" i="47"/>
  <c r="Z327" i="47" s="1"/>
  <c r="Y323" i="47"/>
  <c r="Z323" i="47" s="1"/>
  <c r="Y309" i="47"/>
  <c r="Z309" i="47" s="1"/>
  <c r="Y305" i="47"/>
  <c r="Z305" i="47" s="1"/>
  <c r="Y295" i="47"/>
  <c r="Z295" i="47" s="1"/>
  <c r="Y277" i="47"/>
  <c r="Z277" i="47" s="1"/>
  <c r="Y271" i="47"/>
  <c r="Z271" i="47" s="1"/>
  <c r="Y267" i="47"/>
  <c r="Z267" i="47" s="1"/>
  <c r="Y245" i="47"/>
  <c r="Z245" i="47" s="1"/>
  <c r="Y241" i="47"/>
  <c r="Z241" i="47" s="1"/>
  <c r="Y239" i="47"/>
  <c r="Z239" i="47" s="1"/>
  <c r="Y225" i="47"/>
  <c r="Z225" i="47" s="1"/>
  <c r="Y215" i="47"/>
  <c r="Z215" i="47" s="1"/>
  <c r="Y211" i="47"/>
  <c r="Z211" i="47" s="1"/>
  <c r="Y205" i="47"/>
  <c r="Z205" i="47" s="1"/>
  <c r="Y199" i="47"/>
  <c r="Z199" i="47" s="1"/>
  <c r="Y195" i="47"/>
  <c r="Z195" i="47" s="1"/>
  <c r="Y171" i="47"/>
  <c r="Z171" i="47" s="1"/>
  <c r="Y161" i="47"/>
  <c r="Z161" i="47" s="1"/>
  <c r="Y119" i="47"/>
  <c r="Z119" i="47" s="1"/>
  <c r="Y115" i="47"/>
  <c r="Z115" i="47" s="1"/>
  <c r="Y111" i="47"/>
  <c r="Z111" i="47" s="1"/>
  <c r="Y51" i="47"/>
  <c r="Z51" i="47" s="1"/>
  <c r="Y47" i="47"/>
  <c r="Z47" i="47" s="1"/>
  <c r="Y43" i="47"/>
  <c r="Z43" i="47" s="1"/>
  <c r="Y37" i="47"/>
  <c r="Z37" i="47" s="1"/>
  <c r="Y6" i="47"/>
  <c r="Z6" i="47" s="1"/>
  <c r="Y3" i="47"/>
  <c r="Z3" i="47" s="1"/>
  <c r="Y981" i="47"/>
  <c r="Z981" i="47" s="1"/>
  <c r="Y971" i="47"/>
  <c r="Z971" i="47" s="1"/>
  <c r="Y957" i="47"/>
  <c r="Z957" i="47" s="1"/>
  <c r="Y951" i="47"/>
  <c r="Z951" i="47" s="1"/>
  <c r="Y941" i="47"/>
  <c r="Z941" i="47" s="1"/>
  <c r="Y911" i="47"/>
  <c r="Z911" i="47" s="1"/>
  <c r="Y901" i="47"/>
  <c r="Z901" i="47" s="1"/>
  <c r="Y891" i="47"/>
  <c r="Z891" i="47" s="1"/>
  <c r="Y861" i="47"/>
  <c r="Z861" i="47" s="1"/>
  <c r="Y847" i="47"/>
  <c r="Z847" i="47" s="1"/>
  <c r="Y837" i="47"/>
  <c r="Z837" i="47" s="1"/>
  <c r="Y827" i="47"/>
  <c r="Z827" i="47" s="1"/>
  <c r="Y813" i="47"/>
  <c r="Z813" i="47" s="1"/>
  <c r="Y803" i="47"/>
  <c r="Z803" i="47" s="1"/>
  <c r="Y773" i="47"/>
  <c r="Z773" i="47" s="1"/>
  <c r="Y767" i="47"/>
  <c r="Z767" i="47" s="1"/>
  <c r="Y745" i="47"/>
  <c r="Z745" i="47" s="1"/>
  <c r="Y663" i="47"/>
  <c r="Z663" i="47" s="1"/>
  <c r="Y639" i="47"/>
  <c r="Z639" i="47" s="1"/>
  <c r="Y635" i="47"/>
  <c r="Z635" i="47" s="1"/>
  <c r="Y611" i="47"/>
  <c r="Z611" i="47" s="1"/>
  <c r="Y581" i="47"/>
  <c r="Z581" i="47" s="1"/>
  <c r="Y567" i="47"/>
  <c r="Z567" i="47" s="1"/>
  <c r="Y523" i="47"/>
  <c r="Z523" i="47" s="1"/>
  <c r="Y517" i="47"/>
  <c r="Z517" i="47" s="1"/>
  <c r="Y481" i="47"/>
  <c r="Z481" i="47" s="1"/>
  <c r="Y413" i="47"/>
  <c r="Z413" i="47" s="1"/>
  <c r="Y367" i="47"/>
  <c r="Z367" i="47" s="1"/>
  <c r="Y343" i="47"/>
  <c r="Z343" i="47" s="1"/>
  <c r="Y339" i="47"/>
  <c r="Z339" i="47" s="1"/>
  <c r="Y329" i="47"/>
  <c r="Z329" i="47" s="1"/>
  <c r="Y259" i="47"/>
  <c r="Z259" i="47" s="1"/>
  <c r="Y191" i="47"/>
  <c r="Z191" i="47" s="1"/>
  <c r="Y103" i="47"/>
  <c r="Z103" i="47" s="1"/>
  <c r="Y95" i="47"/>
  <c r="Z95" i="47" s="1"/>
  <c r="Y91" i="47"/>
  <c r="Z91" i="47" s="1"/>
  <c r="Y87" i="47"/>
  <c r="Z87" i="47" s="1"/>
  <c r="Y83" i="47"/>
  <c r="Z83" i="47" s="1"/>
  <c r="Y75" i="47"/>
  <c r="Z75" i="47" s="1"/>
  <c r="Y61" i="47"/>
  <c r="Z61" i="47" s="1"/>
  <c r="Y999" i="47"/>
  <c r="Z999" i="47" s="1"/>
  <c r="Y989" i="47"/>
  <c r="Z989" i="47" s="1"/>
  <c r="Y980" i="47"/>
  <c r="Z980" i="47" s="1"/>
  <c r="Y974" i="47"/>
  <c r="Z974" i="47" s="1"/>
  <c r="Y967" i="47"/>
  <c r="Z967" i="47" s="1"/>
  <c r="Y963" i="47"/>
  <c r="Z963" i="47" s="1"/>
  <c r="Y953" i="47"/>
  <c r="Z953" i="47" s="1"/>
  <c r="Y947" i="47"/>
  <c r="Z947" i="47" s="1"/>
  <c r="Y944" i="47"/>
  <c r="Z944" i="47" s="1"/>
  <c r="Y940" i="47"/>
  <c r="Z940" i="47" s="1"/>
  <c r="Y934" i="47"/>
  <c r="Z934" i="47" s="1"/>
  <c r="Y930" i="47"/>
  <c r="Z930" i="47" s="1"/>
  <c r="Y927" i="47"/>
  <c r="Z927" i="47" s="1"/>
  <c r="Y916" i="47"/>
  <c r="Z916" i="47" s="1"/>
  <c r="Y910" i="47"/>
  <c r="Z910" i="47" s="1"/>
  <c r="Y893" i="47"/>
  <c r="Z893" i="47" s="1"/>
  <c r="Y887" i="47"/>
  <c r="Z887" i="47" s="1"/>
  <c r="Y883" i="47"/>
  <c r="Z883" i="47" s="1"/>
  <c r="Y873" i="47"/>
  <c r="Z873" i="47" s="1"/>
  <c r="Y870" i="47"/>
  <c r="Z870" i="47" s="1"/>
  <c r="Y860" i="47"/>
  <c r="Z860" i="47" s="1"/>
  <c r="Y843" i="47"/>
  <c r="Z843" i="47" s="1"/>
  <c r="Y836" i="47"/>
  <c r="Z836" i="47" s="1"/>
  <c r="Y830" i="47"/>
  <c r="Z830" i="47" s="1"/>
  <c r="Y823" i="47"/>
  <c r="Z823" i="47" s="1"/>
  <c r="Y819" i="47"/>
  <c r="Z819" i="47" s="1"/>
  <c r="Y816" i="47"/>
  <c r="Z816" i="47" s="1"/>
  <c r="Y809" i="47"/>
  <c r="Z809" i="47" s="1"/>
  <c r="Y789" i="47"/>
  <c r="Z789" i="47" s="1"/>
  <c r="Y785" i="47"/>
  <c r="Z785" i="47" s="1"/>
  <c r="Y759" i="47"/>
  <c r="Z759" i="47" s="1"/>
  <c r="Y755" i="47"/>
  <c r="Z755" i="47" s="1"/>
  <c r="Y748" i="47"/>
  <c r="Z748" i="47" s="1"/>
  <c r="Y742" i="47"/>
  <c r="Z742" i="47" s="1"/>
  <c r="Y739" i="47"/>
  <c r="Z739" i="47" s="1"/>
  <c r="Y732" i="47"/>
  <c r="Z732" i="47" s="1"/>
  <c r="Y709" i="47"/>
  <c r="Z709" i="47" s="1"/>
  <c r="Y693" i="47"/>
  <c r="Z693" i="47" s="1"/>
  <c r="Y686" i="47"/>
  <c r="Z686" i="47" s="1"/>
  <c r="Y679" i="47"/>
  <c r="Z679" i="47" s="1"/>
  <c r="Y665" i="47"/>
  <c r="Z665" i="47" s="1"/>
  <c r="Y662" i="47"/>
  <c r="Z662" i="47" s="1"/>
  <c r="Y658" i="47"/>
  <c r="Z658" i="47" s="1"/>
  <c r="Y651" i="47"/>
  <c r="Z651" i="47" s="1"/>
  <c r="Y648" i="47"/>
  <c r="Z648" i="47" s="1"/>
  <c r="Y641" i="47"/>
  <c r="Z641" i="47" s="1"/>
  <c r="Y627" i="47"/>
  <c r="Z627" i="47" s="1"/>
  <c r="Y607" i="47"/>
  <c r="Z607" i="47" s="1"/>
  <c r="Y593" i="47"/>
  <c r="Z593" i="47" s="1"/>
  <c r="Y591" i="47"/>
  <c r="Z591" i="47" s="1"/>
  <c r="Y587" i="47"/>
  <c r="Z587" i="47" s="1"/>
  <c r="Y584" i="47"/>
  <c r="Z584" i="47" s="1"/>
  <c r="Y573" i="47"/>
  <c r="Z573" i="47" s="1"/>
  <c r="Y566" i="47"/>
  <c r="Z566" i="47" s="1"/>
  <c r="Y539" i="47"/>
  <c r="Z539" i="47" s="1"/>
  <c r="Y532" i="47"/>
  <c r="Z532" i="47" s="1"/>
  <c r="Y522" i="47"/>
  <c r="Z522" i="47" s="1"/>
  <c r="Y509" i="47"/>
  <c r="Z509" i="47" s="1"/>
  <c r="Y505" i="47"/>
  <c r="Z505" i="47" s="1"/>
  <c r="Y501" i="47"/>
  <c r="Z501" i="47" s="1"/>
  <c r="Y497" i="47"/>
  <c r="Z497" i="47" s="1"/>
  <c r="Y493" i="47"/>
  <c r="Z493" i="47" s="1"/>
  <c r="Y487" i="47"/>
  <c r="Z487" i="47" s="1"/>
  <c r="Y473" i="47"/>
  <c r="Z473" i="47" s="1"/>
  <c r="Y465" i="47"/>
  <c r="Z465" i="47" s="1"/>
  <c r="Y463" i="47"/>
  <c r="Z463" i="47" s="1"/>
  <c r="Y453" i="47"/>
  <c r="Z453" i="47" s="1"/>
  <c r="Y449" i="47"/>
  <c r="Z449" i="47" s="1"/>
  <c r="Y445" i="47"/>
  <c r="Z445" i="47" s="1"/>
  <c r="Y441" i="47"/>
  <c r="Z441" i="47" s="1"/>
  <c r="Y429" i="47"/>
  <c r="Z429" i="47" s="1"/>
  <c r="Y422" i="47"/>
  <c r="Z422" i="47" s="1"/>
  <c r="Y416" i="47"/>
  <c r="Z416" i="47" s="1"/>
  <c r="Y412" i="47"/>
  <c r="Z412" i="47" s="1"/>
  <c r="Y408" i="47"/>
  <c r="Z408" i="47" s="1"/>
  <c r="Y384" i="47"/>
  <c r="Z384" i="47" s="1"/>
  <c r="Y380" i="47"/>
  <c r="Z380" i="47" s="1"/>
  <c r="Y373" i="47"/>
  <c r="Z373" i="47" s="1"/>
  <c r="Y369" i="47"/>
  <c r="Z369" i="47" s="1"/>
  <c r="Y363" i="47"/>
  <c r="Z363" i="47" s="1"/>
  <c r="Y353" i="47"/>
  <c r="Z353" i="47" s="1"/>
  <c r="Y345" i="47"/>
  <c r="Z345" i="47" s="1"/>
  <c r="Y342" i="47"/>
  <c r="Z342" i="47" s="1"/>
  <c r="Y338" i="47"/>
  <c r="Z338" i="47" s="1"/>
  <c r="Y332" i="47"/>
  <c r="Z332" i="47" s="1"/>
  <c r="Y325" i="47"/>
  <c r="Z325" i="47" s="1"/>
  <c r="Y321" i="47"/>
  <c r="Z321" i="47" s="1"/>
  <c r="Y318" i="47"/>
  <c r="Z318" i="47" s="1"/>
  <c r="Y311" i="47"/>
  <c r="Z311" i="47" s="1"/>
  <c r="Y307" i="47"/>
  <c r="Z307" i="47" s="1"/>
  <c r="Y303" i="47"/>
  <c r="Z303" i="47" s="1"/>
  <c r="Y293" i="47"/>
  <c r="Z293" i="47" s="1"/>
  <c r="Y290" i="47"/>
  <c r="Z290" i="47" s="1"/>
  <c r="Y286" i="47"/>
  <c r="Z286" i="47" s="1"/>
  <c r="Y282" i="47"/>
  <c r="Z282" i="47" s="1"/>
  <c r="Y279" i="47"/>
  <c r="Z279" i="47" s="1"/>
  <c r="Y275" i="47"/>
  <c r="Z275" i="47" s="1"/>
  <c r="Y262" i="47"/>
  <c r="Z262" i="47" s="1"/>
  <c r="Y258" i="47"/>
  <c r="Z258" i="47" s="1"/>
  <c r="Y247" i="47"/>
  <c r="Z247" i="47" s="1"/>
  <c r="Y243" i="47"/>
  <c r="Z243" i="47" s="1"/>
  <c r="Y240" i="47"/>
  <c r="Z240" i="47" s="1"/>
  <c r="Y227" i="47"/>
  <c r="Z227" i="47" s="1"/>
  <c r="Y220" i="47"/>
  <c r="Z220" i="47" s="1"/>
  <c r="Y209" i="47"/>
  <c r="Z209" i="47" s="1"/>
  <c r="Y207" i="47"/>
  <c r="Z207" i="47" s="1"/>
  <c r="Y200" i="47"/>
  <c r="Z200" i="47" s="1"/>
  <c r="Y197" i="47"/>
  <c r="Z197" i="47" s="1"/>
  <c r="Y193" i="47"/>
  <c r="Z193" i="47" s="1"/>
  <c r="Y190" i="47"/>
  <c r="Z190" i="47" s="1"/>
  <c r="Y186" i="47"/>
  <c r="Z186" i="47" s="1"/>
  <c r="Y180" i="47"/>
  <c r="Z180" i="47" s="1"/>
  <c r="Y176" i="47"/>
  <c r="Z176" i="47" s="1"/>
  <c r="Y166" i="47"/>
  <c r="Z166" i="47" s="1"/>
  <c r="Y156" i="47"/>
  <c r="Z156" i="47" s="1"/>
  <c r="Y148" i="47"/>
  <c r="Z148" i="47" s="1"/>
  <c r="Y142" i="47"/>
  <c r="Z142" i="47" s="1"/>
  <c r="Y139" i="47"/>
  <c r="Z139" i="47" s="1"/>
  <c r="Y128" i="47"/>
  <c r="Z128" i="47" s="1"/>
  <c r="Y117" i="47"/>
  <c r="Z117" i="47" s="1"/>
  <c r="Y105" i="47"/>
  <c r="Z105" i="47" s="1"/>
  <c r="Y102" i="47"/>
  <c r="Z102" i="47" s="1"/>
  <c r="Y98" i="47"/>
  <c r="Z98" i="47" s="1"/>
  <c r="Y94" i="47"/>
  <c r="Z94" i="47" s="1"/>
  <c r="Y90" i="47"/>
  <c r="Z90" i="47" s="1"/>
  <c r="Y71" i="47"/>
  <c r="Z71" i="47" s="1"/>
  <c r="Y67" i="47"/>
  <c r="Z67" i="47" s="1"/>
  <c r="Y64" i="47"/>
  <c r="Z64" i="47" s="1"/>
  <c r="Y56" i="47"/>
  <c r="Z56" i="47" s="1"/>
  <c r="Y53" i="47"/>
  <c r="Z53" i="47" s="1"/>
  <c r="Y45" i="47"/>
  <c r="Z45" i="47" s="1"/>
  <c r="Y41" i="47"/>
  <c r="Z41" i="47" s="1"/>
  <c r="Y39" i="47"/>
  <c r="Z39" i="47" s="1"/>
  <c r="Y35" i="47"/>
  <c r="Z35" i="47" s="1"/>
  <c r="Y31" i="47"/>
  <c r="Z31" i="47" s="1"/>
  <c r="Y27" i="47"/>
  <c r="Z27" i="47" s="1"/>
  <c r="Y24" i="47"/>
  <c r="Z24" i="47" s="1"/>
  <c r="Y16" i="47"/>
  <c r="Z16" i="47" s="1"/>
  <c r="Y2" i="47"/>
  <c r="Z2" i="47" s="1"/>
  <c r="Y995" i="47"/>
  <c r="Z995" i="47" s="1"/>
  <c r="Y973" i="47"/>
  <c r="Z973" i="47" s="1"/>
  <c r="Y949" i="47"/>
  <c r="Z949" i="47" s="1"/>
  <c r="Y939" i="47"/>
  <c r="Z939" i="47" s="1"/>
  <c r="Y919" i="47"/>
  <c r="Z919" i="47" s="1"/>
  <c r="Y909" i="47"/>
  <c r="Z909" i="47" s="1"/>
  <c r="Y899" i="47"/>
  <c r="Z899" i="47" s="1"/>
  <c r="Y879" i="47"/>
  <c r="Z879" i="47" s="1"/>
  <c r="Y869" i="47"/>
  <c r="Z869" i="47" s="1"/>
  <c r="Y865" i="47"/>
  <c r="Z865" i="47" s="1"/>
  <c r="Y859" i="47"/>
  <c r="Z859" i="47" s="1"/>
  <c r="Y845" i="47"/>
  <c r="Z845" i="47" s="1"/>
  <c r="Y825" i="47"/>
  <c r="Z825" i="47" s="1"/>
  <c r="Y815" i="47"/>
  <c r="Z815" i="47" s="1"/>
  <c r="Y805" i="47"/>
  <c r="Z805" i="47" s="1"/>
  <c r="Y765" i="47"/>
  <c r="Z765" i="47" s="1"/>
  <c r="Y761" i="47"/>
  <c r="Z761" i="47" s="1"/>
  <c r="Y751" i="47"/>
  <c r="Z751" i="47" s="1"/>
  <c r="Y747" i="47"/>
  <c r="Z747" i="47" s="1"/>
  <c r="Y735" i="47"/>
  <c r="Z735" i="47" s="1"/>
  <c r="Y731" i="47"/>
  <c r="Z731" i="47" s="1"/>
  <c r="Y725" i="47"/>
  <c r="Z725" i="47" s="1"/>
  <c r="Y721" i="47"/>
  <c r="Z721" i="47" s="1"/>
  <c r="Y705" i="47"/>
  <c r="Z705" i="47" s="1"/>
  <c r="Y681" i="47"/>
  <c r="Z681" i="47" s="1"/>
  <c r="Y675" i="47"/>
  <c r="Z675" i="47" s="1"/>
  <c r="Y661" i="47"/>
  <c r="Z661" i="47" s="1"/>
  <c r="Y609" i="47"/>
  <c r="Z609" i="47" s="1"/>
  <c r="Y603" i="47"/>
  <c r="Z603" i="47" s="1"/>
  <c r="Y579" i="47"/>
  <c r="Z579" i="47" s="1"/>
  <c r="Y565" i="47"/>
  <c r="Z565" i="47" s="1"/>
  <c r="Y561" i="47"/>
  <c r="Z561" i="47" s="1"/>
  <c r="Y555" i="47"/>
  <c r="Z555" i="47" s="1"/>
  <c r="Y541" i="47"/>
  <c r="Z541" i="47" s="1"/>
  <c r="Y535" i="47"/>
  <c r="Z535" i="47" s="1"/>
  <c r="Y531" i="47"/>
  <c r="Z531" i="47" s="1"/>
  <c r="Y525" i="47"/>
  <c r="Z525" i="47" s="1"/>
  <c r="Y515" i="47"/>
  <c r="Z515" i="47" s="1"/>
  <c r="Y489" i="47"/>
  <c r="Z489" i="47" s="1"/>
  <c r="Y483" i="47"/>
  <c r="Z483" i="47" s="1"/>
  <c r="Y425" i="47"/>
  <c r="Z425" i="47" s="1"/>
  <c r="Y411" i="47"/>
  <c r="Z411" i="47" s="1"/>
  <c r="Y407" i="47"/>
  <c r="Z407" i="47" s="1"/>
  <c r="Y403" i="47"/>
  <c r="Z403" i="47" s="1"/>
  <c r="Y393" i="47"/>
  <c r="Z393" i="47" s="1"/>
  <c r="Y387" i="47"/>
  <c r="Z387" i="47" s="1"/>
  <c r="Y359" i="47"/>
  <c r="Z359" i="47" s="1"/>
  <c r="Y341" i="47"/>
  <c r="Z341" i="47" s="1"/>
  <c r="Y335" i="47"/>
  <c r="Z335" i="47" s="1"/>
  <c r="Y317" i="47"/>
  <c r="Z317" i="47" s="1"/>
  <c r="Y313" i="47"/>
  <c r="Z313" i="47" s="1"/>
  <c r="Y299" i="47"/>
  <c r="Z299" i="47" s="1"/>
  <c r="Y289" i="47"/>
  <c r="Z289" i="47" s="1"/>
  <c r="Y285" i="47"/>
  <c r="Z285" i="47" s="1"/>
  <c r="Y261" i="47"/>
  <c r="Z261" i="47" s="1"/>
  <c r="Y257" i="47"/>
  <c r="Z257" i="47" s="1"/>
  <c r="Y223" i="47"/>
  <c r="Z223" i="47" s="1"/>
  <c r="Y219" i="47"/>
  <c r="Z219" i="47" s="1"/>
  <c r="Y203" i="47"/>
  <c r="Z203" i="47" s="1"/>
  <c r="Y189" i="47"/>
  <c r="Z189" i="47" s="1"/>
  <c r="Y185" i="47"/>
  <c r="Z185" i="47" s="1"/>
  <c r="Y183" i="47"/>
  <c r="Z183" i="47" s="1"/>
  <c r="Y179" i="47"/>
  <c r="Z179" i="47" s="1"/>
  <c r="Y175" i="47"/>
  <c r="Z175" i="47" s="1"/>
  <c r="Y165" i="47"/>
  <c r="Z165" i="47" s="1"/>
  <c r="Y147" i="47"/>
  <c r="Z147" i="47" s="1"/>
  <c r="Y141" i="47"/>
  <c r="Z141" i="47" s="1"/>
  <c r="Y131" i="47"/>
  <c r="Z131" i="47" s="1"/>
  <c r="Y123" i="47"/>
  <c r="Z123" i="47" s="1"/>
  <c r="Y101" i="47"/>
  <c r="Z101" i="47" s="1"/>
  <c r="Y89" i="47"/>
  <c r="Z89" i="47" s="1"/>
  <c r="Y85" i="47"/>
  <c r="Z85" i="47" s="1"/>
  <c r="Y73" i="47"/>
  <c r="Z73" i="47" s="1"/>
  <c r="Y63" i="47"/>
  <c r="Z63" i="47" s="1"/>
  <c r="Y59" i="47"/>
  <c r="Z59" i="47" s="1"/>
  <c r="Y15" i="47"/>
  <c r="Z15" i="47" s="1"/>
  <c r="Y11" i="47"/>
  <c r="Z11" i="47" s="1"/>
  <c r="Y7" i="47"/>
  <c r="Z7" i="47" s="1"/>
  <c r="O743" i="47"/>
  <c r="O638" i="47"/>
  <c r="O614" i="47"/>
  <c r="AL9" i="23"/>
  <c r="AM9" i="23" s="1"/>
  <c r="AO16" i="23"/>
  <c r="AL208" i="23"/>
  <c r="AM208" i="23" s="1"/>
  <c r="AO17" i="23"/>
  <c r="AL66" i="23"/>
  <c r="AM66" i="23" s="1"/>
  <c r="AL72" i="23"/>
  <c r="AM72" i="23" s="1"/>
  <c r="AM73" i="23" s="1"/>
  <c r="AO73" i="23" s="1"/>
  <c r="AL77" i="23"/>
  <c r="AM77" i="23" s="1"/>
  <c r="O906" i="47"/>
  <c r="O634" i="47"/>
  <c r="O621" i="47"/>
  <c r="O597" i="47"/>
  <c r="O549" i="47"/>
  <c r="O437" i="47"/>
  <c r="O398" i="47"/>
  <c r="O213" i="47"/>
  <c r="O669" i="47"/>
  <c r="O655" i="47"/>
  <c r="O631" i="47"/>
  <c r="O542" i="47"/>
  <c r="O328" i="47"/>
  <c r="O453" i="47"/>
  <c r="O607" i="47"/>
  <c r="O651" i="47"/>
  <c r="O682" i="47"/>
  <c r="O477" i="47"/>
  <c r="O679" i="47"/>
  <c r="O117" i="47"/>
  <c r="O573" i="47"/>
  <c r="O67" i="47"/>
  <c r="AB9" i="47"/>
  <c r="O165" i="47"/>
  <c r="O962" i="47"/>
  <c r="O882" i="47"/>
  <c r="O995" i="47"/>
  <c r="O922" i="47"/>
  <c r="O609" i="47"/>
  <c r="O963" i="47"/>
  <c r="O716" i="47"/>
  <c r="O662" i="47"/>
  <c r="O627" i="47"/>
  <c r="O493" i="47"/>
  <c r="O449" i="47"/>
  <c r="O307" i="47"/>
  <c r="O269" i="47"/>
  <c r="O254" i="47"/>
  <c r="O237" i="47"/>
  <c r="O230" i="47"/>
  <c r="O128" i="47"/>
  <c r="O109" i="47"/>
  <c r="O105" i="47"/>
  <c r="O90" i="47"/>
  <c r="O82" i="47"/>
  <c r="O49" i="47"/>
  <c r="O12" i="47"/>
  <c r="O771" i="47"/>
  <c r="O741" i="47"/>
  <c r="O715" i="47"/>
  <c r="O708" i="47"/>
  <c r="O668" i="47"/>
  <c r="O647" i="47"/>
  <c r="O637" i="47"/>
  <c r="O606" i="47"/>
  <c r="O596" i="47"/>
  <c r="O569" i="47"/>
  <c r="O504" i="47"/>
  <c r="O496" i="47"/>
  <c r="O421" i="47"/>
  <c r="O365" i="47"/>
  <c r="O352" i="47"/>
  <c r="O331" i="47"/>
  <c r="O253" i="47"/>
  <c r="O249" i="47"/>
  <c r="O206" i="47"/>
  <c r="O151" i="47"/>
  <c r="O77" i="47"/>
  <c r="O770" i="47"/>
  <c r="O697" i="47"/>
  <c r="O684" i="47"/>
  <c r="O667" i="47"/>
  <c r="O653" i="47"/>
  <c r="O646" i="47"/>
  <c r="O589" i="47"/>
  <c r="O499" i="47"/>
  <c r="O485" i="47"/>
  <c r="O351" i="47"/>
  <c r="O288" i="47"/>
  <c r="O273" i="47"/>
  <c r="O218" i="47"/>
  <c r="O174" i="47"/>
  <c r="O154" i="47"/>
  <c r="O150" i="47"/>
  <c r="O137" i="47"/>
  <c r="O126" i="47"/>
  <c r="O107" i="47"/>
  <c r="O92" i="47"/>
  <c r="O88" i="47"/>
  <c r="O76" i="47"/>
  <c r="O69" i="47"/>
  <c r="O29" i="47"/>
  <c r="O783" i="47"/>
  <c r="O628" i="47"/>
  <c r="O529" i="47"/>
  <c r="O502" i="47"/>
  <c r="O181" i="47"/>
  <c r="O173" i="47"/>
  <c r="AL355" i="23"/>
  <c r="AM355" i="23" s="1"/>
  <c r="AL325" i="23"/>
  <c r="AM325" i="23" s="1"/>
  <c r="I27" i="57"/>
  <c r="M28" i="57"/>
  <c r="E30" i="57"/>
  <c r="I41" i="57"/>
  <c r="M42" i="57"/>
  <c r="J27" i="57"/>
  <c r="N28" i="57"/>
  <c r="F30" i="57"/>
  <c r="J41" i="57"/>
  <c r="N42" i="57"/>
  <c r="K27" i="57"/>
  <c r="C29" i="57"/>
  <c r="G30" i="57"/>
  <c r="K41" i="57"/>
  <c r="C43" i="57"/>
  <c r="L27" i="57"/>
  <c r="D29" i="57"/>
  <c r="H30" i="57"/>
  <c r="L41" i="57"/>
  <c r="D43" i="57"/>
  <c r="M27" i="57"/>
  <c r="E29" i="57"/>
  <c r="I30" i="57"/>
  <c r="M41" i="57"/>
  <c r="E43" i="57"/>
  <c r="N27" i="57"/>
  <c r="F29" i="57"/>
  <c r="J30" i="57"/>
  <c r="N41" i="57"/>
  <c r="F43" i="57"/>
  <c r="C28" i="57"/>
  <c r="G29" i="57"/>
  <c r="K30" i="57"/>
  <c r="C42" i="57"/>
  <c r="G43" i="57"/>
  <c r="D28" i="57"/>
  <c r="H29" i="57"/>
  <c r="L30" i="57"/>
  <c r="D42" i="57"/>
  <c r="H43" i="57"/>
  <c r="E28" i="57"/>
  <c r="I29" i="57"/>
  <c r="M30" i="57"/>
  <c r="E42" i="57"/>
  <c r="I43" i="57"/>
  <c r="F28" i="57"/>
  <c r="J29" i="57"/>
  <c r="N30" i="57"/>
  <c r="F42" i="57"/>
  <c r="J43" i="57"/>
  <c r="C27" i="57"/>
  <c r="G28" i="57"/>
  <c r="K29" i="57"/>
  <c r="C41" i="57"/>
  <c r="G42" i="57"/>
  <c r="K43" i="57"/>
  <c r="D27" i="57"/>
  <c r="H28" i="57"/>
  <c r="L29" i="57"/>
  <c r="D41" i="57"/>
  <c r="H42" i="57"/>
  <c r="L43" i="57"/>
  <c r="E27" i="57"/>
  <c r="I28" i="57"/>
  <c r="M29" i="57"/>
  <c r="E41" i="57"/>
  <c r="I42" i="57"/>
  <c r="M43" i="57"/>
  <c r="F27" i="57"/>
  <c r="J28" i="57"/>
  <c r="N29" i="57"/>
  <c r="N57" i="57" s="1"/>
  <c r="F41" i="57"/>
  <c r="J42" i="57"/>
  <c r="A44" i="57"/>
  <c r="B44" i="57" s="1"/>
  <c r="G27" i="57"/>
  <c r="K28" i="57"/>
  <c r="C30" i="57"/>
  <c r="G41" i="57"/>
  <c r="K42" i="57"/>
  <c r="H27" i="57"/>
  <c r="H55" i="57" s="1"/>
  <c r="L28" i="57"/>
  <c r="L56" i="57" s="1"/>
  <c r="N23" i="57"/>
  <c r="M23" i="57"/>
  <c r="L23" i="57"/>
  <c r="K23" i="57"/>
  <c r="J23" i="57"/>
  <c r="I23" i="57"/>
  <c r="H23" i="57"/>
  <c r="G23" i="57"/>
  <c r="F23" i="57"/>
  <c r="E23" i="57"/>
  <c r="D23" i="57"/>
  <c r="A36" i="57"/>
  <c r="J22" i="57"/>
  <c r="I22" i="57"/>
  <c r="H22" i="57"/>
  <c r="G22" i="57"/>
  <c r="F22" i="57"/>
  <c r="E22" i="57"/>
  <c r="D22" i="57"/>
  <c r="C22" i="57"/>
  <c r="N22" i="57"/>
  <c r="M22" i="57"/>
  <c r="L22" i="57"/>
  <c r="K22" i="57"/>
  <c r="C7" i="57"/>
  <c r="M12" i="57"/>
  <c r="K12" i="57"/>
  <c r="J12" i="57"/>
  <c r="H12" i="57"/>
  <c r="F12" i="57"/>
  <c r="D7" i="57"/>
  <c r="E7" i="57"/>
  <c r="D12" i="57"/>
  <c r="C6" i="57"/>
  <c r="F7" i="57"/>
  <c r="I8" i="57"/>
  <c r="E12" i="57"/>
  <c r="B7" i="57"/>
  <c r="D6" i="57"/>
  <c r="G7" i="57"/>
  <c r="J8" i="57"/>
  <c r="C11" i="57"/>
  <c r="G12" i="57"/>
  <c r="E6" i="57"/>
  <c r="H7" i="57"/>
  <c r="K8" i="57"/>
  <c r="D11" i="57"/>
  <c r="I12" i="57"/>
  <c r="A20" i="57"/>
  <c r="A34" i="57" s="1"/>
  <c r="F6" i="57"/>
  <c r="I7" i="57"/>
  <c r="L8" i="57"/>
  <c r="E11" i="57"/>
  <c r="L12" i="57"/>
  <c r="B6" i="57"/>
  <c r="F25" i="57"/>
  <c r="E25" i="57"/>
  <c r="D25" i="57"/>
  <c r="C25" i="57"/>
  <c r="N25" i="57"/>
  <c r="M25" i="57"/>
  <c r="L25" i="57"/>
  <c r="J25" i="57"/>
  <c r="I25" i="57"/>
  <c r="H25" i="57"/>
  <c r="G25" i="57"/>
  <c r="G6" i="57"/>
  <c r="J7" i="57"/>
  <c r="M8" i="57"/>
  <c r="C10" i="57"/>
  <c r="F11" i="57"/>
  <c r="N12" i="57"/>
  <c r="H6" i="57"/>
  <c r="K7" i="57"/>
  <c r="D10" i="57"/>
  <c r="G11" i="57"/>
  <c r="I6" i="57"/>
  <c r="L7" i="57"/>
  <c r="E10" i="57"/>
  <c r="H11" i="57"/>
  <c r="J6" i="57"/>
  <c r="M7" i="57"/>
  <c r="C9" i="57"/>
  <c r="F10" i="57"/>
  <c r="I11" i="57"/>
  <c r="C23" i="57"/>
  <c r="K6" i="57"/>
  <c r="J11" i="57"/>
  <c r="K25" i="57"/>
  <c r="A50" i="57"/>
  <c r="B36" i="57"/>
  <c r="B20" i="57"/>
  <c r="A57" i="57"/>
  <c r="B43" i="57"/>
  <c r="A39" i="57"/>
  <c r="B25" i="57"/>
  <c r="A56" i="57"/>
  <c r="B42" i="57"/>
  <c r="A37" i="57"/>
  <c r="B23" i="57"/>
  <c r="A55" i="57"/>
  <c r="B41" i="57"/>
  <c r="O13" i="57"/>
  <c r="B28" i="57"/>
  <c r="A26" i="57"/>
  <c r="B27" i="57"/>
  <c r="A24" i="57"/>
  <c r="A21" i="57"/>
  <c r="B22" i="57"/>
  <c r="O916" i="47"/>
  <c r="O709" i="47"/>
  <c r="O927" i="47"/>
  <c r="O102" i="47"/>
  <c r="O819" i="47"/>
  <c r="O887" i="47"/>
  <c r="O516" i="47"/>
  <c r="O312" i="47"/>
  <c r="O232" i="47"/>
  <c r="O146" i="47"/>
  <c r="O420" i="47"/>
  <c r="O267" i="47"/>
  <c r="O188" i="47"/>
  <c r="O323" i="47"/>
  <c r="O47" i="47"/>
  <c r="O51" i="47"/>
  <c r="O161" i="47"/>
  <c r="O195" i="47"/>
  <c r="O410" i="47"/>
  <c r="O111" i="47"/>
  <c r="O467" i="47"/>
  <c r="O475" i="47"/>
  <c r="L21" i="25"/>
  <c r="L45" i="25" s="1"/>
  <c r="O58" i="47"/>
  <c r="O435" i="47"/>
  <c r="O330" i="47"/>
  <c r="O295" i="47"/>
  <c r="O205" i="47"/>
  <c r="O245" i="47"/>
  <c r="O43" i="47"/>
  <c r="O431" i="47"/>
  <c r="O582" i="47"/>
  <c r="O471" i="47"/>
  <c r="O386" i="47"/>
  <c r="O461" i="47"/>
  <c r="O371" i="47"/>
  <c r="O439" i="47"/>
  <c r="O215" i="47"/>
  <c r="O62" i="47"/>
  <c r="O619" i="47"/>
  <c r="O347" i="47"/>
  <c r="O503" i="47"/>
  <c r="O834" i="47"/>
  <c r="O479" i="47"/>
  <c r="O451" i="47"/>
  <c r="O6" i="47"/>
  <c r="P6" i="47" s="1"/>
  <c r="AC6" i="47" s="1"/>
  <c r="AB6" i="47" s="1"/>
  <c r="O134" i="47"/>
  <c r="O300" i="47"/>
  <c r="O534" i="47"/>
  <c r="O855" i="47"/>
  <c r="O919" i="47"/>
  <c r="O973" i="47"/>
  <c r="O372" i="47"/>
  <c r="O18" i="47"/>
  <c r="O787" i="47"/>
  <c r="O96" i="47"/>
  <c r="O818" i="47"/>
  <c r="O531" i="47"/>
  <c r="O362" i="47"/>
  <c r="O101" i="47"/>
  <c r="O541" i="47"/>
  <c r="O59" i="47"/>
  <c r="O359" i="47"/>
  <c r="O747" i="47"/>
  <c r="O859" i="47"/>
  <c r="I27" i="12"/>
  <c r="L13" i="25"/>
  <c r="L37" i="25" s="1"/>
  <c r="J41" i="25"/>
  <c r="O721" i="47"/>
  <c r="O701" i="47"/>
  <c r="O264" i="47"/>
  <c r="O448" i="47"/>
  <c r="O396" i="47"/>
  <c r="O746" i="47"/>
  <c r="O555" i="47"/>
  <c r="O11" i="47"/>
  <c r="O548" i="47"/>
  <c r="O711" i="47"/>
  <c r="O302" i="47"/>
  <c r="O261" i="47"/>
  <c r="O15" i="47"/>
  <c r="O991" i="47"/>
  <c r="J49" i="25"/>
  <c r="L9" i="25"/>
  <c r="L33" i="25" s="1"/>
  <c r="O938" i="47"/>
  <c r="O364" i="47"/>
  <c r="O858" i="47"/>
  <c r="O714" i="47"/>
  <c r="O835" i="47"/>
  <c r="O778" i="47"/>
  <c r="O383" i="47"/>
  <c r="O127" i="47"/>
  <c r="O30" i="47"/>
  <c r="O443" i="47"/>
  <c r="O7" i="47"/>
  <c r="P7" i="47" s="1"/>
  <c r="AC7" i="47" s="1"/>
  <c r="AB7" i="47" s="1"/>
  <c r="O22" i="47"/>
  <c r="O130" i="47"/>
  <c r="O202" i="47"/>
  <c r="O412" i="47"/>
  <c r="O564" i="47"/>
  <c r="O434" i="47"/>
  <c r="O404" i="47"/>
  <c r="O620" i="47"/>
  <c r="O444" i="47"/>
  <c r="O568" i="47"/>
  <c r="O691" i="47"/>
  <c r="O84" i="47"/>
  <c r="O243" i="47"/>
  <c r="O458" i="47"/>
  <c r="O547" i="47"/>
  <c r="O578" i="47"/>
  <c r="O756" i="47"/>
  <c r="O293" i="47"/>
  <c r="O677" i="47"/>
  <c r="O813" i="47"/>
  <c r="O279" i="47"/>
  <c r="O345" i="47"/>
  <c r="O602" i="47"/>
  <c r="O492" i="47"/>
  <c r="O16" i="47"/>
  <c r="O636" i="47"/>
  <c r="O612" i="47"/>
  <c r="O247" i="47"/>
  <c r="O384" i="47"/>
  <c r="O338" i="47"/>
  <c r="O803" i="47"/>
  <c r="O472" i="47"/>
  <c r="O200" i="47"/>
  <c r="O440" i="47"/>
  <c r="O452" i="47"/>
  <c r="O197" i="47"/>
  <c r="O981" i="47"/>
  <c r="O495" i="47"/>
  <c r="O971" i="47"/>
  <c r="O71" i="47"/>
  <c r="O599" i="47"/>
  <c r="O41" i="47"/>
  <c r="O44" i="47"/>
  <c r="O4" i="47"/>
  <c r="P4" i="47" s="1"/>
  <c r="AC4" i="47" s="1"/>
  <c r="AB4" i="47" s="1"/>
  <c r="O186" i="47"/>
  <c r="O262" i="47"/>
  <c r="O35" i="47"/>
  <c r="O595" i="47"/>
  <c r="O56" i="47"/>
  <c r="O861" i="47"/>
  <c r="O511" i="47"/>
  <c r="O951" i="47"/>
  <c r="O98" i="47"/>
  <c r="O27" i="47"/>
  <c r="O31" i="47"/>
  <c r="O629" i="47"/>
  <c r="O133" i="47"/>
  <c r="O132" i="47"/>
  <c r="O588" i="47"/>
  <c r="O212" i="47"/>
  <c r="O910" i="47"/>
  <c r="O710" i="47"/>
  <c r="O506" i="47"/>
  <c r="O884" i="47"/>
  <c r="O113" i="47"/>
  <c r="O256" i="47"/>
  <c r="O613" i="47"/>
  <c r="AB548" i="47"/>
  <c r="O509" i="47"/>
  <c r="O587" i="47"/>
  <c r="I26" i="52"/>
  <c r="I16" i="52"/>
  <c r="O895" i="47"/>
  <c r="O487" i="47"/>
  <c r="O898" i="47"/>
  <c r="O501" i="47"/>
  <c r="O418" i="47"/>
  <c r="O209" i="47"/>
  <c r="O866" i="47"/>
  <c r="AB800" i="47"/>
  <c r="O624" i="47"/>
  <c r="O672" i="47"/>
  <c r="O776" i="47"/>
  <c r="O933" i="47"/>
  <c r="O459" i="47"/>
  <c r="O120" i="47"/>
  <c r="O314" i="47"/>
  <c r="O251" i="47"/>
  <c r="O74" i="47"/>
  <c r="O379" i="47"/>
  <c r="O187" i="47"/>
  <c r="I56" i="27"/>
  <c r="I42" i="27"/>
  <c r="I26" i="36"/>
  <c r="I16" i="36"/>
  <c r="O469" i="47"/>
  <c r="AB503" i="47"/>
  <c r="O930" i="47"/>
  <c r="O510" i="47"/>
  <c r="AB274" i="47"/>
  <c r="AB130" i="47"/>
  <c r="AB821" i="47"/>
  <c r="AB567" i="47"/>
  <c r="AB22" i="47"/>
  <c r="AB18" i="47"/>
  <c r="O837" i="47"/>
  <c r="AB265" i="47"/>
  <c r="AL238" i="23"/>
  <c r="AM238" i="23" s="1"/>
  <c r="AL32" i="23"/>
  <c r="AM32" i="23" s="1"/>
  <c r="AL304" i="23"/>
  <c r="AM304" i="23" s="1"/>
  <c r="AL315" i="23"/>
  <c r="AM315" i="23" s="1"/>
  <c r="AB822" i="47"/>
  <c r="AB645" i="47"/>
  <c r="AB641" i="47"/>
  <c r="AB383" i="47"/>
  <c r="O592" i="47"/>
  <c r="O539" i="47"/>
  <c r="AK39" i="23"/>
  <c r="AL39" i="23" s="1"/>
  <c r="AK48" i="23"/>
  <c r="AL48" i="23" s="1"/>
  <c r="O956" i="47"/>
  <c r="O987" i="47"/>
  <c r="O944" i="47"/>
  <c r="O912" i="47"/>
  <c r="O480" i="47"/>
  <c r="O455" i="47"/>
  <c r="O391" i="47"/>
  <c r="O363" i="47"/>
  <c r="O336" i="47"/>
  <c r="O216" i="47"/>
  <c r="O184" i="47"/>
  <c r="O143" i="47"/>
  <c r="O72" i="47"/>
  <c r="O39" i="47"/>
  <c r="O24" i="47"/>
  <c r="AL264" i="23"/>
  <c r="AM264" i="23" s="1"/>
  <c r="AL246" i="23"/>
  <c r="AM246" i="23" s="1"/>
  <c r="AL235" i="23"/>
  <c r="AL352" i="23"/>
  <c r="AL322" i="23"/>
  <c r="AL216" i="23"/>
  <c r="O556" i="47"/>
  <c r="O456" i="47"/>
  <c r="O399" i="47"/>
  <c r="O392" i="47"/>
  <c r="O271" i="47"/>
  <c r="O199" i="47"/>
  <c r="O192" i="47"/>
  <c r="O144" i="47"/>
  <c r="O104" i="47"/>
  <c r="O64" i="47"/>
  <c r="AL259" i="23"/>
  <c r="AM259" i="23" s="1"/>
  <c r="AL229" i="23"/>
  <c r="AM229" i="23" s="1"/>
  <c r="AL219" i="23"/>
  <c r="AM219" i="23" s="1"/>
  <c r="O719" i="47"/>
  <c r="O603" i="47"/>
  <c r="O600" i="47"/>
  <c r="AL265" i="23"/>
  <c r="AL243" i="23"/>
  <c r="AL360" i="23"/>
  <c r="AM360" i="23" s="1"/>
  <c r="AL357" i="23"/>
  <c r="AL342" i="23"/>
  <c r="AM342" i="23" s="1"/>
  <c r="AL334" i="23"/>
  <c r="AM334" i="23" s="1"/>
  <c r="AL331" i="23"/>
  <c r="AB988" i="47"/>
  <c r="AB861" i="47"/>
  <c r="O3" i="47"/>
  <c r="P3" i="47" s="1"/>
  <c r="AC3" i="47" s="1"/>
  <c r="AB3" i="47" s="1"/>
  <c r="O660" i="47"/>
  <c r="O20" i="47"/>
  <c r="O935" i="47"/>
  <c r="O903" i="47"/>
  <c r="O872" i="47"/>
  <c r="O844" i="47"/>
  <c r="O728" i="47"/>
  <c r="O648" i="47"/>
  <c r="O571" i="47"/>
  <c r="O416" i="47"/>
  <c r="O280" i="47"/>
  <c r="O227" i="47"/>
  <c r="O207" i="47"/>
  <c r="AL226" i="23"/>
  <c r="AL250" i="23"/>
  <c r="AL361" i="23"/>
  <c r="AL339" i="23"/>
  <c r="AB341" i="47"/>
  <c r="AB333" i="47"/>
  <c r="AB52" i="47"/>
  <c r="AB41" i="47"/>
  <c r="AL42" i="23"/>
  <c r="AM42" i="23" s="1"/>
  <c r="AL346" i="23"/>
  <c r="AB63" i="47"/>
  <c r="O220" i="47"/>
  <c r="O156" i="47"/>
  <c r="O920" i="47"/>
  <c r="O856" i="47"/>
  <c r="O831" i="47"/>
  <c r="O824" i="47"/>
  <c r="O784" i="47"/>
  <c r="O744" i="47"/>
  <c r="O680" i="47"/>
  <c r="O632" i="47"/>
  <c r="AL312" i="23"/>
  <c r="AB678" i="47"/>
  <c r="O816" i="47"/>
  <c r="O712" i="47"/>
  <c r="O560" i="47"/>
  <c r="AL256" i="23"/>
  <c r="AB768" i="47"/>
  <c r="O692" i="47"/>
  <c r="O999" i="47"/>
  <c r="O982" i="47"/>
  <c r="O925" i="47"/>
  <c r="O918" i="47"/>
  <c r="O829" i="47"/>
  <c r="O822" i="47"/>
  <c r="O801" i="47"/>
  <c r="O782" i="47"/>
  <c r="O763" i="47"/>
  <c r="O749" i="47"/>
  <c r="O718" i="47"/>
  <c r="O685" i="47"/>
  <c r="O678" i="47"/>
  <c r="O657" i="47"/>
  <c r="O630" i="47"/>
  <c r="O580" i="47"/>
  <c r="O566" i="47"/>
  <c r="O545" i="47"/>
  <c r="O526" i="47"/>
  <c r="O486" i="47"/>
  <c r="O465" i="47"/>
  <c r="O310" i="47"/>
  <c r="O303" i="47"/>
  <c r="O275" i="47"/>
  <c r="O241" i="47"/>
  <c r="O223" i="47"/>
  <c r="O163" i="47"/>
  <c r="O94" i="47"/>
  <c r="AL253" i="23"/>
  <c r="AM253" i="23" s="1"/>
  <c r="AL21" i="23"/>
  <c r="AM21" i="23" s="1"/>
  <c r="AB414" i="47"/>
  <c r="AB402" i="47"/>
  <c r="AL261" i="23"/>
  <c r="O532" i="47"/>
  <c r="O854" i="47"/>
  <c r="O397" i="47"/>
  <c r="O369" i="47"/>
  <c r="O329" i="47"/>
  <c r="O177" i="47"/>
  <c r="O676" i="47"/>
  <c r="O969" i="47"/>
  <c r="O949" i="47"/>
  <c r="O924" i="47"/>
  <c r="O917" i="47"/>
  <c r="O873" i="47"/>
  <c r="O860" i="47"/>
  <c r="O853" i="47"/>
  <c r="O846" i="47"/>
  <c r="O840" i="47"/>
  <c r="O821" i="47"/>
  <c r="O814" i="47"/>
  <c r="O808" i="47"/>
  <c r="O781" i="47"/>
  <c r="O775" i="47"/>
  <c r="O748" i="47"/>
  <c r="O742" i="47"/>
  <c r="O736" i="47"/>
  <c r="O729" i="47"/>
  <c r="O704" i="47"/>
  <c r="O664" i="47"/>
  <c r="O643" i="47"/>
  <c r="O623" i="47"/>
  <c r="O598" i="47"/>
  <c r="O586" i="47"/>
  <c r="O559" i="47"/>
  <c r="O552" i="47"/>
  <c r="O519" i="47"/>
  <c r="O512" i="47"/>
  <c r="O491" i="47"/>
  <c r="O454" i="47"/>
  <c r="O446" i="47"/>
  <c r="O438" i="47"/>
  <c r="O417" i="47"/>
  <c r="O390" i="47"/>
  <c r="O382" i="47"/>
  <c r="O376" i="47"/>
  <c r="O342" i="47"/>
  <c r="O296" i="47"/>
  <c r="O289" i="47"/>
  <c r="O281" i="47"/>
  <c r="O248" i="47"/>
  <c r="O235" i="47"/>
  <c r="O222" i="47"/>
  <c r="O208" i="47"/>
  <c r="O203" i="47"/>
  <c r="O176" i="47"/>
  <c r="O148" i="47"/>
  <c r="O142" i="47"/>
  <c r="O129" i="47"/>
  <c r="O121" i="47"/>
  <c r="O115" i="47"/>
  <c r="O8" i="47"/>
  <c r="P8" i="47" s="1"/>
  <c r="AC8" i="47" s="1"/>
  <c r="AB8" i="47" s="1"/>
  <c r="O940" i="47"/>
  <c r="O804" i="47"/>
  <c r="O388" i="47"/>
  <c r="O308" i="47"/>
  <c r="O236" i="47"/>
  <c r="O196" i="47"/>
  <c r="O116" i="47"/>
  <c r="O975" i="47"/>
  <c r="O955" i="47"/>
  <c r="O891" i="47"/>
  <c r="O885" i="47"/>
  <c r="O845" i="47"/>
  <c r="O833" i="47"/>
  <c r="O800" i="47"/>
  <c r="O768" i="47"/>
  <c r="O761" i="47"/>
  <c r="O703" i="47"/>
  <c r="O696" i="47"/>
  <c r="O670" i="47"/>
  <c r="O656" i="47"/>
  <c r="O622" i="47"/>
  <c r="O616" i="47"/>
  <c r="O591" i="47"/>
  <c r="O585" i="47"/>
  <c r="O558" i="47"/>
  <c r="O544" i="47"/>
  <c r="O537" i="47"/>
  <c r="O524" i="47"/>
  <c r="O518" i="47"/>
  <c r="O505" i="47"/>
  <c r="O497" i="47"/>
  <c r="O478" i="47"/>
  <c r="O470" i="47"/>
  <c r="O464" i="47"/>
  <c r="O423" i="47"/>
  <c r="O409" i="47"/>
  <c r="O401" i="47"/>
  <c r="O389" i="47"/>
  <c r="O368" i="47"/>
  <c r="O361" i="47"/>
  <c r="O355" i="47"/>
  <c r="O341" i="47"/>
  <c r="O335" i="47"/>
  <c r="O321" i="47"/>
  <c r="O301" i="47"/>
  <c r="O240" i="47"/>
  <c r="O214" i="47"/>
  <c r="O183" i="47"/>
  <c r="O162" i="47"/>
  <c r="O135" i="47"/>
  <c r="O70" i="47"/>
  <c r="O900" i="47"/>
  <c r="O974" i="47"/>
  <c r="O941" i="47"/>
  <c r="O909" i="47"/>
  <c r="O878" i="47"/>
  <c r="O793" i="47"/>
  <c r="O774" i="47"/>
  <c r="O753" i="47"/>
  <c r="O702" i="47"/>
  <c r="O641" i="47"/>
  <c r="O577" i="47"/>
  <c r="O550" i="47"/>
  <c r="O489" i="47"/>
  <c r="O429" i="47"/>
  <c r="O422" i="47"/>
  <c r="O246" i="47"/>
  <c r="O2" i="47"/>
  <c r="P2" i="47" s="1"/>
  <c r="AC2" i="47" s="1"/>
  <c r="AB2" i="47" s="1"/>
  <c r="O652" i="47"/>
  <c r="O228" i="47"/>
  <c r="O100" i="47"/>
  <c r="O990" i="47"/>
  <c r="O984" i="47"/>
  <c r="O979" i="47"/>
  <c r="O960" i="47"/>
  <c r="O953" i="47"/>
  <c r="O947" i="47"/>
  <c r="O934" i="47"/>
  <c r="O921" i="47"/>
  <c r="O915" i="47"/>
  <c r="O902" i="47"/>
  <c r="O896" i="47"/>
  <c r="O889" i="47"/>
  <c r="O877" i="47"/>
  <c r="O864" i="47"/>
  <c r="O832" i="47"/>
  <c r="O825" i="47"/>
  <c r="O799" i="47"/>
  <c r="O785" i="47"/>
  <c r="O779" i="47"/>
  <c r="O767" i="47"/>
  <c r="O734" i="47"/>
  <c r="O695" i="47"/>
  <c r="O681" i="47"/>
  <c r="O675" i="47"/>
  <c r="O654" i="47"/>
  <c r="O633" i="47"/>
  <c r="O608" i="47"/>
  <c r="O590" i="47"/>
  <c r="O584" i="47"/>
  <c r="O483" i="47"/>
  <c r="O463" i="47"/>
  <c r="O457" i="47"/>
  <c r="O400" i="47"/>
  <c r="O393" i="47"/>
  <c r="O373" i="47"/>
  <c r="O360" i="47"/>
  <c r="O353" i="47"/>
  <c r="O327" i="47"/>
  <c r="O320" i="47"/>
  <c r="O313" i="47"/>
  <c r="O286" i="47"/>
  <c r="O272" i="47"/>
  <c r="O265" i="47"/>
  <c r="O239" i="47"/>
  <c r="O193" i="47"/>
  <c r="O167" i="47"/>
  <c r="O153" i="47"/>
  <c r="O55" i="47"/>
  <c r="O996" i="47"/>
  <c r="O284" i="47"/>
  <c r="O989" i="47"/>
  <c r="O939" i="47"/>
  <c r="O928" i="47"/>
  <c r="O901" i="47"/>
  <c r="O870" i="47"/>
  <c r="O843" i="47"/>
  <c r="O811" i="47"/>
  <c r="O792" i="47"/>
  <c r="O759" i="47"/>
  <c r="O752" i="47"/>
  <c r="O739" i="47"/>
  <c r="O727" i="47"/>
  <c r="O720" i="47"/>
  <c r="O713" i="47"/>
  <c r="O707" i="47"/>
  <c r="O688" i="47"/>
  <c r="O640" i="47"/>
  <c r="O625" i="47"/>
  <c r="O601" i="47"/>
  <c r="O583" i="47"/>
  <c r="O576" i="47"/>
  <c r="O561" i="47"/>
  <c r="O528" i="47"/>
  <c r="O521" i="47"/>
  <c r="O494" i="47"/>
  <c r="O488" i="47"/>
  <c r="O326" i="47"/>
  <c r="O299" i="47"/>
  <c r="O257" i="47"/>
  <c r="O225" i="47"/>
  <c r="O166" i="47"/>
  <c r="O160" i="47"/>
  <c r="O139" i="47"/>
  <c r="O119" i="47"/>
  <c r="O97" i="47"/>
  <c r="O89" i="47"/>
  <c r="O81" i="47"/>
  <c r="O40" i="47"/>
  <c r="O732" i="47"/>
  <c r="O972" i="47"/>
  <c r="O958" i="47"/>
  <c r="O945" i="47"/>
  <c r="O913" i="47"/>
  <c r="O894" i="47"/>
  <c r="O869" i="47"/>
  <c r="O777" i="47"/>
  <c r="O758" i="47"/>
  <c r="O726" i="47"/>
  <c r="O694" i="47"/>
  <c r="O673" i="47"/>
  <c r="O593" i="47"/>
  <c r="O481" i="47"/>
  <c r="O441" i="47"/>
  <c r="O405" i="47"/>
  <c r="O385" i="47"/>
  <c r="O358" i="47"/>
  <c r="O337" i="47"/>
  <c r="O325" i="47"/>
  <c r="O305" i="47"/>
  <c r="O217" i="47"/>
  <c r="O185" i="47"/>
  <c r="O66" i="47"/>
  <c r="O53" i="47"/>
  <c r="O25" i="47"/>
  <c r="O836" i="47"/>
  <c r="O476" i="47"/>
  <c r="O332" i="47"/>
  <c r="O937" i="47"/>
  <c r="O926" i="47"/>
  <c r="O893" i="47"/>
  <c r="O888" i="47"/>
  <c r="O875" i="47"/>
  <c r="O862" i="47"/>
  <c r="O848" i="47"/>
  <c r="O830" i="47"/>
  <c r="O809" i="47"/>
  <c r="O790" i="47"/>
  <c r="O750" i="47"/>
  <c r="O737" i="47"/>
  <c r="O705" i="47"/>
  <c r="O686" i="47"/>
  <c r="O665" i="47"/>
  <c r="O644" i="47"/>
  <c r="O617" i="47"/>
  <c r="O605" i="47"/>
  <c r="O553" i="47"/>
  <c r="O527" i="47"/>
  <c r="O520" i="47"/>
  <c r="O513" i="47"/>
  <c r="O500" i="47"/>
  <c r="O473" i="47"/>
  <c r="O419" i="47"/>
  <c r="O377" i="47"/>
  <c r="O357" i="47"/>
  <c r="O350" i="47"/>
  <c r="O344" i="47"/>
  <c r="O317" i="47"/>
  <c r="O311" i="47"/>
  <c r="O297" i="47"/>
  <c r="O291" i="47"/>
  <c r="O283" i="47"/>
  <c r="O276" i="47"/>
  <c r="O263" i="47"/>
  <c r="O224" i="47"/>
  <c r="O178" i="47"/>
  <c r="O171" i="47"/>
  <c r="O158" i="47"/>
  <c r="O110" i="47"/>
  <c r="O65" i="47"/>
  <c r="O52" i="47"/>
  <c r="AL349" i="23"/>
  <c r="AM349" i="23" s="1"/>
  <c r="AB914" i="47"/>
  <c r="AB906" i="47"/>
  <c r="AB867" i="47"/>
  <c r="AB595" i="47"/>
  <c r="AB583" i="47"/>
  <c r="AB555" i="47"/>
  <c r="AB480" i="47"/>
  <c r="AB473" i="47"/>
  <c r="AB286" i="47"/>
  <c r="AB246" i="47"/>
  <c r="AB242" i="47"/>
  <c r="AB238" i="47"/>
  <c r="AB397" i="47"/>
  <c r="AB361" i="47"/>
  <c r="AB343" i="47"/>
  <c r="AB158" i="47"/>
  <c r="AB154" i="47"/>
  <c r="AB142" i="47"/>
  <c r="AB948" i="47"/>
  <c r="AB940" i="47"/>
  <c r="AB855" i="47"/>
  <c r="AB601" i="47"/>
  <c r="AB586" i="47"/>
  <c r="AB499" i="47"/>
  <c r="AB309" i="47"/>
  <c r="AB193" i="47"/>
  <c r="AB185" i="47"/>
  <c r="AB62" i="47"/>
  <c r="AB47" i="47"/>
  <c r="AB932" i="47"/>
  <c r="AB749" i="47"/>
  <c r="AB746" i="47"/>
  <c r="AB742" i="47"/>
  <c r="AB734" i="47"/>
  <c r="AB730" i="47"/>
  <c r="AB424" i="47"/>
  <c r="AB420" i="47"/>
  <c r="AB372" i="47"/>
  <c r="AB368" i="47"/>
  <c r="AB364" i="47"/>
  <c r="AB338" i="47"/>
  <c r="AB161" i="47"/>
  <c r="AB129" i="47"/>
  <c r="AB39" i="47"/>
  <c r="AB908" i="47"/>
  <c r="AB846" i="47"/>
  <c r="AB638" i="47"/>
  <c r="AB614" i="47"/>
  <c r="AB565" i="47"/>
  <c r="AB561" i="47"/>
  <c r="AB455" i="47"/>
  <c r="AB319" i="47"/>
  <c r="AB252" i="47"/>
  <c r="AB180" i="47"/>
  <c r="AB105" i="47"/>
  <c r="AB97" i="47"/>
  <c r="AB46" i="47"/>
  <c r="AB876" i="47"/>
  <c r="AB872" i="47"/>
  <c r="AB725" i="47"/>
  <c r="AB576" i="47"/>
  <c r="AB303" i="47"/>
  <c r="AB291" i="47"/>
  <c r="AB223" i="47"/>
  <c r="AB211" i="47"/>
  <c r="O936" i="47"/>
  <c r="O498" i="47"/>
  <c r="O689" i="47"/>
  <c r="O536" i="47"/>
  <c r="O152" i="47"/>
  <c r="O540" i="47"/>
  <c r="O427" i="47"/>
  <c r="O159" i="47"/>
  <c r="O433" i="47"/>
  <c r="O769" i="47"/>
  <c r="O447" i="47"/>
  <c r="O316" i="47"/>
  <c r="O554" i="47"/>
  <c r="O170" i="47"/>
  <c r="O290" i="47"/>
  <c r="O755" i="47"/>
  <c r="O73" i="47"/>
  <c r="O10" i="47"/>
  <c r="P10" i="47" s="1"/>
  <c r="AC10" i="47" s="1"/>
  <c r="AB10" i="47" s="1"/>
  <c r="O849" i="47"/>
  <c r="O551" i="47"/>
  <c r="O201" i="47"/>
  <c r="O282" i="47"/>
  <c r="O108" i="47"/>
  <c r="O948" i="47"/>
  <c r="O80" i="47"/>
  <c r="O827" i="47"/>
  <c r="O575" i="47"/>
  <c r="O45" i="47"/>
  <c r="O757" i="47"/>
  <c r="O794" i="47"/>
  <c r="O233" i="47"/>
  <c r="O114" i="47"/>
  <c r="O36" i="47"/>
  <c r="O731" i="47"/>
  <c r="O180" i="47"/>
  <c r="O740" i="47"/>
  <c r="O274" i="47"/>
  <c r="O851" i="47"/>
  <c r="O574" i="47"/>
  <c r="O905" i="47"/>
  <c r="O490" i="47"/>
  <c r="O980" i="47"/>
  <c r="O380" i="47"/>
  <c r="O911" i="47"/>
  <c r="O967" i="47"/>
  <c r="O931" i="47"/>
  <c r="O699" i="47"/>
  <c r="O795" i="47"/>
  <c r="O54" i="47"/>
  <c r="O349" i="47"/>
  <c r="O322" i="47"/>
  <c r="O33" i="47"/>
  <c r="O839" i="47"/>
  <c r="O395" i="47"/>
  <c r="O381" i="47"/>
  <c r="O169" i="47"/>
  <c r="O730" i="47"/>
  <c r="O535" i="47"/>
  <c r="O375" i="47"/>
  <c r="O581" i="47"/>
  <c r="O826" i="47"/>
  <c r="O722" i="47"/>
  <c r="O671" i="47"/>
  <c r="O649" i="47"/>
  <c r="O610" i="47"/>
  <c r="O234" i="47"/>
  <c r="O86" i="47"/>
  <c r="I69" i="49"/>
  <c r="I70" i="49" s="1"/>
  <c r="I71" i="49" s="1"/>
  <c r="I72" i="49" s="1"/>
  <c r="I73" i="49" s="1"/>
  <c r="I74" i="49" s="1"/>
  <c r="AB930" i="47"/>
  <c r="AB839" i="47"/>
  <c r="AB831" i="47"/>
  <c r="AB710" i="47"/>
  <c r="AB698" i="47"/>
  <c r="AB676" i="47"/>
  <c r="AB669" i="47"/>
  <c r="AB592" i="47"/>
  <c r="AB566" i="47"/>
  <c r="AB546" i="47"/>
  <c r="AB438" i="47"/>
  <c r="AB434" i="47"/>
  <c r="AB336" i="47"/>
  <c r="AB261" i="47"/>
  <c r="AB229" i="47"/>
  <c r="AB143" i="47"/>
  <c r="AB139" i="47"/>
  <c r="AB212" i="47"/>
  <c r="AB452" i="47"/>
  <c r="AB753" i="47"/>
  <c r="AB556" i="47"/>
  <c r="AB390" i="47"/>
  <c r="AB356" i="47"/>
  <c r="AB775" i="47"/>
  <c r="AB613" i="47"/>
  <c r="AB528" i="47"/>
  <c r="AB468" i="47"/>
  <c r="AB454" i="47"/>
  <c r="AB432" i="47"/>
  <c r="AB405" i="47"/>
  <c r="AB278" i="47"/>
  <c r="AB210" i="47"/>
  <c r="AB191" i="47"/>
  <c r="AB126" i="47"/>
  <c r="AB115" i="47"/>
  <c r="AB869" i="47"/>
  <c r="AB851" i="47"/>
  <c r="AB847" i="47"/>
  <c r="AB803" i="47"/>
  <c r="AB799" i="47"/>
  <c r="AB792" i="47"/>
  <c r="AB770" i="47"/>
  <c r="AB581" i="47"/>
  <c r="AB547" i="47"/>
  <c r="AB516" i="47"/>
  <c r="AB512" i="47"/>
  <c r="AB471" i="47"/>
  <c r="AB464" i="47"/>
  <c r="AB352" i="47"/>
  <c r="AB277" i="47"/>
  <c r="AB273" i="47"/>
  <c r="AB121" i="47"/>
  <c r="AB68" i="47"/>
  <c r="O508" i="47"/>
  <c r="O260" i="47"/>
  <c r="O876" i="47"/>
  <c r="O796" i="47"/>
  <c r="O988" i="47"/>
  <c r="O983" i="47"/>
  <c r="O124" i="47"/>
  <c r="O914" i="47"/>
  <c r="O658" i="47"/>
  <c r="O957" i="47"/>
  <c r="AB962" i="47"/>
  <c r="AB958" i="47"/>
  <c r="AB921" i="47"/>
  <c r="AB878" i="47"/>
  <c r="AB829" i="47"/>
  <c r="AB808" i="47"/>
  <c r="AB794" i="47"/>
  <c r="AB766" i="47"/>
  <c r="AB751" i="47"/>
  <c r="AB712" i="47"/>
  <c r="AB704" i="47"/>
  <c r="AB619" i="47"/>
  <c r="AB536" i="47"/>
  <c r="AB532" i="47"/>
  <c r="AB445" i="47"/>
  <c r="AB415" i="47"/>
  <c r="AB400" i="47"/>
  <c r="AB350" i="47"/>
  <c r="AB266" i="47"/>
  <c r="AB244" i="47"/>
  <c r="AB134" i="47"/>
  <c r="AB124" i="47"/>
  <c r="AB117" i="47"/>
  <c r="AB103" i="47"/>
  <c r="AB89" i="47"/>
  <c r="AB57" i="47"/>
  <c r="AB53" i="47"/>
  <c r="AB19" i="47"/>
  <c r="AB864" i="47"/>
  <c r="AB845" i="47"/>
  <c r="AB790" i="47"/>
  <c r="AB779" i="47"/>
  <c r="AB776" i="47"/>
  <c r="AB718" i="47"/>
  <c r="AB666" i="47"/>
  <c r="AB637" i="47"/>
  <c r="AB629" i="47"/>
  <c r="AB482" i="47"/>
  <c r="AB441" i="47"/>
  <c r="AB396" i="47"/>
  <c r="AB359" i="47"/>
  <c r="AB325" i="47"/>
  <c r="AB300" i="47"/>
  <c r="AB297" i="47"/>
  <c r="AB287" i="47"/>
  <c r="AB221" i="47"/>
  <c r="AB174" i="47"/>
  <c r="AB976" i="47"/>
  <c r="AB786" i="47"/>
  <c r="AB640" i="47"/>
  <c r="AB602" i="47"/>
  <c r="AB358" i="47"/>
  <c r="AB877" i="47"/>
  <c r="AB837" i="47"/>
  <c r="AB814" i="47"/>
  <c r="AB789" i="47"/>
  <c r="AB692" i="47"/>
  <c r="AB665" i="47"/>
  <c r="AB538" i="47"/>
  <c r="AB496" i="47"/>
  <c r="AB457" i="47"/>
  <c r="AB450" i="47"/>
  <c r="AB447" i="47"/>
  <c r="AB272" i="47"/>
  <c r="AB239" i="47"/>
  <c r="AB231" i="47"/>
  <c r="AB227" i="47"/>
  <c r="AB177" i="47"/>
  <c r="AB116" i="47"/>
  <c r="AB95" i="47"/>
  <c r="AB80" i="47"/>
  <c r="AB77" i="47"/>
  <c r="AB813" i="47"/>
  <c r="AB558" i="47"/>
  <c r="AB702" i="47"/>
  <c r="AB661" i="47"/>
  <c r="AB505" i="47"/>
  <c r="AB443" i="47"/>
  <c r="AB337" i="47"/>
  <c r="AB165" i="47"/>
  <c r="AB37" i="47"/>
  <c r="AB970" i="47"/>
  <c r="AB929" i="47"/>
  <c r="AB854" i="47"/>
  <c r="AB795" i="47"/>
  <c r="AB733" i="47"/>
  <c r="AB687" i="47"/>
  <c r="AB590" i="47"/>
  <c r="AB572" i="47"/>
  <c r="AB554" i="47"/>
  <c r="AB463" i="47"/>
  <c r="AB431" i="47"/>
  <c r="AB313" i="47"/>
  <c r="AB275" i="47"/>
  <c r="AB271" i="47"/>
  <c r="AB245" i="47"/>
  <c r="AB226" i="47"/>
  <c r="AB146" i="47"/>
  <c r="AB65" i="47"/>
  <c r="AB58" i="47"/>
  <c r="AB23" i="47"/>
  <c r="O994" i="47"/>
  <c r="O959" i="47"/>
  <c r="O943" i="47"/>
  <c r="O868" i="47"/>
  <c r="O817" i="47"/>
  <c r="O772" i="47"/>
  <c r="O164" i="47"/>
  <c r="O46" i="47"/>
  <c r="O880" i="47"/>
  <c r="O828" i="47"/>
  <c r="O993" i="47"/>
  <c r="O942" i="47"/>
  <c r="O932" i="47"/>
  <c r="O867" i="47"/>
  <c r="O857" i="47"/>
  <c r="O852" i="47"/>
  <c r="O841" i="47"/>
  <c r="O760" i="47"/>
  <c r="O562" i="47"/>
  <c r="O172" i="47"/>
  <c r="O762" i="47"/>
  <c r="O348" i="47"/>
  <c r="O28" i="47"/>
  <c r="O863" i="47"/>
  <c r="O812" i="47"/>
  <c r="O798" i="47"/>
  <c r="O788" i="47"/>
  <c r="O468" i="47"/>
  <c r="O428" i="47"/>
  <c r="O19" i="47"/>
  <c r="O998" i="47"/>
  <c r="O992" i="47"/>
  <c r="O978" i="47"/>
  <c r="O968" i="47"/>
  <c r="O904" i="47"/>
  <c r="O802" i="47"/>
  <c r="O797" i="47"/>
  <c r="O766" i="47"/>
  <c r="O333" i="47"/>
  <c r="O244" i="47"/>
  <c r="L39" i="25"/>
  <c r="H32" i="42"/>
  <c r="H27" i="42"/>
  <c r="F39" i="3" s="1"/>
  <c r="O997" i="47"/>
  <c r="O977" i="47"/>
  <c r="O952" i="47"/>
  <c r="O820" i="47"/>
  <c r="O604" i="47"/>
  <c r="O572" i="47"/>
  <c r="O462" i="47"/>
  <c r="O356" i="47"/>
  <c r="O182" i="47"/>
  <c r="O60" i="47"/>
  <c r="O985" i="47"/>
  <c r="O966" i="47"/>
  <c r="O923" i="47"/>
  <c r="O908" i="47"/>
  <c r="O881" i="47"/>
  <c r="O871" i="47"/>
  <c r="O807" i="47"/>
  <c r="O791" i="47"/>
  <c r="O780" i="47"/>
  <c r="O724" i="47"/>
  <c r="O976" i="47"/>
  <c r="O965" i="47"/>
  <c r="O950" i="47"/>
  <c r="O929" i="47"/>
  <c r="O907" i="47"/>
  <c r="O897" i="47"/>
  <c r="O806" i="47"/>
  <c r="O700" i="47"/>
  <c r="O324" i="47"/>
  <c r="O252" i="47"/>
  <c r="O23" i="47"/>
  <c r="J39" i="25"/>
  <c r="O175" i="47"/>
  <c r="O789" i="47"/>
  <c r="O611" i="47"/>
  <c r="O425" i="47"/>
  <c r="O838" i="47"/>
  <c r="O663" i="47"/>
  <c r="O408" i="47"/>
  <c r="O32" i="47"/>
  <c r="O883" i="47"/>
  <c r="O538" i="47"/>
  <c r="O842" i="47"/>
  <c r="O892" i="47"/>
  <c r="O277" i="47"/>
  <c r="O639" i="47"/>
  <c r="O823" i="47"/>
  <c r="O865" i="47"/>
  <c r="O258" i="47"/>
  <c r="O268" i="47"/>
  <c r="O567" i="47"/>
  <c r="O318" i="47"/>
  <c r="O414" i="47"/>
  <c r="O594" i="47"/>
  <c r="O68" i="47"/>
  <c r="O190" i="47"/>
  <c r="O810" i="47"/>
  <c r="O961" i="47"/>
  <c r="O847" i="47"/>
  <c r="O522" i="47"/>
  <c r="O693" i="47"/>
  <c r="O507" i="47"/>
  <c r="O899" i="47"/>
  <c r="O298" i="47"/>
  <c r="O340" i="47"/>
  <c r="O406" i="47"/>
  <c r="O764" i="47"/>
  <c r="O954" i="47"/>
  <c r="O436" i="47"/>
  <c r="O309" i="47"/>
  <c r="O14" i="47"/>
  <c r="O306" i="47"/>
  <c r="I146" i="49"/>
  <c r="I147" i="49" s="1"/>
  <c r="I148" i="49" s="1"/>
  <c r="I149" i="49" s="1"/>
  <c r="O107" i="49"/>
  <c r="S107" i="49" s="1"/>
  <c r="AB853" i="47"/>
  <c r="AB807" i="47"/>
  <c r="AB866" i="47"/>
  <c r="AB190" i="47"/>
  <c r="J27" i="25"/>
  <c r="F11" i="3" s="1"/>
  <c r="AB886" i="47"/>
  <c r="AB863" i="47"/>
  <c r="AB771" i="47"/>
  <c r="AB760" i="47"/>
  <c r="AB739" i="47"/>
  <c r="AB713" i="47"/>
  <c r="AB623" i="47"/>
  <c r="AB407" i="47"/>
  <c r="AB327" i="47"/>
  <c r="AB216" i="47"/>
  <c r="AB985" i="47"/>
  <c r="AB916" i="47"/>
  <c r="AB479" i="47"/>
  <c r="AB153" i="47"/>
  <c r="AB31" i="47"/>
  <c r="AB871" i="47"/>
  <c r="AB810" i="47"/>
  <c r="AB489" i="47"/>
  <c r="AB385" i="47"/>
  <c r="AB379" i="47"/>
  <c r="AB892" i="47"/>
  <c r="AB862" i="47"/>
  <c r="AB773" i="47"/>
  <c r="AB677" i="47"/>
  <c r="AB658" i="47"/>
  <c r="AB647" i="47"/>
  <c r="AB74" i="47"/>
  <c r="AB16" i="47"/>
  <c r="AB254" i="47"/>
  <c r="AB251" i="47"/>
  <c r="AB110" i="47"/>
  <c r="AB654" i="47"/>
  <c r="AB605" i="47"/>
  <c r="AB520" i="47"/>
  <c r="AB514" i="47"/>
  <c r="AB247" i="47"/>
  <c r="AB25" i="47"/>
  <c r="AB972" i="47"/>
  <c r="AB954" i="47"/>
  <c r="AB898" i="47"/>
  <c r="AB765" i="47"/>
  <c r="AB544" i="47"/>
  <c r="AB501" i="47"/>
  <c r="AB470" i="47"/>
  <c r="AB366" i="47"/>
  <c r="AB345" i="47"/>
  <c r="AB335" i="47"/>
  <c r="AB294" i="47"/>
  <c r="AB224" i="47"/>
  <c r="AB169" i="47"/>
  <c r="AB144" i="47"/>
  <c r="AB113" i="47"/>
  <c r="AB79" i="47"/>
  <c r="AB29" i="47"/>
  <c r="AB956" i="47"/>
  <c r="AB953" i="47"/>
  <c r="AB942" i="47"/>
  <c r="AB897" i="47"/>
  <c r="AB858" i="47"/>
  <c r="AB797" i="47"/>
  <c r="AB783" i="47"/>
  <c r="AB762" i="47"/>
  <c r="AB756" i="47"/>
  <c r="AB683" i="47"/>
  <c r="AB662" i="47"/>
  <c r="AB646" i="47"/>
  <c r="AB632" i="47"/>
  <c r="AB610" i="47"/>
  <c r="AB559" i="47"/>
  <c r="AB551" i="47"/>
  <c r="AB535" i="47"/>
  <c r="AB510" i="47"/>
  <c r="AB426" i="47"/>
  <c r="AB423" i="47"/>
  <c r="AB416" i="47"/>
  <c r="AB377" i="47"/>
  <c r="AB371" i="47"/>
  <c r="AB340" i="47"/>
  <c r="AB269" i="47"/>
  <c r="AB197" i="47"/>
  <c r="AB167" i="47"/>
  <c r="AB147" i="47"/>
  <c r="AB137" i="47"/>
  <c r="AB128" i="47"/>
  <c r="AB43" i="47"/>
  <c r="AB993" i="47"/>
  <c r="AB938" i="47"/>
  <c r="AB727" i="47"/>
  <c r="AB674" i="47"/>
  <c r="AB584" i="47"/>
  <c r="AB518" i="47"/>
  <c r="AB425" i="47"/>
  <c r="AB386" i="47"/>
  <c r="AB355" i="47"/>
  <c r="AB33" i="47"/>
  <c r="AB20" i="47"/>
  <c r="AB874" i="47"/>
  <c r="AB859" i="47"/>
  <c r="AB616" i="47"/>
  <c r="AB589" i="47"/>
  <c r="AB557" i="47"/>
  <c r="AB543" i="47"/>
  <c r="AB527" i="47"/>
  <c r="AB498" i="47"/>
  <c r="AB495" i="47"/>
  <c r="AB465" i="47"/>
  <c r="AB462" i="47"/>
  <c r="AB395" i="47"/>
  <c r="AB346" i="47"/>
  <c r="AB330" i="47"/>
  <c r="AB318" i="47"/>
  <c r="AB311" i="47"/>
  <c r="AB305" i="47"/>
  <c r="AB302" i="47"/>
  <c r="AB299" i="47"/>
  <c r="AB195" i="47"/>
  <c r="AB186" i="47"/>
  <c r="AB179" i="47"/>
  <c r="AB175" i="47"/>
  <c r="AB148" i="47"/>
  <c r="AB100" i="47"/>
  <c r="AB86" i="47"/>
  <c r="AB931" i="47"/>
  <c r="AB696" i="47"/>
  <c r="AB612" i="47"/>
  <c r="AB598" i="47"/>
  <c r="AB531" i="47"/>
  <c r="AB436" i="47"/>
  <c r="AB375" i="47"/>
  <c r="AB351" i="47"/>
  <c r="AB208" i="47"/>
  <c r="AB136" i="47"/>
  <c r="AB127" i="47"/>
  <c r="AB76" i="47"/>
  <c r="AB990" i="47"/>
  <c r="AB980" i="47"/>
  <c r="AB974" i="47"/>
  <c r="AB964" i="47"/>
  <c r="AB961" i="47"/>
  <c r="AB918" i="47"/>
  <c r="AB835" i="47"/>
  <c r="AB818" i="47"/>
  <c r="AB809" i="47"/>
  <c r="AB788" i="47"/>
  <c r="AB758" i="47"/>
  <c r="AB735" i="47"/>
  <c r="AB699" i="47"/>
  <c r="AB679" i="47"/>
  <c r="AB671" i="47"/>
  <c r="AB653" i="47"/>
  <c r="AB615" i="47"/>
  <c r="AB607" i="47"/>
  <c r="AB494" i="47"/>
  <c r="AB487" i="47"/>
  <c r="AB411" i="47"/>
  <c r="AB398" i="47"/>
  <c r="AB388" i="47"/>
  <c r="AB281" i="47"/>
  <c r="AB250" i="47"/>
  <c r="AB233" i="47"/>
  <c r="AB45" i="47"/>
  <c r="AB418" i="47"/>
  <c r="AB409" i="47"/>
  <c r="AB393" i="47"/>
  <c r="AB384" i="47"/>
  <c r="AB381" i="47"/>
  <c r="AB344" i="47"/>
  <c r="AB285" i="47"/>
  <c r="AB206" i="47"/>
  <c r="AB132" i="47"/>
  <c r="AB118" i="47"/>
  <c r="AB101" i="47"/>
  <c r="AB14" i="47"/>
  <c r="AB634" i="47"/>
  <c r="AB628" i="47"/>
  <c r="AB585" i="47"/>
  <c r="AB569" i="47"/>
  <c r="AB521" i="47"/>
  <c r="AB519" i="47"/>
  <c r="AB448" i="47"/>
  <c r="AB439" i="47"/>
  <c r="AB430" i="47"/>
  <c r="AB378" i="47"/>
  <c r="AB370" i="47"/>
  <c r="AB339" i="47"/>
  <c r="AB279" i="47"/>
  <c r="AB276" i="47"/>
  <c r="AB253" i="47"/>
  <c r="AB240" i="47"/>
  <c r="AB228" i="47"/>
  <c r="AB214" i="47"/>
  <c r="AB159" i="47"/>
  <c r="AB122" i="47"/>
  <c r="AB87" i="47"/>
  <c r="AB84" i="47"/>
  <c r="AB17" i="47"/>
  <c r="AB11" i="47"/>
  <c r="O886" i="47"/>
  <c r="O674" i="47"/>
  <c r="O642" i="47"/>
  <c r="O402" i="47"/>
  <c r="O242" i="47"/>
  <c r="O78" i="47"/>
  <c r="O986" i="47"/>
  <c r="O706" i="47"/>
  <c r="O626" i="47"/>
  <c r="O530" i="47"/>
  <c r="O970" i="47"/>
  <c r="O890" i="47"/>
  <c r="O450" i="47"/>
  <c r="O250" i="47"/>
  <c r="O738" i="47"/>
  <c r="O570" i="47"/>
  <c r="O426" i="47"/>
  <c r="O378" i="47"/>
  <c r="O226" i="47"/>
  <c r="O514" i="47"/>
  <c r="O394" i="47"/>
  <c r="O366" i="47"/>
  <c r="O266" i="47"/>
  <c r="O946" i="47"/>
  <c r="O754" i="47"/>
  <c r="O442" i="47"/>
  <c r="O370" i="47"/>
  <c r="O546" i="47"/>
  <c r="O474" i="47"/>
  <c r="O334" i="47"/>
  <c r="O690" i="47"/>
  <c r="O81" i="49"/>
  <c r="I94" i="49"/>
  <c r="J94" i="49" s="1"/>
  <c r="I121" i="49"/>
  <c r="J120" i="49"/>
  <c r="O55" i="49"/>
  <c r="O159" i="49"/>
  <c r="O133" i="49"/>
  <c r="I182" i="6"/>
  <c r="F12" i="3" s="1"/>
  <c r="AB905" i="47"/>
  <c r="AB994" i="47"/>
  <c r="AB922" i="47"/>
  <c r="J68" i="49"/>
  <c r="I27" i="10"/>
  <c r="F16" i="3" s="1"/>
  <c r="AB996" i="47"/>
  <c r="AB937" i="47"/>
  <c r="AB924" i="47"/>
  <c r="AB885" i="47"/>
  <c r="AB986" i="47"/>
  <c r="AB950" i="47"/>
  <c r="AB946" i="47"/>
  <c r="AB900" i="47"/>
  <c r="AB894" i="47"/>
  <c r="I43" i="49"/>
  <c r="AB884" i="47"/>
  <c r="J42" i="49"/>
  <c r="AB982" i="47"/>
  <c r="AB978" i="47"/>
  <c r="AB969" i="47"/>
  <c r="AB926" i="47"/>
  <c r="AB890" i="47"/>
  <c r="AB880" i="47"/>
  <c r="AB989" i="47"/>
  <c r="AB987" i="47"/>
  <c r="AB968" i="47"/>
  <c r="AB957" i="47"/>
  <c r="AB955" i="47"/>
  <c r="AB936" i="47"/>
  <c r="AB925" i="47"/>
  <c r="AB923" i="47"/>
  <c r="AB910" i="47"/>
  <c r="AB904" i="47"/>
  <c r="AB893" i="47"/>
  <c r="AB891" i="47"/>
  <c r="AB889" i="47"/>
  <c r="AB883" i="47"/>
  <c r="AB842" i="47"/>
  <c r="AB781" i="47"/>
  <c r="AB774" i="47"/>
  <c r="AB759" i="47"/>
  <c r="AB743" i="47"/>
  <c r="AB711" i="47"/>
  <c r="AB685" i="47"/>
  <c r="AB991" i="47"/>
  <c r="AB959" i="47"/>
  <c r="AB927" i="47"/>
  <c r="AB895" i="47"/>
  <c r="AB836" i="47"/>
  <c r="AB833" i="47"/>
  <c r="AB830" i="47"/>
  <c r="AB824" i="47"/>
  <c r="AB717" i="47"/>
  <c r="AB997" i="47"/>
  <c r="AB995" i="47"/>
  <c r="AB965" i="47"/>
  <c r="AB963" i="47"/>
  <c r="AB944" i="47"/>
  <c r="AB933" i="47"/>
  <c r="AB912" i="47"/>
  <c r="AB901" i="47"/>
  <c r="AB899" i="47"/>
  <c r="AB850" i="47"/>
  <c r="AB844" i="47"/>
  <c r="AB841" i="47"/>
  <c r="AB838" i="47"/>
  <c r="AB693" i="47"/>
  <c r="AB529" i="47"/>
  <c r="I16" i="5"/>
  <c r="F10" i="3" s="1"/>
  <c r="AB999" i="47"/>
  <c r="AB967" i="47"/>
  <c r="AB935" i="47"/>
  <c r="AB903" i="47"/>
  <c r="AB882" i="47"/>
  <c r="AB218" i="47"/>
  <c r="AB984" i="47"/>
  <c r="AB973" i="47"/>
  <c r="AB971" i="47"/>
  <c r="AB952" i="47"/>
  <c r="AB941" i="47"/>
  <c r="AB939" i="47"/>
  <c r="AB920" i="47"/>
  <c r="AB909" i="47"/>
  <c r="AB907" i="47"/>
  <c r="AB888" i="47"/>
  <c r="AB873" i="47"/>
  <c r="AB860" i="47"/>
  <c r="AB832" i="47"/>
  <c r="AB823" i="47"/>
  <c r="AB805" i="47"/>
  <c r="AB798" i="47"/>
  <c r="AB764" i="47"/>
  <c r="AB755" i="47"/>
  <c r="AB750" i="47"/>
  <c r="AB741" i="47"/>
  <c r="AB722" i="47"/>
  <c r="AB621" i="47"/>
  <c r="AB578" i="47"/>
  <c r="AB553" i="47"/>
  <c r="AB449" i="47"/>
  <c r="AB408" i="47"/>
  <c r="AB975" i="47"/>
  <c r="AB943" i="47"/>
  <c r="AB911" i="47"/>
  <c r="AB879" i="47"/>
  <c r="AB875" i="47"/>
  <c r="AB870" i="47"/>
  <c r="AB852" i="47"/>
  <c r="AB849" i="47"/>
  <c r="AB843" i="47"/>
  <c r="AB826" i="47"/>
  <c r="AB815" i="47"/>
  <c r="AB701" i="47"/>
  <c r="AB998" i="47"/>
  <c r="AB992" i="47"/>
  <c r="AB981" i="47"/>
  <c r="AB979" i="47"/>
  <c r="AB977" i="47"/>
  <c r="AB966" i="47"/>
  <c r="AB960" i="47"/>
  <c r="AB949" i="47"/>
  <c r="AB947" i="47"/>
  <c r="AB945" i="47"/>
  <c r="AB934" i="47"/>
  <c r="AB928" i="47"/>
  <c r="AB917" i="47"/>
  <c r="AB915" i="47"/>
  <c r="AB913" i="47"/>
  <c r="AB902" i="47"/>
  <c r="AB896" i="47"/>
  <c r="AB881" i="47"/>
  <c r="AB983" i="47"/>
  <c r="AB951" i="47"/>
  <c r="AB919" i="47"/>
  <c r="AB887" i="47"/>
  <c r="AB848" i="47"/>
  <c r="AB825" i="47"/>
  <c r="AB757" i="47"/>
  <c r="AB709" i="47"/>
  <c r="AB680" i="47"/>
  <c r="AB476" i="47"/>
  <c r="AB28" i="47"/>
  <c r="AB802" i="47"/>
  <c r="AB796" i="47"/>
  <c r="AB791" i="47"/>
  <c r="AB787" i="47"/>
  <c r="AB778" i="47"/>
  <c r="AB772" i="47"/>
  <c r="AB761" i="47"/>
  <c r="AB752" i="47"/>
  <c r="AB738" i="47"/>
  <c r="AB726" i="47"/>
  <c r="AB714" i="47"/>
  <c r="AB682" i="47"/>
  <c r="AB667" i="47"/>
  <c r="AB618" i="47"/>
  <c r="AB603" i="47"/>
  <c r="AB537" i="47"/>
  <c r="AB513" i="47"/>
  <c r="AB410" i="47"/>
  <c r="AB187" i="47"/>
  <c r="AB857" i="47"/>
  <c r="AB840" i="47"/>
  <c r="AB834" i="47"/>
  <c r="AB828" i="47"/>
  <c r="AB817" i="47"/>
  <c r="AB806" i="47"/>
  <c r="AB782" i="47"/>
  <c r="AB767" i="47"/>
  <c r="AB763" i="47"/>
  <c r="AB754" i="47"/>
  <c r="AB731" i="47"/>
  <c r="AB700" i="47"/>
  <c r="AB650" i="47"/>
  <c r="AB636" i="47"/>
  <c r="AB596" i="47"/>
  <c r="AB594" i="47"/>
  <c r="AB577" i="47"/>
  <c r="AB574" i="47"/>
  <c r="AB467" i="47"/>
  <c r="AB451" i="47"/>
  <c r="AB440" i="47"/>
  <c r="AB413" i="47"/>
  <c r="AB404" i="47"/>
  <c r="AB387" i="47"/>
  <c r="AB249" i="47"/>
  <c r="AB200" i="47"/>
  <c r="AB172" i="47"/>
  <c r="AB865" i="47"/>
  <c r="AB819" i="47"/>
  <c r="AB804" i="47"/>
  <c r="AB793" i="47"/>
  <c r="AB784" i="47"/>
  <c r="AB780" i="47"/>
  <c r="AB769" i="47"/>
  <c r="AB747" i="47"/>
  <c r="AB740" i="47"/>
  <c r="AB721" i="47"/>
  <c r="AB716" i="47"/>
  <c r="AB708" i="47"/>
  <c r="AB705" i="47"/>
  <c r="AB694" i="47"/>
  <c r="AB689" i="47"/>
  <c r="AB663" i="47"/>
  <c r="AB655" i="47"/>
  <c r="AB630" i="47"/>
  <c r="AB625" i="47"/>
  <c r="AB599" i="47"/>
  <c r="AB580" i="47"/>
  <c r="AB571" i="47"/>
  <c r="AB563" i="47"/>
  <c r="AB552" i="47"/>
  <c r="AB549" i="47"/>
  <c r="AB534" i="47"/>
  <c r="AB485" i="47"/>
  <c r="AB478" i="47"/>
  <c r="AB456" i="47"/>
  <c r="AB437" i="47"/>
  <c r="AB363" i="47"/>
  <c r="AB349" i="47"/>
  <c r="AB293" i="47"/>
  <c r="AB288" i="47"/>
  <c r="AB263" i="47"/>
  <c r="AB203" i="47"/>
  <c r="AB194" i="47"/>
  <c r="AB156" i="47"/>
  <c r="AB133" i="47"/>
  <c r="AB94" i="47"/>
  <c r="AB102" i="47"/>
  <c r="AB856" i="47"/>
  <c r="AB827" i="47"/>
  <c r="AB816" i="47"/>
  <c r="AB812" i="47"/>
  <c r="AB801" i="47"/>
  <c r="AB777" i="47"/>
  <c r="AB744" i="47"/>
  <c r="AB720" i="47"/>
  <c r="AB707" i="47"/>
  <c r="AB691" i="47"/>
  <c r="AB686" i="47"/>
  <c r="AB652" i="47"/>
  <c r="AB649" i="47"/>
  <c r="AB643" i="47"/>
  <c r="AB627" i="47"/>
  <c r="AB622" i="47"/>
  <c r="AB587" i="47"/>
  <c r="AB573" i="47"/>
  <c r="AB560" i="47"/>
  <c r="AB541" i="47"/>
  <c r="AB525" i="47"/>
  <c r="AB522" i="47"/>
  <c r="AB469" i="47"/>
  <c r="AB461" i="47"/>
  <c r="AB458" i="47"/>
  <c r="AB442" i="47"/>
  <c r="AB433" i="47"/>
  <c r="AB417" i="47"/>
  <c r="AB406" i="47"/>
  <c r="AB392" i="47"/>
  <c r="AB354" i="47"/>
  <c r="AB268" i="47"/>
  <c r="AB213" i="47"/>
  <c r="AB868" i="47"/>
  <c r="AB820" i="47"/>
  <c r="AB811" i="47"/>
  <c r="AB785" i="47"/>
  <c r="AB748" i="47"/>
  <c r="AB729" i="47"/>
  <c r="AB719" i="47"/>
  <c r="AB706" i="47"/>
  <c r="AB703" i="47"/>
  <c r="AB695" i="47"/>
  <c r="AB656" i="47"/>
  <c r="AB642" i="47"/>
  <c r="AB631" i="47"/>
  <c r="AB575" i="47"/>
  <c r="AB545" i="47"/>
  <c r="AB540" i="47"/>
  <c r="AB508" i="47"/>
  <c r="AB492" i="47"/>
  <c r="AB422" i="47"/>
  <c r="AB380" i="47"/>
  <c r="AB332" i="47"/>
  <c r="AB329" i="47"/>
  <c r="AB315" i="47"/>
  <c r="AB256" i="47"/>
  <c r="AB241" i="47"/>
  <c r="AB697" i="47"/>
  <c r="AB688" i="47"/>
  <c r="AB684" i="47"/>
  <c r="AB675" i="47"/>
  <c r="AB633" i="47"/>
  <c r="AB624" i="47"/>
  <c r="AB620" i="47"/>
  <c r="AB611" i="47"/>
  <c r="AB582" i="47"/>
  <c r="AB533" i="47"/>
  <c r="AB500" i="47"/>
  <c r="AB466" i="47"/>
  <c r="AB453" i="47"/>
  <c r="AB444" i="47"/>
  <c r="AB399" i="47"/>
  <c r="AB389" i="47"/>
  <c r="AB365" i="47"/>
  <c r="AB362" i="47"/>
  <c r="AB348" i="47"/>
  <c r="AB312" i="47"/>
  <c r="AB301" i="47"/>
  <c r="AB298" i="47"/>
  <c r="AB257" i="47"/>
  <c r="AB243" i="47"/>
  <c r="AB232" i="47"/>
  <c r="AB225" i="47"/>
  <c r="AB217" i="47"/>
  <c r="AB207" i="47"/>
  <c r="AB202" i="47"/>
  <c r="AB196" i="47"/>
  <c r="AB123" i="47"/>
  <c r="AB104" i="47"/>
  <c r="AB96" i="47"/>
  <c r="AB78" i="47"/>
  <c r="AB70" i="47"/>
  <c r="AB38" i="47"/>
  <c r="AB30" i="47"/>
  <c r="AB690" i="47"/>
  <c r="AB670" i="47"/>
  <c r="AB657" i="47"/>
  <c r="AB648" i="47"/>
  <c r="AB644" i="47"/>
  <c r="AB639" i="47"/>
  <c r="AB635" i="47"/>
  <c r="AB626" i="47"/>
  <c r="AB606" i="47"/>
  <c r="AB597" i="47"/>
  <c r="AB593" i="47"/>
  <c r="AB588" i="47"/>
  <c r="AB579" i="47"/>
  <c r="AB564" i="47"/>
  <c r="AB550" i="47"/>
  <c r="AB539" i="47"/>
  <c r="AB530" i="47"/>
  <c r="AB526" i="47"/>
  <c r="AB515" i="47"/>
  <c r="AB511" i="47"/>
  <c r="AB509" i="47"/>
  <c r="AB497" i="47"/>
  <c r="AB493" i="47"/>
  <c r="AB488" i="47"/>
  <c r="AB486" i="47"/>
  <c r="AB481" i="47"/>
  <c r="AB477" i="47"/>
  <c r="AB472" i="47"/>
  <c r="AB421" i="47"/>
  <c r="AB412" i="47"/>
  <c r="AB391" i="47"/>
  <c r="AB376" i="47"/>
  <c r="AB369" i="47"/>
  <c r="AB367" i="47"/>
  <c r="AB328" i="47"/>
  <c r="AB326" i="47"/>
  <c r="AB324" i="47"/>
  <c r="AB270" i="47"/>
  <c r="AB259" i="47"/>
  <c r="AB209" i="47"/>
  <c r="AB198" i="47"/>
  <c r="AB181" i="47"/>
  <c r="AB157" i="47"/>
  <c r="AB140" i="47"/>
  <c r="AB72" i="47"/>
  <c r="AB54" i="47"/>
  <c r="AB15" i="47"/>
  <c r="AB745" i="47"/>
  <c r="AB736" i="47"/>
  <c r="AB732" i="47"/>
  <c r="AB723" i="47"/>
  <c r="AB681" i="47"/>
  <c r="AB672" i="47"/>
  <c r="AB668" i="47"/>
  <c r="AB659" i="47"/>
  <c r="AB617" i="47"/>
  <c r="AB608" i="47"/>
  <c r="AB604" i="47"/>
  <c r="AB570" i="47"/>
  <c r="AB568" i="47"/>
  <c r="AB523" i="47"/>
  <c r="AB517" i="47"/>
  <c r="AB506" i="47"/>
  <c r="AB504" i="47"/>
  <c r="AB502" i="47"/>
  <c r="AB490" i="47"/>
  <c r="AB483" i="47"/>
  <c r="AB474" i="47"/>
  <c r="AB459" i="47"/>
  <c r="AB446" i="47"/>
  <c r="AB427" i="47"/>
  <c r="AB374" i="47"/>
  <c r="AB357" i="47"/>
  <c r="AB347" i="47"/>
  <c r="AB342" i="47"/>
  <c r="AB321" i="47"/>
  <c r="AB306" i="47"/>
  <c r="AB295" i="47"/>
  <c r="AB289" i="47"/>
  <c r="AB264" i="47"/>
  <c r="AB248" i="47"/>
  <c r="AB237" i="47"/>
  <c r="AB222" i="47"/>
  <c r="AB201" i="47"/>
  <c r="AB183" i="47"/>
  <c r="AB162" i="47"/>
  <c r="AB151" i="47"/>
  <c r="AB145" i="47"/>
  <c r="AB125" i="47"/>
  <c r="AB119" i="47"/>
  <c r="AB114" i="47"/>
  <c r="AB111" i="47"/>
  <c r="AB98" i="47"/>
  <c r="AB93" i="47"/>
  <c r="AB82" i="47"/>
  <c r="AB69" i="47"/>
  <c r="AB66" i="47"/>
  <c r="AB59" i="47"/>
  <c r="AB48" i="47"/>
  <c r="AB40" i="47"/>
  <c r="AB12" i="47"/>
  <c r="AB21" i="47"/>
  <c r="AB737" i="47"/>
  <c r="AB728" i="47"/>
  <c r="AB724" i="47"/>
  <c r="AB715" i="47"/>
  <c r="AB673" i="47"/>
  <c r="AB664" i="47"/>
  <c r="AB660" i="47"/>
  <c r="AB651" i="47"/>
  <c r="AB609" i="47"/>
  <c r="AB600" i="47"/>
  <c r="AB591" i="47"/>
  <c r="AB562" i="47"/>
  <c r="AB542" i="47"/>
  <c r="AB524" i="47"/>
  <c r="AB507" i="47"/>
  <c r="AB491" i="47"/>
  <c r="AB484" i="47"/>
  <c r="AB475" i="47"/>
  <c r="AB460" i="47"/>
  <c r="AB428" i="47"/>
  <c r="AB419" i="47"/>
  <c r="AB401" i="47"/>
  <c r="AB360" i="47"/>
  <c r="AB353" i="47"/>
  <c r="AB322" i="47"/>
  <c r="AB307" i="47"/>
  <c r="AB296" i="47"/>
  <c r="AB260" i="47"/>
  <c r="AB255" i="47"/>
  <c r="AB235" i="47"/>
  <c r="AB230" i="47"/>
  <c r="AB215" i="47"/>
  <c r="AB199" i="47"/>
  <c r="AB184" i="47"/>
  <c r="AB171" i="47"/>
  <c r="AB152" i="47"/>
  <c r="AB149" i="47"/>
  <c r="AB135" i="47"/>
  <c r="AB112" i="47"/>
  <c r="AB99" i="47"/>
  <c r="AB91" i="47"/>
  <c r="AB88" i="47"/>
  <c r="AB67" i="47"/>
  <c r="AB55" i="47"/>
  <c r="AB49" i="47"/>
  <c r="AB13" i="47"/>
  <c r="AB331" i="47"/>
  <c r="AB320" i="47"/>
  <c r="AB316" i="47"/>
  <c r="AB292" i="47"/>
  <c r="AB280" i="47"/>
  <c r="AB262" i="47"/>
  <c r="AB178" i="47"/>
  <c r="AB168" i="47"/>
  <c r="AB163" i="47"/>
  <c r="AB160" i="47"/>
  <c r="AB150" i="47"/>
  <c r="AB141" i="47"/>
  <c r="AB131" i="47"/>
  <c r="AB107" i="47"/>
  <c r="AB90" i="47"/>
  <c r="AB83" i="47"/>
  <c r="AB73" i="47"/>
  <c r="AB71" i="47"/>
  <c r="AB42" i="47"/>
  <c r="AB32" i="47"/>
  <c r="AB435" i="47"/>
  <c r="AB429" i="47"/>
  <c r="AB403" i="47"/>
  <c r="AB394" i="47"/>
  <c r="AB382" i="47"/>
  <c r="AB373" i="47"/>
  <c r="AB334" i="47"/>
  <c r="AB323" i="47"/>
  <c r="AB314" i="47"/>
  <c r="AB310" i="47"/>
  <c r="AB290" i="47"/>
  <c r="AB283" i="47"/>
  <c r="AB258" i="47"/>
  <c r="AB220" i="47"/>
  <c r="AB192" i="47"/>
  <c r="AB188" i="47"/>
  <c r="AB176" i="47"/>
  <c r="AB166" i="47"/>
  <c r="AB120" i="47"/>
  <c r="AB108" i="47"/>
  <c r="AB81" i="47"/>
  <c r="AB50" i="47"/>
  <c r="AB35" i="47"/>
  <c r="AB36" i="47"/>
  <c r="I16" i="49"/>
  <c r="AB317" i="47"/>
  <c r="AB308" i="47"/>
  <c r="AB282" i="47"/>
  <c r="AB236" i="47"/>
  <c r="AB219" i="47"/>
  <c r="AB205" i="47"/>
  <c r="AB173" i="47"/>
  <c r="AB170" i="47"/>
  <c r="AB109" i="47"/>
  <c r="AB106" i="47"/>
  <c r="AB92" i="47"/>
  <c r="AB85" i="47"/>
  <c r="AB61" i="47"/>
  <c r="AB56" i="47"/>
  <c r="AB51" i="47"/>
  <c r="AB44" i="47"/>
  <c r="AB34" i="47"/>
  <c r="AB27" i="47"/>
  <c r="I25" i="8"/>
  <c r="AB304" i="47"/>
  <c r="AB284" i="47"/>
  <c r="AB267" i="47"/>
  <c r="AB234" i="47"/>
  <c r="AB204" i="47"/>
  <c r="AB189" i="47"/>
  <c r="AB182" i="47"/>
  <c r="AB164" i="47"/>
  <c r="AB155" i="47"/>
  <c r="AB138" i="47"/>
  <c r="AB75" i="47"/>
  <c r="AB64" i="47"/>
  <c r="AB60" i="47"/>
  <c r="AB26" i="47"/>
  <c r="AB24" i="47"/>
  <c r="I34" i="14"/>
  <c r="I27" i="14"/>
  <c r="F40" i="3" s="1"/>
  <c r="I73" i="4"/>
  <c r="F9" i="3" s="1"/>
  <c r="N982" i="21" l="1"/>
  <c r="Z982" i="21" s="1"/>
  <c r="AA982" i="21" s="1"/>
  <c r="N524" i="21"/>
  <c r="Z524" i="21" s="1"/>
  <c r="AA524" i="21" s="1"/>
  <c r="N749" i="21"/>
  <c r="Z749" i="21" s="1"/>
  <c r="AA749" i="21" s="1"/>
  <c r="N875" i="21"/>
  <c r="Z875" i="21" s="1"/>
  <c r="AA875" i="21" s="1"/>
  <c r="N958" i="21"/>
  <c r="Z958" i="21" s="1"/>
  <c r="AA958" i="21" s="1"/>
  <c r="N930" i="21"/>
  <c r="Z930" i="21" s="1"/>
  <c r="AA930" i="21" s="1"/>
  <c r="N973" i="21"/>
  <c r="Z973" i="21" s="1"/>
  <c r="AA973" i="21" s="1"/>
  <c r="N849" i="21"/>
  <c r="Z849" i="21" s="1"/>
  <c r="AA849" i="21" s="1"/>
  <c r="N924" i="21"/>
  <c r="Z924" i="21" s="1"/>
  <c r="AA924" i="21" s="1"/>
  <c r="N953" i="21"/>
  <c r="Z953" i="21" s="1"/>
  <c r="AA953" i="21" s="1"/>
  <c r="N991" i="21"/>
  <c r="Z991" i="21" s="1"/>
  <c r="AA991" i="21" s="1"/>
  <c r="N528" i="21"/>
  <c r="Z528" i="21" s="1"/>
  <c r="AA528" i="21" s="1"/>
  <c r="N836" i="21"/>
  <c r="Z836" i="21" s="1"/>
  <c r="AA836" i="21" s="1"/>
  <c r="N992" i="21"/>
  <c r="Z992" i="21" s="1"/>
  <c r="AA992" i="21" s="1"/>
  <c r="N648" i="21"/>
  <c r="Z648" i="21" s="1"/>
  <c r="AA648" i="21" s="1"/>
  <c r="N939" i="21"/>
  <c r="Z939" i="21" s="1"/>
  <c r="AA939" i="21" s="1"/>
  <c r="N975" i="21"/>
  <c r="Z975" i="21" s="1"/>
  <c r="AA975" i="21" s="1"/>
  <c r="N931" i="21"/>
  <c r="Z931" i="21" s="1"/>
  <c r="AA931" i="21" s="1"/>
  <c r="N984" i="21"/>
  <c r="Z984" i="21" s="1"/>
  <c r="AA984" i="21" s="1"/>
  <c r="N817" i="21"/>
  <c r="Z817" i="21" s="1"/>
  <c r="AA817" i="21" s="1"/>
  <c r="N983" i="21"/>
  <c r="Z983" i="21" s="1"/>
  <c r="AA983" i="21" s="1"/>
  <c r="N842" i="21"/>
  <c r="Z842" i="21" s="1"/>
  <c r="AA842" i="21" s="1"/>
  <c r="N960" i="21"/>
  <c r="Z960" i="21" s="1"/>
  <c r="AA960" i="21" s="1"/>
  <c r="N915" i="21"/>
  <c r="Z915" i="21" s="1"/>
  <c r="AA915" i="21" s="1"/>
  <c r="N919" i="21"/>
  <c r="Z919" i="21" s="1"/>
  <c r="AA919" i="21" s="1"/>
  <c r="N989" i="21"/>
  <c r="Z989" i="21" s="1"/>
  <c r="AA989" i="21" s="1"/>
  <c r="N968" i="21"/>
  <c r="Z968" i="21" s="1"/>
  <c r="AA968" i="21" s="1"/>
  <c r="N859" i="21"/>
  <c r="Z859" i="21" s="1"/>
  <c r="AA859" i="21" s="1"/>
  <c r="N804" i="21"/>
  <c r="Z804" i="21" s="1"/>
  <c r="AA804" i="21" s="1"/>
  <c r="N348" i="21"/>
  <c r="Z348" i="21" s="1"/>
  <c r="AA348" i="21" s="1"/>
  <c r="N454" i="21"/>
  <c r="Z454" i="21" s="1"/>
  <c r="AA454" i="21" s="1"/>
  <c r="N427" i="21"/>
  <c r="Z427" i="21" s="1"/>
  <c r="AA427" i="21" s="1"/>
  <c r="N925" i="21"/>
  <c r="Z925" i="21" s="1"/>
  <c r="AA925" i="21" s="1"/>
  <c r="N787" i="21"/>
  <c r="Z787" i="21" s="1"/>
  <c r="AA787" i="21" s="1"/>
  <c r="N748" i="21"/>
  <c r="Z748" i="21" s="1"/>
  <c r="AA748" i="21" s="1"/>
  <c r="N627" i="21"/>
  <c r="Z627" i="21" s="1"/>
  <c r="AA627" i="21" s="1"/>
  <c r="N663" i="21"/>
  <c r="Z663" i="21" s="1"/>
  <c r="AA663" i="21" s="1"/>
  <c r="N795" i="21"/>
  <c r="Z795" i="21" s="1"/>
  <c r="AA795" i="21" s="1"/>
  <c r="N903" i="21"/>
  <c r="Z903" i="21" s="1"/>
  <c r="AA903" i="21" s="1"/>
  <c r="N896" i="21"/>
  <c r="Z896" i="21" s="1"/>
  <c r="AA896" i="21" s="1"/>
  <c r="N813" i="21"/>
  <c r="Z813" i="21" s="1"/>
  <c r="AA813" i="21" s="1"/>
  <c r="N760" i="21"/>
  <c r="Z760" i="21" s="1"/>
  <c r="AA760" i="21" s="1"/>
  <c r="N372" i="21"/>
  <c r="Z372" i="21" s="1"/>
  <c r="AA372" i="21" s="1"/>
  <c r="N548" i="21"/>
  <c r="Z548" i="21" s="1"/>
  <c r="AA548" i="21" s="1"/>
  <c r="N874" i="21"/>
  <c r="Z874" i="21" s="1"/>
  <c r="AA874" i="21" s="1"/>
  <c r="N766" i="21"/>
  <c r="Z766" i="21" s="1"/>
  <c r="AA766" i="21" s="1"/>
  <c r="N884" i="21"/>
  <c r="Z884" i="21" s="1"/>
  <c r="AA884" i="21" s="1"/>
  <c r="N981" i="21"/>
  <c r="Z981" i="21" s="1"/>
  <c r="AA981" i="21" s="1"/>
  <c r="N928" i="21"/>
  <c r="Z928" i="21" s="1"/>
  <c r="AA928" i="21" s="1"/>
  <c r="N967" i="21"/>
  <c r="Z967" i="21" s="1"/>
  <c r="AA967" i="21" s="1"/>
  <c r="N831" i="21"/>
  <c r="Z831" i="21" s="1"/>
  <c r="AA831" i="21" s="1"/>
  <c r="N895" i="21"/>
  <c r="Z895" i="21" s="1"/>
  <c r="AA895" i="21" s="1"/>
  <c r="N803" i="21"/>
  <c r="Z803" i="21" s="1"/>
  <c r="AA803" i="21" s="1"/>
  <c r="N911" i="21"/>
  <c r="Z911" i="21" s="1"/>
  <c r="AA911" i="21" s="1"/>
  <c r="N808" i="21"/>
  <c r="Z808" i="21" s="1"/>
  <c r="AA808" i="21" s="1"/>
  <c r="N904" i="21"/>
  <c r="Z904" i="21" s="1"/>
  <c r="AA904" i="21" s="1"/>
  <c r="N812" i="21"/>
  <c r="Z812" i="21" s="1"/>
  <c r="AA812" i="21" s="1"/>
  <c r="N893" i="21"/>
  <c r="Z893" i="21" s="1"/>
  <c r="AA893" i="21" s="1"/>
  <c r="N962" i="21"/>
  <c r="Z962" i="21" s="1"/>
  <c r="AA962" i="21" s="1"/>
  <c r="N920" i="21"/>
  <c r="Z920" i="21" s="1"/>
  <c r="AA920" i="21" s="1"/>
  <c r="N970" i="21"/>
  <c r="Z970" i="21" s="1"/>
  <c r="AA970" i="21" s="1"/>
  <c r="N837" i="21"/>
  <c r="Z837" i="21" s="1"/>
  <c r="AA837" i="21" s="1"/>
  <c r="N997" i="21"/>
  <c r="Z997" i="21" s="1"/>
  <c r="AA997" i="21" s="1"/>
  <c r="N424" i="21"/>
  <c r="Z424" i="21" s="1"/>
  <c r="AA424" i="21" s="1"/>
  <c r="N784" i="21"/>
  <c r="Z784" i="21" s="1"/>
  <c r="AA784" i="21" s="1"/>
  <c r="N628" i="21"/>
  <c r="Z628" i="21" s="1"/>
  <c r="AA628" i="21" s="1"/>
  <c r="N692" i="21"/>
  <c r="Z692" i="21" s="1"/>
  <c r="AA692" i="21" s="1"/>
  <c r="N873" i="21"/>
  <c r="Z873" i="21" s="1"/>
  <c r="AA873" i="21" s="1"/>
  <c r="O15" i="57"/>
  <c r="O14" i="57"/>
  <c r="I52" i="12"/>
  <c r="F28" i="3" s="1"/>
  <c r="I50" i="8"/>
  <c r="O16" i="57"/>
  <c r="H51" i="42"/>
  <c r="I40" i="52"/>
  <c r="N814" i="21"/>
  <c r="Z814" i="21" s="1"/>
  <c r="AA814" i="21" s="1"/>
  <c r="N990" i="21"/>
  <c r="Z990" i="21" s="1"/>
  <c r="AA990" i="21" s="1"/>
  <c r="N980" i="21"/>
  <c r="Z980" i="21" s="1"/>
  <c r="AA980" i="21" s="1"/>
  <c r="N974" i="21"/>
  <c r="Z974" i="21" s="1"/>
  <c r="AA974" i="21" s="1"/>
  <c r="N792" i="21"/>
  <c r="Z792" i="21" s="1"/>
  <c r="AA792" i="21" s="1"/>
  <c r="N946" i="21"/>
  <c r="Z946" i="21" s="1"/>
  <c r="AA946" i="21" s="1"/>
  <c r="N871" i="21"/>
  <c r="Z871" i="21" s="1"/>
  <c r="AA871" i="21" s="1"/>
  <c r="N800" i="21"/>
  <c r="Z800" i="21" s="1"/>
  <c r="AA800" i="21" s="1"/>
  <c r="N771" i="21"/>
  <c r="Z771" i="21" s="1"/>
  <c r="AA771" i="21" s="1"/>
  <c r="N757" i="21"/>
  <c r="Z757" i="21" s="1"/>
  <c r="AA757" i="21" s="1"/>
  <c r="N840" i="21"/>
  <c r="Z840" i="21" s="1"/>
  <c r="AA840" i="21" s="1"/>
  <c r="N887" i="21"/>
  <c r="Z887" i="21" s="1"/>
  <c r="AA887" i="21" s="1"/>
  <c r="N826" i="21"/>
  <c r="Z826" i="21" s="1"/>
  <c r="AA826" i="21" s="1"/>
  <c r="N929" i="21"/>
  <c r="Z929" i="21" s="1"/>
  <c r="AA929" i="21" s="1"/>
  <c r="N927" i="21"/>
  <c r="Z927" i="21" s="1"/>
  <c r="AA927" i="21" s="1"/>
  <c r="N916" i="21"/>
  <c r="Z916" i="21" s="1"/>
  <c r="AA916" i="21" s="1"/>
  <c r="N867" i="21"/>
  <c r="Z867" i="21" s="1"/>
  <c r="AA867" i="21" s="1"/>
  <c r="N850" i="21"/>
  <c r="Z850" i="21" s="1"/>
  <c r="AA850" i="21" s="1"/>
  <c r="N935" i="21"/>
  <c r="Z935" i="21" s="1"/>
  <c r="AA935" i="21" s="1"/>
  <c r="N892" i="21"/>
  <c r="Z892" i="21" s="1"/>
  <c r="AA892" i="21" s="1"/>
  <c r="N941" i="21"/>
  <c r="Z941" i="21" s="1"/>
  <c r="AA941" i="21" s="1"/>
  <c r="N959" i="21"/>
  <c r="Z959" i="21" s="1"/>
  <c r="AA959" i="21" s="1"/>
  <c r="N832" i="21"/>
  <c r="Z832" i="21" s="1"/>
  <c r="AA832" i="21" s="1"/>
  <c r="N818" i="21"/>
  <c r="Z818" i="21" s="1"/>
  <c r="AA818" i="21" s="1"/>
  <c r="N823" i="21"/>
  <c r="Z823" i="21" s="1"/>
  <c r="AA823" i="21" s="1"/>
  <c r="N768" i="21"/>
  <c r="Z768" i="21" s="1"/>
  <c r="AA768" i="21" s="1"/>
  <c r="N952" i="21"/>
  <c r="Z952" i="21" s="1"/>
  <c r="AA952" i="21" s="1"/>
  <c r="N942" i="21"/>
  <c r="Z942" i="21" s="1"/>
  <c r="AA942" i="21" s="1"/>
  <c r="N938" i="21"/>
  <c r="Z938" i="21" s="1"/>
  <c r="AA938" i="21" s="1"/>
  <c r="N793" i="21"/>
  <c r="Z793" i="21" s="1"/>
  <c r="AA793" i="21" s="1"/>
  <c r="N921" i="21"/>
  <c r="Z921" i="21" s="1"/>
  <c r="AA921" i="21" s="1"/>
  <c r="N844" i="21"/>
  <c r="Z844" i="21" s="1"/>
  <c r="AA844" i="21" s="1"/>
  <c r="N834" i="21"/>
  <c r="Z834" i="21" s="1"/>
  <c r="AA834" i="21" s="1"/>
  <c r="N933" i="21"/>
  <c r="Z933" i="21" s="1"/>
  <c r="AA933" i="21" s="1"/>
  <c r="N794" i="21"/>
  <c r="Z794" i="21" s="1"/>
  <c r="AA794" i="21" s="1"/>
  <c r="N843" i="21"/>
  <c r="Z843" i="21" s="1"/>
  <c r="AA843" i="21" s="1"/>
  <c r="N620" i="21"/>
  <c r="Z620" i="21" s="1"/>
  <c r="AA620" i="21" s="1"/>
  <c r="N864" i="21"/>
  <c r="Z864" i="21" s="1"/>
  <c r="AA864" i="21" s="1"/>
  <c r="N912" i="21"/>
  <c r="Z912" i="21" s="1"/>
  <c r="AA912" i="21" s="1"/>
  <c r="N863" i="21"/>
  <c r="Z863" i="21" s="1"/>
  <c r="AA863" i="21" s="1"/>
  <c r="N820" i="21"/>
  <c r="Z820" i="21" s="1"/>
  <c r="AA820" i="21" s="1"/>
  <c r="N838" i="21"/>
  <c r="Z838" i="21" s="1"/>
  <c r="AA838" i="21" s="1"/>
  <c r="N835" i="21"/>
  <c r="Z835" i="21" s="1"/>
  <c r="AA835" i="21" s="1"/>
  <c r="N888" i="21"/>
  <c r="Z888" i="21" s="1"/>
  <c r="AA888" i="21" s="1"/>
  <c r="N809" i="21"/>
  <c r="Z809" i="21" s="1"/>
  <c r="AA809" i="21" s="1"/>
  <c r="N905" i="21"/>
  <c r="Z905" i="21" s="1"/>
  <c r="AA905" i="21" s="1"/>
  <c r="N796" i="21"/>
  <c r="Z796" i="21" s="1"/>
  <c r="AA796" i="21" s="1"/>
  <c r="N906" i="21"/>
  <c r="Z906" i="21" s="1"/>
  <c r="AA906" i="21" s="1"/>
  <c r="N899" i="21"/>
  <c r="Z899" i="21" s="1"/>
  <c r="AA899" i="21" s="1"/>
  <c r="N914" i="21"/>
  <c r="Z914" i="21" s="1"/>
  <c r="AA914" i="21" s="1"/>
  <c r="N890" i="21"/>
  <c r="Z890" i="21" s="1"/>
  <c r="AA890" i="21" s="1"/>
  <c r="N886" i="21"/>
  <c r="Z886" i="21" s="1"/>
  <c r="AA886" i="21" s="1"/>
  <c r="N866" i="21"/>
  <c r="Z866" i="21" s="1"/>
  <c r="AA866" i="21" s="1"/>
  <c r="N848" i="21"/>
  <c r="Z848" i="21" s="1"/>
  <c r="AA848" i="21" s="1"/>
  <c r="N824" i="21"/>
  <c r="Z824" i="21" s="1"/>
  <c r="AA824" i="21" s="1"/>
  <c r="N828" i="21"/>
  <c r="Z828" i="21" s="1"/>
  <c r="AA828" i="21" s="1"/>
  <c r="N776" i="21"/>
  <c r="Z776" i="21" s="1"/>
  <c r="AA776" i="21" s="1"/>
  <c r="N389" i="21"/>
  <c r="Z389" i="21" s="1"/>
  <c r="AA389" i="21" s="1"/>
  <c r="X766" i="21"/>
  <c r="N717" i="21"/>
  <c r="Z717" i="21" s="1"/>
  <c r="AA717" i="21" s="1"/>
  <c r="N756" i="21"/>
  <c r="Z756" i="21" s="1"/>
  <c r="AA756" i="21" s="1"/>
  <c r="N721" i="21"/>
  <c r="Z721" i="21" s="1"/>
  <c r="AA721" i="21" s="1"/>
  <c r="N742" i="21"/>
  <c r="Z742" i="21" s="1"/>
  <c r="AA742" i="21" s="1"/>
  <c r="N765" i="21"/>
  <c r="Z765" i="21" s="1"/>
  <c r="AA765" i="21" s="1"/>
  <c r="N799" i="21"/>
  <c r="Z799" i="21" s="1"/>
  <c r="AA799" i="21" s="1"/>
  <c r="N779" i="21"/>
  <c r="Z779" i="21" s="1"/>
  <c r="AA779" i="21" s="1"/>
  <c r="N770" i="21"/>
  <c r="Z770" i="21" s="1"/>
  <c r="AA770" i="21" s="1"/>
  <c r="N791" i="21"/>
  <c r="Z791" i="21" s="1"/>
  <c r="AA791" i="21" s="1"/>
  <c r="N414" i="21"/>
  <c r="Z414" i="21" s="1"/>
  <c r="AA414" i="21" s="1"/>
  <c r="N383" i="21"/>
  <c r="Z383" i="21" s="1"/>
  <c r="AA383" i="21" s="1"/>
  <c r="N633" i="21"/>
  <c r="Z633" i="21" s="1"/>
  <c r="AA633" i="21" s="1"/>
  <c r="N708" i="21"/>
  <c r="Z708" i="21" s="1"/>
  <c r="AA708" i="21" s="1"/>
  <c r="N687" i="21"/>
  <c r="Z687" i="21" s="1"/>
  <c r="AA687" i="21" s="1"/>
  <c r="N788" i="21"/>
  <c r="Z788" i="21" s="1"/>
  <c r="AA788" i="21" s="1"/>
  <c r="N780" i="21"/>
  <c r="Z780" i="21" s="1"/>
  <c r="AA780" i="21" s="1"/>
  <c r="N782" i="21"/>
  <c r="Z782" i="21" s="1"/>
  <c r="AA782" i="21" s="1"/>
  <c r="N752" i="21"/>
  <c r="Z752" i="21" s="1"/>
  <c r="AA752" i="21" s="1"/>
  <c r="N786" i="21"/>
  <c r="Z786" i="21" s="1"/>
  <c r="AA786" i="21" s="1"/>
  <c r="N783" i="21"/>
  <c r="Z783" i="21" s="1"/>
  <c r="AA783" i="21" s="1"/>
  <c r="N778" i="21"/>
  <c r="Z778" i="21" s="1"/>
  <c r="AA778" i="21" s="1"/>
  <c r="N375" i="21"/>
  <c r="Z375" i="21" s="1"/>
  <c r="AA375" i="21" s="1"/>
  <c r="N636" i="21"/>
  <c r="Z636" i="21" s="1"/>
  <c r="AA636" i="21" s="1"/>
  <c r="N679" i="21"/>
  <c r="Z679" i="21" s="1"/>
  <c r="AA679" i="21" s="1"/>
  <c r="N743" i="21"/>
  <c r="Z743" i="21" s="1"/>
  <c r="AA743" i="21" s="1"/>
  <c r="N740" i="21"/>
  <c r="Z740" i="21" s="1"/>
  <c r="AA740" i="21" s="1"/>
  <c r="N680" i="21"/>
  <c r="Z680" i="21" s="1"/>
  <c r="AA680" i="21" s="1"/>
  <c r="N723" i="21"/>
  <c r="Z723" i="21" s="1"/>
  <c r="AA723" i="21" s="1"/>
  <c r="N710" i="21"/>
  <c r="Z710" i="21" s="1"/>
  <c r="AA710" i="21" s="1"/>
  <c r="N772" i="21"/>
  <c r="Z772" i="21" s="1"/>
  <c r="AA772" i="21" s="1"/>
  <c r="N764" i="21"/>
  <c r="Z764" i="21" s="1"/>
  <c r="AA764" i="21" s="1"/>
  <c r="N762" i="21"/>
  <c r="Z762" i="21" s="1"/>
  <c r="AA762" i="21" s="1"/>
  <c r="N737" i="21"/>
  <c r="Z737" i="21" s="1"/>
  <c r="AA737" i="21" s="1"/>
  <c r="N650" i="21"/>
  <c r="Z650" i="21" s="1"/>
  <c r="AA650" i="21" s="1"/>
  <c r="N846" i="21"/>
  <c r="Z846" i="21" s="1"/>
  <c r="AA846" i="21" s="1"/>
  <c r="N551" i="21"/>
  <c r="Z551" i="21" s="1"/>
  <c r="AA551" i="21" s="1"/>
  <c r="X850" i="21"/>
  <c r="N629" i="21"/>
  <c r="Z629" i="21" s="1"/>
  <c r="AA629" i="21" s="1"/>
  <c r="N732" i="21"/>
  <c r="Z732" i="21" s="1"/>
  <c r="AA732" i="21" s="1"/>
  <c r="N390" i="21"/>
  <c r="Z390" i="21" s="1"/>
  <c r="AA390" i="21" s="1"/>
  <c r="N719" i="21"/>
  <c r="Z719" i="21" s="1"/>
  <c r="AA719" i="21" s="1"/>
  <c r="N694" i="21"/>
  <c r="Z694" i="21" s="1"/>
  <c r="AA694" i="21" s="1"/>
  <c r="N241" i="21"/>
  <c r="Z241" i="21" s="1"/>
  <c r="AA241" i="21" s="1"/>
  <c r="N329" i="21"/>
  <c r="Z329" i="21" s="1"/>
  <c r="AA329" i="21" s="1"/>
  <c r="N426" i="21"/>
  <c r="Z426" i="21" s="1"/>
  <c r="AA426" i="21" s="1"/>
  <c r="N490" i="21"/>
  <c r="Z490" i="21" s="1"/>
  <c r="AA490" i="21" s="1"/>
  <c r="N684" i="21"/>
  <c r="Z684" i="21" s="1"/>
  <c r="AA684" i="21" s="1"/>
  <c r="N465" i="21"/>
  <c r="Z465" i="21" s="1"/>
  <c r="AA465" i="21" s="1"/>
  <c r="N402" i="21"/>
  <c r="Z402" i="21" s="1"/>
  <c r="AA402" i="21" s="1"/>
  <c r="N443" i="21"/>
  <c r="Z443" i="21" s="1"/>
  <c r="AA443" i="21" s="1"/>
  <c r="N507" i="21"/>
  <c r="Z507" i="21" s="1"/>
  <c r="AA507" i="21" s="1"/>
  <c r="N520" i="21"/>
  <c r="Z520" i="21" s="1"/>
  <c r="AA520" i="21" s="1"/>
  <c r="N616" i="21"/>
  <c r="Z616" i="21" s="1"/>
  <c r="AA616" i="21" s="1"/>
  <c r="X946" i="21"/>
  <c r="N469" i="21"/>
  <c r="Z469" i="21" s="1"/>
  <c r="AA469" i="21" s="1"/>
  <c r="N598" i="21"/>
  <c r="Z598" i="21" s="1"/>
  <c r="AA598" i="21" s="1"/>
  <c r="N664" i="21"/>
  <c r="Z664" i="21" s="1"/>
  <c r="AA664" i="21" s="1"/>
  <c r="N728" i="21"/>
  <c r="Z728" i="21" s="1"/>
  <c r="AA728" i="21" s="1"/>
  <c r="X786" i="21"/>
  <c r="N377" i="21"/>
  <c r="Z377" i="21" s="1"/>
  <c r="AA377" i="21" s="1"/>
  <c r="N441" i="21"/>
  <c r="Z441" i="21" s="1"/>
  <c r="AA441" i="21" s="1"/>
  <c r="N569" i="21"/>
  <c r="Z569" i="21" s="1"/>
  <c r="AA569" i="21" s="1"/>
  <c r="N368" i="21"/>
  <c r="Z368" i="21" s="1"/>
  <c r="AA368" i="21" s="1"/>
  <c r="N468" i="21"/>
  <c r="Z468" i="21" s="1"/>
  <c r="AA468" i="21" s="1"/>
  <c r="N500" i="21"/>
  <c r="Z500" i="21" s="1"/>
  <c r="AA500" i="21" s="1"/>
  <c r="N564" i="21"/>
  <c r="Z564" i="21" s="1"/>
  <c r="AA564" i="21" s="1"/>
  <c r="X914" i="21"/>
  <c r="N386" i="21"/>
  <c r="Z386" i="21" s="1"/>
  <c r="AA386" i="21" s="1"/>
  <c r="N610" i="21"/>
  <c r="Z610" i="21" s="1"/>
  <c r="AA610" i="21" s="1"/>
  <c r="N563" i="21"/>
  <c r="Z563" i="21" s="1"/>
  <c r="AA563" i="21" s="1"/>
  <c r="N665" i="21"/>
  <c r="Z665" i="21" s="1"/>
  <c r="AA665" i="21" s="1"/>
  <c r="N747" i="21"/>
  <c r="Z747" i="21" s="1"/>
  <c r="AA747" i="21" s="1"/>
  <c r="N676" i="21"/>
  <c r="Z676" i="21" s="1"/>
  <c r="AA676" i="21" s="1"/>
  <c r="N535" i="21"/>
  <c r="Z535" i="21" s="1"/>
  <c r="AA535" i="21" s="1"/>
  <c r="N558" i="21"/>
  <c r="Z558" i="21" s="1"/>
  <c r="AA558" i="21" s="1"/>
  <c r="N656" i="21"/>
  <c r="Z656" i="21" s="1"/>
  <c r="AA656" i="21" s="1"/>
  <c r="N720" i="21"/>
  <c r="Z720" i="21" s="1"/>
  <c r="AA720" i="21" s="1"/>
  <c r="N713" i="21"/>
  <c r="Z713" i="21" s="1"/>
  <c r="AA713" i="21" s="1"/>
  <c r="N745" i="21"/>
  <c r="Z745" i="21" s="1"/>
  <c r="AA745" i="21" s="1"/>
  <c r="N626" i="21"/>
  <c r="Z626" i="21" s="1"/>
  <c r="AA626" i="21" s="1"/>
  <c r="N634" i="21"/>
  <c r="Z634" i="21" s="1"/>
  <c r="AA634" i="21" s="1"/>
  <c r="N978" i="21"/>
  <c r="Z978" i="21" s="1"/>
  <c r="AA978" i="21" s="1"/>
  <c r="N239" i="21"/>
  <c r="Z239" i="21" s="1"/>
  <c r="AA239" i="21" s="1"/>
  <c r="N615" i="21"/>
  <c r="Z615" i="21" s="1"/>
  <c r="AA615" i="21" s="1"/>
  <c r="N683" i="21"/>
  <c r="Z683" i="21" s="1"/>
  <c r="AA683" i="21" s="1"/>
  <c r="N631" i="21"/>
  <c r="Z631" i="21" s="1"/>
  <c r="AA631" i="21" s="1"/>
  <c r="N662" i="21"/>
  <c r="Z662" i="21" s="1"/>
  <c r="AA662" i="21" s="1"/>
  <c r="N641" i="21"/>
  <c r="Z641" i="21" s="1"/>
  <c r="AA641" i="21" s="1"/>
  <c r="N705" i="21"/>
  <c r="Z705" i="21" s="1"/>
  <c r="AA705" i="21" s="1"/>
  <c r="N744" i="21"/>
  <c r="Z744" i="21" s="1"/>
  <c r="AA744" i="21" s="1"/>
  <c r="N652" i="21"/>
  <c r="Z652" i="21" s="1"/>
  <c r="AA652" i="21" s="1"/>
  <c r="N726" i="21"/>
  <c r="Z726" i="21" s="1"/>
  <c r="AA726" i="21" s="1"/>
  <c r="X818" i="21"/>
  <c r="N653" i="21"/>
  <c r="Z653" i="21" s="1"/>
  <c r="AA653" i="21" s="1"/>
  <c r="N696" i="21"/>
  <c r="Z696" i="21" s="1"/>
  <c r="AA696" i="21" s="1"/>
  <c r="N437" i="21"/>
  <c r="Z437" i="21" s="1"/>
  <c r="AA437" i="21" s="1"/>
  <c r="N374" i="21"/>
  <c r="Z374" i="21" s="1"/>
  <c r="AA374" i="21" s="1"/>
  <c r="N447" i="21"/>
  <c r="Z447" i="21" s="1"/>
  <c r="AA447" i="21" s="1"/>
  <c r="N510" i="21"/>
  <c r="Z510" i="21" s="1"/>
  <c r="AA510" i="21" s="1"/>
  <c r="N711" i="21"/>
  <c r="Z711" i="21" s="1"/>
  <c r="AA711" i="21" s="1"/>
  <c r="N596" i="21"/>
  <c r="Z596" i="21" s="1"/>
  <c r="AA596" i="21" s="1"/>
  <c r="N729" i="21"/>
  <c r="Z729" i="21" s="1"/>
  <c r="AA729" i="21" s="1"/>
  <c r="N595" i="21"/>
  <c r="Z595" i="21" s="1"/>
  <c r="AA595" i="21" s="1"/>
  <c r="N736" i="21"/>
  <c r="Z736" i="21" s="1"/>
  <c r="AA736" i="21" s="1"/>
  <c r="N361" i="21"/>
  <c r="Z361" i="21" s="1"/>
  <c r="AA361" i="21" s="1"/>
  <c r="N489" i="21"/>
  <c r="Z489" i="21" s="1"/>
  <c r="AA489" i="21" s="1"/>
  <c r="N585" i="21"/>
  <c r="Z585" i="21" s="1"/>
  <c r="AA585" i="21" s="1"/>
  <c r="N618" i="21"/>
  <c r="Z618" i="21" s="1"/>
  <c r="AA618" i="21" s="1"/>
  <c r="N352" i="21"/>
  <c r="Z352" i="21" s="1"/>
  <c r="AA352" i="21" s="1"/>
  <c r="N608" i="21"/>
  <c r="Z608" i="21" s="1"/>
  <c r="AA608" i="21" s="1"/>
  <c r="N716" i="21"/>
  <c r="Z716" i="21" s="1"/>
  <c r="AA716" i="21" s="1"/>
  <c r="N714" i="21"/>
  <c r="Z714" i="21" s="1"/>
  <c r="AA714" i="21" s="1"/>
  <c r="N462" i="21"/>
  <c r="Z462" i="21" s="1"/>
  <c r="AA462" i="21" s="1"/>
  <c r="N420" i="21"/>
  <c r="Z420" i="21" s="1"/>
  <c r="AA420" i="21" s="1"/>
  <c r="N754" i="21"/>
  <c r="Z754" i="21" s="1"/>
  <c r="AA754" i="21" s="1"/>
  <c r="N734" i="21"/>
  <c r="Z734" i="21" s="1"/>
  <c r="AA734" i="21" s="1"/>
  <c r="N738" i="21"/>
  <c r="Z738" i="21" s="1"/>
  <c r="AA738" i="21" s="1"/>
  <c r="N722" i="21"/>
  <c r="Z722" i="21" s="1"/>
  <c r="AA722" i="21" s="1"/>
  <c r="N712" i="21"/>
  <c r="Z712" i="21" s="1"/>
  <c r="AA712" i="21" s="1"/>
  <c r="N522" i="21"/>
  <c r="Z522" i="21" s="1"/>
  <c r="AA522" i="21" s="1"/>
  <c r="N380" i="21"/>
  <c r="Z380" i="21" s="1"/>
  <c r="AA380" i="21" s="1"/>
  <c r="N429" i="21"/>
  <c r="Z429" i="21" s="1"/>
  <c r="AA429" i="21" s="1"/>
  <c r="N466" i="21"/>
  <c r="Z466" i="21" s="1"/>
  <c r="AA466" i="21" s="1"/>
  <c r="N475" i="21"/>
  <c r="Z475" i="21" s="1"/>
  <c r="AA475" i="21" s="1"/>
  <c r="N407" i="21"/>
  <c r="Z407" i="21" s="1"/>
  <c r="AA407" i="21" s="1"/>
  <c r="N456" i="21"/>
  <c r="Z456" i="21" s="1"/>
  <c r="AA456" i="21" s="1"/>
  <c r="N552" i="21"/>
  <c r="Z552" i="21" s="1"/>
  <c r="AA552" i="21" s="1"/>
  <c r="N515" i="21"/>
  <c r="Z515" i="21" s="1"/>
  <c r="AA515" i="21" s="1"/>
  <c r="N371" i="21"/>
  <c r="Z371" i="21" s="1"/>
  <c r="AA371" i="21" s="1"/>
  <c r="N588" i="21"/>
  <c r="Z588" i="21" s="1"/>
  <c r="AA588" i="21" s="1"/>
  <c r="N413" i="21"/>
  <c r="Z413" i="21" s="1"/>
  <c r="AA413" i="21" s="1"/>
  <c r="N509" i="21"/>
  <c r="Z509" i="21" s="1"/>
  <c r="AA509" i="21" s="1"/>
  <c r="N560" i="21"/>
  <c r="Z560" i="21" s="1"/>
  <c r="AA560" i="21" s="1"/>
  <c r="N592" i="21"/>
  <c r="Z592" i="21" s="1"/>
  <c r="AA592" i="21" s="1"/>
  <c r="N366" i="21"/>
  <c r="Z366" i="21" s="1"/>
  <c r="AA366" i="21" s="1"/>
  <c r="N353" i="21"/>
  <c r="Z353" i="21" s="1"/>
  <c r="AA353" i="21" s="1"/>
  <c r="N417" i="21"/>
  <c r="Z417" i="21" s="1"/>
  <c r="AA417" i="21" s="1"/>
  <c r="N545" i="21"/>
  <c r="Z545" i="21" s="1"/>
  <c r="AA545" i="21" s="1"/>
  <c r="N523" i="21"/>
  <c r="Z523" i="21" s="1"/>
  <c r="AA523" i="21" s="1"/>
  <c r="N691" i="21"/>
  <c r="Z691" i="21" s="1"/>
  <c r="AA691" i="21" s="1"/>
  <c r="N699" i="21"/>
  <c r="Z699" i="21" s="1"/>
  <c r="AA699" i="21" s="1"/>
  <c r="N703" i="21"/>
  <c r="Z703" i="21" s="1"/>
  <c r="AA703" i="21" s="1"/>
  <c r="N657" i="21"/>
  <c r="Z657" i="21" s="1"/>
  <c r="AA657" i="21" s="1"/>
  <c r="N670" i="21"/>
  <c r="Z670" i="21" s="1"/>
  <c r="AA670" i="21" s="1"/>
  <c r="N640" i="21"/>
  <c r="Z640" i="21" s="1"/>
  <c r="AA640" i="21" s="1"/>
  <c r="N609" i="21"/>
  <c r="Z609" i="21" s="1"/>
  <c r="AA609" i="21" s="1"/>
  <c r="N612" i="21"/>
  <c r="Z612" i="21" s="1"/>
  <c r="AA612" i="21" s="1"/>
  <c r="N416" i="21"/>
  <c r="Z416" i="21" s="1"/>
  <c r="AA416" i="21" s="1"/>
  <c r="N498" i="21"/>
  <c r="Z498" i="21" s="1"/>
  <c r="AA498" i="21" s="1"/>
  <c r="N599" i="21"/>
  <c r="Z599" i="21" s="1"/>
  <c r="AA599" i="21" s="1"/>
  <c r="N449" i="21"/>
  <c r="Z449" i="21" s="1"/>
  <c r="AA449" i="21" s="1"/>
  <c r="N491" i="21"/>
  <c r="Z491" i="21" s="1"/>
  <c r="AA491" i="21" s="1"/>
  <c r="N404" i="21"/>
  <c r="Z404" i="21" s="1"/>
  <c r="AA404" i="21" s="1"/>
  <c r="N605" i="21"/>
  <c r="Z605" i="21" s="1"/>
  <c r="AA605" i="21" s="1"/>
  <c r="N376" i="21"/>
  <c r="Z376" i="21" s="1"/>
  <c r="AA376" i="21" s="1"/>
  <c r="N508" i="21"/>
  <c r="Z508" i="21" s="1"/>
  <c r="AA508" i="21" s="1"/>
  <c r="N369" i="21"/>
  <c r="Z369" i="21" s="1"/>
  <c r="AA369" i="21" s="1"/>
  <c r="N497" i="21"/>
  <c r="Z497" i="21" s="1"/>
  <c r="AA497" i="21" s="1"/>
  <c r="N561" i="21"/>
  <c r="Z561" i="21" s="1"/>
  <c r="AA561" i="21" s="1"/>
  <c r="X938" i="21"/>
  <c r="N565" i="21"/>
  <c r="Z565" i="21" s="1"/>
  <c r="AA565" i="21" s="1"/>
  <c r="N597" i="21"/>
  <c r="Z597" i="21" s="1"/>
  <c r="AA597" i="21" s="1"/>
  <c r="N470" i="21"/>
  <c r="Z470" i="21" s="1"/>
  <c r="AA470" i="21" s="1"/>
  <c r="N621" i="21"/>
  <c r="Z621" i="21" s="1"/>
  <c r="AA621" i="21" s="1"/>
  <c r="N360" i="21"/>
  <c r="Z360" i="21" s="1"/>
  <c r="AA360" i="21" s="1"/>
  <c r="X842" i="21"/>
  <c r="X838" i="21"/>
  <c r="X902" i="21"/>
  <c r="N607" i="21"/>
  <c r="Z607" i="21" s="1"/>
  <c r="AA607" i="21" s="1"/>
  <c r="N460" i="21"/>
  <c r="Z460" i="21" s="1"/>
  <c r="AA460" i="21" s="1"/>
  <c r="X906" i="21"/>
  <c r="N387" i="21"/>
  <c r="Z387" i="21" s="1"/>
  <c r="AA387" i="21" s="1"/>
  <c r="N167" i="21"/>
  <c r="Z167" i="21" s="1"/>
  <c r="AA167" i="21" s="1"/>
  <c r="N351" i="21"/>
  <c r="Z351" i="21" s="1"/>
  <c r="AA351" i="21" s="1"/>
  <c r="N504" i="21"/>
  <c r="Z504" i="21" s="1"/>
  <c r="AA504" i="21" s="1"/>
  <c r="X714" i="21"/>
  <c r="X778" i="21"/>
  <c r="N394" i="21"/>
  <c r="Z394" i="21" s="1"/>
  <c r="AA394" i="21" s="1"/>
  <c r="N586" i="21"/>
  <c r="Z586" i="21" s="1"/>
  <c r="AA586" i="21" s="1"/>
  <c r="N539" i="21"/>
  <c r="Z539" i="21" s="1"/>
  <c r="AA539" i="21" s="1"/>
  <c r="N624" i="21"/>
  <c r="Z624" i="21" s="1"/>
  <c r="AA624" i="21" s="1"/>
  <c r="N750" i="21"/>
  <c r="Z750" i="21" s="1"/>
  <c r="AA750" i="21" s="1"/>
  <c r="N678" i="21"/>
  <c r="Z678" i="21" s="1"/>
  <c r="AA678" i="21" s="1"/>
  <c r="N878" i="21"/>
  <c r="Z878" i="21" s="1"/>
  <c r="AA878" i="21" s="1"/>
  <c r="N882" i="21"/>
  <c r="Z882" i="21" s="1"/>
  <c r="AA882" i="21" s="1"/>
  <c r="N350" i="21"/>
  <c r="Z350" i="21" s="1"/>
  <c r="AA350" i="21" s="1"/>
  <c r="N192" i="21"/>
  <c r="Z192" i="21" s="1"/>
  <c r="AA192" i="21" s="1"/>
  <c r="N485" i="21"/>
  <c r="Z485" i="21" s="1"/>
  <c r="AA485" i="21" s="1"/>
  <c r="N549" i="21"/>
  <c r="Z549" i="21" s="1"/>
  <c r="AA549" i="21" s="1"/>
  <c r="N440" i="21"/>
  <c r="Z440" i="21" s="1"/>
  <c r="AA440" i="21" s="1"/>
  <c r="N536" i="21"/>
  <c r="Z536" i="21" s="1"/>
  <c r="AA536" i="21" s="1"/>
  <c r="N233" i="21"/>
  <c r="Z233" i="21" s="1"/>
  <c r="AA233" i="21" s="1"/>
  <c r="N521" i="21"/>
  <c r="Z521" i="21" s="1"/>
  <c r="AA521" i="21" s="1"/>
  <c r="N554" i="21"/>
  <c r="Z554" i="21" s="1"/>
  <c r="AA554" i="21" s="1"/>
  <c r="N355" i="21"/>
  <c r="Z355" i="21" s="1"/>
  <c r="AA355" i="21" s="1"/>
  <c r="N540" i="21"/>
  <c r="Z540" i="21" s="1"/>
  <c r="AA540" i="21" s="1"/>
  <c r="N459" i="21"/>
  <c r="Z459" i="21" s="1"/>
  <c r="AA459" i="21" s="1"/>
  <c r="N674" i="21"/>
  <c r="Z674" i="21" s="1"/>
  <c r="AA674" i="21" s="1"/>
  <c r="N322" i="21"/>
  <c r="Z322" i="21" s="1"/>
  <c r="AA322" i="21" s="1"/>
  <c r="N397" i="21"/>
  <c r="Z397" i="21" s="1"/>
  <c r="AA397" i="21" s="1"/>
  <c r="N493" i="21"/>
  <c r="Z493" i="21" s="1"/>
  <c r="AA493" i="21" s="1"/>
  <c r="N430" i="21"/>
  <c r="Z430" i="21" s="1"/>
  <c r="AA430" i="21" s="1"/>
  <c r="N471" i="21"/>
  <c r="Z471" i="21" s="1"/>
  <c r="AA471" i="21" s="1"/>
  <c r="N575" i="21"/>
  <c r="Z575" i="21" s="1"/>
  <c r="AA575" i="21" s="1"/>
  <c r="N544" i="21"/>
  <c r="Z544" i="21" s="1"/>
  <c r="AA544" i="21" s="1"/>
  <c r="N514" i="21"/>
  <c r="Z514" i="21" s="1"/>
  <c r="AA514" i="21" s="1"/>
  <c r="X942" i="21"/>
  <c r="N718" i="21"/>
  <c r="Z718" i="21" s="1"/>
  <c r="AA718" i="21" s="1"/>
  <c r="N259" i="21"/>
  <c r="Z259" i="21" s="1"/>
  <c r="AA259" i="21" s="1"/>
  <c r="N593" i="21"/>
  <c r="Z593" i="21" s="1"/>
  <c r="AA593" i="21" s="1"/>
  <c r="N562" i="21"/>
  <c r="Z562" i="21" s="1"/>
  <c r="AA562" i="21" s="1"/>
  <c r="N450" i="21"/>
  <c r="Z450" i="21" s="1"/>
  <c r="AA450" i="21" s="1"/>
  <c r="N423" i="21"/>
  <c r="Z423" i="21" s="1"/>
  <c r="AA423" i="21" s="1"/>
  <c r="N479" i="21"/>
  <c r="Z479" i="21" s="1"/>
  <c r="AA479" i="21" s="1"/>
  <c r="N603" i="21"/>
  <c r="Z603" i="21" s="1"/>
  <c r="AA603" i="21" s="1"/>
  <c r="N411" i="21"/>
  <c r="Z411" i="21" s="1"/>
  <c r="AA411" i="21" s="1"/>
  <c r="N301" i="21"/>
  <c r="Z301" i="21" s="1"/>
  <c r="AA301" i="21" s="1"/>
  <c r="N409" i="21"/>
  <c r="Z409" i="21" s="1"/>
  <c r="AA409" i="21" s="1"/>
  <c r="N602" i="21"/>
  <c r="Z602" i="21" s="1"/>
  <c r="AA602" i="21" s="1"/>
  <c r="N364" i="21"/>
  <c r="Z364" i="21" s="1"/>
  <c r="AA364" i="21" s="1"/>
  <c r="N492" i="21"/>
  <c r="Z492" i="21" s="1"/>
  <c r="AA492" i="21" s="1"/>
  <c r="N358" i="21"/>
  <c r="Z358" i="21" s="1"/>
  <c r="AA358" i="21" s="1"/>
  <c r="N604" i="21"/>
  <c r="Z604" i="21" s="1"/>
  <c r="AA604" i="21" s="1"/>
  <c r="N587" i="21"/>
  <c r="Z587" i="21" s="1"/>
  <c r="AA587" i="21" s="1"/>
  <c r="N418" i="21"/>
  <c r="Z418" i="21" s="1"/>
  <c r="AA418" i="21" s="1"/>
  <c r="N546" i="21"/>
  <c r="Z546" i="21" s="1"/>
  <c r="AA546" i="21" s="1"/>
  <c r="N559" i="21"/>
  <c r="Z559" i="21" s="1"/>
  <c r="AA559" i="21" s="1"/>
  <c r="N422" i="21"/>
  <c r="Z422" i="21" s="1"/>
  <c r="AA422" i="21" s="1"/>
  <c r="N567" i="21"/>
  <c r="Z567" i="21" s="1"/>
  <c r="AA567" i="21" s="1"/>
  <c r="N412" i="21"/>
  <c r="Z412" i="21" s="1"/>
  <c r="AA412" i="21" s="1"/>
  <c r="N365" i="21"/>
  <c r="Z365" i="21" s="1"/>
  <c r="AA365" i="21" s="1"/>
  <c r="N576" i="21"/>
  <c r="Z576" i="21" s="1"/>
  <c r="AA576" i="21" s="1"/>
  <c r="N579" i="21"/>
  <c r="Z579" i="21" s="1"/>
  <c r="AA579" i="21" s="1"/>
  <c r="N452" i="21"/>
  <c r="Z452" i="21" s="1"/>
  <c r="AA452" i="21" s="1"/>
  <c r="N484" i="21"/>
  <c r="Z484" i="21" s="1"/>
  <c r="AA484" i="21" s="1"/>
  <c r="N406" i="21"/>
  <c r="Z406" i="21" s="1"/>
  <c r="AA406" i="21" s="1"/>
  <c r="N511" i="21"/>
  <c r="Z511" i="21" s="1"/>
  <c r="AA511" i="21" s="1"/>
  <c r="N580" i="21"/>
  <c r="Z580" i="21" s="1"/>
  <c r="AA580" i="21" s="1"/>
  <c r="N570" i="21"/>
  <c r="Z570" i="21" s="1"/>
  <c r="AA570" i="21" s="1"/>
  <c r="N503" i="21"/>
  <c r="Z503" i="21" s="1"/>
  <c r="AA503" i="21" s="1"/>
  <c r="N499" i="21"/>
  <c r="Z499" i="21" s="1"/>
  <c r="AA499" i="21" s="1"/>
  <c r="N488" i="21"/>
  <c r="Z488" i="21" s="1"/>
  <c r="AA488" i="21" s="1"/>
  <c r="N478" i="21"/>
  <c r="Z478" i="21" s="1"/>
  <c r="AA478" i="21" s="1"/>
  <c r="N487" i="21"/>
  <c r="Z487" i="21" s="1"/>
  <c r="AA487" i="21" s="1"/>
  <c r="N481" i="21"/>
  <c r="Z481" i="21" s="1"/>
  <c r="AA481" i="21" s="1"/>
  <c r="N472" i="21"/>
  <c r="Z472" i="21" s="1"/>
  <c r="AA472" i="21" s="1"/>
  <c r="N458" i="21"/>
  <c r="Z458" i="21" s="1"/>
  <c r="AA458" i="21" s="1"/>
  <c r="N467" i="21"/>
  <c r="Z467" i="21" s="1"/>
  <c r="AA467" i="21" s="1"/>
  <c r="N434" i="21"/>
  <c r="Z434" i="21" s="1"/>
  <c r="AA434" i="21" s="1"/>
  <c r="N428" i="21"/>
  <c r="Z428" i="21" s="1"/>
  <c r="AA428" i="21" s="1"/>
  <c r="N455" i="21"/>
  <c r="Z455" i="21" s="1"/>
  <c r="AA455" i="21" s="1"/>
  <c r="N435" i="21"/>
  <c r="Z435" i="21" s="1"/>
  <c r="AA435" i="21" s="1"/>
  <c r="N444" i="21"/>
  <c r="Z444" i="21" s="1"/>
  <c r="AA444" i="21" s="1"/>
  <c r="N392" i="21"/>
  <c r="Z392" i="21" s="1"/>
  <c r="AA392" i="21" s="1"/>
  <c r="N415" i="21"/>
  <c r="Z415" i="21" s="1"/>
  <c r="AA415" i="21" s="1"/>
  <c r="N396" i="21"/>
  <c r="Z396" i="21" s="1"/>
  <c r="AA396" i="21" s="1"/>
  <c r="N400" i="21"/>
  <c r="Z400" i="21" s="1"/>
  <c r="AA400" i="21" s="1"/>
  <c r="N408" i="21"/>
  <c r="Z408" i="21" s="1"/>
  <c r="AA408" i="21" s="1"/>
  <c r="N176" i="21"/>
  <c r="Z176" i="21" s="1"/>
  <c r="AA176" i="21" s="1"/>
  <c r="N11" i="21"/>
  <c r="Z11" i="21" s="1"/>
  <c r="AA11" i="21" s="1"/>
  <c r="N227" i="21"/>
  <c r="Z227" i="21" s="1"/>
  <c r="AA227" i="21" s="1"/>
  <c r="N802" i="21"/>
  <c r="Z802" i="21" s="1"/>
  <c r="AA802" i="21" s="1"/>
  <c r="N171" i="21"/>
  <c r="Z171" i="21" s="1"/>
  <c r="AA171" i="21" s="1"/>
  <c r="N276" i="21"/>
  <c r="Z276" i="21" s="1"/>
  <c r="AA276" i="21" s="1"/>
  <c r="N822" i="21"/>
  <c r="Z822" i="21" s="1"/>
  <c r="AA822" i="21" s="1"/>
  <c r="N898" i="21"/>
  <c r="Z898" i="21" s="1"/>
  <c r="AA898" i="21" s="1"/>
  <c r="N193" i="21"/>
  <c r="Z193" i="21" s="1"/>
  <c r="AA193" i="21" s="1"/>
  <c r="N249" i="21"/>
  <c r="Z249" i="21" s="1"/>
  <c r="AA249" i="21" s="1"/>
  <c r="N305" i="21"/>
  <c r="Z305" i="21" s="1"/>
  <c r="AA305" i="21" s="1"/>
  <c r="N45" i="21"/>
  <c r="Z45" i="21" s="1"/>
  <c r="AA45" i="21" s="1"/>
  <c r="N220" i="21"/>
  <c r="Z220" i="21" s="1"/>
  <c r="AA220" i="21" s="1"/>
  <c r="N87" i="21"/>
  <c r="Z87" i="21" s="1"/>
  <c r="AA87" i="21" s="1"/>
  <c r="N105" i="21"/>
  <c r="Z105" i="21" s="1"/>
  <c r="AA105" i="21" s="1"/>
  <c r="N303" i="21"/>
  <c r="Z303" i="21" s="1"/>
  <c r="AA303" i="21" s="1"/>
  <c r="N806" i="21"/>
  <c r="Z806" i="21" s="1"/>
  <c r="AA806" i="21" s="1"/>
  <c r="X970" i="21"/>
  <c r="X834" i="21"/>
  <c r="X930" i="21"/>
  <c r="N994" i="21"/>
  <c r="Z994" i="21" s="1"/>
  <c r="AA994" i="21" s="1"/>
  <c r="X874" i="21"/>
  <c r="N666" i="21"/>
  <c r="Z666" i="21" s="1"/>
  <c r="AA666" i="21" s="1"/>
  <c r="N337" i="21"/>
  <c r="Z337" i="21" s="1"/>
  <c r="AA337" i="21" s="1"/>
  <c r="N281" i="21"/>
  <c r="Z281" i="21" s="1"/>
  <c r="AA281" i="21" s="1"/>
  <c r="N926" i="21"/>
  <c r="Z926" i="21" s="1"/>
  <c r="AA926" i="21" s="1"/>
  <c r="N148" i="21"/>
  <c r="Z148" i="21" s="1"/>
  <c r="AA148" i="21" s="1"/>
  <c r="N852" i="21"/>
  <c r="Z852" i="21" s="1"/>
  <c r="AA852" i="21" s="1"/>
  <c r="N706" i="21"/>
  <c r="Z706" i="21" s="1"/>
  <c r="AA706" i="21" s="1"/>
  <c r="X770" i="21"/>
  <c r="N830" i="21"/>
  <c r="Z830" i="21" s="1"/>
  <c r="AA830" i="21" s="1"/>
  <c r="X894" i="21"/>
  <c r="X694" i="21"/>
  <c r="N311" i="21"/>
  <c r="Z311" i="21" s="1"/>
  <c r="AA311" i="21" s="1"/>
  <c r="N99" i="21"/>
  <c r="Z99" i="21" s="1"/>
  <c r="AA99" i="21" s="1"/>
  <c r="X958" i="21"/>
  <c r="N240" i="21"/>
  <c r="Z240" i="21" s="1"/>
  <c r="AA240" i="21" s="1"/>
  <c r="N96" i="21"/>
  <c r="Z96" i="21" s="1"/>
  <c r="AA96" i="21" s="1"/>
  <c r="N986" i="21"/>
  <c r="Z986" i="21" s="1"/>
  <c r="AA986" i="21" s="1"/>
  <c r="N274" i="21"/>
  <c r="Z274" i="21" s="1"/>
  <c r="AA274" i="21" s="1"/>
  <c r="X826" i="21"/>
  <c r="N95" i="21"/>
  <c r="Z95" i="21" s="1"/>
  <c r="AA95" i="21" s="1"/>
  <c r="X890" i="21"/>
  <c r="N950" i="21"/>
  <c r="Z950" i="21" s="1"/>
  <c r="AA950" i="21" s="1"/>
  <c r="N698" i="21"/>
  <c r="Z698" i="21" s="1"/>
  <c r="AA698" i="21" s="1"/>
  <c r="X80" i="21"/>
  <c r="N200" i="21"/>
  <c r="Z200" i="21" s="1"/>
  <c r="AA200" i="21" s="1"/>
  <c r="N47" i="21"/>
  <c r="Z47" i="21" s="1"/>
  <c r="AA47" i="21" s="1"/>
  <c r="N330" i="21"/>
  <c r="Z330" i="21" s="1"/>
  <c r="AA330" i="21" s="1"/>
  <c r="N190" i="21"/>
  <c r="Z190" i="21" s="1"/>
  <c r="AA190" i="21" s="1"/>
  <c r="N146" i="21"/>
  <c r="Z146" i="21" s="1"/>
  <c r="AA146" i="21" s="1"/>
  <c r="N868" i="21"/>
  <c r="Z868" i="21" s="1"/>
  <c r="AA868" i="21" s="1"/>
  <c r="X962" i="21"/>
  <c r="N476" i="21"/>
  <c r="Z476" i="21" s="1"/>
  <c r="AA476" i="21" s="1"/>
  <c r="X812" i="21"/>
  <c r="X886" i="21"/>
  <c r="X762" i="21"/>
  <c r="N339" i="21"/>
  <c r="Z339" i="21" s="1"/>
  <c r="AA339" i="21" s="1"/>
  <c r="N40" i="21"/>
  <c r="Z40" i="21" s="1"/>
  <c r="AA40" i="21" s="1"/>
  <c r="N120" i="21"/>
  <c r="Z120" i="21" s="1"/>
  <c r="AA120" i="21" s="1"/>
  <c r="N166" i="21"/>
  <c r="Z166" i="21" s="1"/>
  <c r="AA166" i="21" s="1"/>
  <c r="N138" i="21"/>
  <c r="Z138" i="21" s="1"/>
  <c r="AA138" i="21" s="1"/>
  <c r="N686" i="21"/>
  <c r="Z686" i="21" s="1"/>
  <c r="AA686" i="21" s="1"/>
  <c r="N319" i="21"/>
  <c r="Z319" i="21" s="1"/>
  <c r="AA319" i="21" s="1"/>
  <c r="N758" i="21"/>
  <c r="Z758" i="21" s="1"/>
  <c r="AA758" i="21" s="1"/>
  <c r="N264" i="21"/>
  <c r="Z264" i="21" s="1"/>
  <c r="AA264" i="21" s="1"/>
  <c r="N304" i="21"/>
  <c r="Z304" i="21" s="1"/>
  <c r="AA304" i="21" s="1"/>
  <c r="N149" i="21"/>
  <c r="Z149" i="21" s="1"/>
  <c r="AA149" i="21" s="1"/>
  <c r="N31" i="21"/>
  <c r="Z31" i="21" s="1"/>
  <c r="AA31" i="21" s="1"/>
  <c r="N177" i="21"/>
  <c r="Z177" i="21" s="1"/>
  <c r="AA177" i="21" s="1"/>
  <c r="N225" i="21"/>
  <c r="Z225" i="21" s="1"/>
  <c r="AA225" i="21" s="1"/>
  <c r="N321" i="21"/>
  <c r="Z321" i="21" s="1"/>
  <c r="AA321" i="21" s="1"/>
  <c r="N53" i="21"/>
  <c r="Z53" i="21" s="1"/>
  <c r="AA53" i="21" s="1"/>
  <c r="N20" i="21"/>
  <c r="Z20" i="21" s="1"/>
  <c r="AA20" i="21" s="1"/>
  <c r="N139" i="21"/>
  <c r="Z139" i="21" s="1"/>
  <c r="AA139" i="21" s="1"/>
  <c r="N104" i="21"/>
  <c r="Z104" i="21" s="1"/>
  <c r="AA104" i="21" s="1"/>
  <c r="N354" i="21"/>
  <c r="Z354" i="21" s="1"/>
  <c r="AA354" i="21" s="1"/>
  <c r="X664" i="21"/>
  <c r="X896" i="21"/>
  <c r="X866" i="21"/>
  <c r="X728" i="21"/>
  <c r="N362" i="21"/>
  <c r="Z362" i="21" s="1"/>
  <c r="AA362" i="21" s="1"/>
  <c r="N730" i="21"/>
  <c r="Z730" i="21" s="1"/>
  <c r="AA730" i="21" s="1"/>
  <c r="N682" i="21"/>
  <c r="Z682" i="21" s="1"/>
  <c r="AA682" i="21" s="1"/>
  <c r="N854" i="21"/>
  <c r="Z854" i="21" s="1"/>
  <c r="AA854" i="21" s="1"/>
  <c r="X798" i="21"/>
  <c r="N203" i="21"/>
  <c r="Z203" i="21" s="1"/>
  <c r="AA203" i="21" s="1"/>
  <c r="N211" i="21"/>
  <c r="Z211" i="21" s="1"/>
  <c r="AA211" i="21" s="1"/>
  <c r="N219" i="21"/>
  <c r="Z219" i="21" s="1"/>
  <c r="AA219" i="21" s="1"/>
  <c r="N307" i="21"/>
  <c r="Z307" i="21" s="1"/>
  <c r="AA307" i="21" s="1"/>
  <c r="N315" i="21"/>
  <c r="Z315" i="21" s="1"/>
  <c r="AA315" i="21" s="1"/>
  <c r="N323" i="21"/>
  <c r="Z323" i="21" s="1"/>
  <c r="AA323" i="21" s="1"/>
  <c r="N115" i="21"/>
  <c r="Z115" i="21" s="1"/>
  <c r="AA115" i="21" s="1"/>
  <c r="N86" i="21"/>
  <c r="Z86" i="21" s="1"/>
  <c r="AA86" i="21" s="1"/>
  <c r="N922" i="21"/>
  <c r="Z922" i="21" s="1"/>
  <c r="AA922" i="21" s="1"/>
  <c r="N918" i="21"/>
  <c r="Z918" i="21" s="1"/>
  <c r="AA918" i="21" s="1"/>
  <c r="X982" i="21"/>
  <c r="X794" i="21"/>
  <c r="X620" i="21"/>
  <c r="N954" i="21"/>
  <c r="Z954" i="21" s="1"/>
  <c r="AA954" i="21" s="1"/>
  <c r="N189" i="21"/>
  <c r="Z189" i="21" s="1"/>
  <c r="AA189" i="21" s="1"/>
  <c r="N237" i="21"/>
  <c r="Z237" i="21" s="1"/>
  <c r="AA237" i="21" s="1"/>
  <c r="N253" i="21"/>
  <c r="Z253" i="21" s="1"/>
  <c r="AA253" i="21" s="1"/>
  <c r="N317" i="21"/>
  <c r="Z317" i="21" s="1"/>
  <c r="AA317" i="21" s="1"/>
  <c r="N155" i="21"/>
  <c r="Z155" i="21" s="1"/>
  <c r="AA155" i="21" s="1"/>
  <c r="N98" i="21"/>
  <c r="Z98" i="21" s="1"/>
  <c r="AA98" i="21" s="1"/>
  <c r="N790" i="21"/>
  <c r="Z790" i="21" s="1"/>
  <c r="AA790" i="21" s="1"/>
  <c r="X358" i="21"/>
  <c r="X990" i="21"/>
  <c r="X734" i="21"/>
  <c r="N858" i="21"/>
  <c r="Z858" i="21" s="1"/>
  <c r="AA858" i="21" s="1"/>
  <c r="N236" i="21"/>
  <c r="Z236" i="21" s="1"/>
  <c r="AA236" i="21" s="1"/>
  <c r="N206" i="21"/>
  <c r="Z206" i="21" s="1"/>
  <c r="AA206" i="21" s="1"/>
  <c r="N170" i="21"/>
  <c r="Z170" i="21" s="1"/>
  <c r="AA170" i="21" s="1"/>
  <c r="N74" i="21"/>
  <c r="Z74" i="21" s="1"/>
  <c r="AA74" i="21" s="1"/>
  <c r="X96" i="21"/>
  <c r="X738" i="21"/>
  <c r="X726" i="21"/>
  <c r="N862" i="21"/>
  <c r="Z862" i="21" s="1"/>
  <c r="AA862" i="21" s="1"/>
  <c r="N310" i="21"/>
  <c r="Z310" i="21" s="1"/>
  <c r="AA310" i="21" s="1"/>
  <c r="N71" i="21"/>
  <c r="Z71" i="21" s="1"/>
  <c r="AA71" i="21" s="1"/>
  <c r="N247" i="21"/>
  <c r="Z247" i="21" s="1"/>
  <c r="AA247" i="21" s="1"/>
  <c r="N335" i="21"/>
  <c r="Z335" i="21" s="1"/>
  <c r="AA335" i="21" s="1"/>
  <c r="N343" i="21"/>
  <c r="Z343" i="21" s="1"/>
  <c r="AA343" i="21" s="1"/>
  <c r="N12" i="21"/>
  <c r="Z12" i="21" s="1"/>
  <c r="AA12" i="21" s="1"/>
  <c r="N43" i="21"/>
  <c r="Z43" i="21" s="1"/>
  <c r="AA43" i="21" s="1"/>
  <c r="N114" i="21"/>
  <c r="Z114" i="21" s="1"/>
  <c r="AA114" i="21" s="1"/>
  <c r="N136" i="21"/>
  <c r="Z136" i="21" s="1"/>
  <c r="AA136" i="21" s="1"/>
  <c r="N273" i="21"/>
  <c r="Z273" i="21" s="1"/>
  <c r="AA273" i="21" s="1"/>
  <c r="N142" i="21"/>
  <c r="Z142" i="21" s="1"/>
  <c r="AA142" i="21" s="1"/>
  <c r="X416" i="21"/>
  <c r="N966" i="21"/>
  <c r="Z966" i="21" s="1"/>
  <c r="AA966" i="21" s="1"/>
  <c r="N244" i="21"/>
  <c r="Z244" i="21" s="1"/>
  <c r="AA244" i="21" s="1"/>
  <c r="N252" i="21"/>
  <c r="Z252" i="21" s="1"/>
  <c r="AA252" i="21" s="1"/>
  <c r="N260" i="21"/>
  <c r="Z260" i="21" s="1"/>
  <c r="AA260" i="21" s="1"/>
  <c r="N173" i="21"/>
  <c r="Z173" i="21" s="1"/>
  <c r="AA173" i="21" s="1"/>
  <c r="N774" i="21"/>
  <c r="Z774" i="21" s="1"/>
  <c r="AA774" i="21" s="1"/>
  <c r="N72" i="21"/>
  <c r="Z72" i="21" s="1"/>
  <c r="AA72" i="21" s="1"/>
  <c r="N88" i="21"/>
  <c r="Z88" i="21" s="1"/>
  <c r="AA88" i="21" s="1"/>
  <c r="X884" i="21"/>
  <c r="N269" i="21"/>
  <c r="Z269" i="21" s="1"/>
  <c r="AA269" i="21" s="1"/>
  <c r="N309" i="21"/>
  <c r="Z309" i="21" s="1"/>
  <c r="AA309" i="21" s="1"/>
  <c r="X492" i="21"/>
  <c r="N702" i="21"/>
  <c r="Z702" i="21" s="1"/>
  <c r="AA702" i="21" s="1"/>
  <c r="X524" i="21"/>
  <c r="N198" i="21"/>
  <c r="Z198" i="21" s="1"/>
  <c r="AA198" i="21" s="1"/>
  <c r="N222" i="21"/>
  <c r="Z222" i="21" s="1"/>
  <c r="AA222" i="21" s="1"/>
  <c r="N286" i="21"/>
  <c r="Z286" i="21" s="1"/>
  <c r="AA286" i="21" s="1"/>
  <c r="N294" i="21"/>
  <c r="Z294" i="21" s="1"/>
  <c r="AA294" i="21" s="1"/>
  <c r="N302" i="21"/>
  <c r="Z302" i="21" s="1"/>
  <c r="AA302" i="21" s="1"/>
  <c r="N326" i="21"/>
  <c r="Z326" i="21" s="1"/>
  <c r="AA326" i="21" s="1"/>
  <c r="N82" i="21"/>
  <c r="Z82" i="21" s="1"/>
  <c r="AA82" i="21" s="1"/>
  <c r="X832" i="21"/>
  <c r="X776" i="21"/>
  <c r="N263" i="21"/>
  <c r="Z263" i="21" s="1"/>
  <c r="AA263" i="21" s="1"/>
  <c r="N94" i="21"/>
  <c r="Z94" i="21" s="1"/>
  <c r="AA94" i="21" s="1"/>
  <c r="X352" i="21"/>
  <c r="N556" i="21"/>
  <c r="Z556" i="21" s="1"/>
  <c r="AA556" i="21" s="1"/>
  <c r="N448" i="21"/>
  <c r="Z448" i="21" s="1"/>
  <c r="AA448" i="21" s="1"/>
  <c r="N126" i="21"/>
  <c r="Z126" i="21" s="1"/>
  <c r="AA126" i="21" s="1"/>
  <c r="N132" i="21"/>
  <c r="Z132" i="21" s="1"/>
  <c r="AA132" i="21" s="1"/>
  <c r="N150" i="21"/>
  <c r="Z150" i="21" s="1"/>
  <c r="AA150" i="21" s="1"/>
  <c r="N154" i="21"/>
  <c r="Z154" i="21" s="1"/>
  <c r="AA154" i="21" s="1"/>
  <c r="N133" i="21"/>
  <c r="Z133" i="21" s="1"/>
  <c r="AA133" i="21" s="1"/>
  <c r="N108" i="21"/>
  <c r="Z108" i="21" s="1"/>
  <c r="AA108" i="21" s="1"/>
  <c r="X364" i="21"/>
  <c r="N215" i="21"/>
  <c r="Z215" i="21" s="1"/>
  <c r="AA215" i="21" s="1"/>
  <c r="N295" i="21"/>
  <c r="Z295" i="21" s="1"/>
  <c r="AA295" i="21" s="1"/>
  <c r="X420" i="21"/>
  <c r="N810" i="21"/>
  <c r="Z810" i="21" s="1"/>
  <c r="AA810" i="21" s="1"/>
  <c r="X72" i="21"/>
  <c r="X742" i="21"/>
  <c r="N442" i="21"/>
  <c r="Z442" i="21" s="1"/>
  <c r="AA442" i="21" s="1"/>
  <c r="X657" i="21"/>
  <c r="X670" i="21"/>
  <c r="X803" i="21"/>
  <c r="X851" i="21"/>
  <c r="N137" i="21"/>
  <c r="Z137" i="21" s="1"/>
  <c r="AA137" i="21" s="1"/>
  <c r="N76" i="21"/>
  <c r="Z76" i="21" s="1"/>
  <c r="AA76" i="21" s="1"/>
  <c r="X912" i="21"/>
  <c r="X269" i="21"/>
  <c r="X602" i="21"/>
  <c r="X576" i="21"/>
  <c r="N451" i="21"/>
  <c r="Z451" i="21" s="1"/>
  <c r="AA451" i="21" s="1"/>
  <c r="N480" i="21"/>
  <c r="Z480" i="21" s="1"/>
  <c r="AA480" i="21" s="1"/>
  <c r="X916" i="21"/>
  <c r="N128" i="21"/>
  <c r="Z128" i="21" s="1"/>
  <c r="AA128" i="21" s="1"/>
  <c r="X716" i="21"/>
  <c r="N876" i="21"/>
  <c r="Z876" i="21" s="1"/>
  <c r="AA876" i="21" s="1"/>
  <c r="X608" i="21"/>
  <c r="N391" i="21"/>
  <c r="Z391" i="21" s="1"/>
  <c r="AA391" i="21" s="1"/>
  <c r="X921" i="21"/>
  <c r="N172" i="21"/>
  <c r="Z172" i="21" s="1"/>
  <c r="AA172" i="21" s="1"/>
  <c r="N129" i="21"/>
  <c r="Z129" i="21" s="1"/>
  <c r="AA129" i="21" s="1"/>
  <c r="X779" i="21"/>
  <c r="N37" i="21"/>
  <c r="Z37" i="21" s="1"/>
  <c r="AA37" i="21" s="1"/>
  <c r="N265" i="21"/>
  <c r="Z265" i="21" s="1"/>
  <c r="AA265" i="21" s="1"/>
  <c r="N746" i="21"/>
  <c r="Z746" i="21" s="1"/>
  <c r="AA746" i="21" s="1"/>
  <c r="N217" i="21"/>
  <c r="Z217" i="21" s="1"/>
  <c r="AA217" i="21" s="1"/>
  <c r="X353" i="21"/>
  <c r="X417" i="21"/>
  <c r="X481" i="21"/>
  <c r="X348" i="21"/>
  <c r="N651" i="21"/>
  <c r="Z651" i="21" s="1"/>
  <c r="AA651" i="21" s="1"/>
  <c r="N715" i="21"/>
  <c r="Z715" i="21" s="1"/>
  <c r="AA715" i="21" s="1"/>
  <c r="N932" i="21"/>
  <c r="Z932" i="21" s="1"/>
  <c r="AA932" i="21" s="1"/>
  <c r="N969" i="21"/>
  <c r="Z969" i="21" s="1"/>
  <c r="AA969" i="21" s="1"/>
  <c r="N356" i="21"/>
  <c r="Z356" i="21" s="1"/>
  <c r="AA356" i="21" s="1"/>
  <c r="N258" i="21"/>
  <c r="Z258" i="21" s="1"/>
  <c r="AA258" i="21" s="1"/>
  <c r="X99" i="21"/>
  <c r="N207" i="21"/>
  <c r="Z207" i="21" s="1"/>
  <c r="AA207" i="21" s="1"/>
  <c r="X919" i="21"/>
  <c r="N934" i="21"/>
  <c r="Z934" i="21" s="1"/>
  <c r="AA934" i="21" s="1"/>
  <c r="N996" i="21"/>
  <c r="Z996" i="21" s="1"/>
  <c r="AA996" i="21" s="1"/>
  <c r="X459" i="21"/>
  <c r="X780" i="21"/>
  <c r="X793" i="21"/>
  <c r="X508" i="21"/>
  <c r="X656" i="21"/>
  <c r="X720" i="21"/>
  <c r="N870" i="21"/>
  <c r="Z870" i="21" s="1"/>
  <c r="AA870" i="21" s="1"/>
  <c r="N642" i="21"/>
  <c r="Z642" i="21" s="1"/>
  <c r="AA642" i="21" s="1"/>
  <c r="N998" i="21"/>
  <c r="Z998" i="21" s="1"/>
  <c r="AA998" i="21" s="1"/>
  <c r="N228" i="21"/>
  <c r="Z228" i="21" s="1"/>
  <c r="AA228" i="21" s="1"/>
  <c r="N27" i="21"/>
  <c r="Z27" i="21" s="1"/>
  <c r="AA27" i="21" s="1"/>
  <c r="X150" i="21"/>
  <c r="X172" i="21"/>
  <c r="N855" i="21"/>
  <c r="Z855" i="21" s="1"/>
  <c r="AA855" i="21" s="1"/>
  <c r="X104" i="21"/>
  <c r="X514" i="21"/>
  <c r="X683" i="21"/>
  <c r="X523" i="21"/>
  <c r="X857" i="21"/>
  <c r="N578" i="21"/>
  <c r="Z578" i="21" s="1"/>
  <c r="AA578" i="21" s="1"/>
  <c r="X366" i="21"/>
  <c r="X889" i="21"/>
  <c r="N985" i="21"/>
  <c r="Z985" i="21" s="1"/>
  <c r="AA985" i="21" s="1"/>
  <c r="X848" i="21"/>
  <c r="X729" i="21"/>
  <c r="N262" i="21"/>
  <c r="Z262" i="21" s="1"/>
  <c r="AA262" i="21" s="1"/>
  <c r="X888" i="21"/>
  <c r="X824" i="21"/>
  <c r="X575" i="21"/>
  <c r="X540" i="21"/>
  <c r="N49" i="21"/>
  <c r="Z49" i="21" s="1"/>
  <c r="AA49" i="21" s="1"/>
  <c r="N44" i="21"/>
  <c r="Z44" i="21" s="1"/>
  <c r="AA44" i="21" s="1"/>
  <c r="N18" i="21"/>
  <c r="Z18" i="21" s="1"/>
  <c r="AA18" i="21" s="1"/>
  <c r="X488" i="21"/>
  <c r="X828" i="21"/>
  <c r="X604" i="21"/>
  <c r="N880" i="21"/>
  <c r="Z880" i="21" s="1"/>
  <c r="AA880" i="21" s="1"/>
  <c r="N572" i="21"/>
  <c r="Z572" i="21" s="1"/>
  <c r="AA572" i="21" s="1"/>
  <c r="N199" i="21"/>
  <c r="Z199" i="21" s="1"/>
  <c r="AA199" i="21" s="1"/>
  <c r="N163" i="21"/>
  <c r="Z163" i="21" s="1"/>
  <c r="AA163" i="21" s="1"/>
  <c r="N156" i="21"/>
  <c r="Z156" i="21" s="1"/>
  <c r="AA156" i="21" s="1"/>
  <c r="X548" i="21"/>
  <c r="X684" i="21"/>
  <c r="N547" i="21"/>
  <c r="Z547" i="21" s="1"/>
  <c r="AA547" i="21" s="1"/>
  <c r="X369" i="21"/>
  <c r="X905" i="21"/>
  <c r="X612" i="21"/>
  <c r="X712" i="21"/>
  <c r="X321" i="21"/>
  <c r="N117" i="21"/>
  <c r="Z117" i="21" s="1"/>
  <c r="AA117" i="21" s="1"/>
  <c r="X910" i="21"/>
  <c r="N92" i="21"/>
  <c r="Z92" i="21" s="1"/>
  <c r="AA92" i="21" s="1"/>
  <c r="X710" i="21"/>
  <c r="N130" i="21"/>
  <c r="Z130" i="21" s="1"/>
  <c r="AA130" i="21" s="1"/>
  <c r="N140" i="21"/>
  <c r="Z140" i="21" s="1"/>
  <c r="AA140" i="21" s="1"/>
  <c r="N62" i="21"/>
  <c r="Z62" i="21" s="1"/>
  <c r="AA62" i="21" s="1"/>
  <c r="N101" i="21"/>
  <c r="Z101" i="21" s="1"/>
  <c r="AA101" i="21" s="1"/>
  <c r="N100" i="21"/>
  <c r="Z100" i="21" s="1"/>
  <c r="AA100" i="21" s="1"/>
  <c r="X974" i="21"/>
  <c r="N275" i="21"/>
  <c r="Z275" i="21" s="1"/>
  <c r="AA275" i="21" s="1"/>
  <c r="N292" i="21"/>
  <c r="Z292" i="21" s="1"/>
  <c r="AA292" i="21" s="1"/>
  <c r="X86" i="21"/>
  <c r="X791" i="21"/>
  <c r="X935" i="21"/>
  <c r="X820" i="21"/>
  <c r="X782" i="21"/>
  <c r="X931" i="21"/>
  <c r="X412" i="21"/>
  <c r="N21" i="21"/>
  <c r="Z21" i="21" s="1"/>
  <c r="AA21" i="21" s="1"/>
  <c r="N384" i="21"/>
  <c r="Z384" i="21" s="1"/>
  <c r="AA384" i="21" s="1"/>
  <c r="N543" i="21"/>
  <c r="Z543" i="21" s="1"/>
  <c r="AA543" i="21" s="1"/>
  <c r="N494" i="21"/>
  <c r="Z494" i="21" s="1"/>
  <c r="AA494" i="21" s="1"/>
  <c r="X772" i="21"/>
  <c r="N553" i="21"/>
  <c r="Z553" i="21" s="1"/>
  <c r="AA553" i="21" s="1"/>
  <c r="N205" i="21"/>
  <c r="Z205" i="21" s="1"/>
  <c r="AA205" i="21" s="1"/>
  <c r="N277" i="21"/>
  <c r="Z277" i="21" s="1"/>
  <c r="AA277" i="21" s="1"/>
  <c r="N69" i="21"/>
  <c r="Z69" i="21" s="1"/>
  <c r="AA69" i="21" s="1"/>
  <c r="N91" i="21"/>
  <c r="Z91" i="21" s="1"/>
  <c r="AA91" i="21" s="1"/>
  <c r="N123" i="21"/>
  <c r="Z123" i="21" s="1"/>
  <c r="AA123" i="21" s="1"/>
  <c r="N121" i="21"/>
  <c r="Z121" i="21" s="1"/>
  <c r="AA121" i="21" s="1"/>
  <c r="X522" i="21"/>
  <c r="X788" i="21"/>
  <c r="X648" i="21"/>
  <c r="X652" i="21"/>
  <c r="N512" i="21"/>
  <c r="Z512" i="21" s="1"/>
  <c r="AA512" i="21" s="1"/>
  <c r="N645" i="21"/>
  <c r="Z645" i="21" s="1"/>
  <c r="AA645" i="21" s="1"/>
  <c r="N617" i="21"/>
  <c r="Z617" i="21" s="1"/>
  <c r="AA617" i="21" s="1"/>
  <c r="N230" i="21"/>
  <c r="Z230" i="21" s="1"/>
  <c r="AA230" i="21" s="1"/>
  <c r="N334" i="21"/>
  <c r="Z334" i="21" s="1"/>
  <c r="AA334" i="21" s="1"/>
  <c r="N164" i="21"/>
  <c r="Z164" i="21" s="1"/>
  <c r="AA164" i="21" s="1"/>
  <c r="X609" i="21"/>
  <c r="X380" i="21"/>
  <c r="X768" i="21"/>
  <c r="N816" i="21"/>
  <c r="Z816" i="21" s="1"/>
  <c r="AA816" i="21" s="1"/>
  <c r="N943" i="21"/>
  <c r="Z943" i="21" s="1"/>
  <c r="AA943" i="21" s="1"/>
  <c r="N659" i="21"/>
  <c r="Z659" i="21" s="1"/>
  <c r="AA659" i="21" s="1"/>
  <c r="N255" i="21"/>
  <c r="Z255" i="21" s="1"/>
  <c r="AA255" i="21" s="1"/>
  <c r="N271" i="21"/>
  <c r="Z271" i="21" s="1"/>
  <c r="AA271" i="21" s="1"/>
  <c r="N22" i="21"/>
  <c r="Z22" i="21" s="1"/>
  <c r="AA22" i="21" s="1"/>
  <c r="N84" i="21"/>
  <c r="Z84" i="21" s="1"/>
  <c r="AA84" i="21" s="1"/>
  <c r="N168" i="21"/>
  <c r="Z168" i="21" s="1"/>
  <c r="AA168" i="21" s="1"/>
  <c r="N124" i="21"/>
  <c r="Z124" i="21" s="1"/>
  <c r="AA124" i="21" s="1"/>
  <c r="N144" i="21"/>
  <c r="Z144" i="21" s="1"/>
  <c r="AA144" i="21" s="1"/>
  <c r="X273" i="21"/>
  <c r="N162" i="21"/>
  <c r="Z162" i="21" s="1"/>
  <c r="AA162" i="21" s="1"/>
  <c r="N267" i="21"/>
  <c r="Z267" i="21" s="1"/>
  <c r="AA267" i="21" s="1"/>
  <c r="X468" i="21"/>
  <c r="X472" i="21"/>
  <c r="X105" i="21"/>
  <c r="X544" i="21"/>
  <c r="X927" i="21"/>
  <c r="X837" i="21"/>
  <c r="X980" i="21"/>
  <c r="X443" i="21"/>
  <c r="X744" i="21"/>
  <c r="N320" i="21"/>
  <c r="Z320" i="21" s="1"/>
  <c r="AA320" i="21" s="1"/>
  <c r="N328" i="21"/>
  <c r="Z328" i="21" s="1"/>
  <c r="AA328" i="21" s="1"/>
  <c r="N4" i="21"/>
  <c r="Z4" i="21" s="1"/>
  <c r="AA4" i="21" s="1"/>
  <c r="N174" i="21"/>
  <c r="Z174" i="21" s="1"/>
  <c r="AA174" i="21" s="1"/>
  <c r="N42" i="21"/>
  <c r="Z42" i="21" s="1"/>
  <c r="AA42" i="21" s="1"/>
  <c r="N54" i="21"/>
  <c r="Z54" i="21" s="1"/>
  <c r="AA54" i="21" s="1"/>
  <c r="X428" i="21"/>
  <c r="X12" i="21"/>
  <c r="X552" i="21"/>
  <c r="X460" i="21"/>
  <c r="X545" i="21"/>
  <c r="N700" i="21"/>
  <c r="Z700" i="21" s="1"/>
  <c r="AA700" i="21" s="1"/>
  <c r="N632" i="21"/>
  <c r="Z632" i="21" s="1"/>
  <c r="AA632" i="21" s="1"/>
  <c r="X690" i="21"/>
  <c r="N218" i="21"/>
  <c r="Z218" i="21" s="1"/>
  <c r="AA218" i="21" s="1"/>
  <c r="N19" i="21"/>
  <c r="Z19" i="21" s="1"/>
  <c r="AA19" i="21" s="1"/>
  <c r="X82" i="21"/>
  <c r="X117" i="21"/>
  <c r="X114" i="21"/>
  <c r="N235" i="21"/>
  <c r="Z235" i="21" s="1"/>
  <c r="AA235" i="21" s="1"/>
  <c r="N251" i="21"/>
  <c r="Z251" i="21" s="1"/>
  <c r="AA251" i="21" s="1"/>
  <c r="N35" i="21"/>
  <c r="Z35" i="21" s="1"/>
  <c r="AA35" i="21" s="1"/>
  <c r="X360" i="21"/>
  <c r="X361" i="21"/>
  <c r="X489" i="21"/>
  <c r="X928" i="21"/>
  <c r="X94" i="21"/>
  <c r="X823" i="21"/>
  <c r="X386" i="21"/>
  <c r="X396" i="21"/>
  <c r="X665" i="21"/>
  <c r="N212" i="21"/>
  <c r="Z212" i="21" s="1"/>
  <c r="AA212" i="21" s="1"/>
  <c r="N8" i="21"/>
  <c r="Z8" i="21" s="1"/>
  <c r="AA8" i="21" s="1"/>
  <c r="N3" i="21"/>
  <c r="Z3" i="21" s="1"/>
  <c r="AA3" i="21" s="1"/>
  <c r="X387" i="21"/>
  <c r="X303" i="21"/>
  <c r="X967" i="21"/>
  <c r="X400" i="21"/>
  <c r="X239" i="21"/>
  <c r="X450" i="21"/>
  <c r="X563" i="21"/>
  <c r="X596" i="21"/>
  <c r="N532" i="21"/>
  <c r="Z532" i="21" s="1"/>
  <c r="AA532" i="21" s="1"/>
  <c r="X723" i="21"/>
  <c r="N724" i="21"/>
  <c r="Z724" i="21" s="1"/>
  <c r="AA724" i="21" s="1"/>
  <c r="N801" i="21"/>
  <c r="Z801" i="21" s="1"/>
  <c r="AA801" i="21" s="1"/>
  <c r="N197" i="21"/>
  <c r="Z197" i="21" s="1"/>
  <c r="AA197" i="21" s="1"/>
  <c r="N229" i="21"/>
  <c r="Z229" i="21" s="1"/>
  <c r="AA229" i="21" s="1"/>
  <c r="N73" i="21"/>
  <c r="Z73" i="21" s="1"/>
  <c r="AA73" i="21" s="1"/>
  <c r="N34" i="21"/>
  <c r="Z34" i="21" s="1"/>
  <c r="AA34" i="21" s="1"/>
  <c r="N28" i="21"/>
  <c r="Z28" i="21" s="1"/>
  <c r="AA28" i="21" s="1"/>
  <c r="X424" i="21"/>
  <c r="X305" i="21"/>
  <c r="X915" i="21"/>
  <c r="X510" i="21"/>
  <c r="N865" i="21"/>
  <c r="Z865" i="21" s="1"/>
  <c r="AA865" i="21" s="1"/>
  <c r="N531" i="21"/>
  <c r="Z531" i="21" s="1"/>
  <c r="AA531" i="21" s="1"/>
  <c r="N947" i="21"/>
  <c r="Z947" i="21" s="1"/>
  <c r="AA947" i="21" s="1"/>
  <c r="X559" i="21"/>
  <c r="X4" i="21"/>
  <c r="N187" i="21"/>
  <c r="Z187" i="21" s="1"/>
  <c r="AA187" i="21" s="1"/>
  <c r="N379" i="21"/>
  <c r="Z379" i="21" s="1"/>
  <c r="AA379" i="21" s="1"/>
  <c r="N213" i="21"/>
  <c r="Z213" i="21" s="1"/>
  <c r="AA213" i="21" s="1"/>
  <c r="N293" i="21"/>
  <c r="Z293" i="21" s="1"/>
  <c r="AA293" i="21" s="1"/>
  <c r="X992" i="21"/>
  <c r="X467" i="21"/>
  <c r="X605" i="21"/>
  <c r="X892" i="21"/>
  <c r="X691" i="21"/>
  <c r="X413" i="21"/>
  <c r="X737" i="21"/>
  <c r="X616" i="21"/>
  <c r="N83" i="21"/>
  <c r="Z83" i="21" s="1"/>
  <c r="AA83" i="21" s="1"/>
  <c r="N537" i="21"/>
  <c r="Z537" i="21" s="1"/>
  <c r="AA537" i="21" s="1"/>
  <c r="N977" i="21"/>
  <c r="Z977" i="21" s="1"/>
  <c r="AA977" i="21" s="1"/>
  <c r="N689" i="21"/>
  <c r="Z689" i="21" s="1"/>
  <c r="AA689" i="21" s="1"/>
  <c r="N393" i="21"/>
  <c r="Z393" i="21" s="1"/>
  <c r="AA393" i="21" s="1"/>
  <c r="N993" i="21"/>
  <c r="Z993" i="21" s="1"/>
  <c r="AA993" i="21" s="1"/>
  <c r="N378" i="21"/>
  <c r="Z378" i="21" s="1"/>
  <c r="AA378" i="21" s="1"/>
  <c r="N175" i="21"/>
  <c r="Z175" i="21" s="1"/>
  <c r="AA175" i="21" s="1"/>
  <c r="N191" i="21"/>
  <c r="Z191" i="21" s="1"/>
  <c r="AA191" i="21" s="1"/>
  <c r="N85" i="21"/>
  <c r="Z85" i="21" s="1"/>
  <c r="AA85" i="21" s="1"/>
  <c r="N160" i="21"/>
  <c r="Z160" i="21" s="1"/>
  <c r="AA160" i="21" s="1"/>
  <c r="N401" i="21"/>
  <c r="Z401" i="21" s="1"/>
  <c r="AA401" i="21" s="1"/>
  <c r="N89" i="21"/>
  <c r="Z89" i="21" s="1"/>
  <c r="AA89" i="21" s="1"/>
  <c r="N134" i="21"/>
  <c r="Z134" i="21" s="1"/>
  <c r="AA134" i="21" s="1"/>
  <c r="X981" i="21"/>
  <c r="N145" i="21"/>
  <c r="Z145" i="21" s="1"/>
  <c r="AA145" i="21" s="1"/>
  <c r="N118" i="21"/>
  <c r="Z118" i="21" s="1"/>
  <c r="AA118" i="21" s="1"/>
  <c r="X455" i="21"/>
  <c r="X190" i="21"/>
  <c r="X711" i="21"/>
  <c r="X465" i="21"/>
  <c r="X960" i="21"/>
  <c r="X206" i="21"/>
  <c r="N860" i="21"/>
  <c r="Z860" i="21" s="1"/>
  <c r="AA860" i="21" s="1"/>
  <c r="N147" i="21"/>
  <c r="Z147" i="21" s="1"/>
  <c r="AA147" i="21" s="1"/>
  <c r="N419" i="21"/>
  <c r="Z419" i="21" s="1"/>
  <c r="AA419" i="21" s="1"/>
  <c r="N257" i="21"/>
  <c r="Z257" i="21" s="1"/>
  <c r="AA257" i="21" s="1"/>
  <c r="N110" i="21"/>
  <c r="Z110" i="21" s="1"/>
  <c r="AA110" i="21" s="1"/>
  <c r="X98" i="21"/>
  <c r="X317" i="21"/>
  <c r="X475" i="21"/>
  <c r="X377" i="21"/>
  <c r="X507" i="21"/>
  <c r="X745" i="21"/>
  <c r="X963" i="21"/>
  <c r="X326" i="21"/>
  <c r="X760" i="21"/>
  <c r="N425" i="21"/>
  <c r="Z425" i="21" s="1"/>
  <c r="AA425" i="21" s="1"/>
  <c r="N226" i="21"/>
  <c r="Z226" i="21" s="1"/>
  <c r="AA226" i="21" s="1"/>
  <c r="N298" i="21"/>
  <c r="Z298" i="21" s="1"/>
  <c r="AA298" i="21" s="1"/>
  <c r="N55" i="21"/>
  <c r="Z55" i="21" s="1"/>
  <c r="AA55" i="21" s="1"/>
  <c r="N112" i="21"/>
  <c r="Z112" i="21" s="1"/>
  <c r="AA112" i="21" s="1"/>
  <c r="N289" i="21"/>
  <c r="Z289" i="21" s="1"/>
  <c r="AA289" i="21" s="1"/>
  <c r="X241" i="21"/>
  <c r="X337" i="21"/>
  <c r="X458" i="21"/>
  <c r="X225" i="21"/>
  <c r="X956" i="21"/>
  <c r="X383" i="21"/>
  <c r="X929" i="21"/>
  <c r="X329" i="21"/>
  <c r="X863" i="21"/>
  <c r="X586" i="21"/>
  <c r="X515" i="21"/>
  <c r="N506" i="21"/>
  <c r="Z506" i="21" s="1"/>
  <c r="AA506" i="21" s="1"/>
  <c r="N673" i="21"/>
  <c r="Z673" i="21" s="1"/>
  <c r="AA673" i="21" s="1"/>
  <c r="N807" i="21"/>
  <c r="Z807" i="21" s="1"/>
  <c r="AA807" i="21" s="1"/>
  <c r="X286" i="21"/>
  <c r="X95" i="21"/>
  <c r="X171" i="21"/>
  <c r="X650" i="21"/>
  <c r="X309" i="21"/>
  <c r="N643" i="21"/>
  <c r="Z643" i="21" s="1"/>
  <c r="AA643" i="21" s="1"/>
  <c r="N107" i="21"/>
  <c r="Z107" i="21" s="1"/>
  <c r="AA107" i="21" s="1"/>
  <c r="N601" i="21"/>
  <c r="Z601" i="21" s="1"/>
  <c r="AA601" i="21" s="1"/>
  <c r="N446" i="21"/>
  <c r="Z446" i="21" s="1"/>
  <c r="AA446" i="21" s="1"/>
  <c r="X679" i="21"/>
  <c r="N988" i="21"/>
  <c r="Z988" i="21" s="1"/>
  <c r="AA988" i="21" s="1"/>
  <c r="X394" i="21"/>
  <c r="X409" i="21"/>
  <c r="X634" i="21"/>
  <c r="X485" i="21"/>
  <c r="X257" i="21"/>
  <c r="X490" i="21"/>
  <c r="X719" i="21"/>
  <c r="X849" i="21"/>
  <c r="X233" i="21"/>
  <c r="X787" i="21"/>
  <c r="N184" i="21"/>
  <c r="Z184" i="21" s="1"/>
  <c r="AA184" i="21" s="1"/>
  <c r="N288" i="21"/>
  <c r="Z288" i="21" s="1"/>
  <c r="AA288" i="21" s="1"/>
  <c r="N336" i="21"/>
  <c r="Z336" i="21" s="1"/>
  <c r="AA336" i="21" s="1"/>
  <c r="N181" i="21"/>
  <c r="Z181" i="21" s="1"/>
  <c r="AA181" i="21" s="1"/>
  <c r="N201" i="21"/>
  <c r="Z201" i="21" s="1"/>
  <c r="AA201" i="21" s="1"/>
  <c r="N209" i="21"/>
  <c r="Z209" i="21" s="1"/>
  <c r="AA209" i="21" s="1"/>
  <c r="N261" i="21"/>
  <c r="Z261" i="21" s="1"/>
  <c r="AA261" i="21" s="1"/>
  <c r="N325" i="21"/>
  <c r="Z325" i="21" s="1"/>
  <c r="AA325" i="21" s="1"/>
  <c r="N113" i="21"/>
  <c r="Z113" i="21" s="1"/>
  <c r="AA113" i="21" s="1"/>
  <c r="N26" i="21"/>
  <c r="Z26" i="21" s="1"/>
  <c r="AA26" i="21" s="1"/>
  <c r="N50" i="21"/>
  <c r="Z50" i="21" s="1"/>
  <c r="AA50" i="21" s="1"/>
  <c r="N242" i="21"/>
  <c r="Z242" i="21" s="1"/>
  <c r="AA242" i="21" s="1"/>
  <c r="N338" i="21"/>
  <c r="Z338" i="21" s="1"/>
  <c r="AA338" i="21" s="1"/>
  <c r="N77" i="21"/>
  <c r="Z77" i="21" s="1"/>
  <c r="AA77" i="21" s="1"/>
  <c r="N346" i="21"/>
  <c r="Z346" i="21" s="1"/>
  <c r="AA346" i="21" s="1"/>
  <c r="N97" i="21"/>
  <c r="Z97" i="21" s="1"/>
  <c r="AA97" i="21" s="1"/>
  <c r="N125" i="21"/>
  <c r="Z125" i="21" s="1"/>
  <c r="AA125" i="21" s="1"/>
  <c r="N157" i="21"/>
  <c r="Z157" i="21" s="1"/>
  <c r="AA157" i="21" s="1"/>
  <c r="N122" i="21"/>
  <c r="Z122" i="21" s="1"/>
  <c r="AA122" i="21" s="1"/>
  <c r="N48" i="21"/>
  <c r="Z48" i="21" s="1"/>
  <c r="AA48" i="21" s="1"/>
  <c r="X408" i="21"/>
  <c r="X520" i="21"/>
  <c r="X567" i="21"/>
  <c r="X215" i="21"/>
  <c r="X708" i="21"/>
  <c r="X466" i="21"/>
  <c r="X784" i="21"/>
  <c r="X597" i="21"/>
  <c r="N600" i="21"/>
  <c r="Z600" i="21" s="1"/>
  <c r="AA600" i="21" s="1"/>
  <c r="N649" i="21"/>
  <c r="Z649" i="21" s="1"/>
  <c r="AA649" i="21" s="1"/>
  <c r="N529" i="21"/>
  <c r="Z529" i="21" s="1"/>
  <c r="AA529" i="21" s="1"/>
  <c r="N568" i="21"/>
  <c r="Z568" i="21" s="1"/>
  <c r="AA568" i="21" s="1"/>
  <c r="N635" i="21"/>
  <c r="Z635" i="21" s="1"/>
  <c r="AA635" i="21" s="1"/>
  <c r="N68" i="21"/>
  <c r="Z68" i="21" s="1"/>
  <c r="AA68" i="21" s="1"/>
  <c r="N60" i="21"/>
  <c r="Z60" i="21" s="1"/>
  <c r="AA60" i="21" s="1"/>
  <c r="N995" i="21"/>
  <c r="Z995" i="21" s="1"/>
  <c r="AA995" i="21" s="1"/>
  <c r="N333" i="21"/>
  <c r="Z333" i="21" s="1"/>
  <c r="AA333" i="21" s="1"/>
  <c r="N344" i="21"/>
  <c r="Z344" i="21" s="1"/>
  <c r="AA344" i="21" s="1"/>
  <c r="N341" i="21"/>
  <c r="Z341" i="21" s="1"/>
  <c r="AA341" i="21" s="1"/>
  <c r="X334" i="21"/>
  <c r="X335" i="21"/>
  <c r="X339" i="21"/>
  <c r="N306" i="21"/>
  <c r="Z306" i="21" s="1"/>
  <c r="AA306" i="21" s="1"/>
  <c r="X251" i="21"/>
  <c r="X271" i="21"/>
  <c r="X240" i="21"/>
  <c r="X219" i="21"/>
  <c r="X319" i="21"/>
  <c r="N223" i="21"/>
  <c r="Z223" i="21" s="1"/>
  <c r="AA223" i="21" s="1"/>
  <c r="X222" i="21"/>
  <c r="X302" i="21"/>
  <c r="X298" i="21"/>
  <c r="X235" i="21"/>
  <c r="N287" i="21"/>
  <c r="Z287" i="21" s="1"/>
  <c r="AA287" i="21" s="1"/>
  <c r="N280" i="21"/>
  <c r="Z280" i="21" s="1"/>
  <c r="AA280" i="21" s="1"/>
  <c r="X255" i="21"/>
  <c r="X311" i="21"/>
  <c r="N279" i="21"/>
  <c r="Z279" i="21" s="1"/>
  <c r="AA279" i="21" s="1"/>
  <c r="N285" i="21"/>
  <c r="Z285" i="21" s="1"/>
  <c r="AA285" i="21" s="1"/>
  <c r="X301" i="21"/>
  <c r="N221" i="21"/>
  <c r="Z221" i="21" s="1"/>
  <c r="AA221" i="21" s="1"/>
  <c r="N165" i="21"/>
  <c r="Z165" i="21" s="1"/>
  <c r="AA165" i="21" s="1"/>
  <c r="N202" i="21"/>
  <c r="Z202" i="21" s="1"/>
  <c r="AA202" i="21" s="1"/>
  <c r="X116" i="21"/>
  <c r="X177" i="21"/>
  <c r="N131" i="21"/>
  <c r="Z131" i="21" s="1"/>
  <c r="AA131" i="21" s="1"/>
  <c r="X193" i="21"/>
  <c r="X189" i="21"/>
  <c r="X148" i="21"/>
  <c r="X209" i="21"/>
  <c r="X205" i="21"/>
  <c r="N185" i="21"/>
  <c r="Z185" i="21" s="1"/>
  <c r="AA185" i="21" s="1"/>
  <c r="N64" i="21"/>
  <c r="Z64" i="21" s="1"/>
  <c r="AA64" i="21" s="1"/>
  <c r="N25" i="21"/>
  <c r="Z25" i="21" s="1"/>
  <c r="AA25" i="21" s="1"/>
  <c r="N36" i="21"/>
  <c r="Z36" i="21" s="1"/>
  <c r="AA36" i="21" s="1"/>
  <c r="N52" i="21"/>
  <c r="Z52" i="21" s="1"/>
  <c r="AA52" i="21" s="1"/>
  <c r="N24" i="21"/>
  <c r="Z24" i="21" s="1"/>
  <c r="AA24" i="21" s="1"/>
  <c r="N30" i="21"/>
  <c r="Z30" i="21" s="1"/>
  <c r="AA30" i="21" s="1"/>
  <c r="N5" i="21"/>
  <c r="Z5" i="21" s="1"/>
  <c r="AA5" i="21" s="1"/>
  <c r="N10" i="21"/>
  <c r="Z10" i="21" s="1"/>
  <c r="AA10" i="21" s="1"/>
  <c r="N70" i="21"/>
  <c r="Z70" i="21" s="1"/>
  <c r="AA70" i="21" s="1"/>
  <c r="X26" i="21"/>
  <c r="X53" i="21"/>
  <c r="X50" i="21"/>
  <c r="N29" i="21"/>
  <c r="Z29" i="21" s="1"/>
  <c r="AA29" i="21" s="1"/>
  <c r="N56" i="21"/>
  <c r="Z56" i="21" s="1"/>
  <c r="AA56" i="21" s="1"/>
  <c r="X20" i="21"/>
  <c r="X64" i="21"/>
  <c r="X30" i="21"/>
  <c r="N33" i="21"/>
  <c r="Z33" i="21" s="1"/>
  <c r="AA33" i="21" s="1"/>
  <c r="N66" i="21"/>
  <c r="Z66" i="21" s="1"/>
  <c r="AA66" i="21" s="1"/>
  <c r="X42" i="21"/>
  <c r="I52" i="14"/>
  <c r="M16" i="49"/>
  <c r="N17" i="57"/>
  <c r="I97" i="4"/>
  <c r="I206" i="6"/>
  <c r="I67" i="27"/>
  <c r="F27" i="3" s="1"/>
  <c r="I40" i="36"/>
  <c r="AK69" i="23"/>
  <c r="AL69" i="23" s="1"/>
  <c r="AM69" i="23" s="1"/>
  <c r="AQ69" i="23" s="1"/>
  <c r="AK29" i="23"/>
  <c r="AL29" i="23" s="1"/>
  <c r="C28" i="20"/>
  <c r="D28" i="20" s="1"/>
  <c r="E28" i="20" s="1"/>
  <c r="F28" i="20" s="1"/>
  <c r="G28" i="20" s="1"/>
  <c r="H28" i="20" s="1"/>
  <c r="I28" i="20" s="1"/>
  <c r="J28" i="20" s="1"/>
  <c r="K28" i="20" s="1"/>
  <c r="L28" i="20" s="1"/>
  <c r="M28" i="20" s="1"/>
  <c r="N28" i="20" s="1"/>
  <c r="AK175" i="23"/>
  <c r="AL175" i="23" s="1"/>
  <c r="AM175" i="23" s="1"/>
  <c r="AP175" i="23" s="1"/>
  <c r="AK153" i="23"/>
  <c r="AL153" i="23" s="1"/>
  <c r="AM153" i="23" s="1"/>
  <c r="AP153" i="23" s="1"/>
  <c r="AK145" i="23"/>
  <c r="AL145" i="23" s="1"/>
  <c r="AM145" i="23" s="1"/>
  <c r="AP145" i="23" s="1"/>
  <c r="AK115" i="23"/>
  <c r="AL115" i="23" s="1"/>
  <c r="AM115" i="23" s="1"/>
  <c r="AK166" i="23"/>
  <c r="AL166" i="23" s="1"/>
  <c r="AM166" i="23" s="1"/>
  <c r="AP166" i="23" s="1"/>
  <c r="AK160" i="23"/>
  <c r="AL160" i="23" s="1"/>
  <c r="AM160" i="23" s="1"/>
  <c r="AP160" i="23" s="1"/>
  <c r="AK136" i="23"/>
  <c r="AL136" i="23" s="1"/>
  <c r="AM136" i="23" s="1"/>
  <c r="AP136" i="23" s="1"/>
  <c r="AK171" i="23"/>
  <c r="AL171" i="23" s="1"/>
  <c r="AM171" i="23" s="1"/>
  <c r="AP171" i="23" s="1"/>
  <c r="AK126" i="23"/>
  <c r="AL126" i="23" s="1"/>
  <c r="AM126" i="23" s="1"/>
  <c r="AK18" i="23"/>
  <c r="AL18" i="23" s="1"/>
  <c r="AM18" i="23" s="1"/>
  <c r="AK63" i="23"/>
  <c r="AL63" i="23" s="1"/>
  <c r="AM63" i="23" s="1"/>
  <c r="AQ63" i="23" s="1"/>
  <c r="AK78" i="23"/>
  <c r="AL78" i="23" s="1"/>
  <c r="AM78" i="23" s="1"/>
  <c r="AQ78" i="23" s="1"/>
  <c r="AK56" i="23"/>
  <c r="AL56" i="23" s="1"/>
  <c r="AM56" i="23" s="1"/>
  <c r="AQ56" i="23" s="1"/>
  <c r="AK74" i="23"/>
  <c r="AL74" i="23" s="1"/>
  <c r="X11" i="21"/>
  <c r="X497" i="21"/>
  <c r="X873" i="21"/>
  <c r="L27" i="25"/>
  <c r="F41" i="3" s="1"/>
  <c r="N805" i="21"/>
  <c r="Z805" i="21" s="1"/>
  <c r="AA805" i="21" s="1"/>
  <c r="N41" i="21"/>
  <c r="Z41" i="21" s="1"/>
  <c r="AA41" i="21" s="1"/>
  <c r="X407" i="21"/>
  <c r="X338" i="21"/>
  <c r="X561" i="21"/>
  <c r="N59" i="21"/>
  <c r="Z59" i="21" s="1"/>
  <c r="AA59" i="21" s="1"/>
  <c r="N667" i="21"/>
  <c r="Z667" i="21" s="1"/>
  <c r="AA667" i="21" s="1"/>
  <c r="N179" i="21"/>
  <c r="Z179" i="21" s="1"/>
  <c r="AA179" i="21" s="1"/>
  <c r="X535" i="21"/>
  <c r="N594" i="21"/>
  <c r="Z594" i="21" s="1"/>
  <c r="AA594" i="21" s="1"/>
  <c r="N61" i="21"/>
  <c r="Z61" i="21" s="1"/>
  <c r="AA61" i="21" s="1"/>
  <c r="X274" i="21"/>
  <c r="X211" i="21"/>
  <c r="N210" i="21"/>
  <c r="Z210" i="21" s="1"/>
  <c r="AA210" i="21" s="1"/>
  <c r="N410" i="21"/>
  <c r="Z410" i="21" s="1"/>
  <c r="AA410" i="21" s="1"/>
  <c r="N869" i="21"/>
  <c r="Z869" i="21" s="1"/>
  <c r="AA869" i="21" s="1"/>
  <c r="N13" i="21"/>
  <c r="Z13" i="21" s="1"/>
  <c r="AA13" i="21" s="1"/>
  <c r="N433" i="21"/>
  <c r="Z433" i="21" s="1"/>
  <c r="AA433" i="21" s="1"/>
  <c r="N731" i="21"/>
  <c r="Z731" i="21" s="1"/>
  <c r="AA731" i="21" s="1"/>
  <c r="X663" i="21"/>
  <c r="X322" i="21"/>
  <c r="X871" i="21"/>
  <c r="X5" i="21"/>
  <c r="N681" i="21"/>
  <c r="Z681" i="21" s="1"/>
  <c r="AA681" i="21" s="1"/>
  <c r="X28" i="21"/>
  <c r="X402" i="21"/>
  <c r="X493" i="21"/>
  <c r="N403" i="21"/>
  <c r="Z403" i="21" s="1"/>
  <c r="AA403" i="21" s="1"/>
  <c r="N530" i="21"/>
  <c r="Z530" i="21" s="1"/>
  <c r="AA530" i="21" s="1"/>
  <c r="N195" i="21"/>
  <c r="Z195" i="21" s="1"/>
  <c r="AA195" i="21" s="1"/>
  <c r="X350" i="21"/>
  <c r="X40" i="21"/>
  <c r="N590" i="21"/>
  <c r="Z590" i="21" s="1"/>
  <c r="AA590" i="21" s="1"/>
  <c r="N243" i="21"/>
  <c r="Z243" i="21" s="1"/>
  <c r="AA243" i="21" s="1"/>
  <c r="N944" i="21"/>
  <c r="Z944" i="21" s="1"/>
  <c r="AA944" i="21" s="1"/>
  <c r="L51" i="25"/>
  <c r="J69" i="49"/>
  <c r="X115" i="21"/>
  <c r="X599" i="21"/>
  <c r="X795" i="21"/>
  <c r="N23" i="21"/>
  <c r="Z23" i="21" s="1"/>
  <c r="AA23" i="21" s="1"/>
  <c r="N291" i="21"/>
  <c r="Z291" i="21" s="1"/>
  <c r="AA291" i="21" s="1"/>
  <c r="X227" i="21"/>
  <c r="X226" i="21"/>
  <c r="X809" i="21"/>
  <c r="X259" i="21"/>
  <c r="N948" i="21"/>
  <c r="Z948" i="21" s="1"/>
  <c r="AA948" i="21" s="1"/>
  <c r="X365" i="21"/>
  <c r="X997" i="21"/>
  <c r="J70" i="49"/>
  <c r="X933" i="21"/>
  <c r="X368" i="21"/>
  <c r="N654" i="21"/>
  <c r="Z654" i="21" s="1"/>
  <c r="AA654" i="21" s="1"/>
  <c r="X323" i="21"/>
  <c r="X242" i="21"/>
  <c r="X307" i="21"/>
  <c r="N937" i="21"/>
  <c r="Z937" i="21" s="1"/>
  <c r="AA937" i="21" s="1"/>
  <c r="X258" i="21"/>
  <c r="X24" i="21"/>
  <c r="X429" i="21"/>
  <c r="X579" i="21"/>
  <c r="X462" i="21"/>
  <c r="X867" i="21"/>
  <c r="X275" i="21"/>
  <c r="H17" i="57"/>
  <c r="X471" i="21"/>
  <c r="J51" i="25"/>
  <c r="N78" i="21"/>
  <c r="Z78" i="21" s="1"/>
  <c r="AA78" i="21" s="1"/>
  <c r="N474" i="21"/>
  <c r="Z474" i="21" s="1"/>
  <c r="AA474" i="21" s="1"/>
  <c r="N613" i="21"/>
  <c r="Z613" i="21" s="1"/>
  <c r="AA613" i="21" s="1"/>
  <c r="X895" i="21"/>
  <c r="X713" i="21"/>
  <c r="N331" i="21"/>
  <c r="Z331" i="21" s="1"/>
  <c r="AA331" i="21" s="1"/>
  <c r="N839" i="21"/>
  <c r="Z839" i="21" s="1"/>
  <c r="AA839" i="21" s="1"/>
  <c r="X315" i="21"/>
  <c r="N79" i="21"/>
  <c r="Z79" i="21" s="1"/>
  <c r="AA79" i="21" s="1"/>
  <c r="N841" i="21"/>
  <c r="Z841" i="21" s="1"/>
  <c r="AA841" i="21" s="1"/>
  <c r="X536" i="21"/>
  <c r="X426" i="21"/>
  <c r="X101" i="21"/>
  <c r="X330" i="21"/>
  <c r="X70" i="21"/>
  <c r="X217" i="21"/>
  <c r="X631" i="21"/>
  <c r="X864" i="21"/>
  <c r="X899" i="21"/>
  <c r="X771" i="21"/>
  <c r="N516" i="21"/>
  <c r="Z516" i="21" s="1"/>
  <c r="AA516" i="21" s="1"/>
  <c r="N755" i="21"/>
  <c r="Z755" i="21" s="1"/>
  <c r="AA755" i="21" s="1"/>
  <c r="N707" i="21"/>
  <c r="Z707" i="21" s="1"/>
  <c r="AA707" i="21" s="1"/>
  <c r="X91" i="21"/>
  <c r="N847" i="21"/>
  <c r="Z847" i="21" s="1"/>
  <c r="AA847" i="21" s="1"/>
  <c r="N58" i="21"/>
  <c r="Z58" i="21" s="1"/>
  <c r="AA58" i="21" s="1"/>
  <c r="N658" i="21"/>
  <c r="Z658" i="21" s="1"/>
  <c r="AA658" i="21" s="1"/>
  <c r="X435" i="21"/>
  <c r="N313" i="21"/>
  <c r="Z313" i="21" s="1"/>
  <c r="AA313" i="21" s="1"/>
  <c r="X328" i="21"/>
  <c r="X551" i="21"/>
  <c r="X34" i="21"/>
  <c r="X499" i="21"/>
  <c r="X503" i="21"/>
  <c r="X911" i="21"/>
  <c r="X404" i="21"/>
  <c r="N161" i="21"/>
  <c r="Z161" i="21" s="1"/>
  <c r="AA161" i="21" s="1"/>
  <c r="N17" i="21"/>
  <c r="Z17" i="21" s="1"/>
  <c r="AA17" i="21" s="1"/>
  <c r="N39" i="21"/>
  <c r="Z39" i="21" s="1"/>
  <c r="AA39" i="21" s="1"/>
  <c r="N688" i="21"/>
  <c r="Z688" i="21" s="1"/>
  <c r="AA688" i="21" s="1"/>
  <c r="N93" i="21"/>
  <c r="Z93" i="21" s="1"/>
  <c r="AA93" i="21" s="1"/>
  <c r="X201" i="21"/>
  <c r="N961" i="21"/>
  <c r="Z961" i="21" s="1"/>
  <c r="AA961" i="21" s="1"/>
  <c r="X835" i="21"/>
  <c r="N704" i="21"/>
  <c r="Z704" i="21" s="1"/>
  <c r="AA704" i="21" s="1"/>
  <c r="N623" i="21"/>
  <c r="Z623" i="21" s="1"/>
  <c r="AA623" i="21" s="1"/>
  <c r="X139" i="21"/>
  <c r="X528" i="21"/>
  <c r="X558" i="21"/>
  <c r="X55" i="21"/>
  <c r="X498" i="21"/>
  <c r="X903" i="21"/>
  <c r="X699" i="21"/>
  <c r="X121" i="21"/>
  <c r="X705" i="21"/>
  <c r="N473" i="21"/>
  <c r="Z473" i="21" s="1"/>
  <c r="AA473" i="21" s="1"/>
  <c r="N833" i="21"/>
  <c r="Z833" i="21" s="1"/>
  <c r="AA833" i="21" s="1"/>
  <c r="N345" i="21"/>
  <c r="Z345" i="21" s="1"/>
  <c r="AA345" i="21" s="1"/>
  <c r="N763" i="21"/>
  <c r="Z763" i="21" s="1"/>
  <c r="AA763" i="21" s="1"/>
  <c r="X452" i="21"/>
  <c r="X521" i="21"/>
  <c r="X752" i="21"/>
  <c r="X562" i="21"/>
  <c r="X580" i="21"/>
  <c r="X703" i="21"/>
  <c r="X155" i="21"/>
  <c r="N370" i="21"/>
  <c r="Z370" i="21" s="1"/>
  <c r="AA370" i="21" s="1"/>
  <c r="N363" i="21"/>
  <c r="Z363" i="21" s="1"/>
  <c r="AA363" i="21" s="1"/>
  <c r="N169" i="21"/>
  <c r="Z169" i="21" s="1"/>
  <c r="AA169" i="21" s="1"/>
  <c r="N46" i="21"/>
  <c r="Z46" i="21" s="1"/>
  <c r="AA46" i="21" s="1"/>
  <c r="N51" i="21"/>
  <c r="Z51" i="21" s="1"/>
  <c r="AA51" i="21" s="1"/>
  <c r="X696" i="21"/>
  <c r="X333" i="21"/>
  <c r="X721" i="21"/>
  <c r="N9" i="21"/>
  <c r="Z9" i="21" s="1"/>
  <c r="AA9" i="21" s="1"/>
  <c r="N972" i="21"/>
  <c r="Z972" i="21" s="1"/>
  <c r="AA972" i="21" s="1"/>
  <c r="N457" i="21"/>
  <c r="Z457" i="21" s="1"/>
  <c r="AA457" i="21" s="1"/>
  <c r="N769" i="21"/>
  <c r="Z769" i="21" s="1"/>
  <c r="AA769" i="21" s="1"/>
  <c r="X808" i="21"/>
  <c r="X618" i="21"/>
  <c r="X346" i="21"/>
  <c r="X687" i="21"/>
  <c r="X588" i="21"/>
  <c r="X593" i="21"/>
  <c r="X592" i="21"/>
  <c r="N897" i="21"/>
  <c r="Z897" i="21" s="1"/>
  <c r="AA897" i="21" s="1"/>
  <c r="X796" i="21"/>
  <c r="X281" i="21"/>
  <c r="X203" i="21"/>
  <c r="X97" i="21"/>
  <c r="X570" i="21"/>
  <c r="X87" i="21"/>
  <c r="X756" i="21"/>
  <c r="X641" i="21"/>
  <c r="X110" i="21"/>
  <c r="X913" i="21"/>
  <c r="X253" i="21"/>
  <c r="X554" i="21"/>
  <c r="N388" i="21"/>
  <c r="Z388" i="21" s="1"/>
  <c r="AA388" i="21" s="1"/>
  <c r="N464" i="21"/>
  <c r="Z464" i="21" s="1"/>
  <c r="AA464" i="21" s="1"/>
  <c r="X636" i="21"/>
  <c r="N976" i="21"/>
  <c r="Z976" i="21" s="1"/>
  <c r="AA976" i="21" s="1"/>
  <c r="N359" i="21"/>
  <c r="Z359" i="21" s="1"/>
  <c r="AA359" i="21" s="1"/>
  <c r="N777" i="21"/>
  <c r="Z777" i="21" s="1"/>
  <c r="AA777" i="21" s="1"/>
  <c r="X267" i="21"/>
  <c r="X640" i="21"/>
  <c r="X920" i="21"/>
  <c r="X585" i="21"/>
  <c r="N283" i="21"/>
  <c r="Z283" i="21" s="1"/>
  <c r="AA283" i="21" s="1"/>
  <c r="N979" i="21"/>
  <c r="Z979" i="21" s="1"/>
  <c r="AA979" i="21" s="1"/>
  <c r="X4023" i="21"/>
  <c r="X218" i="21"/>
  <c r="X157" i="21"/>
  <c r="X792" i="21"/>
  <c r="X397" i="21"/>
  <c r="X626" i="21"/>
  <c r="X265" i="21"/>
  <c r="N297" i="21"/>
  <c r="Z297" i="21" s="1"/>
  <c r="AA297" i="21" s="1"/>
  <c r="N987" i="21"/>
  <c r="Z987" i="21" s="1"/>
  <c r="AA987" i="21" s="1"/>
  <c r="N153" i="21"/>
  <c r="Z153" i="21" s="1"/>
  <c r="AA153" i="21" s="1"/>
  <c r="N785" i="21"/>
  <c r="Z785" i="21" s="1"/>
  <c r="AA785" i="21" s="1"/>
  <c r="X66" i="21"/>
  <c r="X975" i="21"/>
  <c r="X804" i="21"/>
  <c r="X627" i="21"/>
  <c r="X237" i="21"/>
  <c r="X456" i="21"/>
  <c r="X764" i="21"/>
  <c r="X831" i="21"/>
  <c r="N299" i="21"/>
  <c r="Z299" i="21" s="1"/>
  <c r="AA299" i="21" s="1"/>
  <c r="X249" i="21"/>
  <c r="X392" i="21"/>
  <c r="N584" i="21"/>
  <c r="Z584" i="21" s="1"/>
  <c r="AA584" i="21" s="1"/>
  <c r="X430" i="21"/>
  <c r="X800" i="21"/>
  <c r="X434" i="21"/>
  <c r="X165" i="21"/>
  <c r="X748" i="21"/>
  <c r="X181" i="21"/>
  <c r="N815" i="21"/>
  <c r="Z815" i="21" s="1"/>
  <c r="AA815" i="21" s="1"/>
  <c r="X736" i="21"/>
  <c r="X546" i="21"/>
  <c r="X375" i="21"/>
  <c r="X749" i="21"/>
  <c r="N697" i="21"/>
  <c r="Z697" i="21" s="1"/>
  <c r="AA697" i="21" s="1"/>
  <c r="N14" i="21"/>
  <c r="Z14" i="21" s="1"/>
  <c r="AA14" i="21" s="1"/>
  <c r="N245" i="21"/>
  <c r="Z245" i="21" s="1"/>
  <c r="AA245" i="21" s="1"/>
  <c r="N482" i="21"/>
  <c r="Z482" i="21" s="1"/>
  <c r="AA482" i="21" s="1"/>
  <c r="N668" i="21"/>
  <c r="Z668" i="21" s="1"/>
  <c r="AA668" i="21" s="1"/>
  <c r="N385" i="21"/>
  <c r="Z385" i="21" s="1"/>
  <c r="AA385" i="21" s="1"/>
  <c r="N739" i="21"/>
  <c r="Z739" i="21" s="1"/>
  <c r="AA739" i="21" s="1"/>
  <c r="N819" i="21"/>
  <c r="Z819" i="21" s="1"/>
  <c r="AA819" i="21" s="1"/>
  <c r="X73" i="21"/>
  <c r="X569" i="21"/>
  <c r="X260" i="21"/>
  <c r="X953" i="21"/>
  <c r="X418" i="21"/>
  <c r="X213" i="21"/>
  <c r="X197" i="21"/>
  <c r="X441" i="21"/>
  <c r="X610" i="21"/>
  <c r="X836" i="21"/>
  <c r="X743" i="21"/>
  <c r="X680" i="21"/>
  <c r="X423" i="21"/>
  <c r="X263" i="21"/>
  <c r="N432" i="21"/>
  <c r="Z432" i="21" s="1"/>
  <c r="AA432" i="21" s="1"/>
  <c r="N538" i="21"/>
  <c r="Z538" i="21" s="1"/>
  <c r="AA538" i="21" s="1"/>
  <c r="N246" i="21"/>
  <c r="Z246" i="21" s="1"/>
  <c r="AA246" i="21" s="1"/>
  <c r="N591" i="21"/>
  <c r="Z591" i="21" s="1"/>
  <c r="AA591" i="21" s="1"/>
  <c r="N327" i="21"/>
  <c r="Z327" i="21" s="1"/>
  <c r="AA327" i="21" s="1"/>
  <c r="N672" i="21"/>
  <c r="Z672" i="21" s="1"/>
  <c r="AA672" i="21" s="1"/>
  <c r="N753" i="21"/>
  <c r="Z753" i="21" s="1"/>
  <c r="AA753" i="21" s="1"/>
  <c r="X952" i="21"/>
  <c r="X69" i="21"/>
  <c r="X478" i="21"/>
  <c r="X71" i="21"/>
  <c r="X247" i="21"/>
  <c r="X444" i="21"/>
  <c r="X624" i="21"/>
  <c r="X343" i="21"/>
  <c r="X840" i="21"/>
  <c r="X761" i="21"/>
  <c r="X747" i="21"/>
  <c r="X615" i="21"/>
  <c r="N821" i="21"/>
  <c r="Z821" i="21" s="1"/>
  <c r="AA821" i="21" s="1"/>
  <c r="X955" i="21"/>
  <c r="N825" i="21"/>
  <c r="Z825" i="21" s="1"/>
  <c r="AA825" i="21" s="1"/>
  <c r="X411" i="21"/>
  <c r="X449" i="21"/>
  <c r="X325" i="21"/>
  <c r="X198" i="21"/>
  <c r="X633" i="21"/>
  <c r="X564" i="21"/>
  <c r="X85" i="21"/>
  <c r="N183" i="21"/>
  <c r="Z183" i="21" s="1"/>
  <c r="AA183" i="21" s="1"/>
  <c r="X126" i="21"/>
  <c r="X675" i="21"/>
  <c r="X43" i="21"/>
  <c r="X130" i="21"/>
  <c r="X607" i="21"/>
  <c r="N505" i="21"/>
  <c r="Z505" i="21" s="1"/>
  <c r="AA505" i="21" s="1"/>
  <c r="X414" i="21"/>
  <c r="X133" i="21"/>
  <c r="X595" i="21"/>
  <c r="X662" i="21"/>
  <c r="X560" i="21"/>
  <c r="X123" i="21"/>
  <c r="X740" i="21"/>
  <c r="N231" i="21"/>
  <c r="Z231" i="21" s="1"/>
  <c r="AA231" i="21" s="1"/>
  <c r="N577" i="21"/>
  <c r="Z577" i="21" s="1"/>
  <c r="AA577" i="21" s="1"/>
  <c r="N879" i="21"/>
  <c r="Z879" i="21" s="1"/>
  <c r="AA879" i="21" s="1"/>
  <c r="N75" i="21"/>
  <c r="Z75" i="21" s="1"/>
  <c r="AA75" i="21" s="1"/>
  <c r="X294" i="21"/>
  <c r="X487" i="21"/>
  <c r="X295" i="21"/>
  <c r="N945" i="21"/>
  <c r="Z945" i="21" s="1"/>
  <c r="AA945" i="21" s="1"/>
  <c r="N881" i="21"/>
  <c r="Z881" i="21" s="1"/>
  <c r="AA881" i="21" s="1"/>
  <c r="N483" i="21"/>
  <c r="Z483" i="21" s="1"/>
  <c r="AA483" i="21" s="1"/>
  <c r="X122" i="21"/>
  <c r="X277" i="21"/>
  <c r="X757" i="21"/>
  <c r="X887" i="21"/>
  <c r="X844" i="21"/>
  <c r="X732" i="21"/>
  <c r="N900" i="21"/>
  <c r="Z900" i="21" s="1"/>
  <c r="AA900" i="21" s="1"/>
  <c r="N625" i="21"/>
  <c r="Z625" i="21" s="1"/>
  <c r="AA625" i="21" s="1"/>
  <c r="N883" i="21"/>
  <c r="Z883" i="21" s="1"/>
  <c r="AA883" i="21" s="1"/>
  <c r="N964" i="21"/>
  <c r="Z964" i="21" s="1"/>
  <c r="AA964" i="21" s="1"/>
  <c r="X261" i="21"/>
  <c r="X54" i="21"/>
  <c r="X376" i="21"/>
  <c r="X504" i="21"/>
  <c r="X36" i="21"/>
  <c r="X310" i="21"/>
  <c r="J147" i="49"/>
  <c r="X341" i="21"/>
  <c r="X74" i="21"/>
  <c r="X262" i="21"/>
  <c r="X491" i="21"/>
  <c r="N908" i="21"/>
  <c r="Z908" i="21" s="1"/>
  <c r="AA908" i="21" s="1"/>
  <c r="X230" i="21"/>
  <c r="N513" i="21"/>
  <c r="Z513" i="21" s="1"/>
  <c r="AA513" i="21" s="1"/>
  <c r="X817" i="21"/>
  <c r="X229" i="21"/>
  <c r="X500" i="21"/>
  <c r="N496" i="21"/>
  <c r="Z496" i="21" s="1"/>
  <c r="AA496" i="21" s="1"/>
  <c r="X509" i="21"/>
  <c r="K57" i="57"/>
  <c r="H57" i="57"/>
  <c r="M55" i="57"/>
  <c r="X440" i="21"/>
  <c r="X629" i="21"/>
  <c r="X372" i="21"/>
  <c r="X904" i="21"/>
  <c r="X293" i="21"/>
  <c r="AM201" i="23"/>
  <c r="AN201" i="23" s="1"/>
  <c r="AM216" i="23"/>
  <c r="AP216" i="23" s="1"/>
  <c r="E8" i="55"/>
  <c r="E7" i="55"/>
  <c r="F24" i="3"/>
  <c r="F14" i="3"/>
  <c r="I55" i="57"/>
  <c r="E17" i="57"/>
  <c r="E57" i="57"/>
  <c r="O23" i="57"/>
  <c r="N644" i="21"/>
  <c r="Z644" i="21" s="1"/>
  <c r="AA644" i="21" s="1"/>
  <c r="X644" i="21"/>
  <c r="X660" i="21"/>
  <c r="N660" i="21"/>
  <c r="Z660" i="21" s="1"/>
  <c r="AA660" i="21" s="1"/>
  <c r="X196" i="21"/>
  <c r="N196" i="21"/>
  <c r="Z196" i="21" s="1"/>
  <c r="AA196" i="21" s="1"/>
  <c r="X701" i="21"/>
  <c r="N701" i="21"/>
  <c r="Z701" i="21" s="1"/>
  <c r="AA701" i="21" s="1"/>
  <c r="X347" i="21"/>
  <c r="N347" i="21"/>
  <c r="Z347" i="21" s="1"/>
  <c r="AA347" i="21" s="1"/>
  <c r="X367" i="21"/>
  <c r="N367" i="21"/>
  <c r="Z367" i="21" s="1"/>
  <c r="AA367" i="21" s="1"/>
  <c r="X891" i="21"/>
  <c r="N891" i="21"/>
  <c r="Z891" i="21" s="1"/>
  <c r="AA891" i="21" s="1"/>
  <c r="X628" i="21"/>
  <c r="X676" i="21"/>
  <c r="X692" i="21"/>
  <c r="N436" i="21"/>
  <c r="Z436" i="21" s="1"/>
  <c r="AA436" i="21" s="1"/>
  <c r="X436" i="21"/>
  <c r="X856" i="21"/>
  <c r="N856" i="21"/>
  <c r="Z856" i="21" s="1"/>
  <c r="AA856" i="21" s="1"/>
  <c r="X872" i="21"/>
  <c r="N872" i="21"/>
  <c r="Z872" i="21" s="1"/>
  <c r="AA872" i="21" s="1"/>
  <c r="N38" i="21"/>
  <c r="Z38" i="21" s="1"/>
  <c r="AA38" i="21" s="1"/>
  <c r="N405" i="21"/>
  <c r="Z405" i="21" s="1"/>
  <c r="AA405" i="21" s="1"/>
  <c r="N180" i="21"/>
  <c r="Z180" i="21" s="1"/>
  <c r="AA180" i="21" s="1"/>
  <c r="X180" i="21"/>
  <c r="X188" i="21"/>
  <c r="N188" i="21"/>
  <c r="Z188" i="21" s="1"/>
  <c r="AA188" i="21" s="1"/>
  <c r="N284" i="21"/>
  <c r="Z284" i="21" s="1"/>
  <c r="AA284" i="21" s="1"/>
  <c r="X284" i="21"/>
  <c r="N296" i="21"/>
  <c r="Z296" i="21" s="1"/>
  <c r="AA296" i="21" s="1"/>
  <c r="X296" i="21"/>
  <c r="N308" i="21"/>
  <c r="Z308" i="21" s="1"/>
  <c r="AA308" i="21" s="1"/>
  <c r="X308" i="21"/>
  <c r="N2" i="21"/>
  <c r="Z2" i="21" s="1"/>
  <c r="AA2" i="21" s="1"/>
  <c r="X357" i="21"/>
  <c r="N357" i="21"/>
  <c r="Z357" i="21" s="1"/>
  <c r="AA357" i="21" s="1"/>
  <c r="X373" i="21"/>
  <c r="N373" i="21"/>
  <c r="Z373" i="21" s="1"/>
  <c r="AA373" i="21" s="1"/>
  <c r="N421" i="21"/>
  <c r="Z421" i="21" s="1"/>
  <c r="AA421" i="21" s="1"/>
  <c r="X421" i="21"/>
  <c r="N16" i="21"/>
  <c r="Z16" i="21" s="1"/>
  <c r="AA16" i="21" s="1"/>
  <c r="X16" i="21"/>
  <c r="X119" i="21"/>
  <c r="N119" i="21"/>
  <c r="Z119" i="21" s="1"/>
  <c r="AA119" i="21" s="1"/>
  <c r="N151" i="21"/>
  <c r="Z151" i="21" s="1"/>
  <c r="AA151" i="21" s="1"/>
  <c r="X151" i="21"/>
  <c r="N106" i="21"/>
  <c r="Z106" i="21" s="1"/>
  <c r="AA106" i="21" s="1"/>
  <c r="X106" i="21"/>
  <c r="X486" i="21"/>
  <c r="N486" i="21"/>
  <c r="Z486" i="21" s="1"/>
  <c r="AA486" i="21" s="1"/>
  <c r="X861" i="21"/>
  <c r="N861" i="21"/>
  <c r="Z861" i="21" s="1"/>
  <c r="AA861" i="21" s="1"/>
  <c r="N495" i="21"/>
  <c r="Z495" i="21" s="1"/>
  <c r="AA495" i="21" s="1"/>
  <c r="X495" i="21"/>
  <c r="X527" i="21"/>
  <c r="N527" i="21"/>
  <c r="Z527" i="21" s="1"/>
  <c r="AA527" i="21" s="1"/>
  <c r="N655" i="21"/>
  <c r="Z655" i="21" s="1"/>
  <c r="AA655" i="21" s="1"/>
  <c r="X655" i="21"/>
  <c r="N751" i="21"/>
  <c r="Z751" i="21" s="1"/>
  <c r="AA751" i="21" s="1"/>
  <c r="X751" i="21"/>
  <c r="N767" i="21"/>
  <c r="Z767" i="21" s="1"/>
  <c r="AA767" i="21" s="1"/>
  <c r="X767" i="21"/>
  <c r="N534" i="21"/>
  <c r="Z534" i="21" s="1"/>
  <c r="AA534" i="21" s="1"/>
  <c r="X534" i="21"/>
  <c r="N582" i="21"/>
  <c r="Z582" i="21" s="1"/>
  <c r="AA582" i="21" s="1"/>
  <c r="X582" i="21"/>
  <c r="N630" i="21"/>
  <c r="Z630" i="21" s="1"/>
  <c r="AA630" i="21" s="1"/>
  <c r="X630" i="21"/>
  <c r="N141" i="21"/>
  <c r="Z141" i="21" s="1"/>
  <c r="AA141" i="21" s="1"/>
  <c r="X141" i="21"/>
  <c r="X47" i="21"/>
  <c r="X228" i="21"/>
  <c r="X236" i="21"/>
  <c r="X470" i="21"/>
  <c r="X184" i="21"/>
  <c r="X244" i="21"/>
  <c r="X264" i="21"/>
  <c r="X280" i="21"/>
  <c r="X320" i="21"/>
  <c r="X44" i="21"/>
  <c r="X220" i="21"/>
  <c r="X336" i="21"/>
  <c r="X454" i="21"/>
  <c r="X18" i="21"/>
  <c r="X469" i="21"/>
  <c r="X389" i="21"/>
  <c r="X427" i="21"/>
  <c r="X621" i="21"/>
  <c r="X799" i="21"/>
  <c r="X959" i="21"/>
  <c r="X941" i="21"/>
  <c r="X304" i="21"/>
  <c r="X447" i="21"/>
  <c r="X288" i="21"/>
  <c r="X813" i="21"/>
  <c r="X893" i="21"/>
  <c r="X173" i="21"/>
  <c r="N566" i="21"/>
  <c r="Z566" i="21" s="1"/>
  <c r="AA566" i="21" s="1"/>
  <c r="N208" i="21"/>
  <c r="Z208" i="21" s="1"/>
  <c r="AA208" i="21" s="1"/>
  <c r="N232" i="21"/>
  <c r="Z232" i="21" s="1"/>
  <c r="AA232" i="21" s="1"/>
  <c r="N517" i="21"/>
  <c r="Z517" i="21" s="1"/>
  <c r="AA517" i="21" s="1"/>
  <c r="N781" i="21"/>
  <c r="Z781" i="21" s="1"/>
  <c r="AA781" i="21" s="1"/>
  <c r="N845" i="21"/>
  <c r="Z845" i="21" s="1"/>
  <c r="AA845" i="21" s="1"/>
  <c r="N324" i="21"/>
  <c r="Z324" i="21" s="1"/>
  <c r="AA324" i="21" s="1"/>
  <c r="N204" i="21"/>
  <c r="Z204" i="21" s="1"/>
  <c r="AA204" i="21" s="1"/>
  <c r="X204" i="21"/>
  <c r="N216" i="21"/>
  <c r="Z216" i="21" s="1"/>
  <c r="AA216" i="21" s="1"/>
  <c r="X216" i="21"/>
  <c r="N248" i="21"/>
  <c r="Z248" i="21" s="1"/>
  <c r="AA248" i="21" s="1"/>
  <c r="X248" i="21"/>
  <c r="N256" i="21"/>
  <c r="Z256" i="21" s="1"/>
  <c r="AA256" i="21" s="1"/>
  <c r="X256" i="21"/>
  <c r="N272" i="21"/>
  <c r="Z272" i="21" s="1"/>
  <c r="AA272" i="21" s="1"/>
  <c r="X272" i="21"/>
  <c r="X332" i="21"/>
  <c r="N332" i="21"/>
  <c r="Z332" i="21" s="1"/>
  <c r="AA332" i="21" s="1"/>
  <c r="X135" i="21"/>
  <c r="N135" i="21"/>
  <c r="Z135" i="21" s="1"/>
  <c r="AA135" i="21" s="1"/>
  <c r="N438" i="21"/>
  <c r="Z438" i="21" s="1"/>
  <c r="AA438" i="21" s="1"/>
  <c r="X438" i="21"/>
  <c r="N637" i="21"/>
  <c r="Z637" i="21" s="1"/>
  <c r="AA637" i="21" s="1"/>
  <c r="X637" i="21"/>
  <c r="X797" i="21"/>
  <c r="N797" i="21"/>
  <c r="Z797" i="21" s="1"/>
  <c r="AA797" i="21" s="1"/>
  <c r="X877" i="21"/>
  <c r="N877" i="21"/>
  <c r="Z877" i="21" s="1"/>
  <c r="AA877" i="21" s="1"/>
  <c r="X463" i="21"/>
  <c r="N463" i="21"/>
  <c r="Z463" i="21" s="1"/>
  <c r="AA463" i="21" s="1"/>
  <c r="N619" i="21"/>
  <c r="Z619" i="21" s="1"/>
  <c r="AA619" i="21" s="1"/>
  <c r="X619" i="21"/>
  <c r="N671" i="21"/>
  <c r="Z671" i="21" s="1"/>
  <c r="AA671" i="21" s="1"/>
  <c r="X671" i="21"/>
  <c r="N518" i="21"/>
  <c r="Z518" i="21" s="1"/>
  <c r="AA518" i="21" s="1"/>
  <c r="X518" i="21"/>
  <c r="N614" i="21"/>
  <c r="Z614" i="21" s="1"/>
  <c r="AA614" i="21" s="1"/>
  <c r="X614" i="21"/>
  <c r="X109" i="21"/>
  <c r="N109" i="21"/>
  <c r="Z109" i="21" s="1"/>
  <c r="AA109" i="21" s="1"/>
  <c r="N971" i="21"/>
  <c r="Z971" i="21" s="1"/>
  <c r="AA971" i="21" s="1"/>
  <c r="X971" i="21"/>
  <c r="X45" i="21"/>
  <c r="X200" i="21"/>
  <c r="X390" i="21"/>
  <c r="X565" i="21"/>
  <c r="X653" i="21"/>
  <c r="X717" i="21"/>
  <c r="X437" i="21"/>
  <c r="X765" i="21"/>
  <c r="X511" i="21"/>
  <c r="X25" i="21"/>
  <c r="X351" i="21"/>
  <c r="X479" i="21"/>
  <c r="N829" i="21"/>
  <c r="Z829" i="21" s="1"/>
  <c r="AA829" i="21" s="1"/>
  <c r="N65" i="21"/>
  <c r="Z65" i="21" s="1"/>
  <c r="AA65" i="21" s="1"/>
  <c r="N312" i="21"/>
  <c r="Z312" i="21" s="1"/>
  <c r="AA312" i="21" s="1"/>
  <c r="N583" i="21"/>
  <c r="Z583" i="21" s="1"/>
  <c r="AA583" i="21" s="1"/>
  <c r="N224" i="21"/>
  <c r="Z224" i="21" s="1"/>
  <c r="AA224" i="21" s="1"/>
  <c r="X224" i="21"/>
  <c r="N268" i="21"/>
  <c r="Z268" i="21" s="1"/>
  <c r="AA268" i="21" s="1"/>
  <c r="X268" i="21"/>
  <c r="N300" i="21"/>
  <c r="Z300" i="21" s="1"/>
  <c r="AA300" i="21" s="1"/>
  <c r="X300" i="21"/>
  <c r="N316" i="21"/>
  <c r="Z316" i="21" s="1"/>
  <c r="AA316" i="21" s="1"/>
  <c r="X316" i="21"/>
  <c r="N340" i="21"/>
  <c r="Z340" i="21" s="1"/>
  <c r="AA340" i="21" s="1"/>
  <c r="X340" i="21"/>
  <c r="X453" i="21"/>
  <c r="N453" i="21"/>
  <c r="Z453" i="21" s="1"/>
  <c r="AA453" i="21" s="1"/>
  <c r="N501" i="21"/>
  <c r="Z501" i="21" s="1"/>
  <c r="AA501" i="21" s="1"/>
  <c r="X501" i="21"/>
  <c r="N533" i="21"/>
  <c r="Z533" i="21" s="1"/>
  <c r="AA533" i="21" s="1"/>
  <c r="X533" i="21"/>
  <c r="N581" i="21"/>
  <c r="Z581" i="21" s="1"/>
  <c r="AA581" i="21" s="1"/>
  <c r="X581" i="21"/>
  <c r="N32" i="21"/>
  <c r="Z32" i="21" s="1"/>
  <c r="AA32" i="21" s="1"/>
  <c r="X32" i="21"/>
  <c r="N103" i="21"/>
  <c r="Z103" i="21" s="1"/>
  <c r="AA103" i="21" s="1"/>
  <c r="X103" i="21"/>
  <c r="N502" i="21"/>
  <c r="Z502" i="21" s="1"/>
  <c r="AA502" i="21" s="1"/>
  <c r="X502" i="21"/>
  <c r="X669" i="21"/>
  <c r="N669" i="21"/>
  <c r="Z669" i="21" s="1"/>
  <c r="AA669" i="21" s="1"/>
  <c r="N685" i="21"/>
  <c r="Z685" i="21" s="1"/>
  <c r="AA685" i="21" s="1"/>
  <c r="X685" i="21"/>
  <c r="N733" i="21"/>
  <c r="Z733" i="21" s="1"/>
  <c r="AA733" i="21" s="1"/>
  <c r="X733" i="21"/>
  <c r="N909" i="21"/>
  <c r="Z909" i="21" s="1"/>
  <c r="AA909" i="21" s="1"/>
  <c r="X909" i="21"/>
  <c r="N957" i="21"/>
  <c r="Z957" i="21" s="1"/>
  <c r="AA957" i="21" s="1"/>
  <c r="X957" i="21"/>
  <c r="X431" i="21"/>
  <c r="N431" i="21"/>
  <c r="Z431" i="21" s="1"/>
  <c r="AA431" i="21" s="1"/>
  <c r="N639" i="21"/>
  <c r="Z639" i="21" s="1"/>
  <c r="AA639" i="21" s="1"/>
  <c r="X639" i="21"/>
  <c r="N735" i="21"/>
  <c r="Z735" i="21" s="1"/>
  <c r="AA735" i="21" s="1"/>
  <c r="X735" i="21"/>
  <c r="N90" i="21"/>
  <c r="Z90" i="21" s="1"/>
  <c r="AA90" i="21" s="1"/>
  <c r="X90" i="21"/>
  <c r="N550" i="21"/>
  <c r="Z550" i="21" s="1"/>
  <c r="AA550" i="21" s="1"/>
  <c r="X550" i="21"/>
  <c r="N646" i="21"/>
  <c r="Z646" i="21" s="1"/>
  <c r="AA646" i="21" s="1"/>
  <c r="X646" i="21"/>
  <c r="X936" i="21"/>
  <c r="N936" i="21"/>
  <c r="Z936" i="21" s="1"/>
  <c r="AA936" i="21" s="1"/>
  <c r="N63" i="21"/>
  <c r="Z63" i="21" s="1"/>
  <c r="AA63" i="21" s="1"/>
  <c r="X63" i="21"/>
  <c r="X395" i="21"/>
  <c r="N395" i="21"/>
  <c r="Z395" i="21" s="1"/>
  <c r="AA395" i="21" s="1"/>
  <c r="X991" i="21"/>
  <c r="X19" i="21"/>
  <c r="X167" i="21"/>
  <c r="X406" i="21"/>
  <c r="X984" i="21"/>
  <c r="X4024" i="21"/>
  <c r="X973" i="21"/>
  <c r="X989" i="21"/>
  <c r="X252" i="21"/>
  <c r="X292" i="21"/>
  <c r="X8" i="21"/>
  <c r="X89" i="21"/>
  <c r="X374" i="21"/>
  <c r="X149" i="21"/>
  <c r="X598" i="21"/>
  <c r="X192" i="21"/>
  <c r="X212" i="21"/>
  <c r="X276" i="21"/>
  <c r="X176" i="21"/>
  <c r="X603" i="21"/>
  <c r="X49" i="21"/>
  <c r="X783" i="21"/>
  <c r="X925" i="21"/>
  <c r="X968" i="21"/>
  <c r="X422" i="21"/>
  <c r="X549" i="21"/>
  <c r="N940" i="21"/>
  <c r="Z940" i="21" s="1"/>
  <c r="AA940" i="21" s="1"/>
  <c r="X940" i="21"/>
  <c r="N15" i="21"/>
  <c r="Z15" i="21" s="1"/>
  <c r="AA15" i="21" s="1"/>
  <c r="X15" i="21"/>
  <c r="N67" i="21"/>
  <c r="Z67" i="21" s="1"/>
  <c r="AA67" i="21" s="1"/>
  <c r="X67" i="21"/>
  <c r="X399" i="21"/>
  <c r="N399" i="21"/>
  <c r="Z399" i="21" s="1"/>
  <c r="AA399" i="21" s="1"/>
  <c r="X555" i="21"/>
  <c r="N555" i="21"/>
  <c r="Z555" i="21" s="1"/>
  <c r="AA555" i="21" s="1"/>
  <c r="X811" i="21"/>
  <c r="N811" i="21"/>
  <c r="Z811" i="21" s="1"/>
  <c r="AA811" i="21" s="1"/>
  <c r="N827" i="21"/>
  <c r="Z827" i="21" s="1"/>
  <c r="AA827" i="21" s="1"/>
  <c r="X827" i="21"/>
  <c r="N923" i="21"/>
  <c r="Z923" i="21" s="1"/>
  <c r="AA923" i="21" s="1"/>
  <c r="X923" i="21"/>
  <c r="X951" i="21"/>
  <c r="N951" i="21"/>
  <c r="Z951" i="21" s="1"/>
  <c r="AA951" i="21" s="1"/>
  <c r="X371" i="21"/>
  <c r="X939" i="21"/>
  <c r="X924" i="21"/>
  <c r="N178" i="21"/>
  <c r="Z178" i="21" s="1"/>
  <c r="AA178" i="21" s="1"/>
  <c r="X178" i="21"/>
  <c r="N182" i="21"/>
  <c r="Z182" i="21" s="1"/>
  <c r="AA182" i="21" s="1"/>
  <c r="X182" i="21"/>
  <c r="N186" i="21"/>
  <c r="Z186" i="21" s="1"/>
  <c r="AA186" i="21" s="1"/>
  <c r="X186" i="21"/>
  <c r="N194" i="21"/>
  <c r="Z194" i="21" s="1"/>
  <c r="AA194" i="21" s="1"/>
  <c r="X194" i="21"/>
  <c r="N214" i="21"/>
  <c r="Z214" i="21" s="1"/>
  <c r="AA214" i="21" s="1"/>
  <c r="X214" i="21"/>
  <c r="N234" i="21"/>
  <c r="Z234" i="21" s="1"/>
  <c r="AA234" i="21" s="1"/>
  <c r="X234" i="21"/>
  <c r="N238" i="21"/>
  <c r="Z238" i="21" s="1"/>
  <c r="AA238" i="21" s="1"/>
  <c r="X238" i="21"/>
  <c r="N250" i="21"/>
  <c r="Z250" i="21" s="1"/>
  <c r="AA250" i="21" s="1"/>
  <c r="X250" i="21"/>
  <c r="N254" i="21"/>
  <c r="Z254" i="21" s="1"/>
  <c r="AA254" i="21" s="1"/>
  <c r="X254" i="21"/>
  <c r="N266" i="21"/>
  <c r="Z266" i="21" s="1"/>
  <c r="AA266" i="21" s="1"/>
  <c r="X266" i="21"/>
  <c r="N270" i="21"/>
  <c r="Z270" i="21" s="1"/>
  <c r="AA270" i="21" s="1"/>
  <c r="X270" i="21"/>
  <c r="X278" i="21"/>
  <c r="N278" i="21"/>
  <c r="Z278" i="21" s="1"/>
  <c r="AA278" i="21" s="1"/>
  <c r="N282" i="21"/>
  <c r="Z282" i="21" s="1"/>
  <c r="AA282" i="21" s="1"/>
  <c r="X282" i="21"/>
  <c r="N290" i="21"/>
  <c r="Z290" i="21" s="1"/>
  <c r="AA290" i="21" s="1"/>
  <c r="X290" i="21"/>
  <c r="N314" i="21"/>
  <c r="Z314" i="21" s="1"/>
  <c r="AA314" i="21" s="1"/>
  <c r="X314" i="21"/>
  <c r="N318" i="21"/>
  <c r="Z318" i="21" s="1"/>
  <c r="AA318" i="21" s="1"/>
  <c r="X318" i="21"/>
  <c r="N342" i="21"/>
  <c r="Z342" i="21" s="1"/>
  <c r="AA342" i="21" s="1"/>
  <c r="X342" i="21"/>
  <c r="N57" i="21"/>
  <c r="Z57" i="21" s="1"/>
  <c r="AA57" i="21" s="1"/>
  <c r="X57" i="21"/>
  <c r="N349" i="21"/>
  <c r="Z349" i="21" s="1"/>
  <c r="AA349" i="21" s="1"/>
  <c r="X349" i="21"/>
  <c r="N381" i="21"/>
  <c r="Z381" i="21" s="1"/>
  <c r="AA381" i="21" s="1"/>
  <c r="X381" i="21"/>
  <c r="N445" i="21"/>
  <c r="Z445" i="21" s="1"/>
  <c r="AA445" i="21" s="1"/>
  <c r="X445" i="21"/>
  <c r="X461" i="21"/>
  <c r="N461" i="21"/>
  <c r="Z461" i="21" s="1"/>
  <c r="AA461" i="21" s="1"/>
  <c r="X477" i="21"/>
  <c r="N477" i="21"/>
  <c r="Z477" i="21" s="1"/>
  <c r="AA477" i="21" s="1"/>
  <c r="N525" i="21"/>
  <c r="Z525" i="21" s="1"/>
  <c r="AA525" i="21" s="1"/>
  <c r="X525" i="21"/>
  <c r="N557" i="21"/>
  <c r="Z557" i="21" s="1"/>
  <c r="AA557" i="21" s="1"/>
  <c r="X557" i="21"/>
  <c r="N573" i="21"/>
  <c r="Z573" i="21" s="1"/>
  <c r="AA573" i="21" s="1"/>
  <c r="X573" i="21"/>
  <c r="N589" i="21"/>
  <c r="Z589" i="21" s="1"/>
  <c r="AA589" i="21" s="1"/>
  <c r="X589" i="21"/>
  <c r="N7" i="21"/>
  <c r="Z7" i="21" s="1"/>
  <c r="AA7" i="21" s="1"/>
  <c r="X7" i="21"/>
  <c r="N111" i="21"/>
  <c r="Z111" i="21" s="1"/>
  <c r="AA111" i="21" s="1"/>
  <c r="X111" i="21"/>
  <c r="N127" i="21"/>
  <c r="Z127" i="21" s="1"/>
  <c r="AA127" i="21" s="1"/>
  <c r="X127" i="21"/>
  <c r="X143" i="21"/>
  <c r="N143" i="21"/>
  <c r="Z143" i="21" s="1"/>
  <c r="AA143" i="21" s="1"/>
  <c r="N6" i="21"/>
  <c r="Z6" i="21" s="1"/>
  <c r="AA6" i="21" s="1"/>
  <c r="X6" i="21"/>
  <c r="N382" i="21"/>
  <c r="Z382" i="21" s="1"/>
  <c r="AA382" i="21" s="1"/>
  <c r="X382" i="21"/>
  <c r="N398" i="21"/>
  <c r="Z398" i="21" s="1"/>
  <c r="AA398" i="21" s="1"/>
  <c r="X398" i="21"/>
  <c r="X661" i="21"/>
  <c r="N661" i="21"/>
  <c r="Z661" i="21" s="1"/>
  <c r="AA661" i="21" s="1"/>
  <c r="X677" i="21"/>
  <c r="N677" i="21"/>
  <c r="Z677" i="21" s="1"/>
  <c r="AA677" i="21" s="1"/>
  <c r="X693" i="21"/>
  <c r="N693" i="21"/>
  <c r="Z693" i="21" s="1"/>
  <c r="AA693" i="21" s="1"/>
  <c r="X709" i="21"/>
  <c r="N709" i="21"/>
  <c r="Z709" i="21" s="1"/>
  <c r="AA709" i="21" s="1"/>
  <c r="X725" i="21"/>
  <c r="N725" i="21"/>
  <c r="Z725" i="21" s="1"/>
  <c r="AA725" i="21" s="1"/>
  <c r="X773" i="21"/>
  <c r="N773" i="21"/>
  <c r="Z773" i="21" s="1"/>
  <c r="AA773" i="21" s="1"/>
  <c r="N853" i="21"/>
  <c r="Z853" i="21" s="1"/>
  <c r="AA853" i="21" s="1"/>
  <c r="X853" i="21"/>
  <c r="N885" i="21"/>
  <c r="Z885" i="21" s="1"/>
  <c r="AA885" i="21" s="1"/>
  <c r="X885" i="21"/>
  <c r="N901" i="21"/>
  <c r="Z901" i="21" s="1"/>
  <c r="AA901" i="21" s="1"/>
  <c r="X901" i="21"/>
  <c r="X949" i="21"/>
  <c r="N949" i="21"/>
  <c r="Z949" i="21" s="1"/>
  <c r="AA949" i="21" s="1"/>
  <c r="X965" i="21"/>
  <c r="N965" i="21"/>
  <c r="Z965" i="21" s="1"/>
  <c r="AA965" i="21" s="1"/>
  <c r="N81" i="21"/>
  <c r="Z81" i="21" s="1"/>
  <c r="AA81" i="21" s="1"/>
  <c r="X81" i="21"/>
  <c r="N439" i="21"/>
  <c r="Z439" i="21" s="1"/>
  <c r="AA439" i="21" s="1"/>
  <c r="X439" i="21"/>
  <c r="N519" i="21"/>
  <c r="Z519" i="21" s="1"/>
  <c r="AA519" i="21" s="1"/>
  <c r="X519" i="21"/>
  <c r="N611" i="21"/>
  <c r="Z611" i="21" s="1"/>
  <c r="AA611" i="21" s="1"/>
  <c r="X611" i="21"/>
  <c r="X647" i="21"/>
  <c r="N647" i="21"/>
  <c r="Z647" i="21" s="1"/>
  <c r="AA647" i="21" s="1"/>
  <c r="X695" i="21"/>
  <c r="N695" i="21"/>
  <c r="Z695" i="21" s="1"/>
  <c r="AA695" i="21" s="1"/>
  <c r="X727" i="21"/>
  <c r="N727" i="21"/>
  <c r="Z727" i="21" s="1"/>
  <c r="AA727" i="21" s="1"/>
  <c r="N759" i="21"/>
  <c r="Z759" i="21" s="1"/>
  <c r="AA759" i="21" s="1"/>
  <c r="X759" i="21"/>
  <c r="N775" i="21"/>
  <c r="Z775" i="21" s="1"/>
  <c r="AA775" i="21" s="1"/>
  <c r="X775" i="21"/>
  <c r="N102" i="21"/>
  <c r="Z102" i="21" s="1"/>
  <c r="AA102" i="21" s="1"/>
  <c r="X102" i="21"/>
  <c r="N526" i="21"/>
  <c r="Z526" i="21" s="1"/>
  <c r="AA526" i="21" s="1"/>
  <c r="X526" i="21"/>
  <c r="N542" i="21"/>
  <c r="Z542" i="21" s="1"/>
  <c r="AA542" i="21" s="1"/>
  <c r="X542" i="21"/>
  <c r="X574" i="21"/>
  <c r="N574" i="21"/>
  <c r="Z574" i="21" s="1"/>
  <c r="AA574" i="21" s="1"/>
  <c r="N606" i="21"/>
  <c r="Z606" i="21" s="1"/>
  <c r="AA606" i="21" s="1"/>
  <c r="X606" i="21"/>
  <c r="N622" i="21"/>
  <c r="Z622" i="21" s="1"/>
  <c r="AA622" i="21" s="1"/>
  <c r="X622" i="21"/>
  <c r="N638" i="21"/>
  <c r="Z638" i="21" s="1"/>
  <c r="AA638" i="21" s="1"/>
  <c r="X638" i="21"/>
  <c r="X113" i="21"/>
  <c r="X539" i="21"/>
  <c r="X875" i="21"/>
  <c r="N541" i="21"/>
  <c r="Z541" i="21" s="1"/>
  <c r="AA541" i="21" s="1"/>
  <c r="N741" i="21"/>
  <c r="Z741" i="21" s="1"/>
  <c r="AA741" i="21" s="1"/>
  <c r="N789" i="21"/>
  <c r="Z789" i="21" s="1"/>
  <c r="AA789" i="21" s="1"/>
  <c r="X355" i="21"/>
  <c r="X118" i="21"/>
  <c r="X415" i="21"/>
  <c r="X983" i="21"/>
  <c r="X145" i="21"/>
  <c r="X587" i="21"/>
  <c r="X77" i="21"/>
  <c r="X859" i="21"/>
  <c r="X843" i="21"/>
  <c r="N159" i="21"/>
  <c r="Z159" i="21" s="1"/>
  <c r="AA159" i="21" s="1"/>
  <c r="N571" i="21"/>
  <c r="Z571" i="21" s="1"/>
  <c r="AA571" i="21" s="1"/>
  <c r="N907" i="21"/>
  <c r="Z907" i="21" s="1"/>
  <c r="AA907" i="21" s="1"/>
  <c r="N917" i="21"/>
  <c r="Z917" i="21" s="1"/>
  <c r="AA917" i="21" s="1"/>
  <c r="AM339" i="23"/>
  <c r="AQ339" i="23" s="1"/>
  <c r="AM331" i="23"/>
  <c r="AQ331" i="23" s="1"/>
  <c r="AM352" i="23"/>
  <c r="AQ352" i="23" s="1"/>
  <c r="AM346" i="23"/>
  <c r="AQ346" i="23" s="1"/>
  <c r="AM357" i="23"/>
  <c r="AQ357" i="23" s="1"/>
  <c r="AM312" i="23"/>
  <c r="AQ312" i="23" s="1"/>
  <c r="AM322" i="23"/>
  <c r="AQ322" i="23" s="1"/>
  <c r="AM361" i="23"/>
  <c r="AQ361" i="23" s="1"/>
  <c r="AM261" i="23"/>
  <c r="AP261" i="23" s="1"/>
  <c r="AM74" i="23"/>
  <c r="AQ74" i="23" s="1"/>
  <c r="H56" i="57"/>
  <c r="O6" i="57"/>
  <c r="I17" i="57"/>
  <c r="O11" i="57"/>
  <c r="I56" i="57"/>
  <c r="G55" i="57"/>
  <c r="J57" i="57"/>
  <c r="K55" i="57"/>
  <c r="E55" i="57"/>
  <c r="O42" i="57"/>
  <c r="G57" i="57"/>
  <c r="L55" i="57"/>
  <c r="F17" i="57"/>
  <c r="N56" i="57"/>
  <c r="F56" i="57"/>
  <c r="N55" i="57"/>
  <c r="J55" i="57"/>
  <c r="M56" i="57"/>
  <c r="AM226" i="23"/>
  <c r="AP226" i="23" s="1"/>
  <c r="O28" i="57"/>
  <c r="C56" i="57"/>
  <c r="O43" i="57"/>
  <c r="O30" i="57"/>
  <c r="K56" i="57"/>
  <c r="L57" i="57"/>
  <c r="O29" i="57"/>
  <c r="A58" i="57"/>
  <c r="D44" i="57"/>
  <c r="D58" i="57" s="1"/>
  <c r="C44" i="57"/>
  <c r="N44" i="57"/>
  <c r="N58" i="57" s="1"/>
  <c r="M44" i="57"/>
  <c r="M58" i="57" s="1"/>
  <c r="L44" i="57"/>
  <c r="L58" i="57" s="1"/>
  <c r="K44" i="57"/>
  <c r="K58" i="57" s="1"/>
  <c r="J44" i="57"/>
  <c r="J58" i="57" s="1"/>
  <c r="I44" i="57"/>
  <c r="I58" i="57" s="1"/>
  <c r="H44" i="57"/>
  <c r="H58" i="57" s="1"/>
  <c r="G44" i="57"/>
  <c r="G58" i="57" s="1"/>
  <c r="F44" i="57"/>
  <c r="F58" i="57" s="1"/>
  <c r="E44" i="57"/>
  <c r="E58" i="57" s="1"/>
  <c r="F57" i="57"/>
  <c r="D55" i="57"/>
  <c r="I57" i="57"/>
  <c r="E56" i="57"/>
  <c r="C57" i="57"/>
  <c r="J56" i="57"/>
  <c r="F55" i="57"/>
  <c r="O41" i="57"/>
  <c r="G56" i="57"/>
  <c r="D56" i="57"/>
  <c r="C55" i="57"/>
  <c r="O27" i="57"/>
  <c r="M57" i="57"/>
  <c r="D57" i="57"/>
  <c r="K17" i="57"/>
  <c r="F21" i="57"/>
  <c r="E21" i="57"/>
  <c r="D21" i="57"/>
  <c r="C21" i="57"/>
  <c r="N21" i="57"/>
  <c r="M21" i="57"/>
  <c r="L21" i="57"/>
  <c r="J21" i="57"/>
  <c r="I21" i="57"/>
  <c r="H21" i="57"/>
  <c r="G21" i="57"/>
  <c r="K21" i="57"/>
  <c r="O22" i="57"/>
  <c r="C17" i="57"/>
  <c r="M17" i="57"/>
  <c r="J37" i="57"/>
  <c r="J51" i="57" s="1"/>
  <c r="I37" i="57"/>
  <c r="I51" i="57" s="1"/>
  <c r="H37" i="57"/>
  <c r="H51" i="57" s="1"/>
  <c r="G37" i="57"/>
  <c r="G51" i="57" s="1"/>
  <c r="F37" i="57"/>
  <c r="F51" i="57" s="1"/>
  <c r="E37" i="57"/>
  <c r="E51" i="57" s="1"/>
  <c r="D37" i="57"/>
  <c r="D51" i="57" s="1"/>
  <c r="C37" i="57"/>
  <c r="N37" i="57"/>
  <c r="N51" i="57" s="1"/>
  <c r="M37" i="57"/>
  <c r="M51" i="57" s="1"/>
  <c r="L37" i="57"/>
  <c r="L51" i="57" s="1"/>
  <c r="K37" i="57"/>
  <c r="K51" i="57" s="1"/>
  <c r="N20" i="57"/>
  <c r="M20" i="57"/>
  <c r="L20" i="57"/>
  <c r="K20" i="57"/>
  <c r="J20" i="57"/>
  <c r="I20" i="57"/>
  <c r="H20" i="57"/>
  <c r="F20" i="57"/>
  <c r="E20" i="57"/>
  <c r="D20" i="57"/>
  <c r="C20" i="57"/>
  <c r="G20" i="57"/>
  <c r="O9" i="57"/>
  <c r="J26" i="57"/>
  <c r="I26" i="57"/>
  <c r="H26" i="57"/>
  <c r="G26" i="57"/>
  <c r="F26" i="57"/>
  <c r="E26" i="57"/>
  <c r="D26" i="57"/>
  <c r="C26" i="57"/>
  <c r="N26" i="57"/>
  <c r="M26" i="57"/>
  <c r="L26" i="57"/>
  <c r="K26" i="57"/>
  <c r="N34" i="57"/>
  <c r="M34" i="57"/>
  <c r="L34" i="57"/>
  <c r="K34" i="57"/>
  <c r="J34" i="57"/>
  <c r="I34" i="57"/>
  <c r="H34" i="57"/>
  <c r="G34" i="57"/>
  <c r="F34" i="57"/>
  <c r="E34" i="57"/>
  <c r="D34" i="57"/>
  <c r="C34" i="57"/>
  <c r="J17" i="57"/>
  <c r="O12" i="57"/>
  <c r="N39" i="57"/>
  <c r="N53" i="57" s="1"/>
  <c r="M39" i="57"/>
  <c r="M53" i="57" s="1"/>
  <c r="L39" i="57"/>
  <c r="L53" i="57" s="1"/>
  <c r="K39" i="57"/>
  <c r="K53" i="57" s="1"/>
  <c r="J39" i="57"/>
  <c r="J53" i="57" s="1"/>
  <c r="I39" i="57"/>
  <c r="I53" i="57" s="1"/>
  <c r="H39" i="57"/>
  <c r="H53" i="57" s="1"/>
  <c r="G39" i="57"/>
  <c r="G53" i="57" s="1"/>
  <c r="F39" i="57"/>
  <c r="F53" i="57" s="1"/>
  <c r="E39" i="57"/>
  <c r="E53" i="57" s="1"/>
  <c r="D39" i="57"/>
  <c r="D53" i="57" s="1"/>
  <c r="C39" i="57"/>
  <c r="N24" i="57"/>
  <c r="M24" i="57"/>
  <c r="L24" i="57"/>
  <c r="K24" i="57"/>
  <c r="J24" i="57"/>
  <c r="I24" i="57"/>
  <c r="H24" i="57"/>
  <c r="F24" i="57"/>
  <c r="E24" i="57"/>
  <c r="D24" i="57"/>
  <c r="C24" i="57"/>
  <c r="G24" i="57"/>
  <c r="L17" i="57"/>
  <c r="G17" i="57"/>
  <c r="F36" i="57"/>
  <c r="F50" i="57" s="1"/>
  <c r="E36" i="57"/>
  <c r="E50" i="57" s="1"/>
  <c r="D36" i="57"/>
  <c r="D50" i="57" s="1"/>
  <c r="C36" i="57"/>
  <c r="C50" i="57" s="1"/>
  <c r="N36" i="57"/>
  <c r="N50" i="57" s="1"/>
  <c r="M36" i="57"/>
  <c r="M50" i="57" s="1"/>
  <c r="L36" i="57"/>
  <c r="L50" i="57" s="1"/>
  <c r="K36" i="57"/>
  <c r="K50" i="57" s="1"/>
  <c r="J36" i="57"/>
  <c r="J50" i="57" s="1"/>
  <c r="I36" i="57"/>
  <c r="I50" i="57" s="1"/>
  <c r="H36" i="57"/>
  <c r="H50" i="57" s="1"/>
  <c r="G36" i="57"/>
  <c r="G50" i="57" s="1"/>
  <c r="O10" i="57"/>
  <c r="O25" i="57"/>
  <c r="O8" i="57"/>
  <c r="D17" i="57"/>
  <c r="O7" i="57"/>
  <c r="A69" i="57"/>
  <c r="B55" i="57"/>
  <c r="A70" i="57"/>
  <c r="B56" i="57"/>
  <c r="A51" i="57"/>
  <c r="B37" i="57"/>
  <c r="A40" i="57"/>
  <c r="B26" i="57"/>
  <c r="A38" i="57"/>
  <c r="B24" i="57"/>
  <c r="B39" i="57"/>
  <c r="A53" i="57"/>
  <c r="B34" i="57"/>
  <c r="A48" i="57"/>
  <c r="A71" i="57"/>
  <c r="B57" i="57"/>
  <c r="A35" i="57"/>
  <c r="B21" i="57"/>
  <c r="B50" i="57"/>
  <c r="A64" i="57"/>
  <c r="F42" i="3"/>
  <c r="J146" i="49"/>
  <c r="AM243" i="23"/>
  <c r="AP243" i="23" s="1"/>
  <c r="AM29" i="23"/>
  <c r="AM48" i="23"/>
  <c r="AQ48" i="23" s="1"/>
  <c r="AM250" i="23"/>
  <c r="AP250" i="23" s="1"/>
  <c r="J73" i="49"/>
  <c r="J74" i="49"/>
  <c r="AM235" i="23"/>
  <c r="AP235" i="23" s="1"/>
  <c r="AM39" i="23"/>
  <c r="AQ39" i="23" s="1"/>
  <c r="AM265" i="23"/>
  <c r="AM256" i="23"/>
  <c r="AP256" i="23" s="1"/>
  <c r="J72" i="49"/>
  <c r="J148" i="49"/>
  <c r="J71" i="49"/>
  <c r="S159" i="49"/>
  <c r="I122" i="49"/>
  <c r="J121" i="49"/>
  <c r="E9" i="55"/>
  <c r="E10" i="55"/>
  <c r="S55" i="49"/>
  <c r="F25" i="3"/>
  <c r="F17" i="3"/>
  <c r="S133" i="49"/>
  <c r="I150" i="49"/>
  <c r="J150" i="49" s="1"/>
  <c r="J149" i="49"/>
  <c r="I75" i="49"/>
  <c r="J75" i="49" s="1"/>
  <c r="J16" i="49"/>
  <c r="F26" i="3"/>
  <c r="F15" i="3"/>
  <c r="I44" i="49"/>
  <c r="J43" i="49"/>
  <c r="I95" i="49"/>
  <c r="S81" i="49"/>
  <c r="E8" i="35" l="1"/>
  <c r="O16" i="49"/>
  <c r="M17" i="49" s="1"/>
  <c r="E7" i="35"/>
  <c r="I17" i="49"/>
  <c r="AN126" i="23"/>
  <c r="AP126" i="23"/>
  <c r="AP178" i="23" s="1"/>
  <c r="AN115" i="23"/>
  <c r="AP115" i="23"/>
  <c r="I48" i="57"/>
  <c r="E15" i="55"/>
  <c r="AP265" i="23"/>
  <c r="AP267" i="23" s="1"/>
  <c r="AN265" i="23"/>
  <c r="AM202" i="23"/>
  <c r="AN202" i="23" s="1"/>
  <c r="H48" i="57"/>
  <c r="AQ363" i="23"/>
  <c r="AQ18" i="23"/>
  <c r="AO18" i="23"/>
  <c r="G48" i="57"/>
  <c r="K48" i="57"/>
  <c r="O39" i="57"/>
  <c r="O17" i="57"/>
  <c r="O24" i="57"/>
  <c r="O57" i="57"/>
  <c r="O37" i="57"/>
  <c r="O44" i="57"/>
  <c r="B58" i="57"/>
  <c r="A72" i="57"/>
  <c r="C58" i="57"/>
  <c r="O58" i="57" s="1"/>
  <c r="O56" i="57"/>
  <c r="L70" i="57"/>
  <c r="K70" i="57"/>
  <c r="J70" i="57"/>
  <c r="I70" i="57"/>
  <c r="H70" i="57"/>
  <c r="G70" i="57"/>
  <c r="F70" i="57"/>
  <c r="E70" i="57"/>
  <c r="D70" i="57"/>
  <c r="C70" i="57"/>
  <c r="N70" i="57"/>
  <c r="M70" i="57"/>
  <c r="O55" i="57"/>
  <c r="N71" i="57"/>
  <c r="M71" i="57"/>
  <c r="L71" i="57"/>
  <c r="K71" i="57"/>
  <c r="J71" i="57"/>
  <c r="I71" i="57"/>
  <c r="H71" i="57"/>
  <c r="G71" i="57"/>
  <c r="F71" i="57"/>
  <c r="E71" i="57"/>
  <c r="D71" i="57"/>
  <c r="C71" i="57"/>
  <c r="H69" i="57"/>
  <c r="G69" i="57"/>
  <c r="F69" i="57"/>
  <c r="E69" i="57"/>
  <c r="D69" i="57"/>
  <c r="C69" i="57"/>
  <c r="N69" i="57"/>
  <c r="M69" i="57"/>
  <c r="L69" i="57"/>
  <c r="K69" i="57"/>
  <c r="J69" i="57"/>
  <c r="I69" i="57"/>
  <c r="O50" i="57"/>
  <c r="G31" i="57"/>
  <c r="O20" i="57"/>
  <c r="C31" i="57"/>
  <c r="C48" i="57"/>
  <c r="N38" i="57"/>
  <c r="N52" i="57" s="1"/>
  <c r="M38" i="57"/>
  <c r="M52" i="57" s="1"/>
  <c r="L38" i="57"/>
  <c r="L52" i="57" s="1"/>
  <c r="K38" i="57"/>
  <c r="K52" i="57" s="1"/>
  <c r="J38" i="57"/>
  <c r="J52" i="57" s="1"/>
  <c r="I38" i="57"/>
  <c r="I52" i="57" s="1"/>
  <c r="H38" i="57"/>
  <c r="H52" i="57" s="1"/>
  <c r="G38" i="57"/>
  <c r="G52" i="57" s="1"/>
  <c r="F38" i="57"/>
  <c r="F52" i="57" s="1"/>
  <c r="E38" i="57"/>
  <c r="E52" i="57" s="1"/>
  <c r="D38" i="57"/>
  <c r="D52" i="57" s="1"/>
  <c r="C38" i="57"/>
  <c r="C52" i="57" s="1"/>
  <c r="D31" i="57"/>
  <c r="E31" i="57"/>
  <c r="O36" i="57"/>
  <c r="F31" i="57"/>
  <c r="O34" i="57"/>
  <c r="O26" i="57"/>
  <c r="H31" i="57"/>
  <c r="F40" i="57"/>
  <c r="F54" i="57" s="1"/>
  <c r="E40" i="57"/>
  <c r="E54" i="57" s="1"/>
  <c r="D40" i="57"/>
  <c r="D54" i="57" s="1"/>
  <c r="C40" i="57"/>
  <c r="N40" i="57"/>
  <c r="N54" i="57" s="1"/>
  <c r="M40" i="57"/>
  <c r="M54" i="57" s="1"/>
  <c r="L40" i="57"/>
  <c r="L54" i="57" s="1"/>
  <c r="K40" i="57"/>
  <c r="K54" i="57" s="1"/>
  <c r="J40" i="57"/>
  <c r="J54" i="57" s="1"/>
  <c r="I40" i="57"/>
  <c r="I54" i="57" s="1"/>
  <c r="H40" i="57"/>
  <c r="H54" i="57" s="1"/>
  <c r="G40" i="57"/>
  <c r="G54" i="57" s="1"/>
  <c r="I31" i="57"/>
  <c r="C51" i="57"/>
  <c r="O51" i="57" s="1"/>
  <c r="J31" i="57"/>
  <c r="O21" i="57"/>
  <c r="K31" i="57"/>
  <c r="L31" i="57"/>
  <c r="L48" i="57"/>
  <c r="E48" i="57"/>
  <c r="M31" i="57"/>
  <c r="M48" i="57"/>
  <c r="F48" i="57"/>
  <c r="C53" i="57"/>
  <c r="O53" i="57" s="1"/>
  <c r="N31" i="57"/>
  <c r="N48" i="57"/>
  <c r="J48" i="57"/>
  <c r="D48" i="57"/>
  <c r="N64" i="57"/>
  <c r="M64" i="57"/>
  <c r="L64" i="57"/>
  <c r="K64" i="57"/>
  <c r="J64" i="57"/>
  <c r="I64" i="57"/>
  <c r="H64" i="57"/>
  <c r="G64" i="57"/>
  <c r="F64" i="57"/>
  <c r="E64" i="57"/>
  <c r="D64" i="57"/>
  <c r="C64" i="57"/>
  <c r="N35" i="57"/>
  <c r="M35" i="57"/>
  <c r="M49" i="57" s="1"/>
  <c r="L35" i="57"/>
  <c r="L49" i="57" s="1"/>
  <c r="K35" i="57"/>
  <c r="K49" i="57" s="1"/>
  <c r="J35" i="57"/>
  <c r="I35" i="57"/>
  <c r="I49" i="57" s="1"/>
  <c r="H35" i="57"/>
  <c r="H49" i="57" s="1"/>
  <c r="G35" i="57"/>
  <c r="G49" i="57" s="1"/>
  <c r="F35" i="57"/>
  <c r="E35" i="57"/>
  <c r="E49" i="57" s="1"/>
  <c r="D35" i="57"/>
  <c r="C35" i="57"/>
  <c r="A67" i="57"/>
  <c r="B53" i="57"/>
  <c r="B40" i="57"/>
  <c r="A54" i="57"/>
  <c r="A85" i="57"/>
  <c r="B71" i="57"/>
  <c r="A52" i="57"/>
  <c r="B38" i="57"/>
  <c r="A49" i="57"/>
  <c r="B35" i="57"/>
  <c r="A65" i="57"/>
  <c r="B51" i="57"/>
  <c r="A84" i="57"/>
  <c r="B70" i="57"/>
  <c r="A62" i="57"/>
  <c r="B48" i="57"/>
  <c r="A78" i="57"/>
  <c r="B64" i="57"/>
  <c r="A83" i="57"/>
  <c r="B69" i="57"/>
  <c r="AQ29" i="23"/>
  <c r="AQ81" i="23" s="1"/>
  <c r="AO29" i="23"/>
  <c r="E11" i="55"/>
  <c r="I96" i="49"/>
  <c r="J96" i="49" s="1"/>
  <c r="I45" i="49"/>
  <c r="J45" i="49" s="1"/>
  <c r="J44" i="49"/>
  <c r="I123" i="49"/>
  <c r="J123" i="49" s="1"/>
  <c r="J122" i="49"/>
  <c r="I76" i="49"/>
  <c r="J76" i="49" s="1"/>
  <c r="J95" i="49"/>
  <c r="I151" i="49"/>
  <c r="J151" i="49" s="1"/>
  <c r="E12" i="35" l="1"/>
  <c r="C12" i="35" s="1"/>
  <c r="O17" i="49"/>
  <c r="M18" i="49" s="1"/>
  <c r="J17" i="49"/>
  <c r="F18" i="3"/>
  <c r="D45" i="57"/>
  <c r="AN203" i="23"/>
  <c r="AM204" i="23"/>
  <c r="AN204" i="23" s="1"/>
  <c r="AM205" i="23" s="1"/>
  <c r="C15" i="55"/>
  <c r="F45" i="57"/>
  <c r="J45" i="57"/>
  <c r="N45" i="57"/>
  <c r="K59" i="57"/>
  <c r="I45" i="57"/>
  <c r="O40" i="57"/>
  <c r="N49" i="57"/>
  <c r="N59" i="57" s="1"/>
  <c r="O35" i="57"/>
  <c r="I59" i="57"/>
  <c r="O70" i="57"/>
  <c r="L84" i="57"/>
  <c r="K84" i="57"/>
  <c r="J84" i="57"/>
  <c r="I84" i="57"/>
  <c r="H84" i="57"/>
  <c r="G84" i="57"/>
  <c r="F84" i="57"/>
  <c r="E84" i="57"/>
  <c r="D84" i="57"/>
  <c r="C84" i="57"/>
  <c r="N84" i="57"/>
  <c r="M84" i="57"/>
  <c r="O71" i="57"/>
  <c r="O69" i="57"/>
  <c r="H83" i="57"/>
  <c r="G83" i="57"/>
  <c r="F83" i="57"/>
  <c r="E83" i="57"/>
  <c r="D83" i="57"/>
  <c r="C83" i="57"/>
  <c r="N83" i="57"/>
  <c r="M83" i="57"/>
  <c r="L83" i="57"/>
  <c r="K83" i="57"/>
  <c r="J83" i="57"/>
  <c r="I83" i="57"/>
  <c r="N85" i="57"/>
  <c r="M85" i="57"/>
  <c r="L85" i="57"/>
  <c r="K85" i="57"/>
  <c r="J85" i="57"/>
  <c r="I85" i="57"/>
  <c r="H85" i="57"/>
  <c r="G85" i="57"/>
  <c r="F85" i="57"/>
  <c r="E85" i="57"/>
  <c r="D85" i="57"/>
  <c r="C85" i="57"/>
  <c r="D72" i="57"/>
  <c r="C72" i="57"/>
  <c r="N72" i="57"/>
  <c r="M72" i="57"/>
  <c r="L72" i="57"/>
  <c r="K72" i="57"/>
  <c r="J72" i="57"/>
  <c r="I72" i="57"/>
  <c r="H72" i="57"/>
  <c r="G72" i="57"/>
  <c r="F72" i="57"/>
  <c r="E72" i="57"/>
  <c r="B72" i="57"/>
  <c r="A86" i="57"/>
  <c r="H59" i="57"/>
  <c r="G59" i="57"/>
  <c r="F49" i="57"/>
  <c r="F59" i="57" s="1"/>
  <c r="J49" i="57"/>
  <c r="J59" i="57" s="1"/>
  <c r="E59" i="57"/>
  <c r="C45" i="57"/>
  <c r="C54" i="57"/>
  <c r="O54" i="57" s="1"/>
  <c r="O48" i="57"/>
  <c r="L59" i="57"/>
  <c r="D49" i="57"/>
  <c r="D59" i="57" s="1"/>
  <c r="O31" i="57"/>
  <c r="M59" i="57"/>
  <c r="G45" i="57"/>
  <c r="E45" i="57"/>
  <c r="N78" i="57"/>
  <c r="M78" i="57"/>
  <c r="L78" i="57"/>
  <c r="K78" i="57"/>
  <c r="J78" i="57"/>
  <c r="I78" i="57"/>
  <c r="H78" i="57"/>
  <c r="G78" i="57"/>
  <c r="F78" i="57"/>
  <c r="E78" i="57"/>
  <c r="D78" i="57"/>
  <c r="C78" i="57"/>
  <c r="J62" i="57"/>
  <c r="I62" i="57"/>
  <c r="H62" i="57"/>
  <c r="G62" i="57"/>
  <c r="F62" i="57"/>
  <c r="E62" i="57"/>
  <c r="D62" i="57"/>
  <c r="C62" i="57"/>
  <c r="N62" i="57"/>
  <c r="M62" i="57"/>
  <c r="L62" i="57"/>
  <c r="K62" i="57"/>
  <c r="O52" i="57"/>
  <c r="O64" i="57"/>
  <c r="O38" i="57"/>
  <c r="L45" i="57"/>
  <c r="K45" i="57"/>
  <c r="N67" i="57"/>
  <c r="M67" i="57"/>
  <c r="L67" i="57"/>
  <c r="K67" i="57"/>
  <c r="J67" i="57"/>
  <c r="I67" i="57"/>
  <c r="H67" i="57"/>
  <c r="G67" i="57"/>
  <c r="F67" i="57"/>
  <c r="E67" i="57"/>
  <c r="D67" i="57"/>
  <c r="C67" i="57"/>
  <c r="F65" i="57"/>
  <c r="E65" i="57"/>
  <c r="D65" i="57"/>
  <c r="C65" i="57"/>
  <c r="N65" i="57"/>
  <c r="M65" i="57"/>
  <c r="L65" i="57"/>
  <c r="K65" i="57"/>
  <c r="J65" i="57"/>
  <c r="I65" i="57"/>
  <c r="H65" i="57"/>
  <c r="G65" i="57"/>
  <c r="H45" i="57"/>
  <c r="C49" i="57"/>
  <c r="M45" i="57"/>
  <c r="A79" i="57"/>
  <c r="B65" i="57"/>
  <c r="A68" i="57"/>
  <c r="B54" i="57"/>
  <c r="A99" i="57"/>
  <c r="B85" i="57"/>
  <c r="A92" i="57"/>
  <c r="B78" i="57"/>
  <c r="A63" i="57"/>
  <c r="B49" i="57"/>
  <c r="A66" i="57"/>
  <c r="B52" i="57"/>
  <c r="A98" i="57"/>
  <c r="B84" i="57"/>
  <c r="A97" i="57"/>
  <c r="B83" i="57"/>
  <c r="A76" i="57"/>
  <c r="B62" i="57"/>
  <c r="A81" i="57"/>
  <c r="B67" i="57"/>
  <c r="I77" i="49"/>
  <c r="I46" i="49"/>
  <c r="J46" i="49" s="1"/>
  <c r="I124" i="49"/>
  <c r="J124" i="49" s="1"/>
  <c r="I152" i="49"/>
  <c r="J152" i="49" s="1"/>
  <c r="I97" i="49"/>
  <c r="F13" i="3" l="1"/>
  <c r="I18" i="49"/>
  <c r="O18" i="49"/>
  <c r="M19" i="49" s="1"/>
  <c r="O19" i="49" s="1"/>
  <c r="J18" i="49"/>
  <c r="AP205" i="23"/>
  <c r="AN205" i="23"/>
  <c r="O45" i="57"/>
  <c r="O78" i="57"/>
  <c r="O84" i="57"/>
  <c r="O49" i="57"/>
  <c r="O59" i="57" s="1"/>
  <c r="H97" i="57"/>
  <c r="G97" i="57"/>
  <c r="F97" i="57"/>
  <c r="E97" i="57"/>
  <c r="D97" i="57"/>
  <c r="C97" i="57"/>
  <c r="N97" i="57"/>
  <c r="M97" i="57"/>
  <c r="L97" i="57"/>
  <c r="K97" i="57"/>
  <c r="J97" i="57"/>
  <c r="I97" i="57"/>
  <c r="L98" i="57"/>
  <c r="K98" i="57"/>
  <c r="J98" i="57"/>
  <c r="I98" i="57"/>
  <c r="H98" i="57"/>
  <c r="G98" i="57"/>
  <c r="F98" i="57"/>
  <c r="E98" i="57"/>
  <c r="D98" i="57"/>
  <c r="C98" i="57"/>
  <c r="N98" i="57"/>
  <c r="M98" i="57"/>
  <c r="O85" i="57"/>
  <c r="O72" i="57"/>
  <c r="N99" i="57"/>
  <c r="M99" i="57"/>
  <c r="L99" i="57"/>
  <c r="K99" i="57"/>
  <c r="J99" i="57"/>
  <c r="I99" i="57"/>
  <c r="H99" i="57"/>
  <c r="G99" i="57"/>
  <c r="F99" i="57"/>
  <c r="E99" i="57"/>
  <c r="D99" i="57"/>
  <c r="C99" i="57"/>
  <c r="D86" i="57"/>
  <c r="C86" i="57"/>
  <c r="N86" i="57"/>
  <c r="M86" i="57"/>
  <c r="L86" i="57"/>
  <c r="K86" i="57"/>
  <c r="J86" i="57"/>
  <c r="I86" i="57"/>
  <c r="H86" i="57"/>
  <c r="G86" i="57"/>
  <c r="F86" i="57"/>
  <c r="E86" i="57"/>
  <c r="B86" i="57"/>
  <c r="A100" i="57"/>
  <c r="O83" i="57"/>
  <c r="F76" i="57"/>
  <c r="E76" i="57"/>
  <c r="D76" i="57"/>
  <c r="C76" i="57"/>
  <c r="N76" i="57"/>
  <c r="M76" i="57"/>
  <c r="L76" i="57"/>
  <c r="K76" i="57"/>
  <c r="J76" i="57"/>
  <c r="I76" i="57"/>
  <c r="H76" i="57"/>
  <c r="G76" i="57"/>
  <c r="O67" i="57"/>
  <c r="N79" i="57"/>
  <c r="M79" i="57"/>
  <c r="L79" i="57"/>
  <c r="K79" i="57"/>
  <c r="J79" i="57"/>
  <c r="I79" i="57"/>
  <c r="H79" i="57"/>
  <c r="G79" i="57"/>
  <c r="F79" i="57"/>
  <c r="E79" i="57"/>
  <c r="D79" i="57"/>
  <c r="C79" i="57"/>
  <c r="C59" i="57"/>
  <c r="O62" i="57"/>
  <c r="J66" i="57"/>
  <c r="I66" i="57"/>
  <c r="H66" i="57"/>
  <c r="G66" i="57"/>
  <c r="F66" i="57"/>
  <c r="E66" i="57"/>
  <c r="D66" i="57"/>
  <c r="C66" i="57"/>
  <c r="N66" i="57"/>
  <c r="M66" i="57"/>
  <c r="L66" i="57"/>
  <c r="K66" i="57"/>
  <c r="J92" i="57"/>
  <c r="I92" i="57"/>
  <c r="H92" i="57"/>
  <c r="G92" i="57"/>
  <c r="F92" i="57"/>
  <c r="E92" i="57"/>
  <c r="D92" i="57"/>
  <c r="C92" i="57"/>
  <c r="N92" i="57"/>
  <c r="M92" i="57"/>
  <c r="L92" i="57"/>
  <c r="K92" i="57"/>
  <c r="N63" i="57"/>
  <c r="M63" i="57"/>
  <c r="L63" i="57"/>
  <c r="K63" i="57"/>
  <c r="J63" i="57"/>
  <c r="I63" i="57"/>
  <c r="H63" i="57"/>
  <c r="G63" i="57"/>
  <c r="F63" i="57"/>
  <c r="E63" i="57"/>
  <c r="D63" i="57"/>
  <c r="C63" i="57"/>
  <c r="J81" i="57"/>
  <c r="I81" i="57"/>
  <c r="H81" i="57"/>
  <c r="G81" i="57"/>
  <c r="F81" i="57"/>
  <c r="E81" i="57"/>
  <c r="D81" i="57"/>
  <c r="C81" i="57"/>
  <c r="N81" i="57"/>
  <c r="M81" i="57"/>
  <c r="L81" i="57"/>
  <c r="K81" i="57"/>
  <c r="N68" i="57"/>
  <c r="M68" i="57"/>
  <c r="L68" i="57"/>
  <c r="K68" i="57"/>
  <c r="J68" i="57"/>
  <c r="I68" i="57"/>
  <c r="H68" i="57"/>
  <c r="G68" i="57"/>
  <c r="F68" i="57"/>
  <c r="F73" i="57" s="1"/>
  <c r="E68" i="57"/>
  <c r="D68" i="57"/>
  <c r="C68" i="57"/>
  <c r="O65" i="57"/>
  <c r="A95" i="57"/>
  <c r="B81" i="57"/>
  <c r="A82" i="57"/>
  <c r="B68" i="57"/>
  <c r="B98" i="57"/>
  <c r="A112" i="57"/>
  <c r="A77" i="57"/>
  <c r="B63" i="57"/>
  <c r="A106" i="57"/>
  <c r="B92" i="57"/>
  <c r="A113" i="57"/>
  <c r="B99" i="57"/>
  <c r="A90" i="57"/>
  <c r="B76" i="57"/>
  <c r="A111" i="57"/>
  <c r="B97" i="57"/>
  <c r="B66" i="57"/>
  <c r="A80" i="57"/>
  <c r="A93" i="57"/>
  <c r="B79" i="57"/>
  <c r="I98" i="49"/>
  <c r="J98" i="49" s="1"/>
  <c r="J97" i="49"/>
  <c r="I78" i="49"/>
  <c r="I125" i="49"/>
  <c r="I47" i="49"/>
  <c r="J47" i="49" s="1"/>
  <c r="J77" i="49"/>
  <c r="I153" i="49"/>
  <c r="M20" i="49" l="1"/>
  <c r="E73" i="57"/>
  <c r="H73" i="57"/>
  <c r="I19" i="49"/>
  <c r="J19" i="49" s="1"/>
  <c r="D73" i="57"/>
  <c r="J73" i="57"/>
  <c r="N73" i="57"/>
  <c r="G73" i="57"/>
  <c r="L73" i="57"/>
  <c r="I73" i="57"/>
  <c r="M73" i="57"/>
  <c r="K73" i="57"/>
  <c r="O86" i="57"/>
  <c r="O98" i="57"/>
  <c r="O97" i="57"/>
  <c r="D100" i="57"/>
  <c r="C100" i="57"/>
  <c r="N100" i="57"/>
  <c r="M100" i="57"/>
  <c r="L100" i="57"/>
  <c r="K100" i="57"/>
  <c r="J100" i="57"/>
  <c r="I100" i="57"/>
  <c r="H100" i="57"/>
  <c r="G100" i="57"/>
  <c r="F100" i="57"/>
  <c r="E100" i="57"/>
  <c r="A114" i="57"/>
  <c r="B100" i="57"/>
  <c r="N113" i="57"/>
  <c r="M113" i="57"/>
  <c r="L113" i="57"/>
  <c r="K113" i="57"/>
  <c r="J113" i="57"/>
  <c r="I113" i="57"/>
  <c r="H113" i="57"/>
  <c r="G113" i="57"/>
  <c r="F113" i="57"/>
  <c r="E113" i="57"/>
  <c r="D113" i="57"/>
  <c r="C113" i="57"/>
  <c r="L112" i="57"/>
  <c r="K112" i="57"/>
  <c r="J112" i="57"/>
  <c r="I112" i="57"/>
  <c r="H112" i="57"/>
  <c r="G112" i="57"/>
  <c r="F112" i="57"/>
  <c r="E112" i="57"/>
  <c r="D112" i="57"/>
  <c r="C112" i="57"/>
  <c r="N112" i="57"/>
  <c r="M112" i="57"/>
  <c r="O99" i="57"/>
  <c r="H111" i="57"/>
  <c r="G111" i="57"/>
  <c r="F111" i="57"/>
  <c r="E111" i="57"/>
  <c r="D111" i="57"/>
  <c r="C111" i="57"/>
  <c r="N111" i="57"/>
  <c r="M111" i="57"/>
  <c r="L111" i="57"/>
  <c r="K111" i="57"/>
  <c r="J111" i="57"/>
  <c r="I111" i="57"/>
  <c r="O66" i="57"/>
  <c r="O79" i="57"/>
  <c r="F106" i="57"/>
  <c r="E106" i="57"/>
  <c r="D106" i="57"/>
  <c r="C106" i="57"/>
  <c r="N106" i="57"/>
  <c r="M106" i="57"/>
  <c r="L106" i="57"/>
  <c r="K106" i="57"/>
  <c r="J106" i="57"/>
  <c r="I106" i="57"/>
  <c r="H106" i="57"/>
  <c r="G106" i="57"/>
  <c r="N93" i="57"/>
  <c r="M93" i="57"/>
  <c r="L93" i="57"/>
  <c r="K93" i="57"/>
  <c r="J93" i="57"/>
  <c r="I93" i="57"/>
  <c r="H93" i="57"/>
  <c r="G93" i="57"/>
  <c r="F93" i="57"/>
  <c r="E93" i="57"/>
  <c r="D93" i="57"/>
  <c r="C93" i="57"/>
  <c r="O63" i="57"/>
  <c r="O92" i="57"/>
  <c r="F80" i="57"/>
  <c r="E80" i="57"/>
  <c r="D80" i="57"/>
  <c r="C80" i="57"/>
  <c r="N80" i="57"/>
  <c r="M80" i="57"/>
  <c r="L80" i="57"/>
  <c r="K80" i="57"/>
  <c r="J80" i="57"/>
  <c r="I80" i="57"/>
  <c r="H80" i="57"/>
  <c r="G80" i="57"/>
  <c r="O76" i="57"/>
  <c r="N82" i="57"/>
  <c r="M82" i="57"/>
  <c r="L82" i="57"/>
  <c r="K82" i="57"/>
  <c r="J82" i="57"/>
  <c r="I82" i="57"/>
  <c r="H82" i="57"/>
  <c r="G82" i="57"/>
  <c r="F82" i="57"/>
  <c r="E82" i="57"/>
  <c r="D82" i="57"/>
  <c r="C82" i="57"/>
  <c r="F95" i="57"/>
  <c r="E95" i="57"/>
  <c r="D95" i="57"/>
  <c r="C95" i="57"/>
  <c r="N95" i="57"/>
  <c r="M95" i="57"/>
  <c r="L95" i="57"/>
  <c r="K95" i="57"/>
  <c r="J95" i="57"/>
  <c r="I95" i="57"/>
  <c r="H95" i="57"/>
  <c r="G95" i="57"/>
  <c r="O81" i="57"/>
  <c r="J77" i="57"/>
  <c r="I77" i="57"/>
  <c r="H77" i="57"/>
  <c r="G77" i="57"/>
  <c r="F77" i="57"/>
  <c r="E77" i="57"/>
  <c r="D77" i="57"/>
  <c r="C77" i="57"/>
  <c r="N77" i="57"/>
  <c r="M77" i="57"/>
  <c r="L77" i="57"/>
  <c r="K77" i="57"/>
  <c r="K87" i="57" s="1"/>
  <c r="N90" i="57"/>
  <c r="M90" i="57"/>
  <c r="L90" i="57"/>
  <c r="K90" i="57"/>
  <c r="J90" i="57"/>
  <c r="I90" i="57"/>
  <c r="H90" i="57"/>
  <c r="G90" i="57"/>
  <c r="F90" i="57"/>
  <c r="E90" i="57"/>
  <c r="D90" i="57"/>
  <c r="C90" i="57"/>
  <c r="C73" i="57"/>
  <c r="O68" i="57"/>
  <c r="A91" i="57"/>
  <c r="B77" i="57"/>
  <c r="A120" i="57"/>
  <c r="B106" i="57"/>
  <c r="A104" i="57"/>
  <c r="B90" i="57"/>
  <c r="A127" i="57"/>
  <c r="B113" i="57"/>
  <c r="A126" i="57"/>
  <c r="B112" i="57"/>
  <c r="A107" i="57"/>
  <c r="B93" i="57"/>
  <c r="A94" i="57"/>
  <c r="B80" i="57"/>
  <c r="B82" i="57"/>
  <c r="A96" i="57"/>
  <c r="A125" i="57"/>
  <c r="B111" i="57"/>
  <c r="A109" i="57"/>
  <c r="B95" i="57"/>
  <c r="F32" i="3"/>
  <c r="I126" i="49"/>
  <c r="J126" i="49" s="1"/>
  <c r="I79" i="49"/>
  <c r="J79" i="49" s="1"/>
  <c r="J78" i="49"/>
  <c r="I48" i="49"/>
  <c r="J48" i="49" s="1"/>
  <c r="I154" i="49"/>
  <c r="J154" i="49" s="1"/>
  <c r="J153" i="49"/>
  <c r="J125" i="49"/>
  <c r="I99" i="49"/>
  <c r="J99" i="49" s="1"/>
  <c r="O20" i="49" l="1"/>
  <c r="O29" i="49" s="1"/>
  <c r="S29" i="49" s="1"/>
  <c r="S165" i="49" s="1"/>
  <c r="M21" i="49"/>
  <c r="O21" i="49" s="1"/>
  <c r="I20" i="49"/>
  <c r="J20" i="49" s="1"/>
  <c r="D87" i="57"/>
  <c r="L87" i="57"/>
  <c r="H87" i="57"/>
  <c r="G87" i="57"/>
  <c r="F87" i="57"/>
  <c r="O82" i="57"/>
  <c r="M87" i="57"/>
  <c r="E87" i="57"/>
  <c r="I87" i="57"/>
  <c r="N87" i="57"/>
  <c r="J87" i="57"/>
  <c r="O73" i="57"/>
  <c r="O113" i="57"/>
  <c r="H28" i="3"/>
  <c r="I28" i="3"/>
  <c r="O93" i="57"/>
  <c r="O111" i="57"/>
  <c r="D114" i="57"/>
  <c r="C114" i="57"/>
  <c r="N114" i="57"/>
  <c r="M114" i="57"/>
  <c r="L114" i="57"/>
  <c r="K114" i="57"/>
  <c r="J114" i="57"/>
  <c r="I114" i="57"/>
  <c r="H114" i="57"/>
  <c r="G114" i="57"/>
  <c r="F114" i="57"/>
  <c r="E114" i="57"/>
  <c r="B114" i="57"/>
  <c r="A128" i="57"/>
  <c r="L126" i="57"/>
  <c r="K126" i="57"/>
  <c r="J126" i="57"/>
  <c r="I126" i="57"/>
  <c r="H126" i="57"/>
  <c r="G126" i="57"/>
  <c r="F126" i="57"/>
  <c r="E126" i="57"/>
  <c r="D126" i="57"/>
  <c r="C126" i="57"/>
  <c r="N126" i="57"/>
  <c r="M126" i="57"/>
  <c r="N127" i="57"/>
  <c r="M127" i="57"/>
  <c r="L127" i="57"/>
  <c r="K127" i="57"/>
  <c r="J127" i="57"/>
  <c r="I127" i="57"/>
  <c r="H127" i="57"/>
  <c r="G127" i="57"/>
  <c r="F127" i="57"/>
  <c r="E127" i="57"/>
  <c r="D127" i="57"/>
  <c r="C127" i="57"/>
  <c r="O112" i="57"/>
  <c r="O100" i="57"/>
  <c r="H125" i="57"/>
  <c r="G125" i="57"/>
  <c r="F125" i="57"/>
  <c r="E125" i="57"/>
  <c r="D125" i="57"/>
  <c r="C125" i="57"/>
  <c r="N125" i="57"/>
  <c r="M125" i="57"/>
  <c r="L125" i="57"/>
  <c r="K125" i="57"/>
  <c r="J125" i="57"/>
  <c r="I125" i="57"/>
  <c r="F91" i="57"/>
  <c r="E91" i="57"/>
  <c r="D91" i="57"/>
  <c r="C91" i="57"/>
  <c r="N91" i="57"/>
  <c r="M91" i="57"/>
  <c r="L91" i="57"/>
  <c r="K91" i="57"/>
  <c r="J91" i="57"/>
  <c r="I91" i="57"/>
  <c r="H91" i="57"/>
  <c r="G91" i="57"/>
  <c r="O106" i="57"/>
  <c r="N120" i="57"/>
  <c r="M120" i="57"/>
  <c r="L120" i="57"/>
  <c r="K120" i="57"/>
  <c r="J120" i="57"/>
  <c r="I120" i="57"/>
  <c r="H120" i="57"/>
  <c r="G120" i="57"/>
  <c r="F120" i="57"/>
  <c r="E120" i="57"/>
  <c r="D120" i="57"/>
  <c r="C120" i="57"/>
  <c r="J96" i="57"/>
  <c r="I96" i="57"/>
  <c r="H96" i="57"/>
  <c r="G96" i="57"/>
  <c r="F96" i="57"/>
  <c r="E96" i="57"/>
  <c r="D96" i="57"/>
  <c r="C96" i="57"/>
  <c r="N96" i="57"/>
  <c r="M96" i="57"/>
  <c r="L96" i="57"/>
  <c r="K96" i="57"/>
  <c r="O80" i="57"/>
  <c r="N94" i="57"/>
  <c r="M94" i="57"/>
  <c r="L94" i="57"/>
  <c r="K94" i="57"/>
  <c r="J94" i="57"/>
  <c r="I94" i="57"/>
  <c r="H94" i="57"/>
  <c r="G94" i="57"/>
  <c r="F94" i="57"/>
  <c r="E94" i="57"/>
  <c r="D94" i="57"/>
  <c r="C94" i="57"/>
  <c r="O77" i="57"/>
  <c r="O95" i="57"/>
  <c r="N109" i="57"/>
  <c r="M109" i="57"/>
  <c r="L109" i="57"/>
  <c r="K109" i="57"/>
  <c r="J109" i="57"/>
  <c r="I109" i="57"/>
  <c r="H109" i="57"/>
  <c r="G109" i="57"/>
  <c r="F109" i="57"/>
  <c r="E109" i="57"/>
  <c r="D109" i="57"/>
  <c r="C109" i="57"/>
  <c r="N104" i="57"/>
  <c r="M104" i="57"/>
  <c r="L104" i="57"/>
  <c r="K104" i="57"/>
  <c r="J104" i="57"/>
  <c r="I104" i="57"/>
  <c r="H104" i="57"/>
  <c r="G104" i="57"/>
  <c r="F104" i="57"/>
  <c r="E104" i="57"/>
  <c r="D104" i="57"/>
  <c r="C104" i="57"/>
  <c r="O90" i="57"/>
  <c r="J107" i="57"/>
  <c r="I107" i="57"/>
  <c r="H107" i="57"/>
  <c r="G107" i="57"/>
  <c r="F107" i="57"/>
  <c r="E107" i="57"/>
  <c r="D107" i="57"/>
  <c r="C107" i="57"/>
  <c r="N107" i="57"/>
  <c r="M107" i="57"/>
  <c r="L107" i="57"/>
  <c r="K107" i="57"/>
  <c r="C87" i="57"/>
  <c r="A121" i="57"/>
  <c r="B107" i="57"/>
  <c r="A108" i="57"/>
  <c r="B94" i="57"/>
  <c r="A140" i="57"/>
  <c r="B126" i="57"/>
  <c r="A123" i="57"/>
  <c r="B109" i="57"/>
  <c r="A134" i="57"/>
  <c r="B120" i="57"/>
  <c r="A110" i="57"/>
  <c r="B96" i="57"/>
  <c r="A141" i="57"/>
  <c r="B127" i="57"/>
  <c r="A118" i="57"/>
  <c r="B104" i="57"/>
  <c r="A139" i="57"/>
  <c r="B125" i="57"/>
  <c r="A105" i="57"/>
  <c r="B91" i="57"/>
  <c r="J81" i="49"/>
  <c r="R81" i="49" s="1"/>
  <c r="T81" i="49" s="1"/>
  <c r="F10" i="2"/>
  <c r="F43" i="3"/>
  <c r="F44" i="3" s="1"/>
  <c r="F16" i="2" s="1"/>
  <c r="I100" i="49"/>
  <c r="J100" i="49" s="1"/>
  <c r="I155" i="49"/>
  <c r="J155" i="49" s="1"/>
  <c r="I49" i="49"/>
  <c r="J49" i="49" s="1"/>
  <c r="I127" i="49"/>
  <c r="J127" i="49" s="1"/>
  <c r="I21" i="49" l="1"/>
  <c r="J21" i="49" s="1"/>
  <c r="D101" i="57"/>
  <c r="E101" i="57"/>
  <c r="O87" i="57"/>
  <c r="F101" i="57"/>
  <c r="I101" i="57"/>
  <c r="G101" i="57"/>
  <c r="K101" i="57"/>
  <c r="H101" i="57"/>
  <c r="O107" i="57"/>
  <c r="M101" i="57"/>
  <c r="L101" i="57"/>
  <c r="J101" i="57"/>
  <c r="N101" i="57"/>
  <c r="O125" i="57"/>
  <c r="D128" i="57"/>
  <c r="C128" i="57"/>
  <c r="N128" i="57"/>
  <c r="M128" i="57"/>
  <c r="L128" i="57"/>
  <c r="K128" i="57"/>
  <c r="J128" i="57"/>
  <c r="I128" i="57"/>
  <c r="H128" i="57"/>
  <c r="G128" i="57"/>
  <c r="F128" i="57"/>
  <c r="E128" i="57"/>
  <c r="A142" i="57"/>
  <c r="B128" i="57"/>
  <c r="H139" i="57"/>
  <c r="H153" i="57" s="1"/>
  <c r="G139" i="57"/>
  <c r="G153" i="57" s="1"/>
  <c r="F139" i="57"/>
  <c r="F153" i="57" s="1"/>
  <c r="E139" i="57"/>
  <c r="E153" i="57" s="1"/>
  <c r="D139" i="57"/>
  <c r="D153" i="57" s="1"/>
  <c r="C139" i="57"/>
  <c r="C153" i="57" s="1"/>
  <c r="N139" i="57"/>
  <c r="N153" i="57" s="1"/>
  <c r="M139" i="57"/>
  <c r="M153" i="57" s="1"/>
  <c r="L139" i="57"/>
  <c r="L153" i="57" s="1"/>
  <c r="K139" i="57"/>
  <c r="K153" i="57" s="1"/>
  <c r="J139" i="57"/>
  <c r="J153" i="57" s="1"/>
  <c r="I139" i="57"/>
  <c r="I153" i="57" s="1"/>
  <c r="N141" i="57"/>
  <c r="N155" i="57" s="1"/>
  <c r="M141" i="57"/>
  <c r="M155" i="57" s="1"/>
  <c r="L141" i="57"/>
  <c r="L155" i="57" s="1"/>
  <c r="K141" i="57"/>
  <c r="K155" i="57" s="1"/>
  <c r="J141" i="57"/>
  <c r="J155" i="57" s="1"/>
  <c r="I141" i="57"/>
  <c r="I155" i="57" s="1"/>
  <c r="H141" i="57"/>
  <c r="H155" i="57" s="1"/>
  <c r="G141" i="57"/>
  <c r="G155" i="57" s="1"/>
  <c r="F141" i="57"/>
  <c r="F155" i="57" s="1"/>
  <c r="E141" i="57"/>
  <c r="E155" i="57" s="1"/>
  <c r="D141" i="57"/>
  <c r="D155" i="57" s="1"/>
  <c r="C141" i="57"/>
  <c r="O126" i="57"/>
  <c r="L140" i="57"/>
  <c r="L154" i="57" s="1"/>
  <c r="K140" i="57"/>
  <c r="K154" i="57" s="1"/>
  <c r="J140" i="57"/>
  <c r="J154" i="57" s="1"/>
  <c r="I140" i="57"/>
  <c r="I154" i="57" s="1"/>
  <c r="H140" i="57"/>
  <c r="H154" i="57" s="1"/>
  <c r="G140" i="57"/>
  <c r="G154" i="57" s="1"/>
  <c r="F140" i="57"/>
  <c r="F154" i="57" s="1"/>
  <c r="E140" i="57"/>
  <c r="E154" i="57" s="1"/>
  <c r="D140" i="57"/>
  <c r="D154" i="57" s="1"/>
  <c r="C140" i="57"/>
  <c r="C154" i="57" s="1"/>
  <c r="N140" i="57"/>
  <c r="N154" i="57" s="1"/>
  <c r="M140" i="57"/>
  <c r="M154" i="57" s="1"/>
  <c r="O127" i="57"/>
  <c r="O114" i="57"/>
  <c r="O120" i="57"/>
  <c r="N105" i="57"/>
  <c r="M105" i="57"/>
  <c r="L105" i="57"/>
  <c r="K105" i="57"/>
  <c r="J105" i="57"/>
  <c r="I105" i="57"/>
  <c r="H105" i="57"/>
  <c r="G105" i="57"/>
  <c r="F105" i="57"/>
  <c r="E105" i="57"/>
  <c r="D105" i="57"/>
  <c r="C105" i="57"/>
  <c r="O91" i="57"/>
  <c r="N123" i="57"/>
  <c r="M123" i="57"/>
  <c r="L123" i="57"/>
  <c r="K123" i="57"/>
  <c r="J123" i="57"/>
  <c r="I123" i="57"/>
  <c r="H123" i="57"/>
  <c r="G123" i="57"/>
  <c r="F123" i="57"/>
  <c r="E123" i="57"/>
  <c r="D123" i="57"/>
  <c r="C123" i="57"/>
  <c r="O94" i="57"/>
  <c r="O96" i="57"/>
  <c r="J118" i="57"/>
  <c r="I118" i="57"/>
  <c r="H118" i="57"/>
  <c r="G118" i="57"/>
  <c r="F118" i="57"/>
  <c r="E118" i="57"/>
  <c r="D118" i="57"/>
  <c r="C118" i="57"/>
  <c r="N118" i="57"/>
  <c r="M118" i="57"/>
  <c r="L118" i="57"/>
  <c r="K118" i="57"/>
  <c r="F121" i="57"/>
  <c r="E121" i="57"/>
  <c r="D121" i="57"/>
  <c r="C121" i="57"/>
  <c r="N121" i="57"/>
  <c r="M121" i="57"/>
  <c r="L121" i="57"/>
  <c r="K121" i="57"/>
  <c r="J121" i="57"/>
  <c r="I121" i="57"/>
  <c r="H121" i="57"/>
  <c r="G121" i="57"/>
  <c r="O104" i="57"/>
  <c r="N108" i="57"/>
  <c r="M108" i="57"/>
  <c r="L108" i="57"/>
  <c r="K108" i="57"/>
  <c r="J108" i="57"/>
  <c r="I108" i="57"/>
  <c r="H108" i="57"/>
  <c r="G108" i="57"/>
  <c r="F108" i="57"/>
  <c r="E108" i="57"/>
  <c r="D108" i="57"/>
  <c r="C108" i="57"/>
  <c r="O109" i="57"/>
  <c r="F110" i="57"/>
  <c r="E110" i="57"/>
  <c r="D110" i="57"/>
  <c r="C110" i="57"/>
  <c r="N110" i="57"/>
  <c r="M110" i="57"/>
  <c r="L110" i="57"/>
  <c r="K110" i="57"/>
  <c r="J110" i="57"/>
  <c r="I110" i="57"/>
  <c r="H110" i="57"/>
  <c r="G110" i="57"/>
  <c r="C101" i="57"/>
  <c r="N134" i="57"/>
  <c r="N148" i="57" s="1"/>
  <c r="M134" i="57"/>
  <c r="M148" i="57" s="1"/>
  <c r="L134" i="57"/>
  <c r="L148" i="57" s="1"/>
  <c r="K134" i="57"/>
  <c r="K148" i="57" s="1"/>
  <c r="J134" i="57"/>
  <c r="J148" i="57" s="1"/>
  <c r="I134" i="57"/>
  <c r="I148" i="57" s="1"/>
  <c r="H134" i="57"/>
  <c r="H148" i="57" s="1"/>
  <c r="G134" i="57"/>
  <c r="G148" i="57" s="1"/>
  <c r="F134" i="57"/>
  <c r="F148" i="57" s="1"/>
  <c r="E134" i="57"/>
  <c r="E148" i="57" s="1"/>
  <c r="D134" i="57"/>
  <c r="D148" i="57" s="1"/>
  <c r="C134" i="57"/>
  <c r="A137" i="57"/>
  <c r="B123" i="57"/>
  <c r="A154" i="57"/>
  <c r="B140" i="57"/>
  <c r="A119" i="57"/>
  <c r="B105" i="57"/>
  <c r="A122" i="57"/>
  <c r="B108" i="57"/>
  <c r="A135" i="57"/>
  <c r="B121" i="57"/>
  <c r="A155" i="57"/>
  <c r="B141" i="57"/>
  <c r="A148" i="57"/>
  <c r="B134" i="57"/>
  <c r="A132" i="57"/>
  <c r="B118" i="57"/>
  <c r="A124" i="57"/>
  <c r="B110" i="57"/>
  <c r="A153" i="57"/>
  <c r="B139" i="57"/>
  <c r="F29" i="3"/>
  <c r="F8" i="2" s="1"/>
  <c r="P83" i="49"/>
  <c r="I50" i="49"/>
  <c r="J50" i="49" s="1"/>
  <c r="I156" i="49"/>
  <c r="J156" i="49" s="1"/>
  <c r="I101" i="49"/>
  <c r="J101" i="49" s="1"/>
  <c r="I128" i="49"/>
  <c r="J128" i="49" s="1"/>
  <c r="I22" i="49" l="1"/>
  <c r="J22" i="49" s="1"/>
  <c r="O101" i="57"/>
  <c r="E115" i="57"/>
  <c r="C115" i="57"/>
  <c r="G115" i="57"/>
  <c r="I115" i="57"/>
  <c r="D115" i="57"/>
  <c r="H115" i="57"/>
  <c r="F115" i="57"/>
  <c r="J115" i="57"/>
  <c r="N115" i="57"/>
  <c r="M115" i="57"/>
  <c r="K115" i="57"/>
  <c r="L115" i="57"/>
  <c r="O153" i="57"/>
  <c r="O141" i="57"/>
  <c r="O128" i="57"/>
  <c r="C155" i="57"/>
  <c r="O155" i="57" s="1"/>
  <c r="O154" i="57"/>
  <c r="O140" i="57"/>
  <c r="D142" i="57"/>
  <c r="D156" i="57" s="1"/>
  <c r="C142" i="57"/>
  <c r="C156" i="57" s="1"/>
  <c r="N142" i="57"/>
  <c r="N156" i="57" s="1"/>
  <c r="M142" i="57"/>
  <c r="M156" i="57" s="1"/>
  <c r="L142" i="57"/>
  <c r="L156" i="57" s="1"/>
  <c r="K142" i="57"/>
  <c r="K156" i="57" s="1"/>
  <c r="J142" i="57"/>
  <c r="J156" i="57" s="1"/>
  <c r="I142" i="57"/>
  <c r="I156" i="57" s="1"/>
  <c r="H142" i="57"/>
  <c r="H156" i="57" s="1"/>
  <c r="G142" i="57"/>
  <c r="G156" i="57" s="1"/>
  <c r="F142" i="57"/>
  <c r="F156" i="57" s="1"/>
  <c r="E142" i="57"/>
  <c r="E156" i="57" s="1"/>
  <c r="B142" i="57"/>
  <c r="A156" i="57"/>
  <c r="O139" i="57"/>
  <c r="O121" i="57"/>
  <c r="O110" i="57"/>
  <c r="N135" i="57"/>
  <c r="N149" i="57" s="1"/>
  <c r="M135" i="57"/>
  <c r="M149" i="57" s="1"/>
  <c r="L135" i="57"/>
  <c r="L149" i="57" s="1"/>
  <c r="K135" i="57"/>
  <c r="K149" i="57" s="1"/>
  <c r="J135" i="57"/>
  <c r="J149" i="57" s="1"/>
  <c r="I135" i="57"/>
  <c r="I149" i="57" s="1"/>
  <c r="H135" i="57"/>
  <c r="H149" i="57" s="1"/>
  <c r="G135" i="57"/>
  <c r="G149" i="57" s="1"/>
  <c r="F135" i="57"/>
  <c r="F149" i="57" s="1"/>
  <c r="E135" i="57"/>
  <c r="E149" i="57" s="1"/>
  <c r="D135" i="57"/>
  <c r="D149" i="57" s="1"/>
  <c r="C135" i="57"/>
  <c r="C149" i="57" s="1"/>
  <c r="J122" i="57"/>
  <c r="I122" i="57"/>
  <c r="H122" i="57"/>
  <c r="G122" i="57"/>
  <c r="F122" i="57"/>
  <c r="E122" i="57"/>
  <c r="D122" i="57"/>
  <c r="C122" i="57"/>
  <c r="N122" i="57"/>
  <c r="M122" i="57"/>
  <c r="L122" i="57"/>
  <c r="K122" i="57"/>
  <c r="N119" i="57"/>
  <c r="M119" i="57"/>
  <c r="L119" i="57"/>
  <c r="K119" i="57"/>
  <c r="J119" i="57"/>
  <c r="I119" i="57"/>
  <c r="H119" i="57"/>
  <c r="G119" i="57"/>
  <c r="F119" i="57"/>
  <c r="E119" i="57"/>
  <c r="D119" i="57"/>
  <c r="C119" i="57"/>
  <c r="O123" i="57"/>
  <c r="O108" i="57"/>
  <c r="F132" i="57"/>
  <c r="F146" i="57" s="1"/>
  <c r="E132" i="57"/>
  <c r="E146" i="57" s="1"/>
  <c r="D132" i="57"/>
  <c r="C132" i="57"/>
  <c r="C146" i="57" s="1"/>
  <c r="N132" i="57"/>
  <c r="N146" i="57" s="1"/>
  <c r="M132" i="57"/>
  <c r="M146" i="57" s="1"/>
  <c r="L132" i="57"/>
  <c r="L146" i="57" s="1"/>
  <c r="K132" i="57"/>
  <c r="J132" i="57"/>
  <c r="I132" i="57"/>
  <c r="H132" i="57"/>
  <c r="G132" i="57"/>
  <c r="G146" i="57" s="1"/>
  <c r="O105" i="57"/>
  <c r="O118" i="57"/>
  <c r="N124" i="57"/>
  <c r="M124" i="57"/>
  <c r="L124" i="57"/>
  <c r="K124" i="57"/>
  <c r="J124" i="57"/>
  <c r="I124" i="57"/>
  <c r="H124" i="57"/>
  <c r="G124" i="57"/>
  <c r="F124" i="57"/>
  <c r="E124" i="57"/>
  <c r="D124" i="57"/>
  <c r="C124" i="57"/>
  <c r="J137" i="57"/>
  <c r="J151" i="57" s="1"/>
  <c r="I137" i="57"/>
  <c r="I151" i="57" s="1"/>
  <c r="H137" i="57"/>
  <c r="H151" i="57" s="1"/>
  <c r="G137" i="57"/>
  <c r="G151" i="57" s="1"/>
  <c r="F137" i="57"/>
  <c r="F151" i="57" s="1"/>
  <c r="E137" i="57"/>
  <c r="E151" i="57" s="1"/>
  <c r="D137" i="57"/>
  <c r="D151" i="57" s="1"/>
  <c r="C137" i="57"/>
  <c r="C151" i="57" s="1"/>
  <c r="N137" i="57"/>
  <c r="N151" i="57" s="1"/>
  <c r="M137" i="57"/>
  <c r="M151" i="57" s="1"/>
  <c r="L137" i="57"/>
  <c r="L151" i="57" s="1"/>
  <c r="K137" i="57"/>
  <c r="K151" i="57" s="1"/>
  <c r="O134" i="57"/>
  <c r="C148" i="57"/>
  <c r="O148" i="57" s="1"/>
  <c r="A146" i="57"/>
  <c r="B132" i="57"/>
  <c r="A136" i="57"/>
  <c r="B122" i="57"/>
  <c r="B119" i="57"/>
  <c r="A133" i="57"/>
  <c r="A138" i="57"/>
  <c r="B124" i="57"/>
  <c r="A149" i="57"/>
  <c r="B135" i="57"/>
  <c r="A167" i="57"/>
  <c r="B153" i="57"/>
  <c r="A168" i="57"/>
  <c r="B154" i="57"/>
  <c r="A162" i="57"/>
  <c r="B148" i="57"/>
  <c r="A169" i="57"/>
  <c r="B155" i="57"/>
  <c r="A151" i="57"/>
  <c r="B137" i="57"/>
  <c r="I129" i="49"/>
  <c r="J129" i="49" s="1"/>
  <c r="I102" i="49"/>
  <c r="J102" i="49" s="1"/>
  <c r="I157" i="49"/>
  <c r="J157" i="49" s="1"/>
  <c r="J159" i="49" s="1"/>
  <c r="I51" i="49"/>
  <c r="J51" i="49" s="1"/>
  <c r="I23" i="49" l="1"/>
  <c r="J23" i="49" s="1"/>
  <c r="E129" i="57"/>
  <c r="G129" i="57"/>
  <c r="N129" i="57"/>
  <c r="C129" i="57"/>
  <c r="L129" i="57"/>
  <c r="H129" i="57"/>
  <c r="O149" i="57"/>
  <c r="O115" i="57"/>
  <c r="I129" i="57"/>
  <c r="L168" i="57"/>
  <c r="K168" i="57"/>
  <c r="J168" i="57"/>
  <c r="I168" i="57"/>
  <c r="H168" i="57"/>
  <c r="G168" i="57"/>
  <c r="F168" i="57"/>
  <c r="E168" i="57"/>
  <c r="D168" i="57"/>
  <c r="C168" i="57"/>
  <c r="N168" i="57"/>
  <c r="M168" i="57"/>
  <c r="A170" i="57"/>
  <c r="B156" i="57"/>
  <c r="O156" i="57"/>
  <c r="H167" i="57"/>
  <c r="G167" i="57"/>
  <c r="F167" i="57"/>
  <c r="E167" i="57"/>
  <c r="D167" i="57"/>
  <c r="C167" i="57"/>
  <c r="N167" i="57"/>
  <c r="M167" i="57"/>
  <c r="L167" i="57"/>
  <c r="K167" i="57"/>
  <c r="J167" i="57"/>
  <c r="I167" i="57"/>
  <c r="O142" i="57"/>
  <c r="N169" i="57"/>
  <c r="M169" i="57"/>
  <c r="L169" i="57"/>
  <c r="K169" i="57"/>
  <c r="J169" i="57"/>
  <c r="I169" i="57"/>
  <c r="H169" i="57"/>
  <c r="G169" i="57"/>
  <c r="F169" i="57"/>
  <c r="E169" i="57"/>
  <c r="D169" i="57"/>
  <c r="C169" i="57"/>
  <c r="O151" i="57"/>
  <c r="O135" i="57"/>
  <c r="O137" i="57"/>
  <c r="J146" i="57"/>
  <c r="K129" i="57"/>
  <c r="J129" i="57"/>
  <c r="K146" i="57"/>
  <c r="O119" i="57"/>
  <c r="O132" i="57"/>
  <c r="O122" i="57"/>
  <c r="I146" i="57"/>
  <c r="J133" i="57"/>
  <c r="J147" i="57" s="1"/>
  <c r="I133" i="57"/>
  <c r="I147" i="57" s="1"/>
  <c r="H133" i="57"/>
  <c r="H147" i="57" s="1"/>
  <c r="G133" i="57"/>
  <c r="G147" i="57" s="1"/>
  <c r="F133" i="57"/>
  <c r="E133" i="57"/>
  <c r="E147" i="57" s="1"/>
  <c r="D133" i="57"/>
  <c r="D147" i="57" s="1"/>
  <c r="C133" i="57"/>
  <c r="N133" i="57"/>
  <c r="N147" i="57" s="1"/>
  <c r="M133" i="57"/>
  <c r="L133" i="57"/>
  <c r="L147" i="57" s="1"/>
  <c r="K133" i="57"/>
  <c r="K147" i="57" s="1"/>
  <c r="F129" i="57"/>
  <c r="F136" i="57"/>
  <c r="F150" i="57" s="1"/>
  <c r="E136" i="57"/>
  <c r="E150" i="57" s="1"/>
  <c r="D136" i="57"/>
  <c r="D150" i="57" s="1"/>
  <c r="C136" i="57"/>
  <c r="C150" i="57" s="1"/>
  <c r="N136" i="57"/>
  <c r="N150" i="57" s="1"/>
  <c r="M136" i="57"/>
  <c r="M150" i="57" s="1"/>
  <c r="L136" i="57"/>
  <c r="L150" i="57" s="1"/>
  <c r="K136" i="57"/>
  <c r="K150" i="57" s="1"/>
  <c r="J136" i="57"/>
  <c r="J150" i="57" s="1"/>
  <c r="I136" i="57"/>
  <c r="I150" i="57" s="1"/>
  <c r="H136" i="57"/>
  <c r="H150" i="57" s="1"/>
  <c r="G136" i="57"/>
  <c r="G150" i="57" s="1"/>
  <c r="N138" i="57"/>
  <c r="N152" i="57" s="1"/>
  <c r="M138" i="57"/>
  <c r="M152" i="57" s="1"/>
  <c r="L138" i="57"/>
  <c r="L152" i="57" s="1"/>
  <c r="K138" i="57"/>
  <c r="K152" i="57" s="1"/>
  <c r="J138" i="57"/>
  <c r="J152" i="57" s="1"/>
  <c r="I138" i="57"/>
  <c r="I152" i="57" s="1"/>
  <c r="H138" i="57"/>
  <c r="H152" i="57" s="1"/>
  <c r="G138" i="57"/>
  <c r="G152" i="57" s="1"/>
  <c r="F138" i="57"/>
  <c r="F152" i="57" s="1"/>
  <c r="E138" i="57"/>
  <c r="E152" i="57" s="1"/>
  <c r="D138" i="57"/>
  <c r="D152" i="57" s="1"/>
  <c r="C138" i="57"/>
  <c r="C152" i="57" s="1"/>
  <c r="H146" i="57"/>
  <c r="O124" i="57"/>
  <c r="J162" i="57"/>
  <c r="I162" i="57"/>
  <c r="H162" i="57"/>
  <c r="G162" i="57"/>
  <c r="F162" i="57"/>
  <c r="E162" i="57"/>
  <c r="D162" i="57"/>
  <c r="C162" i="57"/>
  <c r="N162" i="57"/>
  <c r="M162" i="57"/>
  <c r="L162" i="57"/>
  <c r="K162" i="57"/>
  <c r="D129" i="57"/>
  <c r="D146" i="57"/>
  <c r="M129" i="57"/>
  <c r="A182" i="57"/>
  <c r="B168" i="57"/>
  <c r="A152" i="57"/>
  <c r="B138" i="57"/>
  <c r="A147" i="57"/>
  <c r="B133" i="57"/>
  <c r="A183" i="57"/>
  <c r="B169" i="57"/>
  <c r="A150" i="57"/>
  <c r="B136" i="57"/>
  <c r="B162" i="57"/>
  <c r="A176" i="57"/>
  <c r="A181" i="57"/>
  <c r="B167" i="57"/>
  <c r="A163" i="57"/>
  <c r="B149" i="57"/>
  <c r="A165" i="57"/>
  <c r="B151" i="57"/>
  <c r="B146" i="57"/>
  <c r="A160" i="57"/>
  <c r="R159" i="49"/>
  <c r="T159" i="49" s="1"/>
  <c r="P161" i="49"/>
  <c r="I52" i="49"/>
  <c r="J52" i="49" s="1"/>
  <c r="I103" i="49"/>
  <c r="I130" i="49"/>
  <c r="J130" i="49" s="1"/>
  <c r="I24" i="49" l="1"/>
  <c r="J24" i="49" s="1"/>
  <c r="O162" i="57"/>
  <c r="F143" i="57"/>
  <c r="C143" i="57"/>
  <c r="G157" i="57"/>
  <c r="O168" i="57"/>
  <c r="O146" i="57"/>
  <c r="M143" i="57"/>
  <c r="E143" i="57"/>
  <c r="I143" i="57"/>
  <c r="L182" i="57"/>
  <c r="K182" i="57"/>
  <c r="J182" i="57"/>
  <c r="I182" i="57"/>
  <c r="H182" i="57"/>
  <c r="G182" i="57"/>
  <c r="F182" i="57"/>
  <c r="E182" i="57"/>
  <c r="D182" i="57"/>
  <c r="C182" i="57"/>
  <c r="N182" i="57"/>
  <c r="M182" i="57"/>
  <c r="D170" i="57"/>
  <c r="C170" i="57"/>
  <c r="N170" i="57"/>
  <c r="M170" i="57"/>
  <c r="L170" i="57"/>
  <c r="K170" i="57"/>
  <c r="J170" i="57"/>
  <c r="I170" i="57"/>
  <c r="H170" i="57"/>
  <c r="G170" i="57"/>
  <c r="F170" i="57"/>
  <c r="E170" i="57"/>
  <c r="A184" i="57"/>
  <c r="B170" i="57"/>
  <c r="H181" i="57"/>
  <c r="G181" i="57"/>
  <c r="F181" i="57"/>
  <c r="E181" i="57"/>
  <c r="D181" i="57"/>
  <c r="C181" i="57"/>
  <c r="N181" i="57"/>
  <c r="M181" i="57"/>
  <c r="L181" i="57"/>
  <c r="K181" i="57"/>
  <c r="J181" i="57"/>
  <c r="I181" i="57"/>
  <c r="O169" i="57"/>
  <c r="O167" i="57"/>
  <c r="N183" i="57"/>
  <c r="M183" i="57"/>
  <c r="L183" i="57"/>
  <c r="K183" i="57"/>
  <c r="J183" i="57"/>
  <c r="I183" i="57"/>
  <c r="H183" i="57"/>
  <c r="G183" i="57"/>
  <c r="F183" i="57"/>
  <c r="E183" i="57"/>
  <c r="D183" i="57"/>
  <c r="C183" i="57"/>
  <c r="O150" i="57"/>
  <c r="L157" i="57"/>
  <c r="E157" i="57"/>
  <c r="N157" i="57"/>
  <c r="O152" i="57"/>
  <c r="L143" i="57"/>
  <c r="M147" i="57"/>
  <c r="M157" i="57" s="1"/>
  <c r="D143" i="57"/>
  <c r="H143" i="57"/>
  <c r="G143" i="57"/>
  <c r="N160" i="57"/>
  <c r="M160" i="57"/>
  <c r="L160" i="57"/>
  <c r="K160" i="57"/>
  <c r="J160" i="57"/>
  <c r="I160" i="57"/>
  <c r="H160" i="57"/>
  <c r="G160" i="57"/>
  <c r="F160" i="57"/>
  <c r="E160" i="57"/>
  <c r="D160" i="57"/>
  <c r="C160" i="57"/>
  <c r="K143" i="57"/>
  <c r="F165" i="57"/>
  <c r="E165" i="57"/>
  <c r="D165" i="57"/>
  <c r="C165" i="57"/>
  <c r="N165" i="57"/>
  <c r="M165" i="57"/>
  <c r="L165" i="57"/>
  <c r="K165" i="57"/>
  <c r="J165" i="57"/>
  <c r="I165" i="57"/>
  <c r="H165" i="57"/>
  <c r="G165" i="57"/>
  <c r="O136" i="57"/>
  <c r="O133" i="57"/>
  <c r="N163" i="57"/>
  <c r="M163" i="57"/>
  <c r="L163" i="57"/>
  <c r="K163" i="57"/>
  <c r="J163" i="57"/>
  <c r="I163" i="57"/>
  <c r="H163" i="57"/>
  <c r="G163" i="57"/>
  <c r="F163" i="57"/>
  <c r="E163" i="57"/>
  <c r="D163" i="57"/>
  <c r="C163" i="57"/>
  <c r="O129" i="57"/>
  <c r="J157" i="57"/>
  <c r="C147" i="57"/>
  <c r="J143" i="57"/>
  <c r="N143" i="57"/>
  <c r="D157" i="57"/>
  <c r="F147" i="57"/>
  <c r="F157" i="57" s="1"/>
  <c r="F176" i="57"/>
  <c r="E176" i="57"/>
  <c r="D176" i="57"/>
  <c r="C176" i="57"/>
  <c r="N176" i="57"/>
  <c r="M176" i="57"/>
  <c r="L176" i="57"/>
  <c r="K176" i="57"/>
  <c r="J176" i="57"/>
  <c r="I176" i="57"/>
  <c r="H176" i="57"/>
  <c r="G176" i="57"/>
  <c r="H157" i="57"/>
  <c r="O138" i="57"/>
  <c r="I157" i="57"/>
  <c r="K157" i="57"/>
  <c r="A190" i="57"/>
  <c r="B176" i="57"/>
  <c r="A164" i="57"/>
  <c r="B150" i="57"/>
  <c r="A166" i="57"/>
  <c r="B152" i="57"/>
  <c r="A177" i="57"/>
  <c r="B163" i="57"/>
  <c r="A196" i="57"/>
  <c r="B182" i="57"/>
  <c r="A195" i="57"/>
  <c r="B181" i="57"/>
  <c r="A197" i="57"/>
  <c r="B183" i="57"/>
  <c r="A161" i="57"/>
  <c r="B147" i="57"/>
  <c r="A174" i="57"/>
  <c r="B160" i="57"/>
  <c r="A179" i="57"/>
  <c r="B165" i="57"/>
  <c r="I104" i="49"/>
  <c r="J104" i="49" s="1"/>
  <c r="I131" i="49"/>
  <c r="J131" i="49" s="1"/>
  <c r="J133" i="49" s="1"/>
  <c r="J103" i="49"/>
  <c r="I53" i="49"/>
  <c r="J53" i="49" s="1"/>
  <c r="J55" i="49" s="1"/>
  <c r="I25" i="49" l="1"/>
  <c r="J25" i="49" s="1"/>
  <c r="O143" i="57"/>
  <c r="O181" i="57"/>
  <c r="O170" i="57"/>
  <c r="O182" i="57"/>
  <c r="N197" i="57"/>
  <c r="M197" i="57"/>
  <c r="L197" i="57"/>
  <c r="K197" i="57"/>
  <c r="J197" i="57"/>
  <c r="I197" i="57"/>
  <c r="H197" i="57"/>
  <c r="G197" i="57"/>
  <c r="F197" i="57"/>
  <c r="E197" i="57"/>
  <c r="D197" i="57"/>
  <c r="C197" i="57"/>
  <c r="D184" i="57"/>
  <c r="C184" i="57"/>
  <c r="N184" i="57"/>
  <c r="M184" i="57"/>
  <c r="L184" i="57"/>
  <c r="K184" i="57"/>
  <c r="J184" i="57"/>
  <c r="I184" i="57"/>
  <c r="H184" i="57"/>
  <c r="G184" i="57"/>
  <c r="F184" i="57"/>
  <c r="E184" i="57"/>
  <c r="A198" i="57"/>
  <c r="B184" i="57"/>
  <c r="H195" i="57"/>
  <c r="G195" i="57"/>
  <c r="F195" i="57"/>
  <c r="E195" i="57"/>
  <c r="D195" i="57"/>
  <c r="C195" i="57"/>
  <c r="N195" i="57"/>
  <c r="M195" i="57"/>
  <c r="L195" i="57"/>
  <c r="K195" i="57"/>
  <c r="J195" i="57"/>
  <c r="I195" i="57"/>
  <c r="L196" i="57"/>
  <c r="K196" i="57"/>
  <c r="J196" i="57"/>
  <c r="I196" i="57"/>
  <c r="H196" i="57"/>
  <c r="G196" i="57"/>
  <c r="F196" i="57"/>
  <c r="E196" i="57"/>
  <c r="D196" i="57"/>
  <c r="C196" i="57"/>
  <c r="N196" i="57"/>
  <c r="M196" i="57"/>
  <c r="O183" i="57"/>
  <c r="O165" i="57"/>
  <c r="O176" i="57"/>
  <c r="J177" i="57"/>
  <c r="I177" i="57"/>
  <c r="H177" i="57"/>
  <c r="G177" i="57"/>
  <c r="F177" i="57"/>
  <c r="E177" i="57"/>
  <c r="D177" i="57"/>
  <c r="C177" i="57"/>
  <c r="N177" i="57"/>
  <c r="M177" i="57"/>
  <c r="L177" i="57"/>
  <c r="K177" i="57"/>
  <c r="J166" i="57"/>
  <c r="I166" i="57"/>
  <c r="H166" i="57"/>
  <c r="G166" i="57"/>
  <c r="F166" i="57"/>
  <c r="E166" i="57"/>
  <c r="D166" i="57"/>
  <c r="C166" i="57"/>
  <c r="N166" i="57"/>
  <c r="M166" i="57"/>
  <c r="L166" i="57"/>
  <c r="K166" i="57"/>
  <c r="F161" i="57"/>
  <c r="E161" i="57"/>
  <c r="D161" i="57"/>
  <c r="C161" i="57"/>
  <c r="N161" i="57"/>
  <c r="M161" i="57"/>
  <c r="L161" i="57"/>
  <c r="K161" i="57"/>
  <c r="J161" i="57"/>
  <c r="I161" i="57"/>
  <c r="H161" i="57"/>
  <c r="G161" i="57"/>
  <c r="N179" i="57"/>
  <c r="M179" i="57"/>
  <c r="L179" i="57"/>
  <c r="K179" i="57"/>
  <c r="J179" i="57"/>
  <c r="I179" i="57"/>
  <c r="H179" i="57"/>
  <c r="G179" i="57"/>
  <c r="F179" i="57"/>
  <c r="E179" i="57"/>
  <c r="D179" i="57"/>
  <c r="C179" i="57"/>
  <c r="N164" i="57"/>
  <c r="M164" i="57"/>
  <c r="L164" i="57"/>
  <c r="K164" i="57"/>
  <c r="J164" i="57"/>
  <c r="I164" i="57"/>
  <c r="H164" i="57"/>
  <c r="G164" i="57"/>
  <c r="F164" i="57"/>
  <c r="E164" i="57"/>
  <c r="D164" i="57"/>
  <c r="C164" i="57"/>
  <c r="O160" i="57"/>
  <c r="N174" i="57"/>
  <c r="M174" i="57"/>
  <c r="L174" i="57"/>
  <c r="K174" i="57"/>
  <c r="J174" i="57"/>
  <c r="I174" i="57"/>
  <c r="H174" i="57"/>
  <c r="G174" i="57"/>
  <c r="F174" i="57"/>
  <c r="E174" i="57"/>
  <c r="D174" i="57"/>
  <c r="C174" i="57"/>
  <c r="N190" i="57"/>
  <c r="M190" i="57"/>
  <c r="L190" i="57"/>
  <c r="K190" i="57"/>
  <c r="J190" i="57"/>
  <c r="I190" i="57"/>
  <c r="H190" i="57"/>
  <c r="G190" i="57"/>
  <c r="F190" i="57"/>
  <c r="E190" i="57"/>
  <c r="D190" i="57"/>
  <c r="C190" i="57"/>
  <c r="O147" i="57"/>
  <c r="O157" i="57" s="1"/>
  <c r="C157" i="57"/>
  <c r="O163" i="57"/>
  <c r="A180" i="57"/>
  <c r="B166" i="57"/>
  <c r="A209" i="57"/>
  <c r="B195" i="57"/>
  <c r="A191" i="57"/>
  <c r="B177" i="57"/>
  <c r="A211" i="57"/>
  <c r="B197" i="57"/>
  <c r="A178" i="57"/>
  <c r="B164" i="57"/>
  <c r="A175" i="57"/>
  <c r="B161" i="57"/>
  <c r="A210" i="57"/>
  <c r="B196" i="57"/>
  <c r="A193" i="57"/>
  <c r="B179" i="57"/>
  <c r="A188" i="57"/>
  <c r="B174" i="57"/>
  <c r="A204" i="57"/>
  <c r="B190" i="57"/>
  <c r="R55" i="49"/>
  <c r="P57" i="49"/>
  <c r="R133" i="49"/>
  <c r="T133" i="49" s="1"/>
  <c r="P135" i="49"/>
  <c r="I105" i="49"/>
  <c r="J105" i="49" s="1"/>
  <c r="J107" i="49" s="1"/>
  <c r="J171" i="57" l="1"/>
  <c r="I26" i="49"/>
  <c r="J26" i="49" s="1"/>
  <c r="G171" i="57"/>
  <c r="F171" i="57"/>
  <c r="O197" i="57"/>
  <c r="E171" i="57"/>
  <c r="D171" i="57"/>
  <c r="C171" i="57"/>
  <c r="H171" i="57"/>
  <c r="L171" i="57"/>
  <c r="I171" i="57"/>
  <c r="M171" i="57"/>
  <c r="O190" i="57"/>
  <c r="N171" i="57"/>
  <c r="K171" i="57"/>
  <c r="D198" i="57"/>
  <c r="C198" i="57"/>
  <c r="N198" i="57"/>
  <c r="M198" i="57"/>
  <c r="L198" i="57"/>
  <c r="K198" i="57"/>
  <c r="J198" i="57"/>
  <c r="I198" i="57"/>
  <c r="H198" i="57"/>
  <c r="G198" i="57"/>
  <c r="F198" i="57"/>
  <c r="E198" i="57"/>
  <c r="A212" i="57"/>
  <c r="B198" i="57"/>
  <c r="N211" i="57"/>
  <c r="M211" i="57"/>
  <c r="L211" i="57"/>
  <c r="K211" i="57"/>
  <c r="J211" i="57"/>
  <c r="I211" i="57"/>
  <c r="H211" i="57"/>
  <c r="G211" i="57"/>
  <c r="F211" i="57"/>
  <c r="E211" i="57"/>
  <c r="D211" i="57"/>
  <c r="C211" i="57"/>
  <c r="H209" i="57"/>
  <c r="G209" i="57"/>
  <c r="F209" i="57"/>
  <c r="E209" i="57"/>
  <c r="D209" i="57"/>
  <c r="C209" i="57"/>
  <c r="N209" i="57"/>
  <c r="M209" i="57"/>
  <c r="L209" i="57"/>
  <c r="K209" i="57"/>
  <c r="J209" i="57"/>
  <c r="I209" i="57"/>
  <c r="O196" i="57"/>
  <c r="O195" i="57"/>
  <c r="L210" i="57"/>
  <c r="K210" i="57"/>
  <c r="J210" i="57"/>
  <c r="I210" i="57"/>
  <c r="H210" i="57"/>
  <c r="G210" i="57"/>
  <c r="F210" i="57"/>
  <c r="E210" i="57"/>
  <c r="D210" i="57"/>
  <c r="C210" i="57"/>
  <c r="N210" i="57"/>
  <c r="M210" i="57"/>
  <c r="O184" i="57"/>
  <c r="O177" i="57"/>
  <c r="O166" i="57"/>
  <c r="N178" i="57"/>
  <c r="M178" i="57"/>
  <c r="L178" i="57"/>
  <c r="K178" i="57"/>
  <c r="J178" i="57"/>
  <c r="I178" i="57"/>
  <c r="H178" i="57"/>
  <c r="G178" i="57"/>
  <c r="F178" i="57"/>
  <c r="E178" i="57"/>
  <c r="D178" i="57"/>
  <c r="C178" i="57"/>
  <c r="F180" i="57"/>
  <c r="E180" i="57"/>
  <c r="D180" i="57"/>
  <c r="C180" i="57"/>
  <c r="N180" i="57"/>
  <c r="M180" i="57"/>
  <c r="L180" i="57"/>
  <c r="K180" i="57"/>
  <c r="J180" i="57"/>
  <c r="I180" i="57"/>
  <c r="H180" i="57"/>
  <c r="G180" i="57"/>
  <c r="N193" i="57"/>
  <c r="M193" i="57"/>
  <c r="L193" i="57"/>
  <c r="K193" i="57"/>
  <c r="J193" i="57"/>
  <c r="I193" i="57"/>
  <c r="H193" i="57"/>
  <c r="G193" i="57"/>
  <c r="F193" i="57"/>
  <c r="E193" i="57"/>
  <c r="D193" i="57"/>
  <c r="C193" i="57"/>
  <c r="O179" i="57"/>
  <c r="N204" i="57"/>
  <c r="M204" i="57"/>
  <c r="L204" i="57"/>
  <c r="K204" i="57"/>
  <c r="J204" i="57"/>
  <c r="I204" i="57"/>
  <c r="H204" i="57"/>
  <c r="G204" i="57"/>
  <c r="F204" i="57"/>
  <c r="E204" i="57"/>
  <c r="D204" i="57"/>
  <c r="C204" i="57"/>
  <c r="F191" i="57"/>
  <c r="E191" i="57"/>
  <c r="D191" i="57"/>
  <c r="C191" i="57"/>
  <c r="N191" i="57"/>
  <c r="M191" i="57"/>
  <c r="L191" i="57"/>
  <c r="K191" i="57"/>
  <c r="J191" i="57"/>
  <c r="I191" i="57"/>
  <c r="H191" i="57"/>
  <c r="G191" i="57"/>
  <c r="J188" i="57"/>
  <c r="I188" i="57"/>
  <c r="H188" i="57"/>
  <c r="G188" i="57"/>
  <c r="F188" i="57"/>
  <c r="E188" i="57"/>
  <c r="D188" i="57"/>
  <c r="C188" i="57"/>
  <c r="N188" i="57"/>
  <c r="M188" i="57"/>
  <c r="L188" i="57"/>
  <c r="K188" i="57"/>
  <c r="O164" i="57"/>
  <c r="O161" i="57"/>
  <c r="N175" i="57"/>
  <c r="M175" i="57"/>
  <c r="L175" i="57"/>
  <c r="K175" i="57"/>
  <c r="J175" i="57"/>
  <c r="I175" i="57"/>
  <c r="H175" i="57"/>
  <c r="G175" i="57"/>
  <c r="F175" i="57"/>
  <c r="E175" i="57"/>
  <c r="D175" i="57"/>
  <c r="C175" i="57"/>
  <c r="O174" i="57"/>
  <c r="B210" i="57"/>
  <c r="A224" i="57"/>
  <c r="A189" i="57"/>
  <c r="B175" i="57"/>
  <c r="B178" i="57"/>
  <c r="A192" i="57"/>
  <c r="A225" i="57"/>
  <c r="B211" i="57"/>
  <c r="A218" i="57"/>
  <c r="B204" i="57"/>
  <c r="A205" i="57"/>
  <c r="B191" i="57"/>
  <c r="A202" i="57"/>
  <c r="B188" i="57"/>
  <c r="A223" i="57"/>
  <c r="B209" i="57"/>
  <c r="A207" i="57"/>
  <c r="B193" i="57"/>
  <c r="A194" i="57"/>
  <c r="B180" i="57"/>
  <c r="R107" i="49"/>
  <c r="T107" i="49" s="1"/>
  <c r="P109" i="49"/>
  <c r="T55" i="49"/>
  <c r="I27" i="49" l="1"/>
  <c r="J27" i="49" s="1"/>
  <c r="J29" i="49" s="1"/>
  <c r="L185" i="57"/>
  <c r="K185" i="57"/>
  <c r="J185" i="57"/>
  <c r="H185" i="57"/>
  <c r="G185" i="57"/>
  <c r="F185" i="57"/>
  <c r="D185" i="57"/>
  <c r="C185" i="57"/>
  <c r="O171" i="57"/>
  <c r="M185" i="57"/>
  <c r="I185" i="57"/>
  <c r="N185" i="57"/>
  <c r="E185" i="57"/>
  <c r="O204" i="57"/>
  <c r="O209" i="57"/>
  <c r="O193" i="57"/>
  <c r="D212" i="57"/>
  <c r="C212" i="57"/>
  <c r="N212" i="57"/>
  <c r="M212" i="57"/>
  <c r="L212" i="57"/>
  <c r="K212" i="57"/>
  <c r="J212" i="57"/>
  <c r="I212" i="57"/>
  <c r="H212" i="57"/>
  <c r="G212" i="57"/>
  <c r="F212" i="57"/>
  <c r="E212" i="57"/>
  <c r="B212" i="57"/>
  <c r="A226" i="57"/>
  <c r="O211" i="57"/>
  <c r="N225" i="57"/>
  <c r="M225" i="57"/>
  <c r="L225" i="57"/>
  <c r="K225" i="57"/>
  <c r="J225" i="57"/>
  <c r="I225" i="57"/>
  <c r="H225" i="57"/>
  <c r="G225" i="57"/>
  <c r="F225" i="57"/>
  <c r="E225" i="57"/>
  <c r="D225" i="57"/>
  <c r="C225" i="57"/>
  <c r="O210" i="57"/>
  <c r="O198" i="57"/>
  <c r="L224" i="57"/>
  <c r="K224" i="57"/>
  <c r="J224" i="57"/>
  <c r="I224" i="57"/>
  <c r="H224" i="57"/>
  <c r="G224" i="57"/>
  <c r="F224" i="57"/>
  <c r="E224" i="57"/>
  <c r="D224" i="57"/>
  <c r="C224" i="57"/>
  <c r="N224" i="57"/>
  <c r="M224" i="57"/>
  <c r="H223" i="57"/>
  <c r="G223" i="57"/>
  <c r="F223" i="57"/>
  <c r="E223" i="57"/>
  <c r="D223" i="57"/>
  <c r="C223" i="57"/>
  <c r="N223" i="57"/>
  <c r="M223" i="57"/>
  <c r="L223" i="57"/>
  <c r="K223" i="57"/>
  <c r="J223" i="57"/>
  <c r="I223" i="57"/>
  <c r="O191" i="57"/>
  <c r="N194" i="57"/>
  <c r="M194" i="57"/>
  <c r="L194" i="57"/>
  <c r="K194" i="57"/>
  <c r="J194" i="57"/>
  <c r="I194" i="57"/>
  <c r="H194" i="57"/>
  <c r="G194" i="57"/>
  <c r="F194" i="57"/>
  <c r="E194" i="57"/>
  <c r="D194" i="57"/>
  <c r="C194" i="57"/>
  <c r="J207" i="57"/>
  <c r="I207" i="57"/>
  <c r="H207" i="57"/>
  <c r="G207" i="57"/>
  <c r="F207" i="57"/>
  <c r="E207" i="57"/>
  <c r="D207" i="57"/>
  <c r="C207" i="57"/>
  <c r="N207" i="57"/>
  <c r="M207" i="57"/>
  <c r="L207" i="57"/>
  <c r="K207" i="57"/>
  <c r="O180" i="57"/>
  <c r="N189" i="57"/>
  <c r="M189" i="57"/>
  <c r="L189" i="57"/>
  <c r="K189" i="57"/>
  <c r="J189" i="57"/>
  <c r="I189" i="57"/>
  <c r="H189" i="57"/>
  <c r="G189" i="57"/>
  <c r="F189" i="57"/>
  <c r="E189" i="57"/>
  <c r="D189" i="57"/>
  <c r="C189" i="57"/>
  <c r="O175" i="57"/>
  <c r="O178" i="57"/>
  <c r="O188" i="57"/>
  <c r="F202" i="57"/>
  <c r="E202" i="57"/>
  <c r="D202" i="57"/>
  <c r="C202" i="57"/>
  <c r="N202" i="57"/>
  <c r="M202" i="57"/>
  <c r="L202" i="57"/>
  <c r="K202" i="57"/>
  <c r="J202" i="57"/>
  <c r="I202" i="57"/>
  <c r="H202" i="57"/>
  <c r="G202" i="57"/>
  <c r="N205" i="57"/>
  <c r="M205" i="57"/>
  <c r="L205" i="57"/>
  <c r="K205" i="57"/>
  <c r="J205" i="57"/>
  <c r="I205" i="57"/>
  <c r="H205" i="57"/>
  <c r="G205" i="57"/>
  <c r="F205" i="57"/>
  <c r="E205" i="57"/>
  <c r="D205" i="57"/>
  <c r="C205" i="57"/>
  <c r="J218" i="57"/>
  <c r="I218" i="57"/>
  <c r="H218" i="57"/>
  <c r="G218" i="57"/>
  <c r="F218" i="57"/>
  <c r="E218" i="57"/>
  <c r="D218" i="57"/>
  <c r="C218" i="57"/>
  <c r="N218" i="57"/>
  <c r="M218" i="57"/>
  <c r="L218" i="57"/>
  <c r="K218" i="57"/>
  <c r="J192" i="57"/>
  <c r="I192" i="57"/>
  <c r="H192" i="57"/>
  <c r="G192" i="57"/>
  <c r="F192" i="57"/>
  <c r="E192" i="57"/>
  <c r="D192" i="57"/>
  <c r="C192" i="57"/>
  <c r="N192" i="57"/>
  <c r="M192" i="57"/>
  <c r="L192" i="57"/>
  <c r="K192" i="57"/>
  <c r="A219" i="57"/>
  <c r="B205" i="57"/>
  <c r="A216" i="57"/>
  <c r="B202" i="57"/>
  <c r="A239" i="57"/>
  <c r="B225" i="57"/>
  <c r="A232" i="57"/>
  <c r="B218" i="57"/>
  <c r="A206" i="57"/>
  <c r="B192" i="57"/>
  <c r="A203" i="57"/>
  <c r="B189" i="57"/>
  <c r="B194" i="57"/>
  <c r="A208" i="57"/>
  <c r="A238" i="57"/>
  <c r="B224" i="57"/>
  <c r="A221" i="57"/>
  <c r="B207" i="57"/>
  <c r="A237" i="57"/>
  <c r="B223" i="57"/>
  <c r="R29" i="49" l="1"/>
  <c r="L199" i="57"/>
  <c r="K199" i="57"/>
  <c r="D199" i="57"/>
  <c r="E199" i="57"/>
  <c r="M199" i="57"/>
  <c r="O185" i="57"/>
  <c r="H199" i="57"/>
  <c r="O194" i="57"/>
  <c r="I199" i="57"/>
  <c r="F199" i="57"/>
  <c r="J199" i="57"/>
  <c r="N199" i="57"/>
  <c r="G199" i="57"/>
  <c r="O223" i="57"/>
  <c r="D226" i="57"/>
  <c r="C226" i="57"/>
  <c r="N226" i="57"/>
  <c r="M226" i="57"/>
  <c r="L226" i="57"/>
  <c r="K226" i="57"/>
  <c r="J226" i="57"/>
  <c r="I226" i="57"/>
  <c r="H226" i="57"/>
  <c r="G226" i="57"/>
  <c r="F226" i="57"/>
  <c r="E226" i="57"/>
  <c r="B226" i="57"/>
  <c r="A240" i="57"/>
  <c r="H237" i="57"/>
  <c r="G237" i="57"/>
  <c r="F237" i="57"/>
  <c r="E237" i="57"/>
  <c r="D237" i="57"/>
  <c r="C237" i="57"/>
  <c r="N237" i="57"/>
  <c r="M237" i="57"/>
  <c r="L237" i="57"/>
  <c r="K237" i="57"/>
  <c r="J237" i="57"/>
  <c r="I237" i="57"/>
  <c r="O225" i="57"/>
  <c r="L238" i="57"/>
  <c r="K238" i="57"/>
  <c r="J238" i="57"/>
  <c r="I238" i="57"/>
  <c r="H238" i="57"/>
  <c r="G238" i="57"/>
  <c r="F238" i="57"/>
  <c r="E238" i="57"/>
  <c r="D238" i="57"/>
  <c r="C238" i="57"/>
  <c r="N238" i="57"/>
  <c r="M238" i="57"/>
  <c r="O224" i="57"/>
  <c r="N239" i="57"/>
  <c r="M239" i="57"/>
  <c r="L239" i="57"/>
  <c r="K239" i="57"/>
  <c r="J239" i="57"/>
  <c r="I239" i="57"/>
  <c r="H239" i="57"/>
  <c r="G239" i="57"/>
  <c r="F239" i="57"/>
  <c r="E239" i="57"/>
  <c r="D239" i="57"/>
  <c r="C239" i="57"/>
  <c r="O212" i="57"/>
  <c r="F206" i="57"/>
  <c r="E206" i="57"/>
  <c r="D206" i="57"/>
  <c r="C206" i="57"/>
  <c r="N206" i="57"/>
  <c r="M206" i="57"/>
  <c r="L206" i="57"/>
  <c r="K206" i="57"/>
  <c r="J206" i="57"/>
  <c r="I206" i="57"/>
  <c r="H206" i="57"/>
  <c r="G206" i="57"/>
  <c r="F232" i="57"/>
  <c r="E232" i="57"/>
  <c r="D232" i="57"/>
  <c r="C232" i="57"/>
  <c r="N232" i="57"/>
  <c r="M232" i="57"/>
  <c r="L232" i="57"/>
  <c r="K232" i="57"/>
  <c r="J232" i="57"/>
  <c r="I232" i="57"/>
  <c r="H232" i="57"/>
  <c r="G232" i="57"/>
  <c r="O205" i="57"/>
  <c r="O189" i="57"/>
  <c r="O207" i="57"/>
  <c r="F221" i="57"/>
  <c r="E221" i="57"/>
  <c r="D221" i="57"/>
  <c r="C221" i="57"/>
  <c r="N221" i="57"/>
  <c r="M221" i="57"/>
  <c r="L221" i="57"/>
  <c r="K221" i="57"/>
  <c r="J221" i="57"/>
  <c r="I221" i="57"/>
  <c r="H221" i="57"/>
  <c r="G221" i="57"/>
  <c r="N216" i="57"/>
  <c r="M216" i="57"/>
  <c r="L216" i="57"/>
  <c r="K216" i="57"/>
  <c r="J216" i="57"/>
  <c r="I216" i="57"/>
  <c r="H216" i="57"/>
  <c r="G216" i="57"/>
  <c r="F216" i="57"/>
  <c r="E216" i="57"/>
  <c r="D216" i="57"/>
  <c r="C216" i="57"/>
  <c r="O202" i="57"/>
  <c r="N219" i="57"/>
  <c r="M219" i="57"/>
  <c r="L219" i="57"/>
  <c r="K219" i="57"/>
  <c r="J219" i="57"/>
  <c r="I219" i="57"/>
  <c r="H219" i="57"/>
  <c r="G219" i="57"/>
  <c r="F219" i="57"/>
  <c r="E219" i="57"/>
  <c r="D219" i="57"/>
  <c r="C219" i="57"/>
  <c r="N208" i="57"/>
  <c r="M208" i="57"/>
  <c r="L208" i="57"/>
  <c r="K208" i="57"/>
  <c r="J208" i="57"/>
  <c r="I208" i="57"/>
  <c r="H208" i="57"/>
  <c r="G208" i="57"/>
  <c r="F208" i="57"/>
  <c r="E208" i="57"/>
  <c r="D208" i="57"/>
  <c r="C208" i="57"/>
  <c r="O218" i="57"/>
  <c r="C199" i="57"/>
  <c r="J203" i="57"/>
  <c r="I203" i="57"/>
  <c r="H203" i="57"/>
  <c r="G203" i="57"/>
  <c r="F203" i="57"/>
  <c r="E203" i="57"/>
  <c r="D203" i="57"/>
  <c r="C203" i="57"/>
  <c r="N203" i="57"/>
  <c r="M203" i="57"/>
  <c r="L203" i="57"/>
  <c r="K203" i="57"/>
  <c r="O192" i="57"/>
  <c r="A222" i="57"/>
  <c r="B208" i="57"/>
  <c r="A220" i="57"/>
  <c r="B206" i="57"/>
  <c r="A253" i="57"/>
  <c r="B239" i="57"/>
  <c r="A230" i="57"/>
  <c r="B216" i="57"/>
  <c r="A251" i="57"/>
  <c r="B237" i="57"/>
  <c r="A235" i="57"/>
  <c r="B221" i="57"/>
  <c r="A217" i="57"/>
  <c r="B203" i="57"/>
  <c r="A246" i="57"/>
  <c r="B232" i="57"/>
  <c r="A252" i="57"/>
  <c r="B238" i="57"/>
  <c r="A233" i="57"/>
  <c r="B219" i="57"/>
  <c r="P31" i="49" l="1"/>
  <c r="P165" i="49" s="1"/>
  <c r="F19" i="3" s="1"/>
  <c r="F20" i="3" s="1"/>
  <c r="F31" i="3" s="1"/>
  <c r="F33" i="3" s="1"/>
  <c r="F34" i="3" s="1"/>
  <c r="F12" i="2" s="1"/>
  <c r="T29" i="49"/>
  <c r="T165" i="49" s="1"/>
  <c r="R165" i="49"/>
  <c r="L213" i="57"/>
  <c r="H213" i="57"/>
  <c r="O199" i="57"/>
  <c r="N213" i="57"/>
  <c r="J213" i="57"/>
  <c r="M213" i="57"/>
  <c r="E213" i="57"/>
  <c r="I213" i="57"/>
  <c r="F213" i="57"/>
  <c r="K213" i="57"/>
  <c r="C213" i="57"/>
  <c r="G213" i="57"/>
  <c r="D213" i="57"/>
  <c r="D240" i="57"/>
  <c r="C240" i="57"/>
  <c r="N240" i="57"/>
  <c r="M240" i="57"/>
  <c r="L240" i="57"/>
  <c r="K240" i="57"/>
  <c r="J240" i="57"/>
  <c r="I240" i="57"/>
  <c r="H240" i="57"/>
  <c r="G240" i="57"/>
  <c r="F240" i="57"/>
  <c r="E240" i="57"/>
  <c r="A254" i="57"/>
  <c r="B240" i="57"/>
  <c r="N253" i="57"/>
  <c r="M253" i="57"/>
  <c r="L253" i="57"/>
  <c r="K253" i="57"/>
  <c r="J253" i="57"/>
  <c r="I253" i="57"/>
  <c r="H253" i="57"/>
  <c r="G253" i="57"/>
  <c r="F253" i="57"/>
  <c r="E253" i="57"/>
  <c r="D253" i="57"/>
  <c r="C253" i="57"/>
  <c r="O238" i="57"/>
  <c r="O239" i="57"/>
  <c r="O237" i="57"/>
  <c r="H251" i="57"/>
  <c r="G251" i="57"/>
  <c r="F251" i="57"/>
  <c r="E251" i="57"/>
  <c r="D251" i="57"/>
  <c r="C251" i="57"/>
  <c r="N251" i="57"/>
  <c r="M251" i="57"/>
  <c r="L251" i="57"/>
  <c r="K251" i="57"/>
  <c r="J251" i="57"/>
  <c r="I251" i="57"/>
  <c r="O226" i="57"/>
  <c r="L252" i="57"/>
  <c r="K252" i="57"/>
  <c r="J252" i="57"/>
  <c r="I252" i="57"/>
  <c r="H252" i="57"/>
  <c r="G252" i="57"/>
  <c r="F252" i="57"/>
  <c r="E252" i="57"/>
  <c r="D252" i="57"/>
  <c r="C252" i="57"/>
  <c r="N252" i="57"/>
  <c r="M252" i="57"/>
  <c r="J233" i="57"/>
  <c r="I233" i="57"/>
  <c r="H233" i="57"/>
  <c r="G233" i="57"/>
  <c r="F233" i="57"/>
  <c r="E233" i="57"/>
  <c r="D233" i="57"/>
  <c r="C233" i="57"/>
  <c r="N233" i="57"/>
  <c r="M233" i="57"/>
  <c r="L233" i="57"/>
  <c r="K233" i="57"/>
  <c r="N220" i="57"/>
  <c r="M220" i="57"/>
  <c r="L220" i="57"/>
  <c r="K220" i="57"/>
  <c r="J220" i="57"/>
  <c r="I220" i="57"/>
  <c r="H220" i="57"/>
  <c r="G220" i="57"/>
  <c r="F220" i="57"/>
  <c r="E220" i="57"/>
  <c r="D220" i="57"/>
  <c r="C220" i="57"/>
  <c r="J222" i="57"/>
  <c r="I222" i="57"/>
  <c r="H222" i="57"/>
  <c r="G222" i="57"/>
  <c r="F222" i="57"/>
  <c r="E222" i="57"/>
  <c r="D222" i="57"/>
  <c r="C222" i="57"/>
  <c r="N222" i="57"/>
  <c r="M222" i="57"/>
  <c r="L222" i="57"/>
  <c r="K222" i="57"/>
  <c r="N246" i="57"/>
  <c r="M246" i="57"/>
  <c r="L246" i="57"/>
  <c r="K246" i="57"/>
  <c r="J246" i="57"/>
  <c r="I246" i="57"/>
  <c r="H246" i="57"/>
  <c r="G246" i="57"/>
  <c r="F246" i="57"/>
  <c r="E246" i="57"/>
  <c r="D246" i="57"/>
  <c r="C246" i="57"/>
  <c r="O216" i="57"/>
  <c r="O219" i="57"/>
  <c r="O206" i="57"/>
  <c r="F217" i="57"/>
  <c r="E217" i="57"/>
  <c r="D217" i="57"/>
  <c r="C217" i="57"/>
  <c r="N217" i="57"/>
  <c r="M217" i="57"/>
  <c r="L217" i="57"/>
  <c r="K217" i="57"/>
  <c r="J217" i="57"/>
  <c r="I217" i="57"/>
  <c r="H217" i="57"/>
  <c r="G217" i="57"/>
  <c r="O221" i="57"/>
  <c r="O232" i="57"/>
  <c r="O208" i="57"/>
  <c r="N235" i="57"/>
  <c r="M235" i="57"/>
  <c r="L235" i="57"/>
  <c r="K235" i="57"/>
  <c r="J235" i="57"/>
  <c r="I235" i="57"/>
  <c r="H235" i="57"/>
  <c r="G235" i="57"/>
  <c r="F235" i="57"/>
  <c r="E235" i="57"/>
  <c r="D235" i="57"/>
  <c r="C235" i="57"/>
  <c r="O203" i="57"/>
  <c r="N230" i="57"/>
  <c r="M230" i="57"/>
  <c r="L230" i="57"/>
  <c r="K230" i="57"/>
  <c r="J230" i="57"/>
  <c r="I230" i="57"/>
  <c r="H230" i="57"/>
  <c r="G230" i="57"/>
  <c r="F230" i="57"/>
  <c r="E230" i="57"/>
  <c r="D230" i="57"/>
  <c r="C230" i="57"/>
  <c r="A247" i="57"/>
  <c r="B233" i="57"/>
  <c r="A267" i="57"/>
  <c r="B253" i="57"/>
  <c r="A234" i="57"/>
  <c r="B220" i="57"/>
  <c r="A236" i="57"/>
  <c r="B222" i="57"/>
  <c r="A231" i="57"/>
  <c r="B217" i="57"/>
  <c r="A249" i="57"/>
  <c r="B235" i="57"/>
  <c r="A265" i="57"/>
  <c r="B251" i="57"/>
  <c r="A244" i="57"/>
  <c r="B230" i="57"/>
  <c r="A266" i="57"/>
  <c r="B252" i="57"/>
  <c r="A260" i="57"/>
  <c r="B246" i="57"/>
  <c r="D33" i="3" l="1"/>
  <c r="D31" i="3"/>
  <c r="F7" i="2"/>
  <c r="F9" i="2" s="1"/>
  <c r="F11" i="2" s="1"/>
  <c r="F13" i="2" s="1"/>
  <c r="D13" i="2" s="1"/>
  <c r="J227" i="57"/>
  <c r="N227" i="57"/>
  <c r="O213" i="57"/>
  <c r="F227" i="57"/>
  <c r="G227" i="57"/>
  <c r="K227" i="57"/>
  <c r="H227" i="57"/>
  <c r="L227" i="57"/>
  <c r="D227" i="57"/>
  <c r="I227" i="57"/>
  <c r="M227" i="57"/>
  <c r="E227" i="57"/>
  <c r="D254" i="57"/>
  <c r="C254" i="57"/>
  <c r="N254" i="57"/>
  <c r="M254" i="57"/>
  <c r="L254" i="57"/>
  <c r="K254" i="57"/>
  <c r="J254" i="57"/>
  <c r="I254" i="57"/>
  <c r="H254" i="57"/>
  <c r="G254" i="57"/>
  <c r="F254" i="57"/>
  <c r="E254" i="57"/>
  <c r="B254" i="57"/>
  <c r="A268" i="57"/>
  <c r="O253" i="57"/>
  <c r="B266" i="57"/>
  <c r="L266" i="57"/>
  <c r="K266" i="57"/>
  <c r="J266" i="57"/>
  <c r="I266" i="57"/>
  <c r="H266" i="57"/>
  <c r="G266" i="57"/>
  <c r="F266" i="57"/>
  <c r="E266" i="57"/>
  <c r="D266" i="57"/>
  <c r="C266" i="57"/>
  <c r="N266" i="57"/>
  <c r="M266" i="57"/>
  <c r="O252" i="57"/>
  <c r="O251" i="57"/>
  <c r="O240" i="57"/>
  <c r="B267" i="57"/>
  <c r="N267" i="57"/>
  <c r="M267" i="57"/>
  <c r="L267" i="57"/>
  <c r="K267" i="57"/>
  <c r="J267" i="57"/>
  <c r="I267" i="57"/>
  <c r="H267" i="57"/>
  <c r="G267" i="57"/>
  <c r="F267" i="57"/>
  <c r="E267" i="57"/>
  <c r="D267" i="57"/>
  <c r="C267" i="57"/>
  <c r="B265" i="57"/>
  <c r="H265" i="57"/>
  <c r="G265" i="57"/>
  <c r="F265" i="57"/>
  <c r="E265" i="57"/>
  <c r="D265" i="57"/>
  <c r="C265" i="57"/>
  <c r="N265" i="57"/>
  <c r="M265" i="57"/>
  <c r="L265" i="57"/>
  <c r="K265" i="57"/>
  <c r="J265" i="57"/>
  <c r="I265" i="57"/>
  <c r="O217" i="57"/>
  <c r="N234" i="57"/>
  <c r="M234" i="57"/>
  <c r="L234" i="57"/>
  <c r="K234" i="57"/>
  <c r="J234" i="57"/>
  <c r="I234" i="57"/>
  <c r="H234" i="57"/>
  <c r="G234" i="57"/>
  <c r="F234" i="57"/>
  <c r="E234" i="57"/>
  <c r="D234" i="57"/>
  <c r="C234" i="57"/>
  <c r="B260" i="57"/>
  <c r="N260" i="57"/>
  <c r="M260" i="57"/>
  <c r="L260" i="57"/>
  <c r="K260" i="57"/>
  <c r="J260" i="57"/>
  <c r="I260" i="57"/>
  <c r="H260" i="57"/>
  <c r="G260" i="57"/>
  <c r="F260" i="57"/>
  <c r="E260" i="57"/>
  <c r="D260" i="57"/>
  <c r="C260" i="57"/>
  <c r="O235" i="57"/>
  <c r="O220" i="57"/>
  <c r="O233" i="57"/>
  <c r="F247" i="57"/>
  <c r="E247" i="57"/>
  <c r="D247" i="57"/>
  <c r="C247" i="57"/>
  <c r="N247" i="57"/>
  <c r="M247" i="57"/>
  <c r="L247" i="57"/>
  <c r="K247" i="57"/>
  <c r="J247" i="57"/>
  <c r="I247" i="57"/>
  <c r="H247" i="57"/>
  <c r="G247" i="57"/>
  <c r="F236" i="57"/>
  <c r="E236" i="57"/>
  <c r="D236" i="57"/>
  <c r="C236" i="57"/>
  <c r="N236" i="57"/>
  <c r="M236" i="57"/>
  <c r="L236" i="57"/>
  <c r="K236" i="57"/>
  <c r="J236" i="57"/>
  <c r="I236" i="57"/>
  <c r="H236" i="57"/>
  <c r="G236" i="57"/>
  <c r="J244" i="57"/>
  <c r="I244" i="57"/>
  <c r="H244" i="57"/>
  <c r="G244" i="57"/>
  <c r="F244" i="57"/>
  <c r="E244" i="57"/>
  <c r="D244" i="57"/>
  <c r="C244" i="57"/>
  <c r="N244" i="57"/>
  <c r="M244" i="57"/>
  <c r="L244" i="57"/>
  <c r="K244" i="57"/>
  <c r="O230" i="57"/>
  <c r="C227" i="57"/>
  <c r="O246" i="57"/>
  <c r="O222" i="57"/>
  <c r="N249" i="57"/>
  <c r="M249" i="57"/>
  <c r="L249" i="57"/>
  <c r="K249" i="57"/>
  <c r="J249" i="57"/>
  <c r="I249" i="57"/>
  <c r="H249" i="57"/>
  <c r="G249" i="57"/>
  <c r="F249" i="57"/>
  <c r="E249" i="57"/>
  <c r="D249" i="57"/>
  <c r="C249" i="57"/>
  <c r="N231" i="57"/>
  <c r="M231" i="57"/>
  <c r="L231" i="57"/>
  <c r="K231" i="57"/>
  <c r="J231" i="57"/>
  <c r="I231" i="57"/>
  <c r="H231" i="57"/>
  <c r="G231" i="57"/>
  <c r="F231" i="57"/>
  <c r="E231" i="57"/>
  <c r="D231" i="57"/>
  <c r="C231" i="57"/>
  <c r="A258" i="57"/>
  <c r="B244" i="57"/>
  <c r="A263" i="57"/>
  <c r="B249" i="57"/>
  <c r="A245" i="57"/>
  <c r="B231" i="57"/>
  <c r="A250" i="57"/>
  <c r="B236" i="57"/>
  <c r="A248" i="57"/>
  <c r="B234" i="57"/>
  <c r="A261" i="57"/>
  <c r="B247" i="57"/>
  <c r="F35" i="3"/>
  <c r="F37" i="3" s="1"/>
  <c r="F46" i="3" s="1"/>
  <c r="K241" i="57" l="1"/>
  <c r="M241" i="57"/>
  <c r="N241" i="57"/>
  <c r="G241" i="57"/>
  <c r="F15" i="2"/>
  <c r="I241" i="57"/>
  <c r="J241" i="57"/>
  <c r="E241" i="57"/>
  <c r="H241" i="57"/>
  <c r="L241" i="57"/>
  <c r="F241" i="57"/>
  <c r="D241" i="57"/>
  <c r="C241" i="57"/>
  <c r="O249" i="57"/>
  <c r="O267" i="57"/>
  <c r="B268" i="57"/>
  <c r="D268" i="57"/>
  <c r="C268" i="57"/>
  <c r="N268" i="57"/>
  <c r="M268" i="57"/>
  <c r="L268" i="57"/>
  <c r="K268" i="57"/>
  <c r="J268" i="57"/>
  <c r="I268" i="57"/>
  <c r="H268" i="57"/>
  <c r="G268" i="57"/>
  <c r="F268" i="57"/>
  <c r="E268" i="57"/>
  <c r="O266" i="57"/>
  <c r="O265" i="57"/>
  <c r="O254" i="57"/>
  <c r="O234" i="57"/>
  <c r="O260" i="57"/>
  <c r="B263" i="57"/>
  <c r="J263" i="57"/>
  <c r="I263" i="57"/>
  <c r="H263" i="57"/>
  <c r="G263" i="57"/>
  <c r="F263" i="57"/>
  <c r="E263" i="57"/>
  <c r="D263" i="57"/>
  <c r="C263" i="57"/>
  <c r="N263" i="57"/>
  <c r="M263" i="57"/>
  <c r="L263" i="57"/>
  <c r="K263" i="57"/>
  <c r="O231" i="57"/>
  <c r="O247" i="57"/>
  <c r="N250" i="57"/>
  <c r="M250" i="57"/>
  <c r="L250" i="57"/>
  <c r="K250" i="57"/>
  <c r="J250" i="57"/>
  <c r="I250" i="57"/>
  <c r="H250" i="57"/>
  <c r="G250" i="57"/>
  <c r="F250" i="57"/>
  <c r="E250" i="57"/>
  <c r="D250" i="57"/>
  <c r="C250" i="57"/>
  <c r="B258" i="57"/>
  <c r="F258" i="57"/>
  <c r="E258" i="57"/>
  <c r="D258" i="57"/>
  <c r="C258" i="57"/>
  <c r="N258" i="57"/>
  <c r="M258" i="57"/>
  <c r="L258" i="57"/>
  <c r="K258" i="57"/>
  <c r="J258" i="57"/>
  <c r="I258" i="57"/>
  <c r="H258" i="57"/>
  <c r="G258" i="57"/>
  <c r="N245" i="57"/>
  <c r="M245" i="57"/>
  <c r="L245" i="57"/>
  <c r="K245" i="57"/>
  <c r="J245" i="57"/>
  <c r="I245" i="57"/>
  <c r="H245" i="57"/>
  <c r="G245" i="57"/>
  <c r="F245" i="57"/>
  <c r="E245" i="57"/>
  <c r="D245" i="57"/>
  <c r="C245" i="57"/>
  <c r="B261" i="57"/>
  <c r="N261" i="57"/>
  <c r="M261" i="57"/>
  <c r="L261" i="57"/>
  <c r="K261" i="57"/>
  <c r="J261" i="57"/>
  <c r="I261" i="57"/>
  <c r="H261" i="57"/>
  <c r="G261" i="57"/>
  <c r="F261" i="57"/>
  <c r="E261" i="57"/>
  <c r="D261" i="57"/>
  <c r="C261" i="57"/>
  <c r="O244" i="57"/>
  <c r="O236" i="57"/>
  <c r="J248" i="57"/>
  <c r="I248" i="57"/>
  <c r="H248" i="57"/>
  <c r="G248" i="57"/>
  <c r="F248" i="57"/>
  <c r="E248" i="57"/>
  <c r="D248" i="57"/>
  <c r="C248" i="57"/>
  <c r="N248" i="57"/>
  <c r="M248" i="57"/>
  <c r="L248" i="57"/>
  <c r="K248" i="57"/>
  <c r="O227" i="57"/>
  <c r="A262" i="57"/>
  <c r="B248" i="57"/>
  <c r="A264" i="57"/>
  <c r="B250" i="57"/>
  <c r="A259" i="57"/>
  <c r="B245" i="57"/>
  <c r="D35" i="3"/>
  <c r="F17" i="2"/>
  <c r="F18" i="2" l="1"/>
  <c r="D18" i="2" s="1"/>
  <c r="L255" i="57"/>
  <c r="N255" i="57"/>
  <c r="O245" i="57"/>
  <c r="O261" i="57"/>
  <c r="F255" i="57"/>
  <c r="J255" i="57"/>
  <c r="G255" i="57"/>
  <c r="K255" i="57"/>
  <c r="D255" i="57"/>
  <c r="H255" i="57"/>
  <c r="E255" i="57"/>
  <c r="I255" i="57"/>
  <c r="M255" i="57"/>
  <c r="O241" i="57"/>
  <c r="O268" i="57"/>
  <c r="O263" i="57"/>
  <c r="O258" i="57"/>
  <c r="O248" i="57"/>
  <c r="O250" i="57"/>
  <c r="B259" i="57"/>
  <c r="J259" i="57"/>
  <c r="I259" i="57"/>
  <c r="H259" i="57"/>
  <c r="G259" i="57"/>
  <c r="F259" i="57"/>
  <c r="E259" i="57"/>
  <c r="D259" i="57"/>
  <c r="C259" i="57"/>
  <c r="N259" i="57"/>
  <c r="M259" i="57"/>
  <c r="L259" i="57"/>
  <c r="K259" i="57"/>
  <c r="B262" i="57"/>
  <c r="F262" i="57"/>
  <c r="E262" i="57"/>
  <c r="D262" i="57"/>
  <c r="C262" i="57"/>
  <c r="N262" i="57"/>
  <c r="M262" i="57"/>
  <c r="L262" i="57"/>
  <c r="K262" i="57"/>
  <c r="J262" i="57"/>
  <c r="I262" i="57"/>
  <c r="H262" i="57"/>
  <c r="G262" i="57"/>
  <c r="B264" i="57"/>
  <c r="N264" i="57"/>
  <c r="M264" i="57"/>
  <c r="L264" i="57"/>
  <c r="K264" i="57"/>
  <c r="J264" i="57"/>
  <c r="I264" i="57"/>
  <c r="H264" i="57"/>
  <c r="G264" i="57"/>
  <c r="F264" i="57"/>
  <c r="E264" i="57"/>
  <c r="D264" i="57"/>
  <c r="C264" i="57"/>
  <c r="C255" i="57"/>
  <c r="F48" i="3"/>
  <c r="D48" i="3" s="1"/>
  <c r="H269" i="57" l="1"/>
  <c r="E269" i="57"/>
  <c r="L269" i="57"/>
  <c r="O255" i="57"/>
  <c r="D269" i="57"/>
  <c r="F269" i="57"/>
  <c r="M269" i="57"/>
  <c r="I269" i="57"/>
  <c r="G269" i="57"/>
  <c r="J269" i="57"/>
  <c r="N269" i="57"/>
  <c r="K269" i="57"/>
  <c r="C269" i="57"/>
  <c r="O262" i="57"/>
  <c r="O264" i="57"/>
  <c r="O259" i="57"/>
  <c r="O269"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JR</author>
  </authors>
  <commentList>
    <comment ref="B3" authorId="0" shapeId="0" xr:uid="{954BDD59-028B-2443-AA8B-A084578F3238}">
      <text>
        <r>
          <rPr>
            <b/>
            <sz val="10"/>
            <color rgb="FF000000"/>
            <rFont val="Tahoma"/>
            <family val="2"/>
          </rPr>
          <t>JR:</t>
        </r>
        <r>
          <rPr>
            <sz val="10"/>
            <color rgb="FF000000"/>
            <rFont val="Tahoma"/>
            <family val="2"/>
          </rPr>
          <t xml:space="preserve">
</t>
        </r>
        <r>
          <rPr>
            <sz val="18"/>
            <color rgb="FF000000"/>
            <rFont val="Tahoma"/>
            <family val="2"/>
          </rPr>
          <t xml:space="preserve">SOLO DEJAR SELECCIONADA LA OPCION SI EN CELDA B4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JR</author>
  </authors>
  <commentList>
    <comment ref="B3" authorId="0" shapeId="0" xr:uid="{4358989D-F31B-754A-8799-636E02A0C183}">
      <text>
        <r>
          <rPr>
            <b/>
            <sz val="10"/>
            <color rgb="FF000000"/>
            <rFont val="Tahoma"/>
            <family val="2"/>
          </rPr>
          <t>JR:</t>
        </r>
        <r>
          <rPr>
            <sz val="10"/>
            <color rgb="FF000000"/>
            <rFont val="Tahoma"/>
            <family val="2"/>
          </rPr>
          <t xml:space="preserve">
</t>
        </r>
        <r>
          <rPr>
            <sz val="18"/>
            <color rgb="FF000000"/>
            <rFont val="Tahoma"/>
            <family val="2"/>
          </rPr>
          <t xml:space="preserve">SOLO DEJAR SELECCIONADA LA OPCION SI EN CELDA B4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tc={149C0DE7-1263-F64D-93C5-A1574D86FD38}</author>
    <author>Santiago Romero</author>
    <author>tc={5C6DBEC7-278C-6345-805C-D488E83E32F9}</author>
    <author>tc={D0922C5D-4102-4C22-98DE-76E2414ABCF0}</author>
  </authors>
  <commentList>
    <comment ref="D3" authorId="0" shapeId="0" xr:uid="{149C0DE7-1263-F64D-93C5-A1574D86FD38}">
      <text>
        <t>[Threaded comment]
Your version of Excel allows you to read this threaded comment; however, any edits to it will get removed if the file is opened in a newer version of Excel. Learn more: https://go.microsoft.com/fwlink/?linkid=870924
Comment:
    Ganancia relevante y consistente con año anterior. VM más del doble en dic 2021</t>
      </text>
    </comment>
    <comment ref="D22" authorId="1" shapeId="0" xr:uid="{ADB764BE-50FA-46A1-B27C-16D98CA0DAAD}">
      <text>
        <r>
          <rPr>
            <sz val="12"/>
            <color rgb="FF000000"/>
            <rFont val="ArialMT"/>
            <family val="2"/>
          </rPr>
          <t xml:space="preserve">Santiago Romero:
</t>
        </r>
        <r>
          <rPr>
            <sz val="12"/>
            <color rgb="FF000000"/>
            <rFont val="ArialMT"/>
            <family val="2"/>
          </rPr>
          <t>Vienen de un Corp Act, en el reporte de transactions viene un "costo"</t>
        </r>
      </text>
    </comment>
    <comment ref="D193" authorId="2" shapeId="0" xr:uid="{5C6DBEC7-278C-6345-805C-D488E83E32F9}">
      <text>
        <t>[Threaded comment]
Your version of Excel allows you to read this threaded comment; however, any edits to it will get removed if the file is opened in a newer version of Excel. Learn more: https://go.microsoft.com/fwlink/?linkid=870924
Comment:
    % de ganancia consistente con eso de cuenta de dic. Unrealized gain de más del doble.</t>
      </text>
    </comment>
    <comment ref="P1336" authorId="3" shapeId="0" xr:uid="{D0922C5D-4102-4C22-98DE-76E2414ABCF0}">
      <text>
        <t xml:space="preserve">[Threaded comment]
Your version of Excel allows you to read this threaded comment; however, any edits to it will get removed if the file is opened in a newer version of Excel. Learn more: https://go.microsoft.com/fwlink/?linkid=870924
Comment:
    La diferencia de quanity con el transactions son estos 87, debido a que aparece en el transactions tambien su compra, pero como sale, y dice ext., entonces lo meti como compra y después venta, pero queda revisar, al igual que en el proced, la diferencia es como 6000 y es por el proced de este mismo mov. </t>
      </text>
    </comment>
  </commentList>
</comments>
</file>

<file path=xl/sharedStrings.xml><?xml version="1.0" encoding="utf-8"?>
<sst xmlns="http://schemas.openxmlformats.org/spreadsheetml/2006/main" count="11476" uniqueCount="846">
  <si>
    <t>DETALLE DE CUENTAS INCLUIDAS PARA CÁLCULO</t>
  </si>
  <si>
    <t>EJERCICIO 2022</t>
  </si>
  <si>
    <t>Cuenta Número</t>
  </si>
  <si>
    <t>Banco</t>
  </si>
  <si>
    <t>Edos Cta al mes de</t>
  </si>
  <si>
    <t>FE</t>
  </si>
  <si>
    <t>Fecha de última revisión</t>
  </si>
  <si>
    <t>Revisor</t>
  </si>
  <si>
    <t>JP Morgan</t>
  </si>
  <si>
    <t>Diciembre</t>
  </si>
  <si>
    <t>PP</t>
  </si>
  <si>
    <t>B22235000</t>
  </si>
  <si>
    <t>Pendiente</t>
  </si>
  <si>
    <t>F</t>
  </si>
  <si>
    <t>G</t>
  </si>
  <si>
    <t>H</t>
  </si>
  <si>
    <t>I</t>
  </si>
  <si>
    <t>J</t>
  </si>
  <si>
    <t>K</t>
  </si>
  <si>
    <t>L</t>
  </si>
  <si>
    <t>M</t>
  </si>
  <si>
    <t>N</t>
  </si>
  <si>
    <t>O</t>
  </si>
  <si>
    <t>P</t>
  </si>
  <si>
    <t>Q</t>
  </si>
  <si>
    <t>R</t>
  </si>
  <si>
    <t>Notas:</t>
  </si>
  <si>
    <t>Cuenta B22235000</t>
  </si>
  <si>
    <t>Transacción</t>
  </si>
  <si>
    <t>Fecha</t>
  </si>
  <si>
    <t>Moneda</t>
  </si>
  <si>
    <t>Monto</t>
  </si>
  <si>
    <t>Realizada</t>
  </si>
  <si>
    <t>USD</t>
  </si>
  <si>
    <t>TRANSFER OF FUNDS FROM BXXXX5000 TO QXXXX7000</t>
  </si>
  <si>
    <t>Recibida</t>
  </si>
  <si>
    <t>TRANSFER OF FUNDS FROM MXXXX8005 TO BXXXX5000</t>
  </si>
  <si>
    <t>TRANSFERRED BY WIRE TO JPM CHASE BANK NEW YORK PBIM FAO ACQUA DOLCE LTD-ADVI FDG</t>
  </si>
  <si>
    <t>NOMBRE DE LA SOCIEDAD</t>
  </si>
  <si>
    <t xml:space="preserve">RESUMEN DE LA DETERMINACIÓN DE ISR CONFORME AL TÍTULO VI, CAPÍTULO I DE LA LISR </t>
  </si>
  <si>
    <t>INGRESOS OBTENIDOS EN CUENTAS DEL EXTRANJERO</t>
  </si>
  <si>
    <t xml:space="preserve">Periodo: </t>
  </si>
  <si>
    <t>Ejercicio fiscal 2022</t>
  </si>
  <si>
    <t>(+)</t>
  </si>
  <si>
    <t>Total Ingresos Acumulables</t>
  </si>
  <si>
    <t>(-)</t>
  </si>
  <si>
    <t>Total Deducciones</t>
  </si>
  <si>
    <t>(=)</t>
  </si>
  <si>
    <t>Utilidad (Pérdida) Fiscal en términos del Título II en USD</t>
  </si>
  <si>
    <t>(*)</t>
  </si>
  <si>
    <t>T.C. al cierre del ejercicio</t>
  </si>
  <si>
    <t>Utilidad / (Pérdida) Fiscal en términos del Título II en MXN</t>
  </si>
  <si>
    <t>Pérdida pendiente de disminuir de ejercicios anteriores</t>
  </si>
  <si>
    <t>Tasa de Impuesto según Art. 9 LISR</t>
  </si>
  <si>
    <t>ISR a cargo del ejercicio en MXN</t>
  </si>
  <si>
    <t>( - )</t>
  </si>
  <si>
    <t>Total de Impuestos Retenidos en el extranjero en MXN</t>
  </si>
  <si>
    <t xml:space="preserve">ISR acreditable de ejercicios anteriores pendiente de disminuir </t>
  </si>
  <si>
    <t xml:space="preserve">DETERMINACIÓN DE ISR CONFORME AL TÍTULO VI, CAPÍTULO I DE LA LISR </t>
  </si>
  <si>
    <t>I.</t>
  </si>
  <si>
    <t>Ingresos Acumulables</t>
  </si>
  <si>
    <t>Intereses</t>
  </si>
  <si>
    <t>Intereses en compra-venta de bonos</t>
  </si>
  <si>
    <t>Dividendos Nacionales</t>
  </si>
  <si>
    <t>Dividendos Extranjeros</t>
  </si>
  <si>
    <t>Ganancia venta de acciones</t>
  </si>
  <si>
    <t>Revisar pestaña "Act Pérdidas o Acreditamientos".</t>
  </si>
  <si>
    <t>Ganancia en venta de títulos de deuda</t>
  </si>
  <si>
    <t>Ganancia cambiaria</t>
  </si>
  <si>
    <t>Otros Ingresos</t>
  </si>
  <si>
    <t>Ganancia generada en OFD de Deuda</t>
  </si>
  <si>
    <t>Ganancia generada en OFD de Capital</t>
  </si>
  <si>
    <t xml:space="preserve">Otros Ingresos - Private Equity  </t>
  </si>
  <si>
    <t>(A)</t>
  </si>
  <si>
    <t>II.</t>
  </si>
  <si>
    <t>Deducciones Autorizadas</t>
  </si>
  <si>
    <t>Pérdida en venta de títulos de deuda</t>
  </si>
  <si>
    <t>Pérdida generada en OFD de Deuda</t>
  </si>
  <si>
    <t>Pérdida cambiaria</t>
  </si>
  <si>
    <t>Gastos</t>
  </si>
  <si>
    <t>Intereses pagados - Loans</t>
  </si>
  <si>
    <t>(B)</t>
  </si>
  <si>
    <t xml:space="preserve">    </t>
  </si>
  <si>
    <t>(C)</t>
  </si>
  <si>
    <t>ISR retenido por dividendos del extranjero</t>
  </si>
  <si>
    <t>ISR retenido otros ingresos</t>
  </si>
  <si>
    <t>ISR acreditable</t>
  </si>
  <si>
    <t>ISR pagado en el extranjero en USD</t>
  </si>
  <si>
    <t>ISR pagado en el extranjero en MXN</t>
  </si>
  <si>
    <t>(D)</t>
  </si>
  <si>
    <t xml:space="preserve">ISR acreditable pendiente de disminuir </t>
  </si>
  <si>
    <t>(E)</t>
  </si>
  <si>
    <t>Notas</t>
  </si>
  <si>
    <t>(1) El monto de los dividendos incluye el impuesto retenido en el extranjero de</t>
  </si>
  <si>
    <t xml:space="preserve">      conformidad con el artículo 5to de la Ley del Impuesto sobre la Renta </t>
  </si>
  <si>
    <t xml:space="preserve">      vigente para 2022.</t>
  </si>
  <si>
    <t xml:space="preserve">(2) Último tipo de cambio publicado durante el ejercicio de 2022 en el DOF. El tipo </t>
  </si>
  <si>
    <t xml:space="preserve">      de cambio utilizado es solo para efectos de determinar un cálculo preliminar.</t>
  </si>
  <si>
    <t>DETERMINACIÓN DE LOS INGRESOS POR INTERESES PERCIBIDOS CONFORME AL TÍTULO VI, CAPÍTULO I DE LA LISR</t>
  </si>
  <si>
    <t>Intereses - Commitment</t>
  </si>
  <si>
    <t>INGRESOS EN TÉRMINOS DEL TÍTULO II DE LA LISR - MONEDA FUNCIONAL</t>
  </si>
  <si>
    <t>Intereses - Bonds</t>
  </si>
  <si>
    <t>Intereses - Cash</t>
  </si>
  <si>
    <t>Número de Cuenta</t>
  </si>
  <si>
    <t>Tipo de Ingreso</t>
  </si>
  <si>
    <t>Descripción</t>
  </si>
  <si>
    <t>Moneda Original</t>
  </si>
  <si>
    <t>Monto Moneda Original</t>
  </si>
  <si>
    <t>Equivalencia</t>
  </si>
  <si>
    <t>Monto en USD</t>
  </si>
  <si>
    <t>CR INTERESTS</t>
  </si>
  <si>
    <t>ADJUSTMENT CR INTERESTS</t>
  </si>
  <si>
    <t>CAD</t>
  </si>
  <si>
    <t>CSAM II</t>
  </si>
  <si>
    <t>DEPOSIT SWEEP INTEREST</t>
  </si>
  <si>
    <t>Gran total de ingresos por intereses percibidos en el ejercicio</t>
  </si>
  <si>
    <t>Total por Cuenta en Moneda Original</t>
  </si>
  <si>
    <t>Total por Cuenta en USD</t>
  </si>
  <si>
    <t xml:space="preserve">Total de intereses percibidos en el ejercicio en la Cta. </t>
  </si>
  <si>
    <t>Gran Total</t>
  </si>
  <si>
    <t>DETERMINACIÓN DE LOS INGRESOS POR INTERESES EN COMPRA-VENTA DE BONOS CONFORME A LO ESTABLECIDO EN EL TÍTULO VI, CAPÍTULO I DE LA LISR</t>
  </si>
  <si>
    <t>Intereses devengados pagados</t>
  </si>
  <si>
    <t xml:space="preserve">INGRESOS EN TÉRMINOS DEL TÍTULO II DE LA LISR - MONEDA FUNCIONAL							</t>
  </si>
  <si>
    <t>Intereses devengados cobrados</t>
  </si>
  <si>
    <t>Nombre / Descripción</t>
  </si>
  <si>
    <t>A</t>
  </si>
  <si>
    <t>B</t>
  </si>
  <si>
    <t>C</t>
  </si>
  <si>
    <t>D</t>
  </si>
  <si>
    <t>E</t>
  </si>
  <si>
    <t>Gran Total de Intereses pagados en la compra-venta de bonos:</t>
  </si>
  <si>
    <t>Total de intereses en la compra-venta de bonos en el ejercicio en la Cta.</t>
  </si>
  <si>
    <t>DETERMINACIÓN DE LOS INGRESOS POR DIVIDENDOS PERCIBIDOS DE EMISORAS NACIONALES CONFORME A LO ESTABLECIDO EN EL TÍTULO VI, CAPÍTULO I DE LA LISR</t>
  </si>
  <si>
    <t xml:space="preserve">INGRESOS EN TÉRMINOS DEL TÍTULO II DE LA LISR - MONEDA FUNCIONAL		</t>
  </si>
  <si>
    <t>Emisora</t>
  </si>
  <si>
    <t>Dividendo Bruto en Moneda Original</t>
  </si>
  <si>
    <t>Factor de Piramidación</t>
  </si>
  <si>
    <t>Dividendo Piramidado en Moneda Original</t>
  </si>
  <si>
    <t>Dividendo Piramidado en USD</t>
  </si>
  <si>
    <t>Tasa de Impuesto Corporativo</t>
  </si>
  <si>
    <t>Impuesto Acreditable en USD</t>
  </si>
  <si>
    <t>Gran total de dividendos percibidos de emisoras nacionales</t>
  </si>
  <si>
    <t>Total por Cuenta - Dividendos Bruto en M.O.</t>
  </si>
  <si>
    <t>Total por Cuenta - Dividendo Piramidado en M.O.</t>
  </si>
  <si>
    <t>Total por Cuenta - Dividendo Piramidado en USD</t>
  </si>
  <si>
    <t>Total por Cuenta - ISR Acreditable en USD</t>
  </si>
  <si>
    <t>Total de Dividendos percibidos de emisoras nacionales en la Cta.</t>
  </si>
  <si>
    <t xml:space="preserve">Total de Dividendos percibidos de emisoras nacionales </t>
  </si>
  <si>
    <t>DETERMINACIÓN DE LOS INGRESOS POR DIVIDENDOS PERCIBIDOS DE EMISORAS EXTRANJERAS CONFORME A LO ESTABLECIDO EN EL TÍTULO VI, CAPÍTULO I DE LA LISR</t>
  </si>
  <si>
    <t>Shares</t>
  </si>
  <si>
    <t>Commitment</t>
  </si>
  <si>
    <t>Dividendo Bruto en USD</t>
  </si>
  <si>
    <t>LAM RESEARCH CORP</t>
  </si>
  <si>
    <t>PEPSICO INC</t>
  </si>
  <si>
    <t>PHILIP MORRIS INTERNATIONAL INC</t>
  </si>
  <si>
    <t>ILLINOIS TOOL WORKS</t>
  </si>
  <si>
    <t xml:space="preserve">COMCAST CORP CLASS A </t>
  </si>
  <si>
    <t>BRISTOL-MYERS SQUIBB CO</t>
  </si>
  <si>
    <t>PNC FINANCIAL SERVICES GROUP INC/TH</t>
  </si>
  <si>
    <t>TEXAS INSTRUMENTS INC</t>
  </si>
  <si>
    <t>MASTERCARD INC SHS A</t>
  </si>
  <si>
    <t>AIR PRODUCTS AND CHEMICALS INC</t>
  </si>
  <si>
    <t>MARSH &amp; MC-LENNAN CO INC</t>
  </si>
  <si>
    <t>ACCENTURE PLC</t>
  </si>
  <si>
    <t>D R HORTON INC</t>
  </si>
  <si>
    <t>BOOZ ALLEN HAMILTON HOLDINGS CORP</t>
  </si>
  <si>
    <t>JOHNSON &amp; JOHNSON</t>
  </si>
  <si>
    <t>MICROSOFT CORP</t>
  </si>
  <si>
    <t>SHERWIN-WILLIAMS CO</t>
  </si>
  <si>
    <t>MC DONALD S</t>
  </si>
  <si>
    <t>NEXTERA ENERGY INC</t>
  </si>
  <si>
    <t>UNITEDHEALTH GROUP INC</t>
  </si>
  <si>
    <t>HOME DEPOT INC</t>
  </si>
  <si>
    <t>BANK OF AMERICA CORP</t>
  </si>
  <si>
    <t>CORNING INC</t>
  </si>
  <si>
    <t>INTERCONTINENTAL EXCHANGE INC</t>
  </si>
  <si>
    <t>UNION PACIFIC CORP</t>
  </si>
  <si>
    <t>BECTON DICKINSON &amp; CO</t>
  </si>
  <si>
    <t>EATON CORPORATION PLC</t>
  </si>
  <si>
    <t>NIKE INC</t>
  </si>
  <si>
    <t>NXP SEMICONDUCTORS N.V.</t>
  </si>
  <si>
    <t>CONOCOPHILLIPS</t>
  </si>
  <si>
    <t>COMCAST CORP</t>
  </si>
  <si>
    <t>ACTIVISION BLIZZARD INC</t>
  </si>
  <si>
    <t>MASTERCARD INC</t>
  </si>
  <si>
    <t>BLACKROCK INC</t>
  </si>
  <si>
    <t>TARGET CORP</t>
  </si>
  <si>
    <t>ROCKWELL AUTOMATION INC</t>
  </si>
  <si>
    <t>MEDTRONIC PLC</t>
  </si>
  <si>
    <t>INTUIT INC</t>
  </si>
  <si>
    <t>TRACTOR SUPPLY CO</t>
  </si>
  <si>
    <t>UBS MSCI CANADA UCITS ETF</t>
  </si>
  <si>
    <t>INVESCO US TREAS BD 7-10 UCITS ETF</t>
  </si>
  <si>
    <t>VANGUARD FUNDS PLC - VANGUARD S&amp;P 500 UCITS ETF</t>
  </si>
  <si>
    <t>XTRACKERS MSCI US HEALTH CARE ETF</t>
  </si>
  <si>
    <t>XTRACKERS MSCI US INFO TECH ETF</t>
  </si>
  <si>
    <t xml:space="preserve">INVES US TRES BD 7-10 UCITS </t>
  </si>
  <si>
    <t>MICRON TECHNOLOGY INC</t>
  </si>
  <si>
    <t>MARVELL TECHNOLOGY INC</t>
  </si>
  <si>
    <t>APPLE INC</t>
  </si>
  <si>
    <t>VISA INC</t>
  </si>
  <si>
    <t>ANALOG DEVICES INC</t>
  </si>
  <si>
    <t>NVIDIA CORP</t>
  </si>
  <si>
    <t>TERADYNE INC</t>
  </si>
  <si>
    <t>Gran Total de dividendos percibidos de emisoras extranjeras</t>
  </si>
  <si>
    <t>Total por Cuenta - Dividendo Bruto en M.O.</t>
  </si>
  <si>
    <t>Total por Cuenta - Dividendo Bruto en USD</t>
  </si>
  <si>
    <t>Total de dividendos de emisoras extranjeras percibidos en la Cta.</t>
  </si>
  <si>
    <t>DETERMINACIÓN DEL MONTO ACREDITABLE SOBRE RETENCIONES EFECTUADAS A DIVIDENDOS PERCIBIDOS DE EMISORAS EXTRANJERAS CONFORME AL TÍTULO VI, CAPÍTULO I DE LA LISR</t>
  </si>
  <si>
    <t xml:space="preserve">ACREDITAMIENTO EN TÉRMINOS DEL TÍTULO II DE LA LISR - MONEDA FUNCIONAL						</t>
  </si>
  <si>
    <t>Impuesto Retenido en Moneda Original</t>
  </si>
  <si>
    <t>Impuesto Retenido en USD</t>
  </si>
  <si>
    <t>Gran total de retenciones sobre dividendos percibidos de emisoras extranjeras</t>
  </si>
  <si>
    <t>Total por Cuenta - Impuesto Retenido en M.O.</t>
  </si>
  <si>
    <t>Total por Cuenta - Impuesto Retenido en USD</t>
  </si>
  <si>
    <t>Total de retenciones sobre dividendos de emisoras extranjeras en la Cta.</t>
  </si>
  <si>
    <t>RESUMEN DE GANANCIAS/(PÉRDIDAS) EN VENTA DE ACCIONES</t>
  </si>
  <si>
    <t xml:space="preserve">INGRESOS EN TÉRMINOS DEL TÍTULO II DE LA LISR - MONEDA FUNCIONAL						</t>
  </si>
  <si>
    <t>(Pérdida) neta en venta de acciones del ejercicio</t>
  </si>
  <si>
    <t>Pérdida únicamente Vs ganancia en acciones</t>
  </si>
  <si>
    <t>Ganancia neta en venta de acciones del ejercicio</t>
  </si>
  <si>
    <t>(Pérdidas) de ejercicios anteriores en venta de acciones pendientes de disminuir</t>
  </si>
  <si>
    <t>Revisar cálculo de ejercicios anteriores y verificar monto de la pérdida en la cédula correspondiente</t>
  </si>
  <si>
    <t>DETERMINACIÓN DE INGRESOS POR ENAJENACIÓN DE BIENES SEGÚN LO ESTABLECIDO EN EL TÍTULO VI, CAPÍTULO I DE LA LISR</t>
  </si>
  <si>
    <t>INGRESOS EN TÉRMINOS DEL TÍTULO II DE LA LISR</t>
  </si>
  <si>
    <t>Activos</t>
  </si>
  <si>
    <t>Número de Unidades Vendidas</t>
  </si>
  <si>
    <t>Monto Percibido</t>
  </si>
  <si>
    <t>Costo en USD</t>
  </si>
  <si>
    <t xml:space="preserve">Ganancia / Pérdida </t>
  </si>
  <si>
    <t>Acciones</t>
  </si>
  <si>
    <t>ACCENTURE PLC SHARES A</t>
  </si>
  <si>
    <t>BLACK ROCK INC</t>
  </si>
  <si>
    <t>BRISTOL MYERS SQUIBB CO</t>
  </si>
  <si>
    <t>NIKE INC SHARES B</t>
  </si>
  <si>
    <t>COMCAST CORP CLASS A</t>
  </si>
  <si>
    <t>Total 1175000</t>
  </si>
  <si>
    <t>BLACKROCK INSTITUTIONAL POOLED FD BLACKROCK JAPAN EQ 1 FD JPY ACC J</t>
  </si>
  <si>
    <t>BNY MELLON EFFICIENT US HIGH YIELD BNY EFFICIENT US HY BETA USD L ACC DOI 08/09/2018</t>
  </si>
  <si>
    <t>INVESCO EQQQ NASDAQ 100 ETF ACC ETF</t>
  </si>
  <si>
    <t>ISHARES CORE S&amp;P 500 UCITS ETF</t>
  </si>
  <si>
    <t>ISHARES MSCI EURO FIN SECT ETF ETF</t>
  </si>
  <si>
    <t>ISHARES USD TRSRY 1-3Y USD A ETF</t>
  </si>
  <si>
    <t>JPM GLOBAL HIGH YIELD BD FD JPM GLB HIGH YIELD USD ACC I2</t>
  </si>
  <si>
    <t>SPDR MSCI EURO HEALTHCARE UCITS ETF ETF</t>
  </si>
  <si>
    <t>SPDR MSCI EURO UTILI UCITS ETF ETF</t>
  </si>
  <si>
    <t>XTRACKERS MSCI US CONS DISC ETF ETF</t>
  </si>
  <si>
    <t>INSTITUTIONAL CASH SERIES BLRK ICS USD ULTR SH BD ACC J VNAV DOI 04/21/2020</t>
  </si>
  <si>
    <t xml:space="preserve">BLUEMOUNTAIN CREDIT ALTERNATIVE FD </t>
  </si>
  <si>
    <t>ROSE GROVE OFFSHORE FUND</t>
  </si>
  <si>
    <t xml:space="preserve">BRIDGEWATER PRIVATE INVESTORS </t>
  </si>
  <si>
    <t>DOLLAR SENIOR LOAN O/F FUND</t>
  </si>
  <si>
    <t xml:space="preserve">INSTITUTIONAL CASH SERIES BLRK ICS USD </t>
  </si>
  <si>
    <t xml:space="preserve">SCULPTOR OF II PRIVATE INVESTORS </t>
  </si>
  <si>
    <t>SOUTHPAW CREDIT OPPORTUNITY FUND</t>
  </si>
  <si>
    <t>XTRACKERS EUR STOXX 50 UCITS ETF ETF</t>
  </si>
  <si>
    <t xml:space="preserve">BLACKROCK INSTITUTIONAL POOLED FD </t>
  </si>
  <si>
    <t>ISHARES $ TREAS BD 3-7YR UCITS ACC ETF</t>
  </si>
  <si>
    <t>LORD ABBETT PASSPORT PORTFOLIOS PLC</t>
  </si>
  <si>
    <t>TACONIC OPPORTUNITY OFFSHORE FUND S1</t>
  </si>
  <si>
    <t>Total 1179000</t>
  </si>
  <si>
    <t>ALPHABET -A-</t>
  </si>
  <si>
    <t>APPLE</t>
  </si>
  <si>
    <t xml:space="preserve">ARISTA NETWORKS </t>
  </si>
  <si>
    <t>FLEETCOR TECHNOLOGIES</t>
  </si>
  <si>
    <t>FRESHWORKS INC-CL A</t>
  </si>
  <si>
    <t>META PLATFORMS INC</t>
  </si>
  <si>
    <t>MICROSOFT</t>
  </si>
  <si>
    <t xml:space="preserve">MONGODB INC </t>
  </si>
  <si>
    <t>NVIDIA</t>
  </si>
  <si>
    <t xml:space="preserve">PAYCOM SOFTWARE </t>
  </si>
  <si>
    <t xml:space="preserve">SALESFORCE INC </t>
  </si>
  <si>
    <t xml:space="preserve">SOLAREDGE TECHNOLOGIES </t>
  </si>
  <si>
    <t>VISA -A-</t>
  </si>
  <si>
    <t xml:space="preserve">CONFLUENT INC-CLASS A </t>
  </si>
  <si>
    <t>DATADOG INC - CLASS A</t>
  </si>
  <si>
    <t xml:space="preserve">AMAZON.COM </t>
  </si>
  <si>
    <t>SHIFT4 PAYMENTS INC</t>
  </si>
  <si>
    <t xml:space="preserve">INTUIT </t>
  </si>
  <si>
    <t xml:space="preserve">PAGSEGURO DIGITAL LTD-CL A </t>
  </si>
  <si>
    <t>TWILIO -A-</t>
  </si>
  <si>
    <t>SNOWFLAKE INC-CLASS A</t>
  </si>
  <si>
    <t xml:space="preserve">TRADE DESK INC/THE -CLASS A </t>
  </si>
  <si>
    <t>Total 1427200</t>
  </si>
  <si>
    <t>JPM ASSET MGM INCOME FD - USD - C</t>
  </si>
  <si>
    <t>Total B22235000</t>
  </si>
  <si>
    <t>Total Acciones</t>
  </si>
  <si>
    <t>Total general</t>
  </si>
  <si>
    <t xml:space="preserve">DETALLE DE LA DETERMINACIÓN DE INGRESOS POR ENAJENACIÓN DE BIENES SEGÚN LO ESTABLECIDO EN EL TÍTULO VI, CAPÍTULO I DE LA LISR			</t>
  </si>
  <si>
    <t>Nombre del Activo</t>
  </si>
  <si>
    <t>Fecha de Venta</t>
  </si>
  <si>
    <t>Moneda Venta</t>
  </si>
  <si>
    <t>Fecha de Adquisición</t>
  </si>
  <si>
    <t>Moneda Compra</t>
  </si>
  <si>
    <t>Unidades Vendidas</t>
  </si>
  <si>
    <t>Precio de Venta en Moneda Original</t>
  </si>
  <si>
    <t xml:space="preserve">Equivalencia </t>
  </si>
  <si>
    <t>Precio de Venta en USD</t>
  </si>
  <si>
    <t>Costo en Moneda Original</t>
  </si>
  <si>
    <t xml:space="preserve"> Equivalencia</t>
  </si>
  <si>
    <t>Total ACCENTURE PLC SHARES A</t>
  </si>
  <si>
    <t>Total ACTIVISION BLIZZARD INC</t>
  </si>
  <si>
    <t>Total AIR PRODUCTS AND CHEMICALS INC</t>
  </si>
  <si>
    <t>Total BANK OF AMERICA CORP</t>
  </si>
  <si>
    <t>Total BECTON DICKINSON &amp; CO</t>
  </si>
  <si>
    <t>Total BLACK ROCK INC</t>
  </si>
  <si>
    <t>Total BOOZ ALLEN HAMILTON HOLDINGS CORP</t>
  </si>
  <si>
    <t>Total BRISTOL MYERS SQUIBB CO</t>
  </si>
  <si>
    <t>Total COMCAST CORP CLASS A</t>
  </si>
  <si>
    <t>Total CONOCOPHILLIPS</t>
  </si>
  <si>
    <t>Total CORNING INC</t>
  </si>
  <si>
    <t>Total D R HORTON INC</t>
  </si>
  <si>
    <t>Total EATON CORPORATION PLC</t>
  </si>
  <si>
    <t xml:space="preserve">EMBECTA </t>
  </si>
  <si>
    <t xml:space="preserve">Total EMBECTA </t>
  </si>
  <si>
    <t>Total HOME DEPOT INC</t>
  </si>
  <si>
    <t>Total ILLINOIS TOOL WORKS</t>
  </si>
  <si>
    <t>Total INTERCONTINENTAL EXCHANGE INC</t>
  </si>
  <si>
    <t>Total JOHNSON &amp; JOHNSON</t>
  </si>
  <si>
    <t>Total LAM RESEARCH CORP</t>
  </si>
  <si>
    <t>Total MARSH &amp; MC-LENNAN CO INC</t>
  </si>
  <si>
    <t>Total MASTERCARD INC SHS A</t>
  </si>
  <si>
    <t>Total MC DONALD S</t>
  </si>
  <si>
    <t>Total MEDTRONIC PLC</t>
  </si>
  <si>
    <t>Total MICROSOFT CORP</t>
  </si>
  <si>
    <t>Total NEXTERA ENERGY INC</t>
  </si>
  <si>
    <t>Total NIKE INC SHARES B</t>
  </si>
  <si>
    <t>Total NXP SEMICONDUCTORS N.V.</t>
  </si>
  <si>
    <t>Total PEPSICO INC</t>
  </si>
  <si>
    <t>Total PHILIP MORRIS INTERNATIONAL INC</t>
  </si>
  <si>
    <t>Total PNC FINANCIAL SERVICES GROUP INC/TH</t>
  </si>
  <si>
    <t>Total SHERWIN-WILLIAMS CO</t>
  </si>
  <si>
    <t>Total TEXAS INSTRUMENTS INC</t>
  </si>
  <si>
    <t>U S BANCORP</t>
  </si>
  <si>
    <t>Total U S BANCORP</t>
  </si>
  <si>
    <t>Total UNION PACIFIC CORP</t>
  </si>
  <si>
    <t>Total UNITEDHEALTH GROUP INC</t>
  </si>
  <si>
    <t>EUR</t>
  </si>
  <si>
    <t xml:space="preserve">Total BLACKROCK INSTITUTIONAL POOLED FD </t>
  </si>
  <si>
    <t>JPY</t>
  </si>
  <si>
    <t>Total BLACKROCK INSTITUTIONAL POOLED FD BLACKROCK JAPAN EQ 1 FD JPY ACC J</t>
  </si>
  <si>
    <t xml:space="preserve">Total BLUEMOUNTAIN CREDIT ALTERNATIVE FD </t>
  </si>
  <si>
    <t>Total BNY MELLON EFFICIENT US HIGH YIELD BNY EFFICIENT US HY BETA USD L ACC DOI 08/09/2018</t>
  </si>
  <si>
    <t xml:space="preserve">Total BRIDGEWATER PRIVATE INVESTORS </t>
  </si>
  <si>
    <t>Total DOLLAR SENIOR LOAN O/F FUND</t>
  </si>
  <si>
    <t xml:space="preserve">Total INSTITUTIONAL CASH SERIES BLRK ICS USD </t>
  </si>
  <si>
    <t>Total INSTITUTIONAL CASH SERIES BLRK ICS USD ULTR SH BD ACC J VNAV DOI 04/21/2020</t>
  </si>
  <si>
    <t>INVESCO COMMS S&amp;P US SEL SECT ETF</t>
  </si>
  <si>
    <t>Total INVESCO COMMS S&amp;P US SEL SECT ETF</t>
  </si>
  <si>
    <t>Total INVESCO EQQQ NASDAQ 100 ETF ACC ETF</t>
  </si>
  <si>
    <t>Total ISHARES $ TREAS BD 3-7YR UCITS ACC ETF</t>
  </si>
  <si>
    <t>Total ISHARES CORE S&amp;P 500 UCITS ETF</t>
  </si>
  <si>
    <t>Total ISHARES MSCI EURO FIN SECT ETF ETF</t>
  </si>
  <si>
    <t>Total ISHARES USD TRSRY 1-3Y USD A ETF</t>
  </si>
  <si>
    <t>Total JPM GLOBAL HIGH YIELD BD FD JPM GLB HIGH YIELD USD ACC I2</t>
  </si>
  <si>
    <t>Total LORD ABBETT PASSPORT PORTFOLIOS PLC</t>
  </si>
  <si>
    <t>LUMYNA -GLOBAL DEBT-GOVT UCITS FD LUMY</t>
  </si>
  <si>
    <t>Total LUMYNA -GLOBAL DEBT-GOVT UCITS FD LUMY</t>
  </si>
  <si>
    <t xml:space="preserve">NEWBROOK CAPITAL OFFSHORE FUND </t>
  </si>
  <si>
    <t xml:space="preserve">Total NEWBROOK CAPITAL OFFSHORE FUND </t>
  </si>
  <si>
    <t>Total ROSE GROVE OFFSHORE FUND</t>
  </si>
  <si>
    <t xml:space="preserve">Total SCULPTOR OF II PRIVATE INVESTORS </t>
  </si>
  <si>
    <t>Total SOUTHPAW CREDIT OPPORTUNITY FUND</t>
  </si>
  <si>
    <t>Total SPDR MSCI EURO HEALTHCARE UCITS ETF ETF</t>
  </si>
  <si>
    <t>Total SPDR MSCI EURO UTILI UCITS ETF ETF</t>
  </si>
  <si>
    <t>Total TACONIC OPPORTUNITY OFFSHORE FUND S1</t>
  </si>
  <si>
    <t>VANGUARD FUNDS PLC</t>
  </si>
  <si>
    <t>Total VANGUARD FUNDS PLC</t>
  </si>
  <si>
    <t>Total XTRACKERS EUR STOXX 50 UCITS ETF ETF</t>
  </si>
  <si>
    <t>Total XTRACKERS MSCI US CONS DISC ETF ETF</t>
  </si>
  <si>
    <t>ADVANCED MICRO DEVICES</t>
  </si>
  <si>
    <t>Total ADVANCED MICRO DEVICES</t>
  </si>
  <si>
    <t xml:space="preserve">AFFIRM HOLDINGS INC </t>
  </si>
  <si>
    <t xml:space="preserve">Total AFFIRM HOLDINGS INC </t>
  </si>
  <si>
    <t xml:space="preserve">ALIBABA GROUP HOLDING -SP ADR </t>
  </si>
  <si>
    <t xml:space="preserve">Total ALIBABA GROUP HOLDING -SP ADR </t>
  </si>
  <si>
    <t>Total ALPHABET -A-</t>
  </si>
  <si>
    <t xml:space="preserve">Total AMAZON.COM </t>
  </si>
  <si>
    <t>Total ANALOG DEVICES INC</t>
  </si>
  <si>
    <t xml:space="preserve">ANAPLAN INC </t>
  </si>
  <si>
    <t xml:space="preserve">Total ANAPLAN INC </t>
  </si>
  <si>
    <t>Total APPLE</t>
  </si>
  <si>
    <t xml:space="preserve">Total ARISTA NETWORKS </t>
  </si>
  <si>
    <t>ATLASSIAN CORP PLC -A-</t>
  </si>
  <si>
    <t>Total ATLASSIAN CORP PLC -A-</t>
  </si>
  <si>
    <t>AUTODESK</t>
  </si>
  <si>
    <t>Total AUTODESK</t>
  </si>
  <si>
    <t xml:space="preserve">BILL.COM HOLDINGS INC </t>
  </si>
  <si>
    <t xml:space="preserve">Total BILL.COM HOLDINGS INC </t>
  </si>
  <si>
    <t xml:space="preserve">Total CONFLUENT INC-CLASS A </t>
  </si>
  <si>
    <t xml:space="preserve">COUPA SOFTWARE </t>
  </si>
  <si>
    <t xml:space="preserve">Total COUPA SOFTWARE </t>
  </si>
  <si>
    <t>Total DATADOG INC - CLASS A</t>
  </si>
  <si>
    <t>DOCUSIGN INC</t>
  </si>
  <si>
    <t>Total DOCUSIGN INC</t>
  </si>
  <si>
    <t>ELASTIC NV</t>
  </si>
  <si>
    <t>Total ELASTIC NV</t>
  </si>
  <si>
    <t>EPAM SYSTEMS</t>
  </si>
  <si>
    <t>Total EPAM SYSTEMS</t>
  </si>
  <si>
    <t>Total FLEETCOR TECHNOLOGIES</t>
  </si>
  <si>
    <t>Total FRESHWORKS INC-CL A</t>
  </si>
  <si>
    <t>GITLAB INC</t>
  </si>
  <si>
    <t>Total GITLAB INC</t>
  </si>
  <si>
    <t xml:space="preserve">Total INTUIT </t>
  </si>
  <si>
    <t>LAM RESEARCH</t>
  </si>
  <si>
    <t>Total LAM RESEARCH</t>
  </si>
  <si>
    <t>LYFT INC-A</t>
  </si>
  <si>
    <t>Total LYFT INC-A</t>
  </si>
  <si>
    <t>MATCH GROUP INC</t>
  </si>
  <si>
    <t>Total MATCH GROUP INC</t>
  </si>
  <si>
    <t>Total META PLATFORMS INC</t>
  </si>
  <si>
    <t xml:space="preserve">MICROCHIP TECH </t>
  </si>
  <si>
    <t xml:space="preserve">Total MICROCHIP TECH </t>
  </si>
  <si>
    <t>MICRON TECHNOLOGY</t>
  </si>
  <si>
    <t>Total MICRON TECHNOLOGY</t>
  </si>
  <si>
    <t>Total MICROSOFT</t>
  </si>
  <si>
    <t xml:space="preserve">MONDAY.COM LTD </t>
  </si>
  <si>
    <t xml:space="preserve">Total MONDAY.COM LTD </t>
  </si>
  <si>
    <t xml:space="preserve">Total MONGODB INC </t>
  </si>
  <si>
    <t>Total NVIDIA</t>
  </si>
  <si>
    <t xml:space="preserve">NXP SEMICONDUCTORS </t>
  </si>
  <si>
    <t xml:space="preserve">Total NXP SEMICONDUCTORS </t>
  </si>
  <si>
    <t xml:space="preserve">Total PAGSEGURO DIGITAL LTD-CL A </t>
  </si>
  <si>
    <t xml:space="preserve">Total PAYCOM SOFTWARE </t>
  </si>
  <si>
    <t xml:space="preserve">ROKU INC </t>
  </si>
  <si>
    <t xml:space="preserve">Total ROKU INC </t>
  </si>
  <si>
    <t xml:space="preserve">Total SALESFORCE INC </t>
  </si>
  <si>
    <t xml:space="preserve">SENTINELONE INC -CLASS A </t>
  </si>
  <si>
    <t xml:space="preserve">Total SENTINELONE INC -CLASS A </t>
  </si>
  <si>
    <t>Total SHIFT4 PAYMENTS INC</t>
  </si>
  <si>
    <t xml:space="preserve">SHOPIFY -A- </t>
  </si>
  <si>
    <t xml:space="preserve">Total SHOPIFY -A- </t>
  </si>
  <si>
    <t xml:space="preserve">SMARTSHEET INC-CLASS A </t>
  </si>
  <si>
    <t xml:space="preserve">Total SMARTSHEET INC-CLASS A </t>
  </si>
  <si>
    <t>Total SNOWFLAKE INC-CLASS A</t>
  </si>
  <si>
    <t xml:space="preserve">Total SOLAREDGE TECHNOLOGIES </t>
  </si>
  <si>
    <t>Total TERADYNE INC</t>
  </si>
  <si>
    <t>TOAST INC</t>
  </si>
  <si>
    <t>Total TOAST INC</t>
  </si>
  <si>
    <t xml:space="preserve">Total TRADE DESK INC/THE -CLASS A </t>
  </si>
  <si>
    <t>Total TWILIO -A-</t>
  </si>
  <si>
    <t>Total VISA -A-</t>
  </si>
  <si>
    <t xml:space="preserve">WOLFSPEED INC </t>
  </si>
  <si>
    <t xml:space="preserve">Total WOLFSPEED INC </t>
  </si>
  <si>
    <t xml:space="preserve">WORKDAY INC-CLASS A </t>
  </si>
  <si>
    <t xml:space="preserve">Total WORKDAY INC-CLASS A </t>
  </si>
  <si>
    <t xml:space="preserve">ZOOM VIDEO COMMUNICATIONS-A </t>
  </si>
  <si>
    <t xml:space="preserve">Total ZOOM VIDEO COMMUNICATIONS-A </t>
  </si>
  <si>
    <t xml:space="preserve">ZOOMINFO TECHNOLOGIES INC </t>
  </si>
  <si>
    <t xml:space="preserve">Total ZOOMINFO TECHNOLOGIES INC </t>
  </si>
  <si>
    <t>Total JPM ASSET MGM INCOME FD - USD - C</t>
  </si>
  <si>
    <t>(en blanco)</t>
  </si>
  <si>
    <t>Total (en blanco)</t>
  </si>
  <si>
    <t>DETERMINACIÓN DE GANANCIAS Y (PÉRDIDAS) CAMBIARIAS REALIZADAS CONFORME A LO ESTABLECIDO EN EL TÍTULO VI, CAPÍTULO I DE LA LISR</t>
  </si>
  <si>
    <t>Pérdida Cambiaria</t>
  </si>
  <si>
    <t xml:space="preserve">INGRESOS EN TÉRMINOS DEL TÍTULO II DE LA LISR																		</t>
  </si>
  <si>
    <t>Ganancia Cambiaria</t>
  </si>
  <si>
    <t>Tipo de Operación</t>
  </si>
  <si>
    <t>Gran total de Ganancias / (Pérdidas) cambiarias realizadas</t>
  </si>
  <si>
    <t xml:space="preserve">Total de ingresos por diferencias cambiarias realizadas en la Cta. </t>
  </si>
  <si>
    <t>DETERMINACIÓN DE OTROS INGRESOS OBTENIDOS EN EL EJERCICIO CONFORME AL TÍTULO VI, CAPÍTULO I DE LA LISR</t>
  </si>
  <si>
    <t>Ganancia realizada - Commitment</t>
  </si>
  <si>
    <t>Cash in Lieu</t>
  </si>
  <si>
    <t>Direct Investment</t>
  </si>
  <si>
    <t>Total de otros ingresos percibidos</t>
  </si>
  <si>
    <t>Total de Otros Ingresos en la Cta.</t>
  </si>
  <si>
    <t>DETERMINACIÓN DE INGRESOS EN OPERACIONES FINANCIERAS DERIVADAS SEGÚN LO ESTABLECIDO EN EL TÍTULO VI, CAPÍTULO I DE LA LISR</t>
  </si>
  <si>
    <t>INGRESOS EN TÉRMINOS DEL TÍTULO II LISR, CAPÍTULO I DE LA LISR EN MONEDA FUNCIONAL - SWAPS</t>
  </si>
  <si>
    <t>Total de ingresos por OFD - Swaps de la Cta.</t>
  </si>
  <si>
    <t>RESUMEN DE GANANCIAS/(PÉRDIDAS) EN VENTA DE DERIVADOS - CAPITAL</t>
  </si>
  <si>
    <t>(Pérdida) neta en OFD - Opciones</t>
  </si>
  <si>
    <t>Ganancia neta en OFD - Opciones</t>
  </si>
  <si>
    <t>(Pérdida) neta en OFD - Forward referidos a una divisa</t>
  </si>
  <si>
    <t>Ganancia neta en OFD - Forward referidos a una divisa</t>
  </si>
  <si>
    <t>Efecto neto OFD de capital</t>
  </si>
  <si>
    <t xml:space="preserve">(Pérdidas) de ejercicios anteriores </t>
  </si>
  <si>
    <t>INGRESOS EN TÉRMINOS DEL TÍTULO II LISR, CAPÍTULO I DE LA LISR EN MONEDA FUNCIONAL - FORWARD</t>
  </si>
  <si>
    <t>INGRESOS EN TÉRMINOS DEL TÍTULO II LISR, CAPÍTULO I DE LA LISR EN MONEDA FUNCIONAL</t>
  </si>
  <si>
    <t>Realizado</t>
  </si>
  <si>
    <t>Título - Descripción</t>
  </si>
  <si>
    <t>Número de Títulos Operación Inicial</t>
  </si>
  <si>
    <t xml:space="preserve">Monto Inicial en USD </t>
  </si>
  <si>
    <t xml:space="preserve">Monto Final en USD </t>
  </si>
  <si>
    <t>Ganancia / Pérdida</t>
  </si>
  <si>
    <t>Tipo de Operación Inicial</t>
  </si>
  <si>
    <t>Fecha de Operación Inicial</t>
  </si>
  <si>
    <t>Moneda Original Operación Inicial</t>
  </si>
  <si>
    <t>Tipo de Operación Final</t>
  </si>
  <si>
    <t>Número de Títulos - Operación Final</t>
  </si>
  <si>
    <t>Fecha de Operación Final</t>
  </si>
  <si>
    <t>Moneda Original Operacion Final</t>
  </si>
  <si>
    <t xml:space="preserve">Monto Inicial en Moneda Original </t>
  </si>
  <si>
    <t xml:space="preserve">Equivalencia - Movimiento Inicial </t>
  </si>
  <si>
    <t xml:space="preserve">Monto Final en Moneda Original </t>
  </si>
  <si>
    <t>DETERMINACIÓN DE LOS INGRESOS PROVENIENTES DE DISTRIBUCIONES DE PRIVATE EQUITY CONFORME AL TÍTULO VI, CAPÍTULO I DE LA LISR</t>
  </si>
  <si>
    <t>Tipo</t>
  </si>
  <si>
    <t>Monto en Moneda Original</t>
  </si>
  <si>
    <t>Saldo</t>
  </si>
  <si>
    <t>Monto Ingreso Acumulable</t>
  </si>
  <si>
    <t>Ingresos/Cash del PE ( + )</t>
  </si>
  <si>
    <t>Deducciones/Cash hacia el PE ( - )</t>
  </si>
  <si>
    <t>Neto Entradas y Salidas</t>
  </si>
  <si>
    <t>Saldo Estado de Cuenta</t>
  </si>
  <si>
    <t>Diferencia - Otros ingresos</t>
  </si>
  <si>
    <t>Total Annual</t>
  </si>
  <si>
    <t>Lista de movimientos</t>
  </si>
  <si>
    <t xml:space="preserve">Contribución / Investment / Cap Call (-) </t>
  </si>
  <si>
    <t>TIGER GLOBAL PIP XV PRIVATE INVESTORS OFFSHORE</t>
  </si>
  <si>
    <t>Distribución / ROC (+)</t>
  </si>
  <si>
    <t>Capital Comprometido - Commitment</t>
  </si>
  <si>
    <t>Capital Comprometido no fondeado - Commitment</t>
  </si>
  <si>
    <t>(Contribuciones) de Capital netas desde el inicio</t>
  </si>
  <si>
    <t>Capital Distribuido neto desde el inicio</t>
  </si>
  <si>
    <t>Neto (Contribuciones) de Capital / Neto Capital Distribuido desde el inicio</t>
  </si>
  <si>
    <t>CIERRE 2022</t>
  </si>
  <si>
    <t>Total Ingresos Commitment</t>
  </si>
  <si>
    <t>Total de Ingresos Acumulables en el ejercicio</t>
  </si>
  <si>
    <t>DETERMINACIÓN DE LOS GASTOS EFECTUADOS EN EL EJERCICIO CONFORME AL TÍTULO VI, CAPÍTULO I DE LA LISR</t>
  </si>
  <si>
    <t>Deal Expenses</t>
  </si>
  <si>
    <t>DEDUCCIONES EN TÉRMINOS DEL TÍTULO II DE LA LISR - MONEDA FUNCIONAL</t>
  </si>
  <si>
    <t>Deal Expenses Reclass</t>
  </si>
  <si>
    <t>Management Fees</t>
  </si>
  <si>
    <t>Conduit Expenses</t>
  </si>
  <si>
    <t>Fees</t>
  </si>
  <si>
    <t>Origination Fee</t>
  </si>
  <si>
    <t>QTRLY INV MNGT FE</t>
  </si>
  <si>
    <t>Flat Fee</t>
  </si>
  <si>
    <t>MGMT FEE</t>
  </si>
  <si>
    <t>Fee on Security</t>
  </si>
  <si>
    <t>QTRLY INV MNGT FEE</t>
  </si>
  <si>
    <t>Fund Fees</t>
  </si>
  <si>
    <t>JPMORGAN CHASE CUSTODY FEES</t>
  </si>
  <si>
    <t>ONGOING EXPENSES</t>
  </si>
  <si>
    <t>ORGANIZATIONAL EXPENSES</t>
  </si>
  <si>
    <t>Total de gastos efectuados en el ejercicio</t>
  </si>
  <si>
    <t xml:space="preserve">Total de gastos generados en la Cta. </t>
  </si>
  <si>
    <t>DETERMINACIÓN DE LOS INTERESES PAGADOS POR CAPITALES TOMADOS EN PRÉSTAMO CONFORME AL TÍTULO VI, CAPÍTULO I DE LA LISR</t>
  </si>
  <si>
    <t>Interés pagado - Línea de crédito</t>
  </si>
  <si>
    <t>Interés pagado - Sobregiro</t>
  </si>
  <si>
    <t>Total de intereses pagados por capitales tomados en préstamo en el ejercicio</t>
  </si>
  <si>
    <t>Total de intereses pagados en la Cta.</t>
  </si>
  <si>
    <t>DETERMINACIÓN DEL MONTO ACREDITABLE SOBRE OTRAS RETENCIONES EFECTUADAS EN EL EJERCICIO CONFORME AL TÍTULO VI, CAPÍTULO I DE LA LISR</t>
  </si>
  <si>
    <t>Tax withheld on dividends</t>
  </si>
  <si>
    <t>ACREDITAMIENTO EN TÉRMINOS DEL TÍTULO II &amp; ARTÍCULO 5 DE LA LISR EN MONEDA FUNCIONAL</t>
  </si>
  <si>
    <t>Tax withheld on interest</t>
  </si>
  <si>
    <t>Tax withheld reversal</t>
  </si>
  <si>
    <t>BLACKSTONE INC</t>
  </si>
  <si>
    <t>EQUITY RESIDENTIAL</t>
  </si>
  <si>
    <t>TO REVERSE ENTRY OF EQUITY RESIDENTIAL</t>
  </si>
  <si>
    <t>APOLLO ASSET MANAGEMENT INC</t>
  </si>
  <si>
    <t>JPMORGAN CHASE &amp; CO</t>
  </si>
  <si>
    <t>HONEYWELL INTERNATIONAL INC</t>
  </si>
  <si>
    <t>Total de otras retenciones efectuadas en el ejercicio</t>
  </si>
  <si>
    <t>Total en Moneda Original</t>
  </si>
  <si>
    <t>Total en USD</t>
  </si>
  <si>
    <t>Total de otras retenciones efectuadas en la Cta.</t>
  </si>
  <si>
    <t xml:space="preserve">Notas: </t>
  </si>
  <si>
    <t>Account Number</t>
  </si>
  <si>
    <t>Acquisition Date</t>
  </si>
  <si>
    <t>Asset Name</t>
  </si>
  <si>
    <t>Original Currency</t>
  </si>
  <si>
    <t>Cost Basis Original Currency (Total)</t>
  </si>
  <si>
    <t>Units Sold</t>
  </si>
  <si>
    <t>Unit cost basis - Original Currency</t>
  </si>
  <si>
    <t>Cost basis in USD</t>
  </si>
  <si>
    <t>INPC Adquisición</t>
  </si>
  <si>
    <t>INPC Enajenación</t>
  </si>
  <si>
    <t xml:space="preserve">Factor </t>
  </si>
  <si>
    <t>Costo Actualizado total (USD)</t>
  </si>
  <si>
    <t>S</t>
  </si>
  <si>
    <t>Quantity Sold</t>
  </si>
  <si>
    <t>Transaction type (sale, maturity, redemption etc.)</t>
  </si>
  <si>
    <t>Asset type (Seleccionar)</t>
  </si>
  <si>
    <t>Sale Date</t>
  </si>
  <si>
    <t>Sale Currency</t>
  </si>
  <si>
    <t>Proceeds Original Currency</t>
  </si>
  <si>
    <t>Proceeds USD</t>
  </si>
  <si>
    <t>Gain / Loss in USD Historic</t>
  </si>
  <si>
    <t>Tax Basis in USD Restated by Inflation</t>
  </si>
  <si>
    <t>Total Gain / Loss</t>
  </si>
  <si>
    <t>% de Ganancia</t>
  </si>
  <si>
    <t>Lista de Instrumentos</t>
  </si>
  <si>
    <t>Lista de Operaciones</t>
  </si>
  <si>
    <t>Sale</t>
  </si>
  <si>
    <t>Bonos</t>
  </si>
  <si>
    <t>Maturity</t>
  </si>
  <si>
    <t>Redemption</t>
  </si>
  <si>
    <t>Exchange</t>
  </si>
  <si>
    <t>Transfer</t>
  </si>
  <si>
    <t>Cash in lieu</t>
  </si>
  <si>
    <t>Activo</t>
  </si>
  <si>
    <t>Titulos</t>
  </si>
  <si>
    <t>Unitario</t>
  </si>
  <si>
    <t>Balance de Títulos</t>
  </si>
  <si>
    <t>Aquisition Date</t>
  </si>
  <si>
    <t>Costo</t>
  </si>
  <si>
    <t>Sale date</t>
  </si>
  <si>
    <t>Proceeds</t>
  </si>
  <si>
    <t>Purchase</t>
  </si>
  <si>
    <t xml:space="preserve">Sale </t>
  </si>
  <si>
    <t>ICS US ULTR SHRT-HERIT</t>
  </si>
  <si>
    <t>Seleccionar la Operación Financiera Derivada (OFD) de que se trata</t>
  </si>
  <si>
    <t>Seleccionar el Tipo de Operación Inicial</t>
  </si>
  <si>
    <t>Monto Inicial en Moneda Original</t>
  </si>
  <si>
    <t>Equivalencia - Movimiento Inicial</t>
  </si>
  <si>
    <t>Monto Inicial en USD</t>
  </si>
  <si>
    <t>INPC Operación Inicial</t>
  </si>
  <si>
    <t>INPC Operación Final</t>
  </si>
  <si>
    <t>Operación Original Actualizada en MXN</t>
  </si>
  <si>
    <t>Valor Unitario en MXN</t>
  </si>
  <si>
    <t>Seleccionar el Tipo de Operación Final</t>
  </si>
  <si>
    <t>Monto Final en Moneda Original</t>
  </si>
  <si>
    <t>Monto Final en USD</t>
  </si>
  <si>
    <t>Monto Original Histórico</t>
  </si>
  <si>
    <t>Total Gain / Loss con inflación</t>
  </si>
  <si>
    <t>Monto Original ActualizadO</t>
  </si>
  <si>
    <t xml:space="preserve">PUT </t>
  </si>
  <si>
    <t>Write Option</t>
  </si>
  <si>
    <t>CALL</t>
  </si>
  <si>
    <t>Assignment Option</t>
  </si>
  <si>
    <t>FWD</t>
  </si>
  <si>
    <t>Purchase Option</t>
  </si>
  <si>
    <t>Sale Option</t>
  </si>
  <si>
    <t>Expired Option</t>
  </si>
  <si>
    <t>BuyBack Option</t>
  </si>
  <si>
    <t>DETERMINACIÓN DE PÉRDIDAS FISCALES PENDIENTES DE AMORTIZAR DE ACUERDO CON EL TÍTULO VI, CAPÍTULO I DE LA LISR</t>
  </si>
  <si>
    <t>PÉRDIDAS EN TÉRMINOS DEL TÍTULO II, CAPÍTULO V DE LA LISR</t>
  </si>
  <si>
    <t>ejercicio fiscal 2022</t>
  </si>
  <si>
    <t>Moneda:</t>
  </si>
  <si>
    <t>pesos mexicanos</t>
  </si>
  <si>
    <t>Año de Origen de la Pérdida</t>
  </si>
  <si>
    <t>Tipo de Declaración</t>
  </si>
  <si>
    <t>Fecha de presentación de la Declarción</t>
  </si>
  <si>
    <t>Pérdida del Ejercicio en MXN</t>
  </si>
  <si>
    <t>Utilidad Amortizada Ejercicios Anteriores</t>
  </si>
  <si>
    <t>Remanente de Pérdidas Después de Amortización</t>
  </si>
  <si>
    <t>Año de Amortización de la Pérdida</t>
  </si>
  <si>
    <t>Tipo Declaración</t>
  </si>
  <si>
    <t>Fecha Inicial</t>
  </si>
  <si>
    <t>INPC Antiguo</t>
  </si>
  <si>
    <t>Fecha Final</t>
  </si>
  <si>
    <t>INPC Nuevo</t>
  </si>
  <si>
    <t>Factor</t>
  </si>
  <si>
    <t>Pérdida Actualizada</t>
  </si>
  <si>
    <t>Remanente Actualizado por Aplicar en 2021</t>
  </si>
  <si>
    <t>Declaración Normal</t>
  </si>
  <si>
    <t>Declaración Complementaria</t>
  </si>
  <si>
    <t>Declaración Complementaria por Dictamen</t>
  </si>
  <si>
    <t>TOTAL</t>
  </si>
  <si>
    <t>SOPORTE DE LEY:</t>
  </si>
  <si>
    <t>Artículo 57, 4to párrafo.</t>
  </si>
  <si>
    <t>Se actualizará:</t>
  </si>
  <si>
    <t>a.</t>
  </si>
  <si>
    <t>Desde el primer mes de la seguna mitad del ejercicio en el que ocurrió la pérdida</t>
  </si>
  <si>
    <t>Hasta el último mes del mismo ejercicio</t>
  </si>
  <si>
    <t>La ya actualizada</t>
  </si>
  <si>
    <t>b.</t>
  </si>
  <si>
    <t>Desde el mes en el que se actualizó por última vez</t>
  </si>
  <si>
    <t>Hasta el último mes de la primera mitad del ejercicio en el que se aplicará</t>
  </si>
  <si>
    <t>DETERMINACIÓN DEL ISR ACREDITABLE PENDIENTE DE DISMINUIR DE ACUERDO CON EL TÍTULO VI, CAPÍTULO I DE LA LISR</t>
  </si>
  <si>
    <t>ACREDITAMIENTO EN TERMINOS DEL ARTÍCULO 5 DE LA LISR</t>
  </si>
  <si>
    <t>Año del Impuesto Acreditable</t>
  </si>
  <si>
    <t>Impuesto Acreditable del Ejercicio en MXN</t>
  </si>
  <si>
    <t>Impuesto Acreditable Pendiente de Disminuir Después de Amortización</t>
  </si>
  <si>
    <t>Año de Amortización del Impuesto Acreditable</t>
  </si>
  <si>
    <t>Impuesto Acreditable Actualizado</t>
  </si>
  <si>
    <t>Remanente Actualizado por Aplicar en 2020</t>
  </si>
  <si>
    <t>Artículo 5, párrafo 12 de la LISR (te remite a pérdidas)</t>
  </si>
  <si>
    <t>DETERMINACIÓN DE PÉRDIDAS EN VENTA DE ACCIONES PENDIENTES DE DISMINUIR DE ACUERDO CON EL TÍTULO VI, CAPÍTULO I DE LA LISR</t>
  </si>
  <si>
    <t>PÉRDIDAS EN TÉRMINOS DEL TÍTULO II DE LA LISR</t>
  </si>
  <si>
    <t>Pérdida del Ejercicio</t>
  </si>
  <si>
    <t>Mes</t>
  </si>
  <si>
    <t>Remanente Actualizado</t>
  </si>
  <si>
    <t>INFORMACIÓN DE REFERENCIA:</t>
  </si>
  <si>
    <t>Artículo 28 fracción XVII párrafo 3.</t>
  </si>
  <si>
    <t>Desde el mes en el que ocurrieron y hasta el cierre del ejercicio</t>
  </si>
  <si>
    <t>Desde el mes de cierre del ejercicio en el que se actualizó por última vez</t>
  </si>
  <si>
    <t xml:space="preserve"> hasta el último mes del ejercicio inmediato anterior a aquel en el que se deducirá</t>
  </si>
  <si>
    <t>DETERMINACIÓN DE PÉRDIDAS EN OFD PENDIENTES DE DISMINUIR DE ACUERDO CON EL TÍTULO VI, CAPÍTULO I DE LA LISR</t>
  </si>
  <si>
    <t xml:space="preserve"> hasta le último mes del ejercicio inmediato anterior a aquel en el que se deducirá</t>
  </si>
  <si>
    <t>EQUIVALENCIAS DE MONEDAS EXTRANJERAS EN DOLÁRES DE E.U.A. DEL 2022</t>
  </si>
  <si>
    <t>EQUIVALENCIAS DE MONEDAS EXTRANJERAS EN DOLÁRES DE E.U.A. DEL 2021</t>
  </si>
  <si>
    <t>EQUIVALENCIAS DE MONEDAS EXTRANJERAS EN DOLÁRES DE E.U.A. DEL 2020</t>
  </si>
  <si>
    <t>EQUIVALENCIAS DE MONEDAS EXTRANJERAS EN DOLÁRES DE E.U.A. DEL 2019</t>
  </si>
  <si>
    <t>EQUIVALENCIAS DE MONEDAS EXTRANJERAS EN DOLÁRES DE E.U.A. DEL 2018</t>
  </si>
  <si>
    <t>EQUIVALENCIAS DE MONEDAS EXTRANJERAS EN DOLÁRES DE E.U.A. DEL 2017</t>
  </si>
  <si>
    <t>EQUIVALENCIAS DE MONEDAS EXTRANJERAS EN DOLÁRES DE E.U.A. DEL 2016</t>
  </si>
  <si>
    <t>EQUIVALENCIAS DE MONEDAS EXTRANJERAS EN DOLÁRES DE E.U.A. DEL 2015</t>
  </si>
  <si>
    <t>EQUIVALENCIAS DE MONEDAS EXTRANJERAS EN DOLÁRES DE E.U.A. DEL 2014</t>
  </si>
  <si>
    <t>EQUIVALENCIAS DE MONEDAS EXTRANJERAS EN DOLÁRES DE E.U.A. DEL 2013</t>
  </si>
  <si>
    <t>EQUIVALENCIAS DE MONEDAS EXTRANJERAS EN DOLÁRES DE E.U.A. DEL 2012</t>
  </si>
  <si>
    <t>EQUIVALENCIAS DE MONEDAS EXTRANJERAS EN DOLÁRES DE E.U.A. DEL 2011</t>
  </si>
  <si>
    <t>EQUIVALENCIAS DE MONEDAS EXTRANJERAS EN DOLÁRES DE E.U.A. DEL 2010</t>
  </si>
  <si>
    <t>EQUIVALENCIAS DE MONEDAS EXTRANJERAS EN DOLÁRES DE E.U.A. DEL 2009</t>
  </si>
  <si>
    <t>EQUIVALENCIAS DE MONEDAS EXTRANJERAS EN DOLÁRES DE E.U.A. DEL 2008</t>
  </si>
  <si>
    <t>EQUIVALENCIAS DE MONEDAS EXTRANJERAS EN DOLÁRES DE E.U.A. DEL 2007</t>
  </si>
  <si>
    <t>EQUIVALENCIAS DE MONEDAS EXTRANJERAS EN DOLÁRES DE E.U.A. DEL 2006</t>
  </si>
  <si>
    <t>EQUIVALENCIAS DE MONEDAS EXTRANJERAS EN DOLÁRES DE E.U.A. DEL 2005</t>
  </si>
  <si>
    <t>MXN</t>
  </si>
  <si>
    <t xml:space="preserve">Enero </t>
  </si>
  <si>
    <t>Febrero</t>
  </si>
  <si>
    <t xml:space="preserve">Marzo </t>
  </si>
  <si>
    <t>Abril</t>
  </si>
  <si>
    <t xml:space="preserve">Mayo </t>
  </si>
  <si>
    <t>Junio</t>
  </si>
  <si>
    <t>Julio</t>
  </si>
  <si>
    <t>Agosto</t>
  </si>
  <si>
    <t>Septiembre</t>
  </si>
  <si>
    <t>Octubre</t>
  </si>
  <si>
    <t>Noviembre</t>
  </si>
  <si>
    <t>AUD</t>
  </si>
  <si>
    <t>BRL</t>
  </si>
  <si>
    <t>CHF</t>
  </si>
  <si>
    <t>DKK</t>
  </si>
  <si>
    <t>GBP</t>
  </si>
  <si>
    <t>NOK</t>
  </si>
  <si>
    <t>NZD</t>
  </si>
  <si>
    <t>RMB</t>
  </si>
  <si>
    <t>RUB</t>
  </si>
  <si>
    <t>TKL</t>
  </si>
  <si>
    <t>HUF</t>
  </si>
  <si>
    <t>INR</t>
  </si>
  <si>
    <t>IDR</t>
  </si>
  <si>
    <t>ILS</t>
  </si>
  <si>
    <t>COP</t>
  </si>
  <si>
    <t>SI(A19="MXN",1/BUSCARH(AÑO(B19)+(MES(B19)/100),TC!$5:$100,DIA(B19)+2,FALSO),BUSCARV(A19,EQUIVALENCIA!$1:$100,((MAX(EQUIVALENCIA!$3:$3)-AÑO(B19))*14)+MES(B19)+2,FALSO))</t>
  </si>
  <si>
    <t xml:space="preserve">C9 </t>
  </si>
  <si>
    <t>D9</t>
  </si>
  <si>
    <t>TIPO DE CAMBIO PARA SOLVENTAR OBLIGACIONES DENOMINADAS EN DOLARES DE LOS ESTADOS UNIDOS</t>
  </si>
  <si>
    <t xml:space="preserve"> DE AMERICA PAGADERAS EN LA REPUBLICA MEXICANA PARA 2022</t>
  </si>
  <si>
    <t xml:space="preserve"> DE AMERICA PAGADERAS EN LA REPUBLICA MEXICANA PARA 2021</t>
  </si>
  <si>
    <t xml:space="preserve"> DE AMERICA PAGADERAS EN LA REPUBLICA MEXICANA PARA 2020</t>
  </si>
  <si>
    <t xml:space="preserve"> DE AMERICA PAGADERAS EN LA REPUBLICA MEXICANA PARA 2019</t>
  </si>
  <si>
    <t xml:space="preserve"> DE AMERICA PAGADERAS EN LA REPUBLICA MEXICANA PARA 2018</t>
  </si>
  <si>
    <t xml:space="preserve"> DE AMERICA PAGADERAS EN LA REPUBLICA MEXICANA PARA 2017</t>
  </si>
  <si>
    <t xml:space="preserve"> DE AMERICA PAGADERAS EN LA REPUBLICA MEXICANA PARA 2016</t>
  </si>
  <si>
    <t xml:space="preserve"> DE AMERICA PAGADERAS EN LA REPUBLICA MEXICANA PARA 2015</t>
  </si>
  <si>
    <t xml:space="preserve"> DE AMERICA PAGADERAS EN LA REPUBLICA MEXICANA PARA 2014</t>
  </si>
  <si>
    <t xml:space="preserve"> DE AMERICA PAGADERAS EN LA REPUBLICA MEXICANA PARA 2013</t>
  </si>
  <si>
    <t xml:space="preserve"> DE AMERICA PAGADERAS EN LA REPUBLICA MEXICANA PARA 2012</t>
  </si>
  <si>
    <t xml:space="preserve"> DE AMERICA PAGADERAS EN LA REPUBLICA MEXICANA PARA 2011</t>
  </si>
  <si>
    <t xml:space="preserve"> DE AMERICA PAGADERAS EN LA REPUBLICA MEXICANA PARA 2010</t>
  </si>
  <si>
    <t xml:space="preserve"> DE AMERICA PAGADERAS EN LA REPUBLICA MEXICANA PARA 2009</t>
  </si>
  <si>
    <t xml:space="preserve"> DE AMERICA PAGADERAS EN LA REPUBLICA MEXICANA PARA 2008</t>
  </si>
  <si>
    <t xml:space="preserve"> DE AMERICA PAGADERAS EN LA REPUBLICA MEXICANA PARA 2007</t>
  </si>
  <si>
    <t xml:space="preserve"> DE AMERICA PAGADERAS EN LA REPUBLICA MEXICANA PARA 2006</t>
  </si>
  <si>
    <t xml:space="preserve"> DE AMERICA PAGADERAS EN LA REPUBLICA MEXICANA PARA 2005</t>
  </si>
  <si>
    <t xml:space="preserve"> DE AMERICA PAGADERAS EN LA REPUBLICA MEXICANA PARA 2004</t>
  </si>
  <si>
    <t xml:space="preserve"> DE AMERICA PAGADERAS EN LA REPUBLICA MEXICANA PARA 2003</t>
  </si>
  <si>
    <t xml:space="preserve"> DE AMERICA PAGADERAS EN LA REPUBLICA MEXICANA PARA 2002</t>
  </si>
  <si>
    <t xml:space="preserve"> DE AMERICA PAGADERAS EN LA REPUBLICA MEXICANA PARA 2001</t>
  </si>
  <si>
    <t xml:space="preserve"> DE AMERICA PAGADERAS EN LA REPUBLICA MEXICANA PARA 2000</t>
  </si>
  <si>
    <t xml:space="preserve"> DE AMERICA PAGADERAS EN LA REPUBLICA MEXICANA PARA 1999</t>
  </si>
  <si>
    <t xml:space="preserve"> DE AMERICA PAGADERAS EN LA REPUBLICA MEXICANA PARA 1998</t>
  </si>
  <si>
    <t xml:space="preserve"> DE AMERICA PAGADERAS EN LA REPUBLICA MEXICANA PARA 1997</t>
  </si>
  <si>
    <t xml:space="preserve"> DE AMERICA PAGADERAS EN LA REPUBLICA MEXICANA PARA 1996</t>
  </si>
  <si>
    <t xml:space="preserve"> DE AMERICA PAGADERAS EN LA REPUBLICA MEXICANA PARA 1995</t>
  </si>
  <si>
    <t xml:space="preserve"> DE AMERICA PAGADERAS EN LA REPUBLICA MEXICANA PARA 1994</t>
  </si>
  <si>
    <t xml:space="preserve"> DE AMERICA PAGADERAS EN LA REPUBLICA MEXICANA PARA 1993</t>
  </si>
  <si>
    <t xml:space="preserve"> DE AMERICA PAGADERAS EN LA REPUBLICA MEXICANA PARA 1992</t>
  </si>
  <si>
    <t xml:space="preserve"> DE AMERICA PAGADERAS EN LA REPUBLICA MEXICANA PARA 1991</t>
  </si>
  <si>
    <t xml:space="preserve"> DE AMERICA PAGADERAS EN LA REPUBLICA MEXICANA PARA 1990</t>
  </si>
  <si>
    <t xml:space="preserve"> DE AMERICA PAGADERAS EN LA REPUBLICA MEXICANA PARA 1989</t>
  </si>
  <si>
    <t>DIA</t>
  </si>
  <si>
    <t xml:space="preserve">ENERO </t>
  </si>
  <si>
    <t>FEBRERO</t>
  </si>
  <si>
    <t>MARZO</t>
  </si>
  <si>
    <t>ABRIL</t>
  </si>
  <si>
    <t>MAYO</t>
  </si>
  <si>
    <t>JUNIO</t>
  </si>
  <si>
    <t>JULIO</t>
  </si>
  <si>
    <t>AGOSTO</t>
  </si>
  <si>
    <t>SEPTIEMBRE</t>
  </si>
  <si>
    <t>OCTUBRE</t>
  </si>
  <si>
    <t>NOVIEMBRE</t>
  </si>
  <si>
    <t>DICIEMBRE</t>
  </si>
  <si>
    <t>TIPO DE CAMBIO PARA DETERMINAR CONTRIBUCIONES Y SUS ACCESORIOS</t>
  </si>
  <si>
    <t>El artículo 20 del Código Fiscal de la Federación (CFF) establece que para determinar contribuciones y sus accesorios debe considerarse el tipo de cambio a que se haya adquirido la moneda extranjera de que se trate. También establece que cuando no haya adquisición debe considerarse el tipo de cambio que se publique en el DO el día anterior al en que se causen las contribuciones o el último publicado.</t>
  </si>
  <si>
    <t>TIPO DE CAMBIO DEL DOLAR DE LOS EUA</t>
  </si>
  <si>
    <t>En esta relación se anota en cada fecha el tipo de cambio del dólar de los Estados Unidos de América (EUA) publicado en el DO el día anterior o el último publicado.</t>
  </si>
  <si>
    <t>INDICE NACIONAL DE PRECIOS AL CONSUMIDOR</t>
  </si>
  <si>
    <t>CON BASE EN 2018=100</t>
  </si>
  <si>
    <t>AÑO</t>
  </si>
  <si>
    <t>ENE</t>
  </si>
  <si>
    <t>FEB</t>
  </si>
  <si>
    <t>MAR</t>
  </si>
  <si>
    <t>ABR</t>
  </si>
  <si>
    <t>MAY</t>
  </si>
  <si>
    <t>JUN</t>
  </si>
  <si>
    <t>JUL</t>
  </si>
  <si>
    <t>AGO</t>
  </si>
  <si>
    <t>SEP</t>
  </si>
  <si>
    <t>OCT</t>
  </si>
  <si>
    <t>NOV</t>
  </si>
  <si>
    <t>DIC</t>
  </si>
  <si>
    <t>Acc</t>
  </si>
  <si>
    <t xml:space="preserve"> </t>
  </si>
  <si>
    <t xml:space="preserve"> Jan </t>
  </si>
  <si>
    <t xml:space="preserve"> Feb </t>
  </si>
  <si>
    <t xml:space="preserve"> Mar </t>
  </si>
  <si>
    <t xml:space="preserve"> Apr </t>
  </si>
  <si>
    <t xml:space="preserve"> May </t>
  </si>
  <si>
    <t xml:space="preserve"> Jun </t>
  </si>
  <si>
    <t xml:space="preserve"> Jul </t>
  </si>
  <si>
    <t xml:space="preserve"> Aug </t>
  </si>
  <si>
    <t xml:space="preserve"> Sep </t>
  </si>
  <si>
    <t xml:space="preserve"> Oct </t>
  </si>
  <si>
    <t xml:space="preserve"> Nov </t>
  </si>
  <si>
    <t xml:space="preserve"> Dec </t>
  </si>
  <si>
    <t xml:space="preserve"> Total </t>
  </si>
  <si>
    <t>INCOME</t>
  </si>
  <si>
    <t>INVESTMENT INCOME</t>
  </si>
  <si>
    <t xml:space="preserve">    Interest Income Bonds-Taxable:</t>
  </si>
  <si>
    <t xml:space="preserve">    Total Interest Income Bonds-Taxable:</t>
  </si>
  <si>
    <t xml:space="preserve">    Interest Income Cash-Taxable:</t>
  </si>
  <si>
    <t xml:space="preserve">   </t>
  </si>
  <si>
    <t xml:space="preserve">    Total Interest Income Cash-Taxable:</t>
  </si>
  <si>
    <t xml:space="preserve">    Interest Commitment-Taxable:</t>
  </si>
  <si>
    <t xml:space="preserve">    Total Interest Commitment-Taxable:</t>
  </si>
  <si>
    <t xml:space="preserve">    Total Interest-Taxable:</t>
  </si>
  <si>
    <t xml:space="preserve">    Intereses Compra venta de Bonos:</t>
  </si>
  <si>
    <t xml:space="preserve">    Total Intereses Compra venta de Bonos:</t>
  </si>
  <si>
    <t xml:space="preserve">    Dividend Income-Taxable:</t>
  </si>
  <si>
    <t xml:space="preserve">    Total Dividend Income Mx-Taxable:</t>
  </si>
  <si>
    <t xml:space="preserve">    Total Dividend Income Off Shore-Taxable:</t>
  </si>
  <si>
    <t xml:space="preserve">    Tax-Withheld Div off Shore:</t>
  </si>
  <si>
    <t xml:space="preserve">    Total Tax-Withheld Div Off Shore:</t>
  </si>
  <si>
    <t xml:space="preserve">    Capital Gains - Acciones:</t>
  </si>
  <si>
    <t xml:space="preserve">    Total Capital Gains Acciones:</t>
  </si>
  <si>
    <t xml:space="preserve">    Capital Gains Bonos:</t>
  </si>
  <si>
    <t xml:space="preserve">    Total Capital Gains Bonos:</t>
  </si>
  <si>
    <t xml:space="preserve">    Total CG:</t>
  </si>
  <si>
    <t xml:space="preserve">    Ganancias Cambiarias</t>
  </si>
  <si>
    <t xml:space="preserve">    Total Ganancias Cambiarias Realizadas:</t>
  </si>
  <si>
    <t xml:space="preserve">    Otros Ingresos:</t>
  </si>
  <si>
    <t xml:space="preserve">    Total Other Investment Income:</t>
  </si>
  <si>
    <t xml:space="preserve">    Swap de Tipo de Cambio (ODF de Deuda):</t>
  </si>
  <si>
    <t xml:space="preserve">    Total Swap - OFD Deuda:</t>
  </si>
  <si>
    <t xml:space="preserve">    FWD (ODF de CAPITAL):</t>
  </si>
  <si>
    <t xml:space="preserve">    Opciones (ODF de CAPITAL):</t>
  </si>
  <si>
    <t xml:space="preserve">    General Expenses:</t>
  </si>
  <si>
    <t xml:space="preserve">    Total General Expenses:</t>
  </si>
  <si>
    <t xml:space="preserve">    Interest paid - Loan:</t>
  </si>
  <si>
    <t xml:space="preserve">    Total Intereses pagados en prestamos:</t>
  </si>
  <si>
    <t xml:space="preserve">    Otras Retenciones:</t>
  </si>
  <si>
    <t xml:space="preserve">    Total FIT-Withheld: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</si>
</sst>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164" formatCode="_-* #,##0.00_-;\-* #,##0.00_-;_-* &quot;-&quot;??_-;_-@_-"/>
    <numFmt numFmtId="165" formatCode="_(* #,##0.00_);_(* \(#,##0.00\);_(* &quot;-&quot;??_);_(@_)"/>
    <numFmt numFmtId="166" formatCode="_(* #,##0.0000_);_(* \(#,##0.0000\);_(* &quot;-&quot;??_);_(@_)"/>
    <numFmt numFmtId="167" formatCode="_-* #,##0.0000_-;\-* #,##0.0000_-;_-* &quot;-&quot;??_-;_-@_-"/>
    <numFmt numFmtId="168" formatCode="_-* #,##0.000_-;\-* #,##0.000_-;_-* &quot;-&quot;??_-;_-@_-"/>
    <numFmt numFmtId="169" formatCode="#,##0.0000;[Red]\-#,##0.0000"/>
    <numFmt numFmtId="170" formatCode="0.000000"/>
    <numFmt numFmtId="171" formatCode="#,##0.0000"/>
    <numFmt numFmtId="172" formatCode="#,##0.0000000"/>
    <numFmt numFmtId="173" formatCode="[$-409]d\-mmm\-yy;@"/>
    <numFmt numFmtId="174" formatCode="_(* #,##0.00000_);_(* \(#,##0.00000\);_(* &quot;-&quot;??_);_(@_)"/>
    <numFmt numFmtId="175" formatCode="_(* #,##0_);_(* \(#,##0\);_(* &quot;-&quot;??_);_(@_)"/>
    <numFmt numFmtId="176" formatCode="[$-409]dd\-mmm\-yy;@"/>
    <numFmt numFmtId="177" formatCode="_-* #,##0.00_-;\(#,##0.00\);_-* &quot;-&quot;??_-;_-@_-"/>
    <numFmt numFmtId="178" formatCode="0.0000"/>
    <numFmt numFmtId="179" formatCode="#,##0.00000"/>
    <numFmt numFmtId="180" formatCode="_(* #,##0.00_);[Red]_(* \(#,##0.00\);_(* &quot;-&quot;??_);_(@_)"/>
    <numFmt numFmtId="181" formatCode="_(* #,##0.00_);[Red]_(* \(#,##0.00\);_(* &quot;-&quot;??_)"/>
    <numFmt numFmtId="182" formatCode="mmm"/>
    <numFmt numFmtId="183" formatCode="_(* #,##0.000_);_(* \(#,##0.000\);_(* &quot;-&quot;??_);_(@_)"/>
    <numFmt numFmtId="184" formatCode="_-* #,##0.00000_-;\-* #,##0.00000_-;_-* &quot;-&quot;??_-;_-@_-"/>
    <numFmt numFmtId="185" formatCode="#,##0.00_);[Red]\(#,##0.00\)"/>
  </numFmts>
  <fonts count="52">
    <font>
      <sz val="12"/>
      <color theme="1"/>
      <name val="ArialMT"/>
      <family val="2"/>
    </font>
    <font>
      <sz val="12"/>
      <color theme="1"/>
      <name val="Calibri"/>
      <family val="2"/>
      <scheme val="minor"/>
    </font>
    <font>
      <sz val="12"/>
      <color theme="1"/>
      <name val="Calibri-Light"/>
      <family val="2"/>
    </font>
    <font>
      <sz val="12"/>
      <color theme="1"/>
      <name val="ArialMT"/>
      <family val="2"/>
    </font>
    <font>
      <sz val="12"/>
      <color theme="1"/>
      <name val="Calibri-Light"/>
      <family val="2"/>
    </font>
    <font>
      <sz val="10"/>
      <name val="Arial"/>
      <family val="2"/>
    </font>
    <font>
      <sz val="12"/>
      <color theme="1"/>
      <name val="Helvetica Light"/>
    </font>
    <font>
      <u/>
      <sz val="12"/>
      <color theme="10"/>
      <name val="ArialMT"/>
      <family val="2"/>
    </font>
    <font>
      <u/>
      <sz val="12"/>
      <color theme="11"/>
      <name val="ArialMT"/>
      <family val="2"/>
    </font>
    <font>
      <sz val="8"/>
      <name val="ArialMT"/>
      <family val="2"/>
    </font>
    <font>
      <b/>
      <sz val="16"/>
      <color rgb="FF10A1DA"/>
      <name val="Segoe UI"/>
      <family val="2"/>
    </font>
    <font>
      <sz val="12"/>
      <color theme="1"/>
      <name val="Segoe UI"/>
      <family val="2"/>
    </font>
    <font>
      <b/>
      <sz val="12"/>
      <color theme="1"/>
      <name val="Segoe UI"/>
      <family val="2"/>
    </font>
    <font>
      <sz val="12"/>
      <name val="Segoe UI"/>
      <family val="2"/>
    </font>
    <font>
      <b/>
      <sz val="12"/>
      <color theme="0"/>
      <name val="Segoe UI"/>
      <family val="2"/>
    </font>
    <font>
      <sz val="12"/>
      <color theme="0"/>
      <name val="Segoe UI"/>
      <family val="2"/>
    </font>
    <font>
      <b/>
      <sz val="16"/>
      <color rgb="FF2097DB"/>
      <name val="Segoe UI"/>
      <family val="2"/>
    </font>
    <font>
      <sz val="16"/>
      <color rgb="FF2097DB"/>
      <name val="Segoe UI"/>
      <family val="2"/>
    </font>
    <font>
      <b/>
      <sz val="12"/>
      <color rgb="FF2097DB"/>
      <name val="Segoe UI"/>
      <family val="2"/>
    </font>
    <font>
      <b/>
      <sz val="14"/>
      <color rgb="FFFF0000"/>
      <name val="Segoe UI"/>
      <family val="2"/>
    </font>
    <font>
      <b/>
      <sz val="12"/>
      <name val="Segoe UI"/>
      <family val="2"/>
    </font>
    <font>
      <b/>
      <sz val="16"/>
      <color rgb="FFFF0000"/>
      <name val="Segoe UI"/>
      <family val="2"/>
    </font>
    <font>
      <b/>
      <sz val="11"/>
      <color rgb="FFFF0000"/>
      <name val="Segoe UI"/>
      <family val="2"/>
    </font>
    <font>
      <b/>
      <u/>
      <sz val="12"/>
      <color theme="1"/>
      <name val="Segoe UI"/>
      <family val="2"/>
    </font>
    <font>
      <b/>
      <sz val="10"/>
      <color theme="1"/>
      <name val="Segoe UI"/>
      <family val="2"/>
    </font>
    <font>
      <sz val="10"/>
      <color theme="1"/>
      <name val="Segoe UI"/>
      <family val="2"/>
    </font>
    <font>
      <sz val="14"/>
      <color theme="1"/>
      <name val="Segoe UI"/>
      <family val="2"/>
    </font>
    <font>
      <sz val="10"/>
      <color theme="0"/>
      <name val="Segoe UI"/>
      <family val="2"/>
    </font>
    <font>
      <b/>
      <sz val="10"/>
      <color theme="0"/>
      <name val="Segoe UI"/>
      <family val="2"/>
    </font>
    <font>
      <sz val="9"/>
      <color theme="1"/>
      <name val="Segoe UI"/>
      <family val="2"/>
    </font>
    <font>
      <sz val="12"/>
      <color rgb="FF2097DB"/>
      <name val="Segoe UI"/>
      <family val="2"/>
    </font>
    <font>
      <b/>
      <sz val="12"/>
      <color indexed="8"/>
      <name val="Segoe UI"/>
      <family val="2"/>
    </font>
    <font>
      <sz val="12"/>
      <color rgb="FF000000"/>
      <name val="Segoe UI"/>
      <family val="2"/>
    </font>
    <font>
      <sz val="12"/>
      <color theme="0"/>
      <name val="Helvetica Light"/>
    </font>
    <font>
      <sz val="11"/>
      <color theme="1"/>
      <name val="Segoe UI"/>
      <family val="2"/>
    </font>
    <font>
      <sz val="11"/>
      <color theme="1"/>
      <name val="Helvetica Light"/>
    </font>
    <font>
      <sz val="11"/>
      <color rgb="FF000000"/>
      <name val="ArialMT"/>
      <family val="2"/>
    </font>
    <font>
      <sz val="11"/>
      <color rgb="FF468694"/>
      <name val="Segoe UI"/>
      <family val="2"/>
      <charset val="1"/>
    </font>
    <font>
      <sz val="11"/>
      <color rgb="FF000000"/>
      <name val="Segoe UI"/>
      <family val="2"/>
      <charset val="1"/>
    </font>
    <font>
      <sz val="11"/>
      <color rgb="FF468694"/>
      <name val="Segoe UI"/>
      <family val="2"/>
    </font>
    <font>
      <b/>
      <sz val="11"/>
      <color theme="1"/>
      <name val="Segoe UI"/>
      <family val="2"/>
    </font>
    <font>
      <b/>
      <sz val="12"/>
      <color theme="1"/>
      <name val="Segoe UI"/>
      <family val="2"/>
    </font>
    <font>
      <b/>
      <sz val="18"/>
      <color rgb="FF2097DB"/>
      <name val="Segoe UI"/>
      <family val="2"/>
    </font>
    <font>
      <sz val="10"/>
      <color rgb="FF000000"/>
      <name val="Tahoma"/>
      <family val="2"/>
    </font>
    <font>
      <b/>
      <sz val="10"/>
      <color rgb="FF000000"/>
      <name val="Tahoma"/>
      <family val="2"/>
    </font>
    <font>
      <sz val="18"/>
      <color rgb="FF000000"/>
      <name val="Tahoma"/>
      <family val="2"/>
    </font>
    <font>
      <b/>
      <sz val="12"/>
      <color rgb="FF468694"/>
      <name val="Segoe UI"/>
      <family val="2"/>
    </font>
    <font>
      <b/>
      <sz val="12"/>
      <color theme="8" tint="0.59999389629810485"/>
      <name val="Segoe UI"/>
      <family val="2"/>
    </font>
    <font>
      <sz val="12"/>
      <color theme="8" tint="0.59999389629810485"/>
      <name val="Segoe UI"/>
      <family val="2"/>
    </font>
    <font>
      <sz val="12"/>
      <color theme="6" tint="0.59999389629810485"/>
      <name val="Segoe UI"/>
      <family val="2"/>
    </font>
    <font>
      <sz val="12"/>
      <color theme="8" tint="-0.499984740745262"/>
      <name val="Segoe UI"/>
      <family val="2"/>
    </font>
    <font>
      <sz val="12"/>
      <color rgb="FF000000"/>
      <name val="ArialMT"/>
      <family val="2"/>
    </font>
  </fonts>
  <fills count="21">
    <fill>
      <patternFill patternType="none"/>
    </fill>
    <fill>
      <patternFill patternType="gray125"/>
    </fill>
    <fill>
      <patternFill patternType="solid">
        <fgColor theme="1"/>
        <bgColor indexed="64"/>
      </patternFill>
    </fill>
    <fill>
      <patternFill patternType="solid">
        <fgColor rgb="FFFF0000"/>
        <bgColor indexed="64"/>
      </patternFill>
    </fill>
    <fill>
      <patternFill patternType="solid">
        <fgColor indexed="8"/>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468694"/>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9E8FE"/>
        <bgColor indexed="64"/>
      </patternFill>
    </fill>
    <fill>
      <patternFill patternType="solid">
        <fgColor rgb="FF468694"/>
        <bgColor rgb="FF000000"/>
      </patternFill>
    </fill>
    <fill>
      <patternFill patternType="solid">
        <fgColor theme="0" tint="-0.499984740745262"/>
        <bgColor indexed="64"/>
      </patternFill>
    </fill>
    <fill>
      <patternFill patternType="solid">
        <fgColor rgb="FF76D6FF"/>
        <bgColor indexed="64"/>
      </patternFill>
    </fill>
    <fill>
      <patternFill patternType="solid">
        <fgColor rgb="FFFFFF00"/>
        <bgColor indexed="64"/>
      </patternFill>
    </fill>
  </fills>
  <borders count="41">
    <border>
      <left/>
      <right/>
      <top/>
      <bottom/>
      <diagonal/>
    </border>
    <border>
      <left/>
      <right/>
      <top style="thin">
        <color indexed="64"/>
      </top>
      <bottom style="thin">
        <color indexed="64"/>
      </bottom>
      <diagonal/>
    </border>
    <border>
      <left/>
      <right/>
      <top/>
      <bottom style="thin">
        <color rgb="FF00B0F0"/>
      </bottom>
      <diagonal/>
    </border>
    <border>
      <left/>
      <right/>
      <top style="thin">
        <color rgb="FF00B0F0"/>
      </top>
      <bottom style="thin">
        <color rgb="FF00B0F0"/>
      </bottom>
      <diagonal/>
    </border>
    <border>
      <left/>
      <right/>
      <top/>
      <bottom style="thin">
        <color rgb="FF2097DB"/>
      </bottom>
      <diagonal/>
    </border>
    <border>
      <left/>
      <right/>
      <top/>
      <bottom style="thin">
        <color rgb="FF8BC0FF"/>
      </bottom>
      <diagonal/>
    </border>
    <border>
      <left/>
      <right/>
      <top style="thin">
        <color rgb="FF00B0F0"/>
      </top>
      <bottom style="thin">
        <color rgb="FF8BC0FF"/>
      </bottom>
      <diagonal/>
    </border>
    <border>
      <left/>
      <right/>
      <top style="thin">
        <color rgb="FF2097DB"/>
      </top>
      <bottom style="thin">
        <color rgb="FF8BC0FF"/>
      </bottom>
      <diagonal/>
    </border>
    <border>
      <left/>
      <right/>
      <top style="thin">
        <color rgb="FF8BC0FF"/>
      </top>
      <bottom style="thin">
        <color rgb="FF8BC0FF"/>
      </bottom>
      <diagonal/>
    </border>
    <border>
      <left/>
      <right/>
      <top style="thin">
        <color rgb="FF8BC0FF"/>
      </top>
      <bottom/>
      <diagonal/>
    </border>
    <border>
      <left style="thin">
        <color rgb="FF8BC0FF"/>
      </left>
      <right style="thin">
        <color rgb="FF8BC0FF"/>
      </right>
      <top style="thin">
        <color rgb="FF8BC0FF"/>
      </top>
      <bottom style="thin">
        <color rgb="FF8BC0FF"/>
      </bottom>
      <diagonal/>
    </border>
    <border>
      <left/>
      <right/>
      <top style="thin">
        <color theme="1"/>
      </top>
      <bottom style="thin">
        <color theme="1"/>
      </bottom>
      <diagonal/>
    </border>
    <border>
      <left/>
      <right/>
      <top style="thin">
        <color rgb="FF8BC0FF"/>
      </top>
      <bottom style="medium">
        <color rgb="FF8BC0FF"/>
      </bottom>
      <diagonal/>
    </border>
    <border>
      <left/>
      <right/>
      <top/>
      <bottom style="thin">
        <color theme="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rgb="FF8DC1FF"/>
      </top>
      <bottom style="thin">
        <color rgb="FF8DC1FF"/>
      </bottom>
      <diagonal/>
    </border>
    <border>
      <left/>
      <right/>
      <top style="thin">
        <color rgb="FF8DC0FF"/>
      </top>
      <bottom style="thin">
        <color rgb="FF8DC0FF"/>
      </bottom>
      <diagonal/>
    </border>
    <border>
      <left/>
      <right/>
      <top style="thin">
        <color rgb="FF8BC1FF"/>
      </top>
      <bottom style="thin">
        <color rgb="FF8BC1FF"/>
      </bottom>
      <diagonal/>
    </border>
    <border>
      <left/>
      <right/>
      <top style="thin">
        <color rgb="FF8BC1F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bottom style="thin">
        <color theme="1"/>
      </bottom>
      <diagonal/>
    </border>
    <border>
      <left style="thin">
        <color theme="1"/>
      </left>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indexed="64"/>
      </right>
      <top/>
      <bottom/>
      <diagonal/>
    </border>
  </borders>
  <cellStyleXfs count="19">
    <xf numFmtId="0" fontId="0" fillId="0" borderId="0"/>
    <xf numFmtId="164" fontId="3" fillId="0" borderId="0" applyFont="0" applyFill="0" applyBorder="0" applyAlignment="0" applyProtection="0"/>
    <xf numFmtId="9" fontId="3" fillId="0" borderId="0" applyFont="0" applyFill="0" applyBorder="0" applyAlignment="0" applyProtection="0"/>
    <xf numFmtId="0" fontId="4" fillId="0" borderId="0"/>
    <xf numFmtId="165" fontId="5" fillId="0" borderId="0" applyFont="0" applyFill="0" applyBorder="0" applyAlignment="0" applyProtection="0"/>
    <xf numFmtId="165" fontId="5" fillId="0" borderId="0" applyFont="0" applyFill="0" applyBorder="0" applyAlignment="0" applyProtection="0"/>
    <xf numFmtId="0" fontId="5" fillId="0" borderId="0"/>
    <xf numFmtId="165" fontId="2"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1" fillId="0" borderId="0"/>
    <xf numFmtId="164" fontId="1" fillId="0" borderId="0" applyFont="0" applyFill="0" applyBorder="0" applyAlignment="0" applyProtection="0"/>
    <xf numFmtId="164" fontId="3" fillId="0" borderId="0" applyFont="0" applyFill="0" applyBorder="0" applyAlignment="0" applyProtection="0"/>
  </cellStyleXfs>
  <cellXfs count="608">
    <xf numFmtId="0" fontId="0" fillId="0" borderId="0" xfId="0"/>
    <xf numFmtId="0" fontId="6" fillId="0" borderId="0" xfId="0" applyFont="1"/>
    <xf numFmtId="0" fontId="11" fillId="0" borderId="0" xfId="0" applyFont="1" applyProtection="1">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protection hidden="1"/>
    </xf>
    <xf numFmtId="0" fontId="11" fillId="0" borderId="0" xfId="0" applyFont="1" applyAlignment="1" applyProtection="1">
      <alignment horizontal="center"/>
      <protection hidden="1"/>
    </xf>
    <xf numFmtId="166" fontId="11" fillId="0" borderId="0" xfId="1" applyNumberFormat="1" applyFont="1" applyFill="1" applyBorder="1" applyAlignment="1" applyProtection="1">
      <alignment vertical="center"/>
      <protection hidden="1"/>
    </xf>
    <xf numFmtId="0" fontId="12" fillId="0" borderId="0" xfId="0" applyFont="1" applyAlignment="1" applyProtection="1">
      <alignment horizontal="center" vertical="center"/>
      <protection hidden="1"/>
    </xf>
    <xf numFmtId="165" fontId="14" fillId="8" borderId="0" xfId="4" applyFont="1" applyFill="1" applyBorder="1" applyAlignment="1" applyProtection="1">
      <alignment horizontal="center" vertical="center"/>
      <protection hidden="1"/>
    </xf>
    <xf numFmtId="49" fontId="11" fillId="0" borderId="0" xfId="0" applyNumberFormat="1" applyFont="1" applyAlignment="1" applyProtection="1">
      <alignment horizontal="center"/>
      <protection hidden="1"/>
    </xf>
    <xf numFmtId="165" fontId="11" fillId="0" borderId="0" xfId="4" applyFont="1" applyFill="1" applyBorder="1" applyAlignment="1" applyProtection="1">
      <alignment vertical="center"/>
      <protection hidden="1"/>
    </xf>
    <xf numFmtId="164" fontId="11" fillId="0" borderId="0" xfId="1" applyFont="1" applyAlignment="1" applyProtection="1">
      <alignment horizontal="center" vertical="center"/>
      <protection hidden="1"/>
    </xf>
    <xf numFmtId="0" fontId="11" fillId="0" borderId="0" xfId="0" applyFont="1"/>
    <xf numFmtId="0" fontId="11" fillId="0" borderId="0" xfId="0" applyFont="1" applyProtection="1">
      <protection locked="0"/>
    </xf>
    <xf numFmtId="0" fontId="11" fillId="0" borderId="8" xfId="0" applyFont="1" applyBorder="1" applyAlignment="1" applyProtection="1">
      <alignment horizontal="center" vertical="center"/>
      <protection locked="0"/>
    </xf>
    <xf numFmtId="0" fontId="11" fillId="9" borderId="6" xfId="0" applyFont="1" applyFill="1" applyBorder="1" applyProtection="1">
      <protection locked="0"/>
    </xf>
    <xf numFmtId="0" fontId="11" fillId="9" borderId="5" xfId="0" applyFont="1" applyFill="1" applyBorder="1" applyProtection="1">
      <protection locked="0"/>
    </xf>
    <xf numFmtId="0" fontId="11" fillId="9" borderId="7" xfId="0" applyFont="1" applyFill="1" applyBorder="1" applyProtection="1">
      <protection locked="0"/>
    </xf>
    <xf numFmtId="0" fontId="11" fillId="0" borderId="5" xfId="0" applyFont="1" applyBorder="1" applyAlignment="1" applyProtection="1">
      <alignment horizontal="center" vertical="center"/>
      <protection hidden="1"/>
    </xf>
    <xf numFmtId="0" fontId="11" fillId="0" borderId="5" xfId="0" applyFont="1" applyBorder="1" applyProtection="1">
      <protection hidden="1"/>
    </xf>
    <xf numFmtId="0" fontId="14" fillId="8" borderId="8" xfId="0" applyFont="1" applyFill="1" applyBorder="1" applyAlignment="1">
      <alignment horizontal="left" vertical="center" wrapText="1"/>
    </xf>
    <xf numFmtId="9" fontId="11" fillId="0" borderId="5" xfId="2" applyFont="1" applyFill="1" applyBorder="1" applyProtection="1">
      <protection hidden="1"/>
    </xf>
    <xf numFmtId="164" fontId="11" fillId="0" borderId="9" xfId="1" applyFont="1" applyFill="1" applyBorder="1" applyAlignment="1" applyProtection="1">
      <alignment vertical="center"/>
      <protection hidden="1"/>
    </xf>
    <xf numFmtId="165" fontId="11" fillId="0" borderId="5" xfId="4" applyFont="1" applyFill="1" applyBorder="1" applyAlignment="1" applyProtection="1">
      <alignment horizontal="left" vertical="center" wrapText="1"/>
      <protection hidden="1"/>
    </xf>
    <xf numFmtId="164" fontId="14" fillId="2" borderId="8" xfId="1" applyFont="1" applyFill="1" applyBorder="1" applyAlignment="1" applyProtection="1">
      <alignment horizontal="center" vertical="center"/>
      <protection hidden="1"/>
    </xf>
    <xf numFmtId="0" fontId="14" fillId="2" borderId="8" xfId="0" applyFont="1" applyFill="1" applyBorder="1" applyAlignment="1" applyProtection="1">
      <alignment vertical="center"/>
      <protection hidden="1"/>
    </xf>
    <xf numFmtId="0" fontId="12" fillId="0" borderId="0" xfId="0" applyFont="1" applyAlignment="1" applyProtection="1">
      <alignment vertical="center"/>
      <protection hidden="1"/>
    </xf>
    <xf numFmtId="0" fontId="11" fillId="0" borderId="0" xfId="0" applyFont="1" applyAlignment="1" applyProtection="1">
      <alignment horizontal="left" vertical="center"/>
      <protection hidden="1"/>
    </xf>
    <xf numFmtId="164" fontId="19" fillId="0" borderId="0" xfId="1" applyFont="1" applyAlignment="1" applyProtection="1">
      <alignment vertical="center"/>
      <protection hidden="1"/>
    </xf>
    <xf numFmtId="164" fontId="21" fillId="0" borderId="0" xfId="1" applyFont="1" applyProtection="1">
      <protection hidden="1"/>
    </xf>
    <xf numFmtId="164" fontId="22" fillId="0" borderId="0" xfId="1" applyFont="1" applyProtection="1">
      <protection hidden="1"/>
    </xf>
    <xf numFmtId="0" fontId="12" fillId="0" borderId="0" xfId="0" applyFont="1" applyProtection="1">
      <protection hidden="1"/>
    </xf>
    <xf numFmtId="0" fontId="11" fillId="0" borderId="0" xfId="0" applyFont="1" applyAlignment="1" applyProtection="1">
      <alignment horizontal="left"/>
      <protection hidden="1"/>
    </xf>
    <xf numFmtId="0" fontId="12" fillId="0" borderId="0" xfId="0" applyFont="1" applyAlignment="1" applyProtection="1">
      <alignment horizontal="left"/>
      <protection hidden="1"/>
    </xf>
    <xf numFmtId="164" fontId="12" fillId="0" borderId="0" xfId="1" applyFont="1" applyFill="1" applyBorder="1" applyAlignment="1" applyProtection="1">
      <alignment vertical="center"/>
      <protection hidden="1"/>
    </xf>
    <xf numFmtId="0" fontId="23" fillId="0" borderId="0" xfId="0" applyFont="1" applyProtection="1">
      <protection hidden="1"/>
    </xf>
    <xf numFmtId="165" fontId="12" fillId="10" borderId="0" xfId="4" applyFont="1" applyFill="1" applyBorder="1" applyAlignment="1" applyProtection="1">
      <alignment vertical="center"/>
      <protection hidden="1"/>
    </xf>
    <xf numFmtId="165" fontId="20" fillId="10" borderId="0" xfId="4" applyFont="1" applyFill="1" applyBorder="1" applyAlignment="1" applyProtection="1">
      <alignment vertical="center"/>
      <protection hidden="1"/>
    </xf>
    <xf numFmtId="0" fontId="12" fillId="10" borderId="8" xfId="0" applyFont="1" applyFill="1" applyBorder="1" applyAlignment="1" applyProtection="1">
      <alignment vertical="center"/>
      <protection hidden="1"/>
    </xf>
    <xf numFmtId="0" fontId="11" fillId="0" borderId="9" xfId="0" applyFont="1" applyBorder="1" applyAlignment="1" applyProtection="1">
      <alignment vertical="center"/>
      <protection hidden="1"/>
    </xf>
    <xf numFmtId="0" fontId="11" fillId="0" borderId="8" xfId="0" applyFont="1" applyBorder="1" applyAlignment="1" applyProtection="1">
      <alignment vertical="center"/>
      <protection hidden="1"/>
    </xf>
    <xf numFmtId="165" fontId="12" fillId="9" borderId="8" xfId="4" applyFont="1" applyFill="1" applyBorder="1" applyAlignment="1" applyProtection="1">
      <alignment vertical="center"/>
      <protection hidden="1"/>
    </xf>
    <xf numFmtId="166" fontId="11" fillId="0" borderId="8" xfId="1" applyNumberFormat="1" applyFont="1" applyFill="1" applyBorder="1" applyAlignment="1" applyProtection="1">
      <alignment vertical="center"/>
      <protection hidden="1"/>
    </xf>
    <xf numFmtId="0" fontId="11" fillId="0" borderId="5" xfId="0" applyFont="1" applyBorder="1" applyAlignment="1" applyProtection="1">
      <alignment vertical="center"/>
      <protection hidden="1"/>
    </xf>
    <xf numFmtId="165" fontId="14" fillId="8" borderId="8" xfId="4" applyFont="1" applyFill="1" applyBorder="1" applyAlignment="1" applyProtection="1">
      <alignment vertical="center"/>
      <protection hidden="1"/>
    </xf>
    <xf numFmtId="9" fontId="11" fillId="0" borderId="5" xfId="2" applyFont="1" applyBorder="1" applyAlignment="1" applyProtection="1">
      <alignment vertical="center"/>
      <protection hidden="1"/>
    </xf>
    <xf numFmtId="166" fontId="13" fillId="0" borderId="0" xfId="1" applyNumberFormat="1" applyFont="1" applyFill="1" applyBorder="1" applyAlignment="1" applyProtection="1">
      <alignment vertical="center"/>
      <protection hidden="1"/>
    </xf>
    <xf numFmtId="165" fontId="12" fillId="10" borderId="9" xfId="4" applyFont="1" applyFill="1" applyBorder="1" applyAlignment="1" applyProtection="1">
      <alignment vertical="center"/>
      <protection hidden="1"/>
    </xf>
    <xf numFmtId="165" fontId="14" fillId="2" borderId="10" xfId="4" applyFont="1" applyFill="1" applyBorder="1" applyAlignment="1" applyProtection="1">
      <alignment vertical="center"/>
      <protection hidden="1"/>
    </xf>
    <xf numFmtId="0" fontId="14" fillId="2" borderId="10" xfId="0" applyFont="1" applyFill="1" applyBorder="1" applyAlignment="1" applyProtection="1">
      <alignment horizontal="left" vertical="center"/>
      <protection hidden="1"/>
    </xf>
    <xf numFmtId="0" fontId="12" fillId="10" borderId="8" xfId="0" applyFont="1" applyFill="1" applyBorder="1" applyAlignment="1" applyProtection="1">
      <alignment horizontal="center" vertical="center"/>
      <protection hidden="1"/>
    </xf>
    <xf numFmtId="0" fontId="12" fillId="9" borderId="8" xfId="0" applyFont="1" applyFill="1" applyBorder="1" applyAlignment="1" applyProtection="1">
      <alignment vertical="center"/>
      <protection hidden="1"/>
    </xf>
    <xf numFmtId="0" fontId="12" fillId="9" borderId="8" xfId="0" applyFont="1" applyFill="1" applyBorder="1" applyAlignment="1" applyProtection="1">
      <alignment horizontal="center" vertical="center"/>
      <protection hidden="1"/>
    </xf>
    <xf numFmtId="0" fontId="11" fillId="7" borderId="0" xfId="0" applyFont="1" applyFill="1" applyAlignment="1" applyProtection="1">
      <alignment horizontal="center"/>
      <protection locked="0"/>
    </xf>
    <xf numFmtId="0" fontId="11" fillId="0" borderId="0" xfId="0" applyFont="1" applyAlignment="1" applyProtection="1">
      <alignment horizontal="center"/>
      <protection locked="0"/>
    </xf>
    <xf numFmtId="176" fontId="11" fillId="0" borderId="0" xfId="0" applyNumberFormat="1" applyFont="1" applyAlignment="1" applyProtection="1">
      <alignment horizontal="center"/>
      <protection locked="0"/>
    </xf>
    <xf numFmtId="177" fontId="11" fillId="0" borderId="0" xfId="1" applyNumberFormat="1" applyFont="1" applyProtection="1">
      <protection locked="0"/>
    </xf>
    <xf numFmtId="0" fontId="11" fillId="0" borderId="0" xfId="0" applyFont="1" applyAlignment="1">
      <alignment horizontal="center" vertical="center"/>
    </xf>
    <xf numFmtId="167" fontId="12" fillId="0" borderId="0" xfId="1" applyNumberFormat="1" applyFont="1" applyFill="1" applyBorder="1" applyAlignment="1" applyProtection="1">
      <alignment horizontal="center"/>
      <protection hidden="1"/>
    </xf>
    <xf numFmtId="0" fontId="23" fillId="0" borderId="0" xfId="0" applyFont="1" applyProtection="1">
      <protection locked="0"/>
    </xf>
    <xf numFmtId="0" fontId="11" fillId="0" borderId="8" xfId="0" applyFont="1" applyBorder="1" applyProtection="1">
      <protection hidden="1"/>
    </xf>
    <xf numFmtId="0" fontId="24" fillId="0" borderId="0" xfId="0" applyFont="1" applyAlignment="1">
      <alignment horizontal="center" vertical="center"/>
    </xf>
    <xf numFmtId="0" fontId="24" fillId="0" borderId="0" xfId="0" applyFont="1" applyAlignment="1">
      <alignment horizontal="center" vertical="center" wrapText="1"/>
    </xf>
    <xf numFmtId="0" fontId="24" fillId="0" borderId="0" xfId="0" applyFont="1" applyAlignment="1" applyProtection="1">
      <alignment horizontal="center" vertical="center"/>
      <protection locked="0"/>
    </xf>
    <xf numFmtId="0" fontId="11" fillId="0" borderId="8" xfId="0" applyFont="1" applyBorder="1" applyAlignment="1" applyProtection="1">
      <alignment horizontal="center"/>
      <protection locked="0"/>
    </xf>
    <xf numFmtId="176" fontId="11" fillId="0" borderId="8" xfId="0" applyNumberFormat="1" applyFont="1" applyBorder="1" applyAlignment="1" applyProtection="1">
      <alignment horizontal="center"/>
      <protection locked="0"/>
    </xf>
    <xf numFmtId="0" fontId="11" fillId="0" borderId="8" xfId="0" applyFont="1" applyBorder="1" applyProtection="1">
      <protection locked="0"/>
    </xf>
    <xf numFmtId="177" fontId="11" fillId="0" borderId="8" xfId="1" applyNumberFormat="1" applyFont="1" applyBorder="1" applyProtection="1">
      <protection locked="0"/>
    </xf>
    <xf numFmtId="164" fontId="11" fillId="0" borderId="8" xfId="1" applyFont="1" applyBorder="1" applyAlignment="1" applyProtection="1">
      <alignment horizontal="center"/>
      <protection locked="0"/>
    </xf>
    <xf numFmtId="0" fontId="12" fillId="10" borderId="8" xfId="0" applyFont="1" applyFill="1" applyBorder="1" applyProtection="1">
      <protection hidden="1"/>
    </xf>
    <xf numFmtId="0" fontId="11" fillId="10" borderId="8" xfId="0" applyFont="1" applyFill="1" applyBorder="1" applyProtection="1">
      <protection hidden="1"/>
    </xf>
    <xf numFmtId="177" fontId="12" fillId="10" borderId="8" xfId="1" applyNumberFormat="1" applyFont="1" applyFill="1" applyBorder="1" applyProtection="1">
      <protection hidden="1"/>
    </xf>
    <xf numFmtId="0" fontId="14" fillId="2" borderId="8" xfId="0" applyFont="1" applyFill="1" applyBorder="1" applyAlignment="1" applyProtection="1">
      <alignment horizontal="center"/>
      <protection hidden="1"/>
    </xf>
    <xf numFmtId="0" fontId="15" fillId="2" borderId="8" xfId="0" applyFont="1" applyFill="1" applyBorder="1" applyProtection="1">
      <protection hidden="1"/>
    </xf>
    <xf numFmtId="0" fontId="12" fillId="0" borderId="8" xfId="0" applyFont="1" applyBorder="1" applyAlignment="1" applyProtection="1">
      <alignment horizontal="right"/>
      <protection hidden="1"/>
    </xf>
    <xf numFmtId="0" fontId="12" fillId="0" borderId="8" xfId="0" applyFont="1" applyBorder="1" applyAlignment="1" applyProtection="1">
      <alignment horizontal="center"/>
      <protection hidden="1"/>
    </xf>
    <xf numFmtId="0" fontId="25" fillId="0" borderId="1" xfId="0" applyFont="1" applyBorder="1" applyAlignment="1" applyProtection="1">
      <alignment vertical="center"/>
      <protection hidden="1"/>
    </xf>
    <xf numFmtId="0" fontId="25" fillId="0" borderId="1" xfId="0" applyFont="1" applyBorder="1" applyAlignment="1" applyProtection="1">
      <alignment horizontal="center" vertical="center"/>
      <protection hidden="1"/>
    </xf>
    <xf numFmtId="0" fontId="25" fillId="0" borderId="0" xfId="0" applyFont="1" applyProtection="1">
      <protection hidden="1"/>
    </xf>
    <xf numFmtId="0" fontId="25" fillId="0" borderId="11" xfId="0" applyFont="1" applyBorder="1" applyAlignment="1" applyProtection="1">
      <alignment vertical="center"/>
      <protection hidden="1"/>
    </xf>
    <xf numFmtId="0" fontId="25" fillId="0" borderId="11" xfId="0" applyFont="1" applyBorder="1" applyAlignment="1" applyProtection="1">
      <alignment horizontal="center" vertical="center"/>
      <protection hidden="1"/>
    </xf>
    <xf numFmtId="0" fontId="25" fillId="0" borderId="11" xfId="0" applyFont="1" applyBorder="1" applyProtection="1">
      <protection hidden="1"/>
    </xf>
    <xf numFmtId="0" fontId="11" fillId="0" borderId="0" xfId="0" applyFont="1" applyAlignment="1">
      <alignment vertical="center"/>
    </xf>
    <xf numFmtId="0" fontId="11" fillId="0" borderId="8" xfId="0" applyFont="1" applyBorder="1"/>
    <xf numFmtId="0" fontId="12" fillId="0" borderId="8" xfId="0" applyFont="1" applyBorder="1" applyAlignment="1">
      <alignment horizontal="right"/>
    </xf>
    <xf numFmtId="0" fontId="12" fillId="0" borderId="8" xfId="0" applyFont="1" applyBorder="1" applyAlignment="1">
      <alignment horizontal="center"/>
    </xf>
    <xf numFmtId="0" fontId="14" fillId="2" borderId="8" xfId="0" applyFont="1" applyFill="1" applyBorder="1" applyAlignment="1">
      <alignment horizontal="center"/>
    </xf>
    <xf numFmtId="0" fontId="15" fillId="2" borderId="8" xfId="0" applyFont="1" applyFill="1" applyBorder="1"/>
    <xf numFmtId="0" fontId="11" fillId="8" borderId="0" xfId="0" applyFont="1" applyFill="1"/>
    <xf numFmtId="0" fontId="26" fillId="0" borderId="0" xfId="0" applyFont="1"/>
    <xf numFmtId="0" fontId="26" fillId="0" borderId="0" xfId="0" applyFont="1" applyProtection="1">
      <protection locked="0"/>
    </xf>
    <xf numFmtId="0" fontId="12" fillId="0" borderId="0" xfId="0" applyFont="1"/>
    <xf numFmtId="0" fontId="12" fillId="0" borderId="0" xfId="0" applyFont="1" applyProtection="1">
      <protection locked="0"/>
    </xf>
    <xf numFmtId="164" fontId="12" fillId="0" borderId="0" xfId="1" applyFont="1" applyBorder="1" applyProtection="1">
      <protection locked="0"/>
    </xf>
    <xf numFmtId="0" fontId="23" fillId="0" borderId="0" xfId="0" applyFont="1"/>
    <xf numFmtId="164" fontId="11" fillId="0" borderId="8" xfId="1" applyFont="1" applyBorder="1" applyAlignment="1" applyProtection="1">
      <protection locked="0"/>
    </xf>
    <xf numFmtId="0" fontId="12" fillId="0" borderId="8" xfId="0" applyFont="1" applyBorder="1"/>
    <xf numFmtId="0" fontId="12" fillId="10" borderId="8" xfId="0" applyFont="1" applyFill="1" applyBorder="1"/>
    <xf numFmtId="0" fontId="12" fillId="0" borderId="0" xfId="0" applyFont="1" applyAlignment="1">
      <alignment horizontal="right"/>
    </xf>
    <xf numFmtId="0" fontId="25" fillId="0" borderId="0" xfId="0" applyFont="1" applyAlignment="1" applyProtection="1">
      <alignment vertical="center"/>
      <protection hidden="1"/>
    </xf>
    <xf numFmtId="0" fontId="25" fillId="0" borderId="0" xfId="0" applyFont="1" applyAlignment="1" applyProtection="1">
      <alignment horizontal="center" vertical="center"/>
      <protection hidden="1"/>
    </xf>
    <xf numFmtId="164" fontId="11" fillId="0" borderId="0" xfId="1" applyFont="1" applyProtection="1">
      <protection locked="0"/>
    </xf>
    <xf numFmtId="164" fontId="11" fillId="0" borderId="0" xfId="1" applyFont="1"/>
    <xf numFmtId="9" fontId="11" fillId="0" borderId="8" xfId="0" applyNumberFormat="1" applyFont="1" applyBorder="1" applyAlignment="1" applyProtection="1">
      <alignment horizontal="center"/>
      <protection locked="0"/>
    </xf>
    <xf numFmtId="0" fontId="12" fillId="10" borderId="8" xfId="0" applyFont="1" applyFill="1" applyBorder="1" applyAlignment="1">
      <alignment horizontal="left"/>
    </xf>
    <xf numFmtId="0" fontId="11" fillId="10" borderId="8" xfId="0" applyFont="1" applyFill="1" applyBorder="1"/>
    <xf numFmtId="0" fontId="15" fillId="2" borderId="0" xfId="0" applyFont="1" applyFill="1"/>
    <xf numFmtId="0" fontId="14" fillId="2" borderId="8" xfId="0" applyFont="1" applyFill="1" applyBorder="1" applyAlignment="1">
      <alignment horizontal="right"/>
    </xf>
    <xf numFmtId="164" fontId="14" fillId="2" borderId="8" xfId="1" applyFont="1" applyFill="1" applyBorder="1"/>
    <xf numFmtId="164" fontId="15" fillId="2" borderId="8" xfId="1" applyFont="1" applyFill="1" applyBorder="1"/>
    <xf numFmtId="164" fontId="11" fillId="0" borderId="8" xfId="1" applyFont="1" applyFill="1" applyBorder="1" applyAlignment="1">
      <alignment vertical="center"/>
    </xf>
    <xf numFmtId="164" fontId="11" fillId="0" borderId="8" xfId="1" applyFont="1" applyBorder="1"/>
    <xf numFmtId="0" fontId="11" fillId="0" borderId="0" xfId="0" applyFont="1" applyAlignment="1">
      <alignment horizontal="center"/>
    </xf>
    <xf numFmtId="164" fontId="19" fillId="0" borderId="0" xfId="1" applyFont="1" applyAlignment="1">
      <alignment vertical="center"/>
    </xf>
    <xf numFmtId="0" fontId="11" fillId="0" borderId="0" xfId="0" applyFont="1" applyAlignment="1">
      <alignment horizontal="left" vertical="center" wrapText="1"/>
    </xf>
    <xf numFmtId="180" fontId="12" fillId="0" borderId="0" xfId="1" applyNumberFormat="1" applyFont="1" applyAlignment="1">
      <alignment horizontal="center" vertical="center"/>
    </xf>
    <xf numFmtId="0" fontId="14" fillId="2" borderId="8" xfId="0" applyFont="1" applyFill="1" applyBorder="1" applyAlignment="1">
      <alignment horizontal="center" vertical="center" wrapText="1"/>
    </xf>
    <xf numFmtId="0" fontId="14" fillId="2" borderId="8" xfId="0" applyFont="1" applyFill="1" applyBorder="1" applyAlignment="1">
      <alignment horizontal="left" vertical="center" wrapText="1"/>
    </xf>
    <xf numFmtId="180" fontId="14" fillId="2" borderId="8" xfId="1" applyNumberFormat="1" applyFont="1" applyFill="1" applyBorder="1" applyAlignment="1">
      <alignment horizontal="center" vertical="center"/>
    </xf>
    <xf numFmtId="165" fontId="24" fillId="0" borderId="0" xfId="1" applyNumberFormat="1" applyFont="1" applyFill="1" applyBorder="1" applyAlignment="1" applyProtection="1">
      <alignment horizontal="center" vertical="center" wrapText="1"/>
      <protection hidden="1"/>
    </xf>
    <xf numFmtId="167" fontId="24" fillId="0" borderId="0" xfId="1" applyNumberFormat="1" applyFont="1" applyFill="1" applyBorder="1" applyAlignment="1" applyProtection="1">
      <alignment horizontal="center"/>
      <protection hidden="1"/>
    </xf>
    <xf numFmtId="0" fontId="25" fillId="0" borderId="0" xfId="0" applyFont="1" applyProtection="1">
      <protection locked="0"/>
    </xf>
    <xf numFmtId="0" fontId="25" fillId="0" borderId="0" xfId="0" applyFont="1"/>
    <xf numFmtId="0" fontId="25" fillId="0" borderId="0" xfId="0" applyFont="1" applyAlignment="1">
      <alignment vertical="center"/>
    </xf>
    <xf numFmtId="0" fontId="24" fillId="0" borderId="0" xfId="0" applyFont="1"/>
    <xf numFmtId="0" fontId="27" fillId="8" borderId="0" xfId="0" applyFont="1" applyFill="1" applyAlignment="1">
      <alignment horizontal="center" vertical="center" wrapText="1"/>
    </xf>
    <xf numFmtId="0" fontId="29" fillId="0" borderId="0" xfId="0" applyFont="1" applyAlignment="1">
      <alignment horizontal="center"/>
    </xf>
    <xf numFmtId="0" fontId="11" fillId="0" borderId="0" xfId="0" applyFont="1" applyAlignment="1">
      <alignment horizontal="center" vertical="center" wrapText="1"/>
    </xf>
    <xf numFmtId="0" fontId="27" fillId="0" borderId="0" xfId="0" applyFont="1" applyAlignment="1">
      <alignment horizontal="center" vertical="center" wrapText="1"/>
    </xf>
    <xf numFmtId="0" fontId="13" fillId="7" borderId="0" xfId="0" applyFont="1" applyFill="1" applyAlignment="1" applyProtection="1">
      <alignment horizontal="center"/>
      <protection locked="0"/>
    </xf>
    <xf numFmtId="0" fontId="11" fillId="7" borderId="0" xfId="0" applyFont="1" applyFill="1" applyProtection="1">
      <protection locked="0"/>
    </xf>
    <xf numFmtId="165" fontId="11" fillId="0" borderId="0" xfId="0" applyNumberFormat="1" applyFont="1" applyProtection="1">
      <protection locked="0"/>
    </xf>
    <xf numFmtId="171" fontId="11" fillId="0" borderId="0" xfId="1" applyNumberFormat="1" applyFont="1" applyAlignment="1" applyProtection="1">
      <alignment horizontal="center"/>
      <protection locked="0"/>
    </xf>
    <xf numFmtId="167" fontId="11" fillId="0" borderId="0" xfId="1" applyNumberFormat="1" applyFont="1" applyFill="1" applyBorder="1" applyProtection="1"/>
    <xf numFmtId="167" fontId="12" fillId="0" borderId="0" xfId="1" applyNumberFormat="1" applyFont="1" applyFill="1" applyBorder="1" applyAlignment="1" applyProtection="1">
      <alignment horizontal="center"/>
    </xf>
    <xf numFmtId="165" fontId="12" fillId="0" borderId="0" xfId="1" applyNumberFormat="1" applyFont="1" applyFill="1" applyBorder="1" applyAlignment="1" applyProtection="1">
      <alignment horizontal="center" wrapText="1"/>
    </xf>
    <xf numFmtId="164" fontId="12" fillId="0" borderId="0" xfId="1" applyFont="1" applyFill="1" applyBorder="1" applyAlignment="1" applyProtection="1">
      <alignment horizontal="center" vertical="center"/>
    </xf>
    <xf numFmtId="0" fontId="25" fillId="7" borderId="0" xfId="0" applyFont="1" applyFill="1" applyProtection="1">
      <protection locked="0"/>
    </xf>
    <xf numFmtId="167" fontId="25" fillId="0" borderId="0" xfId="1" applyNumberFormat="1" applyFont="1" applyFill="1" applyBorder="1" applyProtection="1"/>
    <xf numFmtId="165" fontId="24" fillId="0" borderId="0" xfId="1" applyNumberFormat="1" applyFont="1" applyFill="1" applyBorder="1" applyAlignment="1" applyProtection="1">
      <alignment horizontal="center" vertical="center" wrapText="1"/>
    </xf>
    <xf numFmtId="167" fontId="24" fillId="0" borderId="0" xfId="1" applyNumberFormat="1" applyFont="1" applyFill="1" applyBorder="1" applyAlignment="1" applyProtection="1">
      <alignment horizontal="center"/>
    </xf>
    <xf numFmtId="0" fontId="25" fillId="8" borderId="0" xfId="0" applyFont="1" applyFill="1" applyAlignment="1" applyProtection="1">
      <alignment vertical="center"/>
      <protection hidden="1"/>
    </xf>
    <xf numFmtId="0" fontId="25" fillId="8" borderId="0" xfId="0" applyFont="1" applyFill="1" applyAlignment="1" applyProtection="1">
      <alignment horizontal="center" vertical="center"/>
      <protection hidden="1"/>
    </xf>
    <xf numFmtId="165" fontId="11" fillId="0" borderId="8" xfId="0" applyNumberFormat="1" applyFont="1" applyBorder="1" applyProtection="1">
      <protection locked="0"/>
    </xf>
    <xf numFmtId="165" fontId="12" fillId="10" borderId="8" xfId="0" applyNumberFormat="1" applyFont="1" applyFill="1" applyBorder="1" applyAlignment="1">
      <alignment horizontal="center" vertical="center"/>
    </xf>
    <xf numFmtId="0" fontId="12" fillId="0" borderId="8" xfId="0" applyFont="1" applyBorder="1" applyAlignment="1">
      <alignment horizontal="right" vertical="center"/>
    </xf>
    <xf numFmtId="165" fontId="11" fillId="0" borderId="8" xfId="1" applyNumberFormat="1" applyFont="1" applyFill="1" applyBorder="1" applyProtection="1"/>
    <xf numFmtId="167" fontId="11" fillId="0" borderId="8" xfId="1" applyNumberFormat="1" applyFont="1" applyFill="1" applyBorder="1" applyProtection="1"/>
    <xf numFmtId="165" fontId="12" fillId="10" borderId="8" xfId="0" applyNumberFormat="1" applyFont="1" applyFill="1" applyBorder="1" applyAlignment="1">
      <alignment vertical="center"/>
    </xf>
    <xf numFmtId="173" fontId="14" fillId="2" borderId="8" xfId="0" applyNumberFormat="1" applyFont="1" applyFill="1" applyBorder="1" applyAlignment="1">
      <alignment horizontal="center" vertical="center"/>
    </xf>
    <xf numFmtId="165" fontId="14" fillId="2" borderId="8" xfId="7" applyFont="1" applyFill="1" applyBorder="1" applyAlignment="1" applyProtection="1">
      <alignment vertical="center"/>
    </xf>
    <xf numFmtId="0" fontId="11" fillId="0" borderId="0" xfId="1" applyNumberFormat="1" applyFont="1" applyAlignment="1" applyProtection="1">
      <protection locked="0"/>
    </xf>
    <xf numFmtId="165" fontId="24" fillId="0" borderId="0" xfId="1" applyNumberFormat="1" applyFont="1" applyFill="1" applyBorder="1" applyAlignment="1" applyProtection="1">
      <alignment horizontal="center" wrapText="1"/>
    </xf>
    <xf numFmtId="164" fontId="24" fillId="0" borderId="0" xfId="1" applyFont="1" applyFill="1" applyBorder="1" applyAlignment="1" applyProtection="1">
      <alignment horizontal="center" vertical="center"/>
    </xf>
    <xf numFmtId="0" fontId="11" fillId="0" borderId="8" xfId="1" applyNumberFormat="1" applyFont="1" applyBorder="1" applyAlignment="1" applyProtection="1">
      <protection locked="0"/>
    </xf>
    <xf numFmtId="0" fontId="11" fillId="7" borderId="0" xfId="0" applyFont="1" applyFill="1" applyAlignment="1" applyProtection="1">
      <alignment horizontal="center" vertical="center" wrapText="1"/>
      <protection locked="0"/>
    </xf>
    <xf numFmtId="167" fontId="11" fillId="0" borderId="0" xfId="1" applyNumberFormat="1" applyFont="1" applyFill="1" applyBorder="1" applyProtection="1">
      <protection hidden="1"/>
    </xf>
    <xf numFmtId="165" fontId="12" fillId="0" borderId="0" xfId="1" applyNumberFormat="1" applyFont="1" applyFill="1" applyBorder="1" applyAlignment="1" applyProtection="1">
      <alignment horizontal="center" wrapText="1"/>
      <protection hidden="1"/>
    </xf>
    <xf numFmtId="164" fontId="12" fillId="0" borderId="0" xfId="1" applyFont="1" applyFill="1" applyBorder="1" applyAlignment="1" applyProtection="1">
      <alignment horizontal="center" vertical="center"/>
      <protection hidden="1"/>
    </xf>
    <xf numFmtId="165" fontId="24" fillId="0" borderId="0" xfId="1" applyNumberFormat="1" applyFont="1" applyFill="1" applyBorder="1" applyAlignment="1" applyProtection="1">
      <alignment horizontal="center" wrapText="1"/>
      <protection hidden="1"/>
    </xf>
    <xf numFmtId="165" fontId="12" fillId="10" borderId="8" xfId="0" applyNumberFormat="1" applyFont="1" applyFill="1" applyBorder="1" applyAlignment="1" applyProtection="1">
      <alignment vertical="center"/>
      <protection hidden="1"/>
    </xf>
    <xf numFmtId="0" fontId="12" fillId="0" borderId="8" xfId="0" applyFont="1" applyBorder="1" applyAlignment="1" applyProtection="1">
      <alignment horizontal="right" vertical="center"/>
      <protection hidden="1"/>
    </xf>
    <xf numFmtId="165" fontId="11" fillId="0" borderId="8" xfId="1" applyNumberFormat="1" applyFont="1" applyFill="1" applyBorder="1" applyProtection="1">
      <protection hidden="1"/>
    </xf>
    <xf numFmtId="167" fontId="11" fillId="0" borderId="8" xfId="1" applyNumberFormat="1" applyFont="1" applyFill="1" applyBorder="1" applyProtection="1">
      <protection hidden="1"/>
    </xf>
    <xf numFmtId="173" fontId="14" fillId="2" borderId="8" xfId="0" applyNumberFormat="1" applyFont="1" applyFill="1" applyBorder="1" applyAlignment="1" applyProtection="1">
      <alignment horizontal="center" vertical="center"/>
      <protection hidden="1"/>
    </xf>
    <xf numFmtId="165" fontId="14" fillId="2" borderId="8" xfId="7" applyFont="1" applyFill="1" applyBorder="1" applyAlignment="1" applyProtection="1">
      <alignment vertical="center"/>
      <protection hidden="1"/>
    </xf>
    <xf numFmtId="0" fontId="11" fillId="0" borderId="5" xfId="0" applyFont="1" applyBorder="1"/>
    <xf numFmtId="180" fontId="14" fillId="2" borderId="8" xfId="0" applyNumberFormat="1" applyFont="1" applyFill="1" applyBorder="1"/>
    <xf numFmtId="0" fontId="14" fillId="2" borderId="0" xfId="0" applyFont="1" applyFill="1" applyAlignment="1">
      <alignment horizontal="center" vertical="center" wrapText="1"/>
    </xf>
    <xf numFmtId="164" fontId="14" fillId="2" borderId="0" xfId="1" applyFont="1" applyFill="1" applyBorder="1" applyAlignment="1" applyProtection="1">
      <alignment horizontal="center" vertical="center" wrapText="1"/>
    </xf>
    <xf numFmtId="175" fontId="14" fillId="2" borderId="0" xfId="1" applyNumberFormat="1" applyFont="1" applyFill="1" applyBorder="1" applyAlignment="1" applyProtection="1">
      <alignment horizontal="center" vertical="center" wrapText="1"/>
    </xf>
    <xf numFmtId="164" fontId="20" fillId="6" borderId="0" xfId="1" applyFont="1" applyFill="1" applyBorder="1" applyAlignment="1" applyProtection="1">
      <alignment horizontal="center" vertical="center" wrapText="1"/>
    </xf>
    <xf numFmtId="0" fontId="11" fillId="5" borderId="0" xfId="0" applyFont="1" applyFill="1" applyAlignment="1" applyProtection="1">
      <alignment horizontal="center" vertical="center"/>
      <protection locked="0"/>
    </xf>
    <xf numFmtId="0" fontId="11" fillId="5" borderId="0" xfId="0" applyFont="1" applyFill="1" applyAlignment="1" applyProtection="1">
      <alignment horizontal="center"/>
      <protection locked="0"/>
    </xf>
    <xf numFmtId="173" fontId="11" fillId="5" borderId="0" xfId="0" applyNumberFormat="1" applyFont="1" applyFill="1" applyAlignment="1" applyProtection="1">
      <alignment horizontal="center"/>
      <protection locked="0"/>
    </xf>
    <xf numFmtId="164" fontId="11" fillId="6" borderId="0" xfId="1" applyFont="1" applyFill="1" applyProtection="1"/>
    <xf numFmtId="164" fontId="11" fillId="5" borderId="0" xfId="1" applyFont="1" applyFill="1" applyProtection="1">
      <protection locked="0"/>
    </xf>
    <xf numFmtId="167" fontId="11" fillId="6" borderId="0" xfId="1" applyNumberFormat="1" applyFont="1" applyFill="1" applyBorder="1" applyProtection="1"/>
    <xf numFmtId="165" fontId="11" fillId="6" borderId="0" xfId="1" applyNumberFormat="1" applyFont="1" applyFill="1" applyBorder="1" applyProtection="1"/>
    <xf numFmtId="0" fontId="11" fillId="2" borderId="0" xfId="0" applyFont="1" applyFill="1"/>
    <xf numFmtId="175" fontId="11" fillId="5" borderId="0" xfId="1" applyNumberFormat="1" applyFont="1" applyFill="1" applyProtection="1">
      <protection locked="0"/>
    </xf>
    <xf numFmtId="0" fontId="11" fillId="5" borderId="0" xfId="0" applyFont="1" applyFill="1" applyProtection="1">
      <protection locked="0"/>
    </xf>
    <xf numFmtId="4" fontId="11" fillId="5" borderId="0" xfId="0" applyNumberFormat="1" applyFont="1" applyFill="1" applyProtection="1">
      <protection locked="0"/>
    </xf>
    <xf numFmtId="176" fontId="11" fillId="0" borderId="0" xfId="0" applyNumberFormat="1" applyFont="1" applyAlignment="1">
      <alignment horizontal="center"/>
    </xf>
    <xf numFmtId="165" fontId="11" fillId="0" borderId="0" xfId="0" applyNumberFormat="1" applyFont="1"/>
    <xf numFmtId="0" fontId="11" fillId="0" borderId="8" xfId="0" applyFont="1" applyBorder="1" applyAlignment="1">
      <alignment horizontal="center"/>
    </xf>
    <xf numFmtId="178" fontId="11" fillId="0" borderId="8" xfId="0" applyNumberFormat="1" applyFont="1" applyBorder="1" applyAlignment="1">
      <alignment horizontal="center"/>
    </xf>
    <xf numFmtId="17" fontId="11" fillId="0" borderId="8" xfId="0" applyNumberFormat="1" applyFont="1" applyBorder="1" applyAlignment="1">
      <alignment horizontal="center"/>
    </xf>
    <xf numFmtId="165" fontId="11" fillId="0" borderId="8" xfId="0" applyNumberFormat="1" applyFont="1" applyBorder="1"/>
    <xf numFmtId="165" fontId="11" fillId="11" borderId="8" xfId="0" applyNumberFormat="1" applyFont="1" applyFill="1" applyBorder="1"/>
    <xf numFmtId="0" fontId="15" fillId="0" borderId="0" xfId="0" applyFont="1" applyAlignment="1">
      <alignment horizontal="left" vertical="center"/>
    </xf>
    <xf numFmtId="170" fontId="15" fillId="0" borderId="0" xfId="0" applyNumberFormat="1" applyFont="1"/>
    <xf numFmtId="0" fontId="15" fillId="0" borderId="0" xfId="0" applyFont="1" applyAlignment="1">
      <alignment horizontal="center"/>
    </xf>
    <xf numFmtId="0" fontId="14" fillId="8" borderId="0" xfId="0" applyFont="1" applyFill="1" applyAlignment="1">
      <alignment horizontal="center" vertical="center"/>
    </xf>
    <xf numFmtId="0" fontId="11" fillId="0" borderId="5" xfId="0" applyFont="1" applyBorder="1" applyAlignment="1">
      <alignment horizontal="center"/>
    </xf>
    <xf numFmtId="0" fontId="31" fillId="10" borderId="0" xfId="0" applyFont="1" applyFill="1" applyAlignment="1">
      <alignment horizontal="center" wrapText="1"/>
    </xf>
    <xf numFmtId="0" fontId="15" fillId="8" borderId="0" xfId="0" applyFont="1" applyFill="1" applyAlignment="1">
      <alignment horizontal="center" vertical="center"/>
    </xf>
    <xf numFmtId="170" fontId="31" fillId="0" borderId="12" xfId="0" applyNumberFormat="1" applyFont="1" applyBorder="1"/>
    <xf numFmtId="170" fontId="11" fillId="0" borderId="12" xfId="0" applyNumberFormat="1" applyFont="1" applyBorder="1" applyAlignment="1">
      <alignment horizontal="center"/>
    </xf>
    <xf numFmtId="0" fontId="12" fillId="8" borderId="0" xfId="0" applyFont="1" applyFill="1"/>
    <xf numFmtId="0" fontId="25" fillId="8" borderId="0" xfId="0" applyFont="1" applyFill="1" applyProtection="1">
      <protection hidden="1"/>
    </xf>
    <xf numFmtId="0" fontId="15" fillId="0" borderId="0" xfId="0" applyFont="1" applyProtection="1">
      <protection locked="0"/>
    </xf>
    <xf numFmtId="0" fontId="15" fillId="0" borderId="5" xfId="0" applyFont="1" applyBorder="1" applyProtection="1">
      <protection locked="0"/>
    </xf>
    <xf numFmtId="0" fontId="30" fillId="0" borderId="0" xfId="0" applyFont="1"/>
    <xf numFmtId="0" fontId="16" fillId="0" borderId="0" xfId="0" applyFont="1" applyAlignment="1">
      <alignment vertical="center"/>
    </xf>
    <xf numFmtId="0" fontId="16" fillId="0" borderId="0" xfId="0" applyFont="1"/>
    <xf numFmtId="0" fontId="12" fillId="0" borderId="0" xfId="0" applyFont="1" applyAlignment="1">
      <alignment vertical="center"/>
    </xf>
    <xf numFmtId="174" fontId="11" fillId="0" borderId="8" xfId="1" applyNumberFormat="1" applyFont="1" applyBorder="1" applyAlignment="1" applyProtection="1">
      <alignment horizontal="center"/>
      <protection locked="0"/>
    </xf>
    <xf numFmtId="0" fontId="11" fillId="7" borderId="15" xfId="0" applyFont="1" applyFill="1" applyBorder="1" applyAlignment="1">
      <alignment horizontal="center"/>
    </xf>
    <xf numFmtId="0" fontId="11" fillId="7" borderId="15" xfId="0" applyFont="1" applyFill="1" applyBorder="1"/>
    <xf numFmtId="0" fontId="11" fillId="7" borderId="16" xfId="0" applyFont="1" applyFill="1" applyBorder="1"/>
    <xf numFmtId="0" fontId="12" fillId="12" borderId="14" xfId="0" applyFont="1" applyFill="1" applyBorder="1" applyAlignment="1">
      <alignment horizontal="center" vertical="center"/>
    </xf>
    <xf numFmtId="0" fontId="11" fillId="9" borderId="0" xfId="0" applyFont="1" applyFill="1"/>
    <xf numFmtId="164" fontId="11" fillId="11" borderId="8" xfId="1" applyFont="1" applyFill="1" applyBorder="1" applyProtection="1">
      <protection locked="0"/>
    </xf>
    <xf numFmtId="164" fontId="11" fillId="10" borderId="8" xfId="1" applyFont="1" applyFill="1" applyBorder="1" applyProtection="1">
      <protection locked="0"/>
    </xf>
    <xf numFmtId="0" fontId="12" fillId="0" borderId="0" xfId="0" applyFont="1" applyAlignment="1">
      <alignment horizontal="left" vertical="center" wrapText="1"/>
    </xf>
    <xf numFmtId="0" fontId="11" fillId="8" borderId="0" xfId="0" applyFont="1" applyFill="1" applyAlignment="1">
      <alignment horizontal="center"/>
    </xf>
    <xf numFmtId="165" fontId="34" fillId="6" borderId="0" xfId="1" applyNumberFormat="1" applyFont="1" applyFill="1" applyBorder="1" applyProtection="1"/>
    <xf numFmtId="0" fontId="14" fillId="2" borderId="0" xfId="0" applyFont="1" applyFill="1" applyAlignment="1" applyProtection="1">
      <alignment horizontal="center" vertical="center" wrapText="1"/>
      <protection locked="0"/>
    </xf>
    <xf numFmtId="164" fontId="14" fillId="2" borderId="0" xfId="1" applyFont="1" applyFill="1" applyBorder="1" applyAlignment="1" applyProtection="1">
      <alignment horizontal="center" vertical="center" wrapText="1"/>
      <protection locked="0"/>
    </xf>
    <xf numFmtId="40" fontId="11" fillId="5" borderId="0" xfId="0" applyNumberFormat="1" applyFont="1" applyFill="1" applyProtection="1">
      <protection locked="0"/>
    </xf>
    <xf numFmtId="40" fontId="11" fillId="5" borderId="0" xfId="1" applyNumberFormat="1" applyFont="1" applyFill="1" applyProtection="1">
      <protection locked="0"/>
    </xf>
    <xf numFmtId="0" fontId="11" fillId="13" borderId="3" xfId="0" applyFont="1" applyFill="1" applyBorder="1" applyAlignment="1" applyProtection="1">
      <alignment horizontal="center" vertical="center"/>
      <protection hidden="1"/>
    </xf>
    <xf numFmtId="0" fontId="11" fillId="13" borderId="3" xfId="0" applyFont="1" applyFill="1" applyBorder="1" applyAlignment="1" applyProtection="1">
      <alignment vertical="center"/>
      <protection hidden="1"/>
    </xf>
    <xf numFmtId="0" fontId="35" fillId="0" borderId="0" xfId="0" applyFont="1"/>
    <xf numFmtId="0" fontId="12" fillId="10" borderId="17" xfId="0" applyFont="1" applyFill="1" applyBorder="1" applyAlignment="1" applyProtection="1">
      <alignment horizontal="center" vertical="center"/>
      <protection hidden="1"/>
    </xf>
    <xf numFmtId="165" fontId="12" fillId="9" borderId="17" xfId="4" applyFont="1" applyFill="1" applyBorder="1" applyAlignment="1" applyProtection="1">
      <alignment vertical="center"/>
      <protection hidden="1"/>
    </xf>
    <xf numFmtId="165" fontId="14" fillId="8" borderId="17" xfId="4" applyFont="1" applyFill="1" applyBorder="1" applyAlignment="1" applyProtection="1">
      <alignment vertical="center"/>
      <protection hidden="1"/>
    </xf>
    <xf numFmtId="0" fontId="34" fillId="5" borderId="0" xfId="0" applyFont="1" applyFill="1" applyAlignment="1" applyProtection="1">
      <alignment horizontal="center"/>
      <protection locked="0"/>
    </xf>
    <xf numFmtId="0" fontId="11" fillId="0" borderId="0" xfId="16" applyFont="1" applyAlignment="1">
      <alignment horizontal="center" vertical="center"/>
    </xf>
    <xf numFmtId="0" fontId="11" fillId="0" borderId="0" xfId="16" applyFont="1"/>
    <xf numFmtId="0" fontId="11" fillId="0" borderId="0" xfId="16" applyFont="1" applyAlignment="1">
      <alignment horizontal="center"/>
    </xf>
    <xf numFmtId="0" fontId="15" fillId="8" borderId="0" xfId="16" applyFont="1" applyFill="1" applyAlignment="1">
      <alignment horizontal="center" vertical="center"/>
    </xf>
    <xf numFmtId="0" fontId="12" fillId="0" borderId="0" xfId="0" applyFont="1" applyAlignment="1">
      <alignment horizontal="center" vertical="center"/>
    </xf>
    <xf numFmtId="0" fontId="11" fillId="13" borderId="8" xfId="16" applyFont="1" applyFill="1" applyBorder="1"/>
    <xf numFmtId="0" fontId="11" fillId="13" borderId="8" xfId="16" applyFont="1" applyFill="1" applyBorder="1" applyAlignment="1">
      <alignment horizontal="center"/>
    </xf>
    <xf numFmtId="164" fontId="11" fillId="14" borderId="8" xfId="1" applyFont="1" applyFill="1" applyBorder="1"/>
    <xf numFmtId="173" fontId="11" fillId="0" borderId="8" xfId="0" applyNumberFormat="1" applyFont="1" applyBorder="1" applyAlignment="1">
      <alignment horizontal="center"/>
    </xf>
    <xf numFmtId="0" fontId="11" fillId="0" borderId="0" xfId="0" applyFont="1" applyAlignment="1">
      <alignment horizontal="left"/>
    </xf>
    <xf numFmtId="0" fontId="11" fillId="0" borderId="8" xfId="0" applyFont="1" applyBorder="1" applyAlignment="1">
      <alignment horizontal="left"/>
    </xf>
    <xf numFmtId="0" fontId="11" fillId="0" borderId="5" xfId="0" applyFont="1" applyBorder="1" applyAlignment="1">
      <alignment horizontal="left"/>
    </xf>
    <xf numFmtId="0" fontId="15" fillId="0" borderId="0" xfId="0" applyFont="1"/>
    <xf numFmtId="40" fontId="12" fillId="0" borderId="0" xfId="1" applyNumberFormat="1" applyFont="1" applyAlignment="1">
      <alignment horizontal="center" vertical="center"/>
    </xf>
    <xf numFmtId="40" fontId="25" fillId="0" borderId="11" xfId="1" applyNumberFormat="1" applyFont="1" applyBorder="1" applyAlignment="1" applyProtection="1">
      <alignment horizontal="center" vertical="center"/>
      <protection hidden="1"/>
    </xf>
    <xf numFmtId="40" fontId="24" fillId="0" borderId="0" xfId="1" applyNumberFormat="1" applyFont="1" applyAlignment="1">
      <alignment horizontal="center" vertical="center" wrapText="1"/>
    </xf>
    <xf numFmtId="40" fontId="15" fillId="8" borderId="0" xfId="1" applyNumberFormat="1" applyFont="1" applyFill="1" applyAlignment="1">
      <alignment horizontal="center" vertical="center"/>
    </xf>
    <xf numFmtId="40" fontId="11" fillId="0" borderId="0" xfId="1" applyNumberFormat="1" applyFont="1" applyAlignment="1">
      <alignment horizontal="center" vertical="center"/>
    </xf>
    <xf numFmtId="40" fontId="11" fillId="0" borderId="0" xfId="1" applyNumberFormat="1" applyFont="1" applyAlignment="1">
      <alignment horizontal="center"/>
    </xf>
    <xf numFmtId="40" fontId="13" fillId="0" borderId="0" xfId="1" applyNumberFormat="1" applyFont="1" applyAlignment="1">
      <alignment horizontal="center"/>
    </xf>
    <xf numFmtId="40" fontId="11" fillId="13" borderId="8" xfId="1" applyNumberFormat="1" applyFont="1" applyFill="1" applyBorder="1" applyAlignment="1">
      <alignment horizontal="center"/>
    </xf>
    <xf numFmtId="40" fontId="11" fillId="0" borderId="0" xfId="1" applyNumberFormat="1" applyFont="1" applyBorder="1" applyAlignment="1">
      <alignment horizontal="center"/>
    </xf>
    <xf numFmtId="0" fontId="14" fillId="0" borderId="8" xfId="0" applyFont="1" applyBorder="1" applyAlignment="1">
      <alignment horizontal="right"/>
    </xf>
    <xf numFmtId="40" fontId="11" fillId="15" borderId="8" xfId="1" applyNumberFormat="1" applyFont="1" applyFill="1" applyBorder="1" applyAlignment="1">
      <alignment horizontal="center"/>
    </xf>
    <xf numFmtId="40" fontId="11" fillId="15" borderId="8" xfId="1" applyNumberFormat="1" applyFont="1" applyFill="1" applyBorder="1" applyAlignment="1">
      <alignment horizontal="right"/>
    </xf>
    <xf numFmtId="40" fontId="14" fillId="0" borderId="0" xfId="1" applyNumberFormat="1" applyFont="1" applyFill="1" applyBorder="1" applyAlignment="1">
      <alignment horizontal="center"/>
    </xf>
    <xf numFmtId="180" fontId="11" fillId="0" borderId="8" xfId="1" applyNumberFormat="1" applyFont="1" applyBorder="1" applyAlignment="1">
      <alignment horizontal="center"/>
    </xf>
    <xf numFmtId="180" fontId="11" fillId="14" borderId="8" xfId="1" applyNumberFormat="1" applyFont="1" applyFill="1" applyBorder="1"/>
    <xf numFmtId="180" fontId="11" fillId="15" borderId="8" xfId="1" applyNumberFormat="1" applyFont="1" applyFill="1" applyBorder="1" applyAlignment="1">
      <alignment horizontal="center"/>
    </xf>
    <xf numFmtId="180" fontId="14" fillId="2" borderId="0" xfId="1" applyNumberFormat="1" applyFont="1" applyFill="1" applyBorder="1" applyAlignment="1">
      <alignment horizontal="center"/>
    </xf>
    <xf numFmtId="0" fontId="24" fillId="0" borderId="0" xfId="0" applyFont="1" applyAlignment="1" applyProtection="1">
      <alignment horizontal="center" vertical="center" wrapText="1"/>
      <protection locked="0"/>
    </xf>
    <xf numFmtId="40" fontId="15" fillId="8" borderId="0" xfId="17" applyNumberFormat="1" applyFont="1" applyFill="1" applyAlignment="1" applyProtection="1">
      <alignment horizontal="center" vertical="center"/>
      <protection locked="0"/>
    </xf>
    <xf numFmtId="40" fontId="11" fillId="0" borderId="0" xfId="17" applyNumberFormat="1" applyFont="1" applyAlignment="1" applyProtection="1">
      <alignment horizontal="center" vertical="center"/>
      <protection locked="0"/>
    </xf>
    <xf numFmtId="40" fontId="11" fillId="0" borderId="0" xfId="17" applyNumberFormat="1" applyFont="1" applyProtection="1">
      <protection locked="0"/>
    </xf>
    <xf numFmtId="0" fontId="11" fillId="0" borderId="5" xfId="0" applyFont="1" applyBorder="1" applyProtection="1">
      <protection locked="0"/>
    </xf>
    <xf numFmtId="164" fontId="11" fillId="0" borderId="0" xfId="1" applyFont="1" applyFill="1" applyBorder="1" applyProtection="1">
      <protection locked="0"/>
    </xf>
    <xf numFmtId="40" fontId="24" fillId="0" borderId="0" xfId="1" applyNumberFormat="1" applyFont="1" applyAlignment="1" applyProtection="1">
      <alignment horizontal="center" vertical="center" wrapText="1"/>
      <protection locked="0"/>
    </xf>
    <xf numFmtId="40" fontId="12" fillId="0" borderId="0" xfId="1" applyNumberFormat="1" applyFont="1" applyAlignment="1" applyProtection="1">
      <alignment horizontal="center" vertical="center"/>
      <protection locked="0"/>
    </xf>
    <xf numFmtId="40" fontId="15" fillId="8" borderId="0" xfId="1" applyNumberFormat="1" applyFont="1" applyFill="1" applyAlignment="1" applyProtection="1">
      <alignment horizontal="center" vertical="center"/>
      <protection locked="0"/>
    </xf>
    <xf numFmtId="40" fontId="11" fillId="0" borderId="0" xfId="1" applyNumberFormat="1" applyFont="1" applyAlignment="1" applyProtection="1">
      <alignment horizontal="center"/>
      <protection locked="0"/>
    </xf>
    <xf numFmtId="40" fontId="11" fillId="13" borderId="8" xfId="1" applyNumberFormat="1" applyFont="1" applyFill="1" applyBorder="1" applyAlignment="1" applyProtection="1">
      <alignment horizontal="center"/>
      <protection locked="0"/>
    </xf>
    <xf numFmtId="164" fontId="11" fillId="14" borderId="8" xfId="1" applyFont="1" applyFill="1" applyBorder="1" applyProtection="1">
      <protection locked="0"/>
    </xf>
    <xf numFmtId="180" fontId="11" fillId="0" borderId="8" xfId="1" applyNumberFormat="1" applyFont="1" applyFill="1" applyBorder="1" applyProtection="1">
      <protection locked="0"/>
    </xf>
    <xf numFmtId="40" fontId="11" fillId="16" borderId="8" xfId="1" applyNumberFormat="1" applyFont="1" applyFill="1" applyBorder="1" applyAlignment="1">
      <alignment horizontal="right"/>
    </xf>
    <xf numFmtId="40" fontId="13" fillId="16" borderId="0" xfId="17" applyNumberFormat="1" applyFont="1" applyFill="1" applyProtection="1">
      <protection locked="0"/>
    </xf>
    <xf numFmtId="40" fontId="11" fillId="16" borderId="0" xfId="17" applyNumberFormat="1" applyFont="1" applyFill="1" applyAlignment="1" applyProtection="1">
      <alignment horizontal="right"/>
      <protection locked="0"/>
    </xf>
    <xf numFmtId="40" fontId="11" fillId="16" borderId="0" xfId="17" applyNumberFormat="1" applyFont="1" applyFill="1" applyProtection="1">
      <protection locked="0"/>
    </xf>
    <xf numFmtId="164" fontId="11" fillId="16" borderId="0" xfId="1" applyFont="1" applyFill="1" applyProtection="1">
      <protection locked="0"/>
    </xf>
    <xf numFmtId="40" fontId="11" fillId="16" borderId="8" xfId="17" applyNumberFormat="1" applyFont="1" applyFill="1" applyBorder="1" applyProtection="1">
      <protection locked="0"/>
    </xf>
    <xf numFmtId="180" fontId="11" fillId="16" borderId="8" xfId="1" applyNumberFormat="1" applyFont="1" applyFill="1" applyBorder="1" applyAlignment="1" applyProtection="1">
      <alignment horizontal="center"/>
      <protection locked="0"/>
    </xf>
    <xf numFmtId="180" fontId="11" fillId="16" borderId="8" xfId="1" applyNumberFormat="1" applyFont="1" applyFill="1" applyBorder="1" applyAlignment="1">
      <alignment horizontal="center"/>
    </xf>
    <xf numFmtId="180" fontId="11" fillId="0" borderId="0" xfId="0" applyNumberFormat="1" applyFont="1"/>
    <xf numFmtId="40" fontId="11" fillId="0" borderId="0" xfId="1" applyNumberFormat="1" applyFont="1" applyBorder="1" applyAlignment="1" applyProtection="1">
      <alignment horizontal="center"/>
      <protection locked="0"/>
    </xf>
    <xf numFmtId="0" fontId="14" fillId="0" borderId="0" xfId="0" applyFont="1" applyAlignment="1" applyProtection="1">
      <alignment horizontal="right"/>
      <protection locked="0"/>
    </xf>
    <xf numFmtId="180" fontId="14" fillId="0" borderId="0" xfId="0" applyNumberFormat="1" applyFont="1"/>
    <xf numFmtId="37" fontId="11" fillId="5" borderId="0" xfId="1" applyNumberFormat="1" applyFont="1" applyFill="1" applyProtection="1">
      <protection locked="0"/>
    </xf>
    <xf numFmtId="173" fontId="11" fillId="0" borderId="8" xfId="0" applyNumberFormat="1" applyFont="1" applyBorder="1" applyAlignment="1" applyProtection="1">
      <alignment horizontal="center" vertical="center"/>
      <protection locked="0"/>
    </xf>
    <xf numFmtId="0" fontId="12" fillId="7" borderId="0" xfId="0" applyFont="1" applyFill="1" applyAlignment="1" applyProtection="1">
      <alignment horizontal="center"/>
      <protection locked="0"/>
    </xf>
    <xf numFmtId="0" fontId="12" fillId="7" borderId="0" xfId="0" applyFont="1" applyFill="1" applyAlignment="1" applyProtection="1">
      <alignment horizontal="center" vertical="center"/>
      <protection locked="0"/>
    </xf>
    <xf numFmtId="0" fontId="24" fillId="7" borderId="0" xfId="0" applyFont="1" applyFill="1" applyAlignment="1" applyProtection="1">
      <alignment horizontal="center" vertical="center" wrapText="1"/>
      <protection locked="0"/>
    </xf>
    <xf numFmtId="171" fontId="11" fillId="0" borderId="8" xfId="0" applyNumberFormat="1" applyFont="1" applyBorder="1" applyAlignment="1">
      <alignment horizontal="center"/>
    </xf>
    <xf numFmtId="171" fontId="32" fillId="0" borderId="8" xfId="0" applyNumberFormat="1" applyFont="1" applyBorder="1" applyAlignment="1">
      <alignment horizontal="center"/>
    </xf>
    <xf numFmtId="0" fontId="11" fillId="0" borderId="9" xfId="0" applyFont="1" applyBorder="1" applyAlignment="1">
      <alignment horizontal="center"/>
    </xf>
    <xf numFmtId="171" fontId="11" fillId="0" borderId="9" xfId="0" applyNumberFormat="1" applyFont="1" applyBorder="1" applyAlignment="1">
      <alignment horizontal="center"/>
    </xf>
    <xf numFmtId="171" fontId="11" fillId="2" borderId="8" xfId="0" applyNumberFormat="1" applyFont="1" applyFill="1" applyBorder="1" applyAlignment="1">
      <alignment horizontal="center"/>
    </xf>
    <xf numFmtId="171" fontId="32" fillId="0" borderId="5" xfId="0" applyNumberFormat="1" applyFont="1" applyBorder="1" applyAlignment="1">
      <alignment horizontal="center"/>
    </xf>
    <xf numFmtId="171" fontId="11" fillId="2" borderId="5" xfId="0" applyNumberFormat="1" applyFont="1" applyFill="1" applyBorder="1" applyAlignment="1">
      <alignment horizontal="center"/>
    </xf>
    <xf numFmtId="171" fontId="11" fillId="0" borderId="5" xfId="0" applyNumberFormat="1" applyFont="1" applyBorder="1" applyAlignment="1">
      <alignment horizontal="center"/>
    </xf>
    <xf numFmtId="171" fontId="11" fillId="4" borderId="8" xfId="0" applyNumberFormat="1" applyFont="1" applyFill="1" applyBorder="1" applyAlignment="1">
      <alignment horizontal="center"/>
    </xf>
    <xf numFmtId="179" fontId="11" fillId="0" borderId="0" xfId="0" applyNumberFormat="1" applyFont="1"/>
    <xf numFmtId="0" fontId="33" fillId="0" borderId="0" xfId="0" applyFont="1" applyAlignment="1">
      <alignment horizontal="center"/>
    </xf>
    <xf numFmtId="173" fontId="11" fillId="0" borderId="8" xfId="0" applyNumberFormat="1" applyFont="1" applyBorder="1" applyAlignment="1">
      <alignment horizontal="center" vertical="center"/>
    </xf>
    <xf numFmtId="0" fontId="11" fillId="0" borderId="8" xfId="0" applyFont="1" applyBorder="1" applyAlignment="1">
      <alignment horizontal="center" vertical="center"/>
    </xf>
    <xf numFmtId="40" fontId="11" fillId="16" borderId="8" xfId="1" applyNumberFormat="1" applyFont="1" applyFill="1" applyBorder="1" applyAlignment="1">
      <alignment horizontal="right" vertical="center"/>
    </xf>
    <xf numFmtId="180" fontId="11" fillId="0" borderId="8" xfId="1" applyNumberFormat="1" applyFont="1" applyFill="1" applyBorder="1" applyAlignment="1" applyProtection="1">
      <alignment vertical="center"/>
      <protection locked="0"/>
    </xf>
    <xf numFmtId="180" fontId="11" fillId="0" borderId="8" xfId="1" applyNumberFormat="1" applyFont="1" applyBorder="1" applyAlignment="1">
      <alignment horizontal="center" vertical="center"/>
    </xf>
    <xf numFmtId="180" fontId="11" fillId="16" borderId="8" xfId="1" applyNumberFormat="1" applyFont="1" applyFill="1" applyBorder="1" applyAlignment="1" applyProtection="1">
      <alignment horizontal="center" vertical="center"/>
      <protection locked="0"/>
    </xf>
    <xf numFmtId="180" fontId="11" fillId="16" borderId="8" xfId="1" applyNumberFormat="1" applyFont="1" applyFill="1" applyBorder="1" applyAlignment="1">
      <alignment horizontal="center" vertical="center"/>
    </xf>
    <xf numFmtId="0" fontId="11" fillId="0" borderId="5" xfId="0" applyFont="1" applyBorder="1" applyAlignment="1">
      <alignment horizontal="left" vertical="center"/>
    </xf>
    <xf numFmtId="0" fontId="11" fillId="0" borderId="9" xfId="0" applyFont="1" applyBorder="1" applyAlignment="1">
      <alignment horizontal="center" vertical="center" wrapText="1"/>
    </xf>
    <xf numFmtId="0" fontId="11" fillId="0" borderId="18" xfId="0" applyFont="1" applyBorder="1" applyAlignment="1">
      <alignment horizontal="center" vertical="center" wrapText="1"/>
    </xf>
    <xf numFmtId="172" fontId="11" fillId="0" borderId="8" xfId="0" applyNumberFormat="1" applyFont="1" applyBorder="1" applyAlignment="1">
      <alignment horizontal="center" vertical="center"/>
    </xf>
    <xf numFmtId="164" fontId="11" fillId="0" borderId="0" xfId="1" applyFont="1" applyFill="1" applyBorder="1"/>
    <xf numFmtId="17" fontId="11" fillId="0" borderId="9" xfId="0" applyNumberFormat="1" applyFont="1" applyBorder="1" applyAlignment="1">
      <alignment horizontal="center"/>
    </xf>
    <xf numFmtId="178" fontId="11" fillId="0" borderId="9" xfId="0" applyNumberFormat="1" applyFont="1" applyBorder="1" applyAlignment="1">
      <alignment horizontal="center"/>
    </xf>
    <xf numFmtId="164" fontId="11" fillId="0" borderId="9" xfId="1" applyFont="1" applyBorder="1"/>
    <xf numFmtId="165" fontId="11" fillId="0" borderId="9" xfId="0" applyNumberFormat="1" applyFont="1" applyBorder="1"/>
    <xf numFmtId="17" fontId="11" fillId="0" borderId="0" xfId="0" applyNumberFormat="1" applyFont="1" applyAlignment="1">
      <alignment horizontal="center"/>
    </xf>
    <xf numFmtId="178" fontId="11" fillId="0" borderId="0" xfId="0" applyNumberFormat="1" applyFont="1" applyAlignment="1">
      <alignment horizontal="center"/>
    </xf>
    <xf numFmtId="164" fontId="11" fillId="0" borderId="0" xfId="1" applyFont="1" applyFill="1" applyBorder="1" applyAlignment="1">
      <alignment horizontal="center"/>
    </xf>
    <xf numFmtId="164" fontId="11" fillId="0" borderId="0" xfId="1" applyFont="1" applyFill="1" applyBorder="1" applyProtection="1"/>
    <xf numFmtId="164" fontId="11" fillId="10" borderId="9" xfId="1" applyFont="1" applyFill="1" applyBorder="1" applyProtection="1">
      <protection locked="0"/>
    </xf>
    <xf numFmtId="0" fontId="11" fillId="0" borderId="19" xfId="0" applyFont="1" applyBorder="1" applyAlignment="1">
      <alignment horizontal="center"/>
    </xf>
    <xf numFmtId="0" fontId="11" fillId="0" borderId="19" xfId="0" applyFont="1" applyBorder="1"/>
    <xf numFmtId="17" fontId="11" fillId="0" borderId="19" xfId="0" applyNumberFormat="1" applyFont="1" applyBorder="1" applyAlignment="1">
      <alignment horizontal="center"/>
    </xf>
    <xf numFmtId="178" fontId="11" fillId="0" borderId="19" xfId="0" applyNumberFormat="1" applyFont="1" applyBorder="1" applyAlignment="1">
      <alignment horizontal="center"/>
    </xf>
    <xf numFmtId="164" fontId="11" fillId="0" borderId="19" xfId="1" applyFont="1" applyBorder="1"/>
    <xf numFmtId="165" fontId="11" fillId="0" borderId="19" xfId="0" applyNumberFormat="1" applyFont="1" applyBorder="1"/>
    <xf numFmtId="165" fontId="11" fillId="11" borderId="19" xfId="0" applyNumberFormat="1" applyFont="1" applyFill="1" applyBorder="1"/>
    <xf numFmtId="164" fontId="11" fillId="10" borderId="19" xfId="1" applyFont="1" applyFill="1" applyBorder="1" applyProtection="1">
      <protection locked="0"/>
    </xf>
    <xf numFmtId="0" fontId="11" fillId="0" borderId="19" xfId="0" applyFont="1" applyBorder="1" applyAlignment="1">
      <alignment horizontal="left"/>
    </xf>
    <xf numFmtId="17" fontId="11" fillId="0" borderId="5" xfId="0" applyNumberFormat="1" applyFont="1" applyBorder="1" applyAlignment="1">
      <alignment horizontal="center"/>
    </xf>
    <xf numFmtId="178" fontId="11" fillId="0" borderId="5" xfId="0" applyNumberFormat="1" applyFont="1" applyBorder="1" applyAlignment="1">
      <alignment horizontal="center"/>
    </xf>
    <xf numFmtId="164" fontId="11" fillId="0" borderId="5" xfId="1" applyFont="1" applyBorder="1"/>
    <xf numFmtId="17" fontId="11" fillId="0" borderId="20" xfId="0" applyNumberFormat="1" applyFont="1" applyBorder="1" applyAlignment="1">
      <alignment horizontal="center"/>
    </xf>
    <xf numFmtId="164" fontId="11" fillId="0" borderId="20" xfId="1" applyFont="1" applyBorder="1"/>
    <xf numFmtId="0" fontId="11" fillId="0" borderId="20" xfId="0" applyFont="1" applyBorder="1" applyAlignment="1">
      <alignment horizontal="center"/>
    </xf>
    <xf numFmtId="164" fontId="11" fillId="10" borderId="5" xfId="1" applyFont="1" applyFill="1" applyBorder="1" applyProtection="1">
      <protection locked="0"/>
    </xf>
    <xf numFmtId="165" fontId="11" fillId="0" borderId="5" xfId="0" applyNumberFormat="1" applyFont="1" applyBorder="1"/>
    <xf numFmtId="164" fontId="11" fillId="11" borderId="19" xfId="1" applyFont="1" applyFill="1" applyBorder="1" applyProtection="1">
      <protection locked="0"/>
    </xf>
    <xf numFmtId="9" fontId="11" fillId="0" borderId="0" xfId="2" applyFont="1"/>
    <xf numFmtId="0" fontId="11" fillId="0" borderId="9" xfId="0" applyFont="1" applyBorder="1" applyProtection="1">
      <protection locked="0"/>
    </xf>
    <xf numFmtId="0" fontId="11" fillId="0" borderId="19" xfId="0" applyFont="1" applyBorder="1" applyProtection="1">
      <protection locked="0"/>
    </xf>
    <xf numFmtId="0" fontId="11" fillId="10" borderId="19" xfId="0" applyFont="1" applyFill="1" applyBorder="1"/>
    <xf numFmtId="0" fontId="15" fillId="2" borderId="19" xfId="0" applyFont="1" applyFill="1" applyBorder="1"/>
    <xf numFmtId="4" fontId="15" fillId="2" borderId="19" xfId="0" applyNumberFormat="1" applyFont="1" applyFill="1" applyBorder="1"/>
    <xf numFmtId="0" fontId="15" fillId="2" borderId="19" xfId="0" applyFont="1" applyFill="1" applyBorder="1" applyAlignment="1">
      <alignment horizontal="left"/>
    </xf>
    <xf numFmtId="164" fontId="15" fillId="2" borderId="19" xfId="0" applyNumberFormat="1" applyFont="1" applyFill="1" applyBorder="1"/>
    <xf numFmtId="0" fontId="11" fillId="0" borderId="19" xfId="0" applyFont="1" applyBorder="1" applyAlignment="1">
      <alignment vertical="center"/>
    </xf>
    <xf numFmtId="180" fontId="12" fillId="0" borderId="19" xfId="1" applyNumberFormat="1" applyFont="1" applyBorder="1"/>
    <xf numFmtId="0" fontId="11" fillId="0" borderId="19" xfId="0" applyFont="1" applyBorder="1" applyAlignment="1">
      <alignment horizontal="center" vertical="center"/>
    </xf>
    <xf numFmtId="0" fontId="11" fillId="0" borderId="19" xfId="0" applyFont="1" applyBorder="1" applyAlignment="1">
      <alignment horizontal="left" vertical="center" wrapText="1"/>
    </xf>
    <xf numFmtId="180" fontId="12" fillId="0" borderId="19" xfId="1" applyNumberFormat="1" applyFont="1" applyBorder="1" applyAlignment="1">
      <alignment horizontal="center" vertical="center"/>
    </xf>
    <xf numFmtId="0" fontId="11" fillId="10" borderId="19" xfId="0" applyFont="1" applyFill="1" applyBorder="1" applyAlignment="1">
      <alignment horizontal="center" vertical="center"/>
    </xf>
    <xf numFmtId="0" fontId="11" fillId="10" borderId="19" xfId="0" applyFont="1" applyFill="1" applyBorder="1" applyAlignment="1">
      <alignment horizontal="left" vertical="center" wrapText="1"/>
    </xf>
    <xf numFmtId="180" fontId="12" fillId="10" borderId="19" xfId="1" applyNumberFormat="1" applyFont="1" applyFill="1" applyBorder="1" applyAlignment="1">
      <alignment horizontal="center" vertical="center"/>
    </xf>
    <xf numFmtId="0" fontId="14" fillId="2" borderId="19" xfId="0" applyFont="1" applyFill="1" applyBorder="1" applyAlignment="1">
      <alignment horizontal="center" vertical="center" wrapText="1"/>
    </xf>
    <xf numFmtId="0" fontId="14" fillId="2" borderId="19" xfId="0" applyFont="1" applyFill="1" applyBorder="1" applyAlignment="1">
      <alignment horizontal="left" vertical="center" wrapText="1"/>
    </xf>
    <xf numFmtId="180" fontId="14" fillId="2" borderId="19" xfId="1" applyNumberFormat="1" applyFont="1" applyFill="1" applyBorder="1" applyAlignment="1">
      <alignment horizontal="center" vertical="center"/>
    </xf>
    <xf numFmtId="4" fontId="11" fillId="0" borderId="0" xfId="0" applyNumberFormat="1" applyFont="1"/>
    <xf numFmtId="164" fontId="11" fillId="0" borderId="0" xfId="0" applyNumberFormat="1" applyFont="1"/>
    <xf numFmtId="0" fontId="11" fillId="0" borderId="0" xfId="0" applyFont="1" applyAlignment="1">
      <alignment horizontal="left" indent="1"/>
    </xf>
    <xf numFmtId="173" fontId="11" fillId="0" borderId="0" xfId="0" applyNumberFormat="1" applyFont="1" applyAlignment="1">
      <alignment horizontal="center"/>
    </xf>
    <xf numFmtId="4" fontId="11" fillId="9" borderId="19" xfId="0" applyNumberFormat="1" applyFont="1" applyFill="1" applyBorder="1"/>
    <xf numFmtId="0" fontId="11" fillId="10" borderId="19" xfId="0" applyFont="1" applyFill="1" applyBorder="1" applyAlignment="1">
      <alignment horizontal="center"/>
    </xf>
    <xf numFmtId="0" fontId="15" fillId="2" borderId="19" xfId="0" applyFont="1" applyFill="1" applyBorder="1" applyAlignment="1">
      <alignment horizontal="center"/>
    </xf>
    <xf numFmtId="0" fontId="0" fillId="0" borderId="0" xfId="0" applyAlignment="1">
      <alignment horizontal="center"/>
    </xf>
    <xf numFmtId="0" fontId="11" fillId="0" borderId="9" xfId="0" applyFont="1" applyBorder="1" applyAlignment="1" applyProtection="1">
      <alignment horizontal="center"/>
      <protection locked="0"/>
    </xf>
    <xf numFmtId="0" fontId="11" fillId="0" borderId="20" xfId="0" applyFont="1" applyBorder="1" applyProtection="1">
      <protection locked="0"/>
    </xf>
    <xf numFmtId="0" fontId="11" fillId="0" borderId="19" xfId="0" applyFont="1" applyBorder="1" applyAlignment="1" applyProtection="1">
      <alignment horizontal="center"/>
      <protection locked="0"/>
    </xf>
    <xf numFmtId="0" fontId="11" fillId="0" borderId="20" xfId="0" applyFont="1" applyBorder="1" applyAlignment="1" applyProtection="1">
      <alignment horizontal="center"/>
      <protection locked="0"/>
    </xf>
    <xf numFmtId="0" fontId="41" fillId="0" borderId="0" xfId="0" applyFont="1" applyAlignment="1">
      <alignment horizontal="center"/>
    </xf>
    <xf numFmtId="0" fontId="46" fillId="8" borderId="0" xfId="0" applyFont="1" applyFill="1" applyAlignment="1">
      <alignment horizontal="center" vertical="center" wrapText="1"/>
    </xf>
    <xf numFmtId="0" fontId="16" fillId="0" borderId="0" xfId="0" applyFont="1" applyAlignment="1">
      <alignment horizontal="center" vertical="center"/>
    </xf>
    <xf numFmtId="0" fontId="12" fillId="0" borderId="0" xfId="0" applyFont="1" applyAlignment="1">
      <alignment horizontal="center" vertical="center" wrapText="1"/>
    </xf>
    <xf numFmtId="0" fontId="11" fillId="10" borderId="19" xfId="0" applyFont="1" applyFill="1" applyBorder="1" applyAlignment="1">
      <alignment vertical="center"/>
    </xf>
    <xf numFmtId="180" fontId="12" fillId="10" borderId="19" xfId="1" applyNumberFormat="1" applyFont="1" applyFill="1" applyBorder="1"/>
    <xf numFmtId="165" fontId="11" fillId="0" borderId="8" xfId="1" applyNumberFormat="1" applyFont="1" applyBorder="1" applyProtection="1">
      <protection locked="0"/>
    </xf>
    <xf numFmtId="165" fontId="11" fillId="0" borderId="0" xfId="1" applyNumberFormat="1" applyFont="1" applyProtection="1">
      <protection locked="0"/>
    </xf>
    <xf numFmtId="165" fontId="12" fillId="10" borderId="8" xfId="1" applyNumberFormat="1" applyFont="1" applyFill="1" applyBorder="1" applyProtection="1">
      <protection hidden="1"/>
    </xf>
    <xf numFmtId="165" fontId="11" fillId="0" borderId="8" xfId="1" applyNumberFormat="1" applyFont="1" applyBorder="1" applyProtection="1"/>
    <xf numFmtId="165" fontId="14" fillId="2" borderId="8" xfId="0" applyNumberFormat="1" applyFont="1" applyFill="1" applyBorder="1" applyAlignment="1">
      <alignment vertical="center"/>
    </xf>
    <xf numFmtId="165" fontId="13" fillId="0" borderId="0" xfId="1" applyNumberFormat="1" applyFont="1" applyFill="1" applyBorder="1" applyAlignment="1" applyProtection="1">
      <alignment vertical="center"/>
      <protection hidden="1"/>
    </xf>
    <xf numFmtId="165" fontId="20" fillId="10" borderId="9" xfId="1" applyNumberFormat="1" applyFont="1" applyFill="1" applyBorder="1" applyAlignment="1" applyProtection="1">
      <alignment vertical="center"/>
      <protection hidden="1"/>
    </xf>
    <xf numFmtId="165" fontId="13" fillId="0" borderId="5" xfId="1" applyNumberFormat="1" applyFont="1" applyFill="1" applyBorder="1" applyAlignment="1" applyProtection="1">
      <alignment vertical="center"/>
      <protection hidden="1"/>
    </xf>
    <xf numFmtId="165" fontId="20" fillId="10" borderId="8" xfId="1" applyNumberFormat="1" applyFont="1" applyFill="1" applyBorder="1" applyAlignment="1" applyProtection="1">
      <alignment vertical="center"/>
      <protection hidden="1"/>
    </xf>
    <xf numFmtId="165" fontId="11" fillId="0" borderId="0" xfId="1" applyNumberFormat="1" applyFont="1" applyBorder="1" applyProtection="1">
      <protection locked="0"/>
    </xf>
    <xf numFmtId="165" fontId="11" fillId="0" borderId="8" xfId="1" applyNumberFormat="1" applyFont="1" applyBorder="1" applyProtection="1">
      <protection hidden="1"/>
    </xf>
    <xf numFmtId="165" fontId="11" fillId="0" borderId="0" xfId="0" applyNumberFormat="1" applyFont="1" applyProtection="1">
      <protection hidden="1"/>
    </xf>
    <xf numFmtId="165" fontId="14" fillId="2" borderId="8" xfId="1" applyNumberFormat="1" applyFont="1" applyFill="1" applyBorder="1" applyProtection="1">
      <protection hidden="1"/>
    </xf>
    <xf numFmtId="164" fontId="11" fillId="0" borderId="8" xfId="1" applyFont="1" applyFill="1" applyBorder="1" applyAlignment="1" applyProtection="1">
      <protection locked="0"/>
    </xf>
    <xf numFmtId="164" fontId="12" fillId="0" borderId="0" xfId="1" applyFont="1" applyBorder="1" applyAlignment="1" applyProtection="1">
      <protection locked="0"/>
    </xf>
    <xf numFmtId="164" fontId="12" fillId="10" borderId="8" xfId="1" applyFont="1" applyFill="1" applyBorder="1" applyAlignment="1"/>
    <xf numFmtId="166" fontId="15" fillId="0" borderId="0" xfId="0" applyNumberFormat="1" applyFont="1" applyProtection="1">
      <protection locked="0"/>
    </xf>
    <xf numFmtId="166" fontId="11" fillId="0" borderId="8" xfId="1" applyNumberFormat="1" applyFont="1" applyBorder="1" applyAlignment="1" applyProtection="1">
      <alignment horizontal="center"/>
      <protection locked="0"/>
    </xf>
    <xf numFmtId="166" fontId="11" fillId="0" borderId="0" xfId="1" applyNumberFormat="1" applyFont="1" applyBorder="1" applyProtection="1">
      <protection locked="0"/>
    </xf>
    <xf numFmtId="171" fontId="11" fillId="0" borderId="8" xfId="1" applyNumberFormat="1" applyFont="1" applyBorder="1" applyAlignment="1">
      <alignment horizontal="center"/>
    </xf>
    <xf numFmtId="171" fontId="11" fillId="0" borderId="0" xfId="0" applyNumberFormat="1" applyFont="1"/>
    <xf numFmtId="171" fontId="24" fillId="0" borderId="0" xfId="0" applyNumberFormat="1" applyFont="1" applyAlignment="1">
      <alignment horizontal="center" vertical="center" wrapText="1"/>
    </xf>
    <xf numFmtId="171" fontId="11" fillId="0" borderId="9" xfId="1" applyNumberFormat="1" applyFont="1" applyBorder="1" applyAlignment="1">
      <alignment horizontal="center"/>
    </xf>
    <xf numFmtId="171" fontId="11" fillId="0" borderId="19" xfId="1" applyNumberFormat="1" applyFont="1" applyBorder="1" applyAlignment="1">
      <alignment horizontal="center"/>
    </xf>
    <xf numFmtId="171" fontId="11" fillId="0" borderId="0" xfId="1" applyNumberFormat="1" applyFont="1" applyFill="1" applyBorder="1" applyAlignment="1">
      <alignment horizontal="center"/>
    </xf>
    <xf numFmtId="171" fontId="11" fillId="0" borderId="5" xfId="1" applyNumberFormat="1" applyFont="1" applyBorder="1" applyAlignment="1">
      <alignment horizontal="center"/>
    </xf>
    <xf numFmtId="165" fontId="47" fillId="18" borderId="0" xfId="0" applyNumberFormat="1" applyFont="1" applyFill="1" applyAlignment="1" applyProtection="1">
      <alignment horizontal="left" vertical="center"/>
      <protection hidden="1"/>
    </xf>
    <xf numFmtId="0" fontId="48" fillId="18" borderId="0" xfId="0" applyFont="1" applyFill="1" applyProtection="1">
      <protection hidden="1"/>
    </xf>
    <xf numFmtId="0" fontId="11" fillId="9" borderId="19" xfId="0" applyFont="1" applyFill="1" applyBorder="1"/>
    <xf numFmtId="40" fontId="11" fillId="16" borderId="8" xfId="1" quotePrefix="1" applyNumberFormat="1" applyFont="1" applyFill="1" applyBorder="1" applyAlignment="1">
      <alignment horizontal="right" vertical="center"/>
    </xf>
    <xf numFmtId="165" fontId="14" fillId="8" borderId="0" xfId="4" applyFont="1" applyFill="1" applyBorder="1" applyAlignment="1" applyProtection="1">
      <alignment vertical="center"/>
      <protection hidden="1"/>
    </xf>
    <xf numFmtId="4" fontId="11" fillId="10" borderId="19" xfId="0" applyNumberFormat="1" applyFont="1" applyFill="1" applyBorder="1"/>
    <xf numFmtId="164" fontId="11" fillId="10" borderId="19" xfId="0" applyNumberFormat="1" applyFont="1" applyFill="1" applyBorder="1"/>
    <xf numFmtId="4" fontId="11" fillId="0" borderId="0" xfId="0" applyNumberFormat="1" applyFont="1" applyAlignment="1">
      <alignment horizontal="center"/>
    </xf>
    <xf numFmtId="4" fontId="11" fillId="10" borderId="19" xfId="0" applyNumberFormat="1" applyFont="1" applyFill="1" applyBorder="1" applyAlignment="1">
      <alignment horizontal="center"/>
    </xf>
    <xf numFmtId="4" fontId="11" fillId="9" borderId="19" xfId="0" applyNumberFormat="1" applyFont="1" applyFill="1" applyBorder="1" applyAlignment="1">
      <alignment horizontal="center"/>
    </xf>
    <xf numFmtId="4" fontId="15" fillId="2" borderId="19" xfId="0" applyNumberFormat="1" applyFont="1" applyFill="1" applyBorder="1" applyAlignment="1">
      <alignment horizontal="center"/>
    </xf>
    <xf numFmtId="180" fontId="11" fillId="10" borderId="19" xfId="0" applyNumberFormat="1" applyFont="1" applyFill="1" applyBorder="1"/>
    <xf numFmtId="180" fontId="11" fillId="9" borderId="19" xfId="0" applyNumberFormat="1" applyFont="1" applyFill="1" applyBorder="1"/>
    <xf numFmtId="180" fontId="15" fillId="2" borderId="19" xfId="0" applyNumberFormat="1" applyFont="1" applyFill="1" applyBorder="1"/>
    <xf numFmtId="0" fontId="36" fillId="0" borderId="0" xfId="0" applyFont="1" applyAlignment="1" applyProtection="1">
      <alignment horizontal="left"/>
      <protection hidden="1"/>
    </xf>
    <xf numFmtId="0" fontId="39" fillId="8" borderId="0" xfId="0" applyFont="1" applyFill="1" applyProtection="1">
      <protection hidden="1"/>
    </xf>
    <xf numFmtId="164" fontId="37" fillId="17" borderId="0" xfId="0" applyNumberFormat="1" applyFont="1" applyFill="1" applyProtection="1">
      <protection hidden="1"/>
    </xf>
    <xf numFmtId="0" fontId="0" fillId="0" borderId="0" xfId="0" applyProtection="1">
      <protection hidden="1"/>
    </xf>
    <xf numFmtId="0" fontId="34" fillId="0" borderId="0" xfId="0" applyFont="1" applyProtection="1">
      <protection hidden="1"/>
    </xf>
    <xf numFmtId="164" fontId="38" fillId="0" borderId="0" xfId="0" applyNumberFormat="1" applyFont="1" applyAlignment="1" applyProtection="1">
      <alignment horizontal="center"/>
      <protection hidden="1"/>
    </xf>
    <xf numFmtId="0" fontId="40" fillId="0" borderId="0" xfId="0" applyFont="1" applyProtection="1">
      <protection hidden="1"/>
    </xf>
    <xf numFmtId="164" fontId="38" fillId="0" borderId="0" xfId="0" applyNumberFormat="1" applyFont="1" applyProtection="1">
      <protection hidden="1"/>
    </xf>
    <xf numFmtId="0" fontId="38" fillId="0" borderId="0" xfId="0" applyFont="1" applyProtection="1">
      <protection hidden="1"/>
    </xf>
    <xf numFmtId="0" fontId="38" fillId="0" borderId="0" xfId="0" applyFont="1" applyAlignment="1" applyProtection="1">
      <alignment horizontal="left" vertical="center"/>
      <protection hidden="1"/>
    </xf>
    <xf numFmtId="4" fontId="34" fillId="10" borderId="3" xfId="0" applyNumberFormat="1" applyFont="1" applyFill="1" applyBorder="1" applyProtection="1">
      <protection hidden="1"/>
    </xf>
    <xf numFmtId="164" fontId="38" fillId="10" borderId="3" xfId="0" applyNumberFormat="1" applyFont="1" applyFill="1" applyBorder="1" applyProtection="1">
      <protection hidden="1"/>
    </xf>
    <xf numFmtId="164" fontId="34" fillId="16" borderId="0" xfId="1" applyFont="1" applyFill="1" applyProtection="1">
      <protection hidden="1"/>
    </xf>
    <xf numFmtId="4" fontId="34" fillId="0" borderId="0" xfId="0" applyNumberFormat="1" applyFont="1" applyProtection="1">
      <protection hidden="1"/>
    </xf>
    <xf numFmtId="180" fontId="34" fillId="16" borderId="0" xfId="1" applyNumberFormat="1" applyFont="1" applyFill="1" applyProtection="1">
      <protection hidden="1"/>
    </xf>
    <xf numFmtId="180" fontId="38" fillId="0" borderId="0" xfId="0" applyNumberFormat="1" applyFont="1" applyProtection="1">
      <protection hidden="1"/>
    </xf>
    <xf numFmtId="165" fontId="38" fillId="0" borderId="0" xfId="0" applyNumberFormat="1" applyFont="1" applyProtection="1">
      <protection hidden="1"/>
    </xf>
    <xf numFmtId="170" fontId="31" fillId="0" borderId="12" xfId="0" applyNumberFormat="1" applyFont="1" applyBorder="1" applyProtection="1">
      <protection locked="0"/>
    </xf>
    <xf numFmtId="170" fontId="11" fillId="0" borderId="12" xfId="0" applyNumberFormat="1" applyFont="1" applyBorder="1" applyAlignment="1" applyProtection="1">
      <alignment horizontal="center"/>
      <protection locked="0"/>
    </xf>
    <xf numFmtId="171" fontId="11" fillId="4" borderId="8" xfId="0" applyNumberFormat="1" applyFont="1" applyFill="1" applyBorder="1" applyAlignment="1" applyProtection="1">
      <alignment horizontal="center"/>
      <protection locked="0"/>
    </xf>
    <xf numFmtId="172" fontId="11" fillId="0" borderId="8" xfId="0" applyNumberFormat="1" applyFont="1" applyBorder="1" applyAlignment="1" applyProtection="1">
      <alignment horizontal="center" vertical="center"/>
      <protection locked="0"/>
    </xf>
    <xf numFmtId="172" fontId="11" fillId="16" borderId="0" xfId="0" applyNumberFormat="1" applyFont="1" applyFill="1" applyAlignment="1" applyProtection="1">
      <alignment horizontal="center" vertical="center"/>
      <protection locked="0"/>
    </xf>
    <xf numFmtId="0" fontId="11" fillId="0" borderId="0" xfId="0" applyFont="1" applyAlignment="1">
      <alignment horizontal="left" indent="2"/>
    </xf>
    <xf numFmtId="0" fontId="11" fillId="10" borderId="19" xfId="0" applyFont="1" applyFill="1" applyBorder="1" applyAlignment="1">
      <alignment horizontal="left" indent="1"/>
    </xf>
    <xf numFmtId="180" fontId="0" fillId="0" borderId="0" xfId="0" applyNumberFormat="1"/>
    <xf numFmtId="180" fontId="12" fillId="0" borderId="0" xfId="0" applyNumberFormat="1" applyFont="1" applyAlignment="1">
      <alignment horizontal="left" vertical="center" wrapText="1"/>
    </xf>
    <xf numFmtId="166" fontId="11" fillId="0" borderId="0" xfId="0" applyNumberFormat="1" applyFont="1"/>
    <xf numFmtId="166" fontId="49" fillId="9" borderId="19" xfId="0" applyNumberFormat="1" applyFont="1" applyFill="1" applyBorder="1"/>
    <xf numFmtId="181" fontId="16" fillId="0" borderId="0" xfId="0" applyNumberFormat="1" applyFont="1" applyAlignment="1">
      <alignment horizontal="center" vertical="center"/>
    </xf>
    <xf numFmtId="181" fontId="12" fillId="0" borderId="0" xfId="0" applyNumberFormat="1" applyFont="1" applyAlignment="1">
      <alignment horizontal="center" vertical="center" wrapText="1"/>
    </xf>
    <xf numFmtId="181" fontId="11" fillId="0" borderId="0" xfId="0" applyNumberFormat="1" applyFont="1" applyAlignment="1">
      <alignment horizontal="center"/>
    </xf>
    <xf numFmtId="181" fontId="0" fillId="0" borderId="0" xfId="0" applyNumberFormat="1" applyAlignment="1">
      <alignment horizontal="center"/>
    </xf>
    <xf numFmtId="164" fontId="11" fillId="0" borderId="0" xfId="1" applyFont="1" applyAlignment="1" applyProtection="1">
      <alignment vertical="center"/>
      <protection hidden="1"/>
    </xf>
    <xf numFmtId="176" fontId="11" fillId="0" borderId="9" xfId="0" applyNumberFormat="1" applyFont="1" applyBorder="1" applyAlignment="1" applyProtection="1">
      <alignment horizontal="center"/>
      <protection locked="0"/>
    </xf>
    <xf numFmtId="176" fontId="11" fillId="0" borderId="19" xfId="0" applyNumberFormat="1" applyFont="1" applyBorder="1" applyAlignment="1" applyProtection="1">
      <alignment horizontal="center"/>
      <protection locked="0"/>
    </xf>
    <xf numFmtId="176" fontId="11" fillId="0" borderId="5" xfId="0" applyNumberFormat="1" applyFont="1" applyBorder="1" applyAlignment="1" applyProtection="1">
      <alignment horizontal="center"/>
      <protection locked="0"/>
    </xf>
    <xf numFmtId="0" fontId="34" fillId="0" borderId="0" xfId="0" applyFont="1"/>
    <xf numFmtId="182" fontId="37" fillId="17" borderId="0" xfId="0" applyNumberFormat="1" applyFont="1" applyFill="1" applyAlignment="1">
      <alignment horizontal="center"/>
    </xf>
    <xf numFmtId="164" fontId="11" fillId="2" borderId="8" xfId="1" applyFont="1" applyFill="1" applyBorder="1"/>
    <xf numFmtId="0" fontId="11" fillId="2" borderId="8" xfId="0" applyFont="1" applyFill="1" applyBorder="1"/>
    <xf numFmtId="0" fontId="11" fillId="2" borderId="8" xfId="0" applyFont="1" applyFill="1" applyBorder="1" applyAlignment="1">
      <alignment horizontal="center"/>
    </xf>
    <xf numFmtId="164" fontId="11" fillId="2" borderId="19" xfId="1" applyFont="1" applyFill="1" applyBorder="1"/>
    <xf numFmtId="0" fontId="11" fillId="2" borderId="19" xfId="0" applyFont="1" applyFill="1" applyBorder="1"/>
    <xf numFmtId="0" fontId="11" fillId="2" borderId="19" xfId="0" applyFont="1" applyFill="1" applyBorder="1" applyAlignment="1">
      <alignment horizontal="center"/>
    </xf>
    <xf numFmtId="166" fontId="11" fillId="10" borderId="19" xfId="0" applyNumberFormat="1" applyFont="1" applyFill="1" applyBorder="1"/>
    <xf numFmtId="166" fontId="50" fillId="2" borderId="19" xfId="0" applyNumberFormat="1" applyFont="1" applyFill="1" applyBorder="1"/>
    <xf numFmtId="168" fontId="13" fillId="3" borderId="0" xfId="5" applyNumberFormat="1" applyFont="1" applyFill="1" applyBorder="1" applyProtection="1"/>
    <xf numFmtId="169" fontId="13" fillId="3" borderId="0" xfId="6" applyNumberFormat="1" applyFont="1" applyFill="1"/>
    <xf numFmtId="180" fontId="13" fillId="3" borderId="0" xfId="1" applyNumberFormat="1" applyFont="1" applyFill="1" applyBorder="1" applyProtection="1"/>
    <xf numFmtId="164" fontId="13" fillId="3" borderId="0" xfId="1" applyFont="1" applyFill="1" applyBorder="1" applyProtection="1"/>
    <xf numFmtId="165" fontId="11" fillId="3" borderId="0" xfId="0" applyNumberFormat="1" applyFont="1" applyFill="1"/>
    <xf numFmtId="180" fontId="11" fillId="3" borderId="0" xfId="1" applyNumberFormat="1" applyFont="1" applyFill="1" applyProtection="1"/>
    <xf numFmtId="11" fontId="11" fillId="5" borderId="0" xfId="0" applyNumberFormat="1" applyFont="1" applyFill="1" applyAlignment="1" applyProtection="1">
      <alignment horizontal="center" vertical="center"/>
      <protection locked="0"/>
    </xf>
    <xf numFmtId="181" fontId="11" fillId="0" borderId="0" xfId="0" applyNumberFormat="1" applyFont="1"/>
    <xf numFmtId="181" fontId="11" fillId="10" borderId="19" xfId="0" applyNumberFormat="1" applyFont="1" applyFill="1" applyBorder="1"/>
    <xf numFmtId="181" fontId="15" fillId="2" borderId="19" xfId="0" applyNumberFormat="1" applyFont="1" applyFill="1" applyBorder="1"/>
    <xf numFmtId="181" fontId="11" fillId="9" borderId="19" xfId="0" applyNumberFormat="1" applyFont="1" applyFill="1" applyBorder="1"/>
    <xf numFmtId="164" fontId="11" fillId="3" borderId="0" xfId="1" applyFont="1" applyFill="1" applyProtection="1"/>
    <xf numFmtId="165" fontId="11" fillId="0" borderId="8" xfId="1" applyNumberFormat="1" applyFont="1" applyFill="1" applyBorder="1" applyAlignment="1" applyProtection="1">
      <alignment vertical="center"/>
      <protection hidden="1"/>
    </xf>
    <xf numFmtId="165" fontId="11" fillId="0" borderId="9" xfId="1" applyNumberFormat="1" applyFont="1" applyFill="1" applyBorder="1" applyAlignment="1" applyProtection="1">
      <alignment vertical="center"/>
      <protection hidden="1"/>
    </xf>
    <xf numFmtId="165" fontId="14" fillId="2" borderId="9" xfId="1" applyNumberFormat="1" applyFont="1" applyFill="1" applyBorder="1" applyAlignment="1" applyProtection="1">
      <alignment vertical="center"/>
      <protection hidden="1"/>
    </xf>
    <xf numFmtId="165" fontId="14" fillId="8" borderId="0" xfId="1" applyNumberFormat="1" applyFont="1" applyFill="1" applyBorder="1" applyAlignment="1" applyProtection="1">
      <alignment vertical="center"/>
      <protection hidden="1"/>
    </xf>
    <xf numFmtId="165" fontId="12" fillId="9" borderId="8" xfId="1" applyNumberFormat="1" applyFont="1" applyFill="1" applyBorder="1" applyAlignment="1" applyProtection="1">
      <alignment vertical="center"/>
      <protection hidden="1"/>
    </xf>
    <xf numFmtId="165" fontId="12" fillId="10" borderId="9" xfId="1" applyNumberFormat="1" applyFont="1" applyFill="1" applyBorder="1" applyAlignment="1" applyProtection="1">
      <alignment vertical="center"/>
      <protection hidden="1"/>
    </xf>
    <xf numFmtId="165" fontId="11" fillId="13" borderId="3" xfId="1" applyNumberFormat="1" applyFont="1" applyFill="1" applyBorder="1" applyAlignment="1" applyProtection="1">
      <alignment vertical="center"/>
      <protection hidden="1"/>
    </xf>
    <xf numFmtId="164" fontId="11" fillId="19" borderId="0" xfId="1" applyFont="1" applyFill="1" applyProtection="1"/>
    <xf numFmtId="164" fontId="11" fillId="2" borderId="8" xfId="1" applyFont="1" applyFill="1" applyBorder="1" applyProtection="1">
      <protection locked="0"/>
    </xf>
    <xf numFmtId="0" fontId="42" fillId="0" borderId="0" xfId="0" applyFont="1" applyAlignment="1">
      <alignment vertical="center" wrapText="1"/>
    </xf>
    <xf numFmtId="0" fontId="11" fillId="20" borderId="0" xfId="0" applyFont="1" applyFill="1"/>
    <xf numFmtId="0" fontId="11" fillId="20" borderId="0" xfId="0" applyFont="1" applyFill="1" applyAlignment="1">
      <alignment horizontal="center"/>
    </xf>
    <xf numFmtId="0" fontId="0" fillId="20" borderId="0" xfId="0" applyFill="1"/>
    <xf numFmtId="164" fontId="11" fillId="0" borderId="8" xfId="1" applyFont="1" applyFill="1" applyBorder="1" applyProtection="1">
      <protection locked="0"/>
    </xf>
    <xf numFmtId="164" fontId="11" fillId="0" borderId="9" xfId="1" applyFont="1" applyFill="1" applyBorder="1" applyProtection="1">
      <protection locked="0"/>
    </xf>
    <xf numFmtId="164" fontId="11" fillId="0" borderId="19" xfId="1" applyFont="1" applyFill="1" applyBorder="1" applyProtection="1">
      <protection locked="0"/>
    </xf>
    <xf numFmtId="0" fontId="11" fillId="2" borderId="8" xfId="0" applyFont="1" applyFill="1" applyBorder="1" applyProtection="1">
      <protection locked="0"/>
    </xf>
    <xf numFmtId="164" fontId="11" fillId="2" borderId="19" xfId="1" applyFont="1" applyFill="1" applyBorder="1" applyProtection="1">
      <protection locked="0"/>
    </xf>
    <xf numFmtId="164" fontId="11" fillId="0" borderId="5" xfId="1" applyFont="1" applyFill="1" applyBorder="1" applyProtection="1">
      <protection locked="0"/>
    </xf>
    <xf numFmtId="172" fontId="11" fillId="0" borderId="0" xfId="0" applyNumberFormat="1" applyFont="1" applyAlignment="1">
      <alignment horizontal="center" vertical="center"/>
    </xf>
    <xf numFmtId="0" fontId="17" fillId="0" borderId="0" xfId="0" applyFont="1" applyAlignment="1" applyProtection="1">
      <alignment vertical="center"/>
      <protection locked="0"/>
    </xf>
    <xf numFmtId="0" fontId="12" fillId="0" borderId="2" xfId="0" applyFont="1" applyBorder="1" applyAlignment="1" applyProtection="1">
      <alignment horizontal="center" vertical="center"/>
      <protection locked="0"/>
    </xf>
    <xf numFmtId="0" fontId="12" fillId="0" borderId="0" xfId="0" applyFont="1" applyAlignment="1" applyProtection="1">
      <alignment horizontal="center" vertical="center"/>
      <protection locked="0"/>
    </xf>
    <xf numFmtId="0" fontId="12" fillId="0" borderId="4" xfId="0" applyFont="1" applyBorder="1" applyAlignment="1" applyProtection="1">
      <alignment horizontal="center" vertical="center"/>
      <protection locked="0"/>
    </xf>
    <xf numFmtId="0" fontId="28" fillId="8" borderId="3" xfId="0" applyFont="1" applyFill="1" applyBorder="1" applyAlignment="1" applyProtection="1">
      <alignment horizontal="center" vertical="center"/>
      <protection locked="0"/>
    </xf>
    <xf numFmtId="0" fontId="28" fillId="8" borderId="0" xfId="0" applyFont="1" applyFill="1" applyAlignment="1" applyProtection="1">
      <alignment horizontal="center" vertical="center"/>
      <protection locked="0"/>
    </xf>
    <xf numFmtId="0" fontId="11" fillId="0" borderId="0" xfId="0" applyFont="1" applyAlignment="1" applyProtection="1">
      <alignment horizontal="center" vertical="center"/>
      <protection locked="0"/>
    </xf>
    <xf numFmtId="0" fontId="11" fillId="0" borderId="8" xfId="0" applyFont="1" applyBorder="1" applyAlignment="1" applyProtection="1">
      <alignment horizontal="left" vertical="center"/>
      <protection locked="0"/>
    </xf>
    <xf numFmtId="164" fontId="11" fillId="0" borderId="8" xfId="1" applyFont="1" applyFill="1" applyBorder="1" applyAlignment="1" applyProtection="1">
      <alignment vertical="center"/>
      <protection locked="0"/>
    </xf>
    <xf numFmtId="0" fontId="15" fillId="8" borderId="0" xfId="16" applyFont="1" applyFill="1" applyAlignment="1">
      <alignment horizontal="left" vertical="center"/>
    </xf>
    <xf numFmtId="14" fontId="11" fillId="0" borderId="0" xfId="0" applyNumberFormat="1" applyFont="1"/>
    <xf numFmtId="0" fontId="20" fillId="0" borderId="3" xfId="0" applyFont="1" applyBorder="1" applyAlignment="1">
      <alignment horizontal="center" vertical="center" wrapText="1"/>
    </xf>
    <xf numFmtId="175" fontId="11" fillId="5" borderId="21" xfId="1" applyNumberFormat="1" applyFont="1" applyFill="1" applyBorder="1" applyProtection="1">
      <protection locked="0"/>
    </xf>
    <xf numFmtId="175" fontId="11" fillId="5" borderId="22" xfId="1" applyNumberFormat="1" applyFont="1" applyFill="1" applyBorder="1" applyProtection="1">
      <protection locked="0"/>
    </xf>
    <xf numFmtId="175" fontId="11" fillId="5" borderId="23" xfId="1" applyNumberFormat="1" applyFont="1" applyFill="1" applyBorder="1" applyProtection="1">
      <protection locked="0"/>
    </xf>
    <xf numFmtId="4" fontId="11" fillId="5" borderId="21" xfId="0" applyNumberFormat="1" applyFont="1" applyFill="1" applyBorder="1" applyProtection="1">
      <protection locked="0"/>
    </xf>
    <xf numFmtId="4" fontId="11" fillId="5" borderId="23" xfId="0" applyNumberFormat="1" applyFont="1" applyFill="1" applyBorder="1" applyProtection="1">
      <protection locked="0"/>
    </xf>
    <xf numFmtId="4" fontId="11" fillId="5" borderId="22" xfId="0" applyNumberFormat="1" applyFont="1" applyFill="1" applyBorder="1" applyProtection="1">
      <protection locked="0"/>
    </xf>
    <xf numFmtId="0" fontId="11" fillId="5" borderId="24" xfId="0" applyFont="1" applyFill="1" applyBorder="1" applyAlignment="1" applyProtection="1">
      <alignment horizontal="center"/>
      <protection locked="0"/>
    </xf>
    <xf numFmtId="4" fontId="11" fillId="5" borderId="14" xfId="0" applyNumberFormat="1" applyFont="1" applyFill="1" applyBorder="1" applyProtection="1">
      <protection locked="0"/>
    </xf>
    <xf numFmtId="4" fontId="11" fillId="5" borderId="15" xfId="0" applyNumberFormat="1" applyFont="1" applyFill="1" applyBorder="1" applyProtection="1">
      <protection locked="0"/>
    </xf>
    <xf numFmtId="4" fontId="11" fillId="5" borderId="16" xfId="0" applyNumberFormat="1" applyFont="1" applyFill="1" applyBorder="1" applyProtection="1">
      <protection locked="0"/>
    </xf>
    <xf numFmtId="175" fontId="11" fillId="5" borderId="14" xfId="1" applyNumberFormat="1" applyFont="1" applyFill="1" applyBorder="1" applyProtection="1">
      <protection locked="0"/>
    </xf>
    <xf numFmtId="175" fontId="11" fillId="5" borderId="15" xfId="1" applyNumberFormat="1" applyFont="1" applyFill="1" applyBorder="1" applyProtection="1">
      <protection locked="0"/>
    </xf>
    <xf numFmtId="175" fontId="11" fillId="5" borderId="16" xfId="1" applyNumberFormat="1" applyFont="1" applyFill="1" applyBorder="1" applyProtection="1">
      <protection locked="0"/>
    </xf>
    <xf numFmtId="175" fontId="11" fillId="5" borderId="25" xfId="1" applyNumberFormat="1" applyFont="1" applyFill="1" applyBorder="1" applyProtection="1">
      <protection locked="0"/>
    </xf>
    <xf numFmtId="0" fontId="11" fillId="2" borderId="27" xfId="0" applyFont="1" applyFill="1" applyBorder="1"/>
    <xf numFmtId="0" fontId="11" fillId="2" borderId="28" xfId="0" applyFont="1" applyFill="1" applyBorder="1"/>
    <xf numFmtId="175" fontId="11" fillId="5" borderId="26" xfId="1" applyNumberFormat="1" applyFont="1" applyFill="1" applyBorder="1" applyProtection="1">
      <protection locked="0"/>
    </xf>
    <xf numFmtId="0" fontId="11" fillId="3" borderId="0" xfId="0" applyFont="1" applyFill="1" applyProtection="1">
      <protection locked="0"/>
    </xf>
    <xf numFmtId="0" fontId="11" fillId="3" borderId="0" xfId="0" applyFont="1" applyFill="1" applyAlignment="1" applyProtection="1">
      <alignment horizontal="center"/>
      <protection locked="0"/>
    </xf>
    <xf numFmtId="164" fontId="11" fillId="3" borderId="0" xfId="1" applyFont="1" applyFill="1" applyProtection="1">
      <protection locked="0"/>
    </xf>
    <xf numFmtId="0" fontId="11" fillId="3" borderId="0" xfId="0" applyFont="1" applyFill="1"/>
    <xf numFmtId="175" fontId="11" fillId="3" borderId="0" xfId="1" applyNumberFormat="1" applyFont="1" applyFill="1" applyProtection="1">
      <protection locked="0"/>
    </xf>
    <xf numFmtId="175" fontId="11" fillId="5" borderId="29" xfId="1" applyNumberFormat="1" applyFont="1" applyFill="1" applyBorder="1" applyProtection="1">
      <protection locked="0"/>
    </xf>
    <xf numFmtId="175" fontId="11" fillId="5" borderId="30" xfId="1" applyNumberFormat="1" applyFont="1" applyFill="1" applyBorder="1" applyProtection="1">
      <protection locked="0"/>
    </xf>
    <xf numFmtId="175" fontId="11" fillId="5" borderId="31" xfId="1" applyNumberFormat="1" applyFont="1" applyFill="1" applyBorder="1" applyProtection="1">
      <protection locked="0"/>
    </xf>
    <xf numFmtId="164" fontId="11" fillId="6" borderId="29" xfId="1" applyFont="1" applyFill="1" applyBorder="1" applyProtection="1"/>
    <xf numFmtId="164" fontId="11" fillId="6" borderId="30" xfId="1" applyFont="1" applyFill="1" applyBorder="1" applyProtection="1"/>
    <xf numFmtId="164" fontId="11" fillId="6" borderId="31" xfId="1" applyFont="1" applyFill="1" applyBorder="1" applyProtection="1"/>
    <xf numFmtId="0" fontId="11" fillId="2" borderId="32" xfId="0" applyFont="1" applyFill="1" applyBorder="1"/>
    <xf numFmtId="0" fontId="11" fillId="2" borderId="33" xfId="0" applyFont="1" applyFill="1" applyBorder="1"/>
    <xf numFmtId="175" fontId="11" fillId="5" borderId="34" xfId="1" applyNumberFormat="1" applyFont="1" applyFill="1" applyBorder="1" applyProtection="1">
      <protection locked="0"/>
    </xf>
    <xf numFmtId="0" fontId="11" fillId="2" borderId="35" xfId="0" applyFont="1" applyFill="1" applyBorder="1"/>
    <xf numFmtId="175" fontId="11" fillId="5" borderId="36" xfId="1" applyNumberFormat="1" applyFont="1" applyFill="1" applyBorder="1" applyProtection="1">
      <protection locked="0"/>
    </xf>
    <xf numFmtId="4" fontId="11" fillId="5" borderId="29" xfId="0" applyNumberFormat="1" applyFont="1" applyFill="1" applyBorder="1" applyProtection="1">
      <protection locked="0"/>
    </xf>
    <xf numFmtId="4" fontId="11" fillId="5" borderId="30" xfId="0" applyNumberFormat="1" applyFont="1" applyFill="1" applyBorder="1" applyProtection="1">
      <protection locked="0"/>
    </xf>
    <xf numFmtId="4" fontId="11" fillId="5" borderId="31" xfId="0" applyNumberFormat="1" applyFont="1" applyFill="1" applyBorder="1" applyProtection="1">
      <protection locked="0"/>
    </xf>
    <xf numFmtId="4" fontId="11" fillId="3" borderId="0" xfId="0" applyNumberFormat="1" applyFont="1" applyFill="1" applyProtection="1">
      <protection locked="0"/>
    </xf>
    <xf numFmtId="0" fontId="11" fillId="0" borderId="0" xfId="0" applyFont="1" applyAlignment="1" applyProtection="1">
      <alignment horizontal="left" vertical="center"/>
      <protection locked="0"/>
    </xf>
    <xf numFmtId="0" fontId="12" fillId="0" borderId="0" xfId="0" applyFont="1" applyAlignment="1" applyProtection="1">
      <alignment horizontal="center"/>
      <protection locked="0"/>
    </xf>
    <xf numFmtId="15" fontId="11" fillId="0" borderId="0" xfId="0" applyNumberFormat="1" applyFont="1" applyAlignment="1" applyProtection="1">
      <alignment horizontal="center" vertical="center"/>
      <protection locked="0"/>
    </xf>
    <xf numFmtId="4" fontId="11" fillId="0" borderId="0" xfId="0" applyNumberFormat="1" applyFont="1" applyAlignment="1" applyProtection="1">
      <alignment horizontal="center" vertical="center"/>
      <protection locked="0"/>
    </xf>
    <xf numFmtId="183" fontId="11" fillId="5" borderId="0" xfId="1" applyNumberFormat="1" applyFont="1" applyFill="1" applyProtection="1">
      <protection locked="0"/>
    </xf>
    <xf numFmtId="0" fontId="32" fillId="0" borderId="0" xfId="0" applyFont="1" applyProtection="1">
      <protection locked="0"/>
    </xf>
    <xf numFmtId="164" fontId="12" fillId="0" borderId="19" xfId="1" applyFont="1" applyBorder="1" applyAlignment="1">
      <alignment vertical="center"/>
    </xf>
    <xf numFmtId="164" fontId="12" fillId="0" borderId="0" xfId="1" applyFont="1" applyAlignment="1">
      <alignment vertical="center"/>
    </xf>
    <xf numFmtId="164" fontId="12" fillId="0" borderId="0" xfId="1" applyFont="1" applyBorder="1" applyAlignment="1">
      <alignment vertical="center"/>
    </xf>
    <xf numFmtId="176" fontId="11" fillId="0" borderId="8" xfId="0" applyNumberFormat="1" applyFont="1" applyBorder="1" applyAlignment="1" applyProtection="1">
      <alignment horizontal="center" vertical="center"/>
      <protection locked="0"/>
    </xf>
    <xf numFmtId="0" fontId="20" fillId="0" borderId="3" xfId="0" applyFont="1" applyBorder="1" applyAlignment="1">
      <alignment horizontal="center" vertical="center"/>
    </xf>
    <xf numFmtId="0" fontId="13" fillId="0" borderId="5" xfId="0" applyFont="1" applyBorder="1" applyAlignment="1" applyProtection="1">
      <alignment horizontal="left" vertical="center"/>
      <protection locked="0"/>
    </xf>
    <xf numFmtId="15" fontId="13" fillId="0" borderId="8" xfId="0" applyNumberFormat="1" applyFont="1" applyBorder="1" applyAlignment="1" applyProtection="1">
      <alignment horizontal="center" vertical="center"/>
      <protection locked="0"/>
    </xf>
    <xf numFmtId="0" fontId="13" fillId="0" borderId="5" xfId="0" applyFont="1" applyBorder="1" applyAlignment="1" applyProtection="1">
      <alignment horizontal="center" vertical="center"/>
      <protection locked="0"/>
    </xf>
    <xf numFmtId="164" fontId="13" fillId="0" borderId="8" xfId="18" applyFont="1" applyFill="1" applyBorder="1" applyAlignment="1" applyProtection="1">
      <alignment horizontal="center" vertical="center"/>
      <protection locked="0"/>
    </xf>
    <xf numFmtId="164" fontId="13" fillId="0" borderId="0" xfId="18" applyFont="1" applyFill="1" applyBorder="1" applyAlignment="1" applyProtection="1">
      <alignment horizontal="center" vertical="center"/>
      <protection locked="0"/>
    </xf>
    <xf numFmtId="164" fontId="13" fillId="0" borderId="8" xfId="0" applyNumberFormat="1" applyFont="1" applyBorder="1" applyAlignment="1" applyProtection="1">
      <alignment horizontal="center" vertical="center"/>
      <protection locked="0"/>
    </xf>
    <xf numFmtId="15" fontId="13" fillId="0" borderId="5" xfId="0" applyNumberFormat="1" applyFont="1" applyBorder="1" applyAlignment="1" applyProtection="1">
      <alignment horizontal="left" vertical="center"/>
      <protection locked="0"/>
    </xf>
    <xf numFmtId="164" fontId="13" fillId="0" borderId="8" xfId="1" applyFont="1" applyBorder="1" applyAlignment="1" applyProtection="1">
      <alignment horizontal="center" vertical="center"/>
      <protection locked="0"/>
    </xf>
    <xf numFmtId="164" fontId="13" fillId="0" borderId="5" xfId="0" applyNumberFormat="1" applyFont="1" applyBorder="1" applyAlignment="1" applyProtection="1">
      <alignment horizontal="center" vertical="center"/>
      <protection locked="0"/>
    </xf>
    <xf numFmtId="184" fontId="13" fillId="0" borderId="8" xfId="1" applyNumberFormat="1" applyFont="1" applyBorder="1" applyAlignment="1" applyProtection="1">
      <alignment horizontal="center" vertical="center"/>
      <protection locked="0"/>
    </xf>
    <xf numFmtId="0" fontId="11" fillId="20" borderId="0" xfId="0" applyFont="1" applyFill="1" applyAlignment="1" applyProtection="1">
      <alignment horizontal="center" vertical="center"/>
      <protection locked="0"/>
    </xf>
    <xf numFmtId="15" fontId="11" fillId="20" borderId="0" xfId="0" applyNumberFormat="1" applyFont="1" applyFill="1" applyAlignment="1" applyProtection="1">
      <alignment horizontal="center" vertical="center"/>
      <protection locked="0"/>
    </xf>
    <xf numFmtId="4" fontId="11" fillId="20" borderId="0" xfId="0" applyNumberFormat="1" applyFont="1" applyFill="1" applyAlignment="1" applyProtection="1">
      <alignment horizontal="center" vertical="center"/>
      <protection locked="0"/>
    </xf>
    <xf numFmtId="0" fontId="32" fillId="20" borderId="0" xfId="0" applyFont="1" applyFill="1" applyProtection="1">
      <protection locked="0"/>
    </xf>
    <xf numFmtId="0" fontId="11" fillId="20" borderId="0" xfId="0" applyFont="1" applyFill="1" applyProtection="1">
      <protection locked="0"/>
    </xf>
    <xf numFmtId="175" fontId="11" fillId="5" borderId="37" xfId="1" applyNumberFormat="1" applyFont="1" applyFill="1" applyBorder="1" applyProtection="1">
      <protection locked="0"/>
    </xf>
    <xf numFmtId="175" fontId="11" fillId="5" borderId="38" xfId="1" applyNumberFormat="1" applyFont="1" applyFill="1" applyBorder="1" applyProtection="1">
      <protection locked="0"/>
    </xf>
    <xf numFmtId="175" fontId="11" fillId="5" borderId="39" xfId="1" applyNumberFormat="1" applyFont="1" applyFill="1" applyBorder="1" applyProtection="1">
      <protection locked="0"/>
    </xf>
    <xf numFmtId="175" fontId="11" fillId="5" borderId="40" xfId="1" applyNumberFormat="1" applyFont="1" applyFill="1" applyBorder="1" applyProtection="1">
      <protection locked="0"/>
    </xf>
    <xf numFmtId="0" fontId="11" fillId="20" borderId="0" xfId="0" applyFont="1" applyFill="1" applyAlignment="1" applyProtection="1">
      <alignment horizontal="center"/>
      <protection locked="0"/>
    </xf>
    <xf numFmtId="0" fontId="12" fillId="0" borderId="0" xfId="0" applyFont="1" applyAlignment="1" applyProtection="1">
      <alignment horizontal="left" vertical="center"/>
      <protection hidden="1"/>
    </xf>
    <xf numFmtId="0" fontId="16" fillId="0" borderId="0" xfId="0" applyFont="1" applyAlignment="1">
      <alignment horizontal="left" vertical="center"/>
    </xf>
    <xf numFmtId="0" fontId="12" fillId="0" borderId="0" xfId="0" applyFont="1" applyAlignment="1">
      <alignment horizontal="left" vertical="center"/>
    </xf>
    <xf numFmtId="0" fontId="12" fillId="0" borderId="0" xfId="0" applyFont="1" applyAlignment="1">
      <alignment horizontal="left"/>
    </xf>
    <xf numFmtId="0" fontId="12" fillId="0" borderId="0" xfId="0" applyFont="1" applyAlignment="1">
      <alignment horizontal="center"/>
    </xf>
    <xf numFmtId="166" fontId="11" fillId="0" borderId="0" xfId="0" applyNumberFormat="1" applyFont="1" applyAlignment="1"/>
    <xf numFmtId="166" fontId="11" fillId="10" borderId="19" xfId="0" applyNumberFormat="1" applyFont="1" applyFill="1" applyBorder="1" applyAlignment="1"/>
    <xf numFmtId="166" fontId="11" fillId="9" borderId="19" xfId="0" applyNumberFormat="1" applyFont="1" applyFill="1" applyBorder="1" applyAlignment="1"/>
    <xf numFmtId="166" fontId="50" fillId="2" borderId="19" xfId="0" applyNumberFormat="1" applyFont="1" applyFill="1" applyBorder="1" applyAlignment="1"/>
    <xf numFmtId="0" fontId="10" fillId="0" borderId="0" xfId="0" applyFont="1" applyAlignment="1" applyProtection="1">
      <alignment horizontal="left" vertical="center"/>
      <protection locked="0"/>
    </xf>
    <xf numFmtId="0" fontId="18" fillId="0" borderId="0" xfId="0" applyFont="1" applyAlignment="1" applyProtection="1">
      <alignment horizontal="left" vertical="center"/>
      <protection hidden="1"/>
    </xf>
    <xf numFmtId="0" fontId="12" fillId="0" borderId="0" xfId="0" applyFont="1" applyAlignment="1" applyProtection="1">
      <alignment horizontal="left" vertical="center"/>
      <protection hidden="1"/>
    </xf>
    <xf numFmtId="0" fontId="16" fillId="0" borderId="0" xfId="0" applyFont="1" applyAlignment="1" applyProtection="1">
      <alignment horizontal="left" vertical="center"/>
      <protection hidden="1"/>
    </xf>
    <xf numFmtId="0" fontId="16" fillId="0" borderId="0" xfId="0" applyFont="1" applyAlignment="1">
      <alignment horizontal="left" vertical="center"/>
    </xf>
    <xf numFmtId="0" fontId="12" fillId="0" borderId="0" xfId="0" applyFont="1" applyAlignment="1">
      <alignment horizontal="left" vertical="center"/>
    </xf>
    <xf numFmtId="0" fontId="16" fillId="0" borderId="0" xfId="0" applyFont="1" applyAlignment="1">
      <alignment horizontal="left" vertical="center" wrapText="1"/>
    </xf>
    <xf numFmtId="0" fontId="12" fillId="0" borderId="0" xfId="0" applyFont="1" applyAlignment="1">
      <alignment horizontal="left"/>
    </xf>
    <xf numFmtId="0" fontId="12" fillId="0" borderId="0" xfId="0" applyFont="1" applyAlignment="1">
      <alignment horizontal="center"/>
    </xf>
    <xf numFmtId="0" fontId="12" fillId="0" borderId="13" xfId="0" applyFont="1" applyBorder="1" applyAlignment="1">
      <alignment horizontal="left" vertical="center"/>
    </xf>
    <xf numFmtId="0" fontId="16" fillId="0" borderId="0" xfId="0" applyFont="1" applyAlignment="1">
      <alignment horizontal="left" wrapText="1"/>
    </xf>
    <xf numFmtId="0" fontId="42" fillId="0" borderId="0" xfId="0" applyFont="1" applyAlignment="1">
      <alignment horizontal="left" vertical="center" wrapText="1"/>
    </xf>
    <xf numFmtId="0" fontId="16" fillId="0" borderId="0" xfId="0" applyFont="1" applyAlignment="1">
      <alignment horizontal="left"/>
    </xf>
    <xf numFmtId="0" fontId="6" fillId="0" borderId="0" xfId="0" applyFont="1" applyAlignment="1">
      <alignment horizontal="left" wrapText="1"/>
    </xf>
    <xf numFmtId="0" fontId="16" fillId="0" borderId="0" xfId="0" applyFont="1" applyAlignment="1" applyProtection="1">
      <alignment vertical="center"/>
      <protection locked="0"/>
    </xf>
    <xf numFmtId="0" fontId="16" fillId="0" borderId="0" xfId="0" applyFont="1" applyAlignment="1" applyProtection="1">
      <alignment horizontal="left" vertical="center"/>
      <protection locked="0" hidden="1"/>
    </xf>
    <xf numFmtId="0" fontId="14" fillId="8" borderId="0" xfId="0" applyFont="1" applyFill="1" applyAlignment="1">
      <alignment horizontal="center" vertical="center" wrapText="1"/>
    </xf>
    <xf numFmtId="180" fontId="14" fillId="8" borderId="0" xfId="0" applyNumberFormat="1" applyFont="1" applyFill="1" applyAlignment="1">
      <alignment horizontal="center" vertical="center" wrapText="1"/>
    </xf>
    <xf numFmtId="185" fontId="15" fillId="2" borderId="19" xfId="0" applyNumberFormat="1" applyFont="1" applyFill="1" applyBorder="1"/>
    <xf numFmtId="181" fontId="14" fillId="8" borderId="0" xfId="0" applyNumberFormat="1" applyFont="1" applyFill="1" applyAlignment="1">
      <alignment horizontal="center" vertical="center" wrapText="1"/>
    </xf>
    <xf numFmtId="40" fontId="15" fillId="2" borderId="19" xfId="0" applyNumberFormat="1" applyFont="1" applyFill="1" applyBorder="1" applyAlignment="1">
      <alignment horizontal="center"/>
    </xf>
    <xf numFmtId="166" fontId="11" fillId="2" borderId="19" xfId="0" applyNumberFormat="1" applyFont="1" applyFill="1" applyBorder="1"/>
    <xf numFmtId="0" fontId="14" fillId="2" borderId="0" xfId="0" applyFont="1" applyFill="1" applyAlignment="1">
      <alignment horizontal="center" vertical="center"/>
    </xf>
    <xf numFmtId="0" fontId="14" fillId="2" borderId="0" xfId="0" applyFont="1" applyFill="1" applyAlignment="1">
      <alignment horizontal="center"/>
    </xf>
    <xf numFmtId="0" fontId="12" fillId="0" borderId="19" xfId="0" applyFont="1" applyBorder="1"/>
  </cellXfs>
  <cellStyles count="19">
    <cellStyle name="Comma 2" xfId="18" xr:uid="{486585CB-2EED-4C25-BC57-6B98452B0C6D}"/>
    <cellStyle name="Hipervínculo" xfId="10" builtinId="8" hidden="1"/>
    <cellStyle name="Hipervínculo" xfId="8" builtinId="8" hidden="1"/>
    <cellStyle name="Hipervínculo" xfId="14" builtinId="8" hidden="1"/>
    <cellStyle name="Hipervínculo" xfId="12" builtinId="8" hidden="1"/>
    <cellStyle name="Hipervínculo visitado" xfId="11" builtinId="9" hidden="1"/>
    <cellStyle name="Hipervínculo visitado" xfId="9" builtinId="9" hidden="1"/>
    <cellStyle name="Hipervínculo visitado" xfId="15" builtinId="9" hidden="1"/>
    <cellStyle name="Hipervínculo visitado" xfId="13" builtinId="9" hidden="1"/>
    <cellStyle name="Millares" xfId="1" builtinId="3"/>
    <cellStyle name="Millares 12 3 31" xfId="4" xr:uid="{00000000-0005-0000-0000-000009000000}"/>
    <cellStyle name="Millares 2" xfId="17" xr:uid="{AD3EF7D9-F2B4-E641-9079-A61A966BBCC1}"/>
    <cellStyle name="Millares 44" xfId="7" xr:uid="{00000000-0005-0000-0000-00000A000000}"/>
    <cellStyle name="Millares_AJUSTE GORAN 2007 BIG" xfId="5" xr:uid="{00000000-0005-0000-0000-00000B000000}"/>
    <cellStyle name="Normal" xfId="0" builtinId="0"/>
    <cellStyle name="Normal 15" xfId="3" xr:uid="{00000000-0005-0000-0000-00000D000000}"/>
    <cellStyle name="Normal 2" xfId="16" xr:uid="{D818260F-D41A-8041-9BB4-278933587F23}"/>
    <cellStyle name="Normal_JPMorgan Chase - FIDEICOMISO 864 (q69934000) (2009)" xfId="6" xr:uid="{00000000-0005-0000-0000-00000E000000}"/>
    <cellStyle name="Porcentaje" xfId="2" builtinId="5"/>
  </cellStyles>
  <dxfs count="359">
    <dxf>
      <numFmt numFmtId="0" formatCode="General"/>
    </dxf>
    <dxf>
      <alignment horizontal="center"/>
    </dxf>
    <dxf>
      <numFmt numFmtId="173" formatCode="[$-409]d\-mmm\-yy;@"/>
    </dxf>
    <dxf>
      <alignment horizontal="center"/>
    </dxf>
    <dxf>
      <alignment horizontal="center"/>
    </dxf>
    <dxf>
      <numFmt numFmtId="173" formatCode="[$-409]d\-mmm\-yy;@"/>
    </dxf>
    <dxf>
      <alignment horizontal="center"/>
    </dxf>
    <dxf>
      <alignment horizontal="center"/>
    </dxf>
    <dxf>
      <numFmt numFmtId="0" formatCode="General"/>
      <alignment horizontal="center"/>
    </dxf>
    <dxf>
      <fill>
        <patternFill patternType="solid">
          <bgColor theme="6" tint="0.79998168889431442"/>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font>
        <b/>
      </font>
    </dxf>
    <dxf>
      <font>
        <b/>
      </font>
    </dxf>
    <dxf>
      <font>
        <b/>
      </font>
    </dxf>
    <dxf>
      <font>
        <b/>
      </font>
    </dxf>
    <dxf>
      <font>
        <b/>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color theme="0"/>
      </font>
    </dxf>
    <dxf>
      <font>
        <color theme="0"/>
      </font>
    </dxf>
    <dxf>
      <fill>
        <patternFill patternType="solid">
          <bgColor theme="1"/>
        </patternFill>
      </fill>
    </dxf>
    <dxf>
      <fill>
        <patternFill patternType="solid">
          <bgColor theme="1"/>
        </patternFill>
      </fill>
    </dxf>
    <dxf>
      <fill>
        <patternFill patternType="solid">
          <bgColor theme="6" tint="0.59999389629810485"/>
        </patternFill>
      </fill>
    </dxf>
    <dxf>
      <fill>
        <patternFill patternType="solid">
          <bgColor theme="6" tint="0.59999389629810485"/>
        </patternFill>
      </fill>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font>
        <b/>
        <color theme="0"/>
      </font>
      <fill>
        <patternFill patternType="solid">
          <fgColor indexed="64"/>
          <bgColor rgb="FF468694"/>
        </patternFill>
      </fill>
      <alignment horizontal="center" vertical="center" wrapText="1"/>
    </dxf>
    <dxf>
      <font>
        <color theme="0"/>
      </font>
    </dxf>
    <dxf>
      <font>
        <color rgb="FF468694"/>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80" formatCode="_(* #,##0.00_);[Red]_(* \(#,##0.00\);_(* &quot;-&quot;??_);_(@_)"/>
    </dxf>
    <dxf>
      <numFmt numFmtId="180" formatCode="_(* #,##0.00_);[Red]_(* \(#,##0.00\);_(* &quot;-&quot;??_);_(@_)"/>
    </dxf>
    <dxf>
      <font>
        <color theme="6" tint="0.59999389629810485"/>
      </font>
    </dxf>
    <dxf>
      <font>
        <color theme="1"/>
      </font>
    </dxf>
    <dxf>
      <numFmt numFmtId="180" formatCode="_(* #,##0.00_);[Red]_(* \(#,##0.00\);_(* &quot;-&quot;??_);_(@_)"/>
    </dxf>
    <dxf>
      <font>
        <color theme="6" tint="0.59999389629810485"/>
      </font>
    </dxf>
    <dxf>
      <numFmt numFmtId="166" formatCode="_(* #,##0.0000_);_(* \(#,##0.0000\);_(* &quot;-&quot;??_);_(@_)"/>
    </dxf>
    <dxf>
      <numFmt numFmtId="166" formatCode="_(* #,##0.0000_);_(* \(#,##0.0000\);_(* &quot;-&quot;??_);_(@_)"/>
    </dxf>
    <dxf>
      <font>
        <color theme="1"/>
      </font>
    </dxf>
    <dxf>
      <numFmt numFmtId="181" formatCode="_(* #,##0.00_);[Red]_(* \(#,##0.00\);_(* &quot;-&quot;??_)"/>
    </dxf>
    <dxf>
      <numFmt numFmtId="181" formatCode="_(* #,##0.00_);[Red]_(* \(#,##0.00\);_(* &quot;-&quot;??_)"/>
    </dxf>
    <dxf>
      <font>
        <color theme="6" tint="0.59999389629810485"/>
      </font>
    </dxf>
    <dxf>
      <font>
        <color theme="6" tint="0.59999389629810485"/>
      </font>
    </dxf>
    <dxf>
      <font>
        <color theme="1"/>
      </font>
    </dxf>
    <dxf>
      <alignment horizontal="center"/>
    </dxf>
    <dxf>
      <numFmt numFmtId="181" formatCode="_(* #,##0.00_);[Red]_(* \(#,##0.00\);_(* &quot;-&quot;??_)"/>
    </dxf>
    <dxf>
      <numFmt numFmtId="181" formatCode="_(* #,##0.00_);[Red]_(* \(#,##0.00\);_(* &quot;-&quot;??_)"/>
    </dxf>
    <dxf>
      <alignment horizontal="center"/>
    </dxf>
    <dxf>
      <font>
        <b/>
        <color theme="0"/>
      </font>
      <fill>
        <patternFill patternType="solid">
          <fgColor indexed="64"/>
          <bgColor rgb="FF468694"/>
        </patternFill>
      </fill>
      <alignment horizontal="center" vertical="center" wrapText="1"/>
    </dxf>
    <dxf>
      <numFmt numFmtId="185" formatCode="#,##0.00_);[Red]\(#,##0.00\)"/>
    </dxf>
    <dxf>
      <font>
        <color theme="6" tint="0.59999389629810485"/>
      </font>
    </dxf>
    <dxf>
      <font>
        <color theme="6" tint="0.59999389629810485"/>
      </font>
    </dxf>
    <dxf>
      <numFmt numFmtId="0" formatCode="General"/>
    </dxf>
    <dxf>
      <alignment horizontal="center"/>
    </dxf>
    <dxf>
      <fill>
        <patternFill patternType="solid">
          <bgColor theme="6" tint="0.79998168889431442"/>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b/>
      </font>
    </dxf>
    <dxf>
      <font>
        <b/>
      </font>
    </dxf>
    <dxf>
      <font>
        <b/>
      </font>
    </dxf>
    <dxf>
      <font>
        <b/>
      </font>
    </dxf>
    <dxf>
      <font>
        <b/>
      </font>
    </dxf>
    <dxf>
      <font>
        <b/>
      </font>
    </dxf>
    <dxf>
      <font>
        <b/>
      </font>
    </dxf>
    <dxf>
      <font>
        <b/>
      </font>
    </dxf>
    <dxf>
      <font>
        <b/>
      </font>
    </dxf>
    <dxf>
      <font>
        <b/>
      </font>
    </dxf>
    <dxf>
      <font>
        <b/>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name val="Segoe UI"/>
      </font>
    </dxf>
    <dxf>
      <font>
        <color theme="0"/>
      </font>
    </dxf>
    <dxf>
      <font>
        <color theme="0"/>
      </font>
    </dxf>
    <dxf>
      <fill>
        <patternFill patternType="solid">
          <bgColor theme="1"/>
        </patternFill>
      </fill>
    </dxf>
    <dxf>
      <fill>
        <patternFill patternType="solid">
          <bgColor theme="1"/>
        </patternFill>
      </fill>
    </dxf>
    <dxf>
      <fill>
        <patternFill patternType="solid">
          <bgColor theme="6" tint="0.59999389629810485"/>
        </patternFill>
      </fill>
    </dxf>
    <dxf>
      <fill>
        <patternFill patternType="solid">
          <bgColor theme="6" tint="0.59999389629810485"/>
        </patternFill>
      </fill>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font>
        <b/>
        <color theme="0"/>
      </font>
      <fill>
        <patternFill patternType="solid">
          <fgColor indexed="64"/>
          <bgColor rgb="FF468694"/>
        </patternFill>
      </fill>
      <alignment horizontal="center" vertical="center" wrapText="1"/>
    </dxf>
    <dxf>
      <alignment horizontal="center"/>
    </dxf>
    <dxf>
      <font>
        <color rgb="FF468694"/>
      </font>
    </dxf>
    <dxf>
      <fill>
        <patternFill patternType="none">
          <bgColor auto="1"/>
        </patternFill>
      </fill>
    </dxf>
    <dxf>
      <font>
        <color theme="0"/>
      </font>
    </dxf>
    <dxf>
      <numFmt numFmtId="164" formatCode="_-* #,##0.00_-;\-* #,##0.00_-;_-* &quot;-&quot;??_-;_-@_-"/>
    </dxf>
    <dxf>
      <numFmt numFmtId="180" formatCode="_(* #,##0.00_);[Red]_(* \(#,##0.00\);_(* &quot;-&quot;??_);_(@_)"/>
    </dxf>
    <dxf>
      <numFmt numFmtId="180" formatCode="_(* #,##0.00_);[Red]_(* \(#,##0.00\);_(* &quot;-&quot;??_);_(@_)"/>
    </dxf>
    <dxf>
      <numFmt numFmtId="180" formatCode="_(* #,##0.00_);[Red]_(* \(#,##0.00\);_(* &quot;-&quot;??_);_(@_)"/>
    </dxf>
    <dxf>
      <numFmt numFmtId="180" formatCode="_(* #,##0.00_);[Red]_(* \(#,##0.00\);_(* &quot;-&quot;??_);_(@_)"/>
    </dxf>
    <dxf>
      <numFmt numFmtId="181" formatCode="_(* #,##0.00_);[Red]_(* \(#,##0.00\);_(* &quot;-&quot;??_)"/>
    </dxf>
    <dxf>
      <numFmt numFmtId="185" formatCode="#,##0.00_);[Red]\(#,##0.00\)"/>
    </dxf>
    <dxf>
      <font>
        <b/>
        <color theme="0"/>
      </font>
      <numFmt numFmtId="180" formatCode="_(* #,##0.00_);[Red]_(* \(#,##0.00\);_(* &quot;-&quot;??_);_(@_)"/>
      <fill>
        <patternFill patternType="solid">
          <fgColor indexed="64"/>
          <bgColor rgb="FF468694"/>
        </patternFill>
      </fill>
      <alignment horizontal="center" vertical="center" wrapText="1"/>
    </dxf>
    <dxf>
      <font>
        <b/>
        <color theme="0"/>
      </font>
      <fill>
        <patternFill patternType="solid">
          <fgColor indexed="64"/>
          <bgColor rgb="FF468694"/>
        </patternFill>
      </fill>
      <alignment horizontal="center" vertical="center" wrapText="1"/>
    </dxf>
    <dxf>
      <font>
        <name val="Helvetica Ligera"/>
      </font>
    </dxf>
    <dxf>
      <font>
        <name val="Helvetica Ligera"/>
      </font>
    </dxf>
    <dxf>
      <font>
        <name val="Helvetica Ligera"/>
      </font>
    </dxf>
    <dxf>
      <font>
        <name val="Helvetica Ligera"/>
      </font>
    </dxf>
    <dxf>
      <font>
        <name val="Helvetica Ligera"/>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ill>
        <patternFill patternType="solid">
          <bgColor rgb="FF92D050"/>
        </patternFill>
      </fill>
    </dxf>
    <dxf>
      <fill>
        <patternFill patternType="solid">
          <bgColor rgb="FF92D050"/>
        </patternFill>
      </fill>
    </dxf>
    <dxf>
      <fill>
        <patternFill>
          <bgColor rgb="FF002060"/>
        </patternFill>
      </fill>
    </dxf>
    <dxf>
      <fill>
        <patternFill>
          <bgColor rgb="FF002060"/>
        </patternFill>
      </fill>
    </dxf>
    <dxf>
      <font>
        <color theme="0"/>
      </font>
    </dxf>
    <dxf>
      <font>
        <color theme="0"/>
      </font>
    </dxf>
    <dxf>
      <font>
        <color theme="8" tint="-0.499984740745262"/>
      </font>
    </dxf>
    <dxf>
      <font>
        <color theme="8" tint="-0.499984740745262"/>
      </font>
    </dxf>
    <dxf>
      <fill>
        <patternFill>
          <bgColor theme="8" tint="-0.499984740745262"/>
        </patternFill>
      </fill>
    </dxf>
    <dxf>
      <fill>
        <patternFill>
          <bgColor theme="8" tint="-0.499984740745262"/>
        </patternFill>
      </fill>
    </dxf>
    <dxf>
      <fill>
        <patternFill>
          <bgColor theme="8" tint="-0.499984740745262"/>
        </patternFill>
      </fill>
    </dxf>
    <dxf>
      <fill>
        <patternFill>
          <bgColor theme="8" tint="-0.499984740745262"/>
        </patternFill>
      </fill>
    </dxf>
    <dxf>
      <fill>
        <patternFill patternType="solid">
          <bgColor theme="4" tint="0.79998168889431442"/>
        </patternFill>
      </fill>
    </dxf>
    <dxf>
      <fill>
        <patternFill patternType="solid">
          <bgColor theme="4" tint="0.59999389629810485"/>
        </patternFill>
      </fill>
    </dxf>
    <dxf>
      <numFmt numFmtId="173" formatCode="[$-409]d\-mmm\-yy;@"/>
    </dxf>
    <dxf>
      <alignment horizontal="center"/>
    </dxf>
    <dxf>
      <numFmt numFmtId="173" formatCode="[$-409]d\-mmm\-yy;@"/>
    </dxf>
    <dxf>
      <alignment horizontal="center"/>
    </dxf>
    <dxf>
      <alignment horizontal="center"/>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ont>
        <name val="Segoe UI"/>
        <family val="2"/>
      </font>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patternType="solid">
          <bgColor rgb="FF468694"/>
        </patternFill>
      </fill>
    </dxf>
    <dxf>
      <fill>
        <patternFill>
          <bgColor theme="6" tint="0.79998168889431442"/>
        </patternFill>
      </fill>
    </dxf>
    <dxf>
      <fill>
        <patternFill>
          <bgColor theme="6" tint="0.59999389629810485"/>
        </patternFill>
      </fill>
    </dxf>
    <dxf>
      <fill>
        <patternFill>
          <bgColor theme="1"/>
        </patternFill>
      </fill>
    </dxf>
    <dxf>
      <font>
        <sz val="10"/>
      </font>
    </dxf>
    <dxf>
      <font>
        <sz val="10"/>
      </font>
    </dxf>
    <dxf>
      <font>
        <sz val="10"/>
      </font>
    </dxf>
    <dxf>
      <font>
        <sz val="10"/>
      </font>
    </dxf>
    <dxf>
      <font>
        <sz val="10"/>
      </font>
    </dxf>
    <dxf>
      <font>
        <sz val="10"/>
      </font>
    </dxf>
    <dxf>
      <font>
        <color theme="0"/>
      </font>
    </dxf>
    <dxf>
      <font>
        <color theme="0"/>
      </font>
    </dxf>
    <dxf>
      <font>
        <color theme="0"/>
      </font>
    </dxf>
    <dxf>
      <font>
        <color theme="0"/>
      </font>
    </dxf>
    <dxf>
      <font>
        <color theme="0"/>
      </font>
    </dxf>
    <dxf>
      <font>
        <color theme="0"/>
      </font>
    </dxf>
    <dxf>
      <alignment horizontal="general"/>
    </dxf>
    <dxf>
      <border>
        <top style="thin">
          <color rgb="FF8BC1FF"/>
        </top>
        <bottom style="thin">
          <color rgb="FF8BC1FF"/>
        </bottom>
      </border>
    </dxf>
    <dxf>
      <border>
        <top style="thin">
          <color rgb="FF8BC1FF"/>
        </top>
        <bottom style="thin">
          <color rgb="FF8BC1FF"/>
        </bottom>
      </border>
    </dxf>
    <dxf>
      <border>
        <top style="thin">
          <color rgb="FF8BC1FF"/>
        </top>
        <bottom style="thin">
          <color rgb="FF8BC1FF"/>
        </bottom>
      </border>
    </dxf>
    <dxf>
      <alignment horizontal="center"/>
    </dxf>
    <dxf>
      <alignment horizontal="center"/>
    </dxf>
    <dxf>
      <alignment horizontal="center"/>
    </dxf>
    <dxf>
      <font>
        <color theme="6" tint="0.59999389629810485"/>
      </font>
    </dxf>
    <dxf>
      <alignment horizontal="center"/>
    </dxf>
    <dxf>
      <alignment horizontal="center"/>
    </dxf>
    <dxf>
      <numFmt numFmtId="180" formatCode="_(* #,##0.00_);[Red]_(* \(#,##0.00\);_(* &quot;-&quot;??_);_(@_)"/>
    </dxf>
    <dxf>
      <numFmt numFmtId="166" formatCode="_(* #,##0.0000_);_(* \(#,##0.0000\);_(* &quot;-&quot;??_);_(@_)"/>
    </dxf>
    <dxf>
      <numFmt numFmtId="166" formatCode="_(* #,##0.0000_);_(* \(#,##0.0000\);_(* &quot;-&quot;??_);_(@_)"/>
    </dxf>
    <dxf>
      <font>
        <sz val="10"/>
        <color theme="0"/>
      </font>
      <fill>
        <patternFill patternType="solid">
          <fgColor indexed="64"/>
          <bgColor rgb="FF468694"/>
        </patternFill>
      </fill>
      <alignment horizontal="center" vertical="center" wrapText="1"/>
    </dxf>
    <dxf>
      <font>
        <sz val="10"/>
        <color theme="0"/>
      </font>
      <fill>
        <patternFill patternType="solid">
          <fgColor indexed="64"/>
          <bgColor rgb="FF468694"/>
        </patternFill>
      </fill>
      <alignment vertical="center" wrapText="1"/>
    </dxf>
    <dxf>
      <alignment horizontal="center"/>
    </dxf>
    <dxf>
      <alignment horizontal="center"/>
    </dxf>
    <dxf>
      <alignment horizontal="center"/>
    </dxf>
    <dxf>
      <numFmt numFmtId="181" formatCode="_(* #,##0.00_);[Red]_(* \(#,##0.00\);_(* &quot;-&quot;??_)"/>
    </dxf>
    <dxf>
      <numFmt numFmtId="181" formatCode="_(* #,##0.00_);[Red]_(* \(#,##0.00\);_(* &quot;-&quot;??_)"/>
    </dxf>
    <dxf>
      <font>
        <name val="Calibri Light"/>
        <scheme val="major"/>
      </font>
    </dxf>
    <dxf>
      <alignment vertical="center" readingOrder="0"/>
    </dxf>
    <dxf>
      <alignment horizontal="center" readingOrder="0"/>
    </dxf>
    <dxf>
      <alignment wrapText="1" readingOrder="0"/>
    </dxf>
    <dxf>
      <alignment horizontal="center" vertical="center" wrapText="1" readingOrder="0"/>
    </dxf>
    <dxf>
      <font>
        <name val="Helvetica Light"/>
        <scheme val="none"/>
      </font>
    </dxf>
    <dxf>
      <numFmt numFmtId="164" formatCode="_-* #,##0.00_-;\-* #,##0.00_-;_-* &quot;-&quot;??_-;_-@_-"/>
    </dxf>
    <dxf>
      <font>
        <name val="Helvetica Light"/>
        <scheme val="none"/>
      </font>
    </dxf>
    <dxf>
      <fill>
        <patternFill patternType="solid">
          <bgColor theme="8"/>
        </patternFill>
      </fill>
    </dxf>
    <dxf>
      <font>
        <color theme="0"/>
      </font>
    </dxf>
    <dxf>
      <fill>
        <patternFill patternType="solid">
          <bgColor rgb="FF468694"/>
        </patternFill>
      </fill>
    </dxf>
    <dxf>
      <font>
        <color theme="0"/>
      </font>
    </dxf>
    <dxf>
      <font>
        <name val="Segoe UI"/>
        <family val="2"/>
      </font>
    </dxf>
    <dxf>
      <font>
        <name val="Segoe UI"/>
        <family val="2"/>
      </font>
    </dxf>
    <dxf>
      <font>
        <name val="Segoe UI"/>
        <family val="2"/>
      </font>
    </dxf>
    <dxf>
      <font>
        <name val="Segoe UI"/>
        <family val="2"/>
      </font>
    </dxf>
    <dxf>
      <fill>
        <patternFill>
          <bgColor theme="1"/>
        </patternFill>
      </fill>
    </dxf>
    <dxf>
      <font>
        <sz val="10"/>
      </font>
    </dxf>
    <dxf>
      <fill>
        <patternFill patternType="solid">
          <bgColor theme="6" tint="0.79998168889431442"/>
        </patternFill>
      </fill>
    </dxf>
    <dxf>
      <border>
        <top style="thin">
          <color rgb="FF8BC1FF"/>
        </top>
        <bottom style="thin">
          <color rgb="FF8BC1FF"/>
        </bottom>
      </border>
    </dxf>
    <dxf>
      <border>
        <top style="thin">
          <color rgb="FF8BC1FF"/>
        </top>
        <bottom style="thin">
          <color rgb="FF8BC1FF"/>
        </bottom>
      </border>
    </dxf>
    <dxf>
      <font>
        <sz val="10"/>
        <color theme="0"/>
      </font>
      <fill>
        <patternFill patternType="solid">
          <fgColor indexed="64"/>
          <bgColor rgb="FF468694"/>
        </patternFill>
      </fill>
      <alignment horizontal="center" vertical="center" wrapText="1"/>
    </dxf>
    <dxf>
      <font>
        <sz val="10"/>
        <color theme="0"/>
      </font>
      <fill>
        <patternFill patternType="solid">
          <fgColor indexed="64"/>
          <bgColor rgb="FF468694"/>
        </patternFill>
      </fill>
      <alignment horizontal="center" vertical="center" wrapText="1"/>
    </dxf>
    <dxf>
      <numFmt numFmtId="181" formatCode="_(* #,##0.00_);[Red]_(* \(#,##0.00\);_(* &quot;-&quot;??_)"/>
    </dxf>
    <dxf>
      <numFmt numFmtId="181" formatCode="_(* #,##0.00_);[Red]_(* \(#,##0.00\);_(* &quot;-&quot;??_)"/>
    </dxf>
  </dxfs>
  <tableStyles count="0" defaultTableStyle="TableStyleMedium9" defaultPivotStyle="PivotStyleMedium7"/>
  <colors>
    <mruColors>
      <color rgb="FF76D6FF"/>
      <color rgb="FF8BC1FF"/>
      <color rgb="FF468694"/>
      <color rgb="FFB9E8FE"/>
      <color rgb="FFFFFD78"/>
      <color rgb="FF8BC0FF"/>
      <color rgb="FF73FB79"/>
      <color rgb="FF8DC1FF"/>
      <color rgb="FF2097DB"/>
      <color rgb="FF8AC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persons/person.xml><?xml version="1.0" encoding="utf-8"?>
<personList xmlns="http://schemas.microsoft.com/office/spreadsheetml/2018/threadedcomments" xmlns:x="http://schemas.openxmlformats.org/spreadsheetml/2006/main">
  <person displayName="Yair Ramirez" id="{857ECB6F-BAE8-45CA-AFCC-6B5C4D41A4AA}" userId="Yair Ramirez" providerId="None"/>
  <person displayName="Paulina Paniagua" id="{A358B164-B2F1-E648-A060-FEAEBB2DBE23}" userId="16368512605_tp_box_2"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987.765955092589" createdVersion="7" refreshedVersion="8" minRefreshableVersion="3" recordCount="999" xr:uid="{12352FE8-899E-164D-857A-2E23B40B7DC0}">
  <cacheSource type="worksheet">
    <worksheetSource ref="B1:AC1048576" sheet="Ventas OFD"/>
  </cacheSource>
  <cacheFields count="28">
    <cacheField name="Número de Cuenta" numFmtId="0">
      <sharedItems containsNonDate="0" containsBlank="1" count="2">
        <m/>
        <s v="ES1000W25" u="1"/>
      </sharedItems>
    </cacheField>
    <cacheField name="Seleccionar la Operación Financiera Derivada (OFD) de que se trata" numFmtId="0">
      <sharedItems containsNonDate="0" containsString="0" containsBlank="1"/>
    </cacheField>
    <cacheField name="Seleccionar el Tipo de Operación Inicial" numFmtId="0">
      <sharedItems containsNonDate="0" containsBlank="1" count="2">
        <m/>
        <s v="Write Option" u="1"/>
      </sharedItems>
    </cacheField>
    <cacheField name="Asset Name" numFmtId="0">
      <sharedItems containsNonDate="0" containsBlank="1" count="2">
        <m/>
        <s v="PUT@amz" u="1"/>
      </sharedItems>
    </cacheField>
    <cacheField name="Moneda Original" numFmtId="0">
      <sharedItems containsNonDate="0" containsBlank="1" count="2">
        <m/>
        <s v="USD" u="1"/>
      </sharedItems>
    </cacheField>
    <cacheField name="Fecha de Operación Inicial" numFmtId="0">
      <sharedItems containsNonDate="0" containsDate="1" containsString="0" containsBlank="1" minDate="2021-11-10T00:00:00" maxDate="2021-11-11T00:00:00" count="2">
        <m/>
        <d v="2021-11-10T00:00:00" u="1"/>
      </sharedItems>
    </cacheField>
    <cacheField name="Número de Títulos Operación Inicial" numFmtId="0">
      <sharedItems containsNonDate="0" containsString="0" containsBlank="1" containsNumber="1" containsInteger="1" minValue="-10" maxValue="-10" count="2">
        <m/>
        <n v="-10" u="1"/>
      </sharedItems>
    </cacheField>
    <cacheField name="Monto Inicial en Moneda Original" numFmtId="0">
      <sharedItems containsNonDate="0" containsString="0" containsBlank="1"/>
    </cacheField>
    <cacheField name="Equivalencia - Movimiento Inicial" numFmtId="0">
      <sharedItems containsString="0" containsBlank="1" containsNumber="1" containsInteger="1" minValue="0" maxValue="0"/>
    </cacheField>
    <cacheField name="Monto Inicial en USD" numFmtId="0">
      <sharedItems containsString="0" containsBlank="1" containsNumber="1" containsInteger="1" minValue="0" maxValue="0"/>
    </cacheField>
    <cacheField name="INPC Operación Inicial" numFmtId="0">
      <sharedItems containsString="0" containsBlank="1" containsNumber="1" containsInteger="1" minValue="0" maxValue="0"/>
    </cacheField>
    <cacheField name="INPC Operación Final" numFmtId="0">
      <sharedItems containsString="0" containsBlank="1" containsNumber="1" containsInteger="1" minValue="0" maxValue="0"/>
    </cacheField>
    <cacheField name="Factor " numFmtId="0">
      <sharedItems containsString="0" containsBlank="1" containsNumber="1" containsInteger="1" minValue="0" maxValue="0"/>
    </cacheField>
    <cacheField name="Operación Original Actualizada en MXN" numFmtId="0">
      <sharedItems containsString="0" containsBlank="1" containsNumber="1" containsInteger="1" minValue="0" maxValue="0"/>
    </cacheField>
    <cacheField name="Valor Unitario en MXN" numFmtId="0">
      <sharedItems containsString="0" containsBlank="1" containsNumber="1" containsInteger="1" minValue="0" maxValue="0"/>
    </cacheField>
    <cacheField name="Realizado" numFmtId="0">
      <sharedItems containsBlank="1" count="3">
        <s v="NO"/>
        <m/>
        <s v="SI" u="1"/>
      </sharedItems>
    </cacheField>
    <cacheField name="Número de Títulos - Operación Final" numFmtId="0">
      <sharedItems containsNonDate="0" containsString="0" containsBlank="1" containsNumber="1" containsInteger="1" minValue="10" maxValue="10" count="2">
        <m/>
        <n v="10" u="1"/>
      </sharedItems>
    </cacheField>
    <cacheField name="Seleccionar el Tipo de Operación Final" numFmtId="0">
      <sharedItems containsNonDate="0" containsBlank="1" count="2">
        <m/>
        <s v="Purchase Option" u="1"/>
      </sharedItems>
    </cacheField>
    <cacheField name="Fecha de Operación Final" numFmtId="0">
      <sharedItems containsNonDate="0" containsDate="1" containsString="0" containsBlank="1" minDate="2022-01-01T00:00:00" maxDate="2022-01-02T00:00:00" count="2">
        <m/>
        <d v="2022-01-01T00:00:00" u="1"/>
      </sharedItems>
    </cacheField>
    <cacheField name="Sale Currency" numFmtId="0">
      <sharedItems containsNonDate="0" containsBlank="1" count="2">
        <m/>
        <s v="USD" u="1"/>
      </sharedItems>
    </cacheField>
    <cacheField name="Monto Final en Moneda Original" numFmtId="0">
      <sharedItems containsNonDate="0" containsString="0" containsBlank="1"/>
    </cacheField>
    <cacheField name="Equivalencia" numFmtId="0">
      <sharedItems containsString="0" containsBlank="1" containsNumber="1" containsInteger="1" minValue="0" maxValue="0"/>
    </cacheField>
    <cacheField name="Monto Final en USD" numFmtId="0">
      <sharedItems containsString="0" containsBlank="1" containsNumber="1" containsInteger="1" minValue="0" maxValue="0"/>
    </cacheField>
    <cacheField name="Monto Original Histórico" numFmtId="0">
      <sharedItems containsString="0" containsBlank="1" containsNumber="1" containsInteger="1" minValue="0" maxValue="0"/>
    </cacheField>
    <cacheField name="Gain / Loss in USD Historic" numFmtId="0">
      <sharedItems containsString="0" containsBlank="1" containsNumber="1" containsInteger="1" minValue="0" maxValue="0"/>
    </cacheField>
    <cacheField name="N" numFmtId="0">
      <sharedItems containsNonDate="0" containsString="0" containsBlank="1"/>
    </cacheField>
    <cacheField name="Total Gain / Loss con inflación" numFmtId="0">
      <sharedItems containsString="0" containsBlank="1" containsNumber="1" containsInteger="1" minValue="0" maxValue="0"/>
    </cacheField>
    <cacheField name="Monto Original ActualizadO"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991.417300462963" createdVersion="6" refreshedVersion="8" minRefreshableVersion="3" recordCount="4024" xr:uid="{C7133768-2C46-214A-BB5A-DC43E30C8F7F}">
  <cacheSource type="worksheet">
    <worksheetSource ref="B1:AA1048576" sheet="Ventas"/>
  </cacheSource>
  <cacheFields count="26">
    <cacheField name="Account Number" numFmtId="0">
      <sharedItems containsBlank="1" containsMixedTypes="1" containsNumber="1" containsInteger="1" minValue="1175000" maxValue="1427200" count="5">
        <s v="B22235000"/>
        <n v="1175000"/>
        <m/>
        <n v="1427200"/>
        <n v="1179000"/>
      </sharedItems>
    </cacheField>
    <cacheField name="Acquisition Date" numFmtId="0">
      <sharedItems containsNonDate="0" containsDate="1" containsString="0" containsBlank="1" minDate="2018-12-31T00:00:00" maxDate="2022-11-03T00:00:00" count="198">
        <d v="2021-06-03T00:00:00"/>
        <d v="2019-12-31T00:00:00"/>
        <d v="2021-11-23T00:00:00"/>
        <d v="2021-11-30T00:00:00"/>
        <d v="2021-12-14T00:00:00"/>
        <d v="2022-04-04T00:00:00"/>
        <m/>
        <d v="2021-05-12T00:00:00"/>
        <d v="2021-05-13T00:00:00"/>
        <d v="2021-06-16T00:00:00"/>
        <d v="2022-03-11T00:00:00"/>
        <d v="2022-03-16T00:00:00"/>
        <d v="2020-03-06T00:00:00"/>
        <d v="2020-03-09T00:00:00"/>
        <d v="2020-03-11T00:00:00"/>
        <d v="2020-03-12T00:00:00"/>
        <d v="2020-03-25T00:00:00"/>
        <d v="2022-03-29T00:00:00"/>
        <d v="2022-01-18T00:00:00"/>
        <d v="2022-01-21T00:00:00"/>
        <d v="2022-01-24T00:00:00"/>
        <d v="2021-09-23T00:00:00"/>
        <d v="2021-09-28T00:00:00"/>
        <d v="2021-10-05T00:00:00"/>
        <d v="2021-10-15T00:00:00"/>
        <d v="2021-10-20T00:00:00"/>
        <d v="2021-10-21T00:00:00"/>
        <d v="2019-11-30T00:00:00"/>
        <d v="2020-09-16T00:00:00"/>
        <d v="2020-09-29T00:00:00"/>
        <d v="2020-10-14T00:00:00"/>
        <d v="2020-09-18T00:00:00"/>
        <d v="2020-09-22T00:00:00"/>
        <d v="2020-09-23T00:00:00"/>
        <d v="2018-12-31T00:00:00"/>
        <d v="2020-10-29T00:00:00"/>
        <d v="2020-11-04T00:00:00"/>
        <d v="2020-11-17T00:00:00"/>
        <d v="2020-10-27T00:00:00"/>
        <d v="2022-01-19T00:00:00"/>
        <d v="2022-01-25T00:00:00"/>
        <d v="2022-02-01T00:00:00"/>
        <d v="2022-02-09T00:00:00"/>
        <d v="2021-06-30T00:00:00"/>
        <d v="2021-07-01T00:00:00"/>
        <d v="2021-09-14T00:00:00"/>
        <d v="2021-04-01T00:00:00"/>
        <d v="2021-11-03T00:00:00"/>
        <d v="2021-11-05T00:00:00"/>
        <d v="2021-11-08T00:00:00"/>
        <d v="2021-11-11T00:00:00"/>
        <d v="2021-11-12T00:00:00"/>
        <d v="2021-11-15T00:00:00"/>
        <d v="2021-11-16T00:00:00"/>
        <d v="2021-11-17T00:00:00"/>
        <d v="2021-12-10T00:00:00"/>
        <d v="2021-12-29T00:00:00"/>
        <d v="2021-12-30T00:00:00"/>
        <d v="2021-12-31T00:00:00"/>
        <d v="2022-01-07T00:00:00"/>
        <d v="2022-01-10T00:00:00"/>
        <d v="2022-01-11T00:00:00"/>
        <d v="2022-01-20T00:00:00"/>
        <d v="2020-04-15T00:00:00"/>
        <d v="2020-06-05T00:00:00"/>
        <d v="2021-04-15T00:00:00"/>
        <d v="2021-04-29T00:00:00"/>
        <d v="2020-06-08T00:00:00"/>
        <d v="2021-06-10T00:00:00"/>
        <d v="2021-02-10T00:00:00"/>
        <d v="2021-04-27T00:00:00"/>
        <d v="2021-07-22T00:00:00"/>
        <d v="2021-07-26T00:00:00"/>
        <d v="2020-05-13T00:00:00"/>
        <d v="2021-01-20T00:00:00"/>
        <d v="2021-07-29T00:00:00"/>
        <d v="2021-02-25T00:00:00"/>
        <d v="2021-02-26T00:00:00"/>
        <d v="2021-03-02T00:00:00"/>
        <d v="2021-03-11T00:00:00"/>
        <d v="2021-03-12T00:00:00"/>
        <d v="2021-03-24T00:00:00"/>
        <d v="2021-03-25T00:00:00"/>
        <d v="2021-03-26T00:00:00"/>
        <d v="2021-05-05T00:00:00"/>
        <d v="2021-05-06T00:00:00"/>
        <d v="2021-05-25T00:00:00"/>
        <d v="2021-08-19T00:00:00"/>
        <d v="2021-08-20T00:00:00"/>
        <d v="2020-11-19T00:00:00"/>
        <d v="2020-11-24T00:00:00"/>
        <d v="2020-12-04T00:00:00"/>
        <d v="2020-12-09T00:00:00"/>
        <d v="2021-01-07T00:00:00"/>
        <d v="2021-02-08T00:00:00"/>
        <d v="2021-09-21T00:00:00"/>
        <d v="2021-11-09T00:00:00"/>
        <d v="2021-09-24T00:00:00"/>
        <d v="2021-09-30T00:00:00"/>
        <d v="2021-01-27T00:00:00"/>
        <d v="2021-05-27T00:00:00"/>
        <d v="2021-12-06T00:00:00"/>
        <d v="2022-01-14T00:00:00"/>
        <d v="2022-05-04T00:00:00"/>
        <d v="2021-10-28T00:00:00"/>
        <d v="2022-03-23T00:00:00"/>
        <d v="2021-06-23T00:00:00"/>
        <d v="2021-07-15T00:00:00"/>
        <d v="2022-01-26T00:00:00"/>
        <d v="2022-02-24T00:00:00"/>
        <d v="2020-12-31T00:00:00"/>
        <d v="2021-07-31T00:00:00"/>
        <d v="2021-03-29T00:00:00"/>
        <d v="2021-05-14T00:00:00"/>
        <d v="2021-12-21T00:00:00"/>
        <d v="2021-12-23T00:00:00"/>
        <d v="2022-01-31T00:00:00"/>
        <d v="2022-02-04T00:00:00"/>
        <d v="2022-04-27T00:00:00"/>
        <d v="2022-05-13T00:00:00"/>
        <d v="2022-07-18T00:00:00"/>
        <d v="2022-03-24T00:00:00"/>
        <d v="2022-03-25T00:00:00"/>
        <d v="2022-03-28T00:00:00"/>
        <d v="2022-03-30T00:00:00"/>
        <d v="2022-04-01T00:00:00"/>
        <d v="2022-04-07T00:00:00"/>
        <d v="2022-04-08T00:00:00"/>
        <d v="2022-06-06T00:00:00"/>
        <d v="2022-02-07T00:00:00"/>
        <d v="2022-03-08T00:00:00"/>
        <d v="2022-03-17T00:00:00"/>
        <d v="2022-03-18T00:00:00"/>
        <d v="2022-04-28T00:00:00"/>
        <d v="2021-10-13T00:00:00"/>
        <d v="2021-10-14T00:00:00"/>
        <d v="2021-12-16T00:00:00"/>
        <d v="2021-10-29T00:00:00"/>
        <d v="2022-02-10T00:00:00"/>
        <d v="2022-02-16T00:00:00"/>
        <d v="2022-04-20T00:00:00"/>
        <d v="2021-12-07T00:00:00"/>
        <d v="2021-12-22T00:00:00"/>
        <d v="2022-02-25T00:00:00"/>
        <d v="2022-02-17T00:00:00"/>
        <d v="2022-03-02T00:00:00"/>
        <d v="2022-03-09T00:00:00"/>
        <d v="2022-03-10T00:00:00"/>
        <d v="2022-03-14T00:00:00"/>
        <d v="2022-08-10T00:00:00"/>
        <d v="2022-10-21T00:00:00"/>
        <d v="2022-08-11T00:00:00"/>
        <d v="2022-11-01T00:00:00"/>
        <d v="2022-11-02T00:00:00"/>
        <d v="2022-08-25T00:00:00"/>
        <d v="2022-08-31T00:00:00"/>
        <d v="2022-09-13T00:00:00"/>
        <d v="2022-09-29T00:00:00"/>
        <d v="2022-10-18T00:00:00"/>
        <d v="2022-02-03T00:00:00"/>
        <d v="2019-08-31T00:00:00"/>
        <d v="2022-06-24T00:00:00"/>
        <d v="2022-06-27T00:00:00"/>
        <d v="2022-06-28T00:00:00"/>
        <d v="2022-07-06T00:00:00"/>
        <d v="2022-08-02T00:00:00"/>
        <d v="2022-08-04T00:00:00"/>
        <d v="2022-07-27T00:00:00"/>
        <d v="2022-08-08T00:00:00"/>
        <d v="2021-11-19T00:00:00"/>
        <d v="2022-01-03T00:00:00"/>
        <d v="2022-01-12T00:00:00"/>
        <d v="2022-01-13T00:00:00"/>
        <d v="2022-05-26T00:00:00"/>
        <d v="2022-05-27T00:00:00"/>
        <d v="2022-06-10T00:00:00"/>
        <d v="2022-03-21T00:00:00"/>
        <d v="2022-03-22T00:00:00"/>
        <d v="2022-10-13T00:00:00"/>
        <d v="2022-10-14T00:00:00"/>
        <d v="2022-10-20T00:00:00"/>
        <d v="2022-10-17T00:00:00"/>
        <d v="2022-05-17T00:00:00"/>
        <d v="2021-11-10T00:00:00"/>
        <d v="2022-01-28T00:00:00"/>
        <d v="2022-08-09T00:00:00"/>
        <d v="2022-09-27T00:00:00"/>
        <d v="2022-05-24T00:00:00"/>
        <d v="2021-12-20T00:00:00"/>
        <d v="2021-12-28T00:00:00"/>
        <d v="2020-10-22T00:00:00"/>
        <d v="2022-01-04T00:00:00"/>
        <d v="2021-11-24T00:00:00"/>
        <d v="2021-12-27T00:00:00"/>
        <d v="2021-11-29T00:00:00"/>
        <d v="2021-12-01T00:00:00"/>
        <d v="2022-05-02T00:00:00"/>
        <d v="2021-11-18T00:00:00" u="1"/>
      </sharedItems>
    </cacheField>
    <cacheField name="Asset Name" numFmtId="0">
      <sharedItems containsBlank="1" count="117">
        <s v="JPM ASSET MGM INCOME FD - USD - C"/>
        <s v="ACCENTURE PLC SHARES A"/>
        <s v="ACTIVISION BLIZZARD INC"/>
        <s v="EMBECTA "/>
        <m/>
        <s v="BECTON DICKINSON &amp; CO"/>
        <s v="BLACK ROCK INC"/>
        <s v="BRISTOL MYERS SQUIBB CO"/>
        <s v="CONOCOPHILLIPS"/>
        <s v="CORNING INC"/>
        <s v="EATON CORPORATION PLC"/>
        <s v="HOME DEPOT INC"/>
        <s v="ILLINOIS TOOL WORKS"/>
        <s v="INTERCONTINENTAL EXCHANGE INC"/>
        <s v="JOHNSON &amp; JOHNSON"/>
        <s v="LAM RESEARCH CORP"/>
        <s v="MARSH &amp; MC-LENNAN CO INC"/>
        <s v="MASTERCARD INC SHS A"/>
        <s v="MC DONALD S"/>
        <s v="MICROSOFT CORP"/>
        <s v="NEXTERA ENERGY INC"/>
        <s v="NIKE INC SHARES B"/>
        <s v="NXP SEMICONDUCTORS N.V."/>
        <s v="PEPSICO INC"/>
        <s v="PHILIP MORRIS INTERNATIONAL INC"/>
        <s v="PNC FINANCIAL SERVICES GROUP INC/TH"/>
        <s v="SHERWIN-WILLIAMS CO"/>
        <s v="TEXAS INSTRUMENTS INC"/>
        <s v="UNION PACIFIC CORP"/>
        <s v="UNITEDHEALTH GROUP INC"/>
        <s v="ALPHABET -A-"/>
        <s v="APPLE"/>
        <s v="ARISTA NETWORKS "/>
        <s v="FLEETCOR TECHNOLOGIES"/>
        <s v="FRESHWORKS INC-CL A"/>
        <s v="META PLATFORMS INC"/>
        <s v="MICROSOFT"/>
        <s v="MONGODB INC "/>
        <s v="NVIDIA"/>
        <s v="PAYCOM SOFTWARE "/>
        <s v="SALESFORCE INC "/>
        <s v="SOLAREDGE TECHNOLOGIES "/>
        <s v="VISA -A-"/>
        <s v="INSTITUTIONAL CASH SERIES BLRK ICS USD ULTR SH BD ACC J VNAV DOI 04/21/2020"/>
        <s v="BLACKROCK INSTITUTIONAL POOLED FD BLACKROCK JAPAN EQ 1 FD JPY ACC J"/>
        <s v="BNY MELLON EFFICIENT US HIGH YIELD BNY EFFICIENT US HY BETA USD L ACC DOI 08/09/2018"/>
        <s v="INVESCO EQQQ NASDAQ 100 ETF ACC ETF"/>
        <s v="ISHARES CORE S&amp;P 500 UCITS ETF"/>
        <s v="ISHARES MSCI EURO FIN SECT ETF ETF"/>
        <s v="ISHARES USD TRSRY 1-3Y USD A ETF"/>
        <s v="JPM GLOBAL HIGH YIELD BD FD JPM GLB HIGH YIELD USD ACC I2"/>
        <s v="SPDR MSCI EURO HEALTHCARE UCITS ETF ETF"/>
        <s v="SPDR MSCI EURO UTILI UCITS ETF ETF"/>
        <s v="XTRACKERS MSCI US CONS DISC ETF ETF"/>
        <s v="BOOZ ALLEN HAMILTON HOLDINGS CORP"/>
        <s v="AIR PRODUCTS AND CHEMICALS INC"/>
        <s v="D R HORTON INC"/>
        <s v="BANK OF AMERICA CORP"/>
        <s v="COMCAST CORP CLASS A"/>
        <s v="BLUEMOUNTAIN CREDIT ALTERNATIVE FD "/>
        <s v="TACONIC OPPORTUNITY OFFSHORE FUND S1"/>
        <s v="ROSE GROVE OFFSHORE FUND"/>
        <s v="BRIDGEWATER PRIVATE INVESTORS "/>
        <s v="DOLLAR SENIOR LOAN O/F FUND"/>
        <s v="INSTITUTIONAL CASH SERIES BLRK ICS USD "/>
        <s v="SCULPTOR OF II PRIVATE INVESTORS "/>
        <s v="SOUTHPAW CREDIT OPPORTUNITY FUND"/>
        <s v="XTRACKERS EUR STOXX 50 UCITS ETF ETF"/>
        <s v="BLACKROCK INSTITUTIONAL POOLED FD "/>
        <s v="ISHARES $ TREAS BD 3-7YR UCITS ACC ETF"/>
        <s v="LORD ABBETT PASSPORT PORTFOLIOS PLC"/>
        <s v="CONFLUENT INC-CLASS A "/>
        <s v="DATADOG INC - CLASS A"/>
        <s v="AMAZON.COM "/>
        <s v="SHIFT4 PAYMENTS INC"/>
        <s v="INTUIT "/>
        <s v="PAGSEGURO DIGITAL LTD-CL A "/>
        <s v="TWILIO -A-"/>
        <s v="ANALOG DEVICES INC"/>
        <s v="SNOWFLAKE INC-CLASS A"/>
        <s v="TRADE DESK INC/THE -CLASS A "/>
        <s v="U S BANCORP"/>
        <s v="MEDTRONIC PLC"/>
        <s v="VANGUARD FUNDS PLC"/>
        <s v="NEWBROOK CAPITAL OFFSHORE FUND "/>
        <s v="INVESCO COMMS S&amp;P US SEL SECT ETF"/>
        <s v="LUMYNA -GLOBAL DEBT-GOVT UCITS FD LUMY"/>
        <s v="ELASTIC NV"/>
        <s v="NXP SEMICONDUCTORS "/>
        <s v="MATCH GROUP INC"/>
        <s v="WOLFSPEED INC "/>
        <s v="LYFT INC-A"/>
        <s v="ZOOMINFO TECHNOLOGIES INC "/>
        <s v="TOAST INC"/>
        <s v="ZOOM VIDEO COMMUNICATIONS-A "/>
        <s v="COUPA SOFTWARE "/>
        <s v="ADVANCED MICRO DEVICES"/>
        <s v="WORKDAY INC-CLASS A "/>
        <s v="GITLAB INC"/>
        <s v="LAM RESEARCH"/>
        <s v="MONDAY.COM LTD "/>
        <s v="MICROCHIP TECH "/>
        <s v="SMARTSHEET INC-CLASS A "/>
        <s v="AUTODESK"/>
        <s v="BILL.COM HOLDINGS INC "/>
        <s v="AFFIRM HOLDINGS INC "/>
        <s v="ALIBABA GROUP HOLDING -SP ADR "/>
        <s v="ANAPLAN INC "/>
        <s v="ATLASSIAN CORP PLC -A-"/>
        <s v="EPAM SYSTEMS"/>
        <s v="MICRON TECHNOLOGY"/>
        <s v="ROKU INC "/>
        <s v="SENTINELONE INC -CLASS A "/>
        <s v="SHOPIFY -A- "/>
        <s v="TERADYNE INC"/>
        <s v="DOCUSIGN INC"/>
        <s v="VANGUARD " u="1"/>
      </sharedItems>
    </cacheField>
    <cacheField name="Original Currency" numFmtId="0">
      <sharedItems containsBlank="1" count="4">
        <s v="USD"/>
        <m/>
        <s v="EUR"/>
        <s v="JPY"/>
      </sharedItems>
    </cacheField>
    <cacheField name="Cost Basis Original Currency (Total)" numFmtId="0">
      <sharedItems containsString="0" containsBlank="1" containsNumber="1" minValue="12.78" maxValue="17176920.487764705"/>
    </cacheField>
    <cacheField name="Units Sold" numFmtId="0">
      <sharedItems containsString="0" containsBlank="1" containsNumber="1" minValue="0" maxValue="81144"/>
    </cacheField>
    <cacheField name="Unit cost basis - Original Currency" numFmtId="0">
      <sharedItems containsString="0" containsBlank="1" containsNumber="1" minValue="0" maxValue="17176920.487764705"/>
    </cacheField>
    <cacheField name="Equivalencia" numFmtId="0">
      <sharedItems containsString="0" containsBlank="1" containsNumber="1" minValue="0" maxValue="1.22245"/>
    </cacheField>
    <cacheField name="Cost basis in USD" numFmtId="0">
      <sharedItems containsString="0" containsBlank="1" containsNumber="1" minValue="0" maxValue="770427.99134002114"/>
    </cacheField>
    <cacheField name="INPC Adquisición" numFmtId="0">
      <sharedItems containsString="0" containsBlank="1" containsNumber="1" minValue="0" maxValue="125.997"/>
    </cacheField>
    <cacheField name="INPC Enajenación" numFmtId="0">
      <sharedItems containsString="0" containsBlank="1" containsNumber="1" minValue="0" maxValue="126.47799999999999"/>
    </cacheField>
    <cacheField name="Factor " numFmtId="0">
      <sharedItems containsString="0" containsBlank="1" containsNumber="1" minValue="0" maxValue="1.2153"/>
    </cacheField>
    <cacheField name="Costo Actualizado total (USD)" numFmtId="0">
      <sharedItems containsString="0" containsBlank="1" containsNumber="1" minValue="0" maxValue="936301.13787552773"/>
    </cacheField>
    <cacheField name="S" numFmtId="0">
      <sharedItems containsNonDate="0" containsString="0" containsBlank="1"/>
    </cacheField>
    <cacheField name="Quantity Sold" numFmtId="0">
      <sharedItems containsString="0" containsBlank="1" containsNumber="1" minValue="1" maxValue="81144"/>
    </cacheField>
    <cacheField name="Transaction type (sale, maturity, redemption etc.)" numFmtId="0">
      <sharedItems containsBlank="1"/>
    </cacheField>
    <cacheField name="Asset type (Seleccionar)" numFmtId="0">
      <sharedItems containsBlank="1" count="2">
        <s v="Acciones"/>
        <m/>
      </sharedItems>
    </cacheField>
    <cacheField name="Sale Date" numFmtId="0">
      <sharedItems containsNonDate="0" containsDate="1" containsString="0" containsBlank="1" minDate="2021-11-03T00:00:00" maxDate="2022-12-24T00:00:00" count="171">
        <d v="2022-04-27T00:00:00"/>
        <d v="2022-01-21T00:00:00"/>
        <d v="2022-01-18T00:00:00"/>
        <d v="2022-03-02T00:00:00"/>
        <d v="2022-03-03T00:00:00"/>
        <d v="2022-03-08T00:00:00"/>
        <d v="2022-04-06T00:00:00"/>
        <m/>
        <d v="2022-06-30T00:00:00"/>
        <d v="2022-04-24T00:00:00"/>
        <d v="2022-04-20T00:00:00"/>
        <d v="2022-04-21T00:00:00"/>
        <d v="2022-05-04T00:00:00"/>
        <d v="2022-06-16T00:00:00"/>
        <d v="2022-06-15T00:00:00"/>
        <d v="2022-01-14T00:00:00"/>
        <d v="2022-01-17T00:00:00"/>
        <d v="2022-01-24T00:00:00"/>
        <d v="2022-01-25T00:00:00"/>
        <d v="2022-02-09T00:00:00"/>
        <d v="2022-02-10T00:00:00"/>
        <d v="2022-02-24T00:00:00"/>
        <d v="2022-02-16T00:00:00"/>
        <d v="2022-01-26T00:00:00"/>
        <d v="2022-03-11T00:00:00"/>
        <d v="2022-03-14T00:00:00"/>
        <d v="2022-05-27T00:00:00"/>
        <d v="2022-05-17T00:00:00"/>
        <d v="2022-02-18T00:00:00"/>
        <d v="2022-02-22T00:00:00"/>
        <d v="2022-05-13T00:00:00"/>
        <d v="2022-05-18T00:00:00"/>
        <d v="2022-05-20T00:00:00"/>
        <d v="2022-01-28T00:00:00"/>
        <d v="2022-01-31T00:00:00"/>
        <d v="2022-02-01T00:00:00"/>
        <d v="2022-02-02T00:00:00"/>
        <d v="2022-02-03T00:00:00"/>
        <d v="2022-02-04T00:00:00"/>
        <d v="2022-02-07T00:00:00"/>
        <d v="2022-02-08T00:00:00"/>
        <d v="2022-02-11T00:00:00"/>
        <d v="2022-02-14T00:00:00"/>
        <d v="2022-01-13T00:00:00"/>
        <d v="2022-01-19T00:00:00"/>
        <d v="2022-05-26T00:00:00"/>
        <d v="2022-03-24T00:00:00"/>
        <d v="2022-03-25T00:00:00"/>
        <d v="2022-04-01T00:00:00"/>
        <d v="2022-06-27T00:00:00"/>
        <d v="2022-06-01T00:00:00"/>
        <d v="2022-03-07T00:00:00"/>
        <d v="2022-06-10T00:00:00"/>
        <d v="2022-06-24T00:00:00"/>
        <d v="2022-05-25T00:00:00"/>
        <d v="2022-01-27T00:00:00"/>
        <d v="2022-04-22T00:00:00"/>
        <d v="2022-03-23T00:00:00"/>
        <d v="2022-02-17T00:00:00"/>
        <d v="2022-03-04T00:00:00"/>
        <d v="2022-03-15T00:00:00"/>
        <d v="2022-03-16T00:00:00"/>
        <d v="2022-03-17T00:00:00"/>
        <d v="2022-03-18T00:00:00"/>
        <d v="2022-03-29T00:00:00"/>
        <d v="2022-03-30T00:00:00"/>
        <d v="2022-03-31T00:00:00"/>
        <d v="2022-04-12T00:00:00"/>
        <d v="2022-04-13T00:00:00"/>
        <d v="2022-05-16T00:00:00"/>
        <d v="2022-06-09T00:00:00"/>
        <d v="2022-07-01T00:00:00"/>
        <d v="2022-07-05T00:00:00"/>
        <d v="2022-07-22T00:00:00"/>
        <d v="2022-07-19T00:00:00"/>
        <d v="2022-08-10T00:00:00"/>
        <d v="2022-08-11T00:00:00"/>
        <d v="2022-08-24T00:00:00"/>
        <d v="2022-08-25T00:00:00"/>
        <d v="2022-08-26T00:00:00"/>
        <d v="2022-08-17T00:00:00"/>
        <d v="2022-08-18T00:00:00"/>
        <d v="2022-08-31T00:00:00"/>
        <d v="2022-01-11T00:00:00"/>
        <d v="2022-04-05T00:00:00"/>
        <d v="2022-06-02T00:00:00"/>
        <d v="2022-06-21T00:00:00"/>
        <d v="2022-07-12T00:00:00"/>
        <d v="2022-08-01T00:00:00"/>
        <d v="2022-08-04T00:00:00"/>
        <d v="2022-08-05T00:00:00"/>
        <d v="2022-08-08T00:00:00"/>
        <d v="2022-08-09T00:00:00"/>
        <d v="2022-07-14T00:00:00"/>
        <d v="2022-07-15T00:00:00"/>
        <d v="2022-07-18T00:00:00"/>
        <d v="2022-07-27T00:00:00"/>
        <d v="2022-07-20T00:00:00"/>
        <d v="2022-07-21T00:00:00"/>
        <d v="2022-07-25T00:00:00"/>
        <d v="2022-07-26T00:00:00"/>
        <d v="2022-08-03T00:00:00"/>
        <d v="2022-08-12T00:00:00"/>
        <d v="2022-09-28T00:00:00"/>
        <d v="2022-09-01T00:00:00"/>
        <d v="2022-09-30T00:00:00"/>
        <d v="2022-09-02T00:00:00"/>
        <d v="2022-09-13T00:00:00"/>
        <d v="2022-09-14T00:00:00"/>
        <d v="2022-09-22T00:00:00"/>
        <d v="2022-09-23T00:00:00"/>
        <d v="2022-09-27T00:00:00"/>
        <d v="2022-09-29T00:00:00"/>
        <d v="2022-10-12T00:00:00"/>
        <d v="2022-10-13T00:00:00"/>
        <d v="2022-10-18T00:00:00"/>
        <d v="2022-10-19T00:00:00"/>
        <d v="2022-10-25T00:00:00"/>
        <d v="2022-11-01T00:00:00"/>
        <d v="2022-11-10T00:00:00"/>
        <d v="2022-11-15T00:00:00"/>
        <d v="2022-11-22T00:00:00"/>
        <d v="2022-11-23T00:00:00"/>
        <d v="2022-11-29T00:00:00"/>
        <d v="2022-11-30T00:00:00"/>
        <d v="2022-10-06T00:00:00"/>
        <d v="2022-10-07T00:00:00"/>
        <d v="2022-11-11T00:00:00"/>
        <d v="2022-11-18T00:00:00"/>
        <d v="2022-10-03T00:00:00"/>
        <d v="2022-10-11T00:00:00"/>
        <d v="2022-10-14T00:00:00"/>
        <d v="2022-10-17T00:00:00"/>
        <d v="2022-01-20T00:00:00"/>
        <d v="2022-05-31T00:00:00"/>
        <d v="2022-10-20T00:00:00"/>
        <d v="2022-10-21T00:00:00"/>
        <d v="2022-10-27T00:00:00"/>
        <d v="2022-11-08T00:00:00"/>
        <d v="2022-11-03T00:00:00"/>
        <d v="2022-11-04T00:00:00"/>
        <d v="2022-11-14T00:00:00"/>
        <d v="2022-06-13T00:00:00"/>
        <d v="2022-06-14T00:00:00"/>
        <d v="2022-11-28T00:00:00"/>
        <d v="2022-12-06T00:00:00"/>
        <d v="2022-12-13T00:00:00"/>
        <d v="2022-12-14T00:00:00"/>
        <d v="2022-12-15T00:00:00"/>
        <d v="2022-12-20T00:00:00"/>
        <d v="2022-12-19T00:00:00"/>
        <d v="2022-01-06T00:00:00"/>
        <d v="2022-01-07T00:00:00"/>
        <d v="2022-12-21T00:00:00"/>
        <d v="2022-12-22T00:00:00"/>
        <d v="2022-12-23T00:00:00"/>
        <d v="2022-12-01T00:00:00"/>
        <d v="2022-12-08T00:00:00"/>
        <d v="2022-12-09T00:00:00"/>
        <d v="2022-01-05T00:00:00"/>
        <d v="2022-01-10T00:00:00"/>
        <d v="2022-02-15T00:00:00"/>
        <d v="2022-05-10T00:00:00"/>
        <d v="2022-05-11T00:00:00"/>
        <d v="2022-02-25T00:00:00"/>
        <d v="2022-02-28T00:00:00"/>
        <d v="2022-03-01T00:00:00"/>
        <d v="2022-03-22T00:00:00"/>
        <d v="2022-03-28T00:00:00"/>
        <d v="2022-05-06T00:00:00"/>
        <d v="2021-11-03T00:00:00" u="1"/>
      </sharedItems>
    </cacheField>
    <cacheField name="Sale Currency" numFmtId="0">
      <sharedItems containsBlank="1" count="4">
        <s v="USD"/>
        <m/>
        <s v="EUR"/>
        <s v="JPY"/>
      </sharedItems>
    </cacheField>
    <cacheField name="Proceeds Original Currency" numFmtId="0">
      <sharedItems containsString="0" containsBlank="1" containsNumber="1" minValue="8.1643965517241384" maxValue="21201471"/>
    </cacheField>
    <cacheField name="Equivalencia2" numFmtId="0">
      <sharedItems containsString="0" containsBlank="1" containsNumber="1" minValue="0" maxValue="1.1228499999999999"/>
    </cacheField>
    <cacheField name="Proceeds USD" numFmtId="0">
      <sharedItems containsString="0" containsBlank="1" containsNumber="1" minValue="0" maxValue="783160.26"/>
    </cacheField>
    <cacheField name="Gain / Loss in USD Historic" numFmtId="0">
      <sharedItems containsString="0" containsBlank="1" containsNumber="1" minValue="-68223.832080640568" maxValue="94521.064694106666"/>
    </cacheField>
    <cacheField name="N" numFmtId="0">
      <sharedItems containsNonDate="0" containsString="0" containsBlank="1"/>
    </cacheField>
    <cacheField name="Tax Basis in USD Restated by Inflation" numFmtId="0">
      <sharedItems containsString="0" containsBlank="1" containsNumber="1" minValue="0" maxValue="936301.13787552773"/>
    </cacheField>
    <cacheField name="Total Gain / Loss" numFmtId="0">
      <sharedItems containsString="0" containsBlank="1" containsNumber="1" minValue="-153140.87787552772" maxValue="74893.5300491592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n v="0"/>
    <n v="0"/>
    <n v="0"/>
    <n v="0"/>
    <n v="0"/>
    <n v="0"/>
    <n v="0"/>
    <x v="0"/>
    <x v="0"/>
    <x v="0"/>
    <x v="0"/>
    <x v="0"/>
    <m/>
    <n v="0"/>
    <n v="0"/>
    <n v="0"/>
    <n v="0"/>
    <m/>
    <n v="0"/>
    <n v="0"/>
  </r>
  <r>
    <x v="0"/>
    <m/>
    <x v="0"/>
    <x v="0"/>
    <x v="0"/>
    <x v="0"/>
    <x v="0"/>
    <m/>
    <m/>
    <m/>
    <m/>
    <m/>
    <m/>
    <m/>
    <m/>
    <x v="1"/>
    <x v="0"/>
    <x v="0"/>
    <x v="0"/>
    <x v="0"/>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4">
  <r>
    <x v="0"/>
    <x v="0"/>
    <x v="0"/>
    <x v="0"/>
    <n v="208734.1498406523"/>
    <n v="1503.31"/>
    <n v="208734.14984065227"/>
    <n v="1"/>
    <n v="208734.14984065227"/>
    <n v="113.018"/>
    <n v="120.809"/>
    <n v="1.0689"/>
    <n v="223115.9327646732"/>
    <m/>
    <n v="1503.31"/>
    <s v="Sale"/>
    <x v="0"/>
    <x v="0"/>
    <x v="0"/>
    <n v="200000"/>
    <n v="1"/>
    <n v="200000"/>
    <n v="-8734.1498406522733"/>
    <m/>
    <n v="223115.9327646732"/>
    <n v="-23115.932764673198"/>
  </r>
  <r>
    <x v="1"/>
    <x v="1"/>
    <x v="1"/>
    <x v="0"/>
    <n v="2724.9025095057032"/>
    <n v="28"/>
    <n v="2724.9025095057032"/>
    <n v="1"/>
    <n v="2724.9025095057032"/>
    <n v="105.934"/>
    <n v="118.002"/>
    <n v="1.1138999999999999"/>
    <n v="3035.2689053384024"/>
    <m/>
    <n v="28"/>
    <s v="Sale"/>
    <x v="0"/>
    <x v="1"/>
    <x v="0"/>
    <n v="9568.73"/>
    <n v="1"/>
    <n v="9568.73"/>
    <n v="6843.8274904942964"/>
    <m/>
    <n v="3035.2689053384024"/>
    <n v="6533.4610946615976"/>
  </r>
  <r>
    <x v="1"/>
    <x v="1"/>
    <x v="1"/>
    <x v="0"/>
    <n v="9634.4767300380227"/>
    <n v="99"/>
    <n v="9634.4767300380227"/>
    <n v="1"/>
    <n v="9634.4767300380227"/>
    <n v="105.934"/>
    <n v="120.809"/>
    <n v="1.1404000000000001"/>
    <n v="10987.157262935361"/>
    <m/>
    <n v="99"/>
    <s v="Sale"/>
    <x v="0"/>
    <x v="0"/>
    <x v="0"/>
    <n v="30282.159999999996"/>
    <n v="1"/>
    <n v="30282.159999999996"/>
    <n v="20647.683269961974"/>
    <m/>
    <n v="10987.157262935361"/>
    <n v="19295.002737064635"/>
  </r>
  <r>
    <x v="1"/>
    <x v="2"/>
    <x v="2"/>
    <x v="0"/>
    <n v="9281.0400000000009"/>
    <n v="150"/>
    <n v="9281.0400000000009"/>
    <n v="1"/>
    <n v="9281.0400000000009"/>
    <n v="116.884"/>
    <n v="118.002"/>
    <n v="1.0095000000000001"/>
    <n v="9369.2098800000022"/>
    <m/>
    <n v="150"/>
    <s v="Sale"/>
    <x v="0"/>
    <x v="2"/>
    <x v="0"/>
    <n v="12267.0933333333"/>
    <n v="1"/>
    <n v="12267.0933333333"/>
    <n v="2986.0533333332987"/>
    <m/>
    <n v="9369.2098800000022"/>
    <n v="2897.8834533332974"/>
  </r>
  <r>
    <x v="1"/>
    <x v="2"/>
    <x v="2"/>
    <x v="0"/>
    <n v="556.55999999999995"/>
    <n v="9"/>
    <n v="556.55999999999995"/>
    <n v="1"/>
    <n v="556.55999999999995"/>
    <n v="116.884"/>
    <n v="118.002"/>
    <n v="1.0095000000000001"/>
    <n v="561.84731999999997"/>
    <m/>
    <n v="9"/>
    <s v="Sale"/>
    <x v="0"/>
    <x v="2"/>
    <x v="0"/>
    <n v="736.02559999999994"/>
    <n v="1"/>
    <n v="736.02559999999994"/>
    <n v="179.46559999999999"/>
    <m/>
    <n v="561.84731999999997"/>
    <n v="174.17827999999997"/>
  </r>
  <r>
    <x v="1"/>
    <x v="2"/>
    <x v="2"/>
    <x v="0"/>
    <n v="2355.73"/>
    <n v="38"/>
    <n v="2355.73"/>
    <n v="1"/>
    <n v="2355.73"/>
    <n v="116.884"/>
    <n v="118.002"/>
    <n v="1.0095000000000001"/>
    <n v="2378.1094350000003"/>
    <m/>
    <n v="38"/>
    <s v="Sale"/>
    <x v="0"/>
    <x v="2"/>
    <x v="0"/>
    <n v="3107.6636444444443"/>
    <n v="1"/>
    <n v="3107.6636444444443"/>
    <n v="751.93364444444433"/>
    <m/>
    <n v="2378.1094350000003"/>
    <n v="729.55420944444404"/>
  </r>
  <r>
    <x v="1"/>
    <x v="2"/>
    <x v="2"/>
    <x v="0"/>
    <n v="123.65"/>
    <n v="2"/>
    <n v="123.65"/>
    <n v="1"/>
    <n v="123.65"/>
    <n v="116.884"/>
    <n v="118.002"/>
    <n v="1.0095000000000001"/>
    <n v="124.82467500000001"/>
    <m/>
    <n v="2"/>
    <s v="Sale"/>
    <x v="0"/>
    <x v="2"/>
    <x v="0"/>
    <n v="163.56124444444444"/>
    <n v="1"/>
    <n v="163.56124444444444"/>
    <n v="39.911244444444435"/>
    <m/>
    <n v="124.82467500000001"/>
    <n v="38.736569444444427"/>
  </r>
  <r>
    <x v="1"/>
    <x v="3"/>
    <x v="2"/>
    <x v="0"/>
    <n v="178.02"/>
    <n v="3"/>
    <n v="178.02"/>
    <n v="1"/>
    <n v="178.02"/>
    <n v="116.884"/>
    <n v="118.002"/>
    <n v="1.0095000000000001"/>
    <n v="179.71119000000002"/>
    <m/>
    <n v="3"/>
    <s v="Sale"/>
    <x v="0"/>
    <x v="2"/>
    <x v="0"/>
    <n v="245.34186666666665"/>
    <n v="1"/>
    <n v="245.34186666666665"/>
    <n v="67.321866666666637"/>
    <m/>
    <n v="179.71119000000002"/>
    <n v="65.630676666666631"/>
  </r>
  <r>
    <x v="1"/>
    <x v="3"/>
    <x v="2"/>
    <x v="0"/>
    <n v="1360.8276842105265"/>
    <n v="23"/>
    <n v="1360.8276842105265"/>
    <n v="1"/>
    <n v="1360.8276842105265"/>
    <n v="116.884"/>
    <n v="118.002"/>
    <n v="1.0095000000000001"/>
    <n v="1373.7555472105266"/>
    <m/>
    <n v="23"/>
    <s v="Sale"/>
    <x v="0"/>
    <x v="2"/>
    <x v="0"/>
    <n v="1880.9543111111111"/>
    <n v="1"/>
    <n v="1880.9543111111111"/>
    <n v="520.1266269005846"/>
    <m/>
    <n v="1373.7555472105266"/>
    <n v="507.19876390058448"/>
  </r>
  <r>
    <x v="1"/>
    <x v="3"/>
    <x v="2"/>
    <x v="0"/>
    <n v="6449.1398947368425"/>
    <n v="109"/>
    <n v="6449.1398947368425"/>
    <n v="1"/>
    <n v="6449.1398947368425"/>
    <n v="116.884"/>
    <n v="120.15900000000001"/>
    <n v="1.028"/>
    <n v="6629.7158117894742"/>
    <m/>
    <n v="109"/>
    <s v="Sale"/>
    <x v="0"/>
    <x v="3"/>
    <x v="0"/>
    <n v="8868.8700000000008"/>
    <n v="1"/>
    <n v="8868.8700000000008"/>
    <n v="2419.7301052631583"/>
    <m/>
    <n v="6629.7158117894742"/>
    <n v="2239.1541882105266"/>
  </r>
  <r>
    <x v="1"/>
    <x v="3"/>
    <x v="2"/>
    <x v="0"/>
    <n v="591.66421052631586"/>
    <n v="10"/>
    <n v="591.66421052631586"/>
    <n v="1"/>
    <n v="591.66421052631586"/>
    <n v="116.884"/>
    <n v="120.15900000000001"/>
    <n v="1.028"/>
    <n v="608.23080842105276"/>
    <m/>
    <n v="10"/>
    <s v="Sale"/>
    <x v="0"/>
    <x v="3"/>
    <x v="0"/>
    <n v="814.76"/>
    <n v="1"/>
    <n v="814.76"/>
    <n v="223.09578947368414"/>
    <m/>
    <n v="608.23080842105276"/>
    <n v="206.52919157894723"/>
  </r>
  <r>
    <x v="1"/>
    <x v="3"/>
    <x v="2"/>
    <x v="0"/>
    <n v="354.99852631578949"/>
    <n v="6"/>
    <n v="354.99852631578949"/>
    <n v="1"/>
    <n v="354.99852631578949"/>
    <n v="116.884"/>
    <n v="120.15900000000001"/>
    <n v="1.028"/>
    <n v="364.93848505263162"/>
    <m/>
    <n v="6"/>
    <s v="Sale"/>
    <x v="0"/>
    <x v="3"/>
    <x v="0"/>
    <n v="488.9"/>
    <n v="1"/>
    <n v="488.9"/>
    <n v="133.90147368421049"/>
    <m/>
    <n v="364.93848505263162"/>
    <n v="123.96151494736836"/>
  </r>
  <r>
    <x v="1"/>
    <x v="3"/>
    <x v="2"/>
    <x v="0"/>
    <n v="59.215000000000003"/>
    <n v="1"/>
    <n v="59.215000000000003"/>
    <n v="1"/>
    <n v="59.215000000000003"/>
    <n v="116.884"/>
    <n v="120.15900000000001"/>
    <n v="1.028"/>
    <n v="60.873020000000004"/>
    <m/>
    <n v="1"/>
    <s v="Sale"/>
    <x v="0"/>
    <x v="3"/>
    <x v="0"/>
    <n v="81.459999999999994"/>
    <n v="1"/>
    <n v="81.459999999999994"/>
    <n v="22.24499999999999"/>
    <m/>
    <n v="60.873020000000004"/>
    <n v="20.58697999999999"/>
  </r>
  <r>
    <x v="1"/>
    <x v="3"/>
    <x v="2"/>
    <x v="0"/>
    <n v="177.49926315789475"/>
    <n v="3"/>
    <n v="177.49926315789475"/>
    <n v="1"/>
    <n v="177.49926315789475"/>
    <n v="116.884"/>
    <n v="120.15900000000001"/>
    <n v="1.028"/>
    <n v="182.46924252631581"/>
    <m/>
    <n v="3"/>
    <s v="Sale"/>
    <x v="0"/>
    <x v="4"/>
    <x v="0"/>
    <n v="244.56"/>
    <n v="1"/>
    <n v="244.56"/>
    <n v="67.060736842105257"/>
    <m/>
    <n v="182.46924252631581"/>
    <n v="62.090757473684192"/>
  </r>
  <r>
    <x v="1"/>
    <x v="3"/>
    <x v="2"/>
    <x v="0"/>
    <n v="2248.3240000000001"/>
    <n v="38"/>
    <n v="2248.3240000000001"/>
    <n v="1"/>
    <n v="2248.3240000000001"/>
    <n v="116.884"/>
    <n v="120.15900000000001"/>
    <n v="1.028"/>
    <n v="2311.2770720000003"/>
    <m/>
    <n v="38"/>
    <s v="Sale"/>
    <x v="0"/>
    <x v="5"/>
    <x v="0"/>
    <n v="3072.6166666666663"/>
    <n v="1"/>
    <n v="3072.6166666666663"/>
    <n v="824.29266666666626"/>
    <m/>
    <n v="2311.2770720000003"/>
    <n v="761.33959466666602"/>
  </r>
  <r>
    <x v="1"/>
    <x v="3"/>
    <x v="2"/>
    <x v="0"/>
    <n v="118.43"/>
    <n v="2"/>
    <n v="118.43"/>
    <n v="1"/>
    <n v="118.43"/>
    <n v="116.884"/>
    <n v="120.15900000000001"/>
    <n v="1.028"/>
    <n v="121.74604000000001"/>
    <m/>
    <n v="2"/>
    <s v="Sale"/>
    <x v="0"/>
    <x v="5"/>
    <x v="0"/>
    <n v="161.71666666666664"/>
    <n v="1"/>
    <n v="161.71666666666664"/>
    <n v="43.286666666666633"/>
    <m/>
    <n v="121.74604000000001"/>
    <n v="39.970626666666632"/>
  </r>
  <r>
    <x v="1"/>
    <x v="4"/>
    <x v="2"/>
    <x v="0"/>
    <n v="3642.0644303797462"/>
    <n v="62"/>
    <n v="3642.0644303797462"/>
    <n v="1"/>
    <n v="3642.0644303797462"/>
    <n v="117.30800000000001"/>
    <n v="120.15900000000001"/>
    <n v="1.0243"/>
    <n v="3730.5665960379738"/>
    <m/>
    <n v="62"/>
    <s v="Sale"/>
    <x v="0"/>
    <x v="5"/>
    <x v="0"/>
    <n v="5013.2166666666662"/>
    <n v="1"/>
    <n v="5013.2166666666662"/>
    <n v="1371.15223628692"/>
    <m/>
    <n v="3730.5665960379738"/>
    <n v="1282.6500706286924"/>
  </r>
  <r>
    <x v="1"/>
    <x v="4"/>
    <x v="2"/>
    <x v="0"/>
    <n v="5639.3255696202523"/>
    <n v="96"/>
    <n v="5639.3255696202523"/>
    <n v="1"/>
    <n v="5639.3255696202523"/>
    <n v="117.30800000000001"/>
    <n v="120.809"/>
    <n v="1.0298"/>
    <n v="5807.3774715949357"/>
    <m/>
    <n v="96"/>
    <s v="Sale"/>
    <x v="0"/>
    <x v="0"/>
    <x v="0"/>
    <n v="7370.8351401869168"/>
    <n v="1"/>
    <n v="7370.8351401869168"/>
    <n v="1731.5095705666645"/>
    <m/>
    <n v="5807.3774715949357"/>
    <n v="1563.457668591981"/>
  </r>
  <r>
    <x v="1"/>
    <x v="4"/>
    <x v="2"/>
    <x v="0"/>
    <n v="117.21"/>
    <n v="2"/>
    <n v="117.21"/>
    <n v="1"/>
    <n v="117.21"/>
    <n v="117.30800000000001"/>
    <n v="120.809"/>
    <n v="1.0298"/>
    <n v="120.70285800000001"/>
    <m/>
    <n v="2"/>
    <s v="Sale"/>
    <x v="0"/>
    <x v="0"/>
    <x v="0"/>
    <n v="153.55906542056076"/>
    <n v="1"/>
    <n v="153.55906542056076"/>
    <n v="36.349065420560763"/>
    <m/>
    <n v="120.70285800000001"/>
    <n v="32.85620742056075"/>
  </r>
  <r>
    <x v="1"/>
    <x v="4"/>
    <x v="2"/>
    <x v="0"/>
    <n v="534.8004545454545"/>
    <n v="9"/>
    <n v="534.8004545454545"/>
    <n v="1"/>
    <n v="534.8004545454545"/>
    <n v="117.30800000000001"/>
    <n v="120.809"/>
    <n v="1.0298"/>
    <n v="550.73750809090905"/>
    <m/>
    <n v="9"/>
    <s v="Sale"/>
    <x v="0"/>
    <x v="0"/>
    <x v="0"/>
    <n v="691.01579439252339"/>
    <n v="1"/>
    <n v="691.01579439252339"/>
    <n v="156.21533984706889"/>
    <m/>
    <n v="550.73750809090905"/>
    <n v="140.27828630161434"/>
  </r>
  <r>
    <x v="1"/>
    <x v="5"/>
    <x v="3"/>
    <x v="0"/>
    <n v="176.38"/>
    <n v="6"/>
    <n v="176.38"/>
    <n v="1"/>
    <n v="176.38"/>
    <n v="120.809"/>
    <n v="120.809"/>
    <n v="1"/>
    <n v="176.38"/>
    <m/>
    <n v="6"/>
    <s v="Sale"/>
    <x v="0"/>
    <x v="6"/>
    <x v="0"/>
    <n v="171.22"/>
    <n v="1"/>
    <n v="171.22"/>
    <n v="-5.1599999999999966"/>
    <m/>
    <n v="176.38"/>
    <n v="-5.1599999999999966"/>
  </r>
  <r>
    <x v="1"/>
    <x v="5"/>
    <x v="3"/>
    <x v="0"/>
    <n v="587.95000000000005"/>
    <n v="20"/>
    <n v="587.95000000000005"/>
    <n v="1"/>
    <n v="587.95000000000005"/>
    <n v="120.809"/>
    <n v="120.809"/>
    <n v="1"/>
    <n v="587.95000000000005"/>
    <m/>
    <n v="20"/>
    <s v="Sale"/>
    <x v="0"/>
    <x v="6"/>
    <x v="0"/>
    <n v="568.77"/>
    <n v="1"/>
    <n v="568.77"/>
    <n v="-19.180000000000064"/>
    <m/>
    <n v="587.95000000000005"/>
    <n v="-19.180000000000064"/>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1"/>
    <x v="7"/>
    <x v="5"/>
    <x v="0"/>
    <n v="1214.0899999999999"/>
    <n v="5"/>
    <n v="1214.0899999999999"/>
    <n v="1"/>
    <n v="1214.0899999999999"/>
    <n v="112.419"/>
    <n v="120.809"/>
    <n v="1.0746"/>
    <n v="1304.661114"/>
    <m/>
    <n v="5"/>
    <s v="Sale"/>
    <x v="0"/>
    <x v="0"/>
    <x v="0"/>
    <n v="1270.4354838709678"/>
    <n v="1"/>
    <n v="1270.4354838709678"/>
    <n v="56.345483870967882"/>
    <m/>
    <n v="1304.661114"/>
    <n v="-34.225630129032197"/>
  </r>
  <r>
    <x v="1"/>
    <x v="7"/>
    <x v="5"/>
    <x v="0"/>
    <n v="483.5"/>
    <n v="2"/>
    <n v="483.5"/>
    <n v="1"/>
    <n v="483.5"/>
    <n v="112.419"/>
    <n v="120.809"/>
    <n v="1.0746"/>
    <n v="519.56910000000005"/>
    <m/>
    <n v="2"/>
    <s v="Sale"/>
    <x v="0"/>
    <x v="0"/>
    <x v="0"/>
    <n v="508.17419354838711"/>
    <n v="1"/>
    <n v="508.17419354838711"/>
    <n v="24.674193548387109"/>
    <m/>
    <n v="519.56910000000005"/>
    <n v="-11.39490645161294"/>
  </r>
  <r>
    <x v="1"/>
    <x v="7"/>
    <x v="5"/>
    <x v="0"/>
    <n v="1695.09"/>
    <n v="7"/>
    <n v="1695.09"/>
    <n v="1"/>
    <n v="1695.09"/>
    <n v="112.419"/>
    <n v="120.809"/>
    <n v="1.0746"/>
    <n v="1821.5437139999999"/>
    <m/>
    <n v="7"/>
    <s v="Sale"/>
    <x v="0"/>
    <x v="0"/>
    <x v="0"/>
    <n v="1778.609677419355"/>
    <n v="1"/>
    <n v="1778.609677419355"/>
    <n v="83.519677419355048"/>
    <m/>
    <n v="1821.5437139999999"/>
    <n v="-42.934036580644943"/>
  </r>
  <r>
    <x v="1"/>
    <x v="8"/>
    <x v="5"/>
    <x v="0"/>
    <n v="1957.32"/>
    <n v="8"/>
    <n v="1957.32"/>
    <n v="1"/>
    <n v="1957.32"/>
    <n v="112.419"/>
    <n v="120.809"/>
    <n v="1.0746"/>
    <n v="2103.3360720000001"/>
    <m/>
    <n v="8"/>
    <s v="Sale"/>
    <x v="0"/>
    <x v="0"/>
    <x v="0"/>
    <n v="2032.6967741935484"/>
    <n v="1"/>
    <n v="2032.6967741935484"/>
    <n v="75.376774193548499"/>
    <m/>
    <n v="2103.3360720000001"/>
    <n v="-70.639297806451623"/>
  </r>
  <r>
    <x v="1"/>
    <x v="8"/>
    <x v="5"/>
    <x v="0"/>
    <n v="1469.21"/>
    <n v="6"/>
    <n v="1469.21"/>
    <n v="1"/>
    <n v="1469.21"/>
    <n v="112.419"/>
    <n v="120.809"/>
    <n v="1.0746"/>
    <n v="1578.8130659999999"/>
    <m/>
    <n v="6"/>
    <s v="Sale"/>
    <x v="0"/>
    <x v="0"/>
    <x v="0"/>
    <n v="1524.5225806451613"/>
    <n v="1"/>
    <n v="1524.5225806451613"/>
    <n v="55.312580645161233"/>
    <m/>
    <n v="1578.8130659999999"/>
    <n v="-54.290485354838665"/>
  </r>
  <r>
    <x v="1"/>
    <x v="9"/>
    <x v="5"/>
    <x v="0"/>
    <n v="726.56999999999994"/>
    <n v="3"/>
    <n v="726.56999999999994"/>
    <n v="1"/>
    <n v="726.56999999999994"/>
    <n v="113.018"/>
    <n v="120.809"/>
    <n v="1.0689"/>
    <n v="776.63067299999989"/>
    <m/>
    <n v="3"/>
    <s v="Sale"/>
    <x v="0"/>
    <x v="0"/>
    <x v="0"/>
    <n v="762.26129032258063"/>
    <n v="1"/>
    <n v="762.26129032258063"/>
    <n v="35.691290322580699"/>
    <m/>
    <n v="776.63067299999989"/>
    <n v="-14.369382677419253"/>
  </r>
  <r>
    <x v="1"/>
    <x v="10"/>
    <x v="6"/>
    <x v="0"/>
    <n v="5521"/>
    <n v="8"/>
    <n v="5521"/>
    <n v="1"/>
    <n v="5521"/>
    <n v="120.15900000000001"/>
    <n v="120.809"/>
    <n v="1.0054000000000001"/>
    <n v="5550.8134"/>
    <m/>
    <n v="8"/>
    <s v="Sale"/>
    <x v="0"/>
    <x v="0"/>
    <x v="0"/>
    <n v="5195.8112000000001"/>
    <n v="1"/>
    <n v="5195.8112000000001"/>
    <n v="-325.1887999999999"/>
    <m/>
    <n v="5550.8134"/>
    <n v="-355.0021999999999"/>
  </r>
  <r>
    <x v="1"/>
    <x v="10"/>
    <x v="6"/>
    <x v="0"/>
    <n v="5496.4"/>
    <n v="8"/>
    <n v="5496.4"/>
    <n v="1"/>
    <n v="5496.4"/>
    <n v="120.15900000000001"/>
    <n v="120.809"/>
    <n v="1.0054000000000001"/>
    <n v="5526.0805600000003"/>
    <m/>
    <n v="8"/>
    <s v="Sale"/>
    <x v="0"/>
    <x v="0"/>
    <x v="0"/>
    <n v="5195.8112000000001"/>
    <n v="1"/>
    <n v="5195.8112000000001"/>
    <n v="-300.58879999999954"/>
    <m/>
    <n v="5526.0805600000003"/>
    <n v="-330.26936000000023"/>
  </r>
  <r>
    <x v="1"/>
    <x v="10"/>
    <x v="6"/>
    <x v="0"/>
    <n v="6220.36"/>
    <n v="9"/>
    <n v="6220.36"/>
    <n v="1"/>
    <n v="6220.36"/>
    <n v="120.15900000000001"/>
    <n v="120.809"/>
    <n v="1.0054000000000001"/>
    <n v="6253.949944"/>
    <m/>
    <n v="9"/>
    <s v="Sale"/>
    <x v="0"/>
    <x v="0"/>
    <x v="0"/>
    <n v="5845.2875999999997"/>
    <n v="1"/>
    <n v="5845.2875999999997"/>
    <n v="-375.07240000000002"/>
    <m/>
    <n v="6253.949944"/>
    <n v="-408.6623440000003"/>
  </r>
  <r>
    <x v="1"/>
    <x v="10"/>
    <x v="6"/>
    <x v="0"/>
    <n v="687.05"/>
    <n v="1"/>
    <n v="687.05"/>
    <n v="1"/>
    <n v="687.05"/>
    <n v="120.15900000000001"/>
    <n v="122.044"/>
    <n v="1.0156000000000001"/>
    <n v="697.76797999999997"/>
    <m/>
    <n v="1"/>
    <s v="Sale"/>
    <x v="0"/>
    <x v="8"/>
    <x v="0"/>
    <n v="606.27"/>
    <n v="1"/>
    <n v="606.27"/>
    <n v="-80.779999999999973"/>
    <m/>
    <n v="697.76797999999997"/>
    <n v="-91.497979999999984"/>
  </r>
  <r>
    <x v="1"/>
    <x v="11"/>
    <x v="6"/>
    <x v="0"/>
    <n v="1453.41"/>
    <n v="2"/>
    <n v="1453.41"/>
    <n v="1"/>
    <n v="1453.41"/>
    <n v="120.15900000000001"/>
    <n v="122.044"/>
    <n v="1.0156000000000001"/>
    <n v="1476.0831960000003"/>
    <m/>
    <n v="2"/>
    <s v="Sale"/>
    <x v="0"/>
    <x v="8"/>
    <x v="0"/>
    <n v="1217.5105882352941"/>
    <n v="1"/>
    <n v="1217.5105882352941"/>
    <n v="-235.89941176470597"/>
    <m/>
    <n v="1476.0831960000003"/>
    <n v="-258.57260776470616"/>
  </r>
  <r>
    <x v="1"/>
    <x v="11"/>
    <x v="6"/>
    <x v="0"/>
    <n v="10875.0375"/>
    <n v="15"/>
    <n v="10875.0375"/>
    <n v="1"/>
    <n v="10875.0375"/>
    <n v="120.15900000000001"/>
    <n v="122.044"/>
    <n v="1.0156000000000001"/>
    <n v="11044.688085000002"/>
    <m/>
    <n v="15"/>
    <s v="Sale"/>
    <x v="0"/>
    <x v="8"/>
    <x v="0"/>
    <n v="9131.3294117647056"/>
    <n v="1"/>
    <n v="9131.3294117647056"/>
    <n v="-1743.7080882352948"/>
    <m/>
    <n v="11044.688085000002"/>
    <n v="-1913.358673235296"/>
  </r>
  <r>
    <x v="1"/>
    <x v="12"/>
    <x v="7"/>
    <x v="0"/>
    <n v="6152.51"/>
    <n v="103"/>
    <n v="6152.51"/>
    <n v="1"/>
    <n v="6152.51"/>
    <n v="106.83799999999999"/>
    <n v="120.809"/>
    <n v="1.1307"/>
    <n v="6956.6430570000002"/>
    <m/>
    <n v="103"/>
    <s v="Sale"/>
    <x v="0"/>
    <x v="0"/>
    <x v="0"/>
    <n v="7757.528632478633"/>
    <n v="1"/>
    <n v="7757.528632478633"/>
    <n v="1605.0186324786328"/>
    <m/>
    <n v="6956.6430570000002"/>
    <n v="800.88557547863275"/>
  </r>
  <r>
    <x v="1"/>
    <x v="13"/>
    <x v="7"/>
    <x v="0"/>
    <n v="5726.85"/>
    <n v="99"/>
    <n v="5726.85"/>
    <n v="1"/>
    <n v="5726.85"/>
    <n v="106.83799999999999"/>
    <n v="120.809"/>
    <n v="1.1307"/>
    <n v="6475.3492950000009"/>
    <m/>
    <n v="99"/>
    <s v="Sale"/>
    <x v="0"/>
    <x v="0"/>
    <x v="0"/>
    <n v="7456.2653846153853"/>
    <n v="1"/>
    <n v="7456.2653846153853"/>
    <n v="1729.4153846153849"/>
    <m/>
    <n v="6475.3492950000009"/>
    <n v="980.91608961538441"/>
  </r>
  <r>
    <x v="1"/>
    <x v="13"/>
    <x v="7"/>
    <x v="0"/>
    <n v="228.12"/>
    <n v="4"/>
    <n v="228.12"/>
    <n v="1"/>
    <n v="228.12"/>
    <n v="106.83799999999999"/>
    <n v="120.809"/>
    <n v="1.1307"/>
    <n v="257.93528400000002"/>
    <m/>
    <n v="4"/>
    <s v="Sale"/>
    <x v="0"/>
    <x v="0"/>
    <x v="0"/>
    <n v="301.2632478632479"/>
    <n v="1"/>
    <n v="301.2632478632479"/>
    <n v="73.143247863247893"/>
    <m/>
    <n v="257.93528400000002"/>
    <n v="43.327963863247874"/>
  </r>
  <r>
    <x v="1"/>
    <x v="14"/>
    <x v="7"/>
    <x v="0"/>
    <n v="6909.2"/>
    <n v="121"/>
    <n v="6909.2"/>
    <n v="1"/>
    <n v="6909.2"/>
    <n v="106.83799999999999"/>
    <n v="120.809"/>
    <n v="1.1307"/>
    <n v="7812.2324399999998"/>
    <m/>
    <n v="121"/>
    <s v="Sale"/>
    <x v="0"/>
    <x v="0"/>
    <x v="0"/>
    <n v="9113.2132478632484"/>
    <n v="1"/>
    <n v="9113.2132478632484"/>
    <n v="2204.0132478632486"/>
    <m/>
    <n v="7812.2324399999998"/>
    <n v="1300.9808078632486"/>
  </r>
  <r>
    <x v="1"/>
    <x v="15"/>
    <x v="7"/>
    <x v="0"/>
    <n v="6401.09"/>
    <n v="121"/>
    <n v="6401.09"/>
    <n v="1"/>
    <n v="6401.09"/>
    <n v="106.83799999999999"/>
    <n v="120.809"/>
    <n v="1.1307"/>
    <n v="7237.7124630000008"/>
    <m/>
    <n v="121"/>
    <s v="Sale"/>
    <x v="0"/>
    <x v="0"/>
    <x v="0"/>
    <n v="9113.2132478632484"/>
    <n v="1"/>
    <n v="9113.2132478632484"/>
    <n v="2712.1232478632483"/>
    <m/>
    <n v="7237.7124630000008"/>
    <n v="1875.5007848632476"/>
  </r>
  <r>
    <x v="1"/>
    <x v="16"/>
    <x v="7"/>
    <x v="0"/>
    <n v="1025.3291139240507"/>
    <n v="20"/>
    <n v="1025.3291139240507"/>
    <n v="1"/>
    <n v="1025.3291139240507"/>
    <n v="106.83799999999999"/>
    <n v="120.809"/>
    <n v="1.1307"/>
    <n v="1159.3396291139243"/>
    <m/>
    <n v="20"/>
    <s v="Sale"/>
    <x v="0"/>
    <x v="9"/>
    <x v="0"/>
    <n v="1506.3162393162395"/>
    <n v="1"/>
    <n v="1506.3162393162395"/>
    <n v="480.98712539218877"/>
    <m/>
    <n v="1159.3396291139243"/>
    <n v="346.97661020231521"/>
  </r>
  <r>
    <x v="1"/>
    <x v="17"/>
    <x v="8"/>
    <x v="0"/>
    <n v="299.54000000000002"/>
    <n v="3"/>
    <n v="299.54000000000002"/>
    <n v="1"/>
    <n v="299.54000000000002"/>
    <n v="120.15900000000001"/>
    <n v="120.809"/>
    <n v="1.0054000000000001"/>
    <n v="301.15751600000004"/>
    <m/>
    <n v="3"/>
    <s v="Sale"/>
    <x v="0"/>
    <x v="0"/>
    <x v="0"/>
    <n v="271.10851851851851"/>
    <n v="1"/>
    <n v="271.10851851851851"/>
    <n v="-28.431481481481512"/>
    <m/>
    <n v="301.15751600000004"/>
    <n v="-30.048997481481535"/>
  </r>
  <r>
    <x v="1"/>
    <x v="17"/>
    <x v="8"/>
    <x v="0"/>
    <n v="6776.47"/>
    <n v="68"/>
    <n v="6776.47"/>
    <n v="1"/>
    <n v="6776.47"/>
    <n v="120.15900000000001"/>
    <n v="120.809"/>
    <n v="1.0054000000000001"/>
    <n v="6813.0629380000009"/>
    <m/>
    <n v="68"/>
    <s v="Sale"/>
    <x v="0"/>
    <x v="0"/>
    <x v="0"/>
    <n v="6145.1264197530863"/>
    <n v="1"/>
    <n v="6145.1264197530863"/>
    <n v="-631.34358024691392"/>
    <m/>
    <n v="6813.0629380000009"/>
    <n v="-667.9365182469146"/>
  </r>
  <r>
    <x v="1"/>
    <x v="17"/>
    <x v="8"/>
    <x v="0"/>
    <n v="995.66000000000008"/>
    <n v="10"/>
    <n v="995.66000000000008"/>
    <n v="1"/>
    <n v="995.66000000000008"/>
    <n v="120.15900000000001"/>
    <n v="120.809"/>
    <n v="1.0054000000000001"/>
    <n v="1001.0365640000001"/>
    <m/>
    <n v="10"/>
    <s v="Sale"/>
    <x v="0"/>
    <x v="0"/>
    <x v="0"/>
    <n v="903.6950617283951"/>
    <n v="1"/>
    <n v="903.6950617283951"/>
    <n v="-91.964938271604979"/>
    <m/>
    <n v="1001.0365640000001"/>
    <n v="-97.341502271605009"/>
  </r>
  <r>
    <x v="1"/>
    <x v="18"/>
    <x v="9"/>
    <x v="0"/>
    <n v="110.04692307692309"/>
    <n v="3"/>
    <n v="110.04692307692309"/>
    <n v="1"/>
    <n v="110.04692307692309"/>
    <n v="118.002"/>
    <n v="120.809"/>
    <n v="1.0237000000000001"/>
    <n v="112.65503515384617"/>
    <m/>
    <n v="3"/>
    <s v="Sale"/>
    <x v="0"/>
    <x v="10"/>
    <x v="0"/>
    <n v="105.29000000000002"/>
    <n v="1"/>
    <n v="105.29000000000002"/>
    <n v="-4.7569230769230728"/>
    <m/>
    <n v="112.65503515384617"/>
    <n v="-7.3650351538461507"/>
  </r>
  <r>
    <x v="1"/>
    <x v="18"/>
    <x v="9"/>
    <x v="0"/>
    <n v="366.82307692307694"/>
    <n v="10"/>
    <n v="366.82307692307694"/>
    <n v="1"/>
    <n v="366.82307692307694"/>
    <n v="118.002"/>
    <n v="120.809"/>
    <n v="1.0237000000000001"/>
    <n v="375.51678384615388"/>
    <m/>
    <n v="10"/>
    <s v="Sale"/>
    <x v="0"/>
    <x v="10"/>
    <x v="0"/>
    <n v="346.6"/>
    <n v="1"/>
    <n v="346.6"/>
    <n v="-20.223076923076917"/>
    <m/>
    <n v="375.51678384615388"/>
    <n v="-28.916783846153862"/>
  </r>
  <r>
    <x v="1"/>
    <x v="18"/>
    <x v="9"/>
    <x v="0"/>
    <n v="73.319999999999993"/>
    <n v="2"/>
    <n v="73.319999999999993"/>
    <n v="1"/>
    <n v="73.319999999999993"/>
    <n v="118.002"/>
    <n v="120.809"/>
    <n v="1.0237000000000001"/>
    <n v="75.057683999999995"/>
    <m/>
    <n v="2"/>
    <s v="Sale"/>
    <x v="0"/>
    <x v="10"/>
    <x v="0"/>
    <n v="69.320000000000007"/>
    <n v="1"/>
    <n v="69.320000000000007"/>
    <n v="-3.9999999999999858"/>
    <m/>
    <n v="75.057683999999995"/>
    <n v="-5.7376839999999873"/>
  </r>
  <r>
    <x v="1"/>
    <x v="18"/>
    <x v="9"/>
    <x v="0"/>
    <n v="73.319999999999993"/>
    <n v="2"/>
    <n v="73.319999999999993"/>
    <n v="1"/>
    <n v="73.319999999999993"/>
    <n v="118.002"/>
    <n v="120.809"/>
    <n v="1.0237000000000001"/>
    <n v="75.057683999999995"/>
    <m/>
    <n v="2"/>
    <s v="Sale"/>
    <x v="0"/>
    <x v="10"/>
    <x v="0"/>
    <n v="69.838476190476186"/>
    <n v="1"/>
    <n v="69.838476190476186"/>
    <n v="-3.4815238095238072"/>
    <m/>
    <n v="75.057683999999995"/>
    <n v="-5.2192078095238088"/>
  </r>
  <r>
    <x v="1"/>
    <x v="18"/>
    <x v="9"/>
    <x v="0"/>
    <n v="3484.9"/>
    <n v="95"/>
    <n v="3484.9"/>
    <n v="1"/>
    <n v="3484.9"/>
    <n v="118.002"/>
    <n v="120.809"/>
    <n v="1.0237000000000001"/>
    <n v="3567.4921300000001"/>
    <m/>
    <n v="95"/>
    <s v="Sale"/>
    <x v="0"/>
    <x v="10"/>
    <x v="0"/>
    <n v="3317.327619047619"/>
    <n v="1"/>
    <n v="3317.327619047619"/>
    <n v="-167.57238095238108"/>
    <m/>
    <n v="3567.4921300000001"/>
    <n v="-250.16451095238108"/>
  </r>
  <r>
    <x v="1"/>
    <x v="18"/>
    <x v="9"/>
    <x v="0"/>
    <n v="73.13"/>
    <n v="2"/>
    <n v="73.13"/>
    <n v="1"/>
    <n v="73.13"/>
    <n v="118.002"/>
    <n v="120.809"/>
    <n v="1.0237000000000001"/>
    <n v="74.863180999999997"/>
    <m/>
    <n v="2"/>
    <s v="Sale"/>
    <x v="0"/>
    <x v="10"/>
    <x v="0"/>
    <n v="69.838476190476186"/>
    <n v="1"/>
    <n v="69.838476190476186"/>
    <n v="-3.2915238095238095"/>
    <m/>
    <n v="74.863180999999997"/>
    <n v="-5.0247048095238114"/>
  </r>
  <r>
    <x v="1"/>
    <x v="19"/>
    <x v="9"/>
    <x v="0"/>
    <n v="210.42000000000002"/>
    <n v="6"/>
    <n v="210.42000000000002"/>
    <n v="1"/>
    <n v="210.42000000000002"/>
    <n v="118.002"/>
    <n v="120.809"/>
    <n v="1.0237000000000001"/>
    <n v="215.40695400000004"/>
    <m/>
    <n v="6"/>
    <s v="Sale"/>
    <x v="0"/>
    <x v="10"/>
    <x v="0"/>
    <n v="209.51542857142857"/>
    <n v="1"/>
    <n v="209.51542857142857"/>
    <n v="-0.9045714285714439"/>
    <m/>
    <n v="215.40695400000004"/>
    <n v="-5.8915254285714695"/>
  </r>
  <r>
    <x v="1"/>
    <x v="19"/>
    <x v="9"/>
    <x v="0"/>
    <n v="420.84000000000003"/>
    <n v="12"/>
    <n v="420.84000000000003"/>
    <n v="1"/>
    <n v="420.84000000000003"/>
    <n v="118.002"/>
    <n v="120.809"/>
    <n v="1.0237000000000001"/>
    <n v="430.81390800000008"/>
    <m/>
    <n v="12"/>
    <s v="Sale"/>
    <x v="0"/>
    <x v="11"/>
    <x v="0"/>
    <n v="422.35"/>
    <n v="1"/>
    <n v="422.35"/>
    <n v="1.5099999999999909"/>
    <m/>
    <n v="430.81390800000008"/>
    <n v="-8.4639080000000604"/>
  </r>
  <r>
    <x v="1"/>
    <x v="19"/>
    <x v="9"/>
    <x v="0"/>
    <n v="140.28"/>
    <n v="4"/>
    <n v="140.28"/>
    <n v="1"/>
    <n v="140.28"/>
    <n v="118.002"/>
    <n v="120.809"/>
    <n v="1.0237000000000001"/>
    <n v="143.604636"/>
    <m/>
    <n v="4"/>
    <s v="Sale"/>
    <x v="0"/>
    <x v="0"/>
    <x v="0"/>
    <n v="141.27915789473684"/>
    <n v="1"/>
    <n v="141.27915789473684"/>
    <n v="0.99915789473683958"/>
    <m/>
    <n v="143.604636"/>
    <n v="-2.3254781052631586"/>
  </r>
  <r>
    <x v="1"/>
    <x v="19"/>
    <x v="9"/>
    <x v="0"/>
    <n v="920.87"/>
    <n v="26"/>
    <n v="920.87"/>
    <n v="1"/>
    <n v="920.87"/>
    <n v="118.002"/>
    <n v="120.809"/>
    <n v="1.0237000000000001"/>
    <n v="942.6946190000001"/>
    <m/>
    <n v="26"/>
    <s v="Sale"/>
    <x v="0"/>
    <x v="0"/>
    <x v="0"/>
    <n v="918.31452631578941"/>
    <n v="1"/>
    <n v="918.31452631578941"/>
    <n v="-2.5554736842105967"/>
    <m/>
    <n v="942.6946190000001"/>
    <n v="-24.380092684210695"/>
  </r>
  <r>
    <x v="1"/>
    <x v="20"/>
    <x v="9"/>
    <x v="0"/>
    <n v="2286.2574468085108"/>
    <n v="65"/>
    <n v="2286.2574468085108"/>
    <n v="1"/>
    <n v="2286.2574468085108"/>
    <n v="118.002"/>
    <n v="120.809"/>
    <n v="1.0237000000000001"/>
    <n v="2340.4417482978729"/>
    <m/>
    <n v="65"/>
    <s v="Sale"/>
    <x v="0"/>
    <x v="0"/>
    <x v="0"/>
    <n v="2295.7863157894735"/>
    <n v="1"/>
    <n v="2295.7863157894735"/>
    <n v="9.5288689809626703"/>
    <m/>
    <n v="2340.4417482978729"/>
    <n v="-44.655432508399372"/>
  </r>
  <r>
    <x v="1"/>
    <x v="21"/>
    <x v="10"/>
    <x v="0"/>
    <n v="2372.23"/>
    <n v="15"/>
    <n v="2372.23"/>
    <n v="1"/>
    <n v="2372.23"/>
    <n v="114.601"/>
    <n v="120.809"/>
    <n v="1.0541"/>
    <n v="2500.5676430000003"/>
    <m/>
    <n v="15"/>
    <s v="Sale"/>
    <x v="0"/>
    <x v="0"/>
    <x v="0"/>
    <n v="2155.125"/>
    <n v="1"/>
    <n v="2155.125"/>
    <n v="-217.10500000000002"/>
    <m/>
    <n v="2500.5676430000003"/>
    <n v="-345.44264300000032"/>
  </r>
  <r>
    <x v="1"/>
    <x v="21"/>
    <x v="10"/>
    <x v="0"/>
    <n v="3631.1999999999994"/>
    <n v="23"/>
    <n v="3631.1999999999994"/>
    <n v="1"/>
    <n v="3631.1999999999994"/>
    <n v="114.601"/>
    <n v="120.809"/>
    <n v="1.0541"/>
    <n v="3827.6479199999994"/>
    <m/>
    <n v="23"/>
    <s v="Sale"/>
    <x v="0"/>
    <x v="0"/>
    <x v="0"/>
    <n v="3304.5250000000001"/>
    <n v="1"/>
    <n v="3304.5250000000001"/>
    <n v="-326.67499999999927"/>
    <m/>
    <n v="3827.6479199999994"/>
    <n v="-523.12291999999934"/>
  </r>
  <r>
    <x v="1"/>
    <x v="21"/>
    <x v="10"/>
    <x v="0"/>
    <n v="315.89"/>
    <n v="2"/>
    <n v="315.89"/>
    <n v="1"/>
    <n v="315.89"/>
    <n v="114.601"/>
    <n v="120.809"/>
    <n v="1.0541"/>
    <n v="332.97964899999999"/>
    <m/>
    <n v="2"/>
    <s v="Sale"/>
    <x v="0"/>
    <x v="0"/>
    <x v="0"/>
    <n v="287.35000000000002"/>
    <n v="1"/>
    <n v="287.35000000000002"/>
    <n v="-28.539999999999964"/>
    <m/>
    <n v="332.97964899999999"/>
    <n v="-45.629648999999972"/>
  </r>
  <r>
    <x v="1"/>
    <x v="21"/>
    <x v="10"/>
    <x v="0"/>
    <n v="1422.09"/>
    <n v="9"/>
    <n v="1422.09"/>
    <n v="1"/>
    <n v="1422.09"/>
    <n v="114.601"/>
    <n v="120.809"/>
    <n v="1.0541"/>
    <n v="1499.025069"/>
    <m/>
    <n v="9"/>
    <s v="Sale"/>
    <x v="0"/>
    <x v="0"/>
    <x v="0"/>
    <n v="1293.075"/>
    <n v="1"/>
    <n v="1293.075"/>
    <n v="-129.01499999999987"/>
    <m/>
    <n v="1499.025069"/>
    <n v="-205.95006899999998"/>
  </r>
  <r>
    <x v="1"/>
    <x v="21"/>
    <x v="10"/>
    <x v="0"/>
    <n v="474.89"/>
    <n v="3"/>
    <n v="474.89"/>
    <n v="1"/>
    <n v="474.89"/>
    <n v="114.601"/>
    <n v="120.809"/>
    <n v="1.0541"/>
    <n v="500.581549"/>
    <m/>
    <n v="3"/>
    <s v="Sale"/>
    <x v="0"/>
    <x v="0"/>
    <x v="0"/>
    <n v="431.02500000000003"/>
    <n v="1"/>
    <n v="431.02500000000003"/>
    <n v="-43.864999999999952"/>
    <m/>
    <n v="500.581549"/>
    <n v="-69.556548999999961"/>
  </r>
  <r>
    <x v="1"/>
    <x v="22"/>
    <x v="10"/>
    <x v="0"/>
    <n v="768.36"/>
    <n v="5"/>
    <n v="768.36"/>
    <n v="1"/>
    <n v="768.36"/>
    <n v="114.601"/>
    <n v="120.809"/>
    <n v="1.0541"/>
    <n v="809.9282760000001"/>
    <m/>
    <n v="5"/>
    <s v="Sale"/>
    <x v="0"/>
    <x v="0"/>
    <x v="0"/>
    <n v="718.375"/>
    <n v="1"/>
    <n v="718.375"/>
    <n v="-49.985000000000014"/>
    <m/>
    <n v="809.9282760000001"/>
    <n v="-91.553276000000096"/>
  </r>
  <r>
    <x v="1"/>
    <x v="22"/>
    <x v="10"/>
    <x v="0"/>
    <n v="3837.2800000000007"/>
    <n v="25"/>
    <n v="3837.2800000000007"/>
    <n v="1"/>
    <n v="3837.2800000000007"/>
    <n v="114.601"/>
    <n v="120.809"/>
    <n v="1.0541"/>
    <n v="4044.8768480000008"/>
    <m/>
    <n v="25"/>
    <s v="Sale"/>
    <x v="0"/>
    <x v="0"/>
    <x v="0"/>
    <n v="3591.8750000000005"/>
    <n v="1"/>
    <n v="3591.8750000000005"/>
    <n v="-245.4050000000002"/>
    <m/>
    <n v="4044.8768480000008"/>
    <n v="-453.00184800000034"/>
  </r>
  <r>
    <x v="1"/>
    <x v="22"/>
    <x v="10"/>
    <x v="0"/>
    <n v="307.2"/>
    <n v="2"/>
    <n v="307.2"/>
    <n v="1"/>
    <n v="307.2"/>
    <n v="114.601"/>
    <n v="120.809"/>
    <n v="1.0541"/>
    <n v="323.81952000000001"/>
    <m/>
    <n v="2"/>
    <s v="Sale"/>
    <x v="0"/>
    <x v="0"/>
    <x v="0"/>
    <n v="287.35000000000002"/>
    <n v="1"/>
    <n v="287.35000000000002"/>
    <n v="-19.849999999999966"/>
    <m/>
    <n v="323.81952000000001"/>
    <n v="-36.469519999999989"/>
  </r>
  <r>
    <x v="1"/>
    <x v="22"/>
    <x v="10"/>
    <x v="0"/>
    <n v="616.03"/>
    <n v="4"/>
    <n v="616.03"/>
    <n v="1"/>
    <n v="616.03"/>
    <n v="114.601"/>
    <n v="120.809"/>
    <n v="1.0541"/>
    <n v="649.35722299999998"/>
    <m/>
    <n v="4"/>
    <s v="Sale"/>
    <x v="0"/>
    <x v="0"/>
    <x v="0"/>
    <n v="574.70000000000005"/>
    <n v="1"/>
    <n v="574.70000000000005"/>
    <n v="-41.329999999999927"/>
    <m/>
    <n v="649.35722299999998"/>
    <n v="-74.657222999999931"/>
  </r>
  <r>
    <x v="1"/>
    <x v="22"/>
    <x v="10"/>
    <x v="0"/>
    <n v="459.13"/>
    <n v="3"/>
    <n v="459.13"/>
    <n v="1"/>
    <n v="459.13"/>
    <n v="114.601"/>
    <n v="120.809"/>
    <n v="1.0541"/>
    <n v="483.96893299999999"/>
    <m/>
    <n v="3"/>
    <s v="Sale"/>
    <x v="0"/>
    <x v="0"/>
    <x v="0"/>
    <n v="431.02500000000003"/>
    <n v="1"/>
    <n v="431.02500000000003"/>
    <n v="-28.104999999999961"/>
    <m/>
    <n v="483.96893299999999"/>
    <n v="-52.943932999999959"/>
  </r>
  <r>
    <x v="1"/>
    <x v="22"/>
    <x v="10"/>
    <x v="0"/>
    <n v="2316.16"/>
    <n v="15"/>
    <n v="2316.16"/>
    <n v="1"/>
    <n v="2316.16"/>
    <n v="114.601"/>
    <n v="120.809"/>
    <n v="1.0541"/>
    <n v="2441.4642559999998"/>
    <m/>
    <n v="15"/>
    <s v="Sale"/>
    <x v="0"/>
    <x v="0"/>
    <x v="0"/>
    <n v="2155.125"/>
    <n v="1"/>
    <n v="2155.125"/>
    <n v="-161.03499999999985"/>
    <m/>
    <n v="2441.4642559999998"/>
    <n v="-286.33925599999975"/>
  </r>
  <r>
    <x v="1"/>
    <x v="23"/>
    <x v="10"/>
    <x v="0"/>
    <n v="451.11"/>
    <n v="3"/>
    <n v="451.11"/>
    <n v="1"/>
    <n v="451.11"/>
    <n v="115.56100000000001"/>
    <n v="120.809"/>
    <n v="1.0454000000000001"/>
    <n v="471.59039400000006"/>
    <m/>
    <n v="3"/>
    <s v="Sale"/>
    <x v="0"/>
    <x v="0"/>
    <x v="0"/>
    <n v="431.02500000000003"/>
    <n v="1"/>
    <n v="431.02500000000003"/>
    <n v="-20.08499999999998"/>
    <m/>
    <n v="471.59039400000006"/>
    <n v="-40.565394000000026"/>
  </r>
  <r>
    <x v="1"/>
    <x v="23"/>
    <x v="10"/>
    <x v="0"/>
    <n v="2880.0447826086956"/>
    <n v="19"/>
    <n v="2880.0447826086956"/>
    <n v="1"/>
    <n v="2880.0447826086956"/>
    <n v="115.56100000000001"/>
    <n v="120.809"/>
    <n v="1.0454000000000001"/>
    <n v="3010.7988157391305"/>
    <m/>
    <n v="19"/>
    <s v="Sale"/>
    <x v="0"/>
    <x v="0"/>
    <x v="0"/>
    <n v="2729.8250000000003"/>
    <n v="1"/>
    <n v="2729.8250000000003"/>
    <n v="-150.21978260869537"/>
    <m/>
    <n v="3010.7988157391305"/>
    <n v="-280.97381573913026"/>
  </r>
  <r>
    <x v="1"/>
    <x v="23"/>
    <x v="10"/>
    <x v="0"/>
    <n v="4092.6952173913046"/>
    <n v="27"/>
    <n v="4092.6952173913046"/>
    <n v="1"/>
    <n v="4092.6952173913046"/>
    <n v="115.56100000000001"/>
    <n v="121.02200000000001"/>
    <n v="1.0471999999999999"/>
    <n v="4285.8704316521735"/>
    <m/>
    <n v="27"/>
    <s v="Sale"/>
    <x v="0"/>
    <x v="12"/>
    <x v="0"/>
    <n v="3943.3286842105263"/>
    <n v="1"/>
    <n v="3943.3286842105263"/>
    <n v="-149.36653318077833"/>
    <m/>
    <n v="4285.8704316521735"/>
    <n v="-342.5417474416472"/>
  </r>
  <r>
    <x v="1"/>
    <x v="23"/>
    <x v="10"/>
    <x v="0"/>
    <n v="453.81000000000006"/>
    <n v="3"/>
    <n v="453.81000000000006"/>
    <n v="1"/>
    <n v="453.81000000000006"/>
    <n v="115.56100000000001"/>
    <n v="121.02200000000001"/>
    <n v="1.0471999999999999"/>
    <n v="475.22983200000004"/>
    <m/>
    <n v="3"/>
    <s v="Sale"/>
    <x v="0"/>
    <x v="12"/>
    <x v="0"/>
    <n v="438.14763157894737"/>
    <n v="1"/>
    <n v="438.14763157894737"/>
    <n v="-15.66236842105269"/>
    <m/>
    <n v="475.22983200000004"/>
    <n v="-37.082200421052676"/>
  </r>
  <r>
    <x v="1"/>
    <x v="24"/>
    <x v="10"/>
    <x v="0"/>
    <n v="1293.4621276595744"/>
    <n v="8"/>
    <n v="1293.4621276595744"/>
    <n v="1"/>
    <n v="1293.4621276595744"/>
    <n v="115.56100000000001"/>
    <n v="121.02200000000001"/>
    <n v="1.0471999999999999"/>
    <n v="1354.5135400851063"/>
    <m/>
    <n v="8"/>
    <s v="Sale"/>
    <x v="0"/>
    <x v="12"/>
    <x v="0"/>
    <n v="1168.3936842105263"/>
    <n v="1"/>
    <n v="1168.3936842105263"/>
    <n v="-125.06844344904812"/>
    <m/>
    <n v="1354.5135400851063"/>
    <n v="-186.11985587458003"/>
  </r>
  <r>
    <x v="1"/>
    <x v="24"/>
    <x v="10"/>
    <x v="0"/>
    <n v="161.6827659574468"/>
    <n v="1"/>
    <n v="161.6827659574468"/>
    <n v="1"/>
    <n v="161.6827659574468"/>
    <n v="115.56100000000001"/>
    <n v="122.044"/>
    <n v="1.0561"/>
    <n v="170.75316912765959"/>
    <m/>
    <n v="1"/>
    <s v="Sale"/>
    <x v="0"/>
    <x v="8"/>
    <x v="0"/>
    <n v="126.68"/>
    <n v="1"/>
    <n v="126.68"/>
    <n v="-35.002765957446798"/>
    <m/>
    <n v="170.75316912765959"/>
    <n v="-44.073169127659583"/>
  </r>
  <r>
    <x v="1"/>
    <x v="24"/>
    <x v="10"/>
    <x v="0"/>
    <n v="1616.827659574468"/>
    <n v="10"/>
    <n v="1616.827659574468"/>
    <n v="1"/>
    <n v="1616.827659574468"/>
    <n v="115.56100000000001"/>
    <n v="122.044"/>
    <n v="1.0561"/>
    <n v="1707.5316912765957"/>
    <m/>
    <n v="10"/>
    <s v="Sale"/>
    <x v="0"/>
    <x v="8"/>
    <x v="0"/>
    <n v="1261.3"/>
    <n v="1"/>
    <n v="1261.3"/>
    <n v="-355.52765957446809"/>
    <m/>
    <n v="1707.5316912765957"/>
    <n v="-446.23169127659571"/>
  </r>
  <r>
    <x v="1"/>
    <x v="24"/>
    <x v="10"/>
    <x v="0"/>
    <n v="2425.241489361702"/>
    <n v="15"/>
    <n v="2425.241489361702"/>
    <n v="1"/>
    <n v="2425.241489361702"/>
    <n v="115.56100000000001"/>
    <n v="122.044"/>
    <n v="1.0561"/>
    <n v="2561.2975369148935"/>
    <m/>
    <n v="15"/>
    <s v="Sale"/>
    <x v="0"/>
    <x v="13"/>
    <x v="0"/>
    <n v="1890.52"/>
    <n v="1"/>
    <n v="1890.52"/>
    <n v="-534.72148936170197"/>
    <m/>
    <n v="2561.2975369148935"/>
    <n v="-670.77753691489352"/>
  </r>
  <r>
    <x v="1"/>
    <x v="24"/>
    <x v="10"/>
    <x v="0"/>
    <n v="323.36553191489361"/>
    <n v="2"/>
    <n v="323.36553191489361"/>
    <n v="1"/>
    <n v="323.36553191489361"/>
    <n v="115.56100000000001"/>
    <n v="122.044"/>
    <n v="1.0561"/>
    <n v="341.50633825531918"/>
    <m/>
    <n v="2"/>
    <s v="Sale"/>
    <x v="0"/>
    <x v="8"/>
    <x v="0"/>
    <n v="251.53"/>
    <n v="1"/>
    <n v="251.53"/>
    <n v="-71.835531914893608"/>
    <m/>
    <n v="341.50633825531918"/>
    <n v="-89.976338255319178"/>
  </r>
  <r>
    <x v="1"/>
    <x v="24"/>
    <x v="10"/>
    <x v="0"/>
    <n v="1778.5104255319147"/>
    <n v="11"/>
    <n v="1778.5104255319147"/>
    <n v="1"/>
    <n v="1778.5104255319147"/>
    <n v="115.56100000000001"/>
    <n v="122.044"/>
    <n v="1.0561"/>
    <n v="1878.2848604042551"/>
    <m/>
    <n v="11"/>
    <s v="Sale"/>
    <x v="0"/>
    <x v="14"/>
    <x v="0"/>
    <n v="1436.4561538461539"/>
    <n v="1"/>
    <n v="1436.4561538461539"/>
    <n v="-342.0542716857608"/>
    <m/>
    <n v="1878.2848604042551"/>
    <n v="-441.8287065581012"/>
  </r>
  <r>
    <x v="1"/>
    <x v="24"/>
    <x v="10"/>
    <x v="0"/>
    <n v="160.88"/>
    <n v="1"/>
    <n v="160.88"/>
    <n v="1"/>
    <n v="160.88"/>
    <n v="115.56100000000001"/>
    <n v="122.044"/>
    <n v="1.0561"/>
    <n v="169.90536800000001"/>
    <m/>
    <n v="1"/>
    <s v="Sale"/>
    <x v="0"/>
    <x v="14"/>
    <x v="0"/>
    <n v="130.58692307692309"/>
    <n v="1"/>
    <n v="130.58692307692309"/>
    <n v="-30.29307692307691"/>
    <m/>
    <n v="169.90536800000001"/>
    <n v="-39.318444923076925"/>
  </r>
  <r>
    <x v="1"/>
    <x v="24"/>
    <x v="10"/>
    <x v="0"/>
    <n v="806.88999999999987"/>
    <n v="5"/>
    <n v="806.88999999999987"/>
    <n v="1"/>
    <n v="806.88999999999987"/>
    <n v="115.56100000000001"/>
    <n v="122.044"/>
    <n v="1.0561"/>
    <n v="852.15652899999986"/>
    <m/>
    <n v="5"/>
    <s v="Sale"/>
    <x v="0"/>
    <x v="14"/>
    <x v="0"/>
    <n v="652.93461538461543"/>
    <n v="1"/>
    <n v="652.93461538461543"/>
    <n v="-153.95538461538445"/>
    <m/>
    <n v="852.15652899999986"/>
    <n v="-199.22191361538444"/>
  </r>
  <r>
    <x v="1"/>
    <x v="25"/>
    <x v="10"/>
    <x v="0"/>
    <n v="1465.9875000000002"/>
    <n v="9"/>
    <n v="1465.9875000000002"/>
    <n v="1"/>
    <n v="1465.9875000000002"/>
    <n v="115.56100000000001"/>
    <n v="122.044"/>
    <n v="1.0561"/>
    <n v="1548.2293987500002"/>
    <m/>
    <n v="9"/>
    <s v="Sale"/>
    <x v="0"/>
    <x v="14"/>
    <x v="0"/>
    <n v="1175.2823076923078"/>
    <n v="1"/>
    <n v="1175.2823076923078"/>
    <n v="-290.70519230769241"/>
    <m/>
    <n v="1548.2293987500002"/>
    <n v="-372.94709105769243"/>
  </r>
  <r>
    <x v="1"/>
    <x v="25"/>
    <x v="10"/>
    <x v="0"/>
    <n v="488.66250000000002"/>
    <n v="3"/>
    <n v="488.66250000000002"/>
    <n v="1"/>
    <n v="488.66250000000002"/>
    <n v="115.56100000000001"/>
    <n v="122.044"/>
    <n v="1.0561"/>
    <n v="516.07646625000007"/>
    <m/>
    <n v="3"/>
    <s v="Sale"/>
    <x v="0"/>
    <x v="14"/>
    <x v="0"/>
    <n v="392.99"/>
    <n v="1"/>
    <n v="392.99"/>
    <n v="-95.672500000000014"/>
    <m/>
    <n v="516.07646625000007"/>
    <n v="-123.08646625000006"/>
  </r>
  <r>
    <x v="1"/>
    <x v="26"/>
    <x v="10"/>
    <x v="0"/>
    <n v="485.47499999999997"/>
    <n v="3"/>
    <n v="485.47499999999997"/>
    <n v="1"/>
    <n v="485.47499999999997"/>
    <n v="115.56100000000001"/>
    <n v="122.044"/>
    <n v="1.0561"/>
    <n v="512.71014749999995"/>
    <m/>
    <n v="3"/>
    <s v="Sale"/>
    <x v="0"/>
    <x v="14"/>
    <x v="0"/>
    <n v="392.99"/>
    <n v="1"/>
    <n v="392.99"/>
    <n v="-92.484999999999957"/>
    <m/>
    <n v="512.71014749999995"/>
    <n v="-119.72014749999994"/>
  </r>
  <r>
    <x v="1"/>
    <x v="26"/>
    <x v="10"/>
    <x v="0"/>
    <n v="161.82499999999999"/>
    <n v="1"/>
    <n v="161.82499999999999"/>
    <n v="1"/>
    <n v="161.82499999999999"/>
    <n v="115.56100000000001"/>
    <n v="122.044"/>
    <n v="1.0561"/>
    <n v="170.90338249999999"/>
    <m/>
    <n v="1"/>
    <s v="Sale"/>
    <x v="0"/>
    <x v="14"/>
    <x v="0"/>
    <n v="131.20124999999999"/>
    <n v="1"/>
    <n v="131.20124999999999"/>
    <n v="-30.623750000000001"/>
    <m/>
    <n v="170.90338249999999"/>
    <n v="-39.702132500000005"/>
  </r>
  <r>
    <x v="1"/>
    <x v="26"/>
    <x v="10"/>
    <x v="0"/>
    <n v="324.19"/>
    <n v="2"/>
    <n v="324.19"/>
    <n v="1"/>
    <n v="324.19"/>
    <n v="115.56100000000001"/>
    <n v="122.044"/>
    <n v="1.0561"/>
    <n v="342.37705900000003"/>
    <m/>
    <n v="2"/>
    <s v="Sale"/>
    <x v="0"/>
    <x v="14"/>
    <x v="0"/>
    <n v="262.40249999999997"/>
    <n v="1"/>
    <n v="262.40249999999997"/>
    <n v="-61.787500000000023"/>
    <m/>
    <n v="342.37705900000003"/>
    <n v="-79.974559000000056"/>
  </r>
  <r>
    <x v="1"/>
    <x v="26"/>
    <x v="10"/>
    <x v="0"/>
    <n v="809.2069444444445"/>
    <n v="5"/>
    <n v="809.2069444444445"/>
    <n v="1"/>
    <n v="809.2069444444445"/>
    <n v="115.56100000000001"/>
    <n v="122.044"/>
    <n v="1.0561"/>
    <n v="854.60345402777784"/>
    <m/>
    <n v="5"/>
    <s v="Sale"/>
    <x v="0"/>
    <x v="14"/>
    <x v="0"/>
    <n v="656.00624999999991"/>
    <n v="1"/>
    <n v="656.00624999999991"/>
    <n v="-153.20069444444459"/>
    <m/>
    <n v="854.60345402777784"/>
    <n v="-198.59720402777793"/>
  </r>
  <r>
    <x v="1"/>
    <x v="26"/>
    <x v="10"/>
    <x v="0"/>
    <n v="1294.7311111111112"/>
    <n v="8"/>
    <n v="1294.7311111111112"/>
    <n v="1"/>
    <n v="1294.7311111111112"/>
    <n v="115.56100000000001"/>
    <n v="122.044"/>
    <n v="1.0561"/>
    <n v="1367.3655264444446"/>
    <m/>
    <n v="8"/>
    <s v="Sale"/>
    <x v="0"/>
    <x v="8"/>
    <x v="0"/>
    <n v="1008.91"/>
    <n v="1"/>
    <n v="1008.91"/>
    <n v="-285.82111111111124"/>
    <m/>
    <n v="1367.3655264444446"/>
    <n v="-358.45552644444467"/>
  </r>
  <r>
    <x v="1"/>
    <x v="1"/>
    <x v="11"/>
    <x v="0"/>
    <n v="19443.099999999999"/>
    <n v="64"/>
    <n v="19443.099999999999"/>
    <n v="1"/>
    <n v="19443.099999999999"/>
    <n v="105.934"/>
    <n v="120.809"/>
    <n v="1.1404000000000001"/>
    <n v="22172.911240000001"/>
    <m/>
    <n v="64"/>
    <s v="Sale"/>
    <x v="0"/>
    <x v="0"/>
    <x v="0"/>
    <n v="19443.099999999999"/>
    <n v="1"/>
    <n v="19443.099999999999"/>
    <n v="0"/>
    <m/>
    <n v="22172.911240000001"/>
    <n v="-2729.8112400000027"/>
  </r>
  <r>
    <x v="1"/>
    <x v="27"/>
    <x v="12"/>
    <x v="0"/>
    <n v="803.90594982078858"/>
    <n v="8"/>
    <n v="803.90594982078858"/>
    <n v="1"/>
    <n v="803.90594982078858"/>
    <n v="105.346"/>
    <n v="118.002"/>
    <n v="1.1201000000000001"/>
    <n v="900.4550543942654"/>
    <m/>
    <n v="8"/>
    <s v="Sale"/>
    <x v="0"/>
    <x v="15"/>
    <x v="0"/>
    <n v="1949.64"/>
    <n v="1"/>
    <n v="1949.64"/>
    <n v="1145.7340501792114"/>
    <m/>
    <n v="900.4550543942654"/>
    <n v="1049.1849456057348"/>
  </r>
  <r>
    <x v="1"/>
    <x v="27"/>
    <x v="12"/>
    <x v="0"/>
    <n v="100.48824372759857"/>
    <n v="1"/>
    <n v="100.48824372759857"/>
    <n v="1"/>
    <n v="100.48824372759857"/>
    <n v="105.346"/>
    <n v="118.002"/>
    <n v="1.1201000000000001"/>
    <n v="112.55688179928318"/>
    <m/>
    <n v="1"/>
    <s v="Sale"/>
    <x v="0"/>
    <x v="15"/>
    <x v="0"/>
    <n v="243.83"/>
    <n v="1"/>
    <n v="243.83"/>
    <n v="143.34175627240143"/>
    <m/>
    <n v="112.55688179928318"/>
    <n v="131.27311820071685"/>
  </r>
  <r>
    <x v="1"/>
    <x v="27"/>
    <x v="12"/>
    <x v="0"/>
    <n v="602.92946236559146"/>
    <n v="6"/>
    <n v="602.92946236559146"/>
    <n v="1"/>
    <n v="602.92946236559146"/>
    <n v="105.346"/>
    <n v="118.002"/>
    <n v="1.1201000000000001"/>
    <n v="675.34129079569902"/>
    <m/>
    <n v="6"/>
    <s v="Sale"/>
    <x v="0"/>
    <x v="15"/>
    <x v="0"/>
    <n v="1462.81"/>
    <n v="1"/>
    <n v="1462.81"/>
    <n v="859.88053763440848"/>
    <m/>
    <n v="675.34129079569902"/>
    <n v="787.46870920430092"/>
  </r>
  <r>
    <x v="1"/>
    <x v="27"/>
    <x v="12"/>
    <x v="0"/>
    <n v="1507.3236559139787"/>
    <n v="15"/>
    <n v="1507.3236559139787"/>
    <n v="1"/>
    <n v="1507.3236559139787"/>
    <n v="105.346"/>
    <n v="118.002"/>
    <n v="1.1201000000000001"/>
    <n v="1688.3532269892476"/>
    <m/>
    <n v="15"/>
    <s v="Sale"/>
    <x v="0"/>
    <x v="16"/>
    <x v="0"/>
    <n v="3651.23"/>
    <n v="1"/>
    <n v="3651.23"/>
    <n v="2143.9063440860214"/>
    <m/>
    <n v="1688.3532269892476"/>
    <n v="1962.8767730107525"/>
  </r>
  <r>
    <x v="1"/>
    <x v="27"/>
    <x v="12"/>
    <x v="0"/>
    <n v="200.97648745519714"/>
    <n v="2"/>
    <n v="200.97648745519714"/>
    <n v="1"/>
    <n v="200.97648745519714"/>
    <n v="105.346"/>
    <n v="118.002"/>
    <n v="1.1201000000000001"/>
    <n v="225.11376359856635"/>
    <m/>
    <n v="2"/>
    <s v="Sale"/>
    <x v="0"/>
    <x v="1"/>
    <x v="0"/>
    <n v="479.43"/>
    <n v="1"/>
    <n v="479.43"/>
    <n v="278.45351254480283"/>
    <m/>
    <n v="225.11376359856635"/>
    <n v="254.31623640143366"/>
  </r>
  <r>
    <x v="1"/>
    <x v="27"/>
    <x v="12"/>
    <x v="0"/>
    <n v="602.92946236559146"/>
    <n v="6"/>
    <n v="602.92946236559146"/>
    <n v="1"/>
    <n v="602.92946236559146"/>
    <n v="105.346"/>
    <n v="118.002"/>
    <n v="1.1201000000000001"/>
    <n v="675.34129079569902"/>
    <m/>
    <n v="6"/>
    <s v="Sale"/>
    <x v="0"/>
    <x v="1"/>
    <x v="0"/>
    <n v="1433.88"/>
    <n v="1"/>
    <n v="1433.88"/>
    <n v="830.95053763440865"/>
    <m/>
    <n v="675.34129079569902"/>
    <n v="758.53870920430109"/>
  </r>
  <r>
    <x v="1"/>
    <x v="27"/>
    <x v="12"/>
    <x v="0"/>
    <n v="1708.3001433691757"/>
    <n v="17"/>
    <n v="1708.3001433691757"/>
    <n v="1"/>
    <n v="1708.3001433691757"/>
    <n v="105.346"/>
    <n v="118.002"/>
    <n v="1.1201000000000001"/>
    <n v="1913.4669905878138"/>
    <m/>
    <n v="17"/>
    <s v="Sale"/>
    <x v="0"/>
    <x v="17"/>
    <x v="0"/>
    <n v="4042.5"/>
    <n v="1"/>
    <n v="4042.5"/>
    <n v="2334.1998566308243"/>
    <m/>
    <n v="1913.4669905878138"/>
    <n v="2129.0330094121864"/>
  </r>
  <r>
    <x v="1"/>
    <x v="27"/>
    <x v="12"/>
    <x v="0"/>
    <n v="200.97648745519714"/>
    <n v="2"/>
    <n v="200.97648745519714"/>
    <n v="1"/>
    <n v="200.97648745519714"/>
    <n v="105.346"/>
    <n v="118.002"/>
    <n v="1.1201000000000001"/>
    <n v="225.11376359856635"/>
    <m/>
    <n v="2"/>
    <s v="Sale"/>
    <x v="0"/>
    <x v="17"/>
    <x v="0"/>
    <n v="464.02"/>
    <n v="1"/>
    <n v="464.02"/>
    <n v="263.04351254480287"/>
    <m/>
    <n v="225.11376359856635"/>
    <n v="238.90623640143363"/>
  </r>
  <r>
    <x v="1"/>
    <x v="27"/>
    <x v="12"/>
    <x v="0"/>
    <n v="401.95297491039429"/>
    <n v="4"/>
    <n v="401.95297491039429"/>
    <n v="1"/>
    <n v="401.95297491039429"/>
    <n v="105.346"/>
    <n v="118.002"/>
    <n v="1.1201000000000001"/>
    <n v="450.2275271971327"/>
    <m/>
    <n v="4"/>
    <s v="Sale"/>
    <x v="0"/>
    <x v="18"/>
    <x v="0"/>
    <n v="935.68"/>
    <n v="1"/>
    <n v="935.68"/>
    <n v="533.7270250896056"/>
    <m/>
    <n v="450.2275271971327"/>
    <n v="485.45247280286725"/>
  </r>
  <r>
    <x v="1"/>
    <x v="27"/>
    <x v="12"/>
    <x v="0"/>
    <n v="2411.7178494623658"/>
    <n v="24"/>
    <n v="2411.7178494623658"/>
    <n v="1"/>
    <n v="2411.7178494623658"/>
    <n v="105.346"/>
    <n v="118.002"/>
    <n v="1.1201000000000001"/>
    <n v="2701.3651631827961"/>
    <m/>
    <n v="24"/>
    <s v="Sale"/>
    <x v="0"/>
    <x v="18"/>
    <x v="0"/>
    <n v="5604.5"/>
    <n v="1"/>
    <n v="5604.5"/>
    <n v="3192.7821505376342"/>
    <m/>
    <n v="2701.3651631827961"/>
    <n v="2903.1348368172039"/>
  </r>
  <r>
    <x v="1"/>
    <x v="27"/>
    <x v="12"/>
    <x v="0"/>
    <n v="401.95297491039429"/>
    <n v="4"/>
    <n v="401.95297491039429"/>
    <n v="1"/>
    <n v="401.95297491039429"/>
    <n v="105.346"/>
    <n v="118.98099999999999"/>
    <n v="1.1294"/>
    <n v="453.9656898637993"/>
    <m/>
    <n v="4"/>
    <s v="Sale"/>
    <x v="0"/>
    <x v="19"/>
    <x v="0"/>
    <n v="906.96"/>
    <n v="1"/>
    <n v="906.96"/>
    <n v="505.00702508960575"/>
    <m/>
    <n v="453.9656898637993"/>
    <n v="452.99431013620074"/>
  </r>
  <r>
    <x v="1"/>
    <x v="27"/>
    <x v="12"/>
    <x v="0"/>
    <n v="602.92946236559146"/>
    <n v="6"/>
    <n v="602.92946236559146"/>
    <n v="1"/>
    <n v="602.92946236559146"/>
    <n v="105.346"/>
    <n v="118.98099999999999"/>
    <n v="1.1294"/>
    <n v="680.94853479569895"/>
    <m/>
    <n v="6"/>
    <s v="Sale"/>
    <x v="0"/>
    <x v="19"/>
    <x v="0"/>
    <n v="1362.43"/>
    <n v="1"/>
    <n v="1362.43"/>
    <n v="759.5005376344086"/>
    <m/>
    <n v="680.94853479569895"/>
    <n v="681.48146520430112"/>
  </r>
  <r>
    <x v="1"/>
    <x v="27"/>
    <x v="12"/>
    <x v="0"/>
    <n v="1406.8354121863799"/>
    <n v="14"/>
    <n v="1406.8354121863799"/>
    <n v="1"/>
    <n v="1406.8354121863799"/>
    <n v="105.346"/>
    <n v="118.98099999999999"/>
    <n v="1.1294"/>
    <n v="1588.8799145232974"/>
    <m/>
    <n v="14"/>
    <s v="Sale"/>
    <x v="0"/>
    <x v="19"/>
    <x v="0"/>
    <n v="3171.26"/>
    <n v="1"/>
    <n v="3171.26"/>
    <n v="1764.4245878136203"/>
    <m/>
    <n v="1588.8799145232974"/>
    <n v="1582.3800854767028"/>
  </r>
  <r>
    <x v="1"/>
    <x v="27"/>
    <x v="12"/>
    <x v="0"/>
    <n v="401.95297491039429"/>
    <n v="4"/>
    <n v="401.95297491039429"/>
    <n v="1"/>
    <n v="401.95297491039429"/>
    <n v="105.346"/>
    <n v="118.98099999999999"/>
    <n v="1.1294"/>
    <n v="453.9656898637993"/>
    <m/>
    <n v="4"/>
    <s v="Sale"/>
    <x v="0"/>
    <x v="20"/>
    <x v="0"/>
    <n v="893.11"/>
    <n v="1"/>
    <n v="893.11"/>
    <n v="491.15702508960572"/>
    <m/>
    <n v="453.9656898637993"/>
    <n v="439.14431013620072"/>
  </r>
  <r>
    <x v="1"/>
    <x v="27"/>
    <x v="12"/>
    <x v="0"/>
    <n v="401.95297491039429"/>
    <n v="4"/>
    <n v="401.95297491039429"/>
    <n v="1"/>
    <n v="401.95297491039429"/>
    <n v="105.346"/>
    <n v="118.98099999999999"/>
    <n v="1.1294"/>
    <n v="453.9656898637993"/>
    <m/>
    <n v="4"/>
    <s v="Sale"/>
    <x v="0"/>
    <x v="21"/>
    <x v="0"/>
    <n v="844.13"/>
    <n v="1"/>
    <n v="844.13"/>
    <n v="442.17702508960571"/>
    <m/>
    <n v="453.9656898637993"/>
    <n v="390.1643101362007"/>
  </r>
  <r>
    <x v="1"/>
    <x v="27"/>
    <x v="12"/>
    <x v="0"/>
    <n v="1607.8118996415772"/>
    <n v="16"/>
    <n v="1607.8118996415772"/>
    <n v="1"/>
    <n v="1607.8118996415772"/>
    <n v="105.346"/>
    <n v="118.98099999999999"/>
    <n v="1.1294"/>
    <n v="1815.8627594551972"/>
    <m/>
    <n v="16"/>
    <s v="Sale"/>
    <x v="0"/>
    <x v="21"/>
    <x v="0"/>
    <n v="3418.13"/>
    <n v="1"/>
    <n v="3418.13"/>
    <n v="1810.318100358423"/>
    <m/>
    <n v="1815.8627594551972"/>
    <n v="1602.2672405448029"/>
  </r>
  <r>
    <x v="1"/>
    <x v="27"/>
    <x v="12"/>
    <x v="0"/>
    <n v="703.41770609318996"/>
    <n v="7"/>
    <n v="703.41770609318996"/>
    <n v="1"/>
    <n v="703.41770609318996"/>
    <n v="105.346"/>
    <n v="118.98099999999999"/>
    <n v="1.1294"/>
    <n v="794.43995726164871"/>
    <m/>
    <n v="7"/>
    <s v="Sale"/>
    <x v="0"/>
    <x v="21"/>
    <x v="0"/>
    <n v="1491.04"/>
    <n v="1"/>
    <n v="1491.04"/>
    <n v="787.62229390681"/>
    <m/>
    <n v="794.43995726164871"/>
    <n v="696.60004273835125"/>
  </r>
  <r>
    <x v="1"/>
    <x v="27"/>
    <x v="12"/>
    <x v="0"/>
    <n v="6732.7123297491044"/>
    <n v="67"/>
    <n v="6732.7123297491044"/>
    <n v="1"/>
    <n v="6732.7123297491044"/>
    <n v="105.346"/>
    <n v="120.809"/>
    <n v="1.1467000000000001"/>
    <n v="7720.4012285232984"/>
    <m/>
    <n v="67"/>
    <s v="Sale"/>
    <x v="0"/>
    <x v="0"/>
    <x v="0"/>
    <n v="13320.54"/>
    <n v="1"/>
    <n v="13320.54"/>
    <n v="6587.8276702508965"/>
    <m/>
    <n v="7720.4012285232984"/>
    <n v="5600.1387714767025"/>
  </r>
  <r>
    <x v="1"/>
    <x v="28"/>
    <x v="13"/>
    <x v="0"/>
    <n v="4673.82"/>
    <n v="46"/>
    <n v="4673.82"/>
    <n v="1"/>
    <n v="4673.82"/>
    <n v="108.114"/>
    <n v="120.809"/>
    <n v="1.1173999999999999"/>
    <n v="5222.5264679999991"/>
    <m/>
    <n v="46"/>
    <s v="Sale"/>
    <x v="0"/>
    <x v="0"/>
    <x v="0"/>
    <n v="5279.7532653061226"/>
    <n v="1"/>
    <n v="5279.7532653061226"/>
    <n v="605.93326530612285"/>
    <m/>
    <n v="5222.5264679999991"/>
    <n v="57.226797306123444"/>
  </r>
  <r>
    <x v="1"/>
    <x v="29"/>
    <x v="13"/>
    <x v="0"/>
    <n v="1009.1200000000001"/>
    <n v="10"/>
    <n v="1009.1200000000001"/>
    <n v="1"/>
    <n v="1009.1200000000001"/>
    <n v="108.114"/>
    <n v="120.809"/>
    <n v="1.1173999999999999"/>
    <n v="1127.590688"/>
    <m/>
    <n v="10"/>
    <s v="Sale"/>
    <x v="0"/>
    <x v="0"/>
    <x v="0"/>
    <n v="1147.7724489795919"/>
    <n v="1"/>
    <n v="1147.7724489795919"/>
    <n v="138.65244897959178"/>
    <m/>
    <n v="1127.590688"/>
    <n v="20.1817609795919"/>
  </r>
  <r>
    <x v="1"/>
    <x v="29"/>
    <x v="13"/>
    <x v="0"/>
    <n v="2503.9499999999998"/>
    <n v="25"/>
    <n v="2503.9499999999998"/>
    <n v="1"/>
    <n v="2503.9499999999998"/>
    <n v="108.114"/>
    <n v="120.809"/>
    <n v="1.1173999999999999"/>
    <n v="2797.9137299999998"/>
    <m/>
    <n v="25"/>
    <s v="Sale"/>
    <x v="0"/>
    <x v="0"/>
    <x v="0"/>
    <n v="2869.4311224489793"/>
    <n v="1"/>
    <n v="2869.4311224489793"/>
    <n v="365.48112244897948"/>
    <m/>
    <n v="2797.9137299999998"/>
    <n v="71.517392448979535"/>
  </r>
  <r>
    <x v="1"/>
    <x v="30"/>
    <x v="13"/>
    <x v="0"/>
    <n v="1752.8671186440677"/>
    <n v="17"/>
    <n v="1752.8671186440677"/>
    <n v="1"/>
    <n v="1752.8671186440677"/>
    <n v="108.774"/>
    <n v="120.809"/>
    <n v="1.1106"/>
    <n v="1946.7342219661016"/>
    <m/>
    <n v="17"/>
    <s v="Sale"/>
    <x v="0"/>
    <x v="0"/>
    <x v="0"/>
    <n v="1951.2131632653061"/>
    <n v="1"/>
    <n v="1951.2131632653061"/>
    <n v="198.34604462123843"/>
    <m/>
    <n v="1946.7342219661016"/>
    <n v="4.4789412992045072"/>
  </r>
  <r>
    <x v="1"/>
    <x v="1"/>
    <x v="14"/>
    <x v="0"/>
    <n v="14196.440360110802"/>
    <n v="161"/>
    <n v="14196.440360110802"/>
    <n v="1"/>
    <n v="14196.440360110802"/>
    <n v="105.934"/>
    <n v="120.809"/>
    <n v="1.1404000000000001"/>
    <n v="16189.62058667036"/>
    <m/>
    <n v="161"/>
    <s v="Sale"/>
    <x v="0"/>
    <x v="0"/>
    <x v="0"/>
    <n v="29654.82"/>
    <n v="1"/>
    <n v="29654.82"/>
    <n v="15458.379639889197"/>
    <m/>
    <n v="16189.62058667036"/>
    <n v="13465.199413329639"/>
  </r>
  <r>
    <x v="1"/>
    <x v="31"/>
    <x v="15"/>
    <x v="0"/>
    <n v="3091.9749999999999"/>
    <n v="10"/>
    <n v="3091.9749999999999"/>
    <n v="1"/>
    <n v="3091.9749999999999"/>
    <n v="108.114"/>
    <n v="120.809"/>
    <n v="1.1173999999999999"/>
    <n v="3454.9728649999997"/>
    <m/>
    <n v="10"/>
    <s v="Sale"/>
    <x v="0"/>
    <x v="0"/>
    <x v="0"/>
    <n v="4621.8552631578941"/>
    <n v="1"/>
    <n v="4621.8552631578941"/>
    <n v="1529.8802631578942"/>
    <m/>
    <n v="3454.9728649999997"/>
    <n v="1166.8823981578944"/>
  </r>
  <r>
    <x v="1"/>
    <x v="32"/>
    <x v="15"/>
    <x v="0"/>
    <n v="3470.1100000000006"/>
    <n v="11"/>
    <n v="3470.1100000000006"/>
    <n v="1"/>
    <n v="3470.1100000000006"/>
    <n v="108.114"/>
    <n v="120.809"/>
    <n v="1.1173999999999999"/>
    <n v="3877.5009140000006"/>
    <m/>
    <n v="11"/>
    <s v="Sale"/>
    <x v="0"/>
    <x v="0"/>
    <x v="0"/>
    <n v="5084.0407894736836"/>
    <n v="1"/>
    <n v="5084.0407894736836"/>
    <n v="1613.930789473683"/>
    <m/>
    <n v="3877.5009140000006"/>
    <n v="1206.539875473683"/>
  </r>
  <r>
    <x v="1"/>
    <x v="33"/>
    <x v="15"/>
    <x v="0"/>
    <n v="3562.28"/>
    <n v="11"/>
    <n v="3562.28"/>
    <n v="1"/>
    <n v="3562.28"/>
    <n v="108.114"/>
    <n v="120.809"/>
    <n v="1.1173999999999999"/>
    <n v="3980.4916720000001"/>
    <m/>
    <n v="11"/>
    <s v="Sale"/>
    <x v="0"/>
    <x v="0"/>
    <x v="0"/>
    <n v="5084.0407894736836"/>
    <n v="1"/>
    <n v="5084.0407894736836"/>
    <n v="1521.7607894736834"/>
    <m/>
    <n v="3980.4916720000001"/>
    <n v="1103.5491174736835"/>
  </r>
  <r>
    <x v="1"/>
    <x v="29"/>
    <x v="15"/>
    <x v="0"/>
    <n v="339.64"/>
    <n v="1"/>
    <n v="339.64"/>
    <n v="1"/>
    <n v="339.64"/>
    <n v="108.114"/>
    <n v="120.809"/>
    <n v="1.1173999999999999"/>
    <n v="379.51373599999999"/>
    <m/>
    <n v="1"/>
    <s v="Sale"/>
    <x v="0"/>
    <x v="0"/>
    <x v="0"/>
    <n v="462.18552631578945"/>
    <n v="1"/>
    <n v="462.18552631578945"/>
    <n v="122.54552631578946"/>
    <m/>
    <n v="379.51373599999999"/>
    <n v="82.671790315789451"/>
  </r>
  <r>
    <x v="1"/>
    <x v="29"/>
    <x v="15"/>
    <x v="0"/>
    <n v="1702.7136363636362"/>
    <n v="5"/>
    <n v="1702.7136363636362"/>
    <n v="1"/>
    <n v="1702.7136363636362"/>
    <n v="108.114"/>
    <n v="120.809"/>
    <n v="1.1173999999999999"/>
    <n v="1902.6122172727269"/>
    <m/>
    <n v="5"/>
    <s v="Sale"/>
    <x v="0"/>
    <x v="0"/>
    <x v="0"/>
    <n v="2310.9276315789471"/>
    <n v="1"/>
    <n v="2310.9276315789471"/>
    <n v="608.21399521531089"/>
    <m/>
    <n v="1902.6122172727269"/>
    <n v="408.31541430622019"/>
  </r>
  <r>
    <x v="1"/>
    <x v="34"/>
    <x v="16"/>
    <x v="0"/>
    <n v="11671.322700729927"/>
    <n v="139"/>
    <n v="11671.322700729927"/>
    <n v="1"/>
    <n v="11671.322700729927"/>
    <n v="103.02"/>
    <n v="120.809"/>
    <n v="1.1726000000000001"/>
    <n v="13685.792998875913"/>
    <m/>
    <n v="139"/>
    <s v="Sale"/>
    <x v="0"/>
    <x v="0"/>
    <x v="0"/>
    <n v="23467.93"/>
    <n v="1"/>
    <n v="23467.93"/>
    <n v="11796.607299270074"/>
    <m/>
    <n v="13685.792998875913"/>
    <n v="9782.137001124087"/>
  </r>
  <r>
    <x v="1"/>
    <x v="35"/>
    <x v="17"/>
    <x v="0"/>
    <n v="1757.88"/>
    <n v="6"/>
    <n v="1757.88"/>
    <n v="1"/>
    <n v="1757.88"/>
    <n v="108.774"/>
    <n v="118.98099999999999"/>
    <n v="1.0938000000000001"/>
    <n v="1922.7691440000003"/>
    <m/>
    <n v="6"/>
    <s v="Sale"/>
    <x v="0"/>
    <x v="22"/>
    <x v="0"/>
    <n v="2290.8186206896553"/>
    <n v="1"/>
    <n v="2290.8186206896553"/>
    <n v="532.93862068965518"/>
    <m/>
    <n v="1922.7691440000003"/>
    <n v="368.04947668965497"/>
  </r>
  <r>
    <x v="1"/>
    <x v="36"/>
    <x v="17"/>
    <x v="0"/>
    <n v="3342.89"/>
    <n v="11"/>
    <n v="3342.89"/>
    <n v="1"/>
    <n v="3342.89"/>
    <n v="108.85599999999999"/>
    <n v="118.98099999999999"/>
    <n v="1.093"/>
    <n v="3653.7787699999999"/>
    <m/>
    <n v="11"/>
    <s v="Sale"/>
    <x v="0"/>
    <x v="22"/>
    <x v="0"/>
    <n v="4199.834137931035"/>
    <n v="1"/>
    <n v="4199.834137931035"/>
    <n v="856.94413793103513"/>
    <m/>
    <n v="3653.7787699999999"/>
    <n v="546.05536793103511"/>
  </r>
  <r>
    <x v="1"/>
    <x v="37"/>
    <x v="17"/>
    <x v="0"/>
    <n v="4017.2400000000007"/>
    <n v="12"/>
    <n v="4017.2400000000007"/>
    <n v="1"/>
    <n v="4017.2400000000007"/>
    <n v="108.85599999999999"/>
    <n v="118.98099999999999"/>
    <n v="1.093"/>
    <n v="4390.8433200000009"/>
    <m/>
    <n v="12"/>
    <s v="Sale"/>
    <x v="0"/>
    <x v="22"/>
    <x v="0"/>
    <n v="4581.6372413793106"/>
    <n v="1"/>
    <n v="4581.6372413793106"/>
    <n v="564.39724137930989"/>
    <m/>
    <n v="4390.8433200000009"/>
    <n v="190.79392137930972"/>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1"/>
    <x v="1"/>
    <x v="18"/>
    <x v="0"/>
    <n v="14143.06232931727"/>
    <n v="107"/>
    <n v="14143.06232931727"/>
    <n v="1"/>
    <n v="14143.06232931727"/>
    <n v="105.934"/>
    <n v="120.809"/>
    <n v="1.1404000000000001"/>
    <n v="16128.748280353417"/>
    <m/>
    <n v="107"/>
    <s v="Sale"/>
    <x v="0"/>
    <x v="0"/>
    <x v="0"/>
    <n v="26496.28"/>
    <n v="1"/>
    <n v="26496.28"/>
    <n v="12353.217670682729"/>
    <m/>
    <n v="16128.748280353417"/>
    <n v="10367.531719646582"/>
  </r>
  <r>
    <x v="1"/>
    <x v="1"/>
    <x v="19"/>
    <x v="0"/>
    <n v="7772.8585514018687"/>
    <n v="147"/>
    <n v="7772.8585514018687"/>
    <n v="1"/>
    <n v="7772.8585514018687"/>
    <n v="105.934"/>
    <n v="120.809"/>
    <n v="1.1404000000000001"/>
    <n v="8864.1678920186914"/>
    <m/>
    <n v="147"/>
    <s v="Sale"/>
    <x v="0"/>
    <x v="0"/>
    <x v="0"/>
    <n v="41232.33"/>
    <n v="1"/>
    <n v="41232.33"/>
    <n v="33459.471448598131"/>
    <m/>
    <n v="8864.1678920186914"/>
    <n v="32368.162107981312"/>
  </r>
  <r>
    <x v="1"/>
    <x v="1"/>
    <x v="20"/>
    <x v="0"/>
    <n v="12665.660187793428"/>
    <n v="118"/>
    <n v="12665.660187793428"/>
    <n v="1"/>
    <n v="12665.660187793428"/>
    <n v="105.934"/>
    <n v="120.809"/>
    <n v="1.1404000000000001"/>
    <n v="14443.918878159626"/>
    <m/>
    <n v="118"/>
    <s v="Sale"/>
    <x v="0"/>
    <x v="0"/>
    <x v="0"/>
    <n v="8717.7890647482018"/>
    <n v="1"/>
    <n v="8717.7890647482018"/>
    <n v="-3947.8711230452263"/>
    <m/>
    <n v="14443.918878159626"/>
    <n v="-5726.129813411424"/>
  </r>
  <r>
    <x v="1"/>
    <x v="38"/>
    <x v="20"/>
    <x v="0"/>
    <n v="12915.2"/>
    <n v="160"/>
    <n v="12915.2"/>
    <n v="1"/>
    <n v="12915.2"/>
    <n v="108.774"/>
    <n v="120.809"/>
    <n v="1.1106"/>
    <n v="14343.621120000002"/>
    <m/>
    <n v="160"/>
    <s v="Sale"/>
    <x v="0"/>
    <x v="0"/>
    <x v="0"/>
    <n v="11820.730935251799"/>
    <n v="1"/>
    <n v="11820.730935251799"/>
    <n v="-1094.4690647482021"/>
    <m/>
    <n v="14343.621120000002"/>
    <n v="-2522.890184748203"/>
  </r>
  <r>
    <x v="1"/>
    <x v="1"/>
    <x v="21"/>
    <x v="0"/>
    <n v="14351.770487804877"/>
    <n v="227"/>
    <n v="14351.770487804877"/>
    <n v="1"/>
    <n v="14351.770487804877"/>
    <n v="105.934"/>
    <n v="120.809"/>
    <n v="1.1404000000000001"/>
    <n v="16366.759064292683"/>
    <m/>
    <n v="227"/>
    <s v="Sale"/>
    <x v="0"/>
    <x v="0"/>
    <x v="0"/>
    <n v="27620.85"/>
    <n v="1"/>
    <n v="27620.85"/>
    <n v="13269.079512195121"/>
    <m/>
    <n v="16366.759064292683"/>
    <n v="11254.090935707316"/>
  </r>
  <r>
    <x v="1"/>
    <x v="1"/>
    <x v="21"/>
    <x v="0"/>
    <n v="632.23658536585367"/>
    <n v="10"/>
    <n v="632.23658536585367"/>
    <n v="1"/>
    <n v="632.23658536585367"/>
    <n v="105.934"/>
    <n v="122.044"/>
    <n v="1.1519999999999999"/>
    <n v="728.33654634146342"/>
    <m/>
    <n v="10"/>
    <s v="Sale"/>
    <x v="0"/>
    <x v="8"/>
    <x v="0"/>
    <n v="1013.8800000000001"/>
    <n v="1"/>
    <n v="1013.8800000000001"/>
    <n v="381.64341463414644"/>
    <m/>
    <n v="728.33654634146342"/>
    <n v="285.54345365853669"/>
  </r>
  <r>
    <x v="1"/>
    <x v="1"/>
    <x v="21"/>
    <x v="0"/>
    <n v="821.90756097560973"/>
    <n v="13"/>
    <n v="821.90756097560973"/>
    <n v="1"/>
    <n v="821.90756097560973"/>
    <n v="105.934"/>
    <n v="122.044"/>
    <n v="1.1519999999999999"/>
    <n v="946.83751024390233"/>
    <m/>
    <n v="13"/>
    <s v="Sale"/>
    <x v="0"/>
    <x v="8"/>
    <x v="0"/>
    <n v="1335.4"/>
    <n v="1"/>
    <n v="1335.4"/>
    <n v="513.49243902439036"/>
    <m/>
    <n v="946.83751024390233"/>
    <n v="388.56248975609776"/>
  </r>
  <r>
    <x v="1"/>
    <x v="1"/>
    <x v="21"/>
    <x v="0"/>
    <n v="1454.1441463414633"/>
    <n v="23"/>
    <n v="1454.1441463414633"/>
    <n v="1"/>
    <n v="1454.1441463414633"/>
    <n v="105.934"/>
    <n v="122.044"/>
    <n v="1.1519999999999999"/>
    <n v="1675.1740565853656"/>
    <m/>
    <n v="23"/>
    <s v="Sale"/>
    <x v="0"/>
    <x v="8"/>
    <x v="0"/>
    <n v="2338.4899999999998"/>
    <n v="1"/>
    <n v="2338.4899999999998"/>
    <n v="884.3458536585365"/>
    <m/>
    <n v="1675.1740565853656"/>
    <n v="663.31594341463415"/>
  </r>
  <r>
    <x v="1"/>
    <x v="1"/>
    <x v="21"/>
    <x v="0"/>
    <n v="189.67097560975608"/>
    <n v="3"/>
    <n v="189.67097560975608"/>
    <n v="1"/>
    <n v="189.67097560975608"/>
    <n v="105.934"/>
    <n v="122.044"/>
    <n v="1.1519999999999999"/>
    <n v="218.500963902439"/>
    <m/>
    <n v="3"/>
    <s v="Sale"/>
    <x v="0"/>
    <x v="8"/>
    <x v="0"/>
    <n v="307.52"/>
    <n v="1"/>
    <n v="307.52"/>
    <n v="117.8490243902439"/>
    <m/>
    <n v="218.500963902439"/>
    <n v="89.019036097560985"/>
  </r>
  <r>
    <x v="1"/>
    <x v="1"/>
    <x v="21"/>
    <x v="0"/>
    <n v="442.5656097560975"/>
    <n v="7"/>
    <n v="442.5656097560975"/>
    <n v="1"/>
    <n v="442.5656097560975"/>
    <n v="105.934"/>
    <n v="122.044"/>
    <n v="1.1519999999999999"/>
    <n v="509.83558243902428"/>
    <m/>
    <n v="7"/>
    <s v="Sale"/>
    <x v="0"/>
    <x v="8"/>
    <x v="0"/>
    <n v="717.34"/>
    <n v="1"/>
    <n v="717.34"/>
    <n v="274.77439024390253"/>
    <m/>
    <n v="509.83558243902428"/>
    <n v="207.50441756097575"/>
  </r>
  <r>
    <x v="1"/>
    <x v="18"/>
    <x v="22"/>
    <x v="0"/>
    <n v="2391.73"/>
    <n v="11"/>
    <n v="2391.73"/>
    <n v="1"/>
    <n v="2391.73"/>
    <n v="118.002"/>
    <n v="120.809"/>
    <n v="1.0237000000000001"/>
    <n v="2448.4140010000001"/>
    <m/>
    <n v="11"/>
    <s v="Sale"/>
    <x v="0"/>
    <x v="0"/>
    <x v="0"/>
    <n v="1850.119266055046"/>
    <n v="1"/>
    <n v="1850.119266055046"/>
    <n v="-541.61073394495406"/>
    <m/>
    <n v="2448.4140010000001"/>
    <n v="-598.29473494495414"/>
  </r>
  <r>
    <x v="1"/>
    <x v="18"/>
    <x v="22"/>
    <x v="0"/>
    <n v="9181.92"/>
    <n v="42"/>
    <n v="9181.92"/>
    <n v="1"/>
    <n v="9181.92"/>
    <n v="118.002"/>
    <n v="120.809"/>
    <n v="1.0237000000000001"/>
    <n v="9399.5315040000005"/>
    <m/>
    <n v="42"/>
    <s v="Sale"/>
    <x v="0"/>
    <x v="0"/>
    <x v="0"/>
    <n v="7064.0917431192665"/>
    <n v="1"/>
    <n v="7064.0917431192665"/>
    <n v="-2117.8282568807335"/>
    <m/>
    <n v="9399.5315040000005"/>
    <n v="-2335.439760880734"/>
  </r>
  <r>
    <x v="1"/>
    <x v="39"/>
    <x v="22"/>
    <x v="0"/>
    <n v="656.12"/>
    <n v="3"/>
    <n v="656.12"/>
    <n v="1"/>
    <n v="656.12"/>
    <n v="118.002"/>
    <n v="120.809"/>
    <n v="1.0237000000000001"/>
    <n v="671.67004400000008"/>
    <m/>
    <n v="3"/>
    <s v="Sale"/>
    <x v="0"/>
    <x v="0"/>
    <x v="0"/>
    <n v="504.57798165137615"/>
    <n v="1"/>
    <n v="504.57798165137615"/>
    <n v="-151.54201834862386"/>
    <m/>
    <n v="671.67004400000008"/>
    <n v="-167.09206234862393"/>
  </r>
  <r>
    <x v="1"/>
    <x v="19"/>
    <x v="22"/>
    <x v="0"/>
    <n v="2066.8000000000002"/>
    <n v="10"/>
    <n v="2066.8000000000002"/>
    <n v="1"/>
    <n v="2066.8000000000002"/>
    <n v="118.002"/>
    <n v="120.809"/>
    <n v="1.0237000000000001"/>
    <n v="2115.7831600000004"/>
    <m/>
    <n v="10"/>
    <s v="Sale"/>
    <x v="0"/>
    <x v="0"/>
    <x v="0"/>
    <n v="1681.9266055045873"/>
    <n v="1"/>
    <n v="1681.9266055045873"/>
    <n v="-384.87339449541287"/>
    <m/>
    <n v="2115.7831600000004"/>
    <n v="-433.85655449541309"/>
  </r>
  <r>
    <x v="1"/>
    <x v="19"/>
    <x v="22"/>
    <x v="0"/>
    <n v="1443.58"/>
    <n v="7"/>
    <n v="1443.58"/>
    <n v="1"/>
    <n v="1443.58"/>
    <n v="118.002"/>
    <n v="120.809"/>
    <n v="1.0237000000000001"/>
    <n v="1477.7928460000001"/>
    <m/>
    <n v="7"/>
    <s v="Sale"/>
    <x v="0"/>
    <x v="0"/>
    <x v="0"/>
    <n v="1177.3486238532112"/>
    <n v="1"/>
    <n v="1177.3486238532112"/>
    <n v="-266.23137614678876"/>
    <m/>
    <n v="1477.7928460000001"/>
    <n v="-300.44422214678889"/>
  </r>
  <r>
    <x v="1"/>
    <x v="19"/>
    <x v="22"/>
    <x v="0"/>
    <n v="806.4"/>
    <n v="4"/>
    <n v="806.4"/>
    <n v="1"/>
    <n v="806.4"/>
    <n v="118.002"/>
    <n v="120.809"/>
    <n v="1.0237000000000001"/>
    <n v="825.51168000000007"/>
    <m/>
    <n v="4"/>
    <s v="Sale"/>
    <x v="0"/>
    <x v="0"/>
    <x v="0"/>
    <n v="672.7706422018349"/>
    <n v="1"/>
    <n v="672.7706422018349"/>
    <n v="-133.62935779816507"/>
    <m/>
    <n v="825.51168000000007"/>
    <n v="-152.74103779816517"/>
  </r>
  <r>
    <x v="1"/>
    <x v="19"/>
    <x v="22"/>
    <x v="0"/>
    <n v="2252.9299999999998"/>
    <n v="11"/>
    <n v="2252.9299999999998"/>
    <n v="1"/>
    <n v="2252.9299999999998"/>
    <n v="118.002"/>
    <n v="120.809"/>
    <n v="1.0237000000000001"/>
    <n v="2306.3244409999998"/>
    <m/>
    <n v="11"/>
    <s v="Sale"/>
    <x v="0"/>
    <x v="0"/>
    <x v="0"/>
    <n v="1850.119266055046"/>
    <n v="1"/>
    <n v="1850.119266055046"/>
    <n v="-402.81073394495388"/>
    <m/>
    <n v="2306.3244409999998"/>
    <n v="-456.2051749449538"/>
  </r>
  <r>
    <x v="1"/>
    <x v="19"/>
    <x v="22"/>
    <x v="0"/>
    <n v="201.71"/>
    <n v="1"/>
    <n v="201.71"/>
    <n v="1"/>
    <n v="201.71"/>
    <n v="118.002"/>
    <n v="120.809"/>
    <n v="1.0237000000000001"/>
    <n v="206.49052700000001"/>
    <m/>
    <n v="1"/>
    <s v="Sale"/>
    <x v="0"/>
    <x v="0"/>
    <x v="0"/>
    <n v="168.19266055045873"/>
    <n v="1"/>
    <n v="168.19266055045873"/>
    <n v="-33.517339449541282"/>
    <m/>
    <n v="206.49052700000001"/>
    <n v="-38.297866449541289"/>
  </r>
  <r>
    <x v="1"/>
    <x v="19"/>
    <x v="22"/>
    <x v="0"/>
    <n v="1598.42"/>
    <n v="8"/>
    <n v="1598.42"/>
    <n v="1"/>
    <n v="1598.42"/>
    <n v="118.002"/>
    <n v="120.809"/>
    <n v="1.0237000000000001"/>
    <n v="1636.3025540000001"/>
    <m/>
    <n v="8"/>
    <s v="Sale"/>
    <x v="0"/>
    <x v="0"/>
    <x v="0"/>
    <n v="1345.5412844036698"/>
    <n v="1"/>
    <n v="1345.5412844036698"/>
    <n v="-252.87871559633027"/>
    <m/>
    <n v="1636.3025540000001"/>
    <n v="-290.76126959633029"/>
  </r>
  <r>
    <x v="1"/>
    <x v="19"/>
    <x v="22"/>
    <x v="0"/>
    <n v="2427.81"/>
    <n v="12"/>
    <n v="2427.81"/>
    <n v="1"/>
    <n v="2427.81"/>
    <n v="118.002"/>
    <n v="120.809"/>
    <n v="1.0237000000000001"/>
    <n v="2485.3490970000003"/>
    <m/>
    <n v="12"/>
    <s v="Sale"/>
    <x v="0"/>
    <x v="0"/>
    <x v="0"/>
    <n v="2018.3119266055046"/>
    <n v="1"/>
    <n v="2018.3119266055046"/>
    <n v="-409.49807339449535"/>
    <m/>
    <n v="2485.3490970000003"/>
    <n v="-467.03717039449566"/>
  </r>
  <r>
    <x v="1"/>
    <x v="19"/>
    <x v="22"/>
    <x v="0"/>
    <n v="203.75"/>
    <n v="1"/>
    <n v="203.75"/>
    <n v="1"/>
    <n v="203.75"/>
    <n v="118.002"/>
    <n v="121.02200000000001"/>
    <n v="1.0255000000000001"/>
    <n v="208.94562500000001"/>
    <m/>
    <n v="1"/>
    <s v="Sale"/>
    <x v="0"/>
    <x v="12"/>
    <x v="0"/>
    <n v="178.51000000000002"/>
    <n v="1"/>
    <n v="178.51000000000002"/>
    <n v="-25.239999999999981"/>
    <m/>
    <n v="208.94562500000001"/>
    <n v="-30.435624999999987"/>
  </r>
  <r>
    <x v="1"/>
    <x v="19"/>
    <x v="22"/>
    <x v="0"/>
    <n v="199.39"/>
    <n v="1"/>
    <n v="199.39"/>
    <n v="1"/>
    <n v="199.39"/>
    <n v="118.002"/>
    <n v="121.02200000000001"/>
    <n v="1.0255000000000001"/>
    <n v="204.474445"/>
    <m/>
    <n v="1"/>
    <s v="Sale"/>
    <x v="0"/>
    <x v="12"/>
    <x v="0"/>
    <n v="178.51000000000002"/>
    <n v="1"/>
    <n v="178.51000000000002"/>
    <n v="-20.879999999999967"/>
    <m/>
    <n v="204.474445"/>
    <n v="-25.964444999999984"/>
  </r>
  <r>
    <x v="1"/>
    <x v="40"/>
    <x v="22"/>
    <x v="0"/>
    <n v="7270.2556603773583"/>
    <n v="37"/>
    <n v="7270.2556603773583"/>
    <n v="1"/>
    <n v="7270.2556603773583"/>
    <n v="118.002"/>
    <n v="121.02200000000001"/>
    <n v="1.0255000000000001"/>
    <n v="7455.6471797169816"/>
    <m/>
    <n v="37"/>
    <s v="Sale"/>
    <x v="0"/>
    <x v="12"/>
    <x v="0"/>
    <n v="6604.8700000000008"/>
    <n v="1"/>
    <n v="6604.8700000000008"/>
    <n v="-665.38566037735745"/>
    <m/>
    <n v="7455.6471797169816"/>
    <n v="-850.77717971698075"/>
  </r>
  <r>
    <x v="1"/>
    <x v="40"/>
    <x v="22"/>
    <x v="0"/>
    <n v="3143.8943396226414"/>
    <n v="16"/>
    <n v="3143.8943396226414"/>
    <n v="1"/>
    <n v="3143.8943396226414"/>
    <n v="118.002"/>
    <n v="122.044"/>
    <n v="1.0342"/>
    <n v="3251.4155260377356"/>
    <m/>
    <n v="16"/>
    <s v="Sale"/>
    <x v="0"/>
    <x v="14"/>
    <x v="0"/>
    <n v="2710.14"/>
    <n v="1"/>
    <n v="2710.14"/>
    <n v="-433.75433962264151"/>
    <m/>
    <n v="3251.4155260377356"/>
    <n v="-541.27552603773574"/>
  </r>
  <r>
    <x v="1"/>
    <x v="41"/>
    <x v="22"/>
    <x v="0"/>
    <n v="588.48"/>
    <n v="3"/>
    <n v="588.48"/>
    <n v="1"/>
    <n v="588.48"/>
    <n v="118.98099999999999"/>
    <n v="122.044"/>
    <n v="1.0257000000000001"/>
    <n v="603.60393600000009"/>
    <m/>
    <n v="3"/>
    <s v="Sale"/>
    <x v="0"/>
    <x v="14"/>
    <x v="0"/>
    <n v="507.65999999999997"/>
    <n v="1"/>
    <n v="507.65999999999997"/>
    <n v="-80.82000000000005"/>
    <m/>
    <n v="603.60393600000009"/>
    <n v="-95.943936000000122"/>
  </r>
  <r>
    <x v="1"/>
    <x v="41"/>
    <x v="22"/>
    <x v="0"/>
    <n v="4726.0267307692302"/>
    <n v="23"/>
    <n v="4726.0267307692302"/>
    <n v="1"/>
    <n v="4726.0267307692302"/>
    <n v="118.98099999999999"/>
    <n v="122.044"/>
    <n v="1.0257000000000001"/>
    <n v="4847.4856177499996"/>
    <m/>
    <n v="23"/>
    <s v="Sale"/>
    <x v="0"/>
    <x v="14"/>
    <x v="0"/>
    <n v="3892.06"/>
    <n v="1"/>
    <n v="3892.06"/>
    <n v="-833.96673076923025"/>
    <m/>
    <n v="4847.4856177499996"/>
    <n v="-955.42561774999967"/>
  </r>
  <r>
    <x v="1"/>
    <x v="41"/>
    <x v="22"/>
    <x v="0"/>
    <n v="2465.7530769230771"/>
    <n v="12"/>
    <n v="2465.7530769230771"/>
    <n v="1"/>
    <n v="2465.7530769230771"/>
    <n v="118.98099999999999"/>
    <n v="122.044"/>
    <n v="1.0257000000000001"/>
    <n v="2529.1229310000003"/>
    <m/>
    <n v="12"/>
    <s v="Sale"/>
    <x v="0"/>
    <x v="14"/>
    <x v="0"/>
    <n v="2027.1099999999997"/>
    <n v="1"/>
    <n v="2027.1099999999997"/>
    <n v="-438.64307692307739"/>
    <m/>
    <n v="2529.1229310000003"/>
    <n v="-502.01293100000066"/>
  </r>
  <r>
    <x v="1"/>
    <x v="41"/>
    <x v="22"/>
    <x v="0"/>
    <n v="1027.3971153846153"/>
    <n v="5"/>
    <n v="1027.3971153846153"/>
    <n v="1"/>
    <n v="1027.3971153846153"/>
    <n v="118.98099999999999"/>
    <n v="122.044"/>
    <n v="1.0257000000000001"/>
    <n v="1053.80122125"/>
    <m/>
    <n v="5"/>
    <s v="Sale"/>
    <x v="0"/>
    <x v="8"/>
    <x v="0"/>
    <n v="740.73"/>
    <n v="1"/>
    <n v="740.73"/>
    <n v="-286.66711538461527"/>
    <m/>
    <n v="1053.80122125"/>
    <n v="-313.07122125000001"/>
  </r>
  <r>
    <x v="1"/>
    <x v="41"/>
    <x v="22"/>
    <x v="0"/>
    <n v="2465.7530769230771"/>
    <n v="12"/>
    <n v="2465.7530769230771"/>
    <n v="1"/>
    <n v="2465.7530769230771"/>
    <n v="118.98099999999999"/>
    <n v="122.044"/>
    <n v="1.0257000000000001"/>
    <n v="2529.1229310000003"/>
    <m/>
    <n v="12"/>
    <s v="Sale"/>
    <x v="0"/>
    <x v="8"/>
    <x v="0"/>
    <n v="1771.2360000000001"/>
    <n v="1"/>
    <n v="1771.2360000000001"/>
    <n v="-694.51707692307696"/>
    <m/>
    <n v="2529.1229310000003"/>
    <n v="-757.88693100000023"/>
  </r>
  <r>
    <x v="1"/>
    <x v="41"/>
    <x v="22"/>
    <x v="0"/>
    <n v="414.02"/>
    <n v="2"/>
    <n v="414.02"/>
    <n v="1"/>
    <n v="414.02"/>
    <n v="118.98099999999999"/>
    <n v="122.044"/>
    <n v="1.0257000000000001"/>
    <n v="424.66031400000003"/>
    <m/>
    <n v="2"/>
    <s v="Sale"/>
    <x v="0"/>
    <x v="8"/>
    <x v="0"/>
    <n v="295.20600000000002"/>
    <n v="1"/>
    <n v="295.20600000000002"/>
    <n v="-118.81399999999996"/>
    <m/>
    <n v="424.66031400000003"/>
    <n v="-129.45431400000001"/>
  </r>
  <r>
    <x v="1"/>
    <x v="42"/>
    <x v="22"/>
    <x v="0"/>
    <n v="839.08"/>
    <n v="4"/>
    <n v="839.08"/>
    <n v="1"/>
    <n v="839.08"/>
    <n v="118.98099999999999"/>
    <n v="122.044"/>
    <n v="1.0257000000000001"/>
    <n v="860.64435600000013"/>
    <m/>
    <n v="4"/>
    <s v="Sale"/>
    <x v="0"/>
    <x v="8"/>
    <x v="0"/>
    <n v="590.41200000000003"/>
    <n v="1"/>
    <n v="590.41200000000003"/>
    <n v="-248.66800000000001"/>
    <m/>
    <n v="860.64435600000013"/>
    <n v="-270.2323560000001"/>
  </r>
  <r>
    <x v="1"/>
    <x v="42"/>
    <x v="22"/>
    <x v="0"/>
    <n v="628.4"/>
    <n v="3"/>
    <n v="628.4"/>
    <n v="1"/>
    <n v="628.4"/>
    <n v="118.98099999999999"/>
    <n v="122.044"/>
    <n v="1.0257000000000001"/>
    <n v="644.54988000000003"/>
    <m/>
    <n v="3"/>
    <s v="Sale"/>
    <x v="0"/>
    <x v="8"/>
    <x v="0"/>
    <n v="442.80900000000003"/>
    <n v="1"/>
    <n v="442.80900000000003"/>
    <n v="-185.59099999999995"/>
    <m/>
    <n v="644.54988000000003"/>
    <n v="-201.74088"/>
  </r>
  <r>
    <x v="1"/>
    <x v="42"/>
    <x v="22"/>
    <x v="0"/>
    <n v="1884.1607999999999"/>
    <n v="9"/>
    <n v="1884.1607999999999"/>
    <n v="1"/>
    <n v="1884.1607999999999"/>
    <n v="118.98099999999999"/>
    <n v="122.044"/>
    <n v="1.0257000000000001"/>
    <n v="1932.58373256"/>
    <m/>
    <n v="9"/>
    <s v="Sale"/>
    <x v="0"/>
    <x v="8"/>
    <x v="0"/>
    <n v="1328.4270000000001"/>
    <n v="1"/>
    <n v="1328.4270000000001"/>
    <n v="-555.73379999999975"/>
    <m/>
    <n v="1932.58373256"/>
    <n v="-604.15673255999991"/>
  </r>
  <r>
    <x v="1"/>
    <x v="42"/>
    <x v="22"/>
    <x v="0"/>
    <n v="418.70239999999995"/>
    <n v="2"/>
    <n v="418.70239999999995"/>
    <n v="1"/>
    <n v="418.70239999999995"/>
    <n v="118.98099999999999"/>
    <n v="122.044"/>
    <n v="1.0257000000000001"/>
    <n v="429.46305167999998"/>
    <m/>
    <n v="2"/>
    <s v="Sale"/>
    <x v="0"/>
    <x v="8"/>
    <x v="0"/>
    <n v="295.20600000000002"/>
    <n v="1"/>
    <n v="295.20600000000002"/>
    <n v="-123.49639999999994"/>
    <m/>
    <n v="429.46305167999998"/>
    <n v="-134.25705167999996"/>
  </r>
  <r>
    <x v="1"/>
    <x v="1"/>
    <x v="23"/>
    <x v="0"/>
    <n v="4997.4010096153852"/>
    <n v="57"/>
    <n v="4997.4010096153852"/>
    <n v="1"/>
    <n v="4997.4010096153852"/>
    <n v="105.934"/>
    <n v="120.15900000000001"/>
    <n v="1.1342000000000001"/>
    <n v="5668.05222510577"/>
    <m/>
    <n v="57"/>
    <s v="Sale"/>
    <x v="0"/>
    <x v="5"/>
    <x v="0"/>
    <n v="9108.69"/>
    <n v="1"/>
    <n v="9108.69"/>
    <n v="4111.2889903846153"/>
    <m/>
    <n v="5668.05222510577"/>
    <n v="3440.6377748942305"/>
  </r>
  <r>
    <x v="1"/>
    <x v="1"/>
    <x v="23"/>
    <x v="0"/>
    <n v="13501.750096153848"/>
    <n v="154"/>
    <n v="13501.750096153848"/>
    <n v="1"/>
    <n v="13501.750096153848"/>
    <n v="105.934"/>
    <n v="120.809"/>
    <n v="1.1404000000000001"/>
    <n v="15397.39580965385"/>
    <m/>
    <n v="154"/>
    <s v="Sale"/>
    <x v="0"/>
    <x v="0"/>
    <x v="0"/>
    <n v="26722.120000000003"/>
    <n v="1"/>
    <n v="26722.120000000003"/>
    <n v="13220.369903846155"/>
    <m/>
    <n v="15397.39580965385"/>
    <n v="11324.724190346153"/>
  </r>
  <r>
    <x v="1"/>
    <x v="43"/>
    <x v="24"/>
    <x v="0"/>
    <n v="2569.4978947368418"/>
    <n v="26"/>
    <n v="2569.4978947368418"/>
    <n v="1"/>
    <n v="2569.4978947368418"/>
    <n v="113.018"/>
    <n v="120.809"/>
    <n v="1.0689"/>
    <n v="2746.53629968421"/>
    <m/>
    <n v="26"/>
    <s v="Sale"/>
    <x v="0"/>
    <x v="0"/>
    <x v="0"/>
    <n v="2658.5303333333331"/>
    <n v="1"/>
    <n v="2658.5303333333331"/>
    <n v="89.032438596491374"/>
    <m/>
    <n v="2746.53629968421"/>
    <n v="-88.005966350876861"/>
  </r>
  <r>
    <x v="1"/>
    <x v="44"/>
    <x v="24"/>
    <x v="0"/>
    <n v="4995.57"/>
    <n v="50"/>
    <n v="4995.57"/>
    <n v="1"/>
    <n v="4995.57"/>
    <n v="113.682"/>
    <n v="120.809"/>
    <n v="1.0626"/>
    <n v="5308.2926819999993"/>
    <m/>
    <n v="50"/>
    <s v="Sale"/>
    <x v="0"/>
    <x v="0"/>
    <x v="0"/>
    <n v="5112.5583333333334"/>
    <n v="1"/>
    <n v="5112.5583333333334"/>
    <n v="116.98833333333369"/>
    <m/>
    <n v="5308.2926819999993"/>
    <n v="-195.73434866666594"/>
  </r>
  <r>
    <x v="1"/>
    <x v="45"/>
    <x v="24"/>
    <x v="0"/>
    <n v="8081.43"/>
    <n v="79"/>
    <n v="8081.43"/>
    <n v="1"/>
    <n v="8081.43"/>
    <n v="114.601"/>
    <n v="120.809"/>
    <n v="1.0541"/>
    <n v="8518.6353630000012"/>
    <m/>
    <n v="79"/>
    <s v="Sale"/>
    <x v="0"/>
    <x v="0"/>
    <x v="0"/>
    <n v="8077.8421666666663"/>
    <n v="1"/>
    <n v="8077.8421666666663"/>
    <n v="-3.5878333333339469"/>
    <m/>
    <n v="8518.6353630000012"/>
    <n v="-440.79319633333489"/>
  </r>
  <r>
    <x v="1"/>
    <x v="23"/>
    <x v="24"/>
    <x v="0"/>
    <n v="579.15"/>
    <n v="6"/>
    <n v="579.15"/>
    <n v="1"/>
    <n v="579.15"/>
    <n v="115.56100000000001"/>
    <n v="120.809"/>
    <n v="1.0454000000000001"/>
    <n v="605.44341000000009"/>
    <m/>
    <n v="6"/>
    <s v="Sale"/>
    <x v="0"/>
    <x v="0"/>
    <x v="0"/>
    <n v="613.50699999999995"/>
    <n v="1"/>
    <n v="613.50699999999995"/>
    <n v="34.356999999999971"/>
    <m/>
    <n v="605.44341000000009"/>
    <n v="8.0635899999998628"/>
  </r>
  <r>
    <x v="1"/>
    <x v="23"/>
    <x v="24"/>
    <x v="0"/>
    <n v="385.6"/>
    <n v="4"/>
    <n v="385.6"/>
    <n v="1"/>
    <n v="385.6"/>
    <n v="115.56100000000001"/>
    <n v="120.809"/>
    <n v="1.0454000000000001"/>
    <n v="403.10624000000007"/>
    <m/>
    <n v="4"/>
    <s v="Sale"/>
    <x v="0"/>
    <x v="0"/>
    <x v="0"/>
    <n v="409.00466666666665"/>
    <n v="1"/>
    <n v="409.00466666666665"/>
    <n v="23.404666666666628"/>
    <m/>
    <n v="403.10624000000007"/>
    <n v="5.8984266666665803"/>
  </r>
  <r>
    <x v="1"/>
    <x v="23"/>
    <x v="24"/>
    <x v="0"/>
    <n v="1447.0363636363636"/>
    <n v="15"/>
    <n v="1447.0363636363636"/>
    <n v="1"/>
    <n v="1447.0363636363636"/>
    <n v="115.56100000000001"/>
    <n v="120.809"/>
    <n v="1.0454000000000001"/>
    <n v="1512.7318145454547"/>
    <m/>
    <n v="15"/>
    <s v="Sale"/>
    <x v="0"/>
    <x v="0"/>
    <x v="0"/>
    <n v="1533.7674999999999"/>
    <n v="1"/>
    <n v="1533.7674999999999"/>
    <n v="86.731136363636324"/>
    <m/>
    <n v="1512.7318145454547"/>
    <n v="21.035685454545273"/>
  </r>
  <r>
    <x v="1"/>
    <x v="1"/>
    <x v="25"/>
    <x v="0"/>
    <n v="387.93297619047615"/>
    <n v="4"/>
    <n v="387.93297619047615"/>
    <n v="1"/>
    <n v="387.93297619047615"/>
    <n v="105.934"/>
    <n v="118.002"/>
    <n v="1.1138999999999999"/>
    <n v="432.11854217857132"/>
    <m/>
    <n v="4"/>
    <s v="Sale"/>
    <x v="0"/>
    <x v="15"/>
    <x v="0"/>
    <n v="888.76"/>
    <n v="1"/>
    <n v="888.76"/>
    <n v="500.82702380952384"/>
    <m/>
    <n v="432.11854217857132"/>
    <n v="456.64145782142867"/>
  </r>
  <r>
    <x v="1"/>
    <x v="1"/>
    <x v="25"/>
    <x v="0"/>
    <n v="678.88270833333331"/>
    <n v="7"/>
    <n v="678.88270833333331"/>
    <n v="1"/>
    <n v="678.88270833333331"/>
    <n v="105.934"/>
    <n v="118.002"/>
    <n v="1.1138999999999999"/>
    <n v="756.20744881249993"/>
    <m/>
    <n v="7"/>
    <s v="Sale"/>
    <x v="0"/>
    <x v="15"/>
    <x v="0"/>
    <n v="1555.32"/>
    <n v="1"/>
    <n v="1555.32"/>
    <n v="876.43729166666662"/>
    <m/>
    <n v="756.20744881249993"/>
    <n v="799.1125511875"/>
  </r>
  <r>
    <x v="1"/>
    <x v="1"/>
    <x v="25"/>
    <x v="0"/>
    <n v="4461.2292261904759"/>
    <n v="46"/>
    <n v="4461.2292261904759"/>
    <n v="1"/>
    <n v="4461.2292261904759"/>
    <n v="105.934"/>
    <n v="118.002"/>
    <n v="1.1138999999999999"/>
    <n v="4969.3632350535709"/>
    <m/>
    <n v="46"/>
    <s v="Sale"/>
    <x v="0"/>
    <x v="16"/>
    <x v="0"/>
    <n v="10220.02"/>
    <n v="1"/>
    <n v="10220.02"/>
    <n v="5758.7907738095246"/>
    <m/>
    <n v="4969.3632350535709"/>
    <n v="5250.6567649464296"/>
  </r>
  <r>
    <x v="1"/>
    <x v="1"/>
    <x v="25"/>
    <x v="0"/>
    <n v="1454.7486607142855"/>
    <n v="15"/>
    <n v="1454.7486607142855"/>
    <n v="1"/>
    <n v="1454.7486607142855"/>
    <n v="105.934"/>
    <n v="118.002"/>
    <n v="1.1138999999999999"/>
    <n v="1620.4445331696425"/>
    <m/>
    <n v="15"/>
    <s v="Sale"/>
    <x v="0"/>
    <x v="1"/>
    <x v="0"/>
    <n v="3035.44"/>
    <n v="1"/>
    <n v="3035.44"/>
    <n v="1580.6913392857145"/>
    <m/>
    <n v="1620.4445331696425"/>
    <n v="1414.9954668303576"/>
  </r>
  <r>
    <x v="1"/>
    <x v="1"/>
    <x v="25"/>
    <x v="0"/>
    <n v="1163.7989285714284"/>
    <n v="12"/>
    <n v="1163.7989285714284"/>
    <n v="1"/>
    <n v="1163.7989285714284"/>
    <n v="105.934"/>
    <n v="118.002"/>
    <n v="1.1138999999999999"/>
    <n v="1296.355626535714"/>
    <m/>
    <n v="12"/>
    <s v="Sale"/>
    <x v="0"/>
    <x v="1"/>
    <x v="0"/>
    <n v="2456.14"/>
    <n v="1"/>
    <n v="2456.14"/>
    <n v="1292.3410714285715"/>
    <m/>
    <n v="1296.355626535714"/>
    <n v="1159.7843734642859"/>
  </r>
  <r>
    <x v="1"/>
    <x v="1"/>
    <x v="25"/>
    <x v="0"/>
    <n v="678.88270833333331"/>
    <n v="7"/>
    <n v="678.88270833333331"/>
    <n v="1"/>
    <n v="678.88270833333331"/>
    <n v="105.934"/>
    <n v="118.002"/>
    <n v="1.1138999999999999"/>
    <n v="756.20744881249993"/>
    <m/>
    <n v="7"/>
    <s v="Sale"/>
    <x v="0"/>
    <x v="18"/>
    <x v="0"/>
    <n v="1429.32"/>
    <n v="1"/>
    <n v="1429.32"/>
    <n v="750.43729166666662"/>
    <m/>
    <n v="756.20744881249993"/>
    <n v="673.1125511875"/>
  </r>
  <r>
    <x v="1"/>
    <x v="1"/>
    <x v="25"/>
    <x v="0"/>
    <n v="3491.3967857142852"/>
    <n v="36"/>
    <n v="3491.3967857142852"/>
    <n v="1"/>
    <n v="3491.3967857142852"/>
    <n v="105.934"/>
    <n v="118.002"/>
    <n v="1.1138999999999999"/>
    <n v="3889.0668796071418"/>
    <m/>
    <n v="36"/>
    <s v="Sale"/>
    <x v="0"/>
    <x v="23"/>
    <x v="0"/>
    <n v="7338.06"/>
    <n v="1"/>
    <n v="7338.06"/>
    <n v="3846.6632142857152"/>
    <m/>
    <n v="3889.0668796071418"/>
    <n v="3448.9931203928586"/>
  </r>
  <r>
    <x v="1"/>
    <x v="1"/>
    <x v="25"/>
    <x v="0"/>
    <n v="1163.7989285714284"/>
    <n v="12"/>
    <n v="1163.7989285714284"/>
    <n v="1"/>
    <n v="1163.7989285714284"/>
    <n v="105.934"/>
    <n v="118.002"/>
    <n v="1.1138999999999999"/>
    <n v="1296.355626535714"/>
    <m/>
    <n v="12"/>
    <s v="Sale"/>
    <x v="0"/>
    <x v="23"/>
    <x v="0"/>
    <n v="2482.6999999999998"/>
    <n v="1"/>
    <n v="2482.6999999999998"/>
    <n v="1318.9010714285714"/>
    <m/>
    <n v="1296.355626535714"/>
    <n v="1186.3443734642858"/>
  </r>
  <r>
    <x v="1"/>
    <x v="1"/>
    <x v="25"/>
    <x v="0"/>
    <n v="1357.7654166666666"/>
    <n v="14"/>
    <n v="1357.7654166666666"/>
    <n v="1"/>
    <n v="1357.7654166666666"/>
    <n v="105.934"/>
    <n v="120.15900000000001"/>
    <n v="1.1342000000000001"/>
    <n v="1539.9775355833335"/>
    <m/>
    <n v="14"/>
    <s v="Sale"/>
    <x v="0"/>
    <x v="24"/>
    <x v="0"/>
    <n v="2607.89"/>
    <n v="1"/>
    <n v="2607.89"/>
    <n v="1250.1245833333332"/>
    <m/>
    <n v="1539.9775355833335"/>
    <n v="1067.9124644166664"/>
  </r>
  <r>
    <x v="1"/>
    <x v="1"/>
    <x v="25"/>
    <x v="0"/>
    <n v="2230.6146130952379"/>
    <n v="23"/>
    <n v="2230.6146130952379"/>
    <n v="1"/>
    <n v="2230.6146130952379"/>
    <n v="105.934"/>
    <n v="120.15900000000001"/>
    <n v="1.1342000000000001"/>
    <n v="2529.9630941726191"/>
    <m/>
    <n v="23"/>
    <s v="Sale"/>
    <x v="0"/>
    <x v="24"/>
    <x v="0"/>
    <n v="4216.9399999999996"/>
    <n v="1"/>
    <n v="4216.9399999999996"/>
    <n v="1986.3253869047617"/>
    <m/>
    <n v="2529.9630941726191"/>
    <n v="1686.9769058273805"/>
  </r>
  <r>
    <x v="1"/>
    <x v="1"/>
    <x v="25"/>
    <x v="0"/>
    <n v="193.96648809523808"/>
    <n v="2"/>
    <n v="193.96648809523808"/>
    <n v="1"/>
    <n v="193.96648809523808"/>
    <n v="105.934"/>
    <n v="120.15900000000001"/>
    <n v="1.1342000000000001"/>
    <n v="219.99679079761904"/>
    <m/>
    <n v="2"/>
    <s v="Sale"/>
    <x v="0"/>
    <x v="24"/>
    <x v="0"/>
    <n v="364.59"/>
    <n v="1"/>
    <n v="364.59"/>
    <n v="170.6235119047619"/>
    <m/>
    <n v="219.99679079761904"/>
    <n v="144.59320920238093"/>
  </r>
  <r>
    <x v="1"/>
    <x v="1"/>
    <x v="25"/>
    <x v="0"/>
    <n v="193.96648809523808"/>
    <n v="2"/>
    <n v="193.96648809523808"/>
    <n v="1"/>
    <n v="193.96648809523808"/>
    <n v="105.934"/>
    <n v="120.15900000000001"/>
    <n v="1.1342000000000001"/>
    <n v="219.99679079761904"/>
    <m/>
    <n v="2"/>
    <s v="Sale"/>
    <x v="0"/>
    <x v="25"/>
    <x v="0"/>
    <n v="370.81"/>
    <n v="1"/>
    <n v="370.81"/>
    <n v="176.84351190476193"/>
    <m/>
    <n v="219.99679079761904"/>
    <n v="150.81320920238096"/>
  </r>
  <r>
    <x v="1"/>
    <x v="1"/>
    <x v="25"/>
    <x v="0"/>
    <n v="1260.7821726190475"/>
    <n v="13"/>
    <n v="1260.7821726190475"/>
    <n v="1"/>
    <n v="1260.7821726190475"/>
    <n v="105.934"/>
    <n v="120.15900000000001"/>
    <n v="1.1342000000000001"/>
    <n v="1429.9791401845239"/>
    <m/>
    <n v="13"/>
    <s v="Sale"/>
    <x v="0"/>
    <x v="25"/>
    <x v="0"/>
    <n v="2403"/>
    <n v="1"/>
    <n v="2403"/>
    <n v="1142.2178273809525"/>
    <m/>
    <n v="1429.9791401845239"/>
    <n v="973.02085981547611"/>
  </r>
  <r>
    <x v="1"/>
    <x v="1"/>
    <x v="25"/>
    <x v="0"/>
    <n v="1648.7151488095237"/>
    <n v="17"/>
    <n v="1648.7151488095237"/>
    <n v="1"/>
    <n v="1648.7151488095237"/>
    <n v="105.934"/>
    <n v="120.15900000000001"/>
    <n v="1.1342000000000001"/>
    <n v="1869.972721779762"/>
    <m/>
    <n v="17"/>
    <s v="Sale"/>
    <x v="0"/>
    <x v="25"/>
    <x v="0"/>
    <n v="3114.64"/>
    <n v="1"/>
    <n v="3114.64"/>
    <n v="1465.9248511904761"/>
    <m/>
    <n v="1869.972721779762"/>
    <n v="1244.6672782202379"/>
  </r>
  <r>
    <x v="1"/>
    <x v="1"/>
    <x v="25"/>
    <x v="0"/>
    <n v="581.8994642857142"/>
    <n v="6"/>
    <n v="581.8994642857142"/>
    <n v="1"/>
    <n v="581.8994642857142"/>
    <n v="105.934"/>
    <n v="120.15900000000001"/>
    <n v="1.1342000000000001"/>
    <n v="659.99037239285713"/>
    <m/>
    <n v="6"/>
    <s v="Sale"/>
    <x v="0"/>
    <x v="25"/>
    <x v="0"/>
    <n v="1106.1300000000001"/>
    <n v="1"/>
    <n v="1106.1300000000001"/>
    <n v="524.23053571428591"/>
    <m/>
    <n v="659.99037239285713"/>
    <n v="446.13962760714298"/>
  </r>
  <r>
    <x v="1"/>
    <x v="1"/>
    <x v="25"/>
    <x v="0"/>
    <n v="1163.7989285714284"/>
    <n v="12"/>
    <n v="1163.7989285714284"/>
    <n v="1"/>
    <n v="1163.7989285714284"/>
    <n v="105.934"/>
    <n v="120.809"/>
    <n v="1.1404000000000001"/>
    <n v="1327.1962981428571"/>
    <m/>
    <n v="12"/>
    <s v="Sale"/>
    <x v="0"/>
    <x v="9"/>
    <x v="0"/>
    <n v="2018.518"/>
    <n v="1"/>
    <n v="2018.518"/>
    <n v="854.71907142857162"/>
    <m/>
    <n v="1327.1962981428571"/>
    <n v="691.3217018571429"/>
  </r>
  <r>
    <x v="1"/>
    <x v="9"/>
    <x v="25"/>
    <x v="0"/>
    <n v="9014.0204184100403"/>
    <n v="48"/>
    <n v="9014.0204184100403"/>
    <n v="1"/>
    <n v="9014.0204184100403"/>
    <n v="113.018"/>
    <n v="120.809"/>
    <n v="1.0689"/>
    <n v="9635.0864252384908"/>
    <m/>
    <n v="48"/>
    <s v="Sale"/>
    <x v="0"/>
    <x v="9"/>
    <x v="0"/>
    <n v="8074.0720000000001"/>
    <n v="1"/>
    <n v="8074.0720000000001"/>
    <n v="-939.94841841004018"/>
    <m/>
    <n v="9635.0864252384908"/>
    <n v="-1561.0144252384907"/>
  </r>
  <r>
    <x v="1"/>
    <x v="9"/>
    <x v="25"/>
    <x v="0"/>
    <n v="11079.733430962342"/>
    <n v="59"/>
    <n v="11079.733430962342"/>
    <n v="1"/>
    <n v="11079.733430962342"/>
    <n v="113.018"/>
    <n v="121.02200000000001"/>
    <n v="1.0708"/>
    <n v="11864.178557874475"/>
    <m/>
    <n v="59"/>
    <s v="Sale"/>
    <x v="0"/>
    <x v="12"/>
    <x v="0"/>
    <n v="10008.36"/>
    <n v="1"/>
    <n v="10008.36"/>
    <n v="-1071.3734309623414"/>
    <m/>
    <n v="11864.178557874475"/>
    <n v="-1855.8185578744742"/>
  </r>
  <r>
    <x v="1"/>
    <x v="1"/>
    <x v="26"/>
    <x v="0"/>
    <n v="16169.259876543209"/>
    <n v="55"/>
    <n v="16169.259876543209"/>
    <n v="1"/>
    <n v="16169.259876543209"/>
    <n v="105.934"/>
    <n v="120.809"/>
    <n v="1.1404000000000001"/>
    <n v="18439.423963209876"/>
    <m/>
    <n v="55"/>
    <s v="Sale"/>
    <x v="0"/>
    <x v="0"/>
    <x v="0"/>
    <n v="15236.063333333334"/>
    <n v="1"/>
    <n v="15236.063333333334"/>
    <n v="-933.19654320987502"/>
    <m/>
    <n v="18439.423963209876"/>
    <n v="-3203.3606298765426"/>
  </r>
  <r>
    <x v="1"/>
    <x v="46"/>
    <x v="26"/>
    <x v="0"/>
    <n v="129.12363636363634"/>
    <n v="20"/>
    <n v="129.12363636363634"/>
    <n v="1"/>
    <n v="129.12363636363634"/>
    <n v="112.19"/>
    <n v="120.809"/>
    <n v="1.0768"/>
    <n v="139.04033163636362"/>
    <m/>
    <n v="20"/>
    <s v="Sale"/>
    <x v="0"/>
    <x v="0"/>
    <x v="0"/>
    <n v="5540.3866666666672"/>
    <n v="1"/>
    <n v="5540.3866666666672"/>
    <n v="5411.263030303031"/>
    <m/>
    <n v="139.04033163636362"/>
    <n v="5401.3463350303036"/>
  </r>
  <r>
    <x v="1"/>
    <x v="1"/>
    <x v="27"/>
    <x v="0"/>
    <n v="16091.838322851154"/>
    <n v="188"/>
    <n v="16091.838322851154"/>
    <n v="1"/>
    <n v="16091.838322851154"/>
    <n v="105.934"/>
    <n v="120.809"/>
    <n v="1.1404000000000001"/>
    <n v="18351.132423379458"/>
    <m/>
    <n v="188"/>
    <s v="Sale"/>
    <x v="0"/>
    <x v="0"/>
    <x v="0"/>
    <n v="30855.85"/>
    <n v="1"/>
    <n v="30855.85"/>
    <n v="14764.011677148845"/>
    <m/>
    <n v="18351.132423379458"/>
    <n v="12504.71757662054"/>
  </r>
  <r>
    <x v="1"/>
    <x v="1"/>
    <x v="28"/>
    <x v="0"/>
    <n v="19337.429347826084"/>
    <n v="117"/>
    <n v="19337.429347826084"/>
    <n v="1"/>
    <n v="19337.429347826084"/>
    <n v="105.934"/>
    <n v="120.809"/>
    <n v="1.1404000000000001"/>
    <n v="22052.404428260867"/>
    <m/>
    <n v="117"/>
    <s v="Sale"/>
    <x v="0"/>
    <x v="0"/>
    <x v="0"/>
    <n v="27270.58"/>
    <n v="1"/>
    <n v="27270.58"/>
    <n v="7933.1506521739175"/>
    <m/>
    <n v="22052.404428260867"/>
    <n v="5218.1755717391352"/>
  </r>
  <r>
    <x v="1"/>
    <x v="1"/>
    <x v="29"/>
    <x v="0"/>
    <n v="12236.514537444935"/>
    <n v="80"/>
    <n v="12236.514537444935"/>
    <n v="1"/>
    <n v="12236.514537444935"/>
    <n v="105.934"/>
    <n v="120.809"/>
    <n v="1.1404000000000001"/>
    <n v="13954.521178502204"/>
    <m/>
    <n v="80"/>
    <s v="Sale"/>
    <x v="0"/>
    <x v="0"/>
    <x v="0"/>
    <n v="40962.99"/>
    <n v="1"/>
    <n v="40962.99"/>
    <n v="28726.475462555063"/>
    <m/>
    <n v="13954.521178502204"/>
    <n v="27008.468821497794"/>
  </r>
  <r>
    <x v="3"/>
    <x v="47"/>
    <x v="30"/>
    <x v="0"/>
    <n v="2900.4945454545455"/>
    <n v="1"/>
    <n v="2900.4945454545455"/>
    <n v="1"/>
    <n v="2900.4945454545455"/>
    <n v="116.884"/>
    <n v="121.02200000000001"/>
    <n v="1.0354000000000001"/>
    <n v="3003.1720523636368"/>
    <m/>
    <n v="1"/>
    <s v="Sale"/>
    <x v="0"/>
    <x v="26"/>
    <x v="0"/>
    <n v="2237.7199999999998"/>
    <n v="1"/>
    <n v="2237.7199999999998"/>
    <n v="-662.77454545454566"/>
    <m/>
    <n v="3003.1720523636368"/>
    <n v="-765.45205236363699"/>
  </r>
  <r>
    <x v="3"/>
    <x v="47"/>
    <x v="31"/>
    <x v="0"/>
    <n v="2405.92"/>
    <n v="16"/>
    <n v="2405.92"/>
    <n v="1"/>
    <n v="2405.92"/>
    <n v="116.884"/>
    <n v="121.02200000000001"/>
    <n v="1.0354000000000001"/>
    <n v="2491.0895680000003"/>
    <m/>
    <n v="16"/>
    <s v="Sale"/>
    <x v="0"/>
    <x v="27"/>
    <x v="0"/>
    <n v="2362.75"/>
    <n v="1"/>
    <n v="2362.75"/>
    <n v="-43.170000000000073"/>
    <m/>
    <n v="2491.0895680000003"/>
    <n v="-128.33956800000033"/>
  </r>
  <r>
    <x v="3"/>
    <x v="47"/>
    <x v="31"/>
    <x v="0"/>
    <n v="1052.5900000000001"/>
    <n v="7"/>
    <n v="1052.5900000000001"/>
    <n v="1"/>
    <n v="1052.5900000000001"/>
    <n v="116.884"/>
    <n v="121.02200000000001"/>
    <n v="1.0354000000000001"/>
    <n v="1089.8516860000002"/>
    <m/>
    <n v="7"/>
    <s v="Sale"/>
    <x v="0"/>
    <x v="27"/>
    <x v="0"/>
    <n v="1039.0899999999999"/>
    <n v="1"/>
    <n v="1039.0899999999999"/>
    <n v="-13.500000000000227"/>
    <m/>
    <n v="1089.8516860000002"/>
    <n v="-50.761686000000282"/>
  </r>
  <r>
    <x v="3"/>
    <x v="47"/>
    <x v="32"/>
    <x v="0"/>
    <n v="1533"/>
    <n v="12"/>
    <n v="1533"/>
    <n v="1"/>
    <n v="1533"/>
    <n v="116.884"/>
    <n v="118.98099999999999"/>
    <n v="1.0179"/>
    <n v="1560.4407000000001"/>
    <m/>
    <n v="12"/>
    <s v="Sale"/>
    <x v="0"/>
    <x v="28"/>
    <x v="0"/>
    <n v="1516.25"/>
    <n v="1"/>
    <n v="1516.25"/>
    <n v="-16.75"/>
    <m/>
    <n v="1560.4407000000001"/>
    <n v="-44.190700000000106"/>
  </r>
  <r>
    <x v="3"/>
    <x v="47"/>
    <x v="32"/>
    <x v="0"/>
    <n v="127.75"/>
    <n v="1"/>
    <n v="127.75"/>
    <n v="1"/>
    <n v="127.75"/>
    <n v="116.884"/>
    <n v="118.98099999999999"/>
    <n v="1.0179"/>
    <n v="130.03672499999999"/>
    <m/>
    <n v="1"/>
    <s v="Sale"/>
    <x v="0"/>
    <x v="29"/>
    <x v="0"/>
    <n v="122.56"/>
    <n v="1"/>
    <n v="122.56"/>
    <n v="-5.1899999999999977"/>
    <m/>
    <n v="130.03672499999999"/>
    <n v="-7.4767249999999876"/>
  </r>
  <r>
    <x v="3"/>
    <x v="47"/>
    <x v="32"/>
    <x v="0"/>
    <n v="255.5"/>
    <n v="2"/>
    <n v="255.5"/>
    <n v="1"/>
    <n v="255.5"/>
    <n v="116.884"/>
    <n v="118.98099999999999"/>
    <n v="1.0179"/>
    <n v="260.07344999999998"/>
    <m/>
    <n v="2"/>
    <s v="Sale"/>
    <x v="0"/>
    <x v="29"/>
    <x v="0"/>
    <n v="248.16"/>
    <n v="1"/>
    <n v="248.16"/>
    <n v="-7.3400000000000034"/>
    <m/>
    <n v="260.07344999999998"/>
    <n v="-11.913449999999983"/>
  </r>
  <r>
    <x v="3"/>
    <x v="47"/>
    <x v="33"/>
    <x v="0"/>
    <n v="961.51904761904768"/>
    <n v="4"/>
    <n v="961.51904761904768"/>
    <n v="1"/>
    <n v="961.51904761904768"/>
    <n v="116.884"/>
    <n v="121.02200000000001"/>
    <n v="1.0354000000000001"/>
    <n v="995.55682190476205"/>
    <m/>
    <n v="4"/>
    <s v="Sale"/>
    <x v="0"/>
    <x v="30"/>
    <x v="0"/>
    <n v="936.78"/>
    <n v="1"/>
    <n v="936.78"/>
    <n v="-24.73904761904771"/>
    <m/>
    <n v="995.55682190476205"/>
    <n v="-58.776821904762073"/>
  </r>
  <r>
    <x v="3"/>
    <x v="47"/>
    <x v="33"/>
    <x v="0"/>
    <n v="240.37976190476192"/>
    <n v="1"/>
    <n v="240.37976190476192"/>
    <n v="1"/>
    <n v="240.37976190476192"/>
    <n v="116.884"/>
    <n v="121.02200000000001"/>
    <n v="1.0354000000000001"/>
    <n v="248.88920547619051"/>
    <m/>
    <n v="1"/>
    <s v="Sale"/>
    <x v="0"/>
    <x v="30"/>
    <x v="0"/>
    <n v="233.94"/>
    <n v="1"/>
    <n v="233.94"/>
    <n v="-6.439761904761923"/>
    <m/>
    <n v="248.88920547619051"/>
    <n v="-14.949205476190514"/>
  </r>
  <r>
    <x v="3"/>
    <x v="47"/>
    <x v="33"/>
    <x v="0"/>
    <n v="721.13928571428573"/>
    <n v="3"/>
    <n v="721.13928571428573"/>
    <n v="1"/>
    <n v="721.13928571428573"/>
    <n v="116.884"/>
    <n v="121.02200000000001"/>
    <n v="1.0354000000000001"/>
    <n v="746.66761642857148"/>
    <m/>
    <n v="3"/>
    <s v="Sale"/>
    <x v="0"/>
    <x v="27"/>
    <x v="0"/>
    <n v="685.76"/>
    <n v="1"/>
    <n v="685.76"/>
    <n v="-35.379285714285743"/>
    <m/>
    <n v="746.66761642857148"/>
    <n v="-60.907616428571487"/>
  </r>
  <r>
    <x v="3"/>
    <x v="47"/>
    <x v="33"/>
    <x v="0"/>
    <n v="480.75952380952384"/>
    <n v="2"/>
    <n v="480.75952380952384"/>
    <n v="1"/>
    <n v="480.75952380952384"/>
    <n v="116.884"/>
    <n v="121.02200000000001"/>
    <n v="1.0354000000000001"/>
    <n v="497.77841095238102"/>
    <m/>
    <n v="2"/>
    <s v="Sale"/>
    <x v="0"/>
    <x v="31"/>
    <x v="0"/>
    <n v="442.87"/>
    <n v="1"/>
    <n v="442.87"/>
    <n v="-37.889523809523837"/>
    <m/>
    <n v="497.77841095238102"/>
    <n v="-54.908410952381018"/>
  </r>
  <r>
    <x v="3"/>
    <x v="47"/>
    <x v="33"/>
    <x v="0"/>
    <n v="480.75952380952384"/>
    <n v="2"/>
    <n v="480.75952380952384"/>
    <n v="1"/>
    <n v="480.75952380952384"/>
    <n v="116.884"/>
    <n v="121.02200000000001"/>
    <n v="1.0354000000000001"/>
    <n v="497.77841095238102"/>
    <m/>
    <n v="2"/>
    <s v="Sale"/>
    <x v="0"/>
    <x v="31"/>
    <x v="0"/>
    <n v="450.29"/>
    <n v="1"/>
    <n v="450.29"/>
    <n v="-30.469523809523821"/>
    <m/>
    <n v="497.77841095238102"/>
    <n v="-47.488410952381003"/>
  </r>
  <r>
    <x v="3"/>
    <x v="47"/>
    <x v="33"/>
    <x v="0"/>
    <n v="480.75952380952384"/>
    <n v="2"/>
    <n v="480.75952380952384"/>
    <n v="1"/>
    <n v="480.75952380952384"/>
    <n v="116.884"/>
    <n v="121.02200000000001"/>
    <n v="1.0354000000000001"/>
    <n v="497.77841095238102"/>
    <m/>
    <n v="2"/>
    <s v="Sale"/>
    <x v="0"/>
    <x v="31"/>
    <x v="0"/>
    <n v="443.45"/>
    <n v="1"/>
    <n v="443.45"/>
    <n v="-37.309523809523853"/>
    <m/>
    <n v="497.77841095238102"/>
    <n v="-54.328410952381034"/>
  </r>
  <r>
    <x v="3"/>
    <x v="47"/>
    <x v="33"/>
    <x v="0"/>
    <n v="480.75952380952384"/>
    <n v="2"/>
    <n v="480.75952380952384"/>
    <n v="1"/>
    <n v="480.75952380952384"/>
    <n v="116.884"/>
    <n v="121.02200000000001"/>
    <n v="1.0354000000000001"/>
    <n v="497.77841095238102"/>
    <m/>
    <n v="2"/>
    <s v="Sale"/>
    <x v="0"/>
    <x v="32"/>
    <x v="0"/>
    <n v="453.95"/>
    <n v="1"/>
    <n v="453.95"/>
    <n v="-26.809523809523853"/>
    <m/>
    <n v="497.77841095238102"/>
    <n v="-43.828410952381034"/>
  </r>
  <r>
    <x v="3"/>
    <x v="47"/>
    <x v="33"/>
    <x v="0"/>
    <n v="721.13928571428573"/>
    <n v="3"/>
    <n v="721.13928571428573"/>
    <n v="1"/>
    <n v="721.13928571428573"/>
    <n v="116.884"/>
    <n v="121.02200000000001"/>
    <n v="1.0354000000000001"/>
    <n v="746.66761642857148"/>
    <m/>
    <n v="3"/>
    <s v="Sale"/>
    <x v="0"/>
    <x v="32"/>
    <x v="0"/>
    <n v="680.7"/>
    <n v="1"/>
    <n v="680.7"/>
    <n v="-40.439285714285688"/>
    <m/>
    <n v="746.66761642857148"/>
    <n v="-65.967616428571432"/>
  </r>
  <r>
    <x v="3"/>
    <x v="47"/>
    <x v="34"/>
    <x v="0"/>
    <n v="1032.24"/>
    <n v="23"/>
    <n v="1032.24"/>
    <n v="1"/>
    <n v="1032.24"/>
    <n v="116.884"/>
    <n v="118.002"/>
    <n v="1.0095000000000001"/>
    <n v="1042.04628"/>
    <m/>
    <n v="23"/>
    <s v="Sale"/>
    <x v="0"/>
    <x v="33"/>
    <x v="0"/>
    <n v="464.34"/>
    <n v="1"/>
    <n v="464.34"/>
    <n v="-567.90000000000009"/>
    <m/>
    <n v="1042.04628"/>
    <n v="-577.70628000000011"/>
  </r>
  <r>
    <x v="3"/>
    <x v="47"/>
    <x v="34"/>
    <x v="0"/>
    <n v="134.64000000000001"/>
    <n v="3"/>
    <n v="134.64000000000001"/>
    <n v="1"/>
    <n v="134.64000000000001"/>
    <n v="116.884"/>
    <n v="118.002"/>
    <n v="1.0095000000000001"/>
    <n v="135.91908000000004"/>
    <m/>
    <n v="3"/>
    <s v="Sale"/>
    <x v="0"/>
    <x v="34"/>
    <x v="0"/>
    <n v="62.86"/>
    <n v="1"/>
    <n v="62.86"/>
    <n v="-71.780000000000015"/>
    <m/>
    <n v="135.91908000000004"/>
    <n v="-73.059080000000037"/>
  </r>
  <r>
    <x v="3"/>
    <x v="47"/>
    <x v="34"/>
    <x v="0"/>
    <n v="269.28000000000003"/>
    <n v="6"/>
    <n v="269.28000000000003"/>
    <n v="1"/>
    <n v="269.28000000000003"/>
    <n v="116.884"/>
    <n v="118.98099999999999"/>
    <n v="1.0179"/>
    <n v="274.10011200000002"/>
    <m/>
    <n v="6"/>
    <s v="Sale"/>
    <x v="0"/>
    <x v="35"/>
    <x v="0"/>
    <n v="128.75"/>
    <n v="1"/>
    <n v="128.75"/>
    <n v="-140.53000000000003"/>
    <m/>
    <n v="274.10011200000002"/>
    <n v="-145.35011200000002"/>
  </r>
  <r>
    <x v="3"/>
    <x v="47"/>
    <x v="34"/>
    <x v="0"/>
    <n v="1077.1200000000001"/>
    <n v="24"/>
    <n v="1077.1200000000001"/>
    <n v="1"/>
    <n v="1077.1200000000001"/>
    <n v="116.884"/>
    <n v="118.98099999999999"/>
    <n v="1.0179"/>
    <n v="1096.4004480000001"/>
    <m/>
    <n v="24"/>
    <s v="Sale"/>
    <x v="0"/>
    <x v="35"/>
    <x v="0"/>
    <n v="516.34"/>
    <n v="1"/>
    <n v="516.34"/>
    <n v="-560.78000000000009"/>
    <m/>
    <n v="1096.4004480000001"/>
    <n v="-580.06044800000006"/>
  </r>
  <r>
    <x v="3"/>
    <x v="47"/>
    <x v="34"/>
    <x v="0"/>
    <n v="538.56000000000006"/>
    <n v="12"/>
    <n v="538.56000000000006"/>
    <n v="1"/>
    <n v="538.56000000000006"/>
    <n v="116.884"/>
    <n v="118.98099999999999"/>
    <n v="1.0179"/>
    <n v="548.20022400000005"/>
    <m/>
    <n v="12"/>
    <s v="Sale"/>
    <x v="0"/>
    <x v="35"/>
    <x v="0"/>
    <n v="264.75"/>
    <n v="1"/>
    <n v="264.75"/>
    <n v="-273.81000000000006"/>
    <m/>
    <n v="548.20022400000005"/>
    <n v="-283.45022400000005"/>
  </r>
  <r>
    <x v="3"/>
    <x v="47"/>
    <x v="34"/>
    <x v="0"/>
    <n v="134.64000000000001"/>
    <n v="3"/>
    <n v="134.64000000000001"/>
    <n v="1"/>
    <n v="134.64000000000001"/>
    <n v="116.884"/>
    <n v="118.98099999999999"/>
    <n v="1.0179"/>
    <n v="137.05005600000001"/>
    <m/>
    <n v="3"/>
    <s v="Sale"/>
    <x v="0"/>
    <x v="35"/>
    <x v="0"/>
    <n v="65.819999999999993"/>
    <n v="1"/>
    <n v="65.819999999999993"/>
    <n v="-68.820000000000022"/>
    <m/>
    <n v="137.05005600000001"/>
    <n v="-71.230056000000019"/>
  </r>
  <r>
    <x v="3"/>
    <x v="47"/>
    <x v="34"/>
    <x v="0"/>
    <n v="179.52"/>
    <n v="4"/>
    <n v="179.52"/>
    <n v="1"/>
    <n v="179.52"/>
    <n v="116.884"/>
    <n v="118.98099999999999"/>
    <n v="1.0179"/>
    <n v="182.73340800000003"/>
    <m/>
    <n v="4"/>
    <s v="Sale"/>
    <x v="0"/>
    <x v="35"/>
    <x v="0"/>
    <n v="90.21"/>
    <n v="1"/>
    <n v="90.21"/>
    <n v="-89.310000000000016"/>
    <m/>
    <n v="182.73340800000003"/>
    <n v="-92.523408000000032"/>
  </r>
  <r>
    <x v="3"/>
    <x v="47"/>
    <x v="34"/>
    <x v="0"/>
    <n v="359.04"/>
    <n v="8"/>
    <n v="359.04"/>
    <n v="1"/>
    <n v="359.04"/>
    <n v="116.884"/>
    <n v="118.98099999999999"/>
    <n v="1.0179"/>
    <n v="365.46681600000005"/>
    <m/>
    <n v="8"/>
    <s v="Sale"/>
    <x v="0"/>
    <x v="36"/>
    <x v="0"/>
    <n v="174.2"/>
    <n v="1"/>
    <n v="174.2"/>
    <n v="-184.84000000000003"/>
    <m/>
    <n v="365.46681600000005"/>
    <n v="-191.26681600000006"/>
  </r>
  <r>
    <x v="3"/>
    <x v="47"/>
    <x v="34"/>
    <x v="0"/>
    <n v="44.88"/>
    <n v="1"/>
    <n v="44.88"/>
    <n v="1"/>
    <n v="44.88"/>
    <n v="116.884"/>
    <n v="118.98099999999999"/>
    <n v="1.0179"/>
    <n v="45.683352000000006"/>
    <m/>
    <n v="1"/>
    <s v="Sale"/>
    <x v="0"/>
    <x v="37"/>
    <x v="0"/>
    <n v="19.12"/>
    <n v="1"/>
    <n v="19.12"/>
    <n v="-25.76"/>
    <m/>
    <n v="45.683352000000006"/>
    <n v="-26.563352000000005"/>
  </r>
  <r>
    <x v="3"/>
    <x v="47"/>
    <x v="34"/>
    <x v="0"/>
    <n v="762.96"/>
    <n v="17"/>
    <n v="762.96"/>
    <n v="1"/>
    <n v="762.96"/>
    <n v="116.884"/>
    <n v="118.98099999999999"/>
    <n v="1.0179"/>
    <n v="776.616984"/>
    <m/>
    <n v="17"/>
    <s v="Sale"/>
    <x v="0"/>
    <x v="37"/>
    <x v="0"/>
    <n v="334.4372222222222"/>
    <n v="1"/>
    <n v="334.4372222222222"/>
    <n v="-428.52277777777783"/>
    <m/>
    <n v="776.616984"/>
    <n v="-442.1797617777778"/>
  </r>
  <r>
    <x v="3"/>
    <x v="48"/>
    <x v="34"/>
    <x v="0"/>
    <n v="38.35"/>
    <n v="1"/>
    <n v="38.35"/>
    <n v="1"/>
    <n v="38.35"/>
    <n v="116.884"/>
    <n v="118.98099999999999"/>
    <n v="1.0179"/>
    <n v="39.036465"/>
    <m/>
    <n v="1"/>
    <s v="Sale"/>
    <x v="0"/>
    <x v="37"/>
    <x v="0"/>
    <n v="19.672777777777778"/>
    <n v="1"/>
    <n v="19.672777777777778"/>
    <n v="-18.677222222222223"/>
    <m/>
    <n v="39.036465"/>
    <n v="-19.363687222222222"/>
  </r>
  <r>
    <x v="3"/>
    <x v="48"/>
    <x v="34"/>
    <x v="0"/>
    <n v="38.35"/>
    <n v="1"/>
    <n v="38.35"/>
    <n v="1"/>
    <n v="38.35"/>
    <n v="116.884"/>
    <n v="118.98099999999999"/>
    <n v="1.0179"/>
    <n v="39.036465"/>
    <m/>
    <n v="1"/>
    <s v="Sale"/>
    <x v="0"/>
    <x v="37"/>
    <x v="0"/>
    <n v="20.645"/>
    <n v="1"/>
    <n v="20.645"/>
    <n v="-17.705000000000002"/>
    <m/>
    <n v="39.036465"/>
    <n v="-18.391465"/>
  </r>
  <r>
    <x v="3"/>
    <x v="48"/>
    <x v="34"/>
    <x v="0"/>
    <n v="37.546086956521734"/>
    <n v="1"/>
    <n v="37.546086956521734"/>
    <n v="1"/>
    <n v="37.546086956521734"/>
    <n v="116.884"/>
    <n v="118.98099999999999"/>
    <n v="1.0179"/>
    <n v="38.218161913043474"/>
    <m/>
    <n v="1"/>
    <s v="Sale"/>
    <x v="0"/>
    <x v="37"/>
    <x v="0"/>
    <n v="20.645"/>
    <n v="1"/>
    <n v="20.645"/>
    <n v="-16.901086956521734"/>
    <m/>
    <n v="38.218161913043474"/>
    <n v="-17.573161913043474"/>
  </r>
  <r>
    <x v="3"/>
    <x v="48"/>
    <x v="34"/>
    <x v="0"/>
    <n v="37.546086956521734"/>
    <n v="1"/>
    <n v="37.546086956521734"/>
    <n v="1"/>
    <n v="37.546086956521734"/>
    <n v="116.884"/>
    <n v="118.98099999999999"/>
    <n v="1.0179"/>
    <n v="38.218161913043474"/>
    <m/>
    <n v="1"/>
    <s v="Sale"/>
    <x v="0"/>
    <x v="38"/>
    <x v="0"/>
    <n v="19.54"/>
    <n v="1"/>
    <n v="19.54"/>
    <n v="-18.006086956521735"/>
    <m/>
    <n v="38.218161913043474"/>
    <n v="-18.678161913043475"/>
  </r>
  <r>
    <x v="3"/>
    <x v="48"/>
    <x v="34"/>
    <x v="0"/>
    <n v="37.546086956521734"/>
    <n v="1"/>
    <n v="37.546086956521734"/>
    <n v="1"/>
    <n v="37.546086956521734"/>
    <n v="116.884"/>
    <n v="118.98099999999999"/>
    <n v="1.0179"/>
    <n v="38.218161913043474"/>
    <m/>
    <n v="1"/>
    <s v="Sale"/>
    <x v="0"/>
    <x v="38"/>
    <x v="0"/>
    <n v="20.69"/>
    <n v="1"/>
    <n v="20.69"/>
    <n v="-16.856086956521732"/>
    <m/>
    <n v="38.218161913043474"/>
    <n v="-17.528161913043473"/>
  </r>
  <r>
    <x v="3"/>
    <x v="48"/>
    <x v="34"/>
    <x v="0"/>
    <n v="375.46086956521731"/>
    <n v="10"/>
    <n v="375.46086956521731"/>
    <n v="1"/>
    <n v="375.46086956521731"/>
    <n v="116.884"/>
    <n v="118.98099999999999"/>
    <n v="1.0179"/>
    <n v="382.18161913043468"/>
    <m/>
    <n v="10"/>
    <s v="Sale"/>
    <x v="0"/>
    <x v="38"/>
    <x v="0"/>
    <n v="205.83"/>
    <n v="1"/>
    <n v="205.83"/>
    <n v="-169.6308695652173"/>
    <m/>
    <n v="382.18161913043468"/>
    <n v="-176.35161913043467"/>
  </r>
  <r>
    <x v="3"/>
    <x v="48"/>
    <x v="34"/>
    <x v="0"/>
    <n v="75.092173913043467"/>
    <n v="2"/>
    <n v="75.092173913043467"/>
    <n v="1"/>
    <n v="75.092173913043467"/>
    <n v="116.884"/>
    <n v="118.98099999999999"/>
    <n v="1.0179"/>
    <n v="76.436323826086948"/>
    <m/>
    <n v="2"/>
    <s v="Sale"/>
    <x v="0"/>
    <x v="38"/>
    <x v="0"/>
    <n v="41.57"/>
    <n v="1"/>
    <n v="41.57"/>
    <n v="-33.522173913043467"/>
    <m/>
    <n v="76.436323826086948"/>
    <n v="-34.866323826086948"/>
  </r>
  <r>
    <x v="3"/>
    <x v="48"/>
    <x v="34"/>
    <x v="0"/>
    <n v="225.2765217391304"/>
    <n v="6"/>
    <n v="225.2765217391304"/>
    <n v="1"/>
    <n v="225.2765217391304"/>
    <n v="116.884"/>
    <n v="118.98099999999999"/>
    <n v="1.0179"/>
    <n v="229.30897147826084"/>
    <m/>
    <n v="6"/>
    <s v="Sale"/>
    <x v="0"/>
    <x v="38"/>
    <x v="0"/>
    <n v="124.75999999999999"/>
    <n v="1"/>
    <n v="124.75999999999999"/>
    <n v="-100.51652173913041"/>
    <m/>
    <n v="229.30897147826084"/>
    <n v="-104.54897147826085"/>
  </r>
  <r>
    <x v="3"/>
    <x v="48"/>
    <x v="34"/>
    <x v="0"/>
    <n v="75.092173913043467"/>
    <n v="2"/>
    <n v="75.092173913043467"/>
    <n v="1"/>
    <n v="75.092173913043467"/>
    <n v="116.884"/>
    <n v="118.98099999999999"/>
    <n v="1.0179"/>
    <n v="76.436323826086948"/>
    <m/>
    <n v="2"/>
    <s v="Sale"/>
    <x v="0"/>
    <x v="38"/>
    <x v="0"/>
    <n v="38.83"/>
    <n v="1"/>
    <n v="38.83"/>
    <n v="-36.262173913043469"/>
    <m/>
    <n v="76.436323826086948"/>
    <n v="-37.60632382608695"/>
  </r>
  <r>
    <x v="3"/>
    <x v="48"/>
    <x v="34"/>
    <x v="0"/>
    <n v="38.01"/>
    <n v="1"/>
    <n v="38.01"/>
    <n v="1"/>
    <n v="38.01"/>
    <n v="116.884"/>
    <n v="118.98099999999999"/>
    <n v="1.0179"/>
    <n v="38.690379"/>
    <m/>
    <n v="1"/>
    <s v="Sale"/>
    <x v="0"/>
    <x v="38"/>
    <x v="0"/>
    <n v="19.414999999999999"/>
    <n v="1"/>
    <n v="19.414999999999999"/>
    <n v="-18.594999999999999"/>
    <m/>
    <n v="38.690379"/>
    <n v="-19.275379000000001"/>
  </r>
  <r>
    <x v="3"/>
    <x v="48"/>
    <x v="34"/>
    <x v="0"/>
    <n v="38.01"/>
    <n v="1"/>
    <n v="38.01"/>
    <n v="1"/>
    <n v="38.01"/>
    <n v="116.884"/>
    <n v="118.98099999999999"/>
    <n v="1.0179"/>
    <n v="38.690379"/>
    <m/>
    <n v="1"/>
    <s v="Sale"/>
    <x v="0"/>
    <x v="38"/>
    <x v="0"/>
    <n v="19.414999999999999"/>
    <n v="1"/>
    <n v="19.414999999999999"/>
    <n v="-18.594999999999999"/>
    <m/>
    <n v="38.690379"/>
    <n v="-19.275379000000001"/>
  </r>
  <r>
    <x v="3"/>
    <x v="48"/>
    <x v="34"/>
    <x v="0"/>
    <n v="150.1847619047619"/>
    <n v="4"/>
    <n v="150.1847619047619"/>
    <n v="1"/>
    <n v="150.1847619047619"/>
    <n v="116.884"/>
    <n v="118.98099999999999"/>
    <n v="1.0179"/>
    <n v="152.87306914285713"/>
    <m/>
    <n v="4"/>
    <s v="Sale"/>
    <x v="0"/>
    <x v="38"/>
    <x v="0"/>
    <n v="78.78"/>
    <n v="1"/>
    <n v="78.78"/>
    <n v="-71.404761904761898"/>
    <m/>
    <n v="152.87306914285713"/>
    <n v="-74.093069142857132"/>
  </r>
  <r>
    <x v="3"/>
    <x v="48"/>
    <x v="34"/>
    <x v="0"/>
    <n v="375.46190476190475"/>
    <n v="10"/>
    <n v="375.46190476190475"/>
    <n v="1"/>
    <n v="375.46190476190475"/>
    <n v="116.884"/>
    <n v="118.98099999999999"/>
    <n v="1.0179"/>
    <n v="382.18267285714285"/>
    <m/>
    <n v="10"/>
    <s v="Sale"/>
    <x v="0"/>
    <x v="38"/>
    <x v="0"/>
    <n v="205.77"/>
    <n v="1"/>
    <n v="205.77"/>
    <n v="-169.69190476190474"/>
    <m/>
    <n v="382.18267285714285"/>
    <n v="-176.41267285714284"/>
  </r>
  <r>
    <x v="3"/>
    <x v="48"/>
    <x v="34"/>
    <x v="0"/>
    <n v="225.27714285714285"/>
    <n v="6"/>
    <n v="225.27714285714285"/>
    <n v="1"/>
    <n v="225.27714285714285"/>
    <n v="116.884"/>
    <n v="118.98099999999999"/>
    <n v="1.0179"/>
    <n v="229.30960371428571"/>
    <m/>
    <n v="6"/>
    <s v="Sale"/>
    <x v="0"/>
    <x v="38"/>
    <x v="0"/>
    <n v="122.09"/>
    <n v="1"/>
    <n v="122.09"/>
    <n v="-103.18714285714285"/>
    <m/>
    <n v="229.30960371428571"/>
    <n v="-107.21960371428571"/>
  </r>
  <r>
    <x v="3"/>
    <x v="48"/>
    <x v="34"/>
    <x v="0"/>
    <n v="37.546190476190475"/>
    <n v="1"/>
    <n v="37.546190476190475"/>
    <n v="1"/>
    <n v="37.546190476190475"/>
    <n v="116.884"/>
    <n v="118.98099999999999"/>
    <n v="1.0179"/>
    <n v="38.218267285714283"/>
    <m/>
    <n v="1"/>
    <s v="Sale"/>
    <x v="0"/>
    <x v="39"/>
    <x v="0"/>
    <n v="22.213333333333335"/>
    <n v="1"/>
    <n v="22.213333333333335"/>
    <n v="-15.33285714285714"/>
    <m/>
    <n v="38.218267285714283"/>
    <n v="-16.004933952380949"/>
  </r>
  <r>
    <x v="3"/>
    <x v="49"/>
    <x v="34"/>
    <x v="0"/>
    <n v="79.77"/>
    <n v="2"/>
    <n v="79.77"/>
    <n v="1"/>
    <n v="79.77"/>
    <n v="116.884"/>
    <n v="118.98099999999999"/>
    <n v="1.0179"/>
    <n v="81.197883000000004"/>
    <m/>
    <n v="2"/>
    <s v="Sale"/>
    <x v="0"/>
    <x v="39"/>
    <x v="0"/>
    <n v="44.426666666666669"/>
    <n v="1"/>
    <n v="44.426666666666669"/>
    <n v="-35.343333333333327"/>
    <m/>
    <n v="81.197883000000004"/>
    <n v="-36.771216333333335"/>
  </r>
  <r>
    <x v="3"/>
    <x v="49"/>
    <x v="34"/>
    <x v="0"/>
    <n v="79.77"/>
    <n v="2"/>
    <n v="79.77"/>
    <n v="1"/>
    <n v="79.77"/>
    <n v="116.884"/>
    <n v="118.98099999999999"/>
    <n v="1.0179"/>
    <n v="81.197883000000004"/>
    <m/>
    <n v="2"/>
    <s v="Sale"/>
    <x v="0"/>
    <x v="39"/>
    <x v="0"/>
    <n v="44.717142857142854"/>
    <n v="1"/>
    <n v="44.717142857142854"/>
    <n v="-35.052857142857142"/>
    <m/>
    <n v="81.197883000000004"/>
    <n v="-36.480740142857151"/>
  </r>
  <r>
    <x v="3"/>
    <x v="49"/>
    <x v="34"/>
    <x v="0"/>
    <n v="119.66"/>
    <n v="3"/>
    <n v="119.66"/>
    <n v="1"/>
    <n v="119.66"/>
    <n v="116.884"/>
    <n v="118.98099999999999"/>
    <n v="1.0179"/>
    <n v="121.801914"/>
    <m/>
    <n v="3"/>
    <s v="Sale"/>
    <x v="0"/>
    <x v="39"/>
    <x v="0"/>
    <n v="67.075714285714284"/>
    <n v="1"/>
    <n v="67.075714285714284"/>
    <n v="-52.584285714285713"/>
    <m/>
    <n v="121.801914"/>
    <n v="-54.726199714285713"/>
  </r>
  <r>
    <x v="3"/>
    <x v="50"/>
    <x v="34"/>
    <x v="0"/>
    <n v="38.56"/>
    <n v="1"/>
    <n v="38.56"/>
    <n v="1"/>
    <n v="38.56"/>
    <n v="116.884"/>
    <n v="118.98099999999999"/>
    <n v="1.0179"/>
    <n v="39.250224000000003"/>
    <m/>
    <n v="1"/>
    <s v="Sale"/>
    <x v="0"/>
    <x v="39"/>
    <x v="0"/>
    <n v="22.358571428571427"/>
    <n v="1"/>
    <n v="22.358571428571427"/>
    <n v="-16.201428571428576"/>
    <m/>
    <n v="39.250224000000003"/>
    <n v="-16.891652571428576"/>
  </r>
  <r>
    <x v="3"/>
    <x v="50"/>
    <x v="34"/>
    <x v="0"/>
    <n v="461.45"/>
    <n v="12"/>
    <n v="461.45"/>
    <n v="1"/>
    <n v="461.45"/>
    <n v="116.884"/>
    <n v="118.98099999999999"/>
    <n v="1.0179"/>
    <n v="469.70995499999998"/>
    <m/>
    <n v="12"/>
    <s v="Sale"/>
    <x v="0"/>
    <x v="39"/>
    <x v="0"/>
    <n v="268.30285714285714"/>
    <n v="1"/>
    <n v="268.30285714285714"/>
    <n v="-193.14714285714285"/>
    <m/>
    <n v="469.70995499999998"/>
    <n v="-201.40709785714284"/>
  </r>
  <r>
    <x v="3"/>
    <x v="50"/>
    <x v="34"/>
    <x v="0"/>
    <n v="38.229999999999997"/>
    <n v="1"/>
    <n v="38.229999999999997"/>
    <n v="1"/>
    <n v="38.229999999999997"/>
    <n v="116.884"/>
    <n v="118.98099999999999"/>
    <n v="1.0179"/>
    <n v="38.914316999999997"/>
    <m/>
    <n v="1"/>
    <s v="Sale"/>
    <x v="0"/>
    <x v="39"/>
    <x v="0"/>
    <n v="22.358571428571427"/>
    <n v="1"/>
    <n v="22.358571428571427"/>
    <n v="-15.87142857142857"/>
    <m/>
    <n v="38.914316999999997"/>
    <n v="-16.55574557142857"/>
  </r>
  <r>
    <x v="3"/>
    <x v="51"/>
    <x v="34"/>
    <x v="0"/>
    <n v="38.17"/>
    <n v="1"/>
    <n v="38.17"/>
    <n v="1"/>
    <n v="38.17"/>
    <n v="116.884"/>
    <n v="118.98099999999999"/>
    <n v="1.0179"/>
    <n v="38.853243000000006"/>
    <m/>
    <n v="1"/>
    <s v="Sale"/>
    <x v="0"/>
    <x v="39"/>
    <x v="0"/>
    <n v="22.358571428571427"/>
    <n v="1"/>
    <n v="22.358571428571427"/>
    <n v="-15.811428571428575"/>
    <m/>
    <n v="38.853243000000006"/>
    <n v="-16.494671571428579"/>
  </r>
  <r>
    <x v="3"/>
    <x v="51"/>
    <x v="34"/>
    <x v="0"/>
    <n v="38.555"/>
    <n v="1"/>
    <n v="38.555"/>
    <n v="1"/>
    <n v="38.555"/>
    <n v="116.884"/>
    <n v="118.98099999999999"/>
    <n v="1.0179"/>
    <n v="39.245134499999999"/>
    <m/>
    <n v="1"/>
    <s v="Sale"/>
    <x v="0"/>
    <x v="39"/>
    <x v="0"/>
    <n v="22.358571428571427"/>
    <n v="1"/>
    <n v="22.358571428571427"/>
    <n v="-16.196428571428573"/>
    <m/>
    <n v="39.245134499999999"/>
    <n v="-16.886563071428572"/>
  </r>
  <r>
    <x v="3"/>
    <x v="51"/>
    <x v="34"/>
    <x v="0"/>
    <n v="38.555"/>
    <n v="1"/>
    <n v="38.555"/>
    <n v="1"/>
    <n v="38.555"/>
    <n v="116.884"/>
    <n v="118.98099999999999"/>
    <n v="1.0179"/>
    <n v="39.245134499999999"/>
    <m/>
    <n v="1"/>
    <s v="Sale"/>
    <x v="0"/>
    <x v="39"/>
    <x v="0"/>
    <n v="22.515000000000001"/>
    <n v="1"/>
    <n v="22.515000000000001"/>
    <n v="-16.04"/>
    <m/>
    <n v="39.245134499999999"/>
    <n v="-16.730134499999998"/>
  </r>
  <r>
    <x v="3"/>
    <x v="52"/>
    <x v="34"/>
    <x v="0"/>
    <n v="37.910000000000004"/>
    <n v="1"/>
    <n v="37.910000000000004"/>
    <n v="1"/>
    <n v="37.910000000000004"/>
    <n v="116.884"/>
    <n v="118.98099999999999"/>
    <n v="1.0179"/>
    <n v="38.588589000000006"/>
    <m/>
    <n v="1"/>
    <s v="Sale"/>
    <x v="0"/>
    <x v="39"/>
    <x v="0"/>
    <n v="22.515000000000001"/>
    <n v="1"/>
    <n v="22.515000000000001"/>
    <n v="-15.395000000000003"/>
    <m/>
    <n v="38.588589000000006"/>
    <n v="-16.073589000000005"/>
  </r>
  <r>
    <x v="3"/>
    <x v="52"/>
    <x v="34"/>
    <x v="0"/>
    <n v="75.820000000000007"/>
    <n v="2"/>
    <n v="75.820000000000007"/>
    <n v="1"/>
    <n v="75.820000000000007"/>
    <n v="116.884"/>
    <n v="118.98099999999999"/>
    <n v="1.0179"/>
    <n v="77.177178000000012"/>
    <m/>
    <n v="2"/>
    <s v="Sale"/>
    <x v="0"/>
    <x v="40"/>
    <x v="0"/>
    <n v="44.95"/>
    <n v="1"/>
    <n v="44.95"/>
    <n v="-30.870000000000005"/>
    <m/>
    <n v="77.177178000000012"/>
    <n v="-32.227178000000009"/>
  </r>
  <r>
    <x v="3"/>
    <x v="53"/>
    <x v="34"/>
    <x v="0"/>
    <n v="37.61"/>
    <n v="1"/>
    <n v="37.61"/>
    <n v="1"/>
    <n v="37.61"/>
    <n v="116.884"/>
    <n v="118.98099999999999"/>
    <n v="1.0179"/>
    <n v="38.283219000000003"/>
    <m/>
    <n v="1"/>
    <s v="Sale"/>
    <x v="0"/>
    <x v="40"/>
    <x v="0"/>
    <n v="22.47"/>
    <n v="1"/>
    <n v="22.47"/>
    <n v="-15.14"/>
    <m/>
    <n v="38.283219000000003"/>
    <n v="-15.813219000000004"/>
  </r>
  <r>
    <x v="3"/>
    <x v="53"/>
    <x v="34"/>
    <x v="0"/>
    <n v="156.71"/>
    <n v="4"/>
    <n v="156.71"/>
    <n v="1"/>
    <n v="156.71"/>
    <n v="116.884"/>
    <n v="118.98099999999999"/>
    <n v="1.0179"/>
    <n v="159.51510900000002"/>
    <m/>
    <n v="4"/>
    <s v="Sale"/>
    <x v="0"/>
    <x v="40"/>
    <x v="0"/>
    <n v="89.88"/>
    <n v="1"/>
    <n v="89.88"/>
    <n v="-66.830000000000013"/>
    <m/>
    <n v="159.51510900000002"/>
    <n v="-69.635109000000028"/>
  </r>
  <r>
    <x v="3"/>
    <x v="53"/>
    <x v="34"/>
    <x v="0"/>
    <n v="537.66999999999996"/>
    <n v="14"/>
    <n v="537.66999999999996"/>
    <n v="1"/>
    <n v="537.66999999999996"/>
    <n v="116.884"/>
    <n v="118.98099999999999"/>
    <n v="1.0179"/>
    <n v="547.29429299999993"/>
    <m/>
    <n v="14"/>
    <s v="Sale"/>
    <x v="0"/>
    <x v="40"/>
    <x v="0"/>
    <n v="310.81826086956522"/>
    <n v="1"/>
    <n v="310.81826086956522"/>
    <n v="-226.85173913043474"/>
    <m/>
    <n v="547.29429299999993"/>
    <n v="-236.4760321304347"/>
  </r>
  <r>
    <x v="3"/>
    <x v="53"/>
    <x v="34"/>
    <x v="0"/>
    <n v="37.64"/>
    <n v="1"/>
    <n v="37.64"/>
    <n v="1"/>
    <n v="37.64"/>
    <n v="116.884"/>
    <n v="118.98099999999999"/>
    <n v="1.0179"/>
    <n v="38.313756000000005"/>
    <m/>
    <n v="1"/>
    <s v="Sale"/>
    <x v="0"/>
    <x v="40"/>
    <x v="0"/>
    <n v="22.201304347826088"/>
    <n v="1"/>
    <n v="22.201304347826088"/>
    <n v="-15.438695652173912"/>
    <m/>
    <n v="38.313756000000005"/>
    <n v="-16.112451652173917"/>
  </r>
  <r>
    <x v="3"/>
    <x v="54"/>
    <x v="34"/>
    <x v="0"/>
    <n v="77.61"/>
    <n v="2"/>
    <n v="77.61"/>
    <n v="1"/>
    <n v="77.61"/>
    <n v="116.884"/>
    <n v="118.98099999999999"/>
    <n v="1.0179"/>
    <n v="78.999218999999997"/>
    <m/>
    <n v="2"/>
    <s v="Sale"/>
    <x v="0"/>
    <x v="40"/>
    <x v="0"/>
    <n v="44.402608695652177"/>
    <n v="1"/>
    <n v="44.402608695652177"/>
    <n v="-33.207391304347823"/>
    <m/>
    <n v="78.999218999999997"/>
    <n v="-34.59661030434782"/>
  </r>
  <r>
    <x v="3"/>
    <x v="55"/>
    <x v="34"/>
    <x v="0"/>
    <n v="27.44"/>
    <n v="1"/>
    <n v="27.44"/>
    <n v="1"/>
    <n v="27.44"/>
    <n v="117.30800000000001"/>
    <n v="118.98099999999999"/>
    <n v="1.0142"/>
    <n v="27.829648000000002"/>
    <m/>
    <n v="1"/>
    <s v="Sale"/>
    <x v="0"/>
    <x v="40"/>
    <x v="0"/>
    <n v="22.201304347826088"/>
    <n v="1"/>
    <n v="22.201304347826088"/>
    <n v="-5.238695652173913"/>
    <m/>
    <n v="27.829648000000002"/>
    <n v="-5.6283436521739141"/>
  </r>
  <r>
    <x v="3"/>
    <x v="55"/>
    <x v="34"/>
    <x v="0"/>
    <n v="136.71666666666667"/>
    <n v="5"/>
    <n v="136.71666666666667"/>
    <n v="1"/>
    <n v="136.71666666666667"/>
    <n v="117.30800000000001"/>
    <n v="118.98099999999999"/>
    <n v="1.0142"/>
    <n v="138.65804333333332"/>
    <m/>
    <n v="5"/>
    <s v="Sale"/>
    <x v="0"/>
    <x v="40"/>
    <x v="0"/>
    <n v="111.00652173913045"/>
    <n v="1"/>
    <n v="111.00652173913045"/>
    <n v="-25.71014492753622"/>
    <m/>
    <n v="138.65804333333332"/>
    <n v="-27.651521594202876"/>
  </r>
  <r>
    <x v="3"/>
    <x v="55"/>
    <x v="34"/>
    <x v="0"/>
    <n v="27.343333333333334"/>
    <n v="1"/>
    <n v="27.343333333333334"/>
    <n v="1"/>
    <n v="27.343333333333334"/>
    <n v="117.30800000000001"/>
    <n v="118.98099999999999"/>
    <n v="1.0142"/>
    <n v="27.731608666666666"/>
    <m/>
    <n v="1"/>
    <s v="Sale"/>
    <x v="0"/>
    <x v="40"/>
    <x v="0"/>
    <n v="22.06"/>
    <n v="1"/>
    <n v="22.06"/>
    <n v="-5.283333333333335"/>
    <m/>
    <n v="27.731608666666666"/>
    <n v="-5.6716086666666676"/>
  </r>
  <r>
    <x v="3"/>
    <x v="55"/>
    <x v="34"/>
    <x v="0"/>
    <n v="27.36"/>
    <n v="1"/>
    <n v="27.36"/>
    <n v="1"/>
    <n v="27.36"/>
    <n v="117.30800000000001"/>
    <n v="118.98099999999999"/>
    <n v="1.0142"/>
    <n v="27.748511999999998"/>
    <m/>
    <n v="1"/>
    <s v="Sale"/>
    <x v="0"/>
    <x v="19"/>
    <x v="0"/>
    <n v="22.99"/>
    <n v="1"/>
    <n v="22.99"/>
    <n v="-4.370000000000001"/>
    <m/>
    <n v="27.748511999999998"/>
    <n v="-4.7585119999999996"/>
  </r>
  <r>
    <x v="3"/>
    <x v="55"/>
    <x v="34"/>
    <x v="0"/>
    <n v="54.566666666666663"/>
    <n v="2"/>
    <n v="54.566666666666663"/>
    <n v="1"/>
    <n v="54.566666666666663"/>
    <n v="117.30800000000001"/>
    <n v="118.98099999999999"/>
    <n v="1.0142"/>
    <n v="55.341513333333332"/>
    <m/>
    <n v="2"/>
    <s v="Sale"/>
    <x v="0"/>
    <x v="19"/>
    <x v="0"/>
    <n v="47.03"/>
    <n v="1"/>
    <n v="47.03"/>
    <n v="-7.5366666666666617"/>
    <m/>
    <n v="55.341513333333332"/>
    <n v="-8.3115133333333304"/>
  </r>
  <r>
    <x v="3"/>
    <x v="55"/>
    <x v="34"/>
    <x v="0"/>
    <n v="27.283333333333331"/>
    <n v="1"/>
    <n v="27.283333333333331"/>
    <n v="1"/>
    <n v="27.283333333333331"/>
    <n v="117.30800000000001"/>
    <n v="118.98099999999999"/>
    <n v="1.0142"/>
    <n v="27.670756666666666"/>
    <m/>
    <n v="1"/>
    <s v="Sale"/>
    <x v="0"/>
    <x v="19"/>
    <x v="0"/>
    <n v="23.287500000000001"/>
    <n v="1"/>
    <n v="23.287500000000001"/>
    <n v="-3.99583333333333"/>
    <m/>
    <n v="27.670756666666666"/>
    <n v="-4.3832566666666644"/>
  </r>
  <r>
    <x v="3"/>
    <x v="55"/>
    <x v="34"/>
    <x v="0"/>
    <n v="82.389999999999986"/>
    <n v="3"/>
    <n v="82.389999999999986"/>
    <n v="1"/>
    <n v="82.389999999999986"/>
    <n v="117.30800000000001"/>
    <n v="118.98099999999999"/>
    <n v="1.0142"/>
    <n v="83.559937999999988"/>
    <m/>
    <n v="3"/>
    <s v="Sale"/>
    <x v="0"/>
    <x v="19"/>
    <x v="0"/>
    <n v="69.862500000000011"/>
    <n v="1"/>
    <n v="69.862500000000011"/>
    <n v="-12.527499999999975"/>
    <m/>
    <n v="83.559937999999988"/>
    <n v="-13.697437999999977"/>
  </r>
  <r>
    <x v="3"/>
    <x v="55"/>
    <x v="34"/>
    <x v="0"/>
    <n v="137.31666666666666"/>
    <n v="5"/>
    <n v="137.31666666666666"/>
    <n v="1"/>
    <n v="137.31666666666666"/>
    <n v="117.30800000000001"/>
    <n v="118.98099999999999"/>
    <n v="1.0142"/>
    <n v="139.26656333333332"/>
    <m/>
    <n v="5"/>
    <s v="Sale"/>
    <x v="0"/>
    <x v="19"/>
    <x v="0"/>
    <n v="115.47"/>
    <n v="1"/>
    <n v="115.47"/>
    <n v="-21.846666666666664"/>
    <m/>
    <n v="139.26656333333332"/>
    <n v="-23.796563333333324"/>
  </r>
  <r>
    <x v="3"/>
    <x v="55"/>
    <x v="34"/>
    <x v="0"/>
    <n v="27.463333333333331"/>
    <n v="1"/>
    <n v="27.463333333333331"/>
    <n v="1"/>
    <n v="27.463333333333331"/>
    <n v="117.30800000000001"/>
    <n v="118.98099999999999"/>
    <n v="1.0142"/>
    <n v="27.853312666666664"/>
    <m/>
    <n v="1"/>
    <s v="Sale"/>
    <x v="0"/>
    <x v="19"/>
    <x v="0"/>
    <n v="23.543333333333333"/>
    <n v="1"/>
    <n v="23.543333333333333"/>
    <n v="-3.9199999999999982"/>
    <m/>
    <n v="27.853312666666664"/>
    <n v="-4.3099793333333309"/>
  </r>
  <r>
    <x v="3"/>
    <x v="55"/>
    <x v="34"/>
    <x v="0"/>
    <n v="27.48"/>
    <n v="1"/>
    <n v="27.48"/>
    <n v="1"/>
    <n v="27.48"/>
    <n v="117.30800000000001"/>
    <n v="118.98099999999999"/>
    <n v="1.0142"/>
    <n v="27.870215999999999"/>
    <m/>
    <n v="1"/>
    <s v="Sale"/>
    <x v="0"/>
    <x v="19"/>
    <x v="0"/>
    <n v="23.543333333333333"/>
    <n v="1"/>
    <n v="23.543333333333333"/>
    <n v="-3.9366666666666674"/>
    <m/>
    <n v="27.870215999999999"/>
    <n v="-4.3268826666666662"/>
  </r>
  <r>
    <x v="3"/>
    <x v="55"/>
    <x v="34"/>
    <x v="0"/>
    <n v="26.99"/>
    <n v="1"/>
    <n v="26.99"/>
    <n v="1"/>
    <n v="26.99"/>
    <n v="117.30800000000001"/>
    <n v="118.98099999999999"/>
    <n v="1.0142"/>
    <n v="27.373258"/>
    <m/>
    <n v="1"/>
    <s v="Sale"/>
    <x v="0"/>
    <x v="19"/>
    <x v="0"/>
    <n v="23.543333333333333"/>
    <n v="1"/>
    <n v="23.543333333333333"/>
    <n v="-3.4466666666666654"/>
    <m/>
    <n v="27.373258"/>
    <n v="-3.8299246666666669"/>
  </r>
  <r>
    <x v="3"/>
    <x v="55"/>
    <x v="34"/>
    <x v="0"/>
    <n v="26.99"/>
    <n v="1"/>
    <n v="26.99"/>
    <n v="1"/>
    <n v="26.99"/>
    <n v="117.30800000000001"/>
    <n v="118.98099999999999"/>
    <n v="1.0142"/>
    <n v="27.373258"/>
    <m/>
    <n v="1"/>
    <s v="Sale"/>
    <x v="0"/>
    <x v="19"/>
    <x v="0"/>
    <n v="22.95"/>
    <n v="1"/>
    <n v="22.95"/>
    <n v="-4.0399999999999991"/>
    <m/>
    <n v="27.373258"/>
    <n v="-4.4232580000000006"/>
  </r>
  <r>
    <x v="3"/>
    <x v="55"/>
    <x v="34"/>
    <x v="0"/>
    <n v="26.99"/>
    <n v="1"/>
    <n v="26.99"/>
    <n v="1"/>
    <n v="26.99"/>
    <n v="117.30800000000001"/>
    <n v="118.98099999999999"/>
    <n v="1.0142"/>
    <n v="27.373258"/>
    <m/>
    <n v="1"/>
    <s v="Sale"/>
    <x v="0"/>
    <x v="19"/>
    <x v="0"/>
    <n v="22.768750000000001"/>
    <n v="1"/>
    <n v="22.768750000000001"/>
    <n v="-4.2212499999999977"/>
    <m/>
    <n v="27.373258"/>
    <n v="-4.6045079999999992"/>
  </r>
  <r>
    <x v="3"/>
    <x v="56"/>
    <x v="34"/>
    <x v="0"/>
    <n v="25.07"/>
    <n v="1"/>
    <n v="25.07"/>
    <n v="1"/>
    <n v="25.07"/>
    <n v="117.30800000000001"/>
    <n v="118.98099999999999"/>
    <n v="1.0142"/>
    <n v="25.425993999999999"/>
    <m/>
    <n v="1"/>
    <s v="Sale"/>
    <x v="0"/>
    <x v="19"/>
    <x v="0"/>
    <n v="22.768750000000001"/>
    <n v="1"/>
    <n v="22.768750000000001"/>
    <n v="-2.3012499999999996"/>
    <m/>
    <n v="25.425993999999999"/>
    <n v="-2.6572439999999986"/>
  </r>
  <r>
    <x v="3"/>
    <x v="56"/>
    <x v="34"/>
    <x v="0"/>
    <n v="148.88666666666668"/>
    <n v="6"/>
    <n v="148.88666666666668"/>
    <n v="1"/>
    <n v="148.88666666666668"/>
    <n v="117.30800000000001"/>
    <n v="118.98099999999999"/>
    <n v="1.0142"/>
    <n v="151.00085733333336"/>
    <m/>
    <n v="6"/>
    <s v="Sale"/>
    <x v="0"/>
    <x v="19"/>
    <x v="0"/>
    <n v="136.61250000000001"/>
    <n v="1"/>
    <n v="136.61250000000001"/>
    <n v="-12.274166666666673"/>
    <m/>
    <n v="151.00085733333336"/>
    <n v="-14.388357333333346"/>
  </r>
  <r>
    <x v="3"/>
    <x v="56"/>
    <x v="34"/>
    <x v="0"/>
    <n v="24.814444444444447"/>
    <n v="1"/>
    <n v="24.814444444444447"/>
    <n v="1"/>
    <n v="24.814444444444447"/>
    <n v="117.30800000000001"/>
    <n v="118.98099999999999"/>
    <n v="1.0142"/>
    <n v="25.16680955555556"/>
    <m/>
    <n v="1"/>
    <s v="Sale"/>
    <x v="0"/>
    <x v="19"/>
    <x v="0"/>
    <n v="23.16"/>
    <n v="1"/>
    <n v="23.16"/>
    <n v="-1.6544444444444473"/>
    <m/>
    <n v="25.16680955555556"/>
    <n v="-2.0068095555555594"/>
  </r>
  <r>
    <x v="3"/>
    <x v="56"/>
    <x v="34"/>
    <x v="0"/>
    <n v="49.628888888888895"/>
    <n v="2"/>
    <n v="49.628888888888895"/>
    <n v="1"/>
    <n v="49.628888888888895"/>
    <n v="117.30800000000001"/>
    <n v="118.98099999999999"/>
    <n v="1.0142"/>
    <n v="50.333619111111119"/>
    <m/>
    <n v="2"/>
    <s v="Sale"/>
    <x v="0"/>
    <x v="20"/>
    <x v="0"/>
    <n v="46.612499999999997"/>
    <n v="1"/>
    <n v="46.612499999999997"/>
    <n v="-3.0163888888888977"/>
    <m/>
    <n v="50.333619111111119"/>
    <n v="-3.7211191111111219"/>
  </r>
  <r>
    <x v="3"/>
    <x v="57"/>
    <x v="34"/>
    <x v="0"/>
    <n v="26.15"/>
    <n v="1"/>
    <n v="26.15"/>
    <n v="1"/>
    <n v="26.15"/>
    <n v="117.30800000000001"/>
    <n v="118.98099999999999"/>
    <n v="1.0142"/>
    <n v="26.521329999999999"/>
    <m/>
    <n v="1"/>
    <s v="Sale"/>
    <x v="0"/>
    <x v="20"/>
    <x v="0"/>
    <n v="23.306249999999999"/>
    <n v="1"/>
    <n v="23.306249999999999"/>
    <n v="-2.84375"/>
    <m/>
    <n v="26.521329999999999"/>
    <n v="-3.2150800000000004"/>
  </r>
  <r>
    <x v="3"/>
    <x v="57"/>
    <x v="34"/>
    <x v="0"/>
    <n v="132.26666666666665"/>
    <n v="5"/>
    <n v="132.26666666666665"/>
    <n v="1"/>
    <n v="132.26666666666665"/>
    <n v="117.30800000000001"/>
    <n v="118.98099999999999"/>
    <n v="1.0142"/>
    <n v="134.14485333333332"/>
    <m/>
    <n v="5"/>
    <s v="Sale"/>
    <x v="0"/>
    <x v="20"/>
    <x v="0"/>
    <n v="116.53125"/>
    <n v="1"/>
    <n v="116.53125"/>
    <n v="-15.735416666666652"/>
    <m/>
    <n v="134.14485333333332"/>
    <n v="-17.613603333333316"/>
  </r>
  <r>
    <x v="3"/>
    <x v="57"/>
    <x v="34"/>
    <x v="0"/>
    <n v="26.453333333333333"/>
    <n v="1"/>
    <n v="26.453333333333333"/>
    <n v="1"/>
    <n v="26.453333333333333"/>
    <n v="117.30800000000001"/>
    <n v="118.98099999999999"/>
    <n v="1.0142"/>
    <n v="26.828970666666667"/>
    <m/>
    <n v="1"/>
    <s v="Sale"/>
    <x v="0"/>
    <x v="20"/>
    <x v="0"/>
    <n v="23.51"/>
    <n v="1"/>
    <n v="23.51"/>
    <n v="-2.9433333333333316"/>
    <m/>
    <n v="26.828970666666667"/>
    <n v="-3.3189706666666652"/>
  </r>
  <r>
    <x v="3"/>
    <x v="57"/>
    <x v="34"/>
    <x v="0"/>
    <n v="25.9"/>
    <n v="1"/>
    <n v="25.9"/>
    <n v="1"/>
    <n v="25.9"/>
    <n v="117.30800000000001"/>
    <n v="118.98099999999999"/>
    <n v="1.0142"/>
    <n v="26.267779999999998"/>
    <m/>
    <n v="1"/>
    <s v="Sale"/>
    <x v="0"/>
    <x v="20"/>
    <x v="0"/>
    <n v="23.51"/>
    <n v="1"/>
    <n v="23.51"/>
    <n v="-2.389999999999997"/>
    <m/>
    <n v="26.267779999999998"/>
    <n v="-2.7577799999999968"/>
  </r>
  <r>
    <x v="3"/>
    <x v="57"/>
    <x v="34"/>
    <x v="0"/>
    <n v="25.9"/>
    <n v="1"/>
    <n v="25.9"/>
    <n v="1"/>
    <n v="25.9"/>
    <n v="117.30800000000001"/>
    <n v="118.98099999999999"/>
    <n v="1.0142"/>
    <n v="26.267779999999998"/>
    <m/>
    <n v="1"/>
    <s v="Sale"/>
    <x v="0"/>
    <x v="20"/>
    <x v="0"/>
    <n v="22.34"/>
    <n v="1"/>
    <n v="22.34"/>
    <n v="-3.5599999999999987"/>
    <m/>
    <n v="26.267779999999998"/>
    <n v="-3.9277799999999985"/>
  </r>
  <r>
    <x v="3"/>
    <x v="57"/>
    <x v="34"/>
    <x v="0"/>
    <n v="26.693750000000001"/>
    <n v="1"/>
    <n v="26.693750000000001"/>
    <n v="1"/>
    <n v="26.693750000000001"/>
    <n v="117.30800000000001"/>
    <n v="118.98099999999999"/>
    <n v="1.0142"/>
    <n v="27.072801250000001"/>
    <m/>
    <n v="1"/>
    <s v="Sale"/>
    <x v="0"/>
    <x v="20"/>
    <x v="0"/>
    <n v="22.34"/>
    <n v="1"/>
    <n v="22.34"/>
    <n v="-4.3537500000000016"/>
    <m/>
    <n v="27.072801250000001"/>
    <n v="-4.7328012500000014"/>
  </r>
  <r>
    <x v="3"/>
    <x v="57"/>
    <x v="34"/>
    <x v="0"/>
    <n v="53.387500000000003"/>
    <n v="2"/>
    <n v="53.387500000000003"/>
    <n v="1"/>
    <n v="53.387500000000003"/>
    <n v="117.30800000000001"/>
    <n v="118.98099999999999"/>
    <n v="1.0142"/>
    <n v="54.145602500000003"/>
    <m/>
    <n v="2"/>
    <s v="Sale"/>
    <x v="0"/>
    <x v="20"/>
    <x v="0"/>
    <n v="45.68"/>
    <n v="1"/>
    <n v="45.68"/>
    <n v="-7.7075000000000031"/>
    <m/>
    <n v="54.145602500000003"/>
    <n v="-8.4656025000000028"/>
  </r>
  <r>
    <x v="3"/>
    <x v="57"/>
    <x v="34"/>
    <x v="0"/>
    <n v="133.46875"/>
    <n v="5"/>
    <n v="133.46875"/>
    <n v="1"/>
    <n v="133.46875"/>
    <n v="117.30800000000001"/>
    <n v="118.98099999999999"/>
    <n v="1.0142"/>
    <n v="135.36400624999999"/>
    <m/>
    <n v="5"/>
    <s v="Sale"/>
    <x v="0"/>
    <x v="20"/>
    <x v="0"/>
    <n v="114.76333333333335"/>
    <n v="1"/>
    <n v="114.76333333333335"/>
    <n v="-18.70541666666665"/>
    <m/>
    <n v="135.36400624999999"/>
    <n v="-20.600672916666639"/>
  </r>
  <r>
    <x v="3"/>
    <x v="58"/>
    <x v="34"/>
    <x v="0"/>
    <n v="105.78"/>
    <n v="4"/>
    <n v="105.78"/>
    <n v="1"/>
    <n v="105.78"/>
    <n v="117.30800000000001"/>
    <n v="118.98099999999999"/>
    <n v="1.0142"/>
    <n v="107.282076"/>
    <m/>
    <n v="4"/>
    <s v="Sale"/>
    <x v="0"/>
    <x v="20"/>
    <x v="0"/>
    <n v="91.810666666666677"/>
    <n v="1"/>
    <n v="91.810666666666677"/>
    <n v="-13.969333333333324"/>
    <m/>
    <n v="107.282076"/>
    <n v="-15.471409333333327"/>
  </r>
  <r>
    <x v="3"/>
    <x v="59"/>
    <x v="34"/>
    <x v="0"/>
    <n v="22.74"/>
    <n v="1"/>
    <n v="22.74"/>
    <n v="1"/>
    <n v="22.74"/>
    <n v="118.002"/>
    <n v="118.98099999999999"/>
    <n v="1.0082"/>
    <n v="22.926468"/>
    <m/>
    <n v="1"/>
    <s v="Sale"/>
    <x v="0"/>
    <x v="20"/>
    <x v="0"/>
    <n v="22.952666666666669"/>
    <n v="1"/>
    <n v="22.952666666666669"/>
    <n v="0.21266666666667078"/>
    <m/>
    <n v="22.926468"/>
    <n v="2.6198666666669368E-2"/>
  </r>
  <r>
    <x v="3"/>
    <x v="59"/>
    <x v="34"/>
    <x v="0"/>
    <n v="45.53"/>
    <n v="2"/>
    <n v="45.53"/>
    <n v="1"/>
    <n v="45.53"/>
    <n v="118.002"/>
    <n v="118.98099999999999"/>
    <n v="1.0082"/>
    <n v="45.903345999999999"/>
    <m/>
    <n v="2"/>
    <s v="Sale"/>
    <x v="0"/>
    <x v="20"/>
    <x v="0"/>
    <n v="45.905333333333338"/>
    <n v="1"/>
    <n v="45.905333333333338"/>
    <n v="0.37533333333333729"/>
    <m/>
    <n v="45.903345999999999"/>
    <n v="1.9873333333393361E-3"/>
  </r>
  <r>
    <x v="3"/>
    <x v="59"/>
    <x v="34"/>
    <x v="0"/>
    <n v="68.215714285714284"/>
    <n v="3"/>
    <n v="68.215714285714284"/>
    <n v="1"/>
    <n v="68.215714285714284"/>
    <n v="118.002"/>
    <n v="118.98099999999999"/>
    <n v="1.0082"/>
    <n v="68.775083142857142"/>
    <m/>
    <n v="3"/>
    <s v="Sale"/>
    <x v="0"/>
    <x v="20"/>
    <x v="0"/>
    <n v="68.858000000000004"/>
    <n v="1"/>
    <n v="68.858000000000004"/>
    <n v="0.64228571428571968"/>
    <m/>
    <n v="68.775083142857142"/>
    <n v="8.2916857142862455E-2"/>
  </r>
  <r>
    <x v="3"/>
    <x v="59"/>
    <x v="34"/>
    <x v="0"/>
    <n v="45.477142857142852"/>
    <n v="2"/>
    <n v="45.477142857142852"/>
    <n v="1"/>
    <n v="45.477142857142852"/>
    <n v="118.002"/>
    <n v="118.98099999999999"/>
    <n v="1.0082"/>
    <n v="45.850055428571423"/>
    <m/>
    <n v="2"/>
    <s v="Sale"/>
    <x v="0"/>
    <x v="41"/>
    <x v="0"/>
    <n v="36.86"/>
    <n v="1"/>
    <n v="36.86"/>
    <n v="-8.6171428571428521"/>
    <m/>
    <n v="45.850055428571423"/>
    <n v="-8.9900554285714236"/>
  </r>
  <r>
    <x v="3"/>
    <x v="59"/>
    <x v="34"/>
    <x v="0"/>
    <n v="45.477142857142852"/>
    <n v="2"/>
    <n v="45.477142857142852"/>
    <n v="1"/>
    <n v="45.477142857142852"/>
    <n v="118.002"/>
    <n v="118.98099999999999"/>
    <n v="1.0082"/>
    <n v="45.850055428571423"/>
    <m/>
    <n v="2"/>
    <s v="Sale"/>
    <x v="0"/>
    <x v="41"/>
    <x v="0"/>
    <n v="37.822222222222223"/>
    <n v="1"/>
    <n v="37.822222222222223"/>
    <n v="-7.6549206349206287"/>
    <m/>
    <n v="45.850055428571423"/>
    <n v="-8.0278332063492002"/>
  </r>
  <r>
    <x v="3"/>
    <x v="60"/>
    <x v="34"/>
    <x v="0"/>
    <n v="22.8"/>
    <n v="1"/>
    <n v="22.8"/>
    <n v="1"/>
    <n v="22.8"/>
    <n v="118.002"/>
    <n v="118.98099999999999"/>
    <n v="1.0082"/>
    <n v="22.98696"/>
    <m/>
    <n v="1"/>
    <s v="Sale"/>
    <x v="0"/>
    <x v="41"/>
    <x v="0"/>
    <n v="18.911111111111111"/>
    <n v="1"/>
    <n v="18.911111111111111"/>
    <n v="-3.8888888888888893"/>
    <m/>
    <n v="22.98696"/>
    <n v="-4.0758488888888884"/>
  </r>
  <r>
    <x v="3"/>
    <x v="60"/>
    <x v="34"/>
    <x v="0"/>
    <n v="23.53"/>
    <n v="1"/>
    <n v="23.53"/>
    <n v="1"/>
    <n v="23.53"/>
    <n v="118.002"/>
    <n v="118.98099999999999"/>
    <n v="1.0082"/>
    <n v="23.722946"/>
    <m/>
    <n v="1"/>
    <s v="Sale"/>
    <x v="0"/>
    <x v="41"/>
    <x v="0"/>
    <n v="18.911111111111111"/>
    <n v="1"/>
    <n v="18.911111111111111"/>
    <n v="-4.6188888888888897"/>
    <m/>
    <n v="23.722946"/>
    <n v="-4.8118348888888889"/>
  </r>
  <r>
    <x v="3"/>
    <x v="60"/>
    <x v="34"/>
    <x v="0"/>
    <n v="113.34090909090909"/>
    <n v="5"/>
    <n v="113.34090909090909"/>
    <n v="1"/>
    <n v="113.34090909090909"/>
    <n v="118.002"/>
    <n v="118.98099999999999"/>
    <n v="1.0082"/>
    <n v="114.27030454545455"/>
    <m/>
    <n v="5"/>
    <s v="Sale"/>
    <x v="0"/>
    <x v="41"/>
    <x v="0"/>
    <n v="94.555555555555557"/>
    <n v="1"/>
    <n v="94.555555555555557"/>
    <n v="-18.785353535353536"/>
    <m/>
    <n v="114.27030454545455"/>
    <n v="-19.714748989898993"/>
  </r>
  <r>
    <x v="3"/>
    <x v="60"/>
    <x v="34"/>
    <x v="0"/>
    <n v="136.0090909090909"/>
    <n v="6"/>
    <n v="136.0090909090909"/>
    <n v="1"/>
    <n v="136.0090909090909"/>
    <n v="118.002"/>
    <n v="118.98099999999999"/>
    <n v="1.0082"/>
    <n v="137.12436545454545"/>
    <m/>
    <n v="6"/>
    <s v="Sale"/>
    <x v="0"/>
    <x v="41"/>
    <x v="0"/>
    <n v="112.95499999999998"/>
    <n v="1"/>
    <n v="112.95499999999998"/>
    <n v="-23.054090909090917"/>
    <m/>
    <n v="137.12436545454545"/>
    <n v="-24.169365454545471"/>
  </r>
  <r>
    <x v="3"/>
    <x v="60"/>
    <x v="34"/>
    <x v="0"/>
    <n v="114.79"/>
    <n v="5"/>
    <n v="114.79"/>
    <n v="1"/>
    <n v="114.79"/>
    <n v="118.002"/>
    <n v="118.98099999999999"/>
    <n v="1.0082"/>
    <n v="115.731278"/>
    <m/>
    <n v="5"/>
    <s v="Sale"/>
    <x v="0"/>
    <x v="41"/>
    <x v="0"/>
    <n v="94.129166666666663"/>
    <n v="1"/>
    <n v="94.129166666666663"/>
    <n v="-20.660833333333343"/>
    <m/>
    <n v="115.731278"/>
    <n v="-21.60211133333334"/>
  </r>
  <r>
    <x v="3"/>
    <x v="61"/>
    <x v="34"/>
    <x v="0"/>
    <n v="24.18"/>
    <n v="1"/>
    <n v="24.18"/>
    <n v="1"/>
    <n v="24.18"/>
    <n v="118.002"/>
    <n v="118.98099999999999"/>
    <n v="1.0082"/>
    <n v="24.378276"/>
    <m/>
    <n v="1"/>
    <s v="Sale"/>
    <x v="0"/>
    <x v="41"/>
    <x v="0"/>
    <n v="18.825833333333332"/>
    <n v="1"/>
    <n v="18.825833333333332"/>
    <n v="-5.3541666666666679"/>
    <m/>
    <n v="24.378276"/>
    <n v="-5.5524426666666677"/>
  </r>
  <r>
    <x v="3"/>
    <x v="61"/>
    <x v="34"/>
    <x v="0"/>
    <n v="20.188695652173912"/>
    <n v="1"/>
    <n v="20.188695652173912"/>
    <n v="1"/>
    <n v="20.188695652173912"/>
    <n v="118.002"/>
    <n v="118.98099999999999"/>
    <n v="1.0082"/>
    <n v="20.354242956521738"/>
    <m/>
    <n v="1"/>
    <s v="Sale"/>
    <x v="0"/>
    <x v="42"/>
    <x v="0"/>
    <n v="20.47"/>
    <n v="1"/>
    <n v="20.47"/>
    <n v="0.2813043478260866"/>
    <m/>
    <n v="20.354242956521738"/>
    <n v="0.11575704347826132"/>
  </r>
  <r>
    <x v="3"/>
    <x v="47"/>
    <x v="35"/>
    <x v="0"/>
    <n v="17674.472307692311"/>
    <n v="54"/>
    <n v="17674.472307692311"/>
    <n v="1"/>
    <n v="17674.472307692311"/>
    <n v="116.884"/>
    <n v="118.98099999999999"/>
    <n v="1.0179"/>
    <n v="17990.845362000004"/>
    <m/>
    <n v="54"/>
    <s v="Sale"/>
    <x v="0"/>
    <x v="37"/>
    <x v="0"/>
    <n v="13130.76"/>
    <n v="1"/>
    <n v="13130.76"/>
    <n v="-4543.7123076923108"/>
    <m/>
    <n v="17990.845362000004"/>
    <n v="-4860.0853620000034"/>
  </r>
  <r>
    <x v="3"/>
    <x v="47"/>
    <x v="35"/>
    <x v="0"/>
    <n v="9819.1512820512835"/>
    <n v="30"/>
    <n v="9819.1512820512835"/>
    <n v="1"/>
    <n v="9819.1512820512835"/>
    <n v="116.884"/>
    <n v="118.98099999999999"/>
    <n v="1.0179"/>
    <n v="9994.914090000002"/>
    <m/>
    <n v="30"/>
    <s v="Sale"/>
    <x v="0"/>
    <x v="38"/>
    <x v="0"/>
    <n v="6956.21"/>
    <n v="1"/>
    <n v="6956.21"/>
    <n v="-2862.9412820512835"/>
    <m/>
    <n v="9994.914090000002"/>
    <n v="-3038.704090000002"/>
  </r>
  <r>
    <x v="3"/>
    <x v="47"/>
    <x v="36"/>
    <x v="0"/>
    <n v="3312.2174311926601"/>
    <n v="10"/>
    <n v="3312.2174311926601"/>
    <n v="1"/>
    <n v="3312.2174311926601"/>
    <n v="116.884"/>
    <n v="118.002"/>
    <n v="1.0095000000000001"/>
    <n v="3343.6834967889904"/>
    <m/>
    <n v="10"/>
    <s v="Sale"/>
    <x v="0"/>
    <x v="43"/>
    <x v="0"/>
    <n v="3173.49"/>
    <n v="1"/>
    <n v="3173.49"/>
    <n v="-138.72743119266033"/>
    <m/>
    <n v="3343.6834967889904"/>
    <n v="-170.19349678899061"/>
  </r>
  <r>
    <x v="3"/>
    <x v="47"/>
    <x v="36"/>
    <x v="0"/>
    <n v="2649.7739449541282"/>
    <n v="8"/>
    <n v="2649.7739449541282"/>
    <n v="1"/>
    <n v="2649.7739449541282"/>
    <n v="116.884"/>
    <n v="118.002"/>
    <n v="1.0095000000000001"/>
    <n v="2674.9467974311924"/>
    <m/>
    <n v="8"/>
    <s v="Sale"/>
    <x v="0"/>
    <x v="44"/>
    <x v="0"/>
    <n v="2483.88"/>
    <n v="1"/>
    <n v="2483.88"/>
    <n v="-165.89394495412807"/>
    <m/>
    <n v="2674.9467974311924"/>
    <n v="-191.0667974311923"/>
  </r>
  <r>
    <x v="3"/>
    <x v="47"/>
    <x v="36"/>
    <x v="0"/>
    <n v="2980.9956880733944"/>
    <n v="9"/>
    <n v="2980.9956880733944"/>
    <n v="1"/>
    <n v="2980.9956880733944"/>
    <n v="116.884"/>
    <n v="121.02200000000001"/>
    <n v="1.0354000000000001"/>
    <n v="3086.5229354311928"/>
    <m/>
    <n v="9"/>
    <s v="Sale"/>
    <x v="0"/>
    <x v="45"/>
    <x v="0"/>
    <n v="2387.54"/>
    <n v="1"/>
    <n v="2387.54"/>
    <n v="-593.45568807339441"/>
    <m/>
    <n v="3086.5229354311928"/>
    <n v="-698.9829354311928"/>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3"/>
    <x v="62"/>
    <x v="37"/>
    <x v="0"/>
    <n v="405.76"/>
    <n v="1"/>
    <n v="405.76"/>
    <n v="1"/>
    <n v="405.76"/>
    <n v="118.002"/>
    <n v="120.15900000000001"/>
    <n v="1.0182"/>
    <n v="413.14483200000001"/>
    <m/>
    <n v="1"/>
    <s v="Sale"/>
    <x v="0"/>
    <x v="25"/>
    <x v="0"/>
    <n v="290.14999999999998"/>
    <n v="1"/>
    <n v="290.14999999999998"/>
    <n v="-115.61000000000001"/>
    <m/>
    <n v="413.14483200000001"/>
    <n v="-122.99483200000003"/>
  </r>
  <r>
    <x v="3"/>
    <x v="62"/>
    <x v="37"/>
    <x v="0"/>
    <n v="389.13"/>
    <n v="1"/>
    <n v="389.13"/>
    <n v="1"/>
    <n v="389.13"/>
    <n v="118.002"/>
    <n v="120.15900000000001"/>
    <n v="1.0182"/>
    <n v="396.21216599999997"/>
    <m/>
    <n v="1"/>
    <s v="Sale"/>
    <x v="0"/>
    <x v="25"/>
    <x v="0"/>
    <n v="287.685"/>
    <n v="1"/>
    <n v="287.685"/>
    <n v="-101.44499999999999"/>
    <m/>
    <n v="396.21216599999997"/>
    <n v="-108.52716599999997"/>
  </r>
  <r>
    <x v="3"/>
    <x v="62"/>
    <x v="37"/>
    <x v="0"/>
    <n v="389.43"/>
    <n v="1"/>
    <n v="389.43"/>
    <n v="1"/>
    <n v="389.43"/>
    <n v="118.002"/>
    <n v="120.15900000000001"/>
    <n v="1.0182"/>
    <n v="396.51762600000001"/>
    <m/>
    <n v="1"/>
    <s v="Sale"/>
    <x v="0"/>
    <x v="25"/>
    <x v="0"/>
    <n v="287.685"/>
    <n v="1"/>
    <n v="287.685"/>
    <n v="-101.745"/>
    <m/>
    <n v="396.51762600000001"/>
    <n v="-108.832626"/>
  </r>
  <r>
    <x v="3"/>
    <x v="62"/>
    <x v="37"/>
    <x v="0"/>
    <n v="1185.96"/>
    <n v="3"/>
    <n v="1185.96"/>
    <n v="1"/>
    <n v="1185.96"/>
    <n v="118.002"/>
    <n v="120.15900000000001"/>
    <n v="1.0182"/>
    <n v="1207.544472"/>
    <m/>
    <n v="3"/>
    <s v="Sale"/>
    <x v="0"/>
    <x v="25"/>
    <x v="0"/>
    <n v="896.55"/>
    <n v="1"/>
    <n v="896.55"/>
    <n v="-289.41000000000008"/>
    <m/>
    <n v="1207.544472"/>
    <n v="-310.99447200000009"/>
  </r>
  <r>
    <x v="3"/>
    <x v="47"/>
    <x v="38"/>
    <x v="0"/>
    <n v="3161.4759493670881"/>
    <n v="12"/>
    <n v="3161.4759493670881"/>
    <n v="1"/>
    <n v="3161.4759493670881"/>
    <n v="116.884"/>
    <n v="120.15900000000001"/>
    <n v="1.028"/>
    <n v="3249.9972759493667"/>
    <m/>
    <n v="12"/>
    <s v="Sale"/>
    <x v="0"/>
    <x v="46"/>
    <x v="0"/>
    <n v="3345.96"/>
    <n v="1"/>
    <n v="3345.96"/>
    <n v="184.48405063291193"/>
    <m/>
    <n v="3249.9972759493667"/>
    <n v="95.962724050633369"/>
  </r>
  <r>
    <x v="3"/>
    <x v="47"/>
    <x v="38"/>
    <x v="0"/>
    <n v="2898.0196202531642"/>
    <n v="11"/>
    <n v="2898.0196202531642"/>
    <n v="1"/>
    <n v="2898.0196202531642"/>
    <n v="116.884"/>
    <n v="120.15900000000001"/>
    <n v="1.028"/>
    <n v="2979.1641696202528"/>
    <m/>
    <n v="11"/>
    <s v="Sale"/>
    <x v="0"/>
    <x v="47"/>
    <x v="0"/>
    <n v="3007.67"/>
    <n v="1"/>
    <n v="3007.67"/>
    <n v="109.65037974683582"/>
    <m/>
    <n v="2979.1641696202528"/>
    <n v="28.505830379747295"/>
  </r>
  <r>
    <x v="3"/>
    <x v="47"/>
    <x v="38"/>
    <x v="0"/>
    <n v="2371.1069620253161"/>
    <n v="9"/>
    <n v="2371.1069620253161"/>
    <n v="1"/>
    <n v="2371.1069620253161"/>
    <n v="116.884"/>
    <n v="120.809"/>
    <n v="1.0335000000000001"/>
    <n v="2450.5390452531642"/>
    <m/>
    <n v="9"/>
    <s v="Sale"/>
    <x v="0"/>
    <x v="48"/>
    <x v="0"/>
    <n v="2387.7600000000002"/>
    <n v="1"/>
    <n v="2387.7600000000002"/>
    <n v="16.653037974684139"/>
    <m/>
    <n v="2450.5390452531642"/>
    <n v="-62.779045253163986"/>
  </r>
  <r>
    <x v="3"/>
    <x v="47"/>
    <x v="39"/>
    <x v="0"/>
    <n v="2076.1114285714289"/>
    <n v="4"/>
    <n v="2076.1114285714289"/>
    <n v="1"/>
    <n v="2076.1114285714289"/>
    <n v="116.884"/>
    <n v="122.044"/>
    <n v="1.0441"/>
    <n v="2167.6679425714287"/>
    <m/>
    <n v="4"/>
    <s v="Sale"/>
    <x v="0"/>
    <x v="49"/>
    <x v="0"/>
    <n v="1205.8800000000001"/>
    <n v="1"/>
    <n v="1205.8800000000001"/>
    <n v="-870.23142857142875"/>
    <m/>
    <n v="2167.6679425714287"/>
    <n v="-961.78794257142863"/>
  </r>
  <r>
    <x v="3"/>
    <x v="47"/>
    <x v="40"/>
    <x v="0"/>
    <n v="3010.4770270270269"/>
    <n v="10"/>
    <n v="3010.4770270270269"/>
    <n v="1"/>
    <n v="3010.4770270270269"/>
    <n v="116.884"/>
    <n v="122.044"/>
    <n v="1.0441"/>
    <n v="3143.2390639189189"/>
    <m/>
    <n v="10"/>
    <s v="Sale"/>
    <x v="0"/>
    <x v="50"/>
    <x v="0"/>
    <n v="1755.31"/>
    <n v="1"/>
    <n v="1755.31"/>
    <n v="-1255.167027027027"/>
    <m/>
    <n v="3143.2390639189189"/>
    <n v="-1387.9290639189189"/>
  </r>
  <r>
    <x v="3"/>
    <x v="47"/>
    <x v="41"/>
    <x v="0"/>
    <n v="2444.1228000000001"/>
    <n v="7"/>
    <n v="2444.1228000000001"/>
    <n v="1"/>
    <n v="2444.1228000000001"/>
    <n v="116.884"/>
    <n v="120.15900000000001"/>
    <n v="1.028"/>
    <n v="2512.5582383999999"/>
    <m/>
    <n v="7"/>
    <s v="Sale"/>
    <x v="0"/>
    <x v="51"/>
    <x v="0"/>
    <n v="2129.61"/>
    <n v="1"/>
    <n v="2129.61"/>
    <n v="-314.51279999999997"/>
    <m/>
    <n v="2512.5582383999999"/>
    <n v="-382.94823839999981"/>
  </r>
  <r>
    <x v="2"/>
    <x v="6"/>
    <x v="4"/>
    <x v="1"/>
    <m/>
    <n v="0"/>
    <n v="0"/>
    <n v="0"/>
    <n v="0"/>
    <n v="0"/>
    <n v="0"/>
    <n v="0"/>
    <n v="0"/>
    <m/>
    <m/>
    <m/>
    <x v="1"/>
    <x v="7"/>
    <x v="1"/>
    <m/>
    <n v="0"/>
    <n v="0"/>
    <n v="0"/>
    <m/>
    <n v="0"/>
    <n v="0"/>
  </r>
  <r>
    <x v="3"/>
    <x v="47"/>
    <x v="42"/>
    <x v="0"/>
    <n v="2277.77"/>
    <n v="11"/>
    <n v="2277.77"/>
    <n v="1"/>
    <n v="2277.77"/>
    <n v="116.884"/>
    <n v="122.044"/>
    <n v="1.0441"/>
    <n v="2378.2196570000001"/>
    <m/>
    <n v="11"/>
    <s v="Sale"/>
    <x v="0"/>
    <x v="52"/>
    <x v="0"/>
    <n v="2202.73"/>
    <n v="1"/>
    <n v="2202.73"/>
    <n v="-75.039999999999964"/>
    <m/>
    <n v="2378.2196570000001"/>
    <n v="-175.48965700000008"/>
  </r>
  <r>
    <x v="3"/>
    <x v="47"/>
    <x v="42"/>
    <x v="0"/>
    <n v="1656.56"/>
    <n v="8"/>
    <n v="1656.56"/>
    <n v="1"/>
    <n v="1656.56"/>
    <n v="116.884"/>
    <n v="122.044"/>
    <n v="1.0441"/>
    <n v="1729.614296"/>
    <m/>
    <n v="8"/>
    <s v="Sale"/>
    <x v="0"/>
    <x v="53"/>
    <x v="0"/>
    <n v="1618.37"/>
    <n v="1"/>
    <n v="1618.37"/>
    <n v="-38.190000000000055"/>
    <m/>
    <n v="1729.614296"/>
    <n v="-111.24429600000008"/>
  </r>
  <r>
    <x v="4"/>
    <x v="63"/>
    <x v="43"/>
    <x v="2"/>
    <n v="27856.331364455556"/>
    <n v="257.10000000000002"/>
    <n v="27856.331364455556"/>
    <n v="1.0948"/>
    <n v="30497.111577805943"/>
    <n v="105.755"/>
    <n v="121.02200000000001"/>
    <n v="1.1443000000000001"/>
    <n v="34897.844778483341"/>
    <m/>
    <n v="257.10000000000002"/>
    <s v="Sale"/>
    <x v="0"/>
    <x v="54"/>
    <x v="2"/>
    <n v="39650.454510192452"/>
    <n v="1.07115"/>
    <n v="42471.584348592645"/>
    <n v="11974.472770786702"/>
    <m/>
    <n v="34897.844778483341"/>
    <n v="7573.7395701093046"/>
  </r>
  <r>
    <x v="4"/>
    <x v="64"/>
    <x v="43"/>
    <x v="2"/>
    <n v="22413.95"/>
    <n v="178.02"/>
    <n v="22413.95"/>
    <n v="1.1228499999999999"/>
    <n v="25167.503757499999"/>
    <n v="106.74299999999999"/>
    <n v="121.02200000000001"/>
    <n v="1.1336999999999999"/>
    <n v="28532.399009877747"/>
    <m/>
    <n v="178.02"/>
    <s v="Sale"/>
    <x v="0"/>
    <x v="54"/>
    <x v="2"/>
    <n v="27454.585421643176"/>
    <n v="1.07115"/>
    <n v="29407.979174393091"/>
    <n v="4240.4754168930922"/>
    <m/>
    <n v="28532.399009877747"/>
    <n v="875.58016451534422"/>
  </r>
  <r>
    <x v="4"/>
    <x v="65"/>
    <x v="43"/>
    <x v="2"/>
    <n v="127070.74000000002"/>
    <n v="853.05"/>
    <n v="127070.74000000002"/>
    <n v="1.2040500000000001"/>
    <n v="152999.52449700003"/>
    <n v="112.19"/>
    <n v="121.02200000000001"/>
    <n v="1.0787"/>
    <n v="165040.58707491393"/>
    <m/>
    <n v="853.05"/>
    <s v="Sale"/>
    <x v="0"/>
    <x v="54"/>
    <x v="2"/>
    <n v="131559.00513387658"/>
    <n v="1.07115"/>
    <n v="140919.42834915189"/>
    <n v="-12080.096147848148"/>
    <m/>
    <n v="165040.58707491393"/>
    <n v="-24121.158725762041"/>
  </r>
  <r>
    <x v="4"/>
    <x v="66"/>
    <x v="43"/>
    <x v="2"/>
    <n v="109091.6592240559"/>
    <n v="730.48000000000025"/>
    <n v="109091.6592240559"/>
    <n v="1.2040500000000001"/>
    <n v="131351.8122887245"/>
    <n v="112.19"/>
    <n v="121.02200000000001"/>
    <n v="1.0787"/>
    <n v="141689.1999158471"/>
    <m/>
    <n v="730.48000000000025"/>
    <s v="Sale"/>
    <x v="0"/>
    <x v="54"/>
    <x v="2"/>
    <n v="112656.02493428779"/>
    <n v="1.07115"/>
    <n v="120671.50110836238"/>
    <n v="-10680.311180362114"/>
    <m/>
    <n v="141689.1999158471"/>
    <n v="-21017.698807484718"/>
  </r>
  <r>
    <x v="4"/>
    <x v="67"/>
    <x v="44"/>
    <x v="3"/>
    <n v="17176920.487764705"/>
    <n v="1215.94"/>
    <n v="17176920.487764705"/>
    <n v="9.2700000000000005E-3"/>
    <n v="159230.05292157881"/>
    <n v="106.74299999999999"/>
    <n v="118.98099999999999"/>
    <n v="1.1146"/>
    <n v="177477.81698639176"/>
    <m/>
    <n v="1215.94"/>
    <s v="Sale"/>
    <x v="0"/>
    <x v="38"/>
    <x v="3"/>
    <n v="21201471"/>
    <n v="8.6800000000000002E-3"/>
    <n v="184028.76828000002"/>
    <n v="24798.715358421206"/>
    <m/>
    <n v="177477.81698639176"/>
    <n v="6550.951293608261"/>
  </r>
  <r>
    <x v="4"/>
    <x v="68"/>
    <x v="45"/>
    <x v="0"/>
    <n v="93236.76"/>
    <n v="78055.053"/>
    <n v="93236.76"/>
    <n v="1"/>
    <n v="93236.76"/>
    <n v="113.018"/>
    <n v="118.002"/>
    <n v="1.044"/>
    <n v="97339.177439999999"/>
    <m/>
    <n v="78055.053"/>
    <s v="Sale"/>
    <x v="0"/>
    <x v="55"/>
    <x v="0"/>
    <n v="92424.99"/>
    <n v="1"/>
    <n v="92424.99"/>
    <n v="-811.76999999998952"/>
    <m/>
    <n v="97339.177439999999"/>
    <n v="-4914.1874399999942"/>
  </r>
  <r>
    <x v="4"/>
    <x v="69"/>
    <x v="46"/>
    <x v="0"/>
    <n v="172908.79999999999"/>
    <n v="753"/>
    <n v="172908.79999999999"/>
    <n v="1"/>
    <n v="172908.79999999999"/>
    <n v="110.907"/>
    <n v="118.98099999999999"/>
    <n v="1.0727"/>
    <n v="185479.26976"/>
    <m/>
    <n v="753"/>
    <s v="Sale"/>
    <x v="0"/>
    <x v="37"/>
    <x v="0"/>
    <n v="183590.14578125"/>
    <n v="1"/>
    <n v="183590.14578125"/>
    <n v="10681.345781250013"/>
    <m/>
    <n v="185479.26976"/>
    <n v="-1889.1239787499944"/>
  </r>
  <r>
    <x v="4"/>
    <x v="68"/>
    <x v="46"/>
    <x v="0"/>
    <n v="47984.62"/>
    <n v="207"/>
    <n v="47984.62"/>
    <n v="1"/>
    <n v="47984.62"/>
    <n v="113.018"/>
    <n v="118.98099999999999"/>
    <n v="1.0527"/>
    <n v="50513.409474"/>
    <m/>
    <n v="207"/>
    <s v="Sale"/>
    <x v="0"/>
    <x v="37"/>
    <x v="0"/>
    <n v="50469.00421875"/>
    <n v="1"/>
    <n v="50469.00421875"/>
    <n v="2484.3842187499977"/>
    <m/>
    <n v="50513.409474"/>
    <n v="-44.405255249999755"/>
  </r>
  <r>
    <x v="4"/>
    <x v="1"/>
    <x v="47"/>
    <x v="0"/>
    <n v="139797.25530589334"/>
    <n v="521"/>
    <n v="139797.25530589334"/>
    <n v="1"/>
    <n v="139797.25530589334"/>
    <n v="105.934"/>
    <n v="120.809"/>
    <n v="1.1404000000000001"/>
    <n v="159424.78995084079"/>
    <m/>
    <n v="521"/>
    <s v="Sale"/>
    <x v="0"/>
    <x v="56"/>
    <x v="0"/>
    <n v="234318.32"/>
    <n v="1"/>
    <n v="234318.32"/>
    <n v="94521.064694106666"/>
    <m/>
    <n v="159424.78995084079"/>
    <n v="74893.530049159221"/>
  </r>
  <r>
    <x v="4"/>
    <x v="70"/>
    <x v="48"/>
    <x v="2"/>
    <n v="147887.98000000001"/>
    <n v="25125"/>
    <n v="147887.98000000001"/>
    <n v="1.2040500000000001"/>
    <n v="178064.52231900001"/>
    <n v="112.19"/>
    <n v="118.98099999999999"/>
    <n v="1.0605"/>
    <n v="188837.42591929951"/>
    <m/>
    <n v="25125"/>
    <s v="Sale"/>
    <x v="0"/>
    <x v="37"/>
    <x v="2"/>
    <n v="175940.31425078944"/>
    <n v="1.1228499999999999"/>
    <n v="197554.5818564989"/>
    <n v="19490.059537498892"/>
    <m/>
    <n v="188837.42591929951"/>
    <n v="8717.1559371993935"/>
  </r>
  <r>
    <x v="4"/>
    <x v="68"/>
    <x v="48"/>
    <x v="2"/>
    <n v="26589.32"/>
    <n v="4326"/>
    <n v="26589.32"/>
    <n v="1.1856"/>
    <n v="31524.297791999998"/>
    <n v="113.018"/>
    <n v="118.98099999999999"/>
    <n v="1.0527"/>
    <n v="33185.628285638399"/>
    <m/>
    <n v="4326"/>
    <s v="Sale"/>
    <x v="0"/>
    <x v="37"/>
    <x v="2"/>
    <n v="30293.245749210553"/>
    <n v="1.1228499999999999"/>
    <n v="34014.77098950107"/>
    <n v="2490.4731975010727"/>
    <m/>
    <n v="33185.628285638399"/>
    <n v="829.14270386267162"/>
  </r>
  <r>
    <x v="4"/>
    <x v="71"/>
    <x v="49"/>
    <x v="0"/>
    <n v="439660.169711828"/>
    <n v="81144"/>
    <n v="439660.169711828"/>
    <n v="1"/>
    <n v="439660.169711828"/>
    <n v="113.682"/>
    <n v="118.002"/>
    <n v="1.038"/>
    <n v="456367.25616087747"/>
    <m/>
    <n v="81144"/>
    <s v="Sale"/>
    <x v="0"/>
    <x v="23"/>
    <x v="0"/>
    <n v="434716.59"/>
    <n v="1"/>
    <n v="434716.59"/>
    <n v="-4943.5797118279734"/>
    <m/>
    <n v="456367.25616087747"/>
    <n v="-21650.666160877445"/>
  </r>
  <r>
    <x v="4"/>
    <x v="72"/>
    <x v="49"/>
    <x v="0"/>
    <n v="13849.867363477924"/>
    <n v="2556"/>
    <n v="13849.867363477924"/>
    <n v="1"/>
    <n v="13849.867363477924"/>
    <n v="113.682"/>
    <n v="120.15900000000001"/>
    <n v="1.0569"/>
    <n v="14637.924816459818"/>
    <m/>
    <n v="2556"/>
    <s v="Sale"/>
    <x v="0"/>
    <x v="57"/>
    <x v="0"/>
    <n v="13436.681485954125"/>
    <n v="1"/>
    <n v="13436.681485954125"/>
    <n v="-413.18587752379972"/>
    <m/>
    <n v="14637.924816459818"/>
    <n v="-1201.2433305056929"/>
  </r>
  <r>
    <x v="4"/>
    <x v="72"/>
    <x v="49"/>
    <x v="0"/>
    <n v="427671.54984241864"/>
    <n v="78927"/>
    <n v="427671.54984241864"/>
    <n v="1"/>
    <n v="427671.54984241864"/>
    <n v="113.682"/>
    <n v="120.15900000000001"/>
    <n v="1.0569"/>
    <n v="452006.06102845224"/>
    <m/>
    <n v="78927"/>
    <s v="Sale"/>
    <x v="0"/>
    <x v="57"/>
    <x v="0"/>
    <n v="414912.73851404584"/>
    <n v="1"/>
    <n v="414912.73851404584"/>
    <n v="-12758.811328372802"/>
    <m/>
    <n v="452006.06102845224"/>
    <n v="-37093.322514406405"/>
  </r>
  <r>
    <x v="4"/>
    <x v="73"/>
    <x v="50"/>
    <x v="0"/>
    <n v="301398.61587744713"/>
    <n v="2886.1309999999999"/>
    <n v="301398.61587744713"/>
    <n v="1"/>
    <n v="301398.61587744713"/>
    <n v="106.16200000000001"/>
    <n v="118.002"/>
    <n v="1.1114999999999999"/>
    <n v="335004.56154778245"/>
    <m/>
    <n v="2886.1309999999999"/>
    <s v="Sale"/>
    <x v="0"/>
    <x v="33"/>
    <x v="0"/>
    <n v="347490.17"/>
    <n v="1"/>
    <n v="347490.17"/>
    <n v="46091.554122552858"/>
    <m/>
    <n v="335004.56154778245"/>
    <n v="12485.608452217537"/>
  </r>
  <r>
    <x v="4"/>
    <x v="1"/>
    <x v="51"/>
    <x v="2"/>
    <n v="153137.87"/>
    <n v="1009"/>
    <n v="153137.87"/>
    <n v="1.1225000000000001"/>
    <n v="171897.25907500001"/>
    <n v="105.934"/>
    <n v="118.98099999999999"/>
    <n v="1.1231"/>
    <n v="193057.81166713251"/>
    <m/>
    <n v="1009"/>
    <s v="Sale"/>
    <x v="0"/>
    <x v="37"/>
    <x v="2"/>
    <n v="182255.91201107012"/>
    <n v="1.1228499999999999"/>
    <n v="204646.05080163007"/>
    <n v="32748.791726630065"/>
    <m/>
    <n v="193057.81166713251"/>
    <n v="11588.239134497562"/>
  </r>
  <r>
    <x v="4"/>
    <x v="68"/>
    <x v="51"/>
    <x v="2"/>
    <n v="12931.81"/>
    <n v="75"/>
    <n v="12931.81"/>
    <n v="1.1856"/>
    <n v="15331.953936"/>
    <n v="113.018"/>
    <n v="118.98099999999999"/>
    <n v="1.0527"/>
    <n v="16139.947908427199"/>
    <m/>
    <n v="75"/>
    <s v="Sale"/>
    <x v="0"/>
    <x v="37"/>
    <x v="2"/>
    <n v="13547.267988929889"/>
    <n v="1.1228499999999999"/>
    <n v="15211.549861369924"/>
    <n v="-120.40407463007614"/>
    <m/>
    <n v="16139.947908427199"/>
    <n v="-928.39804705727511"/>
  </r>
  <r>
    <x v="4"/>
    <x v="74"/>
    <x v="52"/>
    <x v="2"/>
    <n v="141687.57999999999"/>
    <n v="950"/>
    <n v="141687.57999999999"/>
    <n v="1.2145999999999999"/>
    <n v="172093.73466799996"/>
    <n v="110.21"/>
    <n v="118.98099999999999"/>
    <n v="1.0794999999999999"/>
    <n v="185775.18657410593"/>
    <m/>
    <n v="950"/>
    <s v="Sale"/>
    <x v="0"/>
    <x v="37"/>
    <x v="2"/>
    <n v="146120.94399999999"/>
    <n v="1.1228499999999999"/>
    <n v="164071.90197039998"/>
    <n v="-8021.8326975999807"/>
    <m/>
    <n v="185775.18657410593"/>
    <n v="-21703.28460370595"/>
  </r>
  <r>
    <x v="4"/>
    <x v="68"/>
    <x v="52"/>
    <x v="2"/>
    <n v="43795.500000000007"/>
    <n v="300"/>
    <n v="43795.500000000007"/>
    <n v="1.1856"/>
    <n v="51923.944800000005"/>
    <n v="113.018"/>
    <n v="118.98099999999999"/>
    <n v="1.0527"/>
    <n v="54660.336690960001"/>
    <m/>
    <n v="300"/>
    <s v="Sale"/>
    <x v="0"/>
    <x v="37"/>
    <x v="2"/>
    <n v="46143.455999999998"/>
    <n v="1.1228499999999999"/>
    <n v="51812.179569599997"/>
    <n v="-111.76523040000757"/>
    <m/>
    <n v="54660.336690960001"/>
    <n v="-2848.1571213600037"/>
  </r>
  <r>
    <x v="4"/>
    <x v="75"/>
    <x v="53"/>
    <x v="0"/>
    <n v="186046.95225490196"/>
    <n v="2951"/>
    <n v="186046.95225490196"/>
    <n v="1"/>
    <n v="186046.95225490196"/>
    <n v="113.682"/>
    <n v="118.98099999999999"/>
    <n v="1.0466"/>
    <n v="194716.74022998038"/>
    <m/>
    <n v="2951"/>
    <s v="Sale"/>
    <x v="0"/>
    <x v="37"/>
    <x v="0"/>
    <n v="205401.52"/>
    <n v="1"/>
    <n v="205401.52"/>
    <n v="19354.567745098029"/>
    <m/>
    <n v="194716.74022998038"/>
    <n v="10684.77977001961"/>
  </r>
  <r>
    <x v="1"/>
    <x v="76"/>
    <x v="54"/>
    <x v="0"/>
    <n v="157.65818181818182"/>
    <n v="2"/>
    <n v="157.65818181818182"/>
    <n v="1"/>
    <n v="157.65818181818182"/>
    <n v="110.907"/>
    <n v="118.98099999999999"/>
    <n v="1.0727"/>
    <n v="169.11993163636365"/>
    <m/>
    <n v="2"/>
    <s v="Sale"/>
    <x v="0"/>
    <x v="35"/>
    <x v="0"/>
    <n v="151.44"/>
    <n v="1"/>
    <n v="151.44"/>
    <n v="-6.2181818181818187"/>
    <m/>
    <n v="169.11993163636365"/>
    <n v="-17.679931636363648"/>
  </r>
  <r>
    <x v="1"/>
    <x v="76"/>
    <x v="54"/>
    <x v="0"/>
    <n v="236.48727272727274"/>
    <n v="3"/>
    <n v="236.48727272727274"/>
    <n v="1"/>
    <n v="236.48727272727274"/>
    <n v="110.907"/>
    <n v="118.98099999999999"/>
    <n v="1.0727"/>
    <n v="253.67989745454545"/>
    <m/>
    <n v="3"/>
    <s v="Sale"/>
    <x v="0"/>
    <x v="35"/>
    <x v="0"/>
    <n v="228.57"/>
    <n v="1"/>
    <n v="228.57"/>
    <n v="-7.9172727272727457"/>
    <m/>
    <n v="253.67989745454545"/>
    <n v="-25.109897454545461"/>
  </r>
  <r>
    <x v="1"/>
    <x v="76"/>
    <x v="54"/>
    <x v="0"/>
    <n v="709.46181818181822"/>
    <n v="9"/>
    <n v="709.46181818181822"/>
    <n v="1"/>
    <n v="709.46181818181822"/>
    <n v="110.907"/>
    <n v="118.98099999999999"/>
    <n v="1.0727"/>
    <n v="761.03969236363639"/>
    <m/>
    <n v="9"/>
    <s v="Sale"/>
    <x v="0"/>
    <x v="35"/>
    <x v="0"/>
    <n v="689.85"/>
    <n v="1"/>
    <n v="689.85"/>
    <n v="-19.611818181818194"/>
    <m/>
    <n v="761.03969236363639"/>
    <n v="-71.189692363636368"/>
  </r>
  <r>
    <x v="1"/>
    <x v="76"/>
    <x v="54"/>
    <x v="0"/>
    <n v="1497.7527272727273"/>
    <n v="19"/>
    <n v="1497.7527272727273"/>
    <n v="1"/>
    <n v="1497.7527272727273"/>
    <n v="110.907"/>
    <n v="118.98099999999999"/>
    <n v="1.0727"/>
    <n v="1606.6393505454546"/>
    <m/>
    <n v="19"/>
    <s v="Sale"/>
    <x v="0"/>
    <x v="35"/>
    <x v="0"/>
    <n v="1451.2706666666666"/>
    <n v="1"/>
    <n v="1451.2706666666666"/>
    <n v="-46.482060606060713"/>
    <m/>
    <n v="1606.6393505454546"/>
    <n v="-155.36868387878803"/>
  </r>
  <r>
    <x v="1"/>
    <x v="77"/>
    <x v="54"/>
    <x v="0"/>
    <n v="392.35"/>
    <n v="5"/>
    <n v="392.35"/>
    <n v="1"/>
    <n v="392.35"/>
    <n v="110.907"/>
    <n v="118.98099999999999"/>
    <n v="1.0727"/>
    <n v="420.87384500000002"/>
    <m/>
    <n v="5"/>
    <s v="Sale"/>
    <x v="0"/>
    <x v="35"/>
    <x v="0"/>
    <n v="381.9133333333333"/>
    <n v="1"/>
    <n v="381.9133333333333"/>
    <n v="-10.436666666666724"/>
    <m/>
    <n v="420.87384500000002"/>
    <n v="-38.960511666666719"/>
  </r>
  <r>
    <x v="1"/>
    <x v="78"/>
    <x v="54"/>
    <x v="0"/>
    <n v="476.46789473684214"/>
    <n v="6"/>
    <n v="476.46789473684214"/>
    <n v="1"/>
    <n v="476.46789473684214"/>
    <n v="111.824"/>
    <n v="118.98099999999999"/>
    <n v="1.0640000000000001"/>
    <n v="506.96184000000005"/>
    <m/>
    <n v="6"/>
    <s v="Sale"/>
    <x v="0"/>
    <x v="35"/>
    <x v="0"/>
    <n v="458.29599999999999"/>
    <n v="1"/>
    <n v="458.29599999999999"/>
    <n v="-18.171894736842148"/>
    <m/>
    <n v="506.96184000000005"/>
    <n v="-48.66584000000006"/>
  </r>
  <r>
    <x v="1"/>
    <x v="78"/>
    <x v="54"/>
    <x v="0"/>
    <n v="158.82263157894738"/>
    <n v="2"/>
    <n v="158.82263157894738"/>
    <n v="1"/>
    <n v="158.82263157894738"/>
    <n v="111.824"/>
    <n v="118.98099999999999"/>
    <n v="1.0640000000000001"/>
    <n v="168.98728000000003"/>
    <m/>
    <n v="2"/>
    <s v="Sale"/>
    <x v="0"/>
    <x v="35"/>
    <x v="0"/>
    <n v="151.44"/>
    <n v="1"/>
    <n v="151.44"/>
    <n v="-7.3826315789473824"/>
    <m/>
    <n v="168.98728000000003"/>
    <n v="-17.547280000000029"/>
  </r>
  <r>
    <x v="1"/>
    <x v="78"/>
    <x v="54"/>
    <x v="0"/>
    <n v="238.23394736842107"/>
    <n v="3"/>
    <n v="238.23394736842107"/>
    <n v="1"/>
    <n v="238.23394736842107"/>
    <n v="111.824"/>
    <n v="118.98099999999999"/>
    <n v="1.0640000000000001"/>
    <n v="253.48092000000003"/>
    <m/>
    <n v="3"/>
    <s v="Sale"/>
    <x v="0"/>
    <x v="36"/>
    <x v="0"/>
    <n v="235.14"/>
    <n v="1"/>
    <n v="235.14"/>
    <n v="-3.0939473684210839"/>
    <m/>
    <n v="253.48092000000003"/>
    <n v="-18.34092000000004"/>
  </r>
  <r>
    <x v="1"/>
    <x v="78"/>
    <x v="54"/>
    <x v="0"/>
    <n v="476.46789473684214"/>
    <n v="6"/>
    <n v="476.46789473684214"/>
    <n v="1"/>
    <n v="476.46789473684214"/>
    <n v="111.824"/>
    <n v="118.98099999999999"/>
    <n v="1.0640000000000001"/>
    <n v="506.96184000000005"/>
    <m/>
    <n v="6"/>
    <s v="Sale"/>
    <x v="0"/>
    <x v="36"/>
    <x v="0"/>
    <n v="465.6"/>
    <n v="1"/>
    <n v="465.6"/>
    <n v="-10.867894736842118"/>
    <m/>
    <n v="506.96184000000005"/>
    <n v="-41.361840000000029"/>
  </r>
  <r>
    <x v="1"/>
    <x v="78"/>
    <x v="54"/>
    <x v="0"/>
    <n v="317.64526315789476"/>
    <n v="4"/>
    <n v="317.64526315789476"/>
    <n v="1"/>
    <n v="317.64526315789476"/>
    <n v="111.824"/>
    <n v="118.98099999999999"/>
    <n v="1.0640000000000001"/>
    <n v="337.97456000000005"/>
    <m/>
    <n v="4"/>
    <s v="Sale"/>
    <x v="0"/>
    <x v="37"/>
    <x v="0"/>
    <n v="311.49"/>
    <n v="1"/>
    <n v="311.49"/>
    <n v="-6.1552631578947512"/>
    <m/>
    <n v="337.97456000000005"/>
    <n v="-26.484560000000045"/>
  </r>
  <r>
    <x v="1"/>
    <x v="78"/>
    <x v="54"/>
    <x v="0"/>
    <n v="1349.9923684210528"/>
    <n v="17"/>
    <n v="1349.9923684210528"/>
    <n v="1"/>
    <n v="1349.9923684210528"/>
    <n v="111.824"/>
    <n v="118.98099999999999"/>
    <n v="1.0640000000000001"/>
    <n v="1436.3918800000004"/>
    <m/>
    <n v="17"/>
    <s v="Sale"/>
    <x v="0"/>
    <x v="37"/>
    <x v="0"/>
    <n v="1326.1011904761904"/>
    <n v="1"/>
    <n v="1326.1011904761904"/>
    <n v="-23.89117794486242"/>
    <m/>
    <n v="1436.3918800000004"/>
    <n v="-110.29068952380999"/>
  </r>
  <r>
    <x v="1"/>
    <x v="79"/>
    <x v="54"/>
    <x v="0"/>
    <n v="315.39"/>
    <n v="4"/>
    <n v="315.39"/>
    <n v="1"/>
    <n v="315.39"/>
    <n v="111.824"/>
    <n v="118.98099999999999"/>
    <n v="1.0640000000000001"/>
    <n v="335.57495999999998"/>
    <m/>
    <n v="4"/>
    <s v="Sale"/>
    <x v="0"/>
    <x v="37"/>
    <x v="0"/>
    <n v="312.02380952380952"/>
    <n v="1"/>
    <n v="312.02380952380952"/>
    <n v="-3.366190476190468"/>
    <m/>
    <n v="335.57495999999998"/>
    <n v="-23.551150476190458"/>
  </r>
  <r>
    <x v="1"/>
    <x v="79"/>
    <x v="54"/>
    <x v="0"/>
    <n v="1658.1683999999998"/>
    <n v="21"/>
    <n v="1658.1683999999998"/>
    <n v="1"/>
    <n v="1658.1683999999998"/>
    <n v="111.824"/>
    <n v="118.98099999999999"/>
    <n v="1.0640000000000001"/>
    <n v="1764.2911775999999"/>
    <m/>
    <n v="21"/>
    <s v="Sale"/>
    <x v="0"/>
    <x v="37"/>
    <x v="0"/>
    <n v="1638.125"/>
    <n v="1"/>
    <n v="1638.125"/>
    <n v="-20.043399999999792"/>
    <m/>
    <n v="1764.2911775999999"/>
    <n v="-126.16617759999986"/>
  </r>
  <r>
    <x v="1"/>
    <x v="79"/>
    <x v="54"/>
    <x v="0"/>
    <n v="157.92079999999999"/>
    <n v="2"/>
    <n v="157.92079999999999"/>
    <n v="1"/>
    <n v="157.92079999999999"/>
    <n v="111.824"/>
    <n v="118.98099999999999"/>
    <n v="1.0640000000000001"/>
    <n v="168.02773120000001"/>
    <m/>
    <n v="2"/>
    <s v="Sale"/>
    <x v="0"/>
    <x v="37"/>
    <x v="0"/>
    <n v="153.94"/>
    <n v="1"/>
    <n v="153.94"/>
    <n v="-3.9807999999999879"/>
    <m/>
    <n v="168.02773120000001"/>
    <n v="-14.087731200000007"/>
  </r>
  <r>
    <x v="1"/>
    <x v="79"/>
    <x v="54"/>
    <x v="0"/>
    <n v="157.92079999999999"/>
    <n v="2"/>
    <n v="157.92079999999999"/>
    <n v="1"/>
    <n v="157.92079999999999"/>
    <n v="111.824"/>
    <n v="118.98099999999999"/>
    <n v="1.0640000000000001"/>
    <n v="168.02773120000001"/>
    <m/>
    <n v="2"/>
    <s v="Sale"/>
    <x v="0"/>
    <x v="37"/>
    <x v="0"/>
    <n v="153.13"/>
    <n v="1"/>
    <n v="153.13"/>
    <n v="-4.7907999999999902"/>
    <m/>
    <n v="168.02773120000001"/>
    <n v="-14.89773120000001"/>
  </r>
  <r>
    <x v="1"/>
    <x v="80"/>
    <x v="54"/>
    <x v="0"/>
    <n v="631.56363636363631"/>
    <n v="8"/>
    <n v="631.56363636363631"/>
    <n v="1"/>
    <n v="631.56363636363631"/>
    <n v="111.824"/>
    <n v="118.98099999999999"/>
    <n v="1.0640000000000001"/>
    <n v="671.98370909090909"/>
    <m/>
    <n v="8"/>
    <s v="Sale"/>
    <x v="0"/>
    <x v="37"/>
    <x v="0"/>
    <n v="612.52"/>
    <n v="1"/>
    <n v="612.52"/>
    <n v="-19.043636363636324"/>
    <m/>
    <n v="671.98370909090909"/>
    <n v="-59.463709090909106"/>
  </r>
  <r>
    <x v="1"/>
    <x v="80"/>
    <x v="54"/>
    <x v="0"/>
    <n v="236.83636363636361"/>
    <n v="3"/>
    <n v="236.83636363636361"/>
    <n v="1"/>
    <n v="236.83636363636361"/>
    <n v="111.824"/>
    <n v="118.98099999999999"/>
    <n v="1.0640000000000001"/>
    <n v="251.99389090909091"/>
    <m/>
    <n v="3"/>
    <s v="Sale"/>
    <x v="0"/>
    <x v="37"/>
    <x v="0"/>
    <n v="230.95583333333332"/>
    <n v="1"/>
    <n v="230.95583333333332"/>
    <n v="-5.880530303030298"/>
    <m/>
    <n v="251.99389090909091"/>
    <n v="-21.038057575757591"/>
  </r>
  <r>
    <x v="1"/>
    <x v="81"/>
    <x v="54"/>
    <x v="0"/>
    <n v="159.83000000000001"/>
    <n v="2"/>
    <n v="159.83000000000001"/>
    <n v="1"/>
    <n v="159.83000000000001"/>
    <n v="111.824"/>
    <n v="118.98099999999999"/>
    <n v="1.0640000000000001"/>
    <n v="170.05912000000004"/>
    <m/>
    <n v="2"/>
    <s v="Sale"/>
    <x v="0"/>
    <x v="37"/>
    <x v="0"/>
    <n v="153.97055555555553"/>
    <n v="1"/>
    <n v="153.97055555555553"/>
    <n v="-5.8594444444444775"/>
    <m/>
    <n v="170.05912000000004"/>
    <n v="-16.088564444444501"/>
  </r>
  <r>
    <x v="1"/>
    <x v="81"/>
    <x v="54"/>
    <x v="0"/>
    <n v="318.89"/>
    <n v="4"/>
    <n v="318.89"/>
    <n v="1"/>
    <n v="318.89"/>
    <n v="111.824"/>
    <n v="118.98099999999999"/>
    <n v="1.0640000000000001"/>
    <n v="339.29896000000002"/>
    <m/>
    <n v="4"/>
    <s v="Sale"/>
    <x v="0"/>
    <x v="37"/>
    <x v="0"/>
    <n v="307.94111111111107"/>
    <n v="1"/>
    <n v="307.94111111111107"/>
    <n v="-10.948888888888916"/>
    <m/>
    <n v="339.29896000000002"/>
    <n v="-31.357848888888952"/>
  </r>
  <r>
    <x v="1"/>
    <x v="81"/>
    <x v="54"/>
    <x v="0"/>
    <n v="1213.3599999999999"/>
    <n v="15"/>
    <n v="1213.3599999999999"/>
    <n v="1"/>
    <n v="1213.3599999999999"/>
    <n v="111.824"/>
    <n v="118.98099999999999"/>
    <n v="1.0640000000000001"/>
    <n v="1291.01504"/>
    <m/>
    <n v="15"/>
    <s v="Sale"/>
    <x v="0"/>
    <x v="37"/>
    <x v="0"/>
    <n v="1154.7791666666665"/>
    <n v="1"/>
    <n v="1154.7791666666665"/>
    <n v="-58.58083333333343"/>
    <m/>
    <n v="1291.01504"/>
    <n v="-136.23587333333353"/>
  </r>
  <r>
    <x v="1"/>
    <x v="82"/>
    <x v="54"/>
    <x v="0"/>
    <n v="802.07"/>
    <n v="10"/>
    <n v="802.07"/>
    <n v="1"/>
    <n v="802.07"/>
    <n v="111.824"/>
    <n v="118.98099999999999"/>
    <n v="1.0640000000000001"/>
    <n v="853.40248000000008"/>
    <m/>
    <n v="10"/>
    <s v="Sale"/>
    <x v="0"/>
    <x v="37"/>
    <x v="0"/>
    <n v="769.85277777777765"/>
    <n v="1"/>
    <n v="769.85277777777765"/>
    <n v="-32.217222222222404"/>
    <m/>
    <n v="853.40248000000008"/>
    <n v="-83.549702222222436"/>
  </r>
  <r>
    <x v="1"/>
    <x v="82"/>
    <x v="54"/>
    <x v="0"/>
    <n v="80.67"/>
    <n v="1"/>
    <n v="80.67"/>
    <n v="1"/>
    <n v="80.67"/>
    <n v="111.824"/>
    <n v="118.98099999999999"/>
    <n v="1.0640000000000001"/>
    <n v="85.832880000000003"/>
    <m/>
    <n v="1"/>
    <s v="Sale"/>
    <x v="0"/>
    <x v="37"/>
    <x v="0"/>
    <n v="76.985277777777767"/>
    <n v="1"/>
    <n v="76.985277777777767"/>
    <n v="-3.6847222222222342"/>
    <m/>
    <n v="85.832880000000003"/>
    <n v="-8.8476022222222355"/>
  </r>
  <r>
    <x v="1"/>
    <x v="83"/>
    <x v="54"/>
    <x v="0"/>
    <n v="78.899999999999991"/>
    <n v="1"/>
    <n v="78.899999999999991"/>
    <n v="1"/>
    <n v="78.899999999999991"/>
    <n v="111.824"/>
    <n v="118.98099999999999"/>
    <n v="1.0640000000000001"/>
    <n v="83.94959999999999"/>
    <m/>
    <n v="1"/>
    <s v="Sale"/>
    <x v="0"/>
    <x v="37"/>
    <x v="0"/>
    <n v="76.985277777777767"/>
    <n v="1"/>
    <n v="76.985277777777767"/>
    <n v="-1.914722222222224"/>
    <m/>
    <n v="83.94959999999999"/>
    <n v="-6.9643222222222221"/>
  </r>
  <r>
    <x v="1"/>
    <x v="83"/>
    <x v="54"/>
    <x v="0"/>
    <n v="78.899999999999991"/>
    <n v="1"/>
    <n v="78.899999999999991"/>
    <n v="1"/>
    <n v="78.899999999999991"/>
    <n v="111.824"/>
    <n v="118.98099999999999"/>
    <n v="1.0640000000000001"/>
    <n v="83.94959999999999"/>
    <m/>
    <n v="1"/>
    <s v="Sale"/>
    <x v="0"/>
    <x v="37"/>
    <x v="0"/>
    <n v="77.47"/>
    <n v="1"/>
    <n v="77.47"/>
    <n v="-1.4299999999999926"/>
    <m/>
    <n v="83.94959999999999"/>
    <n v="-6.4795999999999907"/>
  </r>
  <r>
    <x v="1"/>
    <x v="83"/>
    <x v="54"/>
    <x v="0"/>
    <n v="394.49999999999994"/>
    <n v="5"/>
    <n v="394.49999999999994"/>
    <n v="1"/>
    <n v="394.49999999999994"/>
    <n v="111.824"/>
    <n v="118.98099999999999"/>
    <n v="1.0640000000000001"/>
    <n v="419.74799999999993"/>
    <m/>
    <n v="5"/>
    <s v="Sale"/>
    <x v="0"/>
    <x v="39"/>
    <x v="0"/>
    <n v="383.94687500000003"/>
    <n v="1"/>
    <n v="383.94687500000003"/>
    <n v="-10.553124999999909"/>
    <m/>
    <n v="419.74799999999993"/>
    <n v="-35.8011249999999"/>
  </r>
  <r>
    <x v="1"/>
    <x v="84"/>
    <x v="54"/>
    <x v="0"/>
    <n v="504.19"/>
    <n v="6"/>
    <n v="504.19"/>
    <n v="1"/>
    <n v="504.19"/>
    <n v="112.419"/>
    <n v="118.98099999999999"/>
    <n v="1.0583"/>
    <n v="533.58427700000004"/>
    <m/>
    <n v="6"/>
    <s v="Sale"/>
    <x v="0"/>
    <x v="39"/>
    <x v="0"/>
    <n v="460.73625000000004"/>
    <n v="1"/>
    <n v="460.73625000000004"/>
    <n v="-43.453749999999957"/>
    <m/>
    <n v="533.58427700000004"/>
    <n v="-72.848027000000002"/>
  </r>
  <r>
    <x v="1"/>
    <x v="84"/>
    <x v="54"/>
    <x v="0"/>
    <n v="251.19"/>
    <n v="3"/>
    <n v="251.19"/>
    <n v="1"/>
    <n v="251.19"/>
    <n v="112.419"/>
    <n v="118.98099999999999"/>
    <n v="1.0583"/>
    <n v="265.83437700000002"/>
    <m/>
    <n v="3"/>
    <s v="Sale"/>
    <x v="0"/>
    <x v="39"/>
    <x v="0"/>
    <n v="230.36812500000002"/>
    <n v="1"/>
    <n v="230.36812500000002"/>
    <n v="-20.821874999999977"/>
    <m/>
    <n v="265.83437700000002"/>
    <n v="-35.466251999999997"/>
  </r>
  <r>
    <x v="1"/>
    <x v="84"/>
    <x v="54"/>
    <x v="0"/>
    <n v="167.19818181818184"/>
    <n v="2"/>
    <n v="167.19818181818184"/>
    <n v="1"/>
    <n v="167.19818181818184"/>
    <n v="112.419"/>
    <n v="118.98099999999999"/>
    <n v="1.0583"/>
    <n v="176.94583581818185"/>
    <m/>
    <n v="2"/>
    <s v="Sale"/>
    <x v="0"/>
    <x v="39"/>
    <x v="0"/>
    <n v="153.57875000000001"/>
    <n v="1"/>
    <n v="153.57875000000001"/>
    <n v="-13.619431818181823"/>
    <m/>
    <n v="176.94583581818185"/>
    <n v="-23.367085818181835"/>
  </r>
  <r>
    <x v="1"/>
    <x v="84"/>
    <x v="54"/>
    <x v="0"/>
    <n v="167.19818181818184"/>
    <n v="2"/>
    <n v="167.19818181818184"/>
    <n v="1"/>
    <n v="167.19818181818184"/>
    <n v="112.419"/>
    <n v="118.98099999999999"/>
    <n v="1.0583"/>
    <n v="176.94583581818185"/>
    <m/>
    <n v="2"/>
    <s v="Sale"/>
    <x v="0"/>
    <x v="39"/>
    <x v="0"/>
    <n v="152.47"/>
    <n v="1"/>
    <n v="152.47"/>
    <n v="-14.728181818181838"/>
    <m/>
    <n v="176.94583581818185"/>
    <n v="-24.475835818181849"/>
  </r>
  <r>
    <x v="1"/>
    <x v="84"/>
    <x v="54"/>
    <x v="0"/>
    <n v="334.39636363636367"/>
    <n v="4"/>
    <n v="334.39636363636367"/>
    <n v="1"/>
    <n v="334.39636363636367"/>
    <n v="112.419"/>
    <n v="118.98099999999999"/>
    <n v="1.0583"/>
    <n v="353.8916716363637"/>
    <m/>
    <n v="4"/>
    <s v="Sale"/>
    <x v="0"/>
    <x v="22"/>
    <x v="0"/>
    <n v="291.10000000000002"/>
    <n v="1"/>
    <n v="291.10000000000002"/>
    <n v="-43.296363636363651"/>
    <m/>
    <n v="353.8916716363637"/>
    <n v="-62.791671636363674"/>
  </r>
  <r>
    <x v="1"/>
    <x v="84"/>
    <x v="54"/>
    <x v="0"/>
    <n v="250.79727272727274"/>
    <n v="3"/>
    <n v="250.79727272727274"/>
    <n v="1"/>
    <n v="250.79727272727274"/>
    <n v="112.419"/>
    <n v="118.98099999999999"/>
    <n v="1.0583"/>
    <n v="265.41875372727276"/>
    <m/>
    <n v="3"/>
    <s v="Sale"/>
    <x v="0"/>
    <x v="22"/>
    <x v="0"/>
    <n v="219.125"/>
    <n v="1"/>
    <n v="219.125"/>
    <n v="-31.672272727272741"/>
    <m/>
    <n v="265.41875372727276"/>
    <n v="-46.293753727272758"/>
  </r>
  <r>
    <x v="1"/>
    <x v="84"/>
    <x v="54"/>
    <x v="0"/>
    <n v="335"/>
    <n v="4"/>
    <n v="335"/>
    <n v="1"/>
    <n v="335"/>
    <n v="112.419"/>
    <n v="118.98099999999999"/>
    <n v="1.0583"/>
    <n v="354.53050000000002"/>
    <m/>
    <n v="4"/>
    <s v="Sale"/>
    <x v="0"/>
    <x v="22"/>
    <x v="0"/>
    <n v="292.16666666666669"/>
    <n v="1"/>
    <n v="292.16666666666669"/>
    <n v="-42.833333333333314"/>
    <m/>
    <n v="354.53050000000002"/>
    <n v="-62.363833333333332"/>
  </r>
  <r>
    <x v="1"/>
    <x v="85"/>
    <x v="54"/>
    <x v="0"/>
    <n v="336.87"/>
    <n v="4"/>
    <n v="336.87"/>
    <n v="1"/>
    <n v="336.87"/>
    <n v="112.419"/>
    <n v="118.98099999999999"/>
    <n v="1.0583"/>
    <n v="356.50952100000001"/>
    <m/>
    <n v="4"/>
    <s v="Sale"/>
    <x v="0"/>
    <x v="22"/>
    <x v="0"/>
    <n v="292.16666666666669"/>
    <n v="1"/>
    <n v="292.16666666666669"/>
    <n v="-44.703333333333319"/>
    <m/>
    <n v="356.50952100000001"/>
    <n v="-64.342854333333321"/>
  </r>
  <r>
    <x v="1"/>
    <x v="86"/>
    <x v="54"/>
    <x v="0"/>
    <n v="85.023124999999993"/>
    <n v="1"/>
    <n v="85.023124999999993"/>
    <n v="1"/>
    <n v="85.023124999999993"/>
    <n v="112.419"/>
    <n v="118.98099999999999"/>
    <n v="1.0583"/>
    <n v="89.979973187499994"/>
    <m/>
    <n v="1"/>
    <s v="Sale"/>
    <x v="0"/>
    <x v="22"/>
    <x v="0"/>
    <n v="73.041666666666671"/>
    <n v="1"/>
    <n v="73.041666666666671"/>
    <n v="-11.981458333333322"/>
    <m/>
    <n v="89.979973187499994"/>
    <n v="-16.938306520833322"/>
  </r>
  <r>
    <x v="1"/>
    <x v="86"/>
    <x v="54"/>
    <x v="0"/>
    <n v="85.023124999999993"/>
    <n v="1"/>
    <n v="85.023124999999993"/>
    <n v="1"/>
    <n v="85.023124999999993"/>
    <n v="112.419"/>
    <n v="118.98099999999999"/>
    <n v="1.0583"/>
    <n v="89.979973187499994"/>
    <m/>
    <n v="1"/>
    <s v="Sale"/>
    <x v="0"/>
    <x v="22"/>
    <x v="0"/>
    <n v="74.150000000000006"/>
    <n v="1"/>
    <n v="74.150000000000006"/>
    <n v="-10.873124999999987"/>
    <m/>
    <n v="89.979973187499994"/>
    <n v="-15.829973187499988"/>
  </r>
  <r>
    <x v="1"/>
    <x v="86"/>
    <x v="54"/>
    <x v="0"/>
    <n v="1190.32375"/>
    <n v="14"/>
    <n v="1190.32375"/>
    <n v="1"/>
    <n v="1190.32375"/>
    <n v="112.419"/>
    <n v="118.98099999999999"/>
    <n v="1.0583"/>
    <n v="1259.7196246250001"/>
    <m/>
    <n v="14"/>
    <s v="Sale"/>
    <x v="0"/>
    <x v="22"/>
    <x v="0"/>
    <n v="1024.4849999999999"/>
    <n v="1"/>
    <n v="1024.4849999999999"/>
    <n v="-165.83875000000012"/>
    <m/>
    <n v="1259.7196246250001"/>
    <n v="-235.23462462500015"/>
  </r>
  <r>
    <x v="1"/>
    <x v="86"/>
    <x v="54"/>
    <x v="0"/>
    <n v="933.3"/>
    <n v="11"/>
    <n v="933.3"/>
    <n v="1"/>
    <n v="933.3"/>
    <n v="112.419"/>
    <n v="118.98099999999999"/>
    <n v="1.0583"/>
    <n v="987.71138999999994"/>
    <m/>
    <n v="11"/>
    <s v="Sale"/>
    <x v="0"/>
    <x v="22"/>
    <x v="0"/>
    <n v="804.95249999999999"/>
    <n v="1"/>
    <n v="804.95249999999999"/>
    <n v="-128.34749999999997"/>
    <m/>
    <n v="987.71138999999994"/>
    <n v="-182.75888999999995"/>
  </r>
  <r>
    <x v="1"/>
    <x v="9"/>
    <x v="54"/>
    <x v="0"/>
    <n v="2713.8175000000001"/>
    <n v="31"/>
    <n v="2713.8175000000001"/>
    <n v="1"/>
    <n v="2713.8175000000001"/>
    <n v="113.018"/>
    <n v="118.98099999999999"/>
    <n v="1.0527"/>
    <n v="2856.83568225"/>
    <m/>
    <n v="31"/>
    <s v="Sale"/>
    <x v="0"/>
    <x v="22"/>
    <x v="0"/>
    <n v="2268.5025000000001"/>
    <n v="1"/>
    <n v="2268.5025000000001"/>
    <n v="-445.31500000000005"/>
    <m/>
    <n v="2856.83568225"/>
    <n v="-588.33318224999994"/>
  </r>
  <r>
    <x v="1"/>
    <x v="9"/>
    <x v="54"/>
    <x v="0"/>
    <n v="1313.1375"/>
    <n v="15"/>
    <n v="1313.1375"/>
    <n v="1"/>
    <n v="1313.1375"/>
    <n v="113.018"/>
    <n v="118.98099999999999"/>
    <n v="1.0527"/>
    <n v="1382.3398462499999"/>
    <m/>
    <n v="15"/>
    <s v="Sale"/>
    <x v="0"/>
    <x v="58"/>
    <x v="0"/>
    <n v="1110.46"/>
    <n v="1"/>
    <n v="1110.46"/>
    <n v="-202.67750000000001"/>
    <m/>
    <n v="1382.3398462499999"/>
    <n v="-271.8798462499999"/>
  </r>
  <r>
    <x v="1"/>
    <x v="9"/>
    <x v="54"/>
    <x v="0"/>
    <n v="1575.7650000000001"/>
    <n v="18"/>
    <n v="1575.7650000000001"/>
    <n v="1"/>
    <n v="1575.7650000000001"/>
    <n v="113.018"/>
    <n v="118.98099999999999"/>
    <n v="1.0527"/>
    <n v="1658.8078155000001"/>
    <m/>
    <n v="18"/>
    <s v="Sale"/>
    <x v="0"/>
    <x v="58"/>
    <x v="0"/>
    <n v="1330.38"/>
    <n v="1"/>
    <n v="1330.38"/>
    <n v="-245.38499999999999"/>
    <m/>
    <n v="1658.8078155000001"/>
    <n v="-328.42781549999995"/>
  </r>
  <r>
    <x v="1"/>
    <x v="9"/>
    <x v="54"/>
    <x v="0"/>
    <n v="87.542500000000004"/>
    <n v="1"/>
    <n v="87.542500000000004"/>
    <n v="1"/>
    <n v="87.542500000000004"/>
    <n v="113.018"/>
    <n v="118.98099999999999"/>
    <n v="1.0527"/>
    <n v="92.155989750000003"/>
    <m/>
    <n v="1"/>
    <s v="Sale"/>
    <x v="0"/>
    <x v="28"/>
    <x v="0"/>
    <n v="74.239999999999995"/>
    <n v="1"/>
    <n v="74.239999999999995"/>
    <n v="-13.302500000000009"/>
    <m/>
    <n v="92.155989750000003"/>
    <n v="-17.915989750000008"/>
  </r>
  <r>
    <x v="1"/>
    <x v="9"/>
    <x v="54"/>
    <x v="0"/>
    <n v="3063.9875000000002"/>
    <n v="35"/>
    <n v="3063.9875000000002"/>
    <n v="1"/>
    <n v="3063.9875000000002"/>
    <n v="113.018"/>
    <n v="120.15900000000001"/>
    <n v="1.0630999999999999"/>
    <n v="3257.3251112500002"/>
    <m/>
    <n v="35"/>
    <s v="Sale"/>
    <x v="0"/>
    <x v="3"/>
    <x v="0"/>
    <n v="2860.9000000000005"/>
    <n v="1"/>
    <n v="2860.9000000000005"/>
    <n v="-203.08749999999964"/>
    <m/>
    <n v="3257.3251112500002"/>
    <n v="-396.42511124999965"/>
  </r>
  <r>
    <x v="1"/>
    <x v="9"/>
    <x v="54"/>
    <x v="0"/>
    <n v="87.542500000000004"/>
    <n v="2"/>
    <n v="87.542500000000004"/>
    <n v="1"/>
    <n v="87.542500000000004"/>
    <n v="113.018"/>
    <n v="120.15900000000001"/>
    <n v="1.0630999999999999"/>
    <n v="93.066431749999992"/>
    <m/>
    <n v="2"/>
    <s v="Sale"/>
    <x v="0"/>
    <x v="3"/>
    <x v="0"/>
    <n v="162.63999999999999"/>
    <n v="1"/>
    <n v="162.63999999999999"/>
    <n v="75.097499999999982"/>
    <m/>
    <n v="93.066431749999992"/>
    <n v="69.573568249999994"/>
  </r>
  <r>
    <x v="1"/>
    <x v="9"/>
    <x v="54"/>
    <x v="0"/>
    <n v="437.71250000000003"/>
    <n v="5"/>
    <n v="437.71250000000003"/>
    <n v="1"/>
    <n v="437.71250000000003"/>
    <n v="113.018"/>
    <n v="120.15900000000001"/>
    <n v="1.0630999999999999"/>
    <n v="465.33215875000002"/>
    <m/>
    <n v="5"/>
    <s v="Sale"/>
    <x v="0"/>
    <x v="4"/>
    <x v="0"/>
    <n v="411.73"/>
    <n v="1"/>
    <n v="411.73"/>
    <n v="-25.982500000000016"/>
    <m/>
    <n v="465.33215875000002"/>
    <n v="-53.602158750000001"/>
  </r>
  <r>
    <x v="1"/>
    <x v="9"/>
    <x v="54"/>
    <x v="0"/>
    <n v="2976.4450000000002"/>
    <n v="34"/>
    <n v="2976.4450000000002"/>
    <n v="1"/>
    <n v="2976.4450000000002"/>
    <n v="113.018"/>
    <n v="120.15900000000001"/>
    <n v="1.0630999999999999"/>
    <n v="3164.2586795000002"/>
    <m/>
    <n v="34"/>
    <s v="Sale"/>
    <x v="0"/>
    <x v="4"/>
    <x v="0"/>
    <n v="2797.23"/>
    <n v="1"/>
    <n v="2797.23"/>
    <n v="-179.21500000000015"/>
    <m/>
    <n v="3164.2586795000002"/>
    <n v="-367.02867950000018"/>
  </r>
  <r>
    <x v="1"/>
    <x v="9"/>
    <x v="54"/>
    <x v="0"/>
    <n v="525.255"/>
    <n v="6"/>
    <n v="525.255"/>
    <n v="1"/>
    <n v="525.255"/>
    <n v="113.018"/>
    <n v="120.15900000000001"/>
    <n v="1.0630999999999999"/>
    <n v="558.39859049999995"/>
    <m/>
    <n v="6"/>
    <s v="Sale"/>
    <x v="0"/>
    <x v="4"/>
    <x v="0"/>
    <n v="495.01"/>
    <n v="1"/>
    <n v="495.01"/>
    <n v="-30.245000000000005"/>
    <m/>
    <n v="558.39859049999995"/>
    <n v="-63.388590499999964"/>
  </r>
  <r>
    <x v="1"/>
    <x v="9"/>
    <x v="54"/>
    <x v="0"/>
    <n v="350.17"/>
    <n v="4"/>
    <n v="350.17"/>
    <n v="1"/>
    <n v="350.17"/>
    <n v="113.018"/>
    <n v="120.15900000000001"/>
    <n v="1.0630999999999999"/>
    <n v="372.26572699999997"/>
    <m/>
    <n v="4"/>
    <s v="Sale"/>
    <x v="0"/>
    <x v="59"/>
    <x v="0"/>
    <n v="335.05"/>
    <n v="1"/>
    <n v="335.05"/>
    <n v="-15.120000000000005"/>
    <m/>
    <n v="372.26572699999997"/>
    <n v="-37.215726999999958"/>
  </r>
  <r>
    <x v="1"/>
    <x v="9"/>
    <x v="54"/>
    <x v="0"/>
    <n v="175.08500000000001"/>
    <n v="2"/>
    <n v="175.08500000000001"/>
    <n v="1"/>
    <n v="175.08500000000001"/>
    <n v="113.018"/>
    <n v="120.15900000000001"/>
    <n v="1.0630999999999999"/>
    <n v="186.13286349999998"/>
    <m/>
    <n v="2"/>
    <s v="Sale"/>
    <x v="0"/>
    <x v="59"/>
    <x v="0"/>
    <n v="168.33"/>
    <n v="1"/>
    <n v="168.33"/>
    <n v="-6.7549999999999955"/>
    <m/>
    <n v="186.13286349999998"/>
    <n v="-17.802863499999972"/>
  </r>
  <r>
    <x v="1"/>
    <x v="9"/>
    <x v="54"/>
    <x v="0"/>
    <n v="1313.1375"/>
    <n v="15"/>
    <n v="1313.1375"/>
    <n v="1"/>
    <n v="1313.1375"/>
    <n v="113.018"/>
    <n v="120.15900000000001"/>
    <n v="1.0630999999999999"/>
    <n v="1395.9964762499999"/>
    <m/>
    <n v="15"/>
    <s v="Sale"/>
    <x v="0"/>
    <x v="51"/>
    <x v="0"/>
    <n v="1277.51"/>
    <n v="1"/>
    <n v="1277.51"/>
    <n v="-35.627500000000055"/>
    <m/>
    <n v="1395.9964762499999"/>
    <n v="-118.4864762499999"/>
  </r>
  <r>
    <x v="1"/>
    <x v="9"/>
    <x v="54"/>
    <x v="0"/>
    <n v="437.71250000000003"/>
    <n v="5"/>
    <n v="437.71250000000003"/>
    <n v="1"/>
    <n v="437.71250000000003"/>
    <n v="113.018"/>
    <n v="120.15900000000001"/>
    <n v="1.0630999999999999"/>
    <n v="465.33215875000002"/>
    <m/>
    <n v="5"/>
    <s v="Sale"/>
    <x v="0"/>
    <x v="24"/>
    <x v="0"/>
    <n v="416.55"/>
    <n v="1"/>
    <n v="416.55"/>
    <n v="-21.162500000000023"/>
    <m/>
    <n v="465.33215875000002"/>
    <n v="-48.782158750000008"/>
  </r>
  <r>
    <x v="1"/>
    <x v="9"/>
    <x v="54"/>
    <x v="0"/>
    <n v="612.79750000000001"/>
    <n v="7"/>
    <n v="612.79750000000001"/>
    <n v="1"/>
    <n v="612.79750000000001"/>
    <n v="113.018"/>
    <n v="120.15900000000001"/>
    <n v="1.0630999999999999"/>
    <n v="651.46502224999995"/>
    <m/>
    <n v="7"/>
    <s v="Sale"/>
    <x v="0"/>
    <x v="24"/>
    <x v="0"/>
    <n v="585.32923076923066"/>
    <n v="1"/>
    <n v="585.32923076923066"/>
    <n v="-27.468269230769351"/>
    <m/>
    <n v="651.46502224999995"/>
    <n v="-66.135791480769285"/>
  </r>
  <r>
    <x v="1"/>
    <x v="87"/>
    <x v="54"/>
    <x v="0"/>
    <n v="243.72999999999996"/>
    <n v="3"/>
    <n v="243.72999999999996"/>
    <n v="1"/>
    <n v="243.72999999999996"/>
    <n v="113.899"/>
    <n v="120.15900000000001"/>
    <n v="1.0548999999999999"/>
    <n v="257.11077699999993"/>
    <m/>
    <n v="3"/>
    <s v="Sale"/>
    <x v="0"/>
    <x v="24"/>
    <x v="0"/>
    <n v="250.85538461538459"/>
    <n v="1"/>
    <n v="250.85538461538459"/>
    <n v="7.1253846153846325"/>
    <m/>
    <n v="257.11077699999993"/>
    <n v="-6.2553923846153339"/>
  </r>
  <r>
    <x v="1"/>
    <x v="87"/>
    <x v="54"/>
    <x v="0"/>
    <n v="241.96875"/>
    <n v="3"/>
    <n v="241.96875"/>
    <n v="1"/>
    <n v="241.96875"/>
    <n v="113.899"/>
    <n v="120.15900000000001"/>
    <n v="1.0548999999999999"/>
    <n v="255.25283437499999"/>
    <m/>
    <n v="3"/>
    <s v="Sale"/>
    <x v="0"/>
    <x v="24"/>
    <x v="0"/>
    <n v="250.85538461538459"/>
    <n v="1"/>
    <n v="250.85538461538459"/>
    <n v="8.8866346153845939"/>
    <m/>
    <n v="255.25283437499999"/>
    <n v="-4.3974497596153981"/>
  </r>
  <r>
    <x v="1"/>
    <x v="87"/>
    <x v="54"/>
    <x v="0"/>
    <n v="241.96875"/>
    <n v="3"/>
    <n v="241.96875"/>
    <n v="1"/>
    <n v="241.96875"/>
    <n v="113.899"/>
    <n v="120.15900000000001"/>
    <n v="1.0548999999999999"/>
    <n v="255.25283437499999"/>
    <m/>
    <n v="3"/>
    <s v="Sale"/>
    <x v="0"/>
    <x v="24"/>
    <x v="0"/>
    <n v="250.14"/>
    <n v="1"/>
    <n v="250.14"/>
    <n v="8.1712499999999864"/>
    <m/>
    <n v="255.25283437499999"/>
    <n v="-5.1128343750000056"/>
  </r>
  <r>
    <x v="1"/>
    <x v="87"/>
    <x v="54"/>
    <x v="0"/>
    <n v="161.3125"/>
    <n v="2"/>
    <n v="161.3125"/>
    <n v="1"/>
    <n v="161.3125"/>
    <n v="113.899"/>
    <n v="120.15900000000001"/>
    <n v="1.0548999999999999"/>
    <n v="170.16855624999999"/>
    <m/>
    <n v="2"/>
    <s v="Sale"/>
    <x v="0"/>
    <x v="25"/>
    <x v="0"/>
    <n v="166.98"/>
    <n v="1"/>
    <n v="166.98"/>
    <n v="5.6674999999999898"/>
    <m/>
    <n v="170.16855624999999"/>
    <n v="-3.1885562500000049"/>
  </r>
  <r>
    <x v="1"/>
    <x v="87"/>
    <x v="54"/>
    <x v="0"/>
    <n v="241.67678571428576"/>
    <n v="3"/>
    <n v="241.67678571428576"/>
    <n v="1"/>
    <n v="241.67678571428576"/>
    <n v="113.899"/>
    <n v="120.15900000000001"/>
    <n v="1.0548999999999999"/>
    <n v="254.94484125000002"/>
    <m/>
    <n v="3"/>
    <s v="Sale"/>
    <x v="0"/>
    <x v="25"/>
    <x v="0"/>
    <n v="249.88"/>
    <n v="1"/>
    <n v="249.88"/>
    <n v="8.2032142857142389"/>
    <m/>
    <n v="254.94484125000002"/>
    <n v="-5.064841250000029"/>
  </r>
  <r>
    <x v="1"/>
    <x v="87"/>
    <x v="54"/>
    <x v="0"/>
    <n v="2013.9732142857144"/>
    <n v="25"/>
    <n v="2013.9732142857144"/>
    <n v="1"/>
    <n v="2013.9732142857144"/>
    <n v="113.899"/>
    <n v="120.15900000000001"/>
    <n v="1.0548999999999999"/>
    <n v="2124.5403437499999"/>
    <m/>
    <n v="25"/>
    <s v="Sale"/>
    <x v="0"/>
    <x v="25"/>
    <x v="0"/>
    <n v="2084.875"/>
    <n v="1"/>
    <n v="2084.875"/>
    <n v="70.901785714285552"/>
    <m/>
    <n v="2124.5403437499999"/>
    <n v="-39.66534374999992"/>
  </r>
  <r>
    <x v="1"/>
    <x v="88"/>
    <x v="54"/>
    <x v="0"/>
    <n v="245.20999999999998"/>
    <n v="3"/>
    <n v="245.20999999999998"/>
    <n v="1"/>
    <n v="245.20999999999998"/>
    <n v="113.899"/>
    <n v="120.15900000000001"/>
    <n v="1.0548999999999999"/>
    <n v="258.67202899999995"/>
    <m/>
    <n v="3"/>
    <s v="Sale"/>
    <x v="0"/>
    <x v="25"/>
    <x v="0"/>
    <n v="250.185"/>
    <n v="1"/>
    <n v="250.185"/>
    <n v="4.9750000000000227"/>
    <m/>
    <n v="258.67202899999995"/>
    <n v="-8.48702899999995"/>
  </r>
  <r>
    <x v="1"/>
    <x v="88"/>
    <x v="54"/>
    <x v="0"/>
    <n v="163.47333333333333"/>
    <n v="2"/>
    <n v="163.47333333333333"/>
    <n v="1"/>
    <n v="163.47333333333333"/>
    <n v="113.899"/>
    <n v="120.15900000000001"/>
    <n v="1.0548999999999999"/>
    <n v="172.44801933333332"/>
    <m/>
    <n v="2"/>
    <s v="Sale"/>
    <x v="0"/>
    <x v="60"/>
    <x v="0"/>
    <n v="167.78"/>
    <n v="1"/>
    <n v="167.78"/>
    <n v="4.306666666666672"/>
    <m/>
    <n v="172.44801933333332"/>
    <n v="-4.6680193333333193"/>
  </r>
  <r>
    <x v="1"/>
    <x v="88"/>
    <x v="54"/>
    <x v="0"/>
    <n v="245.20999999999998"/>
    <n v="3"/>
    <n v="245.20999999999998"/>
    <n v="1"/>
    <n v="245.20999999999998"/>
    <n v="113.899"/>
    <n v="120.15900000000001"/>
    <n v="1.0548999999999999"/>
    <n v="258.67202899999995"/>
    <m/>
    <n v="3"/>
    <s v="Sale"/>
    <x v="0"/>
    <x v="60"/>
    <x v="0"/>
    <n v="251.76999999999998"/>
    <n v="1"/>
    <n v="251.76999999999998"/>
    <n v="6.5600000000000023"/>
    <m/>
    <n v="258.67202899999995"/>
    <n v="-6.9020289999999704"/>
  </r>
  <r>
    <x v="1"/>
    <x v="88"/>
    <x v="54"/>
    <x v="0"/>
    <n v="163.47333333333333"/>
    <n v="2"/>
    <n v="163.47333333333333"/>
    <n v="1"/>
    <n v="163.47333333333333"/>
    <n v="113.899"/>
    <n v="120.15900000000001"/>
    <n v="1.0548999999999999"/>
    <n v="172.44801933333332"/>
    <m/>
    <n v="2"/>
    <s v="Sale"/>
    <x v="0"/>
    <x v="60"/>
    <x v="0"/>
    <n v="168.16"/>
    <n v="1"/>
    <n v="168.16"/>
    <n v="4.6866666666666674"/>
    <m/>
    <n v="172.44801933333332"/>
    <n v="-4.2880193333333239"/>
  </r>
  <r>
    <x v="1"/>
    <x v="88"/>
    <x v="54"/>
    <x v="0"/>
    <n v="163.47333333333333"/>
    <n v="2"/>
    <n v="163.47333333333333"/>
    <n v="1"/>
    <n v="163.47333333333333"/>
    <n v="113.899"/>
    <n v="120.15900000000001"/>
    <n v="1.0548999999999999"/>
    <n v="172.44801933333332"/>
    <m/>
    <n v="2"/>
    <s v="Sale"/>
    <x v="0"/>
    <x v="60"/>
    <x v="0"/>
    <n v="167.58500000000001"/>
    <n v="1"/>
    <n v="167.58500000000001"/>
    <n v="4.1116666666666788"/>
    <m/>
    <n v="172.44801933333332"/>
    <n v="-4.8630193333333125"/>
  </r>
  <r>
    <x v="1"/>
    <x v="45"/>
    <x v="54"/>
    <x v="0"/>
    <n v="161.2637037037037"/>
    <n v="2"/>
    <n v="161.2637037037037"/>
    <n v="1"/>
    <n v="161.2637037037037"/>
    <n v="114.601"/>
    <n v="120.15900000000001"/>
    <n v="1.0484"/>
    <n v="169.06886696296294"/>
    <m/>
    <n v="2"/>
    <s v="Sale"/>
    <x v="0"/>
    <x v="60"/>
    <x v="0"/>
    <n v="167.58500000000001"/>
    <n v="1"/>
    <n v="167.58500000000001"/>
    <n v="6.3212962962963104"/>
    <m/>
    <n v="169.06886696296294"/>
    <n v="-1.4838669629629351"/>
  </r>
  <r>
    <x v="1"/>
    <x v="45"/>
    <x v="54"/>
    <x v="0"/>
    <n v="483.79111111111109"/>
    <n v="6"/>
    <n v="483.79111111111109"/>
    <n v="1"/>
    <n v="483.79111111111109"/>
    <n v="114.601"/>
    <n v="120.15900000000001"/>
    <n v="1.0484"/>
    <n v="507.20660088888889"/>
    <m/>
    <n v="6"/>
    <s v="Sale"/>
    <x v="0"/>
    <x v="60"/>
    <x v="0"/>
    <n v="509.64"/>
    <n v="1"/>
    <n v="509.64"/>
    <n v="25.848888888888894"/>
    <m/>
    <n v="507.20660088888889"/>
    <n v="2.4333991111111004"/>
  </r>
  <r>
    <x v="1"/>
    <x v="45"/>
    <x v="54"/>
    <x v="0"/>
    <n v="403.15925925925922"/>
    <n v="5"/>
    <n v="403.15925925925922"/>
    <n v="1"/>
    <n v="403.15925925925922"/>
    <n v="114.601"/>
    <n v="120.15900000000001"/>
    <n v="1.0484"/>
    <n v="422.67216740740736"/>
    <m/>
    <n v="5"/>
    <s v="Sale"/>
    <x v="0"/>
    <x v="60"/>
    <x v="0"/>
    <n v="421.32"/>
    <n v="1"/>
    <n v="421.32"/>
    <n v="18.160740740740778"/>
    <m/>
    <n v="422.67216740740736"/>
    <n v="-1.3521674074073644"/>
  </r>
  <r>
    <x v="1"/>
    <x v="45"/>
    <x v="54"/>
    <x v="0"/>
    <n v="483.79111111111109"/>
    <n v="6"/>
    <n v="483.79111111111109"/>
    <n v="1"/>
    <n v="483.79111111111109"/>
    <n v="114.601"/>
    <n v="120.15900000000001"/>
    <n v="1.0484"/>
    <n v="507.20660088888889"/>
    <m/>
    <n v="6"/>
    <s v="Sale"/>
    <x v="0"/>
    <x v="60"/>
    <x v="0"/>
    <n v="508.17000000000007"/>
    <n v="1"/>
    <n v="508.17000000000007"/>
    <n v="24.37888888888898"/>
    <m/>
    <n v="507.20660088888889"/>
    <n v="0.96339911111118681"/>
  </r>
  <r>
    <x v="1"/>
    <x v="45"/>
    <x v="54"/>
    <x v="0"/>
    <n v="806.31851851851843"/>
    <n v="10"/>
    <n v="806.31851851851843"/>
    <n v="1"/>
    <n v="806.31851851851843"/>
    <n v="114.601"/>
    <n v="120.15900000000001"/>
    <n v="1.0484"/>
    <n v="845.34433481481472"/>
    <m/>
    <n v="10"/>
    <s v="Sale"/>
    <x v="0"/>
    <x v="60"/>
    <x v="0"/>
    <n v="847.16"/>
    <n v="1"/>
    <n v="847.16"/>
    <n v="40.841481481481537"/>
    <m/>
    <n v="845.34433481481472"/>
    <n v="1.815665185185253"/>
  </r>
  <r>
    <x v="1"/>
    <x v="45"/>
    <x v="54"/>
    <x v="0"/>
    <n v="564.42296296296297"/>
    <n v="7"/>
    <n v="564.42296296296297"/>
    <n v="1"/>
    <n v="564.42296296296297"/>
    <n v="114.601"/>
    <n v="120.15900000000001"/>
    <n v="1.0484"/>
    <n v="591.74103437037036"/>
    <m/>
    <n v="7"/>
    <s v="Sale"/>
    <x v="0"/>
    <x v="60"/>
    <x v="0"/>
    <n v="586.64"/>
    <n v="1"/>
    <n v="586.64"/>
    <n v="22.217037037037016"/>
    <m/>
    <n v="591.74103437037036"/>
    <n v="-5.1010343703703711"/>
  </r>
  <r>
    <x v="1"/>
    <x v="45"/>
    <x v="54"/>
    <x v="0"/>
    <n v="80.631851851851849"/>
    <n v="1"/>
    <n v="80.631851851851849"/>
    <n v="1"/>
    <n v="80.631851851851849"/>
    <n v="114.601"/>
    <n v="120.15900000000001"/>
    <n v="1.0484"/>
    <n v="84.534433481481472"/>
    <m/>
    <n v="1"/>
    <s v="Sale"/>
    <x v="0"/>
    <x v="61"/>
    <x v="0"/>
    <n v="84.58"/>
    <n v="1"/>
    <n v="84.58"/>
    <n v="3.9481481481481495"/>
    <m/>
    <n v="84.534433481481472"/>
    <n v="4.5566518518526777E-2"/>
  </r>
  <r>
    <x v="1"/>
    <x v="45"/>
    <x v="54"/>
    <x v="0"/>
    <n v="80.631851851851849"/>
    <n v="17"/>
    <n v="80.631851851851849"/>
    <n v="1"/>
    <n v="80.631851851851849"/>
    <n v="114.601"/>
    <n v="120.15900000000001"/>
    <n v="1.0484"/>
    <n v="84.534433481481472"/>
    <m/>
    <n v="17"/>
    <s v="Sale"/>
    <x v="0"/>
    <x v="61"/>
    <x v="0"/>
    <n v="1415.45"/>
    <n v="1"/>
    <n v="1415.45"/>
    <n v="1334.8181481481481"/>
    <m/>
    <n v="84.534433481481472"/>
    <n v="1330.9155665185185"/>
  </r>
  <r>
    <x v="1"/>
    <x v="89"/>
    <x v="55"/>
    <x v="0"/>
    <n v="811.21125000000006"/>
    <n v="3"/>
    <n v="811.21125000000006"/>
    <n v="1"/>
    <n v="811.21125000000006"/>
    <n v="108.85599999999999"/>
    <n v="120.15900000000001"/>
    <n v="1.1037999999999999"/>
    <n v="895.41497774999993"/>
    <m/>
    <n v="3"/>
    <s v="Sale"/>
    <x v="0"/>
    <x v="61"/>
    <x v="0"/>
    <n v="677.61"/>
    <n v="1"/>
    <n v="677.61"/>
    <n v="-133.60125000000005"/>
    <m/>
    <n v="895.41497774999993"/>
    <n v="-217.80497774999992"/>
  </r>
  <r>
    <x v="1"/>
    <x v="89"/>
    <x v="55"/>
    <x v="0"/>
    <n v="2704.0374999999999"/>
    <n v="10"/>
    <n v="2704.0374999999999"/>
    <n v="1"/>
    <n v="2704.0374999999999"/>
    <n v="108.85599999999999"/>
    <n v="120.15900000000001"/>
    <n v="1.1037999999999999"/>
    <n v="2984.7165924999995"/>
    <m/>
    <n v="10"/>
    <s v="Sale"/>
    <x v="0"/>
    <x v="61"/>
    <x v="0"/>
    <n v="2245.89"/>
    <n v="1"/>
    <n v="2245.89"/>
    <n v="-458.14750000000004"/>
    <m/>
    <n v="2984.7165924999995"/>
    <n v="-738.82659249999961"/>
  </r>
  <r>
    <x v="1"/>
    <x v="89"/>
    <x v="55"/>
    <x v="0"/>
    <n v="2974.4412499999999"/>
    <n v="11"/>
    <n v="2974.4412499999999"/>
    <n v="1"/>
    <n v="2974.4412499999999"/>
    <n v="108.85599999999999"/>
    <n v="120.15900000000001"/>
    <n v="1.1037999999999999"/>
    <n v="3283.1882517499994"/>
    <m/>
    <n v="11"/>
    <s v="Sale"/>
    <x v="0"/>
    <x v="61"/>
    <x v="0"/>
    <n v="2466.7613793103446"/>
    <n v="1"/>
    <n v="2466.7613793103446"/>
    <n v="-507.67987068965522"/>
    <m/>
    <n v="3283.1882517499994"/>
    <n v="-816.42687243965474"/>
  </r>
  <r>
    <x v="1"/>
    <x v="90"/>
    <x v="55"/>
    <x v="0"/>
    <n v="1680.11"/>
    <n v="6"/>
    <n v="1680.11"/>
    <n v="1"/>
    <n v="1680.11"/>
    <n v="108.85599999999999"/>
    <n v="120.15900000000001"/>
    <n v="1.1037999999999999"/>
    <n v="1854.5054179999997"/>
    <m/>
    <n v="6"/>
    <s v="Sale"/>
    <x v="0"/>
    <x v="61"/>
    <x v="0"/>
    <n v="1345.5062068965517"/>
    <n v="1"/>
    <n v="1345.5062068965517"/>
    <n v="-334.6037931034482"/>
    <m/>
    <n v="1854.5054179999997"/>
    <n v="-508.99921110344803"/>
  </r>
  <r>
    <x v="1"/>
    <x v="90"/>
    <x v="55"/>
    <x v="0"/>
    <n v="3409.3263157894744"/>
    <n v="12"/>
    <n v="3409.3263157894744"/>
    <n v="1"/>
    <n v="3409.3263157894744"/>
    <n v="108.85599999999999"/>
    <n v="120.15900000000001"/>
    <n v="1.1037999999999999"/>
    <n v="3763.2143873684213"/>
    <m/>
    <n v="12"/>
    <s v="Sale"/>
    <x v="0"/>
    <x v="61"/>
    <x v="0"/>
    <n v="2691.0124137931034"/>
    <n v="1"/>
    <n v="2691.0124137931034"/>
    <n v="-718.31390199637099"/>
    <m/>
    <n v="3763.2143873684213"/>
    <n v="-1072.2019735753179"/>
  </r>
  <r>
    <x v="1"/>
    <x v="90"/>
    <x v="55"/>
    <x v="0"/>
    <n v="568.22105263157903"/>
    <n v="2"/>
    <n v="568.22105263157903"/>
    <n v="1"/>
    <n v="568.22105263157903"/>
    <n v="108.85599999999999"/>
    <n v="120.15900000000001"/>
    <n v="1.1037999999999999"/>
    <n v="627.20239789473692"/>
    <m/>
    <n v="2"/>
    <s v="Sale"/>
    <x v="0"/>
    <x v="62"/>
    <x v="0"/>
    <n v="453.77"/>
    <n v="1"/>
    <n v="453.77"/>
    <n v="-114.45105263157905"/>
    <m/>
    <n v="627.20239789473692"/>
    <n v="-173.43239789473694"/>
  </r>
  <r>
    <x v="1"/>
    <x v="90"/>
    <x v="55"/>
    <x v="0"/>
    <n v="568.22105263157903"/>
    <n v="2"/>
    <n v="568.22105263157903"/>
    <n v="1"/>
    <n v="568.22105263157903"/>
    <n v="108.85599999999999"/>
    <n v="120.15900000000001"/>
    <n v="1.1037999999999999"/>
    <n v="627.20239789473692"/>
    <m/>
    <n v="2"/>
    <s v="Sale"/>
    <x v="0"/>
    <x v="62"/>
    <x v="0"/>
    <n v="457.08"/>
    <n v="1"/>
    <n v="457.08"/>
    <n v="-111.14105263157904"/>
    <m/>
    <n v="627.20239789473692"/>
    <n v="-170.12239789473693"/>
  </r>
  <r>
    <x v="1"/>
    <x v="90"/>
    <x v="55"/>
    <x v="0"/>
    <n v="852.3315789473686"/>
    <n v="3"/>
    <n v="852.3315789473686"/>
    <n v="1"/>
    <n v="852.3315789473686"/>
    <n v="108.85599999999999"/>
    <n v="120.15900000000001"/>
    <n v="1.1037999999999999"/>
    <n v="940.80359684210532"/>
    <m/>
    <n v="3"/>
    <s v="Sale"/>
    <x v="0"/>
    <x v="62"/>
    <x v="0"/>
    <n v="681.55799999999999"/>
    <n v="1"/>
    <n v="681.55799999999999"/>
    <n v="-170.77357894736861"/>
    <m/>
    <n v="940.80359684210532"/>
    <n v="-259.24559684210533"/>
  </r>
  <r>
    <x v="1"/>
    <x v="91"/>
    <x v="55"/>
    <x v="0"/>
    <n v="5149.9399999999996"/>
    <n v="19"/>
    <n v="5149.9399999999996"/>
    <n v="1"/>
    <n v="5149.9399999999996"/>
    <n v="109.271"/>
    <n v="120.15900000000001"/>
    <n v="1.0995999999999999"/>
    <n v="5662.8740239999988"/>
    <m/>
    <n v="19"/>
    <s v="Sale"/>
    <x v="0"/>
    <x v="62"/>
    <x v="0"/>
    <n v="4316.5340000000006"/>
    <n v="1"/>
    <n v="4316.5340000000006"/>
    <n v="-833.40599999999904"/>
    <m/>
    <n v="5662.8740239999988"/>
    <n v="-1346.3400239999983"/>
  </r>
  <r>
    <x v="1"/>
    <x v="91"/>
    <x v="55"/>
    <x v="0"/>
    <n v="1642.62"/>
    <n v="6"/>
    <n v="1642.62"/>
    <n v="1"/>
    <n v="1642.62"/>
    <n v="109.271"/>
    <n v="120.15900000000001"/>
    <n v="1.0995999999999999"/>
    <n v="1806.2249519999998"/>
    <m/>
    <n v="6"/>
    <s v="Sale"/>
    <x v="0"/>
    <x v="62"/>
    <x v="0"/>
    <n v="1363.116"/>
    <n v="1"/>
    <n v="1363.116"/>
    <n v="-279.50399999999991"/>
    <m/>
    <n v="1806.2249519999998"/>
    <n v="-443.10895199999982"/>
  </r>
  <r>
    <x v="1"/>
    <x v="92"/>
    <x v="55"/>
    <x v="0"/>
    <n v="539.35333333333335"/>
    <n v="2"/>
    <n v="539.35333333333335"/>
    <n v="1"/>
    <n v="539.35333333333335"/>
    <n v="109.271"/>
    <n v="120.15900000000001"/>
    <n v="1.0995999999999999"/>
    <n v="593.07292533333327"/>
    <m/>
    <n v="2"/>
    <s v="Sale"/>
    <x v="0"/>
    <x v="62"/>
    <x v="0"/>
    <n v="454.37200000000001"/>
    <n v="1"/>
    <n v="454.37200000000001"/>
    <n v="-84.981333333333339"/>
    <m/>
    <n v="593.07292533333327"/>
    <n v="-138.70092533333326"/>
  </r>
  <r>
    <x v="1"/>
    <x v="92"/>
    <x v="55"/>
    <x v="0"/>
    <n v="269.67666666666668"/>
    <n v="1"/>
    <n v="269.67666666666668"/>
    <n v="1"/>
    <n v="269.67666666666668"/>
    <n v="109.271"/>
    <n v="120.15900000000001"/>
    <n v="1.0995999999999999"/>
    <n v="296.53646266666664"/>
    <m/>
    <n v="1"/>
    <s v="Sale"/>
    <x v="0"/>
    <x v="63"/>
    <x v="0"/>
    <n v="228.095"/>
    <n v="1"/>
    <n v="228.095"/>
    <n v="-41.581666666666678"/>
    <m/>
    <n v="296.53646266666664"/>
    <n v="-68.441462666666638"/>
  </r>
  <r>
    <x v="1"/>
    <x v="92"/>
    <x v="55"/>
    <x v="0"/>
    <n v="269.17449999999997"/>
    <n v="1"/>
    <n v="269.17449999999997"/>
    <n v="1"/>
    <n v="269.17449999999997"/>
    <n v="109.271"/>
    <n v="120.15900000000001"/>
    <n v="1.0995999999999999"/>
    <n v="295.98428019999994"/>
    <m/>
    <n v="1"/>
    <s v="Sale"/>
    <x v="0"/>
    <x v="63"/>
    <x v="0"/>
    <n v="228.095"/>
    <n v="1"/>
    <n v="228.095"/>
    <n v="-41.079499999999967"/>
    <m/>
    <n v="295.98428019999994"/>
    <n v="-67.889280199999945"/>
  </r>
  <r>
    <x v="1"/>
    <x v="92"/>
    <x v="55"/>
    <x v="0"/>
    <n v="807.5234999999999"/>
    <n v="3"/>
    <n v="807.5234999999999"/>
    <n v="1"/>
    <n v="807.5234999999999"/>
    <n v="109.271"/>
    <n v="120.15900000000001"/>
    <n v="1.0995999999999999"/>
    <n v="887.95284059999983"/>
    <m/>
    <n v="3"/>
    <s v="Sale"/>
    <x v="0"/>
    <x v="57"/>
    <x v="0"/>
    <n v="706.38"/>
    <n v="1"/>
    <n v="706.38"/>
    <n v="-101.1434999999999"/>
    <m/>
    <n v="887.95284059999983"/>
    <n v="-181.57284059999984"/>
  </r>
  <r>
    <x v="1"/>
    <x v="92"/>
    <x v="55"/>
    <x v="0"/>
    <n v="4306.7919999999995"/>
    <n v="16"/>
    <n v="4306.7919999999995"/>
    <n v="1"/>
    <n v="4306.7919999999995"/>
    <n v="109.271"/>
    <n v="120.15900000000001"/>
    <n v="1.0995999999999999"/>
    <n v="4735.7484831999991"/>
    <m/>
    <n v="16"/>
    <s v="Sale"/>
    <x v="0"/>
    <x v="57"/>
    <x v="0"/>
    <n v="3770.9309090909087"/>
    <n v="1"/>
    <n v="3770.9309090909087"/>
    <n v="-535.86109090909076"/>
    <m/>
    <n v="4735.7484831999991"/>
    <n v="-964.8175741090904"/>
  </r>
  <r>
    <x v="1"/>
    <x v="92"/>
    <x v="55"/>
    <x v="0"/>
    <n v="538.69000000000005"/>
    <n v="2"/>
    <n v="538.69000000000005"/>
    <n v="1"/>
    <n v="538.69000000000005"/>
    <n v="109.271"/>
    <n v="120.15900000000001"/>
    <n v="1.0995999999999999"/>
    <n v="592.343524"/>
    <m/>
    <n v="2"/>
    <s v="Sale"/>
    <x v="0"/>
    <x v="57"/>
    <x v="0"/>
    <n v="471.36636363636359"/>
    <n v="1"/>
    <n v="471.36636363636359"/>
    <n v="-67.323636363636467"/>
    <m/>
    <n v="592.343524"/>
    <n v="-120.97716036363641"/>
  </r>
  <r>
    <x v="1"/>
    <x v="93"/>
    <x v="55"/>
    <x v="0"/>
    <n v="1148.75"/>
    <n v="4"/>
    <n v="1148.75"/>
    <n v="1"/>
    <n v="1148.75"/>
    <n v="110.21"/>
    <n v="120.15900000000001"/>
    <n v="1.0902000000000001"/>
    <n v="1252.36725"/>
    <m/>
    <n v="4"/>
    <s v="Sale"/>
    <x v="0"/>
    <x v="57"/>
    <x v="0"/>
    <n v="942.73272727272717"/>
    <n v="1"/>
    <n v="942.73272727272717"/>
    <n v="-206.01727272727283"/>
    <m/>
    <n v="1252.36725"/>
    <n v="-309.63452272727284"/>
  </r>
  <r>
    <x v="1"/>
    <x v="93"/>
    <x v="55"/>
    <x v="0"/>
    <n v="574.375"/>
    <n v="2"/>
    <n v="574.375"/>
    <n v="1"/>
    <n v="574.375"/>
    <n v="110.21"/>
    <n v="120.15900000000001"/>
    <n v="1.0902000000000001"/>
    <n v="626.18362500000001"/>
    <m/>
    <n v="2"/>
    <s v="Sale"/>
    <x v="0"/>
    <x v="57"/>
    <x v="0"/>
    <n v="477.08"/>
    <n v="1"/>
    <n v="477.08"/>
    <n v="-97.295000000000016"/>
    <m/>
    <n v="626.18362500000001"/>
    <n v="-149.10362500000002"/>
  </r>
  <r>
    <x v="1"/>
    <x v="93"/>
    <x v="55"/>
    <x v="0"/>
    <n v="861.5625"/>
    <n v="3"/>
    <n v="861.5625"/>
    <n v="1"/>
    <n v="861.5625"/>
    <n v="110.21"/>
    <n v="120.15900000000001"/>
    <n v="1.0902000000000001"/>
    <n v="939.27543750000007"/>
    <m/>
    <n v="3"/>
    <s v="Sale"/>
    <x v="0"/>
    <x v="57"/>
    <x v="0"/>
    <n v="710.39"/>
    <n v="1"/>
    <n v="710.39"/>
    <n v="-151.17250000000001"/>
    <m/>
    <n v="939.27543750000007"/>
    <n v="-228.88543750000008"/>
  </r>
  <r>
    <x v="1"/>
    <x v="93"/>
    <x v="55"/>
    <x v="0"/>
    <n v="574.375"/>
    <n v="2"/>
    <n v="574.375"/>
    <n v="1"/>
    <n v="574.375"/>
    <n v="110.21"/>
    <n v="120.15900000000001"/>
    <n v="1.0902000000000001"/>
    <n v="626.18362500000001"/>
    <m/>
    <n v="2"/>
    <s v="Sale"/>
    <x v="0"/>
    <x v="57"/>
    <x v="0"/>
    <n v="472.28"/>
    <n v="1"/>
    <n v="472.28"/>
    <n v="-102.09500000000003"/>
    <m/>
    <n v="626.18362500000001"/>
    <n v="-153.90362500000003"/>
  </r>
  <r>
    <x v="1"/>
    <x v="93"/>
    <x v="55"/>
    <x v="0"/>
    <n v="287.1875"/>
    <n v="1"/>
    <n v="287.1875"/>
    <n v="1"/>
    <n v="287.1875"/>
    <n v="110.21"/>
    <n v="120.15900000000001"/>
    <n v="1.0902000000000001"/>
    <n v="313.0918125"/>
    <m/>
    <n v="1"/>
    <s v="Sale"/>
    <x v="0"/>
    <x v="46"/>
    <x v="0"/>
    <n v="239.27909090909091"/>
    <n v="1"/>
    <n v="239.27909090909091"/>
    <n v="-47.908409090909089"/>
    <m/>
    <n v="313.0918125"/>
    <n v="-73.812721590909092"/>
  </r>
  <r>
    <x v="1"/>
    <x v="94"/>
    <x v="55"/>
    <x v="0"/>
    <n v="3302.94"/>
    <n v="13"/>
    <n v="3302.94"/>
    <n v="1"/>
    <n v="3302.94"/>
    <n v="110.907"/>
    <n v="120.15900000000001"/>
    <n v="1.0833999999999999"/>
    <n v="3578.4051959999997"/>
    <m/>
    <n v="13"/>
    <s v="Sale"/>
    <x v="0"/>
    <x v="46"/>
    <x v="0"/>
    <n v="3110.6281818181819"/>
    <n v="1"/>
    <n v="3110.6281818181819"/>
    <n v="-192.31181818181813"/>
    <m/>
    <n v="3578.4051959999997"/>
    <n v="-467.77701418181778"/>
  </r>
  <r>
    <x v="1"/>
    <x v="9"/>
    <x v="55"/>
    <x v="0"/>
    <n v="2418.7599999999998"/>
    <n v="8"/>
    <n v="2418.7599999999998"/>
    <n v="1"/>
    <n v="2418.7599999999998"/>
    <n v="113.018"/>
    <n v="120.15900000000001"/>
    <n v="1.0630999999999999"/>
    <n v="2571.3837559999997"/>
    <m/>
    <n v="8"/>
    <s v="Sale"/>
    <x v="0"/>
    <x v="46"/>
    <x v="0"/>
    <n v="1914.2327272727273"/>
    <n v="1"/>
    <n v="1914.2327272727273"/>
    <n v="-504.52727272727248"/>
    <m/>
    <n v="2571.3837559999997"/>
    <n v="-657.15102872727243"/>
  </r>
  <r>
    <x v="1"/>
    <x v="9"/>
    <x v="55"/>
    <x v="0"/>
    <n v="302.34499999999997"/>
    <n v="1"/>
    <n v="302.34499999999997"/>
    <n v="1"/>
    <n v="302.34499999999997"/>
    <n v="113.018"/>
    <n v="120.15900000000001"/>
    <n v="1.0630999999999999"/>
    <n v="321.42296949999997"/>
    <m/>
    <n v="1"/>
    <s v="Sale"/>
    <x v="0"/>
    <x v="64"/>
    <x v="0"/>
    <n v="250.23"/>
    <n v="1"/>
    <n v="250.23"/>
    <n v="-52.114999999999981"/>
    <m/>
    <n v="321.42296949999997"/>
    <n v="-71.192969499999975"/>
  </r>
  <r>
    <x v="1"/>
    <x v="9"/>
    <x v="55"/>
    <x v="0"/>
    <n v="16326.63"/>
    <n v="54"/>
    <n v="16326.63"/>
    <n v="1"/>
    <n v="16326.63"/>
    <n v="113.018"/>
    <n v="120.15900000000001"/>
    <n v="1.0630999999999999"/>
    <n v="17356.840353"/>
    <m/>
    <n v="54"/>
    <s v="Sale"/>
    <x v="0"/>
    <x v="65"/>
    <x v="0"/>
    <n v="13546.93"/>
    <n v="1"/>
    <n v="13546.93"/>
    <n v="-2779.6999999999989"/>
    <m/>
    <n v="17356.840353"/>
    <n v="-3809.9103529999993"/>
  </r>
  <r>
    <x v="1"/>
    <x v="9"/>
    <x v="55"/>
    <x v="0"/>
    <n v="604.68999999999994"/>
    <n v="2"/>
    <n v="604.68999999999994"/>
    <n v="1"/>
    <n v="604.68999999999994"/>
    <n v="113.018"/>
    <n v="120.809"/>
    <n v="1.0689"/>
    <n v="646.35314099999994"/>
    <m/>
    <n v="2"/>
    <s v="Sale"/>
    <x v="0"/>
    <x v="10"/>
    <x v="0"/>
    <n v="495.79"/>
    <n v="1"/>
    <n v="495.79"/>
    <n v="-108.89999999999992"/>
    <m/>
    <n v="646.35314099999994"/>
    <n v="-150.56314099999992"/>
  </r>
  <r>
    <x v="1"/>
    <x v="9"/>
    <x v="55"/>
    <x v="0"/>
    <n v="2116.415"/>
    <n v="7"/>
    <n v="2116.415"/>
    <n v="1"/>
    <n v="2116.415"/>
    <n v="113.018"/>
    <n v="120.809"/>
    <n v="1.0689"/>
    <n v="2262.2359934999999"/>
    <m/>
    <n v="7"/>
    <s v="Sale"/>
    <x v="0"/>
    <x v="10"/>
    <x v="0"/>
    <n v="1735.24"/>
    <n v="1"/>
    <n v="1735.24"/>
    <n v="-381.17499999999995"/>
    <m/>
    <n v="2262.2359934999999"/>
    <n v="-526.99599349999994"/>
  </r>
  <r>
    <x v="1"/>
    <x v="9"/>
    <x v="55"/>
    <x v="0"/>
    <n v="302.34499999999997"/>
    <n v="1"/>
    <n v="302.34499999999997"/>
    <n v="1"/>
    <n v="302.34499999999997"/>
    <n v="113.018"/>
    <n v="120.809"/>
    <n v="1.0689"/>
    <n v="323.17657049999997"/>
    <m/>
    <n v="1"/>
    <s v="Sale"/>
    <x v="0"/>
    <x v="10"/>
    <x v="0"/>
    <n v="248.45"/>
    <n v="1"/>
    <n v="248.45"/>
    <n v="-53.894999999999982"/>
    <m/>
    <n v="323.17657049999997"/>
    <n v="-74.72657049999998"/>
  </r>
  <r>
    <x v="1"/>
    <x v="9"/>
    <x v="55"/>
    <x v="0"/>
    <n v="1511.7249999999999"/>
    <n v="5"/>
    <n v="1511.7249999999999"/>
    <n v="1"/>
    <n v="1511.7249999999999"/>
    <n v="113.018"/>
    <n v="120.809"/>
    <n v="1.0689"/>
    <n v="1615.8828524999999"/>
    <m/>
    <n v="5"/>
    <s v="Sale"/>
    <x v="0"/>
    <x v="10"/>
    <x v="0"/>
    <n v="1242.23"/>
    <n v="1"/>
    <n v="1242.23"/>
    <n v="-269.49499999999989"/>
    <m/>
    <n v="1615.8828524999999"/>
    <n v="-373.65285249999988"/>
  </r>
  <r>
    <x v="1"/>
    <x v="9"/>
    <x v="55"/>
    <x v="0"/>
    <n v="302.34499999999997"/>
    <n v="1"/>
    <n v="302.34499999999997"/>
    <n v="1"/>
    <n v="302.34499999999997"/>
    <n v="113.018"/>
    <n v="120.809"/>
    <n v="1.0689"/>
    <n v="323.17657049999997"/>
    <m/>
    <n v="1"/>
    <s v="Sale"/>
    <x v="0"/>
    <x v="10"/>
    <x v="0"/>
    <n v="248.73"/>
    <n v="1"/>
    <n v="248.73"/>
    <n v="-53.614999999999981"/>
    <m/>
    <n v="323.17657049999997"/>
    <n v="-74.446570499999979"/>
  </r>
  <r>
    <x v="1"/>
    <x v="9"/>
    <x v="55"/>
    <x v="0"/>
    <n v="907.03499999999985"/>
    <n v="3"/>
    <n v="907.03499999999985"/>
    <n v="1"/>
    <n v="907.03499999999985"/>
    <n v="113.018"/>
    <n v="120.809"/>
    <n v="1.0689"/>
    <n v="969.52971149999985"/>
    <m/>
    <n v="3"/>
    <s v="Sale"/>
    <x v="0"/>
    <x v="10"/>
    <x v="0"/>
    <n v="746.19"/>
    <n v="1"/>
    <n v="746.19"/>
    <n v="-160.8449999999998"/>
    <m/>
    <n v="969.52971149999985"/>
    <n v="-223.33971149999979"/>
  </r>
  <r>
    <x v="1"/>
    <x v="9"/>
    <x v="55"/>
    <x v="0"/>
    <n v="604.68999999999994"/>
    <n v="2"/>
    <n v="604.68999999999994"/>
    <n v="1"/>
    <n v="604.68999999999994"/>
    <n v="113.018"/>
    <n v="120.809"/>
    <n v="1.0689"/>
    <n v="646.35314099999994"/>
    <m/>
    <n v="2"/>
    <s v="Sale"/>
    <x v="0"/>
    <x v="10"/>
    <x v="0"/>
    <n v="496.14"/>
    <n v="1"/>
    <n v="496.14"/>
    <n v="-108.54999999999995"/>
    <m/>
    <n v="646.35314099999994"/>
    <n v="-150.21314099999995"/>
  </r>
  <r>
    <x v="1"/>
    <x v="9"/>
    <x v="55"/>
    <x v="0"/>
    <n v="2116.415"/>
    <n v="7"/>
    <n v="2116.415"/>
    <n v="1"/>
    <n v="2116.415"/>
    <n v="113.018"/>
    <n v="120.809"/>
    <n v="1.0689"/>
    <n v="2262.2359934999999"/>
    <m/>
    <n v="7"/>
    <s v="Sale"/>
    <x v="0"/>
    <x v="10"/>
    <x v="0"/>
    <n v="1736.48"/>
    <n v="1"/>
    <n v="1736.48"/>
    <n v="-379.93499999999995"/>
    <m/>
    <n v="2262.2359934999999"/>
    <n v="-525.75599349999993"/>
  </r>
  <r>
    <x v="1"/>
    <x v="9"/>
    <x v="55"/>
    <x v="0"/>
    <n v="2418.7599999999998"/>
    <n v="8"/>
    <n v="2418.7599999999998"/>
    <n v="1"/>
    <n v="2418.7599999999998"/>
    <n v="113.018"/>
    <n v="120.809"/>
    <n v="1.0689"/>
    <n v="2585.4125639999997"/>
    <m/>
    <n v="8"/>
    <s v="Sale"/>
    <x v="0"/>
    <x v="11"/>
    <x v="0"/>
    <n v="1984.55"/>
    <n v="1"/>
    <n v="1984.55"/>
    <n v="-434.20999999999981"/>
    <m/>
    <n v="2585.4125639999997"/>
    <n v="-600.86256399999979"/>
  </r>
  <r>
    <x v="1"/>
    <x v="9"/>
    <x v="55"/>
    <x v="0"/>
    <n v="2116.415"/>
    <n v="7"/>
    <n v="2116.415"/>
    <n v="1"/>
    <n v="2116.415"/>
    <n v="113.018"/>
    <n v="120.809"/>
    <n v="1.0689"/>
    <n v="2262.2359934999999"/>
    <m/>
    <n v="7"/>
    <s v="Sale"/>
    <x v="0"/>
    <x v="11"/>
    <x v="0"/>
    <n v="1736.485625"/>
    <n v="1"/>
    <n v="1736.485625"/>
    <n v="-379.92937499999994"/>
    <m/>
    <n v="2262.2359934999999"/>
    <n v="-525.75036849999992"/>
  </r>
  <r>
    <x v="1"/>
    <x v="95"/>
    <x v="55"/>
    <x v="0"/>
    <n v="3356.58"/>
    <n v="13"/>
    <n v="3356.58"/>
    <n v="1"/>
    <n v="3356.58"/>
    <n v="114.601"/>
    <n v="120.809"/>
    <n v="1.0541"/>
    <n v="3538.1709780000001"/>
    <m/>
    <n v="13"/>
    <s v="Sale"/>
    <x v="0"/>
    <x v="11"/>
    <x v="0"/>
    <n v="3224.901875"/>
    <n v="1"/>
    <n v="3224.901875"/>
    <n v="-131.67812499999991"/>
    <m/>
    <n v="3538.1709780000001"/>
    <n v="-313.26910300000009"/>
  </r>
  <r>
    <x v="1"/>
    <x v="95"/>
    <x v="55"/>
    <x v="0"/>
    <n v="2059.1999999999998"/>
    <n v="8"/>
    <n v="2059.1999999999998"/>
    <n v="1"/>
    <n v="2059.1999999999998"/>
    <n v="114.601"/>
    <n v="120.809"/>
    <n v="1.0541"/>
    <n v="2170.6027199999999"/>
    <m/>
    <n v="8"/>
    <s v="Sale"/>
    <x v="0"/>
    <x v="11"/>
    <x v="0"/>
    <n v="1984.5550000000001"/>
    <n v="1"/>
    <n v="1984.5550000000001"/>
    <n v="-74.644999999999754"/>
    <m/>
    <n v="2170.6027199999999"/>
    <n v="-186.0477199999998"/>
  </r>
  <r>
    <x v="1"/>
    <x v="95"/>
    <x v="55"/>
    <x v="0"/>
    <n v="1034.9000000000001"/>
    <n v="4"/>
    <n v="1034.9000000000001"/>
    <n v="1"/>
    <n v="1034.9000000000001"/>
    <n v="114.601"/>
    <n v="120.809"/>
    <n v="1.0541"/>
    <n v="1090.8880900000001"/>
    <m/>
    <n v="4"/>
    <s v="Sale"/>
    <x v="0"/>
    <x v="11"/>
    <x v="0"/>
    <n v="992.27750000000003"/>
    <n v="1"/>
    <n v="992.27750000000003"/>
    <n v="-42.622500000000059"/>
    <m/>
    <n v="1090.8880900000001"/>
    <n v="-98.610590000000116"/>
  </r>
  <r>
    <x v="1"/>
    <x v="76"/>
    <x v="56"/>
    <x v="0"/>
    <n v="838.4523529411764"/>
    <n v="11"/>
    <n v="838.4523529411764"/>
    <n v="1"/>
    <n v="838.4523529411764"/>
    <n v="110.907"/>
    <n v="120.15900000000001"/>
    <n v="1.0833999999999999"/>
    <n v="908.37927917647039"/>
    <m/>
    <n v="11"/>
    <s v="Sale"/>
    <x v="0"/>
    <x v="57"/>
    <x v="0"/>
    <n v="869.86"/>
    <n v="1"/>
    <n v="869.86"/>
    <n v="31.407647058823613"/>
    <m/>
    <n v="908.37927917647039"/>
    <n v="-38.519279176470377"/>
  </r>
  <r>
    <x v="1"/>
    <x v="76"/>
    <x v="56"/>
    <x v="0"/>
    <n v="3048.9176470588236"/>
    <n v="40"/>
    <n v="3048.9176470588236"/>
    <n v="1"/>
    <n v="3048.9176470588236"/>
    <n v="110.907"/>
    <n v="120.15900000000001"/>
    <n v="1.0833999999999999"/>
    <n v="3303.1973788235291"/>
    <m/>
    <n v="40"/>
    <s v="Sale"/>
    <x v="0"/>
    <x v="57"/>
    <x v="0"/>
    <n v="3157.2307692307691"/>
    <n v="1"/>
    <n v="3157.2307692307691"/>
    <n v="108.31312217194545"/>
    <m/>
    <n v="3303.1973788235291"/>
    <n v="-145.96660959276005"/>
  </r>
  <r>
    <x v="1"/>
    <x v="78"/>
    <x v="56"/>
    <x v="0"/>
    <n v="941.48538461538453"/>
    <n v="12"/>
    <n v="941.48538461538453"/>
    <n v="1"/>
    <n v="941.48538461538453"/>
    <n v="111.824"/>
    <n v="120.15900000000001"/>
    <n v="1.0745"/>
    <n v="1011.6260457692307"/>
    <m/>
    <n v="12"/>
    <s v="Sale"/>
    <x v="0"/>
    <x v="57"/>
    <x v="0"/>
    <n v="947.16923076923081"/>
    <n v="1"/>
    <n v="947.16923076923081"/>
    <n v="5.6838461538462752"/>
    <m/>
    <n v="1011.6260457692307"/>
    <n v="-64.456814999999892"/>
  </r>
  <r>
    <x v="1"/>
    <x v="78"/>
    <x v="56"/>
    <x v="0"/>
    <n v="627.65692307692302"/>
    <n v="8"/>
    <n v="627.65692307692302"/>
    <n v="1"/>
    <n v="627.65692307692302"/>
    <n v="111.824"/>
    <n v="120.15900000000001"/>
    <n v="1.0745"/>
    <n v="674.41736384615376"/>
    <m/>
    <n v="8"/>
    <s v="Sale"/>
    <x v="0"/>
    <x v="57"/>
    <x v="0"/>
    <n v="631.72"/>
    <n v="1"/>
    <n v="631.72"/>
    <n v="4.0630769230770056"/>
    <m/>
    <n v="674.41736384615376"/>
    <n v="-42.697363846153735"/>
  </r>
  <r>
    <x v="1"/>
    <x v="78"/>
    <x v="56"/>
    <x v="0"/>
    <n v="1019.9424999999999"/>
    <n v="13"/>
    <n v="1019.9424999999999"/>
    <n v="1"/>
    <n v="1019.9424999999999"/>
    <n v="111.824"/>
    <n v="120.15900000000001"/>
    <n v="1.0745"/>
    <n v="1095.9282162499999"/>
    <m/>
    <n v="13"/>
    <s v="Sale"/>
    <x v="0"/>
    <x v="46"/>
    <x v="0"/>
    <n v="1010.5700000000002"/>
    <n v="1"/>
    <n v="1010.5700000000002"/>
    <n v="-9.3724999999997181"/>
    <m/>
    <n v="1095.9282162499999"/>
    <n v="-85.358216249999714"/>
  </r>
  <r>
    <x v="1"/>
    <x v="78"/>
    <x v="56"/>
    <x v="0"/>
    <n v="706.11403846153837"/>
    <n v="9"/>
    <n v="706.11403846153837"/>
    <n v="1"/>
    <n v="706.11403846153837"/>
    <n v="111.824"/>
    <n v="120.15900000000001"/>
    <n v="1.0745"/>
    <n v="758.71953432692294"/>
    <m/>
    <n v="9"/>
    <s v="Sale"/>
    <x v="0"/>
    <x v="64"/>
    <x v="0"/>
    <n v="721.87"/>
    <n v="1"/>
    <n v="721.87"/>
    <n v="15.755961538461634"/>
    <m/>
    <n v="758.71953432692294"/>
    <n v="-36.849534326922935"/>
  </r>
  <r>
    <x v="1"/>
    <x v="78"/>
    <x v="56"/>
    <x v="0"/>
    <n v="784.57115384615372"/>
    <n v="10"/>
    <n v="784.57115384615372"/>
    <n v="1"/>
    <n v="784.57115384615372"/>
    <n v="111.824"/>
    <n v="120.15900000000001"/>
    <n v="1.0745"/>
    <n v="843.02170480769223"/>
    <m/>
    <n v="10"/>
    <s v="Sale"/>
    <x v="0"/>
    <x v="64"/>
    <x v="0"/>
    <n v="812.7928571428572"/>
    <n v="1"/>
    <n v="812.7928571428572"/>
    <n v="28.221703296703481"/>
    <m/>
    <n v="843.02170480769223"/>
    <n v="-30.22884766483503"/>
  </r>
  <r>
    <x v="1"/>
    <x v="79"/>
    <x v="56"/>
    <x v="0"/>
    <n v="334.10559999999998"/>
    <n v="4"/>
    <n v="334.10559999999998"/>
    <n v="1"/>
    <n v="334.10559999999998"/>
    <n v="111.824"/>
    <n v="120.15900000000001"/>
    <n v="1.0745"/>
    <n v="358.99646719999998"/>
    <m/>
    <n v="4"/>
    <s v="Sale"/>
    <x v="0"/>
    <x v="64"/>
    <x v="0"/>
    <n v="325.11714285714288"/>
    <n v="1"/>
    <n v="325.11714285714288"/>
    <n v="-8.9884571428571007"/>
    <m/>
    <n v="358.99646719999998"/>
    <n v="-33.879324342857103"/>
  </r>
  <r>
    <x v="1"/>
    <x v="79"/>
    <x v="56"/>
    <x v="0"/>
    <n v="250.57919999999999"/>
    <n v="3"/>
    <n v="250.57919999999999"/>
    <n v="1"/>
    <n v="250.57919999999999"/>
    <n v="111.824"/>
    <n v="120.15900000000001"/>
    <n v="1.0745"/>
    <n v="269.24735039999996"/>
    <m/>
    <n v="3"/>
    <s v="Sale"/>
    <x v="0"/>
    <x v="64"/>
    <x v="0"/>
    <n v="242.39999999999998"/>
    <n v="1"/>
    <n v="242.39999999999998"/>
    <n v="-8.1792000000000087"/>
    <m/>
    <n v="269.24735039999996"/>
    <n v="-26.847350399999982"/>
  </r>
  <r>
    <x v="1"/>
    <x v="79"/>
    <x v="56"/>
    <x v="0"/>
    <n v="334.10559999999998"/>
    <n v="4"/>
    <n v="334.10559999999998"/>
    <n v="1"/>
    <n v="334.10559999999998"/>
    <n v="111.824"/>
    <n v="120.15900000000001"/>
    <n v="1.0745"/>
    <n v="358.99646719999998"/>
    <m/>
    <n v="4"/>
    <s v="Sale"/>
    <x v="0"/>
    <x v="64"/>
    <x v="0"/>
    <n v="320.20999999999998"/>
    <n v="1"/>
    <n v="320.20999999999998"/>
    <n v="-13.895600000000002"/>
    <m/>
    <n v="358.99646719999998"/>
    <n v="-38.786467200000004"/>
  </r>
  <r>
    <x v="1"/>
    <x v="79"/>
    <x v="56"/>
    <x v="0"/>
    <n v="3257.5295999999998"/>
    <n v="39"/>
    <n v="3257.5295999999998"/>
    <n v="1"/>
    <n v="3257.5295999999998"/>
    <n v="111.824"/>
    <n v="120.15900000000001"/>
    <n v="1.0745"/>
    <n v="3500.2155551999999"/>
    <m/>
    <n v="39"/>
    <s v="Sale"/>
    <x v="0"/>
    <x v="65"/>
    <x v="0"/>
    <n v="3140.0749999999998"/>
    <n v="1"/>
    <n v="3140.0749999999998"/>
    <n v="-117.45460000000003"/>
    <m/>
    <n v="3500.2155551999999"/>
    <n v="-360.14055520000011"/>
  </r>
  <r>
    <x v="1"/>
    <x v="79"/>
    <x v="56"/>
    <x v="0"/>
    <n v="167.52"/>
    <n v="2"/>
    <n v="167.52"/>
    <n v="1"/>
    <n v="167.52"/>
    <n v="111.824"/>
    <n v="120.15900000000001"/>
    <n v="1.0745"/>
    <n v="180.00024000000002"/>
    <m/>
    <n v="2"/>
    <s v="Sale"/>
    <x v="0"/>
    <x v="65"/>
    <x v="0"/>
    <n v="161.02948717948718"/>
    <n v="1"/>
    <n v="161.02948717948718"/>
    <n v="-6.4905128205128335"/>
    <m/>
    <n v="180.00024000000002"/>
    <n v="-18.970752820512843"/>
  </r>
  <r>
    <x v="1"/>
    <x v="8"/>
    <x v="56"/>
    <x v="0"/>
    <n v="1030.53"/>
    <n v="11"/>
    <n v="1030.53"/>
    <n v="1"/>
    <n v="1030.53"/>
    <n v="112.419"/>
    <n v="120.15900000000001"/>
    <n v="1.0688"/>
    <n v="1101.430464"/>
    <m/>
    <n v="11"/>
    <s v="Sale"/>
    <x v="0"/>
    <x v="65"/>
    <x v="0"/>
    <n v="885.66217948717951"/>
    <n v="1"/>
    <n v="885.66217948717951"/>
    <n v="-144.86782051282046"/>
    <m/>
    <n v="1101.430464"/>
    <n v="-215.76828451282051"/>
  </r>
  <r>
    <x v="1"/>
    <x v="8"/>
    <x v="56"/>
    <x v="0"/>
    <n v="2437.257333333333"/>
    <n v="26"/>
    <n v="2437.257333333333"/>
    <n v="1"/>
    <n v="2437.257333333333"/>
    <n v="112.419"/>
    <n v="120.15900000000001"/>
    <n v="1.0688"/>
    <n v="2604.9406378666663"/>
    <m/>
    <n v="26"/>
    <s v="Sale"/>
    <x v="0"/>
    <x v="65"/>
    <x v="0"/>
    <n v="2093.3833333333332"/>
    <n v="1"/>
    <n v="2093.3833333333332"/>
    <n v="-343.8739999999998"/>
    <m/>
    <n v="2604.9406378666663"/>
    <n v="-511.55730453333308"/>
  </r>
  <r>
    <x v="1"/>
    <x v="8"/>
    <x v="56"/>
    <x v="0"/>
    <n v="374.96266666666662"/>
    <n v="4"/>
    <n v="374.96266666666662"/>
    <n v="1"/>
    <n v="374.96266666666662"/>
    <n v="112.419"/>
    <n v="120.15900000000001"/>
    <n v="1.0688"/>
    <n v="400.76009813333326"/>
    <m/>
    <n v="4"/>
    <s v="Sale"/>
    <x v="0"/>
    <x v="66"/>
    <x v="0"/>
    <n v="305.16660550458721"/>
    <n v="1"/>
    <n v="305.16660550458721"/>
    <n v="-69.796061162079411"/>
    <m/>
    <n v="400.76009813333326"/>
    <n v="-95.593492628746048"/>
  </r>
  <r>
    <x v="1"/>
    <x v="86"/>
    <x v="56"/>
    <x v="0"/>
    <n v="375.3"/>
    <n v="4"/>
    <n v="375.3"/>
    <n v="1"/>
    <n v="375.3"/>
    <n v="112.419"/>
    <n v="120.15900000000001"/>
    <n v="1.0688"/>
    <n v="401.12063999999998"/>
    <m/>
    <n v="4"/>
    <s v="Sale"/>
    <x v="0"/>
    <x v="66"/>
    <x v="0"/>
    <n v="305.16660550458721"/>
    <n v="1"/>
    <n v="305.16660550458721"/>
    <n v="-70.133394495412801"/>
    <m/>
    <n v="401.12063999999998"/>
    <n v="-95.95403449541277"/>
  </r>
  <r>
    <x v="1"/>
    <x v="86"/>
    <x v="56"/>
    <x v="0"/>
    <n v="3646.1100000000006"/>
    <n v="39"/>
    <n v="3646.1100000000006"/>
    <n v="1"/>
    <n v="3646.1100000000006"/>
    <n v="112.419"/>
    <n v="120.15900000000001"/>
    <n v="1.0688"/>
    <n v="3896.9623680000004"/>
    <m/>
    <n v="39"/>
    <s v="Sale"/>
    <x v="0"/>
    <x v="66"/>
    <x v="0"/>
    <n v="2975.3744036697253"/>
    <n v="1"/>
    <n v="2975.3744036697253"/>
    <n v="-670.73559633027526"/>
    <m/>
    <n v="3896.9623680000004"/>
    <n v="-921.5879643302751"/>
  </r>
  <r>
    <x v="1"/>
    <x v="9"/>
    <x v="56"/>
    <x v="0"/>
    <n v="5516.9263414634152"/>
    <n v="62"/>
    <n v="5516.9263414634152"/>
    <n v="1"/>
    <n v="5516.9263414634152"/>
    <n v="113.018"/>
    <n v="120.15900000000001"/>
    <n v="1.0630999999999999"/>
    <n v="5865.0443936097563"/>
    <m/>
    <n v="62"/>
    <s v="Sale"/>
    <x v="0"/>
    <x v="66"/>
    <x v="0"/>
    <n v="4730.0823853211014"/>
    <n v="1"/>
    <n v="4730.0823853211014"/>
    <n v="-786.8439561423138"/>
    <m/>
    <n v="5865.0443936097563"/>
    <n v="-1134.9620082886549"/>
  </r>
  <r>
    <x v="1"/>
    <x v="9"/>
    <x v="56"/>
    <x v="0"/>
    <n v="177.96536585365854"/>
    <n v="2"/>
    <n v="177.96536585365854"/>
    <n v="1"/>
    <n v="177.96536585365854"/>
    <n v="113.018"/>
    <n v="120.15900000000001"/>
    <n v="1.0630999999999999"/>
    <n v="189.19498043902439"/>
    <m/>
    <n v="2"/>
    <s v="Sale"/>
    <x v="0"/>
    <x v="66"/>
    <x v="0"/>
    <n v="151.24"/>
    <n v="1"/>
    <n v="151.24"/>
    <n v="-26.725365853658531"/>
    <m/>
    <n v="189.19498043902439"/>
    <n v="-37.954980439024382"/>
  </r>
  <r>
    <x v="1"/>
    <x v="9"/>
    <x v="56"/>
    <x v="0"/>
    <n v="177.96536585365854"/>
    <n v="2"/>
    <n v="177.96536585365854"/>
    <n v="1"/>
    <n v="177.96536585365854"/>
    <n v="113.018"/>
    <n v="120.809"/>
    <n v="1.0689"/>
    <n v="190.2271795609756"/>
    <m/>
    <n v="2"/>
    <s v="Sale"/>
    <x v="0"/>
    <x v="6"/>
    <x v="0"/>
    <n v="144.11000000000001"/>
    <n v="1"/>
    <n v="144.11000000000001"/>
    <n v="-33.855365853658526"/>
    <m/>
    <n v="190.2271795609756"/>
    <n v="-46.117179560975586"/>
  </r>
  <r>
    <x v="1"/>
    <x v="9"/>
    <x v="56"/>
    <x v="0"/>
    <n v="889.82682926829273"/>
    <n v="10"/>
    <n v="889.82682926829273"/>
    <n v="1"/>
    <n v="889.82682926829273"/>
    <n v="113.018"/>
    <n v="120.809"/>
    <n v="1.0689"/>
    <n v="951.13589780487803"/>
    <m/>
    <n v="10"/>
    <s v="Sale"/>
    <x v="0"/>
    <x v="6"/>
    <x v="0"/>
    <n v="718.6"/>
    <n v="1"/>
    <n v="718.6"/>
    <n v="-171.2268292682927"/>
    <m/>
    <n v="951.13589780487803"/>
    <n v="-232.535897804878"/>
  </r>
  <r>
    <x v="1"/>
    <x v="9"/>
    <x v="56"/>
    <x v="0"/>
    <n v="1957.619024390244"/>
    <n v="22"/>
    <n v="1957.619024390244"/>
    <n v="1"/>
    <n v="1957.619024390244"/>
    <n v="113.018"/>
    <n v="120.809"/>
    <n v="1.0689"/>
    <n v="2092.4989751707317"/>
    <m/>
    <n v="22"/>
    <s v="Sale"/>
    <x v="0"/>
    <x v="6"/>
    <x v="0"/>
    <n v="1568.43"/>
    <n v="1"/>
    <n v="1568.43"/>
    <n v="-389.18902439024396"/>
    <m/>
    <n v="2092.4989751707317"/>
    <n v="-524.06897517073162"/>
  </r>
  <r>
    <x v="1"/>
    <x v="9"/>
    <x v="56"/>
    <x v="0"/>
    <n v="1334.740243902439"/>
    <n v="15"/>
    <n v="1334.740243902439"/>
    <n v="1"/>
    <n v="1334.740243902439"/>
    <n v="113.018"/>
    <n v="120.809"/>
    <n v="1.0689"/>
    <n v="1426.7038467073171"/>
    <m/>
    <n v="15"/>
    <s v="Sale"/>
    <x v="0"/>
    <x v="6"/>
    <x v="0"/>
    <n v="1066.79"/>
    <n v="1"/>
    <n v="1066.79"/>
    <n v="-267.95024390243907"/>
    <m/>
    <n v="1426.7038467073171"/>
    <n v="-359.91384670731713"/>
  </r>
  <r>
    <x v="1"/>
    <x v="9"/>
    <x v="56"/>
    <x v="0"/>
    <n v="5249.9782926829266"/>
    <n v="59"/>
    <n v="5249.9782926829266"/>
    <n v="1"/>
    <n v="5249.9782926829266"/>
    <n v="113.018"/>
    <n v="120.809"/>
    <n v="1.0689"/>
    <n v="5611.7017970487805"/>
    <m/>
    <n v="59"/>
    <s v="Sale"/>
    <x v="0"/>
    <x v="6"/>
    <x v="0"/>
    <n v="4235.8999999999996"/>
    <n v="1"/>
    <n v="4235.8999999999996"/>
    <n v="-1014.078292682927"/>
    <m/>
    <n v="5611.7017970487805"/>
    <n v="-1375.8017970487808"/>
  </r>
  <r>
    <x v="1"/>
    <x v="9"/>
    <x v="56"/>
    <x v="0"/>
    <n v="177.96536585365854"/>
    <n v="2"/>
    <n v="177.96536585365854"/>
    <n v="1"/>
    <n v="177.96536585365854"/>
    <n v="113.018"/>
    <n v="120.809"/>
    <n v="1.0689"/>
    <n v="190.2271795609756"/>
    <m/>
    <n v="2"/>
    <s v="Sale"/>
    <x v="0"/>
    <x v="67"/>
    <x v="0"/>
    <n v="146.59"/>
    <n v="1"/>
    <n v="146.59"/>
    <n v="-31.375365853658536"/>
    <m/>
    <n v="190.2271795609756"/>
    <n v="-43.637179560975596"/>
  </r>
  <r>
    <x v="1"/>
    <x v="9"/>
    <x v="56"/>
    <x v="0"/>
    <n v="889.82682926829273"/>
    <n v="10"/>
    <n v="889.82682926829273"/>
    <n v="1"/>
    <n v="889.82682926829273"/>
    <n v="113.018"/>
    <n v="120.809"/>
    <n v="1.0689"/>
    <n v="951.13589780487803"/>
    <m/>
    <n v="10"/>
    <s v="Sale"/>
    <x v="0"/>
    <x v="67"/>
    <x v="0"/>
    <n v="714.91999999999985"/>
    <n v="1"/>
    <n v="714.91999999999985"/>
    <n v="-174.90682926829288"/>
    <m/>
    <n v="951.13589780487803"/>
    <n v="-236.21589780487818"/>
  </r>
  <r>
    <x v="1"/>
    <x v="9"/>
    <x v="56"/>
    <x v="0"/>
    <n v="978.80951219512201"/>
    <n v="11"/>
    <n v="978.80951219512201"/>
    <n v="1"/>
    <n v="978.80951219512201"/>
    <n v="113.018"/>
    <n v="120.809"/>
    <n v="1.0689"/>
    <n v="1046.2494875853658"/>
    <m/>
    <n v="11"/>
    <s v="Sale"/>
    <x v="0"/>
    <x v="67"/>
    <x v="0"/>
    <n v="788.14999999999986"/>
    <n v="1"/>
    <n v="788.14999999999986"/>
    <n v="-190.65951219512215"/>
    <m/>
    <n v="1046.2494875853658"/>
    <n v="-258.09948758536598"/>
  </r>
  <r>
    <x v="1"/>
    <x v="9"/>
    <x v="56"/>
    <x v="0"/>
    <n v="177.96536585365854"/>
    <n v="2"/>
    <n v="177.96536585365854"/>
    <n v="1"/>
    <n v="177.96536585365854"/>
    <n v="113.018"/>
    <n v="120.809"/>
    <n v="1.0689"/>
    <n v="190.2271795609756"/>
    <m/>
    <n v="2"/>
    <s v="Sale"/>
    <x v="0"/>
    <x v="67"/>
    <x v="0"/>
    <n v="145.08000000000001"/>
    <n v="1"/>
    <n v="145.08000000000001"/>
    <n v="-32.885365853658527"/>
    <m/>
    <n v="190.2271795609756"/>
    <n v="-45.147179560975587"/>
  </r>
  <r>
    <x v="1"/>
    <x v="9"/>
    <x v="56"/>
    <x v="0"/>
    <n v="711.86146341463416"/>
    <n v="8"/>
    <n v="711.86146341463416"/>
    <n v="1"/>
    <n v="711.86146341463416"/>
    <n v="113.018"/>
    <n v="120.809"/>
    <n v="1.0689"/>
    <n v="760.9087182439024"/>
    <m/>
    <n v="8"/>
    <s v="Sale"/>
    <x v="0"/>
    <x v="67"/>
    <x v="0"/>
    <n v="575.15957894736846"/>
    <n v="1"/>
    <n v="575.15957894736846"/>
    <n v="-136.7018844672657"/>
    <m/>
    <n v="760.9087182439024"/>
    <n v="-185.74913929653394"/>
  </r>
  <r>
    <x v="1"/>
    <x v="87"/>
    <x v="56"/>
    <x v="0"/>
    <n v="5583.57"/>
    <n v="60"/>
    <n v="5583.57"/>
    <n v="1"/>
    <n v="5583.57"/>
    <n v="113.899"/>
    <n v="120.809"/>
    <n v="1.0606"/>
    <n v="5921.9343419999996"/>
    <m/>
    <n v="60"/>
    <s v="Sale"/>
    <x v="0"/>
    <x v="67"/>
    <x v="0"/>
    <n v="4313.6968421052634"/>
    <n v="1"/>
    <n v="4313.6968421052634"/>
    <n v="-1269.8731578947363"/>
    <m/>
    <n v="5921.9343419999996"/>
    <n v="-1608.2374998947362"/>
  </r>
  <r>
    <x v="1"/>
    <x v="87"/>
    <x v="56"/>
    <x v="0"/>
    <n v="932.5"/>
    <n v="10"/>
    <n v="932.5"/>
    <n v="1"/>
    <n v="932.5"/>
    <n v="113.899"/>
    <n v="120.809"/>
    <n v="1.0606"/>
    <n v="989.0095"/>
    <m/>
    <n v="10"/>
    <s v="Sale"/>
    <x v="0"/>
    <x v="67"/>
    <x v="0"/>
    <n v="718.9494736842106"/>
    <n v="1"/>
    <n v="718.9494736842106"/>
    <n v="-213.5505263157894"/>
    <m/>
    <n v="989.0095"/>
    <n v="-270.0600263157894"/>
  </r>
  <r>
    <x v="1"/>
    <x v="87"/>
    <x v="56"/>
    <x v="0"/>
    <n v="931.66"/>
    <n v="10"/>
    <n v="931.66"/>
    <n v="1"/>
    <n v="931.66"/>
    <n v="113.899"/>
    <n v="120.809"/>
    <n v="1.0606"/>
    <n v="988.11859599999991"/>
    <m/>
    <n v="10"/>
    <s v="Sale"/>
    <x v="0"/>
    <x v="67"/>
    <x v="0"/>
    <n v="718.9494736842106"/>
    <n v="1"/>
    <n v="718.9494736842106"/>
    <n v="-212.71052631578937"/>
    <m/>
    <n v="988.11859599999991"/>
    <n v="-269.16912231578931"/>
  </r>
  <r>
    <x v="1"/>
    <x v="96"/>
    <x v="56"/>
    <x v="0"/>
    <n v="678.11333333333334"/>
    <n v="7"/>
    <n v="678.11333333333334"/>
    <n v="1"/>
    <n v="678.11333333333334"/>
    <n v="116.884"/>
    <n v="120.809"/>
    <n v="1.0335000000000001"/>
    <n v="700.83013000000005"/>
    <m/>
    <n v="7"/>
    <s v="Sale"/>
    <x v="0"/>
    <x v="67"/>
    <x v="0"/>
    <n v="503.26463157894739"/>
    <n v="1"/>
    <n v="503.26463157894739"/>
    <n v="-174.84870175438596"/>
    <m/>
    <n v="700.83013000000005"/>
    <n v="-197.56549842105267"/>
  </r>
  <r>
    <x v="1"/>
    <x v="96"/>
    <x v="56"/>
    <x v="0"/>
    <n v="1259.3533333333335"/>
    <n v="13"/>
    <n v="1259.3533333333335"/>
    <n v="1"/>
    <n v="1259.3533333333335"/>
    <n v="116.884"/>
    <n v="120.809"/>
    <n v="1.0335000000000001"/>
    <n v="1301.5416700000003"/>
    <m/>
    <n v="13"/>
    <s v="Sale"/>
    <x v="0"/>
    <x v="68"/>
    <x v="0"/>
    <n v="951.91999999999985"/>
    <n v="1"/>
    <n v="951.91999999999985"/>
    <n v="-307.43333333333362"/>
    <m/>
    <n v="1301.5416700000003"/>
    <n v="-349.62167000000045"/>
  </r>
  <r>
    <x v="1"/>
    <x v="96"/>
    <x v="56"/>
    <x v="0"/>
    <n v="193.74666666666667"/>
    <n v="2"/>
    <n v="193.74666666666667"/>
    <n v="1"/>
    <n v="193.74666666666667"/>
    <n v="116.884"/>
    <n v="120.809"/>
    <n v="1.0335000000000001"/>
    <n v="200.23718000000002"/>
    <m/>
    <n v="2"/>
    <s v="Sale"/>
    <x v="0"/>
    <x v="10"/>
    <x v="0"/>
    <n v="149.69999999999999"/>
    <n v="1"/>
    <n v="149.69999999999999"/>
    <n v="-44.046666666666681"/>
    <m/>
    <n v="200.23718000000002"/>
    <n v="-50.537180000000035"/>
  </r>
  <r>
    <x v="1"/>
    <x v="96"/>
    <x v="56"/>
    <x v="0"/>
    <n v="1162.48"/>
    <n v="12"/>
    <n v="1162.48"/>
    <n v="1"/>
    <n v="1162.48"/>
    <n v="116.884"/>
    <n v="120.809"/>
    <n v="1.0335000000000001"/>
    <n v="1201.42308"/>
    <m/>
    <n v="12"/>
    <s v="Sale"/>
    <x v="0"/>
    <x v="10"/>
    <x v="0"/>
    <n v="898.17"/>
    <n v="1"/>
    <n v="898.17"/>
    <n v="-264.31000000000006"/>
    <m/>
    <n v="1201.42308"/>
    <n v="-303.25308000000007"/>
  </r>
  <r>
    <x v="1"/>
    <x v="96"/>
    <x v="56"/>
    <x v="0"/>
    <n v="581.24"/>
    <n v="6"/>
    <n v="581.24"/>
    <n v="1"/>
    <n v="581.24"/>
    <n v="116.884"/>
    <n v="120.809"/>
    <n v="1.0335000000000001"/>
    <n v="600.71154000000001"/>
    <m/>
    <n v="6"/>
    <s v="Sale"/>
    <x v="0"/>
    <x v="10"/>
    <x v="0"/>
    <n v="447.48"/>
    <n v="1"/>
    <n v="447.48"/>
    <n v="-133.76"/>
    <m/>
    <n v="600.71154000000001"/>
    <n v="-153.23154"/>
  </r>
  <r>
    <x v="1"/>
    <x v="96"/>
    <x v="56"/>
    <x v="0"/>
    <n v="1646.8466666666668"/>
    <n v="17"/>
    <n v="1646.8466666666668"/>
    <n v="1"/>
    <n v="1646.8466666666668"/>
    <n v="116.884"/>
    <n v="120.809"/>
    <n v="1.0335000000000001"/>
    <n v="1702.0160300000002"/>
    <m/>
    <n v="17"/>
    <s v="Sale"/>
    <x v="0"/>
    <x v="10"/>
    <x v="0"/>
    <n v="1273.0895238095238"/>
    <n v="1"/>
    <n v="1273.0895238095238"/>
    <n v="-373.75714285714298"/>
    <m/>
    <n v="1702.0160300000002"/>
    <n v="-428.9265061904764"/>
  </r>
  <r>
    <x v="1"/>
    <x v="2"/>
    <x v="56"/>
    <x v="0"/>
    <n v="4628.62"/>
    <n v="46"/>
    <n v="4628.62"/>
    <n v="1"/>
    <n v="4628.62"/>
    <n v="116.884"/>
    <n v="120.809"/>
    <n v="1.0335000000000001"/>
    <n v="4783.6787700000004"/>
    <m/>
    <n v="46"/>
    <s v="Sale"/>
    <x v="0"/>
    <x v="10"/>
    <x v="0"/>
    <n v="3444.8304761904765"/>
    <n v="1"/>
    <n v="3444.8304761904765"/>
    <n v="-1183.7895238095234"/>
    <m/>
    <n v="4783.6787700000004"/>
    <n v="-1338.848293809524"/>
  </r>
  <r>
    <x v="1"/>
    <x v="2"/>
    <x v="56"/>
    <x v="0"/>
    <n v="199.18"/>
    <n v="2"/>
    <n v="199.18"/>
    <n v="1"/>
    <n v="199.18"/>
    <n v="116.884"/>
    <n v="120.809"/>
    <n v="1.0335000000000001"/>
    <n v="205.85253000000003"/>
    <m/>
    <n v="2"/>
    <s v="Sale"/>
    <x v="0"/>
    <x v="11"/>
    <x v="0"/>
    <n v="150.39333333333332"/>
    <n v="1"/>
    <n v="150.39333333333332"/>
    <n v="-48.78666666666669"/>
    <m/>
    <n v="205.85253000000003"/>
    <n v="-55.459196666666713"/>
  </r>
  <r>
    <x v="1"/>
    <x v="2"/>
    <x v="56"/>
    <x v="0"/>
    <n v="694.16"/>
    <n v="7"/>
    <n v="694.16"/>
    <n v="1"/>
    <n v="694.16"/>
    <n v="116.884"/>
    <n v="120.809"/>
    <n v="1.0335000000000001"/>
    <n v="717.41435999999999"/>
    <m/>
    <n v="7"/>
    <s v="Sale"/>
    <x v="0"/>
    <x v="11"/>
    <x v="0"/>
    <n v="526.37666666666655"/>
    <n v="1"/>
    <n v="526.37666666666655"/>
    <n v="-167.78333333333342"/>
    <m/>
    <n v="717.41435999999999"/>
    <n v="-191.03769333333344"/>
  </r>
  <r>
    <x v="1"/>
    <x v="21"/>
    <x v="57"/>
    <x v="0"/>
    <n v="8698.94"/>
    <n v="210"/>
    <n v="8698.94"/>
    <n v="1"/>
    <n v="8698.94"/>
    <n v="114.601"/>
    <n v="120.809"/>
    <n v="1.0541"/>
    <n v="9169.552654000001"/>
    <m/>
    <n v="210"/>
    <s v="Sale"/>
    <x v="0"/>
    <x v="0"/>
    <x v="0"/>
    <n v="7632.4127659574469"/>
    <n v="1"/>
    <n v="7632.4127659574469"/>
    <n v="-1066.5272340425536"/>
    <m/>
    <n v="9169.552654000001"/>
    <n v="-1537.139888042554"/>
  </r>
  <r>
    <x v="1"/>
    <x v="97"/>
    <x v="57"/>
    <x v="0"/>
    <n v="926.53000000000009"/>
    <n v="22"/>
    <n v="926.53000000000009"/>
    <n v="1"/>
    <n v="926.53000000000009"/>
    <n v="114.601"/>
    <n v="120.809"/>
    <n v="1.0541"/>
    <n v="976.65527300000008"/>
    <m/>
    <n v="22"/>
    <s v="Sale"/>
    <x v="0"/>
    <x v="0"/>
    <x v="0"/>
    <n v="799.58609929078011"/>
    <n v="1"/>
    <n v="799.58609929078011"/>
    <n v="-126.94390070921997"/>
    <m/>
    <n v="976.65527300000008"/>
    <n v="-177.06917370921997"/>
  </r>
  <r>
    <x v="1"/>
    <x v="97"/>
    <x v="57"/>
    <x v="0"/>
    <n v="2744.14"/>
    <n v="65"/>
    <n v="2744.14"/>
    <n v="1"/>
    <n v="2744.14"/>
    <n v="114.601"/>
    <n v="120.809"/>
    <n v="1.0541"/>
    <n v="2892.5979739999998"/>
    <m/>
    <n v="65"/>
    <s v="Sale"/>
    <x v="0"/>
    <x v="0"/>
    <x v="0"/>
    <n v="2362.4134751773049"/>
    <n v="1"/>
    <n v="2362.4134751773049"/>
    <n v="-381.72652482269496"/>
    <m/>
    <n v="2892.5979739999998"/>
    <n v="-530.18449882269488"/>
  </r>
  <r>
    <x v="1"/>
    <x v="97"/>
    <x v="57"/>
    <x v="0"/>
    <n v="3880.5200000000004"/>
    <n v="92"/>
    <n v="3880.5200000000004"/>
    <n v="1"/>
    <n v="3880.5200000000004"/>
    <n v="114.601"/>
    <n v="120.809"/>
    <n v="1.0541"/>
    <n v="4090.4561320000007"/>
    <m/>
    <n v="92"/>
    <s v="Sale"/>
    <x v="0"/>
    <x v="0"/>
    <x v="0"/>
    <n v="3343.7236879432626"/>
    <n v="1"/>
    <n v="3343.7236879432626"/>
    <n v="-536.79631205673786"/>
    <m/>
    <n v="4090.4561320000007"/>
    <n v="-746.73244405673813"/>
  </r>
  <r>
    <x v="1"/>
    <x v="97"/>
    <x v="57"/>
    <x v="0"/>
    <n v="1350.59"/>
    <n v="32"/>
    <n v="1350.59"/>
    <n v="1"/>
    <n v="1350.59"/>
    <n v="114.601"/>
    <n v="120.809"/>
    <n v="1.0541"/>
    <n v="1423.656919"/>
    <m/>
    <n v="32"/>
    <s v="Sale"/>
    <x v="0"/>
    <x v="0"/>
    <x v="0"/>
    <n v="1163.0343262411347"/>
    <n v="1"/>
    <n v="1163.0343262411347"/>
    <n v="-187.55567375886517"/>
    <m/>
    <n v="1423.656919"/>
    <n v="-260.62259275886527"/>
  </r>
  <r>
    <x v="1"/>
    <x v="97"/>
    <x v="57"/>
    <x v="0"/>
    <n v="84.433958333333337"/>
    <n v="2"/>
    <n v="84.433958333333337"/>
    <n v="1"/>
    <n v="84.433958333333337"/>
    <n v="114.601"/>
    <n v="120.809"/>
    <n v="1.0541"/>
    <n v="89.001835479166672"/>
    <m/>
    <n v="2"/>
    <s v="Sale"/>
    <x v="0"/>
    <x v="0"/>
    <x v="0"/>
    <n v="72.689645390070922"/>
    <n v="1"/>
    <n v="72.689645390070922"/>
    <n v="-11.744312943262415"/>
    <m/>
    <n v="89.001835479166672"/>
    <n v="-16.312190089095751"/>
  </r>
  <r>
    <x v="1"/>
    <x v="97"/>
    <x v="57"/>
    <x v="0"/>
    <n v="6796.9336458333337"/>
    <n v="161"/>
    <n v="6796.9336458333337"/>
    <n v="1"/>
    <n v="6796.9336458333337"/>
    <n v="114.601"/>
    <n v="121.02200000000001"/>
    <n v="1.056"/>
    <n v="7177.5619300000008"/>
    <m/>
    <n v="161"/>
    <s v="Sale"/>
    <x v="0"/>
    <x v="30"/>
    <x v="0"/>
    <n v="5619.48"/>
    <n v="1"/>
    <n v="5619.48"/>
    <n v="-1177.4536458333341"/>
    <m/>
    <n v="7177.5619300000008"/>
    <n v="-1558.0819300000012"/>
  </r>
  <r>
    <x v="1"/>
    <x v="97"/>
    <x v="57"/>
    <x v="0"/>
    <n v="1224.2923958333333"/>
    <n v="29"/>
    <n v="1224.2923958333333"/>
    <n v="1"/>
    <n v="1224.2923958333333"/>
    <n v="114.601"/>
    <n v="121.02200000000001"/>
    <n v="1.056"/>
    <n v="1292.85277"/>
    <m/>
    <n v="29"/>
    <s v="Sale"/>
    <x v="0"/>
    <x v="69"/>
    <x v="0"/>
    <n v="1023.688223350254"/>
    <n v="1"/>
    <n v="1023.688223350254"/>
    <n v="-200.60417248307931"/>
    <m/>
    <n v="1292.85277"/>
    <n v="-269.16454664974594"/>
  </r>
  <r>
    <x v="1"/>
    <x v="22"/>
    <x v="57"/>
    <x v="0"/>
    <n v="7914.46"/>
    <n v="183"/>
    <n v="7914.46"/>
    <n v="1"/>
    <n v="7914.46"/>
    <n v="114.601"/>
    <n v="121.02200000000001"/>
    <n v="1.056"/>
    <n v="8357.6697600000007"/>
    <m/>
    <n v="183"/>
    <s v="Sale"/>
    <x v="0"/>
    <x v="69"/>
    <x v="0"/>
    <n v="6459.8256852791892"/>
    <n v="1"/>
    <n v="6459.8256852791892"/>
    <n v="-1454.6343147208108"/>
    <m/>
    <n v="8357.6697600000007"/>
    <n v="-1897.8440747208115"/>
  </r>
  <r>
    <x v="1"/>
    <x v="98"/>
    <x v="57"/>
    <x v="0"/>
    <n v="5840.96"/>
    <n v="136"/>
    <n v="5840.96"/>
    <n v="1"/>
    <n v="5840.96"/>
    <n v="114.601"/>
    <n v="121.02200000000001"/>
    <n v="1.056"/>
    <n v="6168.0537600000007"/>
    <m/>
    <n v="136"/>
    <s v="Sale"/>
    <x v="0"/>
    <x v="69"/>
    <x v="0"/>
    <n v="4800.7447715736052"/>
    <n v="1"/>
    <n v="4800.7447715736052"/>
    <n v="-1040.2152284263948"/>
    <m/>
    <n v="6168.0537600000007"/>
    <n v="-1367.3089884263954"/>
  </r>
  <r>
    <x v="1"/>
    <x v="23"/>
    <x v="57"/>
    <x v="0"/>
    <n v="10846.81607142857"/>
    <n v="243"/>
    <n v="10846.81607142857"/>
    <n v="1"/>
    <n v="10846.81607142857"/>
    <n v="115.56100000000001"/>
    <n v="121.02200000000001"/>
    <n v="1.0471999999999999"/>
    <n v="11358.785789999996"/>
    <m/>
    <n v="243"/>
    <s v="Sale"/>
    <x v="0"/>
    <x v="69"/>
    <x v="0"/>
    <n v="8577.8013197969558"/>
    <n v="1"/>
    <n v="8577.8013197969558"/>
    <n v="-2269.0147516316138"/>
    <m/>
    <n v="11358.785789999996"/>
    <n v="-2780.9844702030405"/>
  </r>
  <r>
    <x v="1"/>
    <x v="37"/>
    <x v="17"/>
    <x v="0"/>
    <n v="334.77000000000004"/>
    <n v="1"/>
    <n v="334.77000000000004"/>
    <n v="1"/>
    <n v="334.77000000000004"/>
    <n v="108.85599999999999"/>
    <n v="120.809"/>
    <n v="1.1097999999999999"/>
    <n v="371.52774600000004"/>
    <m/>
    <n v="1"/>
    <s v="Sale"/>
    <x v="0"/>
    <x v="0"/>
    <x v="0"/>
    <n v="363.32344827586206"/>
    <n v="1"/>
    <n v="363.32344827586206"/>
    <n v="28.553448275862024"/>
    <m/>
    <n v="371.52774600000004"/>
    <n v="-8.2042977241379731"/>
  </r>
  <r>
    <x v="1"/>
    <x v="74"/>
    <x v="17"/>
    <x v="0"/>
    <n v="4333.5"/>
    <n v="13"/>
    <n v="4333.5"/>
    <n v="1"/>
    <n v="4333.5"/>
    <n v="110.21"/>
    <n v="120.809"/>
    <n v="1.0961000000000001"/>
    <n v="4749.9493499999999"/>
    <m/>
    <n v="13"/>
    <s v="Sale"/>
    <x v="0"/>
    <x v="0"/>
    <x v="0"/>
    <n v="4723.2048275862071"/>
    <n v="1"/>
    <n v="4723.2048275862071"/>
    <n v="389.7048275862071"/>
    <m/>
    <n v="4749.9493499999999"/>
    <n v="-26.744522413792765"/>
  </r>
  <r>
    <x v="1"/>
    <x v="99"/>
    <x v="17"/>
    <x v="0"/>
    <n v="3793.67"/>
    <n v="12"/>
    <n v="3793.67"/>
    <n v="1"/>
    <n v="3793.67"/>
    <n v="110.21"/>
    <n v="120.809"/>
    <n v="1.0961000000000001"/>
    <n v="4158.2416870000006"/>
    <m/>
    <n v="12"/>
    <s v="Sale"/>
    <x v="0"/>
    <x v="0"/>
    <x v="0"/>
    <n v="4359.8813793103445"/>
    <n v="1"/>
    <n v="4359.8813793103445"/>
    <n v="566.21137931034446"/>
    <m/>
    <n v="4158.2416870000006"/>
    <n v="201.63969231034389"/>
  </r>
  <r>
    <x v="1"/>
    <x v="78"/>
    <x v="17"/>
    <x v="0"/>
    <n v="4720.3500000000004"/>
    <n v="13"/>
    <n v="4720.3500000000004"/>
    <n v="1"/>
    <n v="4720.3500000000004"/>
    <n v="111.824"/>
    <n v="120.809"/>
    <n v="1.0803"/>
    <n v="5099.3941050000003"/>
    <m/>
    <n v="13"/>
    <s v="Sale"/>
    <x v="0"/>
    <x v="0"/>
    <x v="0"/>
    <n v="4723.2048275862071"/>
    <n v="1"/>
    <n v="4723.2048275862071"/>
    <n v="2.8548275862067385"/>
    <m/>
    <n v="5099.3941050000003"/>
    <n v="-376.18927741379321"/>
  </r>
  <r>
    <x v="1"/>
    <x v="100"/>
    <x v="17"/>
    <x v="0"/>
    <n v="4749.75"/>
    <n v="13"/>
    <n v="4749.75"/>
    <n v="1"/>
    <n v="4749.75"/>
    <n v="112.419"/>
    <n v="120.809"/>
    <n v="1.0746"/>
    <n v="5104.0813500000004"/>
    <m/>
    <n v="13"/>
    <s v="Sale"/>
    <x v="0"/>
    <x v="0"/>
    <x v="0"/>
    <n v="4723.2048275862071"/>
    <n v="1"/>
    <n v="4723.2048275862071"/>
    <n v="-26.545172413792898"/>
    <m/>
    <n v="5104.0813500000004"/>
    <n v="-380.87652241379328"/>
  </r>
  <r>
    <x v="1"/>
    <x v="9"/>
    <x v="17"/>
    <x v="0"/>
    <n v="2204.3690526315791"/>
    <n v="6"/>
    <n v="2204.3690526315791"/>
    <n v="1"/>
    <n v="2204.3690526315791"/>
    <n v="113.018"/>
    <n v="120.809"/>
    <n v="1.0689"/>
    <n v="2356.2500803578946"/>
    <m/>
    <n v="6"/>
    <s v="Sale"/>
    <x v="0"/>
    <x v="0"/>
    <x v="0"/>
    <n v="2179.9406896551723"/>
    <n v="1"/>
    <n v="2179.9406896551723"/>
    <n v="-24.428362976406788"/>
    <m/>
    <n v="2356.2500803578946"/>
    <n v="-176.30939070272234"/>
  </r>
  <r>
    <x v="1"/>
    <x v="1"/>
    <x v="58"/>
    <x v="0"/>
    <n v="19884.960940254652"/>
    <n v="561"/>
    <n v="19884.960940254652"/>
    <n v="1"/>
    <n v="19884.960940254652"/>
    <n v="105.934"/>
    <n v="120.809"/>
    <n v="1.1404000000000001"/>
    <n v="22676.809456266408"/>
    <m/>
    <n v="561"/>
    <s v="Sale"/>
    <x v="0"/>
    <x v="0"/>
    <x v="0"/>
    <n v="24949.17"/>
    <n v="1"/>
    <n v="24949.17"/>
    <n v="5064.2090597453462"/>
    <m/>
    <n v="22676.809456266408"/>
    <n v="2272.36054373359"/>
  </r>
  <r>
    <x v="1"/>
    <x v="23"/>
    <x v="57"/>
    <x v="0"/>
    <n v="401.73392857142852"/>
    <n v="9"/>
    <n v="401.73392857142852"/>
    <n v="1"/>
    <n v="401.73392857142852"/>
    <n v="115.56100000000001"/>
    <n v="122.044"/>
    <n v="1.0561"/>
    <n v="424.27120196428569"/>
    <m/>
    <n v="9"/>
    <s v="Sale"/>
    <x v="0"/>
    <x v="70"/>
    <x v="0"/>
    <n v="315.65725352112679"/>
    <n v="1"/>
    <n v="315.65725352112679"/>
    <n v="-86.076675050301731"/>
    <m/>
    <n v="424.27120196428569"/>
    <n v="-108.6139484431589"/>
  </r>
  <r>
    <x v="1"/>
    <x v="2"/>
    <x v="57"/>
    <x v="0"/>
    <n v="5401.56"/>
    <n v="114"/>
    <n v="5401.56"/>
    <n v="1"/>
    <n v="5401.56"/>
    <n v="116.884"/>
    <n v="122.044"/>
    <n v="1.0441"/>
    <n v="5639.7687960000003"/>
    <m/>
    <n v="114"/>
    <s v="Sale"/>
    <x v="0"/>
    <x v="70"/>
    <x v="0"/>
    <n v="3998.3252112676059"/>
    <n v="1"/>
    <n v="3998.3252112676059"/>
    <n v="-1403.2347887323945"/>
    <m/>
    <n v="5639.7687960000003"/>
    <n v="-1641.4435847323944"/>
  </r>
  <r>
    <x v="1"/>
    <x v="101"/>
    <x v="57"/>
    <x v="0"/>
    <n v="840.96794117647062"/>
    <n v="19"/>
    <n v="840.96794117647062"/>
    <n v="1"/>
    <n v="840.96794117647062"/>
    <n v="117.30800000000001"/>
    <n v="122.044"/>
    <n v="1.0403"/>
    <n v="874.85894920588237"/>
    <m/>
    <n v="19"/>
    <s v="Sale"/>
    <x v="0"/>
    <x v="70"/>
    <x v="0"/>
    <n v="666.38753521126762"/>
    <n v="1"/>
    <n v="666.38753521126762"/>
    <n v="-174.580405965203"/>
    <m/>
    <n v="874.85894920588237"/>
    <n v="-208.47141399461475"/>
  </r>
  <r>
    <x v="1"/>
    <x v="101"/>
    <x v="57"/>
    <x v="0"/>
    <n v="663.92205882352948"/>
    <n v="15"/>
    <n v="663.92205882352948"/>
    <n v="1"/>
    <n v="663.92205882352948"/>
    <n v="117.30800000000001"/>
    <n v="122.044"/>
    <n v="1.0403"/>
    <n v="690.67811779411772"/>
    <m/>
    <n v="15"/>
    <s v="Sale"/>
    <x v="0"/>
    <x v="70"/>
    <x v="0"/>
    <n v="525.314705882353"/>
    <n v="1"/>
    <n v="525.314705882353"/>
    <n v="-138.60735294117649"/>
    <m/>
    <n v="690.67811779411772"/>
    <n v="-165.36341191176473"/>
  </r>
  <r>
    <x v="1"/>
    <x v="101"/>
    <x v="57"/>
    <x v="0"/>
    <n v="1601.0976000000001"/>
    <n v="36"/>
    <n v="1601.0976000000001"/>
    <n v="1"/>
    <n v="1601.0976000000001"/>
    <n v="117.30800000000001"/>
    <n v="122.044"/>
    <n v="1.0403"/>
    <n v="1665.6218332800001"/>
    <m/>
    <n v="36"/>
    <s v="Sale"/>
    <x v="0"/>
    <x v="70"/>
    <x v="0"/>
    <n v="1260.7552941176471"/>
    <n v="1"/>
    <n v="1260.7552941176471"/>
    <n v="-340.342305882353"/>
    <m/>
    <n v="1665.6218332800001"/>
    <n v="-404.86653916235309"/>
  </r>
  <r>
    <x v="1"/>
    <x v="101"/>
    <x v="57"/>
    <x v="0"/>
    <n v="1734.5224000000001"/>
    <n v="39"/>
    <n v="1734.5224000000001"/>
    <n v="1"/>
    <n v="1734.5224000000001"/>
    <n v="117.30800000000001"/>
    <n v="122.044"/>
    <n v="1.0403"/>
    <n v="1804.4236527200001"/>
    <m/>
    <n v="39"/>
    <s v="Sale"/>
    <x v="0"/>
    <x v="70"/>
    <x v="0"/>
    <n v="1363.8261951219511"/>
    <n v="1"/>
    <n v="1363.8261951219511"/>
    <n v="-370.696204878049"/>
    <m/>
    <n v="1804.4236527200001"/>
    <n v="-440.597457598049"/>
  </r>
  <r>
    <x v="1"/>
    <x v="101"/>
    <x v="57"/>
    <x v="0"/>
    <n v="309.12"/>
    <n v="7"/>
    <n v="309.12"/>
    <n v="1"/>
    <n v="309.12"/>
    <n v="117.30800000000001"/>
    <n v="122.044"/>
    <n v="1.0403"/>
    <n v="321.57753600000001"/>
    <m/>
    <n v="7"/>
    <s v="Sale"/>
    <x v="0"/>
    <x v="70"/>
    <x v="0"/>
    <n v="244.78931707317071"/>
    <n v="1"/>
    <n v="244.78931707317071"/>
    <n v="-64.330682926829297"/>
    <m/>
    <n v="321.57753600000001"/>
    <n v="-76.788218926829302"/>
  </r>
  <r>
    <x v="1"/>
    <x v="55"/>
    <x v="57"/>
    <x v="0"/>
    <n v="5886.1"/>
    <n v="133"/>
    <n v="5886.1"/>
    <n v="1"/>
    <n v="5886.1"/>
    <n v="117.30800000000001"/>
    <n v="122.044"/>
    <n v="1.0403"/>
    <n v="6123.3098300000001"/>
    <m/>
    <n v="133"/>
    <s v="Sale"/>
    <x v="0"/>
    <x v="70"/>
    <x v="0"/>
    <n v="4650.9970243902435"/>
    <n v="1"/>
    <n v="4650.9970243902435"/>
    <n v="-1235.1029756097569"/>
    <m/>
    <n v="6123.3098300000001"/>
    <n v="-1472.3128056097567"/>
  </r>
  <r>
    <x v="1"/>
    <x v="55"/>
    <x v="57"/>
    <x v="0"/>
    <n v="354.52"/>
    <n v="8"/>
    <n v="354.52"/>
    <n v="1"/>
    <n v="354.52"/>
    <n v="117.30800000000001"/>
    <n v="122.044"/>
    <n v="1.0403"/>
    <n v="368.80715599999996"/>
    <m/>
    <n v="8"/>
    <s v="Sale"/>
    <x v="0"/>
    <x v="70"/>
    <x v="0"/>
    <n v="279.7592195121951"/>
    <n v="1"/>
    <n v="279.7592195121951"/>
    <n v="-74.76078048780488"/>
    <m/>
    <n v="368.80715599999996"/>
    <n v="-89.047936487804861"/>
  </r>
  <r>
    <x v="1"/>
    <x v="102"/>
    <x v="57"/>
    <x v="0"/>
    <n v="10550.65"/>
    <n v="221"/>
    <n v="10550.65"/>
    <n v="1"/>
    <n v="10550.65"/>
    <n v="118.002"/>
    <n v="122.044"/>
    <n v="1.0342"/>
    <n v="10911.48223"/>
    <m/>
    <n v="221"/>
    <s v="Sale"/>
    <x v="0"/>
    <x v="70"/>
    <x v="0"/>
    <n v="7728.3484390243893"/>
    <n v="1"/>
    <n v="7728.3484390243893"/>
    <n v="-2822.3015609756103"/>
    <m/>
    <n v="10911.48223"/>
    <n v="-3183.1337909756103"/>
  </r>
  <r>
    <x v="1"/>
    <x v="103"/>
    <x v="57"/>
    <x v="0"/>
    <n v="75.349999999999994"/>
    <n v="2"/>
    <n v="75.349999999999994"/>
    <n v="1"/>
    <n v="75.349999999999994"/>
    <n v="121.02200000000001"/>
    <n v="122.044"/>
    <n v="1.0084"/>
    <n v="75.982939999999985"/>
    <m/>
    <n v="2"/>
    <s v="Sale"/>
    <x v="0"/>
    <x v="70"/>
    <x v="0"/>
    <n v="69.939804878048776"/>
    <n v="1"/>
    <n v="69.939804878048776"/>
    <n v="-5.4101951219512188"/>
    <m/>
    <n v="75.982939999999985"/>
    <n v="-6.0431351219512095"/>
  </r>
  <r>
    <x v="1"/>
    <x v="26"/>
    <x v="10"/>
    <x v="0"/>
    <n v="161.8413888888889"/>
    <n v="1"/>
    <n v="161.8413888888889"/>
    <n v="1"/>
    <n v="161.8413888888889"/>
    <n v="115.56100000000001"/>
    <n v="122.94799999999999"/>
    <n v="1.0639000000000001"/>
    <n v="172.18305363888891"/>
    <m/>
    <n v="1"/>
    <s v="Sale"/>
    <x v="0"/>
    <x v="71"/>
    <x v="0"/>
    <n v="125.36"/>
    <n v="1"/>
    <n v="125.36"/>
    <n v="-36.481388888888901"/>
    <m/>
    <n v="172.18305363888891"/>
    <n v="-46.823053638888908"/>
  </r>
  <r>
    <x v="1"/>
    <x v="26"/>
    <x v="10"/>
    <x v="0"/>
    <n v="809.2069444444445"/>
    <n v="5"/>
    <n v="809.2069444444445"/>
    <n v="1"/>
    <n v="809.2069444444445"/>
    <n v="115.56100000000001"/>
    <n v="122.94799999999999"/>
    <n v="1.0639000000000001"/>
    <n v="860.91526819444459"/>
    <m/>
    <n v="5"/>
    <s v="Sale"/>
    <x v="0"/>
    <x v="71"/>
    <x v="0"/>
    <n v="628.70000000000005"/>
    <n v="1"/>
    <n v="628.70000000000005"/>
    <n v="-180.50694444444446"/>
    <m/>
    <n v="860.91526819444459"/>
    <n v="-232.21526819444455"/>
  </r>
  <r>
    <x v="1"/>
    <x v="26"/>
    <x v="10"/>
    <x v="0"/>
    <n v="971.0483333333334"/>
    <n v="6"/>
    <n v="971.0483333333334"/>
    <n v="1"/>
    <n v="971.0483333333334"/>
    <n v="115.56100000000001"/>
    <n v="122.94799999999999"/>
    <n v="1.0639000000000001"/>
    <n v="1033.0983218333336"/>
    <m/>
    <n v="6"/>
    <s v="Sale"/>
    <x v="0"/>
    <x v="71"/>
    <x v="0"/>
    <n v="761.14"/>
    <n v="1"/>
    <n v="761.14"/>
    <n v="-209.90833333333342"/>
    <m/>
    <n v="1033.0983218333336"/>
    <n v="-271.95832183333357"/>
  </r>
  <r>
    <x v="1"/>
    <x v="26"/>
    <x v="10"/>
    <x v="0"/>
    <n v="485.5241666666667"/>
    <n v="3"/>
    <n v="485.5241666666667"/>
    <n v="1"/>
    <n v="485.5241666666667"/>
    <n v="115.56100000000001"/>
    <n v="122.94799999999999"/>
    <n v="1.0639000000000001"/>
    <n v="516.54916091666678"/>
    <m/>
    <n v="3"/>
    <s v="Sale"/>
    <x v="0"/>
    <x v="72"/>
    <x v="0"/>
    <n v="372.18"/>
    <n v="1"/>
    <n v="372.18"/>
    <n v="-113.34416666666669"/>
    <m/>
    <n v="516.54916091666678"/>
    <n v="-144.36916091666677"/>
  </r>
  <r>
    <x v="1"/>
    <x v="26"/>
    <x v="10"/>
    <x v="0"/>
    <n v="809.2069444444445"/>
    <n v="5"/>
    <n v="809.2069444444445"/>
    <n v="1"/>
    <n v="809.2069444444445"/>
    <n v="115.56100000000001"/>
    <n v="122.94799999999999"/>
    <n v="1.0639000000000001"/>
    <n v="860.91526819444459"/>
    <m/>
    <n v="5"/>
    <s v="Sale"/>
    <x v="0"/>
    <x v="73"/>
    <x v="0"/>
    <n v="686.16"/>
    <n v="1"/>
    <n v="686.16"/>
    <n v="-123.04694444444453"/>
    <m/>
    <n v="860.91526819444459"/>
    <n v="-174.75526819444462"/>
  </r>
  <r>
    <x v="1"/>
    <x v="26"/>
    <x v="10"/>
    <x v="0"/>
    <n v="485.5241666666667"/>
    <n v="3"/>
    <n v="485.5241666666667"/>
    <n v="1"/>
    <n v="485.5241666666667"/>
    <n v="115.56100000000001"/>
    <n v="122.94799999999999"/>
    <n v="1.0639000000000001"/>
    <n v="516.54916091666678"/>
    <m/>
    <n v="3"/>
    <s v="Sale"/>
    <x v="0"/>
    <x v="73"/>
    <x v="0"/>
    <n v="410.75400000000002"/>
    <n v="1"/>
    <n v="410.75400000000002"/>
    <n v="-74.770166666666682"/>
    <m/>
    <n v="516.54916091666678"/>
    <n v="-105.79516091666676"/>
  </r>
  <r>
    <x v="1"/>
    <x v="104"/>
    <x v="10"/>
    <x v="0"/>
    <n v="328.31"/>
    <n v="2"/>
    <n v="328.31"/>
    <n v="1"/>
    <n v="328.31"/>
    <n v="115.56100000000001"/>
    <n v="122.94799999999999"/>
    <n v="1.0639000000000001"/>
    <n v="349.28900900000002"/>
    <m/>
    <n v="2"/>
    <s v="Sale"/>
    <x v="0"/>
    <x v="73"/>
    <x v="0"/>
    <n v="273.83600000000001"/>
    <n v="1"/>
    <n v="273.83600000000001"/>
    <n v="-54.47399999999999"/>
    <m/>
    <n v="349.28900900000002"/>
    <n v="-75.453009000000009"/>
  </r>
  <r>
    <x v="1"/>
    <x v="104"/>
    <x v="10"/>
    <x v="0"/>
    <n v="656.62"/>
    <n v="4"/>
    <n v="656.62"/>
    <n v="1"/>
    <n v="656.62"/>
    <n v="115.56100000000001"/>
    <n v="122.94799999999999"/>
    <n v="1.0639000000000001"/>
    <n v="698.57801800000004"/>
    <m/>
    <n v="4"/>
    <s v="Sale"/>
    <x v="0"/>
    <x v="73"/>
    <x v="0"/>
    <n v="549.55999999999995"/>
    <n v="1"/>
    <n v="549.55999999999995"/>
    <n v="-107.06000000000006"/>
    <m/>
    <n v="698.57801800000004"/>
    <n v="-149.0180180000001"/>
  </r>
  <r>
    <x v="1"/>
    <x v="104"/>
    <x v="10"/>
    <x v="0"/>
    <n v="656.53"/>
    <n v="4"/>
    <n v="656.53"/>
    <n v="1"/>
    <n v="656.53"/>
    <n v="115.56100000000001"/>
    <n v="122.94799999999999"/>
    <n v="1.0639000000000001"/>
    <n v="698.48226699999998"/>
    <m/>
    <n v="4"/>
    <s v="Sale"/>
    <x v="0"/>
    <x v="73"/>
    <x v="0"/>
    <n v="545.51294117647058"/>
    <n v="1"/>
    <n v="545.51294117647058"/>
    <n v="-111.0170588235294"/>
    <m/>
    <n v="698.48226699999998"/>
    <n v="-152.9693258235294"/>
  </r>
  <r>
    <x v="1"/>
    <x v="104"/>
    <x v="10"/>
    <x v="0"/>
    <n v="1803.76"/>
    <n v="11"/>
    <n v="1803.76"/>
    <n v="1"/>
    <n v="1803.76"/>
    <n v="115.56100000000001"/>
    <n v="122.94799999999999"/>
    <n v="1.0639000000000001"/>
    <n v="1919.0202640000002"/>
    <m/>
    <n v="11"/>
    <s v="Sale"/>
    <x v="0"/>
    <x v="73"/>
    <x v="0"/>
    <n v="1500.1605882352942"/>
    <n v="1"/>
    <n v="1500.1605882352942"/>
    <n v="-303.59941176470579"/>
    <m/>
    <n v="1919.0202640000002"/>
    <n v="-418.85967576470603"/>
  </r>
  <r>
    <x v="1"/>
    <x v="104"/>
    <x v="10"/>
    <x v="0"/>
    <n v="329.19448275862067"/>
    <n v="2"/>
    <n v="329.19448275862067"/>
    <n v="1"/>
    <n v="329.19448275862067"/>
    <n v="115.56100000000001"/>
    <n v="122.94799999999999"/>
    <n v="1.0639000000000001"/>
    <n v="350.23001020689657"/>
    <m/>
    <n v="2"/>
    <s v="Sale"/>
    <x v="0"/>
    <x v="73"/>
    <x v="0"/>
    <n v="272.75647058823529"/>
    <n v="1"/>
    <n v="272.75647058823529"/>
    <n v="-56.438012170385377"/>
    <m/>
    <n v="350.23001020689657"/>
    <n v="-77.473539618661277"/>
  </r>
  <r>
    <x v="1"/>
    <x v="104"/>
    <x v="10"/>
    <x v="0"/>
    <n v="1152.1806896551723"/>
    <n v="7"/>
    <n v="1152.1806896551723"/>
    <n v="1"/>
    <n v="1152.1806896551723"/>
    <n v="115.56100000000001"/>
    <n v="122.94799999999999"/>
    <n v="1.0639000000000001"/>
    <n v="1225.805035724138"/>
    <m/>
    <n v="7"/>
    <s v="Sale"/>
    <x v="0"/>
    <x v="73"/>
    <x v="0"/>
    <n v="956.46"/>
    <n v="1"/>
    <n v="956.46"/>
    <n v="-195.72068965517224"/>
    <m/>
    <n v="1225.805035724138"/>
    <n v="-269.34503572413792"/>
  </r>
  <r>
    <x v="1"/>
    <x v="11"/>
    <x v="6"/>
    <x v="0"/>
    <n v="6525.0225000000009"/>
    <n v="9"/>
    <n v="6525.0225000000009"/>
    <n v="1"/>
    <n v="6525.0225000000009"/>
    <n v="120.15900000000001"/>
    <n v="122.94799999999999"/>
    <n v="1.0232000000000001"/>
    <n v="6676.4030220000013"/>
    <m/>
    <n v="9"/>
    <s v="Sale"/>
    <x v="0"/>
    <x v="74"/>
    <x v="0"/>
    <n v="5623.6711764705888"/>
    <n v="1"/>
    <n v="5623.6711764705888"/>
    <n v="-901.35132352941218"/>
    <m/>
    <n v="6676.4030220000013"/>
    <n v="-1052.7318455294126"/>
  </r>
  <r>
    <x v="1"/>
    <x v="105"/>
    <x v="6"/>
    <x v="0"/>
    <n v="2938.8"/>
    <n v="4"/>
    <n v="2938.8"/>
    <n v="1"/>
    <n v="2938.8"/>
    <n v="120.15900000000001"/>
    <n v="122.94799999999999"/>
    <n v="1.0232000000000001"/>
    <n v="3006.9801600000005"/>
    <m/>
    <n v="4"/>
    <s v="Sale"/>
    <x v="0"/>
    <x v="74"/>
    <x v="0"/>
    <n v="2499.409411764706"/>
    <n v="1"/>
    <n v="2499.409411764706"/>
    <n v="-439.39058823529422"/>
    <m/>
    <n v="3006.9801600000005"/>
    <n v="-507.57074823529456"/>
  </r>
  <r>
    <x v="1"/>
    <x v="105"/>
    <x v="6"/>
    <x v="0"/>
    <n v="2943.8923076923074"/>
    <n v="4"/>
    <n v="2943.8923076923074"/>
    <n v="1"/>
    <n v="2943.8923076923074"/>
    <n v="120.15900000000001"/>
    <n v="122.94799999999999"/>
    <n v="1.0232000000000001"/>
    <n v="3012.1906092307695"/>
    <m/>
    <n v="4"/>
    <s v="Sale"/>
    <x v="0"/>
    <x v="74"/>
    <x v="0"/>
    <n v="2499.409411764706"/>
    <n v="1"/>
    <n v="2499.409411764706"/>
    <n v="-444.48289592760148"/>
    <m/>
    <n v="3012.1906092307695"/>
    <n v="-512.78119746606353"/>
  </r>
  <r>
    <x v="1"/>
    <x v="105"/>
    <x v="6"/>
    <x v="0"/>
    <n v="1471.9461538461537"/>
    <n v="2"/>
    <n v="1471.9461538461537"/>
    <n v="1"/>
    <n v="1471.9461538461537"/>
    <n v="120.15900000000001"/>
    <n v="122.94799999999999"/>
    <n v="1.0232000000000001"/>
    <n v="1506.0953046153847"/>
    <m/>
    <n v="2"/>
    <s v="Sale"/>
    <x v="0"/>
    <x v="74"/>
    <x v="0"/>
    <n v="1252.54"/>
    <n v="1"/>
    <n v="1252.54"/>
    <n v="-219.40615384615376"/>
    <m/>
    <n v="1506.0953046153847"/>
    <n v="-253.55530461538478"/>
  </r>
  <r>
    <x v="1"/>
    <x v="20"/>
    <x v="9"/>
    <x v="0"/>
    <n v="70.346382978723412"/>
    <n v="2"/>
    <n v="70.346382978723412"/>
    <n v="1"/>
    <n v="70.346382978723412"/>
    <n v="118.002"/>
    <n v="122.94799999999999"/>
    <n v="1.0419"/>
    <n v="73.293896425531926"/>
    <m/>
    <n v="2"/>
    <s v="Sale"/>
    <x v="0"/>
    <x v="73"/>
    <x v="0"/>
    <n v="68.69"/>
    <n v="1"/>
    <n v="68.69"/>
    <n v="-1.6563829787234141"/>
    <m/>
    <n v="73.293896425531926"/>
    <n v="-4.6038964255319286"/>
  </r>
  <r>
    <x v="1"/>
    <x v="20"/>
    <x v="9"/>
    <x v="0"/>
    <n v="175.86595744680852"/>
    <n v="5"/>
    <n v="175.86595744680852"/>
    <n v="1"/>
    <n v="175.86595744680852"/>
    <n v="118.002"/>
    <n v="122.94799999999999"/>
    <n v="1.0419"/>
    <n v="183.2347410638298"/>
    <m/>
    <n v="5"/>
    <s v="Sale"/>
    <x v="0"/>
    <x v="73"/>
    <x v="0"/>
    <n v="171.24"/>
    <n v="1"/>
    <n v="171.24"/>
    <n v="-4.6259574468085134"/>
    <m/>
    <n v="183.2347410638298"/>
    <n v="-11.994741063829792"/>
  </r>
  <r>
    <x v="1"/>
    <x v="20"/>
    <x v="9"/>
    <x v="0"/>
    <n v="773.81021276595754"/>
    <n v="22"/>
    <n v="773.81021276595754"/>
    <n v="1"/>
    <n v="773.81021276595754"/>
    <n v="118.002"/>
    <n v="122.94799999999999"/>
    <n v="1.0419"/>
    <n v="806.23286068085122"/>
    <m/>
    <n v="22"/>
    <s v="Sale"/>
    <x v="0"/>
    <x v="73"/>
    <x v="0"/>
    <n v="753.1795652173912"/>
    <n v="1"/>
    <n v="753.1795652173912"/>
    <n v="-20.630647548566344"/>
    <m/>
    <n v="806.23286068085122"/>
    <n v="-53.053295463460017"/>
  </r>
  <r>
    <x v="1"/>
    <x v="20"/>
    <x v="9"/>
    <x v="0"/>
    <n v="69"/>
    <n v="2"/>
    <n v="69"/>
    <n v="1"/>
    <n v="69"/>
    <n v="118.002"/>
    <n v="122.94799999999999"/>
    <n v="1.0419"/>
    <n v="71.891100000000009"/>
    <m/>
    <n v="2"/>
    <s v="Sale"/>
    <x v="0"/>
    <x v="73"/>
    <x v="0"/>
    <n v="68.470869565217384"/>
    <n v="1"/>
    <n v="68.470869565217384"/>
    <n v="-0.52913043478261557"/>
    <m/>
    <n v="71.891100000000009"/>
    <n v="-3.4202304347826242"/>
  </r>
  <r>
    <x v="1"/>
    <x v="40"/>
    <x v="9"/>
    <x v="0"/>
    <n v="382.33"/>
    <n v="11"/>
    <n v="382.33"/>
    <n v="1"/>
    <n v="382.33"/>
    <n v="118.002"/>
    <n v="122.94799999999999"/>
    <n v="1.0419"/>
    <n v="398.349627"/>
    <m/>
    <n v="11"/>
    <s v="Sale"/>
    <x v="0"/>
    <x v="73"/>
    <x v="0"/>
    <n v="376.5897826086956"/>
    <n v="1"/>
    <n v="376.5897826086956"/>
    <n v="-5.7402173913043839"/>
    <m/>
    <n v="398.349627"/>
    <n v="-21.759844391304398"/>
  </r>
  <r>
    <x v="1"/>
    <x v="40"/>
    <x v="9"/>
    <x v="0"/>
    <n v="386.11885714285717"/>
    <n v="11"/>
    <n v="386.11885714285717"/>
    <n v="1"/>
    <n v="386.11885714285717"/>
    <n v="118.002"/>
    <n v="122.94799999999999"/>
    <n v="1.0419"/>
    <n v="402.29723725714291"/>
    <m/>
    <n v="11"/>
    <s v="Sale"/>
    <x v="0"/>
    <x v="73"/>
    <x v="0"/>
    <n v="376.5897826086956"/>
    <n v="1"/>
    <n v="376.5897826086956"/>
    <n v="-9.5290745341615661"/>
    <m/>
    <n v="402.29723725714291"/>
    <n v="-25.70745464844731"/>
  </r>
  <r>
    <x v="1"/>
    <x v="40"/>
    <x v="9"/>
    <x v="0"/>
    <n v="456.32228571428573"/>
    <n v="13"/>
    <n v="456.32228571428573"/>
    <n v="1"/>
    <n v="456.32228571428573"/>
    <n v="118.002"/>
    <n v="122.94799999999999"/>
    <n v="1.0419"/>
    <n v="475.44218948571432"/>
    <m/>
    <n v="13"/>
    <s v="Sale"/>
    <x v="0"/>
    <x v="73"/>
    <x v="0"/>
    <n v="447.56000000000006"/>
    <n v="1"/>
    <n v="447.56000000000006"/>
    <n v="-8.7622857142856674"/>
    <m/>
    <n v="475.44218948571432"/>
    <n v="-27.882189485714264"/>
  </r>
  <r>
    <x v="1"/>
    <x v="40"/>
    <x v="9"/>
    <x v="0"/>
    <n v="105.30514285714287"/>
    <n v="3"/>
    <n v="105.30514285714287"/>
    <n v="1"/>
    <n v="105.30514285714287"/>
    <n v="118.002"/>
    <n v="122.94799999999999"/>
    <n v="1.0419"/>
    <n v="109.71742834285716"/>
    <m/>
    <n v="3"/>
    <s v="Sale"/>
    <x v="0"/>
    <x v="73"/>
    <x v="0"/>
    <n v="103.15"/>
    <n v="1"/>
    <n v="103.15"/>
    <n v="-2.155142857142863"/>
    <m/>
    <n v="109.71742834285716"/>
    <n v="-6.5674283428571556"/>
  </r>
  <r>
    <x v="1"/>
    <x v="40"/>
    <x v="9"/>
    <x v="0"/>
    <n v="315.91542857142861"/>
    <n v="9"/>
    <n v="315.91542857142861"/>
    <n v="1"/>
    <n v="315.91542857142861"/>
    <n v="118.002"/>
    <n v="122.94799999999999"/>
    <n v="1.0419"/>
    <n v="329.1522850285715"/>
    <m/>
    <n v="9"/>
    <s v="Sale"/>
    <x v="0"/>
    <x v="73"/>
    <x v="0"/>
    <n v="309.23"/>
    <n v="1"/>
    <n v="309.23"/>
    <n v="-6.6854285714285879"/>
    <m/>
    <n v="329.1522850285715"/>
    <n v="-19.92228502857148"/>
  </r>
  <r>
    <x v="1"/>
    <x v="9"/>
    <x v="5"/>
    <x v="0"/>
    <n v="2664.09"/>
    <n v="11"/>
    <n v="2664.09"/>
    <n v="1"/>
    <n v="2664.09"/>
    <n v="113.018"/>
    <n v="123.803"/>
    <n v="1.0953999999999999"/>
    <n v="2918.2441859999999"/>
    <m/>
    <n v="11"/>
    <s v="Sale"/>
    <x v="0"/>
    <x v="75"/>
    <x v="0"/>
    <n v="2840.66"/>
    <n v="1"/>
    <n v="2840.66"/>
    <n v="176.56999999999971"/>
    <m/>
    <n v="2918.2441859999999"/>
    <n v="-77.584186000000045"/>
  </r>
  <r>
    <x v="1"/>
    <x v="9"/>
    <x v="5"/>
    <x v="0"/>
    <n v="242.19"/>
    <n v="1"/>
    <n v="242.19"/>
    <n v="1"/>
    <n v="242.19"/>
    <n v="113.018"/>
    <n v="123.803"/>
    <n v="1.0953999999999999"/>
    <n v="265.29492599999998"/>
    <m/>
    <n v="1"/>
    <s v="Sale"/>
    <x v="0"/>
    <x v="75"/>
    <x v="0"/>
    <n v="258.52999999999997"/>
    <n v="1"/>
    <n v="258.52999999999997"/>
    <n v="16.339999999999975"/>
    <m/>
    <n v="265.29492599999998"/>
    <n v="-6.7649260000000027"/>
  </r>
  <r>
    <x v="1"/>
    <x v="9"/>
    <x v="5"/>
    <x v="0"/>
    <n v="1937.52"/>
    <n v="8"/>
    <n v="1937.52"/>
    <n v="1"/>
    <n v="1937.52"/>
    <n v="113.018"/>
    <n v="123.803"/>
    <n v="1.0953999999999999"/>
    <n v="2122.3594079999998"/>
    <m/>
    <n v="8"/>
    <s v="Sale"/>
    <x v="0"/>
    <x v="76"/>
    <x v="0"/>
    <n v="2081.58"/>
    <n v="1"/>
    <n v="2081.58"/>
    <n v="144.05999999999995"/>
    <m/>
    <n v="2122.3594079999998"/>
    <n v="-40.779407999999876"/>
  </r>
  <r>
    <x v="1"/>
    <x v="106"/>
    <x v="5"/>
    <x v="0"/>
    <n v="480.46"/>
    <n v="2"/>
    <n v="480.46"/>
    <n v="1"/>
    <n v="480.46"/>
    <n v="113.018"/>
    <n v="123.803"/>
    <n v="1.0953999999999999"/>
    <n v="526.29588399999989"/>
    <m/>
    <n v="2"/>
    <s v="Sale"/>
    <x v="0"/>
    <x v="77"/>
    <x v="0"/>
    <n v="517.66599999999994"/>
    <n v="1"/>
    <n v="517.66599999999994"/>
    <n v="37.20599999999996"/>
    <m/>
    <n v="526.29588399999989"/>
    <n v="-8.6298839999999473"/>
  </r>
  <r>
    <x v="1"/>
    <x v="106"/>
    <x v="5"/>
    <x v="0"/>
    <n v="4331.1085714285709"/>
    <n v="18"/>
    <n v="4331.1085714285709"/>
    <n v="1"/>
    <n v="4331.1085714285709"/>
    <n v="113.018"/>
    <n v="123.803"/>
    <n v="1.0953999999999999"/>
    <n v="4744.2963291428559"/>
    <m/>
    <n v="18"/>
    <s v="Sale"/>
    <x v="0"/>
    <x v="77"/>
    <x v="0"/>
    <n v="4658.9939999999997"/>
    <n v="1"/>
    <n v="4658.9939999999997"/>
    <n v="327.88542857142875"/>
    <m/>
    <n v="4744.2963291428559"/>
    <n v="-85.302329142856252"/>
  </r>
  <r>
    <x v="1"/>
    <x v="106"/>
    <x v="5"/>
    <x v="0"/>
    <n v="721.85142857142853"/>
    <n v="3"/>
    <n v="721.85142857142853"/>
    <n v="1"/>
    <n v="721.85142857142853"/>
    <n v="113.018"/>
    <n v="123.803"/>
    <n v="1.0953999999999999"/>
    <n v="790.71605485714281"/>
    <m/>
    <n v="3"/>
    <s v="Sale"/>
    <x v="0"/>
    <x v="78"/>
    <x v="0"/>
    <n v="778.72578947368424"/>
    <n v="1"/>
    <n v="778.72578947368424"/>
    <n v="56.874360902255717"/>
    <m/>
    <n v="790.71605485714281"/>
    <n v="-11.990265383458564"/>
  </r>
  <r>
    <x v="1"/>
    <x v="106"/>
    <x v="5"/>
    <x v="0"/>
    <n v="479.63"/>
    <n v="2"/>
    <n v="479.63"/>
    <n v="1"/>
    <n v="479.63"/>
    <n v="113.018"/>
    <n v="123.803"/>
    <n v="1.0953999999999999"/>
    <n v="525.38670200000001"/>
    <m/>
    <n v="2"/>
    <s v="Sale"/>
    <x v="0"/>
    <x v="78"/>
    <x v="0"/>
    <n v="519.15052631578953"/>
    <n v="1"/>
    <n v="519.15052631578953"/>
    <n v="39.520526315789539"/>
    <m/>
    <n v="525.38670200000001"/>
    <n v="-6.2361756842104796"/>
  </r>
  <r>
    <x v="1"/>
    <x v="107"/>
    <x v="5"/>
    <x v="0"/>
    <n v="3445.6712499999999"/>
    <n v="14"/>
    <n v="3445.6712499999999"/>
    <n v="1"/>
    <n v="3445.6712499999999"/>
    <n v="113.682"/>
    <n v="123.803"/>
    <n v="1.089"/>
    <n v="3752.3359912499996"/>
    <m/>
    <n v="14"/>
    <s v="Sale"/>
    <x v="0"/>
    <x v="78"/>
    <x v="0"/>
    <n v="3634.0536842105266"/>
    <n v="1"/>
    <n v="3634.0536842105266"/>
    <n v="188.38243421052675"/>
    <m/>
    <n v="3752.3359912499996"/>
    <n v="-118.28230703947293"/>
  </r>
  <r>
    <x v="1"/>
    <x v="107"/>
    <x v="5"/>
    <x v="0"/>
    <n v="246.11937499999999"/>
    <n v="1"/>
    <n v="246.11937499999999"/>
    <n v="1"/>
    <n v="246.11937499999999"/>
    <n v="113.682"/>
    <n v="123.803"/>
    <n v="1.089"/>
    <n v="268.02399937499996"/>
    <m/>
    <n v="1"/>
    <s v="Sale"/>
    <x v="0"/>
    <x v="79"/>
    <x v="0"/>
    <n v="256.97000000000003"/>
    <n v="1"/>
    <n v="256.97000000000003"/>
    <n v="10.850625000000036"/>
    <m/>
    <n v="268.02399937499996"/>
    <n v="-11.053999374999933"/>
  </r>
  <r>
    <x v="1"/>
    <x v="40"/>
    <x v="9"/>
    <x v="0"/>
    <n v="315.91542857142861"/>
    <n v="9"/>
    <n v="315.91542857142861"/>
    <n v="1"/>
    <n v="315.91542857142861"/>
    <n v="118.002"/>
    <n v="123.803"/>
    <n v="1.0490999999999999"/>
    <n v="331.42687611428573"/>
    <m/>
    <n v="9"/>
    <s v="Sale"/>
    <x v="0"/>
    <x v="75"/>
    <x v="0"/>
    <n v="329.61"/>
    <n v="1"/>
    <n v="329.61"/>
    <n v="13.694571428571408"/>
    <m/>
    <n v="331.42687611428573"/>
    <n v="-1.8168761142857193"/>
  </r>
  <r>
    <x v="1"/>
    <x v="40"/>
    <x v="9"/>
    <x v="0"/>
    <n v="280.8137142857143"/>
    <n v="8"/>
    <n v="280.8137142857143"/>
    <n v="1"/>
    <n v="280.8137142857143"/>
    <n v="118.002"/>
    <n v="123.803"/>
    <n v="1.0490999999999999"/>
    <n v="294.60166765714285"/>
    <m/>
    <n v="8"/>
    <s v="Sale"/>
    <x v="0"/>
    <x v="75"/>
    <x v="0"/>
    <n v="293.42"/>
    <n v="1"/>
    <n v="293.42"/>
    <n v="12.606285714285718"/>
    <m/>
    <n v="294.60166765714285"/>
    <n v="-1.1816676571428388"/>
  </r>
  <r>
    <x v="1"/>
    <x v="40"/>
    <x v="9"/>
    <x v="0"/>
    <n v="386.11885714285717"/>
    <n v="11"/>
    <n v="386.11885714285717"/>
    <n v="1"/>
    <n v="386.11885714285717"/>
    <n v="118.002"/>
    <n v="123.803"/>
    <n v="1.0490999999999999"/>
    <n v="405.07729302857143"/>
    <m/>
    <n v="11"/>
    <s v="Sale"/>
    <x v="0"/>
    <x v="75"/>
    <x v="0"/>
    <n v="405.06999999999994"/>
    <n v="1"/>
    <n v="405.06999999999994"/>
    <n v="18.95114285714277"/>
    <m/>
    <n v="405.07729302857143"/>
    <n v="-7.2930285714960519E-3"/>
  </r>
  <r>
    <x v="1"/>
    <x v="40"/>
    <x v="9"/>
    <x v="0"/>
    <n v="1614.6788571428572"/>
    <n v="46"/>
    <n v="1614.6788571428572"/>
    <n v="1"/>
    <n v="1614.6788571428572"/>
    <n v="118.002"/>
    <n v="123.803"/>
    <n v="1.0490999999999999"/>
    <n v="1693.9595890285714"/>
    <m/>
    <n v="46"/>
    <s v="Sale"/>
    <x v="0"/>
    <x v="75"/>
    <x v="0"/>
    <n v="1684.19"/>
    <n v="1"/>
    <n v="1684.19"/>
    <n v="69.511142857142886"/>
    <m/>
    <n v="1693.9595890285714"/>
    <n v="-9.7695890285713176"/>
  </r>
  <r>
    <x v="1"/>
    <x v="40"/>
    <x v="9"/>
    <x v="0"/>
    <n v="210.61028571428574"/>
    <n v="6"/>
    <n v="210.61028571428574"/>
    <n v="1"/>
    <n v="210.61028571428574"/>
    <n v="118.002"/>
    <n v="123.803"/>
    <n v="1.0490999999999999"/>
    <n v="220.95125074285716"/>
    <m/>
    <n v="6"/>
    <s v="Sale"/>
    <x v="0"/>
    <x v="75"/>
    <x v="0"/>
    <n v="219.38"/>
    <n v="1"/>
    <n v="219.38"/>
    <n v="8.769714285714258"/>
    <m/>
    <n v="220.95125074285716"/>
    <n v="-1.5712507428571598"/>
  </r>
  <r>
    <x v="1"/>
    <x v="40"/>
    <x v="9"/>
    <x v="0"/>
    <n v="877.5428571428572"/>
    <n v="25"/>
    <n v="877.5428571428572"/>
    <n v="1"/>
    <n v="877.5428571428572"/>
    <n v="118.002"/>
    <n v="123.803"/>
    <n v="1.0490999999999999"/>
    <n v="920.63021142857144"/>
    <m/>
    <n v="25"/>
    <s v="Sale"/>
    <x v="0"/>
    <x v="80"/>
    <x v="0"/>
    <n v="897.52999999999986"/>
    <n v="1"/>
    <n v="897.52999999999986"/>
    <n v="19.987142857142658"/>
    <m/>
    <n v="920.63021142857144"/>
    <n v="-23.100211428571583"/>
  </r>
  <r>
    <x v="1"/>
    <x v="40"/>
    <x v="9"/>
    <x v="0"/>
    <n v="526.52571428571434"/>
    <n v="15"/>
    <n v="526.52571428571434"/>
    <n v="1"/>
    <n v="526.52571428571434"/>
    <n v="118.002"/>
    <n v="123.803"/>
    <n v="1.0490999999999999"/>
    <n v="552.37812685714289"/>
    <m/>
    <n v="15"/>
    <s v="Sale"/>
    <x v="0"/>
    <x v="80"/>
    <x v="0"/>
    <n v="540.59"/>
    <n v="1"/>
    <n v="540.59"/>
    <n v="14.064285714285688"/>
    <m/>
    <n v="552.37812685714289"/>
    <n v="-11.788126857142856"/>
  </r>
  <r>
    <x v="1"/>
    <x v="40"/>
    <x v="9"/>
    <x v="0"/>
    <n v="666.93257142857146"/>
    <n v="19"/>
    <n v="666.93257142857146"/>
    <n v="1"/>
    <n v="666.93257142857146"/>
    <n v="118.002"/>
    <n v="123.803"/>
    <n v="1.0490999999999999"/>
    <n v="699.67896068571429"/>
    <m/>
    <n v="19"/>
    <s v="Sale"/>
    <x v="0"/>
    <x v="80"/>
    <x v="0"/>
    <n v="691.01"/>
    <n v="1"/>
    <n v="691.01"/>
    <n v="24.077428571428527"/>
    <m/>
    <n v="699.67896068571429"/>
    <n v="-8.6689606857142962"/>
  </r>
  <r>
    <x v="1"/>
    <x v="108"/>
    <x v="9"/>
    <x v="0"/>
    <n v="199.69"/>
    <n v="5"/>
    <n v="199.69"/>
    <n v="1"/>
    <n v="199.69"/>
    <n v="118.002"/>
    <n v="123.803"/>
    <n v="1.0490999999999999"/>
    <n v="209.49477899999999"/>
    <m/>
    <n v="5"/>
    <s v="Sale"/>
    <x v="0"/>
    <x v="80"/>
    <x v="0"/>
    <n v="179.88706896551724"/>
    <n v="1"/>
    <n v="179.88706896551724"/>
    <n v="-19.802931034482754"/>
    <m/>
    <n v="209.49477899999999"/>
    <n v="-29.60771003448275"/>
  </r>
  <r>
    <x v="1"/>
    <x v="109"/>
    <x v="9"/>
    <x v="0"/>
    <n v="1398.1999999999998"/>
    <n v="35"/>
    <n v="1398.1999999999998"/>
    <n v="1"/>
    <n v="1398.1999999999998"/>
    <n v="118.98099999999999"/>
    <n v="123.803"/>
    <n v="1.0405"/>
    <n v="1454.8270999999997"/>
    <m/>
    <n v="35"/>
    <s v="Sale"/>
    <x v="0"/>
    <x v="80"/>
    <x v="0"/>
    <n v="1259.2094827586209"/>
    <n v="1"/>
    <n v="1259.2094827586209"/>
    <n v="-138.99051724137894"/>
    <m/>
    <n v="1454.8270999999997"/>
    <n v="-195.61761724137887"/>
  </r>
  <r>
    <x v="1"/>
    <x v="109"/>
    <x v="9"/>
    <x v="0"/>
    <n v="390.65"/>
    <n v="10"/>
    <n v="390.65"/>
    <n v="1"/>
    <n v="390.65"/>
    <n v="118.98099999999999"/>
    <n v="123.803"/>
    <n v="1.0405"/>
    <n v="406.47132499999998"/>
    <m/>
    <n v="10"/>
    <s v="Sale"/>
    <x v="0"/>
    <x v="80"/>
    <x v="0"/>
    <n v="359.77413793103449"/>
    <n v="1"/>
    <n v="359.77413793103449"/>
    <n v="-30.875862068965489"/>
    <m/>
    <n v="406.47132499999998"/>
    <n v="-46.697187068965491"/>
  </r>
  <r>
    <x v="1"/>
    <x v="109"/>
    <x v="9"/>
    <x v="0"/>
    <n v="314.46769230769229"/>
    <n v="8"/>
    <n v="314.46769230769229"/>
    <n v="1"/>
    <n v="314.46769230769229"/>
    <n v="118.98099999999999"/>
    <n v="123.803"/>
    <n v="1.0405"/>
    <n v="327.20363384615382"/>
    <m/>
    <n v="8"/>
    <s v="Sale"/>
    <x v="0"/>
    <x v="80"/>
    <x v="0"/>
    <n v="287.81931034482761"/>
    <n v="1"/>
    <n v="287.81931034482761"/>
    <n v="-26.648381962864676"/>
    <m/>
    <n v="327.20363384615382"/>
    <n v="-39.384323501326207"/>
  </r>
  <r>
    <x v="1"/>
    <x v="109"/>
    <x v="9"/>
    <x v="0"/>
    <n v="707.55230769230764"/>
    <n v="18"/>
    <n v="707.55230769230764"/>
    <n v="1"/>
    <n v="707.55230769230764"/>
    <n v="118.98099999999999"/>
    <n v="123.803"/>
    <n v="1.0405"/>
    <n v="736.20817615384613"/>
    <m/>
    <n v="18"/>
    <s v="Sale"/>
    <x v="0"/>
    <x v="81"/>
    <x v="0"/>
    <n v="663.25500000000011"/>
    <n v="1"/>
    <n v="663.25500000000011"/>
    <n v="-44.297307692307527"/>
    <m/>
    <n v="736.20817615384613"/>
    <n v="-72.953176153846016"/>
  </r>
  <r>
    <x v="1"/>
    <x v="109"/>
    <x v="9"/>
    <x v="0"/>
    <n v="238.0129411764706"/>
    <n v="6"/>
    <n v="238.0129411764706"/>
    <n v="1"/>
    <n v="238.0129411764706"/>
    <n v="118.98099999999999"/>
    <n v="123.803"/>
    <n v="1.0405"/>
    <n v="247.65246529411766"/>
    <m/>
    <n v="6"/>
    <s v="Sale"/>
    <x v="0"/>
    <x v="81"/>
    <x v="0"/>
    <n v="221.08500000000004"/>
    <n v="1"/>
    <n v="221.08500000000004"/>
    <n v="-16.927941176470569"/>
    <m/>
    <n v="247.65246529411766"/>
    <n v="-26.567465294117625"/>
  </r>
  <r>
    <x v="1"/>
    <x v="109"/>
    <x v="9"/>
    <x v="0"/>
    <n v="277.68176470588236"/>
    <n v="7"/>
    <n v="277.68176470588236"/>
    <n v="1"/>
    <n v="277.68176470588236"/>
    <n v="118.98099999999999"/>
    <n v="123.803"/>
    <n v="1.0405"/>
    <n v="288.92787617647059"/>
    <m/>
    <n v="7"/>
    <s v="Sale"/>
    <x v="0"/>
    <x v="81"/>
    <x v="0"/>
    <n v="257.61"/>
    <n v="1"/>
    <n v="257.61"/>
    <n v="-20.071764705882345"/>
    <m/>
    <n v="288.92787617647059"/>
    <n v="-31.317876176470577"/>
  </r>
  <r>
    <x v="1"/>
    <x v="109"/>
    <x v="9"/>
    <x v="0"/>
    <n v="158.67529411764707"/>
    <n v="4"/>
    <n v="158.67529411764707"/>
    <n v="1"/>
    <n v="158.67529411764707"/>
    <n v="118.98099999999999"/>
    <n v="123.803"/>
    <n v="1.0405"/>
    <n v="165.10164352941177"/>
    <m/>
    <n v="4"/>
    <s v="Sale"/>
    <x v="0"/>
    <x v="81"/>
    <x v="0"/>
    <n v="146.07142857142858"/>
    <n v="1"/>
    <n v="146.07142857142858"/>
    <n v="-12.603865546218486"/>
    <m/>
    <n v="165.10164352941177"/>
    <n v="-19.030214957983191"/>
  </r>
  <r>
    <x v="1"/>
    <x v="109"/>
    <x v="9"/>
    <x v="0"/>
    <n v="390.85"/>
    <n v="10"/>
    <n v="390.85"/>
    <n v="1"/>
    <n v="390.85"/>
    <n v="118.98099999999999"/>
    <n v="123.803"/>
    <n v="1.0405"/>
    <n v="406.67942500000004"/>
    <m/>
    <n v="10"/>
    <s v="Sale"/>
    <x v="0"/>
    <x v="81"/>
    <x v="0"/>
    <n v="365.17857142857144"/>
    <n v="1"/>
    <n v="365.17857142857144"/>
    <n v="-25.671428571428578"/>
    <m/>
    <n v="406.67942500000004"/>
    <n v="-41.500853571428593"/>
  </r>
  <r>
    <x v="1"/>
    <x v="34"/>
    <x v="16"/>
    <x v="0"/>
    <n v="83.966350364963503"/>
    <n v="1"/>
    <n v="83.966350364963503"/>
    <n v="1"/>
    <n v="83.966350364963503"/>
    <n v="103.02"/>
    <n v="123.803"/>
    <n v="1.2017"/>
    <n v="100.90236323357664"/>
    <m/>
    <n v="1"/>
    <s v="Sale"/>
    <x v="0"/>
    <x v="82"/>
    <x v="0"/>
    <n v="161.36000000000001"/>
    <n v="1"/>
    <n v="161.36000000000001"/>
    <n v="77.39364963503651"/>
    <m/>
    <n v="100.90236323357664"/>
    <n v="60.457636766423377"/>
  </r>
  <r>
    <x v="1"/>
    <x v="34"/>
    <x v="16"/>
    <x v="0"/>
    <n v="1511.3943065693431"/>
    <n v="18"/>
    <n v="1511.3943065693431"/>
    <n v="1"/>
    <n v="1511.3943065693431"/>
    <n v="103.02"/>
    <n v="123.803"/>
    <n v="1.2017"/>
    <n v="1816.2425382043796"/>
    <m/>
    <n v="18"/>
    <s v="Sale"/>
    <x v="0"/>
    <x v="82"/>
    <x v="0"/>
    <n v="2912.77"/>
    <n v="1"/>
    <n v="2912.77"/>
    <n v="1401.3756934306568"/>
    <m/>
    <n v="1816.2425382043796"/>
    <n v="1096.5274617956204"/>
  </r>
  <r>
    <x v="1"/>
    <x v="1"/>
    <x v="27"/>
    <x v="0"/>
    <n v="1455.1130398322853"/>
    <n v="17"/>
    <n v="1455.1130398322853"/>
    <n v="1"/>
    <n v="1455.1130398322853"/>
    <n v="105.934"/>
    <n v="123.803"/>
    <n v="1.1686000000000001"/>
    <n v="1700.4450983480087"/>
    <m/>
    <n v="17"/>
    <s v="Sale"/>
    <x v="0"/>
    <x v="82"/>
    <x v="0"/>
    <n v="2808.34"/>
    <n v="1"/>
    <n v="2808.34"/>
    <n v="1353.2269601677149"/>
    <m/>
    <n v="1700.4450983480087"/>
    <n v="1107.8949016519914"/>
  </r>
  <r>
    <x v="1"/>
    <x v="1"/>
    <x v="27"/>
    <x v="0"/>
    <n v="3252.6056184486374"/>
    <n v="38"/>
    <n v="3252.6056184486374"/>
    <n v="1"/>
    <n v="3252.6056184486374"/>
    <n v="105.934"/>
    <n v="123.803"/>
    <n v="1.1686000000000001"/>
    <n v="3800.9949257190779"/>
    <m/>
    <n v="38"/>
    <s v="Sale"/>
    <x v="0"/>
    <x v="82"/>
    <x v="0"/>
    <n v="6277.82"/>
    <n v="1"/>
    <n v="6277.82"/>
    <n v="3025.2143815513623"/>
    <m/>
    <n v="3800.9949257190779"/>
    <n v="2476.8250742809219"/>
  </r>
  <r>
    <x v="1"/>
    <x v="1"/>
    <x v="27"/>
    <x v="0"/>
    <n v="427.97442348008389"/>
    <n v="5"/>
    <n v="427.97442348008389"/>
    <n v="1"/>
    <n v="427.97442348008389"/>
    <n v="105.934"/>
    <n v="123.803"/>
    <n v="1.1686000000000001"/>
    <n v="500.13091127882609"/>
    <m/>
    <n v="5"/>
    <s v="Sale"/>
    <x v="0"/>
    <x v="82"/>
    <x v="0"/>
    <n v="823.18"/>
    <n v="1"/>
    <n v="823.18"/>
    <n v="395.20557651991606"/>
    <m/>
    <n v="500.13091127882609"/>
    <n v="323.04908872117386"/>
  </r>
  <r>
    <x v="4"/>
    <x v="1"/>
    <x v="59"/>
    <x v="0"/>
    <n v="8204.1554041508498"/>
    <n v="82.04"/>
    <n v="8204.1554041508498"/>
    <n v="1"/>
    <n v="8204.1554041508498"/>
    <n v="105.934"/>
    <n v="118.002"/>
    <n v="1.1138999999999999"/>
    <n v="9138.608704683631"/>
    <m/>
    <n v="82.04"/>
    <s v="Sale"/>
    <x v="0"/>
    <x v="83"/>
    <x v="0"/>
    <n v="5520.7572926621151"/>
    <n v="1"/>
    <n v="5520.7572926621151"/>
    <n v="-2683.3981114887347"/>
    <m/>
    <n v="9138.608704683631"/>
    <n v="-3617.8514120215159"/>
  </r>
  <r>
    <x v="4"/>
    <x v="1"/>
    <x v="59"/>
    <x v="0"/>
    <n v="8703.9587794137788"/>
    <n v="87.04"/>
    <n v="8703.9587794137788"/>
    <n v="1"/>
    <n v="8703.9587794137788"/>
    <n v="105.934"/>
    <n v="120.15900000000001"/>
    <n v="1.1342000000000001"/>
    <n v="9872.0300476111079"/>
    <m/>
    <n v="87.04"/>
    <s v="Sale"/>
    <x v="0"/>
    <x v="46"/>
    <x v="0"/>
    <n v="6018.5108527113971"/>
    <n v="1"/>
    <n v="6018.5108527113971"/>
    <n v="-2685.4479267023817"/>
    <m/>
    <n v="9872.0300476111079"/>
    <n v="-3853.5191948997108"/>
  </r>
  <r>
    <x v="4"/>
    <x v="110"/>
    <x v="60"/>
    <x v="0"/>
    <n v="29997.922352055484"/>
    <n v="34.729999999999997"/>
    <n v="29997.922352055484"/>
    <n v="1"/>
    <n v="29997.922352055484"/>
    <n v="109.271"/>
    <n v="120.809"/>
    <n v="1.1054999999999999"/>
    <n v="33162.703160197336"/>
    <m/>
    <n v="34.729999999999997"/>
    <s v="Sale"/>
    <x v="0"/>
    <x v="84"/>
    <x v="0"/>
    <n v="37358.089999999997"/>
    <n v="1"/>
    <n v="37358.089999999997"/>
    <n v="7360.1676479445123"/>
    <m/>
    <n v="33162.703160197336"/>
    <n v="4195.3868398026607"/>
  </r>
  <r>
    <x v="4"/>
    <x v="98"/>
    <x v="61"/>
    <x v="0"/>
    <n v="15140.915999999999"/>
    <n v="21029.05"/>
    <n v="15140.915999999999"/>
    <n v="1"/>
    <n v="15140.915999999999"/>
    <n v="114.601"/>
    <n v="121.02200000000001"/>
    <n v="1.056"/>
    <n v="15988.807296000001"/>
    <m/>
    <n v="21029.05"/>
    <s v="Sale"/>
    <x v="0"/>
    <x v="31"/>
    <x v="0"/>
    <n v="21029.05"/>
    <n v="1"/>
    <n v="21029.05"/>
    <n v="5888.134"/>
    <m/>
    <n v="15988.807296000001"/>
    <n v="5040.2427039999984"/>
  </r>
  <r>
    <x v="4"/>
    <x v="98"/>
    <x v="62"/>
    <x v="0"/>
    <n v="4522.0110000000004"/>
    <n v="4810.6499999999996"/>
    <n v="4522.0110000000004"/>
    <n v="1"/>
    <n v="4522.0110000000004"/>
    <n v="114.601"/>
    <n v="122.044"/>
    <n v="1.0649"/>
    <n v="4815.4895139"/>
    <m/>
    <n v="4810.6499999999996"/>
    <s v="Sale"/>
    <x v="0"/>
    <x v="85"/>
    <x v="0"/>
    <n v="4810.6499999999996"/>
    <n v="1"/>
    <n v="4810.6499999999996"/>
    <n v="288.63899999999921"/>
    <m/>
    <n v="4815.4895139"/>
    <n v="-4.8395139000003837"/>
  </r>
  <r>
    <x v="4"/>
    <x v="111"/>
    <x v="63"/>
    <x v="0"/>
    <n v="3888.24"/>
    <n v="3888.24"/>
    <n v="3888.24"/>
    <n v="1"/>
    <n v="3888.24"/>
    <n v="113.682"/>
    <n v="122.044"/>
    <n v="1.0734999999999999"/>
    <n v="4174.0256399999989"/>
    <m/>
    <n v="3888.24"/>
    <s v="Sale"/>
    <x v="0"/>
    <x v="13"/>
    <x v="0"/>
    <n v="3888.24"/>
    <n v="1"/>
    <n v="3888.24"/>
    <n v="0"/>
    <m/>
    <n v="4174.0256399999989"/>
    <n v="-285.78563999999915"/>
  </r>
  <r>
    <x v="4"/>
    <x v="72"/>
    <x v="49"/>
    <x v="0"/>
    <n v="243884.46015758134"/>
    <n v="45009"/>
    <n v="243884.46015758134"/>
    <n v="1"/>
    <n v="243884.46015758134"/>
    <n v="113.682"/>
    <n v="122.044"/>
    <n v="1.0734999999999999"/>
    <n v="261809.96797916354"/>
    <m/>
    <n v="45009"/>
    <s v="Sale"/>
    <x v="0"/>
    <x v="13"/>
    <x v="0"/>
    <n v="233298.26000000004"/>
    <n v="1"/>
    <n v="233298.26000000004"/>
    <n v="-10586.200157581305"/>
    <m/>
    <n v="261809.96797916354"/>
    <n v="-28511.707979163504"/>
  </r>
  <r>
    <x v="4"/>
    <x v="110"/>
    <x v="60"/>
    <x v="0"/>
    <n v="22500.601130752821"/>
    <n v="26.05"/>
    <n v="22500.601130752821"/>
    <n v="1"/>
    <n v="22500.601130752821"/>
    <n v="109.271"/>
    <n v="122.044"/>
    <n v="1.1168"/>
    <n v="25128.671342824749"/>
    <m/>
    <n v="26.05"/>
    <s v="Sale"/>
    <x v="0"/>
    <x v="8"/>
    <x v="0"/>
    <n v="28537.49"/>
    <n v="1"/>
    <n v="28537.49"/>
    <n v="6036.888869247181"/>
    <m/>
    <n v="25128.671342824749"/>
    <n v="3408.8186571752522"/>
  </r>
  <r>
    <x v="4"/>
    <x v="66"/>
    <x v="64"/>
    <x v="2"/>
    <n v="96422.940775944124"/>
    <n v="645.65"/>
    <n v="96422.940775944124"/>
    <n v="1.2040500000000001"/>
    <n v="116098.04184127552"/>
    <n v="112.19"/>
    <n v="122.044"/>
    <n v="1.0878000000000001"/>
    <n v="126291.44991493953"/>
    <m/>
    <n v="645.65"/>
    <s v="Sale"/>
    <x v="0"/>
    <x v="86"/>
    <x v="2"/>
    <n v="64825.262490218855"/>
    <n v="1.0454000000000001"/>
    <n v="67768.329407274796"/>
    <n v="-48329.712434000729"/>
    <m/>
    <n v="126291.44991493953"/>
    <n v="-58523.120507664731"/>
  </r>
  <r>
    <x v="4"/>
    <x v="68"/>
    <x v="64"/>
    <x v="2"/>
    <n v="133641.62"/>
    <n v="859.57"/>
    <n v="133641.62"/>
    <n v="1.1856"/>
    <n v="158445.50467199998"/>
    <n v="113.018"/>
    <n v="122.044"/>
    <n v="1.0798000000000001"/>
    <n v="171089.4559448256"/>
    <m/>
    <n v="859.57"/>
    <s v="Sale"/>
    <x v="0"/>
    <x v="86"/>
    <x v="2"/>
    <n v="86303.493965333269"/>
    <n v="1.0454000000000001"/>
    <n v="90221.672591359413"/>
    <n v="-68223.832080640568"/>
    <m/>
    <n v="171089.4559448256"/>
    <n v="-80867.783353466191"/>
  </r>
  <r>
    <x v="4"/>
    <x v="26"/>
    <x v="64"/>
    <x v="2"/>
    <n v="97516.011458794746"/>
    <n v="603.42999999999995"/>
    <n v="97516.011458794746"/>
    <n v="1.1572499999999999"/>
    <n v="112850.40426069021"/>
    <n v="115.56100000000001"/>
    <n v="122.044"/>
    <n v="1.0561"/>
    <n v="119181.31193971493"/>
    <m/>
    <n v="603.42999999999995"/>
    <s v="Sale"/>
    <x v="0"/>
    <x v="86"/>
    <x v="2"/>
    <n v="60586.243544447861"/>
    <n v="1.0454000000000001"/>
    <n v="63336.859001365803"/>
    <n v="-49513.545259324404"/>
    <m/>
    <n v="119181.31193971493"/>
    <n v="-55844.452938349124"/>
  </r>
  <r>
    <x v="4"/>
    <x v="98"/>
    <x v="65"/>
    <x v="0"/>
    <n v="4500"/>
    <n v="5738.18"/>
    <n v="4500"/>
    <n v="1"/>
    <n v="4500"/>
    <n v="114.601"/>
    <n v="122.94799999999999"/>
    <n v="1.0728"/>
    <n v="4827.5999999999995"/>
    <m/>
    <n v="5738.18"/>
    <s v="Sale"/>
    <x v="0"/>
    <x v="87"/>
    <x v="0"/>
    <n v="5738.18"/>
    <n v="1"/>
    <n v="5738.18"/>
    <n v="1238.1800000000003"/>
    <m/>
    <n v="4827.5999999999995"/>
    <n v="910.58000000000084"/>
  </r>
  <r>
    <x v="4"/>
    <x v="112"/>
    <x v="66"/>
    <x v="0"/>
    <n v="212.84649999999999"/>
    <n v="1.49"/>
    <n v="212.84649999999999"/>
    <n v="1"/>
    <n v="212.84649999999999"/>
    <n v="111.824"/>
    <n v="123.803"/>
    <n v="1.1071"/>
    <n v="235.64236014999997"/>
    <m/>
    <n v="1.49"/>
    <s v="Sale"/>
    <x v="0"/>
    <x v="88"/>
    <x v="0"/>
    <n v="533.36"/>
    <n v="1"/>
    <n v="533.36"/>
    <n v="320.51350000000002"/>
    <m/>
    <n v="235.64236014999997"/>
    <n v="297.71763985000007"/>
  </r>
  <r>
    <x v="4"/>
    <x v="8"/>
    <x v="67"/>
    <x v="2"/>
    <n v="142325.03"/>
    <n v="2380"/>
    <n v="142325.03"/>
    <n v="1.22245"/>
    <n v="173985.23292350001"/>
    <n v="112.419"/>
    <n v="123.803"/>
    <n v="1.1012"/>
    <n v="191592.5384953582"/>
    <m/>
    <n v="2380"/>
    <s v="Sale"/>
    <x v="0"/>
    <x v="89"/>
    <x v="2"/>
    <n v="141165.34352941177"/>
    <n v="1.0056"/>
    <n v="141955.86945317648"/>
    <n v="-32029.363470323529"/>
    <m/>
    <n v="191592.5384953582"/>
    <n v="-49636.669042181718"/>
  </r>
  <r>
    <x v="4"/>
    <x v="68"/>
    <x v="67"/>
    <x v="2"/>
    <n v="32153.15"/>
    <n v="510"/>
    <n v="32153.15"/>
    <n v="1.1856"/>
    <n v="38120.774640000003"/>
    <n v="113.018"/>
    <n v="123.803"/>
    <n v="1.0953999999999999"/>
    <n v="41757.496540656"/>
    <m/>
    <n v="510"/>
    <s v="Sale"/>
    <x v="0"/>
    <x v="89"/>
    <x v="2"/>
    <n v="30249.716470588235"/>
    <n v="1.0056"/>
    <n v="30419.114882823531"/>
    <n v="-7701.6597571764723"/>
    <m/>
    <n v="41757.496540656"/>
    <n v="-11338.38165783247"/>
  </r>
  <r>
    <x v="4"/>
    <x v="26"/>
    <x v="68"/>
    <x v="2"/>
    <n v="198327.10515354865"/>
    <n v="1227.25"/>
    <n v="198327.10515354865"/>
    <n v="1.1572499999999999"/>
    <n v="229514.04243894416"/>
    <n v="115.56100000000001"/>
    <n v="123.803"/>
    <n v="1.0712999999999999"/>
    <n v="245878.39366484087"/>
    <m/>
    <n v="1227.25"/>
    <s v="Sale"/>
    <x v="0"/>
    <x v="89"/>
    <x v="2"/>
    <n v="192300.19"/>
    <n v="1.0056"/>
    <n v="193377.07106400002"/>
    <n v="-36136.971374944143"/>
    <m/>
    <n v="245878.39366484087"/>
    <n v="-52501.322600840853"/>
  </r>
  <r>
    <x v="4"/>
    <x v="1"/>
    <x v="59"/>
    <x v="0"/>
    <n v="2166.0146274900039"/>
    <n v="21.66"/>
    <n v="2166.0146274900039"/>
    <n v="1"/>
    <n v="2166.0146274900039"/>
    <n v="105.934"/>
    <n v="123.803"/>
    <n v="1.1686000000000001"/>
    <n v="2531.2046936848187"/>
    <m/>
    <n v="21.66"/>
    <s v="Sale"/>
    <x v="0"/>
    <x v="90"/>
    <x v="0"/>
    <n v="1640.2699999999998"/>
    <n v="1"/>
    <n v="1640.2699999999998"/>
    <n v="-525.74462749000418"/>
    <m/>
    <n v="2531.2046936848187"/>
    <n v="-890.93469368481897"/>
  </r>
  <r>
    <x v="4"/>
    <x v="105"/>
    <x v="69"/>
    <x v="0"/>
    <n v="213553.43999999997"/>
    <n v="1620"/>
    <n v="213553.43999999997"/>
    <n v="1"/>
    <n v="213553.43999999997"/>
    <n v="120.15900000000001"/>
    <n v="123.803"/>
    <n v="1.0303"/>
    <n v="220024.10923199996"/>
    <m/>
    <n v="1620"/>
    <s v="Sale"/>
    <x v="0"/>
    <x v="91"/>
    <x v="0"/>
    <n v="209752.98"/>
    <n v="1"/>
    <n v="209752.98"/>
    <n v="-3800.4599999999627"/>
    <m/>
    <n v="220024.10923199996"/>
    <n v="-10271.129231999948"/>
  </r>
  <r>
    <x v="4"/>
    <x v="113"/>
    <x v="70"/>
    <x v="0"/>
    <n v="175149.57"/>
    <n v="15807.723"/>
    <n v="175149.57"/>
    <n v="1"/>
    <n v="175149.57"/>
    <n v="112.419"/>
    <n v="123.803"/>
    <n v="1.1012"/>
    <n v="192874.70648399999"/>
    <m/>
    <n v="15807.723"/>
    <s v="Sale"/>
    <x v="0"/>
    <x v="92"/>
    <x v="0"/>
    <n v="169458.79720072786"/>
    <n v="1"/>
    <n v="169458.79720072786"/>
    <n v="-5690.7727992721484"/>
    <m/>
    <n v="192874.70648399999"/>
    <n v="-23415.909283272136"/>
  </r>
  <r>
    <x v="4"/>
    <x v="68"/>
    <x v="70"/>
    <x v="0"/>
    <n v="46526.55"/>
    <n v="4187.808"/>
    <n v="46526.55"/>
    <n v="1"/>
    <n v="46526.55"/>
    <n v="113.018"/>
    <n v="123.803"/>
    <n v="1.0953999999999999"/>
    <n v="50965.182869999997"/>
    <m/>
    <n v="4187.808"/>
    <s v="Sale"/>
    <x v="0"/>
    <x v="92"/>
    <x v="0"/>
    <n v="44893.303519272558"/>
    <n v="1"/>
    <n v="44893.303519272558"/>
    <n v="-1633.2464807274446"/>
    <m/>
    <n v="50965.182869999997"/>
    <n v="-6071.8793507274386"/>
  </r>
  <r>
    <x v="3"/>
    <x v="114"/>
    <x v="71"/>
    <x v="0"/>
    <n v="65.021739130434781"/>
    <n v="1"/>
    <n v="65.021739130434781"/>
    <n v="1"/>
    <n v="65.021739130434781"/>
    <n v="117.30800000000001"/>
    <n v="122.94799999999999"/>
    <n v="1.048"/>
    <n v="68.142782608695654"/>
    <m/>
    <n v="1"/>
    <s v="Sale"/>
    <x v="0"/>
    <x v="87"/>
    <x v="0"/>
    <n v="24.6"/>
    <n v="1"/>
    <n v="24.6"/>
    <n v="-40.42173913043478"/>
    <m/>
    <n v="68.142782608695654"/>
    <n v="-43.542782608695653"/>
  </r>
  <r>
    <x v="3"/>
    <x v="114"/>
    <x v="71"/>
    <x v="0"/>
    <n v="260.08695652173913"/>
    <n v="4"/>
    <n v="260.08695652173913"/>
    <n v="1"/>
    <n v="260.08695652173913"/>
    <n v="117.30800000000001"/>
    <n v="122.94799999999999"/>
    <n v="1.048"/>
    <n v="272.57113043478262"/>
    <m/>
    <n v="4"/>
    <s v="Sale"/>
    <x v="0"/>
    <x v="87"/>
    <x v="0"/>
    <n v="99.11"/>
    <n v="1"/>
    <n v="99.11"/>
    <n v="-160.97695652173911"/>
    <m/>
    <n v="272.57113043478262"/>
    <n v="-173.4611304347826"/>
  </r>
  <r>
    <x v="3"/>
    <x v="114"/>
    <x v="71"/>
    <x v="0"/>
    <n v="1170.391304347826"/>
    <n v="18"/>
    <n v="1170.391304347826"/>
    <n v="1"/>
    <n v="1170.391304347826"/>
    <n v="117.30800000000001"/>
    <n v="122.94799999999999"/>
    <n v="1.048"/>
    <n v="1226.5700869565217"/>
    <m/>
    <n v="18"/>
    <s v="Sale"/>
    <x v="0"/>
    <x v="87"/>
    <x v="0"/>
    <n v="451.36636363636359"/>
    <n v="1"/>
    <n v="451.36636363636359"/>
    <n v="-719.02494071146248"/>
    <m/>
    <n v="1226.5700869565217"/>
    <n v="-775.20372332015813"/>
  </r>
  <r>
    <x v="3"/>
    <x v="115"/>
    <x v="71"/>
    <x v="0"/>
    <n v="71.72"/>
    <n v="1"/>
    <n v="71.72"/>
    <n v="1"/>
    <n v="71.72"/>
    <n v="117.30800000000001"/>
    <n v="122.94799999999999"/>
    <n v="1.048"/>
    <n v="75.162559999999999"/>
    <m/>
    <n v="1"/>
    <s v="Sale"/>
    <x v="0"/>
    <x v="87"/>
    <x v="0"/>
    <n v="25.075909090909089"/>
    <n v="1"/>
    <n v="25.075909090909089"/>
    <n v="-46.644090909090906"/>
    <m/>
    <n v="75.162559999999999"/>
    <n v="-50.086650909090906"/>
  </r>
  <r>
    <x v="3"/>
    <x v="115"/>
    <x v="71"/>
    <x v="0"/>
    <n v="147.47999999999999"/>
    <n v="2"/>
    <n v="147.47999999999999"/>
    <n v="1"/>
    <n v="147.47999999999999"/>
    <n v="117.30800000000001"/>
    <n v="122.94799999999999"/>
    <n v="1.048"/>
    <n v="154.55903999999998"/>
    <m/>
    <n v="2"/>
    <s v="Sale"/>
    <x v="0"/>
    <x v="87"/>
    <x v="0"/>
    <n v="50.151818181818179"/>
    <n v="1"/>
    <n v="50.151818181818179"/>
    <n v="-97.328181818181804"/>
    <m/>
    <n v="154.55903999999998"/>
    <n v="-104.4072218181818"/>
  </r>
  <r>
    <x v="3"/>
    <x v="115"/>
    <x v="71"/>
    <x v="0"/>
    <n v="69.63333333333334"/>
    <n v="1"/>
    <n v="69.63333333333334"/>
    <n v="1"/>
    <n v="69.63333333333334"/>
    <n v="117.30800000000001"/>
    <n v="122.94799999999999"/>
    <n v="1.048"/>
    <n v="72.975733333333338"/>
    <m/>
    <n v="1"/>
    <s v="Sale"/>
    <x v="0"/>
    <x v="87"/>
    <x v="0"/>
    <n v="25.075909090909089"/>
    <n v="1"/>
    <n v="25.075909090909089"/>
    <n v="-44.557424242424247"/>
    <m/>
    <n v="72.975733333333338"/>
    <n v="-47.899824242424245"/>
  </r>
  <r>
    <x v="3"/>
    <x v="115"/>
    <x v="71"/>
    <x v="0"/>
    <n v="69.63333333333334"/>
    <n v="1"/>
    <n v="69.63333333333334"/>
    <n v="1"/>
    <n v="69.63333333333334"/>
    <n v="117.30800000000001"/>
    <n v="122.94799999999999"/>
    <n v="1.048"/>
    <n v="72.975733333333338"/>
    <m/>
    <n v="1"/>
    <s v="Sale"/>
    <x v="0"/>
    <x v="87"/>
    <x v="0"/>
    <n v="25.13"/>
    <n v="1"/>
    <n v="25.13"/>
    <n v="-44.503333333333345"/>
    <m/>
    <n v="72.975733333333338"/>
    <n v="-47.845733333333342"/>
  </r>
  <r>
    <x v="3"/>
    <x v="47"/>
    <x v="39"/>
    <x v="0"/>
    <n v="1557.0835714285718"/>
    <n v="3"/>
    <n v="1557.0835714285718"/>
    <n v="1"/>
    <n v="1557.0835714285718"/>
    <n v="116.884"/>
    <n v="122.94799999999999"/>
    <n v="1.0518000000000001"/>
    <n v="1637.740500428572"/>
    <m/>
    <n v="3"/>
    <s v="Sale"/>
    <x v="0"/>
    <x v="87"/>
    <x v="0"/>
    <n v="889.92"/>
    <n v="1"/>
    <n v="889.92"/>
    <n v="-667.1635714285718"/>
    <m/>
    <n v="1637.740500428572"/>
    <n v="-747.82050042857202"/>
  </r>
  <r>
    <x v="3"/>
    <x v="47"/>
    <x v="39"/>
    <x v="0"/>
    <n v="519.02785714285721"/>
    <n v="1"/>
    <n v="519.02785714285721"/>
    <n v="1"/>
    <n v="519.02785714285721"/>
    <n v="116.884"/>
    <n v="122.94799999999999"/>
    <n v="1.0518000000000001"/>
    <n v="545.91350014285729"/>
    <m/>
    <n v="1"/>
    <s v="Sale"/>
    <x v="0"/>
    <x v="87"/>
    <x v="0"/>
    <n v="294.93"/>
    <n v="1"/>
    <n v="294.93"/>
    <n v="-224.09785714285721"/>
    <m/>
    <n v="545.91350014285729"/>
    <n v="-250.98350014285728"/>
  </r>
  <r>
    <x v="3"/>
    <x v="47"/>
    <x v="39"/>
    <x v="0"/>
    <n v="1557.0835714285718"/>
    <n v="3"/>
    <n v="1557.0835714285718"/>
    <n v="1"/>
    <n v="1557.0835714285718"/>
    <n v="116.884"/>
    <n v="122.94799999999999"/>
    <n v="1.0518000000000001"/>
    <n v="1637.740500428572"/>
    <m/>
    <n v="3"/>
    <s v="Sale"/>
    <x v="0"/>
    <x v="93"/>
    <x v="0"/>
    <n v="858.39"/>
    <n v="1"/>
    <n v="858.39"/>
    <n v="-698.69357142857177"/>
    <m/>
    <n v="1637.740500428572"/>
    <n v="-779.35050042857199"/>
  </r>
  <r>
    <x v="3"/>
    <x v="116"/>
    <x v="72"/>
    <x v="0"/>
    <n v="1611.4926666666665"/>
    <n v="11"/>
    <n v="1611.4926666666665"/>
    <n v="1"/>
    <n v="1611.4926666666665"/>
    <n v="118.002"/>
    <n v="118.98099999999999"/>
    <n v="1.0082"/>
    <n v="1624.7069065333333"/>
    <m/>
    <n v="11"/>
    <s v="Sale"/>
    <x v="0"/>
    <x v="28"/>
    <x v="0"/>
    <n v="1758.5900000000001"/>
    <n v="1"/>
    <n v="1758.5900000000001"/>
    <n v="147.09733333333361"/>
    <m/>
    <n v="1624.7069065333333"/>
    <n v="133.88309346666688"/>
  </r>
  <r>
    <x v="3"/>
    <x v="116"/>
    <x v="72"/>
    <x v="0"/>
    <n v="585.99733333333324"/>
    <n v="4"/>
    <n v="585.99733333333324"/>
    <n v="1"/>
    <n v="585.99733333333324"/>
    <n v="118.002"/>
    <n v="122.94799999999999"/>
    <n v="1.0419"/>
    <n v="610.55062159999989"/>
    <m/>
    <n v="4"/>
    <s v="Sale"/>
    <x v="0"/>
    <x v="94"/>
    <x v="0"/>
    <n v="373.09333333333331"/>
    <n v="1"/>
    <n v="373.09333333333331"/>
    <n v="-212.90399999999994"/>
    <m/>
    <n v="610.55062159999989"/>
    <n v="-237.45728826666658"/>
  </r>
  <r>
    <x v="3"/>
    <x v="41"/>
    <x v="72"/>
    <x v="0"/>
    <n v="294.28285714285715"/>
    <n v="2"/>
    <n v="294.28285714285715"/>
    <n v="1"/>
    <n v="294.28285714285715"/>
    <n v="118.98099999999999"/>
    <n v="122.94799999999999"/>
    <n v="1.0333000000000001"/>
    <n v="304.08247628571434"/>
    <m/>
    <n v="2"/>
    <s v="Sale"/>
    <x v="0"/>
    <x v="94"/>
    <x v="0"/>
    <n v="186.54666666666665"/>
    <n v="1"/>
    <n v="186.54666666666665"/>
    <n v="-107.7361904761905"/>
    <m/>
    <n v="304.08247628571434"/>
    <n v="-117.53580961904768"/>
  </r>
  <r>
    <x v="3"/>
    <x v="41"/>
    <x v="72"/>
    <x v="0"/>
    <n v="147.14142857142858"/>
    <n v="1"/>
    <n v="147.14142857142858"/>
    <n v="1"/>
    <n v="147.14142857142858"/>
    <n v="118.98099999999999"/>
    <n v="122.94799999999999"/>
    <n v="1.0333000000000001"/>
    <n v="152.04123814285717"/>
    <m/>
    <n v="1"/>
    <s v="Sale"/>
    <x v="0"/>
    <x v="94"/>
    <x v="0"/>
    <n v="93.23"/>
    <n v="1"/>
    <n v="93.23"/>
    <n v="-53.911428571428573"/>
    <m/>
    <n v="152.04123814285717"/>
    <n v="-58.811238142857164"/>
  </r>
  <r>
    <x v="3"/>
    <x v="41"/>
    <x v="72"/>
    <x v="0"/>
    <n v="588.56571428571431"/>
    <n v="4"/>
    <n v="588.56571428571431"/>
    <n v="1"/>
    <n v="588.56571428571431"/>
    <n v="118.98099999999999"/>
    <n v="122.94799999999999"/>
    <n v="1.0333000000000001"/>
    <n v="608.16495257142867"/>
    <m/>
    <n v="4"/>
    <s v="Sale"/>
    <x v="0"/>
    <x v="94"/>
    <x v="0"/>
    <n v="374.53000000000003"/>
    <n v="1"/>
    <n v="374.53000000000003"/>
    <n v="-214.03571428571428"/>
    <m/>
    <n v="608.16495257142867"/>
    <n v="-233.63495257142864"/>
  </r>
  <r>
    <x v="3"/>
    <x v="117"/>
    <x v="72"/>
    <x v="0"/>
    <n v="1638.16"/>
    <n v="11"/>
    <n v="1638.16"/>
    <n v="1"/>
    <n v="1638.16"/>
    <n v="118.98099999999999"/>
    <n v="122.94799999999999"/>
    <n v="1.0333000000000001"/>
    <n v="1692.7107280000002"/>
    <m/>
    <n v="11"/>
    <s v="Sale"/>
    <x v="0"/>
    <x v="94"/>
    <x v="0"/>
    <n v="1029.9575"/>
    <n v="1"/>
    <n v="1029.9575"/>
    <n v="-608.2025000000001"/>
    <m/>
    <n v="1692.7107280000002"/>
    <n v="-662.75322800000026"/>
  </r>
  <r>
    <x v="3"/>
    <x v="117"/>
    <x v="72"/>
    <x v="0"/>
    <n v="608.30999999999995"/>
    <n v="4"/>
    <n v="608.30999999999995"/>
    <n v="1"/>
    <n v="608.30999999999995"/>
    <n v="118.98099999999999"/>
    <n v="122.94799999999999"/>
    <n v="1.0333000000000001"/>
    <n v="628.56672300000002"/>
    <m/>
    <n v="4"/>
    <s v="Sale"/>
    <x v="0"/>
    <x v="94"/>
    <x v="0"/>
    <n v="374.53000000000003"/>
    <n v="1"/>
    <n v="374.53000000000003"/>
    <n v="-233.77999999999992"/>
    <m/>
    <n v="628.56672300000002"/>
    <n v="-254.03672299999999"/>
  </r>
  <r>
    <x v="3"/>
    <x v="118"/>
    <x v="72"/>
    <x v="0"/>
    <n v="251.8"/>
    <n v="2"/>
    <n v="251.8"/>
    <n v="1"/>
    <n v="251.8"/>
    <n v="120.809"/>
    <n v="122.94799999999999"/>
    <n v="1.0177"/>
    <n v="256.25686000000002"/>
    <m/>
    <n v="2"/>
    <s v="Sale"/>
    <x v="0"/>
    <x v="94"/>
    <x v="0"/>
    <n v="187.26500000000001"/>
    <n v="1"/>
    <n v="187.26500000000001"/>
    <n v="-64.534999999999997"/>
    <m/>
    <n v="256.25686000000002"/>
    <n v="-68.991860000000003"/>
  </r>
  <r>
    <x v="3"/>
    <x v="118"/>
    <x v="72"/>
    <x v="0"/>
    <n v="366.6"/>
    <n v="3"/>
    <n v="366.6"/>
    <n v="1"/>
    <n v="366.6"/>
    <n v="120.809"/>
    <n v="122.94799999999999"/>
    <n v="1.0177"/>
    <n v="373.08882000000006"/>
    <m/>
    <n v="3"/>
    <s v="Sale"/>
    <x v="0"/>
    <x v="94"/>
    <x v="0"/>
    <n v="280.89750000000004"/>
    <n v="1"/>
    <n v="280.89750000000004"/>
    <n v="-85.702499999999986"/>
    <m/>
    <n v="373.08882000000006"/>
    <n v="-92.191320000000019"/>
  </r>
  <r>
    <x v="3"/>
    <x v="119"/>
    <x v="72"/>
    <x v="0"/>
    <n v="426.48"/>
    <n v="4"/>
    <n v="426.48"/>
    <n v="1"/>
    <n v="426.48"/>
    <n v="121.02200000000001"/>
    <n v="122.94799999999999"/>
    <n v="1.0159"/>
    <n v="433.26103200000006"/>
    <m/>
    <n v="4"/>
    <s v="Sale"/>
    <x v="0"/>
    <x v="94"/>
    <x v="0"/>
    <n v="374.53000000000003"/>
    <n v="1"/>
    <n v="374.53000000000003"/>
    <n v="-51.949999999999989"/>
    <m/>
    <n v="433.26103200000006"/>
    <n v="-58.731032000000027"/>
  </r>
  <r>
    <x v="3"/>
    <x v="119"/>
    <x v="72"/>
    <x v="0"/>
    <n v="106.62"/>
    <n v="1"/>
    <n v="106.62"/>
    <n v="1"/>
    <n v="106.62"/>
    <n v="121.02200000000001"/>
    <n v="122.94799999999999"/>
    <n v="1.0159"/>
    <n v="108.31525800000001"/>
    <m/>
    <n v="1"/>
    <s v="Sale"/>
    <x v="0"/>
    <x v="94"/>
    <x v="0"/>
    <n v="93.32"/>
    <n v="1"/>
    <n v="93.32"/>
    <n v="-13.300000000000011"/>
    <m/>
    <n v="108.31525800000001"/>
    <n v="-14.995258000000021"/>
  </r>
  <r>
    <x v="3"/>
    <x v="119"/>
    <x v="72"/>
    <x v="0"/>
    <n v="106.62"/>
    <n v="1"/>
    <n v="106.62"/>
    <n v="1"/>
    <n v="106.62"/>
    <n v="121.02200000000001"/>
    <n v="122.94799999999999"/>
    <n v="1.0159"/>
    <n v="108.31525800000001"/>
    <m/>
    <n v="1"/>
    <s v="Sale"/>
    <x v="0"/>
    <x v="95"/>
    <x v="0"/>
    <n v="94.96"/>
    <n v="1"/>
    <n v="94.96"/>
    <n v="-11.660000000000011"/>
    <m/>
    <n v="108.31525800000001"/>
    <n v="-13.355258000000021"/>
  </r>
  <r>
    <x v="3"/>
    <x v="47"/>
    <x v="30"/>
    <x v="0"/>
    <n v="29004.945454545454"/>
    <n v="10"/>
    <n v="29004.945454545454"/>
    <n v="1"/>
    <n v="29004.945454545454"/>
    <n v="116.884"/>
    <n v="122.94799999999999"/>
    <n v="1.0518000000000001"/>
    <n v="30507.401629090909"/>
    <m/>
    <n v="10"/>
    <s v="Sale"/>
    <x v="0"/>
    <x v="96"/>
    <x v="0"/>
    <n v="1082.04"/>
    <n v="1"/>
    <n v="1082.04"/>
    <n v="-27922.905454545453"/>
    <m/>
    <n v="30507.401629090909"/>
    <n v="-29425.361629090909"/>
  </r>
  <r>
    <x v="3"/>
    <x v="120"/>
    <x v="30"/>
    <x v="0"/>
    <n v="5343.016267942583"/>
    <n v="35"/>
    <n v="5343.016267942583"/>
    <n v="1"/>
    <n v="5343.016267942583"/>
    <n v="122.94799999999999"/>
    <n v="122.94799999999999"/>
    <n v="1"/>
    <n v="5343.016267942583"/>
    <m/>
    <n v="35"/>
    <s v="Sale"/>
    <x v="0"/>
    <x v="96"/>
    <x v="0"/>
    <n v="3787.1400000000003"/>
    <n v="1"/>
    <n v="3787.1400000000003"/>
    <n v="-1555.8762679425827"/>
    <m/>
    <n v="5343.016267942583"/>
    <n v="-1555.8762679425827"/>
  </r>
  <r>
    <x v="3"/>
    <x v="121"/>
    <x v="34"/>
    <x v="0"/>
    <n v="173.38263157894735"/>
    <n v="9"/>
    <n v="173.38263157894735"/>
    <n v="1"/>
    <n v="173.38263157894735"/>
    <n v="120.15900000000001"/>
    <n v="122.94799999999999"/>
    <n v="1.0232000000000001"/>
    <n v="177.40510863157894"/>
    <m/>
    <n v="9"/>
    <s v="Sale"/>
    <x v="0"/>
    <x v="95"/>
    <x v="0"/>
    <n v="114.63"/>
    <n v="1"/>
    <n v="114.63"/>
    <n v="-58.752631578947359"/>
    <m/>
    <n v="177.40510863157894"/>
    <n v="-62.775108631578945"/>
  </r>
  <r>
    <x v="3"/>
    <x v="121"/>
    <x v="34"/>
    <x v="0"/>
    <n v="385.29473684210524"/>
    <n v="20"/>
    <n v="385.29473684210524"/>
    <n v="1"/>
    <n v="385.29473684210524"/>
    <n v="120.15900000000001"/>
    <n v="122.94799999999999"/>
    <n v="1.0232000000000001"/>
    <n v="394.23357473684212"/>
    <m/>
    <n v="20"/>
    <s v="Sale"/>
    <x v="0"/>
    <x v="95"/>
    <x v="0"/>
    <n v="255.56"/>
    <n v="1"/>
    <n v="255.56"/>
    <n v="-129.73473684210524"/>
    <m/>
    <n v="394.23357473684212"/>
    <n v="-138.67357473684211"/>
  </r>
  <r>
    <x v="3"/>
    <x v="121"/>
    <x v="34"/>
    <x v="0"/>
    <n v="173.38263157894735"/>
    <n v="9"/>
    <n v="173.38263157894735"/>
    <n v="1"/>
    <n v="173.38263157894735"/>
    <n v="120.15900000000001"/>
    <n v="122.94799999999999"/>
    <n v="1.0232000000000001"/>
    <n v="177.40510863157894"/>
    <m/>
    <n v="9"/>
    <s v="Sale"/>
    <x v="0"/>
    <x v="95"/>
    <x v="0"/>
    <n v="115.479"/>
    <n v="1"/>
    <n v="115.479"/>
    <n v="-57.903631578947355"/>
    <m/>
    <n v="177.40510863157894"/>
    <n v="-61.926108631578941"/>
  </r>
  <r>
    <x v="3"/>
    <x v="122"/>
    <x v="34"/>
    <x v="0"/>
    <n v="19.725000000000001"/>
    <n v="1"/>
    <n v="19.725000000000001"/>
    <n v="1"/>
    <n v="19.725000000000001"/>
    <n v="120.15900000000001"/>
    <n v="122.94799999999999"/>
    <n v="1.0232000000000001"/>
    <n v="20.182620000000004"/>
    <m/>
    <n v="1"/>
    <s v="Sale"/>
    <x v="0"/>
    <x v="95"/>
    <x v="0"/>
    <n v="12.831"/>
    <n v="1"/>
    <n v="12.831"/>
    <n v="-6.8940000000000019"/>
    <m/>
    <n v="20.182620000000004"/>
    <n v="-7.351620000000004"/>
  </r>
  <r>
    <x v="3"/>
    <x v="122"/>
    <x v="34"/>
    <x v="0"/>
    <n v="19.725000000000001"/>
    <n v="1"/>
    <n v="19.725000000000001"/>
    <n v="1"/>
    <n v="19.725000000000001"/>
    <n v="120.15900000000001"/>
    <n v="122.94799999999999"/>
    <n v="1.0232000000000001"/>
    <n v="20.182620000000004"/>
    <m/>
    <n v="1"/>
    <s v="Sale"/>
    <x v="0"/>
    <x v="95"/>
    <x v="0"/>
    <n v="12.726764705882353"/>
    <n v="1"/>
    <n v="12.726764705882353"/>
    <n v="-6.9982352941176487"/>
    <m/>
    <n v="20.182620000000004"/>
    <n v="-7.4558552941176508"/>
  </r>
  <r>
    <x v="3"/>
    <x v="122"/>
    <x v="34"/>
    <x v="0"/>
    <n v="39.22"/>
    <n v="2"/>
    <n v="39.22"/>
    <n v="1"/>
    <n v="39.22"/>
    <n v="120.15900000000001"/>
    <n v="122.94799999999999"/>
    <n v="1.0232000000000001"/>
    <n v="40.129904000000003"/>
    <m/>
    <n v="2"/>
    <s v="Sale"/>
    <x v="0"/>
    <x v="95"/>
    <x v="0"/>
    <n v="25.453529411764706"/>
    <n v="1"/>
    <n v="25.453529411764706"/>
    <n v="-13.766470588235293"/>
    <m/>
    <n v="40.129904000000003"/>
    <n v="-14.676374588235298"/>
  </r>
  <r>
    <x v="3"/>
    <x v="122"/>
    <x v="34"/>
    <x v="0"/>
    <n v="20.11"/>
    <n v="1"/>
    <n v="20.11"/>
    <n v="1"/>
    <n v="20.11"/>
    <n v="120.15900000000001"/>
    <n v="122.94799999999999"/>
    <n v="1.0232000000000001"/>
    <n v="20.576552000000003"/>
    <m/>
    <n v="1"/>
    <s v="Sale"/>
    <x v="0"/>
    <x v="95"/>
    <x v="0"/>
    <n v="12.726764705882353"/>
    <n v="1"/>
    <n v="12.726764705882353"/>
    <n v="-7.3832352941176467"/>
    <m/>
    <n v="20.576552000000003"/>
    <n v="-7.8497872941176503"/>
  </r>
  <r>
    <x v="3"/>
    <x v="122"/>
    <x v="34"/>
    <x v="0"/>
    <n v="60.319999999999993"/>
    <n v="3"/>
    <n v="60.319999999999993"/>
    <n v="1"/>
    <n v="60.319999999999993"/>
    <n v="120.15900000000001"/>
    <n v="122.94799999999999"/>
    <n v="1.0232000000000001"/>
    <n v="61.719423999999997"/>
    <m/>
    <n v="3"/>
    <s v="Sale"/>
    <x v="0"/>
    <x v="95"/>
    <x v="0"/>
    <n v="38.180294117647058"/>
    <n v="1"/>
    <n v="38.180294117647058"/>
    <n v="-22.139705882352935"/>
    <m/>
    <n v="61.719423999999997"/>
    <n v="-23.539129882352938"/>
  </r>
  <r>
    <x v="3"/>
    <x v="122"/>
    <x v="34"/>
    <x v="0"/>
    <n v="19.96"/>
    <n v="1"/>
    <n v="19.96"/>
    <n v="1"/>
    <n v="19.96"/>
    <n v="120.15900000000001"/>
    <n v="122.94799999999999"/>
    <n v="1.0232000000000001"/>
    <n v="20.423072000000005"/>
    <m/>
    <n v="1"/>
    <s v="Sale"/>
    <x v="0"/>
    <x v="95"/>
    <x v="0"/>
    <n v="12.726764705882353"/>
    <n v="1"/>
    <n v="12.726764705882353"/>
    <n v="-7.2332352941176481"/>
    <m/>
    <n v="20.423072000000005"/>
    <n v="-7.696307294117652"/>
  </r>
  <r>
    <x v="3"/>
    <x v="122"/>
    <x v="34"/>
    <x v="0"/>
    <n v="99.78"/>
    <n v="5"/>
    <n v="99.78"/>
    <n v="1"/>
    <n v="99.78"/>
    <n v="120.15900000000001"/>
    <n v="122.94799999999999"/>
    <n v="1.0232000000000001"/>
    <n v="102.09489600000001"/>
    <m/>
    <n v="5"/>
    <s v="Sale"/>
    <x v="0"/>
    <x v="95"/>
    <x v="0"/>
    <n v="63.633823529411764"/>
    <n v="1"/>
    <n v="63.633823529411764"/>
    <n v="-36.146176470588237"/>
    <m/>
    <n v="102.09489600000001"/>
    <n v="-38.461072470588242"/>
  </r>
  <r>
    <x v="3"/>
    <x v="122"/>
    <x v="34"/>
    <x v="0"/>
    <n v="58.8"/>
    <n v="3"/>
    <n v="58.8"/>
    <n v="1"/>
    <n v="58.8"/>
    <n v="120.15900000000001"/>
    <n v="122.94799999999999"/>
    <n v="1.0232000000000001"/>
    <n v="60.164160000000003"/>
    <m/>
    <n v="3"/>
    <s v="Sale"/>
    <x v="0"/>
    <x v="95"/>
    <x v="0"/>
    <n v="38.180294117647058"/>
    <n v="1"/>
    <n v="38.180294117647058"/>
    <n v="-20.619705882352939"/>
    <m/>
    <n v="60.164160000000003"/>
    <n v="-21.983865882352944"/>
  </r>
  <r>
    <x v="3"/>
    <x v="122"/>
    <x v="34"/>
    <x v="0"/>
    <n v="274.39"/>
    <n v="14"/>
    <n v="274.39"/>
    <n v="1"/>
    <n v="274.39"/>
    <n v="120.15900000000001"/>
    <n v="122.94799999999999"/>
    <n v="1.0232000000000001"/>
    <n v="280.75584800000001"/>
    <m/>
    <n v="14"/>
    <s v="Sale"/>
    <x v="0"/>
    <x v="95"/>
    <x v="0"/>
    <n v="178.17470588235295"/>
    <n v="1"/>
    <n v="178.17470588235295"/>
    <n v="-96.215294117647034"/>
    <m/>
    <n v="280.75584800000001"/>
    <n v="-102.58114211764706"/>
  </r>
  <r>
    <x v="3"/>
    <x v="122"/>
    <x v="34"/>
    <x v="0"/>
    <n v="19.53"/>
    <n v="1"/>
    <n v="19.53"/>
    <n v="1"/>
    <n v="19.53"/>
    <n v="120.15900000000001"/>
    <n v="122.94799999999999"/>
    <n v="1.0232000000000001"/>
    <n v="19.983096000000003"/>
    <m/>
    <n v="1"/>
    <s v="Sale"/>
    <x v="0"/>
    <x v="95"/>
    <x v="0"/>
    <n v="12.726764705882353"/>
    <n v="1"/>
    <n v="12.726764705882353"/>
    <n v="-6.8032352941176484"/>
    <m/>
    <n v="19.983096000000003"/>
    <n v="-7.2563312941176505"/>
  </r>
  <r>
    <x v="3"/>
    <x v="122"/>
    <x v="34"/>
    <x v="0"/>
    <n v="39.06"/>
    <n v="2"/>
    <n v="39.06"/>
    <n v="1"/>
    <n v="39.06"/>
    <n v="120.15900000000001"/>
    <n v="122.94799999999999"/>
    <n v="1.0232000000000001"/>
    <n v="39.966192000000007"/>
    <m/>
    <n v="2"/>
    <s v="Sale"/>
    <x v="0"/>
    <x v="95"/>
    <x v="0"/>
    <n v="25.453529411764706"/>
    <n v="1"/>
    <n v="25.453529411764706"/>
    <n v="-13.606470588235297"/>
    <m/>
    <n v="39.966192000000007"/>
    <n v="-14.512662588235301"/>
  </r>
  <r>
    <x v="3"/>
    <x v="123"/>
    <x v="34"/>
    <x v="0"/>
    <n v="20.57"/>
    <n v="1"/>
    <n v="20.57"/>
    <n v="1"/>
    <n v="20.57"/>
    <n v="120.15900000000001"/>
    <n v="122.94799999999999"/>
    <n v="1.0232000000000001"/>
    <n v="21.047224000000003"/>
    <m/>
    <n v="1"/>
    <s v="Sale"/>
    <x v="0"/>
    <x v="95"/>
    <x v="0"/>
    <n v="12.726764705882353"/>
    <n v="1"/>
    <n v="12.726764705882353"/>
    <n v="-7.8432352941176475"/>
    <m/>
    <n v="21.047224000000003"/>
    <n v="-8.3204592941176507"/>
  </r>
  <r>
    <x v="3"/>
    <x v="123"/>
    <x v="34"/>
    <x v="0"/>
    <n v="20.52"/>
    <n v="1"/>
    <n v="20.52"/>
    <n v="1"/>
    <n v="20.52"/>
    <n v="120.15900000000001"/>
    <n v="122.94799999999999"/>
    <n v="1.0232000000000001"/>
    <n v="20.996064000000001"/>
    <m/>
    <n v="1"/>
    <s v="Sale"/>
    <x v="0"/>
    <x v="74"/>
    <x v="0"/>
    <n v="12.82"/>
    <n v="1"/>
    <n v="12.82"/>
    <n v="-7.6999999999999993"/>
    <m/>
    <n v="20.996064000000001"/>
    <n v="-8.1760640000000002"/>
  </r>
  <r>
    <x v="3"/>
    <x v="123"/>
    <x v="34"/>
    <x v="0"/>
    <n v="41.03"/>
    <n v="2"/>
    <n v="41.03"/>
    <n v="1"/>
    <n v="41.03"/>
    <n v="120.15900000000001"/>
    <n v="122.94799999999999"/>
    <n v="1.0232000000000001"/>
    <n v="41.981896000000006"/>
    <m/>
    <n v="2"/>
    <s v="Sale"/>
    <x v="0"/>
    <x v="74"/>
    <x v="0"/>
    <n v="25.64"/>
    <n v="1"/>
    <n v="25.64"/>
    <n v="-15.39"/>
    <m/>
    <n v="41.981896000000006"/>
    <n v="-16.341896000000006"/>
  </r>
  <r>
    <x v="3"/>
    <x v="123"/>
    <x v="34"/>
    <x v="0"/>
    <n v="20.571666666666669"/>
    <n v="1"/>
    <n v="20.571666666666669"/>
    <n v="1"/>
    <n v="20.571666666666669"/>
    <n v="120.15900000000001"/>
    <n v="122.94799999999999"/>
    <n v="1.0232000000000001"/>
    <n v="21.048929333333337"/>
    <m/>
    <n v="1"/>
    <s v="Sale"/>
    <x v="0"/>
    <x v="74"/>
    <x v="0"/>
    <n v="12.82"/>
    <n v="1"/>
    <n v="12.82"/>
    <n v="-7.7516666666666687"/>
    <m/>
    <n v="21.048929333333337"/>
    <n v="-8.2289293333333369"/>
  </r>
  <r>
    <x v="3"/>
    <x v="123"/>
    <x v="34"/>
    <x v="0"/>
    <n v="20.571666666666669"/>
    <n v="1"/>
    <n v="20.571666666666669"/>
    <n v="1"/>
    <n v="20.571666666666669"/>
    <n v="120.15900000000001"/>
    <n v="122.94799999999999"/>
    <n v="1.0232000000000001"/>
    <n v="21.048929333333337"/>
    <m/>
    <n v="1"/>
    <s v="Sale"/>
    <x v="0"/>
    <x v="74"/>
    <x v="0"/>
    <n v="12.75"/>
    <n v="1"/>
    <n v="12.75"/>
    <n v="-7.821666666666669"/>
    <m/>
    <n v="21.048929333333337"/>
    <n v="-8.2989293333333372"/>
  </r>
  <r>
    <x v="3"/>
    <x v="123"/>
    <x v="34"/>
    <x v="0"/>
    <n v="61.715000000000003"/>
    <n v="3"/>
    <n v="61.715000000000003"/>
    <n v="1"/>
    <n v="61.715000000000003"/>
    <n v="120.15900000000001"/>
    <n v="122.94799999999999"/>
    <n v="1.0232000000000001"/>
    <n v="63.146788000000008"/>
    <m/>
    <n v="3"/>
    <s v="Sale"/>
    <x v="0"/>
    <x v="74"/>
    <x v="0"/>
    <n v="39.049999999999997"/>
    <n v="1"/>
    <n v="39.049999999999997"/>
    <n v="-22.665000000000006"/>
    <m/>
    <n v="63.146788000000008"/>
    <n v="-24.096788000000011"/>
  </r>
  <r>
    <x v="3"/>
    <x v="123"/>
    <x v="34"/>
    <x v="0"/>
    <n v="20.571666666666669"/>
    <n v="1"/>
    <n v="20.571666666666669"/>
    <n v="1"/>
    <n v="20.571666666666669"/>
    <n v="120.15900000000001"/>
    <n v="122.94799999999999"/>
    <n v="1.0232000000000001"/>
    <n v="21.048929333333337"/>
    <m/>
    <n v="1"/>
    <s v="Sale"/>
    <x v="0"/>
    <x v="74"/>
    <x v="0"/>
    <n v="13.09"/>
    <n v="1"/>
    <n v="13.09"/>
    <n v="-7.4816666666666691"/>
    <m/>
    <n v="21.048929333333337"/>
    <n v="-7.9589293333333373"/>
  </r>
  <r>
    <x v="3"/>
    <x v="123"/>
    <x v="34"/>
    <x v="0"/>
    <n v="40.520000000000003"/>
    <n v="2"/>
    <n v="40.520000000000003"/>
    <n v="1"/>
    <n v="40.520000000000003"/>
    <n v="120.15900000000001"/>
    <n v="122.94799999999999"/>
    <n v="1.0232000000000001"/>
    <n v="41.46006400000001"/>
    <m/>
    <n v="2"/>
    <s v="Sale"/>
    <x v="0"/>
    <x v="74"/>
    <x v="0"/>
    <n v="26.18"/>
    <n v="1"/>
    <n v="26.18"/>
    <n v="-14.340000000000003"/>
    <m/>
    <n v="41.46006400000001"/>
    <n v="-15.28006400000001"/>
  </r>
  <r>
    <x v="3"/>
    <x v="123"/>
    <x v="34"/>
    <x v="0"/>
    <n v="142.42277777777781"/>
    <n v="7"/>
    <n v="142.42277777777781"/>
    <n v="1"/>
    <n v="142.42277777777781"/>
    <n v="120.15900000000001"/>
    <n v="122.94799999999999"/>
    <n v="1.0232000000000001"/>
    <n v="145.72698622222228"/>
    <m/>
    <n v="7"/>
    <s v="Sale"/>
    <x v="0"/>
    <x v="74"/>
    <x v="0"/>
    <n v="91.63"/>
    <n v="1"/>
    <n v="91.63"/>
    <n v="-50.792777777777815"/>
    <m/>
    <n v="145.72698622222228"/>
    <n v="-54.096986222222284"/>
  </r>
  <r>
    <x v="3"/>
    <x v="123"/>
    <x v="34"/>
    <x v="0"/>
    <n v="223.80722222222226"/>
    <n v="11"/>
    <n v="223.80722222222226"/>
    <n v="1"/>
    <n v="223.80722222222226"/>
    <n v="120.15900000000001"/>
    <n v="122.94799999999999"/>
    <n v="1.0232000000000001"/>
    <n v="228.99954977777784"/>
    <m/>
    <n v="11"/>
    <s v="Sale"/>
    <x v="0"/>
    <x v="97"/>
    <x v="0"/>
    <n v="143"/>
    <n v="1"/>
    <n v="143"/>
    <n v="-80.807222222222265"/>
    <m/>
    <n v="228.99954977777784"/>
    <n v="-85.999549777777844"/>
  </r>
  <r>
    <x v="3"/>
    <x v="123"/>
    <x v="34"/>
    <x v="0"/>
    <n v="81.39"/>
    <n v="4"/>
    <n v="81.39"/>
    <n v="1"/>
    <n v="81.39"/>
    <n v="120.15900000000001"/>
    <n v="122.94799999999999"/>
    <n v="1.0232000000000001"/>
    <n v="83.278248000000005"/>
    <m/>
    <n v="4"/>
    <s v="Sale"/>
    <x v="0"/>
    <x v="97"/>
    <x v="0"/>
    <n v="52"/>
    <n v="1"/>
    <n v="52"/>
    <n v="-29.39"/>
    <m/>
    <n v="83.278248000000005"/>
    <n v="-31.278248000000005"/>
  </r>
  <r>
    <x v="3"/>
    <x v="123"/>
    <x v="34"/>
    <x v="0"/>
    <n v="20.239999999999998"/>
    <n v="1"/>
    <n v="20.239999999999998"/>
    <n v="1"/>
    <n v="20.239999999999998"/>
    <n v="120.15900000000001"/>
    <n v="122.94799999999999"/>
    <n v="1.0232000000000001"/>
    <n v="20.709568000000001"/>
    <m/>
    <n v="1"/>
    <s v="Sale"/>
    <x v="0"/>
    <x v="97"/>
    <x v="0"/>
    <n v="13"/>
    <n v="1"/>
    <n v="13"/>
    <n v="-7.2399999999999984"/>
    <m/>
    <n v="20.709568000000001"/>
    <n v="-7.7095680000000009"/>
  </r>
  <r>
    <x v="3"/>
    <x v="17"/>
    <x v="34"/>
    <x v="0"/>
    <n v="41.9"/>
    <n v="2"/>
    <n v="41.9"/>
    <n v="1"/>
    <n v="41.9"/>
    <n v="120.15900000000001"/>
    <n v="122.94799999999999"/>
    <n v="1.0232000000000001"/>
    <n v="42.872080000000004"/>
    <m/>
    <n v="2"/>
    <s v="Sale"/>
    <x v="0"/>
    <x v="97"/>
    <x v="0"/>
    <n v="27.87"/>
    <n v="1"/>
    <n v="27.87"/>
    <n v="-14.029999999999998"/>
    <m/>
    <n v="42.872080000000004"/>
    <n v="-15.002080000000003"/>
  </r>
  <r>
    <x v="3"/>
    <x v="17"/>
    <x v="34"/>
    <x v="0"/>
    <n v="83.55"/>
    <n v="4"/>
    <n v="83.55"/>
    <n v="1"/>
    <n v="83.55"/>
    <n v="120.15900000000001"/>
    <n v="122.94799999999999"/>
    <n v="1.0232000000000001"/>
    <n v="85.48836"/>
    <m/>
    <n v="4"/>
    <s v="Sale"/>
    <x v="0"/>
    <x v="97"/>
    <x v="0"/>
    <n v="54.26"/>
    <n v="1"/>
    <n v="54.26"/>
    <n v="-29.29"/>
    <m/>
    <n v="85.48836"/>
    <n v="-31.228360000000002"/>
  </r>
  <r>
    <x v="3"/>
    <x v="17"/>
    <x v="34"/>
    <x v="0"/>
    <n v="62.49666666666667"/>
    <n v="3"/>
    <n v="62.49666666666667"/>
    <n v="1"/>
    <n v="62.49666666666667"/>
    <n v="120.15900000000001"/>
    <n v="122.94799999999999"/>
    <n v="1.0232000000000001"/>
    <n v="63.946589333333343"/>
    <m/>
    <n v="3"/>
    <s v="Sale"/>
    <x v="0"/>
    <x v="97"/>
    <x v="0"/>
    <n v="41.26"/>
    <n v="1"/>
    <n v="41.26"/>
    <n v="-21.236666666666672"/>
    <m/>
    <n v="63.946589333333343"/>
    <n v="-22.686589333333345"/>
  </r>
  <r>
    <x v="3"/>
    <x v="17"/>
    <x v="34"/>
    <x v="0"/>
    <n v="20.832222222222224"/>
    <n v="1"/>
    <n v="20.832222222222224"/>
    <n v="1"/>
    <n v="20.832222222222224"/>
    <n v="120.15900000000001"/>
    <n v="122.94799999999999"/>
    <n v="1.0232000000000001"/>
    <n v="21.315529777777783"/>
    <m/>
    <n v="1"/>
    <s v="Sale"/>
    <x v="0"/>
    <x v="97"/>
    <x v="0"/>
    <n v="13.63"/>
    <n v="1"/>
    <n v="13.63"/>
    <n v="-7.2022222222222236"/>
    <m/>
    <n v="21.315529777777783"/>
    <n v="-7.6855297777777825"/>
  </r>
  <r>
    <x v="3"/>
    <x v="17"/>
    <x v="34"/>
    <x v="0"/>
    <n v="166.6577777777778"/>
    <n v="8"/>
    <n v="166.6577777777778"/>
    <n v="1"/>
    <n v="166.6577777777778"/>
    <n v="120.15900000000001"/>
    <n v="122.94799999999999"/>
    <n v="1.0232000000000001"/>
    <n v="170.52423822222227"/>
    <m/>
    <n v="8"/>
    <s v="Sale"/>
    <x v="0"/>
    <x v="97"/>
    <x v="0"/>
    <n v="111.77"/>
    <n v="1"/>
    <n v="111.77"/>
    <n v="-54.887777777777799"/>
    <m/>
    <n v="170.52423822222227"/>
    <n v="-58.75423822222227"/>
  </r>
  <r>
    <x v="3"/>
    <x v="17"/>
    <x v="34"/>
    <x v="0"/>
    <n v="104.16111111111113"/>
    <n v="5"/>
    <n v="104.16111111111113"/>
    <n v="1"/>
    <n v="104.16111111111113"/>
    <n v="120.15900000000001"/>
    <n v="122.94799999999999"/>
    <n v="1.0232000000000001"/>
    <n v="106.57764888888892"/>
    <m/>
    <n v="5"/>
    <s v="Sale"/>
    <x v="0"/>
    <x v="98"/>
    <x v="0"/>
    <n v="68.09"/>
    <n v="1"/>
    <n v="68.09"/>
    <n v="-36.071111111111122"/>
    <m/>
    <n v="106.57764888888892"/>
    <n v="-38.487648888888913"/>
  </r>
  <r>
    <x v="3"/>
    <x v="17"/>
    <x v="34"/>
    <x v="0"/>
    <n v="83.328888888888898"/>
    <n v="4"/>
    <n v="83.328888888888898"/>
    <n v="1"/>
    <n v="83.328888888888898"/>
    <n v="120.15900000000001"/>
    <n v="122.94799999999999"/>
    <n v="1.0232000000000001"/>
    <n v="85.262119111111133"/>
    <m/>
    <n v="4"/>
    <s v="Sale"/>
    <x v="0"/>
    <x v="98"/>
    <x v="0"/>
    <n v="54.58"/>
    <n v="1"/>
    <n v="54.58"/>
    <n v="-28.748888888888899"/>
    <m/>
    <n v="85.262119111111133"/>
    <n v="-30.682119111111135"/>
  </r>
  <r>
    <x v="3"/>
    <x v="17"/>
    <x v="34"/>
    <x v="0"/>
    <n v="62.49666666666667"/>
    <n v="3"/>
    <n v="62.49666666666667"/>
    <n v="1"/>
    <n v="62.49666666666667"/>
    <n v="120.15900000000001"/>
    <n v="122.94799999999999"/>
    <n v="1.0232000000000001"/>
    <n v="63.946589333333343"/>
    <m/>
    <n v="3"/>
    <s v="Sale"/>
    <x v="0"/>
    <x v="98"/>
    <x v="0"/>
    <n v="40.94"/>
    <n v="1"/>
    <n v="40.94"/>
    <n v="-21.556666666666672"/>
    <m/>
    <n v="63.946589333333343"/>
    <n v="-23.006589333333345"/>
  </r>
  <r>
    <x v="3"/>
    <x v="17"/>
    <x v="34"/>
    <x v="0"/>
    <n v="41.664444444444449"/>
    <n v="2"/>
    <n v="41.664444444444449"/>
    <n v="1"/>
    <n v="41.664444444444449"/>
    <n v="120.15900000000001"/>
    <n v="122.94799999999999"/>
    <n v="1.0232000000000001"/>
    <n v="42.631059555555566"/>
    <m/>
    <n v="2"/>
    <s v="Sale"/>
    <x v="0"/>
    <x v="98"/>
    <x v="0"/>
    <n v="27.64"/>
    <n v="1"/>
    <n v="27.64"/>
    <n v="-14.024444444444448"/>
    <m/>
    <n v="42.631059555555566"/>
    <n v="-14.991059555555566"/>
  </r>
  <r>
    <x v="3"/>
    <x v="17"/>
    <x v="34"/>
    <x v="0"/>
    <n v="20.832222222222224"/>
    <n v="1"/>
    <n v="20.832222222222224"/>
    <n v="1"/>
    <n v="20.832222222222224"/>
    <n v="120.15900000000001"/>
    <n v="122.94799999999999"/>
    <n v="1.0232000000000001"/>
    <n v="21.315529777777783"/>
    <m/>
    <n v="1"/>
    <s v="Sale"/>
    <x v="0"/>
    <x v="98"/>
    <x v="0"/>
    <n v="13.82"/>
    <n v="1"/>
    <n v="13.82"/>
    <n v="-7.0122222222222241"/>
    <m/>
    <n v="21.315529777777783"/>
    <n v="-7.495529777777783"/>
  </r>
  <r>
    <x v="3"/>
    <x v="17"/>
    <x v="34"/>
    <x v="0"/>
    <n v="20.83"/>
    <n v="1"/>
    <n v="20.83"/>
    <n v="1"/>
    <n v="20.83"/>
    <n v="120.15900000000001"/>
    <n v="122.94799999999999"/>
    <n v="1.0232000000000001"/>
    <n v="21.313255999999999"/>
    <m/>
    <n v="1"/>
    <s v="Sale"/>
    <x v="0"/>
    <x v="98"/>
    <x v="0"/>
    <n v="13.82"/>
    <n v="1"/>
    <n v="13.82"/>
    <n v="-7.009999999999998"/>
    <m/>
    <n v="21.313255999999999"/>
    <n v="-7.4932559999999988"/>
  </r>
  <r>
    <x v="3"/>
    <x v="17"/>
    <x v="34"/>
    <x v="0"/>
    <n v="21.02"/>
    <n v="1"/>
    <n v="21.02"/>
    <n v="1"/>
    <n v="21.02"/>
    <n v="120.15900000000001"/>
    <n v="122.94799999999999"/>
    <n v="1.0232000000000001"/>
    <n v="21.507664000000002"/>
    <m/>
    <n v="1"/>
    <s v="Sale"/>
    <x v="0"/>
    <x v="98"/>
    <x v="0"/>
    <n v="13.7"/>
    <n v="1"/>
    <n v="13.7"/>
    <n v="-7.32"/>
    <m/>
    <n v="21.507664000000002"/>
    <n v="-7.8076640000000026"/>
  </r>
  <r>
    <x v="3"/>
    <x v="17"/>
    <x v="34"/>
    <x v="0"/>
    <n v="20.95"/>
    <n v="1"/>
    <n v="20.95"/>
    <n v="1"/>
    <n v="20.95"/>
    <n v="120.15900000000001"/>
    <n v="122.94799999999999"/>
    <n v="1.0232000000000001"/>
    <n v="21.436040000000002"/>
    <m/>
    <n v="1"/>
    <s v="Sale"/>
    <x v="0"/>
    <x v="98"/>
    <x v="0"/>
    <n v="13.695625"/>
    <n v="1"/>
    <n v="13.695625"/>
    <n v="-7.2543749999999996"/>
    <m/>
    <n v="21.436040000000002"/>
    <n v="-7.7404150000000023"/>
  </r>
  <r>
    <x v="3"/>
    <x v="17"/>
    <x v="34"/>
    <x v="0"/>
    <n v="20.75"/>
    <n v="1"/>
    <n v="20.75"/>
    <n v="1"/>
    <n v="20.75"/>
    <n v="120.15900000000001"/>
    <n v="122.94799999999999"/>
    <n v="1.0232000000000001"/>
    <n v="21.231400000000001"/>
    <m/>
    <n v="1"/>
    <s v="Sale"/>
    <x v="0"/>
    <x v="98"/>
    <x v="0"/>
    <n v="13.695625"/>
    <n v="1"/>
    <n v="13.695625"/>
    <n v="-7.0543750000000003"/>
    <m/>
    <n v="21.231400000000001"/>
    <n v="-7.535775000000001"/>
  </r>
  <r>
    <x v="3"/>
    <x v="124"/>
    <x v="34"/>
    <x v="0"/>
    <n v="83.03"/>
    <n v="4"/>
    <n v="83.03"/>
    <n v="1"/>
    <n v="83.03"/>
    <n v="120.15900000000001"/>
    <n v="122.94799999999999"/>
    <n v="1.0232000000000001"/>
    <n v="84.956296000000009"/>
    <m/>
    <n v="4"/>
    <s v="Sale"/>
    <x v="0"/>
    <x v="98"/>
    <x v="0"/>
    <n v="54.782499999999999"/>
    <n v="1"/>
    <n v="54.782499999999999"/>
    <n v="-28.247500000000002"/>
    <m/>
    <n v="84.956296000000009"/>
    <n v="-30.17379600000001"/>
  </r>
  <r>
    <x v="3"/>
    <x v="124"/>
    <x v="34"/>
    <x v="0"/>
    <n v="100.93"/>
    <n v="5"/>
    <n v="100.93"/>
    <n v="1"/>
    <n v="100.93"/>
    <n v="120.15900000000001"/>
    <n v="122.94799999999999"/>
    <n v="1.0232000000000001"/>
    <n v="103.27157600000002"/>
    <m/>
    <n v="5"/>
    <s v="Sale"/>
    <x v="0"/>
    <x v="98"/>
    <x v="0"/>
    <n v="68.478125000000006"/>
    <n v="1"/>
    <n v="68.478125000000006"/>
    <n v="-32.451875000000001"/>
    <m/>
    <n v="103.27157600000002"/>
    <n v="-34.793451000000019"/>
  </r>
  <r>
    <x v="3"/>
    <x v="124"/>
    <x v="34"/>
    <x v="0"/>
    <n v="101.98593750000001"/>
    <n v="5"/>
    <n v="101.98593750000001"/>
    <n v="1"/>
    <n v="101.98593750000001"/>
    <n v="120.15900000000001"/>
    <n v="122.94799999999999"/>
    <n v="1.0232000000000001"/>
    <n v="104.35201125000002"/>
    <m/>
    <n v="5"/>
    <s v="Sale"/>
    <x v="0"/>
    <x v="98"/>
    <x v="0"/>
    <n v="68.478125000000006"/>
    <n v="1"/>
    <n v="68.478125000000006"/>
    <n v="-33.5078125"/>
    <m/>
    <n v="104.35201125000002"/>
    <n v="-35.873886250000012"/>
  </r>
  <r>
    <x v="3"/>
    <x v="124"/>
    <x v="34"/>
    <x v="0"/>
    <n v="244.76625000000001"/>
    <n v="12"/>
    <n v="244.76625000000001"/>
    <n v="1"/>
    <n v="244.76625000000001"/>
    <n v="120.15900000000001"/>
    <n v="122.94799999999999"/>
    <n v="1.0232000000000001"/>
    <n v="250.44482700000003"/>
    <m/>
    <n v="12"/>
    <s v="Sale"/>
    <x v="0"/>
    <x v="98"/>
    <x v="0"/>
    <n v="164.36"/>
    <n v="1"/>
    <n v="164.36"/>
    <n v="-80.40625"/>
    <m/>
    <n v="250.44482700000003"/>
    <n v="-86.084827000000018"/>
  </r>
  <r>
    <x v="3"/>
    <x v="124"/>
    <x v="34"/>
    <x v="0"/>
    <n v="20.397187500000001"/>
    <n v="1"/>
    <n v="20.397187500000001"/>
    <n v="1"/>
    <n v="20.397187500000001"/>
    <n v="120.15900000000001"/>
    <n v="122.94799999999999"/>
    <n v="1.0232000000000001"/>
    <n v="20.870402250000005"/>
    <m/>
    <n v="1"/>
    <s v="Sale"/>
    <x v="0"/>
    <x v="98"/>
    <x v="0"/>
    <n v="13.87"/>
    <n v="1"/>
    <n v="13.87"/>
    <n v="-6.5271875000000019"/>
    <m/>
    <n v="20.870402250000005"/>
    <n v="-7.0004022500000058"/>
  </r>
  <r>
    <x v="3"/>
    <x v="124"/>
    <x v="34"/>
    <x v="0"/>
    <n v="101.98593750000001"/>
    <n v="5"/>
    <n v="101.98593750000001"/>
    <n v="1"/>
    <n v="101.98593750000001"/>
    <n v="120.15900000000001"/>
    <n v="122.94799999999999"/>
    <n v="1.0232000000000001"/>
    <n v="104.35201125000002"/>
    <m/>
    <n v="5"/>
    <s v="Sale"/>
    <x v="0"/>
    <x v="98"/>
    <x v="0"/>
    <n v="69.37"/>
    <n v="1"/>
    <n v="69.37"/>
    <n v="-32.615937500000001"/>
    <m/>
    <n v="104.35201125000002"/>
    <n v="-34.982011250000014"/>
  </r>
  <r>
    <x v="3"/>
    <x v="124"/>
    <x v="34"/>
    <x v="0"/>
    <n v="122.38312500000001"/>
    <n v="6"/>
    <n v="122.38312500000001"/>
    <n v="1"/>
    <n v="122.38312500000001"/>
    <n v="120.15900000000001"/>
    <n v="122.94799999999999"/>
    <n v="1.0232000000000001"/>
    <n v="125.22241350000002"/>
    <m/>
    <n v="6"/>
    <s v="Sale"/>
    <x v="0"/>
    <x v="98"/>
    <x v="0"/>
    <n v="83.25"/>
    <n v="1"/>
    <n v="83.25"/>
    <n v="-39.133125000000007"/>
    <m/>
    <n v="125.22241350000002"/>
    <n v="-41.972413500000016"/>
  </r>
  <r>
    <x v="3"/>
    <x v="124"/>
    <x v="34"/>
    <x v="0"/>
    <n v="40.794375000000002"/>
    <n v="2"/>
    <n v="40.794375000000002"/>
    <n v="1"/>
    <n v="40.794375000000002"/>
    <n v="120.15900000000001"/>
    <n v="122.94799999999999"/>
    <n v="1.0232000000000001"/>
    <n v="41.74080450000001"/>
    <m/>
    <n v="2"/>
    <s v="Sale"/>
    <x v="0"/>
    <x v="73"/>
    <x v="0"/>
    <n v="26.14"/>
    <n v="1"/>
    <n v="26.14"/>
    <n v="-14.654375000000002"/>
    <m/>
    <n v="41.74080450000001"/>
    <n v="-15.60080450000001"/>
  </r>
  <r>
    <x v="3"/>
    <x v="124"/>
    <x v="34"/>
    <x v="0"/>
    <n v="20.397187500000001"/>
    <n v="1"/>
    <n v="20.397187500000001"/>
    <n v="1"/>
    <n v="20.397187500000001"/>
    <n v="120.15900000000001"/>
    <n v="122.94799999999999"/>
    <n v="1.0232000000000001"/>
    <n v="20.870402250000005"/>
    <m/>
    <n v="1"/>
    <s v="Sale"/>
    <x v="0"/>
    <x v="73"/>
    <x v="0"/>
    <n v="13.07"/>
    <n v="1"/>
    <n v="13.07"/>
    <n v="-7.3271875000000009"/>
    <m/>
    <n v="20.870402250000005"/>
    <n v="-7.8004022500000048"/>
  </r>
  <r>
    <x v="3"/>
    <x v="124"/>
    <x v="34"/>
    <x v="0"/>
    <n v="20.614999999999998"/>
    <n v="1"/>
    <n v="20.614999999999998"/>
    <n v="1"/>
    <n v="20.614999999999998"/>
    <n v="120.15900000000001"/>
    <n v="122.94799999999999"/>
    <n v="1.0232000000000001"/>
    <n v="21.093268000000002"/>
    <m/>
    <n v="1"/>
    <s v="Sale"/>
    <x v="0"/>
    <x v="73"/>
    <x v="0"/>
    <n v="13.07"/>
    <n v="1"/>
    <n v="13.07"/>
    <n v="-7.5449999999999982"/>
    <m/>
    <n v="21.093268000000002"/>
    <n v="-8.0232680000000016"/>
  </r>
  <r>
    <x v="3"/>
    <x v="124"/>
    <x v="34"/>
    <x v="0"/>
    <n v="82.46"/>
    <n v="4"/>
    <n v="82.46"/>
    <n v="1"/>
    <n v="82.46"/>
    <n v="120.15900000000001"/>
    <n v="122.94799999999999"/>
    <n v="1.0232000000000001"/>
    <n v="84.373072000000008"/>
    <m/>
    <n v="4"/>
    <s v="Sale"/>
    <x v="0"/>
    <x v="73"/>
    <x v="0"/>
    <n v="53.9"/>
    <n v="1"/>
    <n v="53.9"/>
    <n v="-28.559999999999995"/>
    <m/>
    <n v="84.373072000000008"/>
    <n v="-30.473072000000009"/>
  </r>
  <r>
    <x v="3"/>
    <x v="124"/>
    <x v="34"/>
    <x v="0"/>
    <n v="61.844999999999999"/>
    <n v="3"/>
    <n v="61.844999999999999"/>
    <n v="1"/>
    <n v="61.844999999999999"/>
    <n v="120.15900000000001"/>
    <n v="122.94799999999999"/>
    <n v="1.0232000000000001"/>
    <n v="63.279804000000006"/>
    <m/>
    <n v="3"/>
    <s v="Sale"/>
    <x v="0"/>
    <x v="73"/>
    <x v="0"/>
    <n v="40.43"/>
    <n v="1"/>
    <n v="40.43"/>
    <n v="-21.414999999999999"/>
    <m/>
    <n v="63.279804000000006"/>
    <n v="-22.849804000000006"/>
  </r>
  <r>
    <x v="3"/>
    <x v="125"/>
    <x v="34"/>
    <x v="0"/>
    <n v="18.93"/>
    <n v="1"/>
    <n v="18.93"/>
    <n v="1"/>
    <n v="18.93"/>
    <n v="120.809"/>
    <n v="122.94799999999999"/>
    <n v="1.0177"/>
    <n v="19.265060999999999"/>
    <m/>
    <n v="1"/>
    <s v="Sale"/>
    <x v="0"/>
    <x v="99"/>
    <x v="0"/>
    <n v="12.5"/>
    <n v="1"/>
    <n v="12.5"/>
    <n v="-6.43"/>
    <m/>
    <n v="19.265060999999999"/>
    <n v="-6.7650609999999993"/>
  </r>
  <r>
    <x v="3"/>
    <x v="125"/>
    <x v="34"/>
    <x v="0"/>
    <n v="37.49"/>
    <n v="2"/>
    <n v="37.49"/>
    <n v="1"/>
    <n v="37.49"/>
    <n v="120.809"/>
    <n v="122.94799999999999"/>
    <n v="1.0177"/>
    <n v="38.153573000000002"/>
    <m/>
    <n v="2"/>
    <s v="Sale"/>
    <x v="0"/>
    <x v="99"/>
    <x v="0"/>
    <n v="25.006666666666664"/>
    <n v="1"/>
    <n v="25.006666666666664"/>
    <n v="-12.483333333333338"/>
    <m/>
    <n v="38.153573000000002"/>
    <n v="-13.146906333333337"/>
  </r>
  <r>
    <x v="3"/>
    <x v="126"/>
    <x v="34"/>
    <x v="0"/>
    <n v="17.158333333333335"/>
    <n v="1"/>
    <n v="17.158333333333335"/>
    <n v="1"/>
    <n v="17.158333333333335"/>
    <n v="120.809"/>
    <n v="122.94799999999999"/>
    <n v="1.0177"/>
    <n v="17.462035833333335"/>
    <m/>
    <n v="1"/>
    <s v="Sale"/>
    <x v="0"/>
    <x v="99"/>
    <x v="0"/>
    <n v="12.503333333333332"/>
    <n v="1"/>
    <n v="12.503333333333332"/>
    <n v="-4.6550000000000029"/>
    <m/>
    <n v="17.462035833333335"/>
    <n v="-4.9587025000000029"/>
  </r>
  <r>
    <x v="3"/>
    <x v="126"/>
    <x v="34"/>
    <x v="0"/>
    <n v="51.475000000000009"/>
    <n v="3"/>
    <n v="51.475000000000009"/>
    <n v="1"/>
    <n v="51.475000000000009"/>
    <n v="120.809"/>
    <n v="122.94799999999999"/>
    <n v="1.0177"/>
    <n v="52.386107500000008"/>
    <m/>
    <n v="3"/>
    <s v="Sale"/>
    <x v="0"/>
    <x v="99"/>
    <x v="0"/>
    <n v="37.51"/>
    <n v="1"/>
    <n v="37.51"/>
    <n v="-13.965000000000011"/>
    <m/>
    <n v="52.386107500000008"/>
    <n v="-14.87610750000001"/>
  </r>
  <r>
    <x v="3"/>
    <x v="126"/>
    <x v="34"/>
    <x v="0"/>
    <n v="17.158333333333335"/>
    <n v="1"/>
    <n v="17.158333333333335"/>
    <n v="1"/>
    <n v="17.158333333333335"/>
    <n v="120.809"/>
    <n v="122.94799999999999"/>
    <n v="1.0177"/>
    <n v="17.462035833333335"/>
    <m/>
    <n v="1"/>
    <s v="Sale"/>
    <x v="0"/>
    <x v="99"/>
    <x v="0"/>
    <n v="12.61"/>
    <n v="1"/>
    <n v="12.61"/>
    <n v="-4.5483333333333356"/>
    <m/>
    <n v="17.462035833333335"/>
    <n v="-4.8520358333333355"/>
  </r>
  <r>
    <x v="3"/>
    <x v="126"/>
    <x v="34"/>
    <x v="0"/>
    <n v="17.158333333333335"/>
    <n v="1"/>
    <n v="17.158333333333335"/>
    <n v="1"/>
    <n v="17.158333333333335"/>
    <n v="120.809"/>
    <n v="122.94799999999999"/>
    <n v="1.0177"/>
    <n v="17.462035833333335"/>
    <m/>
    <n v="1"/>
    <s v="Sale"/>
    <x v="0"/>
    <x v="99"/>
    <x v="0"/>
    <n v="12.52"/>
    <n v="1"/>
    <n v="12.52"/>
    <n v="-4.6383333333333354"/>
    <m/>
    <n v="17.462035833333335"/>
    <n v="-4.9420358333333354"/>
  </r>
  <r>
    <x v="3"/>
    <x v="126"/>
    <x v="34"/>
    <x v="0"/>
    <n v="34.348571428571425"/>
    <n v="2"/>
    <n v="34.348571428571425"/>
    <n v="1"/>
    <n v="34.348571428571425"/>
    <n v="120.809"/>
    <n v="122.94799999999999"/>
    <n v="1.0177"/>
    <n v="34.956541142857141"/>
    <m/>
    <n v="2"/>
    <s v="Sale"/>
    <x v="0"/>
    <x v="99"/>
    <x v="0"/>
    <n v="25.03"/>
    <n v="1"/>
    <n v="25.03"/>
    <n v="-9.3185714285714241"/>
    <m/>
    <n v="34.956541142857141"/>
    <n v="-9.9265411428571397"/>
  </r>
  <r>
    <x v="3"/>
    <x v="126"/>
    <x v="34"/>
    <x v="0"/>
    <n v="34.348571428571425"/>
    <n v="2"/>
    <n v="34.348571428571425"/>
    <n v="1"/>
    <n v="34.348571428571425"/>
    <n v="120.809"/>
    <n v="122.94799999999999"/>
    <n v="1.0177"/>
    <n v="34.956541142857141"/>
    <m/>
    <n v="2"/>
    <s v="Sale"/>
    <x v="0"/>
    <x v="99"/>
    <x v="0"/>
    <n v="25.03"/>
    <n v="1"/>
    <n v="25.03"/>
    <n v="-9.3185714285714241"/>
    <m/>
    <n v="34.956541142857141"/>
    <n v="-9.9265411428571397"/>
  </r>
  <r>
    <x v="3"/>
    <x v="126"/>
    <x v="34"/>
    <x v="0"/>
    <n v="51.522857142857134"/>
    <n v="3"/>
    <n v="51.522857142857134"/>
    <n v="1"/>
    <n v="51.522857142857134"/>
    <n v="120.809"/>
    <n v="122.94799999999999"/>
    <n v="1.0177"/>
    <n v="52.434811714285708"/>
    <m/>
    <n v="3"/>
    <s v="Sale"/>
    <x v="0"/>
    <x v="99"/>
    <x v="0"/>
    <n v="37.927500000000002"/>
    <n v="1"/>
    <n v="37.927500000000002"/>
    <n v="-13.595357142857132"/>
    <m/>
    <n v="52.434811714285708"/>
    <n v="-14.507311714285706"/>
  </r>
  <r>
    <x v="3"/>
    <x v="126"/>
    <x v="34"/>
    <x v="0"/>
    <n v="17.03"/>
    <n v="1"/>
    <n v="17.03"/>
    <n v="1"/>
    <n v="17.03"/>
    <n v="120.809"/>
    <n v="122.94799999999999"/>
    <n v="1.0177"/>
    <n v="17.331431000000002"/>
    <m/>
    <n v="1"/>
    <s v="Sale"/>
    <x v="0"/>
    <x v="99"/>
    <x v="0"/>
    <n v="12.6425"/>
    <n v="1"/>
    <n v="12.6425"/>
    <n v="-4.3875000000000011"/>
    <m/>
    <n v="17.331431000000002"/>
    <n v="-4.688931000000002"/>
  </r>
  <r>
    <x v="3"/>
    <x v="126"/>
    <x v="34"/>
    <x v="0"/>
    <n v="17.03"/>
    <n v="1"/>
    <n v="17.03"/>
    <n v="1"/>
    <n v="17.03"/>
    <n v="120.809"/>
    <n v="122.94799999999999"/>
    <n v="1.0177"/>
    <n v="17.331431000000002"/>
    <m/>
    <n v="1"/>
    <s v="Sale"/>
    <x v="0"/>
    <x v="99"/>
    <x v="0"/>
    <n v="12.64"/>
    <n v="1"/>
    <n v="12.64"/>
    <n v="-4.3900000000000006"/>
    <m/>
    <n v="17.331431000000002"/>
    <n v="-4.6914310000000015"/>
  </r>
  <r>
    <x v="3"/>
    <x v="126"/>
    <x v="34"/>
    <x v="0"/>
    <n v="34.193333333333335"/>
    <n v="2"/>
    <n v="34.193333333333335"/>
    <n v="1"/>
    <n v="34.193333333333335"/>
    <n v="120.809"/>
    <n v="122.94799999999999"/>
    <n v="1.0177"/>
    <n v="34.79855533333334"/>
    <m/>
    <n v="2"/>
    <s v="Sale"/>
    <x v="0"/>
    <x v="99"/>
    <x v="0"/>
    <n v="25.28"/>
    <n v="1"/>
    <n v="25.28"/>
    <n v="-8.913333333333334"/>
    <m/>
    <n v="34.79855533333334"/>
    <n v="-9.5185553333333388"/>
  </r>
  <r>
    <x v="3"/>
    <x v="126"/>
    <x v="34"/>
    <x v="0"/>
    <n v="17.096666666666668"/>
    <n v="1"/>
    <n v="17.096666666666668"/>
    <n v="1"/>
    <n v="17.096666666666668"/>
    <n v="120.809"/>
    <n v="122.94799999999999"/>
    <n v="1.0177"/>
    <n v="17.39927766666667"/>
    <m/>
    <n v="1"/>
    <s v="Sale"/>
    <x v="0"/>
    <x v="100"/>
    <x v="0"/>
    <n v="11.72"/>
    <n v="1"/>
    <n v="11.72"/>
    <n v="-5.3766666666666669"/>
    <m/>
    <n v="17.39927766666667"/>
    <n v="-5.6792776666666693"/>
  </r>
  <r>
    <x v="3"/>
    <x v="126"/>
    <x v="34"/>
    <x v="0"/>
    <n v="17.096666666666668"/>
    <n v="1"/>
    <n v="17.096666666666668"/>
    <n v="1"/>
    <n v="17.096666666666668"/>
    <n v="120.809"/>
    <n v="122.94799999999999"/>
    <n v="1.0177"/>
    <n v="17.39927766666667"/>
    <m/>
    <n v="1"/>
    <s v="Sale"/>
    <x v="0"/>
    <x v="100"/>
    <x v="0"/>
    <n v="11.72"/>
    <n v="1"/>
    <n v="11.72"/>
    <n v="-5.3766666666666669"/>
    <m/>
    <n v="17.39927766666667"/>
    <n v="-5.6792776666666693"/>
  </r>
  <r>
    <x v="3"/>
    <x v="126"/>
    <x v="34"/>
    <x v="0"/>
    <n v="17.096666666666668"/>
    <n v="1"/>
    <n v="17.096666666666668"/>
    <n v="1"/>
    <n v="17.096666666666668"/>
    <n v="120.809"/>
    <n v="122.94799999999999"/>
    <n v="1.0177"/>
    <n v="17.39927766666667"/>
    <m/>
    <n v="1"/>
    <s v="Sale"/>
    <x v="0"/>
    <x v="100"/>
    <x v="0"/>
    <n v="11.63"/>
    <n v="1"/>
    <n v="11.63"/>
    <n v="-5.4666666666666668"/>
    <m/>
    <n v="17.39927766666667"/>
    <n v="-5.7692776666666692"/>
  </r>
  <r>
    <x v="3"/>
    <x v="126"/>
    <x v="34"/>
    <x v="0"/>
    <n v="17.096666666666668"/>
    <n v="1"/>
    <n v="17.096666666666668"/>
    <n v="1"/>
    <n v="17.096666666666668"/>
    <n v="120.809"/>
    <n v="122.94799999999999"/>
    <n v="1.0177"/>
    <n v="17.39927766666667"/>
    <m/>
    <n v="1"/>
    <s v="Sale"/>
    <x v="0"/>
    <x v="100"/>
    <x v="0"/>
    <n v="11.727499999999999"/>
    <n v="1"/>
    <n v="11.727499999999999"/>
    <n v="-5.3691666666666684"/>
    <m/>
    <n v="17.39927766666667"/>
    <n v="-5.6717776666666708"/>
  </r>
  <r>
    <x v="3"/>
    <x v="126"/>
    <x v="34"/>
    <x v="0"/>
    <n v="51.046071428571437"/>
    <n v="3"/>
    <n v="51.046071428571437"/>
    <n v="1"/>
    <n v="51.046071428571437"/>
    <n v="120.809"/>
    <n v="122.94799999999999"/>
    <n v="1.0177"/>
    <n v="51.949586892857155"/>
    <m/>
    <n v="3"/>
    <s v="Sale"/>
    <x v="0"/>
    <x v="100"/>
    <x v="0"/>
    <n v="35.182499999999997"/>
    <n v="1"/>
    <n v="35.182499999999997"/>
    <n v="-15.86357142857144"/>
    <m/>
    <n v="51.949586892857155"/>
    <n v="-16.767086892857158"/>
  </r>
  <r>
    <x v="3"/>
    <x v="126"/>
    <x v="34"/>
    <x v="0"/>
    <n v="68.061428571428578"/>
    <n v="4"/>
    <n v="68.061428571428578"/>
    <n v="1"/>
    <n v="68.061428571428578"/>
    <n v="120.809"/>
    <n v="122.94799999999999"/>
    <n v="1.0177"/>
    <n v="69.266115857142864"/>
    <m/>
    <n v="4"/>
    <s v="Sale"/>
    <x v="0"/>
    <x v="100"/>
    <x v="0"/>
    <n v="46.54"/>
    <n v="1"/>
    <n v="46.54"/>
    <n v="-21.521428571428579"/>
    <m/>
    <n v="69.266115857142864"/>
    <n v="-22.726115857142865"/>
  </r>
  <r>
    <x v="3"/>
    <x v="126"/>
    <x v="34"/>
    <x v="0"/>
    <n v="51.046071428571437"/>
    <n v="3"/>
    <n v="51.046071428571437"/>
    <n v="1"/>
    <n v="51.046071428571437"/>
    <n v="120.809"/>
    <n v="122.94799999999999"/>
    <n v="1.0177"/>
    <n v="51.949586892857155"/>
    <m/>
    <n v="3"/>
    <s v="Sale"/>
    <x v="0"/>
    <x v="100"/>
    <x v="0"/>
    <n v="35.19"/>
    <n v="1"/>
    <n v="35.19"/>
    <n v="-15.85607142857144"/>
    <m/>
    <n v="51.949586892857155"/>
    <n v="-16.759586892857158"/>
  </r>
  <r>
    <x v="3"/>
    <x v="126"/>
    <x v="34"/>
    <x v="0"/>
    <n v="51.046071428571437"/>
    <n v="3"/>
    <n v="51.046071428571437"/>
    <n v="1"/>
    <n v="51.046071428571437"/>
    <n v="120.809"/>
    <n v="122.94799999999999"/>
    <n v="1.0177"/>
    <n v="51.949586892857155"/>
    <m/>
    <n v="3"/>
    <s v="Sale"/>
    <x v="0"/>
    <x v="100"/>
    <x v="0"/>
    <n v="34.9"/>
    <n v="1"/>
    <n v="34.9"/>
    <n v="-16.146071428571439"/>
    <m/>
    <n v="51.949586892857155"/>
    <n v="-17.049586892857157"/>
  </r>
  <r>
    <x v="3"/>
    <x v="126"/>
    <x v="34"/>
    <x v="0"/>
    <n v="17.015357142857145"/>
    <n v="1"/>
    <n v="17.015357142857145"/>
    <n v="1"/>
    <n v="17.015357142857145"/>
    <n v="120.809"/>
    <n v="122.94799999999999"/>
    <n v="1.0177"/>
    <n v="17.316528964285716"/>
    <m/>
    <n v="1"/>
    <s v="Sale"/>
    <x v="0"/>
    <x v="100"/>
    <x v="0"/>
    <n v="11.64"/>
    <n v="1"/>
    <n v="11.64"/>
    <n v="-5.3753571428571441"/>
    <m/>
    <n v="17.316528964285716"/>
    <n v="-5.6765289642857155"/>
  </r>
  <r>
    <x v="3"/>
    <x v="126"/>
    <x v="34"/>
    <x v="0"/>
    <n v="34.030714285714289"/>
    <n v="2"/>
    <n v="34.030714285714289"/>
    <n v="1"/>
    <n v="34.030714285714289"/>
    <n v="120.809"/>
    <n v="122.94799999999999"/>
    <n v="1.0177"/>
    <n v="34.633057928571432"/>
    <m/>
    <n v="2"/>
    <s v="Sale"/>
    <x v="0"/>
    <x v="100"/>
    <x v="0"/>
    <n v="23.27"/>
    <n v="1"/>
    <n v="23.27"/>
    <n v="-10.76071428571429"/>
    <m/>
    <n v="34.633057928571432"/>
    <n v="-11.363057928571433"/>
  </r>
  <r>
    <x v="3"/>
    <x v="126"/>
    <x v="34"/>
    <x v="0"/>
    <n v="34.030714285714289"/>
    <n v="2"/>
    <n v="34.030714285714289"/>
    <n v="1"/>
    <n v="34.030714285714289"/>
    <n v="120.809"/>
    <n v="122.94799999999999"/>
    <n v="1.0177"/>
    <n v="34.633057928571432"/>
    <m/>
    <n v="2"/>
    <s v="Sale"/>
    <x v="0"/>
    <x v="100"/>
    <x v="0"/>
    <n v="23.27"/>
    <n v="1"/>
    <n v="23.27"/>
    <n v="-10.76071428571429"/>
    <m/>
    <n v="34.633057928571432"/>
    <n v="-11.363057928571433"/>
  </r>
  <r>
    <x v="3"/>
    <x v="126"/>
    <x v="34"/>
    <x v="0"/>
    <n v="85.07678571428572"/>
    <n v="5"/>
    <n v="85.07678571428572"/>
    <n v="1"/>
    <n v="85.07678571428572"/>
    <n v="120.809"/>
    <n v="122.94799999999999"/>
    <n v="1.0177"/>
    <n v="86.582644821428588"/>
    <m/>
    <n v="5"/>
    <s v="Sale"/>
    <x v="0"/>
    <x v="100"/>
    <x v="0"/>
    <n v="58.48"/>
    <n v="1"/>
    <n v="58.48"/>
    <n v="-26.596785714285723"/>
    <m/>
    <n v="86.582644821428588"/>
    <n v="-28.102644821428591"/>
  </r>
  <r>
    <x v="3"/>
    <x v="126"/>
    <x v="34"/>
    <x v="0"/>
    <n v="85.07678571428572"/>
    <n v="5"/>
    <n v="85.07678571428572"/>
    <n v="1"/>
    <n v="85.07678571428572"/>
    <n v="120.809"/>
    <n v="122.94799999999999"/>
    <n v="1.0177"/>
    <n v="86.582644821428588"/>
    <m/>
    <n v="5"/>
    <s v="Sale"/>
    <x v="0"/>
    <x v="100"/>
    <x v="0"/>
    <n v="58.179999999999993"/>
    <n v="1"/>
    <n v="58.179999999999993"/>
    <n v="-26.896785714285727"/>
    <m/>
    <n v="86.582644821428588"/>
    <n v="-28.402644821428595"/>
  </r>
  <r>
    <x v="3"/>
    <x v="127"/>
    <x v="34"/>
    <x v="0"/>
    <n v="48.760000000000005"/>
    <n v="3"/>
    <n v="48.760000000000005"/>
    <n v="1"/>
    <n v="48.760000000000005"/>
    <n v="120.809"/>
    <n v="122.94799999999999"/>
    <n v="1.0177"/>
    <n v="49.623052000000008"/>
    <m/>
    <n v="3"/>
    <s v="Sale"/>
    <x v="0"/>
    <x v="100"/>
    <x v="0"/>
    <n v="35.090000000000003"/>
    <n v="1"/>
    <n v="35.090000000000003"/>
    <n v="-13.670000000000002"/>
    <m/>
    <n v="49.623052000000008"/>
    <n v="-14.533052000000005"/>
  </r>
  <r>
    <x v="3"/>
    <x v="127"/>
    <x v="34"/>
    <x v="0"/>
    <n v="16.41"/>
    <n v="1"/>
    <n v="16.41"/>
    <n v="1"/>
    <n v="16.41"/>
    <n v="120.809"/>
    <n v="122.94799999999999"/>
    <n v="1.0177"/>
    <n v="16.700457"/>
    <m/>
    <n v="1"/>
    <s v="Sale"/>
    <x v="0"/>
    <x v="100"/>
    <x v="0"/>
    <n v="11.696666666666667"/>
    <n v="1"/>
    <n v="11.696666666666667"/>
    <n v="-4.7133333333333329"/>
    <m/>
    <n v="16.700457"/>
    <n v="-5.0037903333333329"/>
  </r>
  <r>
    <x v="3"/>
    <x v="127"/>
    <x v="34"/>
    <x v="0"/>
    <n v="32.688749999999999"/>
    <n v="2"/>
    <n v="32.688749999999999"/>
    <n v="1"/>
    <n v="32.688749999999999"/>
    <n v="120.809"/>
    <n v="122.94799999999999"/>
    <n v="1.0177"/>
    <n v="33.267340875000002"/>
    <m/>
    <n v="2"/>
    <s v="Sale"/>
    <x v="0"/>
    <x v="100"/>
    <x v="0"/>
    <n v="23.393333333333334"/>
    <n v="1"/>
    <n v="23.393333333333334"/>
    <n v="-9.2954166666666644"/>
    <m/>
    <n v="33.267340875000002"/>
    <n v="-9.8740075416666677"/>
  </r>
  <r>
    <x v="3"/>
    <x v="127"/>
    <x v="34"/>
    <x v="0"/>
    <n v="98.066249999999997"/>
    <n v="6"/>
    <n v="98.066249999999997"/>
    <n v="1"/>
    <n v="98.066249999999997"/>
    <n v="120.809"/>
    <n v="122.94799999999999"/>
    <n v="1.0177"/>
    <n v="99.802022625000006"/>
    <m/>
    <n v="6"/>
    <s v="Sale"/>
    <x v="0"/>
    <x v="100"/>
    <x v="0"/>
    <n v="69.81"/>
    <n v="1"/>
    <n v="69.81"/>
    <n v="-28.256249999999994"/>
    <m/>
    <n v="99.802022625000006"/>
    <n v="-29.992022625000004"/>
  </r>
  <r>
    <x v="3"/>
    <x v="127"/>
    <x v="34"/>
    <x v="0"/>
    <n v="16.344374999999999"/>
    <n v="1"/>
    <n v="16.344374999999999"/>
    <n v="1"/>
    <n v="16.344374999999999"/>
    <n v="120.809"/>
    <n v="122.94799999999999"/>
    <n v="1.0177"/>
    <n v="16.633670437500001"/>
    <m/>
    <n v="1"/>
    <s v="Sale"/>
    <x v="0"/>
    <x v="96"/>
    <x v="0"/>
    <n v="11.93"/>
    <n v="1"/>
    <n v="11.93"/>
    <n v="-4.4143749999999997"/>
    <m/>
    <n v="16.633670437500001"/>
    <n v="-4.7036704375000014"/>
  </r>
  <r>
    <x v="3"/>
    <x v="127"/>
    <x v="34"/>
    <x v="0"/>
    <n v="65.377499999999998"/>
    <n v="4"/>
    <n v="65.377499999999998"/>
    <n v="1"/>
    <n v="65.377499999999998"/>
    <n v="120.809"/>
    <n v="122.94799999999999"/>
    <n v="1.0177"/>
    <n v="66.534681750000004"/>
    <m/>
    <n v="4"/>
    <s v="Sale"/>
    <x v="0"/>
    <x v="96"/>
    <x v="0"/>
    <n v="47.82"/>
    <n v="1"/>
    <n v="47.82"/>
    <n v="-17.557499999999997"/>
    <m/>
    <n v="66.534681750000004"/>
    <n v="-18.714681750000004"/>
  </r>
  <r>
    <x v="3"/>
    <x v="127"/>
    <x v="34"/>
    <x v="0"/>
    <n v="49.033124999999998"/>
    <n v="3"/>
    <n v="49.033124999999998"/>
    <n v="1"/>
    <n v="49.033124999999998"/>
    <n v="120.809"/>
    <n v="122.94799999999999"/>
    <n v="1.0177"/>
    <n v="49.901011312500003"/>
    <m/>
    <n v="3"/>
    <s v="Sale"/>
    <x v="0"/>
    <x v="96"/>
    <x v="0"/>
    <n v="35.869999999999997"/>
    <n v="1"/>
    <n v="35.869999999999997"/>
    <n v="-13.163125000000001"/>
    <m/>
    <n v="49.901011312500003"/>
    <n v="-14.031011312500006"/>
  </r>
  <r>
    <x v="3"/>
    <x v="128"/>
    <x v="73"/>
    <x v="0"/>
    <n v="6620.8799999999992"/>
    <n v="40"/>
    <n v="6620.8799999999992"/>
    <n v="1"/>
    <n v="6620.8799999999992"/>
    <n v="122.044"/>
    <n v="122.94799999999999"/>
    <n v="1.0074000000000001"/>
    <n v="6669.8745119999994"/>
    <m/>
    <n v="40"/>
    <s v="Sale"/>
    <x v="0"/>
    <x v="98"/>
    <x v="0"/>
    <n v="4928.57"/>
    <n v="1"/>
    <n v="4928.57"/>
    <n v="-1692.3099999999995"/>
    <m/>
    <n v="6669.8745119999994"/>
    <n v="-1741.3045119999997"/>
  </r>
  <r>
    <x v="3"/>
    <x v="47"/>
    <x v="32"/>
    <x v="0"/>
    <n v="2682.75"/>
    <n v="21"/>
    <n v="2682.75"/>
    <n v="1"/>
    <n v="2682.75"/>
    <n v="116.884"/>
    <n v="122.94799999999999"/>
    <n v="1.0518000000000001"/>
    <n v="2821.7164500000003"/>
    <m/>
    <n v="21"/>
    <s v="Sale"/>
    <x v="0"/>
    <x v="96"/>
    <x v="0"/>
    <n v="2254.5"/>
    <n v="1"/>
    <n v="2254.5"/>
    <n v="-428.25"/>
    <m/>
    <n v="2821.7164500000003"/>
    <n v="-567.21645000000035"/>
  </r>
  <r>
    <x v="3"/>
    <x v="47"/>
    <x v="32"/>
    <x v="0"/>
    <n v="255.5"/>
    <n v="2"/>
    <n v="255.5"/>
    <n v="1"/>
    <n v="255.5"/>
    <n v="116.884"/>
    <n v="122.94799999999999"/>
    <n v="1.0518000000000001"/>
    <n v="268.73490000000004"/>
    <m/>
    <n v="2"/>
    <s v="Sale"/>
    <x v="0"/>
    <x v="96"/>
    <x v="0"/>
    <n v="213.01"/>
    <n v="1"/>
    <n v="213.01"/>
    <n v="-42.490000000000009"/>
    <m/>
    <n v="268.73490000000004"/>
    <n v="-55.724900000000048"/>
  </r>
  <r>
    <x v="3"/>
    <x v="47"/>
    <x v="74"/>
    <x v="0"/>
    <n v="119.91939393939394"/>
    <n v="2"/>
    <n v="119.91939393939394"/>
    <n v="1"/>
    <n v="119.91939393939394"/>
    <n v="116.884"/>
    <n v="123.803"/>
    <n v="1.0590999999999999"/>
    <n v="127.00663012121211"/>
    <m/>
    <n v="2"/>
    <s v="Sale"/>
    <x v="0"/>
    <x v="101"/>
    <x v="0"/>
    <n v="80.739999999999995"/>
    <n v="1"/>
    <n v="80.739999999999995"/>
    <n v="-39.179393939393947"/>
    <m/>
    <n v="127.00663012121211"/>
    <n v="-46.266630121212117"/>
  </r>
  <r>
    <x v="3"/>
    <x v="47"/>
    <x v="74"/>
    <x v="0"/>
    <n v="299.79848484848486"/>
    <n v="5"/>
    <n v="299.79848484848486"/>
    <n v="1"/>
    <n v="299.79848484848486"/>
    <n v="116.884"/>
    <n v="123.803"/>
    <n v="1.0590999999999999"/>
    <n v="317.51657530303032"/>
    <m/>
    <n v="5"/>
    <s v="Sale"/>
    <x v="0"/>
    <x v="101"/>
    <x v="0"/>
    <n v="203.13"/>
    <n v="1"/>
    <n v="203.13"/>
    <n v="-96.668484848484866"/>
    <m/>
    <n v="317.51657530303032"/>
    <n v="-114.38657530303033"/>
  </r>
  <r>
    <x v="3"/>
    <x v="47"/>
    <x v="74"/>
    <x v="0"/>
    <n v="59.959696969696971"/>
    <n v="1"/>
    <n v="59.959696969696971"/>
    <n v="1"/>
    <n v="59.959696969696971"/>
    <n v="116.884"/>
    <n v="123.803"/>
    <n v="1.0590999999999999"/>
    <n v="63.503315060606056"/>
    <m/>
    <n v="1"/>
    <s v="Sale"/>
    <x v="0"/>
    <x v="101"/>
    <x v="0"/>
    <n v="40.409999999999997"/>
    <n v="1"/>
    <n v="40.409999999999997"/>
    <n v="-19.549696969696974"/>
    <m/>
    <n v="63.503315060606056"/>
    <n v="-23.093315060606059"/>
  </r>
  <r>
    <x v="3"/>
    <x v="47"/>
    <x v="74"/>
    <x v="0"/>
    <n v="59.959696969696971"/>
    <n v="1"/>
    <n v="59.959696969696971"/>
    <n v="1"/>
    <n v="59.959696969696971"/>
    <n v="116.884"/>
    <n v="123.803"/>
    <n v="1.0590999999999999"/>
    <n v="63.503315060606056"/>
    <m/>
    <n v="1"/>
    <s v="Sale"/>
    <x v="0"/>
    <x v="101"/>
    <x v="0"/>
    <n v="40.89"/>
    <n v="1"/>
    <n v="40.89"/>
    <n v="-19.06969696969697"/>
    <m/>
    <n v="63.503315060606056"/>
    <n v="-22.613315060606055"/>
  </r>
  <r>
    <x v="3"/>
    <x v="47"/>
    <x v="74"/>
    <x v="0"/>
    <n v="299.79848484848486"/>
    <n v="5"/>
    <n v="299.79848484848486"/>
    <n v="1"/>
    <n v="299.79848484848486"/>
    <n v="116.884"/>
    <n v="123.803"/>
    <n v="1.0590999999999999"/>
    <n v="317.51657530303032"/>
    <m/>
    <n v="5"/>
    <s v="Sale"/>
    <x v="0"/>
    <x v="101"/>
    <x v="0"/>
    <n v="201.95"/>
    <n v="1"/>
    <n v="201.95"/>
    <n v="-97.848484848484873"/>
    <m/>
    <n v="317.51657530303032"/>
    <n v="-115.56657530303033"/>
  </r>
  <r>
    <x v="3"/>
    <x v="47"/>
    <x v="74"/>
    <x v="0"/>
    <n v="59.959696969696971"/>
    <n v="1"/>
    <n v="59.959696969696971"/>
    <n v="1"/>
    <n v="59.959696969696971"/>
    <n v="116.884"/>
    <n v="123.803"/>
    <n v="1.0590999999999999"/>
    <n v="63.503315060606056"/>
    <m/>
    <n v="1"/>
    <s v="Sale"/>
    <x v="0"/>
    <x v="101"/>
    <x v="0"/>
    <n v="40.799999999999997"/>
    <n v="1"/>
    <n v="40.799999999999997"/>
    <n v="-19.159696969696974"/>
    <m/>
    <n v="63.503315060606056"/>
    <n v="-22.703315060606059"/>
  </r>
  <r>
    <x v="3"/>
    <x v="47"/>
    <x v="74"/>
    <x v="0"/>
    <n v="59.959696969696971"/>
    <n v="1"/>
    <n v="59.959696969696971"/>
    <n v="1"/>
    <n v="59.959696969696971"/>
    <n v="116.884"/>
    <n v="123.803"/>
    <n v="1.0590999999999999"/>
    <n v="63.503315060606056"/>
    <m/>
    <n v="1"/>
    <s v="Sale"/>
    <x v="0"/>
    <x v="89"/>
    <x v="0"/>
    <n v="43.28"/>
    <n v="1"/>
    <n v="43.28"/>
    <n v="-16.67969696969697"/>
    <m/>
    <n v="63.503315060606056"/>
    <n v="-20.223315060606055"/>
  </r>
  <r>
    <x v="3"/>
    <x v="47"/>
    <x v="74"/>
    <x v="0"/>
    <n v="59.959696969696971"/>
    <n v="1"/>
    <n v="59.959696969696971"/>
    <n v="1"/>
    <n v="59.959696969696971"/>
    <n v="116.884"/>
    <n v="123.803"/>
    <n v="1.0590999999999999"/>
    <n v="63.503315060606056"/>
    <m/>
    <n v="1"/>
    <s v="Sale"/>
    <x v="0"/>
    <x v="89"/>
    <x v="0"/>
    <n v="43.2"/>
    <n v="1"/>
    <n v="43.2"/>
    <n v="-16.759696969696968"/>
    <m/>
    <n v="63.503315060606056"/>
    <n v="-20.303315060606053"/>
  </r>
  <r>
    <x v="3"/>
    <x v="47"/>
    <x v="74"/>
    <x v="0"/>
    <n v="119.91939393939394"/>
    <n v="2"/>
    <n v="119.91939393939394"/>
    <n v="1"/>
    <n v="119.91939393939394"/>
    <n v="116.884"/>
    <n v="123.803"/>
    <n v="1.0590999999999999"/>
    <n v="127.00663012121211"/>
    <m/>
    <n v="2"/>
    <s v="Sale"/>
    <x v="0"/>
    <x v="89"/>
    <x v="0"/>
    <n v="86.4"/>
    <n v="1"/>
    <n v="86.4"/>
    <n v="-33.519393939393936"/>
    <m/>
    <n v="127.00663012121211"/>
    <n v="-40.606630121212106"/>
  </r>
  <r>
    <x v="3"/>
    <x v="47"/>
    <x v="74"/>
    <x v="0"/>
    <n v="899.39545454545453"/>
    <n v="15"/>
    <n v="899.39545454545453"/>
    <n v="1"/>
    <n v="899.39545454545453"/>
    <n v="116.884"/>
    <n v="123.803"/>
    <n v="1.0590999999999999"/>
    <n v="952.54972590909085"/>
    <m/>
    <n v="15"/>
    <s v="Sale"/>
    <x v="0"/>
    <x v="89"/>
    <x v="0"/>
    <n v="652.14"/>
    <n v="1"/>
    <n v="652.14"/>
    <n v="-247.25545454545454"/>
    <m/>
    <n v="952.54972590909085"/>
    <n v="-300.40972590909087"/>
  </r>
  <r>
    <x v="3"/>
    <x v="47"/>
    <x v="74"/>
    <x v="0"/>
    <n v="299.79848484848486"/>
    <n v="5"/>
    <n v="299.79848484848486"/>
    <n v="1"/>
    <n v="299.79848484848486"/>
    <n v="116.884"/>
    <n v="123.803"/>
    <n v="1.0590999999999999"/>
    <n v="317.51657530303032"/>
    <m/>
    <n v="5"/>
    <s v="Sale"/>
    <x v="0"/>
    <x v="89"/>
    <x v="0"/>
    <n v="217.38"/>
    <n v="1"/>
    <n v="217.38"/>
    <n v="-82.418484848484866"/>
    <m/>
    <n v="317.51657530303032"/>
    <n v="-100.13657530303033"/>
  </r>
  <r>
    <x v="3"/>
    <x v="47"/>
    <x v="74"/>
    <x v="0"/>
    <n v="59.959696969696971"/>
    <n v="1"/>
    <n v="59.959696969696971"/>
    <n v="1"/>
    <n v="59.959696969696971"/>
    <n v="116.884"/>
    <n v="123.803"/>
    <n v="1.0590999999999999"/>
    <n v="63.503315060606056"/>
    <m/>
    <n v="1"/>
    <s v="Sale"/>
    <x v="0"/>
    <x v="90"/>
    <x v="0"/>
    <n v="44.93"/>
    <n v="1"/>
    <n v="44.93"/>
    <n v="-15.029696969696971"/>
    <m/>
    <n v="63.503315060606056"/>
    <n v="-18.573315060606056"/>
  </r>
  <r>
    <x v="3"/>
    <x v="47"/>
    <x v="74"/>
    <x v="0"/>
    <n v="119.91939393939394"/>
    <n v="2"/>
    <n v="119.91939393939394"/>
    <n v="1"/>
    <n v="119.91939393939394"/>
    <n v="116.884"/>
    <n v="123.803"/>
    <n v="1.0590999999999999"/>
    <n v="127.00663012121211"/>
    <m/>
    <n v="2"/>
    <s v="Sale"/>
    <x v="0"/>
    <x v="90"/>
    <x v="0"/>
    <n v="89.86"/>
    <n v="1"/>
    <n v="89.86"/>
    <n v="-30.059393939393942"/>
    <m/>
    <n v="127.00663012121211"/>
    <n v="-37.146630121212112"/>
  </r>
  <r>
    <x v="3"/>
    <x v="47"/>
    <x v="74"/>
    <x v="0"/>
    <n v="59.959696969696971"/>
    <n v="1"/>
    <n v="59.959696969696971"/>
    <n v="1"/>
    <n v="59.959696969696971"/>
    <n v="116.884"/>
    <n v="123.803"/>
    <n v="1.0590999999999999"/>
    <n v="63.503315060606056"/>
    <m/>
    <n v="1"/>
    <s v="Sale"/>
    <x v="0"/>
    <x v="80"/>
    <x v="0"/>
    <n v="48.25"/>
    <n v="1"/>
    <n v="48.25"/>
    <n v="-11.709696969696971"/>
    <m/>
    <n v="63.503315060606056"/>
    <n v="-15.253315060606056"/>
  </r>
  <r>
    <x v="3"/>
    <x v="47"/>
    <x v="74"/>
    <x v="0"/>
    <n v="599.59696969696972"/>
    <n v="10"/>
    <n v="599.59696969696972"/>
    <n v="1"/>
    <n v="599.59696969696972"/>
    <n v="116.884"/>
    <n v="123.803"/>
    <n v="1.0590999999999999"/>
    <n v="635.03315060606064"/>
    <m/>
    <n v="10"/>
    <s v="Sale"/>
    <x v="0"/>
    <x v="80"/>
    <x v="0"/>
    <n v="484.34"/>
    <n v="1"/>
    <n v="484.34"/>
    <n v="-115.25696969696975"/>
    <m/>
    <n v="635.03315060606064"/>
    <n v="-150.69315060606067"/>
  </r>
  <r>
    <x v="3"/>
    <x v="47"/>
    <x v="74"/>
    <x v="0"/>
    <n v="839.43575757575763"/>
    <n v="14"/>
    <n v="839.43575757575763"/>
    <n v="1"/>
    <n v="839.43575757575763"/>
    <n v="116.884"/>
    <n v="123.803"/>
    <n v="1.0590999999999999"/>
    <n v="889.04641084848481"/>
    <m/>
    <n v="14"/>
    <s v="Sale"/>
    <x v="0"/>
    <x v="81"/>
    <x v="0"/>
    <n v="666.62"/>
    <n v="1"/>
    <n v="666.62"/>
    <n v="-172.81575757575763"/>
    <m/>
    <n v="889.04641084848481"/>
    <n v="-222.42641084848481"/>
  </r>
  <r>
    <x v="3"/>
    <x v="47"/>
    <x v="33"/>
    <x v="0"/>
    <n v="961.51904761904768"/>
    <n v="4"/>
    <n v="961.51904761904768"/>
    <n v="1"/>
    <n v="961.51904761904768"/>
    <n v="116.884"/>
    <n v="123.803"/>
    <n v="1.0590999999999999"/>
    <n v="1018.3448233333334"/>
    <m/>
    <n v="4"/>
    <s v="Sale"/>
    <x v="0"/>
    <x v="92"/>
    <x v="0"/>
    <n v="900.06"/>
    <n v="1"/>
    <n v="900.06"/>
    <n v="-61.459047619047737"/>
    <m/>
    <n v="1018.3448233333334"/>
    <n v="-118.28482333333341"/>
  </r>
  <r>
    <x v="3"/>
    <x v="11"/>
    <x v="75"/>
    <x v="0"/>
    <n v="1783.84"/>
    <n v="4"/>
    <n v="1783.84"/>
    <n v="1"/>
    <n v="1783.84"/>
    <n v="120.15900000000001"/>
    <n v="123.803"/>
    <n v="1.0303"/>
    <n v="1837.8903519999999"/>
    <m/>
    <n v="4"/>
    <s v="Sale"/>
    <x v="0"/>
    <x v="92"/>
    <x v="0"/>
    <n v="1844.84"/>
    <n v="1"/>
    <n v="1844.84"/>
    <n v="61"/>
    <m/>
    <n v="1837.8903519999999"/>
    <n v="6.9496480000000247"/>
  </r>
  <r>
    <x v="3"/>
    <x v="121"/>
    <x v="76"/>
    <x v="0"/>
    <n v="20.91"/>
    <n v="1"/>
    <n v="20.91"/>
    <n v="1"/>
    <n v="20.91"/>
    <n v="120.15900000000001"/>
    <n v="123.803"/>
    <n v="1.0303"/>
    <n v="21.543572999999999"/>
    <m/>
    <n v="1"/>
    <s v="Sale"/>
    <x v="0"/>
    <x v="75"/>
    <x v="0"/>
    <n v="16.504999999999999"/>
    <n v="1"/>
    <n v="16.504999999999999"/>
    <n v="-4.4050000000000011"/>
    <m/>
    <n v="21.543572999999999"/>
    <n v="-5.0385729999999995"/>
  </r>
  <r>
    <x v="3"/>
    <x v="121"/>
    <x v="76"/>
    <x v="0"/>
    <n v="21.436"/>
    <n v="1"/>
    <n v="21.436"/>
    <n v="1"/>
    <n v="21.436"/>
    <n v="120.15900000000001"/>
    <n v="123.803"/>
    <n v="1.0303"/>
    <n v="22.085510800000002"/>
    <m/>
    <n v="1"/>
    <s v="Sale"/>
    <x v="0"/>
    <x v="75"/>
    <x v="0"/>
    <n v="16.504999999999999"/>
    <n v="1"/>
    <n v="16.504999999999999"/>
    <n v="-4.9310000000000009"/>
    <m/>
    <n v="22.085510800000002"/>
    <n v="-5.5805108000000025"/>
  </r>
  <r>
    <x v="3"/>
    <x v="121"/>
    <x v="76"/>
    <x v="0"/>
    <n v="85.744"/>
    <n v="4"/>
    <n v="85.744"/>
    <n v="1"/>
    <n v="85.744"/>
    <n v="120.15900000000001"/>
    <n v="123.803"/>
    <n v="1.0303"/>
    <n v="88.342043200000006"/>
    <m/>
    <n v="4"/>
    <s v="Sale"/>
    <x v="0"/>
    <x v="75"/>
    <x v="0"/>
    <n v="65.849999999999994"/>
    <n v="1"/>
    <n v="65.849999999999994"/>
    <n v="-19.894000000000005"/>
    <m/>
    <n v="88.342043200000006"/>
    <n v="-22.492043200000012"/>
  </r>
  <r>
    <x v="3"/>
    <x v="121"/>
    <x v="76"/>
    <x v="0"/>
    <n v="64.307999999999993"/>
    <n v="3"/>
    <n v="64.307999999999993"/>
    <n v="1"/>
    <n v="64.307999999999993"/>
    <n v="120.15900000000001"/>
    <n v="123.803"/>
    <n v="1.0303"/>
    <n v="66.256532399999998"/>
    <m/>
    <n v="3"/>
    <s v="Sale"/>
    <x v="0"/>
    <x v="75"/>
    <x v="0"/>
    <n v="49.019999999999996"/>
    <n v="1"/>
    <n v="49.019999999999996"/>
    <n v="-15.287999999999997"/>
    <m/>
    <n v="66.256532399999998"/>
    <n v="-17.236532400000002"/>
  </r>
  <r>
    <x v="3"/>
    <x v="121"/>
    <x v="76"/>
    <x v="0"/>
    <n v="364.41199999999998"/>
    <n v="17"/>
    <n v="364.41199999999998"/>
    <n v="1"/>
    <n v="364.41199999999998"/>
    <n v="120.15900000000001"/>
    <n v="123.803"/>
    <n v="1.0303"/>
    <n v="375.45368359999998"/>
    <m/>
    <n v="17"/>
    <s v="Sale"/>
    <x v="0"/>
    <x v="75"/>
    <x v="0"/>
    <n v="280.63877551020408"/>
    <n v="1"/>
    <n v="280.63877551020408"/>
    <n v="-83.773224489795894"/>
    <m/>
    <n v="375.45368359999998"/>
    <n v="-94.814908089795892"/>
  </r>
  <r>
    <x v="3"/>
    <x v="121"/>
    <x v="76"/>
    <x v="0"/>
    <n v="559.83000000000004"/>
    <n v="26"/>
    <n v="559.83000000000004"/>
    <n v="1"/>
    <n v="559.83000000000004"/>
    <n v="120.15900000000001"/>
    <n v="123.803"/>
    <n v="1.0303"/>
    <n v="576.79284900000005"/>
    <m/>
    <n v="26"/>
    <s v="Sale"/>
    <x v="0"/>
    <x v="75"/>
    <x v="0"/>
    <n v="429.21224489795918"/>
    <n v="1"/>
    <n v="429.21224489795918"/>
    <n v="-130.61775510204086"/>
    <m/>
    <n v="576.79284900000005"/>
    <n v="-147.58060410204087"/>
  </r>
  <r>
    <x v="3"/>
    <x v="121"/>
    <x v="76"/>
    <x v="0"/>
    <n v="83.55"/>
    <n v="4"/>
    <n v="83.55"/>
    <n v="1"/>
    <n v="83.55"/>
    <n v="120.15900000000001"/>
    <n v="123.803"/>
    <n v="1.0303"/>
    <n v="86.081564999999998"/>
    <m/>
    <n v="4"/>
    <s v="Sale"/>
    <x v="0"/>
    <x v="75"/>
    <x v="0"/>
    <n v="66.032653061224494"/>
    <n v="1"/>
    <n v="66.032653061224494"/>
    <n v="-17.517346938775503"/>
    <m/>
    <n v="86.081564999999998"/>
    <n v="-20.048911938775504"/>
  </r>
  <r>
    <x v="3"/>
    <x v="121"/>
    <x v="76"/>
    <x v="0"/>
    <n v="43.432000000000002"/>
    <n v="2"/>
    <n v="43.432000000000002"/>
    <n v="1"/>
    <n v="43.432000000000002"/>
    <n v="120.15900000000001"/>
    <n v="123.803"/>
    <n v="1.0303"/>
    <n v="44.747989600000004"/>
    <m/>
    <n v="2"/>
    <s v="Sale"/>
    <x v="0"/>
    <x v="75"/>
    <x v="0"/>
    <n v="33.016326530612247"/>
    <n v="1"/>
    <n v="33.016326530612247"/>
    <n v="-10.415673469387755"/>
    <m/>
    <n v="44.747989600000004"/>
    <n v="-11.731663069387757"/>
  </r>
  <r>
    <x v="3"/>
    <x v="47"/>
    <x v="77"/>
    <x v="0"/>
    <n v="4501.8"/>
    <n v="15"/>
    <n v="4501.8"/>
    <n v="1"/>
    <n v="4501.8"/>
    <n v="116.884"/>
    <n v="123.803"/>
    <n v="1.0590999999999999"/>
    <n v="4767.8563800000002"/>
    <m/>
    <n v="15"/>
    <s v="Sale"/>
    <x v="0"/>
    <x v="75"/>
    <x v="0"/>
    <n v="1311.27"/>
    <n v="1"/>
    <n v="1311.27"/>
    <n v="-3190.53"/>
    <m/>
    <n v="4767.8563800000002"/>
    <n v="-3456.5863800000002"/>
  </r>
  <r>
    <x v="3"/>
    <x v="47"/>
    <x v="77"/>
    <x v="0"/>
    <n v="3001.2"/>
    <n v="10"/>
    <n v="3001.2"/>
    <n v="1"/>
    <n v="3001.2"/>
    <n v="116.884"/>
    <n v="123.803"/>
    <n v="1.0590999999999999"/>
    <n v="3178.5709199999997"/>
    <m/>
    <n v="10"/>
    <s v="Sale"/>
    <x v="0"/>
    <x v="76"/>
    <x v="0"/>
    <n v="853.35000000000014"/>
    <n v="1"/>
    <n v="853.35000000000014"/>
    <n v="-2147.8499999999995"/>
    <m/>
    <n v="3178.5709199999997"/>
    <n v="-2325.2209199999998"/>
  </r>
  <r>
    <x v="3"/>
    <x v="47"/>
    <x v="77"/>
    <x v="0"/>
    <n v="4801.92"/>
    <n v="16"/>
    <n v="4801.92"/>
    <n v="1"/>
    <n v="4801.92"/>
    <n v="116.884"/>
    <n v="123.803"/>
    <n v="1.0590999999999999"/>
    <n v="5085.7134719999995"/>
    <m/>
    <n v="16"/>
    <s v="Sale"/>
    <x v="0"/>
    <x v="102"/>
    <x v="0"/>
    <n v="1379.3600000000001"/>
    <n v="1"/>
    <n v="1379.3600000000001"/>
    <n v="-3422.56"/>
    <m/>
    <n v="5085.7134719999995"/>
    <n v="-3706.3534719999993"/>
  </r>
  <r>
    <x v="3"/>
    <x v="119"/>
    <x v="77"/>
    <x v="0"/>
    <n v="442.59"/>
    <n v="4"/>
    <n v="442.59"/>
    <n v="1"/>
    <n v="442.59"/>
    <n v="121.02200000000001"/>
    <n v="123.803"/>
    <n v="1.0228999999999999"/>
    <n v="452.72531099999992"/>
    <m/>
    <n v="4"/>
    <s v="Sale"/>
    <x v="0"/>
    <x v="102"/>
    <x v="0"/>
    <n v="344.84000000000003"/>
    <n v="1"/>
    <n v="344.84000000000003"/>
    <n v="-97.749999999999943"/>
    <m/>
    <n v="452.72531099999992"/>
    <n v="-107.88531099999989"/>
  </r>
  <r>
    <x v="3"/>
    <x v="47"/>
    <x v="39"/>
    <x v="0"/>
    <n v="519.02785714285721"/>
    <n v="1"/>
    <n v="519.02785714285721"/>
    <n v="1"/>
    <n v="519.02785714285721"/>
    <n v="116.884"/>
    <n v="123.803"/>
    <n v="1.0590999999999999"/>
    <n v="549.70240350000006"/>
    <m/>
    <n v="1"/>
    <s v="Sale"/>
    <x v="0"/>
    <x v="102"/>
    <x v="0"/>
    <n v="388.11"/>
    <n v="1"/>
    <n v="388.11"/>
    <n v="-130.9178571428572"/>
    <m/>
    <n v="549.70240350000006"/>
    <n v="-161.59240350000005"/>
  </r>
  <r>
    <x v="3"/>
    <x v="47"/>
    <x v="39"/>
    <x v="0"/>
    <n v="519.02785714285721"/>
    <n v="1"/>
    <n v="519.02785714285721"/>
    <n v="1"/>
    <n v="519.02785714285721"/>
    <n v="116.884"/>
    <n v="123.803"/>
    <n v="1.0590999999999999"/>
    <n v="549.70240350000006"/>
    <m/>
    <n v="1"/>
    <s v="Sale"/>
    <x v="0"/>
    <x v="102"/>
    <x v="0"/>
    <n v="388.15"/>
    <n v="1"/>
    <n v="388.15"/>
    <n v="-130.87785714285724"/>
    <m/>
    <n v="549.70240350000006"/>
    <n v="-161.55240350000008"/>
  </r>
  <r>
    <x v="3"/>
    <x v="47"/>
    <x v="78"/>
    <x v="0"/>
    <n v="2831.04"/>
    <n v="16"/>
    <n v="2831.04"/>
    <n v="1"/>
    <n v="2831.04"/>
    <n v="116.884"/>
    <n v="123.803"/>
    <n v="1.0590999999999999"/>
    <n v="2998.3544639999996"/>
    <m/>
    <n v="16"/>
    <s v="Sale"/>
    <x v="0"/>
    <x v="80"/>
    <x v="0"/>
    <n v="2695.25"/>
    <n v="1"/>
    <n v="2695.25"/>
    <n v="-135.78999999999996"/>
    <m/>
    <n v="2998.3544639999996"/>
    <n v="-303.10446399999955"/>
  </r>
  <r>
    <x v="3"/>
    <x v="129"/>
    <x v="79"/>
    <x v="0"/>
    <n v="4453.13"/>
    <n v="15"/>
    <n v="4453.13"/>
    <n v="1"/>
    <n v="4453.13"/>
    <n v="118.98099999999999"/>
    <n v="123.803"/>
    <n v="1.0405"/>
    <n v="4633.4817650000005"/>
    <m/>
    <n v="15"/>
    <s v="Sale"/>
    <x v="0"/>
    <x v="80"/>
    <x v="0"/>
    <n v="2410.7903225806454"/>
    <n v="1"/>
    <n v="2410.7903225806454"/>
    <n v="-2042.3396774193548"/>
    <m/>
    <n v="4633.4817650000005"/>
    <n v="-2222.6914424193551"/>
  </r>
  <r>
    <x v="3"/>
    <x v="130"/>
    <x v="79"/>
    <x v="0"/>
    <n v="590.46"/>
    <n v="3"/>
    <n v="590.46"/>
    <n v="1"/>
    <n v="590.46"/>
    <n v="120.15900000000001"/>
    <n v="123.803"/>
    <n v="1.0303"/>
    <n v="608.35093800000004"/>
    <m/>
    <n v="3"/>
    <s v="Sale"/>
    <x v="0"/>
    <x v="80"/>
    <x v="0"/>
    <n v="482.158064516129"/>
    <n v="1"/>
    <n v="482.158064516129"/>
    <n v="-108.30193548387103"/>
    <m/>
    <n v="608.35093800000004"/>
    <n v="-126.19287348387104"/>
  </r>
  <r>
    <x v="3"/>
    <x v="131"/>
    <x v="79"/>
    <x v="0"/>
    <n v="806.19"/>
    <n v="4"/>
    <n v="806.19"/>
    <n v="1"/>
    <n v="806.19"/>
    <n v="120.15900000000001"/>
    <n v="123.803"/>
    <n v="1.0303"/>
    <n v="830.61755700000003"/>
    <m/>
    <n v="4"/>
    <s v="Sale"/>
    <x v="0"/>
    <x v="80"/>
    <x v="0"/>
    <n v="642.87741935483871"/>
    <n v="1"/>
    <n v="642.87741935483871"/>
    <n v="-163.31258064516135"/>
    <m/>
    <n v="830.61755700000003"/>
    <n v="-187.74013764516133"/>
  </r>
  <r>
    <x v="3"/>
    <x v="132"/>
    <x v="79"/>
    <x v="0"/>
    <n v="884.84"/>
    <n v="4"/>
    <n v="884.84"/>
    <n v="1"/>
    <n v="884.84"/>
    <n v="120.15900000000001"/>
    <n v="123.803"/>
    <n v="1.0303"/>
    <n v="911.65065200000004"/>
    <m/>
    <n v="4"/>
    <s v="Sale"/>
    <x v="0"/>
    <x v="80"/>
    <x v="0"/>
    <n v="642.87741935483871"/>
    <n v="1"/>
    <n v="642.87741935483871"/>
    <n v="-241.96258064516132"/>
    <m/>
    <n v="911.65065200000004"/>
    <n v="-268.77323264516133"/>
  </r>
  <r>
    <x v="3"/>
    <x v="133"/>
    <x v="79"/>
    <x v="0"/>
    <n v="879.91"/>
    <n v="5"/>
    <n v="879.91"/>
    <n v="1"/>
    <n v="879.91"/>
    <n v="120.809"/>
    <n v="123.803"/>
    <n v="1.0246999999999999"/>
    <n v="901.64377699999989"/>
    <m/>
    <n v="5"/>
    <s v="Sale"/>
    <x v="0"/>
    <x v="80"/>
    <x v="0"/>
    <n v="803.59677419354841"/>
    <n v="1"/>
    <n v="803.59677419354841"/>
    <n v="-76.313225806451555"/>
    <m/>
    <n v="901.64377699999989"/>
    <n v="-98.047002806451474"/>
  </r>
  <r>
    <x v="3"/>
    <x v="11"/>
    <x v="80"/>
    <x v="0"/>
    <n v="1419.9085714285711"/>
    <n v="24"/>
    <n v="1419.9085714285711"/>
    <n v="1"/>
    <n v="1419.9085714285711"/>
    <n v="120.15900000000001"/>
    <n v="123.803"/>
    <n v="1.0303"/>
    <n v="1462.9318011428568"/>
    <m/>
    <n v="24"/>
    <s v="Sale"/>
    <x v="0"/>
    <x v="80"/>
    <x v="0"/>
    <n v="1690.31"/>
    <n v="1"/>
    <n v="1690.31"/>
    <n v="270.40142857142882"/>
    <m/>
    <n v="1462.9318011428568"/>
    <n v="227.37819885714316"/>
  </r>
  <r>
    <x v="3"/>
    <x v="47"/>
    <x v="31"/>
    <x v="0"/>
    <n v="2857.03"/>
    <n v="19"/>
    <n v="2857.03"/>
    <n v="1"/>
    <n v="2857.03"/>
    <n v="116.884"/>
    <n v="124.571"/>
    <n v="1.0657000000000001"/>
    <n v="3044.7368710000005"/>
    <m/>
    <n v="19"/>
    <s v="Sale"/>
    <x v="0"/>
    <x v="103"/>
    <x v="0"/>
    <n v="2789.1700000000005"/>
    <n v="1"/>
    <n v="2789.1700000000005"/>
    <n v="-67.859999999999673"/>
    <m/>
    <n v="3044.7368710000005"/>
    <n v="-255.56687099999999"/>
  </r>
  <r>
    <x v="4"/>
    <x v="110"/>
    <x v="60"/>
    <x v="0"/>
    <n v="67501.803392258473"/>
    <n v="78.150000000000006"/>
    <n v="67501.803392258473"/>
    <n v="1"/>
    <n v="67501.803392258473"/>
    <n v="109.271"/>
    <n v="124.571"/>
    <n v="1.1399999999999999"/>
    <n v="76952.055867174655"/>
    <m/>
    <n v="78.150000000000006"/>
    <s v="Sale"/>
    <x v="0"/>
    <x v="104"/>
    <x v="0"/>
    <n v="81505.98"/>
    <n v="1"/>
    <n v="81505.98"/>
    <n v="14004.176607741523"/>
    <m/>
    <n v="76952.055867174655"/>
    <n v="4553.9241328253411"/>
  </r>
  <r>
    <x v="4"/>
    <x v="1"/>
    <x v="59"/>
    <x v="0"/>
    <n v="2103.4102047109718"/>
    <n v="21.03396"/>
    <n v="2103.4102047109718"/>
    <n v="1"/>
    <n v="2103.4102047109718"/>
    <n v="105.934"/>
    <n v="124.571"/>
    <n v="1.1758999999999999"/>
    <n v="2473.4000597196318"/>
    <m/>
    <n v="21.03396"/>
    <s v="Sale"/>
    <x v="0"/>
    <x v="105"/>
    <x v="0"/>
    <n v="1401.55"/>
    <n v="1"/>
    <n v="1401.55"/>
    <n v="-701.86020471097186"/>
    <m/>
    <n v="2473.4000597196318"/>
    <n v="-1071.8500597196319"/>
  </r>
  <r>
    <x v="1"/>
    <x v="34"/>
    <x v="16"/>
    <x v="0"/>
    <n v="167.93270072992701"/>
    <n v="2"/>
    <n v="167.93270072992701"/>
    <n v="1"/>
    <n v="167.93270072992701"/>
    <n v="103.02"/>
    <n v="124.571"/>
    <n v="1.2091000000000001"/>
    <n v="203.04742845255475"/>
    <m/>
    <n v="2"/>
    <s v="Sale"/>
    <x v="0"/>
    <x v="104"/>
    <x v="0"/>
    <n v="322.17"/>
    <n v="1"/>
    <n v="322.17"/>
    <n v="154.23729927007301"/>
    <m/>
    <n v="203.04742845255475"/>
    <n v="119.12257154744526"/>
  </r>
  <r>
    <x v="1"/>
    <x v="34"/>
    <x v="16"/>
    <x v="0"/>
    <n v="923.62985401459855"/>
    <n v="11"/>
    <n v="923.62985401459855"/>
    <n v="1"/>
    <n v="923.62985401459855"/>
    <n v="103.02"/>
    <n v="124.571"/>
    <n v="1.2091000000000001"/>
    <n v="1116.7608564890511"/>
    <m/>
    <n v="11"/>
    <s v="Sale"/>
    <x v="0"/>
    <x v="104"/>
    <x v="0"/>
    <n v="1768.35"/>
    <n v="1"/>
    <n v="1768.35"/>
    <n v="844.72014598540136"/>
    <m/>
    <n v="1116.7608564890511"/>
    <n v="651.58914351094882"/>
  </r>
  <r>
    <x v="1"/>
    <x v="34"/>
    <x v="16"/>
    <x v="0"/>
    <n v="587.76445255474448"/>
    <n v="7"/>
    <n v="587.76445255474448"/>
    <n v="1"/>
    <n v="587.76445255474448"/>
    <n v="103.02"/>
    <n v="124.571"/>
    <n v="1.2091000000000001"/>
    <n v="710.66599958394158"/>
    <m/>
    <n v="7"/>
    <s v="Sale"/>
    <x v="0"/>
    <x v="104"/>
    <x v="0"/>
    <n v="1135.96"/>
    <n v="1"/>
    <n v="1135.96"/>
    <n v="548.19554744525556"/>
    <m/>
    <n v="710.66599958394158"/>
    <n v="425.29400041605845"/>
  </r>
  <r>
    <x v="1"/>
    <x v="34"/>
    <x v="16"/>
    <x v="0"/>
    <n v="167.93270072992701"/>
    <n v="2"/>
    <n v="167.93270072992701"/>
    <n v="1"/>
    <n v="167.93270072992701"/>
    <n v="103.02"/>
    <n v="124.571"/>
    <n v="1.2091000000000001"/>
    <n v="203.04742845255475"/>
    <m/>
    <n v="2"/>
    <s v="Sale"/>
    <x v="0"/>
    <x v="106"/>
    <x v="0"/>
    <n v="321.39999999999998"/>
    <n v="1"/>
    <n v="321.39999999999998"/>
    <n v="153.46729927007297"/>
    <m/>
    <n v="203.04742845255475"/>
    <n v="118.35257154744522"/>
  </r>
  <r>
    <x v="1"/>
    <x v="107"/>
    <x v="5"/>
    <x v="0"/>
    <n v="246.11937499999999"/>
    <n v="1"/>
    <n v="246.11937499999999"/>
    <n v="1"/>
    <n v="246.11937499999999"/>
    <n v="113.682"/>
    <n v="124.571"/>
    <n v="1.0956999999999999"/>
    <n v="269.67299918749995"/>
    <m/>
    <n v="1"/>
    <s v="Sale"/>
    <x v="0"/>
    <x v="107"/>
    <x v="0"/>
    <n v="259.80500000000001"/>
    <n v="1"/>
    <n v="259.80500000000001"/>
    <n v="13.685625000000016"/>
    <m/>
    <n v="269.67299918749995"/>
    <n v="-9.8679991874999473"/>
  </r>
  <r>
    <x v="1"/>
    <x v="107"/>
    <x v="5"/>
    <x v="0"/>
    <n v="243.95545454545456"/>
    <n v="1"/>
    <n v="243.95545454545456"/>
    <n v="1"/>
    <n v="243.95545454545456"/>
    <n v="113.682"/>
    <n v="124.571"/>
    <n v="1.0956999999999999"/>
    <n v="267.30199154545454"/>
    <m/>
    <n v="1"/>
    <s v="Sale"/>
    <x v="0"/>
    <x v="107"/>
    <x v="0"/>
    <n v="259.80500000000001"/>
    <n v="1"/>
    <n v="259.80500000000001"/>
    <n v="15.849545454545449"/>
    <m/>
    <n v="267.30199154545454"/>
    <n v="-7.4969915454545344"/>
  </r>
  <r>
    <x v="1"/>
    <x v="107"/>
    <x v="5"/>
    <x v="0"/>
    <n v="1951.6436363636365"/>
    <n v="8"/>
    <n v="1951.6436363636365"/>
    <n v="1"/>
    <n v="1951.6436363636365"/>
    <n v="113.682"/>
    <n v="124.571"/>
    <n v="1.0956999999999999"/>
    <n v="2138.4159323636363"/>
    <m/>
    <n v="8"/>
    <s v="Sale"/>
    <x v="0"/>
    <x v="107"/>
    <x v="0"/>
    <n v="2054.38"/>
    <n v="1"/>
    <n v="2054.38"/>
    <n v="102.73636363636365"/>
    <m/>
    <n v="2138.4159323636363"/>
    <n v="-84.035932363636221"/>
  </r>
  <r>
    <x v="1"/>
    <x v="107"/>
    <x v="5"/>
    <x v="0"/>
    <n v="487.91090909090912"/>
    <n v="2"/>
    <n v="487.91090909090912"/>
    <n v="1"/>
    <n v="487.91090909090912"/>
    <n v="113.682"/>
    <n v="124.571"/>
    <n v="1.0956999999999999"/>
    <n v="534.60398309090908"/>
    <m/>
    <n v="2"/>
    <s v="Sale"/>
    <x v="0"/>
    <x v="107"/>
    <x v="0"/>
    <n v="517.17777777777781"/>
    <n v="1"/>
    <n v="517.17777777777781"/>
    <n v="29.26686868686869"/>
    <m/>
    <n v="534.60398309090908"/>
    <n v="-17.426205313131277"/>
  </r>
  <r>
    <x v="1"/>
    <x v="134"/>
    <x v="5"/>
    <x v="0"/>
    <n v="1439.63"/>
    <n v="6"/>
    <n v="1439.63"/>
    <n v="1"/>
    <n v="1439.63"/>
    <n v="115.56100000000001"/>
    <n v="124.571"/>
    <n v="1.0779000000000001"/>
    <n v="1551.7771770000002"/>
    <m/>
    <n v="6"/>
    <s v="Sale"/>
    <x v="0"/>
    <x v="107"/>
    <x v="0"/>
    <n v="1551.5333333333333"/>
    <n v="1"/>
    <n v="1551.5333333333333"/>
    <n v="111.90333333333319"/>
    <m/>
    <n v="1551.7771770000002"/>
    <n v="-0.24384366666686219"/>
  </r>
  <r>
    <x v="1"/>
    <x v="134"/>
    <x v="5"/>
    <x v="0"/>
    <n v="2401.13"/>
    <n v="10"/>
    <n v="2401.13"/>
    <n v="1"/>
    <n v="2401.13"/>
    <n v="115.56100000000001"/>
    <n v="124.571"/>
    <n v="1.0779000000000001"/>
    <n v="2588.1780270000004"/>
    <m/>
    <n v="10"/>
    <s v="Sale"/>
    <x v="0"/>
    <x v="107"/>
    <x v="0"/>
    <n v="2585.8888888888891"/>
    <n v="1"/>
    <n v="2585.8888888888891"/>
    <n v="184.75888888888903"/>
    <m/>
    <n v="2588.1780270000004"/>
    <n v="-2.2891381111112423"/>
  </r>
  <r>
    <x v="1"/>
    <x v="135"/>
    <x v="5"/>
    <x v="0"/>
    <n v="485.78"/>
    <n v="2"/>
    <n v="485.78"/>
    <n v="1"/>
    <n v="485.78"/>
    <n v="115.56100000000001"/>
    <n v="124.571"/>
    <n v="1.0779000000000001"/>
    <n v="523.62226199999998"/>
    <m/>
    <n v="2"/>
    <s v="Sale"/>
    <x v="0"/>
    <x v="107"/>
    <x v="0"/>
    <n v="513.52666666666664"/>
    <n v="1"/>
    <n v="513.52666666666664"/>
    <n v="27.74666666666667"/>
    <m/>
    <n v="523.62226199999998"/>
    <n v="-10.095595333333335"/>
  </r>
  <r>
    <x v="1"/>
    <x v="135"/>
    <x v="5"/>
    <x v="0"/>
    <n v="242.68625"/>
    <n v="1"/>
    <n v="242.68625"/>
    <n v="1"/>
    <n v="242.68625"/>
    <n v="115.56100000000001"/>
    <n v="124.571"/>
    <n v="1.0779000000000001"/>
    <n v="261.59150887500005"/>
    <m/>
    <n v="1"/>
    <s v="Sale"/>
    <x v="0"/>
    <x v="107"/>
    <x v="0"/>
    <n v="256.76333333333332"/>
    <n v="1"/>
    <n v="256.76333333333332"/>
    <n v="14.07708333333332"/>
    <m/>
    <n v="261.59150887500005"/>
    <n v="-4.8281755416667238"/>
  </r>
  <r>
    <x v="1"/>
    <x v="135"/>
    <x v="5"/>
    <x v="0"/>
    <n v="485.3725"/>
    <n v="2"/>
    <n v="485.3725"/>
    <n v="1"/>
    <n v="485.3725"/>
    <n v="115.56100000000001"/>
    <n v="124.571"/>
    <n v="1.0779000000000001"/>
    <n v="523.18301775000009"/>
    <m/>
    <n v="2"/>
    <s v="Sale"/>
    <x v="0"/>
    <x v="107"/>
    <x v="0"/>
    <n v="521.33000000000004"/>
    <n v="1"/>
    <n v="521.33000000000004"/>
    <n v="35.957500000000039"/>
    <m/>
    <n v="523.18301775000009"/>
    <n v="-1.8530177500000491"/>
  </r>
  <r>
    <x v="1"/>
    <x v="135"/>
    <x v="5"/>
    <x v="0"/>
    <n v="1213.4312500000001"/>
    <n v="5"/>
    <n v="1213.4312500000001"/>
    <n v="1"/>
    <n v="1213.4312500000001"/>
    <n v="115.56100000000001"/>
    <n v="124.571"/>
    <n v="1.0779000000000001"/>
    <n v="1307.9575443750002"/>
    <m/>
    <n v="5"/>
    <s v="Sale"/>
    <x v="0"/>
    <x v="108"/>
    <x v="0"/>
    <n v="1299.18"/>
    <n v="1"/>
    <n v="1299.18"/>
    <n v="85.748749999999973"/>
    <m/>
    <n v="1307.9575443750002"/>
    <n v="-8.7775443750001614"/>
  </r>
  <r>
    <x v="1"/>
    <x v="4"/>
    <x v="2"/>
    <x v="0"/>
    <n v="653.64499999999998"/>
    <n v="11"/>
    <n v="653.64499999999998"/>
    <n v="1"/>
    <n v="653.64499999999998"/>
    <n v="117.30800000000001"/>
    <n v="124.571"/>
    <n v="1.0619000000000001"/>
    <n v="694.10562549999997"/>
    <m/>
    <n v="11"/>
    <s v="Sale"/>
    <x v="0"/>
    <x v="108"/>
    <x v="0"/>
    <n v="843.46"/>
    <n v="1"/>
    <n v="843.46"/>
    <n v="189.81500000000005"/>
    <m/>
    <n v="694.10562549999997"/>
    <n v="149.35437450000006"/>
  </r>
  <r>
    <x v="1"/>
    <x v="4"/>
    <x v="2"/>
    <x v="0"/>
    <n v="2733.4245454545453"/>
    <n v="46"/>
    <n v="2733.4245454545453"/>
    <n v="1"/>
    <n v="2733.4245454545453"/>
    <n v="117.30800000000001"/>
    <n v="124.571"/>
    <n v="1.0619000000000001"/>
    <n v="2902.623524818182"/>
    <m/>
    <n v="46"/>
    <s v="Sale"/>
    <x v="0"/>
    <x v="108"/>
    <x v="0"/>
    <n v="3520.5162962962968"/>
    <n v="1"/>
    <n v="3520.5162962962968"/>
    <n v="787.09175084175149"/>
    <m/>
    <n v="2902.623524818182"/>
    <n v="617.89277147811481"/>
  </r>
  <r>
    <x v="1"/>
    <x v="136"/>
    <x v="2"/>
    <x v="0"/>
    <n v="183.54"/>
    <n v="3"/>
    <n v="183.54"/>
    <n v="1"/>
    <n v="183.54"/>
    <n v="117.30800000000001"/>
    <n v="124.571"/>
    <n v="1.0619000000000001"/>
    <n v="194.901126"/>
    <m/>
    <n v="3"/>
    <s v="Sale"/>
    <x v="0"/>
    <x v="108"/>
    <x v="0"/>
    <n v="229.59888888888889"/>
    <n v="1"/>
    <n v="229.59888888888889"/>
    <n v="46.058888888888902"/>
    <m/>
    <n v="194.901126"/>
    <n v="34.697762888888889"/>
  </r>
  <r>
    <x v="1"/>
    <x v="136"/>
    <x v="2"/>
    <x v="0"/>
    <n v="122.51"/>
    <n v="2"/>
    <n v="122.51"/>
    <n v="1"/>
    <n v="122.51"/>
    <n v="117.30800000000001"/>
    <n v="124.571"/>
    <n v="1.0619000000000001"/>
    <n v="130.09336900000002"/>
    <m/>
    <n v="2"/>
    <s v="Sale"/>
    <x v="0"/>
    <x v="108"/>
    <x v="0"/>
    <n v="153.06592592592594"/>
    <n v="1"/>
    <n v="153.06592592592594"/>
    <n v="30.555925925925933"/>
    <m/>
    <n v="130.09336900000002"/>
    <n v="22.972556925925915"/>
  </r>
  <r>
    <x v="1"/>
    <x v="136"/>
    <x v="2"/>
    <x v="0"/>
    <n v="1045.5"/>
    <n v="17"/>
    <n v="1045.5"/>
    <n v="1"/>
    <n v="1045.5"/>
    <n v="117.30800000000001"/>
    <n v="124.571"/>
    <n v="1.0619000000000001"/>
    <n v="1110.2164500000001"/>
    <m/>
    <n v="17"/>
    <s v="Sale"/>
    <x v="0"/>
    <x v="108"/>
    <x v="0"/>
    <n v="1301.0603703703705"/>
    <n v="1"/>
    <n v="1301.0603703703705"/>
    <n v="255.56037037037049"/>
    <m/>
    <n v="1110.2164500000001"/>
    <n v="190.84392037037037"/>
  </r>
  <r>
    <x v="1"/>
    <x v="136"/>
    <x v="2"/>
    <x v="0"/>
    <n v="796.6176076555023"/>
    <n v="13"/>
    <n v="796.6176076555023"/>
    <n v="1"/>
    <n v="796.6176076555023"/>
    <n v="117.30800000000001"/>
    <n v="124.571"/>
    <n v="1.0619000000000001"/>
    <n v="845.92823756937798"/>
    <m/>
    <n v="13"/>
    <s v="Sale"/>
    <x v="0"/>
    <x v="108"/>
    <x v="0"/>
    <n v="994.92851851851856"/>
    <n v="1"/>
    <n v="994.92851851851856"/>
    <n v="198.31091086301626"/>
    <m/>
    <n v="845.92823756937798"/>
    <n v="149.00028094914057"/>
  </r>
  <r>
    <x v="1"/>
    <x v="136"/>
    <x v="2"/>
    <x v="0"/>
    <n v="122.55655502392344"/>
    <n v="2"/>
    <n v="122.55655502392344"/>
    <n v="1"/>
    <n v="122.55655502392344"/>
    <n v="117.30800000000001"/>
    <n v="124.571"/>
    <n v="1.0619000000000001"/>
    <n v="130.14280577990431"/>
    <m/>
    <n v="2"/>
    <s v="Sale"/>
    <x v="0"/>
    <x v="108"/>
    <x v="0"/>
    <n v="153.26"/>
    <n v="1"/>
    <n v="153.26"/>
    <n v="30.703444976076554"/>
    <m/>
    <n v="130.14280577990431"/>
    <n v="23.117194220095683"/>
  </r>
  <r>
    <x v="1"/>
    <x v="27"/>
    <x v="12"/>
    <x v="0"/>
    <n v="200.97648745519714"/>
    <n v="2"/>
    <n v="200.97648745519714"/>
    <n v="1"/>
    <n v="200.97648745519714"/>
    <n v="105.346"/>
    <n v="124.571"/>
    <n v="1.1823999999999999"/>
    <n v="237.6345987670251"/>
    <m/>
    <n v="2"/>
    <s v="Sale"/>
    <x v="0"/>
    <x v="108"/>
    <x v="0"/>
    <n v="399.67"/>
    <n v="1"/>
    <n v="399.67"/>
    <n v="198.69351254480287"/>
    <m/>
    <n v="237.6345987670251"/>
    <n v="162.03540123297492"/>
  </r>
  <r>
    <x v="1"/>
    <x v="27"/>
    <x v="12"/>
    <x v="0"/>
    <n v="502.44121863799285"/>
    <n v="5"/>
    <n v="502.44121863799285"/>
    <n v="1"/>
    <n v="502.44121863799285"/>
    <n v="105.346"/>
    <n v="124.571"/>
    <n v="1.1823999999999999"/>
    <n v="594.08649691756273"/>
    <m/>
    <n v="5"/>
    <s v="Sale"/>
    <x v="0"/>
    <x v="108"/>
    <x v="0"/>
    <n v="997.0823529411764"/>
    <n v="1"/>
    <n v="997.0823529411764"/>
    <n v="494.64113430318355"/>
    <m/>
    <n v="594.08649691756273"/>
    <n v="402.99585602361367"/>
  </r>
  <r>
    <x v="1"/>
    <x v="9"/>
    <x v="12"/>
    <x v="0"/>
    <n v="2785.8156521739129"/>
    <n v="12"/>
    <n v="2785.8156521739129"/>
    <n v="1"/>
    <n v="2785.8156521739129"/>
    <n v="113.018"/>
    <n v="124.571"/>
    <n v="1.1022000000000001"/>
    <n v="3070.5260118260871"/>
    <m/>
    <n v="12"/>
    <s v="Sale"/>
    <x v="0"/>
    <x v="108"/>
    <x v="0"/>
    <n v="2392.9976470588235"/>
    <n v="1"/>
    <n v="2392.9976470588235"/>
    <n v="-392.81800511508936"/>
    <m/>
    <n v="3070.5260118260871"/>
    <n v="-677.52836476726361"/>
  </r>
  <r>
    <x v="1"/>
    <x v="104"/>
    <x v="10"/>
    <x v="0"/>
    <n v="329.19448275862067"/>
    <n v="2"/>
    <n v="329.19448275862067"/>
    <n v="1"/>
    <n v="329.19448275862067"/>
    <n v="115.56100000000001"/>
    <n v="124.571"/>
    <n v="1.0779000000000001"/>
    <n v="354.83873296551724"/>
    <m/>
    <n v="2"/>
    <s v="Sale"/>
    <x v="0"/>
    <x v="109"/>
    <x v="0"/>
    <n v="270.23"/>
    <n v="1"/>
    <n v="270.23"/>
    <n v="-58.964482758620647"/>
    <m/>
    <n v="354.83873296551724"/>
    <n v="-84.60873296551722"/>
  </r>
  <r>
    <x v="1"/>
    <x v="104"/>
    <x v="10"/>
    <x v="0"/>
    <n v="329.19448275862067"/>
    <n v="2"/>
    <n v="329.19448275862067"/>
    <n v="1"/>
    <n v="329.19448275862067"/>
    <n v="115.56100000000001"/>
    <n v="124.571"/>
    <n v="1.0779000000000001"/>
    <n v="354.83873296551724"/>
    <m/>
    <n v="2"/>
    <s v="Sale"/>
    <x v="0"/>
    <x v="109"/>
    <x v="0"/>
    <n v="270.02999999999997"/>
    <n v="1"/>
    <n v="270.02999999999997"/>
    <n v="-59.164482758620693"/>
    <m/>
    <n v="354.83873296551724"/>
    <n v="-84.808732965517265"/>
  </r>
  <r>
    <x v="1"/>
    <x v="104"/>
    <x v="10"/>
    <x v="0"/>
    <n v="329.19448275862067"/>
    <n v="2"/>
    <n v="329.19448275862067"/>
    <n v="1"/>
    <n v="329.19448275862067"/>
    <n v="115.56100000000001"/>
    <n v="124.571"/>
    <n v="1.0779000000000001"/>
    <n v="354.83873296551724"/>
    <m/>
    <n v="2"/>
    <s v="Sale"/>
    <x v="0"/>
    <x v="109"/>
    <x v="0"/>
    <n v="270.55"/>
    <n v="1"/>
    <n v="270.55"/>
    <n v="-58.644482758620654"/>
    <m/>
    <n v="354.83873296551724"/>
    <n v="-84.288732965517227"/>
  </r>
  <r>
    <x v="1"/>
    <x v="104"/>
    <x v="10"/>
    <x v="0"/>
    <n v="2304.3613793103445"/>
    <n v="14"/>
    <n v="2304.3613793103445"/>
    <n v="1"/>
    <n v="2304.3613793103445"/>
    <n v="115.56100000000001"/>
    <n v="124.571"/>
    <n v="1.0779000000000001"/>
    <n v="2483.8711307586204"/>
    <m/>
    <n v="14"/>
    <s v="Sale"/>
    <x v="0"/>
    <x v="110"/>
    <x v="0"/>
    <n v="1892.7431250000002"/>
    <n v="1"/>
    <n v="1892.7431250000002"/>
    <n v="-411.61825431034435"/>
    <m/>
    <n v="2483.8711307586204"/>
    <n v="-591.12800575862025"/>
  </r>
  <r>
    <x v="1"/>
    <x v="137"/>
    <x v="10"/>
    <x v="0"/>
    <n v="661.05"/>
    <n v="4"/>
    <n v="661.05"/>
    <n v="1"/>
    <n v="661.05"/>
    <n v="115.56100000000001"/>
    <n v="124.571"/>
    <n v="1.0779000000000001"/>
    <n v="712.545795"/>
    <m/>
    <n v="4"/>
    <s v="Sale"/>
    <x v="0"/>
    <x v="110"/>
    <x v="0"/>
    <n v="540.78375000000005"/>
    <n v="1"/>
    <n v="540.78375000000005"/>
    <n v="-120.2662499999999"/>
    <m/>
    <n v="712.545795"/>
    <n v="-171.76204499999994"/>
  </r>
  <r>
    <x v="1"/>
    <x v="96"/>
    <x v="10"/>
    <x v="0"/>
    <n v="2441.8939999999998"/>
    <n v="14"/>
    <n v="2441.8939999999998"/>
    <n v="1"/>
    <n v="2441.8939999999998"/>
    <n v="116.884"/>
    <n v="124.571"/>
    <n v="1.0657000000000001"/>
    <n v="2602.3264358000001"/>
    <m/>
    <n v="14"/>
    <s v="Sale"/>
    <x v="0"/>
    <x v="110"/>
    <x v="0"/>
    <n v="1892.7431250000002"/>
    <n v="1"/>
    <n v="1892.7431250000002"/>
    <n v="-549.15087499999959"/>
    <m/>
    <n v="2602.3264358000001"/>
    <n v="-709.58331079999994"/>
  </r>
  <r>
    <x v="1"/>
    <x v="96"/>
    <x v="10"/>
    <x v="0"/>
    <n v="1046.5259999999998"/>
    <n v="6"/>
    <n v="1046.5259999999998"/>
    <n v="1"/>
    <n v="1046.5259999999998"/>
    <n v="116.884"/>
    <n v="124.571"/>
    <n v="1.0657000000000001"/>
    <n v="1115.2827582"/>
    <m/>
    <n v="6"/>
    <s v="Sale"/>
    <x v="0"/>
    <x v="111"/>
    <x v="0"/>
    <n v="786.2045454545455"/>
    <n v="1"/>
    <n v="786.2045454545455"/>
    <n v="-260.32145454545434"/>
    <m/>
    <n v="1115.2827582"/>
    <n v="-329.07821274545449"/>
  </r>
  <r>
    <x v="1"/>
    <x v="96"/>
    <x v="10"/>
    <x v="0"/>
    <n v="697.9"/>
    <n v="4"/>
    <n v="697.9"/>
    <n v="1"/>
    <n v="697.9"/>
    <n v="116.884"/>
    <n v="124.571"/>
    <n v="1.0657000000000001"/>
    <n v="743.75202999999999"/>
    <m/>
    <n v="4"/>
    <s v="Sale"/>
    <x v="0"/>
    <x v="111"/>
    <x v="0"/>
    <n v="524.13636363636363"/>
    <n v="1"/>
    <n v="524.13636363636363"/>
    <n v="-173.76363636363635"/>
    <m/>
    <n v="743.75202999999999"/>
    <n v="-219.61566636363636"/>
  </r>
  <r>
    <x v="1"/>
    <x v="96"/>
    <x v="10"/>
    <x v="0"/>
    <n v="697.03"/>
    <n v="4"/>
    <n v="697.03"/>
    <n v="1"/>
    <n v="697.03"/>
    <n v="116.884"/>
    <n v="124.571"/>
    <n v="1.0657000000000001"/>
    <n v="742.82487100000003"/>
    <m/>
    <n v="4"/>
    <s v="Sale"/>
    <x v="0"/>
    <x v="111"/>
    <x v="0"/>
    <n v="524.13636363636363"/>
    <n v="1"/>
    <n v="524.13636363636363"/>
    <n v="-172.89363636363635"/>
    <m/>
    <n v="742.82487100000003"/>
    <n v="-218.6885073636364"/>
  </r>
  <r>
    <x v="1"/>
    <x v="101"/>
    <x v="10"/>
    <x v="0"/>
    <n v="167.5"/>
    <n v="1"/>
    <n v="167.5"/>
    <n v="1"/>
    <n v="167.5"/>
    <n v="117.30800000000001"/>
    <n v="124.571"/>
    <n v="1.0619000000000001"/>
    <n v="177.86825000000002"/>
    <m/>
    <n v="1"/>
    <s v="Sale"/>
    <x v="0"/>
    <x v="111"/>
    <x v="0"/>
    <n v="131.03409090909091"/>
    <n v="1"/>
    <n v="131.03409090909091"/>
    <n v="-36.465909090909093"/>
    <m/>
    <n v="177.86825000000002"/>
    <n v="-46.834159090909111"/>
  </r>
  <r>
    <x v="1"/>
    <x v="101"/>
    <x v="10"/>
    <x v="0"/>
    <n v="1188.1744736842106"/>
    <n v="7"/>
    <n v="1188.1744736842106"/>
    <n v="1"/>
    <n v="1188.1744736842106"/>
    <n v="117.30800000000001"/>
    <n v="124.571"/>
    <n v="1.0619000000000001"/>
    <n v="1261.7224736052633"/>
    <m/>
    <n v="7"/>
    <s v="Sale"/>
    <x v="0"/>
    <x v="111"/>
    <x v="0"/>
    <n v="917.23863636363637"/>
    <n v="1"/>
    <n v="917.23863636363637"/>
    <n v="-270.93583732057425"/>
    <m/>
    <n v="1261.7224736052633"/>
    <n v="-344.48383724162693"/>
  </r>
  <r>
    <x v="1"/>
    <x v="101"/>
    <x v="10"/>
    <x v="0"/>
    <n v="2376.3489473684212"/>
    <n v="14"/>
    <n v="2376.3489473684212"/>
    <n v="1"/>
    <n v="2376.3489473684212"/>
    <n v="117.30800000000001"/>
    <n v="124.571"/>
    <n v="1.0619000000000001"/>
    <n v="2523.4449472105266"/>
    <m/>
    <n v="14"/>
    <s v="Sale"/>
    <x v="0"/>
    <x v="111"/>
    <x v="0"/>
    <n v="1853.18"/>
    <n v="1"/>
    <n v="1853.18"/>
    <n v="-523.16894736842119"/>
    <m/>
    <n v="2523.4449472105266"/>
    <n v="-670.26494721052654"/>
  </r>
  <r>
    <x v="1"/>
    <x v="42"/>
    <x v="22"/>
    <x v="0"/>
    <n v="1884.1607999999999"/>
    <n v="9"/>
    <n v="1884.1607999999999"/>
    <n v="1"/>
    <n v="1884.1607999999999"/>
    <n v="118.98099999999999"/>
    <n v="124.571"/>
    <n v="1.0468999999999999"/>
    <n v="1972.5279415199998"/>
    <m/>
    <n v="9"/>
    <s v="Sale"/>
    <x v="0"/>
    <x v="109"/>
    <x v="0"/>
    <n v="1391.58"/>
    <n v="1"/>
    <n v="1391.58"/>
    <n v="-492.58079999999995"/>
    <m/>
    <n v="1972.5279415199998"/>
    <n v="-580.94794151999986"/>
  </r>
  <r>
    <x v="1"/>
    <x v="42"/>
    <x v="22"/>
    <x v="0"/>
    <n v="1046.7559999999999"/>
    <n v="5"/>
    <n v="1046.7559999999999"/>
    <n v="1"/>
    <n v="1046.7559999999999"/>
    <n v="118.98099999999999"/>
    <n v="124.571"/>
    <n v="1.0468999999999999"/>
    <n v="1095.8488563999997"/>
    <m/>
    <n v="5"/>
    <s v="Sale"/>
    <x v="0"/>
    <x v="109"/>
    <x v="0"/>
    <n v="777.00749999999994"/>
    <n v="1"/>
    <n v="777.00749999999994"/>
    <n v="-269.74849999999992"/>
    <m/>
    <n v="1095.8488563999997"/>
    <n v="-318.84135639999977"/>
  </r>
  <r>
    <x v="1"/>
    <x v="42"/>
    <x v="22"/>
    <x v="0"/>
    <n v="3104.5214285714283"/>
    <n v="15"/>
    <n v="3104.5214285714283"/>
    <n v="1"/>
    <n v="3104.5214285714283"/>
    <n v="118.98099999999999"/>
    <n v="124.571"/>
    <n v="1.0468999999999999"/>
    <n v="3250.1234835714281"/>
    <m/>
    <n v="15"/>
    <s v="Sale"/>
    <x v="0"/>
    <x v="109"/>
    <x v="0"/>
    <n v="2331.0225"/>
    <n v="1"/>
    <n v="2331.0225"/>
    <n v="-773.49892857142822"/>
    <m/>
    <n v="3250.1234835714281"/>
    <n v="-919.10098357142806"/>
  </r>
  <r>
    <x v="1"/>
    <x v="42"/>
    <x v="22"/>
    <x v="0"/>
    <n v="1034.8404761904762"/>
    <n v="5"/>
    <n v="1034.8404761904762"/>
    <n v="1"/>
    <n v="1034.8404761904762"/>
    <n v="118.98099999999999"/>
    <n v="124.571"/>
    <n v="1.0468999999999999"/>
    <n v="1083.3744945238095"/>
    <m/>
    <n v="5"/>
    <s v="Sale"/>
    <x v="0"/>
    <x v="110"/>
    <x v="0"/>
    <n v="773.42"/>
    <n v="1"/>
    <n v="773.42"/>
    <n v="-261.42047619047628"/>
    <m/>
    <n v="1083.3744945238095"/>
    <n v="-309.95449452380956"/>
  </r>
  <r>
    <x v="1"/>
    <x v="42"/>
    <x v="22"/>
    <x v="0"/>
    <n v="206.96809523809523"/>
    <n v="1"/>
    <n v="206.96809523809523"/>
    <n v="1"/>
    <n v="206.96809523809523"/>
    <n v="118.98099999999999"/>
    <n v="124.571"/>
    <n v="1.0468999999999999"/>
    <n v="216.67489890476187"/>
    <m/>
    <n v="1"/>
    <s v="Sale"/>
    <x v="0"/>
    <x v="110"/>
    <x v="0"/>
    <n v="155.33666666666667"/>
    <n v="1"/>
    <n v="155.33666666666667"/>
    <n v="-51.631428571428557"/>
    <m/>
    <n v="216.67489890476187"/>
    <n v="-61.338232238095202"/>
  </r>
  <r>
    <x v="1"/>
    <x v="138"/>
    <x v="22"/>
    <x v="0"/>
    <n v="417.38"/>
    <n v="2"/>
    <n v="417.38"/>
    <n v="1"/>
    <n v="417.38"/>
    <n v="118.98099999999999"/>
    <n v="124.571"/>
    <n v="1.0468999999999999"/>
    <n v="436.95512199999996"/>
    <m/>
    <n v="2"/>
    <s v="Sale"/>
    <x v="0"/>
    <x v="110"/>
    <x v="0"/>
    <n v="310.67333333333335"/>
    <n v="1"/>
    <n v="310.67333333333335"/>
    <n v="-106.70666666666665"/>
    <m/>
    <n v="436.95512199999996"/>
    <n v="-126.28178866666661"/>
  </r>
  <r>
    <x v="1"/>
    <x v="139"/>
    <x v="22"/>
    <x v="0"/>
    <n v="795.26"/>
    <n v="4"/>
    <n v="795.26"/>
    <n v="1"/>
    <n v="795.26"/>
    <n v="118.98099999999999"/>
    <n v="124.571"/>
    <n v="1.0468999999999999"/>
    <n v="832.55769399999997"/>
    <m/>
    <n v="4"/>
    <s v="Sale"/>
    <x v="0"/>
    <x v="111"/>
    <x v="0"/>
    <n v="613.98666666666668"/>
    <n v="1"/>
    <n v="613.98666666666668"/>
    <n v="-181.27333333333331"/>
    <m/>
    <n v="832.55769399999997"/>
    <n v="-218.57102733333329"/>
  </r>
  <r>
    <x v="1"/>
    <x v="139"/>
    <x v="22"/>
    <x v="0"/>
    <n v="399.34"/>
    <n v="2"/>
    <n v="399.34"/>
    <n v="1"/>
    <n v="399.34"/>
    <n v="118.98099999999999"/>
    <n v="124.571"/>
    <n v="1.0468999999999999"/>
    <n v="418.06904599999996"/>
    <m/>
    <n v="2"/>
    <s v="Sale"/>
    <x v="0"/>
    <x v="111"/>
    <x v="0"/>
    <n v="306.99333333333334"/>
    <n v="1"/>
    <n v="306.99333333333334"/>
    <n v="-92.346666666666636"/>
    <m/>
    <n v="418.06904599999996"/>
    <n v="-111.07571266666662"/>
  </r>
  <r>
    <x v="1"/>
    <x v="139"/>
    <x v="22"/>
    <x v="0"/>
    <n v="399.34"/>
    <n v="2"/>
    <n v="399.34"/>
    <n v="1"/>
    <n v="399.34"/>
    <n v="118.98099999999999"/>
    <n v="124.571"/>
    <n v="1.0468999999999999"/>
    <n v="418.06904599999996"/>
    <m/>
    <n v="2"/>
    <s v="Sale"/>
    <x v="0"/>
    <x v="111"/>
    <x v="0"/>
    <n v="306.25473684210527"/>
    <n v="1"/>
    <n v="306.25473684210527"/>
    <n v="-93.085263157894701"/>
    <m/>
    <n v="418.06904599999996"/>
    <n v="-111.81430915789468"/>
  </r>
  <r>
    <x v="1"/>
    <x v="139"/>
    <x v="22"/>
    <x v="0"/>
    <n v="3364.8640909090905"/>
    <n v="17"/>
    <n v="3364.8640909090905"/>
    <n v="1"/>
    <n v="3364.8640909090905"/>
    <n v="118.98099999999999"/>
    <n v="124.571"/>
    <n v="1.0468999999999999"/>
    <n v="3522.6762167727265"/>
    <m/>
    <n v="17"/>
    <s v="Sale"/>
    <x v="0"/>
    <x v="111"/>
    <x v="0"/>
    <n v="2603.165263157895"/>
    <n v="1"/>
    <n v="2603.165263157895"/>
    <n v="-761.69882775119549"/>
    <m/>
    <n v="3522.6762167727265"/>
    <n v="-919.51095361483158"/>
  </r>
  <r>
    <x v="1"/>
    <x v="139"/>
    <x v="22"/>
    <x v="0"/>
    <n v="1979.3318181818179"/>
    <n v="10"/>
    <n v="1979.3318181818179"/>
    <n v="1"/>
    <n v="1979.3318181818179"/>
    <n v="118.98099999999999"/>
    <n v="124.571"/>
    <n v="1.0468999999999999"/>
    <n v="2072.1624804545449"/>
    <m/>
    <n v="10"/>
    <s v="Sale"/>
    <x v="0"/>
    <x v="111"/>
    <x v="0"/>
    <n v="1524.53"/>
    <n v="1"/>
    <n v="1524.53"/>
    <n v="-454.80181818181791"/>
    <m/>
    <n v="2072.1624804545449"/>
    <n v="-547.63248045454498"/>
  </r>
  <r>
    <x v="1"/>
    <x v="105"/>
    <x v="6"/>
    <x v="0"/>
    <n v="5151.8115384615376"/>
    <n v="7"/>
    <n v="5151.8115384615376"/>
    <n v="1"/>
    <n v="5151.8115384615376"/>
    <n v="120.15900000000001"/>
    <n v="124.571"/>
    <n v="1.0367"/>
    <n v="5340.8830219230758"/>
    <m/>
    <n v="7"/>
    <s v="Sale"/>
    <x v="0"/>
    <x v="112"/>
    <x v="0"/>
    <n v="4010.8094444444441"/>
    <n v="1"/>
    <n v="4010.8094444444441"/>
    <n v="-1141.0020940170934"/>
    <m/>
    <n v="5340.8830219230758"/>
    <n v="-1330.0735774786317"/>
  </r>
  <r>
    <x v="1"/>
    <x v="121"/>
    <x v="6"/>
    <x v="0"/>
    <n v="7395.16"/>
    <n v="10"/>
    <n v="7395.16"/>
    <n v="1"/>
    <n v="7395.16"/>
    <n v="120.15900000000001"/>
    <n v="124.571"/>
    <n v="1.0367"/>
    <n v="7666.5623719999994"/>
    <m/>
    <n v="10"/>
    <s v="Sale"/>
    <x v="0"/>
    <x v="112"/>
    <x v="0"/>
    <n v="5729.7277777777781"/>
    <n v="1"/>
    <n v="5729.7277777777781"/>
    <n v="-1665.4322222222218"/>
    <m/>
    <n v="7666.5623719999994"/>
    <n v="-1936.8345942222213"/>
  </r>
  <r>
    <x v="1"/>
    <x v="140"/>
    <x v="6"/>
    <x v="0"/>
    <n v="699.44999999999993"/>
    <n v="1"/>
    <n v="699.44999999999993"/>
    <n v="1"/>
    <n v="699.44999999999993"/>
    <n v="120.809"/>
    <n v="124.571"/>
    <n v="1.0310999999999999"/>
    <n v="721.2028949999999"/>
    <m/>
    <n v="1"/>
    <s v="Sale"/>
    <x v="0"/>
    <x v="112"/>
    <x v="0"/>
    <n v="572.97277777777776"/>
    <n v="1"/>
    <n v="572.97277777777776"/>
    <n v="-126.47722222222217"/>
    <m/>
    <n v="721.2028949999999"/>
    <n v="-148.23011722222213"/>
  </r>
  <r>
    <x v="1"/>
    <x v="9"/>
    <x v="17"/>
    <x v="0"/>
    <n v="7347.8968421052641"/>
    <n v="20"/>
    <n v="7347.8968421052641"/>
    <n v="1"/>
    <n v="7347.8968421052641"/>
    <n v="113.018"/>
    <n v="124.571"/>
    <n v="1.1022000000000001"/>
    <n v="8098.8518993684229"/>
    <m/>
    <n v="20"/>
    <s v="Sale"/>
    <x v="0"/>
    <x v="112"/>
    <x v="0"/>
    <n v="5761.78"/>
    <n v="1"/>
    <n v="5761.78"/>
    <n v="-1586.1168421052644"/>
    <m/>
    <n v="8098.8518993684229"/>
    <n v="-2337.0718993684231"/>
  </r>
  <r>
    <x v="1"/>
    <x v="101"/>
    <x v="10"/>
    <x v="0"/>
    <n v="678.95684210526315"/>
    <n v="4"/>
    <n v="678.95684210526315"/>
    <n v="1"/>
    <n v="678.95684210526315"/>
    <n v="117.30800000000001"/>
    <n v="125.276"/>
    <n v="1.0679000000000001"/>
    <n v="725.05801168421056"/>
    <m/>
    <n v="4"/>
    <s v="Sale"/>
    <x v="0"/>
    <x v="113"/>
    <x v="0"/>
    <n v="541.75"/>
    <n v="1"/>
    <n v="541.75"/>
    <n v="-137.20684210526315"/>
    <m/>
    <n v="725.05801168421056"/>
    <n v="-183.30801168421056"/>
  </r>
  <r>
    <x v="1"/>
    <x v="101"/>
    <x v="10"/>
    <x v="0"/>
    <n v="339.47842105263157"/>
    <n v="2"/>
    <n v="339.47842105263157"/>
    <n v="1"/>
    <n v="339.47842105263157"/>
    <n v="117.30800000000001"/>
    <n v="125.276"/>
    <n v="1.0679000000000001"/>
    <n v="362.52900584210528"/>
    <m/>
    <n v="2"/>
    <s v="Sale"/>
    <x v="0"/>
    <x v="113"/>
    <x v="0"/>
    <n v="271.55"/>
    <n v="1"/>
    <n v="271.55"/>
    <n v="-67.928421052631563"/>
    <m/>
    <n v="362.52900584210528"/>
    <n v="-90.979005842105266"/>
  </r>
  <r>
    <x v="1"/>
    <x v="101"/>
    <x v="10"/>
    <x v="0"/>
    <n v="1867.1313157894738"/>
    <n v="11"/>
    <n v="1867.1313157894738"/>
    <n v="1"/>
    <n v="1867.1313157894738"/>
    <n v="117.30800000000001"/>
    <n v="125.276"/>
    <n v="1.0679000000000001"/>
    <n v="1993.9095321315792"/>
    <m/>
    <n v="11"/>
    <s v="Sale"/>
    <x v="0"/>
    <x v="113"/>
    <x v="0"/>
    <n v="1493.4002439024391"/>
    <n v="1"/>
    <n v="1493.4002439024391"/>
    <n v="-373.73107188703466"/>
    <m/>
    <n v="1993.9095321315792"/>
    <n v="-500.50928822914011"/>
  </r>
  <r>
    <x v="1"/>
    <x v="101"/>
    <x v="10"/>
    <x v="0"/>
    <n v="1358.72"/>
    <n v="8"/>
    <n v="1358.72"/>
    <n v="1"/>
    <n v="1358.72"/>
    <n v="117.30800000000001"/>
    <n v="125.276"/>
    <n v="1.0679000000000001"/>
    <n v="1450.9770880000001"/>
    <m/>
    <n v="8"/>
    <s v="Sale"/>
    <x v="0"/>
    <x v="113"/>
    <x v="0"/>
    <n v="1086.1092682926831"/>
    <n v="1"/>
    <n v="1086.1092682926831"/>
    <n v="-272.61073170731697"/>
    <m/>
    <n v="1450.9770880000001"/>
    <n v="-364.86781970731704"/>
  </r>
  <r>
    <x v="1"/>
    <x v="141"/>
    <x v="10"/>
    <x v="0"/>
    <n v="1562.08"/>
    <n v="9"/>
    <n v="1562.08"/>
    <n v="1"/>
    <n v="1562.08"/>
    <n v="117.30800000000001"/>
    <n v="125.276"/>
    <n v="1.0679000000000001"/>
    <n v="1668.1452320000001"/>
    <m/>
    <n v="9"/>
    <s v="Sale"/>
    <x v="0"/>
    <x v="113"/>
    <x v="0"/>
    <n v="1221.8729268292684"/>
    <n v="1"/>
    <n v="1221.8729268292684"/>
    <n v="-340.20707317073152"/>
    <m/>
    <n v="1668.1452320000001"/>
    <n v="-446.27230517073167"/>
  </r>
  <r>
    <x v="1"/>
    <x v="114"/>
    <x v="10"/>
    <x v="0"/>
    <n v="329.84"/>
    <n v="2"/>
    <n v="329.84"/>
    <n v="1"/>
    <n v="329.84"/>
    <n v="117.30800000000001"/>
    <n v="125.276"/>
    <n v="1.0679000000000001"/>
    <n v="352.23613599999999"/>
    <m/>
    <n v="2"/>
    <s v="Sale"/>
    <x v="0"/>
    <x v="113"/>
    <x v="0"/>
    <n v="271.52731707317076"/>
    <n v="1"/>
    <n v="271.52731707317076"/>
    <n v="-58.312682926829211"/>
    <m/>
    <n v="352.23613599999999"/>
    <n v="-80.708818926829224"/>
  </r>
  <r>
    <x v="1"/>
    <x v="142"/>
    <x v="10"/>
    <x v="0"/>
    <n v="1835.1943396226413"/>
    <n v="11"/>
    <n v="1835.1943396226413"/>
    <n v="1"/>
    <n v="1835.1943396226413"/>
    <n v="117.30800000000001"/>
    <n v="125.276"/>
    <n v="1.0679000000000001"/>
    <n v="1959.8040352830187"/>
    <m/>
    <n v="11"/>
    <s v="Sale"/>
    <x v="0"/>
    <x v="113"/>
    <x v="0"/>
    <n v="1493.4002439024391"/>
    <n v="1"/>
    <n v="1493.4002439024391"/>
    <n v="-341.79409572020222"/>
    <m/>
    <n v="1959.8040352830187"/>
    <n v="-466.40379138057961"/>
  </r>
  <r>
    <x v="1"/>
    <x v="142"/>
    <x v="10"/>
    <x v="0"/>
    <n v="500.50754716981129"/>
    <n v="3"/>
    <n v="500.50754716981129"/>
    <n v="1"/>
    <n v="500.50754716981129"/>
    <n v="117.30800000000001"/>
    <n v="125.276"/>
    <n v="1.0679000000000001"/>
    <n v="534.49200962264149"/>
    <m/>
    <n v="3"/>
    <s v="Sale"/>
    <x v="0"/>
    <x v="113"/>
    <x v="0"/>
    <n v="407.37"/>
    <n v="1"/>
    <n v="407.37"/>
    <n v="-93.137547169811285"/>
    <m/>
    <n v="534.49200962264149"/>
    <n v="-127.12200962264149"/>
  </r>
  <r>
    <x v="1"/>
    <x v="142"/>
    <x v="10"/>
    <x v="0"/>
    <n v="333.67169811320753"/>
    <n v="2"/>
    <n v="333.67169811320753"/>
    <n v="1"/>
    <n v="333.67169811320753"/>
    <n v="117.30800000000001"/>
    <n v="125.276"/>
    <n v="1.0679000000000001"/>
    <n v="356.32800641509436"/>
    <m/>
    <n v="2"/>
    <s v="Sale"/>
    <x v="0"/>
    <x v="114"/>
    <x v="0"/>
    <n v="266.76"/>
    <n v="1"/>
    <n v="266.76"/>
    <n v="-66.911698113207535"/>
    <m/>
    <n v="356.32800641509436"/>
    <n v="-89.568006415094374"/>
  </r>
  <r>
    <x v="1"/>
    <x v="142"/>
    <x v="10"/>
    <x v="0"/>
    <n v="333.67169811320753"/>
    <n v="2"/>
    <n v="333.67169811320753"/>
    <n v="1"/>
    <n v="333.67169811320753"/>
    <n v="117.30800000000001"/>
    <n v="125.276"/>
    <n v="1.0679000000000001"/>
    <n v="356.32800641509436"/>
    <m/>
    <n v="2"/>
    <s v="Sale"/>
    <x v="0"/>
    <x v="115"/>
    <x v="0"/>
    <n v="278.85000000000002"/>
    <n v="1"/>
    <n v="278.85000000000002"/>
    <n v="-54.821698113207503"/>
    <m/>
    <n v="356.32800641509436"/>
    <n v="-77.478006415094342"/>
  </r>
  <r>
    <x v="1"/>
    <x v="142"/>
    <x v="10"/>
    <x v="0"/>
    <n v="500.50754716981129"/>
    <n v="3"/>
    <n v="500.50754716981129"/>
    <n v="1"/>
    <n v="500.50754716981129"/>
    <n v="117.30800000000001"/>
    <n v="125.276"/>
    <n v="1.0679000000000001"/>
    <n v="534.49200962264149"/>
    <m/>
    <n v="3"/>
    <s v="Sale"/>
    <x v="0"/>
    <x v="115"/>
    <x v="0"/>
    <n v="418.37"/>
    <n v="1"/>
    <n v="418.37"/>
    <n v="-82.137547169811285"/>
    <m/>
    <n v="534.49200962264149"/>
    <n v="-116.12200962264149"/>
  </r>
  <r>
    <x v="1"/>
    <x v="142"/>
    <x v="10"/>
    <x v="0"/>
    <n v="1167.8509433962263"/>
    <n v="7"/>
    <n v="1167.8509433962263"/>
    <n v="1"/>
    <n v="1167.8509433962263"/>
    <n v="117.30800000000001"/>
    <n v="125.276"/>
    <n v="1.0679000000000001"/>
    <n v="1247.1480224528302"/>
    <m/>
    <n v="7"/>
    <s v="Sale"/>
    <x v="0"/>
    <x v="115"/>
    <x v="0"/>
    <n v="977.06"/>
    <n v="1"/>
    <n v="977.06"/>
    <n v="-190.79094339622634"/>
    <m/>
    <n v="1247.1480224528302"/>
    <n v="-270.08802245283027"/>
  </r>
  <r>
    <x v="1"/>
    <x v="142"/>
    <x v="10"/>
    <x v="0"/>
    <n v="333.67169811320753"/>
    <n v="2"/>
    <n v="333.67169811320753"/>
    <n v="1"/>
    <n v="333.67169811320753"/>
    <n v="117.30800000000001"/>
    <n v="125.276"/>
    <n v="1.0679000000000001"/>
    <n v="356.32800641509436"/>
    <m/>
    <n v="2"/>
    <s v="Sale"/>
    <x v="0"/>
    <x v="115"/>
    <x v="0"/>
    <n v="279.56"/>
    <n v="1"/>
    <n v="279.56"/>
    <n v="-54.111698113207524"/>
    <m/>
    <n v="356.32800641509436"/>
    <n v="-76.768006415094362"/>
  </r>
  <r>
    <x v="1"/>
    <x v="142"/>
    <x v="10"/>
    <x v="0"/>
    <n v="1001.0150943396226"/>
    <n v="6"/>
    <n v="1001.0150943396226"/>
    <n v="1"/>
    <n v="1001.0150943396226"/>
    <n v="117.30800000000001"/>
    <n v="125.276"/>
    <n v="1.0679000000000001"/>
    <n v="1068.984019245283"/>
    <m/>
    <n v="6"/>
    <s v="Sale"/>
    <x v="0"/>
    <x v="115"/>
    <x v="0"/>
    <n v="843.76"/>
    <n v="1"/>
    <n v="843.76"/>
    <n v="-157.25509433962259"/>
    <m/>
    <n v="1068.984019245283"/>
    <n v="-225.22401924528299"/>
  </r>
  <r>
    <x v="1"/>
    <x v="142"/>
    <x v="10"/>
    <x v="0"/>
    <n v="1001.0150943396226"/>
    <n v="6"/>
    <n v="1001.0150943396226"/>
    <n v="1"/>
    <n v="1001.0150943396226"/>
    <n v="117.30800000000001"/>
    <n v="125.276"/>
    <n v="1.0679000000000001"/>
    <n v="1068.984019245283"/>
    <m/>
    <n v="6"/>
    <s v="Sale"/>
    <x v="0"/>
    <x v="115"/>
    <x v="0"/>
    <n v="843.65999999999985"/>
    <n v="1"/>
    <n v="843.65999999999985"/>
    <n v="-157.35509433962272"/>
    <m/>
    <n v="1068.984019245283"/>
    <n v="-225.32401924528313"/>
  </r>
  <r>
    <x v="1"/>
    <x v="142"/>
    <x v="10"/>
    <x v="0"/>
    <n v="1835.1943396226413"/>
    <n v="11"/>
    <n v="1835.1943396226413"/>
    <n v="1"/>
    <n v="1835.1943396226413"/>
    <n v="117.30800000000001"/>
    <n v="125.276"/>
    <n v="1.0679000000000001"/>
    <n v="1959.8040352830187"/>
    <m/>
    <n v="11"/>
    <s v="Sale"/>
    <x v="0"/>
    <x v="115"/>
    <x v="0"/>
    <n v="1544.5191666666667"/>
    <n v="1"/>
    <n v="1544.5191666666667"/>
    <n v="-290.67517295597463"/>
    <m/>
    <n v="1959.8040352830187"/>
    <n v="-415.28486861635201"/>
  </r>
  <r>
    <x v="1"/>
    <x v="102"/>
    <x v="10"/>
    <x v="0"/>
    <n v="506.56999999999994"/>
    <n v="3"/>
    <n v="506.56999999999994"/>
    <n v="1"/>
    <n v="506.56999999999994"/>
    <n v="118.002"/>
    <n v="125.276"/>
    <n v="1.0616000000000001"/>
    <n v="537.77471200000002"/>
    <m/>
    <n v="3"/>
    <s v="Sale"/>
    <x v="0"/>
    <x v="115"/>
    <x v="0"/>
    <n v="421.23249999999996"/>
    <n v="1"/>
    <n v="421.23249999999996"/>
    <n v="-85.337499999999977"/>
    <m/>
    <n v="537.77471200000002"/>
    <n v="-116.54221200000006"/>
  </r>
  <r>
    <x v="1"/>
    <x v="102"/>
    <x v="10"/>
    <x v="0"/>
    <n v="1367.44"/>
    <n v="8"/>
    <n v="1367.44"/>
    <n v="1"/>
    <n v="1367.44"/>
    <n v="118.002"/>
    <n v="125.276"/>
    <n v="1.0616000000000001"/>
    <n v="1451.6743040000001"/>
    <m/>
    <n v="8"/>
    <s v="Sale"/>
    <x v="0"/>
    <x v="115"/>
    <x v="0"/>
    <n v="1123.2866666666666"/>
    <n v="1"/>
    <n v="1123.2866666666666"/>
    <n v="-244.15333333333342"/>
    <m/>
    <n v="1451.6743040000001"/>
    <n v="-328.38763733333349"/>
  </r>
  <r>
    <x v="1"/>
    <x v="102"/>
    <x v="10"/>
    <x v="0"/>
    <n v="339.61422222222222"/>
    <n v="2"/>
    <n v="339.61422222222222"/>
    <n v="1"/>
    <n v="339.61422222222222"/>
    <n v="118.002"/>
    <n v="125.276"/>
    <n v="1.0616000000000001"/>
    <n v="360.53445831111117"/>
    <m/>
    <n v="2"/>
    <s v="Sale"/>
    <x v="0"/>
    <x v="115"/>
    <x v="0"/>
    <n v="280.82166666666666"/>
    <n v="1"/>
    <n v="280.82166666666666"/>
    <n v="-58.792555555555566"/>
    <m/>
    <n v="360.53445831111117"/>
    <n v="-79.712791644444508"/>
  </r>
  <r>
    <x v="1"/>
    <x v="102"/>
    <x v="10"/>
    <x v="0"/>
    <n v="509.42133333333334"/>
    <n v="3"/>
    <n v="509.42133333333334"/>
    <n v="1"/>
    <n v="509.42133333333334"/>
    <n v="118.002"/>
    <n v="125.276"/>
    <n v="1.0616000000000001"/>
    <n v="540.80168746666675"/>
    <m/>
    <n v="3"/>
    <s v="Sale"/>
    <x v="0"/>
    <x v="116"/>
    <x v="0"/>
    <n v="419.07"/>
    <n v="1"/>
    <n v="419.07"/>
    <n v="-90.351333333333343"/>
    <m/>
    <n v="540.80168746666675"/>
    <n v="-121.73168746666676"/>
  </r>
  <r>
    <x v="1"/>
    <x v="102"/>
    <x v="10"/>
    <x v="0"/>
    <n v="1528.2640000000001"/>
    <n v="9"/>
    <n v="1528.2640000000001"/>
    <n v="1"/>
    <n v="1528.2640000000001"/>
    <n v="118.002"/>
    <n v="125.276"/>
    <n v="1.0616000000000001"/>
    <n v="1622.4050624000004"/>
    <m/>
    <n v="9"/>
    <s v="Sale"/>
    <x v="0"/>
    <x v="117"/>
    <x v="0"/>
    <n v="1283.8900000000001"/>
    <n v="1"/>
    <n v="1283.8900000000001"/>
    <n v="-244.37400000000002"/>
    <m/>
    <n v="1622.4050624000004"/>
    <n v="-338.51506240000026"/>
  </r>
  <r>
    <x v="1"/>
    <x v="102"/>
    <x v="10"/>
    <x v="0"/>
    <n v="5264.0204444444444"/>
    <n v="31"/>
    <n v="5264.0204444444444"/>
    <n v="1"/>
    <n v="5264.0204444444444"/>
    <n v="118.002"/>
    <n v="125.276"/>
    <n v="1.0616000000000001"/>
    <n v="5588.2841038222223"/>
    <m/>
    <n v="31"/>
    <s v="Sale"/>
    <x v="0"/>
    <x v="117"/>
    <x v="0"/>
    <n v="4482.7596969696979"/>
    <n v="1"/>
    <n v="4482.7596969696979"/>
    <n v="-781.26074747474649"/>
    <m/>
    <n v="5588.2841038222223"/>
    <n v="-1105.5244068525244"/>
  </r>
  <r>
    <x v="1"/>
    <x v="143"/>
    <x v="10"/>
    <x v="0"/>
    <n v="295.85846153846154"/>
    <n v="2"/>
    <n v="295.85846153846154"/>
    <n v="1"/>
    <n v="295.85846153846154"/>
    <n v="118.98099999999999"/>
    <n v="125.276"/>
    <n v="1.0528999999999999"/>
    <n v="311.50937415384612"/>
    <m/>
    <n v="2"/>
    <s v="Sale"/>
    <x v="0"/>
    <x v="117"/>
    <x v="0"/>
    <n v="289.21030303030307"/>
    <n v="1"/>
    <n v="289.21030303030307"/>
    <n v="-6.648158508158474"/>
    <m/>
    <n v="311.50937415384612"/>
    <n v="-22.299071123543058"/>
  </r>
  <r>
    <x v="1"/>
    <x v="143"/>
    <x v="10"/>
    <x v="0"/>
    <n v="591.71692307692308"/>
    <n v="4"/>
    <n v="591.71692307692308"/>
    <n v="1"/>
    <n v="591.71692307692308"/>
    <n v="118.98099999999999"/>
    <n v="125.276"/>
    <n v="1.0528999999999999"/>
    <n v="623.01874830769225"/>
    <m/>
    <n v="4"/>
    <s v="Sale"/>
    <x v="0"/>
    <x v="117"/>
    <x v="0"/>
    <n v="572.51"/>
    <n v="1"/>
    <n v="572.51"/>
    <n v="-19.20692307692309"/>
    <m/>
    <n v="623.01874830769225"/>
    <n v="-50.508748307692258"/>
  </r>
  <r>
    <x v="1"/>
    <x v="139"/>
    <x v="22"/>
    <x v="0"/>
    <n v="784.28"/>
    <n v="4"/>
    <n v="784.28"/>
    <n v="1"/>
    <n v="784.28"/>
    <n v="118.98099999999999"/>
    <n v="125.276"/>
    <n v="1.0528999999999999"/>
    <n v="825.7684119999999"/>
    <m/>
    <n v="4"/>
    <s v="Sale"/>
    <x v="0"/>
    <x v="113"/>
    <x v="0"/>
    <n v="567.98"/>
    <n v="1"/>
    <n v="567.98"/>
    <n v="-216.29999999999995"/>
    <m/>
    <n v="825.7684119999999"/>
    <n v="-257.78841199999988"/>
  </r>
  <r>
    <x v="1"/>
    <x v="139"/>
    <x v="22"/>
    <x v="0"/>
    <n v="2548.91"/>
    <n v="13"/>
    <n v="2548.91"/>
    <n v="1"/>
    <n v="2548.91"/>
    <n v="118.98099999999999"/>
    <n v="125.276"/>
    <n v="1.0528999999999999"/>
    <n v="2683.7473389999996"/>
    <m/>
    <n v="13"/>
    <s v="Sale"/>
    <x v="0"/>
    <x v="113"/>
    <x v="0"/>
    <n v="1836.3920930232557"/>
    <n v="1"/>
    <n v="1836.3920930232557"/>
    <n v="-712.51790697674414"/>
    <m/>
    <n v="2683.7473389999996"/>
    <n v="-847.35524597674384"/>
  </r>
  <r>
    <x v="1"/>
    <x v="144"/>
    <x v="22"/>
    <x v="0"/>
    <n v="392.14"/>
    <n v="2"/>
    <n v="392.14"/>
    <n v="1"/>
    <n v="392.14"/>
    <n v="118.98099999999999"/>
    <n v="125.276"/>
    <n v="1.0528999999999999"/>
    <n v="412.88420599999995"/>
    <m/>
    <n v="2"/>
    <s v="Sale"/>
    <x v="0"/>
    <x v="113"/>
    <x v="0"/>
    <n v="282.52186046511628"/>
    <n v="1"/>
    <n v="282.52186046511628"/>
    <n v="-109.61813953488371"/>
    <m/>
    <n v="412.88420599999995"/>
    <n v="-130.36234553488367"/>
  </r>
  <r>
    <x v="1"/>
    <x v="145"/>
    <x v="22"/>
    <x v="0"/>
    <n v="378.33"/>
    <n v="2"/>
    <n v="378.33"/>
    <n v="1"/>
    <n v="378.33"/>
    <n v="120.15900000000001"/>
    <n v="125.276"/>
    <n v="1.0425"/>
    <n v="394.40902499999999"/>
    <m/>
    <n v="2"/>
    <s v="Sale"/>
    <x v="0"/>
    <x v="113"/>
    <x v="0"/>
    <n v="282.52186046511628"/>
    <n v="1"/>
    <n v="282.52186046511628"/>
    <n v="-95.808139534883708"/>
    <m/>
    <n v="394.40902499999999"/>
    <n v="-111.88716453488371"/>
  </r>
  <r>
    <x v="1"/>
    <x v="145"/>
    <x v="22"/>
    <x v="0"/>
    <n v="757.94"/>
    <n v="4"/>
    <n v="757.94"/>
    <n v="1"/>
    <n v="757.94"/>
    <n v="120.15900000000001"/>
    <n v="125.276"/>
    <n v="1.0425"/>
    <n v="790.15245000000004"/>
    <m/>
    <n v="4"/>
    <s v="Sale"/>
    <x v="0"/>
    <x v="113"/>
    <x v="0"/>
    <n v="565.04372093023255"/>
    <n v="1"/>
    <n v="565.04372093023255"/>
    <n v="-192.8962790697675"/>
    <m/>
    <n v="790.15245000000004"/>
    <n v="-225.10872906976749"/>
  </r>
  <r>
    <x v="1"/>
    <x v="145"/>
    <x v="22"/>
    <x v="0"/>
    <n v="565.08000000000004"/>
    <n v="3"/>
    <n v="565.08000000000004"/>
    <n v="1"/>
    <n v="565.08000000000004"/>
    <n v="120.15900000000001"/>
    <n v="125.276"/>
    <n v="1.0425"/>
    <n v="589.09590000000003"/>
    <m/>
    <n v="3"/>
    <s v="Sale"/>
    <x v="0"/>
    <x v="113"/>
    <x v="0"/>
    <n v="423.78279069767439"/>
    <n v="1"/>
    <n v="423.78279069767439"/>
    <n v="-141.29720930232565"/>
    <m/>
    <n v="589.09590000000003"/>
    <n v="-165.31310930232564"/>
  </r>
  <r>
    <x v="1"/>
    <x v="145"/>
    <x v="22"/>
    <x v="0"/>
    <n v="3593.85"/>
    <n v="19"/>
    <n v="3593.85"/>
    <n v="1"/>
    <n v="3593.85"/>
    <n v="120.15900000000001"/>
    <n v="125.276"/>
    <n v="1.0425"/>
    <n v="3746.5886249999999"/>
    <m/>
    <n v="19"/>
    <s v="Sale"/>
    <x v="0"/>
    <x v="113"/>
    <x v="0"/>
    <n v="2683.9576744186047"/>
    <n v="1"/>
    <n v="2683.9576744186047"/>
    <n v="-909.8923255813952"/>
    <m/>
    <n v="3746.5886249999999"/>
    <n v="-1062.6309505813952"/>
  </r>
  <r>
    <x v="1"/>
    <x v="145"/>
    <x v="22"/>
    <x v="0"/>
    <n v="941"/>
    <n v="5"/>
    <n v="941"/>
    <n v="1"/>
    <n v="941"/>
    <n v="120.15900000000001"/>
    <n v="125.276"/>
    <n v="1.0425"/>
    <n v="980.99249999999995"/>
    <m/>
    <n v="5"/>
    <s v="Sale"/>
    <x v="0"/>
    <x v="113"/>
    <x v="0"/>
    <n v="710.17"/>
    <n v="1"/>
    <n v="710.17"/>
    <n v="-230.83000000000004"/>
    <m/>
    <n v="980.99249999999995"/>
    <n v="-270.82249999999999"/>
  </r>
  <r>
    <x v="1"/>
    <x v="145"/>
    <x v="22"/>
    <x v="0"/>
    <n v="564.59999999999991"/>
    <n v="3"/>
    <n v="564.59999999999991"/>
    <n v="1"/>
    <n v="564.59999999999991"/>
    <n v="120.15900000000001"/>
    <n v="125.276"/>
    <n v="1.0425"/>
    <n v="588.5954999999999"/>
    <m/>
    <n v="3"/>
    <s v="Sale"/>
    <x v="0"/>
    <x v="115"/>
    <x v="0"/>
    <n v="420.78"/>
    <n v="1"/>
    <n v="420.78"/>
    <n v="-143.81999999999994"/>
    <m/>
    <n v="588.5954999999999"/>
    <n v="-167.81549999999993"/>
  </r>
  <r>
    <x v="1"/>
    <x v="145"/>
    <x v="22"/>
    <x v="0"/>
    <n v="2446.6"/>
    <n v="13"/>
    <n v="2446.6"/>
    <n v="1"/>
    <n v="2446.6"/>
    <n v="120.15900000000001"/>
    <n v="125.276"/>
    <n v="1.0425"/>
    <n v="2550.5805"/>
    <m/>
    <n v="13"/>
    <s v="Sale"/>
    <x v="0"/>
    <x v="115"/>
    <x v="0"/>
    <n v="1821.8747368421052"/>
    <n v="1"/>
    <n v="1821.8747368421052"/>
    <n v="-624.72526315789469"/>
    <m/>
    <n v="2550.5805"/>
    <n v="-728.70576315789481"/>
  </r>
  <r>
    <x v="1"/>
    <x v="145"/>
    <x v="22"/>
    <x v="0"/>
    <n v="188.2"/>
    <n v="1"/>
    <n v="188.2"/>
    <n v="1"/>
    <n v="188.2"/>
    <n v="120.15900000000001"/>
    <n v="125.276"/>
    <n v="1.0425"/>
    <n v="196.1985"/>
    <m/>
    <n v="1"/>
    <s v="Sale"/>
    <x v="0"/>
    <x v="115"/>
    <x v="0"/>
    <n v="140.14421052631579"/>
    <n v="1"/>
    <n v="140.14421052631579"/>
    <n v="-48.0557894736842"/>
    <m/>
    <n v="196.1985"/>
    <n v="-56.054289473684207"/>
  </r>
  <r>
    <x v="1"/>
    <x v="130"/>
    <x v="22"/>
    <x v="0"/>
    <n v="184.73"/>
    <n v="1"/>
    <n v="184.73"/>
    <n v="1"/>
    <n v="184.73"/>
    <n v="120.15900000000001"/>
    <n v="125.276"/>
    <n v="1.0425"/>
    <n v="192.58102499999998"/>
    <m/>
    <n v="1"/>
    <s v="Sale"/>
    <x v="0"/>
    <x v="115"/>
    <x v="0"/>
    <n v="140.14421052631579"/>
    <n v="1"/>
    <n v="140.14421052631579"/>
    <n v="-44.585789473684201"/>
    <m/>
    <n v="192.58102499999998"/>
    <n v="-52.436814473684194"/>
  </r>
  <r>
    <x v="1"/>
    <x v="130"/>
    <x v="22"/>
    <x v="0"/>
    <n v="710.01"/>
    <n v="4"/>
    <n v="710.01"/>
    <n v="1"/>
    <n v="710.01"/>
    <n v="120.15900000000001"/>
    <n v="125.276"/>
    <n v="1.0425"/>
    <n v="740.18542500000001"/>
    <m/>
    <n v="4"/>
    <s v="Sale"/>
    <x v="0"/>
    <x v="115"/>
    <x v="0"/>
    <n v="560.57684210526315"/>
    <n v="1"/>
    <n v="560.57684210526315"/>
    <n v="-149.43315789473684"/>
    <m/>
    <n v="740.18542500000001"/>
    <n v="-179.60858289473686"/>
  </r>
  <r>
    <x v="1"/>
    <x v="130"/>
    <x v="22"/>
    <x v="0"/>
    <n v="169.76"/>
    <n v="1"/>
    <n v="169.76"/>
    <n v="1"/>
    <n v="169.76"/>
    <n v="120.15900000000001"/>
    <n v="125.276"/>
    <n v="1.0425"/>
    <n v="176.97479999999999"/>
    <m/>
    <n v="1"/>
    <s v="Sale"/>
    <x v="0"/>
    <x v="115"/>
    <x v="0"/>
    <n v="140.70625000000001"/>
    <n v="1"/>
    <n v="140.70625000000001"/>
    <n v="-29.05374999999998"/>
    <m/>
    <n v="176.97479999999999"/>
    <n v="-36.268549999999976"/>
  </r>
  <r>
    <x v="1"/>
    <x v="130"/>
    <x v="22"/>
    <x v="0"/>
    <n v="523.23"/>
    <n v="3"/>
    <n v="523.23"/>
    <n v="1"/>
    <n v="523.23"/>
    <n v="120.15900000000001"/>
    <n v="125.276"/>
    <n v="1.0425"/>
    <n v="545.46727499999997"/>
    <m/>
    <n v="3"/>
    <s v="Sale"/>
    <x v="0"/>
    <x v="115"/>
    <x v="0"/>
    <n v="422.11875000000003"/>
    <n v="1"/>
    <n v="422.11875000000003"/>
    <n v="-101.11124999999998"/>
    <m/>
    <n v="545.46727499999997"/>
    <n v="-123.34852499999994"/>
  </r>
  <r>
    <x v="1"/>
    <x v="130"/>
    <x v="22"/>
    <x v="0"/>
    <n v="920.76"/>
    <n v="5"/>
    <n v="920.76"/>
    <n v="1"/>
    <n v="920.76"/>
    <n v="120.15900000000001"/>
    <n v="125.276"/>
    <n v="1.0425"/>
    <n v="959.89229999999998"/>
    <m/>
    <n v="5"/>
    <s v="Sale"/>
    <x v="0"/>
    <x v="115"/>
    <x v="0"/>
    <n v="703.53125"/>
    <n v="1"/>
    <n v="703.53125"/>
    <n v="-217.22874999999999"/>
    <m/>
    <n v="959.89229999999998"/>
    <n v="-256.36104999999998"/>
  </r>
  <r>
    <x v="1"/>
    <x v="146"/>
    <x v="22"/>
    <x v="0"/>
    <n v="180.2"/>
    <n v="1"/>
    <n v="180.2"/>
    <n v="1"/>
    <n v="180.2"/>
    <n v="120.15900000000001"/>
    <n v="125.276"/>
    <n v="1.0425"/>
    <n v="187.85849999999999"/>
    <m/>
    <n v="1"/>
    <s v="Sale"/>
    <x v="0"/>
    <x v="115"/>
    <x v="0"/>
    <n v="140.70625000000001"/>
    <n v="1"/>
    <n v="140.70625000000001"/>
    <n v="-39.493749999999977"/>
    <m/>
    <n v="187.85849999999999"/>
    <n v="-47.152249999999981"/>
  </r>
  <r>
    <x v="1"/>
    <x v="146"/>
    <x v="22"/>
    <x v="0"/>
    <n v="1062.9927272727273"/>
    <n v="6"/>
    <n v="1062.9927272727273"/>
    <n v="1"/>
    <n v="1062.9927272727273"/>
    <n v="120.15900000000001"/>
    <n v="125.276"/>
    <n v="1.0425"/>
    <n v="1108.1699181818183"/>
    <m/>
    <n v="6"/>
    <s v="Sale"/>
    <x v="0"/>
    <x v="115"/>
    <x v="0"/>
    <n v="844.23750000000007"/>
    <n v="1"/>
    <n v="844.23750000000007"/>
    <n v="-218.75522727272721"/>
    <m/>
    <n v="1108.1699181818183"/>
    <n v="-263.93241818181821"/>
  </r>
  <r>
    <x v="1"/>
    <x v="146"/>
    <x v="22"/>
    <x v="0"/>
    <n v="885.82727272727266"/>
    <n v="5"/>
    <n v="885.82727272727266"/>
    <n v="1"/>
    <n v="885.82727272727266"/>
    <n v="120.15900000000001"/>
    <n v="125.276"/>
    <n v="1.0425"/>
    <n v="923.47493181818174"/>
    <m/>
    <n v="5"/>
    <s v="Sale"/>
    <x v="0"/>
    <x v="115"/>
    <x v="0"/>
    <n v="704.05714285714282"/>
    <n v="1"/>
    <n v="704.05714285714282"/>
    <n v="-181.77012987012984"/>
    <m/>
    <n v="923.47493181818174"/>
    <n v="-219.41778896103892"/>
  </r>
  <r>
    <x v="1"/>
    <x v="146"/>
    <x v="22"/>
    <x v="0"/>
    <n v="366.71999999999997"/>
    <n v="2"/>
    <n v="366.71999999999997"/>
    <n v="1"/>
    <n v="366.71999999999997"/>
    <n v="120.15900000000001"/>
    <n v="125.276"/>
    <n v="1.0425"/>
    <n v="382.30559999999997"/>
    <m/>
    <n v="2"/>
    <s v="Sale"/>
    <x v="0"/>
    <x v="115"/>
    <x v="0"/>
    <n v="281.62285714285713"/>
    <n v="1"/>
    <n v="281.62285714285713"/>
    <n v="-85.097142857142842"/>
    <m/>
    <n v="382.30559999999997"/>
    <n v="-100.68274285714284"/>
  </r>
  <r>
    <x v="1"/>
    <x v="146"/>
    <x v="22"/>
    <x v="0"/>
    <n v="550.07999999999993"/>
    <n v="3"/>
    <n v="550.07999999999993"/>
    <n v="1"/>
    <n v="550.07999999999993"/>
    <n v="120.15900000000001"/>
    <n v="125.276"/>
    <n v="1.0425"/>
    <n v="573.45839999999987"/>
    <m/>
    <n v="3"/>
    <s v="Sale"/>
    <x v="0"/>
    <x v="115"/>
    <x v="0"/>
    <n v="419.09"/>
    <n v="1"/>
    <n v="419.09"/>
    <n v="-130.98999999999995"/>
    <m/>
    <n v="573.45839999999987"/>
    <n v="-154.36839999999989"/>
  </r>
  <r>
    <x v="1"/>
    <x v="146"/>
    <x v="22"/>
    <x v="0"/>
    <n v="366.71999999999997"/>
    <n v="2"/>
    <n v="366.71999999999997"/>
    <n v="1"/>
    <n v="366.71999999999997"/>
    <n v="120.15900000000001"/>
    <n v="125.276"/>
    <n v="1.0425"/>
    <n v="382.30559999999997"/>
    <m/>
    <n v="2"/>
    <s v="Sale"/>
    <x v="0"/>
    <x v="116"/>
    <x v="0"/>
    <n v="284.46799999999996"/>
    <n v="1"/>
    <n v="284.46799999999996"/>
    <n v="-82.25200000000001"/>
    <m/>
    <n v="382.30559999999997"/>
    <n v="-97.837600000000009"/>
  </r>
  <r>
    <x v="1"/>
    <x v="147"/>
    <x v="22"/>
    <x v="0"/>
    <n v="552.48599999999988"/>
    <n v="3"/>
    <n v="552.48599999999988"/>
    <n v="1"/>
    <n v="552.48599999999988"/>
    <n v="120.15900000000001"/>
    <n v="125.276"/>
    <n v="1.0425"/>
    <n v="575.96665499999983"/>
    <m/>
    <n v="3"/>
    <s v="Sale"/>
    <x v="0"/>
    <x v="116"/>
    <x v="0"/>
    <n v="426.70199999999994"/>
    <n v="1"/>
    <n v="426.70199999999994"/>
    <n v="-125.78399999999993"/>
    <m/>
    <n v="575.96665499999983"/>
    <n v="-149.26465499999989"/>
  </r>
  <r>
    <x v="1"/>
    <x v="147"/>
    <x v="22"/>
    <x v="0"/>
    <n v="184.16199999999998"/>
    <n v="1"/>
    <n v="184.16199999999998"/>
    <n v="1"/>
    <n v="184.16199999999998"/>
    <n v="120.15900000000001"/>
    <n v="125.276"/>
    <n v="1.0425"/>
    <n v="191.98888499999998"/>
    <m/>
    <n v="1"/>
    <s v="Sale"/>
    <x v="0"/>
    <x v="117"/>
    <x v="0"/>
    <n v="147.52000000000001"/>
    <n v="1"/>
    <n v="147.52000000000001"/>
    <n v="-36.641999999999967"/>
    <m/>
    <n v="191.98888499999998"/>
    <n v="-44.468884999999972"/>
  </r>
  <r>
    <x v="1"/>
    <x v="147"/>
    <x v="22"/>
    <x v="0"/>
    <n v="184.16199999999998"/>
    <n v="1"/>
    <n v="184.16199999999998"/>
    <n v="1"/>
    <n v="184.16199999999998"/>
    <n v="120.15900000000001"/>
    <n v="125.276"/>
    <n v="1.0425"/>
    <n v="191.98888499999998"/>
    <m/>
    <n v="1"/>
    <s v="Sale"/>
    <x v="0"/>
    <x v="117"/>
    <x v="0"/>
    <n v="148.27000000000001"/>
    <n v="1"/>
    <n v="148.27000000000001"/>
    <n v="-35.891999999999967"/>
    <m/>
    <n v="191.98888499999998"/>
    <n v="-43.718884999999972"/>
  </r>
  <r>
    <x v="1"/>
    <x v="147"/>
    <x v="22"/>
    <x v="0"/>
    <n v="183.54333333333332"/>
    <n v="1"/>
    <n v="183.54333333333332"/>
    <n v="1"/>
    <n v="183.54333333333332"/>
    <n v="120.15900000000001"/>
    <n v="125.276"/>
    <n v="1.0425"/>
    <n v="191.34392499999998"/>
    <m/>
    <n v="1"/>
    <s v="Sale"/>
    <x v="0"/>
    <x v="117"/>
    <x v="0"/>
    <n v="148.27000000000001"/>
    <n v="1"/>
    <n v="148.27000000000001"/>
    <n v="-35.273333333333312"/>
    <m/>
    <n v="191.34392499999998"/>
    <n v="-43.073924999999974"/>
  </r>
  <r>
    <x v="1"/>
    <x v="147"/>
    <x v="22"/>
    <x v="0"/>
    <n v="367.08666666666664"/>
    <n v="2"/>
    <n v="367.08666666666664"/>
    <n v="1"/>
    <n v="367.08666666666664"/>
    <n v="120.15900000000001"/>
    <n v="125.276"/>
    <n v="1.0425"/>
    <n v="382.68784999999997"/>
    <m/>
    <n v="2"/>
    <s v="Sale"/>
    <x v="0"/>
    <x v="117"/>
    <x v="0"/>
    <n v="295.85000000000002"/>
    <n v="1"/>
    <n v="295.85000000000002"/>
    <n v="-71.236666666666622"/>
    <m/>
    <n v="382.68784999999997"/>
    <n v="-86.837849999999946"/>
  </r>
  <r>
    <x v="1"/>
    <x v="147"/>
    <x v="22"/>
    <x v="0"/>
    <n v="369.29599999999999"/>
    <n v="2"/>
    <n v="369.29599999999999"/>
    <n v="1"/>
    <n v="369.29599999999999"/>
    <n v="120.15900000000001"/>
    <n v="125.276"/>
    <n v="1.0425"/>
    <n v="384.99108000000001"/>
    <m/>
    <n v="2"/>
    <s v="Sale"/>
    <x v="0"/>
    <x v="117"/>
    <x v="0"/>
    <n v="295.81744680851062"/>
    <n v="1"/>
    <n v="295.81744680851062"/>
    <n v="-73.478553191489368"/>
    <m/>
    <n v="384.99108000000001"/>
    <n v="-89.173633191489387"/>
  </r>
  <r>
    <x v="1"/>
    <x v="147"/>
    <x v="22"/>
    <x v="0"/>
    <n v="550.63"/>
    <n v="3"/>
    <n v="550.63"/>
    <n v="1"/>
    <n v="550.63"/>
    <n v="120.15900000000001"/>
    <n v="125.276"/>
    <n v="1.0425"/>
    <n v="574.03177500000004"/>
    <m/>
    <n v="3"/>
    <s v="Sale"/>
    <x v="0"/>
    <x v="117"/>
    <x v="0"/>
    <n v="443.72617021276596"/>
    <n v="1"/>
    <n v="443.72617021276596"/>
    <n v="-106.90382978723403"/>
    <m/>
    <n v="574.03177500000004"/>
    <n v="-130.30560478723407"/>
  </r>
  <r>
    <x v="1"/>
    <x v="147"/>
    <x v="22"/>
    <x v="0"/>
    <n v="1107.51"/>
    <n v="6"/>
    <n v="1107.51"/>
    <n v="1"/>
    <n v="1107.51"/>
    <n v="120.15900000000001"/>
    <n v="125.276"/>
    <n v="1.0425"/>
    <n v="1154.5791750000001"/>
    <m/>
    <n v="6"/>
    <s v="Sale"/>
    <x v="0"/>
    <x v="117"/>
    <x v="0"/>
    <n v="887.45234042553193"/>
    <n v="1"/>
    <n v="887.45234042553193"/>
    <n v="-220.05765957446806"/>
    <m/>
    <n v="1154.5791750000001"/>
    <n v="-267.12683457446815"/>
  </r>
  <r>
    <x v="1"/>
    <x v="148"/>
    <x v="22"/>
    <x v="0"/>
    <n v="4517.3599999999997"/>
    <n v="25"/>
    <n v="4517.3599999999997"/>
    <n v="1"/>
    <n v="4517.3599999999997"/>
    <n v="120.15900000000001"/>
    <n v="125.276"/>
    <n v="1.0425"/>
    <n v="4709.3477999999996"/>
    <m/>
    <n v="25"/>
    <s v="Sale"/>
    <x v="0"/>
    <x v="117"/>
    <x v="0"/>
    <n v="3697.7180851063827"/>
    <n v="1"/>
    <n v="3697.7180851063827"/>
    <n v="-819.64191489361701"/>
    <m/>
    <n v="4709.3477999999996"/>
    <n v="-1011.6297148936169"/>
  </r>
  <r>
    <x v="1"/>
    <x v="149"/>
    <x v="22"/>
    <x v="0"/>
    <n v="357.74"/>
    <n v="2"/>
    <n v="357.74"/>
    <n v="1"/>
    <n v="357.74"/>
    <n v="123.803"/>
    <n v="125.276"/>
    <n v="1.0118"/>
    <n v="361.96133200000003"/>
    <m/>
    <n v="2"/>
    <s v="Sale"/>
    <x v="0"/>
    <x v="117"/>
    <x v="0"/>
    <n v="295.81744680851062"/>
    <n v="1"/>
    <n v="295.81744680851062"/>
    <n v="-61.922553191489385"/>
    <m/>
    <n v="361.96133200000003"/>
    <n v="-66.143885191489403"/>
  </r>
  <r>
    <x v="1"/>
    <x v="149"/>
    <x v="22"/>
    <x v="0"/>
    <n v="1439.84"/>
    <n v="8"/>
    <n v="1439.84"/>
    <n v="1"/>
    <n v="1439.84"/>
    <n v="123.803"/>
    <n v="125.276"/>
    <n v="1.0118"/>
    <n v="1456.8301119999999"/>
    <m/>
    <n v="8"/>
    <s v="Sale"/>
    <x v="0"/>
    <x v="117"/>
    <x v="0"/>
    <n v="1183.2697872340425"/>
    <n v="1"/>
    <n v="1183.2697872340425"/>
    <n v="-256.57021276595742"/>
    <m/>
    <n v="1456.8301119999999"/>
    <n v="-273.56032476595738"/>
  </r>
  <r>
    <x v="1"/>
    <x v="149"/>
    <x v="22"/>
    <x v="0"/>
    <n v="180.09"/>
    <n v="1"/>
    <n v="180.09"/>
    <n v="1"/>
    <n v="180.09"/>
    <n v="123.803"/>
    <n v="125.276"/>
    <n v="1.0118"/>
    <n v="182.21506200000002"/>
    <m/>
    <n v="1"/>
    <s v="Sale"/>
    <x v="0"/>
    <x v="117"/>
    <x v="0"/>
    <n v="147.90872340425531"/>
    <n v="1"/>
    <n v="147.90872340425531"/>
    <n v="-32.181276595744691"/>
    <m/>
    <n v="182.21506200000002"/>
    <n v="-34.306338595744705"/>
  </r>
  <r>
    <x v="1"/>
    <x v="149"/>
    <x v="22"/>
    <x v="0"/>
    <n v="180.09"/>
    <n v="1"/>
    <n v="180.09"/>
    <n v="1"/>
    <n v="180.09"/>
    <n v="123.803"/>
    <n v="125.276"/>
    <n v="1.0118"/>
    <n v="182.21506200000002"/>
    <m/>
    <n v="1"/>
    <s v="Sale"/>
    <x v="0"/>
    <x v="117"/>
    <x v="0"/>
    <n v="147.48333333333332"/>
    <n v="1"/>
    <n v="147.48333333333332"/>
    <n v="-32.606666666666683"/>
    <m/>
    <n v="182.21506200000002"/>
    <n v="-34.731728666666697"/>
  </r>
  <r>
    <x v="1"/>
    <x v="149"/>
    <x v="22"/>
    <x v="0"/>
    <n v="896.73846153846159"/>
    <n v="5"/>
    <n v="896.73846153846159"/>
    <n v="1"/>
    <n v="896.73846153846159"/>
    <n v="123.803"/>
    <n v="125.276"/>
    <n v="1.0118"/>
    <n v="907.31997538461542"/>
    <m/>
    <n v="5"/>
    <s v="Sale"/>
    <x v="0"/>
    <x v="117"/>
    <x v="0"/>
    <n v="737.41666666666663"/>
    <n v="1"/>
    <n v="737.41666666666663"/>
    <n v="-159.32179487179496"/>
    <m/>
    <n v="907.31997538461542"/>
    <n v="-169.90330871794879"/>
  </r>
  <r>
    <x v="1"/>
    <x v="149"/>
    <x v="22"/>
    <x v="0"/>
    <n v="717.39076923076925"/>
    <n v="4"/>
    <n v="717.39076923076925"/>
    <n v="1"/>
    <n v="717.39076923076925"/>
    <n v="123.803"/>
    <n v="125.276"/>
    <n v="1.0118"/>
    <n v="725.85598030769233"/>
    <m/>
    <n v="4"/>
    <s v="Sale"/>
    <x v="0"/>
    <x v="117"/>
    <x v="0"/>
    <n v="593.19000000000005"/>
    <n v="1"/>
    <n v="593.19000000000005"/>
    <n v="-124.2007692307692"/>
    <m/>
    <n v="725.85598030769233"/>
    <n v="-132.66598030769228"/>
  </r>
  <r>
    <x v="1"/>
    <x v="149"/>
    <x v="22"/>
    <x v="0"/>
    <n v="1434.7815384615385"/>
    <n v="8"/>
    <n v="1434.7815384615385"/>
    <n v="1"/>
    <n v="1434.7815384615385"/>
    <n v="123.803"/>
    <n v="125.276"/>
    <n v="1.0118"/>
    <n v="1451.7119606153847"/>
    <m/>
    <n v="8"/>
    <s v="Sale"/>
    <x v="0"/>
    <x v="117"/>
    <x v="0"/>
    <n v="1184.77"/>
    <n v="1"/>
    <n v="1184.77"/>
    <n v="-250.01153846153852"/>
    <m/>
    <n v="1451.7119606153847"/>
    <n v="-266.94196061538469"/>
  </r>
  <r>
    <x v="1"/>
    <x v="143"/>
    <x v="10"/>
    <x v="0"/>
    <n v="1035.5046153846154"/>
    <n v="7"/>
    <n v="1035.5046153846154"/>
    <n v="1"/>
    <n v="1035.5046153846154"/>
    <n v="118.98099999999999"/>
    <n v="125.997"/>
    <n v="1.0589"/>
    <n v="1096.4958372307692"/>
    <m/>
    <n v="7"/>
    <s v="Sale"/>
    <x v="0"/>
    <x v="118"/>
    <x v="0"/>
    <n v="1032.6244444444444"/>
    <n v="1"/>
    <n v="1032.6244444444444"/>
    <n v="-2.8801709401709559"/>
    <m/>
    <n v="1096.4958372307692"/>
    <n v="-63.871392786324805"/>
  </r>
  <r>
    <x v="1"/>
    <x v="143"/>
    <x v="10"/>
    <x v="0"/>
    <n v="294.17"/>
    <n v="2"/>
    <n v="294.17"/>
    <n v="1"/>
    <n v="294.17"/>
    <n v="118.98099999999999"/>
    <n v="125.997"/>
    <n v="1.0589"/>
    <n v="311.49661300000002"/>
    <m/>
    <n v="2"/>
    <s v="Sale"/>
    <x v="0"/>
    <x v="118"/>
    <x v="0"/>
    <n v="295.03555555555556"/>
    <n v="1"/>
    <n v="295.03555555555556"/>
    <n v="0.8655555555555452"/>
    <m/>
    <n v="311.49661300000002"/>
    <n v="-16.461057444444464"/>
  </r>
  <r>
    <x v="1"/>
    <x v="143"/>
    <x v="10"/>
    <x v="0"/>
    <n v="882.51"/>
    <n v="6"/>
    <n v="882.51"/>
    <n v="1"/>
    <n v="882.51"/>
    <n v="118.98099999999999"/>
    <n v="125.997"/>
    <n v="1.0589"/>
    <n v="934.48983899999996"/>
    <m/>
    <n v="6"/>
    <s v="Sale"/>
    <x v="0"/>
    <x v="118"/>
    <x v="0"/>
    <n v="897.28"/>
    <n v="1"/>
    <n v="897.28"/>
    <n v="14.769999999999982"/>
    <m/>
    <n v="934.48983899999996"/>
    <n v="-37.209838999999988"/>
  </r>
  <r>
    <x v="1"/>
    <x v="143"/>
    <x v="10"/>
    <x v="0"/>
    <n v="588.34"/>
    <n v="4"/>
    <n v="588.34"/>
    <n v="1"/>
    <n v="588.34"/>
    <n v="118.98099999999999"/>
    <n v="125.997"/>
    <n v="1.0589"/>
    <n v="622.99322600000005"/>
    <m/>
    <n v="4"/>
    <s v="Sale"/>
    <x v="0"/>
    <x v="118"/>
    <x v="0"/>
    <n v="593.57866666666666"/>
    <n v="1"/>
    <n v="593.57866666666666"/>
    <n v="5.2386666666666315"/>
    <m/>
    <n v="622.99322600000005"/>
    <n v="-29.414559333333386"/>
  </r>
  <r>
    <x v="1"/>
    <x v="150"/>
    <x v="10"/>
    <x v="0"/>
    <n v="1489.62"/>
    <n v="11"/>
    <n v="1489.62"/>
    <n v="1"/>
    <n v="1489.62"/>
    <n v="125.276"/>
    <n v="125.997"/>
    <n v="1.0057"/>
    <n v="1498.1108339999998"/>
    <m/>
    <n v="11"/>
    <s v="Sale"/>
    <x v="0"/>
    <x v="118"/>
    <x v="0"/>
    <n v="1632.3413333333333"/>
    <n v="1"/>
    <n v="1632.3413333333333"/>
    <n v="142.7213333333334"/>
    <m/>
    <n v="1498.1108339999998"/>
    <n v="134.23049933333346"/>
  </r>
  <r>
    <x v="1"/>
    <x v="150"/>
    <x v="10"/>
    <x v="0"/>
    <n v="1083.3599999999999"/>
    <n v="8"/>
    <n v="1083.3599999999999"/>
    <n v="1"/>
    <n v="1083.3599999999999"/>
    <n v="125.276"/>
    <n v="125.997"/>
    <n v="1.0057"/>
    <n v="1089.5351519999999"/>
    <m/>
    <n v="8"/>
    <s v="Sale"/>
    <x v="0"/>
    <x v="118"/>
    <x v="0"/>
    <n v="1203.21"/>
    <n v="1"/>
    <n v="1203.21"/>
    <n v="119.85000000000014"/>
    <m/>
    <n v="1089.5351519999999"/>
    <n v="113.67484800000011"/>
  </r>
  <r>
    <x v="1"/>
    <x v="149"/>
    <x v="22"/>
    <x v="0"/>
    <n v="1614.1292307692308"/>
    <n v="9"/>
    <n v="1614.1292307692308"/>
    <n v="1"/>
    <n v="1614.1292307692308"/>
    <n v="123.803"/>
    <n v="125.997"/>
    <n v="1.0177"/>
    <n v="1642.6993181538462"/>
    <m/>
    <n v="9"/>
    <s v="Sale"/>
    <x v="0"/>
    <x v="118"/>
    <x v="0"/>
    <n v="1360.6334999999999"/>
    <n v="1"/>
    <n v="1360.6334999999999"/>
    <n v="-253.49573076923093"/>
    <m/>
    <n v="1642.6993181538462"/>
    <n v="-282.06581815384629"/>
  </r>
  <r>
    <x v="1"/>
    <x v="151"/>
    <x v="22"/>
    <x v="0"/>
    <n v="183.17"/>
    <n v="1"/>
    <n v="183.17"/>
    <n v="1"/>
    <n v="183.17"/>
    <n v="123.803"/>
    <n v="125.997"/>
    <n v="1.0177"/>
    <n v="186.41210899999999"/>
    <m/>
    <n v="1"/>
    <s v="Sale"/>
    <x v="0"/>
    <x v="118"/>
    <x v="0"/>
    <n v="151.1815"/>
    <n v="1"/>
    <n v="151.1815"/>
    <n v="-31.988499999999988"/>
    <m/>
    <n v="186.41210899999999"/>
    <n v="-35.230608999999987"/>
  </r>
  <r>
    <x v="1"/>
    <x v="150"/>
    <x v="22"/>
    <x v="0"/>
    <n v="1405.1"/>
    <n v="10"/>
    <n v="1405.1"/>
    <n v="1"/>
    <n v="1405.1"/>
    <n v="125.276"/>
    <n v="125.997"/>
    <n v="1.0057"/>
    <n v="1413.10907"/>
    <m/>
    <n v="10"/>
    <s v="Sale"/>
    <x v="0"/>
    <x v="118"/>
    <x v="0"/>
    <n v="1511.8150000000001"/>
    <n v="1"/>
    <n v="1511.8150000000001"/>
    <n v="106.71500000000015"/>
    <m/>
    <n v="1413.10907"/>
    <n v="98.70593000000008"/>
  </r>
  <r>
    <x v="1"/>
    <x v="150"/>
    <x v="22"/>
    <x v="0"/>
    <n v="1686.12"/>
    <n v="12"/>
    <n v="1686.12"/>
    <n v="1"/>
    <n v="1686.12"/>
    <n v="125.276"/>
    <n v="125.997"/>
    <n v="1.0057"/>
    <n v="1695.7308840000001"/>
    <m/>
    <n v="12"/>
    <s v="Sale"/>
    <x v="0"/>
    <x v="118"/>
    <x v="0"/>
    <n v="1829.7999999999997"/>
    <n v="1"/>
    <n v="1829.7999999999997"/>
    <n v="143.67999999999984"/>
    <m/>
    <n v="1695.7308840000001"/>
    <n v="134.06911599999967"/>
  </r>
  <r>
    <x v="1"/>
    <x v="152"/>
    <x v="81"/>
    <x v="0"/>
    <n v="172.11"/>
    <n v="4"/>
    <n v="172.11"/>
    <n v="1"/>
    <n v="172.11"/>
    <n v="125.997"/>
    <n v="125.997"/>
    <n v="1"/>
    <n v="172.11"/>
    <m/>
    <n v="4"/>
    <s v="Sale"/>
    <x v="0"/>
    <x v="119"/>
    <x v="0"/>
    <n v="178.61071129707113"/>
    <n v="1"/>
    <n v="178.61071129707113"/>
    <n v="6.5007112970711205"/>
    <m/>
    <n v="172.11"/>
    <n v="6.5007112970711205"/>
  </r>
  <r>
    <x v="1"/>
    <x v="152"/>
    <x v="81"/>
    <x v="0"/>
    <n v="172.26"/>
    <n v="4"/>
    <n v="172.26"/>
    <n v="1"/>
    <n v="172.26"/>
    <n v="125.997"/>
    <n v="125.997"/>
    <n v="1"/>
    <n v="172.26"/>
    <m/>
    <n v="4"/>
    <s v="Sale"/>
    <x v="0"/>
    <x v="119"/>
    <x v="0"/>
    <n v="178.61071129707113"/>
    <n v="1"/>
    <n v="178.61071129707113"/>
    <n v="6.3507112970711432"/>
    <m/>
    <n v="172.26"/>
    <n v="6.3507112970711432"/>
  </r>
  <r>
    <x v="1"/>
    <x v="152"/>
    <x v="81"/>
    <x v="0"/>
    <n v="1195.71"/>
    <n v="28"/>
    <n v="1195.71"/>
    <n v="1"/>
    <n v="1195.71"/>
    <n v="125.997"/>
    <n v="125.997"/>
    <n v="1"/>
    <n v="1195.71"/>
    <m/>
    <n v="28"/>
    <s v="Sale"/>
    <x v="0"/>
    <x v="119"/>
    <x v="0"/>
    <n v="1250.2749790794978"/>
    <n v="1"/>
    <n v="1250.2749790794978"/>
    <n v="54.564979079497789"/>
    <m/>
    <n v="1195.71"/>
    <n v="54.564979079497789"/>
  </r>
  <r>
    <x v="1"/>
    <x v="152"/>
    <x v="81"/>
    <x v="0"/>
    <n v="900.69"/>
    <n v="21"/>
    <n v="900.69"/>
    <n v="1"/>
    <n v="900.69"/>
    <n v="125.997"/>
    <n v="125.997"/>
    <n v="1"/>
    <n v="900.69"/>
    <m/>
    <n v="21"/>
    <s v="Sale"/>
    <x v="0"/>
    <x v="119"/>
    <x v="0"/>
    <n v="937.70623430962348"/>
    <n v="1"/>
    <n v="937.70623430962348"/>
    <n v="37.016234309623428"/>
    <m/>
    <n v="900.69"/>
    <n v="37.016234309623428"/>
  </r>
  <r>
    <x v="1"/>
    <x v="152"/>
    <x v="81"/>
    <x v="0"/>
    <n v="4641.9799999999996"/>
    <n v="108"/>
    <n v="4641.9799999999996"/>
    <n v="1"/>
    <n v="4641.9799999999996"/>
    <n v="125.997"/>
    <n v="125.997"/>
    <n v="1"/>
    <n v="4641.9799999999996"/>
    <m/>
    <n v="108"/>
    <s v="Sale"/>
    <x v="0"/>
    <x v="119"/>
    <x v="0"/>
    <n v="4822.489205020921"/>
    <n v="1"/>
    <n v="4822.489205020921"/>
    <n v="180.5092050209214"/>
    <m/>
    <n v="4641.9799999999996"/>
    <n v="180.5092050209214"/>
  </r>
  <r>
    <x v="1"/>
    <x v="152"/>
    <x v="81"/>
    <x v="0"/>
    <n v="2643.05"/>
    <n v="62"/>
    <n v="2643.05"/>
    <n v="1"/>
    <n v="2643.05"/>
    <n v="125.997"/>
    <n v="125.997"/>
    <n v="1"/>
    <n v="2643.05"/>
    <m/>
    <n v="62"/>
    <s v="Sale"/>
    <x v="0"/>
    <x v="119"/>
    <x v="0"/>
    <n v="2768.4660251046025"/>
    <n v="1"/>
    <n v="2768.4660251046025"/>
    <n v="125.41602510460234"/>
    <m/>
    <n v="2643.05"/>
    <n v="125.41602510460234"/>
  </r>
  <r>
    <x v="1"/>
    <x v="153"/>
    <x v="81"/>
    <x v="0"/>
    <n v="512.70000000000005"/>
    <n v="12"/>
    <n v="512.70000000000005"/>
    <n v="1"/>
    <n v="512.70000000000005"/>
    <n v="125.997"/>
    <n v="125.997"/>
    <n v="1"/>
    <n v="512.70000000000005"/>
    <m/>
    <n v="12"/>
    <s v="Sale"/>
    <x v="0"/>
    <x v="119"/>
    <x v="0"/>
    <n v="535.8321338912134"/>
    <n v="1"/>
    <n v="535.8321338912134"/>
    <n v="23.132133891213357"/>
    <m/>
    <n v="512.70000000000005"/>
    <n v="23.132133891213357"/>
  </r>
  <r>
    <x v="1"/>
    <x v="1"/>
    <x v="58"/>
    <x v="0"/>
    <n v="1346.9314005876593"/>
    <n v="38"/>
    <n v="1346.9314005876593"/>
    <n v="1"/>
    <n v="1346.9314005876593"/>
    <n v="105.934"/>
    <n v="125.997"/>
    <n v="1.1893"/>
    <n v="1601.9055147189031"/>
    <m/>
    <n v="38"/>
    <s v="Sale"/>
    <x v="0"/>
    <x v="120"/>
    <x v="0"/>
    <n v="1301.02"/>
    <n v="1"/>
    <n v="1301.02"/>
    <n v="-45.911400587659273"/>
    <m/>
    <n v="1601.9055147189031"/>
    <n v="-300.8855147189031"/>
  </r>
  <r>
    <x v="1"/>
    <x v="1"/>
    <x v="58"/>
    <x v="0"/>
    <n v="14958.027659157689"/>
    <n v="422"/>
    <n v="14958.027659157689"/>
    <n v="1"/>
    <n v="14958.027659157689"/>
    <n v="105.934"/>
    <n v="125.997"/>
    <n v="1.1893"/>
    <n v="17789.582295036242"/>
    <m/>
    <n v="422"/>
    <s v="Sale"/>
    <x v="0"/>
    <x v="120"/>
    <x v="0"/>
    <n v="14533.141276595745"/>
    <n v="1"/>
    <n v="14533.141276595745"/>
    <n v="-424.88638256194463"/>
    <m/>
    <n v="17789.582295036242"/>
    <n v="-3256.4410184404969"/>
  </r>
  <r>
    <x v="1"/>
    <x v="9"/>
    <x v="58"/>
    <x v="0"/>
    <n v="2780.2176923076927"/>
    <n v="48"/>
    <n v="2780.2176923076927"/>
    <n v="1"/>
    <n v="2780.2176923076927"/>
    <n v="113.018"/>
    <n v="125.997"/>
    <n v="1.1148"/>
    <n v="3099.3866833846159"/>
    <m/>
    <n v="48"/>
    <s v="Sale"/>
    <x v="0"/>
    <x v="120"/>
    <x v="0"/>
    <n v="1653.0587234042555"/>
    <n v="1"/>
    <n v="1653.0587234042555"/>
    <n v="-1127.1589689034372"/>
    <m/>
    <n v="3099.3866833846159"/>
    <n v="-1446.3279599803604"/>
  </r>
  <r>
    <x v="1"/>
    <x v="9"/>
    <x v="58"/>
    <x v="0"/>
    <n v="7935.204663461539"/>
    <n v="137"/>
    <n v="7935.204663461539"/>
    <n v="1"/>
    <n v="7935.204663461539"/>
    <n v="113.018"/>
    <n v="125.997"/>
    <n v="1.1148"/>
    <n v="8846.1661588269235"/>
    <m/>
    <n v="137"/>
    <s v="Sale"/>
    <x v="0"/>
    <x v="121"/>
    <x v="0"/>
    <n v="4767.3000000000011"/>
    <n v="1"/>
    <n v="4767.3000000000011"/>
    <n v="-3167.9046634615379"/>
    <m/>
    <n v="8846.1661588269235"/>
    <n v="-4078.8661588269224"/>
  </r>
  <r>
    <x v="1"/>
    <x v="9"/>
    <x v="58"/>
    <x v="0"/>
    <n v="1853.4784615384617"/>
    <n v="32"/>
    <n v="1853.4784615384617"/>
    <n v="1"/>
    <n v="1853.4784615384617"/>
    <n v="113.018"/>
    <n v="125.997"/>
    <n v="1.1148"/>
    <n v="2066.257788923077"/>
    <m/>
    <n v="32"/>
    <s v="Sale"/>
    <x v="0"/>
    <x v="121"/>
    <x v="0"/>
    <n v="1113.25"/>
    <n v="1"/>
    <n v="1113.25"/>
    <n v="-740.22846153846172"/>
    <m/>
    <n v="2066.257788923077"/>
    <n v="-953.00778892307699"/>
  </r>
  <r>
    <x v="1"/>
    <x v="9"/>
    <x v="58"/>
    <x v="0"/>
    <n v="1679.714855769231"/>
    <n v="29"/>
    <n v="1679.714855769231"/>
    <n v="1"/>
    <n v="1679.714855769231"/>
    <n v="113.018"/>
    <n v="125.997"/>
    <n v="1.1148"/>
    <n v="1872.5461212115388"/>
    <m/>
    <n v="29"/>
    <s v="Sale"/>
    <x v="0"/>
    <x v="121"/>
    <x v="0"/>
    <n v="1008.9300000000001"/>
    <n v="1"/>
    <n v="1008.9300000000001"/>
    <n v="-670.78485576923094"/>
    <m/>
    <n v="1872.5461212115388"/>
    <n v="-863.61612121153871"/>
  </r>
  <r>
    <x v="1"/>
    <x v="9"/>
    <x v="58"/>
    <x v="0"/>
    <n v="1448.0300480769233"/>
    <n v="25"/>
    <n v="1448.0300480769233"/>
    <n v="1"/>
    <n v="1448.0300480769233"/>
    <n v="113.018"/>
    <n v="125.997"/>
    <n v="1.1148"/>
    <n v="1614.263897596154"/>
    <m/>
    <n v="25"/>
    <s v="Sale"/>
    <x v="0"/>
    <x v="121"/>
    <x v="0"/>
    <n v="868.19"/>
    <n v="1"/>
    <n v="868.19"/>
    <n v="-579.84004807692327"/>
    <m/>
    <n v="1614.263897596154"/>
    <n v="-746.07389759615398"/>
  </r>
  <r>
    <x v="1"/>
    <x v="154"/>
    <x v="82"/>
    <x v="0"/>
    <n v="456.33083333333337"/>
    <n v="5"/>
    <n v="456.33083333333337"/>
    <n v="1"/>
    <n v="456.33083333333337"/>
    <n v="123.803"/>
    <n v="125.997"/>
    <n v="1.0177"/>
    <n v="464.40788908333337"/>
    <m/>
    <n v="5"/>
    <s v="Sale"/>
    <x v="0"/>
    <x v="120"/>
    <x v="0"/>
    <n v="414.71"/>
    <n v="1"/>
    <n v="414.71"/>
    <n v="-41.620833333333394"/>
    <m/>
    <n v="464.40788908333337"/>
    <n v="-49.697889083333394"/>
  </r>
  <r>
    <x v="1"/>
    <x v="154"/>
    <x v="82"/>
    <x v="0"/>
    <n v="912.66166666666675"/>
    <n v="10"/>
    <n v="912.66166666666675"/>
    <n v="1"/>
    <n v="912.66166666666675"/>
    <n v="123.803"/>
    <n v="125.997"/>
    <n v="1.0177"/>
    <n v="928.81577816666675"/>
    <m/>
    <n v="10"/>
    <s v="Sale"/>
    <x v="0"/>
    <x v="120"/>
    <x v="0"/>
    <n v="829.95"/>
    <n v="1"/>
    <n v="829.95"/>
    <n v="-82.711666666666702"/>
    <m/>
    <n v="928.81577816666675"/>
    <n v="-98.865778166666701"/>
  </r>
  <r>
    <x v="1"/>
    <x v="154"/>
    <x v="82"/>
    <x v="0"/>
    <n v="273.79850000000005"/>
    <n v="3"/>
    <n v="273.79850000000005"/>
    <n v="1"/>
    <n v="273.79850000000005"/>
    <n v="123.803"/>
    <n v="125.997"/>
    <n v="1.0177"/>
    <n v="278.64473345000005"/>
    <m/>
    <n v="3"/>
    <s v="Sale"/>
    <x v="0"/>
    <x v="120"/>
    <x v="0"/>
    <n v="250.82"/>
    <n v="1"/>
    <n v="250.82"/>
    <n v="-22.978500000000054"/>
    <m/>
    <n v="278.64473345000005"/>
    <n v="-27.824733450000053"/>
  </r>
  <r>
    <x v="1"/>
    <x v="154"/>
    <x v="82"/>
    <x v="0"/>
    <n v="3833.1790000000005"/>
    <n v="42"/>
    <n v="3833.1790000000005"/>
    <n v="1"/>
    <n v="3833.1790000000005"/>
    <n v="123.803"/>
    <n v="125.997"/>
    <n v="1.0177"/>
    <n v="3901.0262683000005"/>
    <m/>
    <n v="42"/>
    <s v="Sale"/>
    <x v="0"/>
    <x v="120"/>
    <x v="0"/>
    <n v="3496.9082242990658"/>
    <n v="1"/>
    <n v="3496.9082242990658"/>
    <n v="-336.27077570093479"/>
    <m/>
    <n v="3901.0262683000005"/>
    <n v="-404.11804400093479"/>
  </r>
  <r>
    <x v="1"/>
    <x v="155"/>
    <x v="82"/>
    <x v="0"/>
    <n v="440.88"/>
    <n v="5"/>
    <n v="440.88"/>
    <n v="1"/>
    <n v="440.88"/>
    <n v="123.803"/>
    <n v="125.997"/>
    <n v="1.0177"/>
    <n v="448.68357600000002"/>
    <m/>
    <n v="5"/>
    <s v="Sale"/>
    <x v="0"/>
    <x v="120"/>
    <x v="0"/>
    <n v="416.29859813084119"/>
    <n v="1"/>
    <n v="416.29859813084119"/>
    <n v="-24.58140186915881"/>
    <m/>
    <n v="448.68357600000002"/>
    <n v="-32.384977869158831"/>
  </r>
  <r>
    <x v="1"/>
    <x v="155"/>
    <x v="82"/>
    <x v="0"/>
    <n v="264.5"/>
    <n v="3"/>
    <n v="264.5"/>
    <n v="1"/>
    <n v="264.5"/>
    <n v="123.803"/>
    <n v="125.997"/>
    <n v="1.0177"/>
    <n v="269.18164999999999"/>
    <m/>
    <n v="3"/>
    <s v="Sale"/>
    <x v="0"/>
    <x v="120"/>
    <x v="0"/>
    <n v="249.77915887850469"/>
    <n v="1"/>
    <n v="249.77915887850469"/>
    <n v="-14.720841121495312"/>
    <m/>
    <n v="269.18164999999999"/>
    <n v="-19.402491121495302"/>
  </r>
  <r>
    <x v="1"/>
    <x v="155"/>
    <x v="82"/>
    <x v="0"/>
    <n v="175.86"/>
    <n v="2"/>
    <n v="175.86"/>
    <n v="1"/>
    <n v="175.86"/>
    <n v="123.803"/>
    <n v="125.997"/>
    <n v="1.0177"/>
    <n v="178.97272200000003"/>
    <m/>
    <n v="2"/>
    <s v="Sale"/>
    <x v="0"/>
    <x v="120"/>
    <x v="0"/>
    <n v="166.51943925233647"/>
    <n v="1"/>
    <n v="166.51943925233647"/>
    <n v="-9.3405607476635453"/>
    <m/>
    <n v="178.97272200000003"/>
    <n v="-12.453282747663565"/>
  </r>
  <r>
    <x v="1"/>
    <x v="155"/>
    <x v="82"/>
    <x v="0"/>
    <n v="4848.3991525423735"/>
    <n v="55"/>
    <n v="4848.3991525423735"/>
    <n v="1"/>
    <n v="4848.3991525423735"/>
    <n v="123.803"/>
    <n v="125.997"/>
    <n v="1.0177"/>
    <n v="4934.2158175423738"/>
    <m/>
    <n v="55"/>
    <s v="Sale"/>
    <x v="0"/>
    <x v="120"/>
    <x v="0"/>
    <n v="4579.2845794392533"/>
    <n v="1"/>
    <n v="4579.2845794392533"/>
    <n v="-269.11457310312016"/>
    <m/>
    <n v="4934.2158175423738"/>
    <n v="-354.93123810312045"/>
  </r>
  <r>
    <x v="1"/>
    <x v="155"/>
    <x v="82"/>
    <x v="0"/>
    <n v="352.61084745762713"/>
    <n v="4"/>
    <n v="352.61084745762713"/>
    <n v="1"/>
    <n v="352.61084745762713"/>
    <n v="123.803"/>
    <n v="125.997"/>
    <n v="1.0177"/>
    <n v="358.85205945762715"/>
    <m/>
    <n v="4"/>
    <s v="Sale"/>
    <x v="0"/>
    <x v="121"/>
    <x v="0"/>
    <n v="310.14716049382713"/>
    <n v="1"/>
    <n v="310.14716049382713"/>
    <n v="-42.463686963800001"/>
    <m/>
    <n v="358.85205945762715"/>
    <n v="-48.704898963800019"/>
  </r>
  <r>
    <x v="1"/>
    <x v="155"/>
    <x v="82"/>
    <x v="0"/>
    <n v="352.65"/>
    <n v="4"/>
    <n v="352.65"/>
    <n v="1"/>
    <n v="352.65"/>
    <n v="123.803"/>
    <n v="125.997"/>
    <n v="1.0177"/>
    <n v="358.89190500000001"/>
    <m/>
    <n v="4"/>
    <s v="Sale"/>
    <x v="0"/>
    <x v="121"/>
    <x v="0"/>
    <n v="310.14716049382713"/>
    <n v="1"/>
    <n v="310.14716049382713"/>
    <n v="-42.502839506172847"/>
    <m/>
    <n v="358.89190500000001"/>
    <n v="-48.744744506172879"/>
  </r>
  <r>
    <x v="1"/>
    <x v="155"/>
    <x v="82"/>
    <x v="0"/>
    <n v="176.31"/>
    <n v="2"/>
    <n v="176.31"/>
    <n v="1"/>
    <n v="176.31"/>
    <n v="123.803"/>
    <n v="125.997"/>
    <n v="1.0177"/>
    <n v="179.43068700000001"/>
    <m/>
    <n v="2"/>
    <s v="Sale"/>
    <x v="0"/>
    <x v="121"/>
    <x v="0"/>
    <n v="155.07358024691356"/>
    <n v="1"/>
    <n v="155.07358024691356"/>
    <n v="-21.236419753086437"/>
    <m/>
    <n v="179.43068700000001"/>
    <n v="-24.357106753086441"/>
  </r>
  <r>
    <x v="1"/>
    <x v="156"/>
    <x v="82"/>
    <x v="0"/>
    <n v="181.75"/>
    <n v="2"/>
    <n v="181.75"/>
    <n v="1"/>
    <n v="181.75"/>
    <n v="124.571"/>
    <n v="125.997"/>
    <n v="1.0114000000000001"/>
    <n v="183.82195000000002"/>
    <m/>
    <n v="2"/>
    <s v="Sale"/>
    <x v="0"/>
    <x v="121"/>
    <x v="0"/>
    <n v="155.07358024691356"/>
    <n v="1"/>
    <n v="155.07358024691356"/>
    <n v="-26.676419753086435"/>
    <m/>
    <n v="183.82195000000002"/>
    <n v="-28.74836975308645"/>
  </r>
  <r>
    <x v="1"/>
    <x v="156"/>
    <x v="82"/>
    <x v="0"/>
    <n v="10535.96"/>
    <n v="116"/>
    <n v="10535.96"/>
    <n v="1"/>
    <n v="10535.96"/>
    <n v="124.571"/>
    <n v="125.997"/>
    <n v="1.0114000000000001"/>
    <n v="10656.069944000001"/>
    <m/>
    <n v="116"/>
    <s v="Sale"/>
    <x v="0"/>
    <x v="121"/>
    <x v="0"/>
    <n v="8994.2676543209873"/>
    <n v="1"/>
    <n v="8994.2676543209873"/>
    <n v="-1541.6923456790119"/>
    <m/>
    <n v="10656.069944000001"/>
    <n v="-1661.8022896790135"/>
  </r>
  <r>
    <x v="1"/>
    <x v="157"/>
    <x v="82"/>
    <x v="0"/>
    <n v="2793.4762666666666"/>
    <n v="34"/>
    <n v="2793.4762666666666"/>
    <n v="1"/>
    <n v="2793.4762666666666"/>
    <n v="124.571"/>
    <n v="125.997"/>
    <n v="1.0114000000000001"/>
    <n v="2825.3218961066668"/>
    <m/>
    <n v="34"/>
    <s v="Sale"/>
    <x v="0"/>
    <x v="121"/>
    <x v="0"/>
    <n v="2636.2508641975305"/>
    <n v="1"/>
    <n v="2636.2508641975305"/>
    <n v="-157.22540246913604"/>
    <m/>
    <n v="2825.3218961066668"/>
    <n v="-189.07103190913631"/>
  </r>
  <r>
    <x v="1"/>
    <x v="157"/>
    <x v="82"/>
    <x v="0"/>
    <n v="3368.6037333333334"/>
    <n v="41"/>
    <n v="3368.6037333333334"/>
    <n v="1"/>
    <n v="3368.6037333333334"/>
    <n v="124.571"/>
    <n v="125.997"/>
    <n v="1.0114000000000001"/>
    <n v="3407.0058158933334"/>
    <m/>
    <n v="41"/>
    <s v="Sale"/>
    <x v="0"/>
    <x v="121"/>
    <x v="0"/>
    <n v="3149.3330000000001"/>
    <n v="1"/>
    <n v="3149.3330000000001"/>
    <n v="-219.27073333333328"/>
    <m/>
    <n v="3407.0058158933334"/>
    <n v="-257.67281589333334"/>
  </r>
  <r>
    <x v="1"/>
    <x v="157"/>
    <x v="82"/>
    <x v="0"/>
    <n v="993.82000000000016"/>
    <n v="12"/>
    <n v="993.82000000000016"/>
    <n v="1"/>
    <n v="993.82000000000016"/>
    <n v="124.571"/>
    <n v="125.997"/>
    <n v="1.0114000000000001"/>
    <n v="1005.1495480000002"/>
    <m/>
    <n v="12"/>
    <s v="Sale"/>
    <x v="0"/>
    <x v="121"/>
    <x v="0"/>
    <n v="921.75600000000009"/>
    <n v="1"/>
    <n v="921.75600000000009"/>
    <n v="-72.064000000000078"/>
    <m/>
    <n v="1005.1495480000002"/>
    <n v="-83.393548000000123"/>
  </r>
  <r>
    <x v="1"/>
    <x v="158"/>
    <x v="82"/>
    <x v="0"/>
    <n v="168.83"/>
    <n v="2"/>
    <n v="168.83"/>
    <n v="1"/>
    <n v="168.83"/>
    <n v="125.276"/>
    <n v="125.997"/>
    <n v="1.0057"/>
    <n v="169.79233100000002"/>
    <m/>
    <n v="2"/>
    <s v="Sale"/>
    <x v="0"/>
    <x v="121"/>
    <x v="0"/>
    <n v="153.626"/>
    <n v="1"/>
    <n v="153.626"/>
    <n v="-15.204000000000008"/>
    <m/>
    <n v="169.79233100000002"/>
    <n v="-16.166331000000014"/>
  </r>
  <r>
    <x v="1"/>
    <x v="158"/>
    <x v="82"/>
    <x v="0"/>
    <n v="420.52870370370374"/>
    <n v="5"/>
    <n v="420.52870370370374"/>
    <n v="1"/>
    <n v="420.52870370370374"/>
    <n v="125.276"/>
    <n v="125.997"/>
    <n v="1.0057"/>
    <n v="422.92571731481485"/>
    <m/>
    <n v="5"/>
    <s v="Sale"/>
    <x v="0"/>
    <x v="121"/>
    <x v="0"/>
    <n v="384.065"/>
    <n v="1"/>
    <n v="384.065"/>
    <n v="-36.463703703703743"/>
    <m/>
    <n v="422.92571731481485"/>
    <n v="-38.860717314814849"/>
  </r>
  <r>
    <x v="1"/>
    <x v="158"/>
    <x v="82"/>
    <x v="0"/>
    <n v="168.21148148148148"/>
    <n v="2"/>
    <n v="168.21148148148148"/>
    <n v="1"/>
    <n v="168.21148148148148"/>
    <n v="125.276"/>
    <n v="125.997"/>
    <n v="1.0057"/>
    <n v="169.17028692592592"/>
    <m/>
    <n v="2"/>
    <s v="Sale"/>
    <x v="0"/>
    <x v="122"/>
    <x v="0"/>
    <n v="154.68"/>
    <n v="1"/>
    <n v="154.68"/>
    <n v="-13.531481481481478"/>
    <m/>
    <n v="169.17028692592592"/>
    <n v="-14.490286925925915"/>
  </r>
  <r>
    <x v="1"/>
    <x v="158"/>
    <x v="82"/>
    <x v="0"/>
    <n v="504.63444444444445"/>
    <n v="6"/>
    <n v="504.63444444444445"/>
    <n v="1"/>
    <n v="504.63444444444445"/>
    <n v="125.276"/>
    <n v="125.997"/>
    <n v="1.0057"/>
    <n v="507.51086077777779"/>
    <m/>
    <n v="6"/>
    <s v="Sale"/>
    <x v="0"/>
    <x v="123"/>
    <x v="0"/>
    <n v="458.08"/>
    <n v="1"/>
    <n v="458.08"/>
    <n v="-46.554444444444471"/>
    <m/>
    <n v="507.51086077777779"/>
    <n v="-49.430860777777809"/>
  </r>
  <r>
    <x v="1"/>
    <x v="158"/>
    <x v="82"/>
    <x v="0"/>
    <n v="1429.7975925925925"/>
    <n v="17"/>
    <n v="1429.7975925925925"/>
    <n v="1"/>
    <n v="1429.7975925925925"/>
    <n v="125.276"/>
    <n v="125.997"/>
    <n v="1.0057"/>
    <n v="1437.9474388703704"/>
    <m/>
    <n v="17"/>
    <s v="Sale"/>
    <x v="0"/>
    <x v="123"/>
    <x v="0"/>
    <n v="1296.24"/>
    <n v="1"/>
    <n v="1296.24"/>
    <n v="-133.55759259259253"/>
    <m/>
    <n v="1437.9474388703704"/>
    <n v="-141.70743887037042"/>
  </r>
  <r>
    <x v="1"/>
    <x v="158"/>
    <x v="82"/>
    <x v="0"/>
    <n v="2018.5377777777778"/>
    <n v="24"/>
    <n v="2018.5377777777778"/>
    <n v="1"/>
    <n v="2018.5377777777778"/>
    <n v="125.276"/>
    <n v="125.997"/>
    <n v="1.0057"/>
    <n v="2030.0434431111112"/>
    <m/>
    <n v="24"/>
    <s v="Sale"/>
    <x v="0"/>
    <x v="123"/>
    <x v="0"/>
    <n v="1831.1701694915255"/>
    <n v="1"/>
    <n v="1831.1701694915255"/>
    <n v="-187.36760828625233"/>
    <m/>
    <n v="2030.0434431111112"/>
    <n v="-198.87327361958569"/>
  </r>
  <r>
    <x v="1"/>
    <x v="158"/>
    <x v="82"/>
    <x v="0"/>
    <n v="2700.36"/>
    <n v="32"/>
    <n v="2700.36"/>
    <n v="1"/>
    <n v="2700.36"/>
    <n v="125.276"/>
    <n v="125.997"/>
    <n v="1.0057"/>
    <n v="2715.7520520000003"/>
    <m/>
    <n v="32"/>
    <s v="Sale"/>
    <x v="0"/>
    <x v="123"/>
    <x v="0"/>
    <n v="2441.5602259887005"/>
    <n v="1"/>
    <n v="2441.5602259887005"/>
    <n v="-258.79977401129963"/>
    <m/>
    <n v="2715.7520520000003"/>
    <n v="-274.19182601129978"/>
  </r>
  <r>
    <x v="1"/>
    <x v="150"/>
    <x v="82"/>
    <x v="0"/>
    <n v="9848.19"/>
    <n v="121"/>
    <n v="9848.19"/>
    <n v="1"/>
    <n v="9848.19"/>
    <n v="125.276"/>
    <n v="125.997"/>
    <n v="1.0057"/>
    <n v="9904.3246830000007"/>
    <m/>
    <n v="121"/>
    <s v="Sale"/>
    <x v="0"/>
    <x v="123"/>
    <x v="0"/>
    <n v="9232.1496045197746"/>
    <n v="1"/>
    <n v="9232.1496045197746"/>
    <n v="-616.04039548022592"/>
    <m/>
    <n v="9904.3246830000007"/>
    <n v="-672.17507848022615"/>
  </r>
  <r>
    <x v="1"/>
    <x v="136"/>
    <x v="2"/>
    <x v="0"/>
    <n v="367.66966507177028"/>
    <n v="6"/>
    <n v="367.66966507177028"/>
    <n v="1"/>
    <n v="367.66966507177028"/>
    <n v="117.30800000000001"/>
    <n v="125.997"/>
    <n v="1.0740000000000001"/>
    <n v="394.87722028708129"/>
    <m/>
    <n v="6"/>
    <s v="Sale"/>
    <x v="0"/>
    <x v="121"/>
    <x v="0"/>
    <n v="452.17999999999995"/>
    <n v="1"/>
    <n v="452.17999999999995"/>
    <n v="84.510334928229668"/>
    <m/>
    <n v="394.87722028708129"/>
    <n v="57.302779712918664"/>
  </r>
  <r>
    <x v="1"/>
    <x v="136"/>
    <x v="2"/>
    <x v="0"/>
    <n v="919.17416267942576"/>
    <n v="15"/>
    <n v="919.17416267942576"/>
    <n v="1"/>
    <n v="919.17416267942576"/>
    <n v="117.30800000000001"/>
    <n v="125.997"/>
    <n v="1.0740000000000001"/>
    <n v="987.19305071770339"/>
    <m/>
    <n v="15"/>
    <s v="Sale"/>
    <x v="0"/>
    <x v="121"/>
    <x v="0"/>
    <n v="1134.1199999999999"/>
    <n v="1"/>
    <n v="1134.1199999999999"/>
    <n v="214.94583732057413"/>
    <m/>
    <n v="987.19305071770339"/>
    <n v="146.9269492822965"/>
  </r>
  <r>
    <x v="1"/>
    <x v="136"/>
    <x v="2"/>
    <x v="0"/>
    <n v="6066.5494736842102"/>
    <n v="99"/>
    <n v="6066.5494736842102"/>
    <n v="1"/>
    <n v="6066.5494736842102"/>
    <n v="117.30800000000001"/>
    <n v="125.997"/>
    <n v="1.0740000000000001"/>
    <n v="6515.4741347368417"/>
    <m/>
    <n v="99"/>
    <s v="Sale"/>
    <x v="0"/>
    <x v="121"/>
    <x v="0"/>
    <n v="7490.170000000001"/>
    <n v="1"/>
    <n v="7490.170000000001"/>
    <n v="1423.6205263157908"/>
    <m/>
    <n v="6515.4741347368417"/>
    <n v="974.69586526315925"/>
  </r>
  <r>
    <x v="1"/>
    <x v="136"/>
    <x v="2"/>
    <x v="0"/>
    <n v="306.39138755980861"/>
    <n v="5"/>
    <n v="306.39138755980861"/>
    <n v="1"/>
    <n v="306.39138755980861"/>
    <n v="117.30800000000001"/>
    <n v="125.997"/>
    <n v="1.0740000000000001"/>
    <n v="329.06435023923444"/>
    <m/>
    <n v="5"/>
    <s v="Sale"/>
    <x v="0"/>
    <x v="121"/>
    <x v="0"/>
    <n v="376.71"/>
    <n v="1"/>
    <n v="376.71"/>
    <n v="70.318612440191373"/>
    <m/>
    <n v="329.06435023923444"/>
    <n v="47.645649760765536"/>
  </r>
  <r>
    <x v="1"/>
    <x v="136"/>
    <x v="2"/>
    <x v="0"/>
    <n v="1531.9569377990429"/>
    <n v="25"/>
    <n v="1531.9569377990429"/>
    <n v="1"/>
    <n v="1531.9569377990429"/>
    <n v="117.30800000000001"/>
    <n v="125.997"/>
    <n v="1.0740000000000001"/>
    <n v="1645.321751196172"/>
    <m/>
    <n v="25"/>
    <s v="Sale"/>
    <x v="0"/>
    <x v="124"/>
    <x v="0"/>
    <n v="1840.2"/>
    <n v="1"/>
    <n v="1840.2"/>
    <n v="308.24306220095718"/>
    <m/>
    <n v="1645.321751196172"/>
    <n v="194.878248803828"/>
  </r>
  <r>
    <x v="1"/>
    <x v="136"/>
    <x v="2"/>
    <x v="0"/>
    <n v="2696.2442105263158"/>
    <n v="44"/>
    <n v="2696.2442105263158"/>
    <n v="1"/>
    <n v="2696.2442105263158"/>
    <n v="117.30800000000001"/>
    <n v="125.997"/>
    <n v="1.0740000000000001"/>
    <n v="2895.7662821052631"/>
    <m/>
    <n v="44"/>
    <s v="Sale"/>
    <x v="0"/>
    <x v="124"/>
    <x v="0"/>
    <n v="3245.6045801526716"/>
    <n v="1"/>
    <n v="3245.6045801526716"/>
    <n v="549.3603696263558"/>
    <m/>
    <n v="2895.7662821052631"/>
    <n v="349.83829804740844"/>
  </r>
  <r>
    <x v="1"/>
    <x v="114"/>
    <x v="2"/>
    <x v="0"/>
    <n v="3276.9"/>
    <n v="52"/>
    <n v="3276.9"/>
    <n v="1"/>
    <n v="3276.9"/>
    <n v="117.30800000000001"/>
    <n v="125.997"/>
    <n v="1.0740000000000001"/>
    <n v="3519.3906000000002"/>
    <m/>
    <n v="52"/>
    <s v="Sale"/>
    <x v="0"/>
    <x v="124"/>
    <x v="0"/>
    <n v="3835.7145038167937"/>
    <n v="1"/>
    <n v="3835.7145038167937"/>
    <n v="558.8145038167936"/>
    <m/>
    <n v="3519.3906000000002"/>
    <n v="316.32390381679352"/>
  </r>
  <r>
    <x v="1"/>
    <x v="103"/>
    <x v="2"/>
    <x v="0"/>
    <n v="78.8"/>
    <n v="1"/>
    <n v="78.8"/>
    <n v="1"/>
    <n v="78.8"/>
    <n v="121.02200000000001"/>
    <n v="125.997"/>
    <n v="1.0410999999999999"/>
    <n v="82.038679999999985"/>
    <m/>
    <n v="1"/>
    <s v="Sale"/>
    <x v="0"/>
    <x v="124"/>
    <x v="0"/>
    <n v="73.763740458015263"/>
    <n v="1"/>
    <n v="73.763740458015263"/>
    <n v="-5.0362595419847338"/>
    <m/>
    <n v="82.038679999999985"/>
    <n v="-8.2749395419847218"/>
  </r>
  <r>
    <x v="1"/>
    <x v="150"/>
    <x v="2"/>
    <x v="0"/>
    <n v="2475.1999999999998"/>
    <n v="34"/>
    <n v="2475.1999999999998"/>
    <n v="1"/>
    <n v="2475.1999999999998"/>
    <n v="125.276"/>
    <n v="125.997"/>
    <n v="1.0057"/>
    <n v="2489.3086399999997"/>
    <m/>
    <n v="34"/>
    <s v="Sale"/>
    <x v="0"/>
    <x v="124"/>
    <x v="0"/>
    <n v="2507.967175572519"/>
    <n v="1"/>
    <n v="2507.967175572519"/>
    <n v="32.767175572519136"/>
    <m/>
    <n v="2489.3086399999997"/>
    <n v="18.658535572519213"/>
  </r>
  <r>
    <x v="1"/>
    <x v="150"/>
    <x v="2"/>
    <x v="0"/>
    <n v="291.2"/>
    <n v="4"/>
    <n v="291.2"/>
    <n v="1"/>
    <n v="291.2"/>
    <n v="125.276"/>
    <n v="125.997"/>
    <n v="1.0057"/>
    <n v="292.85984000000002"/>
    <m/>
    <n v="4"/>
    <s v="Sale"/>
    <x v="0"/>
    <x v="124"/>
    <x v="0"/>
    <n v="294.79000000000002"/>
    <n v="1"/>
    <n v="294.79000000000002"/>
    <n v="3.5900000000000318"/>
    <m/>
    <n v="292.85984000000002"/>
    <n v="1.9301600000000008"/>
  </r>
  <r>
    <x v="4"/>
    <x v="1"/>
    <x v="47"/>
    <x v="0"/>
    <n v="38638.780737137509"/>
    <n v="144"/>
    <n v="38638.780737137509"/>
    <n v="1"/>
    <n v="38638.780737137509"/>
    <n v="105.934"/>
    <n v="125.276"/>
    <n v="1.1825000000000001"/>
    <n v="45690.358221665112"/>
    <m/>
    <n v="144"/>
    <s v="Sale"/>
    <x v="0"/>
    <x v="125"/>
    <x v="0"/>
    <n v="56130.49"/>
    <n v="1"/>
    <n v="56130.49"/>
    <n v="17491.709262862489"/>
    <m/>
    <n v="45690.358221665112"/>
    <n v="10440.131778334886"/>
  </r>
  <r>
    <x v="4"/>
    <x v="1"/>
    <x v="83"/>
    <x v="0"/>
    <n v="16024.45381404324"/>
    <n v="338"/>
    <n v="16024.45381404324"/>
    <n v="1"/>
    <n v="16024.45381404324"/>
    <n v="105.934"/>
    <n v="125.276"/>
    <n v="1.1825000000000001"/>
    <n v="18948.916635106132"/>
    <m/>
    <n v="338"/>
    <s v="Sale"/>
    <x v="0"/>
    <x v="125"/>
    <x v="0"/>
    <n v="24204.23"/>
    <n v="1"/>
    <n v="24204.23"/>
    <n v="8179.7761859567599"/>
    <m/>
    <n v="18948.916635106132"/>
    <n v="5255.3133648938674"/>
  </r>
  <r>
    <x v="4"/>
    <x v="26"/>
    <x v="68"/>
    <x v="2"/>
    <n v="95248.723387656617"/>
    <n v="589.4"/>
    <n v="95248.723387656617"/>
    <n v="1.1572499999999999"/>
    <n v="110226.58514036561"/>
    <n v="115.56100000000001"/>
    <n v="125.276"/>
    <n v="1.0840000000000001"/>
    <n v="119485.61829215633"/>
    <m/>
    <n v="589.4"/>
    <s v="Sale"/>
    <x v="0"/>
    <x v="126"/>
    <x v="2"/>
    <n v="84096.567504474879"/>
    <n v="0.98885000000000001"/>
    <n v="83158.890776799977"/>
    <n v="-27067.694363565635"/>
    <m/>
    <n v="119485.61829215633"/>
    <n v="-36326.727515356353"/>
  </r>
  <r>
    <x v="4"/>
    <x v="159"/>
    <x v="68"/>
    <x v="2"/>
    <n v="99979.409347413806"/>
    <n v="611.75"/>
    <n v="99979.409347413806"/>
    <n v="1.1228499999999999"/>
    <n v="112261.87978574359"/>
    <n v="118.98099999999999"/>
    <n v="125.276"/>
    <n v="1.0528999999999999"/>
    <n v="118200.53322640942"/>
    <m/>
    <n v="611.75"/>
    <s v="Sale"/>
    <x v="0"/>
    <x v="126"/>
    <x v="2"/>
    <n v="87285.502495525128"/>
    <n v="0.98885000000000001"/>
    <n v="86312.269142700025"/>
    <n v="-25949.610643043561"/>
    <m/>
    <n v="118200.53322640942"/>
    <n v="-31888.264083709393"/>
  </r>
  <r>
    <x v="4"/>
    <x v="98"/>
    <x v="84"/>
    <x v="0"/>
    <n v="7540.4813999999997"/>
    <n v="8667.2199999999993"/>
    <n v="7540.4813999999997"/>
    <n v="1"/>
    <n v="7540.4813999999997"/>
    <n v="114.601"/>
    <n v="125.276"/>
    <n v="1.0931"/>
    <n v="8242.5002183399993"/>
    <m/>
    <n v="8667.2199999999993"/>
    <s v="Sale"/>
    <x v="0"/>
    <x v="116"/>
    <x v="0"/>
    <n v="8667.2199999999993"/>
    <n v="1"/>
    <n v="8667.2199999999993"/>
    <n v="1126.7385999999997"/>
    <m/>
    <n v="8242.5002183399993"/>
    <n v="424.71978166000008"/>
  </r>
  <r>
    <x v="4"/>
    <x v="1"/>
    <x v="85"/>
    <x v="0"/>
    <n v="154083.79006966163"/>
    <n v="3535"/>
    <n v="154083.79006966163"/>
    <n v="1"/>
    <n v="154083.79006966163"/>
    <n v="105.934"/>
    <n v="125.997"/>
    <n v="1.1893"/>
    <n v="183251.85152984859"/>
    <m/>
    <n v="3535"/>
    <s v="Sale"/>
    <x v="0"/>
    <x v="127"/>
    <x v="0"/>
    <n v="142782.39999999999"/>
    <n v="1"/>
    <n v="142782.39999999999"/>
    <n v="-11301.390069661633"/>
    <m/>
    <n v="183251.85152984859"/>
    <n v="-40469.451529848593"/>
  </r>
  <r>
    <x v="4"/>
    <x v="160"/>
    <x v="86"/>
    <x v="0"/>
    <n v="770427.99134002114"/>
    <n v="7678.04"/>
    <n v="770427.99134002114"/>
    <n v="1"/>
    <n v="770427.99134002114"/>
    <n v="103.67"/>
    <n v="125.997"/>
    <n v="1.2153"/>
    <n v="936301.13787552773"/>
    <m/>
    <n v="7678.04"/>
    <s v="Sale"/>
    <x v="0"/>
    <x v="128"/>
    <x v="0"/>
    <n v="783160.26"/>
    <n v="1"/>
    <n v="783160.26"/>
    <n v="12732.268659978872"/>
    <m/>
    <n v="936301.13787552773"/>
    <n v="-153140.87787552772"/>
  </r>
  <r>
    <x v="3"/>
    <x v="47"/>
    <x v="31"/>
    <x v="0"/>
    <n v="3007.4"/>
    <n v="20"/>
    <n v="3007.4"/>
    <n v="1"/>
    <n v="3007.4"/>
    <n v="116.884"/>
    <n v="125.276"/>
    <n v="1.0717000000000001"/>
    <n v="3223.0305800000006"/>
    <m/>
    <n v="20"/>
    <s v="Sale"/>
    <x v="0"/>
    <x v="129"/>
    <x v="0"/>
    <n v="2838.24"/>
    <n v="1"/>
    <n v="2838.24"/>
    <n v="-169.16000000000031"/>
    <m/>
    <n v="3223.0305800000006"/>
    <n v="-384.79058000000077"/>
  </r>
  <r>
    <x v="3"/>
    <x v="47"/>
    <x v="31"/>
    <x v="0"/>
    <n v="1503.7"/>
    <n v="10"/>
    <n v="1503.7"/>
    <n v="1"/>
    <n v="1503.7"/>
    <n v="116.884"/>
    <n v="125.276"/>
    <n v="1.0717000000000001"/>
    <n v="1611.5152900000003"/>
    <m/>
    <n v="10"/>
    <s v="Sale"/>
    <x v="0"/>
    <x v="114"/>
    <x v="0"/>
    <n v="1374.23"/>
    <n v="1"/>
    <n v="1374.23"/>
    <n v="-129.47000000000003"/>
    <m/>
    <n v="1611.5152900000003"/>
    <n v="-237.28529000000026"/>
  </r>
  <r>
    <x v="3"/>
    <x v="47"/>
    <x v="41"/>
    <x v="0"/>
    <n v="2793.2831999999999"/>
    <n v="8"/>
    <n v="2793.2831999999999"/>
    <n v="1"/>
    <n v="2793.2831999999999"/>
    <n v="116.884"/>
    <n v="125.276"/>
    <n v="1.0717000000000001"/>
    <n v="2993.5616054400002"/>
    <m/>
    <n v="8"/>
    <s v="Sale"/>
    <x v="0"/>
    <x v="129"/>
    <x v="0"/>
    <n v="1849.75"/>
    <n v="1"/>
    <n v="1849.75"/>
    <n v="-943.53319999999985"/>
    <m/>
    <n v="2993.5616054400002"/>
    <n v="-1143.8116054400002"/>
  </r>
  <r>
    <x v="3"/>
    <x v="47"/>
    <x v="32"/>
    <x v="0"/>
    <n v="255.5"/>
    <n v="2"/>
    <n v="255.5"/>
    <n v="1"/>
    <n v="255.5"/>
    <n v="116.884"/>
    <n v="125.276"/>
    <n v="1.0717000000000001"/>
    <n v="273.81935000000004"/>
    <m/>
    <n v="2"/>
    <s v="Sale"/>
    <x v="0"/>
    <x v="130"/>
    <x v="0"/>
    <n v="214.08"/>
    <n v="1"/>
    <n v="214.08"/>
    <n v="-41.419999999999987"/>
    <m/>
    <n v="273.81935000000004"/>
    <n v="-59.73935000000003"/>
  </r>
  <r>
    <x v="3"/>
    <x v="47"/>
    <x v="32"/>
    <x v="0"/>
    <n v="1788.5"/>
    <n v="14"/>
    <n v="1788.5"/>
    <n v="1"/>
    <n v="1788.5"/>
    <n v="116.884"/>
    <n v="125.276"/>
    <n v="1.0717000000000001"/>
    <n v="1916.7354500000001"/>
    <m/>
    <n v="14"/>
    <s v="Sale"/>
    <x v="0"/>
    <x v="130"/>
    <x v="0"/>
    <n v="1501.26"/>
    <n v="1"/>
    <n v="1501.26"/>
    <n v="-287.24"/>
    <m/>
    <n v="1916.7354500000001"/>
    <n v="-415.47545000000014"/>
  </r>
  <r>
    <x v="3"/>
    <x v="47"/>
    <x v="32"/>
    <x v="0"/>
    <n v="511"/>
    <n v="4"/>
    <n v="511"/>
    <n v="1"/>
    <n v="511"/>
    <n v="116.884"/>
    <n v="125.276"/>
    <n v="1.0717000000000001"/>
    <n v="547.63870000000009"/>
    <m/>
    <n v="4"/>
    <s v="Sale"/>
    <x v="0"/>
    <x v="114"/>
    <x v="0"/>
    <n v="416.21"/>
    <n v="1"/>
    <n v="416.21"/>
    <n v="-94.79000000000002"/>
    <m/>
    <n v="547.63870000000009"/>
    <n v="-131.42870000000011"/>
  </r>
  <r>
    <x v="3"/>
    <x v="47"/>
    <x v="32"/>
    <x v="0"/>
    <n v="1277.5"/>
    <n v="10"/>
    <n v="1277.5"/>
    <n v="1"/>
    <n v="1277.5"/>
    <n v="116.884"/>
    <n v="125.276"/>
    <n v="1.0717000000000001"/>
    <n v="1369.0967500000002"/>
    <m/>
    <n v="10"/>
    <s v="Sale"/>
    <x v="0"/>
    <x v="114"/>
    <x v="0"/>
    <n v="1031.52"/>
    <n v="1"/>
    <n v="1031.52"/>
    <n v="-245.98000000000002"/>
    <m/>
    <n v="1369.0967500000002"/>
    <n v="-337.57675000000017"/>
  </r>
  <r>
    <x v="3"/>
    <x v="47"/>
    <x v="32"/>
    <x v="0"/>
    <n v="127.75"/>
    <n v="1"/>
    <n v="127.75"/>
    <n v="1"/>
    <n v="127.75"/>
    <n v="116.884"/>
    <n v="125.276"/>
    <n v="1.0717000000000001"/>
    <n v="136.90967500000002"/>
    <m/>
    <n v="1"/>
    <s v="Sale"/>
    <x v="0"/>
    <x v="131"/>
    <x v="0"/>
    <n v="101.69"/>
    <n v="1"/>
    <n v="101.69"/>
    <n v="-26.060000000000002"/>
    <m/>
    <n v="136.90967500000002"/>
    <n v="-35.219675000000024"/>
  </r>
  <r>
    <x v="3"/>
    <x v="47"/>
    <x v="32"/>
    <x v="0"/>
    <n v="255.5"/>
    <n v="2"/>
    <n v="255.5"/>
    <n v="1"/>
    <n v="255.5"/>
    <n v="116.884"/>
    <n v="125.276"/>
    <n v="1.0717000000000001"/>
    <n v="273.81935000000004"/>
    <m/>
    <n v="2"/>
    <s v="Sale"/>
    <x v="0"/>
    <x v="131"/>
    <x v="0"/>
    <n v="202.15"/>
    <n v="1"/>
    <n v="202.15"/>
    <n v="-53.349999999999994"/>
    <m/>
    <n v="273.81935000000004"/>
    <n v="-71.669350000000037"/>
  </r>
  <r>
    <x v="3"/>
    <x v="47"/>
    <x v="32"/>
    <x v="0"/>
    <n v="127.75"/>
    <n v="1"/>
    <n v="127.75"/>
    <n v="1"/>
    <n v="127.75"/>
    <n v="116.884"/>
    <n v="125.276"/>
    <n v="1.0717000000000001"/>
    <n v="136.90967500000002"/>
    <m/>
    <n v="1"/>
    <s v="Sale"/>
    <x v="0"/>
    <x v="132"/>
    <x v="0"/>
    <n v="105.05"/>
    <n v="1"/>
    <n v="105.05"/>
    <n v="-22.700000000000003"/>
    <m/>
    <n v="136.90967500000002"/>
    <n v="-31.859675000000024"/>
  </r>
  <r>
    <x v="3"/>
    <x v="161"/>
    <x v="87"/>
    <x v="0"/>
    <n v="229.99071428571429"/>
    <n v="3"/>
    <n v="229.99071428571429"/>
    <n v="1"/>
    <n v="229.99071428571429"/>
    <n v="122.044"/>
    <n v="125.276"/>
    <n v="1.0264"/>
    <n v="236.06246914285714"/>
    <m/>
    <n v="3"/>
    <s v="Sale"/>
    <x v="0"/>
    <x v="130"/>
    <x v="0"/>
    <n v="195.47"/>
    <n v="1"/>
    <n v="195.47"/>
    <n v="-34.520714285714291"/>
    <m/>
    <n v="236.06246914285714"/>
    <n v="-40.592469142857141"/>
  </r>
  <r>
    <x v="3"/>
    <x v="161"/>
    <x v="87"/>
    <x v="0"/>
    <n v="229.99071428571429"/>
    <n v="3"/>
    <n v="229.99071428571429"/>
    <n v="1"/>
    <n v="229.99071428571429"/>
    <n v="122.044"/>
    <n v="125.276"/>
    <n v="1.0264"/>
    <n v="236.06246914285714"/>
    <m/>
    <n v="3"/>
    <s v="Sale"/>
    <x v="0"/>
    <x v="130"/>
    <x v="0"/>
    <n v="192.44"/>
    <n v="1"/>
    <n v="192.44"/>
    <n v="-37.550714285714292"/>
    <m/>
    <n v="236.06246914285714"/>
    <n v="-43.622469142857142"/>
  </r>
  <r>
    <x v="3"/>
    <x v="161"/>
    <x v="87"/>
    <x v="0"/>
    <n v="613.30857142857144"/>
    <n v="8"/>
    <n v="613.30857142857144"/>
    <n v="1"/>
    <n v="613.30857142857144"/>
    <n v="122.044"/>
    <n v="125.276"/>
    <n v="1.0264"/>
    <n v="629.49991771428574"/>
    <m/>
    <n v="8"/>
    <s v="Sale"/>
    <x v="0"/>
    <x v="130"/>
    <x v="0"/>
    <n v="517.0577777777778"/>
    <n v="1"/>
    <n v="517.0577777777778"/>
    <n v="-96.250793650793639"/>
    <m/>
    <n v="629.49991771428574"/>
    <n v="-112.44213993650794"/>
  </r>
  <r>
    <x v="3"/>
    <x v="162"/>
    <x v="87"/>
    <x v="0"/>
    <n v="76.709999999999994"/>
    <n v="1"/>
    <n v="76.709999999999994"/>
    <n v="1"/>
    <n v="76.709999999999994"/>
    <n v="122.044"/>
    <n v="125.276"/>
    <n v="1.0264"/>
    <n v="78.735143999999991"/>
    <m/>
    <n v="1"/>
    <s v="Sale"/>
    <x v="0"/>
    <x v="130"/>
    <x v="0"/>
    <n v="64.632222222222225"/>
    <n v="1"/>
    <n v="64.632222222222225"/>
    <n v="-12.077777777777769"/>
    <m/>
    <n v="78.735143999999991"/>
    <n v="-14.102921777777766"/>
  </r>
  <r>
    <x v="3"/>
    <x v="163"/>
    <x v="87"/>
    <x v="0"/>
    <n v="150.89090909090908"/>
    <n v="2"/>
    <n v="150.89090909090908"/>
    <n v="1"/>
    <n v="150.89090909090908"/>
    <n v="122.044"/>
    <n v="125.276"/>
    <n v="1.0264"/>
    <n v="154.87442909090908"/>
    <m/>
    <n v="2"/>
    <s v="Sale"/>
    <x v="0"/>
    <x v="130"/>
    <x v="0"/>
    <n v="128.16"/>
    <n v="1"/>
    <n v="128.16"/>
    <n v="-22.73090909090908"/>
    <m/>
    <n v="154.87442909090908"/>
    <n v="-26.714429090909078"/>
  </r>
  <r>
    <x v="3"/>
    <x v="163"/>
    <x v="87"/>
    <x v="0"/>
    <n v="75.445454545454538"/>
    <n v="1"/>
    <n v="75.445454545454538"/>
    <n v="1"/>
    <n v="75.445454545454538"/>
    <n v="122.044"/>
    <n v="125.276"/>
    <n v="1.0264"/>
    <n v="77.437214545454538"/>
    <m/>
    <n v="1"/>
    <s v="Sale"/>
    <x v="0"/>
    <x v="130"/>
    <x v="0"/>
    <n v="64.959999999999994"/>
    <n v="1"/>
    <n v="64.959999999999994"/>
    <n v="-10.485454545454544"/>
    <m/>
    <n v="77.437214545454538"/>
    <n v="-12.477214545454544"/>
  </r>
  <r>
    <x v="3"/>
    <x v="163"/>
    <x v="87"/>
    <x v="0"/>
    <n v="226.33636363636361"/>
    <n v="3"/>
    <n v="226.33636363636361"/>
    <n v="1"/>
    <n v="226.33636363636361"/>
    <n v="122.044"/>
    <n v="125.276"/>
    <n v="1.0264"/>
    <n v="232.31164363636361"/>
    <m/>
    <n v="3"/>
    <s v="Sale"/>
    <x v="0"/>
    <x v="113"/>
    <x v="0"/>
    <n v="188.57"/>
    <n v="1"/>
    <n v="188.57"/>
    <n v="-37.766363636363621"/>
    <m/>
    <n v="232.31164363636361"/>
    <n v="-43.741643636363619"/>
  </r>
  <r>
    <x v="3"/>
    <x v="163"/>
    <x v="87"/>
    <x v="0"/>
    <n v="301.78181818181815"/>
    <n v="4"/>
    <n v="301.78181818181815"/>
    <n v="1"/>
    <n v="301.78181818181815"/>
    <n v="122.044"/>
    <n v="125.276"/>
    <n v="1.0264"/>
    <n v="309.74885818181815"/>
    <m/>
    <n v="4"/>
    <s v="Sale"/>
    <x v="0"/>
    <x v="113"/>
    <x v="0"/>
    <n v="251.85"/>
    <n v="1"/>
    <n v="251.85"/>
    <n v="-49.931818181818159"/>
    <m/>
    <n v="309.74885818181815"/>
    <n v="-57.898858181818156"/>
  </r>
  <r>
    <x v="3"/>
    <x v="163"/>
    <x v="87"/>
    <x v="0"/>
    <n v="75.445454545454538"/>
    <n v="1"/>
    <n v="75.445454545454538"/>
    <n v="1"/>
    <n v="75.445454545454538"/>
    <n v="122.044"/>
    <n v="125.276"/>
    <n v="1.0264"/>
    <n v="77.437214545454538"/>
    <m/>
    <n v="1"/>
    <s v="Sale"/>
    <x v="0"/>
    <x v="113"/>
    <x v="0"/>
    <n v="63.465000000000003"/>
    <n v="1"/>
    <n v="63.465000000000003"/>
    <n v="-11.980454545454535"/>
    <m/>
    <n v="77.437214545454538"/>
    <n v="-13.972214545454534"/>
  </r>
  <r>
    <x v="3"/>
    <x v="163"/>
    <x v="87"/>
    <x v="0"/>
    <n v="75.45"/>
    <n v="1"/>
    <n v="75.45"/>
    <n v="1"/>
    <n v="75.45"/>
    <n v="122.044"/>
    <n v="125.276"/>
    <n v="1.0264"/>
    <n v="77.441879999999998"/>
    <m/>
    <n v="1"/>
    <s v="Sale"/>
    <x v="0"/>
    <x v="113"/>
    <x v="0"/>
    <n v="63.465000000000003"/>
    <n v="1"/>
    <n v="63.465000000000003"/>
    <n v="-11.984999999999999"/>
    <m/>
    <n v="77.441879999999998"/>
    <n v="-13.976879999999994"/>
  </r>
  <r>
    <x v="3"/>
    <x v="163"/>
    <x v="87"/>
    <x v="0"/>
    <n v="73.064999999999998"/>
    <n v="1"/>
    <n v="73.064999999999998"/>
    <n v="1"/>
    <n v="73.064999999999998"/>
    <n v="122.044"/>
    <n v="125.276"/>
    <n v="1.0264"/>
    <n v="74.993915999999999"/>
    <m/>
    <n v="1"/>
    <s v="Sale"/>
    <x v="0"/>
    <x v="113"/>
    <x v="0"/>
    <n v="63.02"/>
    <n v="1"/>
    <n v="63.02"/>
    <n v="-10.044999999999995"/>
    <m/>
    <n v="74.993915999999999"/>
    <n v="-11.973915999999996"/>
  </r>
  <r>
    <x v="3"/>
    <x v="163"/>
    <x v="87"/>
    <x v="0"/>
    <n v="73.064999999999998"/>
    <n v="1"/>
    <n v="73.064999999999998"/>
    <n v="1"/>
    <n v="73.064999999999998"/>
    <n v="122.044"/>
    <n v="125.276"/>
    <n v="1.0264"/>
    <n v="74.993915999999999"/>
    <m/>
    <n v="1"/>
    <s v="Sale"/>
    <x v="0"/>
    <x v="113"/>
    <x v="0"/>
    <n v="63.02"/>
    <n v="1"/>
    <n v="63.02"/>
    <n v="-10.044999999999995"/>
    <m/>
    <n v="74.993915999999999"/>
    <n v="-11.973915999999996"/>
  </r>
  <r>
    <x v="3"/>
    <x v="163"/>
    <x v="87"/>
    <x v="0"/>
    <n v="146.13"/>
    <n v="2"/>
    <n v="146.13"/>
    <n v="1"/>
    <n v="146.13"/>
    <n v="122.044"/>
    <n v="125.276"/>
    <n v="1.0264"/>
    <n v="149.987832"/>
    <m/>
    <n v="2"/>
    <s v="Sale"/>
    <x v="0"/>
    <x v="113"/>
    <x v="0"/>
    <n v="123.17"/>
    <n v="1"/>
    <n v="123.17"/>
    <n v="-22.959999999999994"/>
    <m/>
    <n v="149.987832"/>
    <n v="-26.817831999999996"/>
  </r>
  <r>
    <x v="3"/>
    <x v="163"/>
    <x v="87"/>
    <x v="0"/>
    <n v="427.13"/>
    <n v="6"/>
    <n v="427.13"/>
    <n v="1"/>
    <n v="427.13"/>
    <n v="122.044"/>
    <n v="125.276"/>
    <n v="1.0264"/>
    <n v="438.40623199999999"/>
    <m/>
    <n v="6"/>
    <s v="Sale"/>
    <x v="0"/>
    <x v="113"/>
    <x v="0"/>
    <n v="376.92923076923074"/>
    <n v="1"/>
    <n v="376.92923076923074"/>
    <n v="-50.200769230769254"/>
    <m/>
    <n v="438.40623199999999"/>
    <n v="-61.477001230769247"/>
  </r>
  <r>
    <x v="3"/>
    <x v="164"/>
    <x v="87"/>
    <x v="0"/>
    <n v="75.53"/>
    <n v="1"/>
    <n v="75.53"/>
    <n v="1"/>
    <n v="75.53"/>
    <n v="122.94799999999999"/>
    <n v="125.276"/>
    <n v="1.0188999999999999"/>
    <n v="76.957516999999996"/>
    <m/>
    <n v="1"/>
    <s v="Sale"/>
    <x v="0"/>
    <x v="113"/>
    <x v="0"/>
    <n v="62.821538461538459"/>
    <n v="1"/>
    <n v="62.821538461538459"/>
    <n v="-12.708461538461542"/>
    <m/>
    <n v="76.957516999999996"/>
    <n v="-14.135978538461536"/>
  </r>
  <r>
    <x v="3"/>
    <x v="164"/>
    <x v="87"/>
    <x v="0"/>
    <n v="151.29"/>
    <n v="2"/>
    <n v="151.29"/>
    <n v="1"/>
    <n v="151.29"/>
    <n v="122.94799999999999"/>
    <n v="125.276"/>
    <n v="1.0188999999999999"/>
    <n v="154.14938099999998"/>
    <m/>
    <n v="2"/>
    <s v="Sale"/>
    <x v="0"/>
    <x v="113"/>
    <x v="0"/>
    <n v="125.64307692307692"/>
    <n v="1"/>
    <n v="125.64307692307692"/>
    <n v="-25.646923076923073"/>
    <m/>
    <n v="154.14938099999998"/>
    <n v="-28.506304076923058"/>
  </r>
  <r>
    <x v="3"/>
    <x v="164"/>
    <x v="87"/>
    <x v="0"/>
    <n v="150.5"/>
    <n v="2"/>
    <n v="150.5"/>
    <n v="1"/>
    <n v="150.5"/>
    <n v="122.94799999999999"/>
    <n v="125.276"/>
    <n v="1.0188999999999999"/>
    <n v="153.34444999999999"/>
    <m/>
    <n v="2"/>
    <s v="Sale"/>
    <x v="0"/>
    <x v="113"/>
    <x v="0"/>
    <n v="125.64307692307692"/>
    <n v="1"/>
    <n v="125.64307692307692"/>
    <n v="-24.856923076923081"/>
    <m/>
    <n v="153.34444999999999"/>
    <n v="-27.701373076923076"/>
  </r>
  <r>
    <x v="3"/>
    <x v="164"/>
    <x v="87"/>
    <x v="0"/>
    <n v="151.00399999999999"/>
    <n v="2"/>
    <n v="151.00399999999999"/>
    <n v="1"/>
    <n v="151.00399999999999"/>
    <n v="122.94799999999999"/>
    <n v="125.276"/>
    <n v="1.0188999999999999"/>
    <n v="153.85797559999997"/>
    <m/>
    <n v="2"/>
    <s v="Sale"/>
    <x v="0"/>
    <x v="113"/>
    <x v="0"/>
    <n v="125.64307692307692"/>
    <n v="1"/>
    <n v="125.64307692307692"/>
    <n v="-25.360923076923072"/>
    <m/>
    <n v="153.85797559999997"/>
    <n v="-28.214898676923056"/>
  </r>
  <r>
    <x v="3"/>
    <x v="164"/>
    <x v="87"/>
    <x v="0"/>
    <n v="75.501999999999995"/>
    <n v="1"/>
    <n v="75.501999999999995"/>
    <n v="1"/>
    <n v="75.501999999999995"/>
    <n v="122.94799999999999"/>
    <n v="125.276"/>
    <n v="1.0188999999999999"/>
    <n v="76.928987799999987"/>
    <m/>
    <n v="1"/>
    <s v="Sale"/>
    <x v="0"/>
    <x v="113"/>
    <x v="0"/>
    <n v="63.01"/>
    <n v="1"/>
    <n v="63.01"/>
    <n v="-12.491999999999997"/>
    <m/>
    <n v="76.928987799999987"/>
    <n v="-13.918987799999989"/>
  </r>
  <r>
    <x v="3"/>
    <x v="164"/>
    <x v="87"/>
    <x v="0"/>
    <n v="151.00399999999999"/>
    <n v="2"/>
    <n v="151.00399999999999"/>
    <n v="1"/>
    <n v="151.00399999999999"/>
    <n v="122.94799999999999"/>
    <n v="125.276"/>
    <n v="1.0188999999999999"/>
    <n v="153.85797559999997"/>
    <m/>
    <n v="2"/>
    <s v="Sale"/>
    <x v="0"/>
    <x v="114"/>
    <x v="0"/>
    <n v="120.77"/>
    <n v="1"/>
    <n v="120.77"/>
    <n v="-30.233999999999995"/>
    <m/>
    <n v="153.85797559999997"/>
    <n v="-33.087975599999979"/>
  </r>
  <r>
    <x v="3"/>
    <x v="47"/>
    <x v="88"/>
    <x v="0"/>
    <n v="2150.5855072463769"/>
    <n v="10"/>
    <n v="2150.5855072463769"/>
    <n v="1"/>
    <n v="2150.5855072463769"/>
    <n v="116.884"/>
    <n v="118.002"/>
    <n v="1.0095000000000001"/>
    <n v="2171.0160695652175"/>
    <m/>
    <n v="10"/>
    <s v="Sale"/>
    <x v="0"/>
    <x v="133"/>
    <x v="0"/>
    <n v="2070.73"/>
    <n v="1"/>
    <n v="2070.73"/>
    <n v="-79.855507246376874"/>
    <m/>
    <n v="2171.0160695652175"/>
    <n v="-100.28606956521753"/>
  </r>
  <r>
    <x v="3"/>
    <x v="47"/>
    <x v="88"/>
    <x v="0"/>
    <n v="860.23420289855073"/>
    <n v="4"/>
    <n v="860.23420289855073"/>
    <n v="1"/>
    <n v="860.23420289855073"/>
    <n v="116.884"/>
    <n v="121.02200000000001"/>
    <n v="1.0354000000000001"/>
    <n v="890.6864936811595"/>
    <m/>
    <n v="4"/>
    <s v="Sale"/>
    <x v="0"/>
    <x v="134"/>
    <x v="0"/>
    <n v="766.67"/>
    <n v="1"/>
    <n v="766.67"/>
    <n v="-93.564202898550775"/>
    <m/>
    <n v="890.6864936811595"/>
    <n v="-124.01649368115955"/>
  </r>
  <r>
    <x v="3"/>
    <x v="47"/>
    <x v="88"/>
    <x v="0"/>
    <n v="860.23420289855073"/>
    <n v="4"/>
    <n v="860.23420289855073"/>
    <n v="1"/>
    <n v="860.23420289855073"/>
    <n v="116.884"/>
    <n v="122.044"/>
    <n v="1.0441"/>
    <n v="898.17053124637687"/>
    <m/>
    <n v="4"/>
    <s v="Sale"/>
    <x v="0"/>
    <x v="50"/>
    <x v="0"/>
    <n v="758.88"/>
    <n v="1"/>
    <n v="758.88"/>
    <n v="-101.35420289855074"/>
    <m/>
    <n v="898.17053124637687"/>
    <n v="-139.29053124637687"/>
  </r>
  <r>
    <x v="3"/>
    <x v="47"/>
    <x v="88"/>
    <x v="0"/>
    <n v="215.05855072463768"/>
    <n v="1"/>
    <n v="215.05855072463768"/>
    <n v="1"/>
    <n v="215.05855072463768"/>
    <n v="116.884"/>
    <n v="125.276"/>
    <n v="1.0717000000000001"/>
    <n v="230.47824881159423"/>
    <m/>
    <n v="1"/>
    <s v="Sale"/>
    <x v="0"/>
    <x v="130"/>
    <x v="0"/>
    <n v="144.4"/>
    <n v="1"/>
    <n v="144.4"/>
    <n v="-70.658550724637678"/>
    <m/>
    <n v="230.47824881159423"/>
    <n v="-86.078248811594221"/>
  </r>
  <r>
    <x v="3"/>
    <x v="47"/>
    <x v="88"/>
    <x v="0"/>
    <n v="430.11710144927537"/>
    <n v="2"/>
    <n v="430.11710144927537"/>
    <n v="1"/>
    <n v="430.11710144927537"/>
    <n v="116.884"/>
    <n v="125.276"/>
    <n v="1.0717000000000001"/>
    <n v="460.95649762318845"/>
    <m/>
    <n v="2"/>
    <s v="Sale"/>
    <x v="0"/>
    <x v="130"/>
    <x v="0"/>
    <n v="287.29000000000002"/>
    <n v="1"/>
    <n v="287.29000000000002"/>
    <n v="-142.82710144927535"/>
    <m/>
    <n v="460.95649762318845"/>
    <n v="-173.66649762318843"/>
  </r>
  <r>
    <x v="3"/>
    <x v="47"/>
    <x v="88"/>
    <x v="0"/>
    <n v="215.05855072463768"/>
    <n v="1"/>
    <n v="215.05855072463768"/>
    <n v="1"/>
    <n v="215.05855072463768"/>
    <n v="116.884"/>
    <n v="125.276"/>
    <n v="1.0717000000000001"/>
    <n v="230.47824881159423"/>
    <m/>
    <n v="1"/>
    <s v="Sale"/>
    <x v="0"/>
    <x v="130"/>
    <x v="0"/>
    <n v="142.38999999999999"/>
    <n v="1"/>
    <n v="142.38999999999999"/>
    <n v="-72.668550724637697"/>
    <m/>
    <n v="230.47824881159423"/>
    <n v="-88.088248811594241"/>
  </r>
  <r>
    <x v="3"/>
    <x v="47"/>
    <x v="88"/>
    <x v="0"/>
    <n v="3225.8782608695651"/>
    <n v="15"/>
    <n v="3225.8782608695651"/>
    <n v="1"/>
    <n v="3225.8782608695651"/>
    <n v="116.884"/>
    <n v="125.276"/>
    <n v="1.0717000000000001"/>
    <n v="3457.1737321739133"/>
    <m/>
    <n v="15"/>
    <s v="Sale"/>
    <x v="0"/>
    <x v="113"/>
    <x v="0"/>
    <n v="2149.84"/>
    <n v="1"/>
    <n v="2149.84"/>
    <n v="-1076.038260869565"/>
    <m/>
    <n v="3457.1737321739133"/>
    <n v="-1307.3337321739132"/>
  </r>
  <r>
    <x v="3"/>
    <x v="47"/>
    <x v="88"/>
    <x v="0"/>
    <n v="215.05855072463768"/>
    <n v="1"/>
    <n v="215.05855072463768"/>
    <n v="1"/>
    <n v="215.05855072463768"/>
    <n v="116.884"/>
    <n v="125.276"/>
    <n v="1.0717000000000001"/>
    <n v="230.47824881159423"/>
    <m/>
    <n v="1"/>
    <s v="Sale"/>
    <x v="0"/>
    <x v="114"/>
    <x v="0"/>
    <n v="143.99"/>
    <n v="1"/>
    <n v="143.99"/>
    <n v="-71.068550724637674"/>
    <m/>
    <n v="230.47824881159423"/>
    <n v="-86.488248811594218"/>
  </r>
  <r>
    <x v="3"/>
    <x v="47"/>
    <x v="88"/>
    <x v="0"/>
    <n v="430.11710144927537"/>
    <n v="2"/>
    <n v="430.11710144927537"/>
    <n v="1"/>
    <n v="430.11710144927537"/>
    <n v="116.884"/>
    <n v="125.276"/>
    <n v="1.0717000000000001"/>
    <n v="460.95649762318845"/>
    <m/>
    <n v="2"/>
    <s v="Sale"/>
    <x v="0"/>
    <x v="114"/>
    <x v="0"/>
    <n v="286.31"/>
    <n v="1"/>
    <n v="286.31"/>
    <n v="-143.80710144927536"/>
    <m/>
    <n v="460.95649762318845"/>
    <n v="-174.64649762318845"/>
  </r>
  <r>
    <x v="3"/>
    <x v="47"/>
    <x v="88"/>
    <x v="0"/>
    <n v="4301.1710144927538"/>
    <n v="20"/>
    <n v="4301.1710144927538"/>
    <n v="1"/>
    <n v="4301.1710144927538"/>
    <n v="116.884"/>
    <n v="125.276"/>
    <n v="1.0717000000000001"/>
    <n v="4609.5649762318844"/>
    <m/>
    <n v="20"/>
    <s v="Sale"/>
    <x v="0"/>
    <x v="114"/>
    <x v="0"/>
    <n v="2848.5181818181813"/>
    <n v="1"/>
    <n v="2848.5181818181813"/>
    <n v="-1452.6528326745724"/>
    <m/>
    <n v="4609.5649762318844"/>
    <n v="-1761.0467944137031"/>
  </r>
  <r>
    <x v="3"/>
    <x v="130"/>
    <x v="88"/>
    <x v="0"/>
    <n v="361.9"/>
    <n v="1"/>
    <n v="361.9"/>
    <n v="1"/>
    <n v="361.9"/>
    <n v="120.15900000000001"/>
    <n v="125.276"/>
    <n v="1.0425"/>
    <n v="377.28074999999995"/>
    <m/>
    <n v="1"/>
    <s v="Sale"/>
    <x v="0"/>
    <x v="114"/>
    <x v="0"/>
    <n v="142.42590909090907"/>
    <n v="1"/>
    <n v="142.42590909090907"/>
    <n v="-219.4740909090909"/>
    <m/>
    <n v="377.28074999999995"/>
    <n v="-234.85484090909088"/>
  </r>
  <r>
    <x v="3"/>
    <x v="146"/>
    <x v="88"/>
    <x v="0"/>
    <n v="552.17000000000007"/>
    <n v="1"/>
    <n v="552.17000000000007"/>
    <n v="1"/>
    <n v="552.17000000000007"/>
    <n v="120.15900000000001"/>
    <n v="125.276"/>
    <n v="1.0425"/>
    <n v="575.63722500000006"/>
    <m/>
    <n v="1"/>
    <s v="Sale"/>
    <x v="0"/>
    <x v="114"/>
    <x v="0"/>
    <n v="142.42590909090907"/>
    <n v="1"/>
    <n v="142.42590909090907"/>
    <n v="-409.74409090909103"/>
    <m/>
    <n v="575.63722500000006"/>
    <n v="-433.21131590909101"/>
  </r>
  <r>
    <x v="3"/>
    <x v="130"/>
    <x v="88"/>
    <x v="0"/>
    <n v="184.73"/>
    <n v="1"/>
    <n v="184.73"/>
    <n v="1"/>
    <n v="184.73"/>
    <n v="120.15900000000001"/>
    <n v="125.276"/>
    <n v="1.0425"/>
    <n v="192.58102499999998"/>
    <m/>
    <n v="1"/>
    <s v="Sale"/>
    <x v="0"/>
    <x v="114"/>
    <x v="0"/>
    <n v="140.16"/>
    <n v="1"/>
    <n v="140.16"/>
    <n v="-44.569999999999993"/>
    <m/>
    <n v="192.58102499999998"/>
    <n v="-52.421024999999986"/>
  </r>
  <r>
    <x v="3"/>
    <x v="147"/>
    <x v="88"/>
    <x v="0"/>
    <n v="184.16"/>
    <n v="1"/>
    <n v="184.16"/>
    <n v="1"/>
    <n v="184.16"/>
    <n v="120.15900000000001"/>
    <n v="125.276"/>
    <n v="1.0425"/>
    <n v="191.98679999999999"/>
    <m/>
    <n v="1"/>
    <s v="Sale"/>
    <x v="0"/>
    <x v="114"/>
    <x v="0"/>
    <n v="140.16"/>
    <n v="1"/>
    <n v="140.16"/>
    <n v="-44"/>
    <m/>
    <n v="191.98679999999999"/>
    <n v="-51.826799999999992"/>
  </r>
  <r>
    <x v="3"/>
    <x v="147"/>
    <x v="88"/>
    <x v="0"/>
    <n v="184.65"/>
    <n v="1"/>
    <n v="184.65"/>
    <n v="1"/>
    <n v="184.65"/>
    <n v="120.15900000000001"/>
    <n v="125.276"/>
    <n v="1.0425"/>
    <n v="192.497625"/>
    <m/>
    <n v="1"/>
    <s v="Sale"/>
    <x v="0"/>
    <x v="131"/>
    <x v="0"/>
    <n v="144.22"/>
    <n v="1"/>
    <n v="144.22"/>
    <n v="-40.430000000000007"/>
    <m/>
    <n v="192.497625"/>
    <n v="-48.277625"/>
  </r>
  <r>
    <x v="3"/>
    <x v="47"/>
    <x v="89"/>
    <x v="0"/>
    <n v="1371.6000000000001"/>
    <n v="9"/>
    <n v="1371.6000000000001"/>
    <n v="1"/>
    <n v="1371.6000000000001"/>
    <n v="116.884"/>
    <n v="125.276"/>
    <n v="1.0717000000000001"/>
    <n v="1469.9437200000002"/>
    <m/>
    <n v="9"/>
    <s v="Sale"/>
    <x v="0"/>
    <x v="135"/>
    <x v="0"/>
    <n v="391.5"/>
    <n v="1"/>
    <n v="391.5"/>
    <n v="-980.10000000000014"/>
    <m/>
    <n v="1469.9437200000002"/>
    <n v="-1078.4437200000002"/>
  </r>
  <r>
    <x v="3"/>
    <x v="47"/>
    <x v="89"/>
    <x v="0"/>
    <n v="6553.2"/>
    <n v="43"/>
    <n v="6553.2"/>
    <n v="1"/>
    <n v="6553.2"/>
    <n v="116.884"/>
    <n v="125.276"/>
    <n v="1.0717000000000001"/>
    <n v="7023.0644400000001"/>
    <m/>
    <n v="43"/>
    <s v="Sale"/>
    <x v="0"/>
    <x v="135"/>
    <x v="0"/>
    <n v="1860.43"/>
    <n v="1"/>
    <n v="1860.43"/>
    <n v="-4692.7699999999995"/>
    <m/>
    <n v="7023.0644400000001"/>
    <n v="-5162.6344399999998"/>
  </r>
  <r>
    <x v="3"/>
    <x v="47"/>
    <x v="89"/>
    <x v="0"/>
    <n v="609.6"/>
    <n v="4"/>
    <n v="609.6"/>
    <n v="1"/>
    <n v="609.6"/>
    <n v="116.884"/>
    <n v="125.276"/>
    <n v="1.0717000000000001"/>
    <n v="653.30832000000009"/>
    <m/>
    <n v="4"/>
    <s v="Sale"/>
    <x v="0"/>
    <x v="136"/>
    <x v="0"/>
    <n v="164.02"/>
    <n v="1"/>
    <n v="164.02"/>
    <n v="-445.58000000000004"/>
    <m/>
    <n v="653.30832000000009"/>
    <n v="-489.28832000000011"/>
  </r>
  <r>
    <x v="3"/>
    <x v="47"/>
    <x v="89"/>
    <x v="0"/>
    <n v="152.4"/>
    <n v="1"/>
    <n v="152.4"/>
    <n v="1"/>
    <n v="152.4"/>
    <n v="116.884"/>
    <n v="125.276"/>
    <n v="1.0717000000000001"/>
    <n v="163.32708000000002"/>
    <m/>
    <n v="1"/>
    <s v="Sale"/>
    <x v="0"/>
    <x v="136"/>
    <x v="0"/>
    <n v="40.94"/>
    <n v="1"/>
    <n v="40.94"/>
    <n v="-111.46000000000001"/>
    <m/>
    <n v="163.32708000000002"/>
    <n v="-122.38708000000003"/>
  </r>
  <r>
    <x v="3"/>
    <x v="47"/>
    <x v="89"/>
    <x v="0"/>
    <n v="1219.2"/>
    <n v="8"/>
    <n v="1219.2"/>
    <n v="1"/>
    <n v="1219.2"/>
    <n v="116.884"/>
    <n v="125.276"/>
    <n v="1.0717000000000001"/>
    <n v="1306.6166400000002"/>
    <m/>
    <n v="8"/>
    <s v="Sale"/>
    <x v="0"/>
    <x v="136"/>
    <x v="0"/>
    <n v="331.72750000000002"/>
    <n v="1"/>
    <n v="331.72750000000002"/>
    <n v="-887.47250000000008"/>
    <m/>
    <n v="1306.6166400000002"/>
    <n v="-974.88914000000022"/>
  </r>
  <r>
    <x v="3"/>
    <x v="165"/>
    <x v="89"/>
    <x v="0"/>
    <n v="76.88"/>
    <n v="1"/>
    <n v="76.88"/>
    <n v="1"/>
    <n v="76.88"/>
    <n v="123.803"/>
    <n v="125.276"/>
    <n v="1.0118"/>
    <n v="77.787183999999996"/>
    <m/>
    <n v="1"/>
    <s v="Sale"/>
    <x v="0"/>
    <x v="136"/>
    <x v="0"/>
    <n v="41.465937500000003"/>
    <n v="1"/>
    <n v="41.465937500000003"/>
    <n v="-35.414062499999993"/>
    <m/>
    <n v="77.787183999999996"/>
    <n v="-36.321246499999994"/>
  </r>
  <r>
    <x v="3"/>
    <x v="165"/>
    <x v="89"/>
    <x v="0"/>
    <n v="76.91"/>
    <n v="1"/>
    <n v="76.91"/>
    <n v="1"/>
    <n v="76.91"/>
    <n v="123.803"/>
    <n v="125.276"/>
    <n v="1.0118"/>
    <n v="77.817537999999999"/>
    <m/>
    <n v="1"/>
    <s v="Sale"/>
    <x v="0"/>
    <x v="136"/>
    <x v="0"/>
    <n v="41.465937500000003"/>
    <n v="1"/>
    <n v="41.465937500000003"/>
    <n v="-35.444062499999994"/>
    <m/>
    <n v="77.817537999999999"/>
    <n v="-36.351600499999996"/>
  </r>
  <r>
    <x v="3"/>
    <x v="165"/>
    <x v="89"/>
    <x v="0"/>
    <n v="769.88"/>
    <n v="10"/>
    <n v="769.88"/>
    <n v="1"/>
    <n v="769.88"/>
    <n v="123.803"/>
    <n v="125.276"/>
    <n v="1.0118"/>
    <n v="778.96458400000006"/>
    <m/>
    <n v="10"/>
    <s v="Sale"/>
    <x v="0"/>
    <x v="136"/>
    <x v="0"/>
    <n v="414.65937500000001"/>
    <n v="1"/>
    <n v="414.65937500000001"/>
    <n v="-355.22062499999998"/>
    <m/>
    <n v="778.96458400000006"/>
    <n v="-364.30520900000005"/>
  </r>
  <r>
    <x v="3"/>
    <x v="166"/>
    <x v="89"/>
    <x v="0"/>
    <n v="784.3599999999999"/>
    <n v="12"/>
    <n v="784.3599999999999"/>
    <n v="1"/>
    <n v="784.3599999999999"/>
    <n v="123.803"/>
    <n v="125.276"/>
    <n v="1.0118"/>
    <n v="793.6154479999999"/>
    <m/>
    <n v="12"/>
    <s v="Sale"/>
    <x v="0"/>
    <x v="136"/>
    <x v="0"/>
    <n v="497.59125000000006"/>
    <n v="1"/>
    <n v="497.59125000000006"/>
    <n v="-286.76874999999984"/>
    <m/>
    <n v="793.6154479999999"/>
    <n v="-296.02419799999984"/>
  </r>
  <r>
    <x v="3"/>
    <x v="47"/>
    <x v="35"/>
    <x v="0"/>
    <n v="10801.066410256411"/>
    <n v="33"/>
    <n v="10801.066410256411"/>
    <n v="1"/>
    <n v="10801.066410256411"/>
    <n v="116.884"/>
    <n v="125.276"/>
    <n v="1.0717000000000001"/>
    <n v="11575.502871871797"/>
    <m/>
    <n v="33"/>
    <s v="Sale"/>
    <x v="0"/>
    <x v="137"/>
    <x v="0"/>
    <n v="3302.2597826086953"/>
    <n v="1"/>
    <n v="3302.2597826086953"/>
    <n v="-7498.8066276477166"/>
    <m/>
    <n v="11575.502871871797"/>
    <n v="-8273.2430892631019"/>
  </r>
  <r>
    <x v="3"/>
    <x v="167"/>
    <x v="35"/>
    <x v="0"/>
    <n v="167.98"/>
    <n v="1"/>
    <n v="167.98"/>
    <n v="1"/>
    <n v="167.98"/>
    <n v="122.94799999999999"/>
    <n v="125.276"/>
    <n v="1.0188999999999999"/>
    <n v="171.15482199999997"/>
    <m/>
    <n v="1"/>
    <s v="Sale"/>
    <x v="0"/>
    <x v="137"/>
    <x v="0"/>
    <n v="100.06847826086955"/>
    <n v="1"/>
    <n v="100.06847826086955"/>
    <n v="-67.911521739130436"/>
    <m/>
    <n v="171.15482199999997"/>
    <n v="-71.086343739130413"/>
  </r>
  <r>
    <x v="3"/>
    <x v="167"/>
    <x v="35"/>
    <x v="0"/>
    <n v="3018.53"/>
    <n v="18"/>
    <n v="3018.53"/>
    <n v="1"/>
    <n v="3018.53"/>
    <n v="122.94799999999999"/>
    <n v="125.276"/>
    <n v="1.0188999999999999"/>
    <n v="3075.5802170000002"/>
    <m/>
    <n v="18"/>
    <s v="Sale"/>
    <x v="0"/>
    <x v="137"/>
    <x v="0"/>
    <n v="1801.2326086956521"/>
    <n v="1"/>
    <n v="1801.2326086956521"/>
    <n v="-1217.2973913043481"/>
    <m/>
    <n v="3075.5802170000002"/>
    <n v="-1274.3476083043481"/>
  </r>
  <r>
    <x v="3"/>
    <x v="167"/>
    <x v="35"/>
    <x v="0"/>
    <n v="3201.98"/>
    <n v="19"/>
    <n v="3201.98"/>
    <n v="1"/>
    <n v="3201.98"/>
    <n v="122.94799999999999"/>
    <n v="125.276"/>
    <n v="1.0188999999999999"/>
    <n v="3262.4974219999999"/>
    <m/>
    <n v="19"/>
    <s v="Sale"/>
    <x v="0"/>
    <x v="137"/>
    <x v="0"/>
    <n v="1901.3010869565214"/>
    <n v="1"/>
    <n v="1901.3010869565214"/>
    <n v="-1300.6789130434786"/>
    <m/>
    <n v="3262.4974219999999"/>
    <n v="-1361.1963350434785"/>
  </r>
  <r>
    <x v="3"/>
    <x v="166"/>
    <x v="35"/>
    <x v="0"/>
    <n v="1693.55"/>
    <n v="10"/>
    <n v="1693.55"/>
    <n v="1"/>
    <n v="1693.55"/>
    <n v="123.803"/>
    <n v="125.276"/>
    <n v="1.0118"/>
    <n v="1713.5338899999999"/>
    <m/>
    <n v="10"/>
    <s v="Sale"/>
    <x v="0"/>
    <x v="137"/>
    <x v="0"/>
    <n v="1000.6847826086955"/>
    <n v="1"/>
    <n v="1000.6847826086955"/>
    <n v="-692.86521739130444"/>
    <m/>
    <n v="1713.5338899999999"/>
    <n v="-712.84910739130441"/>
  </r>
  <r>
    <x v="3"/>
    <x v="168"/>
    <x v="35"/>
    <x v="0"/>
    <n v="1891.15"/>
    <n v="11"/>
    <n v="1891.15"/>
    <n v="1"/>
    <n v="1891.15"/>
    <n v="123.803"/>
    <n v="125.276"/>
    <n v="1.0118"/>
    <n v="1913.4655700000001"/>
    <m/>
    <n v="11"/>
    <s v="Sale"/>
    <x v="0"/>
    <x v="137"/>
    <x v="0"/>
    <n v="1100.7532608695651"/>
    <n v="1"/>
    <n v="1100.7532608695651"/>
    <n v="-790.39673913043498"/>
    <m/>
    <n v="1913.4655700000001"/>
    <n v="-812.71230913043496"/>
  </r>
  <r>
    <x v="3"/>
    <x v="62"/>
    <x v="90"/>
    <x v="0"/>
    <n v="277.95"/>
    <n v="3"/>
    <n v="277.95"/>
    <n v="1"/>
    <n v="277.95"/>
    <n v="118.002"/>
    <n v="125.276"/>
    <n v="1.0616000000000001"/>
    <n v="295.07172000000003"/>
    <m/>
    <n v="3"/>
    <s v="Sale"/>
    <x v="0"/>
    <x v="137"/>
    <x v="0"/>
    <n v="264.58071428571429"/>
    <n v="1"/>
    <n v="264.58071428571429"/>
    <n v="-13.369285714285695"/>
    <m/>
    <n v="295.07172000000003"/>
    <n v="-30.491005714285734"/>
  </r>
  <r>
    <x v="3"/>
    <x v="62"/>
    <x v="90"/>
    <x v="0"/>
    <n v="759.73"/>
    <n v="8"/>
    <n v="759.73"/>
    <n v="1"/>
    <n v="759.73"/>
    <n v="118.002"/>
    <n v="125.276"/>
    <n v="1.0616000000000001"/>
    <n v="806.52936800000009"/>
    <m/>
    <n v="8"/>
    <s v="Sale"/>
    <x v="0"/>
    <x v="137"/>
    <x v="0"/>
    <n v="705.54857142857145"/>
    <n v="1"/>
    <n v="705.54857142857145"/>
    <n v="-54.181428571428569"/>
    <m/>
    <n v="806.52936800000009"/>
    <n v="-100.98079657142864"/>
  </r>
  <r>
    <x v="3"/>
    <x v="19"/>
    <x v="90"/>
    <x v="0"/>
    <n v="183.87"/>
    <n v="2"/>
    <n v="183.87"/>
    <n v="1"/>
    <n v="183.87"/>
    <n v="118.002"/>
    <n v="125.276"/>
    <n v="1.0616000000000001"/>
    <n v="195.19639200000003"/>
    <m/>
    <n v="2"/>
    <s v="Sale"/>
    <x v="0"/>
    <x v="137"/>
    <x v="0"/>
    <n v="176.38714285714286"/>
    <n v="1"/>
    <n v="176.38714285714286"/>
    <n v="-7.4828571428571422"/>
    <m/>
    <n v="195.19639200000003"/>
    <n v="-18.809249142857169"/>
  </r>
  <r>
    <x v="3"/>
    <x v="19"/>
    <x v="90"/>
    <x v="0"/>
    <n v="89.78"/>
    <n v="1"/>
    <n v="89.78"/>
    <n v="1"/>
    <n v="89.78"/>
    <n v="118.002"/>
    <n v="125.276"/>
    <n v="1.0616000000000001"/>
    <n v="95.310448000000008"/>
    <m/>
    <n v="1"/>
    <s v="Sale"/>
    <x v="0"/>
    <x v="137"/>
    <x v="0"/>
    <n v="88.193571428571431"/>
    <n v="1"/>
    <n v="88.193571428571431"/>
    <n v="-1.58642857142857"/>
    <m/>
    <n v="95.310448000000008"/>
    <n v="-7.1168765714285769"/>
  </r>
  <r>
    <x v="3"/>
    <x v="47"/>
    <x v="91"/>
    <x v="0"/>
    <n v="3451.3370370370367"/>
    <n v="70"/>
    <n v="3451.3370370370367"/>
    <n v="1"/>
    <n v="3451.3370370370367"/>
    <n v="116.884"/>
    <n v="125.997"/>
    <n v="1.0779000000000001"/>
    <n v="3720.1961922222222"/>
    <m/>
    <n v="70"/>
    <s v="Sale"/>
    <x v="0"/>
    <x v="118"/>
    <x v="0"/>
    <n v="1069.98"/>
    <n v="1"/>
    <n v="1069.98"/>
    <n v="-2381.3570370370367"/>
    <m/>
    <n v="3720.1961922222222"/>
    <n v="-2650.2161922222222"/>
  </r>
  <r>
    <x v="3"/>
    <x v="47"/>
    <x v="91"/>
    <x v="0"/>
    <n v="2317.3262962962963"/>
    <n v="47"/>
    <n v="2317.3262962962963"/>
    <n v="1"/>
    <n v="2317.3262962962963"/>
    <n v="116.884"/>
    <n v="125.997"/>
    <n v="1.0779000000000001"/>
    <n v="2497.8460147777778"/>
    <m/>
    <n v="47"/>
    <s v="Sale"/>
    <x v="0"/>
    <x v="138"/>
    <x v="0"/>
    <n v="525.05999999999995"/>
    <n v="1"/>
    <n v="525.05999999999995"/>
    <n v="-1792.2662962962963"/>
    <m/>
    <n v="2497.8460147777778"/>
    <n v="-1972.7860147777778"/>
  </r>
  <r>
    <x v="3"/>
    <x v="47"/>
    <x v="91"/>
    <x v="0"/>
    <n v="7543.6366666666663"/>
    <n v="153"/>
    <n v="7543.6366666666663"/>
    <n v="1"/>
    <n v="7543.6366666666663"/>
    <n v="116.884"/>
    <n v="125.997"/>
    <n v="1.0779000000000001"/>
    <n v="8131.2859630000003"/>
    <m/>
    <n v="153"/>
    <s v="Sale"/>
    <x v="0"/>
    <x v="138"/>
    <x v="0"/>
    <n v="1668.6109248554912"/>
    <n v="1"/>
    <n v="1668.6109248554912"/>
    <n v="-5875.0257418111751"/>
    <m/>
    <n v="8131.2859630000003"/>
    <n v="-6462.675038144509"/>
  </r>
  <r>
    <x v="3"/>
    <x v="42"/>
    <x v="91"/>
    <x v="0"/>
    <n v="42.41"/>
    <n v="1"/>
    <n v="42.41"/>
    <n v="1"/>
    <n v="42.41"/>
    <n v="118.98099999999999"/>
    <n v="125.997"/>
    <n v="1.0589"/>
    <n v="44.907948999999995"/>
    <m/>
    <n v="1"/>
    <s v="Sale"/>
    <x v="0"/>
    <x v="138"/>
    <x v="0"/>
    <n v="10.905953757225433"/>
    <n v="1"/>
    <n v="10.905953757225433"/>
    <n v="-31.504046242774564"/>
    <m/>
    <n v="44.907948999999995"/>
    <n v="-34.001995242774562"/>
  </r>
  <r>
    <x v="3"/>
    <x v="42"/>
    <x v="91"/>
    <x v="0"/>
    <n v="568.65"/>
    <n v="13"/>
    <n v="568.65"/>
    <n v="1"/>
    <n v="568.65"/>
    <n v="118.98099999999999"/>
    <n v="125.997"/>
    <n v="1.0589"/>
    <n v="602.14348499999994"/>
    <m/>
    <n v="13"/>
    <s v="Sale"/>
    <x v="0"/>
    <x v="138"/>
    <x v="0"/>
    <n v="141.77739884393063"/>
    <n v="1"/>
    <n v="141.77739884393063"/>
    <n v="-426.87260115606932"/>
    <m/>
    <n v="602.14348499999994"/>
    <n v="-460.36608615606929"/>
  </r>
  <r>
    <x v="3"/>
    <x v="42"/>
    <x v="91"/>
    <x v="0"/>
    <n v="130.53"/>
    <n v="3"/>
    <n v="130.53"/>
    <n v="1"/>
    <n v="130.53"/>
    <n v="118.98099999999999"/>
    <n v="125.997"/>
    <n v="1.0589"/>
    <n v="138.21821699999998"/>
    <m/>
    <n v="3"/>
    <s v="Sale"/>
    <x v="0"/>
    <x v="138"/>
    <x v="0"/>
    <n v="32.717861271676298"/>
    <n v="1"/>
    <n v="32.717861271676298"/>
    <n v="-97.812138728323703"/>
    <m/>
    <n v="138.21821699999998"/>
    <n v="-105.50035572832368"/>
  </r>
  <r>
    <x v="3"/>
    <x v="42"/>
    <x v="91"/>
    <x v="0"/>
    <n v="127.47"/>
    <n v="3"/>
    <n v="127.47"/>
    <n v="1"/>
    <n v="127.47"/>
    <n v="118.98099999999999"/>
    <n v="125.997"/>
    <n v="1.0589"/>
    <n v="134.97798299999999"/>
    <m/>
    <n v="3"/>
    <s v="Sale"/>
    <x v="0"/>
    <x v="138"/>
    <x v="0"/>
    <n v="32.717861271676298"/>
    <n v="1"/>
    <n v="32.717861271676298"/>
    <n v="-94.7521387283237"/>
    <m/>
    <n v="134.97798299999999"/>
    <n v="-102.2601217283237"/>
  </r>
  <r>
    <x v="3"/>
    <x v="116"/>
    <x v="92"/>
    <x v="0"/>
    <n v="52.075000000000003"/>
    <n v="1"/>
    <n v="52.075000000000003"/>
    <n v="1"/>
    <n v="52.075000000000003"/>
    <n v="118.002"/>
    <n v="120.15900000000001"/>
    <n v="1.0182"/>
    <n v="53.022765"/>
    <m/>
    <n v="1"/>
    <s v="Sale"/>
    <x v="0"/>
    <x v="25"/>
    <x v="0"/>
    <n v="49.11"/>
    <n v="1"/>
    <n v="49.11"/>
    <n v="-2.9650000000000034"/>
    <m/>
    <n v="53.022765"/>
    <n v="-3.9127650000000003"/>
  </r>
  <r>
    <x v="3"/>
    <x v="116"/>
    <x v="92"/>
    <x v="0"/>
    <n v="52.075000000000003"/>
    <n v="1"/>
    <n v="52.075000000000003"/>
    <n v="1"/>
    <n v="52.075000000000003"/>
    <n v="118.002"/>
    <n v="120.15900000000001"/>
    <n v="1.0182"/>
    <n v="53.022765"/>
    <m/>
    <n v="1"/>
    <s v="Sale"/>
    <x v="0"/>
    <x v="25"/>
    <x v="0"/>
    <n v="48.712499999999999"/>
    <n v="1"/>
    <n v="48.712499999999999"/>
    <n v="-3.3625000000000043"/>
    <m/>
    <n v="53.022765"/>
    <n v="-4.3102650000000011"/>
  </r>
  <r>
    <x v="3"/>
    <x v="116"/>
    <x v="92"/>
    <x v="0"/>
    <n v="156.00264705882353"/>
    <n v="3"/>
    <n v="156.00264705882353"/>
    <n v="1"/>
    <n v="156.00264705882353"/>
    <n v="118.002"/>
    <n v="120.15900000000001"/>
    <n v="1.0182"/>
    <n v="158.84189523529412"/>
    <m/>
    <n v="3"/>
    <s v="Sale"/>
    <x v="0"/>
    <x v="25"/>
    <x v="0"/>
    <n v="146.13749999999999"/>
    <n v="1"/>
    <n v="146.13749999999999"/>
    <n v="-9.8651470588235384"/>
    <m/>
    <n v="158.84189523529412"/>
    <n v="-12.704395235294129"/>
  </r>
  <r>
    <x v="3"/>
    <x v="116"/>
    <x v="92"/>
    <x v="0"/>
    <n v="416.00705882352941"/>
    <n v="8"/>
    <n v="416.00705882352941"/>
    <n v="1"/>
    <n v="416.00705882352941"/>
    <n v="118.002"/>
    <n v="120.15900000000001"/>
    <n v="1.0182"/>
    <n v="423.57838729411765"/>
    <m/>
    <n v="8"/>
    <s v="Sale"/>
    <x v="0"/>
    <x v="25"/>
    <x v="0"/>
    <n v="389.28"/>
    <n v="1"/>
    <n v="389.28"/>
    <n v="-26.727058823529433"/>
    <m/>
    <n v="423.57838729411765"/>
    <n v="-34.298387294117674"/>
  </r>
  <r>
    <x v="3"/>
    <x v="116"/>
    <x v="92"/>
    <x v="0"/>
    <n v="104.00176470588235"/>
    <n v="2"/>
    <n v="104.00176470588235"/>
    <n v="1"/>
    <n v="104.00176470588235"/>
    <n v="118.002"/>
    <n v="120.15900000000001"/>
    <n v="1.0182"/>
    <n v="105.89459682352941"/>
    <m/>
    <n v="2"/>
    <s v="Sale"/>
    <x v="0"/>
    <x v="60"/>
    <x v="0"/>
    <n v="99.52"/>
    <n v="1"/>
    <n v="99.52"/>
    <n v="-4.4817647058823553"/>
    <m/>
    <n v="105.89459682352941"/>
    <n v="-6.3745968235294157"/>
  </r>
  <r>
    <x v="3"/>
    <x v="116"/>
    <x v="92"/>
    <x v="0"/>
    <n v="208.0035294117647"/>
    <n v="4"/>
    <n v="208.0035294117647"/>
    <n v="1"/>
    <n v="208.0035294117647"/>
    <n v="118.002"/>
    <n v="120.15900000000001"/>
    <n v="1.0182"/>
    <n v="211.78919364705882"/>
    <m/>
    <n v="4"/>
    <s v="Sale"/>
    <x v="0"/>
    <x v="60"/>
    <x v="0"/>
    <n v="203.05"/>
    <n v="1"/>
    <n v="203.05"/>
    <n v="-4.9535294117646913"/>
    <m/>
    <n v="211.78919364705882"/>
    <n v="-8.7391936470588121"/>
  </r>
  <r>
    <x v="3"/>
    <x v="116"/>
    <x v="92"/>
    <x v="0"/>
    <n v="156.00264705882353"/>
    <n v="3"/>
    <n v="156.00264705882353"/>
    <n v="1"/>
    <n v="156.00264705882353"/>
    <n v="118.002"/>
    <n v="125.997"/>
    <n v="1.0677000000000001"/>
    <n v="166.56402626470589"/>
    <m/>
    <n v="3"/>
    <s v="Sale"/>
    <x v="0"/>
    <x v="118"/>
    <x v="0"/>
    <n v="131.47999999999999"/>
    <n v="1"/>
    <n v="131.47999999999999"/>
    <n v="-24.522647058823537"/>
    <m/>
    <n v="166.56402626470589"/>
    <n v="-35.084026264705898"/>
  </r>
  <r>
    <x v="3"/>
    <x v="116"/>
    <x v="92"/>
    <x v="0"/>
    <n v="728.01235294117646"/>
    <n v="14"/>
    <n v="728.01235294117646"/>
    <n v="1"/>
    <n v="728.01235294117646"/>
    <n v="118.002"/>
    <n v="125.997"/>
    <n v="1.0677000000000001"/>
    <n v="777.29878923529418"/>
    <m/>
    <n v="14"/>
    <s v="Sale"/>
    <x v="0"/>
    <x v="118"/>
    <x v="0"/>
    <n v="612.58400000000006"/>
    <n v="1"/>
    <n v="612.58400000000006"/>
    <n v="-115.4283529411764"/>
    <m/>
    <n v="777.29878923529418"/>
    <n v="-164.71478923529412"/>
  </r>
  <r>
    <x v="3"/>
    <x v="41"/>
    <x v="92"/>
    <x v="0"/>
    <n v="53.83"/>
    <n v="1"/>
    <n v="53.83"/>
    <n v="1"/>
    <n v="53.83"/>
    <n v="118.98099999999999"/>
    <n v="125.997"/>
    <n v="1.0589"/>
    <n v="57.000586999999996"/>
    <m/>
    <n v="1"/>
    <s v="Sale"/>
    <x v="0"/>
    <x v="118"/>
    <x v="0"/>
    <n v="43.756"/>
    <n v="1"/>
    <n v="43.756"/>
    <n v="-10.073999999999998"/>
    <m/>
    <n v="57.000586999999996"/>
    <n v="-13.244586999999996"/>
  </r>
  <r>
    <x v="3"/>
    <x v="41"/>
    <x v="92"/>
    <x v="0"/>
    <n v="270.68571428571425"/>
    <n v="5"/>
    <n v="270.68571428571425"/>
    <n v="1"/>
    <n v="270.68571428571425"/>
    <n v="118.98099999999999"/>
    <n v="125.997"/>
    <n v="1.0589"/>
    <n v="286.62910285714281"/>
    <m/>
    <n v="5"/>
    <s v="Sale"/>
    <x v="0"/>
    <x v="118"/>
    <x v="0"/>
    <n v="218.78"/>
    <n v="1"/>
    <n v="218.78"/>
    <n v="-51.905714285714254"/>
    <m/>
    <n v="286.62910285714281"/>
    <n v="-67.84910285714281"/>
  </r>
  <r>
    <x v="3"/>
    <x v="50"/>
    <x v="93"/>
    <x v="0"/>
    <n v="48.704999999999998"/>
    <n v="1"/>
    <n v="48.704999999999998"/>
    <n v="1"/>
    <n v="48.704999999999998"/>
    <n v="116.884"/>
    <n v="118.002"/>
    <n v="1.0095000000000001"/>
    <n v="49.167697500000003"/>
    <m/>
    <n v="1"/>
    <s v="Sale"/>
    <x v="0"/>
    <x v="33"/>
    <x v="0"/>
    <n v="19.8"/>
    <n v="1"/>
    <n v="19.8"/>
    <n v="-28.904999999999998"/>
    <m/>
    <n v="49.167697500000003"/>
    <n v="-29.367697500000002"/>
  </r>
  <r>
    <x v="3"/>
    <x v="50"/>
    <x v="93"/>
    <x v="0"/>
    <n v="48.704999999999998"/>
    <n v="1"/>
    <n v="48.704999999999998"/>
    <n v="1"/>
    <n v="48.704999999999998"/>
    <n v="116.884"/>
    <n v="118.002"/>
    <n v="1.0095000000000001"/>
    <n v="49.167697500000003"/>
    <m/>
    <n v="1"/>
    <s v="Sale"/>
    <x v="0"/>
    <x v="33"/>
    <x v="0"/>
    <n v="20.197014925373136"/>
    <n v="1"/>
    <n v="20.197014925373136"/>
    <n v="-28.507985074626863"/>
    <m/>
    <n v="49.167697500000003"/>
    <n v="-28.970682574626867"/>
  </r>
  <r>
    <x v="3"/>
    <x v="50"/>
    <x v="93"/>
    <x v="0"/>
    <n v="146.12"/>
    <n v="3"/>
    <n v="146.12"/>
    <n v="1"/>
    <n v="146.12"/>
    <n v="116.884"/>
    <n v="118.002"/>
    <n v="1.0095000000000001"/>
    <n v="147.50814000000003"/>
    <m/>
    <n v="3"/>
    <s v="Sale"/>
    <x v="0"/>
    <x v="33"/>
    <x v="0"/>
    <n v="60.591044776119404"/>
    <n v="1"/>
    <n v="60.591044776119404"/>
    <n v="-85.528955223880601"/>
    <m/>
    <n v="147.50814000000003"/>
    <n v="-86.917095223880622"/>
  </r>
  <r>
    <x v="3"/>
    <x v="50"/>
    <x v="93"/>
    <x v="0"/>
    <n v="1218.8399999999999"/>
    <n v="25"/>
    <n v="1218.8399999999999"/>
    <n v="1"/>
    <n v="1218.8399999999999"/>
    <n v="116.884"/>
    <n v="118.002"/>
    <n v="1.0095000000000001"/>
    <n v="1230.4189799999999"/>
    <m/>
    <n v="25"/>
    <s v="Sale"/>
    <x v="0"/>
    <x v="33"/>
    <x v="0"/>
    <n v="504.92537313432837"/>
    <n v="1"/>
    <n v="504.92537313432837"/>
    <n v="-713.91462686567161"/>
    <m/>
    <n v="1230.4189799999999"/>
    <n v="-725.49360686567161"/>
  </r>
  <r>
    <x v="3"/>
    <x v="50"/>
    <x v="93"/>
    <x v="0"/>
    <n v="1072.58"/>
    <n v="22"/>
    <n v="1072.58"/>
    <n v="1"/>
    <n v="1072.58"/>
    <n v="116.884"/>
    <n v="118.002"/>
    <n v="1.0095000000000001"/>
    <n v="1082.7695100000001"/>
    <m/>
    <n v="22"/>
    <s v="Sale"/>
    <x v="0"/>
    <x v="33"/>
    <x v="0"/>
    <n v="444.33432835820901"/>
    <n v="1"/>
    <n v="444.33432835820901"/>
    <n v="-628.24567164179098"/>
    <m/>
    <n v="1082.7695100000001"/>
    <n v="-638.43518164179113"/>
  </r>
  <r>
    <x v="3"/>
    <x v="50"/>
    <x v="93"/>
    <x v="0"/>
    <n v="99.31"/>
    <n v="2"/>
    <n v="99.31"/>
    <n v="1"/>
    <n v="99.31"/>
    <n v="116.884"/>
    <n v="118.002"/>
    <n v="1.0095000000000001"/>
    <n v="100.25344500000001"/>
    <m/>
    <n v="2"/>
    <s v="Sale"/>
    <x v="0"/>
    <x v="33"/>
    <x v="0"/>
    <n v="40.394029850746271"/>
    <n v="1"/>
    <n v="40.394029850746271"/>
    <n v="-58.915970149253731"/>
    <m/>
    <n v="100.25344500000001"/>
    <n v="-59.859415149253742"/>
  </r>
  <r>
    <x v="3"/>
    <x v="50"/>
    <x v="93"/>
    <x v="0"/>
    <n v="99.31"/>
    <n v="2"/>
    <n v="99.31"/>
    <n v="1"/>
    <n v="99.31"/>
    <n v="116.884"/>
    <n v="118.002"/>
    <n v="1.0095000000000001"/>
    <n v="100.25344500000001"/>
    <m/>
    <n v="2"/>
    <s v="Sale"/>
    <x v="0"/>
    <x v="33"/>
    <x v="0"/>
    <n v="40.394029850746271"/>
    <n v="1"/>
    <n v="40.394029850746271"/>
    <n v="-58.915970149253731"/>
    <m/>
    <n v="100.25344500000001"/>
    <n v="-59.859415149253742"/>
  </r>
  <r>
    <x v="3"/>
    <x v="51"/>
    <x v="93"/>
    <x v="0"/>
    <n v="539.20000000000005"/>
    <n v="11"/>
    <n v="539.20000000000005"/>
    <n v="1"/>
    <n v="539.20000000000005"/>
    <n v="116.884"/>
    <n v="118.002"/>
    <n v="1.0095000000000001"/>
    <n v="544.32240000000013"/>
    <m/>
    <n v="11"/>
    <s v="Sale"/>
    <x v="0"/>
    <x v="33"/>
    <x v="0"/>
    <n v="222.1671641791045"/>
    <n v="1"/>
    <n v="222.1671641791045"/>
    <n v="-317.03283582089557"/>
    <m/>
    <n v="544.32240000000013"/>
    <n v="-322.15523582089565"/>
  </r>
  <r>
    <x v="3"/>
    <x v="51"/>
    <x v="93"/>
    <x v="0"/>
    <n v="49.234999999999999"/>
    <n v="1"/>
    <n v="49.234999999999999"/>
    <n v="1"/>
    <n v="49.234999999999999"/>
    <n v="116.884"/>
    <n v="118.002"/>
    <n v="1.0095000000000001"/>
    <n v="49.702732500000003"/>
    <m/>
    <n v="1"/>
    <s v="Sale"/>
    <x v="0"/>
    <x v="33"/>
    <x v="0"/>
    <n v="20.197014925373136"/>
    <n v="1"/>
    <n v="20.197014925373136"/>
    <n v="-29.037985074626864"/>
    <m/>
    <n v="49.702732500000003"/>
    <n v="-29.505717574626868"/>
  </r>
  <r>
    <x v="3"/>
    <x v="51"/>
    <x v="93"/>
    <x v="0"/>
    <n v="344.64499999999998"/>
    <n v="7"/>
    <n v="344.64499999999998"/>
    <n v="1"/>
    <n v="344.64499999999998"/>
    <n v="116.884"/>
    <n v="118.002"/>
    <n v="1.0095000000000001"/>
    <n v="347.9191275"/>
    <m/>
    <n v="7"/>
    <s v="Sale"/>
    <x v="0"/>
    <x v="33"/>
    <x v="0"/>
    <n v="140.83000000000001"/>
    <n v="1"/>
    <n v="140.83000000000001"/>
    <n v="-203.81499999999997"/>
    <m/>
    <n v="347.9191275"/>
    <n v="-207.08912749999999"/>
  </r>
  <r>
    <x v="3"/>
    <x v="51"/>
    <x v="93"/>
    <x v="0"/>
    <n v="98.47"/>
    <n v="2"/>
    <n v="98.47"/>
    <n v="1"/>
    <n v="98.47"/>
    <n v="116.884"/>
    <n v="118.002"/>
    <n v="1.0095000000000001"/>
    <n v="99.405465000000007"/>
    <m/>
    <n v="2"/>
    <s v="Sale"/>
    <x v="0"/>
    <x v="33"/>
    <x v="0"/>
    <n v="40.542499999999997"/>
    <n v="1"/>
    <n v="40.542499999999997"/>
    <n v="-57.927500000000002"/>
    <m/>
    <n v="99.405465000000007"/>
    <n v="-58.86296500000001"/>
  </r>
  <r>
    <x v="3"/>
    <x v="53"/>
    <x v="93"/>
    <x v="0"/>
    <n v="47.95"/>
    <n v="1"/>
    <n v="47.95"/>
    <n v="1"/>
    <n v="47.95"/>
    <n v="116.884"/>
    <n v="118.002"/>
    <n v="1.0095000000000001"/>
    <n v="48.405525000000004"/>
    <m/>
    <n v="1"/>
    <s v="Sale"/>
    <x v="0"/>
    <x v="33"/>
    <x v="0"/>
    <n v="20.271249999999998"/>
    <n v="1"/>
    <n v="20.271249999999998"/>
    <n v="-27.678750000000004"/>
    <m/>
    <n v="48.405525000000004"/>
    <n v="-28.134275000000006"/>
  </r>
  <r>
    <x v="3"/>
    <x v="53"/>
    <x v="93"/>
    <x v="0"/>
    <n v="239.96153846153845"/>
    <n v="5"/>
    <n v="239.96153846153845"/>
    <n v="1"/>
    <n v="239.96153846153845"/>
    <n v="116.884"/>
    <n v="118.002"/>
    <n v="1.0095000000000001"/>
    <n v="242.24117307692308"/>
    <m/>
    <n v="5"/>
    <s v="Sale"/>
    <x v="0"/>
    <x v="33"/>
    <x v="0"/>
    <n v="101.35624999999999"/>
    <n v="1"/>
    <n v="101.35624999999999"/>
    <n v="-138.60528846153846"/>
    <m/>
    <n v="242.24117307692308"/>
    <n v="-140.88492307692309"/>
  </r>
  <r>
    <x v="3"/>
    <x v="53"/>
    <x v="93"/>
    <x v="0"/>
    <n v="47.992307692307691"/>
    <n v="1"/>
    <n v="47.992307692307691"/>
    <n v="1"/>
    <n v="47.992307692307691"/>
    <n v="116.884"/>
    <n v="118.002"/>
    <n v="1.0095000000000001"/>
    <n v="48.448234615384614"/>
    <m/>
    <n v="1"/>
    <s v="Sale"/>
    <x v="0"/>
    <x v="34"/>
    <x v="0"/>
    <n v="22.57"/>
    <n v="1"/>
    <n v="22.57"/>
    <n v="-25.42230769230769"/>
    <m/>
    <n v="48.448234615384614"/>
    <n v="-25.878234615384613"/>
  </r>
  <r>
    <x v="3"/>
    <x v="53"/>
    <x v="93"/>
    <x v="0"/>
    <n v="335.94615384615383"/>
    <n v="7"/>
    <n v="335.94615384615383"/>
    <n v="1"/>
    <n v="335.94615384615383"/>
    <n v="116.884"/>
    <n v="118.002"/>
    <n v="1.0095000000000001"/>
    <n v="339.13764230769232"/>
    <m/>
    <n v="7"/>
    <s v="Sale"/>
    <x v="0"/>
    <x v="34"/>
    <x v="0"/>
    <n v="152.40166666666664"/>
    <n v="1"/>
    <n v="152.40166666666664"/>
    <n v="-183.54448717948719"/>
    <m/>
    <n v="339.13764230769232"/>
    <n v="-186.73597564102568"/>
  </r>
  <r>
    <x v="3"/>
    <x v="53"/>
    <x v="93"/>
    <x v="0"/>
    <n v="48.12"/>
    <n v="1"/>
    <n v="48.12"/>
    <n v="1"/>
    <n v="48.12"/>
    <n v="116.884"/>
    <n v="118.002"/>
    <n v="1.0095000000000001"/>
    <n v="48.57714"/>
    <m/>
    <n v="1"/>
    <s v="Sale"/>
    <x v="0"/>
    <x v="34"/>
    <x v="0"/>
    <n v="21.771666666666665"/>
    <n v="1"/>
    <n v="21.771666666666665"/>
    <n v="-26.348333333333333"/>
    <m/>
    <n v="48.57714"/>
    <n v="-26.805473333333335"/>
  </r>
  <r>
    <x v="3"/>
    <x v="169"/>
    <x v="93"/>
    <x v="0"/>
    <n v="44.91"/>
    <n v="1"/>
    <n v="44.91"/>
    <n v="1"/>
    <n v="44.91"/>
    <n v="116.884"/>
    <n v="118.002"/>
    <n v="1.0095000000000001"/>
    <n v="45.336644999999997"/>
    <m/>
    <n v="1"/>
    <s v="Sale"/>
    <x v="0"/>
    <x v="34"/>
    <x v="0"/>
    <n v="21.771666666666665"/>
    <n v="1"/>
    <n v="21.771666666666665"/>
    <n v="-23.138333333333332"/>
    <m/>
    <n v="45.336644999999997"/>
    <n v="-23.564978333333332"/>
  </r>
  <r>
    <x v="3"/>
    <x v="169"/>
    <x v="93"/>
    <x v="0"/>
    <n v="90.05"/>
    <n v="2"/>
    <n v="90.05"/>
    <n v="1"/>
    <n v="90.05"/>
    <n v="116.884"/>
    <n v="118.002"/>
    <n v="1.0095000000000001"/>
    <n v="90.90547500000001"/>
    <m/>
    <n v="2"/>
    <s v="Sale"/>
    <x v="0"/>
    <x v="34"/>
    <x v="0"/>
    <n v="43.543333333333329"/>
    <n v="1"/>
    <n v="43.543333333333329"/>
    <n v="-46.506666666666668"/>
    <m/>
    <n v="90.90547500000001"/>
    <n v="-47.36214166666668"/>
  </r>
  <r>
    <x v="3"/>
    <x v="169"/>
    <x v="93"/>
    <x v="0"/>
    <n v="44.872727272727275"/>
    <n v="1"/>
    <n v="44.872727272727275"/>
    <n v="1"/>
    <n v="44.872727272727275"/>
    <n v="116.884"/>
    <n v="118.002"/>
    <n v="1.0095000000000001"/>
    <n v="45.299018181818184"/>
    <m/>
    <n v="1"/>
    <s v="Sale"/>
    <x v="0"/>
    <x v="34"/>
    <x v="0"/>
    <n v="21.771666666666665"/>
    <n v="1"/>
    <n v="21.771666666666665"/>
    <n v="-23.10106060606061"/>
    <m/>
    <n v="45.299018181818184"/>
    <n v="-23.527351515151519"/>
  </r>
  <r>
    <x v="3"/>
    <x v="169"/>
    <x v="93"/>
    <x v="0"/>
    <n v="448.72727272727275"/>
    <n v="10"/>
    <n v="448.72727272727275"/>
    <n v="1"/>
    <n v="448.72727272727275"/>
    <n v="116.884"/>
    <n v="118.002"/>
    <n v="1.0095000000000001"/>
    <n v="452.9901818181819"/>
    <m/>
    <n v="10"/>
    <s v="Sale"/>
    <x v="0"/>
    <x v="34"/>
    <x v="0"/>
    <n v="226.66842105263157"/>
    <n v="1"/>
    <n v="226.66842105263157"/>
    <n v="-222.05885167464118"/>
    <m/>
    <n v="452.9901818181819"/>
    <n v="-226.32176076555032"/>
  </r>
  <r>
    <x v="3"/>
    <x v="169"/>
    <x v="93"/>
    <x v="0"/>
    <n v="405.21600000000001"/>
    <n v="9"/>
    <n v="405.21600000000001"/>
    <n v="1"/>
    <n v="405.21600000000001"/>
    <n v="116.884"/>
    <n v="118.002"/>
    <n v="1.0095000000000001"/>
    <n v="409.06555200000003"/>
    <m/>
    <n v="9"/>
    <s v="Sale"/>
    <x v="0"/>
    <x v="34"/>
    <x v="0"/>
    <n v="204.00157894736842"/>
    <n v="1"/>
    <n v="204.00157894736842"/>
    <n v="-201.21442105263159"/>
    <m/>
    <n v="409.06555200000003"/>
    <n v="-205.06397305263161"/>
  </r>
  <r>
    <x v="3"/>
    <x v="169"/>
    <x v="93"/>
    <x v="0"/>
    <n v="45.024000000000001"/>
    <n v="1"/>
    <n v="45.024000000000001"/>
    <n v="1"/>
    <n v="45.024000000000001"/>
    <n v="116.884"/>
    <n v="118.002"/>
    <n v="1.0095000000000001"/>
    <n v="45.451728000000003"/>
    <m/>
    <n v="1"/>
    <s v="Sale"/>
    <x v="0"/>
    <x v="34"/>
    <x v="0"/>
    <n v="21.88"/>
    <n v="1"/>
    <n v="21.88"/>
    <n v="-23.144000000000002"/>
    <m/>
    <n v="45.451728000000003"/>
    <n v="-23.571728000000004"/>
  </r>
  <r>
    <x v="3"/>
    <x v="56"/>
    <x v="93"/>
    <x v="0"/>
    <n v="35.67"/>
    <n v="1"/>
    <n v="35.67"/>
    <n v="1"/>
    <n v="35.67"/>
    <n v="117.30800000000001"/>
    <n v="118.002"/>
    <n v="1.0059"/>
    <n v="35.880453000000003"/>
    <m/>
    <n v="1"/>
    <s v="Sale"/>
    <x v="0"/>
    <x v="34"/>
    <x v="0"/>
    <n v="21.88"/>
    <n v="1"/>
    <n v="21.88"/>
    <n v="-13.790000000000003"/>
    <m/>
    <n v="35.880453000000003"/>
    <n v="-14.000453000000004"/>
  </r>
  <r>
    <x v="3"/>
    <x v="56"/>
    <x v="93"/>
    <x v="0"/>
    <n v="35.67"/>
    <n v="1"/>
    <n v="35.67"/>
    <n v="1"/>
    <n v="35.67"/>
    <n v="117.30800000000001"/>
    <n v="118.002"/>
    <n v="1.0059"/>
    <n v="35.880453000000003"/>
    <m/>
    <n v="1"/>
    <s v="Sale"/>
    <x v="0"/>
    <x v="34"/>
    <x v="0"/>
    <n v="22.856666666666666"/>
    <n v="1"/>
    <n v="22.856666666666666"/>
    <n v="-12.813333333333336"/>
    <m/>
    <n v="35.880453000000003"/>
    <n v="-13.023786333333337"/>
  </r>
  <r>
    <x v="3"/>
    <x v="56"/>
    <x v="93"/>
    <x v="0"/>
    <n v="72.083529411764715"/>
    <n v="2"/>
    <n v="72.083529411764715"/>
    <n v="1"/>
    <n v="72.083529411764715"/>
    <n v="117.30800000000001"/>
    <n v="118.002"/>
    <n v="1.0059"/>
    <n v="72.508822235294133"/>
    <m/>
    <n v="2"/>
    <s v="Sale"/>
    <x v="0"/>
    <x v="34"/>
    <x v="0"/>
    <n v="45.713333333333331"/>
    <n v="1"/>
    <n v="45.713333333333331"/>
    <n v="-26.370196078431384"/>
    <m/>
    <n v="72.508822235294133"/>
    <n v="-26.795488901960802"/>
  </r>
  <r>
    <x v="3"/>
    <x v="56"/>
    <x v="93"/>
    <x v="0"/>
    <n v="180.2088235294118"/>
    <n v="5"/>
    <n v="180.2088235294118"/>
    <n v="1"/>
    <n v="180.2088235294118"/>
    <n v="117.30800000000001"/>
    <n v="118.002"/>
    <n v="1.0059"/>
    <n v="181.27205558823533"/>
    <m/>
    <n v="5"/>
    <s v="Sale"/>
    <x v="0"/>
    <x v="34"/>
    <x v="0"/>
    <n v="109.15"/>
    <n v="1"/>
    <n v="109.15"/>
    <n v="-71.058823529411796"/>
    <m/>
    <n v="181.27205558823533"/>
    <n v="-72.122055588235327"/>
  </r>
  <r>
    <x v="3"/>
    <x v="56"/>
    <x v="93"/>
    <x v="0"/>
    <n v="216.25058823529415"/>
    <n v="6"/>
    <n v="216.25058823529415"/>
    <n v="1"/>
    <n v="216.25058823529415"/>
    <n v="117.30800000000001"/>
    <n v="118.002"/>
    <n v="1.0059"/>
    <n v="217.52646670588237"/>
    <m/>
    <n v="6"/>
    <s v="Sale"/>
    <x v="0"/>
    <x v="34"/>
    <x v="0"/>
    <n v="137.55000000000001"/>
    <n v="1"/>
    <n v="137.55000000000001"/>
    <n v="-78.700588235294134"/>
    <m/>
    <n v="217.52646670588237"/>
    <n v="-79.976466705882359"/>
  </r>
  <r>
    <x v="3"/>
    <x v="56"/>
    <x v="93"/>
    <x v="0"/>
    <n v="36.041764705882358"/>
    <n v="1"/>
    <n v="36.041764705882358"/>
    <n v="1"/>
    <n v="36.041764705882358"/>
    <n v="117.30800000000001"/>
    <n v="118.98099999999999"/>
    <n v="1.0142"/>
    <n v="36.553557764705886"/>
    <m/>
    <n v="1"/>
    <s v="Sale"/>
    <x v="0"/>
    <x v="35"/>
    <x v="0"/>
    <n v="23.8"/>
    <n v="1"/>
    <n v="23.8"/>
    <n v="-12.241764705882357"/>
    <m/>
    <n v="36.553557764705886"/>
    <n v="-12.753557764705885"/>
  </r>
  <r>
    <x v="3"/>
    <x v="56"/>
    <x v="93"/>
    <x v="0"/>
    <n v="36.041764705882358"/>
    <n v="1"/>
    <n v="36.041764705882358"/>
    <n v="1"/>
    <n v="36.041764705882358"/>
    <n v="117.30800000000001"/>
    <n v="118.98099999999999"/>
    <n v="1.0142"/>
    <n v="36.553557764705886"/>
    <m/>
    <n v="1"/>
    <s v="Sale"/>
    <x v="0"/>
    <x v="35"/>
    <x v="0"/>
    <n v="24.32"/>
    <n v="1"/>
    <n v="24.32"/>
    <n v="-11.721764705882357"/>
    <m/>
    <n v="36.553557764705886"/>
    <n v="-12.233557764705886"/>
  </r>
  <r>
    <x v="3"/>
    <x v="56"/>
    <x v="93"/>
    <x v="0"/>
    <n v="72.083529411764715"/>
    <n v="2"/>
    <n v="72.083529411764715"/>
    <n v="1"/>
    <n v="72.083529411764715"/>
    <n v="117.30800000000001"/>
    <n v="118.98099999999999"/>
    <n v="1.0142"/>
    <n v="73.107115529411772"/>
    <m/>
    <n v="2"/>
    <s v="Sale"/>
    <x v="0"/>
    <x v="35"/>
    <x v="0"/>
    <n v="50.117073170731715"/>
    <n v="1"/>
    <n v="50.117073170731715"/>
    <n v="-21.966456241033001"/>
    <m/>
    <n v="73.107115529411772"/>
    <n v="-22.990042358680057"/>
  </r>
  <r>
    <x v="3"/>
    <x v="170"/>
    <x v="93"/>
    <x v="0"/>
    <n v="32.9"/>
    <n v="1"/>
    <n v="32.9"/>
    <n v="1"/>
    <n v="32.9"/>
    <n v="118.002"/>
    <n v="118.98099999999999"/>
    <n v="1.0082"/>
    <n v="33.169779999999996"/>
    <m/>
    <n v="1"/>
    <s v="Sale"/>
    <x v="0"/>
    <x v="35"/>
    <x v="0"/>
    <n v="25.058536585365857"/>
    <n v="1"/>
    <n v="25.058536585365857"/>
    <n v="-7.8414634146341413"/>
    <m/>
    <n v="33.169779999999996"/>
    <n v="-8.1112434146341386"/>
  </r>
  <r>
    <x v="3"/>
    <x v="170"/>
    <x v="93"/>
    <x v="0"/>
    <n v="99.14"/>
    <n v="3"/>
    <n v="99.14"/>
    <n v="1"/>
    <n v="99.14"/>
    <n v="118.002"/>
    <n v="118.98099999999999"/>
    <n v="1.0082"/>
    <n v="99.952947999999992"/>
    <m/>
    <n v="3"/>
    <s v="Sale"/>
    <x v="0"/>
    <x v="35"/>
    <x v="0"/>
    <n v="75.175609756097572"/>
    <n v="1"/>
    <n v="75.175609756097572"/>
    <n v="-23.964390243902429"/>
    <m/>
    <n v="99.952947999999992"/>
    <n v="-24.77733824390242"/>
  </r>
  <r>
    <x v="3"/>
    <x v="170"/>
    <x v="93"/>
    <x v="0"/>
    <n v="165.07"/>
    <n v="5"/>
    <n v="165.07"/>
    <n v="1"/>
    <n v="165.07"/>
    <n v="118.002"/>
    <n v="118.98099999999999"/>
    <n v="1.0082"/>
    <n v="166.423574"/>
    <m/>
    <n v="5"/>
    <s v="Sale"/>
    <x v="0"/>
    <x v="35"/>
    <x v="0"/>
    <n v="125.29268292682929"/>
    <n v="1"/>
    <n v="125.29268292682929"/>
    <n v="-39.777317073170707"/>
    <m/>
    <n v="166.423574"/>
    <n v="-41.130891073170716"/>
  </r>
  <r>
    <x v="3"/>
    <x v="170"/>
    <x v="93"/>
    <x v="0"/>
    <n v="230.72"/>
    <n v="7"/>
    <n v="230.72"/>
    <n v="1"/>
    <n v="230.72"/>
    <n v="118.002"/>
    <n v="118.98099999999999"/>
    <n v="1.0082"/>
    <n v="232.61190399999998"/>
    <m/>
    <n v="7"/>
    <s v="Sale"/>
    <x v="0"/>
    <x v="35"/>
    <x v="0"/>
    <n v="175.409756097561"/>
    <n v="1"/>
    <n v="175.409756097561"/>
    <n v="-55.310243902438998"/>
    <m/>
    <n v="232.61190399999998"/>
    <n v="-57.202147902438981"/>
  </r>
  <r>
    <x v="3"/>
    <x v="170"/>
    <x v="93"/>
    <x v="0"/>
    <n v="32.85"/>
    <n v="1"/>
    <n v="32.85"/>
    <n v="1"/>
    <n v="32.85"/>
    <n v="118.002"/>
    <n v="118.98099999999999"/>
    <n v="1.0082"/>
    <n v="33.119370000000004"/>
    <m/>
    <n v="1"/>
    <s v="Sale"/>
    <x v="0"/>
    <x v="35"/>
    <x v="0"/>
    <n v="25.058536585365857"/>
    <n v="1"/>
    <n v="25.058536585365857"/>
    <n v="-7.7914634146341442"/>
    <m/>
    <n v="33.119370000000004"/>
    <n v="-8.0608334146341463"/>
  </r>
  <r>
    <x v="3"/>
    <x v="170"/>
    <x v="93"/>
    <x v="0"/>
    <n v="98.69"/>
    <n v="3"/>
    <n v="98.69"/>
    <n v="1"/>
    <n v="98.69"/>
    <n v="118.002"/>
    <n v="118.98099999999999"/>
    <n v="1.0082"/>
    <n v="99.499257999999998"/>
    <m/>
    <n v="3"/>
    <s v="Sale"/>
    <x v="0"/>
    <x v="35"/>
    <x v="0"/>
    <n v="75.175609756097572"/>
    <n v="1"/>
    <n v="75.175609756097572"/>
    <n v="-23.514390243902426"/>
    <m/>
    <n v="99.499257999999998"/>
    <n v="-24.323648243902426"/>
  </r>
  <r>
    <x v="3"/>
    <x v="171"/>
    <x v="93"/>
    <x v="0"/>
    <n v="28.88"/>
    <n v="1"/>
    <n v="28.88"/>
    <n v="1"/>
    <n v="28.88"/>
    <n v="118.002"/>
    <n v="118.98099999999999"/>
    <n v="1.0082"/>
    <n v="29.116816"/>
    <m/>
    <n v="1"/>
    <s v="Sale"/>
    <x v="0"/>
    <x v="35"/>
    <x v="0"/>
    <n v="25.058536585365857"/>
    <n v="1"/>
    <n v="25.058536585365857"/>
    <n v="-3.8214634146341417"/>
    <m/>
    <n v="29.116816"/>
    <n v="-4.0582794146341428"/>
  </r>
  <r>
    <x v="3"/>
    <x v="171"/>
    <x v="93"/>
    <x v="0"/>
    <n v="56.84"/>
    <n v="2"/>
    <n v="56.84"/>
    <n v="1"/>
    <n v="56.84"/>
    <n v="118.002"/>
    <n v="118.98099999999999"/>
    <n v="1.0082"/>
    <n v="57.306088000000003"/>
    <m/>
    <n v="2"/>
    <s v="Sale"/>
    <x v="0"/>
    <x v="35"/>
    <x v="0"/>
    <n v="50.117073170731715"/>
    <n v="1"/>
    <n v="50.117073170731715"/>
    <n v="-6.7229268292682889"/>
    <m/>
    <n v="57.306088000000003"/>
    <n v="-7.1890148292682881"/>
  </r>
  <r>
    <x v="3"/>
    <x v="171"/>
    <x v="93"/>
    <x v="0"/>
    <n v="112.65"/>
    <n v="4"/>
    <n v="112.65"/>
    <n v="1"/>
    <n v="112.65"/>
    <n v="118.002"/>
    <n v="118.98099999999999"/>
    <n v="1.0082"/>
    <n v="113.57373"/>
    <m/>
    <n v="4"/>
    <s v="Sale"/>
    <x v="0"/>
    <x v="35"/>
    <x v="0"/>
    <n v="100.23414634146343"/>
    <n v="1"/>
    <n v="100.23414634146343"/>
    <n v="-12.415853658536577"/>
    <m/>
    <n v="113.57373"/>
    <n v="-13.339583658536569"/>
  </r>
  <r>
    <x v="3"/>
    <x v="171"/>
    <x v="93"/>
    <x v="0"/>
    <n v="205.11"/>
    <n v="7"/>
    <n v="205.11"/>
    <n v="1"/>
    <n v="205.11"/>
    <n v="118.002"/>
    <n v="118.98099999999999"/>
    <n v="1.0082"/>
    <n v="206.79190200000002"/>
    <m/>
    <n v="7"/>
    <s v="Sale"/>
    <x v="0"/>
    <x v="35"/>
    <x v="0"/>
    <n v="175.409756097561"/>
    <n v="1"/>
    <n v="175.409756097561"/>
    <n v="-29.700243902439013"/>
    <m/>
    <n v="206.79190200000002"/>
    <n v="-31.382145902439021"/>
  </r>
  <r>
    <x v="3"/>
    <x v="172"/>
    <x v="93"/>
    <x v="0"/>
    <n v="140.93333333333334"/>
    <n v="5"/>
    <n v="140.93333333333334"/>
    <n v="1"/>
    <n v="140.93333333333334"/>
    <n v="118.002"/>
    <n v="118.98099999999999"/>
    <n v="1.0082"/>
    <n v="142.08898666666667"/>
    <m/>
    <n v="5"/>
    <s v="Sale"/>
    <x v="0"/>
    <x v="35"/>
    <x v="0"/>
    <n v="125.29268292682929"/>
    <n v="1"/>
    <n v="125.29268292682929"/>
    <n v="-15.640650406504051"/>
    <m/>
    <n v="142.08898666666667"/>
    <n v="-16.796303739837384"/>
  </r>
  <r>
    <x v="3"/>
    <x v="172"/>
    <x v="93"/>
    <x v="0"/>
    <n v="112.74666666666667"/>
    <n v="4"/>
    <n v="112.74666666666667"/>
    <n v="1"/>
    <n v="112.74666666666667"/>
    <n v="118.002"/>
    <n v="118.98099999999999"/>
    <n v="1.0082"/>
    <n v="113.67118933333333"/>
    <m/>
    <n v="4"/>
    <s v="Sale"/>
    <x v="0"/>
    <x v="35"/>
    <x v="0"/>
    <n v="98.36"/>
    <n v="1"/>
    <n v="98.36"/>
    <n v="-14.38666666666667"/>
    <m/>
    <n v="113.67118933333333"/>
    <n v="-15.311189333333331"/>
  </r>
  <r>
    <x v="3"/>
    <x v="172"/>
    <x v="93"/>
    <x v="0"/>
    <n v="28.29"/>
    <n v="1"/>
    <n v="28.29"/>
    <n v="1"/>
    <n v="28.29"/>
    <n v="118.002"/>
    <n v="118.98099999999999"/>
    <n v="1.0082"/>
    <n v="28.521977999999997"/>
    <m/>
    <n v="1"/>
    <s v="Sale"/>
    <x v="0"/>
    <x v="35"/>
    <x v="0"/>
    <n v="24.59"/>
    <n v="1"/>
    <n v="24.59"/>
    <n v="-3.6999999999999993"/>
    <m/>
    <n v="28.521977999999997"/>
    <n v="-3.9319779999999973"/>
  </r>
  <r>
    <x v="3"/>
    <x v="168"/>
    <x v="93"/>
    <x v="0"/>
    <n v="212.68"/>
    <n v="12"/>
    <n v="212.68"/>
    <n v="1"/>
    <n v="212.68"/>
    <n v="123.803"/>
    <n v="125.997"/>
    <n v="1.0177"/>
    <n v="216.44443600000002"/>
    <m/>
    <n v="12"/>
    <s v="Sale"/>
    <x v="0"/>
    <x v="139"/>
    <x v="0"/>
    <n v="237.43874999999997"/>
    <n v="1"/>
    <n v="237.43874999999997"/>
    <n v="24.758749999999964"/>
    <m/>
    <n v="216.44443600000002"/>
    <n v="20.994313999999946"/>
  </r>
  <r>
    <x v="3"/>
    <x v="168"/>
    <x v="93"/>
    <x v="0"/>
    <n v="17.649999999999999"/>
    <n v="1"/>
    <n v="17.649999999999999"/>
    <n v="1"/>
    <n v="17.649999999999999"/>
    <n v="123.803"/>
    <n v="125.997"/>
    <n v="1.0177"/>
    <n v="17.962405"/>
    <m/>
    <n v="1"/>
    <s v="Sale"/>
    <x v="0"/>
    <x v="139"/>
    <x v="0"/>
    <n v="19.786562499999999"/>
    <n v="1"/>
    <n v="19.786562499999999"/>
    <n v="2.1365625000000001"/>
    <m/>
    <n v="17.962405"/>
    <n v="1.8241574999999983"/>
  </r>
  <r>
    <x v="3"/>
    <x v="168"/>
    <x v="93"/>
    <x v="0"/>
    <n v="35.299999999999997"/>
    <n v="2"/>
    <n v="35.299999999999997"/>
    <n v="1"/>
    <n v="35.299999999999997"/>
    <n v="123.803"/>
    <n v="125.997"/>
    <n v="1.0177"/>
    <n v="35.924810000000001"/>
    <m/>
    <n v="2"/>
    <s v="Sale"/>
    <x v="0"/>
    <x v="139"/>
    <x v="0"/>
    <n v="39.573124999999997"/>
    <n v="1"/>
    <n v="39.573124999999997"/>
    <n v="4.2731250000000003"/>
    <m/>
    <n v="35.924810000000001"/>
    <n v="3.6483149999999966"/>
  </r>
  <r>
    <x v="3"/>
    <x v="168"/>
    <x v="93"/>
    <x v="0"/>
    <n v="17.64"/>
    <n v="1"/>
    <n v="17.64"/>
    <n v="1"/>
    <n v="17.64"/>
    <n v="123.803"/>
    <n v="125.997"/>
    <n v="1.0177"/>
    <n v="17.952228000000002"/>
    <m/>
    <n v="1"/>
    <s v="Sale"/>
    <x v="0"/>
    <x v="139"/>
    <x v="0"/>
    <n v="19.786562499999999"/>
    <n v="1"/>
    <n v="19.786562499999999"/>
    <n v="2.1465624999999982"/>
    <m/>
    <n v="17.952228000000002"/>
    <n v="1.8343344999999971"/>
  </r>
  <r>
    <x v="3"/>
    <x v="168"/>
    <x v="93"/>
    <x v="0"/>
    <n v="283.18222222222221"/>
    <n v="16"/>
    <n v="283.18222222222221"/>
    <n v="1"/>
    <n v="283.18222222222221"/>
    <n v="123.803"/>
    <n v="125.997"/>
    <n v="1.0177"/>
    <n v="288.19454755555557"/>
    <m/>
    <n v="16"/>
    <s v="Sale"/>
    <x v="0"/>
    <x v="139"/>
    <x v="0"/>
    <n v="316.58499999999998"/>
    <n v="1"/>
    <n v="316.58499999999998"/>
    <n v="33.402777777777771"/>
    <m/>
    <n v="288.19454755555557"/>
    <n v="28.390452444444406"/>
  </r>
  <r>
    <x v="3"/>
    <x v="168"/>
    <x v="93"/>
    <x v="0"/>
    <n v="35.397777777777776"/>
    <n v="2"/>
    <n v="35.397777777777776"/>
    <n v="1"/>
    <n v="35.397777777777776"/>
    <n v="123.803"/>
    <n v="125.997"/>
    <n v="1.0177"/>
    <n v="36.024318444444447"/>
    <m/>
    <n v="2"/>
    <s v="Sale"/>
    <x v="0"/>
    <x v="139"/>
    <x v="0"/>
    <n v="39.76"/>
    <n v="1"/>
    <n v="39.76"/>
    <n v="4.362222222222222"/>
    <m/>
    <n v="36.024318444444447"/>
    <n v="3.7356815555555514"/>
  </r>
  <r>
    <x v="3"/>
    <x v="173"/>
    <x v="94"/>
    <x v="0"/>
    <n v="106.87"/>
    <n v="1"/>
    <n v="106.87"/>
    <n v="1"/>
    <n v="106.87"/>
    <n v="121.02200000000001"/>
    <n v="125.997"/>
    <n v="1.0410999999999999"/>
    <n v="111.26235699999999"/>
    <m/>
    <n v="1"/>
    <s v="Sale"/>
    <x v="0"/>
    <x v="139"/>
    <x v="0"/>
    <n v="78.86333333333333"/>
    <n v="1"/>
    <n v="78.86333333333333"/>
    <n v="-28.006666666666675"/>
    <m/>
    <n v="111.26235699999999"/>
    <n v="-32.399023666666665"/>
  </r>
  <r>
    <x v="3"/>
    <x v="173"/>
    <x v="94"/>
    <x v="0"/>
    <n v="213.82545454545453"/>
    <n v="2"/>
    <n v="213.82545454545453"/>
    <n v="1"/>
    <n v="213.82545454545453"/>
    <n v="121.02200000000001"/>
    <n v="125.997"/>
    <n v="1.0410999999999999"/>
    <n v="222.61368072727271"/>
    <m/>
    <n v="2"/>
    <s v="Sale"/>
    <x v="0"/>
    <x v="139"/>
    <x v="0"/>
    <n v="157.72666666666666"/>
    <n v="1"/>
    <n v="157.72666666666666"/>
    <n v="-56.098787878787874"/>
    <m/>
    <n v="222.61368072727271"/>
    <n v="-64.887014060606049"/>
  </r>
  <r>
    <x v="3"/>
    <x v="173"/>
    <x v="94"/>
    <x v="0"/>
    <n v="962.21454545454537"/>
    <n v="9"/>
    <n v="962.21454545454537"/>
    <n v="1"/>
    <n v="962.21454545454537"/>
    <n v="121.02200000000001"/>
    <n v="125.997"/>
    <n v="1.0410999999999999"/>
    <n v="1001.7615632727271"/>
    <m/>
    <n v="9"/>
    <s v="Sale"/>
    <x v="0"/>
    <x v="139"/>
    <x v="0"/>
    <n v="708.99750000000006"/>
    <n v="1"/>
    <n v="708.99750000000006"/>
    <n v="-253.21704545454531"/>
    <m/>
    <n v="1001.7615632727271"/>
    <n v="-292.76406327272707"/>
  </r>
  <r>
    <x v="3"/>
    <x v="173"/>
    <x v="94"/>
    <x v="0"/>
    <n v="321.36"/>
    <n v="3"/>
    <n v="321.36"/>
    <n v="1"/>
    <n v="321.36"/>
    <n v="121.02200000000001"/>
    <n v="125.997"/>
    <n v="1.0410999999999999"/>
    <n v="334.56789599999996"/>
    <m/>
    <n v="3"/>
    <s v="Sale"/>
    <x v="0"/>
    <x v="139"/>
    <x v="0"/>
    <n v="236.33250000000001"/>
    <n v="1"/>
    <n v="236.33250000000001"/>
    <n v="-85.027500000000003"/>
    <m/>
    <n v="334.56789599999996"/>
    <n v="-98.235395999999952"/>
  </r>
  <r>
    <x v="3"/>
    <x v="174"/>
    <x v="94"/>
    <x v="0"/>
    <n v="1321.49"/>
    <n v="12"/>
    <n v="1321.49"/>
    <n v="1"/>
    <n v="1321.49"/>
    <n v="121.02200000000001"/>
    <n v="125.997"/>
    <n v="1.0410999999999999"/>
    <n v="1375.8032389999998"/>
    <m/>
    <n v="12"/>
    <s v="Sale"/>
    <x v="0"/>
    <x v="139"/>
    <x v="0"/>
    <n v="945.33"/>
    <n v="1"/>
    <n v="945.33"/>
    <n v="-376.15999999999997"/>
    <m/>
    <n v="1375.8032389999998"/>
    <n v="-430.47323899999981"/>
  </r>
  <r>
    <x v="3"/>
    <x v="175"/>
    <x v="94"/>
    <x v="0"/>
    <n v="436.38285714285712"/>
    <n v="4"/>
    <n v="436.38285714285712"/>
    <n v="1"/>
    <n v="436.38285714285712"/>
    <n v="122.044"/>
    <n v="125.997"/>
    <n v="1.0323"/>
    <n v="450.47802342857142"/>
    <m/>
    <n v="4"/>
    <s v="Sale"/>
    <x v="0"/>
    <x v="139"/>
    <x v="0"/>
    <n v="315.11"/>
    <n v="1"/>
    <n v="315.11"/>
    <n v="-121.27285714285711"/>
    <m/>
    <n v="450.47802342857142"/>
    <n v="-135.36802342857141"/>
  </r>
  <r>
    <x v="3"/>
    <x v="175"/>
    <x v="94"/>
    <x v="0"/>
    <n v="327.28714285714284"/>
    <n v="3"/>
    <n v="327.28714285714284"/>
    <n v="1"/>
    <n v="327.28714285714284"/>
    <n v="122.044"/>
    <n v="125.997"/>
    <n v="1.0323"/>
    <n v="337.85851757142854"/>
    <m/>
    <n v="3"/>
    <s v="Sale"/>
    <x v="0"/>
    <x v="140"/>
    <x v="0"/>
    <n v="231.23000000000002"/>
    <n v="1"/>
    <n v="231.23000000000002"/>
    <n v="-96.057142857142821"/>
    <m/>
    <n v="337.85851757142854"/>
    <n v="-106.62851757142852"/>
  </r>
  <r>
    <x v="3"/>
    <x v="11"/>
    <x v="80"/>
    <x v="0"/>
    <n v="650.79142857142847"/>
    <n v="11"/>
    <n v="650.79142857142847"/>
    <n v="1"/>
    <n v="650.79142857142847"/>
    <n v="120.15900000000001"/>
    <n v="125.997"/>
    <n v="1.0485"/>
    <n v="682.35481285714275"/>
    <m/>
    <n v="11"/>
    <s v="Sale"/>
    <x v="0"/>
    <x v="119"/>
    <x v="0"/>
    <n v="526.35578947368424"/>
    <n v="1"/>
    <n v="526.35578947368424"/>
    <n v="-124.43563909774423"/>
    <m/>
    <n v="682.35481285714275"/>
    <n v="-155.99902338345851"/>
  </r>
  <r>
    <x v="3"/>
    <x v="131"/>
    <x v="80"/>
    <x v="0"/>
    <n v="508.37538461538463"/>
    <n v="8"/>
    <n v="508.37538461538463"/>
    <n v="1"/>
    <n v="508.37538461538463"/>
    <n v="120.15900000000001"/>
    <n v="125.997"/>
    <n v="1.0485"/>
    <n v="533.03159076923077"/>
    <m/>
    <n v="8"/>
    <s v="Sale"/>
    <x v="0"/>
    <x v="119"/>
    <x v="0"/>
    <n v="382.80421052631579"/>
    <n v="1"/>
    <n v="382.80421052631579"/>
    <n v="-125.57117408906885"/>
    <m/>
    <n v="533.03159076923077"/>
    <n v="-150.22738024291499"/>
  </r>
  <r>
    <x v="3"/>
    <x v="131"/>
    <x v="80"/>
    <x v="0"/>
    <n v="317.73461538461538"/>
    <n v="5"/>
    <n v="317.73461538461538"/>
    <n v="1"/>
    <n v="317.73461538461538"/>
    <n v="120.15900000000001"/>
    <n v="125.997"/>
    <n v="1.0485"/>
    <n v="333.14474423076922"/>
    <m/>
    <n v="5"/>
    <s v="Sale"/>
    <x v="0"/>
    <x v="127"/>
    <x v="0"/>
    <n v="243.495"/>
    <n v="1"/>
    <n v="243.495"/>
    <n v="-74.239615384615377"/>
    <m/>
    <n v="333.14474423076922"/>
    <n v="-89.649744230769215"/>
  </r>
  <r>
    <x v="3"/>
    <x v="176"/>
    <x v="80"/>
    <x v="0"/>
    <n v="804.61999999999989"/>
    <n v="12"/>
    <n v="804.61999999999989"/>
    <n v="1"/>
    <n v="804.61999999999989"/>
    <n v="120.15900000000001"/>
    <n v="125.997"/>
    <n v="1.0485"/>
    <n v="843.64406999999983"/>
    <m/>
    <n v="12"/>
    <s v="Sale"/>
    <x v="0"/>
    <x v="127"/>
    <x v="0"/>
    <n v="584.38799999999992"/>
    <n v="1"/>
    <n v="584.38799999999992"/>
    <n v="-220.23199999999997"/>
    <m/>
    <n v="843.64406999999983"/>
    <n v="-259.25606999999991"/>
  </r>
  <r>
    <x v="3"/>
    <x v="177"/>
    <x v="80"/>
    <x v="0"/>
    <n v="205.05250000000001"/>
    <n v="3"/>
    <n v="205.05250000000001"/>
    <n v="1"/>
    <n v="205.05250000000001"/>
    <n v="120.15900000000001"/>
    <n v="125.997"/>
    <n v="1.0485"/>
    <n v="214.99754625"/>
    <m/>
    <n v="3"/>
    <s v="Sale"/>
    <x v="0"/>
    <x v="127"/>
    <x v="0"/>
    <n v="146.09699999999998"/>
    <n v="1"/>
    <n v="146.09699999999998"/>
    <n v="-58.955500000000029"/>
    <m/>
    <n v="214.99754625"/>
    <n v="-68.900546250000019"/>
  </r>
  <r>
    <x v="3"/>
    <x v="47"/>
    <x v="74"/>
    <x v="0"/>
    <n v="59.959696969696971"/>
    <n v="1"/>
    <n v="59.959696969696971"/>
    <n v="1"/>
    <n v="59.959696969696971"/>
    <n v="116.884"/>
    <n v="125.997"/>
    <n v="1.0779000000000001"/>
    <n v="64.63055736363637"/>
    <m/>
    <n v="1"/>
    <s v="Sale"/>
    <x v="0"/>
    <x v="127"/>
    <x v="0"/>
    <n v="48.15"/>
    <n v="1"/>
    <n v="48.15"/>
    <n v="-11.809696969696972"/>
    <m/>
    <n v="64.63055736363637"/>
    <n v="-16.480557363636372"/>
  </r>
  <r>
    <x v="3"/>
    <x v="47"/>
    <x v="74"/>
    <x v="0"/>
    <n v="59.959696969696971"/>
    <n v="1"/>
    <n v="59.959696969696971"/>
    <n v="1"/>
    <n v="59.959696969696971"/>
    <n v="116.884"/>
    <n v="125.997"/>
    <n v="1.0779000000000001"/>
    <n v="64.63055736363637"/>
    <m/>
    <n v="1"/>
    <s v="Sale"/>
    <x v="0"/>
    <x v="127"/>
    <x v="0"/>
    <n v="47.29"/>
    <n v="1"/>
    <n v="47.29"/>
    <n v="-12.669696969696972"/>
    <m/>
    <n v="64.63055736363637"/>
    <n v="-17.340557363636371"/>
  </r>
  <r>
    <x v="3"/>
    <x v="47"/>
    <x v="74"/>
    <x v="0"/>
    <n v="899.39545454545453"/>
    <n v="15"/>
    <n v="899.39545454545453"/>
    <n v="1"/>
    <n v="899.39545454545453"/>
    <n v="116.884"/>
    <n v="125.997"/>
    <n v="1.0779000000000001"/>
    <n v="969.45836045454553"/>
    <m/>
    <n v="15"/>
    <s v="Sale"/>
    <x v="0"/>
    <x v="127"/>
    <x v="0"/>
    <n v="715.85"/>
    <n v="1"/>
    <n v="715.85"/>
    <n v="-183.5454545454545"/>
    <m/>
    <n v="969.45836045454553"/>
    <n v="-253.6083604545455"/>
  </r>
  <r>
    <x v="3"/>
    <x v="47"/>
    <x v="74"/>
    <x v="0"/>
    <n v="59.959696969696971"/>
    <n v="1"/>
    <n v="59.959696969696971"/>
    <n v="1"/>
    <n v="59.959696969696971"/>
    <n v="116.884"/>
    <n v="125.997"/>
    <n v="1.0779000000000001"/>
    <n v="64.63055736363637"/>
    <m/>
    <n v="1"/>
    <s v="Sale"/>
    <x v="0"/>
    <x v="127"/>
    <x v="0"/>
    <n v="47.74"/>
    <n v="1"/>
    <n v="47.74"/>
    <n v="-12.219696969696969"/>
    <m/>
    <n v="64.63055736363637"/>
    <n v="-16.890557363636368"/>
  </r>
  <r>
    <x v="3"/>
    <x v="47"/>
    <x v="74"/>
    <x v="0"/>
    <n v="59.959696969696971"/>
    <n v="1"/>
    <n v="59.959696969696971"/>
    <n v="1"/>
    <n v="59.959696969696971"/>
    <n v="116.884"/>
    <n v="125.997"/>
    <n v="1.0779000000000001"/>
    <n v="64.63055736363637"/>
    <m/>
    <n v="1"/>
    <s v="Sale"/>
    <x v="0"/>
    <x v="141"/>
    <x v="0"/>
    <n v="46.06"/>
    <n v="1"/>
    <n v="46.06"/>
    <n v="-13.899696969696969"/>
    <m/>
    <n v="64.63055736363637"/>
    <n v="-18.570557363636368"/>
  </r>
  <r>
    <x v="3"/>
    <x v="132"/>
    <x v="95"/>
    <x v="0"/>
    <n v="903.81666666666661"/>
    <n v="10"/>
    <n v="903.81666666666661"/>
    <n v="1"/>
    <n v="903.81666666666661"/>
    <n v="120.15900000000001"/>
    <n v="122.044"/>
    <n v="1.0156000000000001"/>
    <n v="917.91620666666665"/>
    <m/>
    <n v="10"/>
    <s v="Sale"/>
    <x v="0"/>
    <x v="142"/>
    <x v="0"/>
    <n v="550.63"/>
    <n v="1"/>
    <n v="550.63"/>
    <n v="-353.18666666666661"/>
    <m/>
    <n v="917.91620666666665"/>
    <n v="-367.28620666666666"/>
  </r>
  <r>
    <x v="3"/>
    <x v="132"/>
    <x v="95"/>
    <x v="0"/>
    <n v="632.67166666666662"/>
    <n v="7"/>
    <n v="632.67166666666662"/>
    <n v="1"/>
    <n v="632.67166666666662"/>
    <n v="120.15900000000001"/>
    <n v="122.044"/>
    <n v="1.0156000000000001"/>
    <n v="642.54134466666665"/>
    <m/>
    <n v="7"/>
    <s v="Sale"/>
    <x v="0"/>
    <x v="142"/>
    <x v="0"/>
    <n v="386.82"/>
    <n v="1"/>
    <n v="386.82"/>
    <n v="-245.85166666666663"/>
    <m/>
    <n v="642.54134466666665"/>
    <n v="-255.72134466666665"/>
  </r>
  <r>
    <x v="3"/>
    <x v="132"/>
    <x v="95"/>
    <x v="0"/>
    <n v="632.67166666666662"/>
    <n v="7"/>
    <n v="632.67166666666662"/>
    <n v="1"/>
    <n v="632.67166666666662"/>
    <n v="120.15900000000001"/>
    <n v="122.044"/>
    <n v="1.0156000000000001"/>
    <n v="642.54134466666665"/>
    <m/>
    <n v="7"/>
    <s v="Sale"/>
    <x v="0"/>
    <x v="142"/>
    <x v="0"/>
    <n v="382.83"/>
    <n v="1"/>
    <n v="382.83"/>
    <n v="-249.84166666666664"/>
    <m/>
    <n v="642.54134466666665"/>
    <n v="-259.71134466666666"/>
  </r>
  <r>
    <x v="3"/>
    <x v="176"/>
    <x v="95"/>
    <x v="0"/>
    <n v="100.265"/>
    <n v="1"/>
    <n v="100.265"/>
    <n v="1"/>
    <n v="100.265"/>
    <n v="120.15900000000001"/>
    <n v="122.044"/>
    <n v="1.0156000000000001"/>
    <n v="101.82913400000001"/>
    <m/>
    <n v="1"/>
    <s v="Sale"/>
    <x v="0"/>
    <x v="142"/>
    <x v="0"/>
    <n v="54.69"/>
    <n v="1"/>
    <n v="54.69"/>
    <n v="-45.575000000000003"/>
    <m/>
    <n v="101.82913400000001"/>
    <n v="-47.139134000000013"/>
  </r>
  <r>
    <x v="3"/>
    <x v="176"/>
    <x v="95"/>
    <x v="0"/>
    <n v="100.265"/>
    <n v="1"/>
    <n v="100.265"/>
    <n v="1"/>
    <n v="100.265"/>
    <n v="120.15900000000001"/>
    <n v="122.044"/>
    <n v="1.0156000000000001"/>
    <n v="101.82913400000001"/>
    <m/>
    <n v="1"/>
    <s v="Sale"/>
    <x v="0"/>
    <x v="143"/>
    <x v="0"/>
    <n v="54.361428571428569"/>
    <n v="1"/>
    <n v="54.361428571428569"/>
    <n v="-45.903571428571432"/>
    <m/>
    <n v="101.82913400000001"/>
    <n v="-47.467705428571442"/>
  </r>
  <r>
    <x v="3"/>
    <x v="176"/>
    <x v="95"/>
    <x v="0"/>
    <n v="303.55"/>
    <n v="3"/>
    <n v="303.55"/>
    <n v="1"/>
    <n v="303.55"/>
    <n v="120.15900000000001"/>
    <n v="122.044"/>
    <n v="1.0156000000000001"/>
    <n v="308.28538000000003"/>
    <m/>
    <n v="3"/>
    <s v="Sale"/>
    <x v="0"/>
    <x v="143"/>
    <x v="0"/>
    <n v="163.0842857142857"/>
    <n v="1"/>
    <n v="163.0842857142857"/>
    <n v="-140.46571428571431"/>
    <m/>
    <n v="308.28538000000003"/>
    <n v="-145.20109428571433"/>
  </r>
  <r>
    <x v="3"/>
    <x v="176"/>
    <x v="95"/>
    <x v="0"/>
    <n v="887.38"/>
    <n v="9"/>
    <n v="887.38"/>
    <n v="1"/>
    <n v="887.38"/>
    <n v="120.15900000000001"/>
    <n v="122.044"/>
    <n v="1.0156000000000001"/>
    <n v="901.22312800000009"/>
    <m/>
    <n v="9"/>
    <s v="Sale"/>
    <x v="0"/>
    <x v="143"/>
    <x v="0"/>
    <n v="489.25285714285712"/>
    <n v="1"/>
    <n v="489.25285714285712"/>
    <n v="-398.12714285714287"/>
    <m/>
    <n v="901.22312800000009"/>
    <n v="-411.97027085714296"/>
  </r>
  <r>
    <x v="3"/>
    <x v="177"/>
    <x v="95"/>
    <x v="0"/>
    <n v="99.01"/>
    <n v="1"/>
    <n v="99.01"/>
    <n v="1"/>
    <n v="99.01"/>
    <n v="120.15900000000001"/>
    <n v="122.044"/>
    <n v="1.0156000000000001"/>
    <n v="100.55455600000001"/>
    <m/>
    <n v="1"/>
    <s v="Sale"/>
    <x v="0"/>
    <x v="143"/>
    <x v="0"/>
    <n v="54.361428571428569"/>
    <n v="1"/>
    <n v="54.361428571428569"/>
    <n v="-44.648571428571437"/>
    <m/>
    <n v="100.55455600000001"/>
    <n v="-46.193127428571437"/>
  </r>
  <r>
    <x v="3"/>
    <x v="177"/>
    <x v="95"/>
    <x v="0"/>
    <n v="99.01"/>
    <n v="1"/>
    <n v="99.01"/>
    <n v="1"/>
    <n v="99.01"/>
    <n v="120.15900000000001"/>
    <n v="122.044"/>
    <n v="1.0156000000000001"/>
    <n v="100.55455600000001"/>
    <m/>
    <n v="1"/>
    <s v="Sale"/>
    <x v="0"/>
    <x v="143"/>
    <x v="0"/>
    <n v="53.4"/>
    <n v="1"/>
    <n v="53.4"/>
    <n v="-45.610000000000007"/>
    <m/>
    <n v="100.55455600000001"/>
    <n v="-47.154556000000007"/>
  </r>
  <r>
    <x v="3"/>
    <x v="177"/>
    <x v="95"/>
    <x v="0"/>
    <n v="103.32"/>
    <n v="1"/>
    <n v="103.32"/>
    <n v="1"/>
    <n v="103.32"/>
    <n v="120.15900000000001"/>
    <n v="122.044"/>
    <n v="1.0156000000000001"/>
    <n v="104.931792"/>
    <m/>
    <n v="1"/>
    <s v="Sale"/>
    <x v="0"/>
    <x v="143"/>
    <x v="0"/>
    <n v="53.4"/>
    <n v="1"/>
    <n v="53.4"/>
    <n v="-49.919999999999995"/>
    <m/>
    <n v="104.931792"/>
    <n v="-51.531792000000003"/>
  </r>
  <r>
    <x v="3"/>
    <x v="177"/>
    <x v="95"/>
    <x v="0"/>
    <n v="99.66"/>
    <n v="1"/>
    <n v="99.66"/>
    <n v="1"/>
    <n v="99.66"/>
    <n v="120.15900000000001"/>
    <n v="122.044"/>
    <n v="1.0156000000000001"/>
    <n v="101.214696"/>
    <m/>
    <n v="1"/>
    <s v="Sale"/>
    <x v="0"/>
    <x v="143"/>
    <x v="0"/>
    <n v="54.303999999999995"/>
    <n v="1"/>
    <n v="54.303999999999995"/>
    <n v="-45.356000000000002"/>
    <m/>
    <n v="101.214696"/>
    <n v="-46.910696000000009"/>
  </r>
  <r>
    <x v="3"/>
    <x v="177"/>
    <x v="95"/>
    <x v="0"/>
    <n v="409.08000000000004"/>
    <n v="4"/>
    <n v="409.08000000000004"/>
    <n v="1"/>
    <n v="409.08000000000004"/>
    <n v="120.15900000000001"/>
    <n v="122.044"/>
    <n v="1.0156000000000001"/>
    <n v="415.46164800000008"/>
    <m/>
    <n v="4"/>
    <s v="Sale"/>
    <x v="0"/>
    <x v="143"/>
    <x v="0"/>
    <n v="217.21599999999998"/>
    <n v="1"/>
    <n v="217.21599999999998"/>
    <n v="-191.86400000000006"/>
    <m/>
    <n v="415.46164800000008"/>
    <n v="-198.2456480000001"/>
  </r>
  <r>
    <x v="3"/>
    <x v="177"/>
    <x v="95"/>
    <x v="0"/>
    <n v="102.27000000000001"/>
    <n v="1"/>
    <n v="102.27000000000001"/>
    <n v="1"/>
    <n v="102.27000000000001"/>
    <n v="120.15900000000001"/>
    <n v="122.044"/>
    <n v="1.0156000000000001"/>
    <n v="103.86541200000002"/>
    <m/>
    <n v="1"/>
    <s v="Sale"/>
    <x v="0"/>
    <x v="14"/>
    <x v="0"/>
    <n v="54.898181818181818"/>
    <n v="1"/>
    <n v="54.898181818181818"/>
    <n v="-47.371818181818192"/>
    <m/>
    <n v="103.86541200000002"/>
    <n v="-48.967230181818202"/>
  </r>
  <r>
    <x v="3"/>
    <x v="118"/>
    <x v="95"/>
    <x v="0"/>
    <n v="264.32"/>
    <n v="3"/>
    <n v="264.32"/>
    <n v="1"/>
    <n v="264.32"/>
    <n v="120.809"/>
    <n v="122.044"/>
    <n v="1.0102"/>
    <n v="267.01606399999997"/>
    <m/>
    <n v="3"/>
    <s v="Sale"/>
    <x v="0"/>
    <x v="14"/>
    <x v="0"/>
    <n v="164.69454545454545"/>
    <n v="1"/>
    <n v="164.69454545454545"/>
    <n v="-99.625454545454545"/>
    <m/>
    <n v="267.01606399999997"/>
    <n v="-102.32151854545452"/>
  </r>
  <r>
    <x v="3"/>
    <x v="118"/>
    <x v="95"/>
    <x v="0"/>
    <n v="434.22"/>
    <n v="5"/>
    <n v="434.22"/>
    <n v="1"/>
    <n v="434.22"/>
    <n v="120.809"/>
    <n v="122.044"/>
    <n v="1.0102"/>
    <n v="438.649044"/>
    <m/>
    <n v="5"/>
    <s v="Sale"/>
    <x v="0"/>
    <x v="14"/>
    <x v="0"/>
    <n v="274.4909090909091"/>
    <n v="1"/>
    <n v="274.4909090909091"/>
    <n v="-159.72909090909093"/>
    <m/>
    <n v="438.649044"/>
    <n v="-164.1581349090909"/>
  </r>
  <r>
    <x v="3"/>
    <x v="133"/>
    <x v="95"/>
    <x v="0"/>
    <n v="171.74"/>
    <n v="2"/>
    <n v="171.74"/>
    <n v="1"/>
    <n v="171.74"/>
    <n v="120.809"/>
    <n v="122.044"/>
    <n v="1.0102"/>
    <n v="173.491748"/>
    <m/>
    <n v="2"/>
    <s v="Sale"/>
    <x v="0"/>
    <x v="14"/>
    <x v="0"/>
    <n v="109.79636363636364"/>
    <n v="1"/>
    <n v="109.79636363636364"/>
    <n v="-61.943636363636372"/>
    <m/>
    <n v="173.491748"/>
    <n v="-63.695384363636364"/>
  </r>
  <r>
    <x v="3"/>
    <x v="133"/>
    <x v="95"/>
    <x v="0"/>
    <n v="171.74"/>
    <n v="2"/>
    <n v="171.74"/>
    <n v="1"/>
    <n v="171.74"/>
    <n v="120.809"/>
    <n v="122.044"/>
    <n v="1.0102"/>
    <n v="173.491748"/>
    <m/>
    <n v="2"/>
    <s v="Sale"/>
    <x v="0"/>
    <x v="14"/>
    <x v="0"/>
    <n v="109.72"/>
    <n v="1"/>
    <n v="109.72"/>
    <n v="-62.02000000000001"/>
    <m/>
    <n v="173.491748"/>
    <n v="-63.771748000000002"/>
  </r>
  <r>
    <x v="3"/>
    <x v="133"/>
    <x v="95"/>
    <x v="0"/>
    <n v="343.48"/>
    <n v="4"/>
    <n v="343.48"/>
    <n v="1"/>
    <n v="343.48"/>
    <n v="120.809"/>
    <n v="122.044"/>
    <n v="1.0102"/>
    <n v="346.983496"/>
    <m/>
    <n v="4"/>
    <s v="Sale"/>
    <x v="0"/>
    <x v="14"/>
    <x v="0"/>
    <n v="215.36"/>
    <n v="1"/>
    <n v="215.36"/>
    <n v="-128.12"/>
    <m/>
    <n v="346.983496"/>
    <n v="-131.62349599999999"/>
  </r>
  <r>
    <x v="3"/>
    <x v="178"/>
    <x v="95"/>
    <x v="0"/>
    <n v="50.63"/>
    <n v="1"/>
    <n v="50.63"/>
    <n v="1"/>
    <n v="50.63"/>
    <n v="125.276"/>
    <n v="125.997"/>
    <n v="1.0057"/>
    <n v="50.918591000000006"/>
    <m/>
    <n v="1"/>
    <s v="Sale"/>
    <x v="0"/>
    <x v="144"/>
    <x v="0"/>
    <n v="62.03"/>
    <n v="1"/>
    <n v="62.03"/>
    <n v="11.399999999999999"/>
    <m/>
    <n v="50.918591000000006"/>
    <n v="11.111408999999995"/>
  </r>
  <r>
    <x v="3"/>
    <x v="178"/>
    <x v="95"/>
    <x v="0"/>
    <n v="99.13"/>
    <n v="2"/>
    <n v="99.13"/>
    <n v="1"/>
    <n v="99.13"/>
    <n v="125.276"/>
    <n v="125.997"/>
    <n v="1.0057"/>
    <n v="99.695041000000003"/>
    <m/>
    <n v="2"/>
    <s v="Sale"/>
    <x v="0"/>
    <x v="144"/>
    <x v="0"/>
    <n v="124.06"/>
    <n v="1"/>
    <n v="124.06"/>
    <n v="24.930000000000007"/>
    <m/>
    <n v="99.695041000000003"/>
    <n v="24.364958999999999"/>
  </r>
  <r>
    <x v="3"/>
    <x v="178"/>
    <x v="95"/>
    <x v="0"/>
    <n v="150.91999999999999"/>
    <n v="3"/>
    <n v="150.91999999999999"/>
    <n v="1"/>
    <n v="150.91999999999999"/>
    <n v="125.276"/>
    <n v="125.997"/>
    <n v="1.0057"/>
    <n v="151.78024399999998"/>
    <m/>
    <n v="3"/>
    <s v="Sale"/>
    <x v="0"/>
    <x v="144"/>
    <x v="0"/>
    <n v="186.09"/>
    <n v="1"/>
    <n v="186.09"/>
    <n v="35.170000000000016"/>
    <m/>
    <n v="151.78024399999998"/>
    <n v="34.309756000000021"/>
  </r>
  <r>
    <x v="3"/>
    <x v="178"/>
    <x v="95"/>
    <x v="0"/>
    <n v="49.67"/>
    <n v="1"/>
    <n v="49.67"/>
    <n v="1"/>
    <n v="49.67"/>
    <n v="125.276"/>
    <n v="125.997"/>
    <n v="1.0057"/>
    <n v="49.953119000000001"/>
    <m/>
    <n v="1"/>
    <s v="Sale"/>
    <x v="0"/>
    <x v="144"/>
    <x v="0"/>
    <n v="62.03"/>
    <n v="1"/>
    <n v="62.03"/>
    <n v="12.36"/>
    <m/>
    <n v="49.953119000000001"/>
    <n v="12.076881"/>
  </r>
  <r>
    <x v="3"/>
    <x v="178"/>
    <x v="95"/>
    <x v="0"/>
    <n v="751.42499999999995"/>
    <n v="15"/>
    <n v="751.42499999999995"/>
    <n v="1"/>
    <n v="751.42499999999995"/>
    <n v="125.276"/>
    <n v="125.997"/>
    <n v="1.0057"/>
    <n v="755.70812249999994"/>
    <m/>
    <n v="15"/>
    <s v="Sale"/>
    <x v="0"/>
    <x v="144"/>
    <x v="0"/>
    <n v="930.45"/>
    <n v="1"/>
    <n v="930.45"/>
    <n v="179.02500000000009"/>
    <m/>
    <n v="755.70812249999994"/>
    <n v="174.7418775000001"/>
  </r>
  <r>
    <x v="3"/>
    <x v="47"/>
    <x v="96"/>
    <x v="0"/>
    <n v="5124.4000000000005"/>
    <n v="40"/>
    <n v="5124.4000000000005"/>
    <n v="1"/>
    <n v="5124.4000000000005"/>
    <n v="116.884"/>
    <n v="126.47799999999999"/>
    <n v="1.0820000000000001"/>
    <n v="5544.6008000000011"/>
    <m/>
    <n v="40"/>
    <s v="Sale"/>
    <x v="0"/>
    <x v="145"/>
    <x v="0"/>
    <n v="2842.66"/>
    <n v="1"/>
    <n v="2842.66"/>
    <n v="-2281.7400000000007"/>
    <m/>
    <n v="5544.6008000000011"/>
    <n v="-2701.9408000000012"/>
  </r>
  <r>
    <x v="3"/>
    <x v="178"/>
    <x v="95"/>
    <x v="0"/>
    <n v="100.19"/>
    <n v="2"/>
    <n v="100.19"/>
    <n v="1"/>
    <n v="100.19"/>
    <n v="125.276"/>
    <n v="126.47799999999999"/>
    <n v="1.0095000000000001"/>
    <n v="101.14180500000001"/>
    <m/>
    <n v="2"/>
    <s v="Sale"/>
    <x v="0"/>
    <x v="146"/>
    <x v="0"/>
    <n v="157.16999999999999"/>
    <n v="1"/>
    <n v="157.16999999999999"/>
    <n v="56.97999999999999"/>
    <m/>
    <n v="101.14180500000001"/>
    <n v="56.028194999999982"/>
  </r>
  <r>
    <x v="3"/>
    <x v="178"/>
    <x v="95"/>
    <x v="0"/>
    <n v="50.094999999999999"/>
    <n v="1"/>
    <n v="50.094999999999999"/>
    <n v="1"/>
    <n v="50.094999999999999"/>
    <n v="125.276"/>
    <n v="126.47799999999999"/>
    <n v="1.0095000000000001"/>
    <n v="50.570902500000003"/>
    <m/>
    <n v="1"/>
    <s v="Sale"/>
    <x v="0"/>
    <x v="146"/>
    <x v="0"/>
    <n v="78.599615384615376"/>
    <n v="1"/>
    <n v="78.599615384615376"/>
    <n v="28.504615384615377"/>
    <m/>
    <n v="50.570902500000003"/>
    <n v="28.028712884615373"/>
  </r>
  <r>
    <x v="3"/>
    <x v="179"/>
    <x v="95"/>
    <x v="0"/>
    <n v="102.5"/>
    <n v="2"/>
    <n v="102.5"/>
    <n v="1"/>
    <n v="102.5"/>
    <n v="125.276"/>
    <n v="126.47799999999999"/>
    <n v="1.0095000000000001"/>
    <n v="103.47375000000001"/>
    <m/>
    <n v="2"/>
    <s v="Sale"/>
    <x v="0"/>
    <x v="146"/>
    <x v="0"/>
    <n v="157.19923076923075"/>
    <n v="1"/>
    <n v="157.19923076923075"/>
    <n v="54.699230769230752"/>
    <m/>
    <n v="103.47375000000001"/>
    <n v="53.725480769230742"/>
  </r>
  <r>
    <x v="3"/>
    <x v="158"/>
    <x v="95"/>
    <x v="0"/>
    <n v="606.95000000000005"/>
    <n v="11"/>
    <n v="606.95000000000005"/>
    <n v="1"/>
    <n v="606.95000000000005"/>
    <n v="125.276"/>
    <n v="126.47799999999999"/>
    <n v="1.0095000000000001"/>
    <n v="612.71602500000006"/>
    <m/>
    <n v="11"/>
    <s v="Sale"/>
    <x v="0"/>
    <x v="146"/>
    <x v="0"/>
    <n v="864.59576923076918"/>
    <n v="1"/>
    <n v="864.59576923076918"/>
    <n v="257.64576923076913"/>
    <m/>
    <n v="612.71602500000006"/>
    <n v="251.87974423076912"/>
  </r>
  <r>
    <x v="3"/>
    <x v="180"/>
    <x v="95"/>
    <x v="0"/>
    <n v="473.25"/>
    <n v="9"/>
    <n v="473.25"/>
    <n v="1"/>
    <n v="473.25"/>
    <n v="125.276"/>
    <n v="126.47799999999999"/>
    <n v="1.0095000000000001"/>
    <n v="477.74587500000001"/>
    <m/>
    <n v="9"/>
    <s v="Sale"/>
    <x v="0"/>
    <x v="146"/>
    <x v="0"/>
    <n v="707.3965384615384"/>
    <n v="1"/>
    <n v="707.3965384615384"/>
    <n v="234.1465384615384"/>
    <m/>
    <n v="477.74587500000001"/>
    <n v="229.65066346153839"/>
  </r>
  <r>
    <x v="3"/>
    <x v="180"/>
    <x v="95"/>
    <x v="0"/>
    <n v="157.75285714285712"/>
    <n v="3"/>
    <n v="157.75285714285712"/>
    <n v="1"/>
    <n v="157.75285714285712"/>
    <n v="125.276"/>
    <n v="126.47799999999999"/>
    <n v="1.0095000000000001"/>
    <n v="159.25150928571426"/>
    <m/>
    <n v="3"/>
    <s v="Sale"/>
    <x v="0"/>
    <x v="146"/>
    <x v="0"/>
    <n v="235.79884615384611"/>
    <n v="1"/>
    <n v="235.79884615384611"/>
    <n v="78.04598901098899"/>
    <m/>
    <n v="159.25150928571426"/>
    <n v="76.54733686813185"/>
  </r>
  <r>
    <x v="3"/>
    <x v="180"/>
    <x v="95"/>
    <x v="0"/>
    <n v="210.33714285714285"/>
    <n v="4"/>
    <n v="210.33714285714285"/>
    <n v="1"/>
    <n v="210.33714285714285"/>
    <n v="125.276"/>
    <n v="126.47799999999999"/>
    <n v="1.0095000000000001"/>
    <n v="212.33534571428572"/>
    <m/>
    <n v="4"/>
    <s v="Sale"/>
    <x v="0"/>
    <x v="146"/>
    <x v="0"/>
    <n v="314.21999999999997"/>
    <n v="1"/>
    <n v="314.21999999999997"/>
    <n v="103.88285714285712"/>
    <m/>
    <n v="212.33534571428572"/>
    <n v="101.88465428571425"/>
  </r>
  <r>
    <x v="3"/>
    <x v="180"/>
    <x v="95"/>
    <x v="0"/>
    <n v="51.99"/>
    <n v="1"/>
    <n v="51.99"/>
    <n v="1"/>
    <n v="51.99"/>
    <n v="125.276"/>
    <n v="126.47799999999999"/>
    <n v="1.0095000000000001"/>
    <n v="52.483905000000007"/>
    <m/>
    <n v="1"/>
    <s v="Sale"/>
    <x v="0"/>
    <x v="146"/>
    <x v="0"/>
    <n v="78.554999999999993"/>
    <n v="1"/>
    <n v="78.554999999999993"/>
    <n v="26.564999999999991"/>
    <m/>
    <n v="52.483905000000007"/>
    <n v="26.071094999999985"/>
  </r>
  <r>
    <x v="3"/>
    <x v="180"/>
    <x v="95"/>
    <x v="0"/>
    <n v="51.99"/>
    <n v="1"/>
    <n v="51.99"/>
    <n v="1"/>
    <n v="51.99"/>
    <n v="125.276"/>
    <n v="126.47799999999999"/>
    <n v="1.0095000000000001"/>
    <n v="52.483905000000007"/>
    <m/>
    <n v="1"/>
    <s v="Sale"/>
    <x v="0"/>
    <x v="146"/>
    <x v="0"/>
    <n v="78.554999999999993"/>
    <n v="1"/>
    <n v="78.554999999999993"/>
    <n v="26.564999999999991"/>
    <m/>
    <n v="52.483905000000007"/>
    <n v="26.071094999999985"/>
  </r>
  <r>
    <x v="3"/>
    <x v="121"/>
    <x v="76"/>
    <x v="0"/>
    <n v="65.147999999999996"/>
    <n v="3"/>
    <n v="65.147999999999996"/>
    <n v="1"/>
    <n v="65.147999999999996"/>
    <n v="120.15900000000001"/>
    <n v="126.47799999999999"/>
    <n v="1.0525"/>
    <n v="68.568269999999998"/>
    <m/>
    <n v="3"/>
    <s v="Sale"/>
    <x v="0"/>
    <x v="146"/>
    <x v="0"/>
    <n v="25.330263157894741"/>
    <n v="1"/>
    <n v="25.330263157894741"/>
    <n v="-39.817736842105255"/>
    <m/>
    <n v="68.568269999999998"/>
    <n v="-43.238006842105257"/>
  </r>
  <r>
    <x v="3"/>
    <x v="122"/>
    <x v="76"/>
    <x v="0"/>
    <n v="20.059999999999999"/>
    <n v="1"/>
    <n v="20.059999999999999"/>
    <n v="1"/>
    <n v="20.059999999999999"/>
    <n v="120.15900000000001"/>
    <n v="126.47799999999999"/>
    <n v="1.0525"/>
    <n v="21.113149999999997"/>
    <m/>
    <n v="1"/>
    <s v="Sale"/>
    <x v="0"/>
    <x v="146"/>
    <x v="0"/>
    <n v="8.4434210526315798"/>
    <n v="1"/>
    <n v="8.4434210526315798"/>
    <n v="-11.616578947368419"/>
    <m/>
    <n v="21.113149999999997"/>
    <n v="-12.669728947368418"/>
  </r>
  <r>
    <x v="3"/>
    <x v="122"/>
    <x v="76"/>
    <x v="0"/>
    <n v="666.04"/>
    <n v="33"/>
    <n v="666.04"/>
    <n v="1"/>
    <n v="666.04"/>
    <n v="120.15900000000001"/>
    <n v="126.47799999999999"/>
    <n v="1.0525"/>
    <n v="701.00709999999992"/>
    <m/>
    <n v="33"/>
    <s v="Sale"/>
    <x v="0"/>
    <x v="146"/>
    <x v="0"/>
    <n v="278.63289473684216"/>
    <n v="1"/>
    <n v="278.63289473684216"/>
    <n v="-387.4071052631578"/>
    <m/>
    <n v="701.00709999999992"/>
    <n v="-422.37420526315776"/>
  </r>
  <r>
    <x v="3"/>
    <x v="122"/>
    <x v="76"/>
    <x v="0"/>
    <n v="20.059999999999999"/>
    <n v="1"/>
    <n v="20.059999999999999"/>
    <n v="1"/>
    <n v="20.059999999999999"/>
    <n v="120.15900000000001"/>
    <n v="126.47799999999999"/>
    <n v="1.0525"/>
    <n v="21.113149999999997"/>
    <m/>
    <n v="1"/>
    <s v="Sale"/>
    <x v="0"/>
    <x v="146"/>
    <x v="0"/>
    <n v="8.4434210526315798"/>
    <n v="1"/>
    <n v="8.4434210526315798"/>
    <n v="-11.616578947368419"/>
    <m/>
    <n v="21.113149999999997"/>
    <n v="-12.669728947368418"/>
  </r>
  <r>
    <x v="3"/>
    <x v="122"/>
    <x v="76"/>
    <x v="0"/>
    <n v="20.260000000000002"/>
    <n v="1"/>
    <n v="20.260000000000002"/>
    <n v="1"/>
    <n v="20.260000000000002"/>
    <n v="120.15900000000001"/>
    <n v="126.47799999999999"/>
    <n v="1.0525"/>
    <n v="21.323650000000001"/>
    <m/>
    <n v="1"/>
    <s v="Sale"/>
    <x v="0"/>
    <x v="146"/>
    <x v="0"/>
    <n v="8.7889130434782619"/>
    <n v="1"/>
    <n v="8.7889130434782619"/>
    <n v="-11.47108695652174"/>
    <m/>
    <n v="21.323650000000001"/>
    <n v="-12.534736956521739"/>
  </r>
  <r>
    <x v="3"/>
    <x v="17"/>
    <x v="76"/>
    <x v="0"/>
    <n v="20.010000000000002"/>
    <n v="1"/>
    <n v="20.010000000000002"/>
    <n v="1"/>
    <n v="20.010000000000002"/>
    <n v="120.15900000000001"/>
    <n v="126.47799999999999"/>
    <n v="1.0525"/>
    <n v="21.060525000000002"/>
    <m/>
    <n v="1"/>
    <s v="Sale"/>
    <x v="0"/>
    <x v="146"/>
    <x v="0"/>
    <n v="8.7889130434782619"/>
    <n v="1"/>
    <n v="8.7889130434782619"/>
    <n v="-11.22108695652174"/>
    <m/>
    <n v="21.060525000000002"/>
    <n v="-12.27161195652174"/>
  </r>
  <r>
    <x v="3"/>
    <x v="17"/>
    <x v="76"/>
    <x v="0"/>
    <n v="40.020000000000003"/>
    <n v="2"/>
    <n v="40.020000000000003"/>
    <n v="1"/>
    <n v="40.020000000000003"/>
    <n v="120.15900000000001"/>
    <n v="126.47799999999999"/>
    <n v="1.0525"/>
    <n v="42.121050000000004"/>
    <m/>
    <n v="2"/>
    <s v="Sale"/>
    <x v="0"/>
    <x v="146"/>
    <x v="0"/>
    <n v="17.577826086956524"/>
    <n v="1"/>
    <n v="17.577826086956524"/>
    <n v="-22.442173913043479"/>
    <m/>
    <n v="42.121050000000004"/>
    <n v="-24.54322391304348"/>
  </r>
  <r>
    <x v="3"/>
    <x v="17"/>
    <x v="76"/>
    <x v="0"/>
    <n v="605.98"/>
    <n v="30"/>
    <n v="605.98"/>
    <n v="1"/>
    <n v="605.98"/>
    <n v="120.15900000000001"/>
    <n v="126.47799999999999"/>
    <n v="1.0525"/>
    <n v="637.79395"/>
    <m/>
    <n v="30"/>
    <s v="Sale"/>
    <x v="0"/>
    <x v="146"/>
    <x v="0"/>
    <n v="263.66739130434786"/>
    <n v="1"/>
    <n v="263.66739130434786"/>
    <n v="-342.31260869565216"/>
    <m/>
    <n v="637.79395"/>
    <n v="-374.12655869565214"/>
  </r>
  <r>
    <x v="3"/>
    <x v="17"/>
    <x v="76"/>
    <x v="0"/>
    <n v="242.39052631578949"/>
    <n v="12"/>
    <n v="242.39052631578949"/>
    <n v="1"/>
    <n v="242.39052631578949"/>
    <n v="120.15900000000001"/>
    <n v="126.47799999999999"/>
    <n v="1.0525"/>
    <n v="255.11602894736842"/>
    <m/>
    <n v="12"/>
    <s v="Sale"/>
    <x v="0"/>
    <x v="146"/>
    <x v="0"/>
    <n v="105.46695652173915"/>
    <n v="1"/>
    <n v="105.46695652173915"/>
    <n v="-136.92356979405034"/>
    <m/>
    <n v="255.11602894736842"/>
    <n v="-149.64907242562927"/>
  </r>
  <r>
    <x v="3"/>
    <x v="17"/>
    <x v="76"/>
    <x v="0"/>
    <n v="525.17947368421062"/>
    <n v="26"/>
    <n v="525.17947368421062"/>
    <n v="1"/>
    <n v="525.17947368421062"/>
    <n v="120.15900000000001"/>
    <n v="126.47799999999999"/>
    <n v="1.0525"/>
    <n v="552.75139605263166"/>
    <m/>
    <n v="26"/>
    <s v="Sale"/>
    <x v="0"/>
    <x v="147"/>
    <x v="0"/>
    <n v="215.37208333333334"/>
    <n v="1"/>
    <n v="215.37208333333334"/>
    <n v="-309.80739035087731"/>
    <m/>
    <n v="552.75139605263166"/>
    <n v="-337.37931271929835"/>
  </r>
  <r>
    <x v="3"/>
    <x v="17"/>
    <x v="76"/>
    <x v="0"/>
    <n v="121.27"/>
    <n v="6"/>
    <n v="121.27"/>
    <n v="1"/>
    <n v="121.27"/>
    <n v="120.15900000000001"/>
    <n v="126.47799999999999"/>
    <n v="1.0525"/>
    <n v="127.636675"/>
    <m/>
    <n v="6"/>
    <s v="Sale"/>
    <x v="0"/>
    <x v="147"/>
    <x v="0"/>
    <n v="49.701250000000002"/>
    <n v="1"/>
    <n v="49.701250000000002"/>
    <n v="-71.568749999999994"/>
    <m/>
    <n v="127.636675"/>
    <n v="-77.935424999999995"/>
  </r>
  <r>
    <x v="3"/>
    <x v="17"/>
    <x v="76"/>
    <x v="0"/>
    <n v="141.47999999999999"/>
    <n v="7"/>
    <n v="141.47999999999999"/>
    <n v="1"/>
    <n v="141.47999999999999"/>
    <n v="120.15900000000001"/>
    <n v="126.47799999999999"/>
    <n v="1.0525"/>
    <n v="148.90769999999998"/>
    <m/>
    <n v="7"/>
    <s v="Sale"/>
    <x v="0"/>
    <x v="147"/>
    <x v="0"/>
    <n v="57.984791666666666"/>
    <n v="1"/>
    <n v="57.984791666666666"/>
    <n v="-83.495208333333323"/>
    <m/>
    <n v="148.90769999999998"/>
    <n v="-90.922908333333311"/>
  </r>
  <r>
    <x v="3"/>
    <x v="17"/>
    <x v="76"/>
    <x v="0"/>
    <n v="20.149999999999999"/>
    <n v="1"/>
    <n v="20.149999999999999"/>
    <n v="1"/>
    <n v="20.149999999999999"/>
    <n v="120.15900000000001"/>
    <n v="126.47799999999999"/>
    <n v="1.0525"/>
    <n v="21.207874999999998"/>
    <m/>
    <n v="1"/>
    <s v="Sale"/>
    <x v="0"/>
    <x v="147"/>
    <x v="0"/>
    <n v="8.2835416666666664"/>
    <n v="1"/>
    <n v="8.2835416666666664"/>
    <n v="-11.866458333333332"/>
    <m/>
    <n v="21.207874999999998"/>
    <n v="-12.924333333333331"/>
  </r>
  <r>
    <x v="3"/>
    <x v="17"/>
    <x v="76"/>
    <x v="0"/>
    <n v="20.149999999999999"/>
    <n v="1"/>
    <n v="20.149999999999999"/>
    <n v="1"/>
    <n v="20.149999999999999"/>
    <n v="120.15900000000001"/>
    <n v="126.47799999999999"/>
    <n v="1.0525"/>
    <n v="21.207874999999998"/>
    <m/>
    <n v="1"/>
    <s v="Sale"/>
    <x v="0"/>
    <x v="147"/>
    <x v="0"/>
    <n v="8.2835416666666664"/>
    <n v="1"/>
    <n v="8.2835416666666664"/>
    <n v="-11.866458333333332"/>
    <m/>
    <n v="21.207874999999998"/>
    <n v="-12.924333333333331"/>
  </r>
  <r>
    <x v="3"/>
    <x v="17"/>
    <x v="76"/>
    <x v="0"/>
    <n v="119.54000000000002"/>
    <n v="6"/>
    <n v="119.54000000000002"/>
    <n v="1"/>
    <n v="119.54000000000002"/>
    <n v="120.15900000000001"/>
    <n v="126.47799999999999"/>
    <n v="1.0525"/>
    <n v="125.81585000000003"/>
    <m/>
    <n v="6"/>
    <s v="Sale"/>
    <x v="0"/>
    <x v="147"/>
    <x v="0"/>
    <n v="49.701250000000002"/>
    <n v="1"/>
    <n v="49.701250000000002"/>
    <n v="-69.838750000000019"/>
    <m/>
    <n v="125.81585000000003"/>
    <n v="-76.114600000000024"/>
  </r>
  <r>
    <x v="3"/>
    <x v="17"/>
    <x v="76"/>
    <x v="0"/>
    <n v="119.54000000000002"/>
    <n v="6"/>
    <n v="119.54000000000002"/>
    <n v="1"/>
    <n v="119.54000000000002"/>
    <n v="120.15900000000001"/>
    <n v="126.47799999999999"/>
    <n v="1.0525"/>
    <n v="125.81585000000003"/>
    <m/>
    <n v="6"/>
    <s v="Sale"/>
    <x v="0"/>
    <x v="147"/>
    <x v="0"/>
    <n v="49.701250000000002"/>
    <n v="1"/>
    <n v="49.701250000000002"/>
    <n v="-69.838750000000019"/>
    <m/>
    <n v="125.81585000000003"/>
    <n v="-76.114600000000024"/>
  </r>
  <r>
    <x v="3"/>
    <x v="124"/>
    <x v="76"/>
    <x v="0"/>
    <n v="21.35"/>
    <n v="1"/>
    <n v="21.35"/>
    <n v="1"/>
    <n v="21.35"/>
    <n v="120.15900000000001"/>
    <n v="126.47799999999999"/>
    <n v="1.0525"/>
    <n v="22.470875000000003"/>
    <m/>
    <n v="1"/>
    <s v="Sale"/>
    <x v="0"/>
    <x v="147"/>
    <x v="0"/>
    <n v="8.2835416666666664"/>
    <n v="1"/>
    <n v="8.2835416666666664"/>
    <n v="-13.066458333333335"/>
    <m/>
    <n v="22.470875000000003"/>
    <n v="-14.187333333333337"/>
  </r>
  <r>
    <x v="3"/>
    <x v="124"/>
    <x v="76"/>
    <x v="0"/>
    <n v="41.41"/>
    <n v="2"/>
    <n v="41.41"/>
    <n v="1"/>
    <n v="41.41"/>
    <n v="120.15900000000001"/>
    <n v="126.47799999999999"/>
    <n v="1.0525"/>
    <n v="43.584024999999997"/>
    <m/>
    <n v="2"/>
    <s v="Sale"/>
    <x v="0"/>
    <x v="147"/>
    <x v="0"/>
    <n v="16.567083333333333"/>
    <n v="1"/>
    <n v="16.567083333333333"/>
    <n v="-24.842916666666664"/>
    <m/>
    <n v="43.584024999999997"/>
    <n v="-27.016941666666664"/>
  </r>
  <r>
    <x v="3"/>
    <x v="124"/>
    <x v="76"/>
    <x v="0"/>
    <n v="42.66"/>
    <n v="2"/>
    <n v="42.66"/>
    <n v="1"/>
    <n v="42.66"/>
    <n v="120.15900000000001"/>
    <n v="126.47799999999999"/>
    <n v="1.0525"/>
    <n v="44.899649999999994"/>
    <m/>
    <n v="2"/>
    <s v="Sale"/>
    <x v="0"/>
    <x v="147"/>
    <x v="0"/>
    <n v="16.567083333333333"/>
    <n v="1"/>
    <n v="16.567083333333333"/>
    <n v="-26.092916666666664"/>
    <m/>
    <n v="44.899649999999994"/>
    <n v="-28.332566666666661"/>
  </r>
  <r>
    <x v="3"/>
    <x v="124"/>
    <x v="76"/>
    <x v="0"/>
    <n v="783.89476190476182"/>
    <n v="38"/>
    <n v="783.89476190476182"/>
    <n v="1"/>
    <n v="783.89476190476182"/>
    <n v="120.15900000000001"/>
    <n v="126.47799999999999"/>
    <n v="1.0525"/>
    <n v="825.04923690476176"/>
    <m/>
    <n v="38"/>
    <s v="Sale"/>
    <x v="0"/>
    <x v="147"/>
    <x v="0"/>
    <n v="314.77458333333334"/>
    <n v="1"/>
    <n v="314.77458333333334"/>
    <n v="-469.12017857142848"/>
    <m/>
    <n v="825.04923690476176"/>
    <n v="-510.27465357142842"/>
  </r>
  <r>
    <x v="3"/>
    <x v="124"/>
    <x v="76"/>
    <x v="0"/>
    <n v="82.515238095238089"/>
    <n v="4"/>
    <n v="82.515238095238089"/>
    <n v="1"/>
    <n v="82.515238095238089"/>
    <n v="120.15900000000001"/>
    <n v="126.47799999999999"/>
    <n v="1.0525"/>
    <n v="86.847288095238085"/>
    <m/>
    <n v="4"/>
    <s v="Sale"/>
    <x v="0"/>
    <x v="147"/>
    <x v="0"/>
    <n v="32.657586206896553"/>
    <n v="1"/>
    <n v="32.657586206896553"/>
    <n v="-49.857651888341536"/>
    <m/>
    <n v="86.847288095238085"/>
    <n v="-54.189701888341531"/>
  </r>
  <r>
    <x v="3"/>
    <x v="124"/>
    <x v="76"/>
    <x v="0"/>
    <n v="20.27"/>
    <n v="1"/>
    <n v="20.27"/>
    <n v="1"/>
    <n v="20.27"/>
    <n v="120.15900000000001"/>
    <n v="126.47799999999999"/>
    <n v="1.0525"/>
    <n v="21.334174999999998"/>
    <m/>
    <n v="1"/>
    <s v="Sale"/>
    <x v="0"/>
    <x v="147"/>
    <x v="0"/>
    <n v="8.1643965517241384"/>
    <n v="1"/>
    <n v="8.1643965517241384"/>
    <n v="-12.105603448275861"/>
    <m/>
    <n v="21.334174999999998"/>
    <n v="-13.16977844827586"/>
  </r>
  <r>
    <x v="3"/>
    <x v="124"/>
    <x v="76"/>
    <x v="0"/>
    <n v="42.86"/>
    <n v="2"/>
    <n v="42.86"/>
    <n v="1"/>
    <n v="42.86"/>
    <n v="120.15900000000001"/>
    <n v="126.47799999999999"/>
    <n v="1.0525"/>
    <n v="45.110149999999997"/>
    <m/>
    <n v="2"/>
    <s v="Sale"/>
    <x v="0"/>
    <x v="147"/>
    <x v="0"/>
    <n v="16.328793103448277"/>
    <n v="1"/>
    <n v="16.328793103448277"/>
    <n v="-26.531206896551723"/>
    <m/>
    <n v="45.110149999999997"/>
    <n v="-28.781356896551721"/>
  </r>
  <r>
    <x v="3"/>
    <x v="125"/>
    <x v="76"/>
    <x v="0"/>
    <n v="20.079999999999998"/>
    <n v="1"/>
    <n v="20.079999999999998"/>
    <n v="1"/>
    <n v="20.079999999999998"/>
    <n v="120.809"/>
    <n v="126.47799999999999"/>
    <n v="1.0468999999999999"/>
    <n v="21.021751999999996"/>
    <m/>
    <n v="1"/>
    <s v="Sale"/>
    <x v="0"/>
    <x v="147"/>
    <x v="0"/>
    <n v="8.1643965517241384"/>
    <n v="1"/>
    <n v="8.1643965517241384"/>
    <n v="-11.91560344827586"/>
    <m/>
    <n v="21.021751999999996"/>
    <n v="-12.857355448275857"/>
  </r>
  <r>
    <x v="3"/>
    <x v="125"/>
    <x v="76"/>
    <x v="0"/>
    <n v="39.880000000000003"/>
    <n v="2"/>
    <n v="39.880000000000003"/>
    <n v="1"/>
    <n v="39.880000000000003"/>
    <n v="120.809"/>
    <n v="126.47799999999999"/>
    <n v="1.0468999999999999"/>
    <n v="41.750371999999999"/>
    <m/>
    <n v="2"/>
    <s v="Sale"/>
    <x v="0"/>
    <x v="147"/>
    <x v="0"/>
    <n v="16.328793103448277"/>
    <n v="1"/>
    <n v="16.328793103448277"/>
    <n v="-23.551206896551726"/>
    <m/>
    <n v="41.750371999999999"/>
    <n v="-25.421578896551722"/>
  </r>
  <r>
    <x v="3"/>
    <x v="126"/>
    <x v="76"/>
    <x v="0"/>
    <n v="19.2"/>
    <n v="1"/>
    <n v="19.2"/>
    <n v="1"/>
    <n v="19.2"/>
    <n v="120.809"/>
    <n v="126.47799999999999"/>
    <n v="1.0468999999999999"/>
    <n v="20.100479999999997"/>
    <m/>
    <n v="1"/>
    <s v="Sale"/>
    <x v="0"/>
    <x v="147"/>
    <x v="0"/>
    <n v="8.1643965517241384"/>
    <n v="1"/>
    <n v="8.1643965517241384"/>
    <n v="-11.035603448275861"/>
    <m/>
    <n v="20.100479999999997"/>
    <n v="-11.936083448275859"/>
  </r>
  <r>
    <x v="3"/>
    <x v="126"/>
    <x v="76"/>
    <x v="0"/>
    <n v="411.04"/>
    <n v="22"/>
    <n v="411.04"/>
    <n v="1"/>
    <n v="411.04"/>
    <n v="120.809"/>
    <n v="126.47799999999999"/>
    <n v="1.0468999999999999"/>
    <n v="430.31777599999998"/>
    <m/>
    <n v="22"/>
    <s v="Sale"/>
    <x v="0"/>
    <x v="147"/>
    <x v="0"/>
    <n v="179.61672413793104"/>
    <n v="1"/>
    <n v="179.61672413793104"/>
    <n v="-231.42327586206898"/>
    <m/>
    <n v="430.31777599999998"/>
    <n v="-250.70105186206894"/>
  </r>
  <r>
    <x v="3"/>
    <x v="126"/>
    <x v="76"/>
    <x v="0"/>
    <n v="114.25999999999999"/>
    <n v="6"/>
    <n v="114.25999999999999"/>
    <n v="1"/>
    <n v="114.25999999999999"/>
    <n v="120.809"/>
    <n v="126.47799999999999"/>
    <n v="1.0468999999999999"/>
    <n v="119.61879399999998"/>
    <m/>
    <n v="6"/>
    <s v="Sale"/>
    <x v="0"/>
    <x v="147"/>
    <x v="0"/>
    <n v="48.98637931034483"/>
    <n v="1"/>
    <n v="48.98637931034483"/>
    <n v="-65.273620689655161"/>
    <m/>
    <n v="119.61879399999998"/>
    <n v="-70.63241468965515"/>
  </r>
  <r>
    <x v="3"/>
    <x v="133"/>
    <x v="76"/>
    <x v="0"/>
    <n v="15.24"/>
    <n v="1"/>
    <n v="15.24"/>
    <n v="1"/>
    <n v="15.24"/>
    <n v="120.809"/>
    <n v="126.47799999999999"/>
    <n v="1.0468999999999999"/>
    <n v="15.954756"/>
    <m/>
    <n v="1"/>
    <s v="Sale"/>
    <x v="0"/>
    <x v="147"/>
    <x v="0"/>
    <n v="8.1643965517241384"/>
    <n v="1"/>
    <n v="8.1643965517241384"/>
    <n v="-7.0756034482758619"/>
    <m/>
    <n v="15.954756"/>
    <n v="-7.7903594482758614"/>
  </r>
  <r>
    <x v="3"/>
    <x v="133"/>
    <x v="76"/>
    <x v="0"/>
    <n v="181.42"/>
    <n v="12"/>
    <n v="181.42"/>
    <n v="1"/>
    <n v="181.42"/>
    <n v="120.809"/>
    <n v="126.47799999999999"/>
    <n v="1.0468999999999999"/>
    <n v="189.92859799999997"/>
    <m/>
    <n v="12"/>
    <s v="Sale"/>
    <x v="0"/>
    <x v="147"/>
    <x v="0"/>
    <n v="97.97275862068966"/>
    <n v="1"/>
    <n v="97.97275862068966"/>
    <n v="-83.447241379310327"/>
    <m/>
    <n v="189.92859799999997"/>
    <n v="-91.955839379310305"/>
  </r>
  <r>
    <x v="3"/>
    <x v="133"/>
    <x v="76"/>
    <x v="0"/>
    <n v="328.48"/>
    <n v="22"/>
    <n v="328.48"/>
    <n v="1"/>
    <n v="328.48"/>
    <n v="120.809"/>
    <n v="126.47799999999999"/>
    <n v="1.0468999999999999"/>
    <n v="343.88571200000001"/>
    <m/>
    <n v="22"/>
    <s v="Sale"/>
    <x v="0"/>
    <x v="147"/>
    <x v="0"/>
    <n v="179.61672413793104"/>
    <n v="1"/>
    <n v="179.61672413793104"/>
    <n v="-148.86327586206897"/>
    <m/>
    <n v="343.88571200000001"/>
    <n v="-164.26898786206897"/>
  </r>
  <r>
    <x v="3"/>
    <x v="119"/>
    <x v="76"/>
    <x v="0"/>
    <n v="12.78"/>
    <n v="1"/>
    <n v="12.78"/>
    <n v="1"/>
    <n v="12.78"/>
    <n v="121.02200000000001"/>
    <n v="126.47799999999999"/>
    <n v="1.0449999999999999"/>
    <n v="13.355099999999998"/>
    <m/>
    <n v="1"/>
    <s v="Sale"/>
    <x v="0"/>
    <x v="147"/>
    <x v="0"/>
    <n v="8.1643965517241384"/>
    <n v="1"/>
    <n v="8.1643965517241384"/>
    <n v="-4.615603448275861"/>
    <m/>
    <n v="13.355099999999998"/>
    <n v="-5.1907034482758601"/>
  </r>
  <r>
    <x v="3"/>
    <x v="119"/>
    <x v="76"/>
    <x v="0"/>
    <n v="516.74260869565217"/>
    <n v="41"/>
    <n v="516.74260869565217"/>
    <n v="1"/>
    <n v="516.74260869565217"/>
    <n v="121.02200000000001"/>
    <n v="126.47799999999999"/>
    <n v="1.0449999999999999"/>
    <n v="539.99602608695648"/>
    <m/>
    <n v="41"/>
    <s v="Sale"/>
    <x v="0"/>
    <x v="147"/>
    <x v="0"/>
    <n v="334.7402586206897"/>
    <n v="1"/>
    <n v="334.7402586206897"/>
    <n v="-182.00235007496246"/>
    <m/>
    <n v="539.99602608695648"/>
    <n v="-205.25576746626678"/>
  </r>
  <r>
    <x v="3"/>
    <x v="119"/>
    <x v="76"/>
    <x v="0"/>
    <n v="63.017391304347825"/>
    <n v="5"/>
    <n v="63.017391304347825"/>
    <n v="1"/>
    <n v="63.017391304347825"/>
    <n v="121.02200000000001"/>
    <n v="126.47799999999999"/>
    <n v="1.0449999999999999"/>
    <n v="65.853173913043477"/>
    <m/>
    <n v="5"/>
    <s v="Sale"/>
    <x v="0"/>
    <x v="148"/>
    <x v="0"/>
    <n v="40.31"/>
    <n v="1"/>
    <n v="40.31"/>
    <n v="-22.707391304347823"/>
    <m/>
    <n v="65.853173913043477"/>
    <n v="-25.543173913043475"/>
  </r>
  <r>
    <x v="3"/>
    <x v="47"/>
    <x v="74"/>
    <x v="0"/>
    <n v="59.959696969696971"/>
    <n v="1"/>
    <n v="59.959696969696971"/>
    <n v="1"/>
    <n v="59.959696969696971"/>
    <n v="116.884"/>
    <n v="126.47799999999999"/>
    <n v="1.0820000000000001"/>
    <n v="64.87639212121212"/>
    <m/>
    <n v="1"/>
    <s v="Sale"/>
    <x v="0"/>
    <x v="147"/>
    <x v="0"/>
    <n v="52.12"/>
    <n v="1"/>
    <n v="52.12"/>
    <n v="-7.8396969696969734"/>
    <m/>
    <n v="64.87639212121212"/>
    <n v="-12.756392121212123"/>
  </r>
  <r>
    <x v="3"/>
    <x v="47"/>
    <x v="74"/>
    <x v="0"/>
    <n v="59.959696969696971"/>
    <n v="1"/>
    <n v="59.959696969696971"/>
    <n v="1"/>
    <n v="59.959696969696971"/>
    <n v="116.884"/>
    <n v="126.47799999999999"/>
    <n v="1.0820000000000001"/>
    <n v="64.87639212121212"/>
    <m/>
    <n v="1"/>
    <s v="Sale"/>
    <x v="0"/>
    <x v="147"/>
    <x v="0"/>
    <n v="52.46"/>
    <n v="1"/>
    <n v="52.46"/>
    <n v="-7.49969696969697"/>
    <m/>
    <n v="64.87639212121212"/>
    <n v="-12.41639212121212"/>
  </r>
  <r>
    <x v="3"/>
    <x v="47"/>
    <x v="74"/>
    <x v="0"/>
    <n v="59.959696969696971"/>
    <n v="1"/>
    <n v="59.959696969696971"/>
    <n v="1"/>
    <n v="59.959696969696971"/>
    <n v="116.884"/>
    <n v="126.47799999999999"/>
    <n v="1.0820000000000001"/>
    <n v="64.87639212121212"/>
    <m/>
    <n v="1"/>
    <s v="Sale"/>
    <x v="0"/>
    <x v="147"/>
    <x v="0"/>
    <n v="52.46"/>
    <n v="1"/>
    <n v="52.46"/>
    <n v="-7.49969696969697"/>
    <m/>
    <n v="64.87639212121212"/>
    <n v="-12.41639212121212"/>
  </r>
  <r>
    <x v="3"/>
    <x v="47"/>
    <x v="74"/>
    <x v="0"/>
    <n v="59.959696969696971"/>
    <n v="1"/>
    <n v="59.959696969696971"/>
    <n v="1"/>
    <n v="59.959696969696971"/>
    <n v="116.884"/>
    <n v="126.47799999999999"/>
    <n v="1.0820000000000001"/>
    <n v="64.87639212121212"/>
    <m/>
    <n v="1"/>
    <s v="Sale"/>
    <x v="0"/>
    <x v="147"/>
    <x v="0"/>
    <n v="52.93"/>
    <n v="1"/>
    <n v="52.93"/>
    <n v="-7.0296969696969711"/>
    <m/>
    <n v="64.87639212121212"/>
    <n v="-11.946392121212121"/>
  </r>
  <r>
    <x v="3"/>
    <x v="47"/>
    <x v="74"/>
    <x v="0"/>
    <n v="419.71787878787882"/>
    <n v="7"/>
    <n v="419.71787878787882"/>
    <n v="1"/>
    <n v="419.71787878787882"/>
    <n v="116.884"/>
    <n v="126.47799999999999"/>
    <n v="1.0820000000000001"/>
    <n v="454.1347448484849"/>
    <m/>
    <n v="7"/>
    <s v="Sale"/>
    <x v="0"/>
    <x v="147"/>
    <x v="0"/>
    <n v="364.05"/>
    <n v="1"/>
    <n v="364.05"/>
    <n v="-55.667878787878806"/>
    <m/>
    <n v="454.1347448484849"/>
    <n v="-90.084744848484888"/>
  </r>
  <r>
    <x v="3"/>
    <x v="47"/>
    <x v="97"/>
    <x v="0"/>
    <n v="1444.4499999999998"/>
    <n v="5"/>
    <n v="1444.4499999999998"/>
    <n v="1"/>
    <n v="1444.4499999999998"/>
    <n v="116.884"/>
    <n v="126.47799999999999"/>
    <n v="1.0820000000000001"/>
    <n v="1562.8949"/>
    <m/>
    <n v="5"/>
    <s v="Sale"/>
    <x v="0"/>
    <x v="147"/>
    <x v="0"/>
    <n v="899.67"/>
    <n v="1"/>
    <n v="899.67"/>
    <n v="-544.77999999999986"/>
    <m/>
    <n v="1562.8949"/>
    <n v="-663.22490000000005"/>
  </r>
  <r>
    <x v="3"/>
    <x v="47"/>
    <x v="97"/>
    <x v="0"/>
    <n v="1155.56"/>
    <n v="4"/>
    <n v="1155.56"/>
    <n v="1"/>
    <n v="1155.56"/>
    <n v="116.884"/>
    <n v="126.47799999999999"/>
    <n v="1.0820000000000001"/>
    <n v="1250.31592"/>
    <m/>
    <n v="4"/>
    <s v="Sale"/>
    <x v="0"/>
    <x v="149"/>
    <x v="0"/>
    <n v="688.59"/>
    <n v="1"/>
    <n v="688.59"/>
    <n v="-466.96999999999991"/>
    <m/>
    <n v="1250.31592"/>
    <n v="-561.72591999999997"/>
  </r>
  <r>
    <x v="3"/>
    <x v="47"/>
    <x v="97"/>
    <x v="0"/>
    <n v="1155.56"/>
    <n v="4"/>
    <n v="1155.56"/>
    <n v="1"/>
    <n v="1155.56"/>
    <n v="116.884"/>
    <n v="126.47799999999999"/>
    <n v="1.0820000000000001"/>
    <n v="1250.31592"/>
    <m/>
    <n v="4"/>
    <s v="Sale"/>
    <x v="0"/>
    <x v="149"/>
    <x v="0"/>
    <n v="684.81"/>
    <n v="1"/>
    <n v="684.81"/>
    <n v="-470.75"/>
    <m/>
    <n v="1250.31592"/>
    <n v="-565.50592000000006"/>
  </r>
  <r>
    <x v="3"/>
    <x v="178"/>
    <x v="98"/>
    <x v="0"/>
    <n v="47.61"/>
    <n v="1"/>
    <n v="47.61"/>
    <n v="1"/>
    <n v="47.61"/>
    <n v="125.276"/>
    <n v="126.47799999999999"/>
    <n v="1.0095000000000001"/>
    <n v="48.062295000000006"/>
    <m/>
    <n v="1"/>
    <s v="Sale"/>
    <x v="0"/>
    <x v="150"/>
    <x v="0"/>
    <n v="45.191212121212118"/>
    <n v="1"/>
    <n v="45.191212121212118"/>
    <n v="-2.4187878787878816"/>
    <m/>
    <n v="48.062295000000006"/>
    <n v="-2.8710828787878881"/>
  </r>
  <r>
    <x v="3"/>
    <x v="178"/>
    <x v="98"/>
    <x v="0"/>
    <n v="433.02"/>
    <n v="9"/>
    <n v="433.02"/>
    <n v="1"/>
    <n v="433.02"/>
    <n v="125.276"/>
    <n v="126.47799999999999"/>
    <n v="1.0095000000000001"/>
    <n v="437.13369"/>
    <m/>
    <n v="9"/>
    <s v="Sale"/>
    <x v="0"/>
    <x v="150"/>
    <x v="0"/>
    <n v="406.72090909090906"/>
    <n v="1"/>
    <n v="406.72090909090906"/>
    <n v="-26.299090909090921"/>
    <m/>
    <n v="437.13369"/>
    <n v="-30.412780909090941"/>
  </r>
  <r>
    <x v="3"/>
    <x v="179"/>
    <x v="98"/>
    <x v="0"/>
    <n v="43.55"/>
    <n v="1"/>
    <n v="43.55"/>
    <n v="1"/>
    <n v="43.55"/>
    <n v="125.276"/>
    <n v="126.47799999999999"/>
    <n v="1.0095000000000001"/>
    <n v="43.963724999999997"/>
    <m/>
    <n v="1"/>
    <s v="Sale"/>
    <x v="0"/>
    <x v="150"/>
    <x v="0"/>
    <n v="45.191212121212118"/>
    <n v="1"/>
    <n v="45.191212121212118"/>
    <n v="1.6412121212121207"/>
    <m/>
    <n v="43.963724999999997"/>
    <n v="1.2274871212121212"/>
  </r>
  <r>
    <x v="3"/>
    <x v="179"/>
    <x v="98"/>
    <x v="0"/>
    <n v="356.11"/>
    <n v="8"/>
    <n v="356.11"/>
    <n v="1"/>
    <n v="356.11"/>
    <n v="125.276"/>
    <n v="126.47799999999999"/>
    <n v="1.0095000000000001"/>
    <n v="359.49304500000005"/>
    <m/>
    <n v="8"/>
    <s v="Sale"/>
    <x v="0"/>
    <x v="150"/>
    <x v="0"/>
    <n v="361.52969696969694"/>
    <n v="1"/>
    <n v="361.52969696969694"/>
    <n v="5.419696969696929"/>
    <m/>
    <n v="359.49304500000005"/>
    <n v="2.0366519696968908"/>
  </r>
  <r>
    <x v="3"/>
    <x v="179"/>
    <x v="98"/>
    <x v="0"/>
    <n v="426.9"/>
    <n v="10"/>
    <n v="426.9"/>
    <n v="1"/>
    <n v="426.9"/>
    <n v="125.276"/>
    <n v="126.47799999999999"/>
    <n v="1.0095000000000001"/>
    <n v="430.95555000000002"/>
    <m/>
    <n v="10"/>
    <s v="Sale"/>
    <x v="0"/>
    <x v="150"/>
    <x v="0"/>
    <n v="451.91212121212118"/>
    <n v="1"/>
    <n v="451.91212121212118"/>
    <n v="25.012121212121201"/>
    <m/>
    <n v="430.95555000000002"/>
    <n v="20.956571212121162"/>
  </r>
  <r>
    <x v="3"/>
    <x v="181"/>
    <x v="98"/>
    <x v="0"/>
    <n v="182.29333333333335"/>
    <n v="4"/>
    <n v="182.29333333333335"/>
    <n v="1"/>
    <n v="182.29333333333335"/>
    <n v="125.276"/>
    <n v="126.47799999999999"/>
    <n v="1.0095000000000001"/>
    <n v="184.02512000000002"/>
    <m/>
    <n v="4"/>
    <s v="Sale"/>
    <x v="0"/>
    <x v="150"/>
    <x v="0"/>
    <n v="180.76484848484847"/>
    <n v="1"/>
    <n v="180.76484848484847"/>
    <n v="-1.5284848484848794"/>
    <m/>
    <n v="184.02512000000002"/>
    <n v="-3.260271515151544"/>
  </r>
  <r>
    <x v="3"/>
    <x v="181"/>
    <x v="98"/>
    <x v="0"/>
    <n v="182.29333333333335"/>
    <n v="4"/>
    <n v="182.29333333333335"/>
    <n v="1"/>
    <n v="182.29333333333335"/>
    <n v="125.276"/>
    <n v="126.47799999999999"/>
    <n v="1.0095000000000001"/>
    <n v="184.02512000000002"/>
    <m/>
    <n v="4"/>
    <s v="Sale"/>
    <x v="0"/>
    <x v="150"/>
    <x v="0"/>
    <n v="189.35"/>
    <n v="1"/>
    <n v="189.35"/>
    <n v="7.0566666666666436"/>
    <m/>
    <n v="184.02512000000002"/>
    <n v="5.324879999999979"/>
  </r>
  <r>
    <x v="3"/>
    <x v="181"/>
    <x v="98"/>
    <x v="0"/>
    <n v="45.573333333333338"/>
    <n v="1"/>
    <n v="45.573333333333338"/>
    <n v="1"/>
    <n v="45.573333333333338"/>
    <n v="125.276"/>
    <n v="126.47799999999999"/>
    <n v="1.0095000000000001"/>
    <n v="46.006280000000004"/>
    <m/>
    <n v="1"/>
    <s v="Sale"/>
    <x v="0"/>
    <x v="149"/>
    <x v="0"/>
    <n v="45.49"/>
    <n v="1"/>
    <n v="45.49"/>
    <n v="-8.3333333333335702E-2"/>
    <m/>
    <n v="46.006280000000004"/>
    <n v="-0.51628000000000185"/>
  </r>
  <r>
    <x v="3"/>
    <x v="150"/>
    <x v="98"/>
    <x v="0"/>
    <n v="46.657499999999999"/>
    <n v="1"/>
    <n v="46.657499999999999"/>
    <n v="1"/>
    <n v="46.657499999999999"/>
    <n v="125.276"/>
    <n v="126.47799999999999"/>
    <n v="1.0095000000000001"/>
    <n v="47.10074625"/>
    <m/>
    <n v="1"/>
    <s v="Sale"/>
    <x v="0"/>
    <x v="149"/>
    <x v="0"/>
    <n v="45.49"/>
    <n v="1"/>
    <n v="45.49"/>
    <n v="-1.1674999999999969"/>
    <m/>
    <n v="47.10074625"/>
    <n v="-1.6107462499999983"/>
  </r>
  <r>
    <x v="3"/>
    <x v="150"/>
    <x v="98"/>
    <x v="0"/>
    <n v="326.60249999999996"/>
    <n v="7"/>
    <n v="326.60249999999996"/>
    <n v="1"/>
    <n v="326.60249999999996"/>
    <n v="125.276"/>
    <n v="126.47799999999999"/>
    <n v="1.0095000000000001"/>
    <n v="329.70522374999996"/>
    <m/>
    <n v="7"/>
    <s v="Sale"/>
    <x v="0"/>
    <x v="149"/>
    <x v="0"/>
    <n v="312.14"/>
    <n v="1"/>
    <n v="312.14"/>
    <n v="-14.462499999999977"/>
    <m/>
    <n v="329.70522374999996"/>
    <n v="-17.565223749999973"/>
  </r>
  <r>
    <x v="3"/>
    <x v="182"/>
    <x v="99"/>
    <x v="0"/>
    <n v="499.94"/>
    <n v="1"/>
    <n v="499.94"/>
    <n v="1"/>
    <n v="499.94"/>
    <n v="121.02200000000001"/>
    <n v="126.47799999999999"/>
    <n v="1.0449999999999999"/>
    <n v="522.43729999999994"/>
    <m/>
    <n v="1"/>
    <s v="Sale"/>
    <x v="0"/>
    <x v="150"/>
    <x v="0"/>
    <n v="437.13"/>
    <n v="1"/>
    <n v="437.13"/>
    <n v="-62.81"/>
    <m/>
    <n v="522.43729999999994"/>
    <n v="-85.307299999999941"/>
  </r>
  <r>
    <x v="3"/>
    <x v="182"/>
    <x v="99"/>
    <x v="0"/>
    <n v="1019.1479999999999"/>
    <n v="2"/>
    <n v="1019.1479999999999"/>
    <n v="1"/>
    <n v="1019.1479999999999"/>
    <n v="121.02200000000001"/>
    <n v="126.47799999999999"/>
    <n v="1.0449999999999999"/>
    <n v="1065.0096599999999"/>
    <m/>
    <n v="2"/>
    <s v="Sale"/>
    <x v="0"/>
    <x v="150"/>
    <x v="0"/>
    <n v="878.81"/>
    <n v="1"/>
    <n v="878.81"/>
    <n v="-140.33799999999997"/>
    <m/>
    <n v="1065.0096599999999"/>
    <n v="-186.19965999999999"/>
  </r>
  <r>
    <x v="3"/>
    <x v="182"/>
    <x v="99"/>
    <x v="0"/>
    <n v="509.57399999999996"/>
    <n v="1"/>
    <n v="509.57399999999996"/>
    <n v="1"/>
    <n v="509.57399999999996"/>
    <n v="121.02200000000001"/>
    <n v="126.47799999999999"/>
    <n v="1.0449999999999999"/>
    <n v="532.50482999999997"/>
    <m/>
    <n v="1"/>
    <s v="Sale"/>
    <x v="0"/>
    <x v="150"/>
    <x v="0"/>
    <n v="437.94"/>
    <n v="1"/>
    <n v="437.94"/>
    <n v="-71.633999999999958"/>
    <m/>
    <n v="532.50482999999997"/>
    <n v="-94.564829999999972"/>
  </r>
  <r>
    <x v="3"/>
    <x v="96"/>
    <x v="100"/>
    <x v="0"/>
    <n v="401.77"/>
    <n v="1"/>
    <n v="401.77"/>
    <n v="1"/>
    <n v="401.77"/>
    <n v="116.884"/>
    <n v="118.002"/>
    <n v="1.0095000000000001"/>
    <n v="405.586815"/>
    <m/>
    <n v="1"/>
    <s v="Sale"/>
    <x v="0"/>
    <x v="151"/>
    <x v="0"/>
    <n v="239.78"/>
    <n v="1"/>
    <n v="239.78"/>
    <n v="-161.98999999999998"/>
    <m/>
    <n v="405.586815"/>
    <n v="-165.806815"/>
  </r>
  <r>
    <x v="3"/>
    <x v="96"/>
    <x v="100"/>
    <x v="0"/>
    <n v="421.45375000000001"/>
    <n v="1"/>
    <n v="421.45375000000001"/>
    <n v="1"/>
    <n v="421.45375000000001"/>
    <n v="116.884"/>
    <n v="118.002"/>
    <n v="1.0095000000000001"/>
    <n v="425.45756062500004"/>
    <m/>
    <n v="1"/>
    <s v="Sale"/>
    <x v="0"/>
    <x v="151"/>
    <x v="0"/>
    <n v="238.09"/>
    <n v="1"/>
    <n v="238.09"/>
    <n v="-183.36375000000001"/>
    <m/>
    <n v="425.45756062500004"/>
    <n v="-187.36756062500004"/>
  </r>
  <r>
    <x v="3"/>
    <x v="96"/>
    <x v="100"/>
    <x v="0"/>
    <n v="421.45375000000001"/>
    <n v="1"/>
    <n v="421.45375000000001"/>
    <n v="1"/>
    <n v="421.45375000000001"/>
    <n v="116.884"/>
    <n v="118.002"/>
    <n v="1.0095000000000001"/>
    <n v="425.45756062500004"/>
    <m/>
    <n v="1"/>
    <s v="Sale"/>
    <x v="0"/>
    <x v="151"/>
    <x v="0"/>
    <n v="247.72"/>
    <n v="1"/>
    <n v="247.72"/>
    <n v="-173.73375000000001"/>
    <m/>
    <n v="425.45756062500004"/>
    <n v="-177.73756062500004"/>
  </r>
  <r>
    <x v="3"/>
    <x v="96"/>
    <x v="100"/>
    <x v="0"/>
    <n v="421.45375000000001"/>
    <n v="1"/>
    <n v="421.45375000000001"/>
    <n v="1"/>
    <n v="421.45375000000001"/>
    <n v="116.884"/>
    <n v="118.002"/>
    <n v="1.0095000000000001"/>
    <n v="425.45756062500004"/>
    <m/>
    <n v="1"/>
    <s v="Sale"/>
    <x v="0"/>
    <x v="152"/>
    <x v="0"/>
    <n v="239.08"/>
    <n v="1"/>
    <n v="239.08"/>
    <n v="-182.37375"/>
    <m/>
    <n v="425.45756062500004"/>
    <n v="-186.37756062500003"/>
  </r>
  <r>
    <x v="3"/>
    <x v="96"/>
    <x v="100"/>
    <x v="0"/>
    <n v="2107.2687500000002"/>
    <n v="5"/>
    <n v="2107.2687500000002"/>
    <n v="1"/>
    <n v="2107.2687500000002"/>
    <n v="116.884"/>
    <n v="118.002"/>
    <n v="1.0095000000000001"/>
    <n v="2127.2878031250002"/>
    <m/>
    <n v="5"/>
    <s v="Sale"/>
    <x v="0"/>
    <x v="152"/>
    <x v="0"/>
    <n v="1199.9100000000001"/>
    <n v="1"/>
    <n v="1199.9100000000001"/>
    <n v="-907.3587500000001"/>
    <m/>
    <n v="2127.2878031250002"/>
    <n v="-927.37780312500013"/>
  </r>
  <r>
    <x v="3"/>
    <x v="183"/>
    <x v="100"/>
    <x v="0"/>
    <n v="1085.1300000000001"/>
    <n v="3"/>
    <n v="1085.1300000000001"/>
    <n v="1"/>
    <n v="1085.1300000000001"/>
    <n v="116.884"/>
    <n v="118.002"/>
    <n v="1.0095000000000001"/>
    <n v="1095.4387350000002"/>
    <m/>
    <n v="3"/>
    <s v="Sale"/>
    <x v="0"/>
    <x v="152"/>
    <x v="0"/>
    <n v="719.94600000000014"/>
    <n v="1"/>
    <n v="719.94600000000014"/>
    <n v="-365.18399999999997"/>
    <m/>
    <n v="1095.4387350000002"/>
    <n v="-375.49273500000004"/>
  </r>
  <r>
    <x v="3"/>
    <x v="141"/>
    <x v="100"/>
    <x v="0"/>
    <n v="641.48"/>
    <n v="2"/>
    <n v="641.48"/>
    <n v="1"/>
    <n v="641.48"/>
    <n v="117.30800000000001"/>
    <n v="118.002"/>
    <n v="1.0059"/>
    <n v="645.26473199999998"/>
    <m/>
    <n v="2"/>
    <s v="Sale"/>
    <x v="0"/>
    <x v="152"/>
    <x v="0"/>
    <n v="479.96400000000006"/>
    <n v="1"/>
    <n v="479.96400000000006"/>
    <n v="-161.51599999999996"/>
    <m/>
    <n v="645.26473199999998"/>
    <n v="-165.30073199999993"/>
  </r>
  <r>
    <x v="3"/>
    <x v="108"/>
    <x v="37"/>
    <x v="0"/>
    <n v="363.88"/>
    <n v="1"/>
    <n v="363.88"/>
    <n v="1"/>
    <n v="363.88"/>
    <n v="118.002"/>
    <n v="126.47799999999999"/>
    <n v="1.0718000000000001"/>
    <n v="390.00658400000003"/>
    <m/>
    <n v="1"/>
    <s v="Sale"/>
    <x v="0"/>
    <x v="150"/>
    <x v="0"/>
    <n v="191.64"/>
    <n v="1"/>
    <n v="191.64"/>
    <n v="-172.24"/>
    <m/>
    <n v="390.00658400000003"/>
    <n v="-198.36658400000005"/>
  </r>
  <r>
    <x v="3"/>
    <x v="108"/>
    <x v="37"/>
    <x v="0"/>
    <n v="734.94"/>
    <n v="2"/>
    <n v="734.94"/>
    <n v="1"/>
    <n v="734.94"/>
    <n v="118.002"/>
    <n v="126.47799999999999"/>
    <n v="1.0718000000000001"/>
    <n v="787.70869200000016"/>
    <m/>
    <n v="2"/>
    <s v="Sale"/>
    <x v="0"/>
    <x v="150"/>
    <x v="0"/>
    <n v="383.28"/>
    <n v="1"/>
    <n v="383.28"/>
    <n v="-351.66000000000008"/>
    <m/>
    <n v="787.70869200000016"/>
    <n v="-404.42869200000018"/>
  </r>
  <r>
    <x v="3"/>
    <x v="184"/>
    <x v="37"/>
    <x v="0"/>
    <n v="1090.6199999999999"/>
    <n v="3"/>
    <n v="1090.6199999999999"/>
    <n v="1"/>
    <n v="1090.6199999999999"/>
    <n v="118.002"/>
    <n v="126.47799999999999"/>
    <n v="1.0718000000000001"/>
    <n v="1168.926516"/>
    <m/>
    <n v="3"/>
    <s v="Sale"/>
    <x v="0"/>
    <x v="150"/>
    <x v="0"/>
    <n v="584.40750000000003"/>
    <n v="1"/>
    <n v="584.40750000000003"/>
    <n v="-506.21249999999986"/>
    <m/>
    <n v="1168.926516"/>
    <n v="-584.51901599999997"/>
  </r>
  <r>
    <x v="3"/>
    <x v="116"/>
    <x v="37"/>
    <x v="0"/>
    <n v="399.45333333333332"/>
    <n v="1"/>
    <n v="399.45333333333332"/>
    <n v="1"/>
    <n v="399.45333333333332"/>
    <n v="118.002"/>
    <n v="126.47799999999999"/>
    <n v="1.0718000000000001"/>
    <n v="428.1340826666667"/>
    <m/>
    <n v="1"/>
    <s v="Sale"/>
    <x v="0"/>
    <x v="150"/>
    <x v="0"/>
    <n v="194.80250000000001"/>
    <n v="1"/>
    <n v="194.80250000000001"/>
    <n v="-204.65083333333331"/>
    <m/>
    <n v="428.1340826666667"/>
    <n v="-233.33158266666669"/>
  </r>
  <r>
    <x v="3"/>
    <x v="168"/>
    <x v="93"/>
    <x v="0"/>
    <n v="318.58"/>
    <n v="18"/>
    <n v="318.58"/>
    <n v="1"/>
    <n v="318.58"/>
    <n v="123.803"/>
    <n v="126.47799999999999"/>
    <n v="1.0216000000000001"/>
    <n v="325.46132799999998"/>
    <m/>
    <n v="18"/>
    <s v="Sale"/>
    <x v="0"/>
    <x v="150"/>
    <x v="0"/>
    <n v="320.88272727272727"/>
    <n v="1"/>
    <n v="320.88272727272727"/>
    <n v="2.3027272727272816"/>
    <m/>
    <n v="325.46132799999998"/>
    <n v="-4.5786007272727147"/>
  </r>
  <r>
    <x v="3"/>
    <x v="185"/>
    <x v="93"/>
    <x v="0"/>
    <n v="16.71"/>
    <n v="1"/>
    <n v="16.71"/>
    <n v="1"/>
    <n v="16.71"/>
    <n v="123.803"/>
    <n v="126.47799999999999"/>
    <n v="1.0216000000000001"/>
    <n v="17.070936000000003"/>
    <m/>
    <n v="1"/>
    <s v="Sale"/>
    <x v="0"/>
    <x v="150"/>
    <x v="0"/>
    <n v="17.826818181818183"/>
    <n v="1"/>
    <n v="17.826818181818183"/>
    <n v="1.1168181818181822"/>
    <m/>
    <n v="17.070936000000003"/>
    <n v="0.75588218181817979"/>
  </r>
  <r>
    <x v="3"/>
    <x v="185"/>
    <x v="93"/>
    <x v="0"/>
    <n v="50.931428571428576"/>
    <n v="3"/>
    <n v="50.931428571428576"/>
    <n v="1"/>
    <n v="50.931428571428576"/>
    <n v="123.803"/>
    <n v="126.47799999999999"/>
    <n v="1.0216000000000001"/>
    <n v="52.031547428571436"/>
    <m/>
    <n v="3"/>
    <s v="Sale"/>
    <x v="0"/>
    <x v="150"/>
    <x v="0"/>
    <n v="53.480454545454549"/>
    <n v="1"/>
    <n v="53.480454545454549"/>
    <n v="2.5490259740259731"/>
    <m/>
    <n v="52.031547428571436"/>
    <n v="1.4489071168831131"/>
  </r>
  <r>
    <x v="3"/>
    <x v="185"/>
    <x v="93"/>
    <x v="0"/>
    <n v="67.908571428571435"/>
    <n v="4"/>
    <n v="67.908571428571435"/>
    <n v="1"/>
    <n v="67.908571428571435"/>
    <n v="123.803"/>
    <n v="126.47799999999999"/>
    <n v="1.0216000000000001"/>
    <n v="69.375396571428581"/>
    <m/>
    <n v="4"/>
    <s v="Sale"/>
    <x v="0"/>
    <x v="150"/>
    <x v="0"/>
    <n v="71.131428571428572"/>
    <n v="1"/>
    <n v="71.131428571428572"/>
    <n v="3.2228571428571371"/>
    <m/>
    <n v="69.375396571428581"/>
    <n v="1.7560319999999905"/>
  </r>
  <r>
    <x v="3"/>
    <x v="185"/>
    <x v="93"/>
    <x v="0"/>
    <n v="167.78571428571428"/>
    <n v="10"/>
    <n v="167.78571428571428"/>
    <n v="1"/>
    <n v="167.78571428571428"/>
    <n v="123.803"/>
    <n v="126.47799999999999"/>
    <n v="1.0216000000000001"/>
    <n v="171.40988571428571"/>
    <m/>
    <n v="10"/>
    <s v="Sale"/>
    <x v="0"/>
    <x v="150"/>
    <x v="0"/>
    <n v="177.82857142857142"/>
    <n v="1"/>
    <n v="177.82857142857142"/>
    <n v="10.042857142857144"/>
    <m/>
    <n v="171.40988571428571"/>
    <n v="6.418685714285715"/>
  </r>
  <r>
    <x v="3"/>
    <x v="185"/>
    <x v="93"/>
    <x v="0"/>
    <n v="67.114285714285714"/>
    <n v="4"/>
    <n v="67.114285714285714"/>
    <n v="1"/>
    <n v="67.114285714285714"/>
    <n v="123.803"/>
    <n v="126.47799999999999"/>
    <n v="1.0216000000000001"/>
    <n v="68.563954285714289"/>
    <m/>
    <n v="4"/>
    <s v="Sale"/>
    <x v="0"/>
    <x v="149"/>
    <x v="0"/>
    <n v="71.351111111111109"/>
    <n v="1"/>
    <n v="71.351111111111109"/>
    <n v="4.2368253968253953"/>
    <m/>
    <n v="68.563954285714289"/>
    <n v="2.7871568253968206"/>
  </r>
  <r>
    <x v="3"/>
    <x v="149"/>
    <x v="93"/>
    <x v="0"/>
    <n v="18.63"/>
    <n v="1"/>
    <n v="18.63"/>
    <n v="1"/>
    <n v="18.63"/>
    <n v="123.803"/>
    <n v="126.47799999999999"/>
    <n v="1.0216000000000001"/>
    <n v="19.032408"/>
    <m/>
    <n v="1"/>
    <s v="Sale"/>
    <x v="0"/>
    <x v="149"/>
    <x v="0"/>
    <n v="17.837777777777777"/>
    <n v="1"/>
    <n v="17.837777777777777"/>
    <n v="-0.79222222222222172"/>
    <m/>
    <n v="19.032408"/>
    <n v="-1.1946302222222229"/>
  </r>
  <r>
    <x v="3"/>
    <x v="149"/>
    <x v="93"/>
    <x v="0"/>
    <n v="18.63"/>
    <n v="1"/>
    <n v="18.63"/>
    <n v="1"/>
    <n v="18.63"/>
    <n v="123.803"/>
    <n v="126.47799999999999"/>
    <n v="1.0216000000000001"/>
    <n v="19.032408"/>
    <m/>
    <n v="1"/>
    <s v="Sale"/>
    <x v="0"/>
    <x v="149"/>
    <x v="0"/>
    <n v="17.837777777777777"/>
    <n v="1"/>
    <n v="17.837777777777777"/>
    <n v="-0.79222222222222172"/>
    <m/>
    <n v="19.032408"/>
    <n v="-1.1946302222222229"/>
  </r>
  <r>
    <x v="3"/>
    <x v="149"/>
    <x v="93"/>
    <x v="0"/>
    <n v="18.62"/>
    <n v="1"/>
    <n v="18.62"/>
    <n v="1"/>
    <n v="18.62"/>
    <n v="123.803"/>
    <n v="126.47799999999999"/>
    <n v="1.0216000000000001"/>
    <n v="19.022192"/>
    <m/>
    <n v="1"/>
    <s v="Sale"/>
    <x v="0"/>
    <x v="149"/>
    <x v="0"/>
    <n v="17.837777777777777"/>
    <n v="1"/>
    <n v="17.837777777777777"/>
    <n v="-0.78222222222222371"/>
    <m/>
    <n v="19.022192"/>
    <n v="-1.1844142222222231"/>
  </r>
  <r>
    <x v="3"/>
    <x v="149"/>
    <x v="93"/>
    <x v="0"/>
    <n v="37.24"/>
    <n v="2"/>
    <n v="37.24"/>
    <n v="1"/>
    <n v="37.24"/>
    <n v="123.803"/>
    <n v="126.47799999999999"/>
    <n v="1.0216000000000001"/>
    <n v="38.044384000000001"/>
    <m/>
    <n v="2"/>
    <s v="Sale"/>
    <x v="0"/>
    <x v="149"/>
    <x v="0"/>
    <n v="35.675555555555555"/>
    <n v="1"/>
    <n v="35.675555555555555"/>
    <n v="-1.5644444444444474"/>
    <m/>
    <n v="38.044384000000001"/>
    <n v="-2.3688284444444463"/>
  </r>
  <r>
    <x v="3"/>
    <x v="149"/>
    <x v="93"/>
    <x v="0"/>
    <n v="36.93"/>
    <n v="2"/>
    <n v="36.93"/>
    <n v="1"/>
    <n v="36.93"/>
    <n v="123.803"/>
    <n v="126.47799999999999"/>
    <n v="1.0216000000000001"/>
    <n v="37.727688000000001"/>
    <m/>
    <n v="2"/>
    <s v="Sale"/>
    <x v="0"/>
    <x v="149"/>
    <x v="0"/>
    <n v="35.366153846153843"/>
    <n v="1"/>
    <n v="35.366153846153843"/>
    <n v="-1.563846153846157"/>
    <m/>
    <n v="37.727688000000001"/>
    <n v="-2.3615341538461578"/>
  </r>
  <r>
    <x v="3"/>
    <x v="149"/>
    <x v="93"/>
    <x v="0"/>
    <n v="129.27000000000001"/>
    <n v="7"/>
    <n v="129.27000000000001"/>
    <n v="1"/>
    <n v="129.27000000000001"/>
    <n v="123.803"/>
    <n v="126.47799999999999"/>
    <n v="1.0216000000000001"/>
    <n v="132.06223200000002"/>
    <m/>
    <n v="7"/>
    <s v="Sale"/>
    <x v="0"/>
    <x v="149"/>
    <x v="0"/>
    <n v="123.78153846153845"/>
    <n v="1"/>
    <n v="123.78153846153845"/>
    <n v="-5.4884615384615643"/>
    <m/>
    <n v="132.06223200000002"/>
    <n v="-8.280693538461577"/>
  </r>
  <r>
    <x v="3"/>
    <x v="149"/>
    <x v="93"/>
    <x v="0"/>
    <n v="18.649999999999999"/>
    <n v="1"/>
    <n v="18.649999999999999"/>
    <n v="1"/>
    <n v="18.649999999999999"/>
    <n v="123.803"/>
    <n v="126.47799999999999"/>
    <n v="1.0216000000000001"/>
    <n v="19.05284"/>
    <m/>
    <n v="1"/>
    <s v="Sale"/>
    <x v="0"/>
    <x v="149"/>
    <x v="0"/>
    <n v="17.683076923076921"/>
    <n v="1"/>
    <n v="17.683076923076921"/>
    <n v="-0.96692307692307722"/>
    <m/>
    <n v="19.05284"/>
    <n v="-1.3697630769230784"/>
  </r>
  <r>
    <x v="3"/>
    <x v="149"/>
    <x v="93"/>
    <x v="0"/>
    <n v="55.95"/>
    <n v="3"/>
    <n v="55.95"/>
    <n v="1"/>
    <n v="55.95"/>
    <n v="123.803"/>
    <n v="126.47799999999999"/>
    <n v="1.0216000000000001"/>
    <n v="57.15852000000001"/>
    <m/>
    <n v="3"/>
    <s v="Sale"/>
    <x v="0"/>
    <x v="149"/>
    <x v="0"/>
    <n v="53.049230769230761"/>
    <n v="1"/>
    <n v="53.049230769230761"/>
    <n v="-2.9007692307692423"/>
    <m/>
    <n v="57.15852000000001"/>
    <n v="-4.1092892307692495"/>
  </r>
  <r>
    <x v="3"/>
    <x v="149"/>
    <x v="93"/>
    <x v="0"/>
    <n v="55.95"/>
    <n v="3"/>
    <n v="55.95"/>
    <n v="1"/>
    <n v="55.95"/>
    <n v="123.803"/>
    <n v="126.47799999999999"/>
    <n v="1.0216000000000001"/>
    <n v="57.15852000000001"/>
    <m/>
    <n v="3"/>
    <s v="Sale"/>
    <x v="0"/>
    <x v="149"/>
    <x v="0"/>
    <n v="54.100000000000009"/>
    <n v="1"/>
    <n v="54.100000000000009"/>
    <n v="-1.8499999999999943"/>
    <m/>
    <n v="57.15852000000001"/>
    <n v="-3.0585200000000015"/>
  </r>
  <r>
    <x v="3"/>
    <x v="149"/>
    <x v="93"/>
    <x v="0"/>
    <n v="55.45"/>
    <n v="3"/>
    <n v="55.45"/>
    <n v="1"/>
    <n v="55.45"/>
    <n v="123.803"/>
    <n v="126.47799999999999"/>
    <n v="1.0216000000000001"/>
    <n v="56.647720000000007"/>
    <m/>
    <n v="3"/>
    <s v="Sale"/>
    <x v="0"/>
    <x v="149"/>
    <x v="0"/>
    <n v="53.899999999999991"/>
    <n v="1"/>
    <n v="53.899999999999991"/>
    <n v="-1.5500000000000114"/>
    <m/>
    <n v="56.647720000000007"/>
    <n v="-2.7477200000000153"/>
  </r>
  <r>
    <x v="3"/>
    <x v="149"/>
    <x v="93"/>
    <x v="0"/>
    <n v="55.45"/>
    <n v="3"/>
    <n v="55.45"/>
    <n v="1"/>
    <n v="55.45"/>
    <n v="123.803"/>
    <n v="126.47799999999999"/>
    <n v="1.0216000000000001"/>
    <n v="56.647720000000007"/>
    <m/>
    <n v="3"/>
    <s v="Sale"/>
    <x v="0"/>
    <x v="149"/>
    <x v="0"/>
    <n v="52.78"/>
    <n v="1"/>
    <n v="52.78"/>
    <n v="-2.6700000000000017"/>
    <m/>
    <n v="56.647720000000007"/>
    <n v="-3.8677200000000056"/>
  </r>
  <r>
    <x v="3"/>
    <x v="149"/>
    <x v="93"/>
    <x v="0"/>
    <n v="129.43291666666664"/>
    <n v="7"/>
    <n v="129.43291666666664"/>
    <n v="1"/>
    <n v="129.43291666666664"/>
    <n v="123.803"/>
    <n v="126.47799999999999"/>
    <n v="1.0216000000000001"/>
    <n v="132.22866766666664"/>
    <m/>
    <n v="7"/>
    <s v="Sale"/>
    <x v="0"/>
    <x v="149"/>
    <x v="0"/>
    <n v="123.15000000000002"/>
    <n v="1"/>
    <n v="123.15000000000002"/>
    <n v="-6.2829166666666225"/>
    <m/>
    <n v="132.22866766666664"/>
    <n v="-9.0786676666666182"/>
  </r>
  <r>
    <x v="3"/>
    <x v="149"/>
    <x v="93"/>
    <x v="0"/>
    <n v="73.961666666666659"/>
    <n v="4"/>
    <n v="73.961666666666659"/>
    <n v="1"/>
    <n v="73.961666666666659"/>
    <n v="123.803"/>
    <n v="126.47799999999999"/>
    <n v="1.0216000000000001"/>
    <n v="75.559238666666658"/>
    <m/>
    <n v="4"/>
    <s v="Sale"/>
    <x v="0"/>
    <x v="153"/>
    <x v="0"/>
    <n v="71.349999999999994"/>
    <n v="1"/>
    <n v="71.349999999999994"/>
    <n v="-2.6116666666666646"/>
    <m/>
    <n v="75.559238666666658"/>
    <n v="-4.2092386666666641"/>
  </r>
  <r>
    <x v="3"/>
    <x v="149"/>
    <x v="93"/>
    <x v="0"/>
    <n v="18.490416666666665"/>
    <n v="1"/>
    <n v="18.490416666666665"/>
    <n v="1"/>
    <n v="18.490416666666665"/>
    <n v="123.803"/>
    <n v="126.47799999999999"/>
    <n v="1.0216000000000001"/>
    <n v="18.889809666666665"/>
    <m/>
    <n v="1"/>
    <s v="Sale"/>
    <x v="0"/>
    <x v="153"/>
    <x v="0"/>
    <n v="17.79"/>
    <n v="1"/>
    <n v="17.79"/>
    <n v="-0.70041666666666558"/>
    <m/>
    <n v="18.889809666666665"/>
    <n v="-1.0998096666666655"/>
  </r>
  <r>
    <x v="3"/>
    <x v="149"/>
    <x v="93"/>
    <x v="0"/>
    <n v="221.88499999999999"/>
    <n v="12"/>
    <n v="221.88499999999999"/>
    <n v="1"/>
    <n v="221.88499999999999"/>
    <n v="123.803"/>
    <n v="126.47799999999999"/>
    <n v="1.0216000000000001"/>
    <n v="226.677716"/>
    <m/>
    <n v="12"/>
    <s v="Sale"/>
    <x v="0"/>
    <x v="153"/>
    <x v="0"/>
    <n v="213.56"/>
    <n v="1"/>
    <n v="213.56"/>
    <n v="-8.3249999999999886"/>
    <m/>
    <n v="226.677716"/>
    <n v="-13.117716000000001"/>
  </r>
  <r>
    <x v="3"/>
    <x v="149"/>
    <x v="93"/>
    <x v="0"/>
    <n v="216.71999999999997"/>
    <n v="12"/>
    <n v="216.71999999999997"/>
    <n v="1"/>
    <n v="216.71999999999997"/>
    <n v="123.803"/>
    <n v="126.47799999999999"/>
    <n v="1.0216000000000001"/>
    <n v="221.401152"/>
    <m/>
    <n v="12"/>
    <s v="Sale"/>
    <x v="0"/>
    <x v="153"/>
    <x v="0"/>
    <n v="213.56"/>
    <n v="1"/>
    <n v="213.56"/>
    <n v="-3.1599999999999682"/>
    <m/>
    <n v="221.401152"/>
    <n v="-7.8411519999999939"/>
  </r>
  <r>
    <x v="3"/>
    <x v="149"/>
    <x v="93"/>
    <x v="0"/>
    <n v="36.119999999999997"/>
    <n v="2"/>
    <n v="36.119999999999997"/>
    <n v="1"/>
    <n v="36.119999999999997"/>
    <n v="123.803"/>
    <n v="126.47799999999999"/>
    <n v="1.0216000000000001"/>
    <n v="36.900191999999997"/>
    <m/>
    <n v="2"/>
    <s v="Sale"/>
    <x v="0"/>
    <x v="153"/>
    <x v="0"/>
    <n v="35.513333333333335"/>
    <n v="1"/>
    <n v="35.513333333333335"/>
    <n v="-0.60666666666666202"/>
    <m/>
    <n v="36.900191999999997"/>
    <n v="-1.3868586666666616"/>
  </r>
  <r>
    <x v="3"/>
    <x v="151"/>
    <x v="93"/>
    <x v="0"/>
    <n v="18.41"/>
    <n v="1"/>
    <n v="18.41"/>
    <n v="1"/>
    <n v="18.41"/>
    <n v="123.803"/>
    <n v="126.47799999999999"/>
    <n v="1.0216000000000001"/>
    <n v="18.807656000000001"/>
    <m/>
    <n v="1"/>
    <s v="Sale"/>
    <x v="0"/>
    <x v="153"/>
    <x v="0"/>
    <n v="17.756666666666668"/>
    <n v="1"/>
    <n v="17.756666666666668"/>
    <n v="-0.65333333333333243"/>
    <m/>
    <n v="18.807656000000001"/>
    <n v="-1.0509893333333338"/>
  </r>
  <r>
    <x v="3"/>
    <x v="151"/>
    <x v="93"/>
    <x v="0"/>
    <n v="37.6"/>
    <n v="2"/>
    <n v="37.6"/>
    <n v="1"/>
    <n v="37.6"/>
    <n v="123.803"/>
    <n v="126.47799999999999"/>
    <n v="1.0216000000000001"/>
    <n v="38.412160000000007"/>
    <m/>
    <n v="2"/>
    <s v="Sale"/>
    <x v="0"/>
    <x v="153"/>
    <x v="0"/>
    <n v="35.513333333333335"/>
    <n v="1"/>
    <n v="35.513333333333335"/>
    <n v="-2.086666666666666"/>
    <m/>
    <n v="38.412160000000007"/>
    <n v="-2.8988266666666718"/>
  </r>
  <r>
    <x v="3"/>
    <x v="151"/>
    <x v="93"/>
    <x v="0"/>
    <n v="55.22"/>
    <n v="3"/>
    <n v="55.22"/>
    <n v="1"/>
    <n v="55.22"/>
    <n v="123.803"/>
    <n v="126.47799999999999"/>
    <n v="1.0216000000000001"/>
    <n v="56.412752000000005"/>
    <m/>
    <n v="3"/>
    <s v="Sale"/>
    <x v="0"/>
    <x v="153"/>
    <x v="0"/>
    <n v="53.27"/>
    <n v="1"/>
    <n v="53.27"/>
    <n v="-1.9499999999999957"/>
    <m/>
    <n v="56.412752000000005"/>
    <n v="-3.1427520000000015"/>
  </r>
  <r>
    <x v="3"/>
    <x v="151"/>
    <x v="93"/>
    <x v="0"/>
    <n v="112.81"/>
    <n v="6"/>
    <n v="112.81"/>
    <n v="1"/>
    <n v="112.81"/>
    <n v="123.803"/>
    <n v="126.47799999999999"/>
    <n v="1.0216000000000001"/>
    <n v="115.24669600000001"/>
    <m/>
    <n v="6"/>
    <s v="Sale"/>
    <x v="0"/>
    <x v="153"/>
    <x v="0"/>
    <n v="106.54"/>
    <n v="1"/>
    <n v="106.54"/>
    <n v="-6.269999999999996"/>
    <m/>
    <n v="115.24669600000001"/>
    <n v="-8.706696000000008"/>
  </r>
  <r>
    <x v="3"/>
    <x v="156"/>
    <x v="93"/>
    <x v="0"/>
    <n v="336.8"/>
    <n v="16"/>
    <n v="336.8"/>
    <n v="1"/>
    <n v="336.8"/>
    <n v="124.571"/>
    <n v="126.47799999999999"/>
    <n v="1.0153000000000001"/>
    <n v="341.95304000000004"/>
    <m/>
    <n v="16"/>
    <s v="Sale"/>
    <x v="0"/>
    <x v="153"/>
    <x v="0"/>
    <n v="284.10666666666668"/>
    <n v="1"/>
    <n v="284.10666666666668"/>
    <n v="-52.693333333333328"/>
    <m/>
    <n v="341.95304000000004"/>
    <n v="-57.846373333333361"/>
  </r>
  <r>
    <x v="3"/>
    <x v="156"/>
    <x v="93"/>
    <x v="0"/>
    <n v="147.35"/>
    <n v="7"/>
    <n v="147.35"/>
    <n v="1"/>
    <n v="147.35"/>
    <n v="124.571"/>
    <n v="126.47799999999999"/>
    <n v="1.0153000000000001"/>
    <n v="149.604455"/>
    <m/>
    <n v="7"/>
    <s v="Sale"/>
    <x v="0"/>
    <x v="153"/>
    <x v="0"/>
    <n v="124.32875"/>
    <n v="1"/>
    <n v="124.32875"/>
    <n v="-23.021249999999995"/>
    <m/>
    <n v="149.604455"/>
    <n v="-25.275705000000002"/>
  </r>
  <r>
    <x v="3"/>
    <x v="186"/>
    <x v="93"/>
    <x v="0"/>
    <n v="17.77"/>
    <n v="1"/>
    <n v="17.77"/>
    <n v="1"/>
    <n v="17.77"/>
    <n v="124.571"/>
    <n v="126.47799999999999"/>
    <n v="1.0153000000000001"/>
    <n v="18.041881"/>
    <m/>
    <n v="1"/>
    <s v="Sale"/>
    <x v="0"/>
    <x v="153"/>
    <x v="0"/>
    <n v="17.76125"/>
    <n v="1"/>
    <n v="17.76125"/>
    <n v="-8.7499999999991473E-3"/>
    <m/>
    <n v="18.041881"/>
    <n v="-0.28063099999999963"/>
  </r>
  <r>
    <x v="3"/>
    <x v="186"/>
    <x v="93"/>
    <x v="0"/>
    <n v="17.96"/>
    <n v="1"/>
    <n v="17.96"/>
    <n v="1"/>
    <n v="17.96"/>
    <n v="124.571"/>
    <n v="126.47799999999999"/>
    <n v="1.0153000000000001"/>
    <n v="18.234788000000002"/>
    <m/>
    <n v="1"/>
    <s v="Sale"/>
    <x v="0"/>
    <x v="154"/>
    <x v="0"/>
    <n v="17.176578947368423"/>
    <n v="1"/>
    <n v="17.176578947368423"/>
    <n v="-0.78342105263157791"/>
    <m/>
    <n v="18.234788000000002"/>
    <n v="-1.0582090526315788"/>
  </r>
  <r>
    <x v="3"/>
    <x v="186"/>
    <x v="93"/>
    <x v="0"/>
    <n v="374.93"/>
    <n v="21"/>
    <n v="374.93"/>
    <n v="1"/>
    <n v="374.93"/>
    <n v="124.571"/>
    <n v="126.47799999999999"/>
    <n v="1.0153000000000001"/>
    <n v="380.66642900000005"/>
    <m/>
    <n v="21"/>
    <s v="Sale"/>
    <x v="0"/>
    <x v="154"/>
    <x v="0"/>
    <n v="360.70815789473687"/>
    <n v="1"/>
    <n v="360.70815789473687"/>
    <n v="-14.221842105263136"/>
    <m/>
    <n v="380.66642900000005"/>
    <n v="-19.958271105263179"/>
  </r>
  <r>
    <x v="3"/>
    <x v="178"/>
    <x v="93"/>
    <x v="0"/>
    <n v="35.19"/>
    <n v="2"/>
    <n v="35.19"/>
    <n v="1"/>
    <n v="35.19"/>
    <n v="125.276"/>
    <n v="126.47799999999999"/>
    <n v="1.0095000000000001"/>
    <n v="35.524304999999998"/>
    <m/>
    <n v="2"/>
    <s v="Sale"/>
    <x v="0"/>
    <x v="154"/>
    <x v="0"/>
    <n v="34.353157894736846"/>
    <n v="1"/>
    <n v="34.353157894736846"/>
    <n v="-0.83684210526315184"/>
    <m/>
    <n v="35.524304999999998"/>
    <n v="-1.1711471052631524"/>
  </r>
  <r>
    <x v="3"/>
    <x v="179"/>
    <x v="93"/>
    <x v="0"/>
    <n v="249.89999999999998"/>
    <n v="14"/>
    <n v="249.89999999999998"/>
    <n v="1"/>
    <n v="249.89999999999998"/>
    <n v="125.276"/>
    <n v="126.47799999999999"/>
    <n v="1.0095000000000001"/>
    <n v="252.27404999999999"/>
    <m/>
    <n v="14"/>
    <s v="Sale"/>
    <x v="0"/>
    <x v="154"/>
    <x v="0"/>
    <n v="240.47210526315791"/>
    <n v="1"/>
    <n v="240.47210526315791"/>
    <n v="-9.4278947368420631"/>
    <m/>
    <n v="252.27404999999999"/>
    <n v="-11.801944736842074"/>
  </r>
  <r>
    <x v="3"/>
    <x v="179"/>
    <x v="93"/>
    <x v="0"/>
    <n v="35.699999999999996"/>
    <n v="2"/>
    <n v="35.699999999999996"/>
    <n v="1"/>
    <n v="35.699999999999996"/>
    <n v="125.276"/>
    <n v="126.47799999999999"/>
    <n v="1.0095000000000001"/>
    <n v="36.039149999999999"/>
    <m/>
    <n v="2"/>
    <s v="Sale"/>
    <x v="0"/>
    <x v="155"/>
    <x v="0"/>
    <n v="34.79"/>
    <n v="1"/>
    <n v="34.79"/>
    <n v="-0.90999999999999659"/>
    <m/>
    <n v="36.039149999999999"/>
    <n v="-1.2491500000000002"/>
  </r>
  <r>
    <x v="3"/>
    <x v="179"/>
    <x v="93"/>
    <x v="0"/>
    <n v="107.1"/>
    <n v="6"/>
    <n v="107.1"/>
    <n v="1"/>
    <n v="107.1"/>
    <n v="125.276"/>
    <n v="126.47799999999999"/>
    <n v="1.0095000000000001"/>
    <n v="108.11745000000001"/>
    <m/>
    <n v="6"/>
    <s v="Sale"/>
    <x v="0"/>
    <x v="155"/>
    <x v="0"/>
    <n v="104.94"/>
    <n v="1"/>
    <n v="104.94"/>
    <n v="-2.1599999999999966"/>
    <m/>
    <n v="108.11745000000001"/>
    <n v="-3.1774500000000074"/>
  </r>
  <r>
    <x v="3"/>
    <x v="177"/>
    <x v="80"/>
    <x v="0"/>
    <n v="615.15750000000003"/>
    <n v="9"/>
    <n v="615.15750000000003"/>
    <n v="1"/>
    <n v="615.15750000000003"/>
    <n v="120.15900000000001"/>
    <n v="126.47799999999999"/>
    <n v="1.0525"/>
    <n v="647.45326875000001"/>
    <m/>
    <n v="9"/>
    <s v="Sale"/>
    <x v="0"/>
    <x v="150"/>
    <x v="0"/>
    <n v="405.37730769230768"/>
    <n v="1"/>
    <n v="405.37730769230768"/>
    <n v="-209.78019230769235"/>
    <m/>
    <n v="647.45326875000001"/>
    <n v="-242.07596105769233"/>
  </r>
  <r>
    <x v="3"/>
    <x v="17"/>
    <x v="80"/>
    <x v="0"/>
    <n v="860.3"/>
    <n v="12"/>
    <n v="860.3"/>
    <n v="1"/>
    <n v="860.3"/>
    <n v="120.15900000000001"/>
    <n v="126.47799999999999"/>
    <n v="1.0525"/>
    <n v="905.46574999999996"/>
    <m/>
    <n v="12"/>
    <s v="Sale"/>
    <x v="0"/>
    <x v="150"/>
    <x v="0"/>
    <n v="540.50307692307695"/>
    <n v="1"/>
    <n v="540.50307692307695"/>
    <n v="-319.79692307692301"/>
    <m/>
    <n v="905.46574999999996"/>
    <n v="-364.96267307692301"/>
  </r>
  <r>
    <x v="3"/>
    <x v="126"/>
    <x v="80"/>
    <x v="0"/>
    <n v="335.64583333333331"/>
    <n v="5"/>
    <n v="335.64583333333331"/>
    <n v="1"/>
    <n v="335.64583333333331"/>
    <n v="120.809"/>
    <n v="126.47799999999999"/>
    <n v="1.0468999999999999"/>
    <n v="351.3876229166666"/>
    <m/>
    <n v="5"/>
    <s v="Sale"/>
    <x v="0"/>
    <x v="150"/>
    <x v="0"/>
    <n v="225.20961538461538"/>
    <n v="1"/>
    <n v="225.20961538461538"/>
    <n v="-110.43621794871794"/>
    <m/>
    <n v="351.3876229166666"/>
    <n v="-126.17800753205123"/>
  </r>
  <r>
    <x v="3"/>
    <x v="126"/>
    <x v="80"/>
    <x v="0"/>
    <n v="469.90416666666664"/>
    <n v="7"/>
    <n v="469.90416666666664"/>
    <n v="1"/>
    <n v="469.90416666666664"/>
    <n v="120.809"/>
    <n v="126.47799999999999"/>
    <n v="1.0468999999999999"/>
    <n v="491.94267208333326"/>
    <m/>
    <n v="7"/>
    <s v="Sale"/>
    <x v="0"/>
    <x v="150"/>
    <x v="0"/>
    <n v="310.58999999999997"/>
    <n v="1"/>
    <n v="310.58999999999997"/>
    <n v="-159.31416666666667"/>
    <m/>
    <n v="491.94267208333326"/>
    <n v="-181.35267208333329"/>
  </r>
  <r>
    <x v="3"/>
    <x v="187"/>
    <x v="80"/>
    <x v="0"/>
    <n v="468.65"/>
    <n v="11"/>
    <n v="468.65"/>
    <n v="1"/>
    <n v="468.65"/>
    <n v="121.02200000000001"/>
    <n v="126.47799999999999"/>
    <n v="1.0449999999999999"/>
    <n v="489.73924999999997"/>
    <m/>
    <n v="11"/>
    <s v="Sale"/>
    <x v="0"/>
    <x v="150"/>
    <x v="0"/>
    <n v="488.07"/>
    <n v="1"/>
    <n v="488.07"/>
    <n v="19.420000000000016"/>
    <m/>
    <n v="489.73924999999997"/>
    <n v="-1.6692499999999768"/>
  </r>
  <r>
    <x v="3"/>
    <x v="41"/>
    <x v="92"/>
    <x v="0"/>
    <n v="487.2342857142857"/>
    <n v="9"/>
    <n v="487.2342857142857"/>
    <n v="1"/>
    <n v="487.2342857142857"/>
    <n v="118.98099999999999"/>
    <n v="126.47799999999999"/>
    <n v="1.0629999999999999"/>
    <n v="517.93004571428571"/>
    <m/>
    <n v="9"/>
    <s v="Sale"/>
    <x v="0"/>
    <x v="150"/>
    <x v="0"/>
    <n v="252.95399999999998"/>
    <n v="1"/>
    <n v="252.95399999999998"/>
    <n v="-234.28028571428572"/>
    <m/>
    <n v="517.93004571428571"/>
    <n v="-264.97604571428576"/>
  </r>
  <r>
    <x v="3"/>
    <x v="41"/>
    <x v="92"/>
    <x v="0"/>
    <n v="104.35"/>
    <n v="2"/>
    <n v="104.35"/>
    <n v="1"/>
    <n v="104.35"/>
    <n v="118.98099999999999"/>
    <n v="126.47799999999999"/>
    <n v="1.0629999999999999"/>
    <n v="110.92404999999999"/>
    <m/>
    <n v="2"/>
    <s v="Sale"/>
    <x v="0"/>
    <x v="150"/>
    <x v="0"/>
    <n v="56.211999999999996"/>
    <n v="1"/>
    <n v="56.211999999999996"/>
    <n v="-48.137999999999998"/>
    <m/>
    <n v="110.92404999999999"/>
    <n v="-54.712049999999998"/>
  </r>
  <r>
    <x v="3"/>
    <x v="41"/>
    <x v="92"/>
    <x v="0"/>
    <n v="216.55"/>
    <n v="4"/>
    <n v="216.55"/>
    <n v="1"/>
    <n v="216.55"/>
    <n v="118.98099999999999"/>
    <n v="126.47799999999999"/>
    <n v="1.0629999999999999"/>
    <n v="230.19264999999999"/>
    <m/>
    <n v="4"/>
    <s v="Sale"/>
    <x v="0"/>
    <x v="150"/>
    <x v="0"/>
    <n v="112.42399999999999"/>
    <n v="1"/>
    <n v="112.42399999999999"/>
    <n v="-104.12600000000002"/>
    <m/>
    <n v="230.19264999999999"/>
    <n v="-117.76864999999999"/>
  </r>
  <r>
    <x v="3"/>
    <x v="41"/>
    <x v="92"/>
    <x v="0"/>
    <n v="313.06"/>
    <n v="6"/>
    <n v="313.06"/>
    <n v="1"/>
    <n v="313.06"/>
    <n v="118.98099999999999"/>
    <n v="126.47799999999999"/>
    <n v="1.0629999999999999"/>
    <n v="332.78278"/>
    <m/>
    <n v="6"/>
    <s v="Sale"/>
    <x v="0"/>
    <x v="150"/>
    <x v="0"/>
    <n v="168.636"/>
    <n v="1"/>
    <n v="168.636"/>
    <n v="-144.42400000000001"/>
    <m/>
    <n v="332.78278"/>
    <n v="-164.14678000000001"/>
  </r>
  <r>
    <x v="3"/>
    <x v="117"/>
    <x v="92"/>
    <x v="0"/>
    <n v="52.01"/>
    <n v="1"/>
    <n v="52.01"/>
    <n v="1"/>
    <n v="52.01"/>
    <n v="118.98099999999999"/>
    <n v="126.47799999999999"/>
    <n v="1.0629999999999999"/>
    <n v="55.286629999999995"/>
    <m/>
    <n v="1"/>
    <s v="Sale"/>
    <x v="0"/>
    <x v="150"/>
    <x v="0"/>
    <n v="28.105999999999998"/>
    <n v="1"/>
    <n v="28.105999999999998"/>
    <n v="-23.904"/>
    <m/>
    <n v="55.286629999999995"/>
    <n v="-27.180629999999997"/>
  </r>
  <r>
    <x v="3"/>
    <x v="117"/>
    <x v="92"/>
    <x v="0"/>
    <n v="261.16000000000003"/>
    <n v="5"/>
    <n v="261.16000000000003"/>
    <n v="1"/>
    <n v="261.16000000000003"/>
    <n v="118.98099999999999"/>
    <n v="126.47799999999999"/>
    <n v="1.0629999999999999"/>
    <n v="277.61308000000002"/>
    <m/>
    <n v="5"/>
    <s v="Sale"/>
    <x v="0"/>
    <x v="150"/>
    <x v="0"/>
    <n v="140.53"/>
    <n v="1"/>
    <n v="140.53"/>
    <n v="-120.63000000000002"/>
    <m/>
    <n v="277.61308000000002"/>
    <n v="-137.08308000000002"/>
  </r>
  <r>
    <x v="3"/>
    <x v="117"/>
    <x v="92"/>
    <x v="0"/>
    <n v="305.82"/>
    <n v="6"/>
    <n v="305.82"/>
    <n v="1"/>
    <n v="305.82"/>
    <n v="118.98099999999999"/>
    <n v="126.47799999999999"/>
    <n v="1.0629999999999999"/>
    <n v="325.08665999999999"/>
    <m/>
    <n v="6"/>
    <s v="Sale"/>
    <x v="0"/>
    <x v="150"/>
    <x v="0"/>
    <n v="168.636"/>
    <n v="1"/>
    <n v="168.636"/>
    <n v="-137.184"/>
    <m/>
    <n v="325.08665999999999"/>
    <n v="-156.45066"/>
  </r>
  <r>
    <x v="3"/>
    <x v="117"/>
    <x v="92"/>
    <x v="0"/>
    <n v="416.89"/>
    <n v="8"/>
    <n v="416.89"/>
    <n v="1"/>
    <n v="416.89"/>
    <n v="118.98099999999999"/>
    <n v="126.47799999999999"/>
    <n v="1.0629999999999999"/>
    <n v="443.15406999999999"/>
    <m/>
    <n v="8"/>
    <s v="Sale"/>
    <x v="0"/>
    <x v="150"/>
    <x v="0"/>
    <n v="224.84799999999998"/>
    <n v="1"/>
    <n v="224.84799999999998"/>
    <n v="-192.042"/>
    <m/>
    <n v="443.15406999999999"/>
    <n v="-218.30607000000001"/>
  </r>
  <r>
    <x v="3"/>
    <x v="129"/>
    <x v="92"/>
    <x v="0"/>
    <n v="53.1"/>
    <n v="1"/>
    <n v="53.1"/>
    <n v="1"/>
    <n v="53.1"/>
    <n v="118.98099999999999"/>
    <n v="126.47799999999999"/>
    <n v="1.0629999999999999"/>
    <n v="56.445299999999996"/>
    <m/>
    <n v="1"/>
    <s v="Sale"/>
    <x v="0"/>
    <x v="150"/>
    <x v="0"/>
    <n v="28.105999999999998"/>
    <n v="1"/>
    <n v="28.105999999999998"/>
    <n v="-24.994000000000003"/>
    <m/>
    <n v="56.445299999999996"/>
    <n v="-28.339299999999998"/>
  </r>
  <r>
    <x v="3"/>
    <x v="129"/>
    <x v="92"/>
    <x v="0"/>
    <n v="423.08235294117645"/>
    <n v="8"/>
    <n v="423.08235294117645"/>
    <n v="1"/>
    <n v="423.08235294117645"/>
    <n v="118.98099999999999"/>
    <n v="126.47799999999999"/>
    <n v="1.0629999999999999"/>
    <n v="449.73654117647055"/>
    <m/>
    <n v="8"/>
    <s v="Sale"/>
    <x v="0"/>
    <x v="150"/>
    <x v="0"/>
    <n v="224.84799999999998"/>
    <n v="1"/>
    <n v="224.84799999999998"/>
    <n v="-198.23435294117647"/>
    <m/>
    <n v="449.73654117647055"/>
    <n v="-224.88854117647057"/>
  </r>
  <r>
    <x v="3"/>
    <x v="129"/>
    <x v="92"/>
    <x v="0"/>
    <n v="475.9676470588235"/>
    <n v="9"/>
    <n v="475.9676470588235"/>
    <n v="1"/>
    <n v="475.9676470588235"/>
    <n v="118.98099999999999"/>
    <n v="126.47799999999999"/>
    <n v="1.0629999999999999"/>
    <n v="505.95360882352935"/>
    <m/>
    <n v="9"/>
    <s v="Sale"/>
    <x v="0"/>
    <x v="150"/>
    <x v="0"/>
    <n v="251.40333333333336"/>
    <n v="1"/>
    <n v="251.40333333333336"/>
    <n v="-224.56431372549014"/>
    <m/>
    <n v="505.95360882352935"/>
    <n v="-254.55027549019599"/>
  </r>
  <r>
    <x v="3"/>
    <x v="129"/>
    <x v="92"/>
    <x v="0"/>
    <n v="157.75"/>
    <n v="3"/>
    <n v="157.75"/>
    <n v="1"/>
    <n v="157.75"/>
    <n v="118.98099999999999"/>
    <n v="126.47799999999999"/>
    <n v="1.0629999999999999"/>
    <n v="167.68824999999998"/>
    <m/>
    <n v="3"/>
    <s v="Sale"/>
    <x v="0"/>
    <x v="150"/>
    <x v="0"/>
    <n v="83.801111111111112"/>
    <n v="1"/>
    <n v="83.801111111111112"/>
    <n v="-73.948888888888888"/>
    <m/>
    <n v="167.68824999999998"/>
    <n v="-83.88713888888887"/>
  </r>
  <r>
    <x v="3"/>
    <x v="133"/>
    <x v="92"/>
    <x v="0"/>
    <n v="734.54"/>
    <n v="15"/>
    <n v="734.54"/>
    <n v="1"/>
    <n v="734.54"/>
    <n v="120.809"/>
    <n v="126.47799999999999"/>
    <n v="1.0468999999999999"/>
    <n v="768.98992599999997"/>
    <m/>
    <n v="15"/>
    <s v="Sale"/>
    <x v="0"/>
    <x v="150"/>
    <x v="0"/>
    <n v="419.00555555555559"/>
    <n v="1"/>
    <n v="419.00555555555559"/>
    <n v="-315.53444444444438"/>
    <m/>
    <n v="768.98992599999997"/>
    <n v="-349.98437044444438"/>
  </r>
  <r>
    <x v="3"/>
    <x v="47"/>
    <x v="39"/>
    <x v="0"/>
    <n v="519.02785714285721"/>
    <n v="1"/>
    <n v="519.02785714285721"/>
    <n v="1"/>
    <n v="519.02785714285721"/>
    <n v="116.884"/>
    <n v="126.47799999999999"/>
    <n v="1.0820000000000001"/>
    <n v="561.58814142857159"/>
    <m/>
    <n v="1"/>
    <s v="Sale"/>
    <x v="0"/>
    <x v="149"/>
    <x v="0"/>
    <n v="308.14"/>
    <n v="1"/>
    <n v="308.14"/>
    <n v="-210.88785714285723"/>
    <m/>
    <n v="561.58814142857159"/>
    <n v="-253.4481414285716"/>
  </r>
  <r>
    <x v="3"/>
    <x v="141"/>
    <x v="39"/>
    <x v="0"/>
    <n v="435.4"/>
    <n v="1"/>
    <n v="435.4"/>
    <n v="1"/>
    <n v="435.4"/>
    <n v="117.30800000000001"/>
    <n v="126.47799999999999"/>
    <n v="1.0781000000000001"/>
    <n v="469.40474"/>
    <m/>
    <n v="1"/>
    <s v="Sale"/>
    <x v="0"/>
    <x v="149"/>
    <x v="0"/>
    <n v="304.58999999999997"/>
    <n v="1"/>
    <n v="304.58999999999997"/>
    <n v="-130.81"/>
    <m/>
    <n v="469.40474"/>
    <n v="-164.81474000000003"/>
  </r>
  <r>
    <x v="3"/>
    <x v="141"/>
    <x v="39"/>
    <x v="0"/>
    <n v="874.67"/>
    <n v="2"/>
    <n v="874.67"/>
    <n v="1"/>
    <n v="874.67"/>
    <n v="117.30800000000001"/>
    <n v="126.47799999999999"/>
    <n v="1.0781000000000001"/>
    <n v="942.98172699999998"/>
    <m/>
    <n v="2"/>
    <s v="Sale"/>
    <x v="0"/>
    <x v="149"/>
    <x v="0"/>
    <n v="609.17999999999995"/>
    <n v="1"/>
    <n v="609.17999999999995"/>
    <n v="-265.49"/>
    <m/>
    <n v="942.98172699999998"/>
    <n v="-333.80172700000003"/>
  </r>
  <r>
    <x v="3"/>
    <x v="188"/>
    <x v="39"/>
    <x v="0"/>
    <n v="405.02499999999998"/>
    <n v="1"/>
    <n v="405.02499999999998"/>
    <n v="1"/>
    <n v="405.02499999999998"/>
    <n v="117.30800000000001"/>
    <n v="126.47799999999999"/>
    <n v="1.0781000000000001"/>
    <n v="436.65745249999998"/>
    <m/>
    <n v="1"/>
    <s v="Sale"/>
    <x v="0"/>
    <x v="149"/>
    <x v="0"/>
    <n v="304.58999999999997"/>
    <n v="1"/>
    <n v="304.58999999999997"/>
    <n v="-100.435"/>
    <m/>
    <n v="436.65745249999998"/>
    <n v="-132.0674525"/>
  </r>
  <r>
    <x v="3"/>
    <x v="188"/>
    <x v="39"/>
    <x v="0"/>
    <n v="405.02499999999998"/>
    <n v="1"/>
    <n v="405.02499999999998"/>
    <n v="1"/>
    <n v="405.02499999999998"/>
    <n v="117.30800000000001"/>
    <n v="126.47799999999999"/>
    <n v="1.0781000000000001"/>
    <n v="436.65745249999998"/>
    <m/>
    <n v="1"/>
    <s v="Sale"/>
    <x v="0"/>
    <x v="153"/>
    <x v="0"/>
    <n v="310.33999999999997"/>
    <n v="1"/>
    <n v="310.33999999999997"/>
    <n v="-94.685000000000002"/>
    <m/>
    <n v="436.65745249999998"/>
    <n v="-126.3174525"/>
  </r>
  <r>
    <x v="3"/>
    <x v="189"/>
    <x v="39"/>
    <x v="0"/>
    <n v="425.22"/>
    <n v="1"/>
    <n v="425.22"/>
    <n v="1"/>
    <n v="425.22"/>
    <n v="117.30800000000001"/>
    <n v="126.47799999999999"/>
    <n v="1.0781000000000001"/>
    <n v="458.42968200000007"/>
    <m/>
    <n v="1"/>
    <s v="Sale"/>
    <x v="0"/>
    <x v="153"/>
    <x v="0"/>
    <n v="307.61"/>
    <n v="1"/>
    <n v="307.61"/>
    <n v="-117.61000000000001"/>
    <m/>
    <n v="458.42968200000007"/>
    <n v="-150.81968200000006"/>
  </r>
  <r>
    <x v="3"/>
    <x v="189"/>
    <x v="39"/>
    <x v="0"/>
    <n v="851.05"/>
    <n v="2"/>
    <n v="851.05"/>
    <n v="1"/>
    <n v="851.05"/>
    <n v="117.30800000000001"/>
    <n v="126.47799999999999"/>
    <n v="1.0781000000000001"/>
    <n v="917.51700500000004"/>
    <m/>
    <n v="2"/>
    <s v="Sale"/>
    <x v="0"/>
    <x v="153"/>
    <x v="0"/>
    <n v="620.84"/>
    <n v="1"/>
    <n v="620.84"/>
    <n v="-230.20999999999992"/>
    <m/>
    <n v="917.51700500000004"/>
    <n v="-296.67700500000001"/>
  </r>
  <r>
    <x v="3"/>
    <x v="62"/>
    <x v="39"/>
    <x v="0"/>
    <n v="336.5"/>
    <n v="1"/>
    <n v="336.5"/>
    <n v="1"/>
    <n v="336.5"/>
    <n v="118.002"/>
    <n v="126.47799999999999"/>
    <n v="1.0718000000000001"/>
    <n v="360.66070000000002"/>
    <m/>
    <n v="1"/>
    <s v="Sale"/>
    <x v="0"/>
    <x v="154"/>
    <x v="0"/>
    <n v="297.14999999999998"/>
    <n v="1"/>
    <n v="297.14999999999998"/>
    <n v="-39.350000000000023"/>
    <m/>
    <n v="360.66070000000002"/>
    <n v="-63.510700000000043"/>
  </r>
  <r>
    <x v="3"/>
    <x v="62"/>
    <x v="39"/>
    <x v="0"/>
    <n v="332.5"/>
    <n v="1"/>
    <n v="332.5"/>
    <n v="1"/>
    <n v="332.5"/>
    <n v="118.002"/>
    <n v="126.47799999999999"/>
    <n v="1.0718000000000001"/>
    <n v="356.37350000000004"/>
    <m/>
    <n v="1"/>
    <s v="Sale"/>
    <x v="0"/>
    <x v="154"/>
    <x v="0"/>
    <n v="297.49666666666667"/>
    <n v="1"/>
    <n v="297.49666666666667"/>
    <n v="-35.00333333333333"/>
    <m/>
    <n v="356.37350000000004"/>
    <n v="-58.876833333333366"/>
  </r>
  <r>
    <x v="3"/>
    <x v="146"/>
    <x v="39"/>
    <x v="0"/>
    <n v="299.52999999999997"/>
    <n v="1"/>
    <n v="299.52999999999997"/>
    <n v="1"/>
    <n v="299.52999999999997"/>
    <n v="120.15900000000001"/>
    <n v="126.47799999999999"/>
    <n v="1.0525"/>
    <n v="315.25532499999997"/>
    <m/>
    <n v="1"/>
    <s v="Sale"/>
    <x v="0"/>
    <x v="154"/>
    <x v="0"/>
    <n v="297.49666666666667"/>
    <n v="1"/>
    <n v="297.49666666666667"/>
    <n v="-2.033333333333303"/>
    <m/>
    <n v="315.25532499999997"/>
    <n v="-17.758658333333301"/>
  </r>
  <r>
    <x v="3"/>
    <x v="146"/>
    <x v="39"/>
    <x v="0"/>
    <n v="297.02"/>
    <n v="1"/>
    <n v="297.02"/>
    <n v="1"/>
    <n v="297.02"/>
    <n v="120.15900000000001"/>
    <n v="126.47799999999999"/>
    <n v="1.0525"/>
    <n v="312.61354999999998"/>
    <m/>
    <n v="1"/>
    <s v="Sale"/>
    <x v="0"/>
    <x v="154"/>
    <x v="0"/>
    <n v="297.49666666666667"/>
    <n v="1"/>
    <n v="297.49666666666667"/>
    <n v="0.47666666666668789"/>
    <m/>
    <n v="312.61354999999998"/>
    <n v="-15.116883333333305"/>
  </r>
  <r>
    <x v="3"/>
    <x v="47"/>
    <x v="41"/>
    <x v="0"/>
    <n v="1047.4811999999999"/>
    <n v="3"/>
    <n v="1047.4811999999999"/>
    <n v="1"/>
    <n v="1047.4811999999999"/>
    <n v="116.884"/>
    <n v="126.47799999999999"/>
    <n v="1.0820000000000001"/>
    <n v="1133.3746584"/>
    <m/>
    <n v="3"/>
    <s v="Sale"/>
    <x v="0"/>
    <x v="149"/>
    <x v="0"/>
    <n v="941.06"/>
    <n v="1"/>
    <n v="941.06"/>
    <n v="-106.4212"/>
    <m/>
    <n v="1133.3746584"/>
    <n v="-192.3146584000001"/>
  </r>
  <r>
    <x v="3"/>
    <x v="42"/>
    <x v="41"/>
    <x v="0"/>
    <n v="266.93"/>
    <n v="1"/>
    <n v="266.93"/>
    <n v="1"/>
    <n v="266.93"/>
    <n v="118.98099999999999"/>
    <n v="126.47799999999999"/>
    <n v="1.0629999999999999"/>
    <n v="283.74658999999997"/>
    <m/>
    <n v="1"/>
    <s v="Sale"/>
    <x v="0"/>
    <x v="149"/>
    <x v="0"/>
    <n v="313.16000000000003"/>
    <n v="1"/>
    <n v="313.16000000000003"/>
    <n v="46.230000000000018"/>
    <m/>
    <n v="283.74658999999997"/>
    <n v="29.413410000000056"/>
  </r>
  <r>
    <x v="1"/>
    <x v="150"/>
    <x v="2"/>
    <x v="0"/>
    <n v="145.6"/>
    <n v="2"/>
    <n v="145.6"/>
    <n v="1"/>
    <n v="145.6"/>
    <n v="125.276"/>
    <n v="125.997"/>
    <n v="1.0057"/>
    <n v="146.42992000000001"/>
    <m/>
    <n v="2"/>
    <s v="Sale"/>
    <x v="0"/>
    <x v="124"/>
    <x v="0"/>
    <n v="147.87"/>
    <n v="1"/>
    <n v="147.87"/>
    <n v="2.2700000000000102"/>
    <m/>
    <n v="146.42992000000001"/>
    <n v="1.4400799999999947"/>
  </r>
  <r>
    <x v="1"/>
    <x v="150"/>
    <x v="2"/>
    <x v="0"/>
    <n v="291.2"/>
    <n v="4"/>
    <n v="291.2"/>
    <n v="1"/>
    <n v="291.2"/>
    <n v="125.276"/>
    <n v="125.997"/>
    <n v="1.0057"/>
    <n v="292.85984000000002"/>
    <m/>
    <n v="4"/>
    <s v="Sale"/>
    <x v="0"/>
    <x v="124"/>
    <x v="0"/>
    <n v="294.32"/>
    <n v="1"/>
    <n v="294.32"/>
    <n v="3.1200000000000045"/>
    <m/>
    <n v="292.85984000000002"/>
    <n v="1.4601599999999735"/>
  </r>
  <r>
    <x v="1"/>
    <x v="150"/>
    <x v="2"/>
    <x v="0"/>
    <n v="1310.3999999999999"/>
    <n v="18"/>
    <n v="1310.3999999999999"/>
    <n v="1"/>
    <n v="1310.3999999999999"/>
    <n v="125.276"/>
    <n v="125.997"/>
    <n v="1.0057"/>
    <n v="1317.8692799999999"/>
    <m/>
    <n v="18"/>
    <s v="Sale"/>
    <x v="0"/>
    <x v="124"/>
    <x v="0"/>
    <n v="1330.8899999999999"/>
    <n v="1"/>
    <n v="1330.8899999999999"/>
    <n v="20.490000000000009"/>
    <m/>
    <n v="1317.8692799999999"/>
    <n v="13.020719999999983"/>
  </r>
  <r>
    <x v="1"/>
    <x v="150"/>
    <x v="2"/>
    <x v="0"/>
    <n v="436.79999999999995"/>
    <n v="6"/>
    <n v="436.79999999999995"/>
    <n v="1"/>
    <n v="436.79999999999995"/>
    <n v="125.276"/>
    <n v="126.47799999999999"/>
    <n v="1.0095000000000001"/>
    <n v="440.94959999999998"/>
    <m/>
    <n v="6"/>
    <s v="Sale"/>
    <x v="0"/>
    <x v="156"/>
    <x v="0"/>
    <n v="449.73"/>
    <n v="1"/>
    <n v="449.73"/>
    <n v="12.930000000000064"/>
    <m/>
    <n v="440.94959999999998"/>
    <n v="8.7804000000000428"/>
  </r>
  <r>
    <x v="1"/>
    <x v="9"/>
    <x v="12"/>
    <x v="0"/>
    <n v="4410.8747826086956"/>
    <n v="19"/>
    <n v="4410.8747826086956"/>
    <n v="1"/>
    <n v="4410.8747826086956"/>
    <n v="113.018"/>
    <n v="126.47799999999999"/>
    <n v="1.119"/>
    <n v="4935.7688817391299"/>
    <m/>
    <n v="19"/>
    <s v="Sale"/>
    <x v="0"/>
    <x v="157"/>
    <x v="0"/>
    <n v="4204.4399999999996"/>
    <n v="1"/>
    <n v="4204.4399999999996"/>
    <n v="-206.43478260869597"/>
    <m/>
    <n v="4935.7688817391299"/>
    <n v="-731.32888173913034"/>
  </r>
  <r>
    <x v="1"/>
    <x v="9"/>
    <x v="12"/>
    <x v="0"/>
    <n v="1392.9078260869564"/>
    <n v="6"/>
    <n v="1392.9078260869564"/>
    <n v="1"/>
    <n v="1392.9078260869564"/>
    <n v="113.018"/>
    <n v="126.47799999999999"/>
    <n v="1.119"/>
    <n v="1558.6638573913042"/>
    <m/>
    <n v="6"/>
    <s v="Sale"/>
    <x v="0"/>
    <x v="158"/>
    <x v="0"/>
    <n v="1330.15"/>
    <n v="1"/>
    <n v="1330.15"/>
    <n v="-62.757826086956356"/>
    <m/>
    <n v="1558.6638573913042"/>
    <n v="-228.5138573913041"/>
  </r>
  <r>
    <x v="1"/>
    <x v="9"/>
    <x v="25"/>
    <x v="0"/>
    <n v="7136.0994979079496"/>
    <n v="38"/>
    <n v="7136.0994979079496"/>
    <n v="1"/>
    <n v="7136.0994979079496"/>
    <n v="113.018"/>
    <n v="126.47799999999999"/>
    <n v="1.119"/>
    <n v="7985.2953381589959"/>
    <m/>
    <n v="38"/>
    <s v="Sale"/>
    <x v="0"/>
    <x v="157"/>
    <x v="0"/>
    <n v="5861.78"/>
    <n v="1"/>
    <n v="5861.78"/>
    <n v="-1274.3194979079499"/>
    <m/>
    <n v="7985.2953381589959"/>
    <n v="-2123.5153381589962"/>
  </r>
  <r>
    <x v="1"/>
    <x v="9"/>
    <x v="25"/>
    <x v="0"/>
    <n v="2441.2971966527193"/>
    <n v="13"/>
    <n v="2441.2971966527193"/>
    <n v="1"/>
    <n v="2441.2971966527193"/>
    <n v="113.018"/>
    <n v="126.47799999999999"/>
    <n v="1.119"/>
    <n v="2731.811563054393"/>
    <m/>
    <n v="13"/>
    <s v="Sale"/>
    <x v="0"/>
    <x v="158"/>
    <x v="0"/>
    <n v="2016.21"/>
    <n v="1"/>
    <n v="2016.21"/>
    <n v="-425.08719665271929"/>
    <m/>
    <n v="2731.811563054393"/>
    <n v="-715.60156305439295"/>
  </r>
  <r>
    <x v="1"/>
    <x v="9"/>
    <x v="25"/>
    <x v="0"/>
    <n v="14272.198995815899"/>
    <n v="76"/>
    <n v="14272.198995815899"/>
    <n v="1"/>
    <n v="14272.198995815899"/>
    <n v="113.018"/>
    <n v="126.47799999999999"/>
    <n v="1.119"/>
    <n v="15970.590676317992"/>
    <m/>
    <n v="76"/>
    <s v="Sale"/>
    <x v="0"/>
    <x v="147"/>
    <x v="0"/>
    <n v="11476.2"/>
    <n v="1"/>
    <n v="11476.2"/>
    <n v="-2795.9989958158985"/>
    <m/>
    <n v="15970.590676317992"/>
    <n v="-4494.3906763179912"/>
  </r>
  <r>
    <x v="1"/>
    <x v="29"/>
    <x v="15"/>
    <x v="0"/>
    <n v="2043.2563636363634"/>
    <n v="6"/>
    <n v="2043.2563636363634"/>
    <n v="1"/>
    <n v="2043.2563636363634"/>
    <n v="108.114"/>
    <n v="126.47799999999999"/>
    <n v="1.1698"/>
    <n v="2390.201294181818"/>
    <m/>
    <n v="6"/>
    <s v="Sale"/>
    <x v="0"/>
    <x v="147"/>
    <x v="0"/>
    <n v="2818.9823076923076"/>
    <n v="1"/>
    <n v="2818.9823076923076"/>
    <n v="775.72594405594418"/>
    <m/>
    <n v="2390.201294181818"/>
    <n v="428.78101351048963"/>
  </r>
  <r>
    <x v="1"/>
    <x v="190"/>
    <x v="15"/>
    <x v="0"/>
    <n v="2867.47"/>
    <n v="8"/>
    <n v="2867.47"/>
    <n v="1"/>
    <n v="2867.47"/>
    <n v="108.774"/>
    <n v="126.47799999999999"/>
    <n v="1.1627000000000001"/>
    <n v="3334.0073689999999"/>
    <m/>
    <n v="8"/>
    <s v="Sale"/>
    <x v="0"/>
    <x v="147"/>
    <x v="0"/>
    <n v="3758.6430769230769"/>
    <n v="1"/>
    <n v="3758.6430769230769"/>
    <n v="891.17307692307713"/>
    <m/>
    <n v="3334.0073689999999"/>
    <n v="424.63570792307701"/>
  </r>
  <r>
    <x v="1"/>
    <x v="190"/>
    <x v="15"/>
    <x v="0"/>
    <n v="1436.41"/>
    <n v="4"/>
    <n v="1436.41"/>
    <n v="1"/>
    <n v="1436.41"/>
    <n v="108.774"/>
    <n v="126.47799999999999"/>
    <n v="1.1627000000000001"/>
    <n v="1670.1139070000002"/>
    <m/>
    <n v="4"/>
    <s v="Sale"/>
    <x v="0"/>
    <x v="147"/>
    <x v="0"/>
    <n v="1879.3215384615385"/>
    <n v="1"/>
    <n v="1879.3215384615385"/>
    <n v="442.91153846153838"/>
    <m/>
    <n v="1670.1139070000002"/>
    <n v="209.20763146153831"/>
  </r>
  <r>
    <x v="1"/>
    <x v="35"/>
    <x v="15"/>
    <x v="0"/>
    <n v="2819.9709090909091"/>
    <n v="8"/>
    <n v="2819.9709090909091"/>
    <n v="1"/>
    <n v="2819.9709090909091"/>
    <n v="108.774"/>
    <n v="126.47799999999999"/>
    <n v="1.1627000000000001"/>
    <n v="3278.7801760000002"/>
    <m/>
    <n v="8"/>
    <s v="Sale"/>
    <x v="0"/>
    <x v="147"/>
    <x v="0"/>
    <n v="3758.6430769230769"/>
    <n v="1"/>
    <n v="3758.6430769230769"/>
    <n v="938.67216783216782"/>
    <m/>
    <n v="3278.7801760000002"/>
    <n v="479.86290092307672"/>
  </r>
  <r>
    <x v="1"/>
    <x v="9"/>
    <x v="58"/>
    <x v="0"/>
    <n v="12916.428028846156"/>
    <n v="223"/>
    <n v="12916.428028846156"/>
    <n v="1"/>
    <n v="12916.428028846156"/>
    <n v="113.018"/>
    <n v="126.47799999999999"/>
    <n v="1.119"/>
    <n v="14453.482964278848"/>
    <m/>
    <n v="223"/>
    <s v="Sale"/>
    <x v="0"/>
    <x v="153"/>
    <x v="0"/>
    <n v="7852.1900000000005"/>
    <n v="1"/>
    <n v="7852.1900000000005"/>
    <n v="-5064.2380288461554"/>
    <m/>
    <n v="14453.482964278848"/>
    <n v="-6601.2929642788476"/>
  </r>
  <r>
    <x v="3"/>
    <x v="47"/>
    <x v="101"/>
    <x v="0"/>
    <n v="158.22"/>
    <n v="2"/>
    <n v="158.22"/>
    <n v="1"/>
    <n v="158.22"/>
    <n v="116.884"/>
    <n v="118.002"/>
    <n v="1.0095000000000001"/>
    <n v="159.72309000000001"/>
    <m/>
    <n v="2"/>
    <s v="Sale"/>
    <x v="0"/>
    <x v="159"/>
    <x v="0"/>
    <n v="170.57"/>
    <n v="1"/>
    <n v="170.57"/>
    <n v="12.349999999999994"/>
    <m/>
    <n v="159.72309000000001"/>
    <n v="10.84690999999998"/>
  </r>
  <r>
    <x v="3"/>
    <x v="47"/>
    <x v="101"/>
    <x v="0"/>
    <n v="1186.6500000000001"/>
    <n v="15"/>
    <n v="1186.6500000000001"/>
    <n v="1"/>
    <n v="1186.6500000000001"/>
    <n v="116.884"/>
    <n v="118.002"/>
    <n v="1.0095000000000001"/>
    <n v="1197.9231750000001"/>
    <m/>
    <n v="15"/>
    <s v="Sale"/>
    <x v="0"/>
    <x v="159"/>
    <x v="0"/>
    <n v="1279.72"/>
    <n v="1"/>
    <n v="1279.72"/>
    <n v="93.069999999999936"/>
    <m/>
    <n v="1197.9231750000001"/>
    <n v="81.796824999999899"/>
  </r>
  <r>
    <x v="3"/>
    <x v="47"/>
    <x v="101"/>
    <x v="0"/>
    <n v="79.11"/>
    <n v="1"/>
    <n v="79.11"/>
    <n v="1"/>
    <n v="79.11"/>
    <n v="116.884"/>
    <n v="118.002"/>
    <n v="1.0095000000000001"/>
    <n v="79.861545000000007"/>
    <m/>
    <n v="1"/>
    <s v="Sale"/>
    <x v="0"/>
    <x v="159"/>
    <x v="0"/>
    <n v="87.43"/>
    <n v="1"/>
    <n v="87.43"/>
    <n v="8.3200000000000074"/>
    <m/>
    <n v="79.861545000000007"/>
    <n v="7.5684550000000002"/>
  </r>
  <r>
    <x v="3"/>
    <x v="47"/>
    <x v="101"/>
    <x v="0"/>
    <n v="79.11"/>
    <n v="1"/>
    <n v="79.11"/>
    <n v="1"/>
    <n v="79.11"/>
    <n v="116.884"/>
    <n v="118.002"/>
    <n v="1.0095000000000001"/>
    <n v="79.861545000000007"/>
    <m/>
    <n v="1"/>
    <s v="Sale"/>
    <x v="0"/>
    <x v="159"/>
    <x v="0"/>
    <n v="86.48"/>
    <n v="1"/>
    <n v="86.48"/>
    <n v="7.3700000000000045"/>
    <m/>
    <n v="79.861545000000007"/>
    <n v="6.6184549999999973"/>
  </r>
  <r>
    <x v="3"/>
    <x v="47"/>
    <x v="101"/>
    <x v="0"/>
    <n v="316.44"/>
    <n v="4"/>
    <n v="316.44"/>
    <n v="1"/>
    <n v="316.44"/>
    <n v="116.884"/>
    <n v="118.002"/>
    <n v="1.0095000000000001"/>
    <n v="319.44618000000003"/>
    <m/>
    <n v="4"/>
    <s v="Sale"/>
    <x v="0"/>
    <x v="159"/>
    <x v="0"/>
    <n v="340.05"/>
    <n v="1"/>
    <n v="340.05"/>
    <n v="23.610000000000014"/>
    <m/>
    <n v="319.44618000000003"/>
    <n v="20.603819999999985"/>
  </r>
  <r>
    <x v="3"/>
    <x v="47"/>
    <x v="101"/>
    <x v="0"/>
    <n v="158.22"/>
    <n v="2"/>
    <n v="158.22"/>
    <n v="1"/>
    <n v="158.22"/>
    <n v="116.884"/>
    <n v="118.002"/>
    <n v="1.0095000000000001"/>
    <n v="159.72309000000001"/>
    <m/>
    <n v="2"/>
    <s v="Sale"/>
    <x v="0"/>
    <x v="151"/>
    <x v="0"/>
    <n v="170.89"/>
    <n v="1"/>
    <n v="170.89"/>
    <n v="12.669999999999987"/>
    <m/>
    <n v="159.72309000000001"/>
    <n v="11.166909999999973"/>
  </r>
  <r>
    <x v="3"/>
    <x v="47"/>
    <x v="101"/>
    <x v="0"/>
    <n v="79.11"/>
    <n v="1"/>
    <n v="79.11"/>
    <n v="1"/>
    <n v="79.11"/>
    <n v="116.884"/>
    <n v="118.002"/>
    <n v="1.0095000000000001"/>
    <n v="79.861545000000007"/>
    <m/>
    <n v="1"/>
    <s v="Sale"/>
    <x v="0"/>
    <x v="151"/>
    <x v="0"/>
    <n v="85.29"/>
    <n v="1"/>
    <n v="85.29"/>
    <n v="6.1800000000000068"/>
    <m/>
    <n v="79.861545000000007"/>
    <n v="5.4284549999999996"/>
  </r>
  <r>
    <x v="3"/>
    <x v="47"/>
    <x v="101"/>
    <x v="0"/>
    <n v="316.44"/>
    <n v="4"/>
    <n v="316.44"/>
    <n v="1"/>
    <n v="316.44"/>
    <n v="116.884"/>
    <n v="118.002"/>
    <n v="1.0095000000000001"/>
    <n v="319.44618000000003"/>
    <m/>
    <n v="4"/>
    <s v="Sale"/>
    <x v="0"/>
    <x v="151"/>
    <x v="0"/>
    <n v="341.16"/>
    <n v="1"/>
    <n v="341.16"/>
    <n v="24.720000000000027"/>
    <m/>
    <n v="319.44618000000003"/>
    <n v="21.713819999999998"/>
  </r>
  <r>
    <x v="3"/>
    <x v="47"/>
    <x v="101"/>
    <x v="0"/>
    <n v="1186.6500000000001"/>
    <n v="15"/>
    <n v="1186.6500000000001"/>
    <n v="1"/>
    <n v="1186.6500000000001"/>
    <n v="116.884"/>
    <n v="118.002"/>
    <n v="1.0095000000000001"/>
    <n v="1197.9231750000001"/>
    <m/>
    <n v="15"/>
    <s v="Sale"/>
    <x v="0"/>
    <x v="152"/>
    <x v="0"/>
    <n v="1280.27"/>
    <n v="1"/>
    <n v="1280.27"/>
    <n v="93.619999999999891"/>
    <m/>
    <n v="1197.9231750000001"/>
    <n v="82.346824999999853"/>
  </r>
  <r>
    <x v="3"/>
    <x v="47"/>
    <x v="101"/>
    <x v="0"/>
    <n v="237.32999999999998"/>
    <n v="3"/>
    <n v="237.32999999999998"/>
    <n v="1"/>
    <n v="237.32999999999998"/>
    <n v="116.884"/>
    <n v="118.002"/>
    <n v="1.0095000000000001"/>
    <n v="239.58463499999999"/>
    <m/>
    <n v="3"/>
    <s v="Sale"/>
    <x v="0"/>
    <x v="152"/>
    <x v="0"/>
    <n v="256.06"/>
    <n v="1"/>
    <n v="256.06"/>
    <n v="18.730000000000018"/>
    <m/>
    <n v="239.58463499999999"/>
    <n v="16.475365000000011"/>
  </r>
  <r>
    <x v="3"/>
    <x v="47"/>
    <x v="101"/>
    <x v="0"/>
    <n v="79.11"/>
    <n v="1"/>
    <n v="79.11"/>
    <n v="1"/>
    <n v="79.11"/>
    <n v="116.884"/>
    <n v="118.002"/>
    <n v="1.0095000000000001"/>
    <n v="79.861545000000007"/>
    <m/>
    <n v="1"/>
    <s v="Sale"/>
    <x v="0"/>
    <x v="152"/>
    <x v="0"/>
    <n v="81.99"/>
    <n v="1"/>
    <n v="81.99"/>
    <n v="2.8799999999999955"/>
    <m/>
    <n v="79.861545000000007"/>
    <n v="2.1284549999999882"/>
  </r>
  <r>
    <x v="3"/>
    <x v="47"/>
    <x v="101"/>
    <x v="0"/>
    <n v="158.22"/>
    <n v="2"/>
    <n v="158.22"/>
    <n v="1"/>
    <n v="158.22"/>
    <n v="116.884"/>
    <n v="118.002"/>
    <n v="1.0095000000000001"/>
    <n v="159.72309000000001"/>
    <m/>
    <n v="2"/>
    <s v="Sale"/>
    <x v="0"/>
    <x v="152"/>
    <x v="0"/>
    <n v="165.36"/>
    <n v="1"/>
    <n v="165.36"/>
    <n v="7.1400000000000148"/>
    <m/>
    <n v="159.72309000000001"/>
    <n v="5.6369100000000003"/>
  </r>
  <r>
    <x v="3"/>
    <x v="47"/>
    <x v="101"/>
    <x v="0"/>
    <n v="158.22"/>
    <n v="2"/>
    <n v="158.22"/>
    <n v="1"/>
    <n v="158.22"/>
    <n v="116.884"/>
    <n v="118.002"/>
    <n v="1.0095000000000001"/>
    <n v="159.72309000000001"/>
    <m/>
    <n v="2"/>
    <s v="Sale"/>
    <x v="0"/>
    <x v="152"/>
    <x v="0"/>
    <n v="163.84"/>
    <n v="1"/>
    <n v="163.84"/>
    <n v="5.6200000000000045"/>
    <m/>
    <n v="159.72309000000001"/>
    <n v="4.1169099999999901"/>
  </r>
  <r>
    <x v="3"/>
    <x v="47"/>
    <x v="101"/>
    <x v="0"/>
    <n v="79.11"/>
    <n v="1"/>
    <n v="79.11"/>
    <n v="1"/>
    <n v="79.11"/>
    <n v="116.884"/>
    <n v="118.002"/>
    <n v="1.0095000000000001"/>
    <n v="79.861545000000007"/>
    <m/>
    <n v="1"/>
    <s v="Sale"/>
    <x v="0"/>
    <x v="152"/>
    <x v="0"/>
    <n v="82.46"/>
    <n v="1"/>
    <n v="82.46"/>
    <n v="3.3499999999999943"/>
    <m/>
    <n v="79.861545000000007"/>
    <n v="2.5984549999999871"/>
  </r>
  <r>
    <x v="3"/>
    <x v="47"/>
    <x v="101"/>
    <x v="0"/>
    <n v="79.11"/>
    <n v="1"/>
    <n v="79.11"/>
    <n v="1"/>
    <n v="79.11"/>
    <n v="116.884"/>
    <n v="118.002"/>
    <n v="1.0095000000000001"/>
    <n v="79.861545000000007"/>
    <m/>
    <n v="1"/>
    <s v="Sale"/>
    <x v="0"/>
    <x v="152"/>
    <x v="0"/>
    <n v="82.46"/>
    <n v="1"/>
    <n v="82.46"/>
    <n v="3.3499999999999943"/>
    <m/>
    <n v="79.861545000000007"/>
    <n v="2.5984549999999871"/>
  </r>
  <r>
    <x v="3"/>
    <x v="47"/>
    <x v="101"/>
    <x v="0"/>
    <n v="395.55"/>
    <n v="5"/>
    <n v="395.55"/>
    <n v="1"/>
    <n v="395.55"/>
    <n v="116.884"/>
    <n v="118.002"/>
    <n v="1.0095000000000001"/>
    <n v="399.30772500000006"/>
    <m/>
    <n v="5"/>
    <s v="Sale"/>
    <x v="0"/>
    <x v="152"/>
    <x v="0"/>
    <n v="412.33999999999992"/>
    <n v="1"/>
    <n v="412.33999999999992"/>
    <n v="16.789999999999907"/>
    <m/>
    <n v="399.30772500000006"/>
    <n v="13.032274999999856"/>
  </r>
  <r>
    <x v="3"/>
    <x v="47"/>
    <x v="101"/>
    <x v="0"/>
    <n v="1503.09"/>
    <n v="19"/>
    <n v="1503.09"/>
    <n v="1"/>
    <n v="1503.09"/>
    <n v="116.884"/>
    <n v="118.002"/>
    <n v="1.0095000000000001"/>
    <n v="1517.369355"/>
    <m/>
    <n v="19"/>
    <s v="Sale"/>
    <x v="0"/>
    <x v="160"/>
    <x v="0"/>
    <n v="1567.21"/>
    <n v="1"/>
    <n v="1567.21"/>
    <n v="64.120000000000118"/>
    <m/>
    <n v="1517.369355"/>
    <n v="49.840644999999995"/>
  </r>
  <r>
    <x v="3"/>
    <x v="47"/>
    <x v="101"/>
    <x v="0"/>
    <n v="395.55"/>
    <n v="5"/>
    <n v="395.55"/>
    <n v="1"/>
    <n v="395.55"/>
    <n v="116.884"/>
    <n v="118.002"/>
    <n v="1.0095000000000001"/>
    <n v="399.30772500000006"/>
    <m/>
    <n v="5"/>
    <s v="Sale"/>
    <x v="0"/>
    <x v="160"/>
    <x v="0"/>
    <n v="412.43"/>
    <n v="1"/>
    <n v="412.43"/>
    <n v="16.879999999999995"/>
    <m/>
    <n v="399.30772500000006"/>
    <n v="13.122274999999945"/>
  </r>
  <r>
    <x v="3"/>
    <x v="47"/>
    <x v="101"/>
    <x v="0"/>
    <n v="158.22"/>
    <n v="2"/>
    <n v="158.22"/>
    <n v="1"/>
    <n v="158.22"/>
    <n v="116.884"/>
    <n v="118.002"/>
    <n v="1.0095000000000001"/>
    <n v="159.72309000000001"/>
    <m/>
    <n v="2"/>
    <s v="Sale"/>
    <x v="0"/>
    <x v="160"/>
    <x v="0"/>
    <n v="162.29"/>
    <n v="1"/>
    <n v="162.29"/>
    <n v="4.0699999999999932"/>
    <m/>
    <n v="159.72309000000001"/>
    <n v="2.5669099999999787"/>
  </r>
  <r>
    <x v="3"/>
    <x v="47"/>
    <x v="102"/>
    <x v="0"/>
    <n v="69.07236842105263"/>
    <n v="1"/>
    <n v="69.07236842105263"/>
    <n v="1"/>
    <n v="69.07236842105263"/>
    <n v="116.884"/>
    <n v="118.002"/>
    <n v="1.0095000000000001"/>
    <n v="69.728555921052632"/>
    <m/>
    <n v="1"/>
    <s v="Sale"/>
    <x v="0"/>
    <x v="151"/>
    <x v="0"/>
    <n v="68.290000000000006"/>
    <n v="1"/>
    <n v="68.290000000000006"/>
    <n v="-0.78236842105262383"/>
    <m/>
    <n v="69.728555921052632"/>
    <n v="-1.4385559210526253"/>
  </r>
  <r>
    <x v="3"/>
    <x v="47"/>
    <x v="102"/>
    <x v="0"/>
    <n v="1036.0855263157894"/>
    <n v="15"/>
    <n v="1036.0855263157894"/>
    <n v="1"/>
    <n v="1036.0855263157894"/>
    <n v="116.884"/>
    <n v="118.002"/>
    <n v="1.0095000000000001"/>
    <n v="1045.9283388157894"/>
    <m/>
    <n v="15"/>
    <s v="Sale"/>
    <x v="0"/>
    <x v="151"/>
    <x v="0"/>
    <n v="1043.8"/>
    <n v="1"/>
    <n v="1043.8"/>
    <n v="7.7144736842105885"/>
    <m/>
    <n v="1045.9283388157894"/>
    <n v="-2.1283388157894478"/>
  </r>
  <r>
    <x v="3"/>
    <x v="47"/>
    <x v="102"/>
    <x v="0"/>
    <n v="207.21710526315789"/>
    <n v="3"/>
    <n v="207.21710526315789"/>
    <n v="1"/>
    <n v="207.21710526315789"/>
    <n v="116.884"/>
    <n v="118.002"/>
    <n v="1.0095000000000001"/>
    <n v="209.18566776315791"/>
    <m/>
    <n v="3"/>
    <s v="Sale"/>
    <x v="0"/>
    <x v="151"/>
    <x v="0"/>
    <n v="208.59"/>
    <n v="1"/>
    <n v="208.59"/>
    <n v="1.3728947368421132"/>
    <m/>
    <n v="209.18566776315791"/>
    <n v="-0.59566776315790548"/>
  </r>
  <r>
    <x v="3"/>
    <x v="47"/>
    <x v="102"/>
    <x v="0"/>
    <n v="69.07236842105263"/>
    <n v="1"/>
    <n v="69.07236842105263"/>
    <n v="1"/>
    <n v="69.07236842105263"/>
    <n v="116.884"/>
    <n v="118.002"/>
    <n v="1.0095000000000001"/>
    <n v="69.728555921052632"/>
    <m/>
    <n v="1"/>
    <s v="Sale"/>
    <x v="0"/>
    <x v="152"/>
    <x v="0"/>
    <n v="67.959999999999994"/>
    <n v="1"/>
    <n v="67.959999999999994"/>
    <n v="-1.1123684210526363"/>
    <m/>
    <n v="69.728555921052632"/>
    <n v="-1.7685559210526378"/>
  </r>
  <r>
    <x v="3"/>
    <x v="47"/>
    <x v="102"/>
    <x v="0"/>
    <n v="69.07236842105263"/>
    <n v="1"/>
    <n v="69.07236842105263"/>
    <n v="1"/>
    <n v="69.07236842105263"/>
    <n v="116.884"/>
    <n v="118.002"/>
    <n v="1.0095000000000001"/>
    <n v="69.728555921052632"/>
    <m/>
    <n v="1"/>
    <s v="Sale"/>
    <x v="0"/>
    <x v="152"/>
    <x v="0"/>
    <n v="67.459999999999994"/>
    <n v="1"/>
    <n v="67.459999999999994"/>
    <n v="-1.6123684210526363"/>
    <m/>
    <n v="69.728555921052632"/>
    <n v="-2.2685559210526378"/>
  </r>
  <r>
    <x v="3"/>
    <x v="47"/>
    <x v="102"/>
    <x v="0"/>
    <n v="897.94078947368416"/>
    <n v="13"/>
    <n v="897.94078947368416"/>
    <n v="1"/>
    <n v="897.94078947368416"/>
    <n v="116.884"/>
    <n v="118.002"/>
    <n v="1.0095000000000001"/>
    <n v="906.47122697368422"/>
    <m/>
    <n v="13"/>
    <s v="Sale"/>
    <x v="0"/>
    <x v="152"/>
    <x v="0"/>
    <n v="829.49"/>
    <n v="1"/>
    <n v="829.49"/>
    <n v="-68.450789473684154"/>
    <m/>
    <n v="906.47122697368422"/>
    <n v="-76.981226973684215"/>
  </r>
  <r>
    <x v="3"/>
    <x v="47"/>
    <x v="102"/>
    <x v="0"/>
    <n v="207.21710526315789"/>
    <n v="3"/>
    <n v="207.21710526315789"/>
    <n v="1"/>
    <n v="207.21710526315789"/>
    <n v="116.884"/>
    <n v="118.002"/>
    <n v="1.0095000000000001"/>
    <n v="209.18566776315791"/>
    <m/>
    <n v="3"/>
    <s v="Sale"/>
    <x v="0"/>
    <x v="152"/>
    <x v="0"/>
    <n v="203.28000000000003"/>
    <n v="1"/>
    <n v="203.28000000000003"/>
    <n v="-3.9371052631578607"/>
    <m/>
    <n v="209.18566776315791"/>
    <n v="-5.9056677631578793"/>
  </r>
  <r>
    <x v="3"/>
    <x v="47"/>
    <x v="102"/>
    <x v="0"/>
    <n v="1312.375"/>
    <n v="19"/>
    <n v="1312.375"/>
    <n v="1"/>
    <n v="1312.375"/>
    <n v="116.884"/>
    <n v="118.002"/>
    <n v="1.0095000000000001"/>
    <n v="1324.8425625"/>
    <m/>
    <n v="19"/>
    <s v="Sale"/>
    <x v="0"/>
    <x v="160"/>
    <x v="0"/>
    <n v="1132.32"/>
    <n v="1"/>
    <n v="1132.32"/>
    <n v="-180.05500000000006"/>
    <m/>
    <n v="1324.8425625"/>
    <n v="-192.52256250000005"/>
  </r>
  <r>
    <x v="3"/>
    <x v="47"/>
    <x v="102"/>
    <x v="0"/>
    <n v="138.14473684210526"/>
    <n v="2"/>
    <n v="138.14473684210526"/>
    <n v="1"/>
    <n v="138.14473684210526"/>
    <n v="116.884"/>
    <n v="118.002"/>
    <n v="1.0095000000000001"/>
    <n v="139.45711184210526"/>
    <m/>
    <n v="2"/>
    <s v="Sale"/>
    <x v="0"/>
    <x v="160"/>
    <x v="0"/>
    <n v="119.19"/>
    <n v="1"/>
    <n v="119.19"/>
    <n v="-18.954736842105262"/>
    <m/>
    <n v="139.45711184210526"/>
    <n v="-20.267111842105265"/>
  </r>
  <r>
    <x v="3"/>
    <x v="47"/>
    <x v="102"/>
    <x v="0"/>
    <n v="138.14473684210526"/>
    <n v="2"/>
    <n v="138.14473684210526"/>
    <n v="1"/>
    <n v="138.14473684210526"/>
    <n v="116.884"/>
    <n v="118.002"/>
    <n v="1.0095000000000001"/>
    <n v="139.45711184210526"/>
    <m/>
    <n v="2"/>
    <s v="Sale"/>
    <x v="0"/>
    <x v="160"/>
    <x v="0"/>
    <n v="122.46"/>
    <n v="1"/>
    <n v="122.46"/>
    <n v="-15.684736842105266"/>
    <m/>
    <n v="139.45711184210526"/>
    <n v="-16.997111842105269"/>
  </r>
  <r>
    <x v="3"/>
    <x v="47"/>
    <x v="102"/>
    <x v="0"/>
    <n v="207.21710526315789"/>
    <n v="3"/>
    <n v="207.21710526315789"/>
    <n v="1"/>
    <n v="207.21710526315789"/>
    <n v="116.884"/>
    <n v="118.002"/>
    <n v="1.0095000000000001"/>
    <n v="209.18566776315791"/>
    <m/>
    <n v="3"/>
    <s v="Sale"/>
    <x v="0"/>
    <x v="160"/>
    <x v="0"/>
    <n v="177.12"/>
    <n v="1"/>
    <n v="177.12"/>
    <n v="-30.097105263157886"/>
    <m/>
    <n v="209.18566776315791"/>
    <n v="-32.065667763157904"/>
  </r>
  <r>
    <x v="3"/>
    <x v="47"/>
    <x v="42"/>
    <x v="0"/>
    <n v="4348.47"/>
    <n v="21"/>
    <n v="4348.47"/>
    <n v="1"/>
    <n v="4348.47"/>
    <n v="116.884"/>
    <n v="118.002"/>
    <n v="1.0095000000000001"/>
    <n v="4389.7804650000007"/>
    <m/>
    <n v="21"/>
    <s v="Sale"/>
    <x v="0"/>
    <x v="133"/>
    <x v="0"/>
    <n v="4532.26"/>
    <n v="1"/>
    <n v="4532.26"/>
    <n v="183.78999999999996"/>
    <m/>
    <n v="4389.7804650000007"/>
    <n v="142.47953499999949"/>
  </r>
  <r>
    <x v="3"/>
    <x v="47"/>
    <x v="103"/>
    <x v="0"/>
    <n v="303.60500000000002"/>
    <n v="1"/>
    <n v="303.60500000000002"/>
    <n v="1"/>
    <n v="303.60500000000002"/>
    <n v="116.884"/>
    <n v="118.002"/>
    <n v="1.0095000000000001"/>
    <n v="306.48924750000003"/>
    <m/>
    <n v="1"/>
    <s v="Sale"/>
    <x v="0"/>
    <x v="18"/>
    <x v="0"/>
    <n v="234.14"/>
    <n v="1"/>
    <n v="234.14"/>
    <n v="-69.465000000000032"/>
    <m/>
    <n v="306.48924750000003"/>
    <n v="-72.349247500000047"/>
  </r>
  <r>
    <x v="3"/>
    <x v="47"/>
    <x v="103"/>
    <x v="0"/>
    <n v="3946.8650000000002"/>
    <n v="13"/>
    <n v="3946.8650000000002"/>
    <n v="1"/>
    <n v="3946.8650000000002"/>
    <n v="116.884"/>
    <n v="118.002"/>
    <n v="1.0095000000000001"/>
    <n v="3984.3602175000005"/>
    <m/>
    <n v="13"/>
    <s v="Sale"/>
    <x v="0"/>
    <x v="18"/>
    <x v="0"/>
    <n v="3020.01"/>
    <n v="1"/>
    <n v="3020.01"/>
    <n v="-926.85500000000002"/>
    <m/>
    <n v="3984.3602175000005"/>
    <n v="-964.35021750000033"/>
  </r>
  <r>
    <x v="3"/>
    <x v="47"/>
    <x v="103"/>
    <x v="0"/>
    <n v="607.21"/>
    <n v="2"/>
    <n v="607.21"/>
    <n v="1"/>
    <n v="607.21"/>
    <n v="116.884"/>
    <n v="118.002"/>
    <n v="1.0095000000000001"/>
    <n v="612.97849500000007"/>
    <m/>
    <n v="2"/>
    <s v="Sale"/>
    <x v="0"/>
    <x v="18"/>
    <x v="0"/>
    <n v="468.28"/>
    <n v="1"/>
    <n v="468.28"/>
    <n v="-138.93000000000006"/>
    <m/>
    <n v="612.97849500000007"/>
    <n v="-144.69849500000009"/>
  </r>
  <r>
    <x v="3"/>
    <x v="47"/>
    <x v="103"/>
    <x v="0"/>
    <n v="1518.0250000000001"/>
    <n v="5"/>
    <n v="1518.0250000000001"/>
    <n v="1"/>
    <n v="1518.0250000000001"/>
    <n v="116.884"/>
    <n v="118.002"/>
    <n v="1.0095000000000001"/>
    <n v="1532.4462375000003"/>
    <m/>
    <n v="5"/>
    <s v="Sale"/>
    <x v="0"/>
    <x v="18"/>
    <x v="0"/>
    <n v="1178.71"/>
    <n v="1"/>
    <n v="1178.71"/>
    <n v="-339.31500000000005"/>
    <m/>
    <n v="1532.4462375000003"/>
    <n v="-353.73623750000024"/>
  </r>
  <r>
    <x v="3"/>
    <x v="47"/>
    <x v="103"/>
    <x v="0"/>
    <n v="607.21"/>
    <n v="2"/>
    <n v="607.21"/>
    <n v="1"/>
    <n v="607.21"/>
    <n v="116.884"/>
    <n v="118.002"/>
    <n v="1.0095000000000001"/>
    <n v="612.97849500000007"/>
    <m/>
    <n v="2"/>
    <s v="Sale"/>
    <x v="0"/>
    <x v="18"/>
    <x v="0"/>
    <n v="475.33"/>
    <n v="1"/>
    <n v="475.33"/>
    <n v="-131.88000000000005"/>
    <m/>
    <n v="612.97849500000007"/>
    <n v="-137.64849500000008"/>
  </r>
  <r>
    <x v="3"/>
    <x v="47"/>
    <x v="103"/>
    <x v="0"/>
    <n v="607.21"/>
    <n v="2"/>
    <n v="607.21"/>
    <n v="1"/>
    <n v="607.21"/>
    <n v="116.884"/>
    <n v="118.002"/>
    <n v="1.0095000000000001"/>
    <n v="612.97849500000007"/>
    <m/>
    <n v="2"/>
    <s v="Sale"/>
    <x v="0"/>
    <x v="18"/>
    <x v="0"/>
    <n v="471.49"/>
    <n v="1"/>
    <n v="471.49"/>
    <n v="-135.72000000000003"/>
    <m/>
    <n v="612.97849500000007"/>
    <n v="-141.48849500000006"/>
  </r>
  <r>
    <x v="3"/>
    <x v="47"/>
    <x v="103"/>
    <x v="0"/>
    <n v="1214.42"/>
    <n v="4"/>
    <n v="1214.42"/>
    <n v="1"/>
    <n v="1214.42"/>
    <n v="116.884"/>
    <n v="118.002"/>
    <n v="1.0095000000000001"/>
    <n v="1225.9569900000001"/>
    <m/>
    <n v="4"/>
    <s v="Sale"/>
    <x v="0"/>
    <x v="18"/>
    <x v="0"/>
    <n v="929.24"/>
    <n v="1"/>
    <n v="929.24"/>
    <n v="-285.18000000000006"/>
    <m/>
    <n v="1225.9569900000001"/>
    <n v="-296.71699000000012"/>
  </r>
  <r>
    <x v="3"/>
    <x v="47"/>
    <x v="103"/>
    <x v="0"/>
    <n v="1518.0250000000001"/>
    <n v="5"/>
    <n v="1518.0250000000001"/>
    <n v="1"/>
    <n v="1518.0250000000001"/>
    <n v="116.884"/>
    <n v="118.002"/>
    <n v="1.0095000000000001"/>
    <n v="1532.4462375000003"/>
    <m/>
    <n v="5"/>
    <s v="Sale"/>
    <x v="0"/>
    <x v="18"/>
    <x v="0"/>
    <n v="1188.32"/>
    <n v="1"/>
    <n v="1188.32"/>
    <n v="-329.70500000000015"/>
    <m/>
    <n v="1532.4462375000003"/>
    <n v="-344.12623750000034"/>
  </r>
  <r>
    <x v="3"/>
    <x v="48"/>
    <x v="104"/>
    <x v="0"/>
    <n v="1315.33"/>
    <n v="4"/>
    <n v="1315.33"/>
    <n v="1"/>
    <n v="1315.33"/>
    <n v="116.884"/>
    <n v="118.98099999999999"/>
    <n v="1.0179"/>
    <n v="1338.874407"/>
    <m/>
    <n v="4"/>
    <s v="Sale"/>
    <x v="0"/>
    <x v="38"/>
    <x v="0"/>
    <n v="895.68799999999987"/>
    <n v="1"/>
    <n v="895.68799999999987"/>
    <n v="-419.64200000000005"/>
    <m/>
    <n v="1338.874407"/>
    <n v="-443.18640700000014"/>
  </r>
  <r>
    <x v="3"/>
    <x v="48"/>
    <x v="104"/>
    <x v="0"/>
    <n v="660.59"/>
    <n v="2"/>
    <n v="660.59"/>
    <n v="1"/>
    <n v="660.59"/>
    <n v="116.884"/>
    <n v="118.98099999999999"/>
    <n v="1.0179"/>
    <n v="672.41456100000005"/>
    <m/>
    <n v="2"/>
    <s v="Sale"/>
    <x v="0"/>
    <x v="38"/>
    <x v="0"/>
    <n v="447.84399999999994"/>
    <n v="1"/>
    <n v="447.84399999999994"/>
    <n v="-212.74600000000009"/>
    <m/>
    <n v="672.41456100000005"/>
    <n v="-224.57056100000011"/>
  </r>
  <r>
    <x v="3"/>
    <x v="49"/>
    <x v="104"/>
    <x v="0"/>
    <n v="346.08"/>
    <n v="1"/>
    <n v="346.08"/>
    <n v="1"/>
    <n v="346.08"/>
    <n v="116.884"/>
    <n v="118.98099999999999"/>
    <n v="1.0179"/>
    <n v="352.274832"/>
    <m/>
    <n v="1"/>
    <s v="Sale"/>
    <x v="0"/>
    <x v="38"/>
    <x v="0"/>
    <n v="223.92199999999997"/>
    <n v="1"/>
    <n v="223.92199999999997"/>
    <n v="-122.15800000000002"/>
    <m/>
    <n v="352.274832"/>
    <n v="-128.35283200000003"/>
  </r>
  <r>
    <x v="3"/>
    <x v="49"/>
    <x v="104"/>
    <x v="0"/>
    <n v="1037.4675"/>
    <n v="3"/>
    <n v="1037.4675"/>
    <n v="1"/>
    <n v="1037.4675"/>
    <n v="116.884"/>
    <n v="118.98099999999999"/>
    <n v="1.0179"/>
    <n v="1056.0381682499999"/>
    <m/>
    <n v="3"/>
    <s v="Sale"/>
    <x v="0"/>
    <x v="38"/>
    <x v="0"/>
    <n v="671.76599999999985"/>
    <n v="1"/>
    <n v="671.76599999999985"/>
    <n v="-365.70150000000012"/>
    <m/>
    <n v="1056.0381682499999"/>
    <n v="-384.27216825000005"/>
  </r>
  <r>
    <x v="3"/>
    <x v="49"/>
    <x v="104"/>
    <x v="0"/>
    <n v="345.82249999999999"/>
    <n v="1"/>
    <n v="345.82249999999999"/>
    <n v="1"/>
    <n v="345.82249999999999"/>
    <n v="116.884"/>
    <n v="118.98099999999999"/>
    <n v="1.0179"/>
    <n v="352.01272275000002"/>
    <m/>
    <n v="1"/>
    <s v="Sale"/>
    <x v="0"/>
    <x v="161"/>
    <x v="0"/>
    <n v="249.24"/>
    <n v="1"/>
    <n v="249.24"/>
    <n v="-96.582499999999982"/>
    <m/>
    <n v="352.01272275000002"/>
    <n v="-102.77272275000001"/>
  </r>
  <r>
    <x v="3"/>
    <x v="183"/>
    <x v="104"/>
    <x v="0"/>
    <n v="998.87999999999988"/>
    <n v="3"/>
    <n v="998.87999999999988"/>
    <n v="1"/>
    <n v="998.87999999999988"/>
    <n v="116.884"/>
    <n v="118.98099999999999"/>
    <n v="1.0179"/>
    <n v="1016.7599519999999"/>
    <m/>
    <n v="3"/>
    <s v="Sale"/>
    <x v="0"/>
    <x v="161"/>
    <x v="0"/>
    <n v="747.72"/>
    <n v="1"/>
    <n v="747.72"/>
    <n v="-251.15999999999985"/>
    <m/>
    <n v="1016.7599519999999"/>
    <n v="-269.03995199999986"/>
  </r>
  <r>
    <x v="3"/>
    <x v="141"/>
    <x v="104"/>
    <x v="0"/>
    <n v="252.44499999999999"/>
    <n v="1"/>
    <n v="252.44499999999999"/>
    <n v="1"/>
    <n v="252.44499999999999"/>
    <n v="117.30800000000001"/>
    <n v="118.98099999999999"/>
    <n v="1.0142"/>
    <n v="256.029719"/>
    <m/>
    <n v="1"/>
    <s v="Sale"/>
    <x v="0"/>
    <x v="161"/>
    <x v="0"/>
    <n v="249.24"/>
    <n v="1"/>
    <n v="249.24"/>
    <n v="-3.2049999999999841"/>
    <m/>
    <n v="256.029719"/>
    <n v="-6.789718999999991"/>
  </r>
  <r>
    <x v="3"/>
    <x v="141"/>
    <x v="104"/>
    <x v="0"/>
    <n v="757.33500000000004"/>
    <n v="3"/>
    <n v="757.33500000000004"/>
    <n v="1"/>
    <n v="757.33500000000004"/>
    <n v="117.30800000000001"/>
    <n v="118.98099999999999"/>
    <n v="1.0142"/>
    <n v="768.089157"/>
    <m/>
    <n v="3"/>
    <s v="Sale"/>
    <x v="0"/>
    <x v="28"/>
    <x v="0"/>
    <n v="677.73"/>
    <n v="1"/>
    <n v="677.73"/>
    <n v="-79.605000000000018"/>
    <m/>
    <n v="768.089157"/>
    <n v="-90.359156999999982"/>
  </r>
  <r>
    <x v="3"/>
    <x v="4"/>
    <x v="104"/>
    <x v="0"/>
    <n v="471.32666666666665"/>
    <n v="2"/>
    <n v="471.32666666666665"/>
    <n v="1"/>
    <n v="471.32666666666665"/>
    <n v="117.30800000000001"/>
    <n v="118.98099999999999"/>
    <n v="1.0142"/>
    <n v="478.01950533333331"/>
    <m/>
    <n v="2"/>
    <s v="Sale"/>
    <x v="0"/>
    <x v="28"/>
    <x v="0"/>
    <n v="451.82"/>
    <n v="1"/>
    <n v="451.82"/>
    <n v="-19.506666666666661"/>
    <m/>
    <n v="478.01950533333331"/>
    <n v="-26.19950533333332"/>
  </r>
  <r>
    <x v="3"/>
    <x v="4"/>
    <x v="104"/>
    <x v="0"/>
    <n v="235.66333333333333"/>
    <n v="1"/>
    <n v="235.66333333333333"/>
    <n v="1"/>
    <n v="235.66333333333333"/>
    <n v="117.30800000000001"/>
    <n v="120.15900000000001"/>
    <n v="1.0243"/>
    <n v="241.38995233333333"/>
    <m/>
    <n v="1"/>
    <s v="Sale"/>
    <x v="0"/>
    <x v="51"/>
    <x v="0"/>
    <n v="187.66"/>
    <n v="1"/>
    <n v="187.66"/>
    <n v="-48.00333333333333"/>
    <m/>
    <n v="241.38995233333333"/>
    <n v="-53.72995233333333"/>
  </r>
  <r>
    <x v="3"/>
    <x v="188"/>
    <x v="104"/>
    <x v="0"/>
    <n v="480.87333333333328"/>
    <n v="2"/>
    <n v="480.87333333333328"/>
    <n v="1"/>
    <n v="480.87333333333328"/>
    <n v="117.30800000000001"/>
    <n v="120.15900000000001"/>
    <n v="1.0243"/>
    <n v="492.55855533333329"/>
    <m/>
    <n v="2"/>
    <s v="Sale"/>
    <x v="0"/>
    <x v="51"/>
    <x v="0"/>
    <n v="372.99"/>
    <n v="1"/>
    <n v="372.99"/>
    <n v="-107.88333333333327"/>
    <m/>
    <n v="492.55855533333329"/>
    <n v="-119.56855533333328"/>
  </r>
  <r>
    <x v="3"/>
    <x v="188"/>
    <x v="104"/>
    <x v="0"/>
    <n v="240.43666666666664"/>
    <n v="1"/>
    <n v="240.43666666666664"/>
    <n v="1"/>
    <n v="240.43666666666664"/>
    <n v="117.30800000000001"/>
    <n v="120.15900000000001"/>
    <n v="1.0243"/>
    <n v="246.27927766666664"/>
    <m/>
    <n v="1"/>
    <s v="Sale"/>
    <x v="0"/>
    <x v="51"/>
    <x v="0"/>
    <n v="186.49666666666667"/>
    <n v="1"/>
    <n v="186.49666666666667"/>
    <n v="-53.939999999999969"/>
    <m/>
    <n v="246.27927766666664"/>
    <n v="-59.782610999999974"/>
  </r>
  <r>
    <x v="3"/>
    <x v="191"/>
    <x v="104"/>
    <x v="0"/>
    <n v="414.68"/>
    <n v="2"/>
    <n v="414.68"/>
    <n v="1"/>
    <n v="414.68"/>
    <n v="118.002"/>
    <n v="120.15900000000001"/>
    <n v="1.0182"/>
    <n v="422.22717599999999"/>
    <m/>
    <n v="2"/>
    <s v="Sale"/>
    <x v="0"/>
    <x v="51"/>
    <x v="0"/>
    <n v="372.99333333333334"/>
    <n v="1"/>
    <n v="372.99333333333334"/>
    <n v="-41.686666666666667"/>
    <m/>
    <n v="422.22717599999999"/>
    <n v="-49.233842666666646"/>
  </r>
  <r>
    <x v="3"/>
    <x v="191"/>
    <x v="104"/>
    <x v="0"/>
    <n v="207.34"/>
    <n v="1"/>
    <n v="207.34"/>
    <n v="1"/>
    <n v="207.34"/>
    <n v="118.002"/>
    <n v="120.15900000000001"/>
    <n v="1.0182"/>
    <n v="211.11358799999999"/>
    <m/>
    <n v="1"/>
    <s v="Sale"/>
    <x v="0"/>
    <x v="51"/>
    <x v="0"/>
    <n v="192.3775"/>
    <n v="1"/>
    <n v="192.3775"/>
    <n v="-14.962500000000006"/>
    <m/>
    <n v="211.11358799999999"/>
    <n v="-18.736087999999995"/>
  </r>
  <r>
    <x v="3"/>
    <x v="171"/>
    <x v="104"/>
    <x v="0"/>
    <n v="619.94000000000005"/>
    <n v="3"/>
    <n v="619.94000000000005"/>
    <n v="1"/>
    <n v="619.94000000000005"/>
    <n v="118.002"/>
    <n v="120.15900000000001"/>
    <n v="1.0182"/>
    <n v="631.22290800000007"/>
    <m/>
    <n v="3"/>
    <s v="Sale"/>
    <x v="0"/>
    <x v="51"/>
    <x v="0"/>
    <n v="577.13249999999994"/>
    <n v="1"/>
    <n v="577.13249999999994"/>
    <n v="-42.807500000000118"/>
    <m/>
    <n v="631.22290800000007"/>
    <n v="-54.090408000000139"/>
  </r>
  <r>
    <x v="3"/>
    <x v="62"/>
    <x v="104"/>
    <x v="0"/>
    <n v="710.1"/>
    <n v="4"/>
    <n v="710.1"/>
    <n v="1"/>
    <n v="710.1"/>
    <n v="118.002"/>
    <n v="120.15900000000001"/>
    <n v="1.0182"/>
    <n v="723.02382"/>
    <m/>
    <n v="4"/>
    <s v="Sale"/>
    <x v="0"/>
    <x v="51"/>
    <x v="0"/>
    <n v="769.5"/>
    <n v="1"/>
    <n v="769.5"/>
    <n v="59.399999999999977"/>
    <m/>
    <n v="723.02382"/>
    <n v="46.476179999999999"/>
  </r>
  <r>
    <x v="3"/>
    <x v="40"/>
    <x v="104"/>
    <x v="0"/>
    <n v="632.12"/>
    <n v="4"/>
    <n v="632.12"/>
    <n v="1"/>
    <n v="632.12"/>
    <n v="118.002"/>
    <n v="120.15900000000001"/>
    <n v="1.0182"/>
    <n v="643.62458400000003"/>
    <m/>
    <n v="4"/>
    <s v="Sale"/>
    <x v="0"/>
    <x v="51"/>
    <x v="0"/>
    <n v="769.5"/>
    <n v="1"/>
    <n v="769.5"/>
    <n v="137.38"/>
    <m/>
    <n v="643.62458400000003"/>
    <n v="125.87541599999997"/>
  </r>
  <r>
    <x v="3"/>
    <x v="56"/>
    <x v="105"/>
    <x v="0"/>
    <n v="1186.93"/>
    <n v="12"/>
    <n v="1186.93"/>
    <n v="1"/>
    <n v="1186.93"/>
    <n v="117.30800000000001"/>
    <n v="121.02200000000001"/>
    <n v="1.0316000000000001"/>
    <n v="1224.4369880000002"/>
    <m/>
    <n v="12"/>
    <s v="Sale"/>
    <x v="0"/>
    <x v="162"/>
    <x v="0"/>
    <n v="210.81473684210528"/>
    <n v="1"/>
    <n v="210.81473684210528"/>
    <n v="-976.11526315789479"/>
    <m/>
    <n v="1224.4369880000002"/>
    <n v="-1013.6222511578949"/>
  </r>
  <r>
    <x v="3"/>
    <x v="56"/>
    <x v="105"/>
    <x v="0"/>
    <n v="698.08"/>
    <n v="7"/>
    <n v="698.08"/>
    <n v="1"/>
    <n v="698.08"/>
    <n v="117.30800000000001"/>
    <n v="121.02200000000001"/>
    <n v="1.0316000000000001"/>
    <n v="720.13932800000009"/>
    <m/>
    <n v="7"/>
    <s v="Sale"/>
    <x v="0"/>
    <x v="162"/>
    <x v="0"/>
    <n v="122.97526315789474"/>
    <n v="1"/>
    <n v="122.97526315789474"/>
    <n v="-575.10473684210524"/>
    <m/>
    <n v="720.13932800000009"/>
    <n v="-597.16406484210529"/>
  </r>
  <r>
    <x v="3"/>
    <x v="170"/>
    <x v="105"/>
    <x v="0"/>
    <n v="192.29142857142855"/>
    <n v="2"/>
    <n v="192.29142857142855"/>
    <n v="1"/>
    <n v="192.29142857142855"/>
    <n v="118.002"/>
    <n v="121.02200000000001"/>
    <n v="1.0255000000000001"/>
    <n v="197.19486000000001"/>
    <m/>
    <n v="2"/>
    <s v="Sale"/>
    <x v="0"/>
    <x v="162"/>
    <x v="0"/>
    <n v="34.950000000000003"/>
    <n v="1"/>
    <n v="34.950000000000003"/>
    <n v="-157.34142857142854"/>
    <m/>
    <n v="197.19486000000001"/>
    <n v="-162.24486000000002"/>
  </r>
  <r>
    <x v="3"/>
    <x v="170"/>
    <x v="105"/>
    <x v="0"/>
    <n v="480.7285714285714"/>
    <n v="5"/>
    <n v="480.7285714285714"/>
    <n v="1"/>
    <n v="480.7285714285714"/>
    <n v="118.002"/>
    <n v="121.02200000000001"/>
    <n v="1.0255000000000001"/>
    <n v="492.98714999999999"/>
    <m/>
    <n v="5"/>
    <s v="Sale"/>
    <x v="0"/>
    <x v="162"/>
    <x v="0"/>
    <n v="87.728703703703701"/>
    <n v="1"/>
    <n v="87.728703703703701"/>
    <n v="-392.99986772486773"/>
    <m/>
    <n v="492.98714999999999"/>
    <n v="-405.25844629629626"/>
  </r>
  <r>
    <x v="3"/>
    <x v="191"/>
    <x v="105"/>
    <x v="0"/>
    <n v="651.39"/>
    <n v="8"/>
    <n v="651.39"/>
    <n v="1"/>
    <n v="651.39"/>
    <n v="118.002"/>
    <n v="121.02200000000001"/>
    <n v="1.0255000000000001"/>
    <n v="668.00044500000001"/>
    <m/>
    <n v="8"/>
    <s v="Sale"/>
    <x v="0"/>
    <x v="162"/>
    <x v="0"/>
    <n v="140.36592592592592"/>
    <n v="1"/>
    <n v="140.36592592592592"/>
    <n v="-511.02407407407406"/>
    <m/>
    <n v="668.00044500000001"/>
    <n v="-527.63451907407409"/>
  </r>
  <r>
    <x v="3"/>
    <x v="171"/>
    <x v="105"/>
    <x v="0"/>
    <n v="649.78"/>
    <n v="8"/>
    <n v="649.78"/>
    <n v="1"/>
    <n v="649.78"/>
    <n v="118.002"/>
    <n v="121.02200000000001"/>
    <n v="1.0255000000000001"/>
    <n v="666.34938999999997"/>
    <m/>
    <n v="8"/>
    <s v="Sale"/>
    <x v="0"/>
    <x v="162"/>
    <x v="0"/>
    <n v="140.36592592592592"/>
    <n v="1"/>
    <n v="140.36592592592592"/>
    <n v="-509.41407407407405"/>
    <m/>
    <n v="666.34938999999997"/>
    <n v="-525.98346407407405"/>
  </r>
  <r>
    <x v="3"/>
    <x v="172"/>
    <x v="105"/>
    <x v="0"/>
    <n v="674.98"/>
    <n v="9"/>
    <n v="674.98"/>
    <n v="1"/>
    <n v="674.98"/>
    <n v="118.002"/>
    <n v="121.02200000000001"/>
    <n v="1.0255000000000001"/>
    <n v="692.19199000000003"/>
    <m/>
    <n v="9"/>
    <s v="Sale"/>
    <x v="0"/>
    <x v="162"/>
    <x v="0"/>
    <n v="157.91166666666666"/>
    <n v="1"/>
    <n v="157.91166666666666"/>
    <n v="-517.06833333333338"/>
    <m/>
    <n v="692.19199000000003"/>
    <n v="-534.2803233333334"/>
  </r>
  <r>
    <x v="3"/>
    <x v="39"/>
    <x v="105"/>
    <x v="0"/>
    <n v="708.7"/>
    <n v="11"/>
    <n v="708.7"/>
    <n v="1"/>
    <n v="708.7"/>
    <n v="118.002"/>
    <n v="121.02200000000001"/>
    <n v="1.0255000000000001"/>
    <n v="726.77185000000009"/>
    <m/>
    <n v="11"/>
    <s v="Sale"/>
    <x v="0"/>
    <x v="162"/>
    <x v="0"/>
    <n v="193.00314814814814"/>
    <n v="1"/>
    <n v="193.00314814814814"/>
    <n v="-515.69685185185187"/>
    <m/>
    <n v="726.77185000000009"/>
    <n v="-533.76870185185192"/>
  </r>
  <r>
    <x v="3"/>
    <x v="39"/>
    <x v="105"/>
    <x v="0"/>
    <n v="193.49"/>
    <n v="3"/>
    <n v="193.49"/>
    <n v="1"/>
    <n v="193.49"/>
    <n v="118.002"/>
    <n v="121.02200000000001"/>
    <n v="1.0255000000000001"/>
    <n v="198.42399500000002"/>
    <m/>
    <n v="3"/>
    <s v="Sale"/>
    <x v="0"/>
    <x v="162"/>
    <x v="0"/>
    <n v="52.637222222222221"/>
    <n v="1"/>
    <n v="52.637222222222221"/>
    <n v="-140.85277777777779"/>
    <m/>
    <n v="198.42399500000002"/>
    <n v="-145.7867727777778"/>
  </r>
  <r>
    <x v="3"/>
    <x v="116"/>
    <x v="105"/>
    <x v="0"/>
    <n v="663.20714285714291"/>
    <n v="10"/>
    <n v="663.20714285714291"/>
    <n v="1"/>
    <n v="663.20714285714291"/>
    <n v="118.002"/>
    <n v="121.02200000000001"/>
    <n v="1.0255000000000001"/>
    <n v="680.1189250000001"/>
    <m/>
    <n v="10"/>
    <s v="Sale"/>
    <x v="0"/>
    <x v="162"/>
    <x v="0"/>
    <n v="175.4574074074074"/>
    <n v="1"/>
    <n v="175.4574074074074"/>
    <n v="-487.74973544973551"/>
    <m/>
    <n v="680.1189250000001"/>
    <n v="-504.6615175925927"/>
  </r>
  <r>
    <x v="3"/>
    <x v="116"/>
    <x v="105"/>
    <x v="0"/>
    <n v="265.28285714285715"/>
    <n v="4"/>
    <n v="265.28285714285715"/>
    <n v="1"/>
    <n v="265.28285714285715"/>
    <n v="118.002"/>
    <n v="121.02200000000001"/>
    <n v="1.0255000000000001"/>
    <n v="272.04757000000001"/>
    <m/>
    <n v="4"/>
    <s v="Sale"/>
    <x v="0"/>
    <x v="163"/>
    <x v="0"/>
    <n v="64.641176470588235"/>
    <n v="1"/>
    <n v="64.641176470588235"/>
    <n v="-200.64168067226893"/>
    <m/>
    <n v="272.04757000000001"/>
    <n v="-207.40639352941179"/>
  </r>
  <r>
    <x v="3"/>
    <x v="117"/>
    <x v="105"/>
    <x v="0"/>
    <n v="606.28"/>
    <n v="10"/>
    <n v="606.28"/>
    <n v="1"/>
    <n v="606.28"/>
    <n v="118.98099999999999"/>
    <n v="121.02200000000001"/>
    <n v="1.0170999999999999"/>
    <n v="616.64738799999986"/>
    <m/>
    <n v="10"/>
    <s v="Sale"/>
    <x v="0"/>
    <x v="163"/>
    <x v="0"/>
    <n v="161.60294117647058"/>
    <n v="1"/>
    <n v="161.60294117647058"/>
    <n v="-444.67705882352936"/>
    <m/>
    <n v="616.64738799999986"/>
    <n v="-455.04444682352926"/>
  </r>
  <r>
    <x v="3"/>
    <x v="131"/>
    <x v="105"/>
    <x v="0"/>
    <n v="638.96"/>
    <n v="18"/>
    <n v="638.96"/>
    <n v="1"/>
    <n v="638.96"/>
    <n v="120.15900000000001"/>
    <n v="121.02200000000001"/>
    <n v="1.0071000000000001"/>
    <n v="643.49661600000013"/>
    <m/>
    <n v="18"/>
    <s v="Sale"/>
    <x v="0"/>
    <x v="163"/>
    <x v="0"/>
    <n v="290.88529411764705"/>
    <n v="1"/>
    <n v="290.88529411764705"/>
    <n v="-348.07470588235299"/>
    <m/>
    <n v="643.49661600000013"/>
    <n v="-352.61132188235308"/>
  </r>
  <r>
    <x v="3"/>
    <x v="132"/>
    <x v="105"/>
    <x v="0"/>
    <n v="633.66"/>
    <n v="16"/>
    <n v="633.66"/>
    <n v="1"/>
    <n v="633.66"/>
    <n v="120.15900000000001"/>
    <n v="121.02200000000001"/>
    <n v="1.0071000000000001"/>
    <n v="638.15898600000003"/>
    <m/>
    <n v="16"/>
    <s v="Sale"/>
    <x v="0"/>
    <x v="163"/>
    <x v="0"/>
    <n v="258.56470588235294"/>
    <n v="1"/>
    <n v="258.56470588235294"/>
    <n v="-375.09529411764703"/>
    <m/>
    <n v="638.15898600000003"/>
    <n v="-379.59428011764709"/>
  </r>
  <r>
    <x v="3"/>
    <x v="176"/>
    <x v="105"/>
    <x v="0"/>
    <n v="860.8"/>
    <n v="20"/>
    <n v="860.8"/>
    <n v="1"/>
    <n v="860.8"/>
    <n v="120.15900000000001"/>
    <n v="121.02200000000001"/>
    <n v="1.0071000000000001"/>
    <n v="866.91168000000005"/>
    <m/>
    <n v="20"/>
    <s v="Sale"/>
    <x v="0"/>
    <x v="163"/>
    <x v="0"/>
    <n v="323.20588235294116"/>
    <n v="1"/>
    <n v="323.20588235294116"/>
    <n v="-537.59411764705874"/>
    <m/>
    <n v="866.91168000000005"/>
    <n v="-543.70579764705894"/>
  </r>
  <r>
    <x v="3"/>
    <x v="47"/>
    <x v="106"/>
    <x v="0"/>
    <n v="5912.64"/>
    <n v="36"/>
    <n v="5912.64"/>
    <n v="1"/>
    <n v="5912.64"/>
    <n v="116.884"/>
    <n v="120.15900000000001"/>
    <n v="1.028"/>
    <n v="6078.1939200000006"/>
    <m/>
    <n v="36"/>
    <s v="Sale"/>
    <x v="0"/>
    <x v="25"/>
    <x v="0"/>
    <n v="2891.99"/>
    <n v="1"/>
    <n v="2891.99"/>
    <n v="-3020.6500000000005"/>
    <m/>
    <n v="6078.1939200000006"/>
    <n v="-3186.2039200000008"/>
  </r>
  <r>
    <x v="3"/>
    <x v="47"/>
    <x v="106"/>
    <x v="0"/>
    <n v="6569.6"/>
    <n v="40"/>
    <n v="6569.6"/>
    <n v="1"/>
    <n v="6569.6"/>
    <n v="116.884"/>
    <n v="120.15900000000001"/>
    <n v="1.028"/>
    <n v="6753.5488000000005"/>
    <m/>
    <n v="40"/>
    <s v="Sale"/>
    <x v="0"/>
    <x v="25"/>
    <x v="0"/>
    <n v="3154.3764705882354"/>
    <n v="1"/>
    <n v="3154.3764705882354"/>
    <n v="-3415.223529411765"/>
    <m/>
    <n v="6753.5488000000005"/>
    <n v="-3599.1723294117651"/>
  </r>
  <r>
    <x v="3"/>
    <x v="141"/>
    <x v="106"/>
    <x v="0"/>
    <n v="1378.68"/>
    <n v="11"/>
    <n v="1378.68"/>
    <n v="1"/>
    <n v="1378.68"/>
    <n v="117.30800000000001"/>
    <n v="120.15900000000001"/>
    <n v="1.0243"/>
    <n v="1412.181924"/>
    <m/>
    <n v="11"/>
    <s v="Sale"/>
    <x v="0"/>
    <x v="25"/>
    <x v="0"/>
    <n v="867.45352941176475"/>
    <n v="1"/>
    <n v="867.45352941176475"/>
    <n v="-511.22647058823532"/>
    <m/>
    <n v="1412.181924"/>
    <n v="-544.72839458823523"/>
  </r>
  <r>
    <x v="2"/>
    <x v="6"/>
    <x v="4"/>
    <x v="1"/>
    <m/>
    <n v="0"/>
    <n v="0"/>
    <n v="0"/>
    <n v="0"/>
    <n v="0"/>
    <n v="0"/>
    <n v="0"/>
    <n v="0"/>
    <m/>
    <m/>
    <m/>
    <x v="1"/>
    <x v="7"/>
    <x v="1"/>
    <m/>
    <n v="0"/>
    <n v="0"/>
    <n v="0"/>
    <m/>
    <n v="0"/>
    <n v="0"/>
  </r>
  <r>
    <x v="3"/>
    <x v="47"/>
    <x v="107"/>
    <x v="0"/>
    <n v="1073.21"/>
    <n v="17"/>
    <n v="1073.21"/>
    <n v="1"/>
    <n v="1073.21"/>
    <n v="116.884"/>
    <n v="118.98099999999999"/>
    <n v="1.0179"/>
    <n v="1092.4204590000002"/>
    <m/>
    <n v="17"/>
    <s v="Sale"/>
    <x v="0"/>
    <x v="164"/>
    <x v="0"/>
    <n v="809"/>
    <n v="1"/>
    <n v="809"/>
    <n v="-264.21000000000004"/>
    <m/>
    <n v="1092.4204590000002"/>
    <n v="-283.42045900000016"/>
  </r>
  <r>
    <x v="3"/>
    <x v="47"/>
    <x v="107"/>
    <x v="0"/>
    <n v="126.26"/>
    <n v="2"/>
    <n v="126.26"/>
    <n v="1"/>
    <n v="126.26"/>
    <n v="116.884"/>
    <n v="118.98099999999999"/>
    <n v="1.0179"/>
    <n v="128.52005400000002"/>
    <m/>
    <n v="2"/>
    <s v="Sale"/>
    <x v="0"/>
    <x v="164"/>
    <x v="0"/>
    <n v="94.92"/>
    <n v="1"/>
    <n v="94.92"/>
    <n v="-31.340000000000003"/>
    <m/>
    <n v="128.52005400000002"/>
    <n v="-33.600054000000014"/>
  </r>
  <r>
    <x v="3"/>
    <x v="47"/>
    <x v="107"/>
    <x v="0"/>
    <n v="189.39000000000001"/>
    <n v="3"/>
    <n v="189.39000000000001"/>
    <n v="1"/>
    <n v="189.39000000000001"/>
    <n v="116.884"/>
    <n v="118.98099999999999"/>
    <n v="1.0179"/>
    <n v="192.78008100000002"/>
    <m/>
    <n v="3"/>
    <s v="Sale"/>
    <x v="0"/>
    <x v="164"/>
    <x v="0"/>
    <n v="142.35"/>
    <n v="1"/>
    <n v="142.35"/>
    <n v="-47.04000000000002"/>
    <m/>
    <n v="192.78008100000002"/>
    <n v="-50.43008100000003"/>
  </r>
  <r>
    <x v="3"/>
    <x v="47"/>
    <x v="107"/>
    <x v="0"/>
    <n v="252.52"/>
    <n v="4"/>
    <n v="252.52"/>
    <n v="1"/>
    <n v="252.52"/>
    <n v="116.884"/>
    <n v="118.98099999999999"/>
    <n v="1.0179"/>
    <n v="257.04010800000003"/>
    <m/>
    <n v="4"/>
    <s v="Sale"/>
    <x v="0"/>
    <x v="164"/>
    <x v="0"/>
    <n v="191.06"/>
    <n v="1"/>
    <n v="191.06"/>
    <n v="-61.460000000000008"/>
    <m/>
    <n v="257.04010800000003"/>
    <n v="-65.98010800000003"/>
  </r>
  <r>
    <x v="3"/>
    <x v="47"/>
    <x v="107"/>
    <x v="0"/>
    <n v="694.43000000000006"/>
    <n v="11"/>
    <n v="694.43000000000006"/>
    <n v="1"/>
    <n v="694.43000000000006"/>
    <n v="116.884"/>
    <n v="118.98099999999999"/>
    <n v="1.0179"/>
    <n v="706.86029700000006"/>
    <m/>
    <n v="11"/>
    <s v="Sale"/>
    <x v="0"/>
    <x v="165"/>
    <x v="0"/>
    <n v="527.76"/>
    <n v="1"/>
    <n v="527.76"/>
    <n v="-166.67000000000007"/>
    <m/>
    <n v="706.86029700000006"/>
    <n v="-179.10029700000007"/>
  </r>
  <r>
    <x v="3"/>
    <x v="47"/>
    <x v="107"/>
    <x v="0"/>
    <n v="883.82"/>
    <n v="14"/>
    <n v="883.82"/>
    <n v="1"/>
    <n v="883.82"/>
    <n v="116.884"/>
    <n v="120.15900000000001"/>
    <n v="1.028"/>
    <n v="908.56696000000011"/>
    <m/>
    <n v="14"/>
    <s v="Sale"/>
    <x v="0"/>
    <x v="166"/>
    <x v="0"/>
    <n v="648"/>
    <n v="1"/>
    <n v="648"/>
    <n v="-235.82000000000005"/>
    <m/>
    <n v="908.56696000000011"/>
    <n v="-260.56696000000011"/>
  </r>
  <r>
    <x v="3"/>
    <x v="47"/>
    <x v="107"/>
    <x v="0"/>
    <n v="1641.38"/>
    <n v="26"/>
    <n v="1641.38"/>
    <n v="1"/>
    <n v="1641.38"/>
    <n v="116.884"/>
    <n v="120.15900000000001"/>
    <n v="1.028"/>
    <n v="1687.3386400000002"/>
    <m/>
    <n v="26"/>
    <s v="Sale"/>
    <x v="0"/>
    <x v="4"/>
    <x v="0"/>
    <n v="1294.93"/>
    <n v="1"/>
    <n v="1294.93"/>
    <n v="-346.45000000000005"/>
    <m/>
    <n v="1687.3386400000002"/>
    <n v="-392.4086400000001"/>
  </r>
  <r>
    <x v="3"/>
    <x v="47"/>
    <x v="107"/>
    <x v="0"/>
    <n v="2020.16"/>
    <n v="32"/>
    <n v="2020.16"/>
    <n v="1"/>
    <n v="2020.16"/>
    <n v="116.884"/>
    <n v="120.15900000000001"/>
    <n v="1.028"/>
    <n v="2076.7244800000003"/>
    <m/>
    <n v="32"/>
    <s v="Sale"/>
    <x v="0"/>
    <x v="167"/>
    <x v="0"/>
    <n v="2063.79"/>
    <n v="1"/>
    <n v="2063.79"/>
    <n v="43.629999999999882"/>
    <m/>
    <n v="2076.7244800000003"/>
    <n v="-12.934480000000349"/>
  </r>
  <r>
    <x v="3"/>
    <x v="47"/>
    <x v="107"/>
    <x v="0"/>
    <n v="2272.6800000000003"/>
    <n v="36"/>
    <n v="2272.6800000000003"/>
    <n v="1"/>
    <n v="2272.6800000000003"/>
    <n v="116.884"/>
    <n v="120.15900000000001"/>
    <n v="1.028"/>
    <n v="2336.3150400000004"/>
    <m/>
    <n v="36"/>
    <s v="Sale"/>
    <x v="0"/>
    <x v="57"/>
    <x v="0"/>
    <n v="2322.2745762711866"/>
    <n v="1"/>
    <n v="2322.2745762711866"/>
    <n v="49.59457627118627"/>
    <m/>
    <n v="2336.3150400000004"/>
    <n v="-14.040463728813847"/>
  </r>
  <r>
    <x v="3"/>
    <x v="192"/>
    <x v="107"/>
    <x v="0"/>
    <n v="82.78"/>
    <n v="2"/>
    <n v="82.78"/>
    <n v="1"/>
    <n v="82.78"/>
    <n v="116.884"/>
    <n v="120.15900000000001"/>
    <n v="1.028"/>
    <n v="85.097840000000005"/>
    <m/>
    <n v="2"/>
    <s v="Sale"/>
    <x v="0"/>
    <x v="57"/>
    <x v="0"/>
    <n v="129.01525423728813"/>
    <n v="1"/>
    <n v="129.01525423728813"/>
    <n v="46.235254237288132"/>
    <m/>
    <n v="85.097840000000005"/>
    <n v="43.917414237288128"/>
  </r>
  <r>
    <x v="3"/>
    <x v="192"/>
    <x v="107"/>
    <x v="0"/>
    <n v="673.91"/>
    <n v="16"/>
    <n v="673.91"/>
    <n v="1"/>
    <n v="673.91"/>
    <n v="116.884"/>
    <n v="120.15900000000001"/>
    <n v="1.028"/>
    <n v="692.77948000000004"/>
    <m/>
    <n v="16"/>
    <s v="Sale"/>
    <x v="0"/>
    <x v="57"/>
    <x v="0"/>
    <n v="1032.1220338983051"/>
    <n v="1"/>
    <n v="1032.1220338983051"/>
    <n v="358.21203389830509"/>
    <m/>
    <n v="692.77948000000004"/>
    <n v="339.34255389830503"/>
  </r>
  <r>
    <x v="3"/>
    <x v="192"/>
    <x v="107"/>
    <x v="0"/>
    <n v="41.3"/>
    <n v="1"/>
    <n v="41.3"/>
    <n v="1"/>
    <n v="41.3"/>
    <n v="116.884"/>
    <n v="120.15900000000001"/>
    <n v="1.028"/>
    <n v="42.456399999999995"/>
    <m/>
    <n v="1"/>
    <s v="Sale"/>
    <x v="0"/>
    <x v="57"/>
    <x v="0"/>
    <n v="64.507627118644066"/>
    <n v="1"/>
    <n v="64.507627118644066"/>
    <n v="23.207627118644069"/>
    <m/>
    <n v="42.456399999999995"/>
    <n v="22.051227118644071"/>
  </r>
  <r>
    <x v="3"/>
    <x v="192"/>
    <x v="107"/>
    <x v="0"/>
    <n v="166.3"/>
    <n v="4"/>
    <n v="166.3"/>
    <n v="1"/>
    <n v="166.3"/>
    <n v="116.884"/>
    <n v="120.15900000000001"/>
    <n v="1.028"/>
    <n v="170.9564"/>
    <m/>
    <n v="4"/>
    <s v="Sale"/>
    <x v="0"/>
    <x v="57"/>
    <x v="0"/>
    <n v="258.03050847457627"/>
    <n v="1"/>
    <n v="258.03050847457627"/>
    <n v="91.730508474576254"/>
    <m/>
    <n v="170.9564"/>
    <n v="87.074108474576263"/>
  </r>
  <r>
    <x v="3"/>
    <x v="141"/>
    <x v="108"/>
    <x v="0"/>
    <n v="380.45499999999998"/>
    <n v="1"/>
    <n v="380.45499999999998"/>
    <n v="1"/>
    <n v="380.45499999999998"/>
    <n v="117.30800000000001"/>
    <n v="120.15900000000001"/>
    <n v="1.0243"/>
    <n v="389.70005649999996"/>
    <m/>
    <n v="1"/>
    <s v="Sale"/>
    <x v="0"/>
    <x v="25"/>
    <x v="0"/>
    <n v="238.65"/>
    <n v="1"/>
    <n v="238.65"/>
    <n v="-141.80499999999998"/>
    <m/>
    <n v="389.70005649999996"/>
    <n v="-151.05005649999995"/>
  </r>
  <r>
    <x v="3"/>
    <x v="141"/>
    <x v="108"/>
    <x v="0"/>
    <n v="380.45499999999998"/>
    <n v="1"/>
    <n v="380.45499999999998"/>
    <n v="1"/>
    <n v="380.45499999999998"/>
    <n v="117.30800000000001"/>
    <n v="120.15900000000001"/>
    <n v="1.0243"/>
    <n v="389.70005649999996"/>
    <m/>
    <n v="1"/>
    <s v="Sale"/>
    <x v="0"/>
    <x v="25"/>
    <x v="0"/>
    <n v="243.39"/>
    <n v="1"/>
    <n v="243.39"/>
    <n v="-137.065"/>
    <m/>
    <n v="389.70005649999996"/>
    <n v="-146.31005649999997"/>
  </r>
  <r>
    <x v="3"/>
    <x v="141"/>
    <x v="108"/>
    <x v="0"/>
    <n v="760.91"/>
    <n v="2"/>
    <n v="760.91"/>
    <n v="1"/>
    <n v="760.91"/>
    <n v="117.30800000000001"/>
    <n v="120.15900000000001"/>
    <n v="1.0243"/>
    <n v="779.40011299999992"/>
    <m/>
    <n v="2"/>
    <s v="Sale"/>
    <x v="0"/>
    <x v="25"/>
    <x v="0"/>
    <n v="480.13000000000005"/>
    <n v="1"/>
    <n v="480.13000000000005"/>
    <n v="-280.77999999999992"/>
    <m/>
    <n v="779.40011299999992"/>
    <n v="-299.27011299999987"/>
  </r>
  <r>
    <x v="3"/>
    <x v="55"/>
    <x v="108"/>
    <x v="0"/>
    <n v="372.07"/>
    <n v="1"/>
    <n v="372.07"/>
    <n v="1"/>
    <n v="372.07"/>
    <n v="117.30800000000001"/>
    <n v="120.15900000000001"/>
    <n v="1.0243"/>
    <n v="381.11130099999997"/>
    <m/>
    <n v="1"/>
    <s v="Sale"/>
    <x v="0"/>
    <x v="25"/>
    <x v="0"/>
    <n v="240.06500000000003"/>
    <n v="1"/>
    <n v="240.06500000000003"/>
    <n v="-132.00499999999997"/>
    <m/>
    <n v="381.11130099999997"/>
    <n v="-141.04630099999994"/>
  </r>
  <r>
    <x v="3"/>
    <x v="55"/>
    <x v="108"/>
    <x v="0"/>
    <n v="371.82"/>
    <n v="1"/>
    <n v="371.82"/>
    <n v="1"/>
    <n v="371.82"/>
    <n v="117.30800000000001"/>
    <n v="120.15900000000001"/>
    <n v="1.0243"/>
    <n v="380.85522600000002"/>
    <m/>
    <n v="1"/>
    <s v="Sale"/>
    <x v="0"/>
    <x v="25"/>
    <x v="0"/>
    <n v="240.06500000000003"/>
    <n v="1"/>
    <n v="240.06500000000003"/>
    <n v="-131.75499999999997"/>
    <m/>
    <n v="380.85522600000002"/>
    <n v="-140.79022599999999"/>
  </r>
  <r>
    <x v="3"/>
    <x v="4"/>
    <x v="108"/>
    <x v="0"/>
    <n v="693.82"/>
    <n v="2"/>
    <n v="693.82"/>
    <n v="1"/>
    <n v="693.82"/>
    <n v="117.30800000000001"/>
    <n v="120.15900000000001"/>
    <n v="1.0243"/>
    <n v="710.67982600000005"/>
    <m/>
    <n v="2"/>
    <s v="Sale"/>
    <x v="0"/>
    <x v="25"/>
    <x v="0"/>
    <n v="480.13000000000005"/>
    <n v="1"/>
    <n v="480.13000000000005"/>
    <n v="-213.69"/>
    <m/>
    <n v="710.67982600000005"/>
    <n v="-230.549826"/>
  </r>
  <r>
    <x v="3"/>
    <x v="188"/>
    <x v="108"/>
    <x v="0"/>
    <n v="687.55"/>
    <n v="2"/>
    <n v="687.55"/>
    <n v="1"/>
    <n v="687.55"/>
    <n v="117.30800000000001"/>
    <n v="120.15900000000001"/>
    <n v="1.0243"/>
    <n v="704.25746499999991"/>
    <m/>
    <n v="2"/>
    <s v="Sale"/>
    <x v="0"/>
    <x v="25"/>
    <x v="0"/>
    <n v="492.41500000000002"/>
    <n v="1"/>
    <n v="492.41500000000002"/>
    <n v="-195.13499999999993"/>
    <m/>
    <n v="704.25746499999991"/>
    <n v="-211.84246499999989"/>
  </r>
  <r>
    <x v="3"/>
    <x v="115"/>
    <x v="108"/>
    <x v="0"/>
    <n v="775.27"/>
    <n v="2"/>
    <n v="775.27"/>
    <n v="1"/>
    <n v="775.27"/>
    <n v="117.30800000000001"/>
    <n v="120.15900000000001"/>
    <n v="1.0243"/>
    <n v="794.109061"/>
    <m/>
    <n v="2"/>
    <s v="Sale"/>
    <x v="0"/>
    <x v="25"/>
    <x v="0"/>
    <n v="492.41500000000002"/>
    <n v="1"/>
    <n v="492.41500000000002"/>
    <n v="-282.85499999999996"/>
    <m/>
    <n v="794.109061"/>
    <n v="-301.69406099999998"/>
  </r>
  <r>
    <x v="3"/>
    <x v="193"/>
    <x v="108"/>
    <x v="0"/>
    <n v="1183.0999999999999"/>
    <n v="3"/>
    <n v="1183.0999999999999"/>
    <n v="1"/>
    <n v="1183.0999999999999"/>
    <n v="117.30800000000001"/>
    <n v="120.15900000000001"/>
    <n v="1.0243"/>
    <n v="1211.8493299999998"/>
    <m/>
    <n v="3"/>
    <s v="Sale"/>
    <x v="0"/>
    <x v="25"/>
    <x v="0"/>
    <n v="738.62250000000006"/>
    <n v="1"/>
    <n v="738.62250000000006"/>
    <n v="-444.47749999999985"/>
    <m/>
    <n v="1211.8493299999998"/>
    <n v="-473.22682999999972"/>
  </r>
  <r>
    <x v="3"/>
    <x v="170"/>
    <x v="108"/>
    <x v="0"/>
    <n v="356.55500000000001"/>
    <n v="1"/>
    <n v="356.55500000000001"/>
    <n v="1"/>
    <n v="356.55500000000001"/>
    <n v="118.002"/>
    <n v="120.15900000000001"/>
    <n v="1.0182"/>
    <n v="363.04430100000002"/>
    <m/>
    <n v="1"/>
    <s v="Sale"/>
    <x v="0"/>
    <x v="25"/>
    <x v="0"/>
    <n v="246.20750000000001"/>
    <n v="1"/>
    <n v="246.20750000000001"/>
    <n v="-110.3475"/>
    <m/>
    <n v="363.04430100000002"/>
    <n v="-116.83680100000001"/>
  </r>
  <r>
    <x v="3"/>
    <x v="170"/>
    <x v="108"/>
    <x v="0"/>
    <n v="356.55500000000001"/>
    <n v="1"/>
    <n v="356.55500000000001"/>
    <n v="1"/>
    <n v="356.55500000000001"/>
    <n v="118.002"/>
    <n v="120.15900000000001"/>
    <n v="1.0182"/>
    <n v="363.04430100000002"/>
    <m/>
    <n v="1"/>
    <s v="Sale"/>
    <x v="0"/>
    <x v="60"/>
    <x v="0"/>
    <n v="240.1"/>
    <n v="1"/>
    <n v="240.1"/>
    <n v="-116.45500000000001"/>
    <m/>
    <n v="363.04430100000002"/>
    <n v="-122.94430100000002"/>
  </r>
  <r>
    <x v="3"/>
    <x v="171"/>
    <x v="109"/>
    <x v="0"/>
    <n v="1146.5333333333333"/>
    <n v="2"/>
    <n v="1146.5333333333333"/>
    <n v="1"/>
    <n v="1146.5333333333333"/>
    <n v="118.002"/>
    <n v="120.15900000000001"/>
    <n v="1.0182"/>
    <n v="1167.4002399999999"/>
    <m/>
    <n v="2"/>
    <s v="Sale"/>
    <x v="0"/>
    <x v="4"/>
    <x v="0"/>
    <n v="496.06"/>
    <n v="1"/>
    <n v="496.06"/>
    <n v="-650.47333333333336"/>
    <m/>
    <n v="1167.4002399999999"/>
    <n v="-671.34023999999999"/>
  </r>
  <r>
    <x v="3"/>
    <x v="171"/>
    <x v="109"/>
    <x v="0"/>
    <n v="573.26666666666665"/>
    <n v="1"/>
    <n v="573.26666666666665"/>
    <n v="1"/>
    <n v="573.26666666666665"/>
    <n v="118.002"/>
    <n v="120.15900000000001"/>
    <n v="1.0182"/>
    <n v="583.70011999999997"/>
    <m/>
    <n v="1"/>
    <s v="Sale"/>
    <x v="0"/>
    <x v="51"/>
    <x v="0"/>
    <n v="183.405"/>
    <n v="1"/>
    <n v="183.405"/>
    <n v="-389.86166666666668"/>
    <m/>
    <n v="583.70011999999997"/>
    <n v="-400.29512"/>
  </r>
  <r>
    <x v="3"/>
    <x v="172"/>
    <x v="109"/>
    <x v="0"/>
    <n v="554.48"/>
    <n v="1"/>
    <n v="554.48"/>
    <n v="1"/>
    <n v="554.48"/>
    <n v="118.002"/>
    <n v="120.15900000000001"/>
    <n v="1.0182"/>
    <n v="564.57153600000004"/>
    <m/>
    <n v="1"/>
    <s v="Sale"/>
    <x v="0"/>
    <x v="51"/>
    <x v="0"/>
    <n v="183.405"/>
    <n v="1"/>
    <n v="183.405"/>
    <n v="-371.07500000000005"/>
    <m/>
    <n v="564.57153600000004"/>
    <n v="-381.16653600000006"/>
  </r>
  <r>
    <x v="3"/>
    <x v="172"/>
    <x v="109"/>
    <x v="0"/>
    <n v="565.63"/>
    <n v="1"/>
    <n v="565.63"/>
    <n v="1"/>
    <n v="565.63"/>
    <n v="118.002"/>
    <n v="120.15900000000001"/>
    <n v="1.0182"/>
    <n v="575.92446599999994"/>
    <m/>
    <n v="1"/>
    <s v="Sale"/>
    <x v="0"/>
    <x v="5"/>
    <x v="0"/>
    <n v="178.15"/>
    <n v="1"/>
    <n v="178.15"/>
    <n v="-387.48"/>
    <m/>
    <n v="575.92446599999994"/>
    <n v="-397.77446599999996"/>
  </r>
  <r>
    <x v="3"/>
    <x v="172"/>
    <x v="109"/>
    <x v="0"/>
    <n v="554.47500000000002"/>
    <n v="1"/>
    <n v="554.47500000000002"/>
    <n v="1"/>
    <n v="554.47500000000002"/>
    <n v="118.002"/>
    <n v="120.15900000000001"/>
    <n v="1.0182"/>
    <n v="564.56644500000004"/>
    <m/>
    <n v="1"/>
    <s v="Sale"/>
    <x v="0"/>
    <x v="5"/>
    <x v="0"/>
    <n v="178.15"/>
    <n v="1"/>
    <n v="178.15"/>
    <n v="-376.32500000000005"/>
    <m/>
    <n v="564.56644500000004"/>
    <n v="-386.41644500000007"/>
  </r>
  <r>
    <x v="3"/>
    <x v="172"/>
    <x v="109"/>
    <x v="0"/>
    <n v="554.47500000000002"/>
    <n v="1"/>
    <n v="554.47500000000002"/>
    <n v="1"/>
    <n v="554.47500000000002"/>
    <n v="118.002"/>
    <n v="120.15900000000001"/>
    <n v="1.0182"/>
    <n v="564.56644500000004"/>
    <m/>
    <n v="1"/>
    <s v="Sale"/>
    <x v="0"/>
    <x v="5"/>
    <x v="0"/>
    <n v="187.42"/>
    <n v="1"/>
    <n v="187.42"/>
    <n v="-367.05500000000006"/>
    <m/>
    <n v="564.56644500000004"/>
    <n v="-377.14644500000009"/>
  </r>
  <r>
    <x v="3"/>
    <x v="18"/>
    <x v="109"/>
    <x v="0"/>
    <n v="1020.14"/>
    <n v="2"/>
    <n v="1020.14"/>
    <n v="1"/>
    <n v="1020.14"/>
    <n v="118.002"/>
    <n v="120.15900000000001"/>
    <n v="1.0182"/>
    <n v="1038.7065479999999"/>
    <m/>
    <n v="2"/>
    <s v="Sale"/>
    <x v="0"/>
    <x v="5"/>
    <x v="0"/>
    <n v="354.56"/>
    <n v="1"/>
    <n v="354.56"/>
    <n v="-665.57999999999993"/>
    <m/>
    <n v="1038.7065479999999"/>
    <n v="-684.14654799999994"/>
  </r>
  <r>
    <x v="3"/>
    <x v="39"/>
    <x v="109"/>
    <x v="0"/>
    <n v="506.18"/>
    <n v="1"/>
    <n v="506.18"/>
    <n v="1"/>
    <n v="506.18"/>
    <n v="118.002"/>
    <n v="120.15900000000001"/>
    <n v="1.0182"/>
    <n v="515.39247599999999"/>
    <m/>
    <n v="1"/>
    <s v="Sale"/>
    <x v="0"/>
    <x v="5"/>
    <x v="0"/>
    <n v="177.28"/>
    <n v="1"/>
    <n v="177.28"/>
    <n v="-328.9"/>
    <m/>
    <n v="515.39247599999999"/>
    <n v="-338.11247600000002"/>
  </r>
  <r>
    <x v="3"/>
    <x v="47"/>
    <x v="110"/>
    <x v="0"/>
    <n v="1557.8200000000002"/>
    <n v="22"/>
    <n v="1557.8200000000002"/>
    <n v="1"/>
    <n v="1557.8200000000002"/>
    <n v="116.884"/>
    <n v="118.98099999999999"/>
    <n v="1.0179"/>
    <n v="1585.7049780000002"/>
    <m/>
    <n v="22"/>
    <s v="Sale"/>
    <x v="0"/>
    <x v="28"/>
    <x v="0"/>
    <n v="1986.22"/>
    <n v="1"/>
    <n v="1986.22"/>
    <n v="428.39999999999986"/>
    <m/>
    <n v="1585.7049780000002"/>
    <n v="400.51502199999982"/>
  </r>
  <r>
    <x v="3"/>
    <x v="47"/>
    <x v="110"/>
    <x v="0"/>
    <n v="2832.4"/>
    <n v="40"/>
    <n v="2832.4"/>
    <n v="1"/>
    <n v="2832.4"/>
    <n v="116.884"/>
    <n v="120.15900000000001"/>
    <n v="1.028"/>
    <n v="2911.7072000000003"/>
    <m/>
    <n v="40"/>
    <s v="Sale"/>
    <x v="0"/>
    <x v="168"/>
    <x v="0"/>
    <n v="3117.88"/>
    <n v="1"/>
    <n v="3117.88"/>
    <n v="285.48"/>
    <m/>
    <n v="2911.7072000000003"/>
    <n v="206.17279999999982"/>
  </r>
  <r>
    <x v="3"/>
    <x v="47"/>
    <x v="110"/>
    <x v="0"/>
    <n v="566.48"/>
    <n v="8"/>
    <n v="566.48"/>
    <n v="1"/>
    <n v="566.48"/>
    <n v="116.884"/>
    <n v="120.15900000000001"/>
    <n v="1.028"/>
    <n v="582.34144000000003"/>
    <m/>
    <n v="8"/>
    <s v="Sale"/>
    <x v="0"/>
    <x v="65"/>
    <x v="0"/>
    <n v="658.69037037037037"/>
    <n v="1"/>
    <n v="658.69037037037037"/>
    <n v="92.210370370370356"/>
    <m/>
    <n v="582.34144000000003"/>
    <n v="76.34893037037034"/>
  </r>
  <r>
    <x v="3"/>
    <x v="49"/>
    <x v="110"/>
    <x v="0"/>
    <n v="1419.8959090909091"/>
    <n v="19"/>
    <n v="1419.8959090909091"/>
    <n v="1"/>
    <n v="1419.8959090909091"/>
    <n v="116.884"/>
    <n v="120.15900000000001"/>
    <n v="1.028"/>
    <n v="1459.6529945454545"/>
    <m/>
    <n v="19"/>
    <s v="Sale"/>
    <x v="0"/>
    <x v="65"/>
    <x v="0"/>
    <n v="1564.3896296296296"/>
    <n v="1"/>
    <n v="1564.3896296296296"/>
    <n v="144.49372053872048"/>
    <m/>
    <n v="1459.6529945454545"/>
    <n v="104.73663508417508"/>
  </r>
  <r>
    <x v="3"/>
    <x v="49"/>
    <x v="110"/>
    <x v="0"/>
    <n v="224.1940909090909"/>
    <n v="3"/>
    <n v="224.1940909090909"/>
    <n v="1"/>
    <n v="224.1940909090909"/>
    <n v="116.884"/>
    <n v="120.809"/>
    <n v="1.0335000000000001"/>
    <n v="231.70459295454546"/>
    <m/>
    <n v="3"/>
    <s v="Sale"/>
    <x v="0"/>
    <x v="48"/>
    <x v="0"/>
    <n v="223.7581395348837"/>
    <n v="1"/>
    <n v="223.7581395348837"/>
    <n v="-0.43595137420720675"/>
    <m/>
    <n v="231.70459295454546"/>
    <n v="-7.9464534196617649"/>
  </r>
  <r>
    <x v="3"/>
    <x v="50"/>
    <x v="110"/>
    <x v="0"/>
    <n v="1720.3"/>
    <n v="23"/>
    <n v="1720.3"/>
    <n v="1"/>
    <n v="1720.3"/>
    <n v="116.884"/>
    <n v="120.809"/>
    <n v="1.0335000000000001"/>
    <n v="1777.9300500000002"/>
    <m/>
    <n v="23"/>
    <s v="Sale"/>
    <x v="0"/>
    <x v="48"/>
    <x v="0"/>
    <n v="1715.4790697674416"/>
    <n v="1"/>
    <n v="1715.4790697674416"/>
    <n v="-4.8209302325583394"/>
    <m/>
    <n v="1777.9300500000002"/>
    <n v="-62.45098023255855"/>
  </r>
  <r>
    <x v="3"/>
    <x v="53"/>
    <x v="110"/>
    <x v="0"/>
    <n v="1300"/>
    <n v="17"/>
    <n v="1300"/>
    <n v="1"/>
    <n v="1300"/>
    <n v="116.884"/>
    <n v="120.809"/>
    <n v="1.0335000000000001"/>
    <n v="1343.5500000000002"/>
    <m/>
    <n v="17"/>
    <s v="Sale"/>
    <x v="0"/>
    <x v="48"/>
    <x v="0"/>
    <n v="1267.9627906976743"/>
    <n v="1"/>
    <n v="1267.9627906976743"/>
    <n v="-32.037209302325664"/>
    <m/>
    <n v="1343.5500000000002"/>
    <n v="-75.587209302325846"/>
  </r>
  <r>
    <x v="3"/>
    <x v="188"/>
    <x v="111"/>
    <x v="0"/>
    <n v="1366.6"/>
    <n v="6"/>
    <n v="1366.6"/>
    <n v="1"/>
    <n v="1366.6"/>
    <n v="117.30800000000001"/>
    <n v="118.98099999999999"/>
    <n v="1.0142"/>
    <n v="1386.0057199999999"/>
    <m/>
    <n v="6"/>
    <s v="Sale"/>
    <x v="0"/>
    <x v="28"/>
    <x v="0"/>
    <n v="676.69384615384615"/>
    <n v="1"/>
    <n v="676.69384615384615"/>
    <n v="-689.90615384615376"/>
    <m/>
    <n v="1386.0057199999999"/>
    <n v="-709.31187384615373"/>
  </r>
  <r>
    <x v="3"/>
    <x v="114"/>
    <x v="111"/>
    <x v="0"/>
    <n v="1151.51"/>
    <n v="5"/>
    <n v="1151.51"/>
    <n v="1"/>
    <n v="1151.51"/>
    <n v="117.30800000000001"/>
    <n v="118.98099999999999"/>
    <n v="1.0142"/>
    <n v="1167.8614419999999"/>
    <m/>
    <n v="5"/>
    <s v="Sale"/>
    <x v="0"/>
    <x v="28"/>
    <x v="0"/>
    <n v="563.9115384615385"/>
    <n v="1"/>
    <n v="563.9115384615385"/>
    <n v="-587.59846153846149"/>
    <m/>
    <n v="1167.8614419999999"/>
    <n v="-603.9499035384614"/>
  </r>
  <r>
    <x v="3"/>
    <x v="114"/>
    <x v="111"/>
    <x v="0"/>
    <n v="931.14"/>
    <n v="4"/>
    <n v="931.14"/>
    <n v="1"/>
    <n v="931.14"/>
    <n v="117.30800000000001"/>
    <n v="118.98099999999999"/>
    <n v="1.0142"/>
    <n v="944.36218799999995"/>
    <m/>
    <n v="4"/>
    <s v="Sale"/>
    <x v="0"/>
    <x v="28"/>
    <x v="0"/>
    <n v="451.12923076923079"/>
    <n v="1"/>
    <n v="451.12923076923079"/>
    <n v="-480.0107692307692"/>
    <m/>
    <n v="944.36218799999995"/>
    <n v="-493.23295723076916"/>
  </r>
  <r>
    <x v="3"/>
    <x v="193"/>
    <x v="111"/>
    <x v="0"/>
    <n v="1157.3900000000001"/>
    <n v="5"/>
    <n v="1157.3900000000001"/>
    <n v="1"/>
    <n v="1157.3900000000001"/>
    <n v="117.30800000000001"/>
    <n v="118.98099999999999"/>
    <n v="1.0142"/>
    <n v="1173.8249380000002"/>
    <m/>
    <n v="5"/>
    <s v="Sale"/>
    <x v="0"/>
    <x v="28"/>
    <x v="0"/>
    <n v="563.9115384615385"/>
    <n v="1"/>
    <n v="563.9115384615385"/>
    <n v="-593.4784615384616"/>
    <m/>
    <n v="1173.8249380000002"/>
    <n v="-609.9133995384617"/>
  </r>
  <r>
    <x v="3"/>
    <x v="59"/>
    <x v="111"/>
    <x v="0"/>
    <n v="1095.6300000000001"/>
    <n v="6"/>
    <n v="1095.6300000000001"/>
    <n v="1"/>
    <n v="1095.6300000000001"/>
    <n v="118.002"/>
    <n v="118.98099999999999"/>
    <n v="1.0082"/>
    <n v="1104.6141660000001"/>
    <m/>
    <n v="6"/>
    <s v="Sale"/>
    <x v="0"/>
    <x v="28"/>
    <x v="0"/>
    <n v="676.69384615384615"/>
    <n v="1"/>
    <n v="676.69384615384615"/>
    <n v="-418.93615384615396"/>
    <m/>
    <n v="1104.6141660000001"/>
    <n v="-427.92031984615392"/>
  </r>
  <r>
    <x v="3"/>
    <x v="96"/>
    <x v="112"/>
    <x v="0"/>
    <n v="74.838888888888889"/>
    <n v="1"/>
    <n v="74.838888888888889"/>
    <n v="1"/>
    <n v="74.838888888888889"/>
    <n v="116.884"/>
    <n v="120.15900000000001"/>
    <n v="1.028"/>
    <n v="76.934377777777783"/>
    <m/>
    <n v="1"/>
    <s v="Sale"/>
    <x v="0"/>
    <x v="25"/>
    <x v="0"/>
    <n v="29.91"/>
    <n v="1"/>
    <n v="29.91"/>
    <n v="-44.928888888888892"/>
    <m/>
    <n v="76.934377777777783"/>
    <n v="-47.024377777777786"/>
  </r>
  <r>
    <x v="3"/>
    <x v="96"/>
    <x v="112"/>
    <x v="0"/>
    <n v="149.67777777777778"/>
    <n v="2"/>
    <n v="149.67777777777778"/>
    <n v="1"/>
    <n v="149.67777777777778"/>
    <n v="116.884"/>
    <n v="120.15900000000001"/>
    <n v="1.028"/>
    <n v="153.86875555555557"/>
    <m/>
    <n v="2"/>
    <s v="Sale"/>
    <x v="0"/>
    <x v="25"/>
    <x v="0"/>
    <n v="59.36"/>
    <n v="1"/>
    <n v="59.36"/>
    <n v="-90.317777777777778"/>
    <m/>
    <n v="153.86875555555557"/>
    <n v="-94.508755555555567"/>
  </r>
  <r>
    <x v="3"/>
    <x v="96"/>
    <x v="112"/>
    <x v="0"/>
    <n v="224.51666666666665"/>
    <n v="3"/>
    <n v="224.51666666666665"/>
    <n v="1"/>
    <n v="224.51666666666665"/>
    <n v="116.884"/>
    <n v="120.15900000000001"/>
    <n v="1.028"/>
    <n v="230.80313333333334"/>
    <m/>
    <n v="3"/>
    <s v="Sale"/>
    <x v="0"/>
    <x v="25"/>
    <x v="0"/>
    <n v="91.5"/>
    <n v="1"/>
    <n v="91.5"/>
    <n v="-133.01666666666665"/>
    <m/>
    <n v="230.80313333333334"/>
    <n v="-139.30313333333334"/>
  </r>
  <r>
    <x v="3"/>
    <x v="96"/>
    <x v="112"/>
    <x v="0"/>
    <n v="224.51666666666665"/>
    <n v="3"/>
    <n v="224.51666666666665"/>
    <n v="1"/>
    <n v="224.51666666666665"/>
    <n v="116.884"/>
    <n v="120.15900000000001"/>
    <n v="1.028"/>
    <n v="230.80313333333334"/>
    <m/>
    <n v="3"/>
    <s v="Sale"/>
    <x v="0"/>
    <x v="25"/>
    <x v="0"/>
    <n v="89.348333333333343"/>
    <n v="1"/>
    <n v="89.348333333333343"/>
    <n v="-135.16833333333329"/>
    <m/>
    <n v="230.80313333333334"/>
    <n v="-141.45479999999998"/>
  </r>
  <r>
    <x v="3"/>
    <x v="96"/>
    <x v="112"/>
    <x v="0"/>
    <n v="74.22"/>
    <n v="1"/>
    <n v="74.22"/>
    <n v="1"/>
    <n v="74.22"/>
    <n v="116.884"/>
    <n v="120.15900000000001"/>
    <n v="1.028"/>
    <n v="76.298159999999996"/>
    <m/>
    <n v="1"/>
    <s v="Sale"/>
    <x v="0"/>
    <x v="25"/>
    <x v="0"/>
    <n v="29.782777777777781"/>
    <n v="1"/>
    <n v="29.782777777777781"/>
    <n v="-44.437222222222218"/>
    <m/>
    <n v="76.298159999999996"/>
    <n v="-46.515382222222215"/>
  </r>
  <r>
    <x v="3"/>
    <x v="96"/>
    <x v="112"/>
    <x v="0"/>
    <n v="1846.09"/>
    <n v="25"/>
    <n v="1846.09"/>
    <n v="1"/>
    <n v="1846.09"/>
    <n v="116.884"/>
    <n v="120.15900000000001"/>
    <n v="1.028"/>
    <n v="1897.78052"/>
    <m/>
    <n v="25"/>
    <s v="Sale"/>
    <x v="0"/>
    <x v="25"/>
    <x v="0"/>
    <n v="744.56944444444457"/>
    <n v="1"/>
    <n v="744.56944444444457"/>
    <n v="-1101.5205555555553"/>
    <m/>
    <n v="1897.78052"/>
    <n v="-1153.2110755555555"/>
  </r>
  <r>
    <x v="3"/>
    <x v="96"/>
    <x v="112"/>
    <x v="0"/>
    <n v="222.27"/>
    <n v="3"/>
    <n v="222.27"/>
    <n v="1"/>
    <n v="222.27"/>
    <n v="116.884"/>
    <n v="120.15900000000001"/>
    <n v="1.028"/>
    <n v="228.49356"/>
    <m/>
    <n v="3"/>
    <s v="Sale"/>
    <x v="0"/>
    <x v="25"/>
    <x v="0"/>
    <n v="89.348333333333343"/>
    <n v="1"/>
    <n v="89.348333333333343"/>
    <n v="-132.92166666666668"/>
    <m/>
    <n v="228.49356"/>
    <n v="-139.14522666666664"/>
  </r>
  <r>
    <x v="3"/>
    <x v="183"/>
    <x v="112"/>
    <x v="0"/>
    <n v="291.64"/>
    <n v="4"/>
    <n v="291.64"/>
    <n v="1"/>
    <n v="291.64"/>
    <n v="116.884"/>
    <n v="120.15900000000001"/>
    <n v="1.028"/>
    <n v="299.80592000000001"/>
    <m/>
    <n v="4"/>
    <s v="Sale"/>
    <x v="0"/>
    <x v="25"/>
    <x v="0"/>
    <n v="119.13111111111112"/>
    <n v="1"/>
    <n v="119.13111111111112"/>
    <n v="-172.50888888888886"/>
    <m/>
    <n v="299.80592000000001"/>
    <n v="-180.67480888888889"/>
  </r>
  <r>
    <x v="3"/>
    <x v="183"/>
    <x v="112"/>
    <x v="0"/>
    <n v="72.91"/>
    <n v="1"/>
    <n v="72.91"/>
    <n v="1"/>
    <n v="72.91"/>
    <n v="116.884"/>
    <n v="120.15900000000001"/>
    <n v="1.028"/>
    <n v="74.951480000000004"/>
    <m/>
    <n v="1"/>
    <s v="Sale"/>
    <x v="0"/>
    <x v="25"/>
    <x v="0"/>
    <n v="29.74"/>
    <n v="1"/>
    <n v="29.74"/>
    <n v="-43.17"/>
    <m/>
    <n v="74.951480000000004"/>
    <n v="-45.211480000000009"/>
  </r>
  <r>
    <x v="3"/>
    <x v="183"/>
    <x v="112"/>
    <x v="0"/>
    <n v="145.82"/>
    <n v="2"/>
    <n v="145.82"/>
    <n v="1"/>
    <n v="145.82"/>
    <n v="116.884"/>
    <n v="120.15900000000001"/>
    <n v="1.028"/>
    <n v="149.90296000000001"/>
    <m/>
    <n v="2"/>
    <s v="Sale"/>
    <x v="0"/>
    <x v="60"/>
    <x v="0"/>
    <n v="62.6"/>
    <n v="1"/>
    <n v="62.6"/>
    <n v="-83.22"/>
    <m/>
    <n v="149.90296000000001"/>
    <n v="-87.302960000000013"/>
  </r>
  <r>
    <x v="3"/>
    <x v="183"/>
    <x v="112"/>
    <x v="0"/>
    <n v="218.73"/>
    <n v="3"/>
    <n v="218.73"/>
    <n v="1"/>
    <n v="218.73"/>
    <n v="116.884"/>
    <n v="120.15900000000001"/>
    <n v="1.028"/>
    <n v="224.85443999999998"/>
    <m/>
    <n v="3"/>
    <s v="Sale"/>
    <x v="0"/>
    <x v="60"/>
    <x v="0"/>
    <n v="93.84"/>
    <n v="1"/>
    <n v="93.84"/>
    <n v="-124.88999999999999"/>
    <m/>
    <n v="224.85443999999998"/>
    <n v="-131.01443999999998"/>
  </r>
  <r>
    <x v="3"/>
    <x v="183"/>
    <x v="112"/>
    <x v="0"/>
    <n v="72.91"/>
    <n v="1"/>
    <n v="72.91"/>
    <n v="1"/>
    <n v="72.91"/>
    <n v="116.884"/>
    <n v="120.15900000000001"/>
    <n v="1.028"/>
    <n v="74.951480000000004"/>
    <m/>
    <n v="1"/>
    <s v="Sale"/>
    <x v="0"/>
    <x v="60"/>
    <x v="0"/>
    <n v="31.26"/>
    <n v="1"/>
    <n v="31.26"/>
    <n v="-41.649999999999991"/>
    <m/>
    <n v="74.951480000000004"/>
    <n v="-43.691479999999999"/>
  </r>
  <r>
    <x v="3"/>
    <x v="53"/>
    <x v="112"/>
    <x v="0"/>
    <n v="74.88"/>
    <n v="1"/>
    <n v="74.88"/>
    <n v="1"/>
    <n v="74.88"/>
    <n v="116.884"/>
    <n v="120.15900000000001"/>
    <n v="1.028"/>
    <n v="76.976640000000003"/>
    <m/>
    <n v="1"/>
    <s v="Sale"/>
    <x v="0"/>
    <x v="60"/>
    <x v="0"/>
    <n v="31.47"/>
    <n v="1"/>
    <n v="31.47"/>
    <n v="-43.41"/>
    <m/>
    <n v="76.976640000000003"/>
    <n v="-45.506640000000004"/>
  </r>
  <r>
    <x v="3"/>
    <x v="53"/>
    <x v="112"/>
    <x v="0"/>
    <n v="298.33777777777777"/>
    <n v="4"/>
    <n v="298.33777777777777"/>
    <n v="1"/>
    <n v="298.33777777777777"/>
    <n v="116.884"/>
    <n v="120.15900000000001"/>
    <n v="1.028"/>
    <n v="306.69123555555558"/>
    <m/>
    <n v="4"/>
    <s v="Sale"/>
    <x v="0"/>
    <x v="60"/>
    <x v="0"/>
    <n v="123.27"/>
    <n v="1"/>
    <n v="123.27"/>
    <n v="-175.06777777777779"/>
    <m/>
    <n v="306.69123555555558"/>
    <n v="-183.4212355555556"/>
  </r>
  <r>
    <x v="3"/>
    <x v="53"/>
    <x v="112"/>
    <x v="0"/>
    <n v="372.92222222222222"/>
    <n v="5"/>
    <n v="372.92222222222222"/>
    <n v="1"/>
    <n v="372.92222222222222"/>
    <n v="116.884"/>
    <n v="120.15900000000001"/>
    <n v="1.028"/>
    <n v="383.36404444444446"/>
    <m/>
    <n v="5"/>
    <s v="Sale"/>
    <x v="0"/>
    <x v="60"/>
    <x v="0"/>
    <n v="153.25434782608696"/>
    <n v="1"/>
    <n v="153.25434782608696"/>
    <n v="-219.66787439613526"/>
    <m/>
    <n v="383.36404444444446"/>
    <n v="-230.1096966183575"/>
  </r>
  <r>
    <x v="3"/>
    <x v="53"/>
    <x v="112"/>
    <x v="0"/>
    <n v="74.73"/>
    <n v="1"/>
    <n v="74.73"/>
    <n v="1"/>
    <n v="74.73"/>
    <n v="116.884"/>
    <n v="120.15900000000001"/>
    <n v="1.028"/>
    <n v="76.82244"/>
    <m/>
    <n v="1"/>
    <s v="Sale"/>
    <x v="0"/>
    <x v="60"/>
    <x v="0"/>
    <n v="30.650869565217391"/>
    <n v="1"/>
    <n v="30.650869565217391"/>
    <n v="-44.079130434782613"/>
    <m/>
    <n v="76.82244"/>
    <n v="-46.171570434782609"/>
  </r>
  <r>
    <x v="3"/>
    <x v="2"/>
    <x v="112"/>
    <x v="0"/>
    <n v="65.209999999999994"/>
    <n v="1"/>
    <n v="65.209999999999994"/>
    <n v="1"/>
    <n v="65.209999999999994"/>
    <n v="116.884"/>
    <n v="120.15900000000001"/>
    <n v="1.028"/>
    <n v="67.035879999999992"/>
    <m/>
    <n v="1"/>
    <s v="Sale"/>
    <x v="0"/>
    <x v="60"/>
    <x v="0"/>
    <n v="30.650869565217391"/>
    <n v="1"/>
    <n v="30.650869565217391"/>
    <n v="-34.559130434782602"/>
    <m/>
    <n v="67.035879999999992"/>
    <n v="-36.3850104347826"/>
  </r>
  <r>
    <x v="3"/>
    <x v="2"/>
    <x v="112"/>
    <x v="0"/>
    <n v="617.53"/>
    <n v="10"/>
    <n v="617.53"/>
    <n v="1"/>
    <n v="617.53"/>
    <n v="116.884"/>
    <n v="120.15900000000001"/>
    <n v="1.028"/>
    <n v="634.82083999999998"/>
    <m/>
    <n v="10"/>
    <s v="Sale"/>
    <x v="0"/>
    <x v="60"/>
    <x v="0"/>
    <n v="306.50869565217391"/>
    <n v="1"/>
    <n v="306.50869565217391"/>
    <n v="-311.02130434782606"/>
    <m/>
    <n v="634.82083999999998"/>
    <n v="-328.31214434782606"/>
  </r>
  <r>
    <x v="3"/>
    <x v="2"/>
    <x v="112"/>
    <x v="0"/>
    <n v="61.64"/>
    <n v="1"/>
    <n v="61.64"/>
    <n v="1"/>
    <n v="61.64"/>
    <n v="116.884"/>
    <n v="120.15900000000001"/>
    <n v="1.028"/>
    <n v="63.365920000000003"/>
    <m/>
    <n v="1"/>
    <s v="Sale"/>
    <x v="0"/>
    <x v="60"/>
    <x v="0"/>
    <n v="30.650869565217391"/>
    <n v="1"/>
    <n v="30.650869565217391"/>
    <n v="-30.989130434782609"/>
    <m/>
    <n v="63.365920000000003"/>
    <n v="-32.715050434782611"/>
  </r>
  <r>
    <x v="3"/>
    <x v="2"/>
    <x v="112"/>
    <x v="0"/>
    <n v="185.76"/>
    <n v="3"/>
    <n v="185.76"/>
    <n v="1"/>
    <n v="185.76"/>
    <n v="116.884"/>
    <n v="120.15900000000001"/>
    <n v="1.028"/>
    <n v="190.96127999999999"/>
    <m/>
    <n v="3"/>
    <s v="Sale"/>
    <x v="0"/>
    <x v="60"/>
    <x v="0"/>
    <n v="91.952608695652174"/>
    <n v="1"/>
    <n v="91.952608695652174"/>
    <n v="-93.807391304347817"/>
    <m/>
    <n v="190.96127999999999"/>
    <n v="-99.008671304347814"/>
  </r>
  <r>
    <x v="3"/>
    <x v="194"/>
    <x v="112"/>
    <x v="0"/>
    <n v="290.12"/>
    <n v="5"/>
    <n v="290.12"/>
    <n v="1"/>
    <n v="290.12"/>
    <n v="116.884"/>
    <n v="120.15900000000001"/>
    <n v="1.028"/>
    <n v="298.24336"/>
    <m/>
    <n v="5"/>
    <s v="Sale"/>
    <x v="0"/>
    <x v="60"/>
    <x v="0"/>
    <n v="153.25434782608696"/>
    <n v="1"/>
    <n v="153.25434782608696"/>
    <n v="-136.86565217391305"/>
    <m/>
    <n v="298.24336"/>
    <n v="-144.98901217391304"/>
  </r>
  <r>
    <x v="3"/>
    <x v="194"/>
    <x v="112"/>
    <x v="0"/>
    <n v="346.92"/>
    <n v="6"/>
    <n v="346.92"/>
    <n v="1"/>
    <n v="346.92"/>
    <n v="116.884"/>
    <n v="120.15900000000001"/>
    <n v="1.028"/>
    <n v="356.63376000000005"/>
    <m/>
    <n v="6"/>
    <s v="Sale"/>
    <x v="0"/>
    <x v="60"/>
    <x v="0"/>
    <n v="183.90521739130435"/>
    <n v="1"/>
    <n v="183.90521739130435"/>
    <n v="-163.01478260869567"/>
    <m/>
    <n v="356.63376000000005"/>
    <n v="-172.7285426086957"/>
  </r>
  <r>
    <x v="3"/>
    <x v="195"/>
    <x v="112"/>
    <x v="0"/>
    <n v="58.69"/>
    <n v="1"/>
    <n v="58.69"/>
    <n v="1"/>
    <n v="58.69"/>
    <n v="117.30800000000001"/>
    <n v="120.15900000000001"/>
    <n v="1.0243"/>
    <n v="60.116166999999997"/>
    <m/>
    <n v="1"/>
    <s v="Sale"/>
    <x v="0"/>
    <x v="60"/>
    <x v="0"/>
    <n v="30.650869565217391"/>
    <n v="1"/>
    <n v="30.650869565217391"/>
    <n v="-28.039130434782606"/>
    <m/>
    <n v="60.116166999999997"/>
    <n v="-29.465297434782606"/>
  </r>
  <r>
    <x v="3"/>
    <x v="195"/>
    <x v="112"/>
    <x v="0"/>
    <n v="55.54"/>
    <n v="1"/>
    <n v="55.54"/>
    <n v="1"/>
    <n v="55.54"/>
    <n v="117.30800000000001"/>
    <n v="120.15900000000001"/>
    <n v="1.0243"/>
    <n v="56.889621999999996"/>
    <m/>
    <n v="1"/>
    <s v="Sale"/>
    <x v="0"/>
    <x v="60"/>
    <x v="0"/>
    <n v="30.650869565217391"/>
    <n v="1"/>
    <n v="30.650869565217391"/>
    <n v="-24.889130434782608"/>
    <m/>
    <n v="56.889621999999996"/>
    <n v="-26.238752434782604"/>
  </r>
  <r>
    <x v="3"/>
    <x v="141"/>
    <x v="112"/>
    <x v="0"/>
    <n v="613.64799999999991"/>
    <n v="12"/>
    <n v="613.64799999999991"/>
    <n v="1"/>
    <n v="613.64799999999991"/>
    <n v="117.30800000000001"/>
    <n v="120.15900000000001"/>
    <n v="1.0243"/>
    <n v="628.55964639999991"/>
    <m/>
    <n v="12"/>
    <s v="Sale"/>
    <x v="0"/>
    <x v="60"/>
    <x v="0"/>
    <n v="367.8104347826087"/>
    <n v="1"/>
    <n v="367.8104347826087"/>
    <n v="-245.83756521739122"/>
    <m/>
    <n v="628.55964639999991"/>
    <n v="-260.74921161739121"/>
  </r>
  <r>
    <x v="3"/>
    <x v="141"/>
    <x v="112"/>
    <x v="0"/>
    <n v="153.41199999999998"/>
    <n v="3"/>
    <n v="153.41199999999998"/>
    <n v="1"/>
    <n v="153.41199999999998"/>
    <n v="117.30800000000001"/>
    <n v="120.15900000000001"/>
    <n v="1.0243"/>
    <n v="157.13991159999998"/>
    <m/>
    <n v="3"/>
    <s v="Sale"/>
    <x v="0"/>
    <x v="60"/>
    <x v="0"/>
    <n v="92.801999999999992"/>
    <n v="1"/>
    <n v="92.801999999999992"/>
    <n v="-60.609999999999985"/>
    <m/>
    <n v="157.13991159999998"/>
    <n v="-64.337911599999984"/>
  </r>
  <r>
    <x v="3"/>
    <x v="188"/>
    <x v="112"/>
    <x v="0"/>
    <n v="97.874666666666656"/>
    <n v="2"/>
    <n v="97.874666666666656"/>
    <n v="1"/>
    <n v="97.874666666666656"/>
    <n v="117.30800000000001"/>
    <n v="120.15900000000001"/>
    <n v="1.0243"/>
    <n v="100.25302106666665"/>
    <m/>
    <n v="2"/>
    <s v="Sale"/>
    <x v="0"/>
    <x v="60"/>
    <x v="0"/>
    <n v="61.867999999999995"/>
    <n v="1"/>
    <n v="61.867999999999995"/>
    <n v="-36.006666666666661"/>
    <m/>
    <n v="100.25302106666665"/>
    <n v="-38.385021066666653"/>
  </r>
  <r>
    <x v="3"/>
    <x v="188"/>
    <x v="112"/>
    <x v="0"/>
    <n v="636.18533333333323"/>
    <n v="13"/>
    <n v="636.18533333333323"/>
    <n v="1"/>
    <n v="636.18533333333323"/>
    <n v="117.30800000000001"/>
    <n v="120.15900000000001"/>
    <n v="1.0243"/>
    <n v="651.64463693333323"/>
    <m/>
    <n v="13"/>
    <s v="Sale"/>
    <x v="0"/>
    <x v="61"/>
    <x v="0"/>
    <n v="442.91"/>
    <n v="1"/>
    <n v="442.91"/>
    <n v="-193.27533333333321"/>
    <m/>
    <n v="651.64463693333323"/>
    <n v="-208.73463693333321"/>
  </r>
  <r>
    <x v="3"/>
    <x v="176"/>
    <x v="113"/>
    <x v="0"/>
    <n v="2107.5500000000002"/>
    <n v="3"/>
    <n v="2107.5500000000002"/>
    <n v="1"/>
    <n v="2107.5500000000002"/>
    <n v="120.15900000000001"/>
    <n v="121.02200000000001"/>
    <n v="1.0071000000000001"/>
    <n v="2122.5136050000006"/>
    <m/>
    <n v="3"/>
    <s v="Sale"/>
    <x v="0"/>
    <x v="169"/>
    <x v="0"/>
    <n v="1121.2733333333333"/>
    <n v="1"/>
    <n v="1121.2733333333333"/>
    <n v="-986.27666666666687"/>
    <m/>
    <n v="2122.5136050000006"/>
    <n v="-1001.2402716666672"/>
  </r>
  <r>
    <x v="3"/>
    <x v="177"/>
    <x v="113"/>
    <x v="0"/>
    <n v="2160.65"/>
    <n v="3"/>
    <n v="2160.65"/>
    <n v="1"/>
    <n v="2160.65"/>
    <n v="120.15900000000001"/>
    <n v="121.02200000000001"/>
    <n v="1.0071000000000001"/>
    <n v="2175.9906150000002"/>
    <m/>
    <n v="3"/>
    <s v="Sale"/>
    <x v="0"/>
    <x v="169"/>
    <x v="0"/>
    <n v="1121.2733333333333"/>
    <n v="1"/>
    <n v="1121.2733333333333"/>
    <n v="-1039.3766666666668"/>
    <m/>
    <n v="2175.9906150000002"/>
    <n v="-1054.7172816666668"/>
  </r>
  <r>
    <x v="3"/>
    <x v="126"/>
    <x v="113"/>
    <x v="0"/>
    <n v="1878.46"/>
    <n v="3"/>
    <n v="1878.46"/>
    <n v="1"/>
    <n v="1878.46"/>
    <n v="120.809"/>
    <n v="121.02200000000001"/>
    <n v="1.0017"/>
    <n v="1881.6533820000002"/>
    <m/>
    <n v="3"/>
    <s v="Sale"/>
    <x v="0"/>
    <x v="169"/>
    <x v="0"/>
    <n v="1121.2733333333333"/>
    <n v="1"/>
    <n v="1121.2733333333333"/>
    <n v="-757.18666666666672"/>
    <m/>
    <n v="1881.6533820000002"/>
    <n v="-760.38004866666688"/>
  </r>
  <r>
    <x v="3"/>
    <x v="47"/>
    <x v="114"/>
    <x v="0"/>
    <n v="8124.0500000000011"/>
    <n v="58"/>
    <n v="8124.0500000000011"/>
    <n v="1"/>
    <n v="8124.0500000000011"/>
    <n v="116.884"/>
    <n v="118.002"/>
    <n v="1.0095000000000001"/>
    <n v="8201.2284750000017"/>
    <m/>
    <n v="58"/>
    <s v="Sale"/>
    <x v="0"/>
    <x v="55"/>
    <x v="0"/>
    <n v="6090.0519402985074"/>
    <n v="1"/>
    <n v="6090.0519402985074"/>
    <n v="-2033.9980597014937"/>
    <m/>
    <n v="8201.2284750000017"/>
    <n v="-2111.1765347014943"/>
  </r>
  <r>
    <x v="3"/>
    <x v="49"/>
    <x v="114"/>
    <x v="0"/>
    <n v="144.74"/>
    <n v="1"/>
    <n v="144.74"/>
    <n v="1"/>
    <n v="144.74"/>
    <n v="116.884"/>
    <n v="118.002"/>
    <n v="1.0095000000000001"/>
    <n v="146.11503000000002"/>
    <m/>
    <n v="1"/>
    <s v="Sale"/>
    <x v="0"/>
    <x v="55"/>
    <x v="0"/>
    <n v="105.00089552238806"/>
    <n v="1"/>
    <n v="105.00089552238806"/>
    <n v="-39.739104477611946"/>
    <m/>
    <n v="146.11503000000002"/>
    <n v="-41.114134477611955"/>
  </r>
  <r>
    <x v="3"/>
    <x v="49"/>
    <x v="114"/>
    <x v="0"/>
    <n v="144.74"/>
    <n v="1"/>
    <n v="144.74"/>
    <n v="1"/>
    <n v="144.74"/>
    <n v="116.884"/>
    <n v="118.002"/>
    <n v="1.0095000000000001"/>
    <n v="146.11503000000002"/>
    <m/>
    <n v="1"/>
    <s v="Sale"/>
    <x v="0"/>
    <x v="55"/>
    <x v="0"/>
    <n v="105.00089552238806"/>
    <n v="1"/>
    <n v="105.00089552238806"/>
    <n v="-39.739104477611946"/>
    <m/>
    <n v="146.11503000000002"/>
    <n v="-41.114134477611955"/>
  </r>
  <r>
    <x v="3"/>
    <x v="49"/>
    <x v="114"/>
    <x v="0"/>
    <n v="1011.1600000000001"/>
    <n v="7"/>
    <n v="1011.1600000000001"/>
    <n v="1"/>
    <n v="1011.1600000000001"/>
    <n v="116.884"/>
    <n v="118.002"/>
    <n v="1.0095000000000001"/>
    <n v="1020.7660200000001"/>
    <m/>
    <n v="7"/>
    <s v="Sale"/>
    <x v="0"/>
    <x v="55"/>
    <x v="0"/>
    <n v="735.00626865671643"/>
    <n v="1"/>
    <n v="735.00626865671643"/>
    <n v="-276.15373134328365"/>
    <m/>
    <n v="1020.7660200000001"/>
    <n v="-285.75975134328371"/>
  </r>
  <r>
    <x v="3"/>
    <x v="133"/>
    <x v="115"/>
    <x v="0"/>
    <n v="1073.0899999999999"/>
    <n v="13"/>
    <n v="1073.0899999999999"/>
    <n v="1"/>
    <n v="1073.0899999999999"/>
    <n v="120.809"/>
    <n v="122.044"/>
    <n v="1.0102"/>
    <n v="1084.0355179999999"/>
    <m/>
    <n v="13"/>
    <s v="Sale"/>
    <x v="0"/>
    <x v="142"/>
    <x v="0"/>
    <n v="764.94888888888897"/>
    <n v="1"/>
    <n v="764.94888888888897"/>
    <n v="-308.14111111111094"/>
    <m/>
    <n v="1084.0355179999999"/>
    <n v="-319.08662911111094"/>
  </r>
  <r>
    <x v="3"/>
    <x v="196"/>
    <x v="115"/>
    <x v="0"/>
    <n v="168.21"/>
    <n v="2"/>
    <n v="168.21"/>
    <n v="1"/>
    <n v="168.21"/>
    <n v="121.02200000000001"/>
    <n v="122.044"/>
    <n v="1.0084"/>
    <n v="169.622964"/>
    <m/>
    <n v="2"/>
    <s v="Sale"/>
    <x v="0"/>
    <x v="142"/>
    <x v="0"/>
    <n v="117.68444444444445"/>
    <n v="1"/>
    <n v="117.68444444444445"/>
    <n v="-50.525555555555556"/>
    <m/>
    <n v="169.622964"/>
    <n v="-51.938519555555544"/>
  </r>
  <r>
    <x v="3"/>
    <x v="196"/>
    <x v="115"/>
    <x v="0"/>
    <n v="253.06333333333336"/>
    <n v="3"/>
    <n v="253.06333333333336"/>
    <n v="1"/>
    <n v="253.06333333333336"/>
    <n v="121.02200000000001"/>
    <n v="122.044"/>
    <n v="1.0084"/>
    <n v="255.18906533333336"/>
    <m/>
    <n v="3"/>
    <s v="Sale"/>
    <x v="0"/>
    <x v="142"/>
    <x v="0"/>
    <n v="176.52666666666667"/>
    <n v="1"/>
    <n v="176.52666666666667"/>
    <n v="-76.53666666666669"/>
    <m/>
    <n v="255.18906533333336"/>
    <n v="-78.662398666666689"/>
  </r>
  <r>
    <x v="3"/>
    <x v="196"/>
    <x v="115"/>
    <x v="0"/>
    <n v="506.12666666666672"/>
    <n v="6"/>
    <n v="506.12666666666672"/>
    <n v="1"/>
    <n v="506.12666666666672"/>
    <n v="121.02200000000001"/>
    <n v="122.044"/>
    <n v="1.0084"/>
    <n v="510.37813066666672"/>
    <m/>
    <n v="6"/>
    <s v="Sale"/>
    <x v="0"/>
    <x v="142"/>
    <x v="0"/>
    <n v="352.37"/>
    <n v="1"/>
    <n v="352.37"/>
    <n v="-153.75666666666672"/>
    <m/>
    <n v="510.37813066666672"/>
    <n v="-158.00813066666672"/>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n v="0"/>
    <n v="0"/>
    <n v="0"/>
    <n v="0"/>
    <n v="0"/>
    <n v="0"/>
    <n v="0"/>
    <n v="0"/>
    <m/>
    <m/>
    <m/>
    <x v="1"/>
    <x v="7"/>
    <x v="1"/>
    <m/>
    <n v="0"/>
    <n v="0"/>
    <n v="0"/>
    <m/>
    <n v="0"/>
    <n v="0"/>
  </r>
  <r>
    <x v="2"/>
    <x v="6"/>
    <x v="4"/>
    <x v="1"/>
    <m/>
    <m/>
    <m/>
    <m/>
    <m/>
    <m/>
    <m/>
    <m/>
    <m/>
    <m/>
    <m/>
    <m/>
    <x v="1"/>
    <x v="7"/>
    <x v="1"/>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02F8AB-C525-054C-8C6D-274A51D010FA}" name="PivotTable3" cacheId="225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rowHeaderCaption="Activos">
  <location ref="B5:F100" firstHeaderRow="0" firstDataRow="1" firstDataCol="1"/>
  <pivotFields count="26">
    <pivotField axis="axisRow" subtotalTop="0" showAll="0" insertBlankRow="1" sortType="ascending">
      <items count="6">
        <item x="1"/>
        <item x="4"/>
        <item x="3"/>
        <item x="0"/>
        <item x="2"/>
        <item t="default"/>
      </items>
    </pivotField>
    <pivotField subtotalTop="0" showAll="0" insertBlankRow="1"/>
    <pivotField axis="axisRow" subtotalTop="0" showAll="0" insertBlankRow="1">
      <items count="118">
        <item h="1" x="4"/>
        <item x="0"/>
        <item x="1"/>
        <item x="2"/>
        <item x="55"/>
        <item x="44"/>
        <item x="45"/>
        <item x="46"/>
        <item x="47"/>
        <item x="48"/>
        <item x="49"/>
        <item x="50"/>
        <item x="51"/>
        <item x="52"/>
        <item x="5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54"/>
        <item x="56"/>
        <item x="57"/>
        <item x="58"/>
        <item x="59"/>
        <item x="61"/>
        <item x="62"/>
        <item x="63"/>
        <item x="64"/>
        <item x="65"/>
        <item x="66"/>
        <item x="67"/>
        <item x="68"/>
        <item x="69"/>
        <item x="70"/>
        <item x="71"/>
        <item x="72"/>
        <item x="73"/>
        <item x="74"/>
        <item x="75"/>
        <item x="76"/>
        <item x="77"/>
        <item x="78"/>
        <item x="79"/>
        <item x="80"/>
        <item x="60"/>
        <item h="1" x="81"/>
        <item h="1" x="82"/>
        <item h="1" m="1" x="116"/>
        <item h="1" x="83"/>
        <item h="1" x="84"/>
        <item h="1" x="85"/>
        <item h="1" x="86"/>
        <item h="1" x="87"/>
        <item h="1" x="88"/>
        <item h="1" x="89"/>
        <item h="1" x="90"/>
        <item h="1" x="91"/>
        <item h="1" x="92"/>
        <item h="1" x="93"/>
        <item h="1" x="94"/>
        <item h="1" x="95"/>
        <item h="1" x="96"/>
        <item h="1" x="97"/>
        <item h="1" x="98"/>
        <item h="1" x="99"/>
        <item h="1" x="100"/>
        <item h="1" x="3"/>
        <item h="1" x="101"/>
        <item h="1" x="102"/>
        <item h="1" x="103"/>
        <item h="1" x="104"/>
        <item h="1" x="105"/>
        <item h="1" x="106"/>
        <item h="1" x="107"/>
        <item h="1" x="108"/>
        <item h="1" x="109"/>
        <item h="1" x="110"/>
        <item h="1" x="111"/>
        <item h="1" x="112"/>
        <item h="1" x="113"/>
        <item h="1" x="114"/>
        <item h="1" x="115"/>
        <item t="default"/>
      </items>
    </pivotField>
    <pivotField subtotalTop="0" showAll="0" insertBlankRow="1"/>
    <pivotField subtotalTop="0" showAll="0" insertBlankRow="1"/>
    <pivotField numFmtId="164" subtotalTop="0" showAll="0" insertBlankRow="1"/>
    <pivotField subtotalTop="0" showAll="0" insertBlankRow="1"/>
    <pivotField numFmtId="167" subtotalTop="0" showAll="0" insertBlankRow="1"/>
    <pivotField dataField="1" subtotalTop="0" showAll="0" insertBlankRow="1"/>
    <pivotField numFmtId="168" subtotalTop="0" showAll="0" insertBlankRow="1"/>
    <pivotField numFmtId="168" subtotalTop="0" showAll="0" insertBlankRow="1"/>
    <pivotField numFmtId="169" subtotalTop="0" showAll="0" insertBlankRow="1"/>
    <pivotField numFmtId="164" subtotalTop="0" showAll="0" insertBlankRow="1"/>
    <pivotField subtotalTop="0" showAll="0" insertBlankRow="1"/>
    <pivotField dataField="1" subtotalTop="0" showAll="0" insertBlankRow="1"/>
    <pivotField subtotalTop="0" showAll="0" insertBlankRow="1"/>
    <pivotField axis="axisRow" subtotalTop="0" showAll="0" insertBlankRow="1">
      <items count="3">
        <item x="1"/>
        <item x="0"/>
        <item t="default"/>
      </items>
    </pivotField>
    <pivotField subtotalTop="0" showAll="0" insertBlankRow="1"/>
    <pivotField subtotalTop="0" showAll="0" insertBlankRow="1"/>
    <pivotField subtotalTop="0" showAll="0" insertBlankRow="1"/>
    <pivotField numFmtId="167" subtotalTop="0" showAll="0" insertBlankRow="1"/>
    <pivotField dataField="1" numFmtId="165" subtotalTop="0" showAll="0" insertBlankRow="1"/>
    <pivotField dataField="1" numFmtId="164" subtotalTop="0" showAll="0" insertBlankRow="1"/>
    <pivotField subtotalTop="0" showAll="0" insertBlankRow="1"/>
    <pivotField numFmtId="165" subtotalTop="0" showAll="0" insertBlankRow="1"/>
    <pivotField numFmtId="164" subtotalTop="0" showAll="0" insertBlankRow="1"/>
  </pivotFields>
  <rowFields count="3">
    <field x="16"/>
    <field x="0"/>
    <field x="2"/>
  </rowFields>
  <rowItems count="95">
    <i>
      <x v="1"/>
    </i>
    <i r="1">
      <x/>
    </i>
    <i r="2">
      <x v="2"/>
    </i>
    <i r="2">
      <x v="3"/>
    </i>
    <i r="2">
      <x v="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8"/>
    </i>
    <i r="2">
      <x v="39"/>
    </i>
    <i r="2">
      <x v="54"/>
    </i>
    <i r="2">
      <x v="55"/>
    </i>
    <i r="2">
      <x v="56"/>
    </i>
    <i r="2">
      <x v="57"/>
    </i>
    <i t="default" r="1">
      <x/>
    </i>
    <i t="blank" r="1">
      <x/>
    </i>
    <i r="1">
      <x v="1"/>
    </i>
    <i r="2">
      <x v="5"/>
    </i>
    <i r="2">
      <x v="6"/>
    </i>
    <i r="2">
      <x v="7"/>
    </i>
    <i r="2">
      <x v="8"/>
    </i>
    <i r="2">
      <x v="9"/>
    </i>
    <i r="2">
      <x v="10"/>
    </i>
    <i r="2">
      <x v="11"/>
    </i>
    <i r="2">
      <x v="12"/>
    </i>
    <i r="2">
      <x v="13"/>
    </i>
    <i r="2">
      <x v="14"/>
    </i>
    <i r="2">
      <x v="53"/>
    </i>
    <i r="2">
      <x v="58"/>
    </i>
    <i r="2">
      <x v="59"/>
    </i>
    <i r="2">
      <x v="60"/>
    </i>
    <i r="2">
      <x v="61"/>
    </i>
    <i r="2">
      <x v="62"/>
    </i>
    <i r="2">
      <x v="63"/>
    </i>
    <i r="2">
      <x v="64"/>
    </i>
    <i r="2">
      <x v="65"/>
    </i>
    <i r="2">
      <x v="66"/>
    </i>
    <i r="2">
      <x v="67"/>
    </i>
    <i r="2">
      <x v="68"/>
    </i>
    <i r="2">
      <x v="79"/>
    </i>
    <i t="default" r="1">
      <x v="1"/>
    </i>
    <i t="blank" r="1">
      <x v="1"/>
    </i>
    <i r="1">
      <x v="2"/>
    </i>
    <i r="2">
      <x v="40"/>
    </i>
    <i r="2">
      <x v="41"/>
    </i>
    <i r="2">
      <x v="42"/>
    </i>
    <i r="2">
      <x v="43"/>
    </i>
    <i r="2">
      <x v="44"/>
    </i>
    <i r="2">
      <x v="45"/>
    </i>
    <i r="2">
      <x v="46"/>
    </i>
    <i r="2">
      <x v="47"/>
    </i>
    <i r="2">
      <x v="48"/>
    </i>
    <i r="2">
      <x v="49"/>
    </i>
    <i r="2">
      <x v="50"/>
    </i>
    <i r="2">
      <x v="51"/>
    </i>
    <i r="2">
      <x v="52"/>
    </i>
    <i r="2">
      <x v="69"/>
    </i>
    <i r="2">
      <x v="70"/>
    </i>
    <i r="2">
      <x v="71"/>
    </i>
    <i r="2">
      <x v="72"/>
    </i>
    <i r="2">
      <x v="73"/>
    </i>
    <i r="2">
      <x v="74"/>
    </i>
    <i r="2">
      <x v="75"/>
    </i>
    <i r="2">
      <x v="76"/>
    </i>
    <i r="2">
      <x v="77"/>
    </i>
    <i r="2">
      <x v="78"/>
    </i>
    <i t="default" r="1">
      <x v="2"/>
    </i>
    <i t="blank" r="1">
      <x v="2"/>
    </i>
    <i r="1">
      <x v="3"/>
    </i>
    <i r="2">
      <x v="1"/>
    </i>
    <i t="default" r="1">
      <x v="3"/>
    </i>
    <i t="blank" r="1">
      <x v="3"/>
    </i>
    <i t="default">
      <x v="1"/>
    </i>
    <i t="blank">
      <x v="1"/>
    </i>
    <i t="grand">
      <x/>
    </i>
  </rowItems>
  <colFields count="1">
    <field x="-2"/>
  </colFields>
  <colItems count="4">
    <i>
      <x/>
    </i>
    <i i="1">
      <x v="1"/>
    </i>
    <i i="2">
      <x v="2"/>
    </i>
    <i i="3">
      <x v="3"/>
    </i>
  </colItems>
  <dataFields count="4">
    <dataField name="Número de Unidades Vendidas" fld="14" baseField="0" baseItem="0" numFmtId="4"/>
    <dataField name="Monto Percibido" fld="21" baseField="0" baseItem="0" numFmtId="164"/>
    <dataField name="Costo en USD" fld="8" baseField="0" baseItem="0" numFmtId="181"/>
    <dataField name="Ganancia / Pérdida " fld="22" baseField="0" baseItem="0" numFmtId="181"/>
  </dataFields>
  <formats count="25">
    <format dxfId="334">
      <pivotArea type="all" dataOnly="0" outline="0" fieldPosition="0"/>
    </format>
    <format dxfId="335">
      <pivotArea dataOnly="0" labelOnly="1" outline="0" fieldPosition="0">
        <references count="1">
          <reference field="4294967294" count="1">
            <x v="0"/>
          </reference>
        </references>
      </pivotArea>
    </format>
    <format dxfId="336">
      <pivotArea dataOnly="0" labelOnly="1" outline="0" fieldPosition="0">
        <references count="1">
          <reference field="4294967294" count="1">
            <x v="0"/>
          </reference>
        </references>
      </pivotArea>
    </format>
    <format dxfId="337">
      <pivotArea dataOnly="0" labelOnly="1" outline="0" fieldPosition="0">
        <references count="1">
          <reference field="4294967294" count="1">
            <x v="0"/>
          </reference>
        </references>
      </pivotArea>
    </format>
    <format dxfId="338">
      <pivotArea dataOnly="0" labelOnly="1" outline="0" fieldPosition="0">
        <references count="1">
          <reference field="4294967294" count="1">
            <x v="1"/>
          </reference>
        </references>
      </pivotArea>
    </format>
    <format dxfId="339">
      <pivotArea type="all" dataOnly="0" outline="0" fieldPosition="0"/>
    </format>
    <format dxfId="340">
      <pivotArea outline="0" collapsedLevelsAreSubtotals="1" fieldPosition="0">
        <references count="1">
          <reference field="4294967294" count="1" selected="0">
            <x v="1"/>
          </reference>
        </references>
      </pivotArea>
    </format>
    <format dxfId="341">
      <pivotArea type="all" dataOnly="0" outline="0" fieldPosition="0"/>
    </format>
    <format dxfId="342">
      <pivotArea dataOnly="0" grandRow="1" fieldPosition="0"/>
    </format>
    <format dxfId="343">
      <pivotArea dataOnly="0" grandRow="1" fieldPosition="0"/>
    </format>
    <format dxfId="344">
      <pivotArea dataOnly="0" labelOnly="1" outline="0" fieldPosition="0">
        <references count="1">
          <reference field="4294967294" count="2">
            <x v="0"/>
            <x v="1"/>
          </reference>
        </references>
      </pivotArea>
    </format>
    <format dxfId="345">
      <pivotArea dataOnly="0" labelOnly="1" outline="0" fieldPosition="0">
        <references count="1">
          <reference field="4294967294" count="2">
            <x v="0"/>
            <x v="1"/>
          </reference>
        </references>
      </pivotArea>
    </format>
    <format dxfId="346">
      <pivotArea type="all" dataOnly="0" outline="0" fieldPosition="0"/>
    </format>
    <format dxfId="347">
      <pivotArea outline="0" collapsedLevelsAreSubtotals="1" fieldPosition="0"/>
    </format>
    <format dxfId="348">
      <pivotArea dataOnly="0" labelOnly="1" grandRow="1" outline="0" fieldPosition="0"/>
    </format>
    <format dxfId="349">
      <pivotArea dataOnly="0" labelOnly="1" outline="0" fieldPosition="0">
        <references count="1">
          <reference field="4294967294" count="2">
            <x v="0"/>
            <x v="1"/>
          </reference>
        </references>
      </pivotArea>
    </format>
    <format dxfId="350">
      <pivotArea dataOnly="0" grandRow="1" fieldPosition="0"/>
    </format>
    <format dxfId="351">
      <pivotArea dataOnly="0" labelOnly="1" outline="0" fieldPosition="0">
        <references count="1">
          <reference field="4294967294" count="2">
            <x v="0"/>
            <x v="1"/>
          </reference>
        </references>
      </pivotArea>
    </format>
    <format dxfId="352">
      <pivotArea dataOnly="0" fieldPosition="0">
        <references count="1">
          <reference field="0" count="0" defaultSubtotal="1"/>
        </references>
      </pivotArea>
    </format>
    <format dxfId="353">
      <pivotArea dataOnly="0" fieldPosition="0">
        <references count="1">
          <reference field="0" count="0" defaultSubtotal="1"/>
        </references>
      </pivotArea>
    </format>
    <format dxfId="354">
      <pivotArea dataOnly="0" grandRow="1" fieldPosition="0"/>
    </format>
    <format dxfId="355">
      <pivotArea field="0" type="button" dataOnly="0" labelOnly="1" outline="0" axis="axisRow" fieldPosition="1"/>
    </format>
    <format dxfId="356">
      <pivotArea dataOnly="0" labelOnly="1" outline="0" fieldPosition="0">
        <references count="1">
          <reference field="4294967294" count="2">
            <x v="2"/>
            <x v="3"/>
          </reference>
        </references>
      </pivotArea>
    </format>
    <format dxfId="357">
      <pivotArea outline="0" fieldPosition="0">
        <references count="1">
          <reference field="4294967294" count="1">
            <x v="3"/>
          </reference>
        </references>
      </pivotArea>
    </format>
    <format dxfId="358">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831C12-CEDE-214D-89EF-F796AE0CBFBB}" name="TablaDinámica3" cacheId="2259" applyNumberFormats="0" applyBorderFormats="0" applyFontFormats="0" applyPatternFormats="0" applyAlignmentFormats="0" applyWidthHeightFormats="1" dataCaption="Valores" updatedVersion="8" minRefreshableVersion="3" showDrill="0" useAutoFormatting="1" fieldPrintTitles="1" itemPrintTitles="1" createdVersion="6" indent="0" compact="0" outline="1" outlineData="1" compactData="0" multipleFieldFilters="0">
  <location ref="B6:O3030" firstHeaderRow="0" firstDataRow="1" firstDataCol="6"/>
  <pivotFields count="26">
    <pivotField name="Número de Cuenta" axis="axisRow" compact="0" subtotalTop="0" showAll="0" insertBlankRow="1" sortType="ascending">
      <items count="6">
        <item x="1"/>
        <item x="4"/>
        <item x="3"/>
        <item x="0"/>
        <item x="2"/>
        <item t="default"/>
      </items>
    </pivotField>
    <pivotField name="Fecha de Adquisición" axis="axisRow" compact="0" subtotalTop="0" showAll="0" insertBlankRow="1" defaultSubtotal="0">
      <items count="198">
        <item x="6"/>
        <item x="0"/>
        <item x="1"/>
        <item x="2"/>
        <item x="3"/>
        <item x="4"/>
        <item x="89"/>
        <item x="90"/>
        <item x="91"/>
        <item x="92"/>
        <item x="93"/>
        <item x="94"/>
        <item x="9"/>
        <item x="95"/>
        <item x="63"/>
        <item x="64"/>
        <item x="65"/>
        <item x="66"/>
        <item x="67"/>
        <item x="68"/>
        <item x="69"/>
        <item x="70"/>
        <item x="71"/>
        <item x="72"/>
        <item x="73"/>
        <item x="74"/>
        <item x="75"/>
        <item x="7"/>
        <item x="8"/>
        <item x="10"/>
        <item x="11"/>
        <item x="12"/>
        <item x="13"/>
        <item x="14"/>
        <item x="15"/>
        <item x="16"/>
        <item x="17"/>
        <item x="18"/>
        <item x="19"/>
        <item x="20"/>
        <item x="21"/>
        <item x="22"/>
        <item x="23"/>
        <item x="24"/>
        <item x="25"/>
        <item x="26"/>
        <item x="28"/>
        <item x="29"/>
        <item x="30"/>
        <item x="31"/>
        <item x="32"/>
        <item x="33"/>
        <item x="34"/>
        <item x="35"/>
        <item x="36"/>
        <item x="37"/>
        <item x="99"/>
        <item x="78"/>
        <item x="100"/>
        <item x="38"/>
        <item x="39"/>
        <item x="40"/>
        <item x="41"/>
        <item x="43"/>
        <item x="44"/>
        <item x="45"/>
        <item x="46"/>
        <item x="47"/>
        <item m="1" x="197"/>
        <item x="48"/>
        <item x="49"/>
        <item x="50"/>
        <item x="51"/>
        <item x="52"/>
        <item x="53"/>
        <item x="54"/>
        <item x="55"/>
        <item x="56"/>
        <item x="57"/>
        <item x="58"/>
        <item x="59"/>
        <item x="60"/>
        <item x="61"/>
        <item x="62"/>
        <item x="76"/>
        <item x="77"/>
        <item x="79"/>
        <item x="80"/>
        <item x="81"/>
        <item x="82"/>
        <item x="83"/>
        <item x="84"/>
        <item x="85"/>
        <item x="86"/>
        <item x="87"/>
        <item x="88"/>
        <item x="96"/>
        <item x="97"/>
        <item x="98"/>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27"/>
        <item x="134"/>
        <item x="135"/>
        <item x="136"/>
        <item x="137"/>
        <item x="42"/>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5"/>
        <item x="191"/>
        <item x="192"/>
        <item x="193"/>
        <item x="194"/>
        <item x="195"/>
        <item x="196"/>
      </items>
    </pivotField>
    <pivotField name="Nombre del Activo" axis="axisRow" compact="0" subtotalTop="0" showAll="0" insertBlankRow="1" sortType="ascending">
      <items count="118">
        <item x="1"/>
        <item x="2"/>
        <item x="96"/>
        <item x="105"/>
        <item x="55"/>
        <item x="106"/>
        <item x="30"/>
        <item x="73"/>
        <item x="78"/>
        <item x="107"/>
        <item x="31"/>
        <item x="32"/>
        <item x="108"/>
        <item x="103"/>
        <item x="57"/>
        <item x="5"/>
        <item x="104"/>
        <item x="6"/>
        <item x="68"/>
        <item x="44"/>
        <item x="59"/>
        <item x="45"/>
        <item x="54"/>
        <item x="62"/>
        <item x="7"/>
        <item x="58"/>
        <item x="71"/>
        <item x="8"/>
        <item x="9"/>
        <item x="95"/>
        <item x="56"/>
        <item x="72"/>
        <item x="115"/>
        <item x="63"/>
        <item x="10"/>
        <item x="87"/>
        <item x="3"/>
        <item x="109"/>
        <item x="33"/>
        <item x="34"/>
        <item x="98"/>
        <item x="11"/>
        <item x="12"/>
        <item x="64"/>
        <item x="43"/>
        <item x="13"/>
        <item x="75"/>
        <item x="85"/>
        <item x="46"/>
        <item x="69"/>
        <item x="47"/>
        <item x="48"/>
        <item x="49"/>
        <item x="14"/>
        <item x="0"/>
        <item x="50"/>
        <item x="99"/>
        <item x="15"/>
        <item x="70"/>
        <item x="86"/>
        <item x="91"/>
        <item x="16"/>
        <item x="17"/>
        <item x="89"/>
        <item x="18"/>
        <item x="82"/>
        <item x="35"/>
        <item x="101"/>
        <item x="110"/>
        <item x="36"/>
        <item x="19"/>
        <item x="100"/>
        <item x="37"/>
        <item x="84"/>
        <item x="20"/>
        <item x="21"/>
        <item x="38"/>
        <item x="88"/>
        <item x="22"/>
        <item x="76"/>
        <item x="39"/>
        <item x="23"/>
        <item x="24"/>
        <item x="25"/>
        <item x="111"/>
        <item x="61"/>
        <item x="40"/>
        <item x="65"/>
        <item x="112"/>
        <item x="26"/>
        <item x="74"/>
        <item x="113"/>
        <item x="102"/>
        <item x="79"/>
        <item x="41"/>
        <item x="66"/>
        <item x="51"/>
        <item x="52"/>
        <item x="60"/>
        <item x="114"/>
        <item x="27"/>
        <item x="93"/>
        <item x="80"/>
        <item x="77"/>
        <item x="81"/>
        <item x="28"/>
        <item x="29"/>
        <item m="1" x="116"/>
        <item x="83"/>
        <item x="42"/>
        <item x="90"/>
        <item x="97"/>
        <item x="67"/>
        <item x="53"/>
        <item x="94"/>
        <item x="92"/>
        <item x="4"/>
        <item t="default"/>
      </items>
    </pivotField>
    <pivotField name="Moneda Compra" axis="axisRow" compact="0" subtotalTop="0" showAll="0" insertBlankRow="1" defaultSubtotal="0">
      <items count="4">
        <item x="1"/>
        <item x="0"/>
        <item x="2"/>
        <item x="3"/>
      </items>
    </pivotField>
    <pivotField dataField="1" compact="0" subtotalTop="0" showAll="0" insertBlankRow="1"/>
    <pivotField dataField="1" compact="0" subtotalTop="0" showAll="0" insertBlankRow="1"/>
    <pivotField compact="0" subtotalTop="0" showAll="0" insertBlankRow="1"/>
    <pivotField dataField="1"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compact="0" subtotalTop="0" showAll="0" insertBlankRow="1"/>
    <pivotField name="Fecha de Venta" axis="axisRow" compact="0" subtotalTop="0" showAll="0" insertBlankRow="1" sortType="ascending" defaultSubtotal="0">
      <items count="171">
        <item m="1" x="170"/>
        <item x="159"/>
        <item x="151"/>
        <item x="152"/>
        <item x="160"/>
        <item x="83"/>
        <item x="43"/>
        <item x="15"/>
        <item x="16"/>
        <item x="2"/>
        <item x="44"/>
        <item x="133"/>
        <item x="1"/>
        <item x="17"/>
        <item x="18"/>
        <item x="23"/>
        <item x="55"/>
        <item x="33"/>
        <item x="34"/>
        <item x="35"/>
        <item x="36"/>
        <item x="37"/>
        <item x="38"/>
        <item x="39"/>
        <item x="40"/>
        <item x="19"/>
        <item x="20"/>
        <item x="41"/>
        <item x="42"/>
        <item x="161"/>
        <item x="22"/>
        <item x="58"/>
        <item x="28"/>
        <item x="29"/>
        <item x="21"/>
        <item x="164"/>
        <item x="165"/>
        <item x="166"/>
        <item x="3"/>
        <item x="4"/>
        <item x="59"/>
        <item x="51"/>
        <item x="5"/>
        <item x="24"/>
        <item x="25"/>
        <item x="60"/>
        <item x="61"/>
        <item x="62"/>
        <item x="63"/>
        <item x="167"/>
        <item x="57"/>
        <item x="46"/>
        <item x="47"/>
        <item x="168"/>
        <item x="64"/>
        <item x="65"/>
        <item x="66"/>
        <item x="48"/>
        <item x="84"/>
        <item x="6"/>
        <item x="67"/>
        <item x="68"/>
        <item x="10"/>
        <item x="11"/>
        <item x="56"/>
        <item x="9"/>
        <item x="0"/>
        <item x="12"/>
        <item x="169"/>
        <item x="162"/>
        <item x="163"/>
        <item x="30"/>
        <item x="69"/>
        <item x="27"/>
        <item x="31"/>
        <item x="32"/>
        <item x="54"/>
        <item x="45"/>
        <item x="26"/>
        <item x="134"/>
        <item x="50"/>
        <item x="85"/>
        <item x="70"/>
        <item x="52"/>
        <item x="142"/>
        <item x="143"/>
        <item x="14"/>
        <item x="13"/>
        <item x="86"/>
        <item x="53"/>
        <item x="49"/>
        <item x="8"/>
        <item x="71"/>
        <item x="72"/>
        <item x="87"/>
        <item x="93"/>
        <item x="94"/>
        <item x="95"/>
        <item x="74"/>
        <item x="97"/>
        <item x="98"/>
        <item x="73"/>
        <item x="99"/>
        <item x="100"/>
        <item x="96"/>
        <item x="88"/>
        <item x="101"/>
        <item x="89"/>
        <item x="90"/>
        <item x="91"/>
        <item x="92"/>
        <item x="75"/>
        <item x="76"/>
        <item x="102"/>
        <item x="80"/>
        <item x="81"/>
        <item x="77"/>
        <item x="78"/>
        <item x="79"/>
        <item x="82"/>
        <item x="104"/>
        <item x="106"/>
        <item x="107"/>
        <item x="108"/>
        <item x="109"/>
        <item x="110"/>
        <item x="111"/>
        <item x="103"/>
        <item x="112"/>
        <item x="105"/>
        <item x="129"/>
        <item x="125"/>
        <item x="126"/>
        <item x="130"/>
        <item x="113"/>
        <item x="114"/>
        <item x="131"/>
        <item x="132"/>
        <item x="115"/>
        <item x="116"/>
        <item x="135"/>
        <item x="136"/>
        <item x="117"/>
        <item x="137"/>
        <item x="118"/>
        <item x="139"/>
        <item x="140"/>
        <item x="138"/>
        <item x="119"/>
        <item x="127"/>
        <item x="141"/>
        <item x="120"/>
        <item x="128"/>
        <item x="121"/>
        <item x="122"/>
        <item x="144"/>
        <item x="123"/>
        <item x="124"/>
        <item x="156"/>
        <item x="145"/>
        <item x="157"/>
        <item x="158"/>
        <item x="146"/>
        <item x="147"/>
        <item x="148"/>
        <item x="150"/>
        <item x="149"/>
        <item x="153"/>
        <item x="154"/>
        <item x="155"/>
        <item x="7"/>
      </items>
    </pivotField>
    <pivotField name="Moneda Venta" axis="axisRow" compact="0" subtotalTop="0" showAll="0" insertBlankRow="1" defaultSubtotal="0">
      <items count="4">
        <item x="1"/>
        <item x="0"/>
        <item x="2"/>
        <item x="3"/>
      </items>
    </pivotField>
    <pivotField dataField="1" compact="0" subtotalTop="0" showAll="0" insertBlankRow="1"/>
    <pivotField dataField="1" compact="0" subtotalTop="0" showAll="0" insertBlankRow="1"/>
    <pivotField dataField="1" compact="0" subtotalTop="0" showAll="0" insertBlankRow="1"/>
    <pivotField dataField="1" compact="0" subtotalTop="0" showAll="0" insertBlankRow="1"/>
    <pivotField compact="0" subtotalTop="0" showAll="0" insertBlankRow="1"/>
    <pivotField compact="0" subtotalTop="0" showAll="0" insertBlankRow="1"/>
    <pivotField compact="0" subtotalTop="0" showAll="0" insertBlankRow="1"/>
  </pivotFields>
  <rowFields count="6">
    <field x="0"/>
    <field x="2"/>
    <field x="17"/>
    <field x="18"/>
    <field x="1"/>
    <field x="3"/>
  </rowFields>
  <rowItems count="3024">
    <i>
      <x/>
    </i>
    <i r="1">
      <x/>
    </i>
    <i r="2">
      <x v="12"/>
    </i>
    <i r="3">
      <x v="1"/>
    </i>
    <i r="4">
      <x v="2"/>
    </i>
    <i r="5">
      <x v="1"/>
    </i>
    <i t="blank" r="4">
      <x v="2"/>
    </i>
    <i r="2">
      <x v="66"/>
    </i>
    <i r="3">
      <x v="1"/>
    </i>
    <i r="4">
      <x v="2"/>
    </i>
    <i r="5">
      <x v="1"/>
    </i>
    <i t="blank" r="4">
      <x v="2"/>
    </i>
    <i t="default" r="1">
      <x/>
    </i>
    <i t="blank" r="1">
      <x/>
    </i>
    <i r="1">
      <x v="1"/>
    </i>
    <i r="2">
      <x v="9"/>
    </i>
    <i r="3">
      <x v="1"/>
    </i>
    <i r="4">
      <x v="3"/>
    </i>
    <i r="5">
      <x v="1"/>
    </i>
    <i t="blank" r="4">
      <x v="3"/>
    </i>
    <i r="4">
      <x v="4"/>
    </i>
    <i r="5">
      <x v="1"/>
    </i>
    <i t="blank" r="4">
      <x v="4"/>
    </i>
    <i r="2">
      <x v="38"/>
    </i>
    <i r="3">
      <x v="1"/>
    </i>
    <i r="4">
      <x v="4"/>
    </i>
    <i r="5">
      <x v="1"/>
    </i>
    <i t="blank" r="4">
      <x v="4"/>
    </i>
    <i r="2">
      <x v="39"/>
    </i>
    <i r="3">
      <x v="1"/>
    </i>
    <i r="4">
      <x v="4"/>
    </i>
    <i r="5">
      <x v="1"/>
    </i>
    <i t="blank" r="4">
      <x v="4"/>
    </i>
    <i r="2">
      <x v="42"/>
    </i>
    <i r="3">
      <x v="1"/>
    </i>
    <i r="4">
      <x v="4"/>
    </i>
    <i r="5">
      <x v="1"/>
    </i>
    <i t="blank" r="4">
      <x v="4"/>
    </i>
    <i r="4">
      <x v="5"/>
    </i>
    <i r="5">
      <x v="1"/>
    </i>
    <i t="blank" r="4">
      <x v="5"/>
    </i>
    <i r="2">
      <x v="66"/>
    </i>
    <i r="3">
      <x v="1"/>
    </i>
    <i r="4">
      <x v="5"/>
    </i>
    <i r="5">
      <x v="1"/>
    </i>
    <i t="blank" r="4">
      <x v="5"/>
    </i>
    <i r="2">
      <x v="123"/>
    </i>
    <i r="3">
      <x v="1"/>
    </i>
    <i r="4">
      <x v="5"/>
    </i>
    <i r="5">
      <x v="1"/>
    </i>
    <i t="blank" r="4">
      <x v="5"/>
    </i>
    <i r="4">
      <x v="135"/>
    </i>
    <i r="5">
      <x v="1"/>
    </i>
    <i t="blank" r="4">
      <x v="135"/>
    </i>
    <i r="2">
      <x v="153"/>
    </i>
    <i r="3">
      <x v="1"/>
    </i>
    <i r="4">
      <x v="135"/>
    </i>
    <i r="5">
      <x v="1"/>
    </i>
    <i t="blank" r="4">
      <x v="135"/>
    </i>
    <i r="2">
      <x v="157"/>
    </i>
    <i r="3">
      <x v="1"/>
    </i>
    <i r="4">
      <x v="101"/>
    </i>
    <i r="5">
      <x v="1"/>
    </i>
    <i t="blank" r="4">
      <x v="101"/>
    </i>
    <i r="4">
      <x v="112"/>
    </i>
    <i r="5">
      <x v="1"/>
    </i>
    <i t="blank" r="4">
      <x v="112"/>
    </i>
    <i r="4">
      <x v="135"/>
    </i>
    <i r="5">
      <x v="1"/>
    </i>
    <i t="blank" r="4">
      <x v="135"/>
    </i>
    <i r="4">
      <x v="150"/>
    </i>
    <i r="5">
      <x v="1"/>
    </i>
    <i t="blank" r="4">
      <x v="150"/>
    </i>
    <i r="2">
      <x v="158"/>
    </i>
    <i r="3">
      <x v="1"/>
    </i>
    <i r="4">
      <x v="150"/>
    </i>
    <i r="5">
      <x v="1"/>
    </i>
    <i t="blank" r="4">
      <x v="150"/>
    </i>
    <i t="default" r="1">
      <x v="1"/>
    </i>
    <i t="blank" r="1">
      <x v="1"/>
    </i>
    <i r="1">
      <x v="4"/>
    </i>
    <i r="2">
      <x v="46"/>
    </i>
    <i r="3">
      <x v="1"/>
    </i>
    <i r="4">
      <x v="6"/>
    </i>
    <i r="5">
      <x v="1"/>
    </i>
    <i t="blank" r="4">
      <x v="6"/>
    </i>
    <i r="4">
      <x v="7"/>
    </i>
    <i r="5">
      <x v="1"/>
    </i>
    <i t="blank" r="4">
      <x v="7"/>
    </i>
    <i r="2">
      <x v="47"/>
    </i>
    <i r="3">
      <x v="1"/>
    </i>
    <i r="4">
      <x v="7"/>
    </i>
    <i r="5">
      <x v="1"/>
    </i>
    <i t="blank" r="4">
      <x v="7"/>
    </i>
    <i r="4">
      <x v="8"/>
    </i>
    <i r="5">
      <x v="1"/>
    </i>
    <i t="blank" r="4">
      <x v="8"/>
    </i>
    <i r="4">
      <x v="9"/>
    </i>
    <i r="5">
      <x v="1"/>
    </i>
    <i t="blank" r="4">
      <x v="9"/>
    </i>
    <i r="2">
      <x v="48"/>
    </i>
    <i r="3">
      <x v="1"/>
    </i>
    <i r="4">
      <x v="9"/>
    </i>
    <i r="5">
      <x v="1"/>
    </i>
    <i t="blank" r="4">
      <x v="9"/>
    </i>
    <i r="2">
      <x v="50"/>
    </i>
    <i r="3">
      <x v="1"/>
    </i>
    <i r="4">
      <x v="9"/>
    </i>
    <i r="5">
      <x v="1"/>
    </i>
    <i t="blank" r="4">
      <x v="9"/>
    </i>
    <i r="4">
      <x v="10"/>
    </i>
    <i r="5">
      <x v="1"/>
    </i>
    <i t="blank" r="4">
      <x v="10"/>
    </i>
    <i r="2">
      <x v="51"/>
    </i>
    <i r="3">
      <x v="1"/>
    </i>
    <i r="4">
      <x v="10"/>
    </i>
    <i r="5">
      <x v="1"/>
    </i>
    <i t="blank" r="4">
      <x v="10"/>
    </i>
    <i r="4">
      <x v="11"/>
    </i>
    <i r="5">
      <x v="1"/>
    </i>
    <i t="blank" r="4">
      <x v="11"/>
    </i>
    <i r="4">
      <x v="12"/>
    </i>
    <i r="5">
      <x v="1"/>
    </i>
    <i t="blank" r="4">
      <x v="12"/>
    </i>
    <i r="2">
      <x v="54"/>
    </i>
    <i r="3">
      <x v="1"/>
    </i>
    <i r="4">
      <x v="12"/>
    </i>
    <i r="5">
      <x v="1"/>
    </i>
    <i t="blank" r="4">
      <x v="12"/>
    </i>
    <i r="2">
      <x v="55"/>
    </i>
    <i r="3">
      <x v="1"/>
    </i>
    <i r="4">
      <x v="12"/>
    </i>
    <i r="5">
      <x v="1"/>
    </i>
    <i t="blank" r="4">
      <x v="12"/>
    </i>
    <i r="2">
      <x v="62"/>
    </i>
    <i r="3">
      <x v="1"/>
    </i>
    <i r="4">
      <x v="12"/>
    </i>
    <i r="5">
      <x v="1"/>
    </i>
    <i t="blank" r="4">
      <x v="12"/>
    </i>
    <i r="2">
      <x v="63"/>
    </i>
    <i r="3">
      <x v="1"/>
    </i>
    <i r="4">
      <x v="12"/>
    </i>
    <i r="5">
      <x v="1"/>
    </i>
    <i t="blank" r="4">
      <x v="12"/>
    </i>
    <i r="4">
      <x v="13"/>
    </i>
    <i r="5">
      <x v="1"/>
    </i>
    <i t="blank" r="4">
      <x v="13"/>
    </i>
    <i t="default" r="1">
      <x v="4"/>
    </i>
    <i t="blank" r="1">
      <x v="4"/>
    </i>
    <i r="1">
      <x v="14"/>
    </i>
    <i r="2">
      <x v="66"/>
    </i>
    <i r="3">
      <x v="1"/>
    </i>
    <i r="4">
      <x v="40"/>
    </i>
    <i r="5">
      <x v="1"/>
    </i>
    <i t="blank" r="4">
      <x v="40"/>
    </i>
    <i r="4">
      <x v="97"/>
    </i>
    <i r="5">
      <x v="1"/>
    </i>
    <i t="blank" r="4">
      <x v="97"/>
    </i>
    <i r="2">
      <x v="71"/>
    </i>
    <i r="3">
      <x v="1"/>
    </i>
    <i r="4">
      <x v="97"/>
    </i>
    <i r="5">
      <x v="1"/>
    </i>
    <i t="blank" r="4">
      <x v="97"/>
    </i>
    <i r="2">
      <x v="72"/>
    </i>
    <i r="3">
      <x v="1"/>
    </i>
    <i r="4">
      <x v="41"/>
    </i>
    <i r="5">
      <x v="1"/>
    </i>
    <i t="blank" r="4">
      <x v="41"/>
    </i>
    <i r="4">
      <x v="42"/>
    </i>
    <i r="5">
      <x v="1"/>
    </i>
    <i t="blank" r="4">
      <x v="42"/>
    </i>
    <i r="4">
      <x v="97"/>
    </i>
    <i r="5">
      <x v="1"/>
    </i>
    <i t="blank" r="4">
      <x v="97"/>
    </i>
    <i r="4">
      <x v="98"/>
    </i>
    <i r="5">
      <x v="1"/>
    </i>
    <i t="blank" r="4">
      <x v="98"/>
    </i>
    <i r="2">
      <x v="82"/>
    </i>
    <i r="3">
      <x v="1"/>
    </i>
    <i r="4">
      <x v="3"/>
    </i>
    <i r="5">
      <x v="1"/>
    </i>
    <i t="blank" r="4">
      <x v="3"/>
    </i>
    <i r="4">
      <x v="42"/>
    </i>
    <i r="5">
      <x v="1"/>
    </i>
    <i t="blank" r="4">
      <x v="42"/>
    </i>
    <i r="4">
      <x v="76"/>
    </i>
    <i r="5">
      <x v="1"/>
    </i>
    <i t="blank" r="4">
      <x v="76"/>
    </i>
    <i r="4">
      <x v="99"/>
    </i>
    <i r="5">
      <x v="1"/>
    </i>
    <i t="blank" r="4">
      <x v="99"/>
    </i>
    <i r="4">
      <x v="100"/>
    </i>
    <i r="5">
      <x v="1"/>
    </i>
    <i t="blank" r="4">
      <x v="100"/>
    </i>
    <i r="4">
      <x v="101"/>
    </i>
    <i r="5">
      <x v="1"/>
    </i>
    <i t="blank" r="4">
      <x v="101"/>
    </i>
    <i t="default" r="1">
      <x v="14"/>
    </i>
    <i t="blank" r="1">
      <x v="14"/>
    </i>
    <i r="1">
      <x v="15"/>
    </i>
    <i r="2">
      <x v="66"/>
    </i>
    <i r="3">
      <x v="1"/>
    </i>
    <i r="4">
      <x v="12"/>
    </i>
    <i r="5">
      <x v="1"/>
    </i>
    <i t="blank" r="4">
      <x v="12"/>
    </i>
    <i r="4">
      <x v="27"/>
    </i>
    <i r="5">
      <x v="1"/>
    </i>
    <i t="blank" r="4">
      <x v="27"/>
    </i>
    <i r="4">
      <x v="28"/>
    </i>
    <i r="5">
      <x v="1"/>
    </i>
    <i t="blank" r="4">
      <x v="28"/>
    </i>
    <i r="2">
      <x v="111"/>
    </i>
    <i r="3">
      <x v="1"/>
    </i>
    <i r="4">
      <x v="12"/>
    </i>
    <i r="5">
      <x v="1"/>
    </i>
    <i t="blank" r="4">
      <x v="12"/>
    </i>
    <i r="2">
      <x v="112"/>
    </i>
    <i r="3">
      <x v="1"/>
    </i>
    <i r="4">
      <x v="12"/>
    </i>
    <i r="5">
      <x v="1"/>
    </i>
    <i t="blank" r="4">
      <x v="12"/>
    </i>
    <i r="2">
      <x v="116"/>
    </i>
    <i r="3">
      <x v="1"/>
    </i>
    <i r="4">
      <x v="104"/>
    </i>
    <i r="5">
      <x v="1"/>
    </i>
    <i t="blank" r="4">
      <x v="104"/>
    </i>
    <i r="2">
      <x v="117"/>
    </i>
    <i r="3">
      <x v="1"/>
    </i>
    <i r="4">
      <x v="104"/>
    </i>
    <i r="5">
      <x v="1"/>
    </i>
    <i t="blank" r="4">
      <x v="104"/>
    </i>
    <i r="4">
      <x v="105"/>
    </i>
    <i r="5">
      <x v="1"/>
    </i>
    <i t="blank" r="4">
      <x v="105"/>
    </i>
    <i r="2">
      <x v="118"/>
    </i>
    <i r="3">
      <x v="1"/>
    </i>
    <i r="4">
      <x v="105"/>
    </i>
    <i r="5">
      <x v="1"/>
    </i>
    <i t="blank" r="4">
      <x v="105"/>
    </i>
    <i r="2">
      <x v="122"/>
    </i>
    <i r="3">
      <x v="1"/>
    </i>
    <i r="4">
      <x v="105"/>
    </i>
    <i r="5">
      <x v="1"/>
    </i>
    <i t="blank" r="4">
      <x v="105"/>
    </i>
    <i r="4">
      <x v="133"/>
    </i>
    <i r="5">
      <x v="1"/>
    </i>
    <i t="blank" r="4">
      <x v="133"/>
    </i>
    <i r="4">
      <x v="134"/>
    </i>
    <i r="5">
      <x v="1"/>
    </i>
    <i t="blank" r="4">
      <x v="134"/>
    </i>
    <i r="2">
      <x v="123"/>
    </i>
    <i r="3">
      <x v="1"/>
    </i>
    <i r="4">
      <x v="134"/>
    </i>
    <i r="5">
      <x v="1"/>
    </i>
    <i t="blank" r="4">
      <x v="134"/>
    </i>
    <i t="default" r="1">
      <x v="15"/>
    </i>
    <i t="blank" r="1">
      <x v="15"/>
    </i>
    <i r="1">
      <x v="17"/>
    </i>
    <i r="2">
      <x v="66"/>
    </i>
    <i r="3">
      <x v="1"/>
    </i>
    <i r="4">
      <x v="29"/>
    </i>
    <i r="5">
      <x v="1"/>
    </i>
    <i t="blank" r="4">
      <x v="29"/>
    </i>
    <i r="2">
      <x v="91"/>
    </i>
    <i r="3">
      <x v="1"/>
    </i>
    <i r="4">
      <x v="29"/>
    </i>
    <i r="5">
      <x v="1"/>
    </i>
    <i t="blank" r="4">
      <x v="29"/>
    </i>
    <i r="4">
      <x v="30"/>
    </i>
    <i r="5">
      <x v="1"/>
    </i>
    <i t="blank" r="4">
      <x v="30"/>
    </i>
    <i r="2">
      <x v="98"/>
    </i>
    <i r="3">
      <x v="1"/>
    </i>
    <i r="4">
      <x v="30"/>
    </i>
    <i r="5">
      <x v="1"/>
    </i>
    <i t="blank" r="4">
      <x v="30"/>
    </i>
    <i r="4">
      <x v="103"/>
    </i>
    <i r="5">
      <x v="1"/>
    </i>
    <i t="blank" r="4">
      <x v="103"/>
    </i>
    <i r="2">
      <x v="128"/>
    </i>
    <i r="3">
      <x v="1"/>
    </i>
    <i r="4">
      <x v="103"/>
    </i>
    <i r="5">
      <x v="1"/>
    </i>
    <i t="blank" r="4">
      <x v="103"/>
    </i>
    <i r="4">
      <x v="119"/>
    </i>
    <i r="5">
      <x v="1"/>
    </i>
    <i t="blank" r="4">
      <x v="119"/>
    </i>
    <i r="4">
      <x v="140"/>
    </i>
    <i r="5">
      <x v="1"/>
    </i>
    <i t="blank" r="4">
      <x v="140"/>
    </i>
    <i t="default" r="1">
      <x v="17"/>
    </i>
    <i t="blank" r="1">
      <x v="17"/>
    </i>
    <i r="1">
      <x v="22"/>
    </i>
    <i r="2">
      <x v="19"/>
    </i>
    <i r="3">
      <x v="1"/>
    </i>
    <i r="4">
      <x v="57"/>
    </i>
    <i r="5">
      <x v="1"/>
    </i>
    <i t="blank" r="4">
      <x v="57"/>
    </i>
    <i r="4">
      <x v="84"/>
    </i>
    <i r="5">
      <x v="1"/>
    </i>
    <i t="blank" r="4">
      <x v="84"/>
    </i>
    <i r="4">
      <x v="85"/>
    </i>
    <i r="5">
      <x v="1"/>
    </i>
    <i t="blank" r="4">
      <x v="85"/>
    </i>
    <i r="2">
      <x v="20"/>
    </i>
    <i r="3">
      <x v="1"/>
    </i>
    <i r="4">
      <x v="57"/>
    </i>
    <i r="5">
      <x v="1"/>
    </i>
    <i t="blank" r="4">
      <x v="57"/>
    </i>
    <i r="2">
      <x v="21"/>
    </i>
    <i r="3">
      <x v="1"/>
    </i>
    <i r="4">
      <x v="57"/>
    </i>
    <i r="5">
      <x v="1"/>
    </i>
    <i t="blank" r="4">
      <x v="57"/>
    </i>
    <i r="4">
      <x v="86"/>
    </i>
    <i r="5">
      <x v="1"/>
    </i>
    <i t="blank" r="4">
      <x v="86"/>
    </i>
    <i r="4">
      <x v="87"/>
    </i>
    <i r="5">
      <x v="1"/>
    </i>
    <i t="blank" r="4">
      <x v="87"/>
    </i>
    <i r="4">
      <x v="88"/>
    </i>
    <i r="5">
      <x v="1"/>
    </i>
    <i t="blank" r="4">
      <x v="88"/>
    </i>
    <i r="4">
      <x v="89"/>
    </i>
    <i r="5">
      <x v="1"/>
    </i>
    <i t="blank" r="4">
      <x v="89"/>
    </i>
    <i r="4">
      <x v="90"/>
    </i>
    <i r="5">
      <x v="1"/>
    </i>
    <i t="blank" r="4">
      <x v="90"/>
    </i>
    <i r="2">
      <x v="23"/>
    </i>
    <i r="3">
      <x v="1"/>
    </i>
    <i r="4">
      <x v="90"/>
    </i>
    <i r="5">
      <x v="1"/>
    </i>
    <i t="blank" r="4">
      <x v="90"/>
    </i>
    <i r="4">
      <x v="91"/>
    </i>
    <i r="5">
      <x v="1"/>
    </i>
    <i t="blank" r="4">
      <x v="91"/>
    </i>
    <i r="2">
      <x v="30"/>
    </i>
    <i r="3">
      <x v="1"/>
    </i>
    <i r="4">
      <x v="12"/>
    </i>
    <i r="5">
      <x v="1"/>
    </i>
    <i t="blank" r="4">
      <x v="12"/>
    </i>
    <i r="4">
      <x v="91"/>
    </i>
    <i r="5">
      <x v="1"/>
    </i>
    <i t="blank" r="4">
      <x v="91"/>
    </i>
    <i r="4">
      <x v="92"/>
    </i>
    <i r="5">
      <x v="1"/>
    </i>
    <i t="blank" r="4">
      <x v="92"/>
    </i>
    <i r="4">
      <x v="93"/>
    </i>
    <i r="5">
      <x v="1"/>
    </i>
    <i t="blank" r="4">
      <x v="93"/>
    </i>
    <i r="2">
      <x v="31"/>
    </i>
    <i r="3">
      <x v="1"/>
    </i>
    <i r="4">
      <x v="12"/>
    </i>
    <i r="5">
      <x v="1"/>
    </i>
    <i t="blank" r="4">
      <x v="12"/>
    </i>
    <i r="2">
      <x v="32"/>
    </i>
    <i r="3">
      <x v="1"/>
    </i>
    <i r="4">
      <x v="12"/>
    </i>
    <i r="5">
      <x v="1"/>
    </i>
    <i t="blank" r="4">
      <x v="12"/>
    </i>
    <i r="2">
      <x v="38"/>
    </i>
    <i r="3">
      <x v="1"/>
    </i>
    <i r="4">
      <x v="12"/>
    </i>
    <i r="5">
      <x v="1"/>
    </i>
    <i t="blank" r="4">
      <x v="12"/>
    </i>
    <i r="2">
      <x v="39"/>
    </i>
    <i r="3">
      <x v="1"/>
    </i>
    <i r="4">
      <x v="12"/>
    </i>
    <i r="5">
      <x v="1"/>
    </i>
    <i t="blank" r="4">
      <x v="12"/>
    </i>
    <i r="2">
      <x v="40"/>
    </i>
    <i r="3">
      <x v="1"/>
    </i>
    <i r="4">
      <x v="12"/>
    </i>
    <i r="5">
      <x v="1"/>
    </i>
    <i t="blank" r="4">
      <x v="12"/>
    </i>
    <i r="2">
      <x v="41"/>
    </i>
    <i r="3">
      <x v="1"/>
    </i>
    <i r="4">
      <x v="12"/>
    </i>
    <i r="5">
      <x v="1"/>
    </i>
    <i t="blank" r="4">
      <x v="12"/>
    </i>
    <i r="2">
      <x v="43"/>
    </i>
    <i r="3">
      <x v="1"/>
    </i>
    <i r="4">
      <x v="12"/>
    </i>
    <i r="5">
      <x v="1"/>
    </i>
    <i t="blank" r="4">
      <x v="12"/>
    </i>
    <i r="4">
      <x v="94"/>
    </i>
    <i r="5">
      <x v="1"/>
    </i>
    <i t="blank" r="4">
      <x v="94"/>
    </i>
    <i r="2">
      <x v="44"/>
    </i>
    <i r="3">
      <x v="1"/>
    </i>
    <i r="4">
      <x v="94"/>
    </i>
    <i r="5">
      <x v="1"/>
    </i>
    <i t="blank" r="4">
      <x v="94"/>
    </i>
    <i r="4">
      <x v="95"/>
    </i>
    <i r="5">
      <x v="1"/>
    </i>
    <i t="blank" r="4">
      <x v="95"/>
    </i>
    <i r="2">
      <x v="45"/>
    </i>
    <i r="3">
      <x v="1"/>
    </i>
    <i r="4">
      <x v="65"/>
    </i>
    <i r="5">
      <x v="1"/>
    </i>
    <i t="blank" r="4">
      <x v="65"/>
    </i>
    <i r="4">
      <x v="95"/>
    </i>
    <i r="5">
      <x v="1"/>
    </i>
    <i t="blank" r="4">
      <x v="95"/>
    </i>
    <i r="2">
      <x v="46"/>
    </i>
    <i r="3">
      <x v="1"/>
    </i>
    <i r="4">
      <x v="65"/>
    </i>
    <i r="5">
      <x v="1"/>
    </i>
    <i t="blank" r="4">
      <x v="65"/>
    </i>
    <i t="default" r="1">
      <x v="22"/>
    </i>
    <i t="blank" r="1">
      <x v="22"/>
    </i>
    <i r="1">
      <x v="24"/>
    </i>
    <i r="2">
      <x v="65"/>
    </i>
    <i r="3">
      <x v="1"/>
    </i>
    <i r="4">
      <x v="35"/>
    </i>
    <i r="5">
      <x v="1"/>
    </i>
    <i t="blank" r="4">
      <x v="35"/>
    </i>
    <i r="2">
      <x v="66"/>
    </i>
    <i r="3">
      <x v="1"/>
    </i>
    <i r="4">
      <x v="31"/>
    </i>
    <i r="5">
      <x v="1"/>
    </i>
    <i t="blank" r="4">
      <x v="31"/>
    </i>
    <i r="4">
      <x v="32"/>
    </i>
    <i r="5">
      <x v="1"/>
    </i>
    <i t="blank" r="4">
      <x v="32"/>
    </i>
    <i r="4">
      <x v="33"/>
    </i>
    <i r="5">
      <x v="1"/>
    </i>
    <i t="blank" r="4">
      <x v="33"/>
    </i>
    <i r="4">
      <x v="34"/>
    </i>
    <i r="5">
      <x v="1"/>
    </i>
    <i t="blank" r="4">
      <x v="34"/>
    </i>
    <i t="default" r="1">
      <x v="24"/>
    </i>
    <i t="blank" r="1">
      <x v="24"/>
    </i>
    <i r="1">
      <x v="25"/>
    </i>
    <i r="2">
      <x v="66"/>
    </i>
    <i r="3">
      <x v="1"/>
    </i>
    <i r="4">
      <x v="2"/>
    </i>
    <i r="5">
      <x v="1"/>
    </i>
    <i t="blank" r="4">
      <x v="2"/>
    </i>
    <i r="2">
      <x v="151"/>
    </i>
    <i r="3">
      <x v="1"/>
    </i>
    <i r="4">
      <x v="2"/>
    </i>
    <i r="5">
      <x v="1"/>
    </i>
    <i t="blank" r="4">
      <x v="2"/>
    </i>
    <i r="4">
      <x v="12"/>
    </i>
    <i r="5">
      <x v="1"/>
    </i>
    <i t="blank" r="4">
      <x v="12"/>
    </i>
    <i r="2">
      <x v="153"/>
    </i>
    <i r="3">
      <x v="1"/>
    </i>
    <i r="4">
      <x v="12"/>
    </i>
    <i r="5">
      <x v="1"/>
    </i>
    <i t="blank" r="4">
      <x v="12"/>
    </i>
    <i r="2">
      <x v="167"/>
    </i>
    <i r="3">
      <x v="1"/>
    </i>
    <i r="4">
      <x v="12"/>
    </i>
    <i r="5">
      <x v="1"/>
    </i>
    <i t="blank" r="4">
      <x v="12"/>
    </i>
    <i t="default" r="1">
      <x v="25"/>
    </i>
    <i t="blank" r="1">
      <x v="25"/>
    </i>
    <i r="1">
      <x v="27"/>
    </i>
    <i r="2">
      <x v="66"/>
    </i>
    <i r="3">
      <x v="1"/>
    </i>
    <i r="4">
      <x v="36"/>
    </i>
    <i r="5">
      <x v="1"/>
    </i>
    <i t="blank" r="4">
      <x v="36"/>
    </i>
    <i t="default" r="1">
      <x v="27"/>
    </i>
    <i t="blank" r="1">
      <x v="27"/>
    </i>
    <i r="1">
      <x v="28"/>
    </i>
    <i r="2">
      <x v="62"/>
    </i>
    <i r="3">
      <x v="1"/>
    </i>
    <i r="4">
      <x v="37"/>
    </i>
    <i r="5">
      <x v="1"/>
    </i>
    <i t="blank" r="4">
      <x v="37"/>
    </i>
    <i r="4">
      <x v="38"/>
    </i>
    <i r="5">
      <x v="1"/>
    </i>
    <i t="blank" r="4">
      <x v="38"/>
    </i>
    <i r="2">
      <x v="63"/>
    </i>
    <i r="3">
      <x v="1"/>
    </i>
    <i r="4">
      <x v="38"/>
    </i>
    <i r="5">
      <x v="1"/>
    </i>
    <i t="blank" r="4">
      <x v="38"/>
    </i>
    <i r="2">
      <x v="66"/>
    </i>
    <i r="3">
      <x v="1"/>
    </i>
    <i r="4">
      <x v="38"/>
    </i>
    <i r="5">
      <x v="1"/>
    </i>
    <i t="blank" r="4">
      <x v="38"/>
    </i>
    <i r="4">
      <x v="39"/>
    </i>
    <i r="5">
      <x v="1"/>
    </i>
    <i t="blank" r="4">
      <x v="39"/>
    </i>
    <i r="2">
      <x v="101"/>
    </i>
    <i r="3">
      <x v="1"/>
    </i>
    <i r="4">
      <x v="39"/>
    </i>
    <i r="5">
      <x v="1"/>
    </i>
    <i t="blank" r="4">
      <x v="39"/>
    </i>
    <i r="4">
      <x v="61"/>
    </i>
    <i r="5">
      <x v="1"/>
    </i>
    <i t="blank" r="4">
      <x v="61"/>
    </i>
    <i r="2">
      <x v="111"/>
    </i>
    <i r="3">
      <x v="1"/>
    </i>
    <i r="4">
      <x v="61"/>
    </i>
    <i r="5">
      <x v="1"/>
    </i>
    <i t="blank" r="4">
      <x v="61"/>
    </i>
    <i r="2">
      <x v="114"/>
    </i>
    <i r="3">
      <x v="1"/>
    </i>
    <i r="4">
      <x v="61"/>
    </i>
    <i r="5">
      <x v="1"/>
    </i>
    <i t="blank" r="4">
      <x v="61"/>
    </i>
    <i r="4">
      <x v="106"/>
    </i>
    <i r="5">
      <x v="1"/>
    </i>
    <i t="blank" r="4">
      <x v="106"/>
    </i>
    <i r="4">
      <x v="107"/>
    </i>
    <i r="5">
      <x v="1"/>
    </i>
    <i t="blank" r="4">
      <x v="107"/>
    </i>
    <i r="2">
      <x v="115"/>
    </i>
    <i r="3">
      <x v="1"/>
    </i>
    <i r="4">
      <x v="107"/>
    </i>
    <i r="5">
      <x v="1"/>
    </i>
    <i t="blank" r="4">
      <x v="107"/>
    </i>
    <i t="default" r="1">
      <x v="28"/>
    </i>
    <i t="blank" r="1">
      <x v="28"/>
    </i>
    <i r="1">
      <x v="30"/>
    </i>
    <i r="2">
      <x v="50"/>
    </i>
    <i r="3">
      <x v="1"/>
    </i>
    <i r="4">
      <x v="57"/>
    </i>
    <i r="5">
      <x v="1"/>
    </i>
    <i t="blank" r="4">
      <x v="57"/>
    </i>
    <i r="4">
      <x v="84"/>
    </i>
    <i r="5">
      <x v="1"/>
    </i>
    <i t="blank" r="4">
      <x v="84"/>
    </i>
    <i r="2">
      <x v="51"/>
    </i>
    <i r="3">
      <x v="1"/>
    </i>
    <i r="4">
      <x v="57"/>
    </i>
    <i r="5">
      <x v="1"/>
    </i>
    <i t="blank" r="4">
      <x v="57"/>
    </i>
    <i r="2">
      <x v="54"/>
    </i>
    <i r="3">
      <x v="1"/>
    </i>
    <i r="4">
      <x v="57"/>
    </i>
    <i r="5">
      <x v="1"/>
    </i>
    <i t="blank" r="4">
      <x v="57"/>
    </i>
    <i r="4">
      <x v="86"/>
    </i>
    <i r="5">
      <x v="1"/>
    </i>
    <i t="blank" r="4">
      <x v="86"/>
    </i>
    <i r="2">
      <x v="55"/>
    </i>
    <i r="3">
      <x v="1"/>
    </i>
    <i r="4">
      <x v="28"/>
    </i>
    <i r="5">
      <x v="1"/>
    </i>
    <i t="blank" r="4">
      <x v="28"/>
    </i>
    <i r="4">
      <x v="86"/>
    </i>
    <i r="5">
      <x v="1"/>
    </i>
    <i t="blank" r="4">
      <x v="86"/>
    </i>
    <i r="2">
      <x v="56"/>
    </i>
    <i r="3">
      <x v="1"/>
    </i>
    <i r="4">
      <x v="12"/>
    </i>
    <i r="5">
      <x v="1"/>
    </i>
    <i t="blank" r="4">
      <x v="12"/>
    </i>
    <i r="4">
      <x v="28"/>
    </i>
    <i r="5">
      <x v="1"/>
    </i>
    <i t="blank" r="4">
      <x v="28"/>
    </i>
    <i r="4">
      <x v="93"/>
    </i>
    <i r="5">
      <x v="1"/>
    </i>
    <i t="blank" r="4">
      <x v="93"/>
    </i>
    <i r="2">
      <x v="59"/>
    </i>
    <i r="3">
      <x v="1"/>
    </i>
    <i r="4">
      <x v="12"/>
    </i>
    <i r="5">
      <x v="1"/>
    </i>
    <i t="blank" r="4">
      <x v="12"/>
    </i>
    <i r="2">
      <x v="60"/>
    </i>
    <i r="3">
      <x v="1"/>
    </i>
    <i r="4">
      <x v="12"/>
    </i>
    <i r="5">
      <x v="1"/>
    </i>
    <i t="blank" r="4">
      <x v="12"/>
    </i>
    <i r="4">
      <x v="94"/>
    </i>
    <i r="5">
      <x v="1"/>
    </i>
    <i t="blank" r="4">
      <x v="94"/>
    </i>
    <i r="4">
      <x v="96"/>
    </i>
    <i r="5">
      <x v="1"/>
    </i>
    <i t="blank" r="4">
      <x v="96"/>
    </i>
    <i r="2">
      <x v="61"/>
    </i>
    <i r="3">
      <x v="1"/>
    </i>
    <i r="4">
      <x v="96"/>
    </i>
    <i r="5">
      <x v="1"/>
    </i>
    <i t="blank" r="4">
      <x v="96"/>
    </i>
    <i r="2">
      <x v="62"/>
    </i>
    <i r="3">
      <x v="1"/>
    </i>
    <i r="4">
      <x v="3"/>
    </i>
    <i r="5">
      <x v="1"/>
    </i>
    <i t="blank" r="4">
      <x v="3"/>
    </i>
    <i r="4">
      <x v="96"/>
    </i>
    <i r="5">
      <x v="1"/>
    </i>
    <i t="blank" r="4">
      <x v="96"/>
    </i>
    <i r="2">
      <x v="63"/>
    </i>
    <i r="3">
      <x v="1"/>
    </i>
    <i r="4">
      <x v="3"/>
    </i>
    <i r="5">
      <x v="1"/>
    </i>
    <i t="blank" r="4">
      <x v="3"/>
    </i>
    <i t="default" r="1">
      <x v="30"/>
    </i>
    <i t="blank" r="1">
      <x v="30"/>
    </i>
    <i r="1">
      <x v="34"/>
    </i>
    <i r="2">
      <x v="66"/>
    </i>
    <i r="3">
      <x v="1"/>
    </i>
    <i r="4">
      <x v="40"/>
    </i>
    <i r="5">
      <x v="1"/>
    </i>
    <i t="blank" r="4">
      <x v="40"/>
    </i>
    <i r="4">
      <x v="41"/>
    </i>
    <i r="5">
      <x v="1"/>
    </i>
    <i t="blank" r="4">
      <x v="41"/>
    </i>
    <i r="4">
      <x v="42"/>
    </i>
    <i r="5">
      <x v="1"/>
    </i>
    <i t="blank" r="4">
      <x v="42"/>
    </i>
    <i r="2">
      <x v="67"/>
    </i>
    <i r="3">
      <x v="1"/>
    </i>
    <i r="4">
      <x v="42"/>
    </i>
    <i r="5">
      <x v="1"/>
    </i>
    <i t="blank" r="4">
      <x v="42"/>
    </i>
    <i r="4">
      <x v="43"/>
    </i>
    <i r="5">
      <x v="1"/>
    </i>
    <i t="blank" r="4">
      <x v="43"/>
    </i>
    <i r="2">
      <x v="86"/>
    </i>
    <i r="3">
      <x v="1"/>
    </i>
    <i r="4">
      <x v="43"/>
    </i>
    <i r="5">
      <x v="1"/>
    </i>
    <i t="blank" r="4">
      <x v="43"/>
    </i>
    <i r="4">
      <x v="44"/>
    </i>
    <i r="5">
      <x v="1"/>
    </i>
    <i t="blank" r="4">
      <x v="44"/>
    </i>
    <i r="4">
      <x v="45"/>
    </i>
    <i r="5">
      <x v="1"/>
    </i>
    <i t="blank" r="4">
      <x v="45"/>
    </i>
    <i r="2">
      <x v="87"/>
    </i>
    <i r="3">
      <x v="1"/>
    </i>
    <i r="4">
      <x v="43"/>
    </i>
    <i r="5">
      <x v="1"/>
    </i>
    <i t="blank" r="4">
      <x v="43"/>
    </i>
    <i r="2">
      <x v="91"/>
    </i>
    <i r="3">
      <x v="1"/>
    </i>
    <i r="4">
      <x v="43"/>
    </i>
    <i r="5">
      <x v="1"/>
    </i>
    <i t="blank" r="4">
      <x v="43"/>
    </i>
    <i r="4">
      <x v="45"/>
    </i>
    <i r="5">
      <x v="1"/>
    </i>
    <i t="blank" r="4">
      <x v="45"/>
    </i>
    <i r="2">
      <x v="92"/>
    </i>
    <i r="3">
      <x v="1"/>
    </i>
    <i r="4">
      <x v="45"/>
    </i>
    <i r="5">
      <x v="1"/>
    </i>
    <i t="blank" r="4">
      <x v="45"/>
    </i>
    <i r="2">
      <x v="93"/>
    </i>
    <i r="3">
      <x v="1"/>
    </i>
    <i r="4">
      <x v="45"/>
    </i>
    <i r="5">
      <x v="1"/>
    </i>
    <i t="blank" r="4">
      <x v="45"/>
    </i>
    <i r="2">
      <x v="101"/>
    </i>
    <i r="3">
      <x v="1"/>
    </i>
    <i r="4">
      <x v="45"/>
    </i>
    <i r="5">
      <x v="1"/>
    </i>
    <i t="blank" r="4">
      <x v="45"/>
    </i>
    <i r="4">
      <x v="102"/>
    </i>
    <i r="5">
      <x v="1"/>
    </i>
    <i t="blank" r="4">
      <x v="102"/>
    </i>
    <i r="2">
      <x v="124"/>
    </i>
    <i r="3">
      <x v="1"/>
    </i>
    <i r="4">
      <x v="102"/>
    </i>
    <i r="5">
      <x v="1"/>
    </i>
    <i t="blank" r="4">
      <x v="102"/>
    </i>
    <i r="2">
      <x v="125"/>
    </i>
    <i r="3">
      <x v="1"/>
    </i>
    <i r="4">
      <x v="96"/>
    </i>
    <i r="5">
      <x v="1"/>
    </i>
    <i t="blank" r="4">
      <x v="96"/>
    </i>
    <i r="4">
      <x v="102"/>
    </i>
    <i r="5">
      <x v="1"/>
    </i>
    <i t="blank" r="4">
      <x v="102"/>
    </i>
    <i r="4">
      <x v="136"/>
    </i>
    <i r="5">
      <x v="1"/>
    </i>
    <i t="blank" r="4">
      <x v="136"/>
    </i>
    <i r="2">
      <x v="126"/>
    </i>
    <i r="3">
      <x v="1"/>
    </i>
    <i r="4">
      <x v="96"/>
    </i>
    <i r="5">
      <x v="1"/>
    </i>
    <i t="blank" r="4">
      <x v="96"/>
    </i>
    <i r="4">
      <x v="99"/>
    </i>
    <i r="5">
      <x v="1"/>
    </i>
    <i t="blank" r="4">
      <x v="99"/>
    </i>
    <i r="2">
      <x v="134"/>
    </i>
    <i r="3">
      <x v="1"/>
    </i>
    <i r="4">
      <x v="99"/>
    </i>
    <i r="5">
      <x v="1"/>
    </i>
    <i t="blank" r="4">
      <x v="99"/>
    </i>
    <i r="4">
      <x v="112"/>
    </i>
    <i r="5">
      <x v="1"/>
    </i>
    <i t="blank" r="4">
      <x v="112"/>
    </i>
    <i r="4">
      <x v="141"/>
    </i>
    <i r="5">
      <x v="1"/>
    </i>
    <i t="blank" r="4">
      <x v="141"/>
    </i>
    <i r="4">
      <x v="142"/>
    </i>
    <i r="5">
      <x v="1"/>
    </i>
    <i t="blank" r="4">
      <x v="142"/>
    </i>
    <i r="2">
      <x v="135"/>
    </i>
    <i r="3">
      <x v="1"/>
    </i>
    <i r="4">
      <x v="142"/>
    </i>
    <i r="5">
      <x v="1"/>
    </i>
    <i t="blank" r="4">
      <x v="142"/>
    </i>
    <i r="2">
      <x v="138"/>
    </i>
    <i r="3">
      <x v="1"/>
    </i>
    <i r="4">
      <x v="100"/>
    </i>
    <i r="5">
      <x v="1"/>
    </i>
    <i t="blank" r="4">
      <x v="100"/>
    </i>
    <i r="4">
      <x v="142"/>
    </i>
    <i r="5">
      <x v="1"/>
    </i>
    <i t="blank" r="4">
      <x v="142"/>
    </i>
    <i r="2">
      <x v="139"/>
    </i>
    <i r="3">
      <x v="1"/>
    </i>
    <i r="4">
      <x v="100"/>
    </i>
    <i r="5">
      <x v="1"/>
    </i>
    <i t="blank" r="4">
      <x v="100"/>
    </i>
    <i r="2">
      <x v="142"/>
    </i>
    <i r="3">
      <x v="1"/>
    </i>
    <i r="4">
      <x v="100"/>
    </i>
    <i r="5">
      <x v="1"/>
    </i>
    <i t="blank" r="4">
      <x v="100"/>
    </i>
    <i r="4">
      <x v="143"/>
    </i>
    <i r="5">
      <x v="1"/>
    </i>
    <i t="blank" r="4">
      <x v="143"/>
    </i>
    <i r="2">
      <x v="144"/>
    </i>
    <i r="3">
      <x v="1"/>
    </i>
    <i r="4">
      <x v="143"/>
    </i>
    <i r="5">
      <x v="1"/>
    </i>
    <i t="blank" r="4">
      <x v="143"/>
    </i>
    <i r="4">
      <x v="150"/>
    </i>
    <i r="5">
      <x v="1"/>
    </i>
    <i t="blank" r="4">
      <x v="150"/>
    </i>
    <i t="default" r="1">
      <x v="34"/>
    </i>
    <i t="blank" r="1">
      <x v="34"/>
    </i>
    <i r="1">
      <x v="36"/>
    </i>
    <i r="2">
      <x v="59"/>
    </i>
    <i r="3">
      <x v="1"/>
    </i>
    <i r="4">
      <x v="191"/>
    </i>
    <i r="5">
      <x v="1"/>
    </i>
    <i t="blank" r="4">
      <x v="191"/>
    </i>
    <i t="default" r="1">
      <x v="36"/>
    </i>
    <i t="blank" r="1">
      <x v="36"/>
    </i>
    <i r="1">
      <x v="41"/>
    </i>
    <i r="2">
      <x v="66"/>
    </i>
    <i r="3">
      <x v="1"/>
    </i>
    <i r="4">
      <x v="2"/>
    </i>
    <i r="5">
      <x v="1"/>
    </i>
    <i t="blank" r="4">
      <x v="2"/>
    </i>
    <i t="default" r="1">
      <x v="41"/>
    </i>
    <i t="blank" r="1">
      <x v="41"/>
    </i>
    <i r="1">
      <x v="42"/>
    </i>
    <i r="2">
      <x v="7"/>
    </i>
    <i r="3">
      <x v="1"/>
    </i>
    <i r="4">
      <x v="132"/>
    </i>
    <i r="5">
      <x v="1"/>
    </i>
    <i t="blank" r="4">
      <x v="132"/>
    </i>
    <i r="2">
      <x v="8"/>
    </i>
    <i r="3">
      <x v="1"/>
    </i>
    <i r="4">
      <x v="132"/>
    </i>
    <i r="5">
      <x v="1"/>
    </i>
    <i t="blank" r="4">
      <x v="132"/>
    </i>
    <i r="2">
      <x v="12"/>
    </i>
    <i r="3">
      <x v="1"/>
    </i>
    <i r="4">
      <x v="132"/>
    </i>
    <i r="5">
      <x v="1"/>
    </i>
    <i t="blank" r="4">
      <x v="132"/>
    </i>
    <i r="2">
      <x v="13"/>
    </i>
    <i r="3">
      <x v="1"/>
    </i>
    <i r="4">
      <x v="132"/>
    </i>
    <i r="5">
      <x v="1"/>
    </i>
    <i t="blank" r="4">
      <x v="132"/>
    </i>
    <i r="2">
      <x v="14"/>
    </i>
    <i r="3">
      <x v="1"/>
    </i>
    <i r="4">
      <x v="132"/>
    </i>
    <i r="5">
      <x v="1"/>
    </i>
    <i t="blank" r="4">
      <x v="132"/>
    </i>
    <i r="2">
      <x v="25"/>
    </i>
    <i r="3">
      <x v="1"/>
    </i>
    <i r="4">
      <x v="132"/>
    </i>
    <i r="5">
      <x v="1"/>
    </i>
    <i t="blank" r="4">
      <x v="132"/>
    </i>
    <i r="2">
      <x v="26"/>
    </i>
    <i r="3">
      <x v="1"/>
    </i>
    <i r="4">
      <x v="132"/>
    </i>
    <i r="5">
      <x v="1"/>
    </i>
    <i t="blank" r="4">
      <x v="132"/>
    </i>
    <i r="2">
      <x v="34"/>
    </i>
    <i r="3">
      <x v="1"/>
    </i>
    <i r="4">
      <x v="132"/>
    </i>
    <i r="5">
      <x v="1"/>
    </i>
    <i t="blank" r="4">
      <x v="132"/>
    </i>
    <i r="2">
      <x v="66"/>
    </i>
    <i r="3">
      <x v="1"/>
    </i>
    <i r="4">
      <x v="132"/>
    </i>
    <i r="5">
      <x v="1"/>
    </i>
    <i t="blank" r="4">
      <x v="132"/>
    </i>
    <i r="2">
      <x v="123"/>
    </i>
    <i r="3">
      <x v="1"/>
    </i>
    <i r="4">
      <x v="12"/>
    </i>
    <i r="5">
      <x v="1"/>
    </i>
    <i t="blank" r="4">
      <x v="12"/>
    </i>
    <i r="4">
      <x v="132"/>
    </i>
    <i r="5">
      <x v="1"/>
    </i>
    <i t="blank" r="4">
      <x v="132"/>
    </i>
    <i r="2">
      <x v="160"/>
    </i>
    <i r="3">
      <x v="1"/>
    </i>
    <i r="4">
      <x v="12"/>
    </i>
    <i r="5">
      <x v="1"/>
    </i>
    <i t="blank" r="4">
      <x v="12"/>
    </i>
    <i r="2">
      <x v="161"/>
    </i>
    <i r="3">
      <x v="1"/>
    </i>
    <i r="4">
      <x v="12"/>
    </i>
    <i r="5">
      <x v="1"/>
    </i>
    <i t="blank" r="4">
      <x v="12"/>
    </i>
    <i t="default" r="1">
      <x v="42"/>
    </i>
    <i t="blank" r="1">
      <x v="42"/>
    </i>
    <i r="1">
      <x v="45"/>
    </i>
    <i r="2">
      <x v="66"/>
    </i>
    <i r="3">
      <x v="1"/>
    </i>
    <i r="4">
      <x v="46"/>
    </i>
    <i r="5">
      <x v="1"/>
    </i>
    <i t="blank" r="4">
      <x v="46"/>
    </i>
    <i r="4">
      <x v="47"/>
    </i>
    <i r="5">
      <x v="1"/>
    </i>
    <i t="blank" r="4">
      <x v="47"/>
    </i>
    <i r="4">
      <x v="48"/>
    </i>
    <i r="5">
      <x v="1"/>
    </i>
    <i t="blank" r="4">
      <x v="48"/>
    </i>
    <i t="default" r="1">
      <x v="45"/>
    </i>
    <i t="blank" r="1">
      <x v="45"/>
    </i>
    <i r="1">
      <x v="53"/>
    </i>
    <i r="2">
      <x v="66"/>
    </i>
    <i r="3">
      <x v="1"/>
    </i>
    <i r="4">
      <x v="2"/>
    </i>
    <i r="5">
      <x v="1"/>
    </i>
    <i t="blank" r="4">
      <x v="2"/>
    </i>
    <i t="default" r="1">
      <x v="53"/>
    </i>
    <i t="blank" r="1">
      <x v="53"/>
    </i>
    <i r="1">
      <x v="57"/>
    </i>
    <i r="2">
      <x v="66"/>
    </i>
    <i r="3">
      <x v="1"/>
    </i>
    <i r="4">
      <x v="47"/>
    </i>
    <i r="5">
      <x v="1"/>
    </i>
    <i t="blank" r="4">
      <x v="47"/>
    </i>
    <i r="4">
      <x v="49"/>
    </i>
    <i r="5">
      <x v="1"/>
    </i>
    <i t="blank" r="4">
      <x v="49"/>
    </i>
    <i r="4">
      <x v="50"/>
    </i>
    <i r="5">
      <x v="1"/>
    </i>
    <i t="blank" r="4">
      <x v="50"/>
    </i>
    <i r="4">
      <x v="51"/>
    </i>
    <i r="5">
      <x v="1"/>
    </i>
    <i t="blank" r="4">
      <x v="51"/>
    </i>
    <i r="2">
      <x v="163"/>
    </i>
    <i r="3">
      <x v="1"/>
    </i>
    <i r="4">
      <x v="47"/>
    </i>
    <i r="5">
      <x v="1"/>
    </i>
    <i t="blank" r="4">
      <x v="47"/>
    </i>
    <i r="4">
      <x v="53"/>
    </i>
    <i r="5">
      <x v="1"/>
    </i>
    <i t="blank" r="4">
      <x v="53"/>
    </i>
    <i r="4">
      <x v="190"/>
    </i>
    <i r="5">
      <x v="1"/>
    </i>
    <i t="blank" r="4">
      <x v="190"/>
    </i>
    <i t="default" r="1">
      <x v="57"/>
    </i>
    <i t="blank" r="1">
      <x v="57"/>
    </i>
    <i r="1">
      <x v="61"/>
    </i>
    <i r="2">
      <x v="66"/>
    </i>
    <i r="3">
      <x v="1"/>
    </i>
    <i r="4">
      <x v="52"/>
    </i>
    <i r="5">
      <x v="1"/>
    </i>
    <i t="blank" r="4">
      <x v="52"/>
    </i>
    <i r="2">
      <x v="119"/>
    </i>
    <i r="3">
      <x v="1"/>
    </i>
    <i r="4">
      <x v="52"/>
    </i>
    <i r="5">
      <x v="1"/>
    </i>
    <i t="blank" r="4">
      <x v="52"/>
    </i>
    <i r="2">
      <x v="120"/>
    </i>
    <i r="3">
      <x v="1"/>
    </i>
    <i r="4">
      <x v="52"/>
    </i>
    <i r="5">
      <x v="1"/>
    </i>
    <i t="blank" r="4">
      <x v="52"/>
    </i>
    <i r="2">
      <x v="121"/>
    </i>
    <i r="3">
      <x v="1"/>
    </i>
    <i r="4">
      <x v="52"/>
    </i>
    <i r="5">
      <x v="1"/>
    </i>
    <i t="blank" r="4">
      <x v="52"/>
    </i>
    <i t="default" r="1">
      <x v="61"/>
    </i>
    <i t="blank" r="1">
      <x v="61"/>
    </i>
    <i r="1">
      <x v="62"/>
    </i>
    <i r="2">
      <x v="30"/>
    </i>
    <i r="3">
      <x v="1"/>
    </i>
    <i r="4">
      <x v="53"/>
    </i>
    <i r="5">
      <x v="1"/>
    </i>
    <i t="blank" r="4">
      <x v="53"/>
    </i>
    <i r="4">
      <x v="54"/>
    </i>
    <i r="5">
      <x v="1"/>
    </i>
    <i t="blank" r="4">
      <x v="54"/>
    </i>
    <i r="4">
      <x v="55"/>
    </i>
    <i r="5">
      <x v="1"/>
    </i>
    <i t="blank" r="4">
      <x v="55"/>
    </i>
    <i r="2">
      <x v="66"/>
    </i>
    <i r="3">
      <x v="1"/>
    </i>
    <i r="4">
      <x v="12"/>
    </i>
    <i r="5">
      <x v="1"/>
    </i>
    <i t="blank" r="4">
      <x v="12"/>
    </i>
    <i r="4">
      <x v="25"/>
    </i>
    <i r="5">
      <x v="1"/>
    </i>
    <i t="blank" r="4">
      <x v="25"/>
    </i>
    <i r="4">
      <x v="55"/>
    </i>
    <i r="5">
      <x v="1"/>
    </i>
    <i t="blank" r="4">
      <x v="55"/>
    </i>
    <i r="4">
      <x v="56"/>
    </i>
    <i r="5">
      <x v="1"/>
    </i>
    <i t="blank" r="4">
      <x v="56"/>
    </i>
    <i r="4">
      <x v="57"/>
    </i>
    <i r="5">
      <x v="1"/>
    </i>
    <i t="blank" r="4">
      <x v="57"/>
    </i>
    <i r="4">
      <x v="58"/>
    </i>
    <i r="5">
      <x v="1"/>
    </i>
    <i t="blank" r="4">
      <x v="58"/>
    </i>
    <i r="2">
      <x v="128"/>
    </i>
    <i r="3">
      <x v="1"/>
    </i>
    <i r="4">
      <x v="12"/>
    </i>
    <i r="5">
      <x v="1"/>
    </i>
    <i t="blank" r="4">
      <x v="12"/>
    </i>
    <i t="default" r="1">
      <x v="62"/>
    </i>
    <i t="blank" r="1">
      <x v="62"/>
    </i>
    <i r="1">
      <x v="64"/>
    </i>
    <i r="2">
      <x v="66"/>
    </i>
    <i r="3">
      <x v="1"/>
    </i>
    <i r="4">
      <x v="2"/>
    </i>
    <i r="5">
      <x v="1"/>
    </i>
    <i t="blank" r="4">
      <x v="2"/>
    </i>
    <i t="default" r="1">
      <x v="64"/>
    </i>
    <i t="blank" r="1">
      <x v="64"/>
    </i>
    <i r="1">
      <x v="65"/>
    </i>
    <i r="2">
      <x v="151"/>
    </i>
    <i r="3">
      <x v="1"/>
    </i>
    <i r="4">
      <x v="154"/>
    </i>
    <i r="5">
      <x v="1"/>
    </i>
    <i t="blank" r="4">
      <x v="154"/>
    </i>
    <i r="4">
      <x v="155"/>
    </i>
    <i r="5">
      <x v="1"/>
    </i>
    <i t="blank" r="4">
      <x v="155"/>
    </i>
    <i r="2">
      <x v="153"/>
    </i>
    <i r="3">
      <x v="1"/>
    </i>
    <i r="4">
      <x v="155"/>
    </i>
    <i r="5">
      <x v="1"/>
    </i>
    <i t="blank" r="4">
      <x v="155"/>
    </i>
    <i r="4">
      <x v="156"/>
    </i>
    <i r="5">
      <x v="1"/>
    </i>
    <i t="blank" r="4">
      <x v="156"/>
    </i>
    <i r="4">
      <x v="157"/>
    </i>
    <i r="5">
      <x v="1"/>
    </i>
    <i t="blank" r="4">
      <x v="157"/>
    </i>
    <i r="4">
      <x v="158"/>
    </i>
    <i r="5">
      <x v="1"/>
    </i>
    <i t="blank" r="4">
      <x v="158"/>
    </i>
    <i r="2">
      <x v="154"/>
    </i>
    <i r="3">
      <x v="1"/>
    </i>
    <i r="4">
      <x v="158"/>
    </i>
    <i r="5">
      <x v="1"/>
    </i>
    <i t="blank" r="4">
      <x v="158"/>
    </i>
    <i r="2">
      <x v="156"/>
    </i>
    <i r="3">
      <x v="1"/>
    </i>
    <i r="4">
      <x v="150"/>
    </i>
    <i r="5">
      <x v="1"/>
    </i>
    <i t="blank" r="4">
      <x v="150"/>
    </i>
    <i r="4">
      <x v="158"/>
    </i>
    <i r="5">
      <x v="1"/>
    </i>
    <i t="blank" r="4">
      <x v="158"/>
    </i>
    <i t="default" r="1">
      <x v="65"/>
    </i>
    <i t="blank" r="1">
      <x v="65"/>
    </i>
    <i r="1">
      <x v="70"/>
    </i>
    <i r="2">
      <x v="66"/>
    </i>
    <i r="3">
      <x v="1"/>
    </i>
    <i r="4">
      <x v="2"/>
    </i>
    <i r="5">
      <x v="1"/>
    </i>
    <i t="blank" r="4">
      <x v="2"/>
    </i>
    <i t="default" r="1">
      <x v="70"/>
    </i>
    <i t="blank" r="1">
      <x v="70"/>
    </i>
    <i r="1">
      <x v="74"/>
    </i>
    <i r="2">
      <x v="66"/>
    </i>
    <i r="3">
      <x v="1"/>
    </i>
    <i r="4">
      <x v="2"/>
    </i>
    <i r="5">
      <x v="1"/>
    </i>
    <i t="blank" r="4">
      <x v="2"/>
    </i>
    <i r="4">
      <x v="59"/>
    </i>
    <i r="5">
      <x v="1"/>
    </i>
    <i t="blank" r="4">
      <x v="59"/>
    </i>
    <i t="default" r="1">
      <x v="74"/>
    </i>
    <i t="blank" r="1">
      <x v="74"/>
    </i>
    <i r="1">
      <x v="75"/>
    </i>
    <i r="2">
      <x v="66"/>
    </i>
    <i r="3">
      <x v="1"/>
    </i>
    <i r="4">
      <x v="2"/>
    </i>
    <i r="5">
      <x v="1"/>
    </i>
    <i t="blank" r="4">
      <x v="2"/>
    </i>
    <i r="2">
      <x v="91"/>
    </i>
    <i r="3">
      <x v="1"/>
    </i>
    <i r="4">
      <x v="2"/>
    </i>
    <i r="5">
      <x v="1"/>
    </i>
    <i t="blank" r="4">
      <x v="2"/>
    </i>
    <i t="default" r="1">
      <x v="75"/>
    </i>
    <i t="blank" r="1">
      <x v="75"/>
    </i>
    <i r="1">
      <x v="78"/>
    </i>
    <i r="2">
      <x v="66"/>
    </i>
    <i r="3">
      <x v="1"/>
    </i>
    <i r="4">
      <x v="37"/>
    </i>
    <i r="5">
      <x v="1"/>
    </i>
    <i t="blank" r="4">
      <x v="37"/>
    </i>
    <i r="4">
      <x v="38"/>
    </i>
    <i r="5">
      <x v="1"/>
    </i>
    <i t="blank" r="4">
      <x v="38"/>
    </i>
    <i r="4">
      <x v="60"/>
    </i>
    <i r="5">
      <x v="1"/>
    </i>
    <i t="blank" r="4">
      <x v="60"/>
    </i>
    <i r="2">
      <x v="67"/>
    </i>
    <i r="3">
      <x v="1"/>
    </i>
    <i r="4">
      <x v="38"/>
    </i>
    <i r="5">
      <x v="1"/>
    </i>
    <i t="blank" r="4">
      <x v="38"/>
    </i>
    <i r="4">
      <x v="61"/>
    </i>
    <i r="5">
      <x v="1"/>
    </i>
    <i t="blank" r="4">
      <x v="61"/>
    </i>
    <i r="2">
      <x v="86"/>
    </i>
    <i r="3">
      <x v="1"/>
    </i>
    <i r="4">
      <x v="61"/>
    </i>
    <i r="5">
      <x v="1"/>
    </i>
    <i t="blank" r="4">
      <x v="61"/>
    </i>
    <i r="4">
      <x v="62"/>
    </i>
    <i r="5">
      <x v="1"/>
    </i>
    <i t="blank" r="4">
      <x v="62"/>
    </i>
    <i r="2">
      <x v="91"/>
    </i>
    <i r="3">
      <x v="1"/>
    </i>
    <i r="4">
      <x v="62"/>
    </i>
    <i r="5">
      <x v="1"/>
    </i>
    <i t="blank" r="4">
      <x v="62"/>
    </i>
    <i r="4">
      <x v="137"/>
    </i>
    <i r="5">
      <x v="1"/>
    </i>
    <i t="blank" r="4">
      <x v="137"/>
    </i>
    <i r="2">
      <x v="124"/>
    </i>
    <i r="3">
      <x v="1"/>
    </i>
    <i r="4">
      <x v="137"/>
    </i>
    <i r="5">
      <x v="1"/>
    </i>
    <i t="blank" r="4">
      <x v="137"/>
    </i>
    <i r="2">
      <x v="125"/>
    </i>
    <i r="3">
      <x v="1"/>
    </i>
    <i r="4">
      <x v="137"/>
    </i>
    <i r="5">
      <x v="1"/>
    </i>
    <i t="blank" r="4">
      <x v="137"/>
    </i>
    <i r="4">
      <x v="138"/>
    </i>
    <i r="5">
      <x v="1"/>
    </i>
    <i t="blank" r="4">
      <x v="138"/>
    </i>
    <i r="2">
      <x v="126"/>
    </i>
    <i r="3">
      <x v="1"/>
    </i>
    <i r="4">
      <x v="139"/>
    </i>
    <i r="5">
      <x v="1"/>
    </i>
    <i t="blank" r="4">
      <x v="139"/>
    </i>
    <i r="2">
      <x v="134"/>
    </i>
    <i r="3">
      <x v="1"/>
    </i>
    <i r="4">
      <x v="139"/>
    </i>
    <i r="5">
      <x v="1"/>
    </i>
    <i t="blank" r="4">
      <x v="139"/>
    </i>
    <i r="4">
      <x v="144"/>
    </i>
    <i r="5">
      <x v="1"/>
    </i>
    <i t="blank" r="4">
      <x v="144"/>
    </i>
    <i r="4">
      <x v="145"/>
    </i>
    <i r="5">
      <x v="1"/>
    </i>
    <i t="blank" r="4">
      <x v="145"/>
    </i>
    <i r="2">
      <x v="138"/>
    </i>
    <i r="3">
      <x v="1"/>
    </i>
    <i r="4">
      <x v="128"/>
    </i>
    <i r="5">
      <x v="1"/>
    </i>
    <i t="blank" r="4">
      <x v="128"/>
    </i>
    <i r="4">
      <x v="145"/>
    </i>
    <i r="5">
      <x v="1"/>
    </i>
    <i t="blank" r="4">
      <x v="145"/>
    </i>
    <i r="4">
      <x v="146"/>
    </i>
    <i r="5">
      <x v="1"/>
    </i>
    <i t="blank" r="4">
      <x v="146"/>
    </i>
    <i r="2">
      <x v="139"/>
    </i>
    <i r="3">
      <x v="1"/>
    </i>
    <i r="4">
      <x v="146"/>
    </i>
    <i r="5">
      <x v="1"/>
    </i>
    <i t="blank" r="4">
      <x v="146"/>
    </i>
    <i r="4">
      <x v="147"/>
    </i>
    <i r="5">
      <x v="1"/>
    </i>
    <i t="blank" r="4">
      <x v="147"/>
    </i>
    <i r="2">
      <x v="142"/>
    </i>
    <i r="3">
      <x v="1"/>
    </i>
    <i r="4">
      <x v="147"/>
    </i>
    <i r="5">
      <x v="1"/>
    </i>
    <i t="blank" r="4">
      <x v="147"/>
    </i>
    <i r="4">
      <x v="148"/>
    </i>
    <i r="5">
      <x v="1"/>
    </i>
    <i t="blank" r="4">
      <x v="148"/>
    </i>
    <i r="4">
      <x v="149"/>
    </i>
    <i r="5">
      <x v="1"/>
    </i>
    <i t="blank" r="4">
      <x v="149"/>
    </i>
    <i r="2">
      <x v="144"/>
    </i>
    <i r="3">
      <x v="1"/>
    </i>
    <i r="4">
      <x v="149"/>
    </i>
    <i r="5">
      <x v="1"/>
    </i>
    <i t="blank" r="4">
      <x v="149"/>
    </i>
    <i r="4">
      <x v="150"/>
    </i>
    <i r="5">
      <x v="1"/>
    </i>
    <i t="blank" r="4">
      <x v="150"/>
    </i>
    <i r="4">
      <x v="151"/>
    </i>
    <i r="5">
      <x v="1"/>
    </i>
    <i t="blank" r="4">
      <x v="151"/>
    </i>
    <i t="default" r="1">
      <x v="78"/>
    </i>
    <i t="blank" r="1">
      <x v="78"/>
    </i>
    <i r="1">
      <x v="81"/>
    </i>
    <i r="2">
      <x v="42"/>
    </i>
    <i r="3">
      <x v="1"/>
    </i>
    <i r="4">
      <x v="2"/>
    </i>
    <i r="5">
      <x v="1"/>
    </i>
    <i t="blank" r="4">
      <x v="2"/>
    </i>
    <i r="2">
      <x v="66"/>
    </i>
    <i r="3">
      <x v="1"/>
    </i>
    <i r="4">
      <x v="2"/>
    </i>
    <i r="5">
      <x v="1"/>
    </i>
    <i t="blank" r="4">
      <x v="2"/>
    </i>
    <i t="default" r="1">
      <x v="81"/>
    </i>
    <i t="blank" r="1">
      <x v="81"/>
    </i>
    <i r="1">
      <x v="82"/>
    </i>
    <i r="2">
      <x v="66"/>
    </i>
    <i r="3">
      <x v="1"/>
    </i>
    <i r="4">
      <x v="42"/>
    </i>
    <i r="5">
      <x v="1"/>
    </i>
    <i t="blank" r="4">
      <x v="42"/>
    </i>
    <i r="4">
      <x v="63"/>
    </i>
    <i r="5">
      <x v="1"/>
    </i>
    <i t="blank" r="4">
      <x v="63"/>
    </i>
    <i r="4">
      <x v="64"/>
    </i>
    <i r="5">
      <x v="1"/>
    </i>
    <i t="blank" r="4">
      <x v="64"/>
    </i>
    <i r="4">
      <x v="65"/>
    </i>
    <i r="5">
      <x v="1"/>
    </i>
    <i t="blank" r="4">
      <x v="65"/>
    </i>
    <i t="default" r="1">
      <x v="82"/>
    </i>
    <i t="blank" r="1">
      <x v="82"/>
    </i>
    <i r="1">
      <x v="83"/>
    </i>
    <i r="2">
      <x v="7"/>
    </i>
    <i r="3">
      <x v="1"/>
    </i>
    <i r="4">
      <x v="2"/>
    </i>
    <i r="5">
      <x v="1"/>
    </i>
    <i t="blank" r="4">
      <x v="2"/>
    </i>
    <i r="2">
      <x v="8"/>
    </i>
    <i r="3">
      <x v="1"/>
    </i>
    <i r="4">
      <x v="2"/>
    </i>
    <i r="5">
      <x v="1"/>
    </i>
    <i t="blank" r="4">
      <x v="2"/>
    </i>
    <i r="2">
      <x v="12"/>
    </i>
    <i r="3">
      <x v="1"/>
    </i>
    <i r="4">
      <x v="2"/>
    </i>
    <i r="5">
      <x v="1"/>
    </i>
    <i t="blank" r="4">
      <x v="2"/>
    </i>
    <i r="2">
      <x v="14"/>
    </i>
    <i r="3">
      <x v="1"/>
    </i>
    <i r="4">
      <x v="2"/>
    </i>
    <i r="5">
      <x v="1"/>
    </i>
    <i t="blank" r="4">
      <x v="2"/>
    </i>
    <i r="2">
      <x v="15"/>
    </i>
    <i r="3">
      <x v="1"/>
    </i>
    <i r="4">
      <x v="2"/>
    </i>
    <i r="5">
      <x v="1"/>
    </i>
    <i t="blank" r="4">
      <x v="2"/>
    </i>
    <i r="2">
      <x v="43"/>
    </i>
    <i r="3">
      <x v="1"/>
    </i>
    <i r="4">
      <x v="2"/>
    </i>
    <i r="5">
      <x v="1"/>
    </i>
    <i t="blank" r="4">
      <x v="2"/>
    </i>
    <i r="2">
      <x v="44"/>
    </i>
    <i r="3">
      <x v="1"/>
    </i>
    <i r="4">
      <x v="2"/>
    </i>
    <i r="5">
      <x v="1"/>
    </i>
    <i t="blank" r="4">
      <x v="2"/>
    </i>
    <i r="2">
      <x v="65"/>
    </i>
    <i r="3">
      <x v="1"/>
    </i>
    <i r="4">
      <x v="2"/>
    </i>
    <i r="5">
      <x v="1"/>
    </i>
    <i t="blank" r="4">
      <x v="2"/>
    </i>
    <i r="4">
      <x v="12"/>
    </i>
    <i r="5">
      <x v="1"/>
    </i>
    <i t="blank" r="4">
      <x v="12"/>
    </i>
    <i r="2">
      <x v="67"/>
    </i>
    <i r="3">
      <x v="1"/>
    </i>
    <i r="4">
      <x v="12"/>
    </i>
    <i r="5">
      <x v="1"/>
    </i>
    <i t="blank" r="4">
      <x v="12"/>
    </i>
    <i r="2">
      <x v="160"/>
    </i>
    <i r="3">
      <x v="1"/>
    </i>
    <i r="4">
      <x v="12"/>
    </i>
    <i r="5">
      <x v="1"/>
    </i>
    <i t="blank" r="4">
      <x v="12"/>
    </i>
    <i r="2">
      <x v="161"/>
    </i>
    <i r="3">
      <x v="1"/>
    </i>
    <i r="4">
      <x v="12"/>
    </i>
    <i r="5">
      <x v="1"/>
    </i>
    <i t="blank" r="4">
      <x v="12"/>
    </i>
    <i r="2">
      <x v="163"/>
    </i>
    <i r="3">
      <x v="1"/>
    </i>
    <i r="4">
      <x v="12"/>
    </i>
    <i r="5">
      <x v="1"/>
    </i>
    <i t="blank" r="4">
      <x v="12"/>
    </i>
    <i t="default" r="1">
      <x v="83"/>
    </i>
    <i t="blank" r="1">
      <x v="83"/>
    </i>
    <i r="1">
      <x v="89"/>
    </i>
    <i r="2">
      <x v="66"/>
    </i>
    <i r="3">
      <x v="1"/>
    </i>
    <i r="4">
      <x v="2"/>
    </i>
    <i r="5">
      <x v="1"/>
    </i>
    <i t="blank" r="4">
      <x v="2"/>
    </i>
    <i r="4">
      <x v="66"/>
    </i>
    <i r="5">
      <x v="1"/>
    </i>
    <i t="blank" r="4">
      <x v="66"/>
    </i>
    <i t="default" r="1">
      <x v="89"/>
    </i>
    <i t="blank" r="1">
      <x v="89"/>
    </i>
    <i r="1">
      <x v="100"/>
    </i>
    <i r="2">
      <x v="66"/>
    </i>
    <i r="3">
      <x v="1"/>
    </i>
    <i r="4">
      <x v="2"/>
    </i>
    <i r="5">
      <x v="1"/>
    </i>
    <i t="blank" r="4">
      <x v="2"/>
    </i>
    <i r="2">
      <x v="119"/>
    </i>
    <i r="3">
      <x v="1"/>
    </i>
    <i r="4">
      <x v="2"/>
    </i>
    <i r="5">
      <x v="1"/>
    </i>
    <i t="blank" r="4">
      <x v="2"/>
    </i>
    <i t="default" r="1">
      <x v="100"/>
    </i>
    <i t="blank" r="1">
      <x v="100"/>
    </i>
    <i r="1">
      <x v="104"/>
    </i>
    <i r="2">
      <x v="148"/>
    </i>
    <i r="3">
      <x v="1"/>
    </i>
    <i r="4">
      <x v="152"/>
    </i>
    <i r="5">
      <x v="1"/>
    </i>
    <i t="blank" r="4">
      <x v="152"/>
    </i>
    <i r="4">
      <x v="153"/>
    </i>
    <i r="5">
      <x v="1"/>
    </i>
    <i t="blank" r="4">
      <x v="153"/>
    </i>
    <i t="default" r="1">
      <x v="104"/>
    </i>
    <i t="blank" r="1">
      <x v="104"/>
    </i>
    <i r="1">
      <x v="105"/>
    </i>
    <i r="2">
      <x v="66"/>
    </i>
    <i r="3">
      <x v="1"/>
    </i>
    <i r="4">
      <x v="2"/>
    </i>
    <i r="5">
      <x v="1"/>
    </i>
    <i t="blank" r="4">
      <x v="2"/>
    </i>
    <i t="default" r="1">
      <x v="105"/>
    </i>
    <i t="blank" r="1">
      <x v="105"/>
    </i>
    <i r="1">
      <x v="106"/>
    </i>
    <i r="2">
      <x v="66"/>
    </i>
    <i r="3">
      <x v="1"/>
    </i>
    <i r="4">
      <x v="2"/>
    </i>
    <i r="5">
      <x v="1"/>
    </i>
    <i t="blank" r="4">
      <x v="2"/>
    </i>
    <i t="default" r="1">
      <x v="106"/>
    </i>
    <i t="blank" r="1">
      <x v="106"/>
    </i>
    <i t="default">
      <x/>
    </i>
    <i t="blank">
      <x/>
    </i>
    <i>
      <x v="1"/>
    </i>
    <i r="1">
      <x v="18"/>
    </i>
    <i r="2">
      <x v="107"/>
    </i>
    <i r="3">
      <x v="2"/>
    </i>
    <i r="4">
      <x v="45"/>
    </i>
    <i r="5">
      <x v="2"/>
    </i>
    <i t="blank" r="4">
      <x v="45"/>
    </i>
    <i r="2">
      <x v="132"/>
    </i>
    <i r="3">
      <x v="2"/>
    </i>
    <i r="4">
      <x v="45"/>
    </i>
    <i r="5">
      <x v="2"/>
    </i>
    <i t="blank" r="4">
      <x v="45"/>
    </i>
    <i r="4">
      <x v="159"/>
    </i>
    <i r="5">
      <x v="2"/>
    </i>
    <i t="blank" r="4">
      <x v="159"/>
    </i>
    <i t="default" r="1">
      <x v="18"/>
    </i>
    <i t="blank" r="1">
      <x v="18"/>
    </i>
    <i r="1">
      <x v="19"/>
    </i>
    <i r="2">
      <x v="22"/>
    </i>
    <i r="3">
      <x v="3"/>
    </i>
    <i r="4">
      <x v="18"/>
    </i>
    <i r="5">
      <x v="3"/>
    </i>
    <i t="blank" r="4">
      <x v="18"/>
    </i>
    <i t="default" r="1">
      <x v="19"/>
    </i>
    <i t="blank" r="1">
      <x v="19"/>
    </i>
    <i r="1">
      <x v="20"/>
    </i>
    <i r="2">
      <x v="5"/>
    </i>
    <i r="3">
      <x v="1"/>
    </i>
    <i r="4">
      <x v="2"/>
    </i>
    <i r="5">
      <x v="1"/>
    </i>
    <i t="blank" r="4">
      <x v="2"/>
    </i>
    <i r="2">
      <x v="51"/>
    </i>
    <i r="3">
      <x v="1"/>
    </i>
    <i r="4">
      <x v="2"/>
    </i>
    <i r="5">
      <x v="1"/>
    </i>
    <i t="blank" r="4">
      <x v="2"/>
    </i>
    <i r="2">
      <x v="108"/>
    </i>
    <i r="3">
      <x v="1"/>
    </i>
    <i r="4">
      <x v="2"/>
    </i>
    <i r="5">
      <x v="1"/>
    </i>
    <i t="blank" r="4">
      <x v="2"/>
    </i>
    <i r="2">
      <x v="129"/>
    </i>
    <i r="3">
      <x v="1"/>
    </i>
    <i r="4">
      <x v="2"/>
    </i>
    <i r="5">
      <x v="1"/>
    </i>
    <i t="blank" r="4">
      <x v="2"/>
    </i>
    <i t="default" r="1">
      <x v="20"/>
    </i>
    <i t="blank" r="1">
      <x v="20"/>
    </i>
    <i r="1">
      <x v="21"/>
    </i>
    <i r="2">
      <x v="16"/>
    </i>
    <i r="3">
      <x v="1"/>
    </i>
    <i r="4">
      <x v="19"/>
    </i>
    <i r="5">
      <x v="1"/>
    </i>
    <i t="blank" r="4">
      <x v="19"/>
    </i>
    <i t="default" r="1">
      <x v="21"/>
    </i>
    <i t="blank" r="1">
      <x v="21"/>
    </i>
    <i r="1">
      <x v="23"/>
    </i>
    <i r="2">
      <x v="81"/>
    </i>
    <i r="3">
      <x v="1"/>
    </i>
    <i r="4">
      <x v="98"/>
    </i>
    <i r="5">
      <x v="1"/>
    </i>
    <i t="blank" r="4">
      <x v="98"/>
    </i>
    <i t="default" r="1">
      <x v="23"/>
    </i>
    <i t="blank" r="1">
      <x v="23"/>
    </i>
    <i r="1">
      <x v="33"/>
    </i>
    <i r="2">
      <x v="87"/>
    </i>
    <i r="3">
      <x v="1"/>
    </i>
    <i r="4">
      <x v="109"/>
    </i>
    <i r="5">
      <x v="1"/>
    </i>
    <i t="blank" r="4">
      <x v="109"/>
    </i>
    <i t="default" r="1">
      <x v="33"/>
    </i>
    <i t="blank" r="1">
      <x v="33"/>
    </i>
    <i r="1">
      <x v="43"/>
    </i>
    <i r="2">
      <x v="88"/>
    </i>
    <i r="3">
      <x v="2"/>
    </i>
    <i r="4">
      <x v="17"/>
    </i>
    <i r="5">
      <x v="2"/>
    </i>
    <i t="blank" r="4">
      <x v="17"/>
    </i>
    <i r="4">
      <x v="19"/>
    </i>
    <i r="5">
      <x v="2"/>
    </i>
    <i t="blank" r="4">
      <x v="19"/>
    </i>
    <i r="4">
      <x v="45"/>
    </i>
    <i r="5">
      <x v="2"/>
    </i>
    <i t="blank" r="4">
      <x v="45"/>
    </i>
    <i t="default" r="1">
      <x v="43"/>
    </i>
    <i t="blank" r="1">
      <x v="43"/>
    </i>
    <i r="1">
      <x v="44"/>
    </i>
    <i r="2">
      <x v="76"/>
    </i>
    <i r="3">
      <x v="2"/>
    </i>
    <i r="4">
      <x v="14"/>
    </i>
    <i r="5">
      <x v="2"/>
    </i>
    <i t="blank" r="4">
      <x v="14"/>
    </i>
    <i r="4">
      <x v="15"/>
    </i>
    <i r="5">
      <x v="2"/>
    </i>
    <i t="blank" r="4">
      <x v="15"/>
    </i>
    <i r="4">
      <x v="16"/>
    </i>
    <i r="5">
      <x v="2"/>
    </i>
    <i t="blank" r="4">
      <x v="16"/>
    </i>
    <i r="4">
      <x v="17"/>
    </i>
    <i r="5">
      <x v="2"/>
    </i>
    <i t="blank" r="4">
      <x v="17"/>
    </i>
    <i t="default" r="1">
      <x v="44"/>
    </i>
    <i t="blank" r="1">
      <x v="44"/>
    </i>
    <i r="1">
      <x v="47"/>
    </i>
    <i r="2">
      <x v="149"/>
    </i>
    <i r="3">
      <x v="1"/>
    </i>
    <i r="4">
      <x v="2"/>
    </i>
    <i r="5">
      <x v="1"/>
    </i>
    <i t="blank" r="4">
      <x v="2"/>
    </i>
    <i t="default" r="1">
      <x v="47"/>
    </i>
    <i t="blank" r="1">
      <x v="47"/>
    </i>
    <i r="1">
      <x v="48"/>
    </i>
    <i r="2">
      <x v="21"/>
    </i>
    <i r="3">
      <x v="1"/>
    </i>
    <i r="4">
      <x v="19"/>
    </i>
    <i r="5">
      <x v="1"/>
    </i>
    <i t="blank" r="4">
      <x v="19"/>
    </i>
    <i r="4">
      <x v="20"/>
    </i>
    <i r="5">
      <x v="1"/>
    </i>
    <i t="blank" r="4">
      <x v="20"/>
    </i>
    <i t="default" r="1">
      <x v="48"/>
    </i>
    <i t="blank" r="1">
      <x v="48"/>
    </i>
    <i r="1">
      <x v="49"/>
    </i>
    <i r="2">
      <x v="109"/>
    </i>
    <i r="3">
      <x v="1"/>
    </i>
    <i r="4">
      <x v="103"/>
    </i>
    <i r="5">
      <x v="1"/>
    </i>
    <i t="blank" r="4">
      <x v="103"/>
    </i>
    <i t="default" r="1">
      <x v="49"/>
    </i>
    <i t="blank" r="1">
      <x v="49"/>
    </i>
    <i r="1">
      <x v="50"/>
    </i>
    <i r="2">
      <x v="64"/>
    </i>
    <i r="3">
      <x v="1"/>
    </i>
    <i r="4">
      <x v="2"/>
    </i>
    <i r="5">
      <x v="1"/>
    </i>
    <i t="blank" r="4">
      <x v="2"/>
    </i>
    <i r="2">
      <x v="131"/>
    </i>
    <i r="3">
      <x v="1"/>
    </i>
    <i r="4">
      <x v="2"/>
    </i>
    <i r="5">
      <x v="1"/>
    </i>
    <i t="blank" r="4">
      <x v="2"/>
    </i>
    <i t="default" r="1">
      <x v="50"/>
    </i>
    <i t="blank" r="1">
      <x v="50"/>
    </i>
    <i r="1">
      <x v="51"/>
    </i>
    <i r="2">
      <x v="21"/>
    </i>
    <i r="3">
      <x v="2"/>
    </i>
    <i r="4">
      <x v="19"/>
    </i>
    <i r="5">
      <x v="2"/>
    </i>
    <i t="blank" r="4">
      <x v="19"/>
    </i>
    <i r="4">
      <x v="21"/>
    </i>
    <i r="5">
      <x v="2"/>
    </i>
    <i t="blank" r="4">
      <x v="21"/>
    </i>
    <i t="default" r="1">
      <x v="51"/>
    </i>
    <i t="blank" r="1">
      <x v="51"/>
    </i>
    <i r="1">
      <x v="52"/>
    </i>
    <i r="2">
      <x v="15"/>
    </i>
    <i r="3">
      <x v="1"/>
    </i>
    <i r="4">
      <x v="22"/>
    </i>
    <i r="5">
      <x v="1"/>
    </i>
    <i t="blank" r="4">
      <x v="22"/>
    </i>
    <i r="2">
      <x v="50"/>
    </i>
    <i r="3">
      <x v="1"/>
    </i>
    <i r="4">
      <x v="23"/>
    </i>
    <i r="5">
      <x v="1"/>
    </i>
    <i t="blank" r="4">
      <x v="23"/>
    </i>
    <i r="2">
      <x v="87"/>
    </i>
    <i r="3">
      <x v="1"/>
    </i>
    <i r="4">
      <x v="23"/>
    </i>
    <i r="5">
      <x v="1"/>
    </i>
    <i t="blank" r="4">
      <x v="23"/>
    </i>
    <i t="default" r="1">
      <x v="52"/>
    </i>
    <i t="blank" r="1">
      <x v="52"/>
    </i>
    <i r="1">
      <x v="55"/>
    </i>
    <i r="2">
      <x v="17"/>
    </i>
    <i r="3">
      <x v="1"/>
    </i>
    <i r="4">
      <x v="24"/>
    </i>
    <i r="5">
      <x v="1"/>
    </i>
    <i t="blank" r="4">
      <x v="24"/>
    </i>
    <i t="default" r="1">
      <x v="55"/>
    </i>
    <i t="blank" r="1">
      <x v="55"/>
    </i>
    <i r="1">
      <x v="58"/>
    </i>
    <i r="2">
      <x v="110"/>
    </i>
    <i r="3">
      <x v="1"/>
    </i>
    <i r="4">
      <x v="19"/>
    </i>
    <i r="5">
      <x v="1"/>
    </i>
    <i t="blank" r="4">
      <x v="19"/>
    </i>
    <i r="4">
      <x v="111"/>
    </i>
    <i r="5">
      <x v="1"/>
    </i>
    <i t="blank" r="4">
      <x v="111"/>
    </i>
    <i t="default" r="1">
      <x v="58"/>
    </i>
    <i t="blank" r="1">
      <x v="58"/>
    </i>
    <i r="1">
      <x v="59"/>
    </i>
    <i r="2">
      <x v="152"/>
    </i>
    <i r="3">
      <x v="1"/>
    </i>
    <i r="4">
      <x v="160"/>
    </i>
    <i r="5">
      <x v="1"/>
    </i>
    <i t="blank" r="4">
      <x v="160"/>
    </i>
    <i t="default" r="1">
      <x v="59"/>
    </i>
    <i t="blank" r="1">
      <x v="59"/>
    </i>
    <i r="1">
      <x v="73"/>
    </i>
    <i r="2">
      <x v="139"/>
    </i>
    <i r="3">
      <x v="1"/>
    </i>
    <i r="4">
      <x v="98"/>
    </i>
    <i r="5">
      <x v="1"/>
    </i>
    <i t="blank" r="4">
      <x v="98"/>
    </i>
    <i t="default" r="1">
      <x v="73"/>
    </i>
    <i t="blank" r="1">
      <x v="73"/>
    </i>
    <i r="1">
      <x v="85"/>
    </i>
    <i r="2">
      <x v="74"/>
    </i>
    <i r="3">
      <x v="1"/>
    </i>
    <i r="4">
      <x v="98"/>
    </i>
    <i r="5">
      <x v="1"/>
    </i>
    <i t="blank" r="4">
      <x v="98"/>
    </i>
    <i t="default" r="1">
      <x v="85"/>
    </i>
    <i t="blank" r="1">
      <x v="85"/>
    </i>
    <i r="1">
      <x v="87"/>
    </i>
    <i r="2">
      <x v="94"/>
    </i>
    <i r="3">
      <x v="1"/>
    </i>
    <i r="4">
      <x v="98"/>
    </i>
    <i r="5">
      <x v="1"/>
    </i>
    <i t="blank" r="4">
      <x v="98"/>
    </i>
    <i t="default" r="1">
      <x v="87"/>
    </i>
    <i t="blank" r="1">
      <x v="87"/>
    </i>
    <i r="1">
      <x v="95"/>
    </i>
    <i r="2">
      <x v="105"/>
    </i>
    <i r="3">
      <x v="1"/>
    </i>
    <i r="4">
      <x v="110"/>
    </i>
    <i r="5">
      <x v="1"/>
    </i>
    <i t="blank" r="4">
      <x v="110"/>
    </i>
    <i t="default" r="1">
      <x v="95"/>
    </i>
    <i t="blank" r="1">
      <x v="95"/>
    </i>
    <i r="1">
      <x v="96"/>
    </i>
    <i r="2">
      <x v="21"/>
    </i>
    <i r="3">
      <x v="2"/>
    </i>
    <i r="4">
      <x v="2"/>
    </i>
    <i r="5">
      <x v="2"/>
    </i>
    <i t="blank" r="4">
      <x v="2"/>
    </i>
    <i r="4">
      <x v="19"/>
    </i>
    <i r="5">
      <x v="2"/>
    </i>
    <i t="blank" r="4">
      <x v="19"/>
    </i>
    <i t="default" r="1">
      <x v="96"/>
    </i>
    <i t="blank" r="1">
      <x v="96"/>
    </i>
    <i r="1">
      <x v="97"/>
    </i>
    <i r="2">
      <x v="21"/>
    </i>
    <i r="3">
      <x v="2"/>
    </i>
    <i r="4">
      <x v="19"/>
    </i>
    <i r="5">
      <x v="2"/>
    </i>
    <i t="blank" r="4">
      <x v="19"/>
    </i>
    <i r="4">
      <x v="25"/>
    </i>
    <i r="5">
      <x v="2"/>
    </i>
    <i t="blank" r="4">
      <x v="25"/>
    </i>
    <i t="default" r="1">
      <x v="97"/>
    </i>
    <i t="blank" r="1">
      <x v="97"/>
    </i>
    <i r="1">
      <x v="98"/>
    </i>
    <i r="2">
      <x v="58"/>
    </i>
    <i r="3">
      <x v="1"/>
    </i>
    <i r="4">
      <x v="108"/>
    </i>
    <i r="5">
      <x v="1"/>
    </i>
    <i t="blank" r="4">
      <x v="108"/>
    </i>
    <i r="2">
      <x v="91"/>
    </i>
    <i r="3">
      <x v="1"/>
    </i>
    <i r="4">
      <x v="108"/>
    </i>
    <i r="5">
      <x v="1"/>
    </i>
    <i t="blank" r="4">
      <x v="108"/>
    </i>
    <i r="2">
      <x v="120"/>
    </i>
    <i r="3">
      <x v="1"/>
    </i>
    <i r="4">
      <x v="108"/>
    </i>
    <i r="5">
      <x v="1"/>
    </i>
    <i t="blank" r="4">
      <x v="108"/>
    </i>
    <i t="default" r="1">
      <x v="98"/>
    </i>
    <i t="blank" r="1">
      <x v="98"/>
    </i>
    <i r="1">
      <x v="108"/>
    </i>
    <i r="2">
      <x v="131"/>
    </i>
    <i r="3">
      <x v="1"/>
    </i>
    <i r="4">
      <x v="2"/>
    </i>
    <i r="5">
      <x v="1"/>
    </i>
    <i t="blank" r="4">
      <x v="2"/>
    </i>
    <i t="default" r="1">
      <x v="108"/>
    </i>
    <i t="blank" r="1">
      <x v="108"/>
    </i>
    <i r="1">
      <x v="112"/>
    </i>
    <i r="2">
      <x v="107"/>
    </i>
    <i r="3">
      <x v="2"/>
    </i>
    <i r="4">
      <x v="19"/>
    </i>
    <i r="5">
      <x v="2"/>
    </i>
    <i t="blank" r="4">
      <x v="19"/>
    </i>
    <i r="4">
      <x v="28"/>
    </i>
    <i r="5">
      <x v="2"/>
    </i>
    <i t="blank" r="4">
      <x v="28"/>
    </i>
    <i t="default" r="1">
      <x v="112"/>
    </i>
    <i t="blank" r="1">
      <x v="112"/>
    </i>
    <i r="1">
      <x v="113"/>
    </i>
    <i r="2">
      <x v="21"/>
    </i>
    <i r="3">
      <x v="1"/>
    </i>
    <i r="4">
      <x v="26"/>
    </i>
    <i r="5">
      <x v="1"/>
    </i>
    <i t="blank" r="4">
      <x v="26"/>
    </i>
    <i t="default" r="1">
      <x v="113"/>
    </i>
    <i t="blank" r="1">
      <x v="113"/>
    </i>
    <i t="default">
      <x v="1"/>
    </i>
    <i t="blank">
      <x v="1"/>
    </i>
    <i>
      <x v="2"/>
    </i>
    <i r="1">
      <x v="2"/>
    </i>
    <i r="2">
      <x v="159"/>
    </i>
    <i r="3">
      <x v="1"/>
    </i>
    <i r="4">
      <x v="67"/>
    </i>
    <i r="5">
      <x v="1"/>
    </i>
    <i t="blank" r="4">
      <x v="67"/>
    </i>
    <i t="default" r="1">
      <x v="2"/>
    </i>
    <i t="blank" r="1">
      <x v="2"/>
    </i>
    <i r="1">
      <x v="3"/>
    </i>
    <i r="2">
      <x v="69"/>
    </i>
    <i r="3">
      <x v="1"/>
    </i>
    <i r="4">
      <x v="60"/>
    </i>
    <i r="5">
      <x v="1"/>
    </i>
    <i t="blank" r="4">
      <x v="60"/>
    </i>
    <i r="4">
      <x v="77"/>
    </i>
    <i r="5">
      <x v="1"/>
    </i>
    <i t="blank" r="4">
      <x v="77"/>
    </i>
    <i r="4">
      <x v="114"/>
    </i>
    <i r="5">
      <x v="1"/>
    </i>
    <i t="blank" r="4">
      <x v="114"/>
    </i>
    <i r="4">
      <x v="170"/>
    </i>
    <i r="5">
      <x v="1"/>
    </i>
    <i t="blank" r="4">
      <x v="170"/>
    </i>
    <i r="4">
      <x v="171"/>
    </i>
    <i r="5">
      <x v="1"/>
    </i>
    <i t="blank" r="4">
      <x v="171"/>
    </i>
    <i r="4">
      <x v="172"/>
    </i>
    <i r="5">
      <x v="1"/>
    </i>
    <i t="blank" r="4">
      <x v="172"/>
    </i>
    <i r="4">
      <x v="192"/>
    </i>
    <i r="5">
      <x v="1"/>
    </i>
    <i t="blank" r="4">
      <x v="192"/>
    </i>
    <i r="2">
      <x v="70"/>
    </i>
    <i r="3">
      <x v="1"/>
    </i>
    <i r="4">
      <x v="114"/>
    </i>
    <i r="5">
      <x v="1"/>
    </i>
    <i t="blank" r="4">
      <x v="114"/>
    </i>
    <i r="4">
      <x v="115"/>
    </i>
    <i r="5">
      <x v="1"/>
    </i>
    <i t="blank" r="4">
      <x v="115"/>
    </i>
    <i r="4">
      <x v="129"/>
    </i>
    <i r="5">
      <x v="1"/>
    </i>
    <i t="blank" r="4">
      <x v="129"/>
    </i>
    <i r="4">
      <x v="130"/>
    </i>
    <i r="5">
      <x v="1"/>
    </i>
    <i t="blank" r="4">
      <x v="130"/>
    </i>
    <i r="4">
      <x v="176"/>
    </i>
    <i r="5">
      <x v="1"/>
    </i>
    <i t="blank" r="4">
      <x v="176"/>
    </i>
    <i t="default" r="1">
      <x v="3"/>
    </i>
    <i t="blank" r="1">
      <x v="3"/>
    </i>
    <i r="1">
      <x v="5"/>
    </i>
    <i r="2">
      <x v="44"/>
    </i>
    <i r="3">
      <x v="1"/>
    </i>
    <i r="4">
      <x v="67"/>
    </i>
    <i r="5">
      <x v="1"/>
    </i>
    <i t="blank" r="4">
      <x v="67"/>
    </i>
    <i r="4">
      <x v="141"/>
    </i>
    <i r="5">
      <x v="1"/>
    </i>
    <i t="blank" r="4">
      <x v="141"/>
    </i>
    <i t="default" r="1">
      <x v="5"/>
    </i>
    <i t="blank" r="1">
      <x v="5"/>
    </i>
    <i r="1">
      <x v="6"/>
    </i>
    <i r="2">
      <x v="78"/>
    </i>
    <i r="3">
      <x v="1"/>
    </i>
    <i r="4">
      <x v="67"/>
    </i>
    <i r="5">
      <x v="1"/>
    </i>
    <i t="blank" r="4">
      <x v="67"/>
    </i>
    <i r="2">
      <x v="104"/>
    </i>
    <i r="3">
      <x v="1"/>
    </i>
    <i r="4">
      <x v="67"/>
    </i>
    <i r="5">
      <x v="1"/>
    </i>
    <i t="blank" r="4">
      <x v="67"/>
    </i>
    <i r="4">
      <x v="118"/>
    </i>
    <i r="5">
      <x v="1"/>
    </i>
    <i t="blank" r="4">
      <x v="118"/>
    </i>
    <i t="default" r="1">
      <x v="6"/>
    </i>
    <i t="blank" r="1">
      <x v="6"/>
    </i>
    <i r="1">
      <x v="7"/>
    </i>
    <i r="2">
      <x v="100"/>
    </i>
    <i r="3">
      <x v="1"/>
    </i>
    <i r="4">
      <x v="126"/>
    </i>
    <i r="5">
      <x v="1"/>
    </i>
    <i t="blank" r="4">
      <x v="126"/>
    </i>
    <i t="default" r="1">
      <x v="7"/>
    </i>
    <i t="blank" r="1">
      <x v="7"/>
    </i>
    <i r="1">
      <x v="8"/>
    </i>
    <i r="2">
      <x v="114"/>
    </i>
    <i r="3">
      <x v="1"/>
    </i>
    <i r="4">
      <x v="67"/>
    </i>
    <i r="5">
      <x v="1"/>
    </i>
    <i t="blank" r="4">
      <x v="67"/>
    </i>
    <i t="default" r="1">
      <x v="8"/>
    </i>
    <i t="blank" r="1">
      <x v="8"/>
    </i>
    <i r="1">
      <x v="9"/>
    </i>
    <i r="2">
      <x v="35"/>
    </i>
    <i r="3">
      <x v="1"/>
    </i>
    <i r="4">
      <x v="67"/>
    </i>
    <i r="5">
      <x v="1"/>
    </i>
    <i t="blank" r="4">
      <x v="67"/>
    </i>
    <i r="2">
      <x v="36"/>
    </i>
    <i r="3">
      <x v="1"/>
    </i>
    <i r="4">
      <x v="67"/>
    </i>
    <i r="5">
      <x v="1"/>
    </i>
    <i t="blank" r="4">
      <x v="67"/>
    </i>
    <i r="2">
      <x v="37"/>
    </i>
    <i r="3">
      <x v="1"/>
    </i>
    <i r="4">
      <x v="67"/>
    </i>
    <i r="5">
      <x v="1"/>
    </i>
    <i t="blank" r="4">
      <x v="67"/>
    </i>
    <i r="2">
      <x v="39"/>
    </i>
    <i r="3">
      <x v="1"/>
    </i>
    <i r="4">
      <x v="67"/>
    </i>
    <i r="5">
      <x v="1"/>
    </i>
    <i t="blank" r="4">
      <x v="67"/>
    </i>
    <i r="2">
      <x v="49"/>
    </i>
    <i r="3">
      <x v="1"/>
    </i>
    <i r="4">
      <x v="67"/>
    </i>
    <i r="5">
      <x v="1"/>
    </i>
    <i t="blank" r="4">
      <x v="67"/>
    </i>
    <i r="2">
      <x v="50"/>
    </i>
    <i r="3">
      <x v="1"/>
    </i>
    <i r="4">
      <x v="67"/>
    </i>
    <i r="5">
      <x v="1"/>
    </i>
    <i t="blank" r="4">
      <x v="67"/>
    </i>
    <i r="4">
      <x v="193"/>
    </i>
    <i r="5">
      <x v="1"/>
    </i>
    <i t="blank" r="4">
      <x v="193"/>
    </i>
    <i t="default" r="1">
      <x v="9"/>
    </i>
    <i t="blank" r="1">
      <x v="9"/>
    </i>
    <i r="1">
      <x v="10"/>
    </i>
    <i r="2">
      <x v="73"/>
    </i>
    <i r="3">
      <x v="1"/>
    </i>
    <i r="4">
      <x v="67"/>
    </i>
    <i r="5">
      <x v="1"/>
    </i>
    <i t="blank" r="4">
      <x v="67"/>
    </i>
    <i r="2">
      <x v="127"/>
    </i>
    <i r="3">
      <x v="1"/>
    </i>
    <i r="4">
      <x v="67"/>
    </i>
    <i r="5">
      <x v="1"/>
    </i>
    <i t="blank" r="4">
      <x v="67"/>
    </i>
    <i r="2">
      <x v="130"/>
    </i>
    <i r="3">
      <x v="1"/>
    </i>
    <i r="4">
      <x v="67"/>
    </i>
    <i r="5">
      <x v="1"/>
    </i>
    <i t="blank" r="4">
      <x v="67"/>
    </i>
    <i r="2">
      <x v="135"/>
    </i>
    <i r="3">
      <x v="1"/>
    </i>
    <i r="4">
      <x v="67"/>
    </i>
    <i r="5">
      <x v="1"/>
    </i>
    <i t="blank" r="4">
      <x v="67"/>
    </i>
    <i t="default" r="1">
      <x v="10"/>
    </i>
    <i t="blank" r="1">
      <x v="10"/>
    </i>
    <i r="1">
      <x v="11"/>
    </i>
    <i r="2">
      <x v="32"/>
    </i>
    <i r="3">
      <x v="1"/>
    </i>
    <i r="4">
      <x v="67"/>
    </i>
    <i r="5">
      <x v="1"/>
    </i>
    <i t="blank" r="4">
      <x v="67"/>
    </i>
    <i r="2">
      <x v="33"/>
    </i>
    <i r="3">
      <x v="1"/>
    </i>
    <i r="4">
      <x v="67"/>
    </i>
    <i r="5">
      <x v="1"/>
    </i>
    <i t="blank" r="4">
      <x v="67"/>
    </i>
    <i r="2">
      <x v="104"/>
    </i>
    <i r="3">
      <x v="1"/>
    </i>
    <i r="4">
      <x v="67"/>
    </i>
    <i r="5">
      <x v="1"/>
    </i>
    <i t="blank" r="4">
      <x v="67"/>
    </i>
    <i r="2">
      <x v="133"/>
    </i>
    <i r="3">
      <x v="1"/>
    </i>
    <i r="4">
      <x v="67"/>
    </i>
    <i r="5">
      <x v="1"/>
    </i>
    <i t="blank" r="4">
      <x v="67"/>
    </i>
    <i r="2">
      <x v="135"/>
    </i>
    <i r="3">
      <x v="1"/>
    </i>
    <i r="4">
      <x v="67"/>
    </i>
    <i r="5">
      <x v="1"/>
    </i>
    <i t="blank" r="4">
      <x v="67"/>
    </i>
    <i r="2">
      <x v="136"/>
    </i>
    <i r="3">
      <x v="1"/>
    </i>
    <i r="4">
      <x v="67"/>
    </i>
    <i r="5">
      <x v="1"/>
    </i>
    <i t="blank" r="4">
      <x v="67"/>
    </i>
    <i r="2">
      <x v="137"/>
    </i>
    <i r="3">
      <x v="1"/>
    </i>
    <i r="4">
      <x v="67"/>
    </i>
    <i r="5">
      <x v="1"/>
    </i>
    <i t="blank" r="4">
      <x v="67"/>
    </i>
    <i t="default" r="1">
      <x v="11"/>
    </i>
    <i t="blank" r="1">
      <x v="11"/>
    </i>
    <i r="1">
      <x v="12"/>
    </i>
    <i r="2">
      <x v="44"/>
    </i>
    <i r="3">
      <x v="1"/>
    </i>
    <i r="4">
      <x v="5"/>
    </i>
    <i r="5">
      <x v="1"/>
    </i>
    <i t="blank" r="4">
      <x v="5"/>
    </i>
    <i r="4">
      <x v="76"/>
    </i>
    <i r="5">
      <x v="1"/>
    </i>
    <i t="blank" r="4">
      <x v="76"/>
    </i>
    <i r="4">
      <x v="113"/>
    </i>
    <i r="5">
      <x v="1"/>
    </i>
    <i t="blank" r="4">
      <x v="113"/>
    </i>
    <i r="4">
      <x v="141"/>
    </i>
    <i r="5">
      <x v="1"/>
    </i>
    <i t="blank" r="4">
      <x v="141"/>
    </i>
    <i r="4">
      <x v="170"/>
    </i>
    <i r="5">
      <x v="1"/>
    </i>
    <i t="blank" r="4">
      <x v="170"/>
    </i>
    <i r="4">
      <x v="188"/>
    </i>
    <i r="5">
      <x v="1"/>
    </i>
    <i t="blank" r="4">
      <x v="188"/>
    </i>
    <i r="4">
      <x v="194"/>
    </i>
    <i r="5">
      <x v="1"/>
    </i>
    <i t="blank" r="4">
      <x v="194"/>
    </i>
    <i r="2">
      <x v="45"/>
    </i>
    <i r="3">
      <x v="1"/>
    </i>
    <i r="4">
      <x v="170"/>
    </i>
    <i r="5">
      <x v="1"/>
    </i>
    <i t="blank" r="4">
      <x v="170"/>
    </i>
    <i t="default" r="1">
      <x v="12"/>
    </i>
    <i t="blank" r="1">
      <x v="12"/>
    </i>
    <i r="1">
      <x v="13"/>
    </i>
    <i r="2">
      <x v="14"/>
    </i>
    <i r="3">
      <x v="1"/>
    </i>
    <i r="4">
      <x v="67"/>
    </i>
    <i r="5">
      <x v="1"/>
    </i>
    <i t="blank" r="4">
      <x v="67"/>
    </i>
    <i t="default" r="1">
      <x v="13"/>
    </i>
    <i t="blank" r="1">
      <x v="13"/>
    </i>
    <i r="1">
      <x v="16"/>
    </i>
    <i r="2">
      <x v="22"/>
    </i>
    <i r="3">
      <x v="1"/>
    </i>
    <i r="4">
      <x v="69"/>
    </i>
    <i r="5">
      <x v="1"/>
    </i>
    <i t="blank" r="4">
      <x v="69"/>
    </i>
    <i r="4">
      <x v="70"/>
    </i>
    <i r="5">
      <x v="1"/>
    </i>
    <i t="blank" r="4">
      <x v="70"/>
    </i>
    <i r="2">
      <x v="29"/>
    </i>
    <i r="3">
      <x v="1"/>
    </i>
    <i r="4">
      <x v="70"/>
    </i>
    <i r="5">
      <x v="1"/>
    </i>
    <i t="blank" r="4">
      <x v="70"/>
    </i>
    <i r="4">
      <x v="141"/>
    </i>
    <i r="5">
      <x v="1"/>
    </i>
    <i t="blank" r="4">
      <x v="141"/>
    </i>
    <i r="4">
      <x v="183"/>
    </i>
    <i r="5">
      <x v="1"/>
    </i>
    <i t="blank" r="4">
      <x v="183"/>
    </i>
    <i r="2">
      <x v="32"/>
    </i>
    <i r="3">
      <x v="1"/>
    </i>
    <i r="4">
      <x v="5"/>
    </i>
    <i r="5">
      <x v="1"/>
    </i>
    <i t="blank" r="4">
      <x v="5"/>
    </i>
    <i r="4">
      <x v="141"/>
    </i>
    <i r="5">
      <x v="1"/>
    </i>
    <i t="blank" r="4">
      <x v="141"/>
    </i>
    <i r="2">
      <x v="41"/>
    </i>
    <i r="3">
      <x v="1"/>
    </i>
    <i r="4">
      <x v="5"/>
    </i>
    <i r="5">
      <x v="1"/>
    </i>
    <i t="blank" r="4">
      <x v="5"/>
    </i>
    <i r="4">
      <x v="61"/>
    </i>
    <i r="5">
      <x v="1"/>
    </i>
    <i t="blank" r="4">
      <x v="61"/>
    </i>
    <i r="4">
      <x v="83"/>
    </i>
    <i r="5">
      <x v="1"/>
    </i>
    <i t="blank" r="4">
      <x v="83"/>
    </i>
    <i r="4">
      <x v="171"/>
    </i>
    <i r="5">
      <x v="1"/>
    </i>
    <i t="blank" r="4">
      <x v="171"/>
    </i>
    <i r="4">
      <x v="188"/>
    </i>
    <i r="5">
      <x v="1"/>
    </i>
    <i t="blank" r="4">
      <x v="188"/>
    </i>
    <i r="4">
      <x v="192"/>
    </i>
    <i r="5">
      <x v="1"/>
    </i>
    <i t="blank" r="4">
      <x v="192"/>
    </i>
    <i t="default" r="1">
      <x v="16"/>
    </i>
    <i t="blank" r="1">
      <x v="16"/>
    </i>
    <i r="1">
      <x v="26"/>
    </i>
    <i r="2">
      <x v="94"/>
    </i>
    <i r="3">
      <x v="1"/>
    </i>
    <i r="4">
      <x v="112"/>
    </i>
    <i r="5">
      <x v="1"/>
    </i>
    <i t="blank" r="4">
      <x v="112"/>
    </i>
    <i r="4">
      <x v="113"/>
    </i>
    <i r="5">
      <x v="1"/>
    </i>
    <i t="blank" r="4">
      <x v="113"/>
    </i>
    <i t="default" r="1">
      <x v="26"/>
    </i>
    <i t="blank" r="1">
      <x v="26"/>
    </i>
    <i r="1">
      <x v="29"/>
    </i>
    <i r="2">
      <x v="84"/>
    </i>
    <i r="3">
      <x v="1"/>
    </i>
    <i r="4">
      <x v="130"/>
    </i>
    <i r="5">
      <x v="1"/>
    </i>
    <i t="blank" r="4">
      <x v="130"/>
    </i>
    <i r="4">
      <x v="176"/>
    </i>
    <i r="5">
      <x v="1"/>
    </i>
    <i t="blank" r="4">
      <x v="176"/>
    </i>
    <i r="2">
      <x v="85"/>
    </i>
    <i r="3">
      <x v="1"/>
    </i>
    <i r="4">
      <x v="176"/>
    </i>
    <i r="5">
      <x v="1"/>
    </i>
    <i t="blank" r="4">
      <x v="176"/>
    </i>
    <i r="4">
      <x v="177"/>
    </i>
    <i r="5">
      <x v="1"/>
    </i>
    <i t="blank" r="4">
      <x v="177"/>
    </i>
    <i r="2">
      <x v="86"/>
    </i>
    <i r="3">
      <x v="1"/>
    </i>
    <i r="4">
      <x v="116"/>
    </i>
    <i r="5">
      <x v="1"/>
    </i>
    <i t="blank" r="4">
      <x v="116"/>
    </i>
    <i r="4">
      <x v="131"/>
    </i>
    <i r="5">
      <x v="1"/>
    </i>
    <i t="blank" r="4">
      <x v="131"/>
    </i>
    <i r="4">
      <x v="177"/>
    </i>
    <i r="5">
      <x v="1"/>
    </i>
    <i t="blank" r="4">
      <x v="177"/>
    </i>
    <i r="2">
      <x v="155"/>
    </i>
    <i r="3">
      <x v="1"/>
    </i>
    <i r="4">
      <x v="178"/>
    </i>
    <i r="5">
      <x v="1"/>
    </i>
    <i t="blank" r="4">
      <x v="178"/>
    </i>
    <i r="2">
      <x v="162"/>
    </i>
    <i r="3">
      <x v="1"/>
    </i>
    <i r="4">
      <x v="158"/>
    </i>
    <i r="5">
      <x v="1"/>
    </i>
    <i t="blank" r="4">
      <x v="158"/>
    </i>
    <i r="4">
      <x v="178"/>
    </i>
    <i r="5">
      <x v="1"/>
    </i>
    <i t="blank" r="4">
      <x v="178"/>
    </i>
    <i r="4">
      <x v="179"/>
    </i>
    <i r="5">
      <x v="1"/>
    </i>
    <i t="blank" r="4">
      <x v="179"/>
    </i>
    <i r="4">
      <x v="180"/>
    </i>
    <i r="5">
      <x v="1"/>
    </i>
    <i t="blank" r="4">
      <x v="180"/>
    </i>
    <i t="default" r="1">
      <x v="29"/>
    </i>
    <i t="blank" r="1">
      <x v="29"/>
    </i>
    <i r="1">
      <x v="31"/>
    </i>
    <i r="2">
      <x v="32"/>
    </i>
    <i r="3">
      <x v="1"/>
    </i>
    <i r="4">
      <x v="114"/>
    </i>
    <i r="5">
      <x v="1"/>
    </i>
    <i t="blank" r="4">
      <x v="114"/>
    </i>
    <i r="2">
      <x v="96"/>
    </i>
    <i r="3">
      <x v="1"/>
    </i>
    <i r="4">
      <x v="62"/>
    </i>
    <i r="5">
      <x v="1"/>
    </i>
    <i t="blank" r="4">
      <x v="62"/>
    </i>
    <i r="4">
      <x v="114"/>
    </i>
    <i r="5">
      <x v="1"/>
    </i>
    <i t="blank" r="4">
      <x v="114"/>
    </i>
    <i r="4">
      <x v="115"/>
    </i>
    <i r="5">
      <x v="1"/>
    </i>
    <i t="blank" r="4">
      <x v="115"/>
    </i>
    <i r="4">
      <x v="116"/>
    </i>
    <i r="5">
      <x v="1"/>
    </i>
    <i t="blank" r="4">
      <x v="116"/>
    </i>
    <i r="4">
      <x v="117"/>
    </i>
    <i r="5">
      <x v="1"/>
    </i>
    <i t="blank" r="4">
      <x v="117"/>
    </i>
    <i r="2">
      <x v="97"/>
    </i>
    <i r="3">
      <x v="1"/>
    </i>
    <i r="4">
      <x v="117"/>
    </i>
    <i r="5">
      <x v="1"/>
    </i>
    <i t="blank" r="4">
      <x v="117"/>
    </i>
    <i t="default" r="1">
      <x v="31"/>
    </i>
    <i t="blank" r="1">
      <x v="31"/>
    </i>
    <i r="1">
      <x v="32"/>
    </i>
    <i r="2">
      <x v="84"/>
    </i>
    <i r="3">
      <x v="1"/>
    </i>
    <i r="4">
      <x v="131"/>
    </i>
    <i r="5">
      <x v="1"/>
    </i>
    <i t="blank" r="4">
      <x v="131"/>
    </i>
    <i r="4">
      <x v="197"/>
    </i>
    <i r="5">
      <x v="1"/>
    </i>
    <i t="blank" r="4">
      <x v="197"/>
    </i>
    <i t="default" r="1">
      <x v="32"/>
    </i>
    <i t="blank" r="1">
      <x v="32"/>
    </i>
    <i r="1">
      <x v="35"/>
    </i>
    <i r="2">
      <x v="133"/>
    </i>
    <i r="3">
      <x v="1"/>
    </i>
    <i r="4">
      <x v="161"/>
    </i>
    <i r="5">
      <x v="1"/>
    </i>
    <i t="blank" r="4">
      <x v="161"/>
    </i>
    <i r="4">
      <x v="162"/>
    </i>
    <i r="5">
      <x v="1"/>
    </i>
    <i t="blank" r="4">
      <x v="162"/>
    </i>
    <i r="4">
      <x v="163"/>
    </i>
    <i r="5">
      <x v="1"/>
    </i>
    <i t="blank" r="4">
      <x v="163"/>
    </i>
    <i r="2">
      <x v="134"/>
    </i>
    <i r="3">
      <x v="1"/>
    </i>
    <i r="4">
      <x v="163"/>
    </i>
    <i r="5">
      <x v="1"/>
    </i>
    <i t="blank" r="4">
      <x v="163"/>
    </i>
    <i r="4">
      <x v="164"/>
    </i>
    <i r="5">
      <x v="1"/>
    </i>
    <i t="blank" r="4">
      <x v="164"/>
    </i>
    <i r="2">
      <x v="135"/>
    </i>
    <i r="3">
      <x v="1"/>
    </i>
    <i r="4">
      <x v="164"/>
    </i>
    <i r="5">
      <x v="1"/>
    </i>
    <i t="blank" r="4">
      <x v="164"/>
    </i>
    <i t="default" r="1">
      <x v="35"/>
    </i>
    <i t="blank" r="1">
      <x v="35"/>
    </i>
    <i r="1">
      <x v="37"/>
    </i>
    <i r="2">
      <x v="39"/>
    </i>
    <i r="3">
      <x v="1"/>
    </i>
    <i r="4">
      <x v="171"/>
    </i>
    <i r="5">
      <x v="1"/>
    </i>
    <i t="blank" r="4">
      <x v="171"/>
    </i>
    <i r="2">
      <x v="41"/>
    </i>
    <i r="3">
      <x v="1"/>
    </i>
    <i r="4">
      <x v="171"/>
    </i>
    <i r="5">
      <x v="1"/>
    </i>
    <i t="blank" r="4">
      <x v="171"/>
    </i>
    <i r="4">
      <x v="172"/>
    </i>
    <i r="5">
      <x v="1"/>
    </i>
    <i t="blank" r="4">
      <x v="172"/>
    </i>
    <i r="2">
      <x v="42"/>
    </i>
    <i r="3">
      <x v="1"/>
    </i>
    <i r="4">
      <x v="37"/>
    </i>
    <i r="5">
      <x v="1"/>
    </i>
    <i t="blank" r="4">
      <x v="37"/>
    </i>
    <i r="4">
      <x v="60"/>
    </i>
    <i r="5">
      <x v="1"/>
    </i>
    <i t="blank" r="4">
      <x v="60"/>
    </i>
    <i r="4">
      <x v="172"/>
    </i>
    <i r="5">
      <x v="1"/>
    </i>
    <i t="blank" r="4">
      <x v="172"/>
    </i>
    <i t="default" r="1">
      <x v="37"/>
    </i>
    <i t="blank" r="1">
      <x v="37"/>
    </i>
    <i r="1">
      <x v="38"/>
    </i>
    <i r="2">
      <x v="71"/>
    </i>
    <i r="3">
      <x v="1"/>
    </i>
    <i r="4">
      <x v="67"/>
    </i>
    <i r="5">
      <x v="1"/>
    </i>
    <i t="blank" r="4">
      <x v="67"/>
    </i>
    <i r="2">
      <x v="73"/>
    </i>
    <i r="3">
      <x v="1"/>
    </i>
    <i r="4">
      <x v="67"/>
    </i>
    <i r="5">
      <x v="1"/>
    </i>
    <i t="blank" r="4">
      <x v="67"/>
    </i>
    <i r="2">
      <x v="74"/>
    </i>
    <i r="3">
      <x v="1"/>
    </i>
    <i r="4">
      <x v="67"/>
    </i>
    <i r="5">
      <x v="1"/>
    </i>
    <i t="blank" r="4">
      <x v="67"/>
    </i>
    <i r="2">
      <x v="75"/>
    </i>
    <i r="3">
      <x v="1"/>
    </i>
    <i r="4">
      <x v="67"/>
    </i>
    <i r="5">
      <x v="1"/>
    </i>
    <i t="blank" r="4">
      <x v="67"/>
    </i>
    <i r="2">
      <x v="110"/>
    </i>
    <i r="3">
      <x v="1"/>
    </i>
    <i r="4">
      <x v="67"/>
    </i>
    <i r="5">
      <x v="1"/>
    </i>
    <i t="blank" r="4">
      <x v="67"/>
    </i>
    <i t="default" r="1">
      <x v="38"/>
    </i>
    <i t="blank" r="1">
      <x v="38"/>
    </i>
    <i r="1">
      <x v="39"/>
    </i>
    <i r="2">
      <x v="17"/>
    </i>
    <i r="3">
      <x v="1"/>
    </i>
    <i r="4">
      <x v="67"/>
    </i>
    <i r="5">
      <x v="1"/>
    </i>
    <i t="blank" r="4">
      <x v="67"/>
    </i>
    <i r="2">
      <x v="18"/>
    </i>
    <i r="3">
      <x v="1"/>
    </i>
    <i r="4">
      <x v="67"/>
    </i>
    <i r="5">
      <x v="1"/>
    </i>
    <i t="blank" r="4">
      <x v="67"/>
    </i>
    <i r="2">
      <x v="19"/>
    </i>
    <i r="3">
      <x v="1"/>
    </i>
    <i r="4">
      <x v="67"/>
    </i>
    <i r="5">
      <x v="1"/>
    </i>
    <i t="blank" r="4">
      <x v="67"/>
    </i>
    <i r="2">
      <x v="20"/>
    </i>
    <i r="3">
      <x v="1"/>
    </i>
    <i r="4">
      <x v="67"/>
    </i>
    <i r="5">
      <x v="1"/>
    </i>
    <i t="blank" r="4">
      <x v="67"/>
    </i>
    <i r="2">
      <x v="21"/>
    </i>
    <i r="3">
      <x v="1"/>
    </i>
    <i r="4">
      <x v="67"/>
    </i>
    <i r="5">
      <x v="1"/>
    </i>
    <i t="blank" r="4">
      <x v="67"/>
    </i>
    <i r="4">
      <x v="69"/>
    </i>
    <i r="5">
      <x v="1"/>
    </i>
    <i t="blank" r="4">
      <x v="69"/>
    </i>
    <i r="2">
      <x v="22"/>
    </i>
    <i r="3">
      <x v="1"/>
    </i>
    <i r="4">
      <x v="69"/>
    </i>
    <i r="5">
      <x v="1"/>
    </i>
    <i t="blank" r="4">
      <x v="69"/>
    </i>
    <i r="2">
      <x v="23"/>
    </i>
    <i r="3">
      <x v="1"/>
    </i>
    <i r="4">
      <x v="69"/>
    </i>
    <i r="5">
      <x v="1"/>
    </i>
    <i t="blank" r="4">
      <x v="69"/>
    </i>
    <i r="4">
      <x v="70"/>
    </i>
    <i r="5">
      <x v="1"/>
    </i>
    <i t="blank" r="4">
      <x v="70"/>
    </i>
    <i r="4">
      <x v="71"/>
    </i>
    <i r="5">
      <x v="1"/>
    </i>
    <i t="blank" r="4">
      <x v="71"/>
    </i>
    <i r="4">
      <x v="72"/>
    </i>
    <i r="5">
      <x v="1"/>
    </i>
    <i t="blank" r="4">
      <x v="72"/>
    </i>
    <i r="4">
      <x v="73"/>
    </i>
    <i r="5">
      <x v="1"/>
    </i>
    <i t="blank" r="4">
      <x v="73"/>
    </i>
    <i r="2">
      <x v="24"/>
    </i>
    <i r="3">
      <x v="1"/>
    </i>
    <i r="4">
      <x v="73"/>
    </i>
    <i r="5">
      <x v="1"/>
    </i>
    <i t="blank" r="4">
      <x v="73"/>
    </i>
    <i r="4">
      <x v="74"/>
    </i>
    <i r="5">
      <x v="1"/>
    </i>
    <i t="blank" r="4">
      <x v="74"/>
    </i>
    <i r="4">
      <x v="75"/>
    </i>
    <i r="5">
      <x v="1"/>
    </i>
    <i t="blank" r="4">
      <x v="75"/>
    </i>
    <i r="4">
      <x v="76"/>
    </i>
    <i r="5">
      <x v="1"/>
    </i>
    <i t="blank" r="4">
      <x v="76"/>
    </i>
    <i r="2">
      <x v="25"/>
    </i>
    <i r="3">
      <x v="1"/>
    </i>
    <i r="4">
      <x v="76"/>
    </i>
    <i r="5">
      <x v="1"/>
    </i>
    <i t="blank" r="4">
      <x v="76"/>
    </i>
    <i r="4">
      <x v="77"/>
    </i>
    <i r="5">
      <x v="1"/>
    </i>
    <i t="blank" r="4">
      <x v="77"/>
    </i>
    <i r="2">
      <x v="26"/>
    </i>
    <i r="3">
      <x v="1"/>
    </i>
    <i r="4">
      <x v="77"/>
    </i>
    <i r="5">
      <x v="1"/>
    </i>
    <i t="blank" r="4">
      <x v="77"/>
    </i>
    <i r="4">
      <x v="78"/>
    </i>
    <i r="5">
      <x v="1"/>
    </i>
    <i t="blank" r="4">
      <x v="78"/>
    </i>
    <i r="4">
      <x v="79"/>
    </i>
    <i r="5">
      <x v="1"/>
    </i>
    <i t="blank" r="4">
      <x v="79"/>
    </i>
    <i r="4">
      <x v="80"/>
    </i>
    <i r="5">
      <x v="1"/>
    </i>
    <i t="blank" r="4">
      <x v="80"/>
    </i>
    <i r="2">
      <x v="27"/>
    </i>
    <i r="3">
      <x v="1"/>
    </i>
    <i r="4">
      <x v="80"/>
    </i>
    <i r="5">
      <x v="1"/>
    </i>
    <i t="blank" r="4">
      <x v="80"/>
    </i>
    <i r="4">
      <x v="81"/>
    </i>
    <i r="5">
      <x v="1"/>
    </i>
    <i t="blank" r="4">
      <x v="81"/>
    </i>
    <i r="4">
      <x v="82"/>
    </i>
    <i r="5">
      <x v="1"/>
    </i>
    <i t="blank" r="4">
      <x v="82"/>
    </i>
    <i r="2">
      <x v="28"/>
    </i>
    <i r="3">
      <x v="1"/>
    </i>
    <i r="4">
      <x v="82"/>
    </i>
    <i r="5">
      <x v="1"/>
    </i>
    <i t="blank" r="4">
      <x v="82"/>
    </i>
    <i r="2">
      <x v="97"/>
    </i>
    <i r="3">
      <x v="1"/>
    </i>
    <i r="4">
      <x v="119"/>
    </i>
    <i r="5">
      <x v="1"/>
    </i>
    <i t="blank" r="4">
      <x v="119"/>
    </i>
    <i r="4">
      <x v="120"/>
    </i>
    <i r="5">
      <x v="1"/>
    </i>
    <i t="blank" r="4">
      <x v="120"/>
    </i>
    <i r="4">
      <x v="121"/>
    </i>
    <i r="5">
      <x v="1"/>
    </i>
    <i t="blank" r="4">
      <x v="121"/>
    </i>
    <i r="2">
      <x v="98"/>
    </i>
    <i r="3">
      <x v="1"/>
    </i>
    <i r="4">
      <x v="121"/>
    </i>
    <i r="5">
      <x v="1"/>
    </i>
    <i t="blank" r="4">
      <x v="121"/>
    </i>
    <i r="2">
      <x v="99"/>
    </i>
    <i r="3">
      <x v="1"/>
    </i>
    <i r="4">
      <x v="36"/>
    </i>
    <i r="5">
      <x v="1"/>
    </i>
    <i t="blank" r="4">
      <x v="36"/>
    </i>
    <i r="4">
      <x v="121"/>
    </i>
    <i r="5">
      <x v="1"/>
    </i>
    <i t="blank" r="4">
      <x v="121"/>
    </i>
    <i r="2">
      <x v="100"/>
    </i>
    <i r="3">
      <x v="1"/>
    </i>
    <i r="4">
      <x v="36"/>
    </i>
    <i r="5">
      <x v="1"/>
    </i>
    <i t="blank" r="4">
      <x v="36"/>
    </i>
    <i r="4">
      <x v="122"/>
    </i>
    <i r="5">
      <x v="1"/>
    </i>
    <i t="blank" r="4">
      <x v="122"/>
    </i>
    <i r="2">
      <x v="101"/>
    </i>
    <i r="3">
      <x v="1"/>
    </i>
    <i r="4">
      <x v="122"/>
    </i>
    <i r="5">
      <x v="1"/>
    </i>
    <i t="blank" r="4">
      <x v="122"/>
    </i>
    <i r="2">
      <x v="102"/>
    </i>
    <i r="3">
      <x v="1"/>
    </i>
    <i r="4">
      <x v="123"/>
    </i>
    <i r="5">
      <x v="1"/>
    </i>
    <i t="blank" r="4">
      <x v="123"/>
    </i>
    <i r="4">
      <x v="124"/>
    </i>
    <i r="5">
      <x v="1"/>
    </i>
    <i t="blank" r="4">
      <x v="124"/>
    </i>
    <i r="2">
      <x v="103"/>
    </i>
    <i r="3">
      <x v="1"/>
    </i>
    <i r="4">
      <x v="124"/>
    </i>
    <i r="5">
      <x v="1"/>
    </i>
    <i t="blank" r="4">
      <x v="124"/>
    </i>
    <i r="4">
      <x v="125"/>
    </i>
    <i r="5">
      <x v="1"/>
    </i>
    <i t="blank" r="4">
      <x v="125"/>
    </i>
    <i r="2">
      <x v="104"/>
    </i>
    <i r="3">
      <x v="1"/>
    </i>
    <i r="4">
      <x v="125"/>
    </i>
    <i r="5">
      <x v="1"/>
    </i>
    <i t="blank" r="4">
      <x v="125"/>
    </i>
    <i t="default" r="1">
      <x v="39"/>
    </i>
    <i t="blank" r="1">
      <x v="39"/>
    </i>
    <i r="1">
      <x v="40"/>
    </i>
    <i r="2">
      <x v="165"/>
    </i>
    <i r="3">
      <x v="1"/>
    </i>
    <i r="4">
      <x v="178"/>
    </i>
    <i r="5">
      <x v="1"/>
    </i>
    <i t="blank" r="4">
      <x v="178"/>
    </i>
    <i r="4">
      <x v="179"/>
    </i>
    <i r="5">
      <x v="1"/>
    </i>
    <i t="blank" r="4">
      <x v="179"/>
    </i>
    <i r="4">
      <x v="181"/>
    </i>
    <i r="5">
      <x v="1"/>
    </i>
    <i t="blank" r="4">
      <x v="181"/>
    </i>
    <i r="2">
      <x v="166"/>
    </i>
    <i r="3">
      <x v="1"/>
    </i>
    <i r="4">
      <x v="150"/>
    </i>
    <i r="5">
      <x v="1"/>
    </i>
    <i t="blank" r="4">
      <x v="150"/>
    </i>
    <i r="4">
      <x v="181"/>
    </i>
    <i r="5">
      <x v="1"/>
    </i>
    <i t="blank" r="4">
      <x v="181"/>
    </i>
    <i t="default" r="1">
      <x v="40"/>
    </i>
    <i t="blank" r="1">
      <x v="40"/>
    </i>
    <i r="1">
      <x v="46"/>
    </i>
    <i r="2">
      <x v="110"/>
    </i>
    <i r="3">
      <x v="1"/>
    </i>
    <i r="4">
      <x v="30"/>
    </i>
    <i r="5">
      <x v="1"/>
    </i>
    <i t="blank" r="4">
      <x v="30"/>
    </i>
    <i t="default" r="1">
      <x v="46"/>
    </i>
    <i t="blank" r="1">
      <x v="46"/>
    </i>
    <i r="1">
      <x v="56"/>
    </i>
    <i r="2">
      <x v="165"/>
    </i>
    <i r="3">
      <x v="1"/>
    </i>
    <i r="4">
      <x v="182"/>
    </i>
    <i r="5">
      <x v="1"/>
    </i>
    <i t="blank" r="4">
      <x v="182"/>
    </i>
    <i t="default" r="1">
      <x v="56"/>
    </i>
    <i t="blank" r="1">
      <x v="56"/>
    </i>
    <i r="1">
      <x v="60"/>
    </i>
    <i r="2">
      <x v="144"/>
    </i>
    <i r="3">
      <x v="1"/>
    </i>
    <i r="4">
      <x v="67"/>
    </i>
    <i r="5">
      <x v="1"/>
    </i>
    <i t="blank" r="4">
      <x v="67"/>
    </i>
    <i r="2">
      <x v="147"/>
    </i>
    <i r="3">
      <x v="1"/>
    </i>
    <i r="4">
      <x v="67"/>
    </i>
    <i r="5">
      <x v="1"/>
    </i>
    <i t="blank" r="4">
      <x v="67"/>
    </i>
    <i r="4">
      <x v="137"/>
    </i>
    <i r="5">
      <x v="1"/>
    </i>
    <i t="blank" r="4">
      <x v="137"/>
    </i>
    <i t="default" r="1">
      <x v="60"/>
    </i>
    <i t="blank" r="1">
      <x v="60"/>
    </i>
    <i r="1">
      <x v="63"/>
    </i>
    <i r="2">
      <x v="140"/>
    </i>
    <i r="3">
      <x v="1"/>
    </i>
    <i r="4">
      <x v="67"/>
    </i>
    <i r="5">
      <x v="1"/>
    </i>
    <i t="blank" r="4">
      <x v="67"/>
    </i>
    <i r="2">
      <x v="141"/>
    </i>
    <i r="3">
      <x v="1"/>
    </i>
    <i r="4">
      <x v="67"/>
    </i>
    <i r="5">
      <x v="1"/>
    </i>
    <i t="blank" r="4">
      <x v="67"/>
    </i>
    <i r="4">
      <x v="165"/>
    </i>
    <i r="5">
      <x v="1"/>
    </i>
    <i t="blank" r="4">
      <x v="165"/>
    </i>
    <i r="4">
      <x v="166"/>
    </i>
    <i r="5">
      <x v="1"/>
    </i>
    <i t="blank" r="4">
      <x v="166"/>
    </i>
    <i t="default" r="1">
      <x v="63"/>
    </i>
    <i t="blank" r="1">
      <x v="63"/>
    </i>
    <i r="1">
      <x v="66"/>
    </i>
    <i r="2">
      <x v="21"/>
    </i>
    <i r="3">
      <x v="1"/>
    </i>
    <i r="4">
      <x v="67"/>
    </i>
    <i r="5">
      <x v="1"/>
    </i>
    <i t="blank" r="4">
      <x v="67"/>
    </i>
    <i r="2">
      <x v="22"/>
    </i>
    <i r="3">
      <x v="1"/>
    </i>
    <i r="4">
      <x v="67"/>
    </i>
    <i r="5">
      <x v="1"/>
    </i>
    <i t="blank" r="4">
      <x v="67"/>
    </i>
    <i r="2">
      <x v="143"/>
    </i>
    <i r="3">
      <x v="1"/>
    </i>
    <i r="4">
      <x v="67"/>
    </i>
    <i r="5">
      <x v="1"/>
    </i>
    <i t="blank" r="4">
      <x v="67"/>
    </i>
    <i r="4">
      <x v="166"/>
    </i>
    <i r="5">
      <x v="1"/>
    </i>
    <i t="blank" r="4">
      <x v="166"/>
    </i>
    <i r="4">
      <x v="167"/>
    </i>
    <i r="5">
      <x v="1"/>
    </i>
    <i t="blank" r="4">
      <x v="167"/>
    </i>
    <i r="4">
      <x v="168"/>
    </i>
    <i r="5">
      <x v="1"/>
    </i>
    <i t="blank" r="4">
      <x v="168"/>
    </i>
    <i t="default" r="1">
      <x v="66"/>
    </i>
    <i t="blank" r="1">
      <x v="66"/>
    </i>
    <i r="1">
      <x v="67"/>
    </i>
    <i r="2">
      <x v="1"/>
    </i>
    <i r="3">
      <x v="1"/>
    </i>
    <i r="4">
      <x v="67"/>
    </i>
    <i r="5">
      <x v="1"/>
    </i>
    <i t="blank" r="4">
      <x v="67"/>
    </i>
    <i r="2">
      <x v="2"/>
    </i>
    <i r="3">
      <x v="1"/>
    </i>
    <i r="4">
      <x v="67"/>
    </i>
    <i r="5">
      <x v="1"/>
    </i>
    <i t="blank" r="4">
      <x v="67"/>
    </i>
    <i r="2">
      <x v="3"/>
    </i>
    <i r="3">
      <x v="1"/>
    </i>
    <i r="4">
      <x v="67"/>
    </i>
    <i r="5">
      <x v="1"/>
    </i>
    <i t="blank" r="4">
      <x v="67"/>
    </i>
    <i r="2">
      <x v="4"/>
    </i>
    <i r="3">
      <x v="1"/>
    </i>
    <i r="4">
      <x v="67"/>
    </i>
    <i r="5">
      <x v="1"/>
    </i>
    <i t="blank" r="4">
      <x v="67"/>
    </i>
    <i t="default" r="1">
      <x v="67"/>
    </i>
    <i t="blank" r="1">
      <x v="67"/>
    </i>
    <i r="1">
      <x v="68"/>
    </i>
    <i r="2">
      <x v="32"/>
    </i>
    <i r="3">
      <x v="1"/>
    </i>
    <i r="4">
      <x v="67"/>
    </i>
    <i r="5">
      <x v="1"/>
    </i>
    <i t="blank" r="4">
      <x v="67"/>
    </i>
    <i r="2">
      <x v="53"/>
    </i>
    <i r="3">
      <x v="1"/>
    </i>
    <i r="4">
      <x v="67"/>
    </i>
    <i r="5">
      <x v="1"/>
    </i>
    <i t="blank" r="4">
      <x v="67"/>
    </i>
    <i r="2">
      <x v="55"/>
    </i>
    <i r="3">
      <x v="1"/>
    </i>
    <i r="4">
      <x v="67"/>
    </i>
    <i r="5">
      <x v="1"/>
    </i>
    <i t="blank" r="4">
      <x v="67"/>
    </i>
    <i r="4">
      <x v="70"/>
    </i>
    <i r="5">
      <x v="1"/>
    </i>
    <i t="blank" r="4">
      <x v="70"/>
    </i>
    <i r="2">
      <x v="57"/>
    </i>
    <i r="3">
      <x v="1"/>
    </i>
    <i r="4">
      <x v="70"/>
    </i>
    <i r="5">
      <x v="1"/>
    </i>
    <i t="blank" r="4">
      <x v="70"/>
    </i>
    <i r="4">
      <x v="71"/>
    </i>
    <i r="5">
      <x v="1"/>
    </i>
    <i t="blank" r="4">
      <x v="71"/>
    </i>
    <i r="4">
      <x v="74"/>
    </i>
    <i r="5">
      <x v="1"/>
    </i>
    <i t="blank" r="4">
      <x v="74"/>
    </i>
    <i t="default" r="1">
      <x v="68"/>
    </i>
    <i t="blank" r="1">
      <x v="68"/>
    </i>
    <i r="1">
      <x v="69"/>
    </i>
    <i r="2">
      <x v="6"/>
    </i>
    <i r="3">
      <x v="1"/>
    </i>
    <i r="4">
      <x v="67"/>
    </i>
    <i r="5">
      <x v="1"/>
    </i>
    <i t="blank" r="4">
      <x v="67"/>
    </i>
    <i r="2">
      <x v="10"/>
    </i>
    <i r="3">
      <x v="1"/>
    </i>
    <i r="4">
      <x v="67"/>
    </i>
    <i r="5">
      <x v="1"/>
    </i>
    <i t="blank" r="4">
      <x v="67"/>
    </i>
    <i r="2">
      <x v="77"/>
    </i>
    <i r="3">
      <x v="1"/>
    </i>
    <i r="4">
      <x v="67"/>
    </i>
    <i r="5">
      <x v="1"/>
    </i>
    <i t="blank" r="4">
      <x v="67"/>
    </i>
    <i t="default" r="1">
      <x v="69"/>
    </i>
    <i t="blank" r="1">
      <x v="69"/>
    </i>
    <i r="1">
      <x v="71"/>
    </i>
    <i r="2">
      <x v="2"/>
    </i>
    <i r="3">
      <x v="1"/>
    </i>
    <i r="4">
      <x v="96"/>
    </i>
    <i r="5">
      <x v="1"/>
    </i>
    <i t="blank" r="4">
      <x v="96"/>
    </i>
    <i r="2">
      <x v="3"/>
    </i>
    <i r="3">
      <x v="1"/>
    </i>
    <i r="4">
      <x v="96"/>
    </i>
    <i r="5">
      <x v="1"/>
    </i>
    <i t="blank" r="4">
      <x v="96"/>
    </i>
    <i r="4">
      <x v="141"/>
    </i>
    <i r="5">
      <x v="1"/>
    </i>
    <i t="blank" r="4">
      <x v="141"/>
    </i>
    <i r="4">
      <x v="183"/>
    </i>
    <i r="5">
      <x v="1"/>
    </i>
    <i t="blank" r="4">
      <x v="183"/>
    </i>
    <i t="default" r="1">
      <x v="71"/>
    </i>
    <i t="blank" r="1">
      <x v="71"/>
    </i>
    <i r="1">
      <x v="72"/>
    </i>
    <i r="2">
      <x v="44"/>
    </i>
    <i r="3">
      <x v="1"/>
    </i>
    <i r="4">
      <x v="83"/>
    </i>
    <i r="5">
      <x v="1"/>
    </i>
    <i t="blank" r="4">
      <x v="83"/>
    </i>
    <i r="2">
      <x v="165"/>
    </i>
    <i r="3">
      <x v="1"/>
    </i>
    <i r="4">
      <x v="106"/>
    </i>
    <i r="5">
      <x v="1"/>
    </i>
    <i t="blank" r="4">
      <x v="106"/>
    </i>
    <i r="4">
      <x v="114"/>
    </i>
    <i r="5">
      <x v="1"/>
    </i>
    <i t="blank" r="4">
      <x v="114"/>
    </i>
    <i r="4">
      <x v="184"/>
    </i>
    <i r="5">
      <x v="1"/>
    </i>
    <i t="blank" r="4">
      <x v="184"/>
    </i>
    <i t="default" r="1">
      <x v="72"/>
    </i>
    <i t="blank" r="1">
      <x v="72"/>
    </i>
    <i r="1">
      <x v="76"/>
    </i>
    <i r="2">
      <x v="51"/>
    </i>
    <i r="3">
      <x v="1"/>
    </i>
    <i r="4">
      <x v="67"/>
    </i>
    <i r="5">
      <x v="1"/>
    </i>
    <i t="blank" r="4">
      <x v="67"/>
    </i>
    <i r="2">
      <x v="52"/>
    </i>
    <i r="3">
      <x v="1"/>
    </i>
    <i r="4">
      <x v="67"/>
    </i>
    <i r="5">
      <x v="1"/>
    </i>
    <i t="blank" r="4">
      <x v="67"/>
    </i>
    <i r="2">
      <x v="57"/>
    </i>
    <i r="3">
      <x v="1"/>
    </i>
    <i r="4">
      <x v="67"/>
    </i>
    <i r="5">
      <x v="1"/>
    </i>
    <i t="blank" r="4">
      <x v="67"/>
    </i>
    <i t="default" r="1">
      <x v="76"/>
    </i>
    <i t="blank" r="1">
      <x v="76"/>
    </i>
    <i r="1">
      <x v="77"/>
    </i>
    <i r="2">
      <x v="11"/>
    </i>
    <i r="3">
      <x v="1"/>
    </i>
    <i r="4">
      <x v="67"/>
    </i>
    <i r="5">
      <x v="1"/>
    </i>
    <i t="blank" r="4">
      <x v="67"/>
    </i>
    <i r="2">
      <x v="79"/>
    </i>
    <i r="3">
      <x v="1"/>
    </i>
    <i r="4">
      <x v="67"/>
    </i>
    <i r="5">
      <x v="1"/>
    </i>
    <i t="blank" r="4">
      <x v="67"/>
    </i>
    <i r="2">
      <x v="80"/>
    </i>
    <i r="3">
      <x v="1"/>
    </i>
    <i r="4">
      <x v="67"/>
    </i>
    <i r="5">
      <x v="1"/>
    </i>
    <i t="blank" r="4">
      <x v="67"/>
    </i>
    <i r="2">
      <x v="133"/>
    </i>
    <i r="3">
      <x v="1"/>
    </i>
    <i r="4">
      <x v="67"/>
    </i>
    <i r="5">
      <x v="1"/>
    </i>
    <i t="blank" r="4">
      <x v="67"/>
    </i>
    <i r="2">
      <x v="134"/>
    </i>
    <i r="3">
      <x v="1"/>
    </i>
    <i r="4">
      <x v="67"/>
    </i>
    <i r="5">
      <x v="1"/>
    </i>
    <i t="blank" r="4">
      <x v="67"/>
    </i>
    <i r="2">
      <x v="135"/>
    </i>
    <i r="3">
      <x v="1"/>
    </i>
    <i r="4">
      <x v="67"/>
    </i>
    <i r="5">
      <x v="1"/>
    </i>
    <i t="blank" r="4">
      <x v="67"/>
    </i>
    <i r="4">
      <x v="128"/>
    </i>
    <i r="5">
      <x v="1"/>
    </i>
    <i t="blank" r="4">
      <x v="128"/>
    </i>
    <i r="4">
      <x v="146"/>
    </i>
    <i r="5">
      <x v="1"/>
    </i>
    <i t="blank" r="4">
      <x v="146"/>
    </i>
    <i r="4">
      <x v="147"/>
    </i>
    <i r="5">
      <x v="1"/>
    </i>
    <i t="blank" r="4">
      <x v="147"/>
    </i>
    <i r="2">
      <x v="136"/>
    </i>
    <i r="3">
      <x v="1"/>
    </i>
    <i r="4">
      <x v="147"/>
    </i>
    <i r="5">
      <x v="1"/>
    </i>
    <i t="blank" r="4">
      <x v="147"/>
    </i>
    <i t="default" r="1">
      <x v="77"/>
    </i>
    <i t="blank" r="1">
      <x v="77"/>
    </i>
    <i r="1">
      <x v="79"/>
    </i>
    <i r="2">
      <x v="111"/>
    </i>
    <i r="3">
      <x v="1"/>
    </i>
    <i r="4">
      <x v="119"/>
    </i>
    <i r="5">
      <x v="1"/>
    </i>
    <i t="blank" r="4">
      <x v="119"/>
    </i>
    <i r="2">
      <x v="162"/>
    </i>
    <i r="3">
      <x v="1"/>
    </i>
    <i r="4">
      <x v="36"/>
    </i>
    <i r="5">
      <x v="1"/>
    </i>
    <i t="blank" r="4">
      <x v="36"/>
    </i>
    <i r="4">
      <x v="119"/>
    </i>
    <i r="5">
      <x v="1"/>
    </i>
    <i t="blank" r="4">
      <x v="119"/>
    </i>
    <i r="4">
      <x v="120"/>
    </i>
    <i r="5">
      <x v="1"/>
    </i>
    <i t="blank" r="4">
      <x v="120"/>
    </i>
    <i r="2">
      <x v="163"/>
    </i>
    <i r="3">
      <x v="1"/>
    </i>
    <i r="4">
      <x v="36"/>
    </i>
    <i r="5">
      <x v="1"/>
    </i>
    <i t="blank" r="4">
      <x v="36"/>
    </i>
    <i r="4">
      <x v="117"/>
    </i>
    <i r="5">
      <x v="1"/>
    </i>
    <i t="blank" r="4">
      <x v="117"/>
    </i>
    <i r="4">
      <x v="122"/>
    </i>
    <i r="5">
      <x v="1"/>
    </i>
    <i t="blank" r="4">
      <x v="122"/>
    </i>
    <i r="4">
      <x v="123"/>
    </i>
    <i r="5">
      <x v="1"/>
    </i>
    <i t="blank" r="4">
      <x v="123"/>
    </i>
    <i r="4">
      <x v="124"/>
    </i>
    <i r="5">
      <x v="1"/>
    </i>
    <i t="blank" r="4">
      <x v="124"/>
    </i>
    <i r="4">
      <x v="131"/>
    </i>
    <i r="5">
      <x v="1"/>
    </i>
    <i t="blank" r="4">
      <x v="131"/>
    </i>
    <i r="2">
      <x v="164"/>
    </i>
    <i r="3">
      <x v="1"/>
    </i>
    <i r="4">
      <x v="117"/>
    </i>
    <i r="5">
      <x v="1"/>
    </i>
    <i t="blank" r="4">
      <x v="117"/>
    </i>
    <i t="default" r="1">
      <x v="79"/>
    </i>
    <i t="blank" r="1">
      <x v="79"/>
    </i>
    <i r="1">
      <x v="80"/>
    </i>
    <i r="2">
      <x v="90"/>
    </i>
    <i r="3">
      <x v="1"/>
    </i>
    <i r="4">
      <x v="67"/>
    </i>
    <i r="5">
      <x v="1"/>
    </i>
    <i t="blank" r="4">
      <x v="67"/>
    </i>
    <i r="2">
      <x v="94"/>
    </i>
    <i r="3">
      <x v="1"/>
    </i>
    <i r="4">
      <x v="67"/>
    </i>
    <i r="5">
      <x v="1"/>
    </i>
    <i t="blank" r="4">
      <x v="67"/>
    </i>
    <i r="2">
      <x v="95"/>
    </i>
    <i r="3">
      <x v="1"/>
    </i>
    <i r="4">
      <x v="67"/>
    </i>
    <i r="5">
      <x v="1"/>
    </i>
    <i t="blank" r="4">
      <x v="67"/>
    </i>
    <i r="2">
      <x v="113"/>
    </i>
    <i r="3">
      <x v="1"/>
    </i>
    <i r="4">
      <x v="67"/>
    </i>
    <i r="5">
      <x v="1"/>
    </i>
    <i t="blank" r="4">
      <x v="67"/>
    </i>
    <i r="2">
      <x v="166"/>
    </i>
    <i r="3">
      <x v="1"/>
    </i>
    <i r="4">
      <x v="67"/>
    </i>
    <i r="5">
      <x v="1"/>
    </i>
    <i t="blank" r="4">
      <x v="67"/>
    </i>
    <i r="4">
      <x v="141"/>
    </i>
    <i r="5">
      <x v="1"/>
    </i>
    <i t="blank" r="4">
      <x v="141"/>
    </i>
    <i r="4">
      <x v="188"/>
    </i>
    <i r="5">
      <x v="1"/>
    </i>
    <i t="blank" r="4">
      <x v="188"/>
    </i>
    <i r="2">
      <x v="167"/>
    </i>
    <i r="3">
      <x v="1"/>
    </i>
    <i r="4">
      <x v="188"/>
    </i>
    <i r="5">
      <x v="1"/>
    </i>
    <i t="blank" r="4">
      <x v="188"/>
    </i>
    <i r="4">
      <x v="189"/>
    </i>
    <i r="5">
      <x v="1"/>
    </i>
    <i t="blank" r="4">
      <x v="189"/>
    </i>
    <i r="2">
      <x v="168"/>
    </i>
    <i r="3">
      <x v="1"/>
    </i>
    <i r="4">
      <x v="83"/>
    </i>
    <i r="5">
      <x v="1"/>
    </i>
    <i t="blank" r="4">
      <x v="83"/>
    </i>
    <i r="4">
      <x v="146"/>
    </i>
    <i r="5">
      <x v="1"/>
    </i>
    <i t="blank" r="4">
      <x v="146"/>
    </i>
    <i t="default" r="1">
      <x v="80"/>
    </i>
    <i t="blank" r="1">
      <x v="80"/>
    </i>
    <i r="1">
      <x v="84"/>
    </i>
    <i r="2">
      <x v="32"/>
    </i>
    <i r="3">
      <x v="1"/>
    </i>
    <i r="4">
      <x v="80"/>
    </i>
    <i r="5">
      <x v="1"/>
    </i>
    <i t="blank" r="4">
      <x v="80"/>
    </i>
    <i r="4">
      <x v="112"/>
    </i>
    <i r="5">
      <x v="1"/>
    </i>
    <i t="blank" r="4">
      <x v="112"/>
    </i>
    <i r="4">
      <x v="188"/>
    </i>
    <i r="5">
      <x v="1"/>
    </i>
    <i t="blank" r="4">
      <x v="188"/>
    </i>
    <i r="4">
      <x v="194"/>
    </i>
    <i r="5">
      <x v="1"/>
    </i>
    <i t="blank" r="4">
      <x v="194"/>
    </i>
    <i t="default" r="1">
      <x v="84"/>
    </i>
    <i t="blank" r="1">
      <x v="84"/>
    </i>
    <i r="1">
      <x v="86"/>
    </i>
    <i r="2">
      <x v="80"/>
    </i>
    <i r="3">
      <x v="1"/>
    </i>
    <i r="4">
      <x v="67"/>
    </i>
    <i r="5">
      <x v="1"/>
    </i>
    <i t="blank" r="4">
      <x v="67"/>
    </i>
    <i t="default" r="1">
      <x v="86"/>
    </i>
    <i t="blank" r="1">
      <x v="86"/>
    </i>
    <i r="1">
      <x v="88"/>
    </i>
    <i r="2">
      <x v="44"/>
    </i>
    <i r="3">
      <x v="1"/>
    </i>
    <i r="4">
      <x v="96"/>
    </i>
    <i r="5">
      <x v="1"/>
    </i>
    <i t="blank" r="4">
      <x v="96"/>
    </i>
    <i r="4">
      <x v="183"/>
    </i>
    <i r="5">
      <x v="1"/>
    </i>
    <i t="blank" r="4">
      <x v="183"/>
    </i>
    <i r="2">
      <x v="45"/>
    </i>
    <i r="3">
      <x v="1"/>
    </i>
    <i r="4">
      <x v="3"/>
    </i>
    <i r="5">
      <x v="1"/>
    </i>
    <i t="blank" r="4">
      <x v="3"/>
    </i>
    <i r="4">
      <x v="74"/>
    </i>
    <i r="5">
      <x v="1"/>
    </i>
    <i t="blank" r="4">
      <x v="74"/>
    </i>
    <i r="4">
      <x v="141"/>
    </i>
    <i r="5">
      <x v="1"/>
    </i>
    <i t="blank" r="4">
      <x v="141"/>
    </i>
    <i r="4">
      <x v="183"/>
    </i>
    <i r="5">
      <x v="1"/>
    </i>
    <i t="blank" r="4">
      <x v="183"/>
    </i>
    <i r="4">
      <x v="188"/>
    </i>
    <i r="5">
      <x v="1"/>
    </i>
    <i t="blank" r="4">
      <x v="188"/>
    </i>
    <i r="4">
      <x v="195"/>
    </i>
    <i r="5">
      <x v="1"/>
    </i>
    <i t="blank" r="4">
      <x v="195"/>
    </i>
    <i r="4">
      <x v="196"/>
    </i>
    <i r="5">
      <x v="1"/>
    </i>
    <i t="blank" r="4">
      <x v="196"/>
    </i>
    <i r="2">
      <x v="46"/>
    </i>
    <i r="3">
      <x v="1"/>
    </i>
    <i r="4">
      <x v="188"/>
    </i>
    <i r="5">
      <x v="1"/>
    </i>
    <i t="blank" r="4">
      <x v="188"/>
    </i>
    <i t="default" r="1">
      <x v="88"/>
    </i>
    <i t="blank" r="1">
      <x v="88"/>
    </i>
    <i r="1">
      <x v="90"/>
    </i>
    <i r="2">
      <x v="106"/>
    </i>
    <i r="3">
      <x v="1"/>
    </i>
    <i r="4">
      <x v="67"/>
    </i>
    <i r="5">
      <x v="1"/>
    </i>
    <i t="blank" r="4">
      <x v="67"/>
    </i>
    <i r="2">
      <x v="107"/>
    </i>
    <i r="3">
      <x v="1"/>
    </i>
    <i r="4">
      <x v="67"/>
    </i>
    <i r="5">
      <x v="1"/>
    </i>
    <i t="blank" r="4">
      <x v="67"/>
    </i>
    <i r="2">
      <x v="108"/>
    </i>
    <i r="3">
      <x v="1"/>
    </i>
    <i r="4">
      <x v="67"/>
    </i>
    <i r="5">
      <x v="1"/>
    </i>
    <i t="blank" r="4">
      <x v="67"/>
    </i>
    <i r="2">
      <x v="114"/>
    </i>
    <i r="3">
      <x v="1"/>
    </i>
    <i r="4">
      <x v="67"/>
    </i>
    <i r="5">
      <x v="1"/>
    </i>
    <i t="blank" r="4">
      <x v="67"/>
    </i>
    <i r="2">
      <x v="115"/>
    </i>
    <i r="3">
      <x v="1"/>
    </i>
    <i r="4">
      <x v="67"/>
    </i>
    <i r="5">
      <x v="1"/>
    </i>
    <i t="blank" r="4">
      <x v="67"/>
    </i>
    <i r="2">
      <x v="149"/>
    </i>
    <i r="3">
      <x v="1"/>
    </i>
    <i r="4">
      <x v="67"/>
    </i>
    <i r="5">
      <x v="1"/>
    </i>
    <i t="blank" r="4">
      <x v="67"/>
    </i>
    <i r="2">
      <x v="150"/>
    </i>
    <i r="3">
      <x v="1"/>
    </i>
    <i r="4">
      <x v="67"/>
    </i>
    <i r="5">
      <x v="1"/>
    </i>
    <i t="blank" r="4">
      <x v="67"/>
    </i>
    <i r="2">
      <x v="163"/>
    </i>
    <i r="3">
      <x v="1"/>
    </i>
    <i r="4">
      <x v="67"/>
    </i>
    <i r="5">
      <x v="1"/>
    </i>
    <i t="blank" r="4">
      <x v="67"/>
    </i>
    <i t="default" r="1">
      <x v="90"/>
    </i>
    <i t="blank" r="1">
      <x v="90"/>
    </i>
    <i r="1">
      <x v="91"/>
    </i>
    <i r="2">
      <x v="68"/>
    </i>
    <i r="3">
      <x v="1"/>
    </i>
    <i r="4">
      <x v="124"/>
    </i>
    <i r="5">
      <x v="1"/>
    </i>
    <i t="blank" r="4">
      <x v="124"/>
    </i>
    <i r="4">
      <x v="176"/>
    </i>
    <i r="5">
      <x v="1"/>
    </i>
    <i t="blank" r="4">
      <x v="176"/>
    </i>
    <i r="4">
      <x v="177"/>
    </i>
    <i r="5">
      <x v="1"/>
    </i>
    <i t="blank" r="4">
      <x v="177"/>
    </i>
    <i t="default" r="1">
      <x v="91"/>
    </i>
    <i t="blank" r="1">
      <x v="91"/>
    </i>
    <i r="1">
      <x v="92"/>
    </i>
    <i r="2">
      <x v="2"/>
    </i>
    <i r="3">
      <x v="1"/>
    </i>
    <i r="4">
      <x v="67"/>
    </i>
    <i r="5">
      <x v="1"/>
    </i>
    <i t="blank" r="4">
      <x v="67"/>
    </i>
    <i r="2">
      <x v="3"/>
    </i>
    <i r="3">
      <x v="1"/>
    </i>
    <i r="4">
      <x v="67"/>
    </i>
    <i r="5">
      <x v="1"/>
    </i>
    <i t="blank" r="4">
      <x v="67"/>
    </i>
    <i r="2">
      <x v="4"/>
    </i>
    <i r="3">
      <x v="1"/>
    </i>
    <i r="4">
      <x v="67"/>
    </i>
    <i r="5">
      <x v="1"/>
    </i>
    <i t="blank" r="4">
      <x v="67"/>
    </i>
    <i t="default" r="1">
      <x v="92"/>
    </i>
    <i t="blank" r="1">
      <x v="92"/>
    </i>
    <i r="1">
      <x v="93"/>
    </i>
    <i r="2">
      <x v="114"/>
    </i>
    <i r="3">
      <x v="1"/>
    </i>
    <i r="4">
      <x v="127"/>
    </i>
    <i r="5">
      <x v="1"/>
    </i>
    <i t="blank" r="4">
      <x v="127"/>
    </i>
    <i r="4">
      <x v="128"/>
    </i>
    <i r="5">
      <x v="1"/>
    </i>
    <i t="blank" r="4">
      <x v="128"/>
    </i>
    <i r="4">
      <x v="129"/>
    </i>
    <i r="5">
      <x v="1"/>
    </i>
    <i t="blank" r="4">
      <x v="129"/>
    </i>
    <i r="4">
      <x v="130"/>
    </i>
    <i r="5">
      <x v="1"/>
    </i>
    <i t="blank" r="4">
      <x v="130"/>
    </i>
    <i r="4">
      <x v="131"/>
    </i>
    <i r="5">
      <x v="1"/>
    </i>
    <i t="blank" r="4">
      <x v="131"/>
    </i>
    <i t="default" r="1">
      <x v="93"/>
    </i>
    <i t="blank" r="1">
      <x v="93"/>
    </i>
    <i r="1">
      <x v="94"/>
    </i>
    <i r="2">
      <x v="41"/>
    </i>
    <i r="3">
      <x v="1"/>
    </i>
    <i r="4">
      <x v="67"/>
    </i>
    <i r="5">
      <x v="1"/>
    </i>
    <i t="blank" r="4">
      <x v="67"/>
    </i>
    <i r="2">
      <x v="130"/>
    </i>
    <i r="3">
      <x v="1"/>
    </i>
    <i r="4">
      <x v="67"/>
    </i>
    <i r="5">
      <x v="1"/>
    </i>
    <i t="blank" r="4">
      <x v="67"/>
    </i>
    <i r="2">
      <x v="166"/>
    </i>
    <i r="3">
      <x v="1"/>
    </i>
    <i r="4">
      <x v="67"/>
    </i>
    <i r="5">
      <x v="1"/>
    </i>
    <i t="blank" r="4">
      <x v="67"/>
    </i>
    <i r="4">
      <x v="137"/>
    </i>
    <i r="5">
      <x v="1"/>
    </i>
    <i t="blank" r="4">
      <x v="137"/>
    </i>
    <i t="default" r="1">
      <x v="94"/>
    </i>
    <i t="blank" r="1">
      <x v="94"/>
    </i>
    <i r="1">
      <x v="99"/>
    </i>
    <i r="2">
      <x v="16"/>
    </i>
    <i r="3">
      <x v="1"/>
    </i>
    <i r="4">
      <x v="67"/>
    </i>
    <i r="5">
      <x v="1"/>
    </i>
    <i t="blank" r="4">
      <x v="67"/>
    </i>
    <i r="4">
      <x v="70"/>
    </i>
    <i r="5">
      <x v="1"/>
    </i>
    <i t="blank" r="4">
      <x v="70"/>
    </i>
    <i t="default" r="1">
      <x v="99"/>
    </i>
    <i t="blank" r="1">
      <x v="99"/>
    </i>
    <i r="1">
      <x v="101"/>
    </i>
    <i r="2">
      <x v="17"/>
    </i>
    <i r="3">
      <x v="1"/>
    </i>
    <i r="4">
      <x v="71"/>
    </i>
    <i r="5">
      <x v="1"/>
    </i>
    <i t="blank" r="4">
      <x v="71"/>
    </i>
    <i r="4">
      <x v="72"/>
    </i>
    <i r="5">
      <x v="1"/>
    </i>
    <i t="blank" r="4">
      <x v="72"/>
    </i>
    <i r="4">
      <x v="74"/>
    </i>
    <i r="5">
      <x v="1"/>
    </i>
    <i t="blank" r="4">
      <x v="74"/>
    </i>
    <i r="2">
      <x v="18"/>
    </i>
    <i r="3">
      <x v="1"/>
    </i>
    <i r="4">
      <x v="74"/>
    </i>
    <i r="5">
      <x v="1"/>
    </i>
    <i t="blank" r="4">
      <x v="74"/>
    </i>
    <i r="4">
      <x v="77"/>
    </i>
    <i r="5">
      <x v="1"/>
    </i>
    <i t="blank" r="4">
      <x v="77"/>
    </i>
    <i r="4">
      <x v="169"/>
    </i>
    <i r="5">
      <x v="1"/>
    </i>
    <i t="blank" r="4">
      <x v="169"/>
    </i>
    <i r="2">
      <x v="19"/>
    </i>
    <i r="3">
      <x v="1"/>
    </i>
    <i r="4">
      <x v="77"/>
    </i>
    <i r="5">
      <x v="1"/>
    </i>
    <i t="blank" r="4">
      <x v="77"/>
    </i>
    <i r="4">
      <x v="170"/>
    </i>
    <i r="5">
      <x v="1"/>
    </i>
    <i t="blank" r="4">
      <x v="170"/>
    </i>
    <i r="4">
      <x v="171"/>
    </i>
    <i r="5">
      <x v="1"/>
    </i>
    <i t="blank" r="4">
      <x v="171"/>
    </i>
    <i r="4">
      <x v="172"/>
    </i>
    <i r="5">
      <x v="1"/>
    </i>
    <i t="blank" r="4">
      <x v="172"/>
    </i>
    <i r="2">
      <x v="145"/>
    </i>
    <i r="3">
      <x v="1"/>
    </i>
    <i r="4">
      <x v="168"/>
    </i>
    <i r="5">
      <x v="1"/>
    </i>
    <i t="blank" r="4">
      <x v="168"/>
    </i>
    <i r="2">
      <x v="165"/>
    </i>
    <i r="3">
      <x v="1"/>
    </i>
    <i r="4">
      <x v="168"/>
    </i>
    <i r="5">
      <x v="1"/>
    </i>
    <i t="blank" r="4">
      <x v="168"/>
    </i>
    <i r="4">
      <x v="185"/>
    </i>
    <i r="5">
      <x v="1"/>
    </i>
    <i t="blank" r="4">
      <x v="185"/>
    </i>
    <i r="2">
      <x v="166"/>
    </i>
    <i r="3">
      <x v="1"/>
    </i>
    <i r="4">
      <x v="149"/>
    </i>
    <i r="5">
      <x v="1"/>
    </i>
    <i t="blank" r="4">
      <x v="149"/>
    </i>
    <i r="4">
      <x v="185"/>
    </i>
    <i r="5">
      <x v="1"/>
    </i>
    <i t="blank" r="4">
      <x v="185"/>
    </i>
    <i r="2">
      <x v="167"/>
    </i>
    <i r="3">
      <x v="1"/>
    </i>
    <i r="4">
      <x v="149"/>
    </i>
    <i r="5">
      <x v="1"/>
    </i>
    <i t="blank" r="4">
      <x v="149"/>
    </i>
    <i r="4">
      <x v="151"/>
    </i>
    <i r="5">
      <x v="1"/>
    </i>
    <i t="blank" r="4">
      <x v="151"/>
    </i>
    <i r="4">
      <x v="156"/>
    </i>
    <i r="5">
      <x v="1"/>
    </i>
    <i t="blank" r="4">
      <x v="156"/>
    </i>
    <i r="4">
      <x v="186"/>
    </i>
    <i r="5">
      <x v="1"/>
    </i>
    <i t="blank" r="4">
      <x v="186"/>
    </i>
    <i r="2">
      <x v="168"/>
    </i>
    <i r="3">
      <x v="1"/>
    </i>
    <i r="4">
      <x v="178"/>
    </i>
    <i r="5">
      <x v="1"/>
    </i>
    <i t="blank" r="4">
      <x v="178"/>
    </i>
    <i r="4">
      <x v="179"/>
    </i>
    <i r="5">
      <x v="1"/>
    </i>
    <i t="blank" r="4">
      <x v="179"/>
    </i>
    <i r="4">
      <x v="186"/>
    </i>
    <i r="5">
      <x v="1"/>
    </i>
    <i t="blank" r="4">
      <x v="186"/>
    </i>
    <i r="2">
      <x v="169"/>
    </i>
    <i r="3">
      <x v="1"/>
    </i>
    <i r="4">
      <x v="179"/>
    </i>
    <i r="5">
      <x v="1"/>
    </i>
    <i t="blank" r="4">
      <x v="179"/>
    </i>
    <i t="default" r="1">
      <x v="101"/>
    </i>
    <i t="blank" r="1">
      <x v="101"/>
    </i>
    <i r="1">
      <x v="102"/>
    </i>
    <i r="2">
      <x v="114"/>
    </i>
    <i r="3">
      <x v="1"/>
    </i>
    <i r="4">
      <x v="30"/>
    </i>
    <i r="5">
      <x v="1"/>
    </i>
    <i t="blank" r="4">
      <x v="30"/>
    </i>
    <i r="2">
      <x v="148"/>
    </i>
    <i r="3">
      <x v="1"/>
    </i>
    <i r="4">
      <x v="30"/>
    </i>
    <i r="5">
      <x v="1"/>
    </i>
    <i t="blank" r="4">
      <x v="30"/>
    </i>
    <i r="4">
      <x v="129"/>
    </i>
    <i r="5">
      <x v="1"/>
    </i>
    <i t="blank" r="4">
      <x v="129"/>
    </i>
    <i r="2">
      <x v="149"/>
    </i>
    <i r="3">
      <x v="1"/>
    </i>
    <i r="4">
      <x v="129"/>
    </i>
    <i r="5">
      <x v="1"/>
    </i>
    <i t="blank" r="4">
      <x v="129"/>
    </i>
    <i r="4">
      <x v="176"/>
    </i>
    <i r="5">
      <x v="1"/>
    </i>
    <i t="blank" r="4">
      <x v="176"/>
    </i>
    <i r="4">
      <x v="177"/>
    </i>
    <i r="5">
      <x v="1"/>
    </i>
    <i t="blank" r="4">
      <x v="177"/>
    </i>
    <i r="2">
      <x v="165"/>
    </i>
    <i r="3">
      <x v="1"/>
    </i>
    <i r="4">
      <x v="36"/>
    </i>
    <i r="5">
      <x v="1"/>
    </i>
    <i t="blank" r="4">
      <x v="36"/>
    </i>
    <i r="4">
      <x v="124"/>
    </i>
    <i r="5">
      <x v="1"/>
    </i>
    <i t="blank" r="4">
      <x v="124"/>
    </i>
    <i r="4">
      <x v="177"/>
    </i>
    <i r="5">
      <x v="1"/>
    </i>
    <i t="blank" r="4">
      <x v="177"/>
    </i>
    <i r="4">
      <x v="187"/>
    </i>
    <i r="5">
      <x v="1"/>
    </i>
    <i t="blank" r="4">
      <x v="187"/>
    </i>
    <i t="default" r="1">
      <x v="102"/>
    </i>
    <i t="blank" r="1">
      <x v="102"/>
    </i>
    <i r="1">
      <x v="103"/>
    </i>
    <i r="2">
      <x v="111"/>
    </i>
    <i r="3">
      <x v="1"/>
    </i>
    <i r="4">
      <x v="67"/>
    </i>
    <i r="5">
      <x v="1"/>
    </i>
    <i t="blank" r="4">
      <x v="67"/>
    </i>
    <i r="2">
      <x v="112"/>
    </i>
    <i r="3">
      <x v="1"/>
    </i>
    <i r="4">
      <x v="67"/>
    </i>
    <i r="5">
      <x v="1"/>
    </i>
    <i t="blank" r="4">
      <x v="67"/>
    </i>
    <i r="2">
      <x v="113"/>
    </i>
    <i r="3">
      <x v="1"/>
    </i>
    <i r="4">
      <x v="67"/>
    </i>
    <i r="5">
      <x v="1"/>
    </i>
    <i t="blank" r="4">
      <x v="67"/>
    </i>
    <i r="4">
      <x v="117"/>
    </i>
    <i r="5">
      <x v="1"/>
    </i>
    <i t="blank" r="4">
      <x v="117"/>
    </i>
    <i t="default" r="1">
      <x v="103"/>
    </i>
    <i t="blank" r="1">
      <x v="103"/>
    </i>
    <i r="1">
      <x v="109"/>
    </i>
    <i r="2">
      <x v="11"/>
    </i>
    <i r="3">
      <x v="1"/>
    </i>
    <i r="4">
      <x v="67"/>
    </i>
    <i r="5">
      <x v="1"/>
    </i>
    <i t="blank" r="4">
      <x v="67"/>
    </i>
    <i r="2">
      <x v="83"/>
    </i>
    <i r="3">
      <x v="1"/>
    </i>
    <i r="4">
      <x v="67"/>
    </i>
    <i r="5">
      <x v="1"/>
    </i>
    <i t="blank" r="4">
      <x v="67"/>
    </i>
    <i r="2">
      <x v="89"/>
    </i>
    <i r="3">
      <x v="1"/>
    </i>
    <i r="4">
      <x v="67"/>
    </i>
    <i r="5">
      <x v="1"/>
    </i>
    <i t="blank" r="4">
      <x v="67"/>
    </i>
    <i t="default" r="1">
      <x v="109"/>
    </i>
    <i t="blank" r="1">
      <x v="109"/>
    </i>
    <i r="1">
      <x v="110"/>
    </i>
    <i r="2">
      <x v="143"/>
    </i>
    <i r="3">
      <x v="1"/>
    </i>
    <i r="4">
      <x v="38"/>
    </i>
    <i r="5">
      <x v="1"/>
    </i>
    <i t="blank" r="4">
      <x v="38"/>
    </i>
    <i r="4">
      <x v="83"/>
    </i>
    <i r="5">
      <x v="1"/>
    </i>
    <i t="blank" r="4">
      <x v="83"/>
    </i>
    <i t="default" r="1">
      <x v="110"/>
    </i>
    <i t="blank" r="1">
      <x v="110"/>
    </i>
    <i r="1">
      <x v="111"/>
    </i>
    <i r="2">
      <x v="163"/>
    </i>
    <i r="3">
      <x v="1"/>
    </i>
    <i r="4">
      <x v="67"/>
    </i>
    <i r="5">
      <x v="1"/>
    </i>
    <i t="blank" r="4">
      <x v="67"/>
    </i>
    <i r="2">
      <x v="166"/>
    </i>
    <i r="3">
      <x v="1"/>
    </i>
    <i r="4">
      <x v="67"/>
    </i>
    <i r="5">
      <x v="1"/>
    </i>
    <i t="blank" r="4">
      <x v="67"/>
    </i>
    <i t="default" r="1">
      <x v="111"/>
    </i>
    <i t="blank" r="1">
      <x v="111"/>
    </i>
    <i r="1">
      <x v="114"/>
    </i>
    <i r="2">
      <x v="145"/>
    </i>
    <i r="3">
      <x v="1"/>
    </i>
    <i r="4">
      <x v="173"/>
    </i>
    <i r="5">
      <x v="1"/>
    </i>
    <i t="blank" r="4">
      <x v="173"/>
    </i>
    <i r="4">
      <x v="174"/>
    </i>
    <i r="5">
      <x v="1"/>
    </i>
    <i t="blank" r="4">
      <x v="174"/>
    </i>
    <i r="4">
      <x v="175"/>
    </i>
    <i r="5">
      <x v="1"/>
    </i>
    <i t="blank" r="4">
      <x v="175"/>
    </i>
    <i r="2">
      <x v="146"/>
    </i>
    <i r="3">
      <x v="1"/>
    </i>
    <i r="4">
      <x v="175"/>
    </i>
    <i r="5">
      <x v="1"/>
    </i>
    <i t="blank" r="4">
      <x v="175"/>
    </i>
    <i t="default" r="1">
      <x v="114"/>
    </i>
    <i t="blank" r="1">
      <x v="114"/>
    </i>
    <i r="1">
      <x v="115"/>
    </i>
    <i r="2">
      <x v="44"/>
    </i>
    <i r="3">
      <x v="1"/>
    </i>
    <i r="4">
      <x v="114"/>
    </i>
    <i r="5">
      <x v="1"/>
    </i>
    <i t="blank" r="4">
      <x v="114"/>
    </i>
    <i r="2">
      <x v="45"/>
    </i>
    <i r="3">
      <x v="1"/>
    </i>
    <i r="4">
      <x v="114"/>
    </i>
    <i r="5">
      <x v="1"/>
    </i>
    <i t="blank" r="4">
      <x v="114"/>
    </i>
    <i r="2">
      <x v="144"/>
    </i>
    <i r="3">
      <x v="1"/>
    </i>
    <i r="4">
      <x v="62"/>
    </i>
    <i r="5">
      <x v="1"/>
    </i>
    <i t="blank" r="4">
      <x v="62"/>
    </i>
    <i r="4">
      <x v="114"/>
    </i>
    <i r="5">
      <x v="1"/>
    </i>
    <i t="blank" r="4">
      <x v="114"/>
    </i>
    <i r="2">
      <x v="165"/>
    </i>
    <i r="3">
      <x v="1"/>
    </i>
    <i r="4">
      <x v="62"/>
    </i>
    <i r="5">
      <x v="1"/>
    </i>
    <i t="blank" r="4">
      <x v="62"/>
    </i>
    <i r="4">
      <x v="115"/>
    </i>
    <i r="5">
      <x v="1"/>
    </i>
    <i t="blank" r="4">
      <x v="115"/>
    </i>
    <i r="4">
      <x v="127"/>
    </i>
    <i r="5">
      <x v="1"/>
    </i>
    <i t="blank" r="4">
      <x v="127"/>
    </i>
    <i r="4">
      <x v="131"/>
    </i>
    <i r="5">
      <x v="1"/>
    </i>
    <i t="blank" r="4">
      <x v="131"/>
    </i>
    <i t="default" r="1">
      <x v="115"/>
    </i>
    <i t="blank" r="1">
      <x v="115"/>
    </i>
    <i t="default">
      <x v="2"/>
    </i>
    <i t="blank">
      <x v="2"/>
    </i>
    <i>
      <x v="3"/>
    </i>
    <i r="1">
      <x v="54"/>
    </i>
    <i r="2">
      <x v="66"/>
    </i>
    <i r="3">
      <x v="1"/>
    </i>
    <i r="4">
      <x v="1"/>
    </i>
    <i r="5">
      <x v="1"/>
    </i>
    <i t="blank" r="4">
      <x v="1"/>
    </i>
    <i t="default" r="1">
      <x v="54"/>
    </i>
    <i t="blank" r="1">
      <x v="54"/>
    </i>
    <i t="default">
      <x v="3"/>
    </i>
    <i t="blank">
      <x v="3"/>
    </i>
    <i>
      <x v="4"/>
    </i>
    <i r="1">
      <x v="116"/>
    </i>
    <i r="2">
      <x v="170"/>
    </i>
    <i r="3">
      <x/>
    </i>
    <i r="4">
      <x/>
    </i>
    <i r="5">
      <x/>
    </i>
    <i t="blank" r="4">
      <x/>
    </i>
    <i t="default" r="1">
      <x v="116"/>
    </i>
    <i t="blank" r="1">
      <x v="116"/>
    </i>
    <i t="default">
      <x v="4"/>
    </i>
    <i t="blank">
      <x v="4"/>
    </i>
    <i t="grand">
      <x/>
    </i>
  </rowItems>
  <colFields count="1">
    <field x="-2"/>
  </colFields>
  <colItems count="8">
    <i>
      <x/>
    </i>
    <i i="1">
      <x v="1"/>
    </i>
    <i i="2">
      <x v="2"/>
    </i>
    <i i="3">
      <x v="3"/>
    </i>
    <i i="4">
      <x v="4"/>
    </i>
    <i i="5">
      <x v="5"/>
    </i>
    <i i="6">
      <x v="6"/>
    </i>
    <i i="7">
      <x v="7"/>
    </i>
  </colItems>
  <dataFields count="8">
    <dataField name="Unidades Vendidas" fld="5" baseField="0" baseItem="0" numFmtId="4"/>
    <dataField name="Precio de Venta en Moneda Original" fld="19" baseField="0" baseItem="0" numFmtId="4"/>
    <dataField name="Equivalencia " fld="20" subtotal="average" baseField="0" baseItem="0" numFmtId="166"/>
    <dataField name="Precio de Venta en USD" fld="21" baseField="0" baseItem="0" numFmtId="180"/>
    <dataField name="Costo en Moneda Original" fld="4" baseField="0" baseItem="0" numFmtId="4"/>
    <dataField name=" Equivalencia" fld="7" subtotal="average" baseField="0" baseItem="0" numFmtId="166"/>
    <dataField name="Costo en USD" fld="8" baseField="0" baseItem="0" numFmtId="181"/>
    <dataField name="Ganancia / Pérdida " fld="22" baseField="0" baseItem="0" numFmtId="181"/>
  </dataFields>
  <formats count="93">
    <format dxfId="241">
      <pivotArea type="all" dataOnly="0" outline="0" fieldPosition="0"/>
    </format>
    <format dxfId="242">
      <pivotArea field="0" type="button" dataOnly="0" labelOnly="1" outline="0" axis="axisRow" fieldPosition="0"/>
    </format>
    <format dxfId="243">
      <pivotArea dataOnly="0" labelOnly="1" fieldPosition="0">
        <references count="1">
          <reference field="0" count="0"/>
        </references>
      </pivotArea>
    </format>
    <format dxfId="244">
      <pivotArea dataOnly="0" labelOnly="1" grandRow="1" outline="0" fieldPosition="0"/>
    </format>
    <format dxfId="245">
      <pivotArea dataOnly="0" labelOnly="1" outline="0" fieldPosition="0">
        <references count="1">
          <reference field="4294967294" count="6">
            <x v="0"/>
            <x v="1"/>
            <x v="2"/>
            <x v="3"/>
            <x v="4"/>
            <x v="5"/>
          </reference>
        </references>
      </pivotArea>
    </format>
    <format dxfId="246">
      <pivotArea field="2" type="button" dataOnly="0" labelOnly="1" outline="0" axis="axisRow" fieldPosition="1"/>
    </format>
    <format dxfId="247">
      <pivotArea field="1" type="button" dataOnly="0" labelOnly="1" outline="0" axis="axisRow" fieldPosition="4"/>
    </format>
    <format dxfId="248">
      <pivotArea field="3" type="button" dataOnly="0" labelOnly="1" outline="0" axis="axisRow" fieldPosition="5"/>
    </format>
    <format dxfId="249">
      <pivotArea field="17" type="button" dataOnly="0" labelOnly="1" outline="0" axis="axisRow" fieldPosition="2"/>
    </format>
    <format dxfId="250">
      <pivotArea field="18" type="button" dataOnly="0" labelOnly="1" outline="0" axis="axisRow" fieldPosition="3"/>
    </format>
    <format dxfId="251">
      <pivotArea dataOnly="0" labelOnly="1" outline="0" fieldPosition="0">
        <references count="1">
          <reference field="4294967294" count="6">
            <x v="0"/>
            <x v="1"/>
            <x v="2"/>
            <x v="3"/>
            <x v="4"/>
            <x v="5"/>
          </reference>
        </references>
      </pivotArea>
    </format>
    <format dxfId="252">
      <pivotArea field="2" type="button" dataOnly="0" labelOnly="1" outline="0" axis="axisRow" fieldPosition="1"/>
    </format>
    <format dxfId="253">
      <pivotArea field="1" type="button" dataOnly="0" labelOnly="1" outline="0" axis="axisRow" fieldPosition="4"/>
    </format>
    <format dxfId="254">
      <pivotArea field="3" type="button" dataOnly="0" labelOnly="1" outline="0" axis="axisRow" fieldPosition="5"/>
    </format>
    <format dxfId="255">
      <pivotArea field="17" type="button" dataOnly="0" labelOnly="1" outline="0" axis="axisRow" fieldPosition="2"/>
    </format>
    <format dxfId="256">
      <pivotArea field="18" type="button" dataOnly="0" labelOnly="1" outline="0" axis="axisRow" fieldPosition="3"/>
    </format>
    <format dxfId="257">
      <pivotArea dataOnly="0" labelOnly="1" outline="0" fieldPosition="0">
        <references count="1">
          <reference field="4294967294" count="6">
            <x v="0"/>
            <x v="1"/>
            <x v="2"/>
            <x v="3"/>
            <x v="4"/>
            <x v="5"/>
          </reference>
        </references>
      </pivotArea>
    </format>
    <format dxfId="258">
      <pivotArea field="2" type="button" dataOnly="0" labelOnly="1" outline="0" axis="axisRow" fieldPosition="1"/>
    </format>
    <format dxfId="259">
      <pivotArea field="1" type="button" dataOnly="0" labelOnly="1" outline="0" axis="axisRow" fieldPosition="4"/>
    </format>
    <format dxfId="260">
      <pivotArea field="3" type="button" dataOnly="0" labelOnly="1" outline="0" axis="axisRow" fieldPosition="5"/>
    </format>
    <format dxfId="261">
      <pivotArea field="17" type="button" dataOnly="0" labelOnly="1" outline="0" axis="axisRow" fieldPosition="2"/>
    </format>
    <format dxfId="262">
      <pivotArea field="18" type="button" dataOnly="0" labelOnly="1" outline="0" axis="axisRow" fieldPosition="3"/>
    </format>
    <format dxfId="263">
      <pivotArea dataOnly="0" labelOnly="1" outline="0" fieldPosition="0">
        <references count="1">
          <reference field="4294967294" count="6">
            <x v="0"/>
            <x v="1"/>
            <x v="2"/>
            <x v="3"/>
            <x v="4"/>
            <x v="5"/>
          </reference>
        </references>
      </pivotArea>
    </format>
    <format dxfId="264">
      <pivotArea grandRow="1" outline="0" collapsedLevelsAreSubtotals="1" fieldPosition="0"/>
    </format>
    <format dxfId="265">
      <pivotArea dataOnly="0" labelOnly="1" grandRow="1" outline="0" fieldPosition="0"/>
    </format>
    <format dxfId="266">
      <pivotArea grandRow="1" outline="0" collapsedLevelsAreSubtotals="1" fieldPosition="0"/>
    </format>
    <format dxfId="267">
      <pivotArea dataOnly="0" labelOnly="1" grandRow="1" outline="0" fieldPosition="0"/>
    </format>
    <format dxfId="268">
      <pivotArea grandRow="1" outline="0" collapsedLevelsAreSubtotals="1" fieldPosition="0"/>
    </format>
    <format dxfId="269">
      <pivotArea dataOnly="0" labelOnly="1" grandRow="1" outline="0" fieldPosition="0"/>
    </format>
    <format dxfId="270">
      <pivotArea field="0" grandRow="1" outline="0" axis="axisRow" fieldPosition="0">
        <references count="1">
          <reference field="4294967294" count="1" selected="0">
            <x v="5"/>
          </reference>
        </references>
      </pivotArea>
    </format>
    <format dxfId="271">
      <pivotArea field="0" grandRow="1" outline="0" axis="axisRow" fieldPosition="0">
        <references count="1">
          <reference field="4294967294" count="1" selected="0">
            <x v="2"/>
          </reference>
        </references>
      </pivotArea>
    </format>
    <format dxfId="272">
      <pivotArea field="0" grandRow="1" outline="0" axis="axisRow" fieldPosition="0">
        <references count="1">
          <reference field="4294967294" count="1" selected="0">
            <x v="2"/>
          </reference>
        </references>
      </pivotArea>
    </format>
    <format dxfId="273">
      <pivotArea field="0" grandRow="1" outline="0" axis="axisRow" fieldPosition="0">
        <references count="1">
          <reference field="4294967294" count="1" selected="0">
            <x v="5"/>
          </reference>
        </references>
      </pivotArea>
    </format>
    <format dxfId="274">
      <pivotArea grandRow="1" outline="0" collapsedLevelsAreSubtotals="1" fieldPosition="0"/>
    </format>
    <format dxfId="275">
      <pivotArea dataOnly="0" labelOnly="1" grandRow="1" outline="0" fieldPosition="0"/>
    </format>
    <format dxfId="276">
      <pivotArea dataOnly="0" fieldPosition="0">
        <references count="1">
          <reference field="2" count="0" defaultSubtotal="1"/>
        </references>
      </pivotArea>
    </format>
    <format dxfId="277">
      <pivotArea dataOnly="0" fieldPosition="0">
        <references count="1">
          <reference field="0" count="0" defaultSubtotal="1"/>
        </references>
      </pivotArea>
    </format>
    <format dxfId="278">
      <pivotArea dataOnly="0" labelOnly="1" fieldPosition="0">
        <references count="1">
          <reference field="1" count="0"/>
        </references>
      </pivotArea>
    </format>
    <format dxfId="279">
      <pivotArea dataOnly="0" labelOnly="1" fieldPosition="0">
        <references count="1">
          <reference field="1" count="0"/>
        </references>
      </pivotArea>
    </format>
    <format dxfId="280">
      <pivotArea dataOnly="0" labelOnly="1" fieldPosition="0">
        <references count="1">
          <reference field="17" count="0"/>
        </references>
      </pivotArea>
    </format>
    <format dxfId="281">
      <pivotArea dataOnly="0" labelOnly="1" fieldPosition="0">
        <references count="1">
          <reference field="17" count="0"/>
        </references>
      </pivotArea>
    </format>
    <format dxfId="282">
      <pivotArea dataOnly="0" labelOnly="1" fieldPosition="0">
        <references count="1">
          <reference field="3" count="0"/>
        </references>
      </pivotArea>
    </format>
    <format dxfId="283">
      <pivotArea type="all" dataOnly="0" outline="0" fieldPosition="0"/>
    </format>
    <format dxfId="284">
      <pivotArea outline="0" collapsedLevelsAreSubtotals="1" fieldPosition="0"/>
    </format>
    <format dxfId="285">
      <pivotArea field="0" type="button" dataOnly="0" labelOnly="1" outline="0" axis="axisRow" fieldPosition="0"/>
    </format>
    <format dxfId="286">
      <pivotArea field="2" type="button" dataOnly="0" labelOnly="1" outline="0" axis="axisRow" fieldPosition="1"/>
    </format>
    <format dxfId="287">
      <pivotArea field="1" type="button" dataOnly="0" labelOnly="1" outline="0" axis="axisRow" fieldPosition="4"/>
    </format>
    <format dxfId="288">
      <pivotArea field="3" type="button" dataOnly="0" labelOnly="1" outline="0" axis="axisRow" fieldPosition="5"/>
    </format>
    <format dxfId="289">
      <pivotArea field="17" type="button" dataOnly="0" labelOnly="1" outline="0" axis="axisRow" fieldPosition="2"/>
    </format>
    <format dxfId="290">
      <pivotArea field="18" type="button" dataOnly="0" labelOnly="1" outline="0" axis="axisRow" fieldPosition="3"/>
    </format>
    <format dxfId="291">
      <pivotArea dataOnly="0" labelOnly="1" grandRow="1" outline="0" fieldPosition="0"/>
    </format>
    <format dxfId="292">
      <pivotArea dataOnly="0" labelOnly="1" outline="0" fieldPosition="0">
        <references count="1">
          <reference field="4294967294" count="6">
            <x v="0"/>
            <x v="1"/>
            <x v="2"/>
            <x v="3"/>
            <x v="4"/>
            <x v="5"/>
          </reference>
        </references>
      </pivotArea>
    </format>
    <format dxfId="293">
      <pivotArea field="2" type="button" dataOnly="0" labelOnly="1" outline="0" axis="axisRow" fieldPosition="1"/>
    </format>
    <format dxfId="294">
      <pivotArea field="1" type="button" dataOnly="0" labelOnly="1" outline="0" axis="axisRow" fieldPosition="4"/>
    </format>
    <format dxfId="295">
      <pivotArea field="3" type="button" dataOnly="0" labelOnly="1" outline="0" axis="axisRow" fieldPosition="5"/>
    </format>
    <format dxfId="296">
      <pivotArea field="17" type="button" dataOnly="0" labelOnly="1" outline="0" axis="axisRow" fieldPosition="2"/>
    </format>
    <format dxfId="297">
      <pivotArea field="18" type="button" dataOnly="0" labelOnly="1" outline="0" axis="axisRow" fieldPosition="3"/>
    </format>
    <format dxfId="298">
      <pivotArea dataOnly="0" labelOnly="1" outline="0" fieldPosition="0">
        <references count="1">
          <reference field="4294967294" count="6">
            <x v="0"/>
            <x v="1"/>
            <x v="2"/>
            <x v="3"/>
            <x v="4"/>
            <x v="5"/>
          </reference>
        </references>
      </pivotArea>
    </format>
    <format dxfId="299">
      <pivotArea dataOnly="0" fieldPosition="0">
        <references count="1">
          <reference field="2" count="0" defaultSubtotal="1"/>
        </references>
      </pivotArea>
    </format>
    <format dxfId="300">
      <pivotArea dataOnly="0" fieldPosition="0">
        <references count="1">
          <reference field="0" count="0" defaultSubtotal="1"/>
        </references>
      </pivotArea>
    </format>
    <format dxfId="301">
      <pivotArea dataOnly="0" grandRow="1" fieldPosition="0"/>
    </format>
    <format dxfId="302">
      <pivotArea field="2" type="button" dataOnly="0" labelOnly="1" outline="0" axis="axisRow" fieldPosition="1"/>
    </format>
    <format dxfId="303">
      <pivotArea field="1" type="button" dataOnly="0" labelOnly="1" outline="0" axis="axisRow" fieldPosition="4"/>
    </format>
    <format dxfId="304">
      <pivotArea field="3" type="button" dataOnly="0" labelOnly="1" outline="0" axis="axisRow" fieldPosition="5"/>
    </format>
    <format dxfId="305">
      <pivotArea field="17" type="button" dataOnly="0" labelOnly="1" outline="0" axis="axisRow" fieldPosition="2"/>
    </format>
    <format dxfId="306">
      <pivotArea field="18" type="button" dataOnly="0" labelOnly="1" outline="0" axis="axisRow" fieldPosition="3"/>
    </format>
    <format dxfId="307">
      <pivotArea dataOnly="0" labelOnly="1" outline="0" fieldPosition="0">
        <references count="1">
          <reference field="4294967294" count="6">
            <x v="0"/>
            <x v="1"/>
            <x v="2"/>
            <x v="3"/>
            <x v="4"/>
            <x v="5"/>
          </reference>
        </references>
      </pivotArea>
    </format>
    <format dxfId="308">
      <pivotArea field="2" type="button" dataOnly="0" labelOnly="1" outline="0" axis="axisRow" fieldPosition="1"/>
    </format>
    <format dxfId="309">
      <pivotArea field="1" type="button" dataOnly="0" labelOnly="1" outline="0" axis="axisRow" fieldPosition="4"/>
    </format>
    <format dxfId="310">
      <pivotArea field="3" type="button" dataOnly="0" labelOnly="1" outline="0" axis="axisRow" fieldPosition="5"/>
    </format>
    <format dxfId="311">
      <pivotArea field="17" type="button" dataOnly="0" labelOnly="1" outline="0" axis="axisRow" fieldPosition="2"/>
    </format>
    <format dxfId="312">
      <pivotArea field="18" type="button" dataOnly="0" labelOnly="1" outline="0" axis="axisRow" fieldPosition="3"/>
    </format>
    <format dxfId="313">
      <pivotArea dataOnly="0" labelOnly="1" outline="0" fieldPosition="0">
        <references count="1">
          <reference field="4294967294" count="6">
            <x v="0"/>
            <x v="1"/>
            <x v="2"/>
            <x v="3"/>
            <x v="4"/>
            <x v="5"/>
          </reference>
        </references>
      </pivotArea>
    </format>
    <format dxfId="314">
      <pivotArea outline="0" fieldPosition="0">
        <references count="1">
          <reference field="4294967294" count="1" selected="0">
            <x v="5"/>
          </reference>
        </references>
      </pivotArea>
    </format>
    <format dxfId="315">
      <pivotArea dataOnly="0" fieldPosition="0">
        <references count="1">
          <reference field="2" count="0" defaultSubtotal="1"/>
        </references>
      </pivotArea>
    </format>
    <format dxfId="316">
      <pivotArea dataOnly="0" fieldPosition="0">
        <references count="1">
          <reference field="0" count="0" defaultSubtotal="1"/>
        </references>
      </pivotArea>
    </format>
    <format dxfId="317">
      <pivotArea dataOnly="0" grandRow="1" fieldPosition="0"/>
    </format>
    <format dxfId="318">
      <pivotArea field="18" type="button" dataOnly="0" labelOnly="1" outline="0" axis="axisRow" fieldPosition="3"/>
    </format>
    <format dxfId="319">
      <pivotArea field="3" type="button" dataOnly="0" labelOnly="1" outline="0" axis="axisRow" fieldPosition="5"/>
    </format>
    <format dxfId="320">
      <pivotArea dataOnly="0" labelOnly="1" grandRow="1" outline="0" fieldPosition="0"/>
    </format>
    <format dxfId="321">
      <pivotArea fieldPosition="0">
        <references count="2">
          <reference field="4294967294" count="1" selected="0">
            <x v="2"/>
          </reference>
          <reference field="0" count="0" defaultSubtotal="1"/>
        </references>
      </pivotArea>
    </format>
    <format dxfId="322">
      <pivotArea outline="0" fieldPosition="0">
        <references count="1">
          <reference field="4294967294" count="1" selected="0">
            <x v="0"/>
          </reference>
        </references>
      </pivotArea>
    </format>
    <format dxfId="323">
      <pivotArea dataOnly="0" labelOnly="1" outline="0" fieldPosition="0">
        <references count="1">
          <reference field="4294967294" count="1">
            <x v="0"/>
          </reference>
        </references>
      </pivotArea>
    </format>
    <format dxfId="324">
      <pivotArea outline="0" fieldPosition="0">
        <references count="1">
          <reference field="4294967294" count="1">
            <x v="3"/>
          </reference>
        </references>
      </pivotArea>
    </format>
    <format dxfId="325">
      <pivotArea outline="0" fieldPosition="0">
        <references count="1">
          <reference field="4294967294" count="1">
            <x v="5"/>
          </reference>
        </references>
      </pivotArea>
    </format>
    <format dxfId="326">
      <pivotArea outline="0" fieldPosition="0">
        <references count="1">
          <reference field="4294967294" count="1">
            <x v="2"/>
          </reference>
        </references>
      </pivotArea>
    </format>
    <format dxfId="327">
      <pivotArea field="0" type="button" dataOnly="0" labelOnly="1" outline="0" axis="axisRow" fieldPosition="0"/>
    </format>
    <format dxfId="328">
      <pivotArea dataOnly="0" labelOnly="1" outline="0" fieldPosition="0">
        <references count="1">
          <reference field="4294967294" count="2">
            <x v="6"/>
            <x v="7"/>
          </reference>
        </references>
      </pivotArea>
    </format>
    <format dxfId="329">
      <pivotArea dataOnly="0" labelOnly="1" outline="0" fieldPosition="0">
        <references count="1">
          <reference field="4294967294" count="1">
            <x v="7"/>
          </reference>
        </references>
      </pivotArea>
    </format>
    <format dxfId="330">
      <pivotArea dataOnly="0" labelOnly="1" outline="0" fieldPosition="0">
        <references count="1">
          <reference field="4294967294" count="1">
            <x v="5"/>
          </reference>
        </references>
      </pivotArea>
    </format>
    <format dxfId="331">
      <pivotArea dataOnly="0" labelOnly="1" outline="0" fieldPosition="0">
        <references count="1">
          <reference field="4294967294" count="1">
            <x v="6"/>
          </reference>
        </references>
      </pivotArea>
    </format>
    <format dxfId="332">
      <pivotArea outline="0" fieldPosition="0">
        <references count="1">
          <reference field="4294967294" count="1">
            <x v="7"/>
          </reference>
        </references>
      </pivotArea>
    </format>
    <format dxfId="333">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580F6-D486-F84A-ACF0-A9C84CD8D870}" name="PivotTable1" cacheId="2249" applyNumberFormats="0" applyBorderFormats="0" applyFontFormats="0" applyPatternFormats="0" applyAlignmentFormats="0" applyWidthHeightFormats="1" dataCaption="Values" updatedVersion="8" minRefreshableVersion="3" showDrill="0" useAutoFormatting="1" itemPrintTitles="1" createdVersion="6" indent="0" compact="0" compactData="0" multipleFieldFilters="0">
  <location ref="B4:H5" firstHeaderRow="0" firstDataRow="1" firstDataCol="4"/>
  <pivotFields count="28">
    <pivotField axis="axisRow" compact="0" outline="0" subtotalTop="0" showAll="0">
      <items count="3">
        <item x="0"/>
        <item m="1" x="1"/>
        <item t="default"/>
      </items>
    </pivotField>
    <pivotField compact="0" outline="0" subtotalTop="0" showAll="0"/>
    <pivotField name="Tipo de Operación Inicial" compact="0" outline="0" subtotalTop="0" showAll="0" defaultSubtotal="0">
      <items count="2">
        <item x="0"/>
        <item m="1" x="1"/>
      </items>
    </pivotField>
    <pivotField name="Título - Descripción" axis="axisRow" compact="0" outline="0" subtotalTop="0" showAll="0" defaultSubtotal="0">
      <items count="2">
        <item x="0"/>
        <item m="1" x="1"/>
      </items>
    </pivotField>
    <pivotField name="Moneda Original Operación Inicial" compact="0" outline="0" subtotalTop="0" showAll="0" defaultSubtotal="0">
      <items count="2">
        <item m="1" x="1"/>
        <item x="0"/>
      </items>
    </pivotField>
    <pivotField compact="0" outline="0" subtotalTop="0" showAll="0" defaultSubtotal="0">
      <items count="2">
        <item x="0"/>
        <item m="1" x="1"/>
      </items>
    </pivotField>
    <pivotField axis="axisRow" compact="0" outline="0" subtotalTop="0" showAll="0" defaultSubtotal="0">
      <items count="2">
        <item x="0"/>
        <item m="1" x="1"/>
      </items>
    </pivotField>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defaultSubtotal="0">
      <items count="3">
        <item h="1" x="0"/>
        <item h="1" x="1"/>
        <item m="1" x="2"/>
      </items>
    </pivotField>
    <pivotField compact="0" outline="0" subtotalTop="0" showAll="0">
      <items count="3">
        <item x="0"/>
        <item m="1" x="1"/>
        <item t="default"/>
      </items>
    </pivotField>
    <pivotField name="Tipo de Operación Final" compact="0" outline="0" subtotalTop="0" showAll="0" defaultSubtotal="0">
      <items count="2">
        <item x="0"/>
        <item m="1" x="1"/>
      </items>
    </pivotField>
    <pivotField compact="0" outline="0" subtotalTop="0" showAll="0" defaultSubtotal="0">
      <items count="2">
        <item x="0"/>
        <item m="1" x="1"/>
      </items>
    </pivotField>
    <pivotField name="Moneda Original Operacion Final" compact="0" outline="0" subtotalTop="0" showAll="0" defaultSubtotal="0">
      <items count="2">
        <item m="1" x="1"/>
        <item x="0"/>
      </items>
    </pivotField>
    <pivotField compact="0" outline="0" subtotalTop="0" showAll="0"/>
    <pivotField compact="0" outline="0" subtotalTop="0" showAll="0"/>
    <pivotField dataField="1"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s>
  <rowFields count="4">
    <field x="15"/>
    <field x="0"/>
    <field x="3"/>
    <field x="6"/>
  </rowFields>
  <rowItems count="1">
    <i t="grand">
      <x/>
    </i>
  </rowItems>
  <colFields count="1">
    <field x="-2"/>
  </colFields>
  <colItems count="3">
    <i>
      <x/>
    </i>
    <i i="1">
      <x v="1"/>
    </i>
    <i i="2">
      <x v="2"/>
    </i>
  </colItems>
  <dataFields count="3">
    <dataField name="Monto Inicial en USD " fld="9" baseField="0" baseItem="0" numFmtId="40"/>
    <dataField name="Monto Final en USD " fld="22" baseField="0" baseItem="0" numFmtId="180"/>
    <dataField name="Ganancia / Pérdida" fld="24" baseField="0" baseItem="0"/>
  </dataFields>
  <formats count="107">
    <format dxfId="134">
      <pivotArea dataOnly="0" labelOnly="1" fieldPosition="0">
        <references count="1">
          <reference field="6" count="0"/>
        </references>
      </pivotArea>
    </format>
    <format dxfId="135">
      <pivotArea dataOnly="0" labelOnly="1" fieldPosition="0">
        <references count="1">
          <reference field="6" count="0"/>
        </references>
      </pivotArea>
    </format>
    <format dxfId="136">
      <pivotArea dataOnly="0" fieldPosition="0">
        <references count="1">
          <reference field="3" count="0" defaultSubtotal="1"/>
        </references>
      </pivotArea>
    </format>
    <format dxfId="137">
      <pivotArea field="0" type="button" dataOnly="0" labelOnly="1" outline="0" axis="axisRow" fieldPosition="1"/>
    </format>
    <format dxfId="138">
      <pivotArea field="3" type="button" dataOnly="0" labelOnly="1" outline="0" axis="axisRow" fieldPosition="2"/>
    </format>
    <format dxfId="139">
      <pivotArea field="6" type="button" dataOnly="0" labelOnly="1" outline="0" axis="axisRow" fieldPosition="3"/>
    </format>
    <format dxfId="140">
      <pivotArea field="2" type="button" dataOnly="0" labelOnly="1" outline="0"/>
    </format>
    <format dxfId="141">
      <pivotArea field="5" type="button" dataOnly="0" labelOnly="1" outline="0"/>
    </format>
    <format dxfId="142">
      <pivotArea field="4" type="button" dataOnly="0" labelOnly="1" outline="0"/>
    </format>
    <format dxfId="143">
      <pivotArea field="18" type="button" dataOnly="0" labelOnly="1" outline="0"/>
    </format>
    <format dxfId="144">
      <pivotArea field="19" type="button" dataOnly="0" labelOnly="1" outline="0"/>
    </format>
    <format dxfId="145">
      <pivotArea field="17" type="button" dataOnly="0" labelOnly="1" outline="0"/>
    </format>
    <format dxfId="146">
      <pivotArea field="16" type="button" dataOnly="0" labelOnly="1" outline="0"/>
    </format>
    <format dxfId="147">
      <pivotArea dataOnly="0" labelOnly="1" outline="0" fieldPosition="0">
        <references count="1">
          <reference field="4294967294" count="1">
            <x v="1"/>
          </reference>
        </references>
      </pivotArea>
    </format>
    <format dxfId="148">
      <pivotArea field="0" type="button" dataOnly="0" labelOnly="1" outline="0" axis="axisRow" fieldPosition="1"/>
    </format>
    <format dxfId="149">
      <pivotArea field="3" type="button" dataOnly="0" labelOnly="1" outline="0" axis="axisRow" fieldPosition="2"/>
    </format>
    <format dxfId="150">
      <pivotArea field="6" type="button" dataOnly="0" labelOnly="1" outline="0" axis="axisRow" fieldPosition="3"/>
    </format>
    <format dxfId="151">
      <pivotArea field="2" type="button" dataOnly="0" labelOnly="1" outline="0"/>
    </format>
    <format dxfId="152">
      <pivotArea field="5" type="button" dataOnly="0" labelOnly="1" outline="0"/>
    </format>
    <format dxfId="153">
      <pivotArea field="4" type="button" dataOnly="0" labelOnly="1" outline="0"/>
    </format>
    <format dxfId="154">
      <pivotArea field="18" type="button" dataOnly="0" labelOnly="1" outline="0"/>
    </format>
    <format dxfId="155">
      <pivotArea field="19" type="button" dataOnly="0" labelOnly="1" outline="0"/>
    </format>
    <format dxfId="156">
      <pivotArea field="17" type="button" dataOnly="0" labelOnly="1" outline="0"/>
    </format>
    <format dxfId="157">
      <pivotArea field="16" type="button" dataOnly="0" labelOnly="1" outline="0"/>
    </format>
    <format dxfId="158">
      <pivotArea dataOnly="0" labelOnly="1" outline="0" fieldPosition="0">
        <references count="1">
          <reference field="4294967294" count="1">
            <x v="1"/>
          </reference>
        </references>
      </pivotArea>
    </format>
    <format dxfId="159">
      <pivotArea field="0" type="button" dataOnly="0" labelOnly="1" outline="0" axis="axisRow" fieldPosition="1"/>
    </format>
    <format dxfId="160">
      <pivotArea field="3" type="button" dataOnly="0" labelOnly="1" outline="0" axis="axisRow" fieldPosition="2"/>
    </format>
    <format dxfId="161">
      <pivotArea field="6" type="button" dataOnly="0" labelOnly="1" outline="0" axis="axisRow" fieldPosition="3"/>
    </format>
    <format dxfId="162">
      <pivotArea field="2" type="button" dataOnly="0" labelOnly="1" outline="0"/>
    </format>
    <format dxfId="163">
      <pivotArea field="5" type="button" dataOnly="0" labelOnly="1" outline="0"/>
    </format>
    <format dxfId="164">
      <pivotArea field="4" type="button" dataOnly="0" labelOnly="1" outline="0"/>
    </format>
    <format dxfId="165">
      <pivotArea field="18" type="button" dataOnly="0" labelOnly="1" outline="0"/>
    </format>
    <format dxfId="166">
      <pivotArea field="19" type="button" dataOnly="0" labelOnly="1" outline="0"/>
    </format>
    <format dxfId="167">
      <pivotArea field="17" type="button" dataOnly="0" labelOnly="1" outline="0"/>
    </format>
    <format dxfId="168">
      <pivotArea field="16" type="button" dataOnly="0" labelOnly="1" outline="0"/>
    </format>
    <format dxfId="169">
      <pivotArea dataOnly="0" labelOnly="1" outline="0" fieldPosition="0">
        <references count="1">
          <reference field="4294967294" count="1">
            <x v="1"/>
          </reference>
        </references>
      </pivotArea>
    </format>
    <format dxfId="170">
      <pivotArea field="0" type="button" dataOnly="0" labelOnly="1" outline="0" axis="axisRow" fieldPosition="1"/>
    </format>
    <format dxfId="171">
      <pivotArea field="3" type="button" dataOnly="0" labelOnly="1" outline="0" axis="axisRow" fieldPosition="2"/>
    </format>
    <format dxfId="172">
      <pivotArea field="6" type="button" dataOnly="0" labelOnly="1" outline="0" axis="axisRow" fieldPosition="3"/>
    </format>
    <format dxfId="173">
      <pivotArea field="2" type="button" dataOnly="0" labelOnly="1" outline="0"/>
    </format>
    <format dxfId="174">
      <pivotArea field="5" type="button" dataOnly="0" labelOnly="1" outline="0"/>
    </format>
    <format dxfId="175">
      <pivotArea field="4" type="button" dataOnly="0" labelOnly="1" outline="0"/>
    </format>
    <format dxfId="176">
      <pivotArea field="18" type="button" dataOnly="0" labelOnly="1" outline="0"/>
    </format>
    <format dxfId="177">
      <pivotArea field="19" type="button" dataOnly="0" labelOnly="1" outline="0"/>
    </format>
    <format dxfId="178">
      <pivotArea field="17" type="button" dataOnly="0" labelOnly="1" outline="0"/>
    </format>
    <format dxfId="179">
      <pivotArea field="16" type="button" dataOnly="0" labelOnly="1" outline="0"/>
    </format>
    <format dxfId="180">
      <pivotArea dataOnly="0" labelOnly="1" outline="0" fieldPosition="0">
        <references count="1">
          <reference field="4294967294" count="1">
            <x v="1"/>
          </reference>
        </references>
      </pivotArea>
    </format>
    <format dxfId="181">
      <pivotArea field="0" type="button" dataOnly="0" labelOnly="1" outline="0" axis="axisRow" fieldPosition="1"/>
    </format>
    <format dxfId="182">
      <pivotArea field="3" type="button" dataOnly="0" labelOnly="1" outline="0" axis="axisRow" fieldPosition="2"/>
    </format>
    <format dxfId="183">
      <pivotArea field="6" type="button" dataOnly="0" labelOnly="1" outline="0" axis="axisRow" fieldPosition="3"/>
    </format>
    <format dxfId="184">
      <pivotArea field="2" type="button" dataOnly="0" labelOnly="1" outline="0"/>
    </format>
    <format dxfId="185">
      <pivotArea field="5" type="button" dataOnly="0" labelOnly="1" outline="0"/>
    </format>
    <format dxfId="186">
      <pivotArea field="4" type="button" dataOnly="0" labelOnly="1" outline="0"/>
    </format>
    <format dxfId="187">
      <pivotArea field="18" type="button" dataOnly="0" labelOnly="1" outline="0"/>
    </format>
    <format dxfId="188">
      <pivotArea field="19" type="button" dataOnly="0" labelOnly="1" outline="0"/>
    </format>
    <format dxfId="189">
      <pivotArea field="17" type="button" dataOnly="0" labelOnly="1" outline="0"/>
    </format>
    <format dxfId="190">
      <pivotArea field="16" type="button" dataOnly="0" labelOnly="1" outline="0"/>
    </format>
    <format dxfId="191">
      <pivotArea dataOnly="0" labelOnly="1" outline="0" fieldPosition="0">
        <references count="1">
          <reference field="4294967294" count="1">
            <x v="1"/>
          </reference>
        </references>
      </pivotArea>
    </format>
    <format dxfId="192">
      <pivotArea field="0" type="button" dataOnly="0" labelOnly="1" outline="0" axis="axisRow" fieldPosition="1"/>
    </format>
    <format dxfId="193">
      <pivotArea field="3" type="button" dataOnly="0" labelOnly="1" outline="0" axis="axisRow" fieldPosition="2"/>
    </format>
    <format dxfId="194">
      <pivotArea field="6" type="button" dataOnly="0" labelOnly="1" outline="0" axis="axisRow" fieldPosition="3"/>
    </format>
    <format dxfId="195">
      <pivotArea field="2" type="button" dataOnly="0" labelOnly="1" outline="0"/>
    </format>
    <format dxfId="196">
      <pivotArea field="5" type="button" dataOnly="0" labelOnly="1" outline="0"/>
    </format>
    <format dxfId="197">
      <pivotArea field="4" type="button" dataOnly="0" labelOnly="1" outline="0"/>
    </format>
    <format dxfId="198">
      <pivotArea field="18" type="button" dataOnly="0" labelOnly="1" outline="0"/>
    </format>
    <format dxfId="199">
      <pivotArea field="19" type="button" dataOnly="0" labelOnly="1" outline="0"/>
    </format>
    <format dxfId="200">
      <pivotArea field="17" type="button" dataOnly="0" labelOnly="1" outline="0"/>
    </format>
    <format dxfId="201">
      <pivotArea field="16" type="button" dataOnly="0" labelOnly="1" outline="0"/>
    </format>
    <format dxfId="202">
      <pivotArea dataOnly="0" labelOnly="1" outline="0" fieldPosition="0">
        <references count="1">
          <reference field="4294967294" count="1">
            <x v="1"/>
          </reference>
        </references>
      </pivotArea>
    </format>
    <format dxfId="203">
      <pivotArea type="all" dataOnly="0" outline="0" fieldPosition="0"/>
    </format>
    <format dxfId="204">
      <pivotArea outline="0" collapsedLevelsAreSubtotals="1" fieldPosition="0"/>
    </format>
    <format dxfId="205">
      <pivotArea field="0" type="button" dataOnly="0" labelOnly="1" outline="0" axis="axisRow" fieldPosition="1"/>
    </format>
    <format dxfId="206">
      <pivotArea field="3" type="button" dataOnly="0" labelOnly="1" outline="0" axis="axisRow" fieldPosition="2"/>
    </format>
    <format dxfId="207">
      <pivotArea field="6" type="button" dataOnly="0" labelOnly="1" outline="0" axis="axisRow" fieldPosition="3"/>
    </format>
    <format dxfId="208">
      <pivotArea field="2" type="button" dataOnly="0" labelOnly="1" outline="0"/>
    </format>
    <format dxfId="209">
      <pivotArea field="5" type="button" dataOnly="0" labelOnly="1" outline="0"/>
    </format>
    <format dxfId="210">
      <pivotArea field="4" type="button" dataOnly="0" labelOnly="1" outline="0"/>
    </format>
    <format dxfId="211">
      <pivotArea field="18" type="button" dataOnly="0" labelOnly="1" outline="0"/>
    </format>
    <format dxfId="212">
      <pivotArea field="19" type="button" dataOnly="0" labelOnly="1" outline="0"/>
    </format>
    <format dxfId="213">
      <pivotArea field="17" type="button" dataOnly="0" labelOnly="1" outline="0"/>
    </format>
    <format dxfId="214">
      <pivotArea field="16" type="button" dataOnly="0" labelOnly="1" outline="0"/>
    </format>
    <format dxfId="215">
      <pivotArea dataOnly="0" labelOnly="1" outline="0" fieldPosition="0">
        <references count="1">
          <reference field="0" count="0"/>
        </references>
      </pivotArea>
    </format>
    <format dxfId="216">
      <pivotArea dataOnly="0" labelOnly="1" outline="0" fieldPosition="0">
        <references count="1">
          <reference field="0" count="0" defaultSubtotal="1"/>
        </references>
      </pivotArea>
    </format>
    <format dxfId="217">
      <pivotArea dataOnly="0" labelOnly="1" outline="0" fieldPosition="0">
        <references count="1">
          <reference field="4294967294" count="1">
            <x v="1"/>
          </reference>
        </references>
      </pivotArea>
    </format>
    <format dxfId="218">
      <pivotArea grandRow="1" outline="0" collapsedLevelsAreSubtotals="1" fieldPosition="0"/>
    </format>
    <format dxfId="219">
      <pivotArea dataOnly="0" labelOnly="1" grandRow="1" outline="0" fieldPosition="0"/>
    </format>
    <format dxfId="220">
      <pivotArea grandRow="1" outline="0" collapsedLevelsAreSubtotals="1" fieldPosition="0"/>
    </format>
    <format dxfId="221">
      <pivotArea dataOnly="0" labelOnly="1" grandRow="1" outline="0" fieldPosition="0"/>
    </format>
    <format dxfId="222">
      <pivotArea fieldPosition="0">
        <references count="1">
          <reference field="0" count="0" defaultSubtotal="1"/>
        </references>
      </pivotArea>
    </format>
    <format dxfId="223">
      <pivotArea dataOnly="0" labelOnly="1" outline="0" fieldPosition="0">
        <references count="1">
          <reference field="0" count="0" defaultSubtotal="1"/>
        </references>
      </pivotArea>
    </format>
    <format dxfId="224">
      <pivotArea dataOnly="0" fieldPosition="0">
        <references count="1">
          <reference field="3" count="0" defaultSubtotal="1"/>
        </references>
      </pivotArea>
    </format>
    <format dxfId="225">
      <pivotArea dataOnly="0" fieldPosition="0">
        <references count="1">
          <reference field="0" count="0" defaultSubtotal="1"/>
        </references>
      </pivotArea>
    </format>
    <format dxfId="226">
      <pivotArea dataOnly="0" grandRow="1" fieldPosition="0"/>
    </format>
    <format dxfId="227">
      <pivotArea field="15" type="button" dataOnly="0" labelOnly="1" outline="0" axis="axisRow" fieldPosition="0"/>
    </format>
    <format dxfId="228">
      <pivotArea dataOnly="0" fieldPosition="0">
        <references count="1">
          <reference field="15" count="1">
            <x v="0"/>
          </reference>
        </references>
      </pivotArea>
    </format>
    <format dxfId="229">
      <pivotArea field="15" type="button" dataOnly="0" labelOnly="1" outline="0" axis="axisRow" fieldPosition="0"/>
    </format>
    <format dxfId="230">
      <pivotArea dataOnly="0" labelOnly="1" outline="0" fieldPosition="0">
        <references count="1">
          <reference field="15" count="0"/>
        </references>
      </pivotArea>
    </format>
    <format dxfId="231">
      <pivotArea dataOnly="0" labelOnly="1" outline="0" fieldPosition="0">
        <references count="1">
          <reference field="15" count="0"/>
        </references>
      </pivotArea>
    </format>
    <format dxfId="232">
      <pivotArea outline="0" collapsedLevelsAreSubtotals="1" fieldPosition="0"/>
    </format>
    <format dxfId="233">
      <pivotArea outline="0" fieldPosition="0">
        <references count="1">
          <reference field="4294967294" count="1">
            <x v="1"/>
          </reference>
        </references>
      </pivotArea>
    </format>
    <format dxfId="234">
      <pivotArea field="6" type="button" dataOnly="0" labelOnly="1" outline="0" axis="axisRow" fieldPosition="3"/>
    </format>
    <format dxfId="235">
      <pivotArea dataOnly="0" labelOnly="1" grandRow="1" outline="0" fieldPosition="0"/>
    </format>
    <format dxfId="236">
      <pivotArea dataOnly="0" labelOnly="1" outline="0" fieldPosition="0">
        <references count="2">
          <reference field="0" count="0" defaultSubtotal="1"/>
          <reference field="15" count="0" selected="0"/>
        </references>
      </pivotArea>
    </format>
    <format dxfId="237">
      <pivotArea dataOnly="0" labelOnly="1" outline="0" fieldPosition="0">
        <references count="1">
          <reference field="6" count="0"/>
        </references>
      </pivotArea>
    </format>
    <format dxfId="238">
      <pivotArea outline="0" fieldPosition="0">
        <references count="1">
          <reference field="4294967294" count="1">
            <x v="0"/>
          </reference>
        </references>
      </pivotArea>
    </format>
    <format dxfId="239">
      <pivotArea dataOnly="0" labelOnly="1" outline="0" fieldPosition="0">
        <references count="1">
          <reference field="4294967294" count="1">
            <x v="0"/>
          </reference>
        </references>
      </pivotArea>
    </format>
    <format dxfId="240">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5E6256-99CB-504A-9711-6939D983A242}" name="PivotTable1" cacheId="2249" applyNumberFormats="0" applyBorderFormats="0" applyFontFormats="0" applyPatternFormats="0" applyAlignmentFormats="0" applyWidthHeightFormats="1" dataCaption="Values" updatedVersion="8" minRefreshableVersion="3" showDrill="0" useAutoFormatting="1" itemPrintTitles="1" createdVersion="6" indent="0" compact="0" compactData="0" multipleFieldFilters="0">
  <location ref="B4:S5" firstHeaderRow="0" firstDataRow="1" firstDataCol="11"/>
  <pivotFields count="28">
    <pivotField axis="axisRow" compact="0" outline="0" subtotalTop="0" showAll="0" insertBlankRow="1">
      <items count="3">
        <item x="0"/>
        <item m="1" x="1"/>
        <item t="default"/>
      </items>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name="Tipo de Operación Inicial"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name="Título - Descripción"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name="Moneda Original Operación Inicial"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axis="axisRow" compact="0" outline="0" subtotalTop="0" showAll="0" insertBlankRow="1" defaultSubtotal="0">
      <items count="3">
        <item h="1" x="0"/>
        <item h="1" x="1"/>
        <item m="1" x="2"/>
      </items>
      <extLst>
        <ext xmlns:x14="http://schemas.microsoft.com/office/spreadsheetml/2009/9/main" uri="{2946ED86-A175-432a-8AC1-64E0C546D7DE}">
          <x14:pivotField fillDownLabels="1"/>
        </ext>
      </extLst>
    </pivotField>
    <pivotField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name="Tipo de Operación Final"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name="Moneda Original Operacion Final" axis="axisRow" compact="0" outline="0" subtotalTop="0" showAll="0" insertBlankRow="1" defaultSubtotal="0">
      <items count="2">
        <item x="0"/>
        <item m="1" x="1"/>
      </items>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dataField="1"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 compact="0" outline="0" subtotalTop="0" showAll="0" insertBlankRow="1">
      <extLst>
        <ext xmlns:x14="http://schemas.microsoft.com/office/spreadsheetml/2009/9/main" uri="{2946ED86-A175-432a-8AC1-64E0C546D7DE}">
          <x14:pivotField fillDownLabels="1"/>
        </ext>
      </extLst>
    </pivotField>
  </pivotFields>
  <rowFields count="11">
    <field x="15"/>
    <field x="0"/>
    <field x="3"/>
    <field x="2"/>
    <field x="6"/>
    <field x="5"/>
    <field x="4"/>
    <field x="17"/>
    <field x="16"/>
    <field x="18"/>
    <field x="19"/>
  </rowFields>
  <rowItems count="1">
    <i t="grand">
      <x/>
    </i>
  </rowItems>
  <colFields count="1">
    <field x="-2"/>
  </colFields>
  <colItems count="7">
    <i>
      <x/>
    </i>
    <i i="1">
      <x v="1"/>
    </i>
    <i i="2">
      <x v="2"/>
    </i>
    <i i="3">
      <x v="3"/>
    </i>
    <i i="4">
      <x v="4"/>
    </i>
    <i i="5">
      <x v="5"/>
    </i>
    <i i="6">
      <x v="6"/>
    </i>
  </colItems>
  <dataFields count="7">
    <dataField name="Monto Inicial en Moneda Original " fld="7" baseField="0" baseItem="0" numFmtId="40"/>
    <dataField name="Equivalencia - Movimiento Inicial " fld="8" subtotal="average" baseField="0" baseItem="0" numFmtId="166"/>
    <dataField name="Monto Inicial en USD " fld="9" baseField="0" baseItem="0" numFmtId="180"/>
    <dataField name="Monto Final en Moneda Original " fld="20" baseField="0" baseItem="0" numFmtId="180"/>
    <dataField name="Equivalencia " fld="21" subtotal="average" baseField="0" baseItem="0" numFmtId="166"/>
    <dataField name="Monto Final en USD " fld="22" baseField="0" baseItem="0" numFmtId="180"/>
    <dataField name="Ganancia / Pérdida" fld="24" baseField="0" baseItem="0" numFmtId="40"/>
  </dataFields>
  <formats count="134">
    <format dxfId="0">
      <pivotArea dataOnly="0" labelOnly="1" fieldPosition="0">
        <references count="1">
          <reference field="6" count="0"/>
        </references>
      </pivotArea>
    </format>
    <format dxfId="1">
      <pivotArea dataOnly="0" labelOnly="1" fieldPosition="0">
        <references count="1">
          <reference field="6" count="0"/>
        </references>
      </pivotArea>
    </format>
    <format dxfId="2">
      <pivotArea dataOnly="0" labelOnly="1" fieldPosition="0">
        <references count="1">
          <reference field="5" count="0"/>
        </references>
      </pivotArea>
    </format>
    <format dxfId="3">
      <pivotArea dataOnly="0" labelOnly="1" fieldPosition="0">
        <references count="1">
          <reference field="5" count="0"/>
        </references>
      </pivotArea>
    </format>
    <format dxfId="4">
      <pivotArea dataOnly="0" labelOnly="1" fieldPosition="0">
        <references count="1">
          <reference field="4" count="0"/>
        </references>
      </pivotArea>
    </format>
    <format dxfId="5">
      <pivotArea dataOnly="0" labelOnly="1" fieldPosition="0">
        <references count="1">
          <reference field="18" count="0"/>
        </references>
      </pivotArea>
    </format>
    <format dxfId="6">
      <pivotArea dataOnly="0" labelOnly="1" fieldPosition="0">
        <references count="1">
          <reference field="18" count="0"/>
        </references>
      </pivotArea>
    </format>
    <format dxfId="7">
      <pivotArea dataOnly="0" labelOnly="1" fieldPosition="0">
        <references count="1">
          <reference field="19" count="0"/>
        </references>
      </pivotArea>
    </format>
    <format dxfId="8">
      <pivotArea dataOnly="0" labelOnly="1" fieldPosition="0">
        <references count="1">
          <reference field="16" count="0"/>
        </references>
      </pivotArea>
    </format>
    <format dxfId="9">
      <pivotArea dataOnly="0" fieldPosition="0">
        <references count="1">
          <reference field="3" count="0" defaultSubtotal="1"/>
        </references>
      </pivotArea>
    </format>
    <format dxfId="10">
      <pivotArea field="0" type="button" dataOnly="0" labelOnly="1" outline="0" axis="axisRow" fieldPosition="1"/>
    </format>
    <format dxfId="11">
      <pivotArea field="3" type="button" dataOnly="0" labelOnly="1" outline="0" axis="axisRow" fieldPosition="2"/>
    </format>
    <format dxfId="12">
      <pivotArea field="6" type="button" dataOnly="0" labelOnly="1" outline="0" axis="axisRow" fieldPosition="4"/>
    </format>
    <format dxfId="13">
      <pivotArea field="2" type="button" dataOnly="0" labelOnly="1" outline="0" axis="axisRow" fieldPosition="3"/>
    </format>
    <format dxfId="14">
      <pivotArea field="5" type="button" dataOnly="0" labelOnly="1" outline="0" axis="axisRow" fieldPosition="5"/>
    </format>
    <format dxfId="15">
      <pivotArea field="4" type="button" dataOnly="0" labelOnly="1" outline="0" axis="axisRow" fieldPosition="6"/>
    </format>
    <format dxfId="16">
      <pivotArea field="18" type="button" dataOnly="0" labelOnly="1" outline="0" axis="axisRow" fieldPosition="9"/>
    </format>
    <format dxfId="17">
      <pivotArea field="19" type="button" dataOnly="0" labelOnly="1" outline="0" axis="axisRow" fieldPosition="10"/>
    </format>
    <format dxfId="18">
      <pivotArea field="17" type="button" dataOnly="0" labelOnly="1" outline="0" axis="axisRow" fieldPosition="7"/>
    </format>
    <format dxfId="19">
      <pivotArea field="16" type="button" dataOnly="0" labelOnly="1" outline="0" axis="axisRow" fieldPosition="8"/>
    </format>
    <format dxfId="20">
      <pivotArea dataOnly="0" labelOnly="1" outline="0" fieldPosition="0">
        <references count="1">
          <reference field="4294967294" count="6">
            <x v="0"/>
            <x v="1"/>
            <x v="2"/>
            <x v="3"/>
            <x v="4"/>
            <x v="5"/>
          </reference>
        </references>
      </pivotArea>
    </format>
    <format dxfId="21">
      <pivotArea field="0" type="button" dataOnly="0" labelOnly="1" outline="0" axis="axisRow" fieldPosition="1"/>
    </format>
    <format dxfId="22">
      <pivotArea field="3" type="button" dataOnly="0" labelOnly="1" outline="0" axis="axisRow" fieldPosition="2"/>
    </format>
    <format dxfId="23">
      <pivotArea field="6" type="button" dataOnly="0" labelOnly="1" outline="0" axis="axisRow" fieldPosition="4"/>
    </format>
    <format dxfId="24">
      <pivotArea field="2" type="button" dataOnly="0" labelOnly="1" outline="0" axis="axisRow" fieldPosition="3"/>
    </format>
    <format dxfId="25">
      <pivotArea field="5" type="button" dataOnly="0" labelOnly="1" outline="0" axis="axisRow" fieldPosition="5"/>
    </format>
    <format dxfId="26">
      <pivotArea field="4" type="button" dataOnly="0" labelOnly="1" outline="0" axis="axisRow" fieldPosition="6"/>
    </format>
    <format dxfId="27">
      <pivotArea field="18" type="button" dataOnly="0" labelOnly="1" outline="0" axis="axisRow" fieldPosition="9"/>
    </format>
    <format dxfId="28">
      <pivotArea field="19" type="button" dataOnly="0" labelOnly="1" outline="0" axis="axisRow" fieldPosition="10"/>
    </format>
    <format dxfId="29">
      <pivotArea field="17" type="button" dataOnly="0" labelOnly="1" outline="0" axis="axisRow" fieldPosition="7"/>
    </format>
    <format dxfId="30">
      <pivotArea field="16" type="button" dataOnly="0" labelOnly="1" outline="0" axis="axisRow" fieldPosition="8"/>
    </format>
    <format dxfId="31">
      <pivotArea dataOnly="0" labelOnly="1" outline="0" fieldPosition="0">
        <references count="1">
          <reference field="4294967294" count="6">
            <x v="0"/>
            <x v="1"/>
            <x v="2"/>
            <x v="3"/>
            <x v="4"/>
            <x v="5"/>
          </reference>
        </references>
      </pivotArea>
    </format>
    <format dxfId="32">
      <pivotArea field="0" type="button" dataOnly="0" labelOnly="1" outline="0" axis="axisRow" fieldPosition="1"/>
    </format>
    <format dxfId="33">
      <pivotArea field="3" type="button" dataOnly="0" labelOnly="1" outline="0" axis="axisRow" fieldPosition="2"/>
    </format>
    <format dxfId="34">
      <pivotArea field="6" type="button" dataOnly="0" labelOnly="1" outline="0" axis="axisRow" fieldPosition="4"/>
    </format>
    <format dxfId="35">
      <pivotArea field="2" type="button" dataOnly="0" labelOnly="1" outline="0" axis="axisRow" fieldPosition="3"/>
    </format>
    <format dxfId="36">
      <pivotArea field="5" type="button" dataOnly="0" labelOnly="1" outline="0" axis="axisRow" fieldPosition="5"/>
    </format>
    <format dxfId="37">
      <pivotArea field="4" type="button" dataOnly="0" labelOnly="1" outline="0" axis="axisRow" fieldPosition="6"/>
    </format>
    <format dxfId="38">
      <pivotArea field="18" type="button" dataOnly="0" labelOnly="1" outline="0" axis="axisRow" fieldPosition="9"/>
    </format>
    <format dxfId="39">
      <pivotArea field="19" type="button" dataOnly="0" labelOnly="1" outline="0" axis="axisRow" fieldPosition="10"/>
    </format>
    <format dxfId="40">
      <pivotArea field="17" type="button" dataOnly="0" labelOnly="1" outline="0" axis="axisRow" fieldPosition="7"/>
    </format>
    <format dxfId="41">
      <pivotArea field="16" type="button" dataOnly="0" labelOnly="1" outline="0" axis="axisRow" fieldPosition="8"/>
    </format>
    <format dxfId="42">
      <pivotArea dataOnly="0" labelOnly="1" outline="0" fieldPosition="0">
        <references count="1">
          <reference field="4294967294" count="6">
            <x v="0"/>
            <x v="1"/>
            <x v="2"/>
            <x v="3"/>
            <x v="4"/>
            <x v="5"/>
          </reference>
        </references>
      </pivotArea>
    </format>
    <format dxfId="43">
      <pivotArea field="0" type="button" dataOnly="0" labelOnly="1" outline="0" axis="axisRow" fieldPosition="1"/>
    </format>
    <format dxfId="44">
      <pivotArea field="3" type="button" dataOnly="0" labelOnly="1" outline="0" axis="axisRow" fieldPosition="2"/>
    </format>
    <format dxfId="45">
      <pivotArea field="6" type="button" dataOnly="0" labelOnly="1" outline="0" axis="axisRow" fieldPosition="4"/>
    </format>
    <format dxfId="46">
      <pivotArea field="2" type="button" dataOnly="0" labelOnly="1" outline="0" axis="axisRow" fieldPosition="3"/>
    </format>
    <format dxfId="47">
      <pivotArea field="5" type="button" dataOnly="0" labelOnly="1" outline="0" axis="axisRow" fieldPosition="5"/>
    </format>
    <format dxfId="48">
      <pivotArea field="4" type="button" dataOnly="0" labelOnly="1" outline="0" axis="axisRow" fieldPosition="6"/>
    </format>
    <format dxfId="49">
      <pivotArea field="18" type="button" dataOnly="0" labelOnly="1" outline="0" axis="axisRow" fieldPosition="9"/>
    </format>
    <format dxfId="50">
      <pivotArea field="19" type="button" dataOnly="0" labelOnly="1" outline="0" axis="axisRow" fieldPosition="10"/>
    </format>
    <format dxfId="51">
      <pivotArea field="17" type="button" dataOnly="0" labelOnly="1" outline="0" axis="axisRow" fieldPosition="7"/>
    </format>
    <format dxfId="52">
      <pivotArea field="16" type="button" dataOnly="0" labelOnly="1" outline="0" axis="axisRow" fieldPosition="8"/>
    </format>
    <format dxfId="53">
      <pivotArea dataOnly="0" labelOnly="1" outline="0" fieldPosition="0">
        <references count="1">
          <reference field="4294967294" count="6">
            <x v="0"/>
            <x v="1"/>
            <x v="2"/>
            <x v="3"/>
            <x v="4"/>
            <x v="5"/>
          </reference>
        </references>
      </pivotArea>
    </format>
    <format dxfId="54">
      <pivotArea field="0" type="button" dataOnly="0" labelOnly="1" outline="0" axis="axisRow" fieldPosition="1"/>
    </format>
    <format dxfId="55">
      <pivotArea field="3" type="button" dataOnly="0" labelOnly="1" outline="0" axis="axisRow" fieldPosition="2"/>
    </format>
    <format dxfId="56">
      <pivotArea field="6" type="button" dataOnly="0" labelOnly="1" outline="0" axis="axisRow" fieldPosition="4"/>
    </format>
    <format dxfId="57">
      <pivotArea field="2" type="button" dataOnly="0" labelOnly="1" outline="0" axis="axisRow" fieldPosition="3"/>
    </format>
    <format dxfId="58">
      <pivotArea field="5" type="button" dataOnly="0" labelOnly="1" outline="0" axis="axisRow" fieldPosition="5"/>
    </format>
    <format dxfId="59">
      <pivotArea field="4" type="button" dataOnly="0" labelOnly="1" outline="0" axis="axisRow" fieldPosition="6"/>
    </format>
    <format dxfId="60">
      <pivotArea field="18" type="button" dataOnly="0" labelOnly="1" outline="0" axis="axisRow" fieldPosition="9"/>
    </format>
    <format dxfId="61">
      <pivotArea field="19" type="button" dataOnly="0" labelOnly="1" outline="0" axis="axisRow" fieldPosition="10"/>
    </format>
    <format dxfId="62">
      <pivotArea field="17" type="button" dataOnly="0" labelOnly="1" outline="0" axis="axisRow" fieldPosition="7"/>
    </format>
    <format dxfId="63">
      <pivotArea field="16" type="button" dataOnly="0" labelOnly="1" outline="0" axis="axisRow" fieldPosition="8"/>
    </format>
    <format dxfId="64">
      <pivotArea dataOnly="0" labelOnly="1" outline="0" fieldPosition="0">
        <references count="1">
          <reference field="4294967294" count="6">
            <x v="0"/>
            <x v="1"/>
            <x v="2"/>
            <x v="3"/>
            <x v="4"/>
            <x v="5"/>
          </reference>
        </references>
      </pivotArea>
    </format>
    <format dxfId="65">
      <pivotArea field="0" type="button" dataOnly="0" labelOnly="1" outline="0" axis="axisRow" fieldPosition="1"/>
    </format>
    <format dxfId="66">
      <pivotArea field="3" type="button" dataOnly="0" labelOnly="1" outline="0" axis="axisRow" fieldPosition="2"/>
    </format>
    <format dxfId="67">
      <pivotArea field="6" type="button" dataOnly="0" labelOnly="1" outline="0" axis="axisRow" fieldPosition="4"/>
    </format>
    <format dxfId="68">
      <pivotArea field="2" type="button" dataOnly="0" labelOnly="1" outline="0" axis="axisRow" fieldPosition="3"/>
    </format>
    <format dxfId="69">
      <pivotArea field="5" type="button" dataOnly="0" labelOnly="1" outline="0" axis="axisRow" fieldPosition="5"/>
    </format>
    <format dxfId="70">
      <pivotArea field="4" type="button" dataOnly="0" labelOnly="1" outline="0" axis="axisRow" fieldPosition="6"/>
    </format>
    <format dxfId="71">
      <pivotArea field="18" type="button" dataOnly="0" labelOnly="1" outline="0" axis="axisRow" fieldPosition="9"/>
    </format>
    <format dxfId="72">
      <pivotArea field="19" type="button" dataOnly="0" labelOnly="1" outline="0" axis="axisRow" fieldPosition="10"/>
    </format>
    <format dxfId="73">
      <pivotArea field="17" type="button" dataOnly="0" labelOnly="1" outline="0" axis="axisRow" fieldPosition="7"/>
    </format>
    <format dxfId="74">
      <pivotArea field="16" type="button" dataOnly="0" labelOnly="1" outline="0" axis="axisRow" fieldPosition="8"/>
    </format>
    <format dxfId="75">
      <pivotArea dataOnly="0" labelOnly="1" outline="0" fieldPosition="0">
        <references count="1">
          <reference field="4294967294" count="6">
            <x v="0"/>
            <x v="1"/>
            <x v="2"/>
            <x v="3"/>
            <x v="4"/>
            <x v="5"/>
          </reference>
        </references>
      </pivotArea>
    </format>
    <format dxfId="76">
      <pivotArea type="all" dataOnly="0" outline="0" fieldPosition="0"/>
    </format>
    <format dxfId="77">
      <pivotArea outline="0" collapsedLevelsAreSubtotals="1" fieldPosition="0"/>
    </format>
    <format dxfId="78">
      <pivotArea field="0" type="button" dataOnly="0" labelOnly="1" outline="0" axis="axisRow" fieldPosition="1"/>
    </format>
    <format dxfId="79">
      <pivotArea field="3" type="button" dataOnly="0" labelOnly="1" outline="0" axis="axisRow" fieldPosition="2"/>
    </format>
    <format dxfId="80">
      <pivotArea field="6" type="button" dataOnly="0" labelOnly="1" outline="0" axis="axisRow" fieldPosition="4"/>
    </format>
    <format dxfId="81">
      <pivotArea field="2" type="button" dataOnly="0" labelOnly="1" outline="0" axis="axisRow" fieldPosition="3"/>
    </format>
    <format dxfId="82">
      <pivotArea field="5" type="button" dataOnly="0" labelOnly="1" outline="0" axis="axisRow" fieldPosition="5"/>
    </format>
    <format dxfId="83">
      <pivotArea field="4" type="button" dataOnly="0" labelOnly="1" outline="0" axis="axisRow" fieldPosition="6"/>
    </format>
    <format dxfId="84">
      <pivotArea field="18" type="button" dataOnly="0" labelOnly="1" outline="0" axis="axisRow" fieldPosition="9"/>
    </format>
    <format dxfId="85">
      <pivotArea field="19" type="button" dataOnly="0" labelOnly="1" outline="0" axis="axisRow" fieldPosition="10"/>
    </format>
    <format dxfId="86">
      <pivotArea field="17" type="button" dataOnly="0" labelOnly="1" outline="0" axis="axisRow" fieldPosition="7"/>
    </format>
    <format dxfId="87">
      <pivotArea field="16" type="button" dataOnly="0" labelOnly="1" outline="0" axis="axisRow" fieldPosition="8"/>
    </format>
    <format dxfId="88">
      <pivotArea dataOnly="0" labelOnly="1" outline="0" fieldPosition="0">
        <references count="1">
          <reference field="0" count="0"/>
        </references>
      </pivotArea>
    </format>
    <format dxfId="89">
      <pivotArea dataOnly="0" labelOnly="1" outline="0" fieldPosition="0">
        <references count="1">
          <reference field="0" count="0" defaultSubtotal="1"/>
        </references>
      </pivotArea>
    </format>
    <format dxfId="90">
      <pivotArea dataOnly="0" labelOnly="1" outline="0" fieldPosition="0">
        <references count="1">
          <reference field="4294967294" count="6">
            <x v="0"/>
            <x v="1"/>
            <x v="2"/>
            <x v="3"/>
            <x v="4"/>
            <x v="5"/>
          </reference>
        </references>
      </pivotArea>
    </format>
    <format dxfId="91">
      <pivotArea grandRow="1" outline="0" collapsedLevelsAreSubtotals="1" fieldPosition="0"/>
    </format>
    <format dxfId="92">
      <pivotArea dataOnly="0" labelOnly="1" grandRow="1" outline="0" fieldPosition="0"/>
    </format>
    <format dxfId="93">
      <pivotArea grandRow="1" outline="0" collapsedLevelsAreSubtotals="1" fieldPosition="0"/>
    </format>
    <format dxfId="94">
      <pivotArea dataOnly="0" labelOnly="1" grandRow="1" outline="0" fieldPosition="0"/>
    </format>
    <format dxfId="95">
      <pivotArea fieldPosition="0">
        <references count="1">
          <reference field="0" count="0" defaultSubtotal="1"/>
        </references>
      </pivotArea>
    </format>
    <format dxfId="96">
      <pivotArea dataOnly="0" labelOnly="1" outline="0" fieldPosition="0">
        <references count="1">
          <reference field="0" count="0" defaultSubtotal="1"/>
        </references>
      </pivotArea>
    </format>
    <format dxfId="97">
      <pivotArea dataOnly="0" fieldPosition="0">
        <references count="1">
          <reference field="3" count="0" defaultSubtotal="1"/>
        </references>
      </pivotArea>
    </format>
    <format dxfId="98">
      <pivotArea dataOnly="0" fieldPosition="0">
        <references count="1">
          <reference field="0" count="0" defaultSubtotal="1"/>
        </references>
      </pivotArea>
    </format>
    <format dxfId="99">
      <pivotArea dataOnly="0" grandRow="1" fieldPosition="0"/>
    </format>
    <format dxfId="100">
      <pivotArea field="15" type="button" dataOnly="0" labelOnly="1" outline="0" axis="axisRow" fieldPosition="0"/>
    </format>
    <format dxfId="101">
      <pivotArea dataOnly="0" labelOnly="1" fieldPosition="0">
        <references count="1">
          <reference field="15" count="0"/>
        </references>
      </pivotArea>
    </format>
    <format dxfId="102">
      <pivotArea field="15" type="button" dataOnly="0" labelOnly="1" outline="0" axis="axisRow" fieldPosition="0"/>
    </format>
    <format dxfId="103">
      <pivotArea field="2" type="button" dataOnly="0" labelOnly="1" outline="0" axis="axisRow" fieldPosition="3"/>
    </format>
    <format dxfId="104">
      <pivotArea outline="0" fieldPosition="0">
        <references count="1">
          <reference field="4294967294" count="1" selected="0">
            <x v="0"/>
          </reference>
        </references>
      </pivotArea>
    </format>
    <format dxfId="105">
      <pivotArea field="6" type="button" dataOnly="0" labelOnly="1" outline="0" axis="axisRow" fieldPosition="4"/>
    </format>
    <format dxfId="106">
      <pivotArea field="5" type="button" dataOnly="0" labelOnly="1" outline="0" axis="axisRow" fieldPosition="5"/>
    </format>
    <format dxfId="107">
      <pivotArea field="4" type="button" dataOnly="0" labelOnly="1" outline="0" axis="axisRow" fieldPosition="6"/>
    </format>
    <format dxfId="108">
      <pivotArea field="17" type="button" dataOnly="0" labelOnly="1" outline="0" axis="axisRow" fieldPosition="7"/>
    </format>
    <format dxfId="109">
      <pivotArea field="16" type="button" dataOnly="0" labelOnly="1" outline="0" axis="axisRow" fieldPosition="8"/>
    </format>
    <format dxfId="110">
      <pivotArea field="18" type="button" dataOnly="0" labelOnly="1" outline="0" axis="axisRow" fieldPosition="9"/>
    </format>
    <format dxfId="111">
      <pivotArea field="19" type="button" dataOnly="0" labelOnly="1" outline="0" axis="axisRow" fieldPosition="10"/>
    </format>
    <format dxfId="112">
      <pivotArea outline="0" fieldPosition="0">
        <references count="1">
          <reference field="4294967294" count="1">
            <x v="5"/>
          </reference>
        </references>
      </pivotArea>
    </format>
    <format dxfId="113">
      <pivotArea outline="0" fieldPosition="0">
        <references count="1">
          <reference field="4294967294" count="1">
            <x v="3"/>
          </reference>
        </references>
      </pivotArea>
    </format>
    <format dxfId="114">
      <pivotArea outline="0" fieldPosition="0">
        <references count="3">
          <reference field="4294967294" count="1" selected="0">
            <x v="4"/>
          </reference>
          <reference field="0" count="0" selected="0" defaultSubtotal="1"/>
          <reference field="15" count="1" selected="0">
            <x v="0"/>
          </reference>
        </references>
      </pivotArea>
    </format>
    <format dxfId="115">
      <pivotArea field="15" grandRow="1" outline="0" axis="axisRow" fieldPosition="0">
        <references count="1">
          <reference field="4294967294" count="1" selected="0">
            <x v="4"/>
          </reference>
        </references>
      </pivotArea>
    </format>
    <format dxfId="116">
      <pivotArea outline="0" fieldPosition="0">
        <references count="1">
          <reference field="4294967294" count="1">
            <x v="2"/>
          </reference>
        </references>
      </pivotArea>
    </format>
    <format dxfId="117">
      <pivotArea outline="0" fieldPosition="0">
        <references count="3">
          <reference field="4294967294" count="1" selected="0">
            <x v="1"/>
          </reference>
          <reference field="0" count="0" selected="0" defaultSubtotal="1"/>
          <reference field="15" count="1" selected="0">
            <x v="0"/>
          </reference>
        </references>
      </pivotArea>
    </format>
    <format dxfId="118">
      <pivotArea outline="0" fieldPosition="0">
        <references count="1">
          <reference field="4294967294" count="1">
            <x v="1"/>
          </reference>
        </references>
      </pivotArea>
    </format>
    <format dxfId="119">
      <pivotArea outline="0" fieldPosition="0">
        <references count="1">
          <reference field="4294967294" count="1">
            <x v="4"/>
          </reference>
        </references>
      </pivotArea>
    </format>
    <format dxfId="120">
      <pivotArea field="15" grandRow="1" outline="0" axis="axisRow" fieldPosition="0">
        <references count="1">
          <reference field="4294967294" count="1" selected="0">
            <x v="1"/>
          </reference>
        </references>
      </pivotArea>
    </format>
    <format dxfId="121">
      <pivotArea field="6" type="button" dataOnly="0" labelOnly="1" outline="0" axis="axisRow" fieldPosition="4"/>
    </format>
    <format dxfId="122">
      <pivotArea field="16" type="button" dataOnly="0" labelOnly="1" outline="0" axis="axisRow" fieldPosition="8"/>
    </format>
    <format dxfId="123">
      <pivotArea outline="0" fieldPosition="0">
        <references count="3">
          <reference field="4294967294" count="1" selected="0">
            <x v="1"/>
          </reference>
          <reference field="0" count="0" selected="0" defaultSubtotal="1"/>
          <reference field="15" count="1" selected="0">
            <x v="1"/>
          </reference>
        </references>
      </pivotArea>
    </format>
    <format dxfId="124">
      <pivotArea outline="0" fieldPosition="0">
        <references count="3">
          <reference field="4294967294" count="1" selected="0">
            <x v="4"/>
          </reference>
          <reference field="0" count="0" selected="0" defaultSubtotal="1"/>
          <reference field="15" count="1" selected="0">
            <x v="1"/>
          </reference>
        </references>
      </pivotArea>
    </format>
    <format dxfId="125">
      <pivotArea outline="0" fieldPosition="0">
        <references count="3">
          <reference field="4294967294" count="1" selected="0">
            <x v="0"/>
          </reference>
          <reference field="0" count="0" selected="0" defaultSubtotal="1"/>
          <reference field="15" count="1" selected="0">
            <x v="1"/>
          </reference>
        </references>
      </pivotArea>
    </format>
    <format dxfId="126">
      <pivotArea dataOnly="0" labelOnly="1" outline="0" fieldPosition="0">
        <references count="1">
          <reference field="17" count="0"/>
        </references>
      </pivotArea>
    </format>
    <format dxfId="127">
      <pivotArea dataOnly="0" labelOnly="1" outline="0" fieldPosition="0">
        <references count="1">
          <reference field="6" count="0"/>
        </references>
      </pivotArea>
    </format>
    <format dxfId="128">
      <pivotArea dataOnly="0" labelOnly="1" outline="0" fieldPosition="0">
        <references count="1">
          <reference field="16" count="0"/>
        </references>
      </pivotArea>
    </format>
    <format dxfId="129">
      <pivotArea dataOnly="0" labelOnly="1" outline="0" fieldPosition="0">
        <references count="1">
          <reference field="16" count="0"/>
        </references>
      </pivotArea>
    </format>
    <format dxfId="130">
      <pivotArea dataOnly="0" labelOnly="1" outline="0" fieldPosition="0">
        <references count="1">
          <reference field="4294967294" count="1">
            <x v="6"/>
          </reference>
        </references>
      </pivotArea>
    </format>
    <format dxfId="131">
      <pivotArea outline="0" fieldPosition="0">
        <references count="1">
          <reference field="4294967294" count="1">
            <x v="6"/>
          </reference>
        </references>
      </pivotArea>
    </format>
    <format dxfId="132">
      <pivotArea outline="0" fieldPosition="0">
        <references count="3">
          <reference field="4294967294" count="1" selected="0">
            <x v="1"/>
          </reference>
          <reference field="0" count="1" selected="0" defaultSubtotal="1">
            <x v="1"/>
          </reference>
          <reference field="15" count="0" selected="0"/>
        </references>
      </pivotArea>
    </format>
    <format dxfId="133">
      <pivotArea outline="0" fieldPosition="0">
        <references count="3">
          <reference field="4294967294" count="1" selected="0">
            <x v="4"/>
          </reference>
          <reference field="0" count="1" selected="0" defaultSubtotal="1">
            <x v="1"/>
          </reference>
          <reference field="15"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InsertBlankRowDefault="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3" dT="2022-09-08T17:35:30.13" personId="{A358B164-B2F1-E648-A060-FEAEBB2DBE23}" id="{149C0DE7-1263-F64D-93C5-A1574D86FD38}">
    <text>Ganancia relevante y consistente con año anterior. VM más del doble en dic 2021</text>
  </threadedComment>
  <threadedComment ref="D193" dT="2022-09-08T17:15:42.71" personId="{A358B164-B2F1-E648-A060-FEAEBB2DBE23}" id="{5C6DBEC7-278C-6345-805C-D488E83E32F9}">
    <text>% de ganancia consistente con eso de cuenta de dic. Unrealized gain de más del doble.</text>
  </threadedComment>
  <threadedComment ref="P1336" dT="2023-03-01T18:52:14.60" personId="{857ECB6F-BAE8-45CA-AFCC-6B5C4D41A4AA}" id="{D0922C5D-4102-4C22-98DE-76E2414ABCF0}">
    <text xml:space="preserve">La diferencia de quanity con el transactions son estos 87, debido a que aparece en el transactions tambien su compra, pero como sale, y dice ext., entonces lo meti como compra y después venta, pero queda revisar, al igual que en el proced, la diferencia es como 6000 y es por el proced de este mismo mov.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6.bin"/><Relationship Id="rId1" Type="http://schemas.openxmlformats.org/officeDocument/2006/relationships/pivotTable" Target="../pivotTables/pivotTable3.xml"/><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4.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I48"/>
  <sheetViews>
    <sheetView tabSelected="1" view="pageBreakPreview" zoomScale="70" zoomScaleNormal="110" zoomScaleSheetLayoutView="70" workbookViewId="0">
      <selection activeCell="D25" sqref="D25"/>
    </sheetView>
  </sheetViews>
  <sheetFormatPr defaultColWidth="10.6640625" defaultRowHeight="20.100000000000001" customHeight="1"/>
  <cols>
    <col min="1" max="1" width="10.6640625" style="13"/>
    <col min="2" max="2" width="21.33203125" style="13" customWidth="1"/>
    <col min="3" max="3" width="28.88671875" style="13" customWidth="1"/>
    <col min="4" max="4" width="22.33203125" style="13" customWidth="1"/>
    <col min="5" max="5" width="11.6640625" style="13" customWidth="1"/>
    <col min="6" max="6" width="10.6640625" style="13"/>
    <col min="7" max="8" width="17.88671875" style="13" customWidth="1"/>
    <col min="9" max="9" width="14" style="13" customWidth="1"/>
    <col min="10" max="16384" width="10.6640625" style="13"/>
  </cols>
  <sheetData>
    <row r="2" spans="2:9" ht="20.100000000000001" customHeight="1">
      <c r="B2" s="597" t="s">
        <v>0</v>
      </c>
      <c r="C2" s="494"/>
      <c r="D2" s="494"/>
    </row>
    <row r="3" spans="2:9" ht="20.100000000000001" customHeight="1">
      <c r="B3" s="583" t="s">
        <v>1</v>
      </c>
      <c r="C3" s="583"/>
      <c r="D3" s="583"/>
    </row>
    <row r="4" spans="2:9" ht="9" customHeight="1">
      <c r="B4" s="495"/>
      <c r="C4" s="496"/>
      <c r="D4" s="497"/>
    </row>
    <row r="5" spans="2:9" s="121" customFormat="1" ht="20.100000000000001" customHeight="1">
      <c r="B5" s="498" t="s">
        <v>2</v>
      </c>
      <c r="C5" s="498" t="s">
        <v>3</v>
      </c>
      <c r="D5" s="499" t="s">
        <v>4</v>
      </c>
      <c r="G5" s="498" t="s">
        <v>5</v>
      </c>
      <c r="H5" s="498" t="s">
        <v>6</v>
      </c>
      <c r="I5" s="498" t="s">
        <v>7</v>
      </c>
    </row>
    <row r="6" spans="2:9" ht="12.95" customHeight="1">
      <c r="B6" s="15"/>
      <c r="C6" s="16"/>
      <c r="D6" s="17"/>
      <c r="G6" s="16"/>
      <c r="H6" s="16"/>
      <c r="I6" s="16"/>
    </row>
    <row r="7" spans="2:9" ht="20.100000000000001" customHeight="1">
      <c r="B7" s="14">
        <v>1175000</v>
      </c>
      <c r="C7" s="14" t="s">
        <v>8</v>
      </c>
      <c r="D7" s="14" t="s">
        <v>9</v>
      </c>
      <c r="G7" s="285"/>
      <c r="H7" s="285"/>
      <c r="I7" s="14"/>
    </row>
    <row r="8" spans="2:9" ht="20.100000000000001" customHeight="1">
      <c r="B8" s="14">
        <v>1179000</v>
      </c>
      <c r="C8" s="14" t="s">
        <v>8</v>
      </c>
      <c r="D8" s="14" t="s">
        <v>9</v>
      </c>
      <c r="G8" s="285"/>
      <c r="H8" s="285">
        <v>44811</v>
      </c>
      <c r="I8" s="14" t="s">
        <v>10</v>
      </c>
    </row>
    <row r="9" spans="2:9" ht="20.100000000000001" customHeight="1">
      <c r="B9" s="14">
        <v>1427200</v>
      </c>
      <c r="C9" s="14" t="s">
        <v>8</v>
      </c>
      <c r="D9" s="14" t="s">
        <v>9</v>
      </c>
      <c r="G9" s="285"/>
      <c r="H9" s="285"/>
      <c r="I9" s="14"/>
    </row>
    <row r="10" spans="2:9" ht="20.100000000000001" customHeight="1">
      <c r="B10" s="14" t="s">
        <v>11</v>
      </c>
      <c r="C10" s="14" t="s">
        <v>8</v>
      </c>
      <c r="D10" s="14" t="s">
        <v>9</v>
      </c>
      <c r="G10" s="285"/>
      <c r="H10" s="285"/>
      <c r="I10" s="14"/>
    </row>
    <row r="11" spans="2:9" ht="20.100000000000001" customHeight="1">
      <c r="B11" s="14">
        <v>700833580</v>
      </c>
      <c r="C11" s="14" t="s">
        <v>8</v>
      </c>
      <c r="D11" s="14" t="s">
        <v>12</v>
      </c>
      <c r="G11" s="285"/>
      <c r="H11" s="285"/>
      <c r="I11" s="14"/>
    </row>
    <row r="12" spans="2:9" ht="20.100000000000001" hidden="1" customHeight="1">
      <c r="B12" s="14" t="s">
        <v>13</v>
      </c>
      <c r="C12" s="14"/>
      <c r="D12" s="14"/>
      <c r="G12" s="285"/>
      <c r="H12" s="285"/>
      <c r="I12" s="14"/>
    </row>
    <row r="13" spans="2:9" ht="20.100000000000001" hidden="1" customHeight="1">
      <c r="B13" s="14" t="s">
        <v>14</v>
      </c>
      <c r="C13" s="14"/>
      <c r="D13" s="14"/>
      <c r="G13" s="285"/>
      <c r="H13" s="285"/>
      <c r="I13" s="14"/>
    </row>
    <row r="14" spans="2:9" ht="20.100000000000001" hidden="1" customHeight="1">
      <c r="B14" s="14" t="s">
        <v>15</v>
      </c>
      <c r="C14" s="14"/>
      <c r="D14" s="14"/>
      <c r="G14" s="285"/>
      <c r="H14" s="285"/>
      <c r="I14" s="14"/>
    </row>
    <row r="15" spans="2:9" ht="20.100000000000001" hidden="1" customHeight="1">
      <c r="B15" s="14" t="s">
        <v>16</v>
      </c>
      <c r="C15" s="14"/>
      <c r="D15" s="14"/>
      <c r="G15" s="285"/>
      <c r="H15" s="285"/>
      <c r="I15" s="14"/>
    </row>
    <row r="16" spans="2:9" ht="20.100000000000001" hidden="1" customHeight="1">
      <c r="B16" s="14" t="s">
        <v>17</v>
      </c>
      <c r="C16" s="14"/>
      <c r="D16" s="14"/>
      <c r="G16" s="285"/>
      <c r="H16" s="285"/>
      <c r="I16" s="14"/>
    </row>
    <row r="17" spans="2:9" ht="20.100000000000001" hidden="1" customHeight="1">
      <c r="B17" s="14" t="s">
        <v>18</v>
      </c>
      <c r="C17" s="14"/>
      <c r="D17" s="14"/>
      <c r="G17" s="285"/>
      <c r="H17" s="285"/>
      <c r="I17" s="14"/>
    </row>
    <row r="18" spans="2:9" ht="20.100000000000001" hidden="1" customHeight="1">
      <c r="B18" s="14" t="s">
        <v>19</v>
      </c>
      <c r="C18" s="14"/>
      <c r="D18" s="14"/>
      <c r="G18" s="285"/>
      <c r="H18" s="285"/>
      <c r="I18" s="14"/>
    </row>
    <row r="19" spans="2:9" ht="20.100000000000001" hidden="1" customHeight="1">
      <c r="B19" s="14" t="s">
        <v>20</v>
      </c>
      <c r="C19" s="14"/>
      <c r="D19" s="14"/>
      <c r="G19" s="285"/>
      <c r="H19" s="285"/>
      <c r="I19" s="14"/>
    </row>
    <row r="20" spans="2:9" ht="20.100000000000001" hidden="1" customHeight="1">
      <c r="B20" s="14" t="s">
        <v>21</v>
      </c>
      <c r="C20" s="14"/>
      <c r="D20" s="14"/>
      <c r="G20" s="285"/>
      <c r="H20" s="285"/>
      <c r="I20" s="14"/>
    </row>
    <row r="21" spans="2:9" ht="20.100000000000001" hidden="1" customHeight="1">
      <c r="B21" s="14" t="s">
        <v>22</v>
      </c>
      <c r="C21" s="14"/>
      <c r="D21" s="14"/>
      <c r="G21" s="285"/>
      <c r="H21" s="285"/>
      <c r="I21" s="14"/>
    </row>
    <row r="22" spans="2:9" ht="20.100000000000001" hidden="1" customHeight="1">
      <c r="B22" s="14" t="s">
        <v>23</v>
      </c>
      <c r="C22" s="14"/>
      <c r="D22" s="14"/>
      <c r="G22" s="285"/>
      <c r="H22" s="285"/>
      <c r="I22" s="14"/>
    </row>
    <row r="23" spans="2:9" ht="20.100000000000001" hidden="1" customHeight="1">
      <c r="B23" s="14" t="s">
        <v>24</v>
      </c>
      <c r="C23" s="14"/>
      <c r="D23" s="14"/>
      <c r="G23" s="285"/>
      <c r="H23" s="285"/>
      <c r="I23" s="14"/>
    </row>
    <row r="24" spans="2:9" ht="20.100000000000001" hidden="1" customHeight="1">
      <c r="B24" s="14" t="s">
        <v>25</v>
      </c>
      <c r="C24" s="14"/>
      <c r="D24" s="14"/>
      <c r="G24" s="285"/>
      <c r="H24" s="285"/>
      <c r="I24" s="14"/>
    </row>
    <row r="25" spans="2:9" ht="15.95"/>
    <row r="27" spans="2:9" ht="20.100000000000001" customHeight="1">
      <c r="B27" s="13" t="s">
        <v>26</v>
      </c>
    </row>
    <row r="29" spans="2:9" ht="20.100000000000001" customHeight="1">
      <c r="B29" s="92"/>
      <c r="E29" s="54"/>
    </row>
    <row r="30" spans="2:9" ht="20.100000000000001" customHeight="1">
      <c r="B30" s="92" t="s">
        <v>27</v>
      </c>
      <c r="E30" s="54"/>
    </row>
    <row r="31" spans="2:9" ht="20.100000000000001" customHeight="1">
      <c r="B31" s="544" t="s">
        <v>28</v>
      </c>
      <c r="C31" s="544" t="s">
        <v>29</v>
      </c>
      <c r="D31" s="544" t="s">
        <v>30</v>
      </c>
      <c r="E31" s="544" t="s">
        <v>31</v>
      </c>
    </row>
    <row r="32" spans="2:9" ht="20.100000000000001" customHeight="1">
      <c r="B32" s="500" t="s">
        <v>32</v>
      </c>
      <c r="C32" s="545">
        <v>44621</v>
      </c>
      <c r="D32" s="500" t="s">
        <v>33</v>
      </c>
      <c r="E32" s="546">
        <v>-100000</v>
      </c>
      <c r="F32" s="543" t="s">
        <v>34</v>
      </c>
    </row>
    <row r="33" spans="2:6" ht="20.100000000000001" customHeight="1">
      <c r="B33" s="500" t="s">
        <v>32</v>
      </c>
      <c r="C33" s="545">
        <v>44671</v>
      </c>
      <c r="D33" s="500" t="s">
        <v>33</v>
      </c>
      <c r="E33" s="546">
        <v>-130000</v>
      </c>
      <c r="F33" s="13" t="s">
        <v>34</v>
      </c>
    </row>
    <row r="34" spans="2:6" ht="20.100000000000001" customHeight="1">
      <c r="B34" s="500" t="s">
        <v>32</v>
      </c>
      <c r="C34" s="545">
        <v>44678</v>
      </c>
      <c r="D34" s="500" t="s">
        <v>33</v>
      </c>
      <c r="E34" s="546">
        <v>-500000</v>
      </c>
      <c r="F34" s="13" t="s">
        <v>34</v>
      </c>
    </row>
    <row r="35" spans="2:6" ht="20.100000000000001" customHeight="1">
      <c r="B35" s="500" t="s">
        <v>32</v>
      </c>
      <c r="C35" s="545">
        <v>44684</v>
      </c>
      <c r="D35" s="500" t="s">
        <v>33</v>
      </c>
      <c r="E35" s="546">
        <v>-800000</v>
      </c>
      <c r="F35" s="548" t="s">
        <v>34</v>
      </c>
    </row>
    <row r="36" spans="2:6" s="568" customFormat="1" ht="20.100000000000001" customHeight="1">
      <c r="B36" s="564" t="s">
        <v>35</v>
      </c>
      <c r="C36" s="565">
        <v>44754</v>
      </c>
      <c r="D36" s="564" t="s">
        <v>33</v>
      </c>
      <c r="E36" s="566">
        <v>-300000</v>
      </c>
      <c r="F36" s="567" t="s">
        <v>36</v>
      </c>
    </row>
    <row r="37" spans="2:6" s="568" customFormat="1" ht="20.100000000000001" customHeight="1">
      <c r="B37" s="564" t="s">
        <v>35</v>
      </c>
      <c r="C37" s="565">
        <v>44776</v>
      </c>
      <c r="D37" s="564" t="s">
        <v>33</v>
      </c>
      <c r="E37" s="566">
        <v>1847334</v>
      </c>
      <c r="F37" s="567" t="s">
        <v>36</v>
      </c>
    </row>
    <row r="38" spans="2:6" ht="20.100000000000001" customHeight="1">
      <c r="B38" s="500" t="s">
        <v>32</v>
      </c>
      <c r="C38" s="545">
        <v>44853</v>
      </c>
      <c r="D38" s="500" t="s">
        <v>33</v>
      </c>
      <c r="E38" s="546">
        <v>-500000</v>
      </c>
      <c r="F38" s="548" t="s">
        <v>37</v>
      </c>
    </row>
    <row r="39" spans="2:6" ht="20.100000000000001" customHeight="1">
      <c r="B39" s="500" t="s">
        <v>32</v>
      </c>
      <c r="C39" s="545">
        <v>44855</v>
      </c>
      <c r="D39" s="500" t="s">
        <v>33</v>
      </c>
      <c r="E39" s="546">
        <v>-500000</v>
      </c>
      <c r="F39" s="13" t="s">
        <v>34</v>
      </c>
    </row>
    <row r="40" spans="2:6" ht="20.100000000000001" customHeight="1">
      <c r="B40" s="500" t="s">
        <v>32</v>
      </c>
      <c r="C40" s="545">
        <v>44874</v>
      </c>
      <c r="D40" s="500" t="s">
        <v>33</v>
      </c>
      <c r="E40" s="546">
        <v>-120000</v>
      </c>
      <c r="F40" s="13" t="s">
        <v>34</v>
      </c>
    </row>
    <row r="41" spans="2:6" ht="20.100000000000001" customHeight="1">
      <c r="B41" s="500" t="s">
        <v>32</v>
      </c>
      <c r="C41" s="545">
        <v>44881</v>
      </c>
      <c r="D41" s="500" t="s">
        <v>33</v>
      </c>
      <c r="E41" s="546">
        <v>-1300000</v>
      </c>
      <c r="F41" s="13" t="s">
        <v>34</v>
      </c>
    </row>
    <row r="42" spans="2:6" ht="20.100000000000001" customHeight="1">
      <c r="B42" s="500"/>
      <c r="C42" s="545"/>
      <c r="D42" s="500"/>
      <c r="E42" s="546"/>
    </row>
    <row r="43" spans="2:6" ht="20.100000000000001" customHeight="1">
      <c r="B43" s="500"/>
      <c r="C43" s="545"/>
      <c r="D43" s="500"/>
      <c r="E43" s="546"/>
    </row>
    <row r="44" spans="2:6" ht="20.100000000000001" customHeight="1">
      <c r="B44" s="500"/>
      <c r="C44" s="545"/>
      <c r="D44" s="500"/>
      <c r="E44" s="546"/>
    </row>
    <row r="45" spans="2:6" ht="20.100000000000001" customHeight="1">
      <c r="B45" s="500"/>
      <c r="C45" s="545"/>
      <c r="D45" s="500"/>
      <c r="E45" s="546"/>
    </row>
    <row r="46" spans="2:6" ht="20.100000000000001" customHeight="1">
      <c r="B46" s="500"/>
      <c r="C46" s="545"/>
      <c r="D46" s="500"/>
      <c r="E46" s="546"/>
    </row>
    <row r="47" spans="2:6" ht="20.100000000000001" customHeight="1">
      <c r="B47" s="500"/>
      <c r="C47" s="545"/>
      <c r="D47" s="500"/>
      <c r="E47" s="546"/>
    </row>
    <row r="48" spans="2:6" ht="20.100000000000001" customHeight="1">
      <c r="B48" s="500"/>
      <c r="C48" s="545"/>
      <c r="D48" s="500"/>
      <c r="E48" s="546"/>
    </row>
  </sheetData>
  <sheetProtection algorithmName="SHA-512" hashValue="TMRfczZCdKISQ2dWgEIX9EL5/ZFGKN7/5Gvzm4ZJVLasdSSl4pzIFPh7mTEXM/4tv5vFj06+ECL8sdSxBVek2g==" saltValue="Gx+WlPqGKfunashVBl3CqA==" spinCount="100000" sheet="1" objects="1" scenarios="1" formatCells="0" formatColumns="0" formatRows="0" insertColumns="0" insertRows="0" deleteColumns="0" deleteRows="0"/>
  <mergeCells count="1">
    <mergeCell ref="B3:D3"/>
  </mergeCells>
  <phoneticPr fontId="9" type="noConversion"/>
  <printOptions horizontalCentered="1"/>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2:F20"/>
  <sheetViews>
    <sheetView view="pageBreakPreview" zoomScale="80" zoomScaleNormal="120" zoomScaleSheetLayoutView="80" workbookViewId="0">
      <selection activeCell="B2" sqref="B2:F2"/>
    </sheetView>
  </sheetViews>
  <sheetFormatPr defaultColWidth="10.6640625" defaultRowHeight="21.95" customHeight="1"/>
  <cols>
    <col min="1" max="1" width="8.88671875" style="2" customWidth="1"/>
    <col min="2" max="2" width="3.88671875" style="2" customWidth="1"/>
    <col min="3" max="3" width="4.109375" style="5" customWidth="1"/>
    <col min="4" max="4" width="61.88671875" style="2" customWidth="1"/>
    <col min="5" max="5" width="3.88671875" style="5" customWidth="1"/>
    <col min="6" max="6" width="21" style="2" customWidth="1"/>
    <col min="7" max="16384" width="10.6640625" style="2"/>
  </cols>
  <sheetData>
    <row r="2" spans="2:6" ht="21.95" customHeight="1">
      <c r="B2" s="598" t="s">
        <v>38</v>
      </c>
      <c r="C2" s="598"/>
      <c r="D2" s="598"/>
      <c r="E2" s="598"/>
      <c r="F2" s="598"/>
    </row>
    <row r="3" spans="2:6" ht="21.95" customHeight="1">
      <c r="B3" s="584" t="s">
        <v>39</v>
      </c>
      <c r="C3" s="584"/>
      <c r="D3" s="584"/>
      <c r="E3" s="584"/>
      <c r="F3" s="584"/>
    </row>
    <row r="4" spans="2:6" ht="21.95" customHeight="1">
      <c r="B4" s="585" t="s">
        <v>40</v>
      </c>
      <c r="C4" s="585"/>
      <c r="D4" s="585"/>
      <c r="E4" s="585"/>
      <c r="F4" s="585"/>
    </row>
    <row r="5" spans="2:6" s="78" customFormat="1" ht="14.1" customHeight="1">
      <c r="B5" s="76" t="s">
        <v>41</v>
      </c>
      <c r="C5" s="77"/>
      <c r="D5" s="79" t="s">
        <v>42</v>
      </c>
      <c r="E5" s="77"/>
      <c r="F5" s="76"/>
    </row>
    <row r="6" spans="2:6" s="78" customFormat="1" ht="14.1" customHeight="1">
      <c r="B6" s="99"/>
      <c r="C6" s="100"/>
      <c r="D6" s="99"/>
      <c r="E6" s="100"/>
      <c r="F6" s="99"/>
    </row>
    <row r="7" spans="2:6" ht="21.95" customHeight="1">
      <c r="C7" s="3" t="s">
        <v>43</v>
      </c>
      <c r="D7" s="4" t="s">
        <v>44</v>
      </c>
      <c r="E7" s="3"/>
      <c r="F7" s="381">
        <f>+'Cálculo ISR - Detalle'!F20</f>
        <v>81182.916440999994</v>
      </c>
    </row>
    <row r="8" spans="2:6" ht="21.95" customHeight="1">
      <c r="C8" s="3" t="s">
        <v>45</v>
      </c>
      <c r="D8" s="4" t="s">
        <v>46</v>
      </c>
      <c r="E8" s="3"/>
      <c r="F8" s="381">
        <f>+'Cálculo ISR - Detalle'!F29</f>
        <v>146543.99</v>
      </c>
    </row>
    <row r="9" spans="2:6" ht="21.95" customHeight="1">
      <c r="C9" s="222" t="s">
        <v>47</v>
      </c>
      <c r="D9" s="223" t="s">
        <v>48</v>
      </c>
      <c r="F9" s="480">
        <f>F7-F8</f>
        <v>-65361.073558999997</v>
      </c>
    </row>
    <row r="10" spans="2:6" ht="21.95" customHeight="1">
      <c r="C10" s="18" t="s">
        <v>49</v>
      </c>
      <c r="D10" s="19" t="s">
        <v>50</v>
      </c>
      <c r="F10" s="6">
        <f>+'Cálculo ISR - Detalle'!F32</f>
        <v>19.361499999999999</v>
      </c>
    </row>
    <row r="11" spans="2:6" ht="21.95" customHeight="1">
      <c r="C11" s="50" t="s">
        <v>47</v>
      </c>
      <c r="D11" s="38" t="s">
        <v>51</v>
      </c>
      <c r="E11" s="7"/>
      <c r="F11" s="479">
        <f>+F9*F10</f>
        <v>-1265488.4257125785</v>
      </c>
    </row>
    <row r="12" spans="2:6" ht="21.95" customHeight="1">
      <c r="C12" s="18" t="s">
        <v>45</v>
      </c>
      <c r="D12" s="19" t="s">
        <v>52</v>
      </c>
      <c r="F12" s="474">
        <f>+'Cálculo ISR - Detalle'!F34</f>
        <v>0</v>
      </c>
    </row>
    <row r="13" spans="2:6" ht="21.95" customHeight="1">
      <c r="C13" s="52" t="s">
        <v>47</v>
      </c>
      <c r="D13" s="51" t="str">
        <f>+IF(F13&gt;0,"Resultado Fiscal en MXN","(Pérdida) fiscal en MXN del ejercicio")</f>
        <v>(Pérdida) fiscal en MXN del ejercicio</v>
      </c>
      <c r="F13" s="478">
        <f>+F11-F12</f>
        <v>-1265488.4257125785</v>
      </c>
    </row>
    <row r="14" spans="2:6" ht="21.95" customHeight="1">
      <c r="C14" s="18" t="s">
        <v>49</v>
      </c>
      <c r="D14" s="19" t="s">
        <v>53</v>
      </c>
      <c r="F14" s="21">
        <v>0.35</v>
      </c>
    </row>
    <row r="15" spans="2:6" ht="21.95" customHeight="1">
      <c r="C15" s="8" t="s">
        <v>47</v>
      </c>
      <c r="D15" s="20" t="s">
        <v>54</v>
      </c>
      <c r="F15" s="477">
        <f>IF(F13&lt;0,0,F13*F14)</f>
        <v>0</v>
      </c>
    </row>
    <row r="16" spans="2:6" ht="21.95" customHeight="1">
      <c r="C16" s="3" t="s">
        <v>55</v>
      </c>
      <c r="D16" s="4" t="s">
        <v>56</v>
      </c>
      <c r="E16" s="3"/>
      <c r="F16" s="475">
        <f>+'Cálculo ISR - Detalle'!F44</f>
        <v>863.13566999999989</v>
      </c>
    </row>
    <row r="17" spans="3:6" ht="35.1" customHeight="1">
      <c r="C17" s="18" t="s">
        <v>55</v>
      </c>
      <c r="D17" s="23" t="s">
        <v>57</v>
      </c>
      <c r="E17" s="9"/>
      <c r="F17" s="10">
        <f>+'Cálculo ISR - Detalle'!F46</f>
        <v>0</v>
      </c>
    </row>
    <row r="18" spans="3:6" ht="21.95" customHeight="1">
      <c r="C18" s="24" t="s">
        <v>47</v>
      </c>
      <c r="D18" s="25" t="str">
        <f>+IF(F18&lt;0,"(ISR acreditable) en MXN pendiente de disminuir","ISR a cargo del ejercicio en MXN")</f>
        <v>(ISR acreditable) en MXN pendiente de disminuir</v>
      </c>
      <c r="E18" s="9"/>
      <c r="F18" s="476">
        <f>+IF(F15-F16-F17&gt;0,F15-F16-F17,F15-F16-F17)</f>
        <v>-863.13566999999989</v>
      </c>
    </row>
    <row r="19" spans="3:6" ht="21.95" customHeight="1">
      <c r="C19" s="11"/>
      <c r="D19" s="4"/>
      <c r="E19" s="3"/>
      <c r="F19" s="22"/>
    </row>
    <row r="20" spans="3:6" ht="21.95" customHeight="1">
      <c r="C20" s="2"/>
      <c r="E20" s="2"/>
    </row>
  </sheetData>
  <sheetProtection algorithmName="SHA-512" hashValue="wzQIzWZPqlXivkYy/cUsABGSNJ4RsU7yxK00cHhSH2Cj21K5mX+mlZwDyE+CzKDb4eGVo/maSkbYJR/uiDusig==" saltValue="9ws8w79PL4cil8n9H1/9Mw==" spinCount="100000" sheet="1" selectLockedCells="1"/>
  <mergeCells count="3">
    <mergeCell ref="B2:F2"/>
    <mergeCell ref="B3:F3"/>
    <mergeCell ref="B4:F4"/>
  </mergeCells>
  <phoneticPr fontId="9" type="noConversion"/>
  <printOptions horizontalCentered="1"/>
  <pageMargins left="0.70866141732283472" right="0.70866141732283472" top="0.74803149606299213" bottom="0.74803149606299213" header="0.31496062992125984" footer="0.31496062992125984"/>
  <pageSetup scale="76"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K58"/>
  <sheetViews>
    <sheetView view="pageBreakPreview" topLeftCell="B1" zoomScale="70" zoomScaleNormal="130" zoomScaleSheetLayoutView="70" workbookViewId="0">
      <selection activeCell="G50" sqref="G50"/>
    </sheetView>
  </sheetViews>
  <sheetFormatPr defaultColWidth="10.6640625" defaultRowHeight="23.1" customHeight="1"/>
  <cols>
    <col min="1" max="1" width="8.88671875" style="2" customWidth="1"/>
    <col min="2" max="2" width="3.109375" style="2" customWidth="1"/>
    <col min="3" max="3" width="3.88671875" style="32" customWidth="1"/>
    <col min="4" max="4" width="60.6640625" style="2" customWidth="1"/>
    <col min="5" max="5" width="3.88671875" style="5" customWidth="1"/>
    <col min="6" max="6" width="26" style="2" customWidth="1"/>
    <col min="7" max="7" width="10.6640625" style="2"/>
    <col min="8" max="8" width="21.44140625" style="2" customWidth="1"/>
    <col min="9" max="9" width="18.88671875" style="2" customWidth="1"/>
    <col min="10" max="16384" width="10.6640625" style="2"/>
  </cols>
  <sheetData>
    <row r="2" spans="2:11" ht="23.1" customHeight="1">
      <c r="B2" s="586" t="str">
        <f>+'Cálculo ISR - Resumen'!B2:F2</f>
        <v>NOMBRE DE LA SOCIEDAD</v>
      </c>
      <c r="C2" s="586"/>
      <c r="D2" s="586"/>
      <c r="E2" s="586"/>
      <c r="F2" s="586"/>
    </row>
    <row r="3" spans="2:11" ht="23.1" customHeight="1">
      <c r="B3" s="584" t="s">
        <v>58</v>
      </c>
      <c r="C3" s="584"/>
      <c r="D3" s="584"/>
      <c r="E3" s="584"/>
      <c r="F3" s="584"/>
    </row>
    <row r="4" spans="2:11" ht="23.1" customHeight="1">
      <c r="B4" s="585" t="s">
        <v>40</v>
      </c>
      <c r="C4" s="585"/>
      <c r="D4" s="585"/>
      <c r="E4" s="585"/>
      <c r="F4" s="585"/>
    </row>
    <row r="5" spans="2:11" s="78" customFormat="1" ht="14.1" customHeight="1">
      <c r="B5" s="76" t="s">
        <v>41</v>
      </c>
      <c r="C5" s="77"/>
      <c r="D5" s="79" t="s">
        <v>42</v>
      </c>
      <c r="E5" s="77"/>
      <c r="F5" s="76"/>
    </row>
    <row r="6" spans="2:11" s="78" customFormat="1" ht="14.1" customHeight="1">
      <c r="B6" s="99"/>
      <c r="C6" s="100"/>
      <c r="D6" s="99"/>
      <c r="E6" s="100"/>
      <c r="F6" s="99"/>
    </row>
    <row r="7" spans="2:11" ht="23.1" customHeight="1">
      <c r="B7" s="26" t="s">
        <v>59</v>
      </c>
      <c r="C7" s="574" t="s">
        <v>60</v>
      </c>
      <c r="D7" s="4"/>
      <c r="E7" s="3"/>
      <c r="F7" s="4"/>
    </row>
    <row r="8" spans="2:11" ht="23.1" customHeight="1">
      <c r="B8" s="26"/>
      <c r="C8" s="27"/>
      <c r="D8" s="4"/>
      <c r="E8" s="3"/>
      <c r="F8" s="4"/>
    </row>
    <row r="9" spans="2:11" ht="23.1" customHeight="1">
      <c r="B9" s="26"/>
      <c r="C9" s="3" t="s">
        <v>43</v>
      </c>
      <c r="D9" s="4" t="s">
        <v>61</v>
      </c>
      <c r="E9" s="3"/>
      <c r="F9" s="381">
        <f>+'Intereses Percibidos'!I73</f>
        <v>16298.456171999997</v>
      </c>
    </row>
    <row r="10" spans="2:11" ht="23.1" customHeight="1">
      <c r="B10" s="26"/>
      <c r="C10" s="3" t="s">
        <v>43</v>
      </c>
      <c r="D10" s="4" t="s">
        <v>62</v>
      </c>
      <c r="E10" s="3"/>
      <c r="F10" s="381">
        <f>+'Intereses en Compra-Venta Bonos'!I16</f>
        <v>0</v>
      </c>
    </row>
    <row r="11" spans="2:11" ht="23.1" customHeight="1">
      <c r="B11" s="26"/>
      <c r="C11" s="3" t="s">
        <v>43</v>
      </c>
      <c r="D11" s="4" t="s">
        <v>63</v>
      </c>
      <c r="E11" s="3"/>
      <c r="F11" s="381">
        <f>'Dividendos Nacionales'!J27</f>
        <v>0</v>
      </c>
    </row>
    <row r="12" spans="2:11" ht="23.1" customHeight="1">
      <c r="B12" s="26"/>
      <c r="C12" s="3" t="s">
        <v>43</v>
      </c>
      <c r="D12" s="4" t="s">
        <v>64</v>
      </c>
      <c r="E12" s="3"/>
      <c r="F12" s="381">
        <f>+'Dividendos Extranjero'!I182</f>
        <v>64884.460268999996</v>
      </c>
      <c r="J12" s="28"/>
      <c r="K12" s="28"/>
    </row>
    <row r="13" spans="2:11" ht="23.1" customHeight="1">
      <c r="B13" s="26"/>
      <c r="C13" s="3" t="s">
        <v>43</v>
      </c>
      <c r="D13" s="4" t="s">
        <v>65</v>
      </c>
      <c r="E13" s="3"/>
      <c r="F13" s="381">
        <f>+IF('Sale of Shares - Summary'!E12&gt;0,'Sale of Shares - Summary'!E12,0)</f>
        <v>0</v>
      </c>
      <c r="H13" s="29" t="s">
        <v>66</v>
      </c>
      <c r="I13" s="28"/>
      <c r="J13" s="28"/>
      <c r="K13" s="28"/>
    </row>
    <row r="14" spans="2:11" ht="23.1" customHeight="1">
      <c r="B14" s="26"/>
      <c r="C14" s="3" t="s">
        <v>43</v>
      </c>
      <c r="D14" s="4" t="s">
        <v>67</v>
      </c>
      <c r="E14" s="3"/>
      <c r="F14" s="381">
        <f>IF(SUMIF(Ventas!R:R,Ventas!AF4,Ventas!X:X)&gt;0,SUMIF(Ventas!R:R,Ventas!AF4,Ventas!X:X),0)</f>
        <v>0</v>
      </c>
      <c r="I14" s="28"/>
      <c r="J14" s="28"/>
      <c r="K14" s="28"/>
    </row>
    <row r="15" spans="2:11" ht="23.1" customHeight="1">
      <c r="B15" s="26"/>
      <c r="C15" s="3" t="s">
        <v>43</v>
      </c>
      <c r="D15" s="4" t="s">
        <v>68</v>
      </c>
      <c r="E15" s="3"/>
      <c r="F15" s="381">
        <f>IF('Ganancias Cambiarias'!I25&gt;0,'Ganancias Cambiarias'!I25,0)</f>
        <v>0</v>
      </c>
    </row>
    <row r="16" spans="2:11" ht="23.1" customHeight="1">
      <c r="B16" s="26"/>
      <c r="C16" s="3" t="s">
        <v>43</v>
      </c>
      <c r="D16" s="4" t="s">
        <v>69</v>
      </c>
      <c r="E16" s="3"/>
      <c r="F16" s="381">
        <f>+'Otros Ingresos'!I27</f>
        <v>0</v>
      </c>
    </row>
    <row r="17" spans="2:11" ht="23.1" customHeight="1">
      <c r="B17" s="26"/>
      <c r="C17" s="3" t="s">
        <v>43</v>
      </c>
      <c r="D17" s="4" t="s">
        <v>70</v>
      </c>
      <c r="E17" s="3"/>
      <c r="F17" s="381">
        <f>IF(Swap!I40&gt;0,Swap!I40,0)</f>
        <v>0</v>
      </c>
    </row>
    <row r="18" spans="2:11" ht="23.1" customHeight="1">
      <c r="B18" s="26"/>
      <c r="C18" s="3" t="s">
        <v>43</v>
      </c>
      <c r="D18" s="4" t="s">
        <v>71</v>
      </c>
      <c r="E18" s="3"/>
      <c r="F18" s="381">
        <f>IF('OFD - Summary'!E15&gt;0,'OFD - Summary'!E15,0)</f>
        <v>0</v>
      </c>
    </row>
    <row r="19" spans="2:11" ht="23.1" customHeight="1">
      <c r="B19" s="26"/>
      <c r="C19" s="3" t="s">
        <v>43</v>
      </c>
      <c r="D19" s="4" t="s">
        <v>72</v>
      </c>
      <c r="E19" s="3"/>
      <c r="F19" s="381">
        <f>+PE!P165</f>
        <v>0</v>
      </c>
    </row>
    <row r="20" spans="2:11" ht="23.1" customHeight="1">
      <c r="B20" s="26"/>
      <c r="C20" s="225" t="s">
        <v>47</v>
      </c>
      <c r="D20" s="38" t="s">
        <v>44</v>
      </c>
      <c r="E20" s="7" t="s">
        <v>73</v>
      </c>
      <c r="F20" s="382">
        <f>SUM(F9:F19)</f>
        <v>81182.916440999994</v>
      </c>
    </row>
    <row r="21" spans="2:11" ht="23.1" customHeight="1">
      <c r="B21" s="26"/>
      <c r="C21" s="27"/>
      <c r="D21" s="4"/>
      <c r="E21" s="3"/>
      <c r="F21" s="39"/>
    </row>
    <row r="22" spans="2:11" ht="23.1" customHeight="1">
      <c r="B22" s="26" t="s">
        <v>74</v>
      </c>
      <c r="C22" s="574" t="s">
        <v>75</v>
      </c>
      <c r="D22" s="4"/>
      <c r="E22" s="3"/>
      <c r="F22" s="4"/>
    </row>
    <row r="23" spans="2:11" ht="23.1" customHeight="1">
      <c r="B23" s="26"/>
      <c r="C23" s="27"/>
      <c r="D23" s="4"/>
      <c r="E23" s="3"/>
      <c r="F23" s="4"/>
    </row>
    <row r="24" spans="2:11" ht="23.1" customHeight="1">
      <c r="B24" s="4"/>
      <c r="C24" s="3" t="s">
        <v>43</v>
      </c>
      <c r="D24" s="4" t="s">
        <v>76</v>
      </c>
      <c r="E24" s="3"/>
      <c r="F24" s="381">
        <f>IF(SUMIF(Ventas!R:R,Ventas!AF4,Ventas!X:X)&lt;0,-SUMIF(Ventas!R:R,Ventas!AF4,Ventas!X:X),0)</f>
        <v>0</v>
      </c>
    </row>
    <row r="25" spans="2:11" ht="23.1" customHeight="1">
      <c r="B25" s="4"/>
      <c r="C25" s="3" t="s">
        <v>43</v>
      </c>
      <c r="D25" s="4" t="s">
        <v>77</v>
      </c>
      <c r="E25" s="3"/>
      <c r="F25" s="381">
        <f>+IF(Swap!I40&lt;0,-Swap!I40,0)</f>
        <v>0</v>
      </c>
    </row>
    <row r="26" spans="2:11" ht="23.1" customHeight="1">
      <c r="B26" s="4"/>
      <c r="C26" s="3" t="s">
        <v>43</v>
      </c>
      <c r="D26" s="4" t="s">
        <v>78</v>
      </c>
      <c r="E26" s="3"/>
      <c r="F26" s="381">
        <f>IF('Ganancias Cambiarias'!I25&lt;0,-'Ganancias Cambiarias'!I25,0)</f>
        <v>0</v>
      </c>
      <c r="H26" s="402"/>
      <c r="I26" s="448"/>
    </row>
    <row r="27" spans="2:11" ht="23.1" customHeight="1">
      <c r="B27" s="4"/>
      <c r="C27" s="3" t="s">
        <v>43</v>
      </c>
      <c r="D27" s="4" t="s">
        <v>79</v>
      </c>
      <c r="E27" s="3"/>
      <c r="F27" s="381">
        <f>+Gastos!I67</f>
        <v>146543.99</v>
      </c>
      <c r="H27" s="402"/>
    </row>
    <row r="28" spans="2:11" ht="23.1" customHeight="1">
      <c r="B28" s="4"/>
      <c r="C28" s="3" t="s">
        <v>43</v>
      </c>
      <c r="D28" s="4" t="s">
        <v>80</v>
      </c>
      <c r="E28" s="3"/>
      <c r="F28" s="381">
        <f>+'Intereses Pagados - Loan'!I52</f>
        <v>0</v>
      </c>
      <c r="H28" s="402" t="str">
        <f>IF(AND(F10&lt;0,-F10*F32&gt;20000000),-F10*F32,"OK")</f>
        <v>OK</v>
      </c>
      <c r="I28" s="402" t="str">
        <f>IF(AND(F10&lt;0,-F10*F32&gt;20000000),"OJO - LIMITE DE DEDUCCION INTERESES ART.28 FXXXII","OK")</f>
        <v>OK</v>
      </c>
      <c r="J28" s="403"/>
      <c r="K28" s="403"/>
    </row>
    <row r="29" spans="2:11" ht="23.1" customHeight="1">
      <c r="B29" s="4"/>
      <c r="C29" s="225" t="s">
        <v>47</v>
      </c>
      <c r="D29" s="38" t="s">
        <v>46</v>
      </c>
      <c r="E29" s="7" t="s">
        <v>81</v>
      </c>
      <c r="F29" s="384">
        <f>SUM(F24:F28)</f>
        <v>146543.99</v>
      </c>
    </row>
    <row r="30" spans="2:11" ht="23.1" customHeight="1">
      <c r="B30" s="4"/>
      <c r="C30" s="3"/>
      <c r="D30" s="40"/>
      <c r="E30" s="3"/>
      <c r="F30" s="40"/>
    </row>
    <row r="31" spans="2:11" ht="23.1" customHeight="1">
      <c r="B31" s="4"/>
      <c r="C31" s="226" t="s">
        <v>47</v>
      </c>
      <c r="D31" s="41" t="str">
        <f>+IF(F31&lt;0,"(Pérdida) Fiscal en términos del Título II en USD  (A-B)","Utilidad Fiscal en términos del Título II en USD  (A-B)")</f>
        <v>(Pérdida) Fiscal en términos del Título II en USD  (A-B)</v>
      </c>
      <c r="E31" s="3"/>
      <c r="F31" s="41">
        <f>+F20-F29</f>
        <v>-65361.073558999997</v>
      </c>
    </row>
    <row r="32" spans="2:11" ht="23.1" customHeight="1">
      <c r="B32" s="4"/>
      <c r="C32" s="18" t="s">
        <v>49</v>
      </c>
      <c r="D32" s="4" t="s">
        <v>50</v>
      </c>
      <c r="E32" s="3"/>
      <c r="F32" s="42">
        <f>TC!N37</f>
        <v>19.361499999999999</v>
      </c>
    </row>
    <row r="33" spans="2:9" ht="23.1" customHeight="1">
      <c r="B33" s="4"/>
      <c r="C33" s="3" t="s">
        <v>47</v>
      </c>
      <c r="D33" s="39" t="str">
        <f>+IF(F33&lt;0,"(Pérdida) Fiscal en términos del Título II en MXN","Utilidad Fiscal en términos del Título II en MXN")</f>
        <v>(Pérdida) Fiscal en términos del Título II en MXN</v>
      </c>
      <c r="E33" s="3"/>
      <c r="F33" s="381">
        <f>+F31*F32</f>
        <v>-1265488.4257125785</v>
      </c>
    </row>
    <row r="34" spans="2:9" ht="23.1" customHeight="1">
      <c r="B34" s="4"/>
      <c r="C34" s="18" t="s">
        <v>45</v>
      </c>
      <c r="D34" s="43" t="s">
        <v>52</v>
      </c>
      <c r="E34" s="3"/>
      <c r="F34" s="383">
        <f>IF(F33&lt;=0,0,IF('Pérdidas o Acreditamientos'!H81=0,0,IF(F33&lt;'Pérdidas o Acreditamientos'!H81,F33,'Pérdidas o Acreditamientos'!H81)))</f>
        <v>0</v>
      </c>
      <c r="H34" s="29" t="s">
        <v>66</v>
      </c>
    </row>
    <row r="35" spans="2:9" ht="23.1" customHeight="1">
      <c r="B35" s="4"/>
      <c r="C35" s="3" t="s">
        <v>47</v>
      </c>
      <c r="D35" s="4" t="str">
        <f>+IF(F35&lt;0,"(Pérdida) Fiscal en MXN","Resultado Fiscal en MXN")</f>
        <v>(Pérdida) Fiscal en MXN</v>
      </c>
      <c r="E35" s="3"/>
      <c r="F35" s="381">
        <f>+F33-F34</f>
        <v>-1265488.4257125785</v>
      </c>
      <c r="H35" s="2" t="s">
        <v>82</v>
      </c>
    </row>
    <row r="36" spans="2:9" ht="23.1" customHeight="1">
      <c r="B36" s="4"/>
      <c r="C36" s="3" t="s">
        <v>49</v>
      </c>
      <c r="D36" s="4" t="s">
        <v>53</v>
      </c>
      <c r="E36" s="3"/>
      <c r="F36" s="45">
        <v>0.35</v>
      </c>
    </row>
    <row r="37" spans="2:9" ht="23.1" customHeight="1">
      <c r="B37" s="4"/>
      <c r="C37" s="227" t="s">
        <v>47</v>
      </c>
      <c r="D37" s="44" t="s">
        <v>54</v>
      </c>
      <c r="E37" s="7" t="s">
        <v>83</v>
      </c>
      <c r="F37" s="406">
        <f>IF(F35&lt;0,0,F35*F36)</f>
        <v>0</v>
      </c>
    </row>
    <row r="38" spans="2:9" ht="23.1" customHeight="1">
      <c r="B38" s="4"/>
      <c r="C38" s="3"/>
      <c r="D38" s="4"/>
      <c r="E38" s="3"/>
      <c r="F38" s="39"/>
    </row>
    <row r="39" spans="2:9" ht="23.1" customHeight="1">
      <c r="B39" s="4"/>
      <c r="C39" s="3" t="s">
        <v>43</v>
      </c>
      <c r="D39" s="4" t="s">
        <v>84</v>
      </c>
      <c r="E39" s="3"/>
      <c r="F39" s="381">
        <f>+'Div Extranjero - Retención'!H27</f>
        <v>0</v>
      </c>
    </row>
    <row r="40" spans="2:9" ht="23.1" customHeight="1">
      <c r="B40" s="4"/>
      <c r="C40" s="3" t="s">
        <v>43</v>
      </c>
      <c r="D40" s="4" t="s">
        <v>85</v>
      </c>
      <c r="E40" s="3"/>
      <c r="F40" s="381">
        <f>+'Retenciones - Otros'!I27</f>
        <v>44.58</v>
      </c>
    </row>
    <row r="41" spans="2:9" ht="23.1" customHeight="1">
      <c r="B41" s="4"/>
      <c r="C41" s="18" t="s">
        <v>43</v>
      </c>
      <c r="D41" s="4" t="s">
        <v>86</v>
      </c>
      <c r="E41" s="3"/>
      <c r="F41" s="383">
        <f>'Dividendos Nacionales'!L27</f>
        <v>0</v>
      </c>
    </row>
    <row r="42" spans="2:9" ht="23.1" customHeight="1">
      <c r="B42" s="4"/>
      <c r="C42" s="3" t="s">
        <v>47</v>
      </c>
      <c r="D42" s="39" t="s">
        <v>87</v>
      </c>
      <c r="E42" s="3"/>
      <c r="F42" s="381">
        <f>SUM(F39:F41)</f>
        <v>44.58</v>
      </c>
    </row>
    <row r="43" spans="2:9" ht="23.1" customHeight="1">
      <c r="B43" s="4"/>
      <c r="C43" s="18" t="s">
        <v>49</v>
      </c>
      <c r="D43" s="43" t="s">
        <v>50</v>
      </c>
      <c r="E43" s="3"/>
      <c r="F43" s="46">
        <f>+F32</f>
        <v>19.361499999999999</v>
      </c>
    </row>
    <row r="44" spans="2:9" ht="23.1" customHeight="1">
      <c r="B44" s="4"/>
      <c r="C44" s="36" t="s">
        <v>47</v>
      </c>
      <c r="D44" s="36" t="s">
        <v>88</v>
      </c>
      <c r="E44" s="7" t="s">
        <v>89</v>
      </c>
      <c r="F44" s="47">
        <f>+F42*F43</f>
        <v>863.13566999999989</v>
      </c>
    </row>
    <row r="45" spans="2:9" ht="23.1" customHeight="1">
      <c r="B45" s="4"/>
      <c r="C45" s="3"/>
      <c r="D45" s="4"/>
      <c r="E45" s="3"/>
      <c r="F45" s="4"/>
    </row>
    <row r="46" spans="2:9" ht="23.1" customHeight="1">
      <c r="B46" s="4"/>
      <c r="C46" s="37" t="s">
        <v>55</v>
      </c>
      <c r="D46" s="37" t="s">
        <v>90</v>
      </c>
      <c r="E46" s="7" t="s">
        <v>91</v>
      </c>
      <c r="F46" s="36">
        <f>IF(F37=0,0,'Pérdidas o Acreditamientos'!H177)</f>
        <v>0</v>
      </c>
      <c r="H46" s="29" t="s">
        <v>66</v>
      </c>
      <c r="I46" s="30"/>
    </row>
    <row r="47" spans="2:9" ht="23.1" customHeight="1">
      <c r="B47" s="4"/>
      <c r="C47" s="3"/>
      <c r="D47" s="4"/>
      <c r="E47" s="3"/>
      <c r="F47" s="4"/>
    </row>
    <row r="48" spans="2:9" ht="23.1" customHeight="1">
      <c r="B48" s="26"/>
      <c r="C48" s="3"/>
      <c r="D48" s="49" t="str">
        <f>+IF(F48&lt;0,"ISR acreditable del ejercicio (C) - (D) - (E )","ISR a cargo del ejercicio (C) - (D) - (E )")</f>
        <v>ISR acreditable del ejercicio (C) - (D) - (E )</v>
      </c>
      <c r="E48" s="3"/>
      <c r="F48" s="48">
        <f>+F37-F44-F46</f>
        <v>-863.13566999999989</v>
      </c>
    </row>
    <row r="49" spans="2:6" ht="23.1" customHeight="1">
      <c r="B49" s="31"/>
      <c r="D49" s="33"/>
      <c r="F49" s="34"/>
    </row>
    <row r="52" spans="2:6" ht="23.1" customHeight="1">
      <c r="B52" s="35" t="s">
        <v>92</v>
      </c>
    </row>
    <row r="54" spans="2:6" ht="23.1" customHeight="1">
      <c r="B54" s="2" t="s">
        <v>93</v>
      </c>
    </row>
    <row r="55" spans="2:6" ht="23.1" customHeight="1">
      <c r="B55" s="2" t="s">
        <v>94</v>
      </c>
    </row>
    <row r="56" spans="2:6" ht="23.1" customHeight="1">
      <c r="B56" s="2" t="s">
        <v>95</v>
      </c>
    </row>
    <row r="57" spans="2:6" ht="23.1" customHeight="1">
      <c r="B57" s="2" t="s">
        <v>96</v>
      </c>
    </row>
    <row r="58" spans="2:6" ht="23.1" customHeight="1">
      <c r="B58" s="2" t="s">
        <v>97</v>
      </c>
    </row>
  </sheetData>
  <sheetProtection algorithmName="SHA-512" hashValue="hzfW4L56hnN8uwOOxTda+YdUMsmaoqwcFjUdJ/QQccICq57bZsqHfyrA7EYQLcxKSCjbwrKCIsGPF5iPee0mmA==" saltValue="cYR54N9+D5+I5b/FIkikfQ==" spinCount="100000" sheet="1" formatRows="0" deleteRows="0"/>
  <mergeCells count="3">
    <mergeCell ref="B2:F2"/>
    <mergeCell ref="B3:F3"/>
    <mergeCell ref="B4:F4"/>
  </mergeCells>
  <phoneticPr fontId="9" type="noConversion"/>
  <printOptions horizontalCentered="1" verticalCentered="1"/>
  <pageMargins left="0.70866141732283505" right="0.70866141732283505" top="0.74803149606299202" bottom="0.74803149606299202" header="0.31496062992126" footer="0.31496062992126"/>
  <pageSetup scale="7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Q136"/>
  <sheetViews>
    <sheetView view="pageBreakPreview" topLeftCell="D1" zoomScaleNormal="100" zoomScaleSheetLayoutView="100" workbookViewId="0">
      <pane ySplit="6" topLeftCell="A66" activePane="bottomLeft" state="frozen"/>
      <selection pane="bottomLeft" activeCell="H31" sqref="H31:I31"/>
      <selection activeCell="F34" sqref="F34"/>
    </sheetView>
  </sheetViews>
  <sheetFormatPr defaultColWidth="10.6640625" defaultRowHeight="23.1" customHeight="1"/>
  <cols>
    <col min="1" max="1" width="10.6640625" style="13"/>
    <col min="2" max="2" width="17.33203125" style="13" customWidth="1"/>
    <col min="3" max="3" width="15.109375" style="13" customWidth="1"/>
    <col min="4" max="4" width="22.5546875" style="13" customWidth="1"/>
    <col min="5" max="5" width="52.44140625" style="13" customWidth="1"/>
    <col min="6" max="6" width="15" style="13" customWidth="1"/>
    <col min="7" max="7" width="18.5546875" style="13" customWidth="1"/>
    <col min="8" max="8" width="15" style="12" customWidth="1"/>
    <col min="9" max="9" width="19.109375" style="12" customWidth="1"/>
    <col min="10" max="16" width="10.6640625" style="13"/>
    <col min="17" max="17" width="20.5546875" style="13" customWidth="1"/>
    <col min="18" max="16384" width="10.6640625" style="13"/>
  </cols>
  <sheetData>
    <row r="2" spans="1:17" s="90" customFormat="1" ht="23.1" customHeight="1">
      <c r="A2" s="89"/>
      <c r="B2" s="204" t="s">
        <v>98</v>
      </c>
      <c r="C2" s="204"/>
      <c r="D2" s="204"/>
      <c r="E2" s="204"/>
      <c r="F2" s="204"/>
      <c r="G2" s="204"/>
      <c r="H2" s="204"/>
      <c r="I2" s="204"/>
      <c r="Q2" s="53" t="s">
        <v>99</v>
      </c>
    </row>
    <row r="3" spans="1:17" ht="23.1" customHeight="1">
      <c r="A3" s="12"/>
      <c r="B3" s="206" t="s">
        <v>100</v>
      </c>
      <c r="C3" s="206"/>
      <c r="D3" s="206"/>
      <c r="E3" s="206"/>
      <c r="F3" s="206"/>
      <c r="G3" s="206"/>
      <c r="H3" s="206"/>
      <c r="I3" s="206"/>
      <c r="Q3" s="53" t="s">
        <v>101</v>
      </c>
    </row>
    <row r="4" spans="1:17" s="78" customFormat="1" ht="14.1" customHeight="1">
      <c r="B4" s="79" t="s">
        <v>41</v>
      </c>
      <c r="C4" s="79" t="s">
        <v>42</v>
      </c>
      <c r="D4" s="79"/>
      <c r="E4" s="80"/>
      <c r="F4" s="79"/>
      <c r="G4" s="81"/>
      <c r="H4" s="81"/>
      <c r="I4" s="81"/>
      <c r="Q4" s="287" t="s">
        <v>102</v>
      </c>
    </row>
    <row r="5" spans="1:17" s="78" customFormat="1" ht="23.1" customHeight="1">
      <c r="B5" s="141"/>
      <c r="C5" s="141"/>
      <c r="D5" s="141"/>
      <c r="E5" s="142"/>
      <c r="F5" s="141"/>
      <c r="G5" s="200"/>
      <c r="H5" s="200"/>
      <c r="I5" s="200"/>
      <c r="Q5" s="287"/>
    </row>
    <row r="6" spans="1:17" s="63" customFormat="1" ht="45.95" customHeight="1">
      <c r="A6" s="61" t="s">
        <v>92</v>
      </c>
      <c r="B6" s="62" t="s">
        <v>103</v>
      </c>
      <c r="C6" s="62" t="s">
        <v>29</v>
      </c>
      <c r="D6" s="62" t="s">
        <v>104</v>
      </c>
      <c r="E6" s="62" t="s">
        <v>105</v>
      </c>
      <c r="F6" s="62" t="s">
        <v>106</v>
      </c>
      <c r="G6" s="62" t="s">
        <v>107</v>
      </c>
      <c r="H6" s="62" t="s">
        <v>108</v>
      </c>
      <c r="I6" s="62" t="s">
        <v>109</v>
      </c>
      <c r="Q6" s="287"/>
    </row>
    <row r="7" spans="1:17" ht="23.1" customHeight="1">
      <c r="B7" s="201"/>
      <c r="C7" s="202"/>
      <c r="D7" s="202"/>
      <c r="E7" s="202"/>
      <c r="F7" s="202"/>
      <c r="G7" s="202"/>
      <c r="H7" s="392"/>
      <c r="I7" s="201"/>
      <c r="Q7" s="53"/>
    </row>
    <row r="8" spans="1:17" ht="23.1" customHeight="1">
      <c r="B8" s="64">
        <v>1175000</v>
      </c>
      <c r="C8" s="65">
        <v>44592</v>
      </c>
      <c r="D8" s="64" t="s">
        <v>102</v>
      </c>
      <c r="E8" s="66" t="s">
        <v>110</v>
      </c>
      <c r="F8" s="64" t="s">
        <v>33</v>
      </c>
      <c r="G8" s="376">
        <v>1.74</v>
      </c>
      <c r="H8" s="393">
        <f>+IF(F8=0,0,IF(F8="MXN",1/HLOOKUP(YEAR(C8)+(MONTH(C8)/100),TC!$5:$37,DAY(C8)+2,FALSE),VLOOKUP(F8,Equivalencia!$1:$23,((MAX(Equivalencia!$3:$3)-YEAR(C8))*14)+MONTH(C8)+2,FALSE)))</f>
        <v>1</v>
      </c>
      <c r="I8" s="376">
        <f t="shared" ref="I8:I19" si="0">+G8*H8</f>
        <v>1.74</v>
      </c>
      <c r="Q8" s="53"/>
    </row>
    <row r="9" spans="1:17" ht="23.1" customHeight="1">
      <c r="B9" s="64">
        <v>1175000</v>
      </c>
      <c r="C9" s="65">
        <v>44620</v>
      </c>
      <c r="D9" s="64" t="s">
        <v>102</v>
      </c>
      <c r="E9" s="66" t="s">
        <v>110</v>
      </c>
      <c r="F9" s="64" t="s">
        <v>33</v>
      </c>
      <c r="G9" s="376">
        <v>1.36</v>
      </c>
      <c r="H9" s="393">
        <f>+IF(F9=0,0,IF(F9="MXN",1/HLOOKUP(YEAR(C9)+(MONTH(C9)/100),TC!$5:$37,DAY(C9)+2,FALSE),VLOOKUP(F9,Equivalencia!$1:$23,((MAX(Equivalencia!$3:$3)-YEAR(C9))*14)+MONTH(C9)+2,FALSE)))</f>
        <v>1</v>
      </c>
      <c r="I9" s="376">
        <f t="shared" si="0"/>
        <v>1.36</v>
      </c>
      <c r="Q9" s="53"/>
    </row>
    <row r="10" spans="1:17" ht="23.1" customHeight="1">
      <c r="B10" s="64">
        <v>1175000</v>
      </c>
      <c r="C10" s="65">
        <v>44651</v>
      </c>
      <c r="D10" s="64" t="s">
        <v>102</v>
      </c>
      <c r="E10" s="66" t="s">
        <v>110</v>
      </c>
      <c r="F10" s="64" t="s">
        <v>33</v>
      </c>
      <c r="G10" s="376">
        <v>2.11</v>
      </c>
      <c r="H10" s="393">
        <f>+IF(F10=0,0,IF(F10="MXN",1/HLOOKUP(YEAR(C10)+(MONTH(C10)/100),TC!$5:$37,DAY(C10)+2,FALSE),VLOOKUP(F10,Equivalencia!$1:$23,((MAX(Equivalencia!$3:$3)-YEAR(C10))*14)+MONTH(C10)+2,FALSE)))</f>
        <v>1</v>
      </c>
      <c r="I10" s="376">
        <f t="shared" si="0"/>
        <v>2.11</v>
      </c>
      <c r="Q10" s="53"/>
    </row>
    <row r="11" spans="1:17" ht="23.1" customHeight="1">
      <c r="B11" s="64">
        <v>1175000</v>
      </c>
      <c r="C11" s="65">
        <v>44680</v>
      </c>
      <c r="D11" s="64" t="s">
        <v>102</v>
      </c>
      <c r="E11" s="66" t="s">
        <v>110</v>
      </c>
      <c r="F11" s="64" t="s">
        <v>33</v>
      </c>
      <c r="G11" s="376">
        <v>12.45</v>
      </c>
      <c r="H11" s="393">
        <f>+IF(F11=0,0,IF(F11="MXN",1/HLOOKUP(YEAR(C11)+(MONTH(C11)/100),TC!$5:$37,DAY(C11)+2,FALSE),VLOOKUP(F11,Equivalencia!$1:$23,((MAX(Equivalencia!$3:$3)-YEAR(C11))*14)+MONTH(C11)+2,FALSE)))</f>
        <v>1</v>
      </c>
      <c r="I11" s="376">
        <f t="shared" si="0"/>
        <v>12.45</v>
      </c>
      <c r="Q11" s="53"/>
    </row>
    <row r="12" spans="1:17" ht="23.1" customHeight="1">
      <c r="B12" s="64">
        <v>1175000</v>
      </c>
      <c r="C12" s="65">
        <v>44712</v>
      </c>
      <c r="D12" s="64" t="s">
        <v>102</v>
      </c>
      <c r="E12" s="66" t="s">
        <v>110</v>
      </c>
      <c r="F12" s="64" t="s">
        <v>33</v>
      </c>
      <c r="G12" s="376">
        <v>32.03</v>
      </c>
      <c r="H12" s="393">
        <f>+IF(F12=0,0,IF(F12="MXN",1/HLOOKUP(YEAR(C12)+(MONTH(C12)/100),TC!$5:$37,DAY(C12)+2,FALSE),VLOOKUP(F12,Equivalencia!$1:$23,((MAX(Equivalencia!$3:$3)-YEAR(C12))*14)+MONTH(C12)+2,FALSE)))</f>
        <v>1</v>
      </c>
      <c r="I12" s="376">
        <f t="shared" si="0"/>
        <v>32.03</v>
      </c>
      <c r="Q12" s="53"/>
    </row>
    <row r="13" spans="1:17" ht="23.1" customHeight="1">
      <c r="B13" s="64">
        <v>1175000</v>
      </c>
      <c r="C13" s="65">
        <v>44742</v>
      </c>
      <c r="D13" s="64" t="s">
        <v>102</v>
      </c>
      <c r="E13" s="66" t="s">
        <v>110</v>
      </c>
      <c r="F13" s="64" t="s">
        <v>33</v>
      </c>
      <c r="G13" s="376">
        <v>22.99</v>
      </c>
      <c r="H13" s="393">
        <f>+IF(F13=0,0,IF(F13="MXN",1/HLOOKUP(YEAR(C13)+(MONTH(C13)/100),TC!$5:$37,DAY(C13)+2,FALSE),VLOOKUP(F13,Equivalencia!$1:$23,((MAX(Equivalencia!$3:$3)-YEAR(C13))*14)+MONTH(C13)+2,FALSE)))</f>
        <v>1</v>
      </c>
      <c r="I13" s="376">
        <f t="shared" si="0"/>
        <v>22.99</v>
      </c>
      <c r="Q13" s="53"/>
    </row>
    <row r="14" spans="1:17" ht="23.1" customHeight="1">
      <c r="B14" s="64">
        <v>1175000</v>
      </c>
      <c r="C14" s="65">
        <v>44771</v>
      </c>
      <c r="D14" s="64" t="s">
        <v>102</v>
      </c>
      <c r="E14" s="66" t="s">
        <v>110</v>
      </c>
      <c r="F14" s="64" t="s">
        <v>33</v>
      </c>
      <c r="G14" s="376">
        <v>32.89</v>
      </c>
      <c r="H14" s="393">
        <f>+IF(F14=0,0,IF(F14="MXN",1/HLOOKUP(YEAR(C14)+(MONTH(C14)/100),TC!$5:$37,DAY(C14)+2,FALSE),VLOOKUP(F14,Equivalencia!$1:$23,((MAX(Equivalencia!$3:$3)-YEAR(C14))*14)+MONTH(C14)+2,FALSE)))</f>
        <v>1</v>
      </c>
      <c r="I14" s="376">
        <f t="shared" si="0"/>
        <v>32.89</v>
      </c>
      <c r="Q14" s="53"/>
    </row>
    <row r="15" spans="1:17" ht="23.1" customHeight="1">
      <c r="B15" s="64">
        <v>1175000</v>
      </c>
      <c r="C15" s="65">
        <v>44804</v>
      </c>
      <c r="D15" s="64" t="s">
        <v>102</v>
      </c>
      <c r="E15" s="66" t="s">
        <v>110</v>
      </c>
      <c r="F15" s="64" t="s">
        <v>33</v>
      </c>
      <c r="G15" s="376">
        <v>40.909999999999997</v>
      </c>
      <c r="H15" s="393">
        <f>+IF(F15=0,0,IF(F15="MXN",1/HLOOKUP(YEAR(C15)+(MONTH(C15)/100),TC!$5:$37,DAY(C15)+2,FALSE),VLOOKUP(F15,Equivalencia!$1:$23,((MAX(Equivalencia!$3:$3)-YEAR(C15))*14)+MONTH(C15)+2,FALSE)))</f>
        <v>1</v>
      </c>
      <c r="I15" s="376">
        <f t="shared" si="0"/>
        <v>40.909999999999997</v>
      </c>
      <c r="Q15" s="53"/>
    </row>
    <row r="16" spans="1:17" ht="23.1" customHeight="1">
      <c r="B16" s="64">
        <v>1175000</v>
      </c>
      <c r="C16" s="65">
        <v>44834</v>
      </c>
      <c r="D16" s="64" t="s">
        <v>102</v>
      </c>
      <c r="E16" s="66" t="s">
        <v>110</v>
      </c>
      <c r="F16" s="64" t="s">
        <v>33</v>
      </c>
      <c r="G16" s="376">
        <v>38.28</v>
      </c>
      <c r="H16" s="393">
        <f>+IF(F16=0,0,IF(F16="MXN",1/HLOOKUP(YEAR(C16)+(MONTH(C16)/100),TC!$5:$37,DAY(C16)+2,FALSE),VLOOKUP(F16,Equivalencia!$1:$23,((MAX(Equivalencia!$3:$3)-YEAR(C16))*14)+MONTH(C16)+2,FALSE)))</f>
        <v>1</v>
      </c>
      <c r="I16" s="376">
        <f t="shared" si="0"/>
        <v>38.28</v>
      </c>
      <c r="Q16" s="53"/>
    </row>
    <row r="17" spans="2:17" ht="23.1" customHeight="1">
      <c r="B17" s="64">
        <v>1175000</v>
      </c>
      <c r="C17" s="65">
        <v>44865</v>
      </c>
      <c r="D17" s="64" t="s">
        <v>102</v>
      </c>
      <c r="E17" s="66" t="s">
        <v>111</v>
      </c>
      <c r="F17" s="64" t="s">
        <v>33</v>
      </c>
      <c r="G17" s="376">
        <v>0.23</v>
      </c>
      <c r="H17" s="393">
        <f>+IF(F17=0,0,IF(F17="MXN",1/HLOOKUP(YEAR(C17)+(MONTH(C17)/100),TC!$5:$37,DAY(C17)+2,FALSE),VLOOKUP(F17,Equivalencia!$1:$23,((MAX(Equivalencia!$3:$3)-YEAR(C17))*14)+MONTH(C17)+2,FALSE)))</f>
        <v>1</v>
      </c>
      <c r="I17" s="376">
        <f t="shared" si="0"/>
        <v>0.23</v>
      </c>
      <c r="Q17" s="53"/>
    </row>
    <row r="18" spans="2:17" ht="23.1" customHeight="1">
      <c r="B18" s="64">
        <v>1175000</v>
      </c>
      <c r="C18" s="65">
        <v>44865</v>
      </c>
      <c r="D18" s="64" t="s">
        <v>102</v>
      </c>
      <c r="E18" s="66" t="s">
        <v>110</v>
      </c>
      <c r="F18" s="64" t="s">
        <v>33</v>
      </c>
      <c r="G18" s="376">
        <v>281.77999999999997</v>
      </c>
      <c r="H18" s="393">
        <f>+IF(F18=0,0,IF(F18="MXN",1/HLOOKUP(YEAR(C18)+(MONTH(C18)/100),TC!$5:$37,DAY(C18)+2,FALSE),VLOOKUP(F18,Equivalencia!$1:$23,((MAX(Equivalencia!$3:$3)-YEAR(C18))*14)+MONTH(C18)+2,FALSE)))</f>
        <v>1</v>
      </c>
      <c r="I18" s="376">
        <f t="shared" si="0"/>
        <v>281.77999999999997</v>
      </c>
      <c r="Q18" s="53"/>
    </row>
    <row r="19" spans="2:17" ht="23.1" customHeight="1">
      <c r="B19" s="64">
        <v>1175000</v>
      </c>
      <c r="C19" s="65">
        <v>44895</v>
      </c>
      <c r="D19" s="64" t="s">
        <v>102</v>
      </c>
      <c r="E19" s="66" t="s">
        <v>110</v>
      </c>
      <c r="F19" s="64" t="s">
        <v>33</v>
      </c>
      <c r="G19" s="376">
        <v>92.38</v>
      </c>
      <c r="H19" s="393">
        <f>+IF(F19=0,0,IF(F19="MXN",1/HLOOKUP(YEAR(C19)+(MONTH(C19)/100),TC!$5:$37,DAY(C19)+2,FALSE),VLOOKUP(F19,Equivalencia!$1:$23,((MAX(Equivalencia!$3:$3)-YEAR(C19))*14)+MONTH(C19)+2,FALSE)))</f>
        <v>1</v>
      </c>
      <c r="I19" s="376">
        <f t="shared" si="0"/>
        <v>92.38</v>
      </c>
      <c r="Q19" s="53"/>
    </row>
    <row r="20" spans="2:17" ht="23.1" customHeight="1">
      <c r="B20" s="64">
        <v>1175000</v>
      </c>
      <c r="C20" s="65">
        <v>44925</v>
      </c>
      <c r="D20" s="64" t="s">
        <v>102</v>
      </c>
      <c r="E20" s="66" t="s">
        <v>110</v>
      </c>
      <c r="F20" s="64" t="s">
        <v>33</v>
      </c>
      <c r="G20" s="376">
        <v>107.56</v>
      </c>
      <c r="H20" s="393">
        <f>+IF(F20=0,0,IF(F20="MXN",1/HLOOKUP(YEAR(C20)+(MONTH(C20)/100),TC!$5:$37,DAY(C20)+2,FALSE),VLOOKUP(F20,Equivalencia!$1:$23,((MAX(Equivalencia!$3:$3)-YEAR(C20))*14)+MONTH(C20)+2,FALSE)))</f>
        <v>1</v>
      </c>
      <c r="I20" s="376">
        <f t="shared" ref="I20" si="1">+G20*H20</f>
        <v>107.56</v>
      </c>
      <c r="Q20" s="53"/>
    </row>
    <row r="21" spans="2:17" ht="23.1" customHeight="1">
      <c r="B21" s="64">
        <v>1179000</v>
      </c>
      <c r="C21" s="65">
        <v>44592</v>
      </c>
      <c r="D21" s="64" t="s">
        <v>102</v>
      </c>
      <c r="E21" s="66" t="s">
        <v>111</v>
      </c>
      <c r="F21" s="64" t="s">
        <v>33</v>
      </c>
      <c r="G21" s="376">
        <v>0.28000000000000003</v>
      </c>
      <c r="H21" s="393">
        <f>+IF(F21=0,0,IF(F21="MXN",1/HLOOKUP(YEAR(C21)+(MONTH(C21)/100),TC!$5:$37,DAY(C21)+2,FALSE),VLOOKUP(F21,Equivalencia!$1:$23,((MAX(Equivalencia!$3:$3)-YEAR(C21))*14)+MONTH(C21)+2,FALSE)))</f>
        <v>1</v>
      </c>
      <c r="I21" s="376">
        <f t="shared" ref="I21:I22" si="2">+G21*H21</f>
        <v>0.28000000000000003</v>
      </c>
      <c r="Q21" s="54"/>
    </row>
    <row r="22" spans="2:17" ht="23.1" customHeight="1">
      <c r="B22" s="64">
        <v>1179000</v>
      </c>
      <c r="C22" s="65">
        <v>44592</v>
      </c>
      <c r="D22" s="64" t="s">
        <v>102</v>
      </c>
      <c r="E22" s="66" t="s">
        <v>110</v>
      </c>
      <c r="F22" s="64" t="s">
        <v>33</v>
      </c>
      <c r="G22" s="376">
        <v>19.11</v>
      </c>
      <c r="H22" s="393">
        <f>+IF(F22=0,0,IF(F22="MXN",1/HLOOKUP(YEAR(C22)+(MONTH(C22)/100),TC!$5:$37,DAY(C22)+2,FALSE),VLOOKUP(F22,Equivalencia!$1:$23,((MAX(Equivalencia!$3:$3)-YEAR(C22))*14)+MONTH(C22)+2,FALSE)))</f>
        <v>1</v>
      </c>
      <c r="I22" s="376">
        <f t="shared" si="2"/>
        <v>19.11</v>
      </c>
      <c r="Q22" s="54"/>
    </row>
    <row r="23" spans="2:17" ht="23.1" customHeight="1">
      <c r="B23" s="64">
        <v>1179000</v>
      </c>
      <c r="C23" s="65">
        <v>44620</v>
      </c>
      <c r="D23" s="64" t="s">
        <v>102</v>
      </c>
      <c r="E23" s="66" t="s">
        <v>110</v>
      </c>
      <c r="F23" s="64" t="s">
        <v>112</v>
      </c>
      <c r="G23" s="376">
        <v>0.43</v>
      </c>
      <c r="H23" s="393">
        <f>+IF(F23=0,0,IF(F23="MXN",1/HLOOKUP(YEAR(C23)+(MONTH(C23)/100),TC!$5:$37,DAY(C23)+2,FALSE),VLOOKUP(F23,Equivalencia!$1:$23,((MAX(Equivalencia!$3:$3)-YEAR(C23))*14)+MONTH(C23)+2,FALSE)))</f>
        <v>0.78849999999999998</v>
      </c>
      <c r="I23" s="376">
        <f t="shared" ref="I23" si="3">+G23*H23</f>
        <v>0.339055</v>
      </c>
      <c r="Q23" s="54"/>
    </row>
    <row r="24" spans="2:17" ht="23.1" customHeight="1">
      <c r="B24" s="64">
        <v>1179000</v>
      </c>
      <c r="C24" s="65">
        <v>44620</v>
      </c>
      <c r="D24" s="64" t="s">
        <v>102</v>
      </c>
      <c r="E24" s="66" t="s">
        <v>110</v>
      </c>
      <c r="F24" s="64" t="s">
        <v>33</v>
      </c>
      <c r="G24" s="376">
        <v>9.24</v>
      </c>
      <c r="H24" s="393">
        <f>+IF(F24=0,0,IF(F24="MXN",1/HLOOKUP(YEAR(C24)+(MONTH(C24)/100),TC!$5:$37,DAY(C24)+2,FALSE),VLOOKUP(F24,Equivalencia!$1:$23,((MAX(Equivalencia!$3:$3)-YEAR(C24))*14)+MONTH(C24)+2,FALSE)))</f>
        <v>1</v>
      </c>
      <c r="I24" s="376">
        <f t="shared" ref="I24:I25" si="4">+G24*H24</f>
        <v>9.24</v>
      </c>
      <c r="Q24" s="54"/>
    </row>
    <row r="25" spans="2:17" ht="23.1" customHeight="1">
      <c r="B25" s="64">
        <v>1179000</v>
      </c>
      <c r="C25" s="65">
        <v>44651</v>
      </c>
      <c r="D25" s="64" t="s">
        <v>102</v>
      </c>
      <c r="E25" s="66" t="s">
        <v>111</v>
      </c>
      <c r="F25" s="64" t="s">
        <v>33</v>
      </c>
      <c r="G25" s="376">
        <v>0.27</v>
      </c>
      <c r="H25" s="393">
        <f>+IF(F25=0,0,IF(F25="MXN",1/HLOOKUP(YEAR(C25)+(MONTH(C25)/100),TC!$5:$37,DAY(C25)+2,FALSE),VLOOKUP(F25,Equivalencia!$1:$23,((MAX(Equivalencia!$3:$3)-YEAR(C25))*14)+MONTH(C25)+2,FALSE)))</f>
        <v>1</v>
      </c>
      <c r="I25" s="376">
        <f t="shared" si="4"/>
        <v>0.27</v>
      </c>
      <c r="Q25" s="54"/>
    </row>
    <row r="26" spans="2:17" ht="23.1" customHeight="1">
      <c r="B26" s="64">
        <v>1179000</v>
      </c>
      <c r="C26" s="65">
        <v>44651</v>
      </c>
      <c r="D26" s="64" t="s">
        <v>102</v>
      </c>
      <c r="E26" s="66" t="s">
        <v>110</v>
      </c>
      <c r="F26" s="64" t="s">
        <v>33</v>
      </c>
      <c r="G26" s="376">
        <v>7.61</v>
      </c>
      <c r="H26" s="393">
        <f>+IF(F26=0,0,IF(F26="MXN",1/HLOOKUP(YEAR(C26)+(MONTH(C26)/100),TC!$5:$37,DAY(C26)+2,FALSE),VLOOKUP(F26,Equivalencia!$1:$23,((MAX(Equivalencia!$3:$3)-YEAR(C26))*14)+MONTH(C26)+2,FALSE)))</f>
        <v>1</v>
      </c>
      <c r="I26" s="376">
        <f t="shared" ref="I26:I27" si="5">+G26*H26</f>
        <v>7.61</v>
      </c>
      <c r="Q26" s="54"/>
    </row>
    <row r="27" spans="2:17" ht="23.1" customHeight="1">
      <c r="B27" s="64">
        <v>1179000</v>
      </c>
      <c r="C27" s="65">
        <v>44680</v>
      </c>
      <c r="D27" s="64" t="s">
        <v>102</v>
      </c>
      <c r="E27" s="66" t="s">
        <v>111</v>
      </c>
      <c r="F27" s="64" t="s">
        <v>33</v>
      </c>
      <c r="G27" s="376">
        <v>2.95</v>
      </c>
      <c r="H27" s="393">
        <f>+IF(F27=0,0,IF(F27="MXN",1/HLOOKUP(YEAR(C27)+(MONTH(C27)/100),TC!$5:$37,DAY(C27)+2,FALSE),VLOOKUP(F27,Equivalencia!$1:$23,((MAX(Equivalencia!$3:$3)-YEAR(C27))*14)+MONTH(C27)+2,FALSE)))</f>
        <v>1</v>
      </c>
      <c r="I27" s="376">
        <f t="shared" si="5"/>
        <v>2.95</v>
      </c>
      <c r="Q27" s="54"/>
    </row>
    <row r="28" spans="2:17" ht="23.1" customHeight="1">
      <c r="B28" s="64">
        <v>1179000</v>
      </c>
      <c r="C28" s="65">
        <v>44681</v>
      </c>
      <c r="D28" s="64" t="s">
        <v>102</v>
      </c>
      <c r="E28" s="66" t="s">
        <v>110</v>
      </c>
      <c r="F28" s="64" t="s">
        <v>33</v>
      </c>
      <c r="G28" s="376">
        <v>30.74</v>
      </c>
      <c r="H28" s="393">
        <f>+IF(F28=0,0,IF(F28="MXN",1/HLOOKUP(YEAR(C28)+(MONTH(C28)/100),TC!$5:$37,DAY(C28)+2,FALSE),VLOOKUP(F28,Equivalencia!$1:$23,((MAX(Equivalencia!$3:$3)-YEAR(C28))*14)+MONTH(C28)+2,FALSE)))</f>
        <v>1</v>
      </c>
      <c r="I28" s="376">
        <f t="shared" ref="I28:I29" si="6">+G28*H28</f>
        <v>30.74</v>
      </c>
      <c r="Q28" s="54"/>
    </row>
    <row r="29" spans="2:17" ht="23.1" customHeight="1">
      <c r="B29" s="64">
        <v>1179000</v>
      </c>
      <c r="C29" s="65">
        <v>44712</v>
      </c>
      <c r="D29" s="64" t="s">
        <v>102</v>
      </c>
      <c r="E29" s="66" t="s">
        <v>111</v>
      </c>
      <c r="F29" s="64" t="s">
        <v>33</v>
      </c>
      <c r="G29" s="376">
        <v>1.86</v>
      </c>
      <c r="H29" s="393">
        <f>+IF(F29=0,0,IF(F29="MXN",1/HLOOKUP(YEAR(C29)+(MONTH(C29)/100),TC!$5:$37,DAY(C29)+2,FALSE),VLOOKUP(F29,Equivalencia!$1:$23,((MAX(Equivalencia!$3:$3)-YEAR(C29))*14)+MONTH(C29)+2,FALSE)))</f>
        <v>1</v>
      </c>
      <c r="I29" s="376">
        <f t="shared" si="6"/>
        <v>1.86</v>
      </c>
      <c r="Q29" s="54"/>
    </row>
    <row r="30" spans="2:17" ht="23.1" customHeight="1">
      <c r="B30" s="64">
        <v>1179000</v>
      </c>
      <c r="C30" s="65">
        <v>44712</v>
      </c>
      <c r="D30" s="64" t="s">
        <v>102</v>
      </c>
      <c r="E30" s="66" t="s">
        <v>110</v>
      </c>
      <c r="F30" s="64" t="s">
        <v>33</v>
      </c>
      <c r="G30" s="376">
        <v>93.08</v>
      </c>
      <c r="H30" s="393">
        <f>+IF(F30=0,0,IF(F30="MXN",1/HLOOKUP(YEAR(C30)+(MONTH(C30)/100),TC!$5:$37,DAY(C30)+2,FALSE),VLOOKUP(F30,Equivalencia!$1:$23,((MAX(Equivalencia!$3:$3)-YEAR(C30))*14)+MONTH(C30)+2,FALSE)))</f>
        <v>1</v>
      </c>
      <c r="I30" s="376">
        <f t="shared" ref="I30:I32" si="7">+G30*H30</f>
        <v>93.08</v>
      </c>
      <c r="Q30" s="54"/>
    </row>
    <row r="31" spans="2:17" ht="23.1" customHeight="1">
      <c r="B31" s="64">
        <v>1179000</v>
      </c>
      <c r="C31" s="65">
        <v>44728</v>
      </c>
      <c r="D31" s="64" t="s">
        <v>102</v>
      </c>
      <c r="E31" s="66" t="s">
        <v>113</v>
      </c>
      <c r="F31" s="64" t="s">
        <v>33</v>
      </c>
      <c r="G31" s="376">
        <v>0.64</v>
      </c>
      <c r="H31" s="393">
        <f>+IF(F31=0,0,IF(F31="MXN",1/HLOOKUP(YEAR(C31)+(MONTH(C31)/100),TC!$5:$37,DAY(C31)+2,FALSE),VLOOKUP(F31,Equivalencia!$1:$23,((MAX(Equivalencia!$3:$3)-YEAR(C31))*14)+MONTH(C31)+2,FALSE)))</f>
        <v>1</v>
      </c>
      <c r="I31" s="376">
        <f t="shared" ref="I31" si="8">+G31*H31</f>
        <v>0.64</v>
      </c>
      <c r="Q31" s="54"/>
    </row>
    <row r="32" spans="2:17" ht="23.1" customHeight="1">
      <c r="B32" s="64">
        <v>1179000</v>
      </c>
      <c r="C32" s="65">
        <v>44742</v>
      </c>
      <c r="D32" s="64" t="s">
        <v>102</v>
      </c>
      <c r="E32" s="66" t="s">
        <v>111</v>
      </c>
      <c r="F32" s="64" t="s">
        <v>33</v>
      </c>
      <c r="G32" s="376">
        <v>17.559999999999999</v>
      </c>
      <c r="H32" s="393">
        <f>+IF(F32=0,0,IF(F32="MXN",1/HLOOKUP(YEAR(C32)+(MONTH(C32)/100),TC!$5:$37,DAY(C32)+2,FALSE),VLOOKUP(F32,Equivalencia!$1:$23,((MAX(Equivalencia!$3:$3)-YEAR(C32))*14)+MONTH(C32)+2,FALSE)))</f>
        <v>1</v>
      </c>
      <c r="I32" s="376">
        <f t="shared" si="7"/>
        <v>17.559999999999999</v>
      </c>
      <c r="Q32" s="54"/>
    </row>
    <row r="33" spans="2:17" ht="23.1" customHeight="1">
      <c r="B33" s="64">
        <v>1179000</v>
      </c>
      <c r="C33" s="65">
        <v>44742</v>
      </c>
      <c r="D33" s="64" t="s">
        <v>102</v>
      </c>
      <c r="E33" s="66" t="s">
        <v>110</v>
      </c>
      <c r="F33" s="64" t="s">
        <v>33</v>
      </c>
      <c r="G33" s="376">
        <v>99.06</v>
      </c>
      <c r="H33" s="393">
        <f>+IF(F33=0,0,IF(F33="MXN",1/HLOOKUP(YEAR(C33)+(MONTH(C33)/100),TC!$5:$37,DAY(C33)+2,FALSE),VLOOKUP(F33,Equivalencia!$1:$23,((MAX(Equivalencia!$3:$3)-YEAR(C33))*14)+MONTH(C33)+2,FALSE)))</f>
        <v>1</v>
      </c>
      <c r="I33" s="376">
        <f t="shared" ref="I33:I47" si="9">+G33*H33</f>
        <v>99.06</v>
      </c>
      <c r="Q33" s="54"/>
    </row>
    <row r="34" spans="2:17" ht="23.1" customHeight="1">
      <c r="B34" s="64">
        <v>1179000</v>
      </c>
      <c r="C34" s="65">
        <v>44771</v>
      </c>
      <c r="D34" s="64" t="s">
        <v>102</v>
      </c>
      <c r="E34" s="66" t="s">
        <v>111</v>
      </c>
      <c r="F34" s="64" t="s">
        <v>33</v>
      </c>
      <c r="G34" s="376">
        <v>4.1900000000000004</v>
      </c>
      <c r="H34" s="393">
        <f>+IF(F34=0,0,IF(F34="MXN",1/HLOOKUP(YEAR(C34)+(MONTH(C34)/100),TC!$5:$37,DAY(C34)+2,FALSE),VLOOKUP(F34,Equivalencia!$1:$23,((MAX(Equivalencia!$3:$3)-YEAR(C34))*14)+MONTH(C34)+2,FALSE)))</f>
        <v>1</v>
      </c>
      <c r="I34" s="376">
        <f t="shared" si="9"/>
        <v>4.1900000000000004</v>
      </c>
      <c r="Q34" s="54"/>
    </row>
    <row r="35" spans="2:17" ht="23.1" customHeight="1">
      <c r="B35" s="64">
        <v>1179000</v>
      </c>
      <c r="C35" s="65">
        <v>44771</v>
      </c>
      <c r="D35" s="64" t="s">
        <v>102</v>
      </c>
      <c r="E35" s="66" t="s">
        <v>110</v>
      </c>
      <c r="F35" s="64" t="s">
        <v>33</v>
      </c>
      <c r="G35" s="376">
        <v>220.8</v>
      </c>
      <c r="H35" s="393">
        <f>+IF(F35=0,0,IF(F35="MXN",1/HLOOKUP(YEAR(C35)+(MONTH(C35)/100),TC!$5:$37,DAY(C35)+2,FALSE),VLOOKUP(F35,Equivalencia!$1:$23,((MAX(Equivalencia!$3:$3)-YEAR(C35))*14)+MONTH(C35)+2,FALSE)))</f>
        <v>1</v>
      </c>
      <c r="I35" s="376">
        <f t="shared" si="9"/>
        <v>220.8</v>
      </c>
      <c r="Q35" s="54"/>
    </row>
    <row r="36" spans="2:17" ht="23.1" customHeight="1">
      <c r="B36" s="64">
        <v>1179000</v>
      </c>
      <c r="C36" s="65">
        <v>44804</v>
      </c>
      <c r="D36" s="64" t="s">
        <v>102</v>
      </c>
      <c r="E36" s="66" t="s">
        <v>110</v>
      </c>
      <c r="F36" s="64" t="s">
        <v>112</v>
      </c>
      <c r="G36" s="376">
        <v>0.39</v>
      </c>
      <c r="H36" s="393">
        <f>+IF(F36=0,0,IF(F36="MXN",1/HLOOKUP(YEAR(C36)+(MONTH(C36)/100),TC!$5:$37,DAY(C36)+2,FALSE),VLOOKUP(F36,Equivalencia!$1:$23,((MAX(Equivalencia!$3:$3)-YEAR(C36))*14)+MONTH(C36)+2,FALSE)))</f>
        <v>0.76370000000000005</v>
      </c>
      <c r="I36" s="376">
        <f t="shared" si="9"/>
        <v>0.29784300000000002</v>
      </c>
      <c r="Q36" s="54"/>
    </row>
    <row r="37" spans="2:17" ht="23.1" customHeight="1">
      <c r="B37" s="64">
        <v>1179000</v>
      </c>
      <c r="C37" s="65">
        <v>44804</v>
      </c>
      <c r="D37" s="64" t="s">
        <v>102</v>
      </c>
      <c r="E37" s="66" t="s">
        <v>111</v>
      </c>
      <c r="F37" s="64" t="s">
        <v>33</v>
      </c>
      <c r="G37" s="376">
        <v>2.5</v>
      </c>
      <c r="H37" s="393">
        <f>+IF(F37=0,0,IF(F37="MXN",1/HLOOKUP(YEAR(C37)+(MONTH(C37)/100),TC!$5:$37,DAY(C37)+2,FALSE),VLOOKUP(F37,Equivalencia!$1:$23,((MAX(Equivalencia!$3:$3)-YEAR(C37))*14)+MONTH(C37)+2,FALSE)))</f>
        <v>1</v>
      </c>
      <c r="I37" s="376">
        <f t="shared" si="9"/>
        <v>2.5</v>
      </c>
      <c r="Q37" s="54"/>
    </row>
    <row r="38" spans="2:17" ht="23.1" customHeight="1">
      <c r="B38" s="64">
        <v>1179000</v>
      </c>
      <c r="C38" s="65">
        <v>44804</v>
      </c>
      <c r="D38" s="64" t="s">
        <v>102</v>
      </c>
      <c r="E38" s="66" t="s">
        <v>110</v>
      </c>
      <c r="F38" s="64" t="s">
        <v>112</v>
      </c>
      <c r="G38" s="376">
        <v>496.02</v>
      </c>
      <c r="H38" s="393">
        <f>+IF(F38=0,0,IF(F38="MXN",1/HLOOKUP(YEAR(C38)+(MONTH(C38)/100),TC!$5:$37,DAY(C38)+2,FALSE),VLOOKUP(F38,Equivalencia!$1:$23,((MAX(Equivalencia!$3:$3)-YEAR(C38))*14)+MONTH(C38)+2,FALSE)))</f>
        <v>0.76370000000000005</v>
      </c>
      <c r="I38" s="376">
        <f t="shared" si="9"/>
        <v>378.810474</v>
      </c>
      <c r="Q38" s="54"/>
    </row>
    <row r="39" spans="2:17" ht="23.1" customHeight="1">
      <c r="B39" s="64">
        <v>1179000</v>
      </c>
      <c r="C39" s="65">
        <v>44834</v>
      </c>
      <c r="D39" s="64" t="s">
        <v>102</v>
      </c>
      <c r="E39" s="66" t="s">
        <v>110</v>
      </c>
      <c r="F39" s="64" t="s">
        <v>112</v>
      </c>
      <c r="G39" s="376">
        <v>0.47</v>
      </c>
      <c r="H39" s="393">
        <f>+IF(F39=0,0,IF(F39="MXN",1/HLOOKUP(YEAR(C39)+(MONTH(C39)/100),TC!$5:$37,DAY(C39)+2,FALSE),VLOOKUP(F39,Equivalencia!$1:$23,((MAX(Equivalencia!$3:$3)-YEAR(C39))*14)+MONTH(C39)+2,FALSE)))</f>
        <v>0.72799999999999998</v>
      </c>
      <c r="I39" s="376">
        <f t="shared" si="9"/>
        <v>0.34215999999999996</v>
      </c>
      <c r="Q39" s="54"/>
    </row>
    <row r="40" spans="2:17" ht="23.1" customHeight="1">
      <c r="B40" s="64">
        <v>1179000</v>
      </c>
      <c r="C40" s="65">
        <v>44834</v>
      </c>
      <c r="D40" s="64" t="s">
        <v>102</v>
      </c>
      <c r="E40" s="66" t="s">
        <v>111</v>
      </c>
      <c r="F40" s="64" t="s">
        <v>33</v>
      </c>
      <c r="G40" s="376">
        <v>135.99</v>
      </c>
      <c r="H40" s="393">
        <f>+IF(F40=0,0,IF(F40="MXN",1/HLOOKUP(YEAR(C40)+(MONTH(C40)/100),TC!$5:$37,DAY(C40)+2,FALSE),VLOOKUP(F40,Equivalencia!$1:$23,((MAX(Equivalencia!$3:$3)-YEAR(C40))*14)+MONTH(C40)+2,FALSE)))</f>
        <v>1</v>
      </c>
      <c r="I40" s="376">
        <f t="shared" si="9"/>
        <v>135.99</v>
      </c>
      <c r="Q40" s="54"/>
    </row>
    <row r="41" spans="2:17" ht="23.1" customHeight="1">
      <c r="B41" s="64">
        <v>1179000</v>
      </c>
      <c r="C41" s="65">
        <v>44834</v>
      </c>
      <c r="D41" s="64" t="s">
        <v>102</v>
      </c>
      <c r="E41" s="66" t="s">
        <v>110</v>
      </c>
      <c r="F41" s="64" t="s">
        <v>112</v>
      </c>
      <c r="G41" s="376">
        <v>439.71</v>
      </c>
      <c r="H41" s="393">
        <f>+IF(F41=0,0,IF(F41="MXN",1/HLOOKUP(YEAR(C41)+(MONTH(C41)/100),TC!$5:$37,DAY(C41)+2,FALSE),VLOOKUP(F41,Equivalencia!$1:$23,((MAX(Equivalencia!$3:$3)-YEAR(C41))*14)+MONTH(C41)+2,FALSE)))</f>
        <v>0.72799999999999998</v>
      </c>
      <c r="I41" s="376">
        <f t="shared" si="9"/>
        <v>320.10888</v>
      </c>
      <c r="Q41" s="54"/>
    </row>
    <row r="42" spans="2:17" ht="23.1" customHeight="1">
      <c r="B42" s="64">
        <v>1179000</v>
      </c>
      <c r="C42" s="65">
        <v>44865</v>
      </c>
      <c r="D42" s="64" t="s">
        <v>102</v>
      </c>
      <c r="E42" s="66" t="s">
        <v>110</v>
      </c>
      <c r="F42" s="64" t="s">
        <v>112</v>
      </c>
      <c r="G42" s="376">
        <v>0.47</v>
      </c>
      <c r="H42" s="393">
        <f>+IF(F42=0,0,IF(F42="MXN",1/HLOOKUP(YEAR(C42)+(MONTH(C42)/100),TC!$5:$37,DAY(C42)+2,FALSE),VLOOKUP(F42,Equivalencia!$1:$23,((MAX(Equivalencia!$3:$3)-YEAR(C42))*14)+MONTH(C42)+2,FALSE)))</f>
        <v>0.73240000000000005</v>
      </c>
      <c r="I42" s="376">
        <f t="shared" si="9"/>
        <v>0.34422799999999998</v>
      </c>
      <c r="Q42" s="54"/>
    </row>
    <row r="43" spans="2:17" ht="23.1" customHeight="1">
      <c r="B43" s="64">
        <v>1179000</v>
      </c>
      <c r="C43" s="65">
        <v>44865</v>
      </c>
      <c r="D43" s="64" t="s">
        <v>102</v>
      </c>
      <c r="E43" s="66" t="s">
        <v>110</v>
      </c>
      <c r="F43" s="64" t="s">
        <v>33</v>
      </c>
      <c r="G43" s="376">
        <v>651.6</v>
      </c>
      <c r="H43" s="393">
        <f>+IF(F43=0,0,IF(F43="MXN",1/HLOOKUP(YEAR(C43)+(MONTH(C43)/100),TC!$5:$37,DAY(C43)+2,FALSE),VLOOKUP(F43,Equivalencia!$1:$23,((MAX(Equivalencia!$3:$3)-YEAR(C43))*14)+MONTH(C43)+2,FALSE)))</f>
        <v>1</v>
      </c>
      <c r="I43" s="376">
        <f t="shared" si="9"/>
        <v>651.6</v>
      </c>
      <c r="Q43" s="54"/>
    </row>
    <row r="44" spans="2:17" ht="23.1" customHeight="1">
      <c r="B44" s="64">
        <v>1179000</v>
      </c>
      <c r="C44" s="65">
        <v>44895</v>
      </c>
      <c r="D44" s="64" t="s">
        <v>102</v>
      </c>
      <c r="E44" s="66" t="s">
        <v>110</v>
      </c>
      <c r="F44" s="64" t="s">
        <v>112</v>
      </c>
      <c r="G44" s="376">
        <v>0.47</v>
      </c>
      <c r="H44" s="393">
        <f>+IF(F44=0,0,IF(F44="MXN",1/HLOOKUP(YEAR(C44)+(MONTH(C44)/100),TC!$5:$37,DAY(C44)+2,FALSE),VLOOKUP(F44,Equivalencia!$1:$23,((MAX(Equivalencia!$3:$3)-YEAR(C44))*14)+MONTH(C44)+2,FALSE)))</f>
        <v>0.7379</v>
      </c>
      <c r="I44" s="376">
        <f t="shared" si="9"/>
        <v>0.34681299999999998</v>
      </c>
      <c r="Q44" s="54"/>
    </row>
    <row r="45" spans="2:17" ht="23.1" customHeight="1">
      <c r="B45" s="64">
        <v>1179000</v>
      </c>
      <c r="C45" s="65">
        <v>44895</v>
      </c>
      <c r="D45" s="64" t="s">
        <v>102</v>
      </c>
      <c r="E45" s="66" t="s">
        <v>110</v>
      </c>
      <c r="F45" s="64" t="s">
        <v>33</v>
      </c>
      <c r="G45" s="376">
        <v>807.72</v>
      </c>
      <c r="H45" s="393">
        <f>+IF(F45=0,0,IF(F45="MXN",1/HLOOKUP(YEAR(C45)+(MONTH(C45)/100),TC!$5:$37,DAY(C45)+2,FALSE),VLOOKUP(F45,Equivalencia!$1:$23,((MAX(Equivalencia!$3:$3)-YEAR(C45))*14)+MONTH(C45)+2,FALSE)))</f>
        <v>1</v>
      </c>
      <c r="I45" s="376">
        <f t="shared" si="9"/>
        <v>807.72</v>
      </c>
      <c r="Q45" s="54"/>
    </row>
    <row r="46" spans="2:17" ht="23.1" customHeight="1">
      <c r="B46" s="64">
        <v>1179000</v>
      </c>
      <c r="C46" s="65">
        <v>44925</v>
      </c>
      <c r="D46" s="64" t="s">
        <v>102</v>
      </c>
      <c r="E46" s="66" t="s">
        <v>110</v>
      </c>
      <c r="F46" s="64" t="s">
        <v>112</v>
      </c>
      <c r="G46" s="376">
        <v>0.47</v>
      </c>
      <c r="H46" s="393">
        <f>+IF(F46=0,0,IF(F46="MXN",1/HLOOKUP(YEAR(C46)+(MONTH(C46)/100),TC!$5:$37,DAY(C46)+2,FALSE),VLOOKUP(F46,Equivalencia!$1:$23,((MAX(Equivalencia!$3:$3)-YEAR(C46))*14)+MONTH(C46)+2,FALSE)))</f>
        <v>0.73770000000000002</v>
      </c>
      <c r="I46" s="376">
        <f t="shared" si="9"/>
        <v>0.346719</v>
      </c>
      <c r="Q46" s="54"/>
    </row>
    <row r="47" spans="2:17" ht="23.1" customHeight="1">
      <c r="B47" s="64">
        <v>1179000</v>
      </c>
      <c r="C47" s="65">
        <v>44925</v>
      </c>
      <c r="D47" s="64" t="s">
        <v>102</v>
      </c>
      <c r="E47" s="66" t="s">
        <v>110</v>
      </c>
      <c r="F47" s="64" t="s">
        <v>33</v>
      </c>
      <c r="G47" s="376">
        <v>1153.28</v>
      </c>
      <c r="H47" s="393">
        <f>+IF(F47=0,0,IF(F47="MXN",1/HLOOKUP(YEAR(C47)+(MONTH(C47)/100),TC!$5:$37,DAY(C47)+2,FALSE),VLOOKUP(F47,Equivalencia!$1:$23,((MAX(Equivalencia!$3:$3)-YEAR(C47))*14)+MONTH(C47)+2,FALSE)))</f>
        <v>1</v>
      </c>
      <c r="I47" s="376">
        <f t="shared" si="9"/>
        <v>1153.28</v>
      </c>
      <c r="Q47" s="54"/>
    </row>
    <row r="48" spans="2:17" ht="23.1" customHeight="1">
      <c r="B48" s="64">
        <v>1427200</v>
      </c>
      <c r="C48" s="65">
        <v>44592</v>
      </c>
      <c r="D48" s="64" t="s">
        <v>102</v>
      </c>
      <c r="E48" s="66" t="s">
        <v>110</v>
      </c>
      <c r="F48" s="64" t="s">
        <v>33</v>
      </c>
      <c r="G48" s="376">
        <v>0.38</v>
      </c>
      <c r="H48" s="393">
        <f>+IF(F48=0,0,IF(F48="MXN",1/HLOOKUP(YEAR(C48)+(MONTH(C48)/100),TC!$5:$37,DAY(C48)+2,FALSE),VLOOKUP(F48,Equivalencia!$1:$23,((MAX(Equivalencia!$3:$3)-YEAR(C48))*14)+MONTH(C48)+2,FALSE)))</f>
        <v>1</v>
      </c>
      <c r="I48" s="376">
        <f t="shared" ref="I48" si="10">+G48*H48</f>
        <v>0.38</v>
      </c>
      <c r="Q48" s="54"/>
    </row>
    <row r="49" spans="2:17" ht="23.1" customHeight="1">
      <c r="B49" s="64">
        <v>1427200</v>
      </c>
      <c r="C49" s="65">
        <v>44620</v>
      </c>
      <c r="D49" s="64" t="s">
        <v>102</v>
      </c>
      <c r="E49" s="66" t="s">
        <v>110</v>
      </c>
      <c r="F49" s="64" t="s">
        <v>33</v>
      </c>
      <c r="G49" s="376">
        <v>0.41</v>
      </c>
      <c r="H49" s="393">
        <f>+IF(F49=0,0,IF(F49="MXN",1/HLOOKUP(YEAR(C49)+(MONTH(C49)/100),TC!$5:$37,DAY(C49)+2,FALSE),VLOOKUP(F49,Equivalencia!$1:$23,((MAX(Equivalencia!$3:$3)-YEAR(C49))*14)+MONTH(C49)+2,FALSE)))</f>
        <v>1</v>
      </c>
      <c r="I49" s="376">
        <f t="shared" ref="I49" si="11">+G49*H49</f>
        <v>0.41</v>
      </c>
      <c r="Q49" s="54"/>
    </row>
    <row r="50" spans="2:17" ht="23.1" customHeight="1">
      <c r="B50" s="64">
        <v>1427200</v>
      </c>
      <c r="C50" s="65">
        <v>44651</v>
      </c>
      <c r="D50" s="64" t="s">
        <v>102</v>
      </c>
      <c r="E50" s="66" t="s">
        <v>110</v>
      </c>
      <c r="F50" s="64" t="s">
        <v>33</v>
      </c>
      <c r="G50" s="376">
        <v>1.57</v>
      </c>
      <c r="H50" s="393">
        <f>+IF(F50=0,0,IF(F50="MXN",1/HLOOKUP(YEAR(C50)+(MONTH(C50)/100),TC!$5:$37,DAY(C50)+2,FALSE),VLOOKUP(F50,Equivalencia!$1:$23,((MAX(Equivalencia!$3:$3)-YEAR(C50))*14)+MONTH(C50)+2,FALSE)))</f>
        <v>1</v>
      </c>
      <c r="I50" s="376">
        <f t="shared" ref="I50" si="12">+G50*H50</f>
        <v>1.57</v>
      </c>
      <c r="Q50" s="54"/>
    </row>
    <row r="51" spans="2:17" ht="23.1" customHeight="1">
      <c r="B51" s="64">
        <v>1427200</v>
      </c>
      <c r="C51" s="65">
        <v>44680</v>
      </c>
      <c r="D51" s="64" t="s">
        <v>102</v>
      </c>
      <c r="E51" s="66" t="s">
        <v>110</v>
      </c>
      <c r="F51" s="64" t="s">
        <v>33</v>
      </c>
      <c r="G51" s="376">
        <v>3.76</v>
      </c>
      <c r="H51" s="393">
        <f>+IF(F51=0,0,IF(F51="MXN",1/HLOOKUP(YEAR(C51)+(MONTH(C51)/100),TC!$5:$37,DAY(C51)+2,FALSE),VLOOKUP(F51,Equivalencia!$1:$23,((MAX(Equivalencia!$3:$3)-YEAR(C51))*14)+MONTH(C51)+2,FALSE)))</f>
        <v>1</v>
      </c>
      <c r="I51" s="376">
        <f t="shared" ref="I51" si="13">+G51*H51</f>
        <v>3.76</v>
      </c>
      <c r="Q51" s="54"/>
    </row>
    <row r="52" spans="2:17" ht="23.1" customHeight="1">
      <c r="B52" s="64">
        <v>1427200</v>
      </c>
      <c r="C52" s="65">
        <v>44712</v>
      </c>
      <c r="D52" s="64" t="s">
        <v>102</v>
      </c>
      <c r="E52" s="66" t="s">
        <v>110</v>
      </c>
      <c r="F52" s="64" t="s">
        <v>33</v>
      </c>
      <c r="G52" s="376">
        <v>3.65</v>
      </c>
      <c r="H52" s="393">
        <f>+IF(F52=0,0,IF(F52="MXN",1/HLOOKUP(YEAR(C52)+(MONTH(C52)/100),TC!$5:$37,DAY(C52)+2,FALSE),VLOOKUP(F52,Equivalencia!$1:$23,((MAX(Equivalencia!$3:$3)-YEAR(C52))*14)+MONTH(C52)+2,FALSE)))</f>
        <v>1</v>
      </c>
      <c r="I52" s="376">
        <f t="shared" ref="I52" si="14">+G52*H52</f>
        <v>3.65</v>
      </c>
      <c r="Q52" s="54"/>
    </row>
    <row r="53" spans="2:17" ht="23.1" customHeight="1">
      <c r="B53" s="64">
        <v>1427200</v>
      </c>
      <c r="C53" s="65">
        <v>44742</v>
      </c>
      <c r="D53" s="64" t="s">
        <v>102</v>
      </c>
      <c r="E53" s="66" t="s">
        <v>110</v>
      </c>
      <c r="F53" s="64" t="s">
        <v>33</v>
      </c>
      <c r="G53" s="376">
        <v>4</v>
      </c>
      <c r="H53" s="393">
        <f>+IF(F53=0,0,IF(F53="MXN",1/HLOOKUP(YEAR(C53)+(MONTH(C53)/100),TC!$5:$37,DAY(C53)+2,FALSE),VLOOKUP(F53,Equivalencia!$1:$23,((MAX(Equivalencia!$3:$3)-YEAR(C53))*14)+MONTH(C53)+2,FALSE)))</f>
        <v>1</v>
      </c>
      <c r="I53" s="376">
        <f t="shared" ref="I53:I59" si="15">+G53*H53</f>
        <v>4</v>
      </c>
      <c r="Q53" s="54"/>
    </row>
    <row r="54" spans="2:17" ht="23.1" customHeight="1">
      <c r="B54" s="64">
        <v>1427200</v>
      </c>
      <c r="C54" s="65">
        <v>44771</v>
      </c>
      <c r="D54" s="64" t="s">
        <v>102</v>
      </c>
      <c r="E54" s="66" t="s">
        <v>110</v>
      </c>
      <c r="F54" s="64" t="s">
        <v>33</v>
      </c>
      <c r="G54" s="376">
        <v>9.7100000000000009</v>
      </c>
      <c r="H54" s="393">
        <f>+IF(F54=0,0,IF(F54="MXN",1/HLOOKUP(YEAR(C54)+(MONTH(C54)/100),TC!$5:$37,DAY(C54)+2,FALSE),VLOOKUP(F54,Equivalencia!$1:$23,((MAX(Equivalencia!$3:$3)-YEAR(C54))*14)+MONTH(C54)+2,FALSE)))</f>
        <v>1</v>
      </c>
      <c r="I54" s="376">
        <f t="shared" si="15"/>
        <v>9.7100000000000009</v>
      </c>
      <c r="Q54" s="54"/>
    </row>
    <row r="55" spans="2:17" ht="23.1" customHeight="1">
      <c r="B55" s="64">
        <v>1427200</v>
      </c>
      <c r="C55" s="65">
        <v>44804</v>
      </c>
      <c r="D55" s="64" t="s">
        <v>102</v>
      </c>
      <c r="E55" s="66" t="s">
        <v>110</v>
      </c>
      <c r="F55" s="64" t="s">
        <v>33</v>
      </c>
      <c r="G55" s="376">
        <v>26.59</v>
      </c>
      <c r="H55" s="393">
        <f>+IF(F55=0,0,IF(F55="MXN",1/HLOOKUP(YEAR(C55)+(MONTH(C55)/100),TC!$5:$37,DAY(C55)+2,FALSE),VLOOKUP(F55,Equivalencia!$1:$23,((MAX(Equivalencia!$3:$3)-YEAR(C55))*14)+MONTH(C55)+2,FALSE)))</f>
        <v>1</v>
      </c>
      <c r="I55" s="376">
        <f t="shared" si="15"/>
        <v>26.59</v>
      </c>
      <c r="Q55" s="54"/>
    </row>
    <row r="56" spans="2:17" ht="23.1" customHeight="1">
      <c r="B56" s="64">
        <v>1427200</v>
      </c>
      <c r="C56" s="65">
        <v>44834</v>
      </c>
      <c r="D56" s="64" t="s">
        <v>102</v>
      </c>
      <c r="E56" s="66" t="s">
        <v>110</v>
      </c>
      <c r="F56" s="64" t="s">
        <v>33</v>
      </c>
      <c r="G56" s="376">
        <v>26.37</v>
      </c>
      <c r="H56" s="393">
        <f>+IF(F56=0,0,IF(F56="MXN",1/HLOOKUP(YEAR(C56)+(MONTH(C56)/100),TC!$5:$37,DAY(C56)+2,FALSE),VLOOKUP(F56,Equivalencia!$1:$23,((MAX(Equivalencia!$3:$3)-YEAR(C56))*14)+MONTH(C56)+2,FALSE)))</f>
        <v>1</v>
      </c>
      <c r="I56" s="376">
        <f t="shared" si="15"/>
        <v>26.37</v>
      </c>
      <c r="Q56" s="54"/>
    </row>
    <row r="57" spans="2:17" ht="23.1" customHeight="1">
      <c r="B57" s="64">
        <v>1427200</v>
      </c>
      <c r="C57" s="65">
        <v>44865</v>
      </c>
      <c r="D57" s="64" t="s">
        <v>102</v>
      </c>
      <c r="E57" s="66" t="s">
        <v>110</v>
      </c>
      <c r="F57" s="64" t="s">
        <v>33</v>
      </c>
      <c r="G57" s="376">
        <v>30.24</v>
      </c>
      <c r="H57" s="393">
        <f>+IF(F57=0,0,IF(F57="MXN",1/HLOOKUP(YEAR(C57)+(MONTH(C57)/100),TC!$5:$37,DAY(C57)+2,FALSE),VLOOKUP(F57,Equivalencia!$1:$23,((MAX(Equivalencia!$3:$3)-YEAR(C57))*14)+MONTH(C57)+2,FALSE)))</f>
        <v>1</v>
      </c>
      <c r="I57" s="376">
        <f t="shared" si="15"/>
        <v>30.24</v>
      </c>
      <c r="Q57" s="54"/>
    </row>
    <row r="58" spans="2:17" ht="23.1" customHeight="1">
      <c r="B58" s="64">
        <v>1427200</v>
      </c>
      <c r="C58" s="65">
        <v>44895</v>
      </c>
      <c r="D58" s="64" t="s">
        <v>102</v>
      </c>
      <c r="E58" s="66" t="s">
        <v>110</v>
      </c>
      <c r="F58" s="64" t="s">
        <v>33</v>
      </c>
      <c r="G58" s="376">
        <v>40.97</v>
      </c>
      <c r="H58" s="393">
        <f>+IF(F58=0,0,IF(F58="MXN",1/HLOOKUP(YEAR(C58)+(MONTH(C58)/100),TC!$5:$37,DAY(C58)+2,FALSE),VLOOKUP(F58,Equivalencia!$1:$23,((MAX(Equivalencia!$3:$3)-YEAR(C58))*14)+MONTH(C58)+2,FALSE)))</f>
        <v>1</v>
      </c>
      <c r="I58" s="376">
        <f t="shared" si="15"/>
        <v>40.97</v>
      </c>
      <c r="Q58" s="54"/>
    </row>
    <row r="59" spans="2:17" ht="23.1" customHeight="1">
      <c r="B59" s="64">
        <v>1427200</v>
      </c>
      <c r="C59" s="65">
        <v>44925</v>
      </c>
      <c r="D59" s="64" t="s">
        <v>102</v>
      </c>
      <c r="E59" s="66" t="s">
        <v>110</v>
      </c>
      <c r="F59" s="64" t="s">
        <v>33</v>
      </c>
      <c r="G59" s="376">
        <v>40.99</v>
      </c>
      <c r="H59" s="393">
        <f>+IF(F59=0,0,IF(F59="MXN",1/HLOOKUP(YEAR(C59)+(MONTH(C59)/100),TC!$5:$37,DAY(C59)+2,FALSE),VLOOKUP(F59,Equivalencia!$1:$23,((MAX(Equivalencia!$3:$3)-YEAR(C59))*14)+MONTH(C59)+2,FALSE)))</f>
        <v>1</v>
      </c>
      <c r="I59" s="376">
        <f t="shared" si="15"/>
        <v>40.99</v>
      </c>
      <c r="Q59" s="54"/>
    </row>
    <row r="60" spans="2:17" ht="23.1" customHeight="1">
      <c r="B60" s="64" t="s">
        <v>11</v>
      </c>
      <c r="C60" s="65">
        <v>44564</v>
      </c>
      <c r="D60" s="64" t="s">
        <v>102</v>
      </c>
      <c r="E60" s="66" t="s">
        <v>114</v>
      </c>
      <c r="F60" s="64" t="s">
        <v>33</v>
      </c>
      <c r="G60" s="376">
        <v>10.73</v>
      </c>
      <c r="H60" s="393">
        <f>+IF(F60=0,0,IF(F60="MXN",1/HLOOKUP(YEAR(C60)+(MONTH(C60)/100),TC!$5:$37,DAY(C60)+2,FALSE),VLOOKUP(F60,Equivalencia!$1:$23,((MAX(Equivalencia!$3:$3)-YEAR(C60))*14)+MONTH(C60)+2,FALSE)))</f>
        <v>1</v>
      </c>
      <c r="I60" s="376">
        <f t="shared" ref="I60" si="16">+G60*H60</f>
        <v>10.73</v>
      </c>
      <c r="Q60" s="54"/>
    </row>
    <row r="61" spans="2:17" ht="23.1" customHeight="1">
      <c r="B61" s="64" t="s">
        <v>11</v>
      </c>
      <c r="C61" s="65">
        <v>44593</v>
      </c>
      <c r="D61" s="64" t="s">
        <v>102</v>
      </c>
      <c r="E61" s="66" t="s">
        <v>114</v>
      </c>
      <c r="F61" s="64" t="s">
        <v>33</v>
      </c>
      <c r="G61" s="376">
        <v>15.04</v>
      </c>
      <c r="H61" s="393">
        <f>+IF(F61=0,0,IF(F61="MXN",1/HLOOKUP(YEAR(C61)+(MONTH(C61)/100),TC!$5:$37,DAY(C61)+2,FALSE),VLOOKUP(F61,Equivalencia!$1:$23,((MAX(Equivalencia!$3:$3)-YEAR(C61))*14)+MONTH(C61)+2,FALSE)))</f>
        <v>1</v>
      </c>
      <c r="I61" s="376">
        <f t="shared" ref="I61" si="17">+G61*H61</f>
        <v>15.04</v>
      </c>
      <c r="Q61" s="54"/>
    </row>
    <row r="62" spans="2:17" ht="23.1" customHeight="1">
      <c r="B62" s="64" t="s">
        <v>11</v>
      </c>
      <c r="C62" s="65">
        <v>44621</v>
      </c>
      <c r="D62" s="64" t="s">
        <v>102</v>
      </c>
      <c r="E62" s="66" t="s">
        <v>114</v>
      </c>
      <c r="F62" s="64" t="s">
        <v>33</v>
      </c>
      <c r="G62" s="376">
        <v>12.88</v>
      </c>
      <c r="H62" s="393">
        <f>+IF(F62=0,0,IF(F62="MXN",1/HLOOKUP(YEAR(C62)+(MONTH(C62)/100),TC!$5:$37,DAY(C62)+2,FALSE),VLOOKUP(F62,Equivalencia!$1:$23,((MAX(Equivalencia!$3:$3)-YEAR(C62))*14)+MONTH(C62)+2,FALSE)))</f>
        <v>1</v>
      </c>
      <c r="I62" s="376">
        <f t="shared" ref="I62" si="18">+G62*H62</f>
        <v>12.88</v>
      </c>
      <c r="Q62" s="54"/>
    </row>
    <row r="63" spans="2:17" ht="23.1" customHeight="1">
      <c r="B63" s="64" t="s">
        <v>11</v>
      </c>
      <c r="C63" s="65">
        <v>44652</v>
      </c>
      <c r="D63" s="64" t="s">
        <v>102</v>
      </c>
      <c r="E63" s="66" t="s">
        <v>114</v>
      </c>
      <c r="F63" s="64" t="s">
        <v>33</v>
      </c>
      <c r="G63" s="376">
        <v>12.07</v>
      </c>
      <c r="H63" s="393">
        <f>+IF(F63=0,0,IF(F63="MXN",1/HLOOKUP(YEAR(C63)+(MONTH(C63)/100),TC!$5:$37,DAY(C63)+2,FALSE),VLOOKUP(F63,Equivalencia!$1:$23,((MAX(Equivalencia!$3:$3)-YEAR(C63))*14)+MONTH(C63)+2,FALSE)))</f>
        <v>1</v>
      </c>
      <c r="I63" s="376">
        <f t="shared" ref="I63" si="19">+G63*H63</f>
        <v>12.07</v>
      </c>
      <c r="Q63" s="54"/>
    </row>
    <row r="64" spans="2:17" ht="23.1" customHeight="1">
      <c r="B64" s="64" t="s">
        <v>11</v>
      </c>
      <c r="C64" s="65">
        <v>44683</v>
      </c>
      <c r="D64" s="64" t="s">
        <v>102</v>
      </c>
      <c r="E64" s="66" t="s">
        <v>114</v>
      </c>
      <c r="F64" s="64" t="s">
        <v>33</v>
      </c>
      <c r="G64" s="376">
        <v>9.14</v>
      </c>
      <c r="H64" s="393">
        <f>+IF(F64=0,0,IF(F64="MXN",1/HLOOKUP(YEAR(C64)+(MONTH(C64)/100),TC!$5:$37,DAY(C64)+2,FALSE),VLOOKUP(F64,Equivalencia!$1:$23,((MAX(Equivalencia!$3:$3)-YEAR(C64))*14)+MONTH(C64)+2,FALSE)))</f>
        <v>1</v>
      </c>
      <c r="I64" s="376">
        <f t="shared" ref="I64" si="20">+G64*H64</f>
        <v>9.14</v>
      </c>
      <c r="Q64" s="54"/>
    </row>
    <row r="65" spans="2:17" ht="23.1" customHeight="1">
      <c r="B65" s="64" t="s">
        <v>11</v>
      </c>
      <c r="C65" s="65">
        <v>44713</v>
      </c>
      <c r="D65" s="64" t="s">
        <v>102</v>
      </c>
      <c r="E65" s="66" t="s">
        <v>114</v>
      </c>
      <c r="F65" s="64" t="s">
        <v>33</v>
      </c>
      <c r="G65" s="376">
        <v>4.1100000000000003</v>
      </c>
      <c r="H65" s="393">
        <f>+IF(F65=0,0,IF(F65="MXN",1/HLOOKUP(YEAR(C65)+(MONTH(C65)/100),TC!$5:$37,DAY(C65)+2,FALSE),VLOOKUP(F65,Equivalencia!$1:$23,((MAX(Equivalencia!$3:$3)-YEAR(C65))*14)+MONTH(C65)+2,FALSE)))</f>
        <v>1</v>
      </c>
      <c r="I65" s="376">
        <f t="shared" ref="I65:I71" si="21">+G65*H65</f>
        <v>4.1100000000000003</v>
      </c>
      <c r="Q65" s="54"/>
    </row>
    <row r="66" spans="2:17" ht="23.1" customHeight="1">
      <c r="B66" s="64" t="s">
        <v>11</v>
      </c>
      <c r="C66" s="65">
        <v>44743</v>
      </c>
      <c r="D66" s="64" t="s">
        <v>102</v>
      </c>
      <c r="E66" s="66" t="s">
        <v>114</v>
      </c>
      <c r="F66" s="64" t="s">
        <v>33</v>
      </c>
      <c r="G66" s="376">
        <v>111.3</v>
      </c>
      <c r="H66" s="393">
        <f>+IF(F66=0,0,IF(F66="MXN",1/HLOOKUP(YEAR(C66)+(MONTH(C66)/100),TC!$5:$37,DAY(C66)+2,FALSE),VLOOKUP(F66,Equivalencia!$1:$23,((MAX(Equivalencia!$3:$3)-YEAR(C66))*14)+MONTH(C66)+2,FALSE)))</f>
        <v>1</v>
      </c>
      <c r="I66" s="376">
        <f t="shared" si="21"/>
        <v>111.3</v>
      </c>
      <c r="Q66" s="54"/>
    </row>
    <row r="67" spans="2:17" ht="23.1" customHeight="1">
      <c r="B67" s="64" t="s">
        <v>11</v>
      </c>
      <c r="C67" s="65">
        <v>44774</v>
      </c>
      <c r="D67" s="64" t="s">
        <v>102</v>
      </c>
      <c r="E67" s="66" t="s">
        <v>114</v>
      </c>
      <c r="F67" s="64" t="s">
        <v>33</v>
      </c>
      <c r="G67" s="376">
        <v>356.21</v>
      </c>
      <c r="H67" s="393">
        <f>+IF(F67=0,0,IF(F67="MXN",1/HLOOKUP(YEAR(C67)+(MONTH(C67)/100),TC!$5:$37,DAY(C67)+2,FALSE),VLOOKUP(F67,Equivalencia!$1:$23,((MAX(Equivalencia!$3:$3)-YEAR(C67))*14)+MONTH(C67)+2,FALSE)))</f>
        <v>1</v>
      </c>
      <c r="I67" s="376">
        <f t="shared" si="21"/>
        <v>356.21</v>
      </c>
      <c r="Q67" s="54"/>
    </row>
    <row r="68" spans="2:17" ht="23.1" customHeight="1">
      <c r="B68" s="64" t="s">
        <v>11</v>
      </c>
      <c r="C68" s="65">
        <v>44805</v>
      </c>
      <c r="D68" s="64" t="s">
        <v>102</v>
      </c>
      <c r="E68" s="66" t="s">
        <v>114</v>
      </c>
      <c r="F68" s="64" t="s">
        <v>33</v>
      </c>
      <c r="G68" s="376">
        <v>2637.08</v>
      </c>
      <c r="H68" s="393">
        <f>+IF(F68=0,0,IF(F68="MXN",1/HLOOKUP(YEAR(C68)+(MONTH(C68)/100),TC!$5:$37,DAY(C68)+2,FALSE),VLOOKUP(F68,Equivalencia!$1:$23,((MAX(Equivalencia!$3:$3)-YEAR(C68))*14)+MONTH(C68)+2,FALSE)))</f>
        <v>1</v>
      </c>
      <c r="I68" s="376">
        <f t="shared" si="21"/>
        <v>2637.08</v>
      </c>
      <c r="Q68" s="54"/>
    </row>
    <row r="69" spans="2:17" ht="23.1" customHeight="1">
      <c r="B69" s="64" t="s">
        <v>11</v>
      </c>
      <c r="C69" s="65">
        <v>44837</v>
      </c>
      <c r="D69" s="64" t="s">
        <v>102</v>
      </c>
      <c r="E69" s="66" t="s">
        <v>114</v>
      </c>
      <c r="F69" s="64" t="s">
        <v>33</v>
      </c>
      <c r="G69" s="376">
        <v>2971.2</v>
      </c>
      <c r="H69" s="393">
        <f>+IF(F69=0,0,IF(F69="MXN",1/HLOOKUP(YEAR(C69)+(MONTH(C69)/100),TC!$5:$37,DAY(C69)+2,FALSE),VLOOKUP(F69,Equivalencia!$1:$23,((MAX(Equivalencia!$3:$3)-YEAR(C69))*14)+MONTH(C69)+2,FALSE)))</f>
        <v>1</v>
      </c>
      <c r="I69" s="376">
        <f t="shared" si="21"/>
        <v>2971.2</v>
      </c>
      <c r="Q69" s="54"/>
    </row>
    <row r="70" spans="2:17" ht="23.1" customHeight="1">
      <c r="B70" s="64" t="s">
        <v>11</v>
      </c>
      <c r="C70" s="65">
        <v>44866</v>
      </c>
      <c r="D70" s="64" t="s">
        <v>102</v>
      </c>
      <c r="E70" s="66" t="s">
        <v>114</v>
      </c>
      <c r="F70" s="64" t="s">
        <v>33</v>
      </c>
      <c r="G70" s="376">
        <v>2562.87</v>
      </c>
      <c r="H70" s="393">
        <f>+IF(F70=0,0,IF(F70="MXN",1/HLOOKUP(YEAR(C70)+(MONTH(C70)/100),TC!$5:$37,DAY(C70)+2,FALSE),VLOOKUP(F70,Equivalencia!$1:$23,((MAX(Equivalencia!$3:$3)-YEAR(C70))*14)+MONTH(C70)+2,FALSE)))</f>
        <v>1</v>
      </c>
      <c r="I70" s="376">
        <f t="shared" si="21"/>
        <v>2562.87</v>
      </c>
      <c r="Q70" s="54"/>
    </row>
    <row r="71" spans="2:17" ht="23.1" customHeight="1">
      <c r="B71" s="64" t="s">
        <v>11</v>
      </c>
      <c r="C71" s="65">
        <v>44896</v>
      </c>
      <c r="D71" s="64" t="s">
        <v>102</v>
      </c>
      <c r="E71" s="66" t="s">
        <v>114</v>
      </c>
      <c r="F71" s="64" t="s">
        <v>33</v>
      </c>
      <c r="G71" s="376">
        <v>2781.06</v>
      </c>
      <c r="H71" s="393">
        <f>+IF(F71=0,0,IF(F71="MXN",1/HLOOKUP(YEAR(C71)+(MONTH(C71)/100),TC!$5:$37,DAY(C71)+2,FALSE),VLOOKUP(F71,Equivalencia!$1:$23,((MAX(Equivalencia!$3:$3)-YEAR(C71))*14)+MONTH(C71)+2,FALSE)))</f>
        <v>1</v>
      </c>
      <c r="I71" s="376">
        <f t="shared" si="21"/>
        <v>2781.06</v>
      </c>
      <c r="Q71" s="54"/>
    </row>
    <row r="72" spans="2:17" ht="23.1" customHeight="1">
      <c r="B72" s="57"/>
      <c r="C72" s="55"/>
      <c r="D72" s="54"/>
      <c r="F72" s="54"/>
      <c r="G72" s="376"/>
      <c r="H72" s="394"/>
      <c r="I72" s="385"/>
    </row>
    <row r="73" spans="2:17" ht="23.1" customHeight="1">
      <c r="B73" s="69" t="s">
        <v>115</v>
      </c>
      <c r="C73" s="70"/>
      <c r="D73" s="70"/>
      <c r="E73" s="70"/>
      <c r="F73" s="70"/>
      <c r="G73" s="71">
        <f>SUM(G7:G72)</f>
        <v>16535.95</v>
      </c>
      <c r="H73" s="70"/>
      <c r="I73" s="378">
        <f>SUM(I7:I72)</f>
        <v>16298.456171999997</v>
      </c>
    </row>
    <row r="74" spans="2:17" ht="23.1" customHeight="1">
      <c r="B74" s="2"/>
      <c r="C74" s="2"/>
      <c r="D74" s="2"/>
      <c r="E74" s="2"/>
      <c r="F74" s="2"/>
      <c r="G74" s="2"/>
      <c r="H74" s="2"/>
      <c r="I74" s="2"/>
    </row>
    <row r="75" spans="2:17" ht="23.1" customHeight="1">
      <c r="B75" s="2"/>
      <c r="C75" s="2"/>
      <c r="D75" s="2"/>
      <c r="E75" s="2"/>
      <c r="F75" s="2"/>
      <c r="G75" s="2"/>
      <c r="H75" s="2"/>
      <c r="I75" s="2"/>
    </row>
    <row r="76" spans="2:17" s="121" customFormat="1" ht="45.95" customHeight="1">
      <c r="B76" s="78"/>
      <c r="C76" s="78"/>
      <c r="D76" s="78"/>
      <c r="E76" s="78"/>
      <c r="F76" s="78"/>
      <c r="G76" s="119" t="s">
        <v>116</v>
      </c>
      <c r="H76" s="120"/>
      <c r="I76" s="119" t="s">
        <v>117</v>
      </c>
    </row>
    <row r="77" spans="2:17" ht="23.1" customHeight="1">
      <c r="B77" s="2"/>
      <c r="C77" s="2"/>
      <c r="D77" s="2"/>
      <c r="E77" s="2"/>
      <c r="F77" s="2"/>
      <c r="G77" s="2"/>
      <c r="H77" s="2"/>
      <c r="I77" s="2"/>
    </row>
    <row r="78" spans="2:17" ht="23.1" customHeight="1">
      <c r="B78" s="2"/>
      <c r="C78" s="2"/>
      <c r="D78" s="2"/>
      <c r="E78" s="74" t="s">
        <v>118</v>
      </c>
      <c r="F78" s="75">
        <f>+Cuentas!B7</f>
        <v>1175000</v>
      </c>
      <c r="G78" s="386">
        <f t="shared" ref="G78:G95" si="22">SUMIF($B$7:$B$594,F78,$G$7:$G$594)</f>
        <v>666.71</v>
      </c>
      <c r="H78" s="60"/>
      <c r="I78" s="386">
        <f t="shared" ref="I78:I95" si="23">SUMIF($B$7:$B$594,F78,$I$7:$I$594)</f>
        <v>666.71</v>
      </c>
    </row>
    <row r="79" spans="2:17" ht="23.1" customHeight="1">
      <c r="B79" s="2"/>
      <c r="C79" s="2"/>
      <c r="D79" s="2"/>
      <c r="E79" s="74" t="s">
        <v>118</v>
      </c>
      <c r="F79" s="75">
        <f>+Cuentas!B8</f>
        <v>1179000</v>
      </c>
      <c r="G79" s="386">
        <f t="shared" si="22"/>
        <v>4196.91</v>
      </c>
      <c r="H79" s="60"/>
      <c r="I79" s="386">
        <f t="shared" si="23"/>
        <v>3959.4161720000002</v>
      </c>
    </row>
    <row r="80" spans="2:17" ht="23.1" customHeight="1">
      <c r="B80" s="2"/>
      <c r="C80" s="2"/>
      <c r="D80" s="2"/>
      <c r="E80" s="74" t="s">
        <v>118</v>
      </c>
      <c r="F80" s="75">
        <f>+Cuentas!B9</f>
        <v>1427200</v>
      </c>
      <c r="G80" s="386">
        <f t="shared" si="22"/>
        <v>188.64</v>
      </c>
      <c r="H80" s="60"/>
      <c r="I80" s="386">
        <f t="shared" si="23"/>
        <v>188.64</v>
      </c>
    </row>
    <row r="81" spans="2:9" ht="23.1" customHeight="1">
      <c r="B81" s="2"/>
      <c r="C81" s="2"/>
      <c r="D81" s="2"/>
      <c r="E81" s="74" t="s">
        <v>118</v>
      </c>
      <c r="F81" s="75" t="str">
        <f>+Cuentas!B10</f>
        <v>B22235000</v>
      </c>
      <c r="G81" s="386">
        <f t="shared" si="22"/>
        <v>11483.69</v>
      </c>
      <c r="H81" s="60"/>
      <c r="I81" s="386">
        <f t="shared" si="23"/>
        <v>11483.69</v>
      </c>
    </row>
    <row r="82" spans="2:9" ht="23.1" hidden="1" customHeight="1">
      <c r="B82" s="2"/>
      <c r="C82" s="2"/>
      <c r="D82" s="2"/>
      <c r="E82" s="74" t="s">
        <v>118</v>
      </c>
      <c r="F82" s="75">
        <f>+Cuentas!B11</f>
        <v>700833580</v>
      </c>
      <c r="G82" s="386">
        <f t="shared" si="22"/>
        <v>0</v>
      </c>
      <c r="H82" s="60"/>
      <c r="I82" s="386">
        <f t="shared" si="23"/>
        <v>0</v>
      </c>
    </row>
    <row r="83" spans="2:9" ht="23.1" hidden="1" customHeight="1">
      <c r="B83" s="2"/>
      <c r="C83" s="2"/>
      <c r="D83" s="2"/>
      <c r="E83" s="74" t="s">
        <v>118</v>
      </c>
      <c r="F83" s="75" t="str">
        <f>+Cuentas!B12</f>
        <v>F</v>
      </c>
      <c r="G83" s="386">
        <f t="shared" si="22"/>
        <v>0</v>
      </c>
      <c r="H83" s="60"/>
      <c r="I83" s="386">
        <f t="shared" si="23"/>
        <v>0</v>
      </c>
    </row>
    <row r="84" spans="2:9" ht="23.1" hidden="1" customHeight="1">
      <c r="B84" s="2"/>
      <c r="C84" s="2"/>
      <c r="D84" s="2"/>
      <c r="E84" s="74" t="s">
        <v>118</v>
      </c>
      <c r="F84" s="75" t="str">
        <f>+Cuentas!B13</f>
        <v>G</v>
      </c>
      <c r="G84" s="386">
        <f t="shared" si="22"/>
        <v>0</v>
      </c>
      <c r="H84" s="60"/>
      <c r="I84" s="386">
        <f t="shared" si="23"/>
        <v>0</v>
      </c>
    </row>
    <row r="85" spans="2:9" ht="23.1" hidden="1" customHeight="1">
      <c r="B85" s="2"/>
      <c r="C85" s="2"/>
      <c r="D85" s="2"/>
      <c r="E85" s="74" t="s">
        <v>118</v>
      </c>
      <c r="F85" s="75" t="str">
        <f>+Cuentas!B14</f>
        <v>H</v>
      </c>
      <c r="G85" s="386">
        <f t="shared" si="22"/>
        <v>0</v>
      </c>
      <c r="H85" s="60"/>
      <c r="I85" s="386">
        <f t="shared" si="23"/>
        <v>0</v>
      </c>
    </row>
    <row r="86" spans="2:9" ht="23.1" hidden="1" customHeight="1">
      <c r="B86" s="2"/>
      <c r="C86" s="2"/>
      <c r="D86" s="2"/>
      <c r="E86" s="74" t="s">
        <v>118</v>
      </c>
      <c r="F86" s="75" t="str">
        <f>+Cuentas!B15</f>
        <v>I</v>
      </c>
      <c r="G86" s="386">
        <f t="shared" si="22"/>
        <v>0</v>
      </c>
      <c r="H86" s="60"/>
      <c r="I86" s="386">
        <f t="shared" si="23"/>
        <v>0</v>
      </c>
    </row>
    <row r="87" spans="2:9" ht="23.1" hidden="1" customHeight="1">
      <c r="B87" s="2"/>
      <c r="C87" s="2"/>
      <c r="D87" s="2"/>
      <c r="E87" s="74" t="s">
        <v>118</v>
      </c>
      <c r="F87" s="75" t="str">
        <f>+Cuentas!B16</f>
        <v>J</v>
      </c>
      <c r="G87" s="386">
        <f t="shared" si="22"/>
        <v>0</v>
      </c>
      <c r="H87" s="60"/>
      <c r="I87" s="386">
        <f t="shared" si="23"/>
        <v>0</v>
      </c>
    </row>
    <row r="88" spans="2:9" ht="23.1" hidden="1" customHeight="1">
      <c r="B88" s="2"/>
      <c r="C88" s="2"/>
      <c r="D88" s="2"/>
      <c r="E88" s="74" t="s">
        <v>118</v>
      </c>
      <c r="F88" s="75" t="str">
        <f>+Cuentas!B17</f>
        <v>K</v>
      </c>
      <c r="G88" s="386">
        <f t="shared" si="22"/>
        <v>0</v>
      </c>
      <c r="H88" s="60"/>
      <c r="I88" s="386">
        <f t="shared" si="23"/>
        <v>0</v>
      </c>
    </row>
    <row r="89" spans="2:9" ht="23.1" hidden="1" customHeight="1">
      <c r="B89" s="2"/>
      <c r="C89" s="2"/>
      <c r="D89" s="2"/>
      <c r="E89" s="74" t="s">
        <v>118</v>
      </c>
      <c r="F89" s="75" t="str">
        <f>+Cuentas!B18</f>
        <v>L</v>
      </c>
      <c r="G89" s="386">
        <f t="shared" si="22"/>
        <v>0</v>
      </c>
      <c r="H89" s="60"/>
      <c r="I89" s="386">
        <f t="shared" si="23"/>
        <v>0</v>
      </c>
    </row>
    <row r="90" spans="2:9" ht="23.1" hidden="1" customHeight="1">
      <c r="B90" s="2"/>
      <c r="C90" s="2"/>
      <c r="D90" s="2"/>
      <c r="E90" s="74" t="s">
        <v>118</v>
      </c>
      <c r="F90" s="75" t="str">
        <f>+Cuentas!B19</f>
        <v>M</v>
      </c>
      <c r="G90" s="386">
        <f t="shared" si="22"/>
        <v>0</v>
      </c>
      <c r="H90" s="60"/>
      <c r="I90" s="386">
        <f t="shared" si="23"/>
        <v>0</v>
      </c>
    </row>
    <row r="91" spans="2:9" ht="23.1" hidden="1" customHeight="1">
      <c r="B91" s="2"/>
      <c r="C91" s="2"/>
      <c r="D91" s="2"/>
      <c r="E91" s="74" t="s">
        <v>118</v>
      </c>
      <c r="F91" s="75" t="str">
        <f>+Cuentas!B20</f>
        <v>N</v>
      </c>
      <c r="G91" s="386">
        <f t="shared" si="22"/>
        <v>0</v>
      </c>
      <c r="H91" s="60"/>
      <c r="I91" s="386">
        <f t="shared" si="23"/>
        <v>0</v>
      </c>
    </row>
    <row r="92" spans="2:9" ht="23.1" hidden="1" customHeight="1">
      <c r="B92" s="2"/>
      <c r="C92" s="2"/>
      <c r="D92" s="2"/>
      <c r="E92" s="74" t="s">
        <v>118</v>
      </c>
      <c r="F92" s="75" t="str">
        <f>+Cuentas!B21</f>
        <v>O</v>
      </c>
      <c r="G92" s="386">
        <f t="shared" si="22"/>
        <v>0</v>
      </c>
      <c r="H92" s="60"/>
      <c r="I92" s="386">
        <f t="shared" si="23"/>
        <v>0</v>
      </c>
    </row>
    <row r="93" spans="2:9" ht="23.1" hidden="1" customHeight="1">
      <c r="B93" s="2"/>
      <c r="C93" s="2"/>
      <c r="D93" s="2"/>
      <c r="E93" s="74" t="s">
        <v>118</v>
      </c>
      <c r="F93" s="75" t="str">
        <f>+Cuentas!B22</f>
        <v>P</v>
      </c>
      <c r="G93" s="386">
        <f t="shared" si="22"/>
        <v>0</v>
      </c>
      <c r="H93" s="60"/>
      <c r="I93" s="386">
        <f t="shared" si="23"/>
        <v>0</v>
      </c>
    </row>
    <row r="94" spans="2:9" ht="23.1" hidden="1" customHeight="1">
      <c r="B94" s="2"/>
      <c r="C94" s="2"/>
      <c r="D94" s="2"/>
      <c r="E94" s="74" t="s">
        <v>118</v>
      </c>
      <c r="F94" s="75" t="str">
        <f>+Cuentas!B23</f>
        <v>Q</v>
      </c>
      <c r="G94" s="386">
        <f t="shared" si="22"/>
        <v>0</v>
      </c>
      <c r="H94" s="60"/>
      <c r="I94" s="386">
        <f t="shared" si="23"/>
        <v>0</v>
      </c>
    </row>
    <row r="95" spans="2:9" ht="23.1" hidden="1" customHeight="1">
      <c r="B95" s="2"/>
      <c r="C95" s="2"/>
      <c r="D95" s="2"/>
      <c r="E95" s="74" t="s">
        <v>118</v>
      </c>
      <c r="F95" s="75" t="str">
        <f>+Cuentas!B24</f>
        <v>R</v>
      </c>
      <c r="G95" s="386">
        <f t="shared" si="22"/>
        <v>0</v>
      </c>
      <c r="H95" s="60"/>
      <c r="I95" s="386">
        <f t="shared" si="23"/>
        <v>0</v>
      </c>
    </row>
    <row r="96" spans="2:9" ht="15.95">
      <c r="B96" s="2"/>
      <c r="C96" s="2"/>
      <c r="D96" s="2"/>
      <c r="E96" s="2"/>
      <c r="F96" s="2"/>
      <c r="G96" s="387"/>
      <c r="H96" s="5"/>
      <c r="I96" s="387"/>
    </row>
    <row r="97" spans="2:9" ht="23.1" customHeight="1">
      <c r="B97" s="2"/>
      <c r="C97" s="2"/>
      <c r="D97" s="2"/>
      <c r="E97" s="2"/>
      <c r="F97" s="72" t="s">
        <v>119</v>
      </c>
      <c r="G97" s="388">
        <f>SUM(G78:G96)</f>
        <v>16535.95</v>
      </c>
      <c r="H97" s="73"/>
      <c r="I97" s="388">
        <f>SUM(I78:I96)</f>
        <v>16298.456172000002</v>
      </c>
    </row>
    <row r="98" spans="2:9" ht="23.1" customHeight="1">
      <c r="G98" s="12"/>
    </row>
    <row r="99" spans="2:9" ht="23.1" customHeight="1">
      <c r="G99" s="131">
        <f>+G78+'Dividendos Extranjero'!G187</f>
        <v>33659.879999999976</v>
      </c>
    </row>
    <row r="100" spans="2:9" ht="23.1" customHeight="1">
      <c r="G100" s="131">
        <f>+G79+'Dividendos Extranjero'!G188</f>
        <v>36601.82</v>
      </c>
    </row>
    <row r="101" spans="2:9" ht="23.1" customHeight="1">
      <c r="G101" s="131">
        <f>+G80+'Dividendos Extranjero'!G189</f>
        <v>890.56000000000006</v>
      </c>
    </row>
    <row r="102" spans="2:9" ht="23.1" customHeight="1">
      <c r="G102" s="131">
        <f>+G81+'Dividendos Extranjero'!G190</f>
        <v>11483.69</v>
      </c>
    </row>
    <row r="103" spans="2:9" ht="23.1" customHeight="1">
      <c r="B103" s="59" t="s">
        <v>26</v>
      </c>
    </row>
    <row r="104" spans="2:9" ht="23.1" customHeight="1">
      <c r="H104" s="13"/>
      <c r="I104" s="13"/>
    </row>
    <row r="105" spans="2:9" ht="23.1" customHeight="1">
      <c r="H105" s="13"/>
      <c r="I105" s="13"/>
    </row>
    <row r="106" spans="2:9" ht="23.1" customHeight="1">
      <c r="H106" s="13"/>
      <c r="I106" s="13"/>
    </row>
    <row r="107" spans="2:9" ht="23.1" customHeight="1">
      <c r="H107" s="13"/>
      <c r="I107" s="13"/>
    </row>
    <row r="108" spans="2:9" ht="23.1" customHeight="1">
      <c r="H108" s="13"/>
      <c r="I108" s="13"/>
    </row>
    <row r="109" spans="2:9" ht="23.1" customHeight="1">
      <c r="H109" s="13"/>
      <c r="I109" s="13"/>
    </row>
    <row r="110" spans="2:9" ht="23.1" customHeight="1">
      <c r="H110" s="13"/>
      <c r="I110" s="13"/>
    </row>
    <row r="111" spans="2:9" ht="23.1" customHeight="1">
      <c r="H111" s="13"/>
      <c r="I111" s="13"/>
    </row>
    <row r="112" spans="2:9" ht="23.1" customHeight="1">
      <c r="H112" s="13"/>
      <c r="I112" s="13"/>
    </row>
    <row r="113" s="13" customFormat="1" ht="23.1" customHeight="1"/>
    <row r="114" s="13" customFormat="1" ht="23.1" customHeight="1"/>
    <row r="115" s="13" customFormat="1" ht="23.1" customHeight="1"/>
    <row r="116" s="13" customFormat="1" ht="23.1" customHeight="1"/>
    <row r="117" s="13" customFormat="1" ht="23.1" customHeight="1"/>
    <row r="118" s="13" customFormat="1" ht="23.1" customHeight="1"/>
    <row r="119" s="13" customFormat="1" ht="23.1" customHeight="1"/>
    <row r="120" s="13" customFormat="1" ht="23.1" customHeight="1"/>
    <row r="121" s="13" customFormat="1" ht="23.1" customHeight="1"/>
    <row r="122" s="13" customFormat="1" ht="23.1" customHeight="1"/>
    <row r="123" s="13" customFormat="1" ht="23.1" customHeight="1"/>
    <row r="124" s="13" customFormat="1" ht="23.1" customHeight="1"/>
    <row r="125" s="13" customFormat="1" ht="23.1" customHeight="1"/>
    <row r="126" s="13" customFormat="1" ht="23.1" customHeight="1"/>
    <row r="127" s="13" customFormat="1" ht="23.1" customHeight="1"/>
    <row r="128" s="13" customFormat="1" ht="23.1" customHeight="1"/>
    <row r="129" s="13" customFormat="1" ht="23.1" customHeight="1"/>
    <row r="130" s="13" customFormat="1" ht="23.1" customHeight="1"/>
    <row r="131" s="13" customFormat="1" ht="23.1" customHeight="1"/>
    <row r="132" s="13" customFormat="1" ht="23.1" customHeight="1"/>
    <row r="133" s="13" customFormat="1" ht="23.1" customHeight="1"/>
    <row r="134" s="13" customFormat="1" ht="23.1" customHeight="1"/>
    <row r="135" s="13" customFormat="1" ht="23.1" customHeight="1"/>
    <row r="136" s="13" customFormat="1" ht="23.1" customHeight="1"/>
  </sheetData>
  <sheetProtection algorithmName="SHA-512" hashValue="5/yvgX4ZtmKV0UY0QOGpAaPaWBcXAO42tL/0svseoiaWYI5ZDDt7Ek7ne2dKFj9aNVx9ZjdiEUTLD/8eCW6HKw==" saltValue="NB3NPxfLB0n6FC4jPvtY2g==" spinCount="100000" sheet="1" formatCells="0" formatColumns="0" formatRows="0" insertColumns="0" insertRows="0" deleteColumns="0" deleteRows="0" sort="0" autoFilter="0"/>
  <autoFilter ref="B6:I73" xr:uid="{48CD2D43-3E9F-E546-A8EA-F93D5E516733}"/>
  <phoneticPr fontId="9" type="noConversion"/>
  <dataValidations count="1">
    <dataValidation type="list" showInputMessage="1" showErrorMessage="1" promptTitle="OJO:" prompt="Selecciona una opción" sqref="D8:D71" xr:uid="{3D1C3E8D-8080-E444-BAA6-2F4EEC895BD6}">
      <formula1>$Q$2:$Q$22</formula1>
    </dataValidation>
  </dataValidations>
  <printOptions horizontalCentered="1"/>
  <pageMargins left="0.7" right="0.7" top="0.75" bottom="0.75" header="0.3" footer="0.3"/>
  <pageSetup scale="41" fitToHeight="3" orientation="portrait"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00000000-0002-0000-0300-000002000000}">
          <x14:formula1>
            <xm:f>Equivalencia!$A$4:$A$23</xm:f>
          </x14:formula1>
          <xm:sqref>F8:F71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2:O74"/>
  <sheetViews>
    <sheetView view="pageBreakPreview" zoomScaleNormal="100" zoomScaleSheetLayoutView="100" workbookViewId="0">
      <pane ySplit="6" topLeftCell="A8" activePane="bottomLeft" state="frozen"/>
      <selection pane="bottomLeft" activeCell="D11" sqref="D11"/>
      <selection activeCell="F34" sqref="F34"/>
    </sheetView>
  </sheetViews>
  <sheetFormatPr defaultColWidth="10.6640625" defaultRowHeight="23.1" customHeight="1"/>
  <cols>
    <col min="1" max="1" width="9.33203125" style="12" customWidth="1"/>
    <col min="2" max="2" width="25.88671875" style="12" customWidth="1"/>
    <col min="3" max="3" width="16.33203125" style="12" customWidth="1"/>
    <col min="4" max="4" width="24.44140625" style="12" customWidth="1"/>
    <col min="5" max="5" width="53.6640625" style="12" customWidth="1"/>
    <col min="6" max="6" width="17.6640625" style="12" customWidth="1"/>
    <col min="7" max="7" width="17.33203125" style="12" customWidth="1"/>
    <col min="8" max="8" width="16.6640625" style="12" customWidth="1"/>
    <col min="9" max="9" width="16.5546875" style="12" customWidth="1"/>
    <col min="10" max="14" width="10.6640625" style="12"/>
    <col min="15" max="15" width="27.88671875" style="12" customWidth="1"/>
    <col min="16" max="16384" width="10.6640625" style="12"/>
  </cols>
  <sheetData>
    <row r="2" spans="2:15" ht="23.1" customHeight="1">
      <c r="B2" s="204" t="s">
        <v>120</v>
      </c>
      <c r="C2" s="204"/>
      <c r="D2" s="204"/>
      <c r="E2" s="204"/>
      <c r="F2" s="204"/>
      <c r="G2" s="204"/>
      <c r="H2" s="204"/>
      <c r="I2" s="204"/>
      <c r="O2" s="53" t="s">
        <v>121</v>
      </c>
    </row>
    <row r="3" spans="2:15" ht="23.1" customHeight="1">
      <c r="B3" s="206" t="s">
        <v>122</v>
      </c>
      <c r="C3" s="206"/>
      <c r="D3" s="206"/>
      <c r="E3" s="206"/>
      <c r="F3" s="206"/>
      <c r="G3" s="206"/>
      <c r="H3" s="206"/>
      <c r="I3" s="206"/>
      <c r="O3" s="53" t="s">
        <v>123</v>
      </c>
    </row>
    <row r="4" spans="2:15" ht="14.1" customHeight="1">
      <c r="B4" s="79" t="s">
        <v>41</v>
      </c>
      <c r="C4" s="79" t="s">
        <v>42</v>
      </c>
      <c r="D4" s="79"/>
      <c r="E4" s="80"/>
      <c r="F4" s="79"/>
      <c r="G4" s="81"/>
      <c r="H4" s="81"/>
      <c r="I4" s="81"/>
      <c r="O4" s="53"/>
    </row>
    <row r="5" spans="2:15" ht="23.1" customHeight="1">
      <c r="B5" s="88"/>
      <c r="C5" s="88"/>
      <c r="D5" s="88"/>
      <c r="E5" s="88"/>
      <c r="F5" s="88"/>
      <c r="G5" s="88"/>
      <c r="H5" s="88"/>
      <c r="I5" s="88"/>
      <c r="O5" s="53"/>
    </row>
    <row r="6" spans="2:15" s="123" customFormat="1" ht="36" customHeight="1">
      <c r="B6" s="62" t="s">
        <v>103</v>
      </c>
      <c r="C6" s="62" t="s">
        <v>29</v>
      </c>
      <c r="D6" s="62" t="s">
        <v>104</v>
      </c>
      <c r="E6" s="62" t="s">
        <v>124</v>
      </c>
      <c r="F6" s="62" t="s">
        <v>106</v>
      </c>
      <c r="G6" s="62" t="s">
        <v>107</v>
      </c>
      <c r="H6" s="62" t="s">
        <v>108</v>
      </c>
      <c r="I6" s="62" t="s">
        <v>109</v>
      </c>
      <c r="O6" s="12"/>
    </row>
    <row r="7" spans="2:15" ht="23.1" customHeight="1">
      <c r="G7" s="184"/>
      <c r="H7" s="393"/>
    </row>
    <row r="8" spans="2:15" s="13" customFormat="1" ht="23.1" customHeight="1">
      <c r="B8" s="14" t="s">
        <v>125</v>
      </c>
      <c r="C8" s="65"/>
      <c r="D8" s="64"/>
      <c r="E8" s="66"/>
      <c r="F8" s="64"/>
      <c r="G8" s="376"/>
      <c r="H8" s="393">
        <f>+IF(F8=0,0,IF(F8="MXN",1/HLOOKUP(YEAR(C8)+(MONTH(C8)/100),TC!$5:$37,DAY(C8)+2,FALSE),VLOOKUP(F8,Equivalencia!$1:$23,((MAX(Equivalencia!$3:$3)-YEAR(C8))*14)+MONTH(C8)+2,FALSE)))</f>
        <v>0</v>
      </c>
      <c r="I8" s="376">
        <f>+G8*H8</f>
        <v>0</v>
      </c>
      <c r="O8" s="12"/>
    </row>
    <row r="9" spans="2:15" s="13" customFormat="1" ht="23.1" customHeight="1">
      <c r="B9" s="14" t="s">
        <v>126</v>
      </c>
      <c r="C9" s="65"/>
      <c r="D9" s="64"/>
      <c r="E9" s="66"/>
      <c r="F9" s="64"/>
      <c r="G9" s="376"/>
      <c r="H9" s="393">
        <f>+IF(F9=0,0,IF(F9="MXN",1/HLOOKUP(YEAR(C9)+(MONTH(C9)/100),TC!$5:$37,DAY(C9)+2,FALSE),VLOOKUP(F9,Equivalencia!$1:$23,((MAX(Equivalencia!$3:$3)-YEAR(C9))*14)+MONTH(C9)+2,FALSE)))</f>
        <v>0</v>
      </c>
      <c r="I9" s="376">
        <f t="shared" ref="I9:I14" si="0">+G9*H9</f>
        <v>0</v>
      </c>
      <c r="O9" s="12"/>
    </row>
    <row r="10" spans="2:15" s="13" customFormat="1" ht="23.1" customHeight="1">
      <c r="B10" s="14" t="s">
        <v>127</v>
      </c>
      <c r="C10" s="65"/>
      <c r="D10" s="64"/>
      <c r="E10" s="66"/>
      <c r="F10" s="64"/>
      <c r="G10" s="376"/>
      <c r="H10" s="393">
        <f>+IF(F10=0,0,IF(F10="MXN",1/HLOOKUP(YEAR(C10)+(MONTH(C10)/100),TC!$5:$37,DAY(C10)+2,FALSE),VLOOKUP(F10,Equivalencia!$1:$23,((MAX(Equivalencia!$3:$3)-YEAR(C10))*14)+MONTH(C10)+2,FALSE)))</f>
        <v>0</v>
      </c>
      <c r="I10" s="376">
        <f t="shared" si="0"/>
        <v>0</v>
      </c>
      <c r="O10" s="12"/>
    </row>
    <row r="11" spans="2:15" s="13" customFormat="1" ht="23.1" customHeight="1">
      <c r="B11" s="14" t="s">
        <v>128</v>
      </c>
      <c r="C11" s="65"/>
      <c r="D11" s="64"/>
      <c r="E11" s="66"/>
      <c r="F11" s="64"/>
      <c r="G11" s="376"/>
      <c r="H11" s="393">
        <f>+IF(F11=0,0,IF(F11="MXN",1/HLOOKUP(YEAR(C11)+(MONTH(C11)/100),TC!$5:$37,DAY(C11)+2,FALSE),VLOOKUP(F11,Equivalencia!$1:$23,((MAX(Equivalencia!$3:$3)-YEAR(C11))*14)+MONTH(C11)+2,FALSE)))</f>
        <v>0</v>
      </c>
      <c r="I11" s="376">
        <f t="shared" si="0"/>
        <v>0</v>
      </c>
      <c r="O11" s="122"/>
    </row>
    <row r="12" spans="2:15" s="13" customFormat="1" ht="23.1" customHeight="1">
      <c r="B12" s="14" t="s">
        <v>129</v>
      </c>
      <c r="C12" s="65"/>
      <c r="D12" s="64"/>
      <c r="E12" s="66"/>
      <c r="F12" s="64"/>
      <c r="G12" s="376"/>
      <c r="H12" s="393">
        <f>+IF(F12=0,0,IF(F12="MXN",1/HLOOKUP(YEAR(C12)+(MONTH(C12)/100),TC!$5:$37,DAY(C12)+2,FALSE),VLOOKUP(F12,Equivalencia!$1:$23,((MAX(Equivalencia!$3:$3)-YEAR(C12))*14)+MONTH(C12)+2,FALSE)))</f>
        <v>0</v>
      </c>
      <c r="I12" s="376">
        <f t="shared" si="0"/>
        <v>0</v>
      </c>
      <c r="O12" s="12"/>
    </row>
    <row r="13" spans="2:15" s="13" customFormat="1" ht="23.1" customHeight="1">
      <c r="B13" s="14" t="s">
        <v>13</v>
      </c>
      <c r="C13" s="65"/>
      <c r="D13" s="64"/>
      <c r="E13" s="66"/>
      <c r="F13" s="64"/>
      <c r="G13" s="376"/>
      <c r="H13" s="393">
        <f>+IF(F13=0,0,IF(F13="MXN",1/HLOOKUP(YEAR(C13)+(MONTH(C13)/100),TC!$5:$37,DAY(C13)+2,FALSE),VLOOKUP(F13,Equivalencia!$1:$23,((MAX(Equivalencia!$3:$3)-YEAR(C13))*14)+MONTH(C13)+2,FALSE)))</f>
        <v>0</v>
      </c>
      <c r="I13" s="376">
        <f t="shared" si="0"/>
        <v>0</v>
      </c>
      <c r="O13" s="12"/>
    </row>
    <row r="14" spans="2:15" s="13" customFormat="1" ht="23.1" customHeight="1">
      <c r="B14" s="14" t="s">
        <v>14</v>
      </c>
      <c r="C14" s="65"/>
      <c r="D14" s="64"/>
      <c r="E14" s="66"/>
      <c r="F14" s="64"/>
      <c r="G14" s="376"/>
      <c r="H14" s="393">
        <f>+IF(F14=0,0,IF(F14="MXN",1/HLOOKUP(YEAR(C14)+(MONTH(C14)/100),TC!$5:$37,DAY(C14)+2,FALSE),VLOOKUP(F14,Equivalencia!$1:$23,((MAX(Equivalencia!$3:$3)-YEAR(C14))*14)+MONTH(C14)+2,FALSE)))</f>
        <v>0</v>
      </c>
      <c r="I14" s="376">
        <f t="shared" si="0"/>
        <v>0</v>
      </c>
      <c r="O14" s="12"/>
    </row>
    <row r="15" spans="2:15" ht="23.1" customHeight="1">
      <c r="B15" s="57"/>
      <c r="C15" s="55"/>
      <c r="D15" s="54"/>
      <c r="E15" s="13"/>
      <c r="F15" s="54"/>
      <c r="G15" s="377"/>
      <c r="H15" s="393"/>
      <c r="I15" s="377"/>
    </row>
    <row r="16" spans="2:15" ht="23.1" customHeight="1">
      <c r="B16" s="69" t="s">
        <v>130</v>
      </c>
      <c r="C16" s="70"/>
      <c r="D16" s="70"/>
      <c r="E16" s="70"/>
      <c r="F16" s="70"/>
      <c r="G16" s="378">
        <f>SUM(G7:G15)</f>
        <v>0</v>
      </c>
      <c r="H16" s="70"/>
      <c r="I16" s="378">
        <f>SUM(I7:I15)</f>
        <v>0</v>
      </c>
    </row>
    <row r="20" spans="3:15" s="122" customFormat="1" ht="30">
      <c r="G20" s="119" t="s">
        <v>116</v>
      </c>
      <c r="H20" s="120"/>
      <c r="I20" s="119" t="s">
        <v>117</v>
      </c>
      <c r="O20" s="12"/>
    </row>
    <row r="22" spans="3:15" ht="23.1" customHeight="1">
      <c r="C22" s="83"/>
      <c r="D22" s="83"/>
      <c r="E22" s="84" t="s">
        <v>131</v>
      </c>
      <c r="F22" s="85">
        <f>+Cuentas!B7</f>
        <v>1175000</v>
      </c>
      <c r="G22" s="379">
        <f t="shared" ref="G22:G39" si="1">SUMIF($B$6:$B$544,F22,$G$6:$G$544)</f>
        <v>0</v>
      </c>
      <c r="H22" s="83"/>
      <c r="I22" s="379">
        <f t="shared" ref="I22:I39" si="2">SUMIF($B$6:$B$544,F22,$I$6:$I$544)</f>
        <v>0</v>
      </c>
    </row>
    <row r="23" spans="3:15" ht="23.1" customHeight="1">
      <c r="C23" s="83"/>
      <c r="D23" s="83"/>
      <c r="E23" s="84" t="s">
        <v>131</v>
      </c>
      <c r="F23" s="85">
        <f>+Cuentas!B8</f>
        <v>1179000</v>
      </c>
      <c r="G23" s="379">
        <f t="shared" si="1"/>
        <v>0</v>
      </c>
      <c r="H23" s="83"/>
      <c r="I23" s="379">
        <f t="shared" si="2"/>
        <v>0</v>
      </c>
    </row>
    <row r="24" spans="3:15" ht="23.1" customHeight="1">
      <c r="C24" s="83"/>
      <c r="D24" s="83"/>
      <c r="E24" s="84" t="s">
        <v>131</v>
      </c>
      <c r="F24" s="85">
        <f>+Cuentas!B9</f>
        <v>1427200</v>
      </c>
      <c r="G24" s="379">
        <f t="shared" si="1"/>
        <v>0</v>
      </c>
      <c r="H24" s="83"/>
      <c r="I24" s="379">
        <f t="shared" si="2"/>
        <v>0</v>
      </c>
    </row>
    <row r="25" spans="3:15" ht="23.1" customHeight="1">
      <c r="C25" s="83"/>
      <c r="D25" s="83"/>
      <c r="E25" s="84" t="s">
        <v>131</v>
      </c>
      <c r="F25" s="85" t="str">
        <f>+Cuentas!B10</f>
        <v>B22235000</v>
      </c>
      <c r="G25" s="379">
        <f t="shared" si="1"/>
        <v>0</v>
      </c>
      <c r="H25" s="83"/>
      <c r="I25" s="379">
        <f t="shared" si="2"/>
        <v>0</v>
      </c>
    </row>
    <row r="26" spans="3:15" ht="23.1" customHeight="1">
      <c r="C26" s="83"/>
      <c r="D26" s="83"/>
      <c r="E26" s="84" t="s">
        <v>131</v>
      </c>
      <c r="F26" s="85">
        <f>+Cuentas!B11</f>
        <v>700833580</v>
      </c>
      <c r="G26" s="379">
        <f t="shared" si="1"/>
        <v>0</v>
      </c>
      <c r="H26" s="83"/>
      <c r="I26" s="379">
        <f t="shared" si="2"/>
        <v>0</v>
      </c>
    </row>
    <row r="27" spans="3:15" ht="23.1" customHeight="1">
      <c r="C27" s="83"/>
      <c r="D27" s="83"/>
      <c r="E27" s="84" t="s">
        <v>131</v>
      </c>
      <c r="F27" s="85" t="str">
        <f>+Cuentas!B12</f>
        <v>F</v>
      </c>
      <c r="G27" s="379">
        <f t="shared" si="1"/>
        <v>0</v>
      </c>
      <c r="H27" s="83"/>
      <c r="I27" s="379">
        <f t="shared" si="2"/>
        <v>0</v>
      </c>
    </row>
    <row r="28" spans="3:15" ht="23.1" customHeight="1">
      <c r="C28" s="83"/>
      <c r="D28" s="83"/>
      <c r="E28" s="84" t="s">
        <v>131</v>
      </c>
      <c r="F28" s="85" t="str">
        <f>+Cuentas!B13</f>
        <v>G</v>
      </c>
      <c r="G28" s="379">
        <f t="shared" si="1"/>
        <v>0</v>
      </c>
      <c r="H28" s="83"/>
      <c r="I28" s="379">
        <f t="shared" si="2"/>
        <v>0</v>
      </c>
    </row>
    <row r="29" spans="3:15" ht="23.1" customHeight="1">
      <c r="C29" s="83"/>
      <c r="D29" s="83"/>
      <c r="E29" s="84" t="s">
        <v>131</v>
      </c>
      <c r="F29" s="85" t="str">
        <f>+Cuentas!B14</f>
        <v>H</v>
      </c>
      <c r="G29" s="379">
        <f t="shared" si="1"/>
        <v>0</v>
      </c>
      <c r="H29" s="83"/>
      <c r="I29" s="379">
        <f t="shared" si="2"/>
        <v>0</v>
      </c>
    </row>
    <row r="30" spans="3:15" ht="23.1" customHeight="1">
      <c r="C30" s="83"/>
      <c r="D30" s="83"/>
      <c r="E30" s="84" t="s">
        <v>131</v>
      </c>
      <c r="F30" s="85" t="str">
        <f>+Cuentas!B15</f>
        <v>I</v>
      </c>
      <c r="G30" s="379">
        <f t="shared" si="1"/>
        <v>0</v>
      </c>
      <c r="H30" s="83"/>
      <c r="I30" s="379">
        <f t="shared" si="2"/>
        <v>0</v>
      </c>
    </row>
    <row r="31" spans="3:15" ht="23.1" customHeight="1">
      <c r="C31" s="83"/>
      <c r="D31" s="83"/>
      <c r="E31" s="84" t="s">
        <v>131</v>
      </c>
      <c r="F31" s="85" t="str">
        <f>+Cuentas!B16</f>
        <v>J</v>
      </c>
      <c r="G31" s="379">
        <f t="shared" si="1"/>
        <v>0</v>
      </c>
      <c r="H31" s="83"/>
      <c r="I31" s="379">
        <f t="shared" si="2"/>
        <v>0</v>
      </c>
    </row>
    <row r="32" spans="3:15" ht="23.1" customHeight="1">
      <c r="C32" s="83"/>
      <c r="D32" s="83"/>
      <c r="E32" s="84" t="s">
        <v>131</v>
      </c>
      <c r="F32" s="85" t="str">
        <f>+Cuentas!B17</f>
        <v>K</v>
      </c>
      <c r="G32" s="379">
        <f t="shared" si="1"/>
        <v>0</v>
      </c>
      <c r="H32" s="83"/>
      <c r="I32" s="379">
        <f t="shared" si="2"/>
        <v>0</v>
      </c>
    </row>
    <row r="33" spans="2:9" ht="23.1" customHeight="1">
      <c r="C33" s="83"/>
      <c r="D33" s="83"/>
      <c r="E33" s="84" t="s">
        <v>131</v>
      </c>
      <c r="F33" s="85" t="str">
        <f>+Cuentas!B18</f>
        <v>L</v>
      </c>
      <c r="G33" s="379">
        <f t="shared" si="1"/>
        <v>0</v>
      </c>
      <c r="H33" s="83"/>
      <c r="I33" s="379">
        <f t="shared" si="2"/>
        <v>0</v>
      </c>
    </row>
    <row r="34" spans="2:9" ht="23.1" customHeight="1">
      <c r="C34" s="83"/>
      <c r="D34" s="83"/>
      <c r="E34" s="84" t="s">
        <v>131</v>
      </c>
      <c r="F34" s="85" t="str">
        <f>+Cuentas!B19</f>
        <v>M</v>
      </c>
      <c r="G34" s="379">
        <f t="shared" si="1"/>
        <v>0</v>
      </c>
      <c r="H34" s="83"/>
      <c r="I34" s="379">
        <f t="shared" si="2"/>
        <v>0</v>
      </c>
    </row>
    <row r="35" spans="2:9" ht="23.1" customHeight="1">
      <c r="C35" s="83"/>
      <c r="D35" s="83"/>
      <c r="E35" s="84" t="s">
        <v>131</v>
      </c>
      <c r="F35" s="85" t="str">
        <f>+Cuentas!B20</f>
        <v>N</v>
      </c>
      <c r="G35" s="379">
        <f t="shared" si="1"/>
        <v>0</v>
      </c>
      <c r="H35" s="83"/>
      <c r="I35" s="379">
        <f t="shared" si="2"/>
        <v>0</v>
      </c>
    </row>
    <row r="36" spans="2:9" ht="23.1" customHeight="1">
      <c r="C36" s="83"/>
      <c r="D36" s="83"/>
      <c r="E36" s="84" t="s">
        <v>131</v>
      </c>
      <c r="F36" s="85" t="str">
        <f>+Cuentas!B21</f>
        <v>O</v>
      </c>
      <c r="G36" s="379">
        <f t="shared" si="1"/>
        <v>0</v>
      </c>
      <c r="H36" s="83"/>
      <c r="I36" s="379">
        <f t="shared" si="2"/>
        <v>0</v>
      </c>
    </row>
    <row r="37" spans="2:9" ht="23.1" customHeight="1">
      <c r="C37" s="83"/>
      <c r="D37" s="83"/>
      <c r="E37" s="84" t="s">
        <v>131</v>
      </c>
      <c r="F37" s="85" t="str">
        <f>+Cuentas!B22</f>
        <v>P</v>
      </c>
      <c r="G37" s="379">
        <f t="shared" si="1"/>
        <v>0</v>
      </c>
      <c r="H37" s="83"/>
      <c r="I37" s="379">
        <f t="shared" si="2"/>
        <v>0</v>
      </c>
    </row>
    <row r="38" spans="2:9" ht="23.1" customHeight="1">
      <c r="C38" s="83"/>
      <c r="D38" s="83"/>
      <c r="E38" s="84" t="s">
        <v>131</v>
      </c>
      <c r="F38" s="85" t="str">
        <f>+Cuentas!B23</f>
        <v>Q</v>
      </c>
      <c r="G38" s="379">
        <f t="shared" si="1"/>
        <v>0</v>
      </c>
      <c r="H38" s="83"/>
      <c r="I38" s="379">
        <f t="shared" si="2"/>
        <v>0</v>
      </c>
    </row>
    <row r="39" spans="2:9" ht="23.1" customHeight="1">
      <c r="C39" s="83"/>
      <c r="D39" s="83"/>
      <c r="E39" s="84" t="s">
        <v>131</v>
      </c>
      <c r="F39" s="85" t="str">
        <f>+Cuentas!B24</f>
        <v>R</v>
      </c>
      <c r="G39" s="379">
        <f t="shared" si="1"/>
        <v>0</v>
      </c>
      <c r="H39" s="83"/>
      <c r="I39" s="379">
        <f t="shared" si="2"/>
        <v>0</v>
      </c>
    </row>
    <row r="40" spans="2:9" ht="23.1" customHeight="1">
      <c r="G40" s="184"/>
      <c r="I40" s="184"/>
    </row>
    <row r="41" spans="2:9" ht="23.1" customHeight="1">
      <c r="F41" s="86" t="s">
        <v>119</v>
      </c>
      <c r="G41" s="380">
        <f>SUM(G22:G40)</f>
        <v>0</v>
      </c>
      <c r="H41" s="87"/>
      <c r="I41" s="380">
        <f>SUM(I22:I40)</f>
        <v>0</v>
      </c>
    </row>
    <row r="46" spans="2:9" ht="23.1" customHeight="1">
      <c r="B46" s="59" t="s">
        <v>26</v>
      </c>
    </row>
    <row r="47" spans="2:9" ht="23.1" customHeight="1">
      <c r="B47" s="13"/>
      <c r="C47" s="13"/>
      <c r="D47" s="13"/>
      <c r="E47" s="13"/>
      <c r="F47" s="13"/>
      <c r="G47" s="13"/>
      <c r="H47" s="13"/>
      <c r="I47" s="13"/>
    </row>
    <row r="48" spans="2:9" ht="23.1" customHeight="1">
      <c r="B48" s="13"/>
      <c r="C48" s="13"/>
      <c r="D48" s="13"/>
      <c r="E48" s="13"/>
      <c r="F48" s="13"/>
      <c r="G48" s="13"/>
      <c r="H48" s="13"/>
      <c r="I48" s="13"/>
    </row>
    <row r="49" spans="2:9" ht="23.1" customHeight="1">
      <c r="B49" s="13"/>
      <c r="C49" s="13"/>
      <c r="D49" s="13"/>
      <c r="E49" s="13"/>
      <c r="F49" s="13"/>
      <c r="G49" s="13"/>
      <c r="H49" s="13"/>
      <c r="I49" s="13"/>
    </row>
    <row r="50" spans="2:9" ht="23.1" customHeight="1">
      <c r="B50" s="13"/>
      <c r="C50" s="13"/>
      <c r="D50" s="13"/>
      <c r="E50" s="13"/>
      <c r="F50" s="13"/>
      <c r="G50" s="13"/>
      <c r="H50" s="13"/>
      <c r="I50" s="13"/>
    </row>
    <row r="51" spans="2:9" ht="23.1" customHeight="1">
      <c r="B51" s="13"/>
      <c r="C51" s="13"/>
      <c r="D51" s="13"/>
      <c r="E51" s="13"/>
      <c r="F51" s="13"/>
      <c r="G51" s="13"/>
      <c r="H51" s="13"/>
      <c r="I51" s="13"/>
    </row>
    <row r="52" spans="2:9" ht="23.1" customHeight="1">
      <c r="B52" s="13"/>
      <c r="C52" s="13"/>
      <c r="D52" s="13"/>
      <c r="E52" s="13"/>
      <c r="F52" s="13"/>
      <c r="G52" s="13"/>
      <c r="H52" s="13"/>
      <c r="I52" s="13"/>
    </row>
    <row r="53" spans="2:9" ht="23.1" customHeight="1">
      <c r="B53" s="13"/>
      <c r="C53" s="13"/>
      <c r="D53" s="13"/>
      <c r="E53" s="13"/>
      <c r="F53" s="13"/>
      <c r="G53" s="13"/>
      <c r="H53" s="13"/>
      <c r="I53" s="13"/>
    </row>
    <row r="54" spans="2:9" ht="23.1" customHeight="1">
      <c r="B54" s="13"/>
      <c r="C54" s="13"/>
      <c r="D54" s="13"/>
      <c r="E54" s="13"/>
      <c r="F54" s="13"/>
      <c r="G54" s="13"/>
      <c r="H54" s="13"/>
      <c r="I54" s="13"/>
    </row>
    <row r="55" spans="2:9" ht="23.1" customHeight="1">
      <c r="B55" s="13"/>
      <c r="C55" s="13"/>
      <c r="D55" s="13"/>
      <c r="E55" s="13"/>
      <c r="F55" s="13"/>
      <c r="G55" s="13"/>
      <c r="H55" s="13"/>
      <c r="I55" s="13"/>
    </row>
    <row r="56" spans="2:9" ht="23.1" customHeight="1">
      <c r="B56" s="13"/>
      <c r="C56" s="13"/>
      <c r="D56" s="13"/>
      <c r="E56" s="13"/>
      <c r="F56" s="13"/>
      <c r="G56" s="13"/>
      <c r="H56" s="13"/>
      <c r="I56" s="13"/>
    </row>
    <row r="57" spans="2:9" ht="23.1" customHeight="1">
      <c r="B57" s="13"/>
      <c r="C57" s="13"/>
      <c r="D57" s="13"/>
      <c r="E57" s="13"/>
      <c r="F57" s="13"/>
      <c r="G57" s="13"/>
      <c r="H57" s="13"/>
      <c r="I57" s="13"/>
    </row>
    <row r="58" spans="2:9" ht="23.1" customHeight="1">
      <c r="B58" s="13"/>
      <c r="C58" s="13"/>
      <c r="D58" s="13"/>
      <c r="E58" s="13"/>
      <c r="F58" s="13"/>
      <c r="G58" s="13"/>
      <c r="H58" s="13"/>
      <c r="I58" s="13"/>
    </row>
    <row r="59" spans="2:9" ht="23.1" customHeight="1">
      <c r="B59" s="13"/>
      <c r="C59" s="13"/>
      <c r="D59" s="13"/>
      <c r="E59" s="13"/>
      <c r="F59" s="13"/>
      <c r="G59" s="13"/>
      <c r="H59" s="13"/>
      <c r="I59" s="13"/>
    </row>
    <row r="60" spans="2:9" ht="23.1" customHeight="1">
      <c r="B60" s="13"/>
      <c r="C60" s="13"/>
      <c r="D60" s="13"/>
      <c r="E60" s="13"/>
      <c r="F60" s="13"/>
      <c r="G60" s="13"/>
      <c r="H60" s="13"/>
      <c r="I60" s="13"/>
    </row>
    <row r="61" spans="2:9" ht="23.1" customHeight="1">
      <c r="B61" s="13"/>
      <c r="C61" s="13"/>
      <c r="D61" s="13"/>
      <c r="E61" s="13"/>
      <c r="F61" s="13"/>
      <c r="G61" s="13"/>
      <c r="H61" s="13"/>
      <c r="I61" s="13"/>
    </row>
    <row r="62" spans="2:9" ht="23.1" customHeight="1">
      <c r="B62" s="13"/>
      <c r="C62" s="13"/>
      <c r="D62" s="13"/>
      <c r="E62" s="13"/>
      <c r="F62" s="13"/>
      <c r="G62" s="13"/>
      <c r="H62" s="13"/>
      <c r="I62" s="13"/>
    </row>
    <row r="63" spans="2:9" ht="23.1" customHeight="1">
      <c r="B63" s="13"/>
      <c r="C63" s="13"/>
      <c r="D63" s="13"/>
      <c r="E63" s="13"/>
      <c r="F63" s="13"/>
      <c r="G63" s="13"/>
      <c r="H63" s="13"/>
      <c r="I63" s="13"/>
    </row>
    <row r="64" spans="2:9" ht="23.1" customHeight="1">
      <c r="B64" s="13"/>
      <c r="C64" s="13"/>
      <c r="D64" s="13"/>
      <c r="E64" s="13"/>
      <c r="F64" s="13"/>
      <c r="G64" s="13"/>
      <c r="H64" s="13"/>
      <c r="I64" s="13"/>
    </row>
    <row r="65" spans="2:9" ht="23.1" customHeight="1">
      <c r="B65" s="13"/>
      <c r="C65" s="13"/>
      <c r="D65" s="13"/>
      <c r="E65" s="13"/>
      <c r="F65" s="13"/>
      <c r="G65" s="13"/>
      <c r="H65" s="13"/>
      <c r="I65" s="13"/>
    </row>
    <row r="66" spans="2:9" ht="23.1" customHeight="1">
      <c r="B66" s="13"/>
      <c r="C66" s="13"/>
      <c r="D66" s="13"/>
      <c r="E66" s="13"/>
      <c r="F66" s="13"/>
      <c r="G66" s="13"/>
      <c r="H66" s="13"/>
      <c r="I66" s="13"/>
    </row>
    <row r="67" spans="2:9" ht="23.1" customHeight="1">
      <c r="B67" s="13"/>
      <c r="C67" s="13"/>
      <c r="D67" s="13"/>
      <c r="E67" s="13"/>
      <c r="F67" s="13"/>
      <c r="G67" s="13"/>
      <c r="H67" s="13"/>
      <c r="I67" s="13"/>
    </row>
    <row r="68" spans="2:9" ht="23.1" customHeight="1">
      <c r="B68" s="13"/>
      <c r="C68" s="13"/>
      <c r="D68" s="13"/>
      <c r="E68" s="13"/>
      <c r="F68" s="13"/>
      <c r="G68" s="13"/>
      <c r="H68" s="13"/>
      <c r="I68" s="13"/>
    </row>
    <row r="69" spans="2:9" ht="23.1" customHeight="1">
      <c r="B69" s="13"/>
      <c r="C69" s="13"/>
      <c r="D69" s="13"/>
      <c r="E69" s="13"/>
      <c r="F69" s="13"/>
      <c r="G69" s="13"/>
      <c r="H69" s="13"/>
      <c r="I69" s="13"/>
    </row>
    <row r="70" spans="2:9" ht="23.1" customHeight="1">
      <c r="B70" s="13"/>
      <c r="C70" s="13"/>
      <c r="D70" s="13"/>
      <c r="E70" s="13"/>
      <c r="F70" s="13"/>
      <c r="G70" s="13"/>
      <c r="H70" s="13"/>
      <c r="I70" s="13"/>
    </row>
    <row r="71" spans="2:9" ht="23.1" customHeight="1">
      <c r="B71" s="13"/>
      <c r="C71" s="13"/>
      <c r="D71" s="13"/>
      <c r="E71" s="13"/>
      <c r="F71" s="13"/>
      <c r="G71" s="13"/>
      <c r="H71" s="13"/>
      <c r="I71" s="13"/>
    </row>
    <row r="72" spans="2:9" ht="23.1" customHeight="1">
      <c r="B72" s="13"/>
      <c r="C72" s="13"/>
      <c r="D72" s="13"/>
      <c r="E72" s="13"/>
      <c r="F72" s="13"/>
      <c r="G72" s="13"/>
      <c r="H72" s="13"/>
      <c r="I72" s="13"/>
    </row>
    <row r="73" spans="2:9" ht="23.1" customHeight="1">
      <c r="B73" s="13"/>
      <c r="C73" s="13"/>
      <c r="D73" s="13"/>
      <c r="E73" s="13"/>
      <c r="F73" s="13"/>
      <c r="G73" s="13"/>
      <c r="H73" s="13"/>
      <c r="I73" s="13"/>
    </row>
    <row r="74" spans="2:9" ht="23.1" customHeight="1">
      <c r="B74" s="13"/>
      <c r="C74" s="13"/>
      <c r="D74" s="13"/>
      <c r="E74" s="13"/>
      <c r="F74" s="13"/>
      <c r="G74" s="13"/>
      <c r="H74" s="13"/>
      <c r="I74" s="13"/>
    </row>
  </sheetData>
  <sheetProtection algorithmName="SHA-512" hashValue="SWhZRdk9HUPTxMyo7zmN6pkZwhMKbRKD9Yml+P/6/Gj5ST9Wo+jpetiN6Vt3CxjoNYe6FFleggc28h+0Mwr9DQ==" saltValue="A+t6lunaB/wJRb5AMcpAag==" spinCount="100000" sheet="1" formatCells="0" formatColumns="0" formatRows="0" insertColumns="0" insertRows="0" deleteColumns="0" deleteRows="0" sort="0" autoFilter="0"/>
  <autoFilter ref="B6:I14" xr:uid="{3E119F37-D41D-5940-BAE0-B2173637E43B}"/>
  <phoneticPr fontId="9" type="noConversion"/>
  <dataValidations count="1">
    <dataValidation type="list" showInputMessage="1" showErrorMessage="1" promptTitle="OJO" prompt="Selecciona una opción" sqref="D8:D14" xr:uid="{00000000-0002-0000-0400-000000000000}">
      <formula1>$O$2:$O$5</formula1>
    </dataValidation>
  </dataValidations>
  <printOptions horizontalCentered="1"/>
  <pageMargins left="0.7" right="0.7" top="0.75" bottom="0.75" header="0.3" footer="0.3"/>
  <pageSetup scale="52"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00000000-0002-0000-0400-000001000000}">
          <x14:formula1>
            <xm:f>Equivalencia!$A$4:$A$23</xm:f>
          </x14:formula1>
          <xm:sqref>F8:F14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L91"/>
  <sheetViews>
    <sheetView view="pageBreakPreview" zoomScaleNormal="90" zoomScaleSheetLayoutView="100" workbookViewId="0">
      <pane ySplit="6" topLeftCell="A7" activePane="bottomLeft" state="frozen"/>
      <selection pane="bottomLeft" activeCell="F34" sqref="F34"/>
      <selection activeCell="F34" sqref="F34"/>
    </sheetView>
  </sheetViews>
  <sheetFormatPr defaultColWidth="10.6640625" defaultRowHeight="23.1" customHeight="1"/>
  <cols>
    <col min="1" max="1" width="10.6640625" style="12"/>
    <col min="2" max="2" width="17" style="12" customWidth="1"/>
    <col min="3" max="3" width="14.6640625" style="12" customWidth="1"/>
    <col min="4" max="4" width="46.109375" style="12" customWidth="1"/>
    <col min="5" max="5" width="22.33203125" style="12" customWidth="1"/>
    <col min="6" max="6" width="20.88671875" style="12" customWidth="1"/>
    <col min="7" max="7" width="17.33203125" style="12" customWidth="1"/>
    <col min="8" max="8" width="19.88671875" style="12" customWidth="1"/>
    <col min="9" max="9" width="13.5546875" style="12" customWidth="1"/>
    <col min="10" max="10" width="17" style="12" customWidth="1"/>
    <col min="11" max="11" width="15.6640625" style="12" customWidth="1"/>
    <col min="12" max="12" width="18.88671875" style="12" customWidth="1"/>
    <col min="13" max="16384" width="10.6640625" style="12"/>
  </cols>
  <sheetData>
    <row r="2" spans="2:12" ht="23.1" customHeight="1">
      <c r="B2" s="587" t="s">
        <v>132</v>
      </c>
      <c r="C2" s="587"/>
      <c r="D2" s="587"/>
      <c r="E2" s="587"/>
      <c r="F2" s="587"/>
      <c r="G2" s="587"/>
      <c r="H2" s="587"/>
      <c r="I2" s="587"/>
      <c r="J2" s="587"/>
      <c r="K2" s="587"/>
      <c r="L2" s="587"/>
    </row>
    <row r="3" spans="2:12" ht="23.1" customHeight="1">
      <c r="B3" s="588" t="s">
        <v>133</v>
      </c>
      <c r="C3" s="588"/>
      <c r="D3" s="588"/>
      <c r="E3" s="588"/>
      <c r="F3" s="588"/>
      <c r="G3" s="588"/>
      <c r="H3" s="588"/>
      <c r="I3" s="588"/>
      <c r="J3" s="588"/>
      <c r="K3" s="588"/>
      <c r="L3" s="588"/>
    </row>
    <row r="4" spans="2:12" s="91" customFormat="1" ht="14.1" customHeight="1">
      <c r="B4" s="79" t="s">
        <v>41</v>
      </c>
      <c r="C4" s="79" t="s">
        <v>42</v>
      </c>
      <c r="D4" s="79"/>
      <c r="E4" s="80"/>
      <c r="F4" s="79"/>
      <c r="G4" s="81"/>
      <c r="H4" s="81"/>
      <c r="I4" s="81"/>
      <c r="J4" s="81"/>
      <c r="K4" s="81"/>
      <c r="L4" s="81"/>
    </row>
    <row r="5" spans="2:12" ht="23.1" customHeight="1">
      <c r="B5" s="88"/>
      <c r="C5" s="88"/>
      <c r="D5" s="88"/>
      <c r="E5" s="88"/>
      <c r="F5" s="88"/>
      <c r="G5" s="88"/>
      <c r="H5" s="88"/>
      <c r="I5" s="88"/>
      <c r="J5" s="88"/>
      <c r="K5" s="88"/>
      <c r="L5" s="88"/>
    </row>
    <row r="6" spans="2:12" s="122" customFormat="1" ht="30">
      <c r="B6" s="62" t="s">
        <v>103</v>
      </c>
      <c r="C6" s="62" t="s">
        <v>29</v>
      </c>
      <c r="D6" s="62" t="s">
        <v>134</v>
      </c>
      <c r="E6" s="62" t="s">
        <v>106</v>
      </c>
      <c r="F6" s="62" t="s">
        <v>135</v>
      </c>
      <c r="G6" s="62" t="s">
        <v>136</v>
      </c>
      <c r="H6" s="62" t="s">
        <v>137</v>
      </c>
      <c r="I6" s="62" t="s">
        <v>108</v>
      </c>
      <c r="J6" s="62" t="s">
        <v>138</v>
      </c>
      <c r="K6" s="62" t="s">
        <v>139</v>
      </c>
      <c r="L6" s="62" t="s">
        <v>140</v>
      </c>
    </row>
    <row r="7" spans="2:12" ht="23.1" customHeight="1">
      <c r="B7" s="166"/>
      <c r="C7" s="166"/>
      <c r="D7" s="166"/>
      <c r="E7" s="166"/>
      <c r="F7" s="166"/>
      <c r="G7" s="166"/>
      <c r="H7" s="166"/>
      <c r="I7" s="166"/>
      <c r="J7" s="166"/>
      <c r="K7" s="166"/>
    </row>
    <row r="8" spans="2:12" s="13" customFormat="1" ht="23.1" customHeight="1">
      <c r="B8" s="64" t="s">
        <v>125</v>
      </c>
      <c r="C8" s="65"/>
      <c r="D8" s="66"/>
      <c r="E8" s="64"/>
      <c r="F8" s="389"/>
      <c r="G8" s="64">
        <v>1.4286000000000001</v>
      </c>
      <c r="H8" s="68">
        <f t="shared" ref="H8:H25" si="0">+F8*G8</f>
        <v>0</v>
      </c>
      <c r="I8" s="393">
        <f>+IF(E8=0,0,IF(E8="MXN",1/HLOOKUP(YEAR(C8)+(MONTH(C8)/100),TC!$5:$37,DAY(C8)+2,FALSE),VLOOKUP(E8,Equivalencia!$3:$23,((MAX(Equivalencia!$3:$3)-YEAR(C8))*14)+MONTH(C8)+2,FALSE)))</f>
        <v>0</v>
      </c>
      <c r="J8" s="389">
        <f t="shared" ref="J8:J25" si="1">+H8*I8</f>
        <v>0</v>
      </c>
      <c r="K8" s="103">
        <v>0.3</v>
      </c>
      <c r="L8" s="95">
        <f t="shared" ref="L8:L25" si="2">+J8*K8</f>
        <v>0</v>
      </c>
    </row>
    <row r="9" spans="2:12" s="13" customFormat="1" ht="23.1" customHeight="1">
      <c r="B9" s="64" t="s">
        <v>126</v>
      </c>
      <c r="C9" s="65"/>
      <c r="D9" s="66"/>
      <c r="E9" s="64"/>
      <c r="F9" s="389"/>
      <c r="G9" s="64">
        <v>1.4286000000000001</v>
      </c>
      <c r="H9" s="68">
        <f t="shared" si="0"/>
        <v>0</v>
      </c>
      <c r="I9" s="393">
        <f>+IF(E9=0,0,IF(E9="MXN",1/HLOOKUP(YEAR(C9)+(MONTH(C9)/100),TC!$5:$37,DAY(C9)+2,FALSE),VLOOKUP(E9,Equivalencia!$3:$23,((MAX(Equivalencia!$3:$3)-YEAR(C9))*14)+MONTH(C9)+2,FALSE)))</f>
        <v>0</v>
      </c>
      <c r="J9" s="389">
        <f t="shared" si="1"/>
        <v>0</v>
      </c>
      <c r="K9" s="103">
        <v>0.3</v>
      </c>
      <c r="L9" s="95">
        <f t="shared" si="2"/>
        <v>0</v>
      </c>
    </row>
    <row r="10" spans="2:12" s="13" customFormat="1" ht="23.1" customHeight="1">
      <c r="B10" s="64" t="s">
        <v>127</v>
      </c>
      <c r="C10" s="65"/>
      <c r="D10" s="66"/>
      <c r="E10" s="64"/>
      <c r="F10" s="389"/>
      <c r="G10" s="64">
        <v>1.4286000000000001</v>
      </c>
      <c r="H10" s="68">
        <f t="shared" si="0"/>
        <v>0</v>
      </c>
      <c r="I10" s="393">
        <f>+IF(E10=0,0,IF(E10="MXN",1/HLOOKUP(YEAR(C10)+(MONTH(C10)/100),TC!$5:$37,DAY(C10)+2,FALSE),VLOOKUP(E10,Equivalencia!$3:$23,((MAX(Equivalencia!$3:$3)-YEAR(C10))*14)+MONTH(C10)+2,FALSE)))</f>
        <v>0</v>
      </c>
      <c r="J10" s="389">
        <f t="shared" si="1"/>
        <v>0</v>
      </c>
      <c r="K10" s="103">
        <v>0.3</v>
      </c>
      <c r="L10" s="95">
        <f t="shared" si="2"/>
        <v>0</v>
      </c>
    </row>
    <row r="11" spans="2:12" s="13" customFormat="1" ht="23.1" customHeight="1">
      <c r="B11" s="64" t="s">
        <v>128</v>
      </c>
      <c r="C11" s="65"/>
      <c r="D11" s="66"/>
      <c r="E11" s="64"/>
      <c r="F11" s="389"/>
      <c r="G11" s="64">
        <v>1.4286000000000001</v>
      </c>
      <c r="H11" s="68">
        <f t="shared" si="0"/>
        <v>0</v>
      </c>
      <c r="I11" s="393">
        <f>+IF(E11=0,0,IF(E11="MXN",1/HLOOKUP(YEAR(C11)+(MONTH(C11)/100),TC!$5:$37,DAY(C11)+2,FALSE),VLOOKUP(E11,Equivalencia!$3:$23,((MAX(Equivalencia!$3:$3)-YEAR(C11))*14)+MONTH(C11)+2,FALSE)))</f>
        <v>0</v>
      </c>
      <c r="J11" s="389">
        <f t="shared" si="1"/>
        <v>0</v>
      </c>
      <c r="K11" s="103">
        <v>0.3</v>
      </c>
      <c r="L11" s="95">
        <f t="shared" si="2"/>
        <v>0</v>
      </c>
    </row>
    <row r="12" spans="2:12" s="13" customFormat="1" ht="23.1" customHeight="1">
      <c r="B12" s="64" t="s">
        <v>129</v>
      </c>
      <c r="C12" s="65"/>
      <c r="D12" s="66"/>
      <c r="E12" s="64"/>
      <c r="F12" s="389"/>
      <c r="G12" s="64">
        <v>1.4286000000000001</v>
      </c>
      <c r="H12" s="68">
        <f t="shared" si="0"/>
        <v>0</v>
      </c>
      <c r="I12" s="393">
        <f>+IF(E12=0,0,IF(E12="MXN",1/HLOOKUP(YEAR(C12)+(MONTH(C12)/100),TC!$5:$37,DAY(C12)+2,FALSE),VLOOKUP(E12,Equivalencia!$3:$23,((MAX(Equivalencia!$3:$3)-YEAR(C12))*14)+MONTH(C12)+2,FALSE)))</f>
        <v>0</v>
      </c>
      <c r="J12" s="389">
        <f t="shared" si="1"/>
        <v>0</v>
      </c>
      <c r="K12" s="103">
        <v>0.3</v>
      </c>
      <c r="L12" s="95">
        <f t="shared" si="2"/>
        <v>0</v>
      </c>
    </row>
    <row r="13" spans="2:12" s="13" customFormat="1" ht="23.1" customHeight="1">
      <c r="B13" s="64" t="s">
        <v>13</v>
      </c>
      <c r="C13" s="65"/>
      <c r="D13" s="66"/>
      <c r="E13" s="64"/>
      <c r="F13" s="389"/>
      <c r="G13" s="64">
        <v>1.4286000000000001</v>
      </c>
      <c r="H13" s="68">
        <f t="shared" si="0"/>
        <v>0</v>
      </c>
      <c r="I13" s="393">
        <f>+IF(E13=0,0,IF(E13="MXN",1/HLOOKUP(YEAR(C13)+(MONTH(C13)/100),TC!$5:$37,DAY(C13)+2,FALSE),VLOOKUP(E13,Equivalencia!$3:$23,((MAX(Equivalencia!$3:$3)-YEAR(C13))*14)+MONTH(C13)+2,FALSE)))</f>
        <v>0</v>
      </c>
      <c r="J13" s="389">
        <f t="shared" si="1"/>
        <v>0</v>
      </c>
      <c r="K13" s="103">
        <v>0.3</v>
      </c>
      <c r="L13" s="95">
        <f t="shared" si="2"/>
        <v>0</v>
      </c>
    </row>
    <row r="14" spans="2:12" s="13" customFormat="1" ht="23.1" customHeight="1">
      <c r="B14" s="64" t="s">
        <v>14</v>
      </c>
      <c r="C14" s="65"/>
      <c r="D14" s="66"/>
      <c r="E14" s="64"/>
      <c r="F14" s="389"/>
      <c r="G14" s="64">
        <v>1.4286000000000001</v>
      </c>
      <c r="H14" s="68">
        <f t="shared" si="0"/>
        <v>0</v>
      </c>
      <c r="I14" s="393">
        <f>+IF(E14=0,0,IF(E14="MXN",1/HLOOKUP(YEAR(C14)+(MONTH(C14)/100),TC!$5:$37,DAY(C14)+2,FALSE),VLOOKUP(E14,Equivalencia!$3:$23,((MAX(Equivalencia!$3:$3)-YEAR(C14))*14)+MONTH(C14)+2,FALSE)))</f>
        <v>0</v>
      </c>
      <c r="J14" s="389">
        <f t="shared" si="1"/>
        <v>0</v>
      </c>
      <c r="K14" s="103">
        <v>0.3</v>
      </c>
      <c r="L14" s="95">
        <f t="shared" si="2"/>
        <v>0</v>
      </c>
    </row>
    <row r="15" spans="2:12" s="13" customFormat="1" ht="23.1" customHeight="1">
      <c r="B15" s="64" t="s">
        <v>15</v>
      </c>
      <c r="C15" s="65"/>
      <c r="D15" s="66"/>
      <c r="E15" s="64"/>
      <c r="F15" s="389"/>
      <c r="G15" s="64">
        <v>1.4286000000000001</v>
      </c>
      <c r="H15" s="68">
        <f t="shared" si="0"/>
        <v>0</v>
      </c>
      <c r="I15" s="393">
        <f>+IF(E15=0,0,IF(E15="MXN",1/HLOOKUP(YEAR(C15)+(MONTH(C15)/100),TC!$5:$37,DAY(C15)+2,FALSE),VLOOKUP(E15,Equivalencia!$3:$23,((MAX(Equivalencia!$3:$3)-YEAR(C15))*14)+MONTH(C15)+2,FALSE)))</f>
        <v>0</v>
      </c>
      <c r="J15" s="389">
        <f t="shared" si="1"/>
        <v>0</v>
      </c>
      <c r="K15" s="103">
        <v>0.3</v>
      </c>
      <c r="L15" s="95">
        <f t="shared" si="2"/>
        <v>0</v>
      </c>
    </row>
    <row r="16" spans="2:12" s="13" customFormat="1" ht="23.1" customHeight="1">
      <c r="B16" s="64" t="s">
        <v>16</v>
      </c>
      <c r="C16" s="65"/>
      <c r="D16" s="66"/>
      <c r="E16" s="64"/>
      <c r="F16" s="389"/>
      <c r="G16" s="64">
        <v>1.4286000000000001</v>
      </c>
      <c r="H16" s="68">
        <f t="shared" si="0"/>
        <v>0</v>
      </c>
      <c r="I16" s="393">
        <f>+IF(E16=0,0,IF(E16="MXN",1/HLOOKUP(YEAR(C16)+(MONTH(C16)/100),TC!$5:$37,DAY(C16)+2,FALSE),VLOOKUP(E16,Equivalencia!$3:$23,((MAX(Equivalencia!$3:$3)-YEAR(C16))*14)+MONTH(C16)+2,FALSE)))</f>
        <v>0</v>
      </c>
      <c r="J16" s="389">
        <f t="shared" si="1"/>
        <v>0</v>
      </c>
      <c r="K16" s="103">
        <v>0.3</v>
      </c>
      <c r="L16" s="95">
        <f t="shared" si="2"/>
        <v>0</v>
      </c>
    </row>
    <row r="17" spans="2:12" s="13" customFormat="1" ht="23.1" customHeight="1">
      <c r="B17" s="64" t="s">
        <v>17</v>
      </c>
      <c r="C17" s="65"/>
      <c r="D17" s="66"/>
      <c r="E17" s="64"/>
      <c r="F17" s="389"/>
      <c r="G17" s="64">
        <v>1.4286000000000001</v>
      </c>
      <c r="H17" s="68">
        <f t="shared" si="0"/>
        <v>0</v>
      </c>
      <c r="I17" s="393">
        <f>+IF(E17=0,0,IF(E17="MXN",1/HLOOKUP(YEAR(C17)+(MONTH(C17)/100),TC!$5:$37,DAY(C17)+2,FALSE),VLOOKUP(E17,Equivalencia!$3:$23,((MAX(Equivalencia!$3:$3)-YEAR(C17))*14)+MONTH(C17)+2,FALSE)))</f>
        <v>0</v>
      </c>
      <c r="J17" s="389">
        <f t="shared" si="1"/>
        <v>0</v>
      </c>
      <c r="K17" s="103">
        <v>0.3</v>
      </c>
      <c r="L17" s="95">
        <f t="shared" si="2"/>
        <v>0</v>
      </c>
    </row>
    <row r="18" spans="2:12" s="13" customFormat="1" ht="23.1" customHeight="1">
      <c r="B18" s="64" t="s">
        <v>18</v>
      </c>
      <c r="C18" s="65"/>
      <c r="D18" s="66"/>
      <c r="E18" s="64"/>
      <c r="F18" s="389"/>
      <c r="G18" s="64">
        <v>1.4286000000000001</v>
      </c>
      <c r="H18" s="68">
        <f t="shared" si="0"/>
        <v>0</v>
      </c>
      <c r="I18" s="393">
        <f>+IF(E18=0,0,IF(E18="MXN",1/HLOOKUP(YEAR(C18)+(MONTH(C18)/100),TC!$5:$37,DAY(C18)+2,FALSE),VLOOKUP(E18,Equivalencia!$3:$23,((MAX(Equivalencia!$3:$3)-YEAR(C18))*14)+MONTH(C18)+2,FALSE)))</f>
        <v>0</v>
      </c>
      <c r="J18" s="389">
        <f t="shared" si="1"/>
        <v>0</v>
      </c>
      <c r="K18" s="103">
        <v>0.3</v>
      </c>
      <c r="L18" s="95">
        <f t="shared" si="2"/>
        <v>0</v>
      </c>
    </row>
    <row r="19" spans="2:12" s="13" customFormat="1" ht="23.1" customHeight="1">
      <c r="B19" s="64" t="s">
        <v>19</v>
      </c>
      <c r="C19" s="65"/>
      <c r="D19" s="66"/>
      <c r="E19" s="64"/>
      <c r="F19" s="389"/>
      <c r="G19" s="64">
        <v>1.4286000000000001</v>
      </c>
      <c r="H19" s="68">
        <f t="shared" si="0"/>
        <v>0</v>
      </c>
      <c r="I19" s="393">
        <f>+IF(E19=0,0,IF(E19="MXN",1/HLOOKUP(YEAR(C19)+(MONTH(C19)/100),TC!$5:$37,DAY(C19)+2,FALSE),VLOOKUP(E19,Equivalencia!$3:$23,((MAX(Equivalencia!$3:$3)-YEAR(C19))*14)+MONTH(C19)+2,FALSE)))</f>
        <v>0</v>
      </c>
      <c r="J19" s="389">
        <f t="shared" si="1"/>
        <v>0</v>
      </c>
      <c r="K19" s="103">
        <v>0.3</v>
      </c>
      <c r="L19" s="95">
        <f t="shared" si="2"/>
        <v>0</v>
      </c>
    </row>
    <row r="20" spans="2:12" s="13" customFormat="1" ht="23.1" customHeight="1">
      <c r="B20" s="64" t="s">
        <v>20</v>
      </c>
      <c r="C20" s="65"/>
      <c r="D20" s="66"/>
      <c r="E20" s="64"/>
      <c r="F20" s="389"/>
      <c r="G20" s="64">
        <v>1.4286000000000001</v>
      </c>
      <c r="H20" s="68">
        <f t="shared" si="0"/>
        <v>0</v>
      </c>
      <c r="I20" s="393">
        <f>+IF(E20=0,0,IF(E20="MXN",1/HLOOKUP(YEAR(C20)+(MONTH(C20)/100),TC!$5:$37,DAY(C20)+2,FALSE),VLOOKUP(E20,Equivalencia!$3:$23,((MAX(Equivalencia!$3:$3)-YEAR(C20))*14)+MONTH(C20)+2,FALSE)))</f>
        <v>0</v>
      </c>
      <c r="J20" s="389">
        <f t="shared" si="1"/>
        <v>0</v>
      </c>
      <c r="K20" s="103">
        <v>0.3</v>
      </c>
      <c r="L20" s="95">
        <f t="shared" si="2"/>
        <v>0</v>
      </c>
    </row>
    <row r="21" spans="2:12" s="13" customFormat="1" ht="23.1" customHeight="1">
      <c r="B21" s="64" t="s">
        <v>21</v>
      </c>
      <c r="C21" s="65"/>
      <c r="D21" s="66"/>
      <c r="E21" s="64"/>
      <c r="F21" s="389"/>
      <c r="G21" s="64">
        <v>1.4286000000000001</v>
      </c>
      <c r="H21" s="68">
        <f t="shared" si="0"/>
        <v>0</v>
      </c>
      <c r="I21" s="393">
        <f>+IF(E21=0,0,IF(E21="MXN",1/HLOOKUP(YEAR(C21)+(MONTH(C21)/100),TC!$5:$37,DAY(C21)+2,FALSE),VLOOKUP(E21,Equivalencia!$3:$23,((MAX(Equivalencia!$3:$3)-YEAR(C21))*14)+MONTH(C21)+2,FALSE)))</f>
        <v>0</v>
      </c>
      <c r="J21" s="389">
        <f t="shared" si="1"/>
        <v>0</v>
      </c>
      <c r="K21" s="103">
        <v>0.3</v>
      </c>
      <c r="L21" s="95">
        <f t="shared" si="2"/>
        <v>0</v>
      </c>
    </row>
    <row r="22" spans="2:12" s="13" customFormat="1" ht="23.1" customHeight="1">
      <c r="B22" s="64" t="s">
        <v>22</v>
      </c>
      <c r="C22" s="65"/>
      <c r="D22" s="66"/>
      <c r="E22" s="64"/>
      <c r="F22" s="389"/>
      <c r="G22" s="64">
        <v>1.4286000000000001</v>
      </c>
      <c r="H22" s="68">
        <f t="shared" si="0"/>
        <v>0</v>
      </c>
      <c r="I22" s="393">
        <f>+IF(E22=0,0,IF(E22="MXN",1/HLOOKUP(YEAR(C22)+(MONTH(C22)/100),TC!$5:$37,DAY(C22)+2,FALSE),VLOOKUP(E22,Equivalencia!$3:$23,((MAX(Equivalencia!$3:$3)-YEAR(C22))*14)+MONTH(C22)+2,FALSE)))</f>
        <v>0</v>
      </c>
      <c r="J22" s="389">
        <f t="shared" si="1"/>
        <v>0</v>
      </c>
      <c r="K22" s="103">
        <v>0.3</v>
      </c>
      <c r="L22" s="95">
        <f t="shared" si="2"/>
        <v>0</v>
      </c>
    </row>
    <row r="23" spans="2:12" s="13" customFormat="1" ht="23.1" customHeight="1">
      <c r="B23" s="64" t="s">
        <v>23</v>
      </c>
      <c r="C23" s="65"/>
      <c r="D23" s="66"/>
      <c r="E23" s="64"/>
      <c r="F23" s="389"/>
      <c r="G23" s="64">
        <v>1.4286000000000001</v>
      </c>
      <c r="H23" s="68">
        <f t="shared" si="0"/>
        <v>0</v>
      </c>
      <c r="I23" s="393">
        <f>+IF(E23=0,0,IF(E23="MXN",1/HLOOKUP(YEAR(C23)+(MONTH(C23)/100),TC!$5:$37,DAY(C23)+2,FALSE),VLOOKUP(E23,Equivalencia!$1:$23,((MAX(Equivalencia!$3:$3)-YEAR(C23))*14)+MONTH(C23)+2,FALSE)))</f>
        <v>0</v>
      </c>
      <c r="J23" s="389">
        <f t="shared" si="1"/>
        <v>0</v>
      </c>
      <c r="K23" s="103">
        <v>0.3</v>
      </c>
      <c r="L23" s="95">
        <f t="shared" si="2"/>
        <v>0</v>
      </c>
    </row>
    <row r="24" spans="2:12" s="13" customFormat="1" ht="23.1" customHeight="1">
      <c r="B24" s="64" t="s">
        <v>24</v>
      </c>
      <c r="C24" s="65"/>
      <c r="D24" s="66"/>
      <c r="E24" s="64"/>
      <c r="F24" s="389"/>
      <c r="G24" s="64">
        <v>1.4286000000000001</v>
      </c>
      <c r="H24" s="68">
        <f t="shared" si="0"/>
        <v>0</v>
      </c>
      <c r="I24" s="393">
        <f>+IF(E24=0,0,IF(E24="MXN",1/HLOOKUP(YEAR(C24)+(MONTH(C24)/100),TC!$5:$37,DAY(C24)+2,FALSE),VLOOKUP(E24,Equivalencia!$1:$23,((MAX(Equivalencia!$3:$3)-YEAR(C24))*14)+MONTH(C24)+2,FALSE)))</f>
        <v>0</v>
      </c>
      <c r="J24" s="389">
        <f t="shared" si="1"/>
        <v>0</v>
      </c>
      <c r="K24" s="103">
        <v>0.3</v>
      </c>
      <c r="L24" s="95">
        <f t="shared" si="2"/>
        <v>0</v>
      </c>
    </row>
    <row r="25" spans="2:12" s="13" customFormat="1" ht="23.1" customHeight="1">
      <c r="B25" s="64" t="s">
        <v>25</v>
      </c>
      <c r="C25" s="65"/>
      <c r="D25" s="66"/>
      <c r="E25" s="64"/>
      <c r="F25" s="389"/>
      <c r="G25" s="64">
        <v>1.4286000000000001</v>
      </c>
      <c r="H25" s="68">
        <f t="shared" si="0"/>
        <v>0</v>
      </c>
      <c r="I25" s="393">
        <f>+IF(E25=0,0,IF(E25="MXN",1/HLOOKUP(YEAR(C25)+(MONTH(C25)/100),TC!$5:$37,DAY(C25)+2,FALSE),VLOOKUP(E25,Equivalencia!$1:$23,((MAX(Equivalencia!$3:$3)-YEAR(C25))*14)+MONTH(C25)+2,FALSE)))</f>
        <v>0</v>
      </c>
      <c r="J25" s="389">
        <f t="shared" si="1"/>
        <v>0</v>
      </c>
      <c r="K25" s="103">
        <v>0.3</v>
      </c>
      <c r="L25" s="95">
        <f t="shared" si="2"/>
        <v>0</v>
      </c>
    </row>
    <row r="26" spans="2:12" s="13" customFormat="1" ht="23.1" customHeight="1">
      <c r="B26" s="54"/>
      <c r="C26" s="55"/>
      <c r="F26" s="390"/>
      <c r="G26" s="54"/>
      <c r="H26" s="390"/>
      <c r="I26" s="393"/>
      <c r="J26" s="390"/>
      <c r="L26" s="390"/>
    </row>
    <row r="27" spans="2:12" ht="23.1" customHeight="1">
      <c r="B27" s="104" t="s">
        <v>141</v>
      </c>
      <c r="C27" s="105"/>
      <c r="D27" s="105"/>
      <c r="E27" s="105"/>
      <c r="F27" s="391">
        <f>SUM(F7:F26)</f>
        <v>0</v>
      </c>
      <c r="G27" s="105"/>
      <c r="H27" s="391">
        <f>SUM(H7:H26)</f>
        <v>0</v>
      </c>
      <c r="I27" s="105"/>
      <c r="J27" s="391">
        <f>SUM(J7:J26)</f>
        <v>0</v>
      </c>
      <c r="K27" s="105"/>
      <c r="L27" s="391">
        <f>SUM(L7:L26)</f>
        <v>0</v>
      </c>
    </row>
    <row r="30" spans="2:12" s="122" customFormat="1" ht="45">
      <c r="F30" s="62" t="s">
        <v>142</v>
      </c>
      <c r="H30" s="62" t="s">
        <v>143</v>
      </c>
      <c r="J30" s="62" t="s">
        <v>144</v>
      </c>
      <c r="L30" s="62" t="s">
        <v>145</v>
      </c>
    </row>
    <row r="32" spans="2:12" ht="23.1" customHeight="1">
      <c r="C32" s="83"/>
      <c r="D32" s="84" t="s">
        <v>146</v>
      </c>
      <c r="E32" s="85">
        <f>+Cuentas!B7</f>
        <v>1175000</v>
      </c>
      <c r="F32" s="110">
        <f t="shared" ref="F32:F49" si="3">+SUMIF($B$6:$B$695,E32,$F$6:$F$695)</f>
        <v>0</v>
      </c>
      <c r="G32" s="111"/>
      <c r="H32" s="110">
        <f t="shared" ref="H32:H49" si="4">+SUMIF($B$6:$B$695,E32,$H$6:$H$695)</f>
        <v>0</v>
      </c>
      <c r="I32" s="111"/>
      <c r="J32" s="110">
        <f t="shared" ref="J32:J49" si="5">+SUMIF($B$6:$B$695,E32,$J$6:$J$695)</f>
        <v>0</v>
      </c>
      <c r="K32" s="111"/>
      <c r="L32" s="110">
        <f t="shared" ref="L32:L49" si="6">+SUMIF($B$6:$B$695,E32,$L$6:$L$695)</f>
        <v>0</v>
      </c>
    </row>
    <row r="33" spans="3:12" ht="23.1" customHeight="1">
      <c r="C33" s="83"/>
      <c r="D33" s="84" t="s">
        <v>146</v>
      </c>
      <c r="E33" s="85">
        <f>+Cuentas!B8</f>
        <v>1179000</v>
      </c>
      <c r="F33" s="110">
        <f t="shared" si="3"/>
        <v>0</v>
      </c>
      <c r="G33" s="111"/>
      <c r="H33" s="110">
        <f t="shared" si="4"/>
        <v>0</v>
      </c>
      <c r="I33" s="111"/>
      <c r="J33" s="110">
        <f t="shared" si="5"/>
        <v>0</v>
      </c>
      <c r="K33" s="111"/>
      <c r="L33" s="110">
        <f t="shared" si="6"/>
        <v>0</v>
      </c>
    </row>
    <row r="34" spans="3:12" ht="23.1" customHeight="1">
      <c r="C34" s="83"/>
      <c r="D34" s="84" t="s">
        <v>146</v>
      </c>
      <c r="E34" s="85">
        <f>+Cuentas!B9</f>
        <v>1427200</v>
      </c>
      <c r="F34" s="110">
        <f t="shared" si="3"/>
        <v>0</v>
      </c>
      <c r="G34" s="111"/>
      <c r="H34" s="110">
        <f t="shared" si="4"/>
        <v>0</v>
      </c>
      <c r="I34" s="111"/>
      <c r="J34" s="110">
        <f t="shared" si="5"/>
        <v>0</v>
      </c>
      <c r="K34" s="111"/>
      <c r="L34" s="110">
        <f t="shared" si="6"/>
        <v>0</v>
      </c>
    </row>
    <row r="35" spans="3:12" ht="23.1" customHeight="1">
      <c r="C35" s="83"/>
      <c r="D35" s="84" t="s">
        <v>146</v>
      </c>
      <c r="E35" s="85" t="str">
        <f>+Cuentas!B10</f>
        <v>B22235000</v>
      </c>
      <c r="F35" s="110">
        <f t="shared" si="3"/>
        <v>0</v>
      </c>
      <c r="G35" s="111"/>
      <c r="H35" s="110">
        <f t="shared" si="4"/>
        <v>0</v>
      </c>
      <c r="I35" s="111"/>
      <c r="J35" s="110">
        <f t="shared" si="5"/>
        <v>0</v>
      </c>
      <c r="K35" s="111"/>
      <c r="L35" s="110">
        <f t="shared" si="6"/>
        <v>0</v>
      </c>
    </row>
    <row r="36" spans="3:12" ht="23.1" customHeight="1">
      <c r="C36" s="83"/>
      <c r="D36" s="84" t="s">
        <v>146</v>
      </c>
      <c r="E36" s="85">
        <f>+Cuentas!B11</f>
        <v>700833580</v>
      </c>
      <c r="F36" s="110">
        <f t="shared" si="3"/>
        <v>0</v>
      </c>
      <c r="G36" s="111"/>
      <c r="H36" s="110">
        <f t="shared" si="4"/>
        <v>0</v>
      </c>
      <c r="I36" s="111"/>
      <c r="J36" s="110">
        <f t="shared" si="5"/>
        <v>0</v>
      </c>
      <c r="K36" s="111"/>
      <c r="L36" s="110">
        <f t="shared" si="6"/>
        <v>0</v>
      </c>
    </row>
    <row r="37" spans="3:12" ht="23.1" customHeight="1">
      <c r="C37" s="83"/>
      <c r="D37" s="84" t="s">
        <v>146</v>
      </c>
      <c r="E37" s="85" t="str">
        <f>+Cuentas!B12</f>
        <v>F</v>
      </c>
      <c r="F37" s="110">
        <f t="shared" si="3"/>
        <v>0</v>
      </c>
      <c r="G37" s="111"/>
      <c r="H37" s="110">
        <f t="shared" si="4"/>
        <v>0</v>
      </c>
      <c r="I37" s="111"/>
      <c r="J37" s="110">
        <f t="shared" si="5"/>
        <v>0</v>
      </c>
      <c r="K37" s="111"/>
      <c r="L37" s="110">
        <f t="shared" si="6"/>
        <v>0</v>
      </c>
    </row>
    <row r="38" spans="3:12" ht="23.1" customHeight="1">
      <c r="C38" s="83"/>
      <c r="D38" s="84" t="s">
        <v>146</v>
      </c>
      <c r="E38" s="85" t="str">
        <f>+Cuentas!B13</f>
        <v>G</v>
      </c>
      <c r="F38" s="110">
        <f t="shared" si="3"/>
        <v>0</v>
      </c>
      <c r="G38" s="111"/>
      <c r="H38" s="110">
        <f t="shared" si="4"/>
        <v>0</v>
      </c>
      <c r="I38" s="111"/>
      <c r="J38" s="110">
        <f t="shared" si="5"/>
        <v>0</v>
      </c>
      <c r="K38" s="111"/>
      <c r="L38" s="110">
        <f t="shared" si="6"/>
        <v>0</v>
      </c>
    </row>
    <row r="39" spans="3:12" ht="23.1" customHeight="1">
      <c r="C39" s="83"/>
      <c r="D39" s="84" t="s">
        <v>146</v>
      </c>
      <c r="E39" s="85" t="str">
        <f>+Cuentas!B14</f>
        <v>H</v>
      </c>
      <c r="F39" s="110">
        <f t="shared" si="3"/>
        <v>0</v>
      </c>
      <c r="G39" s="111"/>
      <c r="H39" s="110">
        <f t="shared" si="4"/>
        <v>0</v>
      </c>
      <c r="I39" s="111"/>
      <c r="J39" s="110">
        <f t="shared" si="5"/>
        <v>0</v>
      </c>
      <c r="K39" s="111"/>
      <c r="L39" s="110">
        <f t="shared" si="6"/>
        <v>0</v>
      </c>
    </row>
    <row r="40" spans="3:12" ht="23.1" customHeight="1">
      <c r="C40" s="83"/>
      <c r="D40" s="84" t="s">
        <v>146</v>
      </c>
      <c r="E40" s="85" t="str">
        <f>+Cuentas!B15</f>
        <v>I</v>
      </c>
      <c r="F40" s="110">
        <f t="shared" si="3"/>
        <v>0</v>
      </c>
      <c r="G40" s="111"/>
      <c r="H40" s="110">
        <f t="shared" si="4"/>
        <v>0</v>
      </c>
      <c r="I40" s="111"/>
      <c r="J40" s="110">
        <f t="shared" si="5"/>
        <v>0</v>
      </c>
      <c r="K40" s="111"/>
      <c r="L40" s="110">
        <f t="shared" si="6"/>
        <v>0</v>
      </c>
    </row>
    <row r="41" spans="3:12" ht="23.1" customHeight="1">
      <c r="C41" s="83"/>
      <c r="D41" s="84" t="s">
        <v>146</v>
      </c>
      <c r="E41" s="85" t="str">
        <f>+Cuentas!B16</f>
        <v>J</v>
      </c>
      <c r="F41" s="110">
        <f t="shared" si="3"/>
        <v>0</v>
      </c>
      <c r="G41" s="111"/>
      <c r="H41" s="110">
        <f t="shared" si="4"/>
        <v>0</v>
      </c>
      <c r="I41" s="111"/>
      <c r="J41" s="110">
        <f t="shared" si="5"/>
        <v>0</v>
      </c>
      <c r="K41" s="111"/>
      <c r="L41" s="110">
        <f t="shared" si="6"/>
        <v>0</v>
      </c>
    </row>
    <row r="42" spans="3:12" ht="23.1" customHeight="1">
      <c r="C42" s="83"/>
      <c r="D42" s="84" t="s">
        <v>146</v>
      </c>
      <c r="E42" s="85" t="str">
        <f>+Cuentas!B17</f>
        <v>K</v>
      </c>
      <c r="F42" s="110">
        <f t="shared" si="3"/>
        <v>0</v>
      </c>
      <c r="G42" s="111"/>
      <c r="H42" s="110">
        <f t="shared" si="4"/>
        <v>0</v>
      </c>
      <c r="I42" s="111"/>
      <c r="J42" s="110">
        <f t="shared" si="5"/>
        <v>0</v>
      </c>
      <c r="K42" s="111"/>
      <c r="L42" s="110">
        <f t="shared" si="6"/>
        <v>0</v>
      </c>
    </row>
    <row r="43" spans="3:12" ht="23.1" customHeight="1">
      <c r="C43" s="83"/>
      <c r="D43" s="84" t="s">
        <v>146</v>
      </c>
      <c r="E43" s="85" t="str">
        <f>+Cuentas!B18</f>
        <v>L</v>
      </c>
      <c r="F43" s="110">
        <f t="shared" si="3"/>
        <v>0</v>
      </c>
      <c r="G43" s="111"/>
      <c r="H43" s="110">
        <f t="shared" si="4"/>
        <v>0</v>
      </c>
      <c r="I43" s="111"/>
      <c r="J43" s="110">
        <f t="shared" si="5"/>
        <v>0</v>
      </c>
      <c r="K43" s="111"/>
      <c r="L43" s="110">
        <f t="shared" si="6"/>
        <v>0</v>
      </c>
    </row>
    <row r="44" spans="3:12" ht="23.1" customHeight="1">
      <c r="C44" s="83"/>
      <c r="D44" s="84" t="s">
        <v>146</v>
      </c>
      <c r="E44" s="85" t="str">
        <f>+Cuentas!B19</f>
        <v>M</v>
      </c>
      <c r="F44" s="110">
        <f t="shared" si="3"/>
        <v>0</v>
      </c>
      <c r="G44" s="111"/>
      <c r="H44" s="110">
        <f t="shared" si="4"/>
        <v>0</v>
      </c>
      <c r="I44" s="111"/>
      <c r="J44" s="110">
        <f t="shared" si="5"/>
        <v>0</v>
      </c>
      <c r="K44" s="111"/>
      <c r="L44" s="110">
        <f t="shared" si="6"/>
        <v>0</v>
      </c>
    </row>
    <row r="45" spans="3:12" ht="23.1" customHeight="1">
      <c r="C45" s="83"/>
      <c r="D45" s="84" t="s">
        <v>146</v>
      </c>
      <c r="E45" s="85" t="str">
        <f>+Cuentas!B20</f>
        <v>N</v>
      </c>
      <c r="F45" s="110">
        <f t="shared" si="3"/>
        <v>0</v>
      </c>
      <c r="G45" s="111"/>
      <c r="H45" s="110">
        <f t="shared" si="4"/>
        <v>0</v>
      </c>
      <c r="I45" s="111"/>
      <c r="J45" s="110">
        <f t="shared" si="5"/>
        <v>0</v>
      </c>
      <c r="K45" s="111"/>
      <c r="L45" s="110">
        <f t="shared" si="6"/>
        <v>0</v>
      </c>
    </row>
    <row r="46" spans="3:12" ht="23.1" customHeight="1">
      <c r="C46" s="83"/>
      <c r="D46" s="84" t="s">
        <v>146</v>
      </c>
      <c r="E46" s="85" t="str">
        <f>+Cuentas!B21</f>
        <v>O</v>
      </c>
      <c r="F46" s="110">
        <f t="shared" si="3"/>
        <v>0</v>
      </c>
      <c r="G46" s="111"/>
      <c r="H46" s="110">
        <f t="shared" si="4"/>
        <v>0</v>
      </c>
      <c r="I46" s="111"/>
      <c r="J46" s="110">
        <f t="shared" si="5"/>
        <v>0</v>
      </c>
      <c r="K46" s="111"/>
      <c r="L46" s="110">
        <f t="shared" si="6"/>
        <v>0</v>
      </c>
    </row>
    <row r="47" spans="3:12" ht="23.1" customHeight="1">
      <c r="C47" s="83"/>
      <c r="D47" s="84" t="s">
        <v>146</v>
      </c>
      <c r="E47" s="85" t="str">
        <f>+Cuentas!B22</f>
        <v>P</v>
      </c>
      <c r="F47" s="110">
        <f t="shared" si="3"/>
        <v>0</v>
      </c>
      <c r="G47" s="111"/>
      <c r="H47" s="110">
        <f t="shared" si="4"/>
        <v>0</v>
      </c>
      <c r="I47" s="111"/>
      <c r="J47" s="110">
        <f t="shared" si="5"/>
        <v>0</v>
      </c>
      <c r="K47" s="111"/>
      <c r="L47" s="110">
        <f t="shared" si="6"/>
        <v>0</v>
      </c>
    </row>
    <row r="48" spans="3:12" ht="23.1" customHeight="1">
      <c r="C48" s="83"/>
      <c r="D48" s="84" t="s">
        <v>146</v>
      </c>
      <c r="E48" s="85" t="str">
        <f>+Cuentas!B23</f>
        <v>Q</v>
      </c>
      <c r="F48" s="110">
        <f t="shared" si="3"/>
        <v>0</v>
      </c>
      <c r="G48" s="111"/>
      <c r="H48" s="110">
        <f t="shared" si="4"/>
        <v>0</v>
      </c>
      <c r="I48" s="111"/>
      <c r="J48" s="110">
        <f t="shared" si="5"/>
        <v>0</v>
      </c>
      <c r="K48" s="111"/>
      <c r="L48" s="110">
        <f t="shared" si="6"/>
        <v>0</v>
      </c>
    </row>
    <row r="49" spans="2:12" ht="23.1" customHeight="1">
      <c r="C49" s="83"/>
      <c r="D49" s="84" t="s">
        <v>146</v>
      </c>
      <c r="E49" s="85" t="str">
        <f>+Cuentas!B24</f>
        <v>R</v>
      </c>
      <c r="F49" s="110">
        <f t="shared" si="3"/>
        <v>0</v>
      </c>
      <c r="G49" s="111"/>
      <c r="H49" s="110">
        <f t="shared" si="4"/>
        <v>0</v>
      </c>
      <c r="I49" s="111"/>
      <c r="J49" s="110">
        <f t="shared" si="5"/>
        <v>0</v>
      </c>
      <c r="K49" s="111"/>
      <c r="L49" s="110">
        <f t="shared" si="6"/>
        <v>0</v>
      </c>
    </row>
    <row r="50" spans="2:12" ht="23.1" customHeight="1">
      <c r="F50" s="102"/>
      <c r="G50" s="102"/>
      <c r="H50" s="102"/>
      <c r="I50" s="102"/>
      <c r="J50" s="102"/>
      <c r="K50" s="102"/>
      <c r="L50" s="102"/>
    </row>
    <row r="51" spans="2:12" ht="23.1" customHeight="1">
      <c r="D51" s="87"/>
      <c r="E51" s="107" t="s">
        <v>147</v>
      </c>
      <c r="F51" s="108">
        <f>SUM(F32:F50)</f>
        <v>0</v>
      </c>
      <c r="G51" s="109"/>
      <c r="H51" s="108">
        <f>SUM(H32:H50)</f>
        <v>0</v>
      </c>
      <c r="I51" s="109"/>
      <c r="J51" s="108">
        <f>SUM(J32:J50)</f>
        <v>0</v>
      </c>
      <c r="K51" s="109"/>
      <c r="L51" s="108">
        <f>SUM(L32:L50)</f>
        <v>0</v>
      </c>
    </row>
    <row r="56" spans="2:12" ht="23.1" customHeight="1">
      <c r="B56" s="94" t="s">
        <v>26</v>
      </c>
    </row>
    <row r="57" spans="2:12" ht="23.1" customHeight="1">
      <c r="B57" s="13"/>
      <c r="C57" s="13"/>
      <c r="D57" s="13"/>
      <c r="E57" s="13"/>
      <c r="F57" s="13"/>
      <c r="G57" s="13"/>
      <c r="H57" s="13"/>
      <c r="I57" s="13"/>
      <c r="J57" s="13"/>
      <c r="K57" s="13"/>
      <c r="L57" s="13"/>
    </row>
    <row r="58" spans="2:12" ht="23.1" customHeight="1">
      <c r="B58" s="13"/>
      <c r="C58" s="13"/>
      <c r="D58" s="13"/>
      <c r="E58" s="13"/>
      <c r="F58" s="13"/>
      <c r="G58" s="13"/>
      <c r="H58" s="13"/>
      <c r="I58" s="13"/>
      <c r="J58" s="13"/>
      <c r="K58" s="13"/>
      <c r="L58" s="13"/>
    </row>
    <row r="59" spans="2:12" ht="23.1" customHeight="1">
      <c r="B59" s="13"/>
      <c r="C59" s="13"/>
      <c r="D59" s="13"/>
      <c r="E59" s="13"/>
      <c r="F59" s="13"/>
      <c r="G59" s="13"/>
      <c r="H59" s="13"/>
      <c r="I59" s="13"/>
      <c r="J59" s="13"/>
      <c r="K59" s="13"/>
      <c r="L59" s="13"/>
    </row>
    <row r="60" spans="2:12" ht="23.1" customHeight="1">
      <c r="B60" s="13"/>
      <c r="C60" s="13"/>
      <c r="D60" s="13"/>
      <c r="E60" s="13"/>
      <c r="F60" s="13"/>
      <c r="G60" s="13"/>
      <c r="H60" s="13"/>
      <c r="I60" s="13"/>
      <c r="J60" s="13"/>
      <c r="K60" s="13"/>
      <c r="L60" s="13"/>
    </row>
    <row r="61" spans="2:12" ht="23.1" customHeight="1">
      <c r="B61" s="13"/>
      <c r="C61" s="13"/>
      <c r="D61" s="13"/>
      <c r="E61" s="13"/>
      <c r="F61" s="13"/>
      <c r="G61" s="13"/>
      <c r="H61" s="13"/>
      <c r="I61" s="13"/>
      <c r="J61" s="13"/>
      <c r="K61" s="13"/>
      <c r="L61" s="13"/>
    </row>
    <row r="62" spans="2:12" ht="23.1" customHeight="1">
      <c r="B62" s="13"/>
      <c r="C62" s="13"/>
      <c r="D62" s="13"/>
      <c r="E62" s="13"/>
      <c r="F62" s="13"/>
      <c r="G62" s="13"/>
      <c r="H62" s="13"/>
      <c r="I62" s="13"/>
      <c r="J62" s="13"/>
      <c r="K62" s="13"/>
      <c r="L62" s="13"/>
    </row>
    <row r="63" spans="2:12" ht="23.1" customHeight="1">
      <c r="B63" s="13"/>
      <c r="C63" s="13"/>
      <c r="D63" s="13"/>
      <c r="E63" s="13"/>
      <c r="F63" s="13"/>
      <c r="G63" s="13"/>
      <c r="H63" s="13"/>
      <c r="I63" s="13"/>
      <c r="J63" s="13"/>
      <c r="K63" s="13"/>
      <c r="L63" s="13"/>
    </row>
    <row r="64" spans="2:12" ht="23.1" customHeight="1">
      <c r="B64" s="13"/>
      <c r="C64" s="13"/>
      <c r="D64" s="13"/>
      <c r="E64" s="13"/>
      <c r="F64" s="13"/>
      <c r="G64" s="13"/>
      <c r="H64" s="13"/>
      <c r="I64" s="13"/>
      <c r="J64" s="13"/>
      <c r="K64" s="13"/>
      <c r="L64" s="13"/>
    </row>
    <row r="65" spans="2:12" ht="23.1" customHeight="1">
      <c r="B65" s="13"/>
      <c r="C65" s="13"/>
      <c r="D65" s="13"/>
      <c r="E65" s="13"/>
      <c r="F65" s="13"/>
      <c r="G65" s="13"/>
      <c r="H65" s="13"/>
      <c r="I65" s="13"/>
      <c r="J65" s="13"/>
      <c r="K65" s="13"/>
      <c r="L65" s="13"/>
    </row>
    <row r="66" spans="2:12" ht="23.1" customHeight="1">
      <c r="B66" s="13"/>
      <c r="C66" s="13"/>
      <c r="D66" s="13"/>
      <c r="E66" s="13"/>
      <c r="F66" s="13"/>
      <c r="G66" s="13"/>
      <c r="H66" s="13"/>
      <c r="I66" s="13"/>
      <c r="J66" s="13"/>
      <c r="K66" s="13"/>
      <c r="L66" s="13"/>
    </row>
    <row r="67" spans="2:12" ht="23.1" customHeight="1">
      <c r="B67" s="13"/>
      <c r="C67" s="13"/>
      <c r="D67" s="13"/>
      <c r="E67" s="13"/>
      <c r="F67" s="13"/>
      <c r="G67" s="13"/>
      <c r="H67" s="13"/>
      <c r="I67" s="13"/>
      <c r="J67" s="13"/>
      <c r="K67" s="13"/>
      <c r="L67" s="13"/>
    </row>
    <row r="68" spans="2:12" ht="23.1" customHeight="1">
      <c r="B68" s="13"/>
      <c r="C68" s="13"/>
      <c r="D68" s="13"/>
      <c r="E68" s="13"/>
      <c r="F68" s="13"/>
      <c r="G68" s="13"/>
      <c r="H68" s="13"/>
      <c r="I68" s="13"/>
      <c r="J68" s="13"/>
      <c r="K68" s="13"/>
      <c r="L68" s="13"/>
    </row>
    <row r="69" spans="2:12" ht="23.1" customHeight="1">
      <c r="B69" s="13"/>
      <c r="C69" s="13"/>
      <c r="D69" s="13"/>
      <c r="E69" s="13"/>
      <c r="F69" s="13"/>
      <c r="G69" s="13"/>
      <c r="H69" s="13"/>
      <c r="I69" s="13"/>
      <c r="J69" s="13"/>
      <c r="K69" s="13"/>
      <c r="L69" s="13"/>
    </row>
    <row r="70" spans="2:12" ht="23.1" customHeight="1">
      <c r="B70" s="13"/>
      <c r="C70" s="13"/>
      <c r="D70" s="13"/>
      <c r="E70" s="13"/>
      <c r="F70" s="13"/>
      <c r="G70" s="13"/>
      <c r="H70" s="13"/>
      <c r="I70" s="13"/>
      <c r="J70" s="13"/>
      <c r="K70" s="13"/>
      <c r="L70" s="13"/>
    </row>
    <row r="71" spans="2:12" ht="23.1" customHeight="1">
      <c r="B71" s="13"/>
      <c r="C71" s="13"/>
      <c r="D71" s="13"/>
      <c r="E71" s="13"/>
      <c r="F71" s="13"/>
      <c r="G71" s="13"/>
      <c r="H71" s="13"/>
      <c r="I71" s="13"/>
      <c r="J71" s="13"/>
      <c r="K71" s="13"/>
      <c r="L71" s="13"/>
    </row>
    <row r="72" spans="2:12" ht="23.1" customHeight="1">
      <c r="B72" s="13"/>
      <c r="C72" s="13"/>
      <c r="D72" s="13"/>
      <c r="E72" s="13"/>
      <c r="F72" s="13"/>
      <c r="G72" s="13"/>
      <c r="H72" s="13"/>
      <c r="I72" s="13"/>
      <c r="J72" s="13"/>
      <c r="K72" s="13"/>
      <c r="L72" s="13"/>
    </row>
    <row r="73" spans="2:12" ht="23.1" customHeight="1">
      <c r="B73" s="13"/>
      <c r="C73" s="13"/>
      <c r="D73" s="13"/>
      <c r="E73" s="13"/>
      <c r="F73" s="13"/>
      <c r="G73" s="13"/>
      <c r="H73" s="13"/>
      <c r="I73" s="13"/>
      <c r="J73" s="13"/>
      <c r="K73" s="13"/>
      <c r="L73" s="13"/>
    </row>
    <row r="74" spans="2:12" ht="23.1" customHeight="1">
      <c r="B74" s="13"/>
      <c r="C74" s="13"/>
      <c r="D74" s="13"/>
      <c r="E74" s="13"/>
      <c r="F74" s="13"/>
      <c r="G74" s="13"/>
      <c r="H74" s="13"/>
      <c r="I74" s="13"/>
      <c r="J74" s="13"/>
      <c r="K74" s="13"/>
      <c r="L74" s="13"/>
    </row>
    <row r="75" spans="2:12" ht="23.1" customHeight="1">
      <c r="B75" s="13"/>
      <c r="C75" s="13"/>
      <c r="D75" s="13"/>
      <c r="E75" s="13"/>
      <c r="F75" s="13"/>
      <c r="G75" s="13"/>
      <c r="H75" s="13"/>
      <c r="I75" s="13"/>
      <c r="J75" s="13"/>
      <c r="K75" s="13"/>
      <c r="L75" s="13"/>
    </row>
    <row r="76" spans="2:12" ht="23.1" customHeight="1">
      <c r="B76" s="13"/>
      <c r="C76" s="13"/>
      <c r="D76" s="13"/>
      <c r="E76" s="13"/>
      <c r="F76" s="13"/>
      <c r="G76" s="13"/>
      <c r="H76" s="13"/>
      <c r="I76" s="13"/>
      <c r="J76" s="13"/>
      <c r="K76" s="13"/>
      <c r="L76" s="13"/>
    </row>
    <row r="77" spans="2:12" ht="23.1" customHeight="1">
      <c r="B77" s="13"/>
      <c r="C77" s="13"/>
      <c r="D77" s="13"/>
      <c r="E77" s="13"/>
      <c r="F77" s="13"/>
      <c r="G77" s="13"/>
      <c r="H77" s="13"/>
      <c r="I77" s="13"/>
      <c r="J77" s="13"/>
      <c r="K77" s="13"/>
      <c r="L77" s="13"/>
    </row>
    <row r="78" spans="2:12" ht="23.1" customHeight="1">
      <c r="B78" s="13"/>
      <c r="C78" s="13"/>
      <c r="D78" s="13"/>
      <c r="E78" s="13"/>
      <c r="F78" s="13"/>
      <c r="G78" s="13"/>
      <c r="H78" s="13"/>
      <c r="I78" s="13"/>
      <c r="J78" s="13"/>
      <c r="K78" s="13"/>
      <c r="L78" s="13"/>
    </row>
    <row r="79" spans="2:12" ht="23.1" customHeight="1">
      <c r="B79" s="13"/>
      <c r="C79" s="13"/>
      <c r="D79" s="13"/>
      <c r="E79" s="13"/>
      <c r="F79" s="13"/>
      <c r="G79" s="13"/>
      <c r="H79" s="13"/>
      <c r="I79" s="13"/>
      <c r="J79" s="13"/>
      <c r="K79" s="13"/>
      <c r="L79" s="13"/>
    </row>
    <row r="80" spans="2:12" ht="23.1" customHeight="1">
      <c r="B80" s="13"/>
      <c r="C80" s="13"/>
      <c r="D80" s="13"/>
      <c r="E80" s="13"/>
      <c r="F80" s="13"/>
      <c r="G80" s="13"/>
      <c r="H80" s="13"/>
      <c r="I80" s="13"/>
      <c r="J80" s="13"/>
      <c r="K80" s="13"/>
      <c r="L80" s="13"/>
    </row>
    <row r="81" spans="2:12" ht="23.1" customHeight="1">
      <c r="B81" s="13"/>
      <c r="C81" s="13"/>
      <c r="D81" s="13"/>
      <c r="E81" s="13"/>
      <c r="F81" s="13"/>
      <c r="G81" s="13"/>
      <c r="H81" s="13"/>
      <c r="I81" s="13"/>
      <c r="J81" s="13"/>
      <c r="K81" s="13"/>
      <c r="L81" s="13"/>
    </row>
    <row r="82" spans="2:12" ht="23.1" customHeight="1">
      <c r="B82" s="13"/>
      <c r="C82" s="13"/>
      <c r="D82" s="13"/>
      <c r="E82" s="13"/>
      <c r="F82" s="13"/>
      <c r="G82" s="13"/>
      <c r="H82" s="13"/>
      <c r="I82" s="13"/>
      <c r="J82" s="13"/>
      <c r="K82" s="13"/>
      <c r="L82" s="13"/>
    </row>
    <row r="83" spans="2:12" ht="23.1" customHeight="1">
      <c r="B83" s="13"/>
      <c r="C83" s="13"/>
      <c r="D83" s="13"/>
      <c r="E83" s="13"/>
      <c r="F83" s="13"/>
      <c r="G83" s="13"/>
      <c r="H83" s="13"/>
      <c r="I83" s="13"/>
      <c r="J83" s="13"/>
      <c r="K83" s="13"/>
      <c r="L83" s="13"/>
    </row>
    <row r="84" spans="2:12" ht="23.1" customHeight="1">
      <c r="B84" s="13"/>
      <c r="C84" s="13"/>
      <c r="D84" s="13"/>
      <c r="E84" s="13"/>
      <c r="F84" s="13"/>
      <c r="G84" s="13"/>
      <c r="H84" s="13"/>
      <c r="I84" s="13"/>
      <c r="J84" s="13"/>
      <c r="K84" s="13"/>
      <c r="L84" s="13"/>
    </row>
    <row r="85" spans="2:12" ht="23.1" customHeight="1">
      <c r="B85" s="13"/>
      <c r="C85" s="13"/>
      <c r="D85" s="13"/>
      <c r="E85" s="13"/>
      <c r="F85" s="13"/>
      <c r="G85" s="13"/>
      <c r="H85" s="13"/>
      <c r="I85" s="13"/>
      <c r="J85" s="13"/>
      <c r="K85" s="13"/>
      <c r="L85" s="13"/>
    </row>
    <row r="86" spans="2:12" ht="23.1" customHeight="1">
      <c r="B86" s="13"/>
      <c r="C86" s="13"/>
      <c r="D86" s="13"/>
      <c r="E86" s="13"/>
      <c r="F86" s="13"/>
      <c r="G86" s="13"/>
      <c r="H86" s="13"/>
      <c r="I86" s="13"/>
      <c r="J86" s="13"/>
      <c r="K86" s="13"/>
      <c r="L86" s="13"/>
    </row>
    <row r="87" spans="2:12" ht="23.1" customHeight="1">
      <c r="B87" s="13"/>
      <c r="C87" s="13"/>
      <c r="D87" s="13"/>
      <c r="E87" s="13"/>
      <c r="F87" s="13"/>
      <c r="G87" s="13"/>
      <c r="H87" s="13"/>
      <c r="I87" s="13"/>
      <c r="J87" s="13"/>
      <c r="K87" s="13"/>
      <c r="L87" s="13"/>
    </row>
    <row r="88" spans="2:12" ht="23.1" customHeight="1">
      <c r="B88" s="13"/>
      <c r="C88" s="13"/>
      <c r="D88" s="13"/>
      <c r="E88" s="13"/>
      <c r="F88" s="13"/>
      <c r="G88" s="13"/>
      <c r="H88" s="13"/>
      <c r="I88" s="13"/>
      <c r="J88" s="13"/>
      <c r="K88" s="13"/>
      <c r="L88" s="13"/>
    </row>
    <row r="89" spans="2:12" ht="23.1" customHeight="1">
      <c r="B89" s="13"/>
      <c r="C89" s="13"/>
      <c r="D89" s="13"/>
      <c r="E89" s="13"/>
      <c r="F89" s="13"/>
      <c r="G89" s="13"/>
      <c r="H89" s="13"/>
      <c r="I89" s="13"/>
      <c r="J89" s="13"/>
      <c r="K89" s="13"/>
      <c r="L89" s="13"/>
    </row>
    <row r="90" spans="2:12" ht="23.1" customHeight="1">
      <c r="B90" s="13"/>
      <c r="C90" s="13"/>
      <c r="D90" s="13"/>
      <c r="E90" s="13"/>
      <c r="F90" s="13"/>
      <c r="G90" s="13"/>
      <c r="H90" s="13"/>
      <c r="I90" s="13"/>
      <c r="J90" s="13"/>
      <c r="K90" s="13"/>
      <c r="L90" s="13"/>
    </row>
    <row r="91" spans="2:12" ht="23.1" customHeight="1">
      <c r="B91" s="13"/>
      <c r="C91" s="13"/>
      <c r="D91" s="13"/>
      <c r="E91" s="13"/>
      <c r="F91" s="13"/>
      <c r="G91" s="13"/>
      <c r="H91" s="13"/>
      <c r="I91" s="13"/>
      <c r="J91" s="13"/>
      <c r="K91" s="13"/>
      <c r="L91" s="13"/>
    </row>
  </sheetData>
  <sheetProtection algorithmName="SHA-512" hashValue="cAppydrg8sayBK9oz5li+wKqyCKpB/dj90dFdrEN18gw7feXJb8tkRaFOgNlf8Zo05+Up6ygWDLk+GNgLiUjPQ==" saltValue="PjTwIpphrVA1FmZZAn3AbQ==" spinCount="100000" sheet="1" formatCells="0" formatColumns="0" formatRows="0" insertColumns="0" insertRows="0" deleteColumns="0" deleteRows="0" autoFilter="0"/>
  <autoFilter ref="B6:L27" xr:uid="{6A239D84-0978-C44B-A97E-F52634412817}"/>
  <mergeCells count="2">
    <mergeCell ref="B2:L2"/>
    <mergeCell ref="B3:L3"/>
  </mergeCells>
  <phoneticPr fontId="9" type="noConversion"/>
  <printOptions horizontalCentered="1"/>
  <pageMargins left="0.7" right="0.7" top="0.75" bottom="0.75" header="0.3" footer="0.3"/>
  <pageSetup scale="44" fitToHeight="5"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AD2E4A23-ECD1-1944-9218-32B5C7287092}">
          <x14:formula1>
            <xm:f>Equivalencia!$A$4:$A$23</xm:f>
          </x14:formula1>
          <xm:sqref>E8:E25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2:Q241"/>
  <sheetViews>
    <sheetView view="pageBreakPreview" zoomScale="70" zoomScaleNormal="90" zoomScaleSheetLayoutView="70" workbookViewId="0">
      <pane ySplit="6" topLeftCell="A158" activePane="bottomLeft" state="frozen"/>
      <selection pane="bottomLeft" activeCell="E205" sqref="E205"/>
    </sheetView>
  </sheetViews>
  <sheetFormatPr defaultColWidth="10.6640625" defaultRowHeight="23.1" customHeight="1"/>
  <cols>
    <col min="1" max="1" width="9.6640625" style="91" customWidth="1"/>
    <col min="2" max="2" width="26.6640625" style="91" customWidth="1"/>
    <col min="3" max="3" width="18.33203125" style="91" customWidth="1"/>
    <col min="4" max="4" width="26.6640625" style="91" customWidth="1"/>
    <col min="5" max="5" width="58.6640625" style="91" customWidth="1"/>
    <col min="6" max="6" width="21.109375" style="91" customWidth="1"/>
    <col min="7" max="7" width="23.33203125" style="91" customWidth="1"/>
    <col min="8" max="8" width="16.109375" style="91" customWidth="1"/>
    <col min="9" max="9" width="21.5546875" style="91" customWidth="1"/>
    <col min="10" max="16" width="10.6640625" style="91"/>
    <col min="17" max="17" width="17.5546875" style="91" customWidth="1"/>
    <col min="18" max="16384" width="10.6640625" style="91"/>
  </cols>
  <sheetData>
    <row r="2" spans="2:17" ht="21.95" customHeight="1">
      <c r="B2" s="589" t="s">
        <v>148</v>
      </c>
      <c r="C2" s="589"/>
      <c r="D2" s="589"/>
      <c r="E2" s="589"/>
      <c r="F2" s="589"/>
      <c r="G2" s="589"/>
      <c r="H2" s="589"/>
      <c r="I2" s="589"/>
      <c r="Q2" s="286" t="s">
        <v>149</v>
      </c>
    </row>
    <row r="3" spans="2:17" ht="23.1" customHeight="1">
      <c r="B3" s="206" t="s">
        <v>100</v>
      </c>
      <c r="C3" s="206"/>
      <c r="D3" s="206"/>
      <c r="E3" s="206"/>
      <c r="F3" s="206"/>
      <c r="G3" s="206"/>
      <c r="H3" s="206"/>
      <c r="I3" s="206"/>
      <c r="Q3" s="286" t="s">
        <v>150</v>
      </c>
    </row>
    <row r="4" spans="2:17" ht="14.1" customHeight="1">
      <c r="B4" s="79" t="s">
        <v>41</v>
      </c>
      <c r="C4" s="79" t="s">
        <v>42</v>
      </c>
      <c r="D4" s="79"/>
      <c r="E4" s="79"/>
      <c r="F4" s="80"/>
      <c r="G4" s="79"/>
      <c r="H4" s="81"/>
      <c r="I4" s="81"/>
      <c r="J4" s="78"/>
      <c r="Q4" s="286"/>
    </row>
    <row r="5" spans="2:17" ht="23.1" customHeight="1">
      <c r="B5" s="199"/>
      <c r="C5" s="199"/>
      <c r="D5" s="199"/>
      <c r="E5" s="199"/>
      <c r="F5" s="199"/>
      <c r="G5" s="199"/>
      <c r="H5" s="199"/>
      <c r="I5" s="199"/>
      <c r="Q5" s="286"/>
    </row>
    <row r="6" spans="2:17" s="62" customFormat="1" ht="30">
      <c r="B6" s="62" t="s">
        <v>103</v>
      </c>
      <c r="C6" s="62" t="s">
        <v>29</v>
      </c>
      <c r="D6" s="62" t="s">
        <v>104</v>
      </c>
      <c r="E6" s="62" t="s">
        <v>134</v>
      </c>
      <c r="F6" s="62" t="s">
        <v>106</v>
      </c>
      <c r="G6" s="62" t="s">
        <v>135</v>
      </c>
      <c r="H6" s="62" t="s">
        <v>108</v>
      </c>
      <c r="I6" s="62" t="s">
        <v>151</v>
      </c>
      <c r="Q6" s="288"/>
    </row>
    <row r="7" spans="2:17" ht="23.1" customHeight="1">
      <c r="Q7" s="286"/>
    </row>
    <row r="8" spans="2:17" s="92" customFormat="1" ht="23.1" customHeight="1">
      <c r="B8" s="64">
        <v>1175000</v>
      </c>
      <c r="C8" s="285">
        <v>44566</v>
      </c>
      <c r="D8" s="285" t="s">
        <v>149</v>
      </c>
      <c r="E8" s="501" t="s">
        <v>152</v>
      </c>
      <c r="F8" s="14" t="s">
        <v>33</v>
      </c>
      <c r="G8" s="502">
        <v>158.55000000000001</v>
      </c>
      <c r="H8" s="393">
        <f>+IF(F8=0,0,IF(F8="MXN",1/HLOOKUP(YEAR(C8)+(MONTH(C8)/100),TC!$5:$37,DAY(C8)+2,FALSE),VLOOKUP(F8,Equivalencia!$3:$23,((MAX(Equivalencia!$3:$3)-YEAR(C8))*14)+MONTH(C8)+2,FALSE)))</f>
        <v>1</v>
      </c>
      <c r="I8" s="376">
        <f t="shared" ref="I8:I21" si="0">+G8*H8</f>
        <v>158.55000000000001</v>
      </c>
      <c r="Q8" s="286"/>
    </row>
    <row r="9" spans="2:17" s="92" customFormat="1" ht="23.1" customHeight="1">
      <c r="B9" s="64">
        <v>1175000</v>
      </c>
      <c r="C9" s="285">
        <v>44571</v>
      </c>
      <c r="D9" s="285" t="s">
        <v>149</v>
      </c>
      <c r="E9" s="501" t="s">
        <v>153</v>
      </c>
      <c r="F9" s="14" t="s">
        <v>33</v>
      </c>
      <c r="G9" s="502">
        <v>529.01</v>
      </c>
      <c r="H9" s="393">
        <f>+IF(F9=0,0,IF(F9="MXN",1/HLOOKUP(YEAR(C9)+(MONTH(C9)/100),TC!$5:$37,DAY(C9)+2,FALSE),VLOOKUP(F9,Equivalencia!$3:$23,((MAX(Equivalencia!$3:$3)-YEAR(C9))*14)+MONTH(C9)+2,FALSE)))</f>
        <v>1</v>
      </c>
      <c r="I9" s="376">
        <f t="shared" si="0"/>
        <v>529.01</v>
      </c>
      <c r="Q9" s="286"/>
    </row>
    <row r="10" spans="2:17" s="92" customFormat="1" ht="23.1" customHeight="1">
      <c r="B10" s="64">
        <v>1175000</v>
      </c>
      <c r="C10" s="285">
        <v>44572</v>
      </c>
      <c r="D10" s="285" t="s">
        <v>149</v>
      </c>
      <c r="E10" s="501" t="s">
        <v>154</v>
      </c>
      <c r="F10" s="14" t="s">
        <v>33</v>
      </c>
      <c r="G10" s="502">
        <v>403.75</v>
      </c>
      <c r="H10" s="393">
        <f>+IF(F10=0,0,IF(F10="MXN",1/HLOOKUP(YEAR(C10)+(MONTH(C10)/100),TC!$5:$37,DAY(C10)+2,FALSE),VLOOKUP(F10,Equivalencia!$3:$23,((MAX(Equivalencia!$3:$3)-YEAR(C10))*14)+MONTH(C10)+2,FALSE)))</f>
        <v>1</v>
      </c>
      <c r="I10" s="376">
        <f t="shared" si="0"/>
        <v>403.75</v>
      </c>
      <c r="Q10" s="286"/>
    </row>
    <row r="11" spans="2:17" s="92" customFormat="1" ht="23.1" customHeight="1">
      <c r="B11" s="64">
        <v>1175000</v>
      </c>
      <c r="C11" s="285">
        <v>44572</v>
      </c>
      <c r="D11" s="285" t="s">
        <v>149</v>
      </c>
      <c r="E11" s="501" t="s">
        <v>154</v>
      </c>
      <c r="F11" s="14" t="s">
        <v>33</v>
      </c>
      <c r="G11" s="502">
        <v>14.87</v>
      </c>
      <c r="H11" s="393">
        <f>+IF(F11=0,0,IF(F11="MXN",1/HLOOKUP(YEAR(C11)+(MONTH(C11)/100),TC!$5:$37,DAY(C11)+2,FALSE),VLOOKUP(F11,Equivalencia!$3:$23,((MAX(Equivalencia!$3:$3)-YEAR(C11))*14)+MONTH(C11)+2,FALSE)))</f>
        <v>1</v>
      </c>
      <c r="I11" s="376">
        <f t="shared" si="0"/>
        <v>14.87</v>
      </c>
      <c r="Q11" s="286"/>
    </row>
    <row r="12" spans="2:17" s="92" customFormat="1" ht="23.1" customHeight="1">
      <c r="B12" s="64">
        <v>1175000</v>
      </c>
      <c r="C12" s="552">
        <v>44571</v>
      </c>
      <c r="D12" s="14" t="s">
        <v>149</v>
      </c>
      <c r="E12" s="66" t="s">
        <v>154</v>
      </c>
      <c r="F12" s="64" t="s">
        <v>33</v>
      </c>
      <c r="G12" s="376">
        <v>282.62</v>
      </c>
      <c r="H12" s="393">
        <f>+IF(F12=0,0,IF(F12="MXN",1/HLOOKUP(YEAR(C12)+(MONTH(C12)/100),TC!$5:$37,DAY(C12)+2,FALSE),VLOOKUP(F12,Equivalencia!$3:$23,((MAX(Equivalencia!$3:$3)-YEAR(C12))*14)+MONTH(C12)+2,FALSE)))</f>
        <v>1</v>
      </c>
      <c r="I12" s="376">
        <f t="shared" si="0"/>
        <v>282.62</v>
      </c>
      <c r="Q12" s="286"/>
    </row>
    <row r="13" spans="2:17" s="92" customFormat="1" ht="23.1" customHeight="1">
      <c r="B13" s="64">
        <v>1175000</v>
      </c>
      <c r="C13" s="285">
        <v>44575</v>
      </c>
      <c r="D13" s="285" t="s">
        <v>149</v>
      </c>
      <c r="E13" s="501" t="s">
        <v>155</v>
      </c>
      <c r="F13" s="14" t="s">
        <v>33</v>
      </c>
      <c r="G13" s="502">
        <v>359.53</v>
      </c>
      <c r="H13" s="393">
        <f>+IF(F13=0,0,IF(F13="MXN",1/HLOOKUP(YEAR(C13)+(MONTH(C13)/100),TC!$5:$37,DAY(C13)+2,FALSE),VLOOKUP(F13,Equivalencia!$3:$23,((MAX(Equivalencia!$3:$3)-YEAR(C13))*14)+MONTH(C13)+2,FALSE)))</f>
        <v>1</v>
      </c>
      <c r="I13" s="376">
        <f t="shared" si="0"/>
        <v>359.53</v>
      </c>
      <c r="Q13" s="286"/>
    </row>
    <row r="14" spans="2:17" s="92" customFormat="1" ht="23.1" customHeight="1">
      <c r="B14" s="64">
        <v>1175000</v>
      </c>
      <c r="C14" s="285">
        <v>44587</v>
      </c>
      <c r="D14" s="285" t="s">
        <v>149</v>
      </c>
      <c r="E14" s="501" t="s">
        <v>156</v>
      </c>
      <c r="F14" s="14" t="s">
        <v>33</v>
      </c>
      <c r="G14" s="502">
        <v>384.12</v>
      </c>
      <c r="H14" s="393">
        <f>+IF(F14=0,0,IF(F14="MXN",1/HLOOKUP(YEAR(C14)+(MONTH(C14)/100),TC!$5:$37,DAY(C14)+2,FALSE),VLOOKUP(F14,Equivalencia!$3:$23,((MAX(Equivalencia!$3:$3)-YEAR(C14))*14)+MONTH(C14)+2,FALSE)))</f>
        <v>1</v>
      </c>
      <c r="I14" s="376">
        <f t="shared" si="0"/>
        <v>384.12</v>
      </c>
      <c r="Q14" s="286"/>
    </row>
    <row r="15" spans="2:17" s="92" customFormat="1" ht="23.1" customHeight="1">
      <c r="B15" s="64">
        <v>1175000</v>
      </c>
      <c r="C15" s="65">
        <v>44594</v>
      </c>
      <c r="D15" s="285" t="s">
        <v>149</v>
      </c>
      <c r="E15" s="66" t="s">
        <v>157</v>
      </c>
      <c r="F15" s="14" t="s">
        <v>33</v>
      </c>
      <c r="G15" s="376">
        <v>736.72</v>
      </c>
      <c r="H15" s="393">
        <f>+IF(F15=0,0,IF(F15="MXN",1/HLOOKUP(YEAR(C15)+(MONTH(C15)/100),TC!$5:$37,DAY(C15)+2,FALSE),VLOOKUP(F15,Equivalencia!$1:$23,((MAX(Equivalencia!$3:$3)-YEAR(C15))*14)+MONTH(C15)+2,FALSE)))</f>
        <v>1</v>
      </c>
      <c r="I15" s="376">
        <f t="shared" si="0"/>
        <v>736.72</v>
      </c>
      <c r="Q15" s="286"/>
    </row>
    <row r="16" spans="2:17" s="92" customFormat="1" ht="23.1" customHeight="1">
      <c r="B16" s="64">
        <v>1175000</v>
      </c>
      <c r="C16" s="65">
        <v>44599</v>
      </c>
      <c r="D16" s="285" t="s">
        <v>149</v>
      </c>
      <c r="E16" s="66" t="s">
        <v>158</v>
      </c>
      <c r="F16" s="14" t="s">
        <v>33</v>
      </c>
      <c r="G16" s="376">
        <v>408.62</v>
      </c>
      <c r="H16" s="393">
        <f>+IF(F16=0,0,IF(F16="MXN",1/HLOOKUP(YEAR(C16)+(MONTH(C16)/100),TC!$5:$37,DAY(C16)+2,FALSE),VLOOKUP(F16,Equivalencia!$1:$23,((MAX(Equivalencia!$3:$3)-YEAR(C16))*14)+MONTH(C16)+2,FALSE)))</f>
        <v>1</v>
      </c>
      <c r="I16" s="376">
        <f t="shared" si="0"/>
        <v>408.62</v>
      </c>
    </row>
    <row r="17" spans="2:9" s="92" customFormat="1" ht="23.1" customHeight="1">
      <c r="B17" s="64">
        <v>1175000</v>
      </c>
      <c r="C17" s="65">
        <v>44599</v>
      </c>
      <c r="D17" s="285" t="s">
        <v>149</v>
      </c>
      <c r="E17" s="66" t="s">
        <v>159</v>
      </c>
      <c r="F17" s="14" t="s">
        <v>33</v>
      </c>
      <c r="G17" s="376">
        <v>617.42999999999995</v>
      </c>
      <c r="H17" s="393">
        <f>+IF(F17=0,0,IF(F17="MXN",1/HLOOKUP(YEAR(C17)+(MONTH(C17)/100),TC!$5:$37,DAY(C17)+2,FALSE),VLOOKUP(F17,Equivalencia!$1:$23,((MAX(Equivalencia!$3:$3)-YEAR(C17))*14)+MONTH(C17)+2,FALSE)))</f>
        <v>1</v>
      </c>
      <c r="I17" s="376">
        <f t="shared" si="0"/>
        <v>617.42999999999995</v>
      </c>
    </row>
    <row r="18" spans="2:9" s="92" customFormat="1" ht="23.1" customHeight="1">
      <c r="B18" s="64">
        <v>1175000</v>
      </c>
      <c r="C18" s="65">
        <v>44602</v>
      </c>
      <c r="D18" s="285" t="s">
        <v>149</v>
      </c>
      <c r="E18" s="66" t="s">
        <v>160</v>
      </c>
      <c r="F18" s="14" t="s">
        <v>33</v>
      </c>
      <c r="G18" s="376">
        <v>95.7</v>
      </c>
      <c r="H18" s="393">
        <f>+IF(F18=0,0,IF(F18="MXN",1/HLOOKUP(YEAR(C18)+(MONTH(C18)/100),TC!$5:$37,DAY(C18)+2,FALSE),VLOOKUP(F18,Equivalencia!$3:$23,((MAX(Equivalencia!$3:$3)-YEAR(C18))*14)+MONTH(C18)+2,FALSE)))</f>
        <v>1</v>
      </c>
      <c r="I18" s="376">
        <f t="shared" si="0"/>
        <v>95.7</v>
      </c>
    </row>
    <row r="19" spans="2:9" s="92" customFormat="1" ht="23.1" customHeight="1">
      <c r="B19" s="64">
        <v>1175000</v>
      </c>
      <c r="C19" s="65">
        <v>44606</v>
      </c>
      <c r="D19" s="285" t="s">
        <v>149</v>
      </c>
      <c r="E19" s="66" t="s">
        <v>161</v>
      </c>
      <c r="F19" s="14" t="s">
        <v>33</v>
      </c>
      <c r="G19" s="376">
        <v>267.75</v>
      </c>
      <c r="H19" s="393">
        <f>+IF(F19=0,0,IF(F19="MXN",1/HLOOKUP(YEAR(C19)+(MONTH(C19)/100),TC!$5:$37,DAY(C19)+2,FALSE),VLOOKUP(F19,Equivalencia!$3:$23,((MAX(Equivalencia!$3:$3)-YEAR(C19))*14)+MONTH(C19)+2,FALSE)))</f>
        <v>1</v>
      </c>
      <c r="I19" s="376">
        <f t="shared" si="0"/>
        <v>267.75</v>
      </c>
    </row>
    <row r="20" spans="2:9" s="92" customFormat="1" ht="23.1" customHeight="1">
      <c r="B20" s="64">
        <v>1175000</v>
      </c>
      <c r="C20" s="65">
        <v>44608</v>
      </c>
      <c r="D20" s="285" t="s">
        <v>149</v>
      </c>
      <c r="E20" s="66" t="s">
        <v>162</v>
      </c>
      <c r="F20" s="14" t="s">
        <v>33</v>
      </c>
      <c r="G20" s="376">
        <v>215.71</v>
      </c>
      <c r="H20" s="393">
        <f>+IF(F20=0,0,IF(F20="MXN",1/HLOOKUP(YEAR(C20)+(MONTH(C20)/100),TC!$5:$37,DAY(C20)+2,FALSE),VLOOKUP(F20,Equivalencia!$3:$23,((MAX(Equivalencia!$3:$3)-YEAR(C20))*14)+MONTH(C20)+2,FALSE)))</f>
        <v>1</v>
      </c>
      <c r="I20" s="376">
        <f t="shared" si="0"/>
        <v>215.71</v>
      </c>
    </row>
    <row r="21" spans="2:9" s="92" customFormat="1" ht="23.1" customHeight="1">
      <c r="B21" s="64">
        <v>1175000</v>
      </c>
      <c r="C21" s="65">
        <v>44608</v>
      </c>
      <c r="D21" s="285" t="s">
        <v>149</v>
      </c>
      <c r="E21" s="66" t="s">
        <v>163</v>
      </c>
      <c r="F21" s="14" t="s">
        <v>33</v>
      </c>
      <c r="G21" s="376">
        <v>321.55</v>
      </c>
      <c r="H21" s="393">
        <f>+IF(F21=0,0,IF(F21="MXN",1/HLOOKUP(YEAR(C21)+(MONTH(C21)/100),TC!$5:$37,DAY(C21)+2,FALSE),VLOOKUP(F21,Equivalencia!$3:$23,((MAX(Equivalencia!$3:$3)-YEAR(C21))*14)+MONTH(C21)+2,FALSE)))</f>
        <v>1</v>
      </c>
      <c r="I21" s="376">
        <f t="shared" si="0"/>
        <v>321.55</v>
      </c>
    </row>
    <row r="22" spans="2:9" s="92" customFormat="1" ht="23.1" customHeight="1">
      <c r="B22" s="64">
        <v>1175000</v>
      </c>
      <c r="C22" s="65">
        <v>44617</v>
      </c>
      <c r="D22" s="285" t="s">
        <v>149</v>
      </c>
      <c r="E22" s="66" t="s">
        <v>164</v>
      </c>
      <c r="F22" s="14" t="s">
        <v>33</v>
      </c>
      <c r="G22" s="376">
        <v>100.17</v>
      </c>
      <c r="H22" s="393">
        <f>+IF(F22=0,0,IF(F22="MXN",1/HLOOKUP(YEAR(C22)+(MONTH(C22)/100),TC!$5:$37,DAY(C22)+2,FALSE),VLOOKUP(F22,Equivalencia!$3:$23,((MAX(Equivalencia!$3:$3)-YEAR(C22))*14)+MONTH(C22)+2,FALSE)))</f>
        <v>1</v>
      </c>
      <c r="I22" s="376">
        <f t="shared" ref="I22:I24" si="1">+G22*H22</f>
        <v>100.17</v>
      </c>
    </row>
    <row r="23" spans="2:9" s="92" customFormat="1" ht="23.1" customHeight="1">
      <c r="B23" s="64">
        <v>1175000</v>
      </c>
      <c r="C23" s="65">
        <v>44622</v>
      </c>
      <c r="D23" s="285" t="s">
        <v>149</v>
      </c>
      <c r="E23" s="66" t="s">
        <v>165</v>
      </c>
      <c r="F23" s="14" t="s">
        <v>33</v>
      </c>
      <c r="G23" s="376">
        <v>98.43</v>
      </c>
      <c r="H23" s="393">
        <f>+IF(F23=0,0,IF(F23="MXN",1/HLOOKUP(YEAR(C23)+(MONTH(C23)/100),TC!$5:$37,DAY(C23)+2,FALSE),VLOOKUP(F23,Equivalencia!$3:$23,((MAX(Equivalencia!$3:$3)-YEAR(C23))*14)+MONTH(C23)+2,FALSE)))</f>
        <v>1</v>
      </c>
      <c r="I23" s="376">
        <f t="shared" si="1"/>
        <v>98.43</v>
      </c>
    </row>
    <row r="24" spans="2:9" s="92" customFormat="1" ht="23.1" customHeight="1">
      <c r="B24" s="64">
        <v>1175000</v>
      </c>
      <c r="C24" s="65">
        <v>44628</v>
      </c>
      <c r="D24" s="285" t="s">
        <v>149</v>
      </c>
      <c r="E24" s="66" t="s">
        <v>166</v>
      </c>
      <c r="F24" s="14" t="s">
        <v>33</v>
      </c>
      <c r="G24" s="376">
        <v>486.01</v>
      </c>
      <c r="H24" s="393">
        <f>+IF(F24=0,0,IF(F24="MXN",1/HLOOKUP(YEAR(C24)+(MONTH(C24)/100),TC!$5:$37,DAY(C24)+2,FALSE),VLOOKUP(F24,Equivalencia!$3:$23,((MAX(Equivalencia!$3:$3)-YEAR(C24))*14)+MONTH(C24)+2,FALSE)))</f>
        <v>1</v>
      </c>
      <c r="I24" s="376">
        <f t="shared" si="1"/>
        <v>486.01</v>
      </c>
    </row>
    <row r="25" spans="2:9" s="92" customFormat="1" ht="23.1" customHeight="1">
      <c r="B25" s="64">
        <v>1175000</v>
      </c>
      <c r="C25" s="65">
        <v>44630</v>
      </c>
      <c r="D25" s="285" t="s">
        <v>149</v>
      </c>
      <c r="E25" s="66" t="s">
        <v>167</v>
      </c>
      <c r="F25" s="14" t="s">
        <v>33</v>
      </c>
      <c r="G25" s="376">
        <v>259.52999999999997</v>
      </c>
      <c r="H25" s="393">
        <f>+IF(F25=0,0,IF(F25="MXN",1/HLOOKUP(YEAR(C25)+(MONTH(C25)/100),TC!$5:$37,DAY(C25)+2,FALSE),VLOOKUP(F25,Equivalencia!$3:$23,((MAX(Equivalencia!$3:$3)-YEAR(C25))*14)+MONTH(C25)+2,FALSE)))</f>
        <v>1</v>
      </c>
      <c r="I25" s="376">
        <f>+G25*H25</f>
        <v>259.52999999999997</v>
      </c>
    </row>
    <row r="26" spans="2:9" s="92" customFormat="1" ht="23.1" customHeight="1">
      <c r="B26" s="64">
        <v>1175000</v>
      </c>
      <c r="C26" s="65">
        <v>44631</v>
      </c>
      <c r="D26" s="285" t="s">
        <v>149</v>
      </c>
      <c r="E26" s="66" t="s">
        <v>168</v>
      </c>
      <c r="F26" s="14" t="s">
        <v>33</v>
      </c>
      <c r="G26" s="376">
        <v>128.1</v>
      </c>
      <c r="H26" s="393">
        <f>+IF(F26=0,0,IF(F26="MXN",1/HLOOKUP(YEAR(C26)+(MONTH(C26)/100),TC!$5:$37,DAY(C26)+2,FALSE),VLOOKUP(F26,Equivalencia!$3:$23,((MAX(Equivalencia!$3:$3)-YEAR(C26))*14)+MONTH(C26)+2,FALSE)))</f>
        <v>1</v>
      </c>
      <c r="I26" s="376">
        <f>+G26*H26</f>
        <v>128.1</v>
      </c>
    </row>
    <row r="27" spans="2:9" s="92" customFormat="1" ht="23.1" customHeight="1">
      <c r="B27" s="64">
        <v>1175000</v>
      </c>
      <c r="C27" s="65">
        <v>44635</v>
      </c>
      <c r="D27" s="285" t="s">
        <v>149</v>
      </c>
      <c r="E27" s="66" t="s">
        <v>169</v>
      </c>
      <c r="F27" s="14" t="s">
        <v>33</v>
      </c>
      <c r="G27" s="376">
        <v>423.11</v>
      </c>
      <c r="H27" s="393">
        <f>+IF(F27=0,0,IF(F27="MXN",1/HLOOKUP(YEAR(C27)+(MONTH(C27)/100),TC!$5:$37,DAY(C27)+2,FALSE),VLOOKUP(F27,Equivalencia!$3:$23,((MAX(Equivalencia!$3:$3)-YEAR(C27))*14)+MONTH(C27)+2,FALSE)))</f>
        <v>1</v>
      </c>
      <c r="I27" s="376">
        <f t="shared" ref="I27:I154" si="2">+G27*H27</f>
        <v>423.11</v>
      </c>
    </row>
    <row r="28" spans="2:9" s="92" customFormat="1" ht="23.1" customHeight="1">
      <c r="B28" s="64">
        <v>1175000</v>
      </c>
      <c r="C28" s="65">
        <v>44635</v>
      </c>
      <c r="D28" s="285" t="s">
        <v>149</v>
      </c>
      <c r="E28" s="66" t="s">
        <v>170</v>
      </c>
      <c r="F28" s="14" t="s">
        <v>33</v>
      </c>
      <c r="G28" s="376">
        <v>337.07</v>
      </c>
      <c r="H28" s="393">
        <f>+IF(F28=0,0,IF(F28="MXN",1/HLOOKUP(YEAR(C28)+(MONTH(C28)/100),TC!$5:$37,DAY(C28)+2,FALSE),VLOOKUP(F28,Equivalencia!$3:$23,((MAX(Equivalencia!$3:$3)-YEAR(C28))*14)+MONTH(C28)+2,FALSE)))</f>
        <v>1</v>
      </c>
      <c r="I28" s="376">
        <f t="shared" si="2"/>
        <v>337.07</v>
      </c>
    </row>
    <row r="29" spans="2:9" s="92" customFormat="1" ht="23.1" customHeight="1">
      <c r="B29" s="64">
        <v>1175000</v>
      </c>
      <c r="C29" s="65">
        <v>44642</v>
      </c>
      <c r="D29" s="285" t="s">
        <v>149</v>
      </c>
      <c r="E29" s="66" t="s">
        <v>171</v>
      </c>
      <c r="F29" s="14" t="s">
        <v>33</v>
      </c>
      <c r="G29" s="376">
        <v>328.86</v>
      </c>
      <c r="H29" s="393">
        <f>+IF(F29=0,0,IF(F29="MXN",1/HLOOKUP(YEAR(C29)+(MONTH(C29)/100),TC!$5:$37,DAY(C29)+2,FALSE),VLOOKUP(F29,Equivalencia!$3:$23,((MAX(Equivalencia!$3:$3)-YEAR(C29))*14)+MONTH(C29)+2,FALSE)))</f>
        <v>1</v>
      </c>
      <c r="I29" s="376">
        <f t="shared" si="2"/>
        <v>328.86</v>
      </c>
    </row>
    <row r="30" spans="2:9" s="92" customFormat="1" ht="23.1" customHeight="1">
      <c r="B30" s="64">
        <v>1175000</v>
      </c>
      <c r="C30" s="65">
        <v>44645</v>
      </c>
      <c r="D30" s="285" t="s">
        <v>149</v>
      </c>
      <c r="E30" s="66" t="s">
        <v>172</v>
      </c>
      <c r="F30" s="14" t="s">
        <v>33</v>
      </c>
      <c r="G30" s="376">
        <v>351.12</v>
      </c>
      <c r="H30" s="393">
        <f>+IF(F30=0,0,IF(F30="MXN",1/HLOOKUP(YEAR(C30)+(MONTH(C30)/100),TC!$5:$37,DAY(C30)+2,FALSE),VLOOKUP(F30,Equivalencia!$3:$23,((MAX(Equivalencia!$3:$3)-YEAR(C30))*14)+MONTH(C30)+2,FALSE)))</f>
        <v>1</v>
      </c>
      <c r="I30" s="376">
        <f t="shared" si="2"/>
        <v>351.12</v>
      </c>
    </row>
    <row r="31" spans="2:9" s="92" customFormat="1" ht="23.1" customHeight="1">
      <c r="B31" s="64">
        <v>1175000</v>
      </c>
      <c r="C31" s="65">
        <v>44645</v>
      </c>
      <c r="D31" s="285" t="s">
        <v>149</v>
      </c>
      <c r="E31" s="66" t="s">
        <v>173</v>
      </c>
      <c r="F31" s="14" t="s">
        <v>33</v>
      </c>
      <c r="G31" s="376">
        <v>261.07</v>
      </c>
      <c r="H31" s="393">
        <f>+IF(F31=0,0,IF(F31="MXN",1/HLOOKUP(YEAR(C31)+(MONTH(C31)/100),TC!$5:$37,DAY(C31)+2,FALSE),VLOOKUP(F31,Equivalencia!$3:$23,((MAX(Equivalencia!$3:$3)-YEAR(C31))*14)+MONTH(C31)+2,FALSE)))</f>
        <v>1</v>
      </c>
      <c r="I31" s="376">
        <f t="shared" si="2"/>
        <v>261.07</v>
      </c>
    </row>
    <row r="32" spans="2:9" s="92" customFormat="1" ht="23.1" customHeight="1">
      <c r="B32" s="64">
        <v>1175000</v>
      </c>
      <c r="C32" s="65">
        <v>44650</v>
      </c>
      <c r="D32" s="285" t="s">
        <v>149</v>
      </c>
      <c r="E32" s="66" t="s">
        <v>174</v>
      </c>
      <c r="F32" s="14" t="s">
        <v>33</v>
      </c>
      <c r="G32" s="376">
        <v>103.38</v>
      </c>
      <c r="H32" s="393">
        <f>+IF(F32=0,0,IF(F32="MXN",1/HLOOKUP(YEAR(C32)+(MONTH(C32)/100),TC!$5:$37,DAY(C32)+2,FALSE),VLOOKUP(F32,Equivalencia!$3:$23,((MAX(Equivalencia!$3:$3)-YEAR(C32))*14)+MONTH(C32)+2,FALSE)))</f>
        <v>1</v>
      </c>
      <c r="I32" s="376">
        <f t="shared" si="2"/>
        <v>103.38</v>
      </c>
    </row>
    <row r="33" spans="2:9" s="92" customFormat="1" ht="23.1" customHeight="1">
      <c r="B33" s="64">
        <v>1175000</v>
      </c>
      <c r="C33" s="65">
        <v>44651</v>
      </c>
      <c r="D33" s="285" t="s">
        <v>149</v>
      </c>
      <c r="E33" s="66" t="s">
        <v>175</v>
      </c>
      <c r="F33" s="14" t="s">
        <v>33</v>
      </c>
      <c r="G33" s="376">
        <v>109.86</v>
      </c>
      <c r="H33" s="393">
        <f>+IF(F33=0,0,IF(F33="MXN",1/HLOOKUP(YEAR(C33)+(MONTH(C33)/100),TC!$5:$37,DAY(C33)+2,FALSE),VLOOKUP(F33,Equivalencia!$3:$23,((MAX(Equivalencia!$3:$3)-YEAR(C33))*14)+MONTH(C33)+2,FALSE)))</f>
        <v>1</v>
      </c>
      <c r="I33" s="376">
        <f t="shared" si="2"/>
        <v>109.86</v>
      </c>
    </row>
    <row r="34" spans="2:9" s="92" customFormat="1" ht="23.1" customHeight="1">
      <c r="B34" s="64">
        <v>1175000</v>
      </c>
      <c r="C34" s="65">
        <v>44652</v>
      </c>
      <c r="D34" s="285" t="s">
        <v>149</v>
      </c>
      <c r="E34" s="66" t="s">
        <v>176</v>
      </c>
      <c r="F34" s="64" t="s">
        <v>33</v>
      </c>
      <c r="G34" s="376">
        <v>401.44</v>
      </c>
      <c r="H34" s="393">
        <f>+IF(F34=0,0,IF(F34="MXN",1/HLOOKUP(YEAR(C34)+(MONTH(C34)/100),TC!$5:$37,DAY(C34)+2,FALSE),VLOOKUP(F34,Equivalencia!$3:$23,((MAX(Equivalencia!$3:$3)-YEAR(C34))*14)+MONTH(C34)+2,FALSE)))</f>
        <v>1</v>
      </c>
      <c r="I34" s="376">
        <f t="shared" si="2"/>
        <v>401.44</v>
      </c>
    </row>
    <row r="35" spans="2:9" s="92" customFormat="1" ht="23.1" customHeight="1">
      <c r="B35" s="64">
        <v>1175000</v>
      </c>
      <c r="C35" s="65">
        <v>44652</v>
      </c>
      <c r="D35" s="285" t="s">
        <v>149</v>
      </c>
      <c r="E35" s="66" t="s">
        <v>177</v>
      </c>
      <c r="F35" s="64" t="s">
        <v>33</v>
      </c>
      <c r="G35" s="376">
        <v>78.56</v>
      </c>
      <c r="H35" s="393">
        <f>+IF(F35=0,0,IF(F35="MXN",1/HLOOKUP(YEAR(C35)+(MONTH(C35)/100),TC!$5:$37,DAY(C35)+2,FALSE),VLOOKUP(F35,Equivalencia!$3:$23,((MAX(Equivalencia!$3:$3)-YEAR(C35))*14)+MONTH(C35)+2,FALSE)))</f>
        <v>1</v>
      </c>
      <c r="I35" s="376">
        <f t="shared" si="2"/>
        <v>78.56</v>
      </c>
    </row>
    <row r="36" spans="2:9" s="92" customFormat="1" ht="23.1" customHeight="1">
      <c r="B36" s="64">
        <v>1175000</v>
      </c>
      <c r="C36" s="65">
        <v>44652</v>
      </c>
      <c r="D36" s="285" t="s">
        <v>149</v>
      </c>
      <c r="E36" s="66" t="s">
        <v>153</v>
      </c>
      <c r="F36" s="64" t="s">
        <v>33</v>
      </c>
      <c r="G36" s="376">
        <v>529.01</v>
      </c>
      <c r="H36" s="393">
        <f>+IF(F36=0,0,IF(F36="MXN",1/HLOOKUP(YEAR(C36)+(MONTH(C36)/100),TC!$5:$37,DAY(C36)+2,FALSE),VLOOKUP(F36,Equivalencia!$3:$23,((MAX(Equivalencia!$3:$3)-YEAR(C36))*14)+MONTH(C36)+2,FALSE)))</f>
        <v>1</v>
      </c>
      <c r="I36" s="376">
        <f t="shared" si="2"/>
        <v>529.01</v>
      </c>
    </row>
    <row r="37" spans="2:9" s="92" customFormat="1" ht="23.1" customHeight="1">
      <c r="B37" s="64">
        <v>1175000</v>
      </c>
      <c r="C37" s="65">
        <v>44652</v>
      </c>
      <c r="D37" s="285" t="s">
        <v>149</v>
      </c>
      <c r="E37" s="66" t="s">
        <v>178</v>
      </c>
      <c r="F37" s="64" t="s">
        <v>33</v>
      </c>
      <c r="G37" s="376">
        <v>327.44</v>
      </c>
      <c r="H37" s="393">
        <f>+IF(F37=0,0,IF(F37="MXN",1/HLOOKUP(YEAR(C37)+(MONTH(C37)/100),TC!$5:$37,DAY(C37)+2,FALSE),VLOOKUP(F37,Equivalencia!$3:$23,((MAX(Equivalencia!$3:$3)-YEAR(C37))*14)+MONTH(C37)+2,FALSE)))</f>
        <v>1</v>
      </c>
      <c r="I37" s="376">
        <f t="shared" si="2"/>
        <v>327.44</v>
      </c>
    </row>
    <row r="38" spans="2:9" s="92" customFormat="1" ht="23.1" customHeight="1">
      <c r="B38" s="64">
        <v>1175000</v>
      </c>
      <c r="C38" s="65">
        <v>44655</v>
      </c>
      <c r="D38" s="285" t="s">
        <v>149</v>
      </c>
      <c r="E38" s="66" t="s">
        <v>179</v>
      </c>
      <c r="F38" s="64" t="s">
        <v>33</v>
      </c>
      <c r="G38" s="376">
        <v>200.48</v>
      </c>
      <c r="H38" s="393">
        <f>+IF(F38=0,0,IF(F38="MXN",1/HLOOKUP(YEAR(C38)+(MONTH(C38)/100),TC!$5:$37,DAY(C38)+2,FALSE),VLOOKUP(F38,Equivalencia!$3:$23,((MAX(Equivalencia!$3:$3)-YEAR(C38))*14)+MONTH(C38)+2,FALSE)))</f>
        <v>1</v>
      </c>
      <c r="I38" s="376">
        <f t="shared" si="2"/>
        <v>200.48</v>
      </c>
    </row>
    <row r="39" spans="2:9" s="92" customFormat="1" ht="23.1" customHeight="1">
      <c r="B39" s="64">
        <v>1175000</v>
      </c>
      <c r="C39" s="65">
        <v>44658</v>
      </c>
      <c r="D39" s="285" t="s">
        <v>149</v>
      </c>
      <c r="E39" s="66" t="s">
        <v>152</v>
      </c>
      <c r="F39" s="64" t="s">
        <v>33</v>
      </c>
      <c r="G39" s="376">
        <v>158.55000000000001</v>
      </c>
      <c r="H39" s="393">
        <f>+IF(F39=0,0,IF(F39="MXN",1/HLOOKUP(YEAR(C39)+(MONTH(C39)/100),TC!$5:$37,DAY(C39)+2,FALSE),VLOOKUP(F39,Equivalencia!$3:$23,((MAX(Equivalencia!$3:$3)-YEAR(C39))*14)+MONTH(C39)+2,FALSE)))</f>
        <v>1</v>
      </c>
      <c r="I39" s="376">
        <f t="shared" si="2"/>
        <v>158.55000000000001</v>
      </c>
    </row>
    <row r="40" spans="2:9" s="92" customFormat="1" ht="23.1" customHeight="1">
      <c r="B40" s="64">
        <v>1175000</v>
      </c>
      <c r="C40" s="65">
        <v>44659</v>
      </c>
      <c r="D40" s="285" t="s">
        <v>149</v>
      </c>
      <c r="E40" s="66" t="s">
        <v>180</v>
      </c>
      <c r="F40" s="64" t="s">
        <v>33</v>
      </c>
      <c r="G40" s="376">
        <v>328.24</v>
      </c>
      <c r="H40" s="393">
        <f>+IF(F40=0,0,IF(F40="MXN",1/HLOOKUP(YEAR(C40)+(MONTH(C40)/100),TC!$5:$37,DAY(C40)+2,FALSE),VLOOKUP(F40,Equivalencia!$3:$23,((MAX(Equivalencia!$3:$3)-YEAR(C40))*14)+MONTH(C40)+2,FALSE)))</f>
        <v>1</v>
      </c>
      <c r="I40" s="376">
        <f t="shared" si="2"/>
        <v>328.24</v>
      </c>
    </row>
    <row r="41" spans="2:9" s="92" customFormat="1" ht="23.1" customHeight="1">
      <c r="B41" s="64">
        <v>1175000</v>
      </c>
      <c r="C41" s="65">
        <v>44665</v>
      </c>
      <c r="D41" s="285" t="s">
        <v>149</v>
      </c>
      <c r="E41" s="66" t="s">
        <v>154</v>
      </c>
      <c r="F41" s="64" t="s">
        <v>33</v>
      </c>
      <c r="G41" s="376">
        <v>643.63</v>
      </c>
      <c r="H41" s="393">
        <f>+IF(F41=0,0,IF(F41="MXN",1/HLOOKUP(YEAR(C41)+(MONTH(C41)/100),TC!$5:$37,DAY(C41)+2,FALSE),VLOOKUP(F41,Equivalencia!$3:$23,((MAX(Equivalencia!$3:$3)-YEAR(C41))*14)+MONTH(C41)+2,FALSE)))</f>
        <v>1</v>
      </c>
      <c r="I41" s="376">
        <f t="shared" si="2"/>
        <v>643.63</v>
      </c>
    </row>
    <row r="42" spans="2:9" s="92" customFormat="1" ht="23.1" customHeight="1">
      <c r="B42" s="64">
        <v>1175000</v>
      </c>
      <c r="C42" s="65">
        <v>44665</v>
      </c>
      <c r="D42" s="285" t="s">
        <v>149</v>
      </c>
      <c r="E42" s="66" t="s">
        <v>154</v>
      </c>
      <c r="F42" s="64" t="s">
        <v>33</v>
      </c>
      <c r="G42" s="376">
        <v>23.72</v>
      </c>
      <c r="H42" s="393">
        <f>+IF(F42=0,0,IF(F42="MXN",1/HLOOKUP(YEAR(C42)+(MONTH(C42)/100),TC!$5:$37,DAY(C42)+2,FALSE),VLOOKUP(F42,Equivalencia!$3:$23,((MAX(Equivalencia!$3:$3)-YEAR(C42))*14)+MONTH(C42)+2,FALSE)))</f>
        <v>1</v>
      </c>
      <c r="I42" s="376">
        <f t="shared" si="2"/>
        <v>23.72</v>
      </c>
    </row>
    <row r="43" spans="2:9" s="92" customFormat="1" ht="23.1" customHeight="1">
      <c r="B43" s="64">
        <v>1175000</v>
      </c>
      <c r="C43" s="65">
        <v>44665</v>
      </c>
      <c r="D43" s="285" t="s">
        <v>149</v>
      </c>
      <c r="E43" s="66" t="s">
        <v>155</v>
      </c>
      <c r="F43" s="64" t="s">
        <v>33</v>
      </c>
      <c r="G43" s="376">
        <v>239.97</v>
      </c>
      <c r="H43" s="393">
        <f>+IF(F43=0,0,IF(F43="MXN",1/HLOOKUP(YEAR(C43)+(MONTH(C43)/100),TC!$5:$37,DAY(C43)+2,FALSE),VLOOKUP(F43,Equivalencia!$3:$23,((MAX(Equivalencia!$3:$3)-YEAR(C43))*14)+MONTH(C43)+2,FALSE)))</f>
        <v>1</v>
      </c>
      <c r="I43" s="376">
        <f t="shared" si="2"/>
        <v>239.97</v>
      </c>
    </row>
    <row r="44" spans="2:9" s="92" customFormat="1" ht="23.1" customHeight="1">
      <c r="B44" s="64">
        <v>1175000</v>
      </c>
      <c r="C44" s="65">
        <v>44666</v>
      </c>
      <c r="D44" s="285" t="s">
        <v>149</v>
      </c>
      <c r="E44" s="66" t="s">
        <v>181</v>
      </c>
      <c r="F44" s="64" t="s">
        <v>33</v>
      </c>
      <c r="G44" s="376">
        <v>17.010000000000002</v>
      </c>
      <c r="H44" s="393">
        <f>+IF(F44=0,0,IF(F44="MXN",1/HLOOKUP(YEAR(C44)+(MONTH(C44)/100),TC!$5:$37,DAY(C44)+2,FALSE),VLOOKUP(F44,Equivalencia!$3:$23,((MAX(Equivalencia!$3:$3)-YEAR(C44))*14)+MONTH(C44)+2,FALSE)))</f>
        <v>1</v>
      </c>
      <c r="I44" s="376">
        <f t="shared" si="2"/>
        <v>17.010000000000002</v>
      </c>
    </row>
    <row r="45" spans="2:9" s="92" customFormat="1" ht="23.1" customHeight="1">
      <c r="B45" s="64">
        <v>1175000</v>
      </c>
      <c r="C45" s="65">
        <v>44679</v>
      </c>
      <c r="D45" s="285" t="s">
        <v>149</v>
      </c>
      <c r="E45" s="66" t="s">
        <v>182</v>
      </c>
      <c r="F45" s="64" t="s">
        <v>33</v>
      </c>
      <c r="G45" s="376">
        <v>444.91</v>
      </c>
      <c r="H45" s="393">
        <f>+IF(F45=0,0,IF(F45="MXN",1/HLOOKUP(YEAR(C45)+(MONTH(C45)/100),TC!$5:$37,DAY(C45)+2,FALSE),VLOOKUP(F45,Equivalencia!$3:$23,((MAX(Equivalencia!$3:$3)-YEAR(C45))*14)+MONTH(C45)+2,FALSE)))</f>
        <v>1</v>
      </c>
      <c r="I45" s="376">
        <f t="shared" si="2"/>
        <v>444.91</v>
      </c>
    </row>
    <row r="46" spans="2:9" s="92" customFormat="1" ht="23.1" customHeight="1">
      <c r="B46" s="64">
        <v>1175000</v>
      </c>
      <c r="C46" s="65">
        <v>44684</v>
      </c>
      <c r="D46" s="285" t="s">
        <v>149</v>
      </c>
      <c r="E46" s="66" t="s">
        <v>157</v>
      </c>
      <c r="F46" s="64" t="s">
        <v>33</v>
      </c>
      <c r="G46" s="376">
        <v>736.72</v>
      </c>
      <c r="H46" s="393">
        <f>+IF(F46=0,0,IF(F46="MXN",1/HLOOKUP(YEAR(C46)+(MONTH(C46)/100),TC!$5:$37,DAY(C46)+2,FALSE),VLOOKUP(F46,Equivalencia!$3:$23,((MAX(Equivalencia!$3:$3)-YEAR(C46))*14)+MONTH(C46)+2,FALSE)))</f>
        <v>1</v>
      </c>
      <c r="I46" s="376">
        <f t="shared" ref="I46:I54" si="3">+G46*H46</f>
        <v>736.72</v>
      </c>
    </row>
    <row r="47" spans="2:9" s="92" customFormat="1" ht="23.1" customHeight="1">
      <c r="B47" s="64">
        <v>1175000</v>
      </c>
      <c r="C47" s="65">
        <v>44687</v>
      </c>
      <c r="D47" s="285" t="s">
        <v>149</v>
      </c>
      <c r="E47" s="66" t="s">
        <v>158</v>
      </c>
      <c r="F47" s="64" t="s">
        <v>33</v>
      </c>
      <c r="G47" s="376">
        <v>263.55</v>
      </c>
      <c r="H47" s="393">
        <f>+IF(F47=0,0,IF(F47="MXN",1/HLOOKUP(YEAR(C47)+(MONTH(C47)/100),TC!$5:$37,DAY(C47)+2,FALSE),VLOOKUP(F47,Equivalencia!$3:$23,((MAX(Equivalencia!$3:$3)-YEAR(C47))*14)+MONTH(C47)+2,FALSE)))</f>
        <v>1</v>
      </c>
      <c r="I47" s="376">
        <f t="shared" si="3"/>
        <v>263.55</v>
      </c>
    </row>
    <row r="48" spans="2:9" s="92" customFormat="1" ht="23.1" customHeight="1">
      <c r="B48" s="64">
        <v>1175000</v>
      </c>
      <c r="C48" s="65">
        <v>44687</v>
      </c>
      <c r="D48" s="285" t="s">
        <v>149</v>
      </c>
      <c r="E48" s="66" t="s">
        <v>183</v>
      </c>
      <c r="F48" s="64" t="s">
        <v>33</v>
      </c>
      <c r="G48" s="376">
        <v>147.06</v>
      </c>
      <c r="H48" s="393">
        <f>+IF(F48=0,0,IF(F48="MXN",1/HLOOKUP(YEAR(C48)+(MONTH(C48)/100),TC!$5:$37,DAY(C48)+2,FALSE),VLOOKUP(F48,Equivalencia!$3:$23,((MAX(Equivalencia!$3:$3)-YEAR(C48))*14)+MONTH(C48)+2,FALSE)))</f>
        <v>1</v>
      </c>
      <c r="I48" s="376">
        <f t="shared" si="3"/>
        <v>147.06</v>
      </c>
    </row>
    <row r="49" spans="2:9" s="92" customFormat="1" ht="23.1" customHeight="1">
      <c r="B49" s="64">
        <v>1175000</v>
      </c>
      <c r="C49" s="65">
        <v>44691</v>
      </c>
      <c r="D49" s="285" t="s">
        <v>149</v>
      </c>
      <c r="E49" s="66" t="s">
        <v>184</v>
      </c>
      <c r="F49" s="64" t="s">
        <v>33</v>
      </c>
      <c r="G49" s="376">
        <v>85.75</v>
      </c>
      <c r="H49" s="393">
        <f>+IF(F49=0,0,IF(F49="MXN",1/HLOOKUP(YEAR(C49)+(MONTH(C49)/100),TC!$5:$37,DAY(C49)+2,FALSE),VLOOKUP(F49,Equivalencia!$3:$23,((MAX(Equivalencia!$3:$3)-YEAR(C49))*14)+MONTH(C49)+2,FALSE)))</f>
        <v>1</v>
      </c>
      <c r="I49" s="376">
        <f t="shared" si="3"/>
        <v>85.75</v>
      </c>
    </row>
    <row r="50" spans="2:9" s="92" customFormat="1" ht="23.1" customHeight="1">
      <c r="B50" s="64">
        <v>1175000</v>
      </c>
      <c r="C50" s="65">
        <v>44691</v>
      </c>
      <c r="D50" s="285" t="s">
        <v>149</v>
      </c>
      <c r="E50" s="66" t="s">
        <v>161</v>
      </c>
      <c r="F50" s="64" t="s">
        <v>33</v>
      </c>
      <c r="G50" s="376">
        <v>77.11</v>
      </c>
      <c r="H50" s="393">
        <f>+IF(F50=0,0,IF(F50="MXN",1/HLOOKUP(YEAR(C50)+(MONTH(C50)/100),TC!$5:$37,DAY(C50)+2,FALSE),VLOOKUP(F50,Equivalencia!$3:$23,((MAX(Equivalencia!$3:$3)-YEAR(C50))*14)+MONTH(C50)+2,FALSE)))</f>
        <v>1</v>
      </c>
      <c r="I50" s="376">
        <f t="shared" si="3"/>
        <v>77.11</v>
      </c>
    </row>
    <row r="51" spans="2:9" s="92" customFormat="1" ht="23.1" customHeight="1">
      <c r="B51" s="64">
        <v>1175000</v>
      </c>
      <c r="C51" s="65">
        <v>44697</v>
      </c>
      <c r="D51" s="285" t="s">
        <v>149</v>
      </c>
      <c r="E51" s="66" t="s">
        <v>162</v>
      </c>
      <c r="F51" s="64" t="s">
        <v>33</v>
      </c>
      <c r="G51" s="376">
        <v>215.71</v>
      </c>
      <c r="H51" s="393">
        <f>+IF(F51=0,0,IF(F51="MXN",1/HLOOKUP(YEAR(C51)+(MONTH(C51)/100),TC!$5:$37,DAY(C51)+2,FALSE),VLOOKUP(F51,Equivalencia!$3:$23,((MAX(Equivalencia!$3:$3)-YEAR(C51))*14)+MONTH(C51)+2,FALSE)))</f>
        <v>1</v>
      </c>
      <c r="I51" s="376">
        <f t="shared" si="3"/>
        <v>215.71</v>
      </c>
    </row>
    <row r="52" spans="2:9" s="92" customFormat="1" ht="23.1" customHeight="1">
      <c r="B52" s="64">
        <v>1175000</v>
      </c>
      <c r="C52" s="65">
        <v>44697</v>
      </c>
      <c r="D52" s="285" t="s">
        <v>149</v>
      </c>
      <c r="E52" s="66" t="s">
        <v>163</v>
      </c>
      <c r="F52" s="64" t="s">
        <v>33</v>
      </c>
      <c r="G52" s="376">
        <v>301.18</v>
      </c>
      <c r="H52" s="393">
        <f>+IF(F52=0,0,IF(F52="MXN",1/HLOOKUP(YEAR(C52)+(MONTH(C52)/100),TC!$5:$37,DAY(C52)+2,FALSE),VLOOKUP(F52,Equivalencia!$3:$23,((MAX(Equivalencia!$3:$3)-YEAR(C52))*14)+MONTH(C52)+2,FALSE)))</f>
        <v>1</v>
      </c>
      <c r="I52" s="376">
        <f t="shared" si="3"/>
        <v>301.18</v>
      </c>
    </row>
    <row r="53" spans="2:9" s="92" customFormat="1" ht="23.1" customHeight="1">
      <c r="B53" s="64">
        <v>1175000</v>
      </c>
      <c r="C53" s="65">
        <v>44698</v>
      </c>
      <c r="D53" s="285" t="s">
        <v>149</v>
      </c>
      <c r="E53" s="66" t="s">
        <v>159</v>
      </c>
      <c r="F53" s="64" t="s">
        <v>33</v>
      </c>
      <c r="G53" s="376">
        <v>466.09</v>
      </c>
      <c r="H53" s="393">
        <f>+IF(F53=0,0,IF(F53="MXN",1/HLOOKUP(YEAR(C53)+(MONTH(C53)/100),TC!$5:$37,DAY(C53)+2,FALSE),VLOOKUP(F53,Equivalencia!$3:$23,((MAX(Equivalencia!$3:$3)-YEAR(C53))*14)+MONTH(C53)+2,FALSE)))</f>
        <v>1</v>
      </c>
      <c r="I53" s="376">
        <f t="shared" si="3"/>
        <v>466.09</v>
      </c>
    </row>
    <row r="54" spans="2:9" s="92" customFormat="1" ht="23.1" customHeight="1">
      <c r="B54" s="64">
        <v>1175000</v>
      </c>
      <c r="C54" s="65">
        <v>44711</v>
      </c>
      <c r="D54" s="285" t="s">
        <v>149</v>
      </c>
      <c r="E54" s="66" t="s">
        <v>178</v>
      </c>
      <c r="F54" s="64" t="s">
        <v>33</v>
      </c>
      <c r="G54" s="376">
        <v>226.6</v>
      </c>
      <c r="H54" s="393">
        <f>+IF(F54=0,0,IF(F54="MXN",1/HLOOKUP(YEAR(C54)+(MONTH(C54)/100),TC!$5:$37,DAY(C54)+2,FALSE),VLOOKUP(F54,Equivalencia!$3:$23,((MAX(Equivalencia!$3:$3)-YEAR(C54))*14)+MONTH(C54)+2,FALSE)))</f>
        <v>1</v>
      </c>
      <c r="I54" s="376">
        <f t="shared" si="3"/>
        <v>226.6</v>
      </c>
    </row>
    <row r="55" spans="2:9" s="92" customFormat="1" ht="23.1" customHeight="1">
      <c r="B55" s="64">
        <v>1175000</v>
      </c>
      <c r="C55" s="65">
        <v>44714</v>
      </c>
      <c r="D55" s="285" t="s">
        <v>149</v>
      </c>
      <c r="E55" s="66" t="s">
        <v>181</v>
      </c>
      <c r="F55" s="64" t="s">
        <v>33</v>
      </c>
      <c r="G55" s="376">
        <v>85.65</v>
      </c>
      <c r="H55" s="393">
        <f>+IF(F55=0,0,IF(F55="MXN",1/HLOOKUP(YEAR(C55)+(MONTH(C55)/100),TC!$5:$37,DAY(C55)+2,FALSE),VLOOKUP(F55,Equivalencia!$3:$23,((MAX(Equivalencia!$3:$3)-YEAR(C55))*14)+MONTH(C55)+2,FALSE)))</f>
        <v>1</v>
      </c>
      <c r="I55" s="376">
        <f t="shared" ref="I55:I76" si="4">+G55*H55</f>
        <v>85.65</v>
      </c>
    </row>
    <row r="56" spans="2:9" s="92" customFormat="1" ht="23.1" customHeight="1">
      <c r="B56" s="64">
        <v>1175000</v>
      </c>
      <c r="C56" s="65">
        <v>44715</v>
      </c>
      <c r="D56" s="285" t="s">
        <v>149</v>
      </c>
      <c r="E56" s="66" t="s">
        <v>168</v>
      </c>
      <c r="F56" s="64" t="s">
        <v>33</v>
      </c>
      <c r="G56" s="376">
        <v>96.6</v>
      </c>
      <c r="H56" s="393">
        <f>+IF(F56=0,0,IF(F56="MXN",1/HLOOKUP(YEAR(C56)+(MONTH(C56)/100),TC!$5:$37,DAY(C56)+2,FALSE),VLOOKUP(F56,Equivalencia!$3:$23,((MAX(Equivalencia!$3:$3)-YEAR(C56))*14)+MONTH(C56)+2,FALSE)))</f>
        <v>1</v>
      </c>
      <c r="I56" s="376">
        <f t="shared" si="4"/>
        <v>96.6</v>
      </c>
    </row>
    <row r="57" spans="2:9" s="92" customFormat="1" ht="23.1" customHeight="1">
      <c r="B57" s="64">
        <v>1175000</v>
      </c>
      <c r="C57" s="65">
        <v>44720</v>
      </c>
      <c r="D57" s="285" t="s">
        <v>149</v>
      </c>
      <c r="E57" s="66" t="s">
        <v>166</v>
      </c>
      <c r="F57" s="64" t="s">
        <v>33</v>
      </c>
      <c r="G57" s="376">
        <v>391.54</v>
      </c>
      <c r="H57" s="393">
        <f>+IF(F57=0,0,IF(F57="MXN",1/HLOOKUP(YEAR(C57)+(MONTH(C57)/100),TC!$5:$37,DAY(C57)+2,FALSE),VLOOKUP(F57,Equivalencia!$3:$23,((MAX(Equivalencia!$3:$3)-YEAR(C57))*14)+MONTH(C57)+2,FALSE)))</f>
        <v>1</v>
      </c>
      <c r="I57" s="376">
        <f t="shared" si="4"/>
        <v>391.54</v>
      </c>
    </row>
    <row r="58" spans="2:9" s="92" customFormat="1" ht="23.1" customHeight="1">
      <c r="B58" s="64">
        <v>1175000</v>
      </c>
      <c r="C58" s="65">
        <v>44721</v>
      </c>
      <c r="D58" s="285" t="s">
        <v>149</v>
      </c>
      <c r="E58" s="66" t="s">
        <v>167</v>
      </c>
      <c r="F58" s="64" t="s">
        <v>33</v>
      </c>
      <c r="G58" s="376">
        <v>196.17</v>
      </c>
      <c r="H58" s="393">
        <f>+IF(F58=0,0,IF(F58="MXN",1/HLOOKUP(YEAR(C58)+(MONTH(C58)/100),TC!$5:$37,DAY(C58)+2,FALSE),VLOOKUP(F58,Equivalencia!$3:$23,((MAX(Equivalencia!$3:$3)-YEAR(C58))*14)+MONTH(C58)+2,FALSE)))</f>
        <v>1</v>
      </c>
      <c r="I58" s="376">
        <f t="shared" si="4"/>
        <v>196.17</v>
      </c>
    </row>
    <row r="59" spans="2:9" s="92" customFormat="1" ht="23.1" customHeight="1">
      <c r="B59" s="64">
        <v>1175000</v>
      </c>
      <c r="C59" s="65">
        <v>44727</v>
      </c>
      <c r="D59" s="285" t="s">
        <v>149</v>
      </c>
      <c r="E59" s="66" t="s">
        <v>170</v>
      </c>
      <c r="F59" s="64" t="s">
        <v>33</v>
      </c>
      <c r="G59" s="376">
        <v>254.66</v>
      </c>
      <c r="H59" s="393">
        <f>+IF(F59=0,0,IF(F59="MXN",1/HLOOKUP(YEAR(C59)+(MONTH(C59)/100),TC!$5:$37,DAY(C59)+2,FALSE),VLOOKUP(F59,Equivalencia!$3:$23,((MAX(Equivalencia!$3:$3)-YEAR(C59))*14)+MONTH(C59)+2,FALSE)))</f>
        <v>1</v>
      </c>
      <c r="I59" s="376">
        <f t="shared" si="4"/>
        <v>254.66</v>
      </c>
    </row>
    <row r="60" spans="2:9" s="92" customFormat="1" ht="23.1" customHeight="1">
      <c r="B60" s="64">
        <v>1175000</v>
      </c>
      <c r="C60" s="65">
        <v>44729</v>
      </c>
      <c r="D60" s="285" t="s">
        <v>149</v>
      </c>
      <c r="E60" s="66" t="s">
        <v>172</v>
      </c>
      <c r="F60" s="64" t="s">
        <v>33</v>
      </c>
      <c r="G60" s="376">
        <v>267.33</v>
      </c>
      <c r="H60" s="393">
        <f>+IF(F60=0,0,IF(F60="MXN",1/HLOOKUP(YEAR(C60)+(MONTH(C60)/100),TC!$5:$37,DAY(C60)+2,FALSE),VLOOKUP(F60,Equivalencia!$3:$23,((MAX(Equivalencia!$3:$3)-YEAR(C60))*14)+MONTH(C60)+2,FALSE)))</f>
        <v>1</v>
      </c>
      <c r="I60" s="376">
        <f t="shared" si="4"/>
        <v>267.33</v>
      </c>
    </row>
    <row r="61" spans="2:9" s="92" customFormat="1" ht="23.1" customHeight="1">
      <c r="B61" s="64">
        <v>1175000</v>
      </c>
      <c r="C61" s="65">
        <v>44733</v>
      </c>
      <c r="D61" s="285" t="s">
        <v>149</v>
      </c>
      <c r="E61" s="66" t="s">
        <v>169</v>
      </c>
      <c r="F61" s="64" t="s">
        <v>33</v>
      </c>
      <c r="G61" s="376">
        <v>319.75</v>
      </c>
      <c r="H61" s="393">
        <f>+IF(F61=0,0,IF(F61="MXN",1/HLOOKUP(YEAR(C61)+(MONTH(C61)/100),TC!$5:$37,DAY(C61)+2,FALSE),VLOOKUP(F61,Equivalencia!$3:$23,((MAX(Equivalencia!$3:$3)-YEAR(C61))*14)+MONTH(C61)+2,FALSE)))</f>
        <v>1</v>
      </c>
      <c r="I61" s="376">
        <f t="shared" si="4"/>
        <v>319.75</v>
      </c>
    </row>
    <row r="62" spans="2:9" s="92" customFormat="1" ht="23.1" customHeight="1">
      <c r="B62" s="64">
        <v>1175000</v>
      </c>
      <c r="C62" s="65">
        <v>44735</v>
      </c>
      <c r="D62" s="285" t="s">
        <v>149</v>
      </c>
      <c r="E62" s="66" t="s">
        <v>185</v>
      </c>
      <c r="F62" s="64" t="s">
        <v>33</v>
      </c>
      <c r="G62" s="376">
        <v>471.41</v>
      </c>
      <c r="H62" s="393">
        <f>+IF(F62=0,0,IF(F62="MXN",1/HLOOKUP(YEAR(C62)+(MONTH(C62)/100),TC!$5:$37,DAY(C62)+2,FALSE),VLOOKUP(F62,Equivalencia!$3:$23,((MAX(Equivalencia!$3:$3)-YEAR(C62))*14)+MONTH(C62)+2,FALSE)))</f>
        <v>1</v>
      </c>
      <c r="I62" s="376">
        <f t="shared" si="4"/>
        <v>471.41</v>
      </c>
    </row>
    <row r="63" spans="2:9" s="92" customFormat="1" ht="23.1" customHeight="1">
      <c r="B63" s="64">
        <v>1175000</v>
      </c>
      <c r="C63" s="65">
        <v>44739</v>
      </c>
      <c r="D63" s="285" t="s">
        <v>149</v>
      </c>
      <c r="E63" s="66" t="s">
        <v>173</v>
      </c>
      <c r="F63" s="64" t="s">
        <v>33</v>
      </c>
      <c r="G63" s="376">
        <v>88.64</v>
      </c>
      <c r="H63" s="393">
        <f>+IF(F63=0,0,IF(F63="MXN",1/HLOOKUP(YEAR(C63)+(MONTH(C63)/100),TC!$5:$37,DAY(C63)+2,FALSE),VLOOKUP(F63,Equivalencia!$3:$23,((MAX(Equivalencia!$3:$3)-YEAR(C63))*14)+MONTH(C63)+2,FALSE)))</f>
        <v>1</v>
      </c>
      <c r="I63" s="376">
        <f t="shared" si="4"/>
        <v>88.64</v>
      </c>
    </row>
    <row r="64" spans="2:9" s="92" customFormat="1" ht="23.1" customHeight="1">
      <c r="B64" s="64">
        <v>1175000</v>
      </c>
      <c r="C64" s="65">
        <v>44740</v>
      </c>
      <c r="D64" s="285" t="s">
        <v>149</v>
      </c>
      <c r="E64" s="66" t="s">
        <v>171</v>
      </c>
      <c r="F64" s="64" t="s">
        <v>33</v>
      </c>
      <c r="G64" s="376">
        <v>282.97000000000003</v>
      </c>
      <c r="H64" s="393">
        <f>+IF(F64=0,0,IF(F64="MXN",1/HLOOKUP(YEAR(C64)+(MONTH(C64)/100),TC!$5:$37,DAY(C64)+2,FALSE),VLOOKUP(F64,Equivalencia!$3:$23,((MAX(Equivalencia!$3:$3)-YEAR(C64))*14)+MONTH(C64)+2,FALSE)))</f>
        <v>1</v>
      </c>
      <c r="I64" s="376">
        <f t="shared" si="4"/>
        <v>282.97000000000003</v>
      </c>
    </row>
    <row r="65" spans="2:9" s="92" customFormat="1" ht="23.1" customHeight="1">
      <c r="B65" s="64">
        <v>1175000</v>
      </c>
      <c r="C65" s="65">
        <v>44742</v>
      </c>
      <c r="D65" s="285" t="s">
        <v>149</v>
      </c>
      <c r="E65" s="66" t="s">
        <v>174</v>
      </c>
      <c r="F65" s="64" t="s">
        <v>33</v>
      </c>
      <c r="G65" s="376">
        <v>60.48</v>
      </c>
      <c r="H65" s="393">
        <f>+IF(F65=0,0,IF(F65="MXN",1/HLOOKUP(YEAR(C65)+(MONTH(C65)/100),TC!$5:$37,DAY(C65)+2,FALSE),VLOOKUP(F65,Equivalencia!$3:$23,((MAX(Equivalencia!$3:$3)-YEAR(C65))*14)+MONTH(C65)+2,FALSE)))</f>
        <v>1</v>
      </c>
      <c r="I65" s="376">
        <f t="shared" si="4"/>
        <v>60.48</v>
      </c>
    </row>
    <row r="66" spans="2:9" s="92" customFormat="1" ht="23.1" customHeight="1">
      <c r="B66" s="64">
        <v>1175000</v>
      </c>
      <c r="C66" s="65">
        <v>44742</v>
      </c>
      <c r="D66" s="285" t="s">
        <v>149</v>
      </c>
      <c r="E66" s="66" t="s">
        <v>177</v>
      </c>
      <c r="F66" s="64" t="s">
        <v>33</v>
      </c>
      <c r="G66" s="376">
        <v>59.68</v>
      </c>
      <c r="H66" s="393">
        <f>+IF(F66=0,0,IF(F66="MXN",1/HLOOKUP(YEAR(C66)+(MONTH(C66)/100),TC!$5:$37,DAY(C66)+2,FALSE),VLOOKUP(F66,Equivalencia!$3:$23,((MAX(Equivalencia!$3:$3)-YEAR(C66))*14)+MONTH(C66)+2,FALSE)))</f>
        <v>1</v>
      </c>
      <c r="I66" s="376">
        <f t="shared" si="4"/>
        <v>59.68</v>
      </c>
    </row>
    <row r="67" spans="2:9" s="92" customFormat="1" ht="23.1" customHeight="1">
      <c r="B67" s="64">
        <v>1175000</v>
      </c>
      <c r="C67" s="65">
        <v>44742</v>
      </c>
      <c r="D67" s="285" t="s">
        <v>149</v>
      </c>
      <c r="E67" s="66" t="s">
        <v>153</v>
      </c>
      <c r="F67" s="64" t="s">
        <v>33</v>
      </c>
      <c r="G67" s="376">
        <v>396.86</v>
      </c>
      <c r="H67" s="393">
        <f>+IF(F67=0,0,IF(F67="MXN",1/HLOOKUP(YEAR(C67)+(MONTH(C67)/100),TC!$5:$37,DAY(C67)+2,FALSE),VLOOKUP(F67,Equivalencia!$3:$23,((MAX(Equivalencia!$3:$3)-YEAR(C67))*14)+MONTH(C67)+2,FALSE)))</f>
        <v>1</v>
      </c>
      <c r="I67" s="376">
        <f t="shared" si="4"/>
        <v>396.86</v>
      </c>
    </row>
    <row r="68" spans="2:9" s="92" customFormat="1" ht="23.1" customHeight="1">
      <c r="B68" s="64">
        <v>1175000</v>
      </c>
      <c r="C68" s="65">
        <v>44742</v>
      </c>
      <c r="D68" s="285" t="s">
        <v>149</v>
      </c>
      <c r="E68" s="66" t="s">
        <v>175</v>
      </c>
      <c r="F68" s="64" t="s">
        <v>33</v>
      </c>
      <c r="G68" s="376">
        <v>124.49</v>
      </c>
      <c r="H68" s="393">
        <f>+IF(F68=0,0,IF(F68="MXN",1/HLOOKUP(YEAR(C68)+(MONTH(C68)/100),TC!$5:$37,DAY(C68)+2,FALSE),VLOOKUP(F68,Equivalencia!$3:$23,((MAX(Equivalencia!$3:$3)-YEAR(C68))*14)+MONTH(C68)+2,FALSE)))</f>
        <v>1</v>
      </c>
      <c r="I68" s="376">
        <f t="shared" si="4"/>
        <v>124.49</v>
      </c>
    </row>
    <row r="69" spans="2:9" s="92" customFormat="1" ht="23.1" customHeight="1">
      <c r="B69" s="64">
        <v>1175000</v>
      </c>
      <c r="C69" s="65">
        <v>44743</v>
      </c>
      <c r="D69" s="64" t="s">
        <v>149</v>
      </c>
      <c r="E69" s="66" t="s">
        <v>176</v>
      </c>
      <c r="F69" s="64" t="s">
        <v>33</v>
      </c>
      <c r="G69" s="376">
        <v>335.79</v>
      </c>
      <c r="H69" s="393">
        <f>+IF(F69=0,0,IF(F69="MXN",1/HLOOKUP(YEAR(C69)+(MONTH(C69)/100),TC!$5:$37,DAY(C69)+2,FALSE),VLOOKUP(F69,Equivalencia!$3:$23,((MAX(Equivalencia!$3:$3)-YEAR(C69))*14)+MONTH(C69)+2,FALSE)))</f>
        <v>1</v>
      </c>
      <c r="I69" s="376">
        <f t="shared" si="4"/>
        <v>335.79</v>
      </c>
    </row>
    <row r="70" spans="2:9" s="92" customFormat="1" ht="23.1" customHeight="1">
      <c r="B70" s="64">
        <v>1175000</v>
      </c>
      <c r="C70" s="65">
        <v>44746</v>
      </c>
      <c r="D70" s="64" t="s">
        <v>149</v>
      </c>
      <c r="E70" s="66" t="s">
        <v>179</v>
      </c>
      <c r="F70" s="64" t="s">
        <v>33</v>
      </c>
      <c r="G70" s="376">
        <v>152.01</v>
      </c>
      <c r="H70" s="393">
        <f>+IF(F70=0,0,IF(F70="MXN",1/HLOOKUP(YEAR(C70)+(MONTH(C70)/100),TC!$5:$37,DAY(C70)+2,FALSE),VLOOKUP(F70,Equivalencia!$3:$23,((MAX(Equivalencia!$3:$3)-YEAR(C70))*14)+MONTH(C70)+2,FALSE)))</f>
        <v>1</v>
      </c>
      <c r="I70" s="376">
        <f t="shared" si="4"/>
        <v>152.01</v>
      </c>
    </row>
    <row r="71" spans="2:9" s="92" customFormat="1" ht="23.1" customHeight="1">
      <c r="B71" s="64">
        <v>1175000</v>
      </c>
      <c r="C71" s="65">
        <v>44748</v>
      </c>
      <c r="D71" s="64" t="s">
        <v>149</v>
      </c>
      <c r="E71" s="66" t="s">
        <v>152</v>
      </c>
      <c r="F71" s="64" t="s">
        <v>33</v>
      </c>
      <c r="G71" s="376">
        <v>140.69999999999999</v>
      </c>
      <c r="H71" s="393">
        <f>+IF(F71=0,0,IF(F71="MXN",1/HLOOKUP(YEAR(C71)+(MONTH(C71)/100),TC!$5:$37,DAY(C71)+2,FALSE),VLOOKUP(F71,Equivalencia!$3:$23,((MAX(Equivalencia!$3:$3)-YEAR(C71))*14)+MONTH(C71)+2,FALSE)))</f>
        <v>1</v>
      </c>
      <c r="I71" s="376">
        <f t="shared" si="4"/>
        <v>140.69999999999999</v>
      </c>
    </row>
    <row r="72" spans="2:9" s="92" customFormat="1" ht="23.1" customHeight="1">
      <c r="B72" s="64">
        <v>1175000</v>
      </c>
      <c r="C72" s="65">
        <v>44753</v>
      </c>
      <c r="D72" s="64" t="s">
        <v>149</v>
      </c>
      <c r="E72" s="66" t="s">
        <v>180</v>
      </c>
      <c r="F72" s="64" t="s">
        <v>33</v>
      </c>
      <c r="G72" s="376">
        <v>221.94</v>
      </c>
      <c r="H72" s="393">
        <f>+IF(F72=0,0,IF(F72="MXN",1/HLOOKUP(YEAR(C72)+(MONTH(C72)/100),TC!$5:$37,DAY(C72)+2,FALSE),VLOOKUP(F72,Equivalencia!$3:$23,((MAX(Equivalencia!$3:$3)-YEAR(C72))*14)+MONTH(C72)+2,FALSE)))</f>
        <v>1</v>
      </c>
      <c r="I72" s="376">
        <f t="shared" si="4"/>
        <v>221.94</v>
      </c>
    </row>
    <row r="73" spans="2:9" s="92" customFormat="1" ht="23.1" customHeight="1">
      <c r="B73" s="64">
        <v>1175000</v>
      </c>
      <c r="C73" s="65">
        <v>44756</v>
      </c>
      <c r="D73" s="64" t="s">
        <v>149</v>
      </c>
      <c r="E73" s="66" t="s">
        <v>155</v>
      </c>
      <c r="F73" s="64" t="s">
        <v>33</v>
      </c>
      <c r="G73" s="376">
        <v>182.76</v>
      </c>
      <c r="H73" s="393">
        <f>+IF(F73=0,0,IF(F73="MXN",1/HLOOKUP(YEAR(C73)+(MONTH(C73)/100),TC!$5:$37,DAY(C73)+2,FALSE),VLOOKUP(F73,Equivalencia!$3:$23,((MAX(Equivalencia!$3:$3)-YEAR(C73))*14)+MONTH(C73)+2,FALSE)))</f>
        <v>1</v>
      </c>
      <c r="I73" s="376">
        <f t="shared" si="4"/>
        <v>182.76</v>
      </c>
    </row>
    <row r="74" spans="2:9" s="92" customFormat="1" ht="23.1" customHeight="1">
      <c r="B74" s="64">
        <v>1175000</v>
      </c>
      <c r="C74" s="65">
        <v>44760</v>
      </c>
      <c r="D74" s="64" t="s">
        <v>149</v>
      </c>
      <c r="E74" s="66" t="s">
        <v>181</v>
      </c>
      <c r="F74" s="64" t="s">
        <v>33</v>
      </c>
      <c r="G74" s="376">
        <v>130.34</v>
      </c>
      <c r="H74" s="393">
        <f>+IF(F74=0,0,IF(F74="MXN",1/HLOOKUP(YEAR(C74)+(MONTH(C74)/100),TC!$5:$37,DAY(C74)+2,FALSE),VLOOKUP(F74,Equivalencia!$3:$23,((MAX(Equivalencia!$3:$3)-YEAR(C74))*14)+MONTH(C74)+2,FALSE)))</f>
        <v>1</v>
      </c>
      <c r="I74" s="376">
        <f t="shared" si="4"/>
        <v>130.34</v>
      </c>
    </row>
    <row r="75" spans="2:9" s="92" customFormat="1" ht="23.1" customHeight="1">
      <c r="B75" s="64">
        <v>1175000</v>
      </c>
      <c r="C75" s="65">
        <v>44760</v>
      </c>
      <c r="D75" s="64" t="s">
        <v>149</v>
      </c>
      <c r="E75" s="66" t="s">
        <v>154</v>
      </c>
      <c r="F75" s="64" t="s">
        <v>33</v>
      </c>
      <c r="G75" s="376">
        <v>774.25</v>
      </c>
      <c r="H75" s="393">
        <f>+IF(F75=0,0,IF(F75="MXN",1/HLOOKUP(YEAR(C75)+(MONTH(C75)/100),TC!$5:$37,DAY(C75)+2,FALSE),VLOOKUP(F75,Equivalencia!$3:$23,((MAX(Equivalencia!$3:$3)-YEAR(C75))*14)+MONTH(C75)+2,FALSE)))</f>
        <v>1</v>
      </c>
      <c r="I75" s="376">
        <f t="shared" si="4"/>
        <v>774.25</v>
      </c>
    </row>
    <row r="76" spans="2:9" s="92" customFormat="1" ht="23.1" customHeight="1">
      <c r="B76" s="64">
        <v>1175000</v>
      </c>
      <c r="C76" s="65">
        <v>44761</v>
      </c>
      <c r="D76" s="64" t="s">
        <v>149</v>
      </c>
      <c r="E76" s="66" t="s">
        <v>154</v>
      </c>
      <c r="F76" s="64" t="s">
        <v>33</v>
      </c>
      <c r="G76" s="376">
        <v>28.52</v>
      </c>
      <c r="H76" s="393">
        <f>+IF(F76=0,0,IF(F76="MXN",1/HLOOKUP(YEAR(C76)+(MONTH(C76)/100),TC!$5:$37,DAY(C76)+2,FALSE),VLOOKUP(F76,Equivalencia!$3:$23,((MAX(Equivalencia!$3:$3)-YEAR(C76))*14)+MONTH(C76)+2,FALSE)))</f>
        <v>1</v>
      </c>
      <c r="I76" s="376">
        <f t="shared" si="4"/>
        <v>28.52</v>
      </c>
    </row>
    <row r="77" spans="2:9" s="92" customFormat="1" ht="23.1" customHeight="1">
      <c r="B77" s="64">
        <v>1175000</v>
      </c>
      <c r="C77" s="65">
        <v>44770</v>
      </c>
      <c r="D77" s="64" t="s">
        <v>149</v>
      </c>
      <c r="E77" s="66" t="s">
        <v>156</v>
      </c>
      <c r="F77" s="64" t="s">
        <v>33</v>
      </c>
      <c r="G77" s="376">
        <v>339.44</v>
      </c>
      <c r="H77" s="393">
        <f>+IF(F77=0,0,IF(F77="MXN",1/HLOOKUP(YEAR(C77)+(MONTH(C77)/100),TC!$5:$37,DAY(C77)+2,FALSE),VLOOKUP(F77,Equivalencia!$3:$23,((MAX(Equivalencia!$3:$3)-YEAR(C77))*14)+MONTH(C77)+2,FALSE)))</f>
        <v>1</v>
      </c>
      <c r="I77" s="376">
        <f>+G77*H77</f>
        <v>339.44</v>
      </c>
    </row>
    <row r="78" spans="2:9" s="92" customFormat="1" ht="23.1" customHeight="1">
      <c r="B78" s="64">
        <v>1175000</v>
      </c>
      <c r="C78" s="65">
        <v>44775</v>
      </c>
      <c r="D78" s="64" t="s">
        <v>149</v>
      </c>
      <c r="E78" s="66" t="s">
        <v>157</v>
      </c>
      <c r="F78" s="64" t="s">
        <v>33</v>
      </c>
      <c r="G78" s="376">
        <v>560.57000000000005</v>
      </c>
      <c r="H78" s="393">
        <f>+IF(F78=0,0,IF(F78="MXN",1/HLOOKUP(YEAR(C78)+(MONTH(C78)/100),TC!$5:$37,DAY(C78)+2,FALSE),VLOOKUP(F78,Equivalencia!$3:$23,((MAX(Equivalencia!$3:$3)-YEAR(C78))*14)+MONTH(C78)+2,FALSE)))</f>
        <v>1</v>
      </c>
      <c r="I78" s="376">
        <f t="shared" ref="I78:I83" si="5">+G78*H78</f>
        <v>560.57000000000005</v>
      </c>
    </row>
    <row r="79" spans="2:9" s="92" customFormat="1" ht="23.1" customHeight="1">
      <c r="B79" s="64">
        <v>1175000</v>
      </c>
      <c r="C79" s="65">
        <v>44778</v>
      </c>
      <c r="D79" s="64" t="s">
        <v>149</v>
      </c>
      <c r="E79" s="66" t="s">
        <v>158</v>
      </c>
      <c r="F79" s="64" t="s">
        <v>33</v>
      </c>
      <c r="G79" s="376">
        <v>176.4</v>
      </c>
      <c r="H79" s="393">
        <f>+IF(F79=0,0,IF(F79="MXN",1/HLOOKUP(YEAR(C79)+(MONTH(C79)/100),TC!$5:$37,DAY(C79)+2,FALSE),VLOOKUP(F79,Equivalencia!$3:$23,((MAX(Equivalencia!$3:$3)-YEAR(C79))*14)+MONTH(C79)+2,FALSE)))</f>
        <v>1</v>
      </c>
      <c r="I79" s="376">
        <f t="shared" si="5"/>
        <v>176.4</v>
      </c>
    </row>
    <row r="80" spans="2:9" s="92" customFormat="1" ht="23.1" customHeight="1">
      <c r="B80" s="64">
        <v>1175000</v>
      </c>
      <c r="C80" s="65">
        <v>44783</v>
      </c>
      <c r="D80" s="64" t="s">
        <v>149</v>
      </c>
      <c r="E80" s="66" t="s">
        <v>160</v>
      </c>
      <c r="F80" s="64" t="s">
        <v>33</v>
      </c>
      <c r="G80" s="376">
        <v>65.86</v>
      </c>
      <c r="H80" s="393">
        <f>+IF(F80=0,0,IF(F80="MXN",1/HLOOKUP(YEAR(C80)+(MONTH(C80)/100),TC!$5:$37,DAY(C80)+2,FALSE),VLOOKUP(F80,Equivalencia!$3:$23,((MAX(Equivalencia!$3:$3)-YEAR(C80))*14)+MONTH(C80)+2,FALSE)))</f>
        <v>1</v>
      </c>
      <c r="I80" s="376">
        <f t="shared" si="5"/>
        <v>65.86</v>
      </c>
    </row>
    <row r="81" spans="2:9" s="92" customFormat="1" ht="23.1" customHeight="1">
      <c r="B81" s="64">
        <v>1175000</v>
      </c>
      <c r="C81" s="65">
        <v>44789</v>
      </c>
      <c r="D81" s="64" t="s">
        <v>149</v>
      </c>
      <c r="E81" s="66" t="s">
        <v>162</v>
      </c>
      <c r="F81" s="64" t="s">
        <v>33</v>
      </c>
      <c r="G81" s="376">
        <v>180.48</v>
      </c>
      <c r="H81" s="393">
        <f>+IF(F81=0,0,IF(F81="MXN",1/HLOOKUP(YEAR(C81)+(MONTH(C81)/100),TC!$5:$37,DAY(C81)+2,FALSE),VLOOKUP(F81,Equivalencia!$3:$23,((MAX(Equivalencia!$3:$3)-YEAR(C81))*14)+MONTH(C81)+2,FALSE)))</f>
        <v>1</v>
      </c>
      <c r="I81" s="376">
        <f t="shared" si="5"/>
        <v>180.48</v>
      </c>
    </row>
    <row r="82" spans="2:9" s="92" customFormat="1" ht="23.1" customHeight="1">
      <c r="B82" s="64">
        <v>1175000</v>
      </c>
      <c r="C82" s="65">
        <v>44789</v>
      </c>
      <c r="D82" s="64" t="s">
        <v>149</v>
      </c>
      <c r="E82" s="66" t="s">
        <v>163</v>
      </c>
      <c r="F82" s="64" t="s">
        <v>33</v>
      </c>
      <c r="G82" s="376">
        <v>229.16</v>
      </c>
      <c r="H82" s="393">
        <f>+IF(F82=0,0,IF(F82="MXN",1/HLOOKUP(YEAR(C82)+(MONTH(C82)/100),TC!$5:$37,DAY(C82)+2,FALSE),VLOOKUP(F82,Equivalencia!$3:$23,((MAX(Equivalencia!$3:$3)-YEAR(C82))*14)+MONTH(C82)+2,FALSE)))</f>
        <v>1</v>
      </c>
      <c r="I82" s="376">
        <f t="shared" si="5"/>
        <v>229.16</v>
      </c>
    </row>
    <row r="83" spans="2:9" s="92" customFormat="1" ht="23.1" customHeight="1">
      <c r="B83" s="64">
        <v>1175000</v>
      </c>
      <c r="C83" s="65">
        <v>44789</v>
      </c>
      <c r="D83" s="64" t="s">
        <v>149</v>
      </c>
      <c r="E83" s="66" t="s">
        <v>159</v>
      </c>
      <c r="F83" s="64" t="s">
        <v>33</v>
      </c>
      <c r="G83" s="376">
        <v>466.09</v>
      </c>
      <c r="H83" s="393">
        <f>+IF(F83=0,0,IF(F83="MXN",1/HLOOKUP(YEAR(C83)+(MONTH(C83)/100),TC!$5:$37,DAY(C83)+2,FALSE),VLOOKUP(F83,Equivalencia!$3:$23,((MAX(Equivalencia!$3:$3)-YEAR(C83))*14)+MONTH(C83)+2,FALSE)))</f>
        <v>1</v>
      </c>
      <c r="I83" s="376">
        <f t="shared" si="5"/>
        <v>466.09</v>
      </c>
    </row>
    <row r="84" spans="2:9" s="92" customFormat="1" ht="23.1" customHeight="1">
      <c r="B84" s="64">
        <v>1175000</v>
      </c>
      <c r="C84" s="65">
        <v>44802</v>
      </c>
      <c r="D84" s="64" t="s">
        <v>149</v>
      </c>
      <c r="E84" s="66" t="s">
        <v>178</v>
      </c>
      <c r="F84" s="64" t="s">
        <v>33</v>
      </c>
      <c r="G84" s="376">
        <v>148.22999999999999</v>
      </c>
      <c r="H84" s="393">
        <f>+IF(F84=0,0,IF(F84="MXN",1/HLOOKUP(YEAR(C84)+(MONTH(C84)/100),TC!$5:$37,DAY(C84)+2,FALSE),VLOOKUP(F84,Equivalencia!$3:$23,((MAX(Equivalencia!$3:$3)-YEAR(C84))*14)+MONTH(C84)+2,FALSE)))</f>
        <v>1</v>
      </c>
      <c r="I84" s="376">
        <f>+G84*H84</f>
        <v>148.22999999999999</v>
      </c>
    </row>
    <row r="85" spans="2:9" s="92" customFormat="1" ht="23.1" customHeight="1">
      <c r="B85" s="64">
        <v>1175000</v>
      </c>
      <c r="C85" s="65">
        <v>44805</v>
      </c>
      <c r="D85" s="64" t="s">
        <v>149</v>
      </c>
      <c r="E85" s="66" t="s">
        <v>181</v>
      </c>
      <c r="F85" s="64" t="s">
        <v>33</v>
      </c>
      <c r="G85" s="376">
        <v>133.31</v>
      </c>
      <c r="H85" s="393">
        <f>+IF(F85=0,0,IF(F85="MXN",1/HLOOKUP(YEAR(C85)+(MONTH(C85)/100),TC!$5:$37,DAY(C85)+2,FALSE),VLOOKUP(F85,Equivalencia!$3:$23,((MAX(Equivalencia!$3:$3)-YEAR(C85))*14)+MONTH(C85)+2,FALSE)))</f>
        <v>1</v>
      </c>
      <c r="I85" s="376">
        <f t="shared" ref="I85:I130" si="6">+G85*H85</f>
        <v>133.31</v>
      </c>
    </row>
    <row r="86" spans="2:9" s="92" customFormat="1" ht="23.1" customHeight="1">
      <c r="B86" s="64">
        <v>1175000</v>
      </c>
      <c r="C86" s="65">
        <v>44811</v>
      </c>
      <c r="D86" s="64" t="s">
        <v>149</v>
      </c>
      <c r="E86" s="66" t="s">
        <v>166</v>
      </c>
      <c r="F86" s="64" t="s">
        <v>33</v>
      </c>
      <c r="G86" s="376">
        <v>391.54</v>
      </c>
      <c r="H86" s="393">
        <f>+IF(F86=0,0,IF(F86="MXN",1/HLOOKUP(YEAR(C86)+(MONTH(C86)/100),TC!$5:$37,DAY(C86)+2,FALSE),VLOOKUP(F86,Equivalencia!$3:$23,((MAX(Equivalencia!$3:$3)-YEAR(C86))*14)+MONTH(C86)+2,FALSE)))</f>
        <v>1</v>
      </c>
      <c r="I86" s="376">
        <f t="shared" si="6"/>
        <v>391.54</v>
      </c>
    </row>
    <row r="87" spans="2:9" s="92" customFormat="1" ht="23.1" customHeight="1">
      <c r="B87" s="64">
        <v>1175000</v>
      </c>
      <c r="C87" s="65">
        <v>44812</v>
      </c>
      <c r="D87" s="64" t="s">
        <v>149</v>
      </c>
      <c r="E87" s="66" t="s">
        <v>167</v>
      </c>
      <c r="F87" s="64" t="s">
        <v>33</v>
      </c>
      <c r="G87" s="376">
        <v>196.17</v>
      </c>
      <c r="H87" s="393">
        <f>+IF(F87=0,0,IF(F87="MXN",1/HLOOKUP(YEAR(C87)+(MONTH(C87)/100),TC!$5:$37,DAY(C87)+2,FALSE),VLOOKUP(F87,Equivalencia!$3:$23,((MAX(Equivalencia!$3:$3)-YEAR(C87))*14)+MONTH(C87)+2,FALSE)))</f>
        <v>1</v>
      </c>
      <c r="I87" s="376">
        <f t="shared" si="6"/>
        <v>196.17</v>
      </c>
    </row>
    <row r="88" spans="2:9" s="92" customFormat="1" ht="23.1" customHeight="1">
      <c r="B88" s="64">
        <v>1175000</v>
      </c>
      <c r="C88" s="65">
        <v>44816</v>
      </c>
      <c r="D88" s="64" t="s">
        <v>149</v>
      </c>
      <c r="E88" s="66" t="s">
        <v>168</v>
      </c>
      <c r="F88" s="64" t="s">
        <v>33</v>
      </c>
      <c r="G88" s="376">
        <v>96.6</v>
      </c>
      <c r="H88" s="393">
        <f>+IF(F88=0,0,IF(F88="MXN",1/HLOOKUP(YEAR(C88)+(MONTH(C88)/100),TC!$5:$37,DAY(C88)+2,FALSE),VLOOKUP(F88,Equivalencia!$3:$23,((MAX(Equivalencia!$3:$3)-YEAR(C88))*14)+MONTH(C88)+2,FALSE)))</f>
        <v>1</v>
      </c>
      <c r="I88" s="376">
        <f t="shared" ref="I88:I95" si="7">+G88*H88</f>
        <v>96.6</v>
      </c>
    </row>
    <row r="89" spans="2:9" s="92" customFormat="1" ht="23.1" customHeight="1">
      <c r="B89" s="64">
        <v>1175000</v>
      </c>
      <c r="C89" s="65">
        <v>44816</v>
      </c>
      <c r="D89" s="64" t="s">
        <v>149</v>
      </c>
      <c r="E89" s="66" t="s">
        <v>186</v>
      </c>
      <c r="F89" s="64" t="s">
        <v>33</v>
      </c>
      <c r="G89" s="376">
        <v>170.1</v>
      </c>
      <c r="H89" s="393">
        <f>+IF(F89=0,0,IF(F89="MXN",1/HLOOKUP(YEAR(C89)+(MONTH(C89)/100),TC!$5:$37,DAY(C89)+2,FALSE),VLOOKUP(F89,Equivalencia!$3:$23,((MAX(Equivalencia!$3:$3)-YEAR(C89))*14)+MONTH(C89)+2,FALSE)))</f>
        <v>1</v>
      </c>
      <c r="I89" s="376">
        <f t="shared" si="7"/>
        <v>170.1</v>
      </c>
    </row>
    <row r="90" spans="2:9" s="92" customFormat="1" ht="23.1" customHeight="1">
      <c r="B90" s="64">
        <v>1175000</v>
      </c>
      <c r="C90" s="65">
        <v>44816</v>
      </c>
      <c r="D90" s="64" t="s">
        <v>149</v>
      </c>
      <c r="E90" s="66" t="s">
        <v>187</v>
      </c>
      <c r="F90" s="64" t="s">
        <v>33</v>
      </c>
      <c r="G90" s="376">
        <v>117.6</v>
      </c>
      <c r="H90" s="393">
        <f>+IF(F90=0,0,IF(F90="MXN",1/HLOOKUP(YEAR(C90)+(MONTH(C90)/100),TC!$5:$37,DAY(C90)+2,FALSE),VLOOKUP(F90,Equivalencia!$3:$23,((MAX(Equivalencia!$3:$3)-YEAR(C90))*14)+MONTH(C90)+2,FALSE)))</f>
        <v>1</v>
      </c>
      <c r="I90" s="376">
        <f t="shared" si="7"/>
        <v>117.6</v>
      </c>
    </row>
    <row r="91" spans="2:9" s="92" customFormat="1" ht="23.1" customHeight="1">
      <c r="B91" s="64">
        <v>1175000</v>
      </c>
      <c r="C91" s="65">
        <v>44820</v>
      </c>
      <c r="D91" s="64" t="s">
        <v>149</v>
      </c>
      <c r="E91" s="66" t="s">
        <v>172</v>
      </c>
      <c r="F91" s="64" t="s">
        <v>33</v>
      </c>
      <c r="G91" s="376">
        <v>267.33</v>
      </c>
      <c r="H91" s="393">
        <f>+IF(F91=0,0,IF(F91="MXN",1/HLOOKUP(YEAR(C91)+(MONTH(C91)/100),TC!$5:$37,DAY(C91)+2,FALSE),VLOOKUP(F91,Equivalencia!$3:$23,((MAX(Equivalencia!$3:$3)-YEAR(C91))*14)+MONTH(C91)+2,FALSE)))</f>
        <v>1</v>
      </c>
      <c r="I91" s="376">
        <f t="shared" si="7"/>
        <v>267.33</v>
      </c>
    </row>
    <row r="92" spans="2:9" s="92" customFormat="1" ht="23.1" customHeight="1">
      <c r="B92" s="64">
        <v>1175000</v>
      </c>
      <c r="C92" s="65">
        <v>44820</v>
      </c>
      <c r="D92" s="64" t="s">
        <v>149</v>
      </c>
      <c r="E92" s="66" t="s">
        <v>169</v>
      </c>
      <c r="F92" s="64" t="s">
        <v>33</v>
      </c>
      <c r="G92" s="376">
        <v>319.75</v>
      </c>
      <c r="H92" s="393">
        <f>+IF(F92=0,0,IF(F92="MXN",1/HLOOKUP(YEAR(C92)+(MONTH(C92)/100),TC!$5:$37,DAY(C92)+2,FALSE),VLOOKUP(F92,Equivalencia!$3:$23,((MAX(Equivalencia!$3:$3)-YEAR(C92))*14)+MONTH(C92)+2,FALSE)))</f>
        <v>1</v>
      </c>
      <c r="I92" s="376">
        <f t="shared" si="7"/>
        <v>319.75</v>
      </c>
    </row>
    <row r="93" spans="2:9" s="92" customFormat="1" ht="23.1" customHeight="1">
      <c r="B93" s="64">
        <v>1175000</v>
      </c>
      <c r="C93" s="65">
        <v>44824</v>
      </c>
      <c r="D93" s="64" t="s">
        <v>149</v>
      </c>
      <c r="E93" s="66" t="s">
        <v>171</v>
      </c>
      <c r="F93" s="64" t="s">
        <v>33</v>
      </c>
      <c r="G93" s="376">
        <v>282.97000000000003</v>
      </c>
      <c r="H93" s="393">
        <f>+IF(F93=0,0,IF(F93="MXN",1/HLOOKUP(YEAR(C93)+(MONTH(C93)/100),TC!$5:$37,DAY(C93)+2,FALSE),VLOOKUP(F93,Equivalencia!$3:$23,((MAX(Equivalencia!$3:$3)-YEAR(C93))*14)+MONTH(C93)+2,FALSE)))</f>
        <v>1</v>
      </c>
      <c r="I93" s="376">
        <f t="shared" si="7"/>
        <v>282.97000000000003</v>
      </c>
    </row>
    <row r="94" spans="2:9" s="92" customFormat="1" ht="23.1" customHeight="1">
      <c r="B94" s="64">
        <v>1175000</v>
      </c>
      <c r="C94" s="65">
        <v>44827</v>
      </c>
      <c r="D94" s="64" t="s">
        <v>149</v>
      </c>
      <c r="E94" s="66" t="s">
        <v>185</v>
      </c>
      <c r="F94" s="64" t="s">
        <v>33</v>
      </c>
      <c r="G94" s="376">
        <v>345.02</v>
      </c>
      <c r="H94" s="393">
        <f>+IF(F94=0,0,IF(F94="MXN",1/HLOOKUP(YEAR(C94)+(MONTH(C94)/100),TC!$5:$37,DAY(C94)+2,FALSE),VLOOKUP(F94,Equivalencia!$3:$23,((MAX(Equivalencia!$3:$3)-YEAR(C94))*14)+MONTH(C94)+2,FALSE)))</f>
        <v>1</v>
      </c>
      <c r="I94" s="376">
        <f t="shared" si="7"/>
        <v>345.02</v>
      </c>
    </row>
    <row r="95" spans="2:9" s="92" customFormat="1" ht="23.1" customHeight="1">
      <c r="B95" s="64">
        <v>1175000</v>
      </c>
      <c r="C95" s="65">
        <v>44834</v>
      </c>
      <c r="D95" s="64" t="s">
        <v>149</v>
      </c>
      <c r="E95" s="66" t="s">
        <v>175</v>
      </c>
      <c r="F95" s="64" t="s">
        <v>33</v>
      </c>
      <c r="G95" s="376">
        <v>139.38</v>
      </c>
      <c r="H95" s="393">
        <f>+IF(F95=0,0,IF(F95="MXN",1/HLOOKUP(YEAR(C95)+(MONTH(C95)/100),TC!$5:$37,DAY(C95)+2,FALSE),VLOOKUP(F95,Equivalencia!$3:$23,((MAX(Equivalencia!$3:$3)-YEAR(C95))*14)+MONTH(C95)+2,FALSE)))</f>
        <v>1</v>
      </c>
      <c r="I95" s="376">
        <f t="shared" si="7"/>
        <v>139.38</v>
      </c>
    </row>
    <row r="96" spans="2:9" s="92" customFormat="1" ht="23.1" customHeight="1">
      <c r="B96" s="64">
        <v>1175000</v>
      </c>
      <c r="C96" s="65">
        <v>44834</v>
      </c>
      <c r="D96" s="64" t="s">
        <v>149</v>
      </c>
      <c r="E96" s="66" t="s">
        <v>153</v>
      </c>
      <c r="F96" s="64" t="s">
        <v>33</v>
      </c>
      <c r="G96" s="376">
        <v>396.86</v>
      </c>
      <c r="H96" s="393">
        <f>+IF(F96=0,0,IF(F96="MXN",1/HLOOKUP(YEAR(C96)+(MONTH(C96)/100),TC!$5:$37,DAY(C96)+2,FALSE),VLOOKUP(F96,Equivalencia!$3:$23,((MAX(Equivalencia!$3:$3)-YEAR(C96))*14)+MONTH(C96)+2,FALSE)))</f>
        <v>1</v>
      </c>
      <c r="I96" s="376">
        <f t="shared" si="6"/>
        <v>396.86</v>
      </c>
    </row>
    <row r="97" spans="2:9" s="92" customFormat="1" ht="23.1" customHeight="1">
      <c r="B97" s="64">
        <v>1175000</v>
      </c>
      <c r="C97" s="65">
        <v>44848</v>
      </c>
      <c r="D97" s="64" t="s">
        <v>149</v>
      </c>
      <c r="E97" s="66" t="s">
        <v>170</v>
      </c>
      <c r="F97" s="64" t="s">
        <v>33</v>
      </c>
      <c r="G97" s="376">
        <v>254.66</v>
      </c>
      <c r="H97" s="393">
        <f>+IF(F97=0,0,IF(F97="MXN",1/HLOOKUP(YEAR(C97)+(MONTH(C97)/100),TC!$5:$37,DAY(C97)+2,FALSE),VLOOKUP(F97,Equivalencia!$3:$23,((MAX(Equivalencia!$3:$3)-YEAR(C97))*14)+MONTH(C97)+2,FALSE)))</f>
        <v>1</v>
      </c>
      <c r="I97" s="376">
        <f t="shared" si="6"/>
        <v>254.66</v>
      </c>
    </row>
    <row r="98" spans="2:9" s="92" customFormat="1" ht="23.1" customHeight="1">
      <c r="B98" s="64">
        <v>1175000</v>
      </c>
      <c r="C98" s="65">
        <v>44837</v>
      </c>
      <c r="D98" s="64" t="s">
        <v>149</v>
      </c>
      <c r="E98" s="66" t="s">
        <v>177</v>
      </c>
      <c r="F98" s="64" t="s">
        <v>33</v>
      </c>
      <c r="G98" s="376">
        <v>23.14</v>
      </c>
      <c r="H98" s="393">
        <f>+IF(F98=0,0,IF(F98="MXN",1/HLOOKUP(YEAR(C98)+(MONTH(C98)/100),TC!$5:$37,DAY(C98)+2,FALSE),VLOOKUP(F98,Equivalencia!$3:$23,((MAX(Equivalencia!$3:$3)-YEAR(C98))*14)+MONTH(C98)+2,FALSE)))</f>
        <v>1</v>
      </c>
      <c r="I98" s="376">
        <f t="shared" si="6"/>
        <v>23.14</v>
      </c>
    </row>
    <row r="99" spans="2:9" s="92" customFormat="1" ht="23.1" customHeight="1">
      <c r="B99" s="64">
        <v>1175000</v>
      </c>
      <c r="C99" s="65">
        <v>44837</v>
      </c>
      <c r="D99" s="64" t="s">
        <v>149</v>
      </c>
      <c r="E99" s="66" t="s">
        <v>176</v>
      </c>
      <c r="F99" s="64" t="s">
        <v>33</v>
      </c>
      <c r="G99" s="376">
        <v>335.79</v>
      </c>
      <c r="H99" s="393">
        <f>+IF(F99=0,0,IF(F99="MXN",1/HLOOKUP(YEAR(C99)+(MONTH(C99)/100),TC!$5:$37,DAY(C99)+2,FALSE),VLOOKUP(F99,Equivalencia!$3:$23,((MAX(Equivalencia!$3:$3)-YEAR(C99))*14)+MONTH(C99)+2,FALSE)))</f>
        <v>1</v>
      </c>
      <c r="I99" s="376">
        <f t="shared" si="6"/>
        <v>335.79</v>
      </c>
    </row>
    <row r="100" spans="2:9" s="92" customFormat="1" ht="23.1" customHeight="1">
      <c r="B100" s="64">
        <v>1175000</v>
      </c>
      <c r="C100" s="65">
        <v>44838</v>
      </c>
      <c r="D100" s="64" t="s">
        <v>149</v>
      </c>
      <c r="E100" s="66" t="s">
        <v>179</v>
      </c>
      <c r="F100" s="64" t="s">
        <v>33</v>
      </c>
      <c r="G100" s="376">
        <v>140.06</v>
      </c>
      <c r="H100" s="393">
        <f>+IF(F100=0,0,IF(F100="MXN",1/HLOOKUP(YEAR(C100)+(MONTH(C100)/100),TC!$5:$37,DAY(C100)+2,FALSE),VLOOKUP(F100,Equivalencia!$3:$23,((MAX(Equivalencia!$3:$3)-YEAR(C100))*14)+MONTH(C100)+2,FALSE)))</f>
        <v>1</v>
      </c>
      <c r="I100" s="376">
        <f t="shared" si="6"/>
        <v>140.06</v>
      </c>
    </row>
    <row r="101" spans="2:9" s="92" customFormat="1" ht="23.1" customHeight="1">
      <c r="B101" s="64">
        <v>1175000</v>
      </c>
      <c r="C101" s="65">
        <v>44839</v>
      </c>
      <c r="D101" s="64" t="s">
        <v>149</v>
      </c>
      <c r="E101" s="66" t="s">
        <v>152</v>
      </c>
      <c r="F101" s="64" t="s">
        <v>33</v>
      </c>
      <c r="G101" s="376">
        <v>161.80000000000001</v>
      </c>
      <c r="H101" s="393">
        <f>+IF(F101=0,0,IF(F101="MXN",1/HLOOKUP(YEAR(C101)+(MONTH(C101)/100),TC!$5:$37,DAY(C101)+2,FALSE),VLOOKUP(F101,Equivalencia!$3:$23,((MAX(Equivalencia!$3:$3)-YEAR(C101))*14)+MONTH(C101)+2,FALSE)))</f>
        <v>1</v>
      </c>
      <c r="I101" s="376">
        <f t="shared" si="6"/>
        <v>161.80000000000001</v>
      </c>
    </row>
    <row r="102" spans="2:9" s="92" customFormat="1" ht="23.1" customHeight="1">
      <c r="B102" s="64">
        <v>1175000</v>
      </c>
      <c r="C102" s="65">
        <v>44841</v>
      </c>
      <c r="D102" s="64" t="s">
        <v>149</v>
      </c>
      <c r="E102" s="66" t="s">
        <v>180</v>
      </c>
      <c r="F102" s="64" t="s">
        <v>33</v>
      </c>
      <c r="G102" s="376">
        <v>184.59</v>
      </c>
      <c r="H102" s="393">
        <f>+IF(F102=0,0,IF(F102="MXN",1/HLOOKUP(YEAR(C102)+(MONTH(C102)/100),TC!$5:$37,DAY(C102)+2,FALSE),VLOOKUP(F102,Equivalencia!$3:$23,((MAX(Equivalencia!$3:$3)-YEAR(C102))*14)+MONTH(C102)+2,FALSE)))</f>
        <v>1</v>
      </c>
      <c r="I102" s="376">
        <f t="shared" si="6"/>
        <v>184.59</v>
      </c>
    </row>
    <row r="103" spans="2:9" s="92" customFormat="1" ht="23.1" customHeight="1">
      <c r="B103" s="64">
        <v>1175000</v>
      </c>
      <c r="C103" s="65">
        <v>44847</v>
      </c>
      <c r="D103" s="64" t="s">
        <v>149</v>
      </c>
      <c r="E103" s="66" t="s">
        <v>154</v>
      </c>
      <c r="F103" s="64" t="s">
        <v>33</v>
      </c>
      <c r="G103" s="376">
        <v>786.64</v>
      </c>
      <c r="H103" s="393">
        <f>+IF(F103=0,0,IF(F103="MXN",1/HLOOKUP(YEAR(C103)+(MONTH(C103)/100),TC!$5:$37,DAY(C103)+2,FALSE),VLOOKUP(F103,Equivalencia!$3:$23,((MAX(Equivalencia!$3:$3)-YEAR(C103))*14)+MONTH(C103)+2,FALSE)))</f>
        <v>1</v>
      </c>
      <c r="I103" s="376">
        <f t="shared" si="6"/>
        <v>786.64</v>
      </c>
    </row>
    <row r="104" spans="2:9" s="92" customFormat="1" ht="23.1" customHeight="1">
      <c r="B104" s="64">
        <v>1175000</v>
      </c>
      <c r="C104" s="65">
        <v>44847</v>
      </c>
      <c r="D104" s="64" t="s">
        <v>149</v>
      </c>
      <c r="E104" s="66" t="s">
        <v>154</v>
      </c>
      <c r="F104" s="64" t="s">
        <v>33</v>
      </c>
      <c r="G104" s="376">
        <v>28.98</v>
      </c>
      <c r="H104" s="393">
        <f>+IF(F104=0,0,IF(F104="MXN",1/HLOOKUP(YEAR(C104)+(MONTH(C104)/100),TC!$5:$37,DAY(C104)+2,FALSE),VLOOKUP(F104,Equivalencia!$3:$23,((MAX(Equivalencia!$3:$3)-YEAR(C104))*14)+MONTH(C104)+2,FALSE)))</f>
        <v>1</v>
      </c>
      <c r="I104" s="376">
        <f t="shared" si="6"/>
        <v>28.98</v>
      </c>
    </row>
    <row r="105" spans="2:9" s="92" customFormat="1" ht="23.1" customHeight="1">
      <c r="B105" s="64">
        <v>1175000</v>
      </c>
      <c r="C105" s="65">
        <v>44848</v>
      </c>
      <c r="D105" s="64" t="s">
        <v>149</v>
      </c>
      <c r="E105" s="66" t="s">
        <v>155</v>
      </c>
      <c r="F105" s="64" t="s">
        <v>33</v>
      </c>
      <c r="G105" s="376">
        <v>178.81</v>
      </c>
      <c r="H105" s="393">
        <f>+IF(F105=0,0,IF(F105="MXN",1/HLOOKUP(YEAR(C105)+(MONTH(C105)/100),TC!$5:$37,DAY(C105)+2,FALSE),VLOOKUP(F105,Equivalencia!$3:$23,((MAX(Equivalencia!$3:$3)-YEAR(C105))*14)+MONTH(C105)+2,FALSE)))</f>
        <v>1</v>
      </c>
      <c r="I105" s="376">
        <f t="shared" si="6"/>
        <v>178.81</v>
      </c>
    </row>
    <row r="106" spans="2:9" s="92" customFormat="1" ht="23.1" customHeight="1">
      <c r="B106" s="64">
        <v>1175000</v>
      </c>
      <c r="C106" s="65">
        <v>44848</v>
      </c>
      <c r="D106" s="64" t="s">
        <v>149</v>
      </c>
      <c r="E106" s="66" t="s">
        <v>181</v>
      </c>
      <c r="F106" s="64" t="s">
        <v>33</v>
      </c>
      <c r="G106" s="376">
        <v>405.72</v>
      </c>
      <c r="H106" s="393">
        <f>+IF(F106=0,0,IF(F106="MXN",1/HLOOKUP(YEAR(C106)+(MONTH(C106)/100),TC!$5:$37,DAY(C106)+2,FALSE),VLOOKUP(F106,Equivalencia!$3:$23,((MAX(Equivalencia!$3:$3)-YEAR(C106))*14)+MONTH(C106)+2,FALSE)))</f>
        <v>1</v>
      </c>
      <c r="I106" s="376">
        <f t="shared" si="6"/>
        <v>405.72</v>
      </c>
    </row>
    <row r="107" spans="2:9" s="92" customFormat="1" ht="23.1" customHeight="1">
      <c r="B107" s="64">
        <v>1175000</v>
      </c>
      <c r="C107" s="65">
        <v>44851</v>
      </c>
      <c r="D107" s="64" t="s">
        <v>149</v>
      </c>
      <c r="E107" s="66" t="s">
        <v>188</v>
      </c>
      <c r="F107" s="64" t="s">
        <v>33</v>
      </c>
      <c r="G107" s="376">
        <v>129.03</v>
      </c>
      <c r="H107" s="393">
        <f>+IF(F107=0,0,IF(F107="MXN",1/HLOOKUP(YEAR(C107)+(MONTH(C107)/100),TC!$5:$37,DAY(C107)+2,FALSE),VLOOKUP(F107,Equivalencia!$3:$23,((MAX(Equivalencia!$3:$3)-YEAR(C107))*14)+MONTH(C107)+2,FALSE)))</f>
        <v>1</v>
      </c>
      <c r="I107" s="376">
        <f t="shared" si="6"/>
        <v>129.03</v>
      </c>
    </row>
    <row r="108" spans="2:9" s="92" customFormat="1" ht="23.1" customHeight="1">
      <c r="B108" s="64">
        <v>1175000</v>
      </c>
      <c r="C108" s="65">
        <v>44853</v>
      </c>
      <c r="D108" s="64" t="s">
        <v>149</v>
      </c>
      <c r="E108" s="66" t="s">
        <v>189</v>
      </c>
      <c r="F108" s="64" t="s">
        <v>33</v>
      </c>
      <c r="G108" s="376">
        <v>30.03</v>
      </c>
      <c r="H108" s="393">
        <f>+IF(F108=0,0,IF(F108="MXN",1/HLOOKUP(YEAR(C108)+(MONTH(C108)/100),TC!$5:$37,DAY(C108)+2,FALSE),VLOOKUP(F108,Equivalencia!$3:$23,((MAX(Equivalencia!$3:$3)-YEAR(C108))*14)+MONTH(C108)+2,FALSE)))</f>
        <v>1</v>
      </c>
      <c r="I108" s="376">
        <f t="shared" si="6"/>
        <v>30.03</v>
      </c>
    </row>
    <row r="109" spans="2:9" s="92" customFormat="1" ht="23.1" customHeight="1">
      <c r="B109" s="64">
        <v>1175000</v>
      </c>
      <c r="C109" s="65">
        <v>44860</v>
      </c>
      <c r="D109" s="64" t="s">
        <v>149</v>
      </c>
      <c r="E109" s="66" t="s">
        <v>156</v>
      </c>
      <c r="F109" s="64" t="s">
        <v>33</v>
      </c>
      <c r="G109" s="376">
        <v>402.76</v>
      </c>
      <c r="H109" s="393">
        <f>+IF(F109=0,0,IF(F109="MXN",1/HLOOKUP(YEAR(C109)+(MONTH(C109)/100),TC!$5:$37,DAY(C109)+2,FALSE),VLOOKUP(F109,Equivalencia!$3:$23,((MAX(Equivalencia!$3:$3)-YEAR(C109))*14)+MONTH(C109)+2,FALSE)))</f>
        <v>1</v>
      </c>
      <c r="I109" s="376">
        <f t="shared" si="6"/>
        <v>402.76</v>
      </c>
    </row>
    <row r="110" spans="2:9" s="92" customFormat="1" ht="23.1" customHeight="1">
      <c r="B110" s="64">
        <v>1175000</v>
      </c>
      <c r="C110" s="65">
        <v>44867</v>
      </c>
      <c r="D110" s="64" t="s">
        <v>149</v>
      </c>
      <c r="E110" s="66" t="s">
        <v>157</v>
      </c>
      <c r="F110" s="64" t="s">
        <v>33</v>
      </c>
      <c r="G110" s="376">
        <v>560.57000000000005</v>
      </c>
      <c r="H110" s="393">
        <f>+IF(F110=0,0,IF(F110="MXN",1/HLOOKUP(YEAR(C110)+(MONTH(C110)/100),TC!$5:$37,DAY(C110)+2,FALSE),VLOOKUP(F110,Equivalencia!$3:$23,((MAX(Equivalencia!$3:$3)-YEAR(C110))*14)+MONTH(C110)+2,FALSE)))</f>
        <v>1</v>
      </c>
      <c r="I110" s="376">
        <f t="shared" si="6"/>
        <v>560.57000000000005</v>
      </c>
    </row>
    <row r="111" spans="2:9" s="92" customFormat="1" ht="23.1" customHeight="1">
      <c r="B111" s="64">
        <v>1175000</v>
      </c>
      <c r="C111" s="65">
        <v>44872</v>
      </c>
      <c r="D111" s="64" t="s">
        <v>149</v>
      </c>
      <c r="E111" s="66" t="s">
        <v>158</v>
      </c>
      <c r="F111" s="64" t="s">
        <v>33</v>
      </c>
      <c r="G111" s="376">
        <v>176.4</v>
      </c>
      <c r="H111" s="393">
        <f>+IF(F111=0,0,IF(F111="MXN",1/HLOOKUP(YEAR(C111)+(MONTH(C111)/100),TC!$5:$37,DAY(C111)+2,FALSE),VLOOKUP(F111,Equivalencia!$3:$23,((MAX(Equivalencia!$3:$3)-YEAR(C111))*14)+MONTH(C111)+2,FALSE)))</f>
        <v>1</v>
      </c>
      <c r="I111" s="376">
        <f t="shared" si="6"/>
        <v>176.4</v>
      </c>
    </row>
    <row r="112" spans="2:9" s="92" customFormat="1" ht="23.1" customHeight="1">
      <c r="B112" s="64">
        <v>1175000</v>
      </c>
      <c r="C112" s="65">
        <v>44874</v>
      </c>
      <c r="D112" s="64" t="s">
        <v>149</v>
      </c>
      <c r="E112" s="66" t="s">
        <v>160</v>
      </c>
      <c r="F112" s="64" t="s">
        <v>33</v>
      </c>
      <c r="G112" s="376">
        <v>59</v>
      </c>
      <c r="H112" s="393">
        <f>+IF(F112=0,0,IF(F112="MXN",1/HLOOKUP(YEAR(C112)+(MONTH(C112)/100),TC!$5:$37,DAY(C112)+2,FALSE),VLOOKUP(F112,Equivalencia!$3:$23,((MAX(Equivalencia!$3:$3)-YEAR(C112))*14)+MONTH(C112)+2,FALSE)))</f>
        <v>1</v>
      </c>
      <c r="I112" s="376">
        <f t="shared" si="6"/>
        <v>59</v>
      </c>
    </row>
    <row r="113" spans="2:9" s="92" customFormat="1" ht="23.1" customHeight="1">
      <c r="B113" s="64">
        <v>1175000</v>
      </c>
      <c r="C113" s="65">
        <v>44880</v>
      </c>
      <c r="D113" s="64" t="s">
        <v>149</v>
      </c>
      <c r="E113" s="66" t="s">
        <v>162</v>
      </c>
      <c r="F113" s="64" t="s">
        <v>33</v>
      </c>
      <c r="G113" s="376">
        <v>163.55000000000001</v>
      </c>
      <c r="H113" s="393">
        <f>+IF(F113=0,0,IF(F113="MXN",1/HLOOKUP(YEAR(C113)+(MONTH(C113)/100),TC!$5:$37,DAY(C113)+2,FALSE),VLOOKUP(F113,Equivalencia!$3:$23,((MAX(Equivalencia!$3:$3)-YEAR(C113))*14)+MONTH(C113)+2,FALSE)))</f>
        <v>1</v>
      </c>
      <c r="I113" s="376">
        <f t="shared" si="6"/>
        <v>163.55000000000001</v>
      </c>
    </row>
    <row r="114" spans="2:9" s="92" customFormat="1" ht="23.1" customHeight="1">
      <c r="B114" s="64">
        <v>1175000</v>
      </c>
      <c r="C114" s="65">
        <v>44880</v>
      </c>
      <c r="D114" s="64" t="s">
        <v>149</v>
      </c>
      <c r="E114" s="66" t="s">
        <v>159</v>
      </c>
      <c r="F114" s="64" t="s">
        <v>33</v>
      </c>
      <c r="G114" s="376">
        <v>577.22</v>
      </c>
      <c r="H114" s="393">
        <f>+IF(F114=0,0,IF(F114="MXN",1/HLOOKUP(YEAR(C114)+(MONTH(C114)/100),TC!$5:$37,DAY(C114)+2,FALSE),VLOOKUP(F114,Equivalencia!$3:$23,((MAX(Equivalencia!$3:$3)-YEAR(C114))*14)+MONTH(C114)+2,FALSE)))</f>
        <v>1</v>
      </c>
      <c r="I114" s="376">
        <f t="shared" si="6"/>
        <v>577.22</v>
      </c>
    </row>
    <row r="115" spans="2:9" s="92" customFormat="1" ht="23.1" customHeight="1">
      <c r="B115" s="64">
        <v>1175000</v>
      </c>
      <c r="C115" s="65">
        <v>44881</v>
      </c>
      <c r="D115" s="64" t="s">
        <v>149</v>
      </c>
      <c r="E115" s="66" t="s">
        <v>163</v>
      </c>
      <c r="F115" s="64" t="s">
        <v>33</v>
      </c>
      <c r="G115" s="376">
        <v>264.60000000000002</v>
      </c>
      <c r="H115" s="393">
        <f>+IF(F115=0,0,IF(F115="MXN",1/HLOOKUP(YEAR(C115)+(MONTH(C115)/100),TC!$5:$37,DAY(C115)+2,FALSE),VLOOKUP(F115,Equivalencia!$3:$23,((MAX(Equivalencia!$3:$3)-YEAR(C115))*14)+MONTH(C115)+2,FALSE)))</f>
        <v>1</v>
      </c>
      <c r="I115" s="376">
        <f t="shared" si="6"/>
        <v>264.60000000000002</v>
      </c>
    </row>
    <row r="116" spans="2:9" s="92" customFormat="1" ht="23.1" customHeight="1">
      <c r="B116" s="64">
        <v>1175000</v>
      </c>
      <c r="C116" s="65">
        <v>44896</v>
      </c>
      <c r="D116" s="64" t="s">
        <v>149</v>
      </c>
      <c r="E116" s="66" t="s">
        <v>181</v>
      </c>
      <c r="F116" s="64" t="s">
        <v>33</v>
      </c>
      <c r="G116" s="376">
        <v>188.85</v>
      </c>
      <c r="H116" s="393">
        <f>+IF(F116=0,0,IF(F116="MXN",1/HLOOKUP(YEAR(C116)+(MONTH(C116)/100),TC!$5:$37,DAY(C116)+2,FALSE),VLOOKUP(F116,Equivalencia!$3:$23,((MAX(Equivalencia!$3:$3)-YEAR(C116))*14)+MONTH(C116)+2,FALSE)))</f>
        <v>1</v>
      </c>
      <c r="I116" s="376">
        <f t="shared" si="6"/>
        <v>188.85</v>
      </c>
    </row>
    <row r="117" spans="2:9" s="92" customFormat="1" ht="23.1" customHeight="1">
      <c r="B117" s="64">
        <v>1175000</v>
      </c>
      <c r="C117" s="65">
        <v>44897</v>
      </c>
      <c r="D117" s="64" t="s">
        <v>149</v>
      </c>
      <c r="E117" s="66" t="s">
        <v>168</v>
      </c>
      <c r="F117" s="64" t="s">
        <v>33</v>
      </c>
      <c r="G117" s="376">
        <v>123.48</v>
      </c>
      <c r="H117" s="393">
        <f>+IF(F117=0,0,IF(F117="MXN",1/HLOOKUP(YEAR(C117)+(MONTH(C117)/100),TC!$5:$37,DAY(C117)+2,FALSE),VLOOKUP(F117,Equivalencia!$3:$23,((MAX(Equivalencia!$3:$3)-YEAR(C117))*14)+MONTH(C117)+2,FALSE)))</f>
        <v>1</v>
      </c>
      <c r="I117" s="376">
        <f t="shared" si="6"/>
        <v>123.48</v>
      </c>
    </row>
    <row r="118" spans="2:9" s="92" customFormat="1" ht="23.1" customHeight="1">
      <c r="B118" s="64">
        <v>1175000</v>
      </c>
      <c r="C118" s="65">
        <v>44901</v>
      </c>
      <c r="D118" s="64" t="s">
        <v>149</v>
      </c>
      <c r="E118" s="66" t="s">
        <v>166</v>
      </c>
      <c r="F118" s="64" t="s">
        <v>33</v>
      </c>
      <c r="G118" s="376">
        <v>499.12</v>
      </c>
      <c r="H118" s="393">
        <f>+IF(F118=0,0,IF(F118="MXN",1/HLOOKUP(YEAR(C118)+(MONTH(C118)/100),TC!$5:$37,DAY(C118)+2,FALSE),VLOOKUP(F118,Equivalencia!$3:$23,((MAX(Equivalencia!$3:$3)-YEAR(C118))*14)+MONTH(C118)+2,FALSE)))</f>
        <v>1</v>
      </c>
      <c r="I118" s="376">
        <f t="shared" si="6"/>
        <v>499.12</v>
      </c>
    </row>
    <row r="119" spans="2:9" s="92" customFormat="1" ht="23.1" customHeight="1">
      <c r="B119" s="64">
        <v>1175000</v>
      </c>
      <c r="C119" s="65">
        <v>44901</v>
      </c>
      <c r="D119" s="64" t="s">
        <v>149</v>
      </c>
      <c r="E119" s="66" t="s">
        <v>190</v>
      </c>
      <c r="F119" s="64" t="s">
        <v>33</v>
      </c>
      <c r="G119" s="376">
        <v>134.6</v>
      </c>
      <c r="H119" s="393">
        <f>+IF(F119=0,0,IF(F119="MXN",1/HLOOKUP(YEAR(C119)+(MONTH(C119)/100),TC!$5:$37,DAY(C119)+2,FALSE),VLOOKUP(F119,Equivalencia!$3:$23,((MAX(Equivalencia!$3:$3)-YEAR(C119))*14)+MONTH(C119)+2,FALSE)))</f>
        <v>1</v>
      </c>
      <c r="I119" s="376">
        <f t="shared" si="6"/>
        <v>134.6</v>
      </c>
    </row>
    <row r="120" spans="2:9" s="92" customFormat="1" ht="23.1" customHeight="1">
      <c r="B120" s="64">
        <v>1175000</v>
      </c>
      <c r="C120" s="65">
        <v>44904</v>
      </c>
      <c r="D120" s="64" t="s">
        <v>149</v>
      </c>
      <c r="E120" s="66" t="s">
        <v>167</v>
      </c>
      <c r="F120" s="64" t="s">
        <v>33</v>
      </c>
      <c r="G120" s="376">
        <v>274.18</v>
      </c>
      <c r="H120" s="393">
        <f>+IF(F120=0,0,IF(F120="MXN",1/HLOOKUP(YEAR(C120)+(MONTH(C120)/100),TC!$5:$37,DAY(C120)+2,FALSE),VLOOKUP(F120,Equivalencia!$3:$23,((MAX(Equivalencia!$3:$3)-YEAR(C120))*14)+MONTH(C120)+2,FALSE)))</f>
        <v>1</v>
      </c>
      <c r="I120" s="376">
        <f t="shared" si="6"/>
        <v>274.18</v>
      </c>
    </row>
    <row r="121" spans="2:9" s="92" customFormat="1" ht="23.1" customHeight="1">
      <c r="B121" s="64">
        <v>1175000</v>
      </c>
      <c r="C121" s="65">
        <v>44907</v>
      </c>
      <c r="D121" s="64" t="s">
        <v>149</v>
      </c>
      <c r="E121" s="66" t="s">
        <v>186</v>
      </c>
      <c r="F121" s="64" t="s">
        <v>33</v>
      </c>
      <c r="G121" s="376">
        <v>308.45</v>
      </c>
      <c r="H121" s="393">
        <f>+IF(F121=0,0,IF(F121="MXN",1/HLOOKUP(YEAR(C121)+(MONTH(C121)/100),TC!$5:$37,DAY(C121)+2,FALSE),VLOOKUP(F121,Equivalencia!$3:$23,((MAX(Equivalencia!$3:$3)-YEAR(C121))*14)+MONTH(C121)+2,FALSE)))</f>
        <v>1</v>
      </c>
      <c r="I121" s="376">
        <f t="shared" si="6"/>
        <v>308.45</v>
      </c>
    </row>
    <row r="122" spans="2:9" s="92" customFormat="1" ht="23.1" customHeight="1">
      <c r="B122" s="64">
        <v>1175000</v>
      </c>
      <c r="C122" s="65">
        <v>44907</v>
      </c>
      <c r="D122" s="64" t="s">
        <v>149</v>
      </c>
      <c r="E122" s="66" t="s">
        <v>187</v>
      </c>
      <c r="F122" s="64" t="s">
        <v>33</v>
      </c>
      <c r="G122" s="376">
        <v>159.41999999999999</v>
      </c>
      <c r="H122" s="393">
        <f>+IF(F122=0,0,IF(F122="MXN",1/HLOOKUP(YEAR(C122)+(MONTH(C122)/100),TC!$5:$37,DAY(C122)+2,FALSE),VLOOKUP(F122,Equivalencia!$3:$23,((MAX(Equivalencia!$3:$3)-YEAR(C122))*14)+MONTH(C122)+2,FALSE)))</f>
        <v>1</v>
      </c>
      <c r="I122" s="376">
        <f t="shared" si="6"/>
        <v>159.41999999999999</v>
      </c>
    </row>
    <row r="123" spans="2:9" s="92" customFormat="1" ht="23.1" customHeight="1">
      <c r="B123" s="64">
        <v>1175000</v>
      </c>
      <c r="C123" s="65">
        <v>44909</v>
      </c>
      <c r="D123" s="64" t="s">
        <v>149</v>
      </c>
      <c r="E123" s="66" t="s">
        <v>171</v>
      </c>
      <c r="F123" s="64" t="s">
        <v>33</v>
      </c>
      <c r="G123" s="376">
        <v>360.36</v>
      </c>
      <c r="H123" s="393">
        <f>+IF(F123=0,0,IF(F123="MXN",1/HLOOKUP(YEAR(C123)+(MONTH(C123)/100),TC!$5:$37,DAY(C123)+2,FALSE),VLOOKUP(F123,Equivalencia!$3:$23,((MAX(Equivalencia!$3:$3)-YEAR(C123))*14)+MONTH(C123)+2,FALSE)))</f>
        <v>1</v>
      </c>
      <c r="I123" s="376">
        <f t="shared" si="6"/>
        <v>360.36</v>
      </c>
    </row>
    <row r="124" spans="2:9" s="92" customFormat="1" ht="23.1" customHeight="1">
      <c r="B124" s="64">
        <v>1175000</v>
      </c>
      <c r="C124" s="65">
        <v>44910</v>
      </c>
      <c r="D124" s="64" t="s">
        <v>149</v>
      </c>
      <c r="E124" s="66" t="s">
        <v>169</v>
      </c>
      <c r="F124" s="64" t="s">
        <v>33</v>
      </c>
      <c r="G124" s="376">
        <v>449.01</v>
      </c>
      <c r="H124" s="393">
        <f>+IF(F124=0,0,IF(F124="MXN",1/HLOOKUP(YEAR(C124)+(MONTH(C124)/100),TC!$5:$37,DAY(C124)+2,FALSE),VLOOKUP(F124,Equivalencia!$3:$23,((MAX(Equivalencia!$3:$3)-YEAR(C124))*14)+MONTH(C124)+2,FALSE)))</f>
        <v>1</v>
      </c>
      <c r="I124" s="376">
        <f t="shared" si="6"/>
        <v>449.01</v>
      </c>
    </row>
    <row r="125" spans="2:9" s="92" customFormat="1" ht="23.1" customHeight="1">
      <c r="B125" s="64">
        <v>1175000</v>
      </c>
      <c r="C125" s="65">
        <v>44910</v>
      </c>
      <c r="D125" s="64" t="s">
        <v>149</v>
      </c>
      <c r="E125" s="66" t="s">
        <v>172</v>
      </c>
      <c r="F125" s="64" t="s">
        <v>33</v>
      </c>
      <c r="G125" s="376">
        <v>340.48</v>
      </c>
      <c r="H125" s="393">
        <f>+IF(F125=0,0,IF(F125="MXN",1/HLOOKUP(YEAR(C125)+(MONTH(C125)/100),TC!$5:$37,DAY(C125)+2,FALSE),VLOOKUP(F125,Equivalencia!$3:$23,((MAX(Equivalencia!$3:$3)-YEAR(C125))*14)+MONTH(C125)+2,FALSE)))</f>
        <v>1</v>
      </c>
      <c r="I125" s="376">
        <f t="shared" si="6"/>
        <v>340.48</v>
      </c>
    </row>
    <row r="126" spans="2:9" s="92" customFormat="1" ht="23.1" customHeight="1">
      <c r="B126" s="64">
        <v>1175000</v>
      </c>
      <c r="C126" s="65">
        <v>44914</v>
      </c>
      <c r="D126" s="64" t="s">
        <v>149</v>
      </c>
      <c r="E126" s="66" t="s">
        <v>170</v>
      </c>
      <c r="F126" s="64" t="s">
        <v>33</v>
      </c>
      <c r="G126" s="376">
        <v>324.87</v>
      </c>
      <c r="H126" s="393">
        <f>+IF(F126=0,0,IF(F126="MXN",1/HLOOKUP(YEAR(C126)+(MONTH(C126)/100),TC!$5:$37,DAY(C126)+2,FALSE),VLOOKUP(F126,Equivalencia!$3:$23,((MAX(Equivalencia!$3:$3)-YEAR(C126))*14)+MONTH(C126)+2,FALSE)))</f>
        <v>1</v>
      </c>
      <c r="I126" s="376">
        <f t="shared" si="6"/>
        <v>324.87</v>
      </c>
    </row>
    <row r="127" spans="2:9" s="92" customFormat="1" ht="23.1" customHeight="1">
      <c r="B127" s="64">
        <v>1175000</v>
      </c>
      <c r="C127" s="65">
        <v>44918</v>
      </c>
      <c r="D127" s="64" t="s">
        <v>149</v>
      </c>
      <c r="E127" s="66" t="s">
        <v>185</v>
      </c>
      <c r="F127" s="64" t="s">
        <v>33</v>
      </c>
      <c r="G127" s="376">
        <v>362.1</v>
      </c>
      <c r="H127" s="393">
        <f>+IF(F127=0,0,IF(F127="MXN",1/HLOOKUP(YEAR(C127)+(MONTH(C127)/100),TC!$5:$37,DAY(C127)+2,FALSE),VLOOKUP(F127,Equivalencia!$3:$23,((MAX(Equivalencia!$3:$3)-YEAR(C127))*14)+MONTH(C127)+2,FALSE)))</f>
        <v>1</v>
      </c>
      <c r="I127" s="376">
        <f t="shared" si="6"/>
        <v>362.1</v>
      </c>
    </row>
    <row r="128" spans="2:9" s="92" customFormat="1" ht="23.1" customHeight="1">
      <c r="B128" s="64">
        <v>1175000</v>
      </c>
      <c r="C128" s="65">
        <v>44923</v>
      </c>
      <c r="D128" s="64" t="s">
        <v>149</v>
      </c>
      <c r="E128" s="66" t="s">
        <v>179</v>
      </c>
      <c r="F128" s="64" t="s">
        <v>33</v>
      </c>
      <c r="G128" s="376">
        <v>199.21</v>
      </c>
      <c r="H128" s="393">
        <f>+IF(F128=0,0,IF(F128="MXN",1/HLOOKUP(YEAR(C128)+(MONTH(C128)/100),TC!$5:$37,DAY(C128)+2,FALSE),VLOOKUP(F128,Equivalencia!$3:$23,((MAX(Equivalencia!$3:$3)-YEAR(C128))*14)+MONTH(C128)+2,FALSE)))</f>
        <v>1</v>
      </c>
      <c r="I128" s="376">
        <f t="shared" si="6"/>
        <v>199.21</v>
      </c>
    </row>
    <row r="129" spans="2:9" s="92" customFormat="1" ht="23.1" customHeight="1">
      <c r="B129" s="64">
        <v>1175000</v>
      </c>
      <c r="C129" s="65">
        <v>44924</v>
      </c>
      <c r="D129" s="64" t="s">
        <v>149</v>
      </c>
      <c r="E129" s="66" t="s">
        <v>176</v>
      </c>
      <c r="F129" s="64" t="s">
        <v>33</v>
      </c>
      <c r="G129" s="376">
        <v>428.61</v>
      </c>
      <c r="H129" s="393">
        <f>+IF(F129=0,0,IF(F129="MXN",1/HLOOKUP(YEAR(C129)+(MONTH(C129)/100),TC!$5:$37,DAY(C129)+2,FALSE),VLOOKUP(F129,Equivalencia!$3:$23,((MAX(Equivalencia!$3:$3)-YEAR(C129))*14)+MONTH(C129)+2,FALSE)))</f>
        <v>1</v>
      </c>
      <c r="I129" s="376">
        <f t="shared" si="6"/>
        <v>428.61</v>
      </c>
    </row>
    <row r="130" spans="2:9" s="92" customFormat="1" ht="23.1" customHeight="1">
      <c r="B130" s="64">
        <v>1175000</v>
      </c>
      <c r="C130" s="65">
        <v>44925</v>
      </c>
      <c r="D130" s="64" t="s">
        <v>149</v>
      </c>
      <c r="E130" s="66" t="s">
        <v>175</v>
      </c>
      <c r="F130" s="64" t="s">
        <v>33</v>
      </c>
      <c r="G130" s="376">
        <v>196.31</v>
      </c>
      <c r="H130" s="393">
        <f>+IF(F130=0,0,IF(F130="MXN",1/HLOOKUP(YEAR(C130)+(MONTH(C130)/100),TC!$5:$37,DAY(C130)+2,FALSE),VLOOKUP(F130,Equivalencia!$3:$23,((MAX(Equivalencia!$3:$3)-YEAR(C130))*14)+MONTH(C130)+2,FALSE)))</f>
        <v>1</v>
      </c>
      <c r="I130" s="376">
        <f t="shared" si="6"/>
        <v>196.31</v>
      </c>
    </row>
    <row r="131" spans="2:9" s="92" customFormat="1" ht="23.1" customHeight="1">
      <c r="B131" s="64">
        <v>1179000</v>
      </c>
      <c r="C131" s="65">
        <v>44599</v>
      </c>
      <c r="D131" s="285" t="s">
        <v>149</v>
      </c>
      <c r="E131" s="66" t="s">
        <v>191</v>
      </c>
      <c r="F131" s="64" t="s">
        <v>112</v>
      </c>
      <c r="G131" s="376">
        <v>2598.89</v>
      </c>
      <c r="H131" s="393">
        <f>+IF(F131=0,0,IF(F131="MXN",1/HLOOKUP(YEAR(C131)+(MONTH(C131)/100),TC!$5:$37,DAY(C131)+2,FALSE),VLOOKUP(F131,Equivalencia!$3:$23,((MAX(Equivalencia!$3:$3)-YEAR(C131))*14)+MONTH(C131)+2,FALSE)))</f>
        <v>0.78849999999999998</v>
      </c>
      <c r="I131" s="376">
        <f t="shared" ref="I131:I137" si="8">+G131*H131</f>
        <v>2049.2247649999999</v>
      </c>
    </row>
    <row r="132" spans="2:9" s="92" customFormat="1" ht="23.1" customHeight="1">
      <c r="B132" s="64">
        <v>1179000</v>
      </c>
      <c r="C132" s="65">
        <v>44644</v>
      </c>
      <c r="D132" s="285" t="s">
        <v>149</v>
      </c>
      <c r="E132" s="66" t="s">
        <v>192</v>
      </c>
      <c r="F132" s="64" t="s">
        <v>33</v>
      </c>
      <c r="G132" s="376">
        <v>1736.71</v>
      </c>
      <c r="H132" s="393">
        <f>+IF(F132=0,0,IF(F132="MXN",1/HLOOKUP(YEAR(C132)+(MONTH(C132)/100),TC!$5:$37,DAY(C132)+2,FALSE),VLOOKUP(F132,Equivalencia!$3:$23,((MAX(Equivalencia!$3:$3)-YEAR(C132))*14)+MONTH(C132)+2,FALSE)))</f>
        <v>1</v>
      </c>
      <c r="I132" s="376">
        <f t="shared" si="8"/>
        <v>1736.71</v>
      </c>
    </row>
    <row r="133" spans="2:9" s="92" customFormat="1" ht="23.1" customHeight="1">
      <c r="B133" s="64">
        <v>1179000</v>
      </c>
      <c r="C133" s="65">
        <v>44650</v>
      </c>
      <c r="D133" s="285" t="s">
        <v>149</v>
      </c>
      <c r="E133" s="66" t="s">
        <v>193</v>
      </c>
      <c r="F133" s="64" t="s">
        <v>33</v>
      </c>
      <c r="G133" s="376">
        <v>87.05</v>
      </c>
      <c r="H133" s="393">
        <f>+IF(F133=0,0,IF(F133="MXN",1/HLOOKUP(YEAR(C133)+(MONTH(C133)/100),TC!$5:$37,DAY(C133)+2,FALSE),VLOOKUP(F133,Equivalencia!$3:$23,((MAX(Equivalencia!$3:$3)-YEAR(C133))*14)+MONTH(C133)+2,FALSE)))</f>
        <v>1</v>
      </c>
      <c r="I133" s="376">
        <f t="shared" si="8"/>
        <v>87.05</v>
      </c>
    </row>
    <row r="134" spans="2:9" s="92" customFormat="1" ht="23.1" customHeight="1">
      <c r="B134" s="64">
        <v>1179000</v>
      </c>
      <c r="C134" s="65">
        <v>44684</v>
      </c>
      <c r="D134" s="285" t="s">
        <v>149</v>
      </c>
      <c r="E134" s="66" t="s">
        <v>194</v>
      </c>
      <c r="F134" s="64" t="s">
        <v>33</v>
      </c>
      <c r="G134" s="376">
        <v>2452.66</v>
      </c>
      <c r="H134" s="393">
        <f>+IF(F134=0,0,IF(F134="MXN",1/HLOOKUP(YEAR(C134)+(MONTH(C134)/100),TC!$5:$37,DAY(C134)+2,FALSE),VLOOKUP(F134,Equivalencia!$3:$23,((MAX(Equivalencia!$3:$3)-YEAR(C134))*14)+MONTH(C134)+2,FALSE)))</f>
        <v>1</v>
      </c>
      <c r="I134" s="376">
        <f t="shared" si="8"/>
        <v>2452.66</v>
      </c>
    </row>
    <row r="135" spans="2:9" s="92" customFormat="1" ht="23.1" customHeight="1">
      <c r="B135" s="64">
        <v>1179000</v>
      </c>
      <c r="C135" s="65">
        <v>44684</v>
      </c>
      <c r="D135" s="285" t="s">
        <v>149</v>
      </c>
      <c r="E135" s="66" t="s">
        <v>195</v>
      </c>
      <c r="F135" s="64" t="s">
        <v>33</v>
      </c>
      <c r="G135" s="376">
        <v>1383.8</v>
      </c>
      <c r="H135" s="393">
        <f>+IF(F135=0,0,IF(F135="MXN",1/HLOOKUP(YEAR(C135)+(MONTH(C135)/100),TC!$5:$37,DAY(C135)+2,FALSE),VLOOKUP(F135,Equivalencia!$3:$23,((MAX(Equivalencia!$3:$3)-YEAR(C135))*14)+MONTH(C135)+2,FALSE)))</f>
        <v>1</v>
      </c>
      <c r="I135" s="376">
        <f t="shared" si="8"/>
        <v>1383.8</v>
      </c>
    </row>
    <row r="136" spans="2:9" s="92" customFormat="1" ht="23.1" customHeight="1">
      <c r="B136" s="64">
        <v>1179000</v>
      </c>
      <c r="C136" s="65">
        <v>44735</v>
      </c>
      <c r="D136" s="285" t="s">
        <v>149</v>
      </c>
      <c r="E136" s="66" t="s">
        <v>192</v>
      </c>
      <c r="F136" s="64" t="s">
        <v>33</v>
      </c>
      <c r="G136" s="376">
        <v>3233.95</v>
      </c>
      <c r="H136" s="393">
        <f>+IF(F136=0,0,IF(F136="MXN",1/HLOOKUP(YEAR(C136)+(MONTH(C136)/100),TC!$5:$37,DAY(C136)+2,FALSE),VLOOKUP(F136,Equivalencia!$3:$23,((MAX(Equivalencia!$3:$3)-YEAR(C136))*14)+MONTH(C136)+2,FALSE)))</f>
        <v>1</v>
      </c>
      <c r="I136" s="376">
        <f t="shared" si="8"/>
        <v>3233.95</v>
      </c>
    </row>
    <row r="137" spans="2:9" s="92" customFormat="1" ht="23.1" customHeight="1">
      <c r="B137" s="64">
        <v>1179000</v>
      </c>
      <c r="C137" s="65">
        <v>44741</v>
      </c>
      <c r="D137" s="285" t="s">
        <v>149</v>
      </c>
      <c r="E137" s="66" t="s">
        <v>193</v>
      </c>
      <c r="F137" s="64" t="s">
        <v>33</v>
      </c>
      <c r="G137" s="376">
        <v>86.42</v>
      </c>
      <c r="H137" s="393">
        <f>+IF(F137=0,0,IF(F137="MXN",1/HLOOKUP(YEAR(C137)+(MONTH(C137)/100),TC!$5:$37,DAY(C137)+2,FALSE),VLOOKUP(F137,Equivalencia!$3:$23,((MAX(Equivalencia!$3:$3)-YEAR(C137))*14)+MONTH(C137)+2,FALSE)))</f>
        <v>1</v>
      </c>
      <c r="I137" s="376">
        <f t="shared" si="8"/>
        <v>86.42</v>
      </c>
    </row>
    <row r="138" spans="2:9" s="92" customFormat="1" ht="23.1" customHeight="1">
      <c r="B138" s="64">
        <v>1179000</v>
      </c>
      <c r="C138" s="65">
        <v>44781</v>
      </c>
      <c r="D138" s="64" t="s">
        <v>149</v>
      </c>
      <c r="E138" s="66" t="s">
        <v>191</v>
      </c>
      <c r="F138" s="64" t="s">
        <v>112</v>
      </c>
      <c r="G138" s="376">
        <v>2817.92</v>
      </c>
      <c r="H138" s="393">
        <f>+IF(F138=0,0,IF(F138="MXN",1/HLOOKUP(YEAR(C138)+(MONTH(C138)/100),TC!$5:$37,DAY(C138)+2,FALSE),VLOOKUP(F138,Equivalencia!$3:$23,((MAX(Equivalencia!$3:$3)-YEAR(C138))*14)+MONTH(C138)+2,FALSE)))</f>
        <v>0.76370000000000005</v>
      </c>
      <c r="I138" s="376">
        <f>+G138*H138</f>
        <v>2152.0455040000002</v>
      </c>
    </row>
    <row r="139" spans="2:9" s="92" customFormat="1" ht="23.1" customHeight="1">
      <c r="B139" s="64">
        <v>1179000</v>
      </c>
      <c r="C139" s="65">
        <v>44798</v>
      </c>
      <c r="D139" s="64" t="s">
        <v>149</v>
      </c>
      <c r="E139" s="66" t="s">
        <v>194</v>
      </c>
      <c r="F139" s="64" t="s">
        <v>33</v>
      </c>
      <c r="G139" s="376">
        <v>1487.61</v>
      </c>
      <c r="H139" s="393">
        <f>+IF(F139=0,0,IF(F139="MXN",1/HLOOKUP(YEAR(C139)+(MONTH(C139)/100),TC!$5:$37,DAY(C139)+2,FALSE),VLOOKUP(F139,Equivalencia!$3:$23,((MAX(Equivalencia!$3:$3)-YEAR(C139))*14)+MONTH(C139)+2,FALSE)))</f>
        <v>1</v>
      </c>
      <c r="I139" s="376">
        <f t="shared" ref="I139:I143" si="9">+G139*H139</f>
        <v>1487.61</v>
      </c>
    </row>
    <row r="140" spans="2:9" s="92" customFormat="1" ht="23.1" customHeight="1">
      <c r="B140" s="64">
        <v>1179000</v>
      </c>
      <c r="C140" s="65">
        <v>44798</v>
      </c>
      <c r="D140" s="64" t="s">
        <v>149</v>
      </c>
      <c r="E140" s="66" t="s">
        <v>195</v>
      </c>
      <c r="F140" s="64" t="s">
        <v>33</v>
      </c>
      <c r="G140" s="376">
        <v>713.67</v>
      </c>
      <c r="H140" s="393">
        <f>+IF(F140=0,0,IF(F140="MXN",1/HLOOKUP(YEAR(C140)+(MONTH(C140)/100),TC!$5:$37,DAY(C140)+2,FALSE),VLOOKUP(F140,Equivalencia!$3:$23,((MAX(Equivalencia!$3:$3)-YEAR(C140))*14)+MONTH(C140)+2,FALSE)))</f>
        <v>1</v>
      </c>
      <c r="I140" s="376">
        <f t="shared" si="9"/>
        <v>713.67</v>
      </c>
    </row>
    <row r="141" spans="2:9" s="92" customFormat="1" ht="23.1" customHeight="1">
      <c r="B141" s="64">
        <v>1179000</v>
      </c>
      <c r="C141" s="65">
        <v>44826</v>
      </c>
      <c r="D141" s="64" t="s">
        <v>149</v>
      </c>
      <c r="E141" s="66" t="s">
        <v>192</v>
      </c>
      <c r="F141" s="64" t="s">
        <v>33</v>
      </c>
      <c r="G141" s="376">
        <v>7440.78</v>
      </c>
      <c r="H141" s="393">
        <f>+IF(F141=0,0,IF(F141="MXN",1/HLOOKUP(YEAR(C141)+(MONTH(C141)/100),TC!$5:$37,DAY(C141)+2,FALSE),VLOOKUP(F141,Equivalencia!$3:$23,((MAX(Equivalencia!$3:$3)-YEAR(C141))*14)+MONTH(C141)+2,FALSE)))</f>
        <v>1</v>
      </c>
      <c r="I141" s="376">
        <f t="shared" si="9"/>
        <v>7440.78</v>
      </c>
    </row>
    <row r="142" spans="2:9" s="92" customFormat="1" ht="23.1" customHeight="1">
      <c r="B142" s="64">
        <v>1179000</v>
      </c>
      <c r="C142" s="65">
        <v>44832</v>
      </c>
      <c r="D142" s="64" t="s">
        <v>149</v>
      </c>
      <c r="E142" s="66" t="s">
        <v>193</v>
      </c>
      <c r="F142" s="64" t="s">
        <v>33</v>
      </c>
      <c r="G142" s="376">
        <v>89.29</v>
      </c>
      <c r="H142" s="393">
        <f>+IF(F142=0,0,IF(F142="MXN",1/HLOOKUP(YEAR(C142)+(MONTH(C142)/100),TC!$5:$37,DAY(C142)+2,FALSE),VLOOKUP(F142,Equivalencia!$3:$23,((MAX(Equivalencia!$3:$3)-YEAR(C142))*14)+MONTH(C142)+2,FALSE)))</f>
        <v>1</v>
      </c>
      <c r="I142" s="376">
        <f t="shared" si="9"/>
        <v>89.29</v>
      </c>
    </row>
    <row r="143" spans="2:9" s="92" customFormat="1" ht="23.1" customHeight="1">
      <c r="B143" s="64">
        <v>1179000</v>
      </c>
      <c r="C143" s="65">
        <v>44917</v>
      </c>
      <c r="D143" s="64" t="s">
        <v>149</v>
      </c>
      <c r="E143" s="66" t="s">
        <v>196</v>
      </c>
      <c r="F143" s="64" t="s">
        <v>33</v>
      </c>
      <c r="G143" s="376">
        <v>8276.16</v>
      </c>
      <c r="H143" s="393">
        <f>+IF(F143=0,0,IF(F143="MXN",1/HLOOKUP(YEAR(C143)+(MONTH(C143)/100),TC!$5:$37,DAY(C143)+2,FALSE),VLOOKUP(F143,Equivalencia!$3:$23,((MAX(Equivalencia!$3:$3)-YEAR(C143))*14)+MONTH(C143)+2,FALSE)))</f>
        <v>1</v>
      </c>
      <c r="I143" s="376">
        <f t="shared" si="9"/>
        <v>8276.16</v>
      </c>
    </row>
    <row r="144" spans="2:9" s="92" customFormat="1" ht="23.1" customHeight="1">
      <c r="B144" s="14">
        <v>1427200</v>
      </c>
      <c r="C144" s="65">
        <v>44568</v>
      </c>
      <c r="D144" s="285" t="s">
        <v>149</v>
      </c>
      <c r="E144" s="66" t="s">
        <v>180</v>
      </c>
      <c r="F144" s="64" t="s">
        <v>33</v>
      </c>
      <c r="G144" s="376">
        <v>28.69</v>
      </c>
      <c r="H144" s="393">
        <f>+IF(F144=0,0,IF(F144="MXN",1/HLOOKUP(YEAR(C144)+(MONTH(C144)/100),TC!$5:$37,DAY(C144)+2,FALSE),VLOOKUP(F144,Equivalencia!$3:$23,((MAX(Equivalencia!$3:$3)-YEAR(C144))*14)+MONTH(C144)+2,FALSE)))</f>
        <v>1</v>
      </c>
      <c r="I144" s="376">
        <f t="shared" ref="I144:I148" si="10">+G144*H144</f>
        <v>28.69</v>
      </c>
    </row>
    <row r="145" spans="2:9" s="92" customFormat="1" ht="23.1" customHeight="1">
      <c r="B145" s="14">
        <v>1427200</v>
      </c>
      <c r="C145" s="65">
        <v>44579</v>
      </c>
      <c r="D145" s="285" t="s">
        <v>149</v>
      </c>
      <c r="E145" s="66" t="s">
        <v>197</v>
      </c>
      <c r="F145" s="64" t="s">
        <v>33</v>
      </c>
      <c r="G145" s="376">
        <v>9.24</v>
      </c>
      <c r="H145" s="393">
        <f>+IF(F145=0,0,IF(F145="MXN",1/HLOOKUP(YEAR(C145)+(MONTH(C145)/100),TC!$5:$37,DAY(C145)+2,FALSE),VLOOKUP(F145,Equivalencia!$3:$23,((MAX(Equivalencia!$3:$3)-YEAR(C145))*14)+MONTH(C145)+2,FALSE)))</f>
        <v>1</v>
      </c>
      <c r="I145" s="376">
        <f t="shared" si="10"/>
        <v>9.24</v>
      </c>
    </row>
    <row r="146" spans="2:9" s="92" customFormat="1" ht="23.1" customHeight="1">
      <c r="B146" s="14">
        <v>1427200</v>
      </c>
      <c r="C146" s="65">
        <v>44588</v>
      </c>
      <c r="D146" s="285" t="s">
        <v>149</v>
      </c>
      <c r="E146" s="66" t="s">
        <v>198</v>
      </c>
      <c r="F146" s="64" t="s">
        <v>33</v>
      </c>
      <c r="G146" s="376">
        <v>1.1299999999999999</v>
      </c>
      <c r="H146" s="393">
        <f>+IF(F146=0,0,IF(F146="MXN",1/HLOOKUP(YEAR(C146)+(MONTH(C146)/100),TC!$5:$37,DAY(C146)+2,FALSE),VLOOKUP(F146,Equivalencia!$3:$23,((MAX(Equivalencia!$3:$3)-YEAR(C146))*14)+MONTH(C146)+2,FALSE)))</f>
        <v>1</v>
      </c>
      <c r="I146" s="376">
        <f t="shared" si="10"/>
        <v>1.1299999999999999</v>
      </c>
    </row>
    <row r="147" spans="2:9" s="92" customFormat="1" ht="23.1" customHeight="1">
      <c r="B147" s="14">
        <v>1427200</v>
      </c>
      <c r="C147" s="65">
        <v>44603</v>
      </c>
      <c r="D147" s="285" t="s">
        <v>149</v>
      </c>
      <c r="E147" s="66" t="s">
        <v>199</v>
      </c>
      <c r="F147" s="64" t="s">
        <v>33</v>
      </c>
      <c r="G147" s="376">
        <v>27.57</v>
      </c>
      <c r="H147" s="393">
        <f>+IF(F147=0,0,IF(F147="MXN",1/HLOOKUP(YEAR(C147)+(MONTH(C147)/100),TC!$5:$37,DAY(C147)+2,FALSE),VLOOKUP(F147,Equivalencia!$3:$23,((MAX(Equivalencia!$3:$3)-YEAR(C147))*14)+MONTH(C147)+2,FALSE)))</f>
        <v>1</v>
      </c>
      <c r="I147" s="376">
        <f t="shared" si="10"/>
        <v>27.57</v>
      </c>
    </row>
    <row r="148" spans="2:9" s="92" customFormat="1" ht="23.1" customHeight="1">
      <c r="B148" s="14">
        <v>1427200</v>
      </c>
      <c r="C148" s="65">
        <v>44622</v>
      </c>
      <c r="D148" s="285" t="s">
        <v>149</v>
      </c>
      <c r="E148" s="66" t="s">
        <v>200</v>
      </c>
      <c r="F148" s="64" t="s">
        <v>33</v>
      </c>
      <c r="G148" s="376">
        <v>25.47</v>
      </c>
      <c r="H148" s="393">
        <f>+IF(F148=0,0,IF(F148="MXN",1/HLOOKUP(YEAR(C148)+(MONTH(C148)/100),TC!$5:$37,DAY(C148)+2,FALSE),VLOOKUP(F148,Equivalencia!$3:$23,((MAX(Equivalencia!$3:$3)-YEAR(C148))*14)+MONTH(C148)+2,FALSE)))</f>
        <v>1</v>
      </c>
      <c r="I148" s="376">
        <f t="shared" si="10"/>
        <v>25.47</v>
      </c>
    </row>
    <row r="149" spans="2:9" s="92" customFormat="1" ht="23.1" customHeight="1">
      <c r="B149" s="14">
        <v>1427200</v>
      </c>
      <c r="C149" s="65">
        <v>44628</v>
      </c>
      <c r="D149" s="285" t="s">
        <v>149</v>
      </c>
      <c r="E149" s="66" t="s">
        <v>201</v>
      </c>
      <c r="F149" s="64" t="s">
        <v>33</v>
      </c>
      <c r="G149" s="376">
        <v>23.94</v>
      </c>
      <c r="H149" s="393">
        <f>+IF(F149=0,0,IF(F149="MXN",1/HLOOKUP(YEAR(C149)+(MONTH(C149)/100),TC!$5:$37,DAY(C149)+2,FALSE),VLOOKUP(F149,Equivalencia!$3:$23,((MAX(Equivalencia!$3:$3)-YEAR(C149))*14)+MONTH(C149)+2,FALSE)))</f>
        <v>1</v>
      </c>
      <c r="I149" s="376">
        <f t="shared" ref="I149" si="11">+G149*H149</f>
        <v>23.94</v>
      </c>
    </row>
    <row r="150" spans="2:9" s="92" customFormat="1" ht="23.1" customHeight="1">
      <c r="B150" s="14">
        <v>1427200</v>
      </c>
      <c r="C150" s="65">
        <v>44630</v>
      </c>
      <c r="D150" s="285" t="s">
        <v>149</v>
      </c>
      <c r="E150" s="66" t="s">
        <v>167</v>
      </c>
      <c r="F150" s="64" t="s">
        <v>33</v>
      </c>
      <c r="G150" s="376">
        <v>39.49</v>
      </c>
      <c r="H150" s="393">
        <f>+IF(F150=0,0,IF(F150="MXN",1/HLOOKUP(YEAR(C150)+(MONTH(C150)/100),TC!$5:$37,DAY(C150)+2,FALSE),VLOOKUP(F150,Equivalencia!$3:$23,((MAX(Equivalencia!$3:$3)-YEAR(C150))*14)+MONTH(C150)+2,FALSE)))</f>
        <v>1</v>
      </c>
      <c r="I150" s="376">
        <f t="shared" ref="I150:I151" si="12">+G150*H150</f>
        <v>39.49</v>
      </c>
    </row>
    <row r="151" spans="2:9" s="92" customFormat="1" ht="23.1" customHeight="1">
      <c r="B151" s="14">
        <v>1427200</v>
      </c>
      <c r="C151" s="65">
        <v>44645</v>
      </c>
      <c r="D151" s="285" t="s">
        <v>149</v>
      </c>
      <c r="E151" s="66" t="s">
        <v>202</v>
      </c>
      <c r="F151" s="64" t="s">
        <v>33</v>
      </c>
      <c r="G151" s="376">
        <v>2.72</v>
      </c>
      <c r="H151" s="393">
        <f>+IF(F151=0,0,IF(F151="MXN",1/HLOOKUP(YEAR(C151)+(MONTH(C151)/100),TC!$5:$37,DAY(C151)+2,FALSE),VLOOKUP(F151,Equivalencia!$3:$23,((MAX(Equivalencia!$3:$3)-YEAR(C151))*14)+MONTH(C151)+2,FALSE)))</f>
        <v>1</v>
      </c>
      <c r="I151" s="376">
        <f t="shared" si="12"/>
        <v>2.72</v>
      </c>
    </row>
    <row r="152" spans="2:9" s="92" customFormat="1" ht="23.1" customHeight="1">
      <c r="B152" s="14">
        <v>1427200</v>
      </c>
      <c r="C152" s="65">
        <v>44659</v>
      </c>
      <c r="D152" s="285" t="s">
        <v>149</v>
      </c>
      <c r="E152" s="66" t="s">
        <v>180</v>
      </c>
      <c r="F152" s="64" t="s">
        <v>33</v>
      </c>
      <c r="G152" s="376">
        <v>39.51</v>
      </c>
      <c r="H152" s="393">
        <f>+IF(F152=0,0,IF(F152="MXN",1/HLOOKUP(YEAR(C152)+(MONTH(C152)/100),TC!$5:$37,DAY(C152)+2,FALSE),VLOOKUP(F152,Equivalencia!$3:$23,((MAX(Equivalencia!$3:$3)-YEAR(C152))*14)+MONTH(C152)+2,FALSE)))</f>
        <v>1</v>
      </c>
      <c r="I152" s="376">
        <f t="shared" si="2"/>
        <v>39.51</v>
      </c>
    </row>
    <row r="153" spans="2:9" s="92" customFormat="1" ht="23.1" customHeight="1">
      <c r="B153" s="14">
        <v>1427200</v>
      </c>
      <c r="C153" s="65">
        <v>44669</v>
      </c>
      <c r="D153" s="285" t="s">
        <v>149</v>
      </c>
      <c r="E153" s="66" t="s">
        <v>189</v>
      </c>
      <c r="F153" s="64" t="s">
        <v>33</v>
      </c>
      <c r="G153" s="376">
        <v>10.47</v>
      </c>
      <c r="H153" s="393">
        <f>+IF(F153=0,0,IF(F153="MXN",1/HLOOKUP(YEAR(C153)+(MONTH(C153)/100),TC!$5:$37,DAY(C153)+2,FALSE),VLOOKUP(F153,Equivalencia!$3:$23,((MAX(Equivalencia!$3:$3)-YEAR(C153))*14)+MONTH(C153)+2,FALSE)))</f>
        <v>1</v>
      </c>
      <c r="I153" s="376">
        <f t="shared" si="2"/>
        <v>10.47</v>
      </c>
    </row>
    <row r="154" spans="2:9" s="92" customFormat="1" ht="23.1" customHeight="1">
      <c r="B154" s="14">
        <v>1427200</v>
      </c>
      <c r="C154" s="65">
        <v>44678</v>
      </c>
      <c r="D154" s="285" t="s">
        <v>149</v>
      </c>
      <c r="E154" s="66" t="s">
        <v>198</v>
      </c>
      <c r="F154" s="64" t="s">
        <v>33</v>
      </c>
      <c r="G154" s="376">
        <v>5.29</v>
      </c>
      <c r="H154" s="393">
        <f>+IF(F154=0,0,IF(F154="MXN",1/HLOOKUP(YEAR(C154)+(MONTH(C154)/100),TC!$5:$37,DAY(C154)+2,FALSE),VLOOKUP(F154,Equivalencia!$3:$23,((MAX(Equivalencia!$3:$3)-YEAR(C154))*14)+MONTH(C154)+2,FALSE)))</f>
        <v>1</v>
      </c>
      <c r="I154" s="376">
        <f t="shared" si="2"/>
        <v>5.29</v>
      </c>
    </row>
    <row r="155" spans="2:9" s="92" customFormat="1" ht="23.1" customHeight="1">
      <c r="B155" s="14">
        <v>1427200</v>
      </c>
      <c r="C155" s="65">
        <v>44694</v>
      </c>
      <c r="D155" s="285" t="s">
        <v>149</v>
      </c>
      <c r="E155" s="66" t="s">
        <v>199</v>
      </c>
      <c r="F155" s="64" t="s">
        <v>33</v>
      </c>
      <c r="G155" s="376">
        <v>28.82</v>
      </c>
      <c r="H155" s="393">
        <f>+IF(F155=0,0,IF(F155="MXN",1/HLOOKUP(YEAR(C155)+(MONTH(C155)/100),TC!$5:$37,DAY(C155)+2,FALSE),VLOOKUP(F155,Equivalencia!$3:$23,((MAX(Equivalencia!$3:$3)-YEAR(C155))*14)+MONTH(C155)+2,FALSE)))</f>
        <v>1</v>
      </c>
      <c r="I155" s="376">
        <f t="shared" ref="I155:I156" si="13">+G155*H155</f>
        <v>28.82</v>
      </c>
    </row>
    <row r="156" spans="2:9" s="92" customFormat="1" ht="23.1" customHeight="1">
      <c r="B156" s="14">
        <v>1427200</v>
      </c>
      <c r="C156" s="65">
        <v>44714</v>
      </c>
      <c r="D156" s="285" t="s">
        <v>149</v>
      </c>
      <c r="E156" s="66" t="s">
        <v>200</v>
      </c>
      <c r="F156" s="64" t="s">
        <v>33</v>
      </c>
      <c r="G156" s="376">
        <v>30.19</v>
      </c>
      <c r="H156" s="393">
        <f>+IF(F156=0,0,IF(F156="MXN",1/HLOOKUP(YEAR(C156)+(MONTH(C156)/100),TC!$5:$37,DAY(C156)+2,FALSE),VLOOKUP(F156,Equivalencia!$3:$23,((MAX(Equivalencia!$3:$3)-YEAR(C156))*14)+MONTH(C156)+2,FALSE)))</f>
        <v>1</v>
      </c>
      <c r="I156" s="376">
        <f t="shared" si="13"/>
        <v>30.19</v>
      </c>
    </row>
    <row r="157" spans="2:9" s="92" customFormat="1" ht="23.1" customHeight="1">
      <c r="B157" s="14">
        <v>1427200</v>
      </c>
      <c r="C157" s="65">
        <v>44721</v>
      </c>
      <c r="D157" s="285" t="s">
        <v>149</v>
      </c>
      <c r="E157" s="66" t="s">
        <v>167</v>
      </c>
      <c r="F157" s="64" t="s">
        <v>33</v>
      </c>
      <c r="G157" s="376">
        <v>39.49</v>
      </c>
      <c r="H157" s="393">
        <f>+IF(F157=0,0,IF(F157="MXN",1/HLOOKUP(YEAR(C157)+(MONTH(C157)/100),TC!$5:$37,DAY(C157)+2,FALSE),VLOOKUP(F157,Equivalencia!$3:$23,((MAX(Equivalencia!$3:$3)-YEAR(C157))*14)+MONTH(C157)+2,FALSE)))</f>
        <v>1</v>
      </c>
      <c r="I157" s="376">
        <f t="shared" ref="I157:I180" si="14">+G157*H157</f>
        <v>39.49</v>
      </c>
    </row>
    <row r="158" spans="2:9" s="92" customFormat="1" ht="23.1" customHeight="1">
      <c r="B158" s="14">
        <v>1427200</v>
      </c>
      <c r="C158" s="65">
        <v>44721</v>
      </c>
      <c r="D158" s="285" t="s">
        <v>149</v>
      </c>
      <c r="E158" s="66" t="s">
        <v>201</v>
      </c>
      <c r="F158" s="64" t="s">
        <v>33</v>
      </c>
      <c r="G158" s="376">
        <v>23.94</v>
      </c>
      <c r="H158" s="393">
        <f>+IF(F158=0,0,IF(F158="MXN",1/HLOOKUP(YEAR(C158)+(MONTH(C158)/100),TC!$5:$37,DAY(C158)+2,FALSE),VLOOKUP(F158,Equivalencia!$3:$23,((MAX(Equivalencia!$3:$3)-YEAR(C158))*14)+MONTH(C158)+2,FALSE)))</f>
        <v>1</v>
      </c>
      <c r="I158" s="376">
        <f t="shared" si="14"/>
        <v>23.94</v>
      </c>
    </row>
    <row r="159" spans="2:9" s="92" customFormat="1" ht="23.1" customHeight="1">
      <c r="B159" s="14">
        <v>1427200</v>
      </c>
      <c r="C159" s="65">
        <v>44746</v>
      </c>
      <c r="D159" s="64" t="s">
        <v>149</v>
      </c>
      <c r="E159" s="66" t="s">
        <v>202</v>
      </c>
      <c r="F159" s="64" t="s">
        <v>33</v>
      </c>
      <c r="G159" s="376">
        <v>2.3199999999999998</v>
      </c>
      <c r="H159" s="393">
        <f>+IF(F159=0,0,IF(F159="MXN",1/HLOOKUP(YEAR(C159)+(MONTH(C159)/100),TC!$5:$37,DAY(C159)+2,FALSE),VLOOKUP(F159,Equivalencia!$3:$23,((MAX(Equivalencia!$3:$3)-YEAR(C159))*14)+MONTH(C159)+2,FALSE)))</f>
        <v>1</v>
      </c>
      <c r="I159" s="376">
        <f t="shared" si="14"/>
        <v>2.3199999999999998</v>
      </c>
    </row>
    <row r="160" spans="2:9" s="92" customFormat="1" ht="23.1" customHeight="1">
      <c r="B160" s="14">
        <v>1427200</v>
      </c>
      <c r="C160" s="65">
        <v>44748</v>
      </c>
      <c r="D160" s="64" t="s">
        <v>149</v>
      </c>
      <c r="E160" s="66" t="s">
        <v>152</v>
      </c>
      <c r="F160" s="64" t="s">
        <v>33</v>
      </c>
      <c r="G160" s="376">
        <v>10.5</v>
      </c>
      <c r="H160" s="393">
        <f>+IF(F160=0,0,IF(F160="MXN",1/HLOOKUP(YEAR(C160)+(MONTH(C160)/100),TC!$5:$37,DAY(C160)+2,FALSE),VLOOKUP(F160,Equivalencia!$3:$23,((MAX(Equivalencia!$3:$3)-YEAR(C160))*14)+MONTH(C160)+2,FALSE)))</f>
        <v>1</v>
      </c>
      <c r="I160" s="376">
        <f t="shared" si="14"/>
        <v>10.5</v>
      </c>
    </row>
    <row r="161" spans="2:9" s="92" customFormat="1" ht="23.1" customHeight="1">
      <c r="B161" s="14">
        <v>1427200</v>
      </c>
      <c r="C161" s="65">
        <v>44753</v>
      </c>
      <c r="D161" s="64" t="s">
        <v>149</v>
      </c>
      <c r="E161" s="66" t="s">
        <v>180</v>
      </c>
      <c r="F161" s="64" t="s">
        <v>33</v>
      </c>
      <c r="G161" s="376">
        <v>33.76</v>
      </c>
      <c r="H161" s="393">
        <f>+IF(F161=0,0,IF(F161="MXN",1/HLOOKUP(YEAR(C161)+(MONTH(C161)/100),TC!$5:$37,DAY(C161)+2,FALSE),VLOOKUP(F161,Equivalencia!$3:$23,((MAX(Equivalencia!$3:$3)-YEAR(C161))*14)+MONTH(C161)+2,FALSE)))</f>
        <v>1</v>
      </c>
      <c r="I161" s="376">
        <f t="shared" si="14"/>
        <v>33.76</v>
      </c>
    </row>
    <row r="162" spans="2:9" s="92" customFormat="1" ht="23.1" customHeight="1">
      <c r="B162" s="14">
        <v>1427200</v>
      </c>
      <c r="C162" s="65">
        <v>44760</v>
      </c>
      <c r="D162" s="64" t="s">
        <v>149</v>
      </c>
      <c r="E162" s="66" t="s">
        <v>189</v>
      </c>
      <c r="F162" s="64" t="s">
        <v>33</v>
      </c>
      <c r="G162" s="376">
        <v>10.47</v>
      </c>
      <c r="H162" s="393">
        <f>+IF(F162=0,0,IF(F162="MXN",1/HLOOKUP(YEAR(C162)+(MONTH(C162)/100),TC!$5:$37,DAY(C162)+2,FALSE),VLOOKUP(F162,Equivalencia!$3:$23,((MAX(Equivalencia!$3:$3)-YEAR(C162))*14)+MONTH(C162)+2,FALSE)))</f>
        <v>1</v>
      </c>
      <c r="I162" s="376">
        <f t="shared" si="14"/>
        <v>10.47</v>
      </c>
    </row>
    <row r="163" spans="2:9" s="92" customFormat="1" ht="23.1" customHeight="1">
      <c r="B163" s="14">
        <v>1427200</v>
      </c>
      <c r="C163" s="65">
        <v>44769</v>
      </c>
      <c r="D163" s="64" t="s">
        <v>149</v>
      </c>
      <c r="E163" s="66" t="s">
        <v>197</v>
      </c>
      <c r="F163" s="64" t="s">
        <v>33</v>
      </c>
      <c r="G163" s="376">
        <v>2.1800000000000002</v>
      </c>
      <c r="H163" s="393">
        <f>+IF(F163=0,0,IF(F163="MXN",1/HLOOKUP(YEAR(C163)+(MONTH(C163)/100),TC!$5:$37,DAY(C163)+2,FALSE),VLOOKUP(F163,Equivalencia!$3:$23,((MAX(Equivalencia!$3:$3)-YEAR(C163))*14)+MONTH(C163)+2,FALSE)))</f>
        <v>1</v>
      </c>
      <c r="I163" s="376">
        <f t="shared" si="14"/>
        <v>2.1800000000000002</v>
      </c>
    </row>
    <row r="164" spans="2:9" s="92" customFormat="1" ht="23.1" customHeight="1">
      <c r="B164" s="14">
        <v>1427200</v>
      </c>
      <c r="C164" s="65">
        <v>44769</v>
      </c>
      <c r="D164" s="64" t="s">
        <v>149</v>
      </c>
      <c r="E164" s="66" t="s">
        <v>198</v>
      </c>
      <c r="F164" s="64" t="s">
        <v>33</v>
      </c>
      <c r="G164" s="376">
        <v>5.29</v>
      </c>
      <c r="H164" s="393">
        <f>+IF(F164=0,0,IF(F164="MXN",1/HLOOKUP(YEAR(C164)+(MONTH(C164)/100),TC!$5:$37,DAY(C164)+2,FALSE),VLOOKUP(F164,Equivalencia!$3:$23,((MAX(Equivalencia!$3:$3)-YEAR(C164))*14)+MONTH(C164)+2,FALSE)))</f>
        <v>1</v>
      </c>
      <c r="I164" s="376">
        <f t="shared" si="14"/>
        <v>5.29</v>
      </c>
    </row>
    <row r="165" spans="2:9" s="92" customFormat="1" ht="23.1" customHeight="1">
      <c r="B165" s="14">
        <v>1427200</v>
      </c>
      <c r="C165" s="65">
        <v>44795</v>
      </c>
      <c r="D165" s="64" t="s">
        <v>149</v>
      </c>
      <c r="E165" s="66" t="s">
        <v>199</v>
      </c>
      <c r="F165" s="64" t="s">
        <v>33</v>
      </c>
      <c r="G165" s="376">
        <v>25.12</v>
      </c>
      <c r="H165" s="393">
        <f>+IF(F165=0,0,IF(F165="MXN",1/HLOOKUP(YEAR(C165)+(MONTH(C165)/100),TC!$5:$37,DAY(C165)+2,FALSE),VLOOKUP(F165,Equivalencia!$3:$23,((MAX(Equivalencia!$3:$3)-YEAR(C165))*14)+MONTH(C165)+2,FALSE)))</f>
        <v>1</v>
      </c>
      <c r="I165" s="376">
        <f t="shared" si="14"/>
        <v>25.12</v>
      </c>
    </row>
    <row r="166" spans="2:9" s="92" customFormat="1" ht="23.1" customHeight="1">
      <c r="B166" s="14">
        <v>1427200</v>
      </c>
      <c r="C166" s="65">
        <v>44806</v>
      </c>
      <c r="D166" s="64" t="s">
        <v>149</v>
      </c>
      <c r="E166" s="66" t="s">
        <v>200</v>
      </c>
      <c r="F166" s="64" t="s">
        <v>33</v>
      </c>
      <c r="G166" s="376">
        <v>25.2</v>
      </c>
      <c r="H166" s="393">
        <f>+IF(F166=0,0,IF(F166="MXN",1/HLOOKUP(YEAR(C166)+(MONTH(C166)/100),TC!$5:$37,DAY(C166)+2,FALSE),VLOOKUP(F166,Equivalencia!$3:$23,((MAX(Equivalencia!$3:$3)-YEAR(C166))*14)+MONTH(C166)+2,FALSE)))</f>
        <v>1</v>
      </c>
      <c r="I166" s="376">
        <f t="shared" si="14"/>
        <v>25.2</v>
      </c>
    </row>
    <row r="167" spans="2:9" s="92" customFormat="1" ht="23.1" customHeight="1">
      <c r="B167" s="14">
        <v>1427200</v>
      </c>
      <c r="C167" s="65">
        <v>44812</v>
      </c>
      <c r="D167" s="64" t="s">
        <v>149</v>
      </c>
      <c r="E167" s="66" t="s">
        <v>167</v>
      </c>
      <c r="F167" s="64" t="s">
        <v>33</v>
      </c>
      <c r="G167" s="376">
        <v>35.590000000000003</v>
      </c>
      <c r="H167" s="393">
        <f>+IF(F167=0,0,IF(F167="MXN",1/HLOOKUP(YEAR(C167)+(MONTH(C167)/100),TC!$5:$37,DAY(C167)+2,FALSE),VLOOKUP(F167,Equivalencia!$3:$23,((MAX(Equivalencia!$3:$3)-YEAR(C167))*14)+MONTH(C167)+2,FALSE)))</f>
        <v>1</v>
      </c>
      <c r="I167" s="376">
        <f t="shared" si="14"/>
        <v>35.590000000000003</v>
      </c>
    </row>
    <row r="168" spans="2:9" s="92" customFormat="1" ht="23.1" customHeight="1">
      <c r="B168" s="14">
        <v>1427200</v>
      </c>
      <c r="C168" s="65">
        <v>44820</v>
      </c>
      <c r="D168" s="64" t="s">
        <v>149</v>
      </c>
      <c r="E168" s="66" t="s">
        <v>201</v>
      </c>
      <c r="F168" s="64" t="s">
        <v>33</v>
      </c>
      <c r="G168" s="376">
        <v>15.43</v>
      </c>
      <c r="H168" s="393">
        <f>+IF(F168=0,0,IF(F168="MXN",1/HLOOKUP(YEAR(C168)+(MONTH(C168)/100),TC!$5:$37,DAY(C168)+2,FALSE),VLOOKUP(F168,Equivalencia!$3:$23,((MAX(Equivalencia!$3:$3)-YEAR(C168))*14)+MONTH(C168)+2,FALSE)))</f>
        <v>1</v>
      </c>
      <c r="I168" s="376">
        <f t="shared" si="14"/>
        <v>15.43</v>
      </c>
    </row>
    <row r="169" spans="2:9" s="92" customFormat="1" ht="23.1" customHeight="1">
      <c r="B169" s="14">
        <v>1427200</v>
      </c>
      <c r="C169" s="65">
        <v>44834</v>
      </c>
      <c r="D169" s="64" t="s">
        <v>149</v>
      </c>
      <c r="E169" s="66" t="s">
        <v>202</v>
      </c>
      <c r="F169" s="64" t="s">
        <v>33</v>
      </c>
      <c r="G169" s="376">
        <v>2.58</v>
      </c>
      <c r="H169" s="393">
        <f>+IF(F169=0,0,IF(F169="MXN",1/HLOOKUP(YEAR(C169)+(MONTH(C169)/100),TC!$5:$37,DAY(C169)+2,FALSE),VLOOKUP(F169,Equivalencia!$3:$23,((MAX(Equivalencia!$3:$3)-YEAR(C169))*14)+MONTH(C169)+2,FALSE)))</f>
        <v>1</v>
      </c>
      <c r="I169" s="376">
        <f t="shared" si="14"/>
        <v>2.58</v>
      </c>
    </row>
    <row r="170" spans="2:9" s="92" customFormat="1" ht="23.1" customHeight="1">
      <c r="B170" s="14">
        <v>1427200</v>
      </c>
      <c r="C170" s="65">
        <v>44839</v>
      </c>
      <c r="D170" s="64" t="s">
        <v>149</v>
      </c>
      <c r="E170" s="66" t="s">
        <v>152</v>
      </c>
      <c r="F170" s="64" t="s">
        <v>33</v>
      </c>
      <c r="G170" s="376">
        <v>15.7</v>
      </c>
      <c r="H170" s="393">
        <f>+IF(F170=0,0,IF(F170="MXN",1/HLOOKUP(YEAR(C170)+(MONTH(C170)/100),TC!$5:$37,DAY(C170)+2,FALSE),VLOOKUP(F170,Equivalencia!$3:$23,((MAX(Equivalencia!$3:$3)-YEAR(C170))*14)+MONTH(C170)+2,FALSE)))</f>
        <v>1</v>
      </c>
      <c r="I170" s="376">
        <f t="shared" si="14"/>
        <v>15.7</v>
      </c>
    </row>
    <row r="171" spans="2:9" s="92" customFormat="1" ht="23.1" customHeight="1">
      <c r="B171" s="14">
        <v>1427200</v>
      </c>
      <c r="C171" s="65">
        <v>44841</v>
      </c>
      <c r="D171" s="64" t="s">
        <v>149</v>
      </c>
      <c r="E171" s="66" t="s">
        <v>180</v>
      </c>
      <c r="F171" s="64" t="s">
        <v>33</v>
      </c>
      <c r="G171" s="376">
        <v>33.76</v>
      </c>
      <c r="H171" s="393">
        <f>+IF(F171=0,0,IF(F171="MXN",1/HLOOKUP(YEAR(C171)+(MONTH(C171)/100),TC!$5:$37,DAY(C171)+2,FALSE),VLOOKUP(F171,Equivalencia!$3:$23,((MAX(Equivalencia!$3:$3)-YEAR(C171))*14)+MONTH(C171)+2,FALSE)))</f>
        <v>1</v>
      </c>
      <c r="I171" s="376">
        <f t="shared" si="14"/>
        <v>33.76</v>
      </c>
    </row>
    <row r="172" spans="2:9" s="92" customFormat="1" ht="23.1" customHeight="1">
      <c r="B172" s="14">
        <v>1427200</v>
      </c>
      <c r="C172" s="65">
        <v>44852</v>
      </c>
      <c r="D172" s="64" t="s">
        <v>149</v>
      </c>
      <c r="E172" s="66" t="s">
        <v>189</v>
      </c>
      <c r="F172" s="64" t="s">
        <v>33</v>
      </c>
      <c r="G172" s="376">
        <v>9.83</v>
      </c>
      <c r="H172" s="393">
        <f>+IF(F172=0,0,IF(F172="MXN",1/HLOOKUP(YEAR(C172)+(MONTH(C172)/100),TC!$5:$37,DAY(C172)+2,FALSE),VLOOKUP(F172,Equivalencia!$3:$23,((MAX(Equivalencia!$3:$3)-YEAR(C172))*14)+MONTH(C172)+2,FALSE)))</f>
        <v>1</v>
      </c>
      <c r="I172" s="376">
        <f t="shared" ref="I172" si="15">+G172*H172</f>
        <v>9.83</v>
      </c>
    </row>
    <row r="173" spans="2:9" s="92" customFormat="1" ht="23.1" customHeight="1">
      <c r="B173" s="14">
        <v>1427200</v>
      </c>
      <c r="C173" s="65">
        <v>44860</v>
      </c>
      <c r="D173" s="64" t="s">
        <v>149</v>
      </c>
      <c r="E173" s="66" t="s">
        <v>198</v>
      </c>
      <c r="F173" s="64" t="s">
        <v>33</v>
      </c>
      <c r="G173" s="376">
        <v>5.29</v>
      </c>
      <c r="H173" s="393">
        <f>+IF(F173=0,0,IF(F173="MXN",1/HLOOKUP(YEAR(C173)+(MONTH(C173)/100),TC!$5:$37,DAY(C173)+2,FALSE),VLOOKUP(F173,Equivalencia!$3:$23,((MAX(Equivalencia!$3:$3)-YEAR(C173))*14)+MONTH(C173)+2,FALSE)))</f>
        <v>1</v>
      </c>
      <c r="I173" s="376">
        <f t="shared" si="14"/>
        <v>5.29</v>
      </c>
    </row>
    <row r="174" spans="2:9" s="92" customFormat="1" ht="23.1" customHeight="1">
      <c r="B174" s="14">
        <v>1427200</v>
      </c>
      <c r="C174" s="65">
        <v>44861</v>
      </c>
      <c r="D174" s="64" t="s">
        <v>149</v>
      </c>
      <c r="E174" s="66" t="s">
        <v>197</v>
      </c>
      <c r="F174" s="64" t="s">
        <v>33</v>
      </c>
      <c r="G174" s="376">
        <v>5.4</v>
      </c>
      <c r="H174" s="393">
        <f>+IF(F174=0,0,IF(F174="MXN",1/HLOOKUP(YEAR(C174)+(MONTH(C174)/100),TC!$5:$37,DAY(C174)+2,FALSE),VLOOKUP(F174,Equivalencia!$3:$23,((MAX(Equivalencia!$3:$3)-YEAR(C174))*14)+MONTH(C174)+2,FALSE)))</f>
        <v>1</v>
      </c>
      <c r="I174" s="376">
        <f t="shared" si="14"/>
        <v>5.4</v>
      </c>
    </row>
    <row r="175" spans="2:9" s="92" customFormat="1" ht="23.1" customHeight="1">
      <c r="B175" s="14">
        <v>1427200</v>
      </c>
      <c r="C175" s="65">
        <v>44876</v>
      </c>
      <c r="D175" s="64" t="s">
        <v>149</v>
      </c>
      <c r="E175" s="66" t="s">
        <v>199</v>
      </c>
      <c r="F175" s="64" t="s">
        <v>33</v>
      </c>
      <c r="G175" s="376">
        <v>17.23</v>
      </c>
      <c r="H175" s="393">
        <f>+IF(F175=0,0,IF(F175="MXN",1/HLOOKUP(YEAR(C175)+(MONTH(C175)/100),TC!$5:$37,DAY(C175)+2,FALSE),VLOOKUP(F175,Equivalencia!$3:$23,((MAX(Equivalencia!$3:$3)-YEAR(C175))*14)+MONTH(C175)+2,FALSE)))</f>
        <v>1</v>
      </c>
      <c r="I175" s="376">
        <f t="shared" si="14"/>
        <v>17.23</v>
      </c>
    </row>
    <row r="176" spans="2:9" s="92" customFormat="1" ht="23.1" customHeight="1">
      <c r="B176" s="14">
        <v>1427200</v>
      </c>
      <c r="C176" s="65">
        <v>44897</v>
      </c>
      <c r="D176" s="64" t="s">
        <v>149</v>
      </c>
      <c r="E176" s="66" t="s">
        <v>200</v>
      </c>
      <c r="F176" s="64" t="s">
        <v>33</v>
      </c>
      <c r="G176" s="376">
        <v>30.24</v>
      </c>
      <c r="H176" s="393">
        <f>+IF(F176=0,0,IF(F176="MXN",1/HLOOKUP(YEAR(C176)+(MONTH(C176)/100),TC!$5:$37,DAY(C176)+2,FALSE),VLOOKUP(F176,Equivalencia!$3:$23,((MAX(Equivalencia!$3:$3)-YEAR(C176))*14)+MONTH(C176)+2,FALSE)))</f>
        <v>1</v>
      </c>
      <c r="I176" s="376">
        <f t="shared" si="14"/>
        <v>30.24</v>
      </c>
    </row>
    <row r="177" spans="2:9" s="92" customFormat="1" ht="23.1" customHeight="1">
      <c r="B177" s="14">
        <v>1427200</v>
      </c>
      <c r="C177" s="65">
        <v>44904</v>
      </c>
      <c r="D177" s="64" t="s">
        <v>149</v>
      </c>
      <c r="E177" s="66" t="s">
        <v>167</v>
      </c>
      <c r="F177" s="64" t="s">
        <v>33</v>
      </c>
      <c r="G177" s="376">
        <v>50.46</v>
      </c>
      <c r="H177" s="393">
        <f>+IF(F177=0,0,IF(F177="MXN",1/HLOOKUP(YEAR(C177)+(MONTH(C177)/100),TC!$5:$37,DAY(C177)+2,FALSE),VLOOKUP(F177,Equivalencia!$3:$23,((MAX(Equivalencia!$3:$3)-YEAR(C177))*14)+MONTH(C177)+2,FALSE)))</f>
        <v>1</v>
      </c>
      <c r="I177" s="376">
        <f t="shared" si="14"/>
        <v>50.46</v>
      </c>
    </row>
    <row r="178" spans="2:9" s="92" customFormat="1" ht="23.1" customHeight="1">
      <c r="B178" s="14">
        <v>1427200</v>
      </c>
      <c r="C178" s="65">
        <v>44910</v>
      </c>
      <c r="D178" s="64" t="s">
        <v>149</v>
      </c>
      <c r="E178" s="66" t="s">
        <v>201</v>
      </c>
      <c r="F178" s="64" t="s">
        <v>33</v>
      </c>
      <c r="G178" s="376">
        <v>23.41</v>
      </c>
      <c r="H178" s="393">
        <f>+IF(F178=0,0,IF(F178="MXN",1/HLOOKUP(YEAR(C178)+(MONTH(C178)/100),TC!$5:$37,DAY(C178)+2,FALSE),VLOOKUP(F178,Equivalencia!$3:$23,((MAX(Equivalencia!$3:$3)-YEAR(C178))*14)+MONTH(C178)+2,FALSE)))</f>
        <v>1</v>
      </c>
      <c r="I178" s="376">
        <f t="shared" si="14"/>
        <v>23.41</v>
      </c>
    </row>
    <row r="179" spans="2:9" s="92" customFormat="1" ht="23.1" customHeight="1">
      <c r="B179" s="14">
        <v>1427200</v>
      </c>
      <c r="C179" s="65">
        <v>44916</v>
      </c>
      <c r="D179" s="64" t="s">
        <v>149</v>
      </c>
      <c r="E179" s="66" t="s">
        <v>203</v>
      </c>
      <c r="F179" s="64" t="s">
        <v>33</v>
      </c>
      <c r="G179" s="376">
        <v>3.62</v>
      </c>
      <c r="H179" s="393">
        <f>+IF(F179=0,0,IF(F179="MXN",1/HLOOKUP(YEAR(C179)+(MONTH(C179)/100),TC!$5:$37,DAY(C179)+2,FALSE),VLOOKUP(F179,Equivalencia!$3:$23,((MAX(Equivalencia!$3:$3)-YEAR(C179))*14)+MONTH(C179)+2,FALSE)))</f>
        <v>1</v>
      </c>
      <c r="I179" s="376">
        <f t="shared" si="14"/>
        <v>3.62</v>
      </c>
    </row>
    <row r="180" spans="2:9" s="92" customFormat="1" ht="23.1" customHeight="1">
      <c r="B180" s="14">
        <v>1427200</v>
      </c>
      <c r="C180" s="65">
        <v>44917</v>
      </c>
      <c r="D180" s="64" t="s">
        <v>149</v>
      </c>
      <c r="E180" s="66" t="s">
        <v>202</v>
      </c>
      <c r="F180" s="64" t="s">
        <v>33</v>
      </c>
      <c r="G180" s="376">
        <v>2.58</v>
      </c>
      <c r="H180" s="393">
        <f>+IF(F180=0,0,IF(F180="MXN",1/HLOOKUP(YEAR(C180)+(MONTH(C180)/100),TC!$5:$37,DAY(C180)+2,FALSE),VLOOKUP(F180,Equivalencia!$3:$23,((MAX(Equivalencia!$3:$3)-YEAR(C180))*14)+MONTH(C180)+2,FALSE)))</f>
        <v>1</v>
      </c>
      <c r="I180" s="376">
        <f t="shared" si="14"/>
        <v>2.58</v>
      </c>
    </row>
    <row r="181" spans="2:9" s="92" customFormat="1" ht="23.1" customHeight="1">
      <c r="I181" s="93"/>
    </row>
    <row r="182" spans="2:9" ht="23.1" customHeight="1">
      <c r="B182" s="97" t="s">
        <v>204</v>
      </c>
      <c r="C182" s="97"/>
      <c r="D182" s="97"/>
      <c r="E182" s="97"/>
      <c r="F182" s="97"/>
      <c r="G182" s="378">
        <f>SUM(G7:G181)</f>
        <v>66099.999999999942</v>
      </c>
      <c r="H182" s="70"/>
      <c r="I182" s="378">
        <f>SUM(I7:I181)</f>
        <v>64884.460268999996</v>
      </c>
    </row>
    <row r="185" spans="2:9" s="124" customFormat="1" ht="30">
      <c r="G185" s="62" t="s">
        <v>205</v>
      </c>
      <c r="I185" s="62" t="s">
        <v>206</v>
      </c>
    </row>
    <row r="187" spans="2:9" ht="23.1" customHeight="1">
      <c r="C187" s="96"/>
      <c r="D187" s="96"/>
      <c r="E187" s="84" t="s">
        <v>207</v>
      </c>
      <c r="F187" s="85">
        <f>+Cuentas!B7</f>
        <v>1175000</v>
      </c>
      <c r="G187" s="386">
        <f t="shared" ref="G187:G204" si="16">+SUMIF($B$6:$B$855,F187,$G$6:$G$855)</f>
        <v>32993.169999999976</v>
      </c>
      <c r="H187" s="60"/>
      <c r="I187" s="386">
        <f t="shared" ref="I187:I204" si="17">+SUMIF($B$6:$B$855,F187,$I$6:$I$855)</f>
        <v>32993.169999999976</v>
      </c>
    </row>
    <row r="188" spans="2:9" ht="23.1" customHeight="1">
      <c r="C188" s="96"/>
      <c r="D188" s="96"/>
      <c r="E188" s="84" t="s">
        <v>207</v>
      </c>
      <c r="F188" s="85">
        <f>+Cuentas!B8</f>
        <v>1179000</v>
      </c>
      <c r="G188" s="386">
        <f t="shared" si="16"/>
        <v>32404.91</v>
      </c>
      <c r="H188" s="60"/>
      <c r="I188" s="386">
        <f t="shared" si="17"/>
        <v>31189.370269000003</v>
      </c>
    </row>
    <row r="189" spans="2:9" ht="23.1" customHeight="1">
      <c r="C189" s="96"/>
      <c r="D189" s="96"/>
      <c r="E189" s="84" t="s">
        <v>207</v>
      </c>
      <c r="F189" s="85">
        <f>+Cuentas!B9</f>
        <v>1427200</v>
      </c>
      <c r="G189" s="386">
        <f t="shared" si="16"/>
        <v>701.92000000000007</v>
      </c>
      <c r="H189" s="60"/>
      <c r="I189" s="386">
        <f t="shared" si="17"/>
        <v>701.92000000000007</v>
      </c>
    </row>
    <row r="190" spans="2:9" ht="23.1" customHeight="1">
      <c r="C190" s="96"/>
      <c r="D190" s="96"/>
      <c r="E190" s="84" t="s">
        <v>207</v>
      </c>
      <c r="F190" s="85" t="str">
        <f>+Cuentas!B10</f>
        <v>B22235000</v>
      </c>
      <c r="G190" s="386">
        <f t="shared" si="16"/>
        <v>0</v>
      </c>
      <c r="H190" s="60"/>
      <c r="I190" s="386">
        <f t="shared" si="17"/>
        <v>0</v>
      </c>
    </row>
    <row r="191" spans="2:9" ht="23.1" hidden="1" customHeight="1">
      <c r="C191" s="96"/>
      <c r="D191" s="96"/>
      <c r="E191" s="84" t="s">
        <v>207</v>
      </c>
      <c r="F191" s="85">
        <f>+Cuentas!B11</f>
        <v>700833580</v>
      </c>
      <c r="G191" s="386">
        <f t="shared" si="16"/>
        <v>0</v>
      </c>
      <c r="H191" s="60"/>
      <c r="I191" s="386">
        <f t="shared" si="17"/>
        <v>0</v>
      </c>
    </row>
    <row r="192" spans="2:9" ht="23.1" hidden="1" customHeight="1">
      <c r="C192" s="96"/>
      <c r="D192" s="96"/>
      <c r="E192" s="84" t="s">
        <v>207</v>
      </c>
      <c r="F192" s="85" t="str">
        <f>+Cuentas!B12</f>
        <v>F</v>
      </c>
      <c r="G192" s="386">
        <f t="shared" si="16"/>
        <v>0</v>
      </c>
      <c r="H192" s="60"/>
      <c r="I192" s="386">
        <f t="shared" si="17"/>
        <v>0</v>
      </c>
    </row>
    <row r="193" spans="3:11" ht="23.1" hidden="1" customHeight="1">
      <c r="C193" s="96"/>
      <c r="D193" s="96"/>
      <c r="E193" s="84" t="s">
        <v>207</v>
      </c>
      <c r="F193" s="85" t="str">
        <f>+Cuentas!B13</f>
        <v>G</v>
      </c>
      <c r="G193" s="386">
        <f t="shared" si="16"/>
        <v>0</v>
      </c>
      <c r="H193" s="60"/>
      <c r="I193" s="386">
        <f t="shared" si="17"/>
        <v>0</v>
      </c>
    </row>
    <row r="194" spans="3:11" ht="23.1" hidden="1" customHeight="1">
      <c r="C194" s="96"/>
      <c r="D194" s="96"/>
      <c r="E194" s="84" t="s">
        <v>207</v>
      </c>
      <c r="F194" s="85" t="str">
        <f>+Cuentas!B14</f>
        <v>H</v>
      </c>
      <c r="G194" s="386">
        <f t="shared" si="16"/>
        <v>0</v>
      </c>
      <c r="H194" s="60"/>
      <c r="I194" s="386">
        <f t="shared" si="17"/>
        <v>0</v>
      </c>
    </row>
    <row r="195" spans="3:11" ht="23.1" hidden="1" customHeight="1">
      <c r="C195" s="96"/>
      <c r="D195" s="96"/>
      <c r="E195" s="84" t="s">
        <v>207</v>
      </c>
      <c r="F195" s="85" t="str">
        <f>+Cuentas!B15</f>
        <v>I</v>
      </c>
      <c r="G195" s="386">
        <f t="shared" si="16"/>
        <v>0</v>
      </c>
      <c r="H195" s="60"/>
      <c r="I195" s="386">
        <f t="shared" si="17"/>
        <v>0</v>
      </c>
    </row>
    <row r="196" spans="3:11" ht="23.1" hidden="1" customHeight="1">
      <c r="C196" s="96"/>
      <c r="D196" s="96"/>
      <c r="E196" s="84" t="s">
        <v>207</v>
      </c>
      <c r="F196" s="85" t="str">
        <f>+Cuentas!B16</f>
        <v>J</v>
      </c>
      <c r="G196" s="386">
        <f t="shared" si="16"/>
        <v>0</v>
      </c>
      <c r="H196" s="60"/>
      <c r="I196" s="386">
        <f t="shared" si="17"/>
        <v>0</v>
      </c>
    </row>
    <row r="197" spans="3:11" ht="23.1" hidden="1" customHeight="1">
      <c r="C197" s="96"/>
      <c r="D197" s="96"/>
      <c r="E197" s="84" t="s">
        <v>207</v>
      </c>
      <c r="F197" s="85" t="str">
        <f>+Cuentas!B17</f>
        <v>K</v>
      </c>
      <c r="G197" s="386">
        <f t="shared" si="16"/>
        <v>0</v>
      </c>
      <c r="H197" s="60"/>
      <c r="I197" s="386">
        <f t="shared" si="17"/>
        <v>0</v>
      </c>
    </row>
    <row r="198" spans="3:11" ht="23.1" hidden="1" customHeight="1">
      <c r="C198" s="96"/>
      <c r="D198" s="96"/>
      <c r="E198" s="84" t="s">
        <v>207</v>
      </c>
      <c r="F198" s="85" t="str">
        <f>+Cuentas!B18</f>
        <v>L</v>
      </c>
      <c r="G198" s="386">
        <f t="shared" si="16"/>
        <v>0</v>
      </c>
      <c r="H198" s="60"/>
      <c r="I198" s="386">
        <f t="shared" si="17"/>
        <v>0</v>
      </c>
    </row>
    <row r="199" spans="3:11" ht="23.1" hidden="1" customHeight="1">
      <c r="C199" s="96"/>
      <c r="D199" s="96"/>
      <c r="E199" s="84" t="s">
        <v>207</v>
      </c>
      <c r="F199" s="85" t="str">
        <f>+Cuentas!B19</f>
        <v>M</v>
      </c>
      <c r="G199" s="386">
        <f t="shared" si="16"/>
        <v>0</v>
      </c>
      <c r="H199" s="60"/>
      <c r="I199" s="386">
        <f t="shared" si="17"/>
        <v>0</v>
      </c>
    </row>
    <row r="200" spans="3:11" ht="23.1" hidden="1" customHeight="1">
      <c r="C200" s="96"/>
      <c r="D200" s="96"/>
      <c r="E200" s="84" t="s">
        <v>207</v>
      </c>
      <c r="F200" s="85" t="str">
        <f>+Cuentas!B20</f>
        <v>N</v>
      </c>
      <c r="G200" s="386">
        <f t="shared" si="16"/>
        <v>0</v>
      </c>
      <c r="H200" s="60"/>
      <c r="I200" s="386">
        <f t="shared" si="17"/>
        <v>0</v>
      </c>
    </row>
    <row r="201" spans="3:11" ht="23.1" hidden="1" customHeight="1">
      <c r="C201" s="96"/>
      <c r="D201" s="96"/>
      <c r="E201" s="84" t="s">
        <v>207</v>
      </c>
      <c r="F201" s="85" t="str">
        <f>+Cuentas!B21</f>
        <v>O</v>
      </c>
      <c r="G201" s="386">
        <f t="shared" si="16"/>
        <v>0</v>
      </c>
      <c r="H201" s="60"/>
      <c r="I201" s="386">
        <f t="shared" si="17"/>
        <v>0</v>
      </c>
    </row>
    <row r="202" spans="3:11" ht="23.1" hidden="1" customHeight="1">
      <c r="C202" s="96"/>
      <c r="D202" s="96"/>
      <c r="E202" s="84" t="s">
        <v>207</v>
      </c>
      <c r="F202" s="85" t="str">
        <f>+Cuentas!B22</f>
        <v>P</v>
      </c>
      <c r="G202" s="386">
        <f t="shared" si="16"/>
        <v>0</v>
      </c>
      <c r="H202" s="60"/>
      <c r="I202" s="386">
        <f t="shared" si="17"/>
        <v>0</v>
      </c>
    </row>
    <row r="203" spans="3:11" ht="23.1" hidden="1" customHeight="1">
      <c r="C203" s="96"/>
      <c r="D203" s="96"/>
      <c r="E203" s="84" t="s">
        <v>207</v>
      </c>
      <c r="F203" s="85" t="str">
        <f>+Cuentas!B23</f>
        <v>Q</v>
      </c>
      <c r="G203" s="386">
        <f t="shared" si="16"/>
        <v>0</v>
      </c>
      <c r="H203" s="60"/>
      <c r="I203" s="386">
        <f t="shared" si="17"/>
        <v>0</v>
      </c>
    </row>
    <row r="204" spans="3:11" ht="23.1" hidden="1" customHeight="1">
      <c r="C204" s="96"/>
      <c r="D204" s="96"/>
      <c r="E204" s="84" t="s">
        <v>207</v>
      </c>
      <c r="F204" s="85" t="str">
        <f>+Cuentas!B24</f>
        <v>R</v>
      </c>
      <c r="G204" s="386">
        <f t="shared" si="16"/>
        <v>0</v>
      </c>
      <c r="H204" s="60"/>
      <c r="I204" s="386">
        <f t="shared" si="17"/>
        <v>0</v>
      </c>
    </row>
    <row r="205" spans="3:11" ht="23.1" customHeight="1">
      <c r="G205" s="387"/>
      <c r="H205" s="5"/>
      <c r="I205" s="387"/>
      <c r="J205" s="98"/>
      <c r="K205" s="578"/>
    </row>
    <row r="206" spans="3:11" ht="23.1" customHeight="1">
      <c r="F206" s="86" t="s">
        <v>119</v>
      </c>
      <c r="G206" s="388">
        <f>SUM(G186:G205)</f>
        <v>66099.999999999971</v>
      </c>
      <c r="H206" s="73"/>
      <c r="I206" s="388">
        <f>SUM(I186:I205)</f>
        <v>64884.460268999974</v>
      </c>
      <c r="J206" s="98"/>
      <c r="K206" s="578"/>
    </row>
    <row r="207" spans="3:11" ht="23.1" customHeight="1">
      <c r="J207" s="98"/>
      <c r="K207" s="578"/>
    </row>
    <row r="208" spans="3:11" ht="23.1" customHeight="1">
      <c r="J208" s="98"/>
      <c r="K208" s="578"/>
    </row>
    <row r="209" spans="2:11" ht="23.1" customHeight="1">
      <c r="B209" s="94" t="s">
        <v>26</v>
      </c>
      <c r="D209" s="94"/>
      <c r="J209" s="98"/>
      <c r="K209" s="578"/>
    </row>
    <row r="210" spans="2:11" ht="23.1" customHeight="1">
      <c r="B210" s="92"/>
      <c r="C210" s="92"/>
      <c r="D210" s="92"/>
      <c r="E210" s="92"/>
      <c r="F210" s="92"/>
      <c r="G210" s="92"/>
      <c r="H210" s="92"/>
      <c r="I210" s="92"/>
      <c r="J210" s="98"/>
      <c r="K210" s="578"/>
    </row>
    <row r="211" spans="2:11" ht="23.1" customHeight="1">
      <c r="B211" s="92"/>
      <c r="C211" s="92"/>
      <c r="D211" s="92"/>
      <c r="E211" s="92"/>
      <c r="F211" s="92"/>
      <c r="G211" s="92"/>
      <c r="H211" s="92"/>
      <c r="I211" s="92"/>
      <c r="J211" s="98"/>
      <c r="K211" s="578"/>
    </row>
    <row r="212" spans="2:11" ht="23.1" customHeight="1">
      <c r="B212" s="92"/>
      <c r="C212" s="92"/>
      <c r="D212" s="92"/>
      <c r="E212" s="92"/>
      <c r="F212" s="92"/>
      <c r="G212" s="92"/>
      <c r="H212" s="92"/>
      <c r="I212" s="92"/>
      <c r="J212" s="98"/>
      <c r="K212" s="578"/>
    </row>
    <row r="213" spans="2:11" ht="23.1" customHeight="1">
      <c r="B213" s="92"/>
      <c r="C213" s="92"/>
      <c r="D213" s="92"/>
      <c r="E213" s="92"/>
      <c r="F213" s="92"/>
      <c r="G213" s="92"/>
      <c r="H213" s="92"/>
      <c r="I213" s="92"/>
    </row>
    <row r="214" spans="2:11" ht="23.1" customHeight="1">
      <c r="B214" s="92"/>
      <c r="C214" s="92"/>
      <c r="D214" s="92"/>
      <c r="E214" s="92"/>
      <c r="F214" s="92"/>
      <c r="G214" s="92"/>
      <c r="H214" s="92"/>
      <c r="I214" s="92"/>
    </row>
    <row r="215" spans="2:11" ht="23.1" customHeight="1">
      <c r="B215" s="92"/>
      <c r="C215" s="92"/>
      <c r="D215" s="92"/>
      <c r="E215" s="92"/>
      <c r="F215" s="92"/>
      <c r="G215" s="92"/>
      <c r="H215" s="92"/>
      <c r="I215" s="92"/>
    </row>
    <row r="216" spans="2:11" ht="23.1" customHeight="1">
      <c r="B216" s="92"/>
      <c r="C216" s="92"/>
      <c r="D216" s="92"/>
      <c r="E216" s="92"/>
      <c r="F216" s="92"/>
      <c r="G216" s="92"/>
      <c r="H216" s="92"/>
      <c r="I216" s="92"/>
    </row>
    <row r="217" spans="2:11" ht="23.1" customHeight="1">
      <c r="B217" s="92"/>
      <c r="C217" s="92"/>
      <c r="D217" s="92"/>
      <c r="E217" s="92"/>
      <c r="F217" s="92"/>
      <c r="G217" s="92"/>
      <c r="H217" s="92"/>
      <c r="I217" s="92"/>
    </row>
    <row r="218" spans="2:11" ht="23.1" customHeight="1">
      <c r="B218" s="92"/>
      <c r="C218" s="92"/>
      <c r="D218" s="92"/>
      <c r="E218" s="92"/>
      <c r="F218" s="92"/>
      <c r="G218" s="92"/>
      <c r="H218" s="92"/>
      <c r="I218" s="92"/>
    </row>
    <row r="219" spans="2:11" ht="23.1" customHeight="1">
      <c r="B219" s="92"/>
      <c r="C219" s="92"/>
      <c r="D219" s="92"/>
      <c r="E219" s="92"/>
      <c r="F219" s="92"/>
      <c r="G219" s="92"/>
      <c r="H219" s="92"/>
      <c r="I219" s="92"/>
    </row>
    <row r="220" spans="2:11" ht="23.1" customHeight="1">
      <c r="B220" s="92"/>
      <c r="C220" s="92"/>
      <c r="D220" s="92"/>
      <c r="E220" s="92"/>
      <c r="F220" s="92"/>
      <c r="G220" s="92"/>
      <c r="H220" s="92"/>
      <c r="I220" s="92"/>
    </row>
    <row r="221" spans="2:11" ht="23.1" customHeight="1">
      <c r="B221" s="92"/>
      <c r="C221" s="92"/>
      <c r="D221" s="92"/>
      <c r="E221" s="92"/>
      <c r="F221" s="92"/>
      <c r="G221" s="92"/>
      <c r="H221" s="92"/>
      <c r="I221" s="92"/>
    </row>
    <row r="222" spans="2:11" ht="23.1" customHeight="1">
      <c r="B222" s="92"/>
      <c r="C222" s="92"/>
      <c r="D222" s="92"/>
      <c r="E222" s="92"/>
      <c r="F222" s="92"/>
      <c r="G222" s="92"/>
      <c r="H222" s="92"/>
      <c r="I222" s="92"/>
    </row>
    <row r="223" spans="2:11" ht="23.1" customHeight="1">
      <c r="B223" s="92"/>
      <c r="C223" s="92"/>
      <c r="D223" s="92"/>
      <c r="E223" s="92"/>
      <c r="F223" s="92"/>
      <c r="G223" s="92"/>
      <c r="H223" s="92"/>
      <c r="I223" s="92"/>
    </row>
    <row r="224" spans="2:11" ht="23.1" customHeight="1">
      <c r="B224" s="92"/>
      <c r="C224" s="92"/>
      <c r="D224" s="92"/>
      <c r="E224" s="92"/>
      <c r="F224" s="92"/>
      <c r="G224" s="92"/>
      <c r="H224" s="92"/>
      <c r="I224" s="92"/>
    </row>
    <row r="225" spans="2:9" ht="23.1" customHeight="1">
      <c r="B225" s="92"/>
      <c r="C225" s="92"/>
      <c r="D225" s="92"/>
      <c r="E225" s="92"/>
      <c r="F225" s="92"/>
      <c r="G225" s="92"/>
      <c r="H225" s="92"/>
      <c r="I225" s="92"/>
    </row>
    <row r="226" spans="2:9" ht="23.1" customHeight="1">
      <c r="B226" s="92"/>
      <c r="C226" s="92"/>
      <c r="D226" s="92"/>
      <c r="E226" s="92"/>
      <c r="F226" s="92"/>
      <c r="G226" s="92"/>
      <c r="H226" s="92"/>
      <c r="I226" s="92"/>
    </row>
    <row r="227" spans="2:9" ht="23.1" customHeight="1">
      <c r="B227" s="92"/>
      <c r="C227" s="92"/>
      <c r="D227" s="92"/>
      <c r="E227" s="92"/>
      <c r="F227" s="92"/>
      <c r="G227" s="92"/>
      <c r="H227" s="92"/>
      <c r="I227" s="92"/>
    </row>
    <row r="228" spans="2:9" ht="23.1" customHeight="1">
      <c r="B228" s="92"/>
      <c r="C228" s="92"/>
      <c r="D228" s="92"/>
      <c r="E228" s="92"/>
      <c r="F228" s="92"/>
      <c r="G228" s="92"/>
      <c r="H228" s="92"/>
      <c r="I228" s="92"/>
    </row>
    <row r="229" spans="2:9" ht="23.1" customHeight="1">
      <c r="B229" s="92"/>
      <c r="C229" s="92"/>
      <c r="D229" s="92"/>
      <c r="E229" s="92"/>
      <c r="F229" s="92"/>
      <c r="G229" s="92"/>
      <c r="H229" s="92"/>
      <c r="I229" s="92"/>
    </row>
    <row r="230" spans="2:9" ht="23.1" customHeight="1">
      <c r="B230" s="92"/>
      <c r="C230" s="92"/>
      <c r="D230" s="92"/>
      <c r="E230" s="92"/>
      <c r="F230" s="92"/>
      <c r="G230" s="92"/>
      <c r="H230" s="92"/>
      <c r="I230" s="92"/>
    </row>
    <row r="231" spans="2:9" ht="23.1" customHeight="1">
      <c r="B231" s="92"/>
      <c r="C231" s="92"/>
      <c r="D231" s="92"/>
      <c r="E231" s="92"/>
      <c r="F231" s="92"/>
      <c r="G231" s="92"/>
      <c r="H231" s="92"/>
      <c r="I231" s="92"/>
    </row>
    <row r="232" spans="2:9" ht="23.1" customHeight="1">
      <c r="B232" s="92"/>
      <c r="C232" s="92"/>
      <c r="D232" s="92"/>
      <c r="E232" s="92"/>
      <c r="F232" s="92"/>
      <c r="G232" s="92"/>
      <c r="H232" s="92"/>
      <c r="I232" s="92"/>
    </row>
    <row r="233" spans="2:9" ht="23.1" customHeight="1">
      <c r="B233" s="92"/>
      <c r="C233" s="92"/>
      <c r="D233" s="92"/>
      <c r="E233" s="92"/>
      <c r="F233" s="92"/>
      <c r="G233" s="92"/>
      <c r="H233" s="92"/>
      <c r="I233" s="92"/>
    </row>
    <row r="234" spans="2:9" ht="23.1" customHeight="1">
      <c r="B234" s="92"/>
      <c r="C234" s="92"/>
      <c r="D234" s="92"/>
      <c r="E234" s="92"/>
      <c r="F234" s="92"/>
      <c r="G234" s="92"/>
      <c r="H234" s="92"/>
      <c r="I234" s="92"/>
    </row>
    <row r="235" spans="2:9" ht="23.1" customHeight="1">
      <c r="B235" s="92"/>
      <c r="C235" s="92"/>
      <c r="D235" s="92"/>
      <c r="E235" s="92"/>
      <c r="F235" s="92"/>
      <c r="G235" s="92"/>
      <c r="H235" s="92"/>
      <c r="I235" s="92"/>
    </row>
    <row r="236" spans="2:9" ht="23.1" customHeight="1">
      <c r="B236" s="92"/>
      <c r="C236" s="92"/>
      <c r="D236" s="92"/>
      <c r="E236" s="92"/>
      <c r="F236" s="92"/>
      <c r="G236" s="92"/>
      <c r="H236" s="92"/>
      <c r="I236" s="92"/>
    </row>
    <row r="237" spans="2:9" ht="23.1" customHeight="1">
      <c r="B237" s="92"/>
      <c r="C237" s="92"/>
      <c r="D237" s="92"/>
      <c r="E237" s="92"/>
      <c r="F237" s="92"/>
      <c r="G237" s="92"/>
      <c r="H237" s="92"/>
      <c r="I237" s="92"/>
    </row>
    <row r="238" spans="2:9" ht="23.1" customHeight="1">
      <c r="B238" s="92"/>
      <c r="C238" s="92"/>
      <c r="D238" s="92"/>
      <c r="E238" s="92"/>
      <c r="F238" s="92"/>
      <c r="G238" s="92"/>
      <c r="H238" s="92"/>
      <c r="I238" s="92"/>
    </row>
    <row r="239" spans="2:9" ht="23.1" customHeight="1">
      <c r="B239" s="92"/>
      <c r="C239" s="92"/>
      <c r="D239" s="92"/>
      <c r="E239" s="92"/>
      <c r="F239" s="92"/>
      <c r="G239" s="92"/>
      <c r="H239" s="92"/>
      <c r="I239" s="92"/>
    </row>
    <row r="240" spans="2:9" ht="23.1" customHeight="1">
      <c r="B240" s="92"/>
      <c r="C240" s="92"/>
      <c r="D240" s="92"/>
      <c r="E240" s="92"/>
      <c r="F240" s="92"/>
      <c r="G240" s="92"/>
      <c r="H240" s="92"/>
      <c r="I240" s="92"/>
    </row>
    <row r="241" spans="2:9" ht="23.1" customHeight="1">
      <c r="B241" s="92"/>
      <c r="C241" s="92"/>
      <c r="D241" s="92"/>
      <c r="E241" s="92"/>
      <c r="F241" s="92"/>
      <c r="G241" s="92"/>
      <c r="H241" s="92"/>
      <c r="I241" s="92"/>
    </row>
  </sheetData>
  <sheetProtection algorithmName="SHA-512" hashValue="xfRHOz3bSvd3yKcGC58JJ2tcQG/QQ3gKuscVowXcku9Q+HfLo8r7a7OiEnl1ih0vm8o5slqrlqOrkP3j4Fcn9Q==" saltValue="V/6kdScUFLZnGoLI/eosfg==" spinCount="100000" sheet="1" formatCells="0" formatColumns="0" formatRows="0" insertColumns="0" insertRows="0" deleteColumns="0" deleteRows="0" sort="0" autoFilter="0"/>
  <autoFilter ref="B6:I182" xr:uid="{309E86D5-3CF2-2C48-B674-B55D60C99E15}"/>
  <mergeCells count="1">
    <mergeCell ref="B2:I2"/>
  </mergeCells>
  <phoneticPr fontId="9" type="noConversion"/>
  <dataValidations count="1">
    <dataValidation type="list" allowBlank="1" showInputMessage="1" showErrorMessage="1" prompt="Selecciona una opcion" sqref="D8:D180" xr:uid="{5BAED1A9-FC23-9147-9149-1033130EC29F}">
      <formula1>$Q$2:$Q$15</formula1>
    </dataValidation>
  </dataValidations>
  <printOptions horizontalCentered="1"/>
  <pageMargins left="0.70866141732283505" right="0.70866141732283505" top="0.74803149606299202" bottom="0.74803149606299202" header="0.31496062992126" footer="0.31496062992126"/>
  <pageSetup scale="34"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994FEB4A-4512-0F41-B2AC-5D9A8BCB7490}">
          <x14:formula1>
            <xm:f>Equivalencia!$A$4:$A$23</xm:f>
          </x14:formula1>
          <xm:sqref>F8:F180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9CC9D-A9BF-594F-A557-C197E02A0600}">
  <sheetPr>
    <pageSetUpPr fitToPage="1"/>
  </sheetPr>
  <dimension ref="B2:J86"/>
  <sheetViews>
    <sheetView view="pageBreakPreview" zoomScale="110" zoomScaleNormal="80" zoomScaleSheetLayoutView="110" workbookViewId="0">
      <pane ySplit="6" topLeftCell="A7" activePane="bottomLeft" state="frozen"/>
      <selection pane="bottomLeft" activeCell="C5" sqref="C5"/>
    </sheetView>
  </sheetViews>
  <sheetFormatPr defaultColWidth="10.6640625" defaultRowHeight="23.1" customHeight="1"/>
  <cols>
    <col min="1" max="1" width="9.6640625" style="91" customWidth="1"/>
    <col min="2" max="2" width="18.88671875" style="91" customWidth="1"/>
    <col min="3" max="3" width="16.88671875" style="91" customWidth="1"/>
    <col min="4" max="4" width="47.6640625" style="91" customWidth="1"/>
    <col min="5" max="5" width="17.6640625" style="91" customWidth="1"/>
    <col min="6" max="6" width="22.5546875" style="91" customWidth="1"/>
    <col min="7" max="7" width="15.109375" style="91" customWidth="1"/>
    <col min="8" max="8" width="22" style="91" customWidth="1"/>
    <col min="9" max="16384" width="10.6640625" style="91"/>
  </cols>
  <sheetData>
    <row r="2" spans="2:9" ht="45.95" customHeight="1">
      <c r="B2" s="589" t="s">
        <v>208</v>
      </c>
      <c r="C2" s="589"/>
      <c r="D2" s="589"/>
      <c r="E2" s="589"/>
      <c r="F2" s="589"/>
      <c r="G2" s="589"/>
      <c r="H2" s="589"/>
    </row>
    <row r="3" spans="2:9" ht="23.1" customHeight="1">
      <c r="B3" s="588" t="s">
        <v>209</v>
      </c>
      <c r="C3" s="588"/>
      <c r="D3" s="588"/>
      <c r="E3" s="588"/>
      <c r="F3" s="588"/>
      <c r="G3" s="588"/>
      <c r="H3" s="588"/>
    </row>
    <row r="4" spans="2:9" ht="14.1" customHeight="1">
      <c r="B4" s="79" t="s">
        <v>41</v>
      </c>
      <c r="C4" s="79" t="s">
        <v>42</v>
      </c>
      <c r="D4" s="79"/>
      <c r="E4" s="80"/>
      <c r="F4" s="79"/>
      <c r="G4" s="81"/>
      <c r="H4" s="81"/>
      <c r="I4" s="78"/>
    </row>
    <row r="5" spans="2:9" ht="23.1" customHeight="1">
      <c r="B5" s="199"/>
      <c r="C5" s="199"/>
      <c r="D5" s="199"/>
      <c r="E5" s="199"/>
      <c r="F5" s="199"/>
      <c r="G5" s="199"/>
      <c r="H5" s="199"/>
    </row>
    <row r="6" spans="2:9" s="62" customFormat="1" ht="30">
      <c r="B6" s="62" t="s">
        <v>103</v>
      </c>
      <c r="C6" s="62" t="s">
        <v>29</v>
      </c>
      <c r="D6" s="62" t="s">
        <v>134</v>
      </c>
      <c r="E6" s="62" t="s">
        <v>106</v>
      </c>
      <c r="F6" s="62" t="s">
        <v>210</v>
      </c>
      <c r="G6" s="62" t="s">
        <v>108</v>
      </c>
      <c r="H6" s="62" t="s">
        <v>211</v>
      </c>
    </row>
    <row r="7" spans="2:9" ht="23.1" customHeight="1">
      <c r="B7" s="92"/>
      <c r="C7" s="92"/>
      <c r="D7" s="92"/>
      <c r="E7" s="92"/>
      <c r="F7" s="92"/>
      <c r="G7" s="92"/>
      <c r="H7" s="92"/>
    </row>
    <row r="8" spans="2:9" s="92" customFormat="1" ht="23.1" customHeight="1">
      <c r="B8" s="64" t="s">
        <v>125</v>
      </c>
      <c r="C8" s="65"/>
      <c r="D8" s="66"/>
      <c r="E8" s="64"/>
      <c r="F8" s="376"/>
      <c r="G8" s="393">
        <f>+IF(E8=0,0,IF(E8="MXN",1/HLOOKUP(YEAR(C8)+(MONTH(C8)/100),TC!$5:$37,DAY(C8)+2,FALSE),VLOOKUP(E8,Equivalencia!$3:$23,((MAX(Equivalencia!$3:$3)-YEAR(C8))*14)+MONTH(C8)+2,FALSE)))</f>
        <v>0</v>
      </c>
      <c r="H8" s="376">
        <f t="shared" ref="H8:H25" si="0">+F8*G8</f>
        <v>0</v>
      </c>
    </row>
    <row r="9" spans="2:9" s="92" customFormat="1" ht="23.1" customHeight="1">
      <c r="B9" s="64" t="s">
        <v>126</v>
      </c>
      <c r="C9" s="65"/>
      <c r="D9" s="66"/>
      <c r="E9" s="64"/>
      <c r="F9" s="376"/>
      <c r="G9" s="393">
        <f>+IF(E9=0,0,IF(E9="MXN",1/HLOOKUP(YEAR(C9)+(MONTH(C9)/100),TC!$5:$37,DAY(C9)+2,FALSE),VLOOKUP(E9,Equivalencia!$3:$23,((MAX(Equivalencia!$3:$3)-YEAR(C9))*14)+MONTH(C9)+2,FALSE)))</f>
        <v>0</v>
      </c>
      <c r="H9" s="376">
        <f t="shared" si="0"/>
        <v>0</v>
      </c>
    </row>
    <row r="10" spans="2:9" s="92" customFormat="1" ht="23.1" customHeight="1">
      <c r="B10" s="64" t="s">
        <v>127</v>
      </c>
      <c r="C10" s="65"/>
      <c r="D10" s="66"/>
      <c r="E10" s="64"/>
      <c r="F10" s="376"/>
      <c r="G10" s="393">
        <f>+IF(E10=0,0,IF(E10="MXN",1/HLOOKUP(YEAR(C10)+(MONTH(C10)/100),TC!$5:$37,DAY(C10)+2,FALSE),VLOOKUP(E10,Equivalencia!$3:$23,((MAX(Equivalencia!$3:$3)-YEAR(C10))*14)+MONTH(C10)+2,FALSE)))</f>
        <v>0</v>
      </c>
      <c r="H10" s="376">
        <f t="shared" si="0"/>
        <v>0</v>
      </c>
    </row>
    <row r="11" spans="2:9" s="92" customFormat="1" ht="23.1" customHeight="1">
      <c r="B11" s="64" t="s">
        <v>128</v>
      </c>
      <c r="C11" s="65"/>
      <c r="D11" s="66"/>
      <c r="E11" s="64"/>
      <c r="F11" s="376"/>
      <c r="G11" s="393">
        <f>+IF(E11=0,0,IF(E11="MXN",1/HLOOKUP(YEAR(C11)+(MONTH(C11)/100),TC!$5:$37,DAY(C11)+2,FALSE),VLOOKUP(E11,Equivalencia!$3:$23,((MAX(Equivalencia!$3:$3)-YEAR(C11))*14)+MONTH(C11)+2,FALSE)))</f>
        <v>0</v>
      </c>
      <c r="H11" s="376">
        <f t="shared" si="0"/>
        <v>0</v>
      </c>
    </row>
    <row r="12" spans="2:9" s="92" customFormat="1" ht="23.1" customHeight="1">
      <c r="B12" s="64" t="s">
        <v>129</v>
      </c>
      <c r="C12" s="65"/>
      <c r="D12" s="66"/>
      <c r="E12" s="64"/>
      <c r="F12" s="376"/>
      <c r="G12" s="393">
        <f>+IF(E12=0,0,IF(E12="MXN",1/HLOOKUP(YEAR(C12)+(MONTH(C12)/100),TC!$5:$37,DAY(C12)+2,FALSE),VLOOKUP(E12,Equivalencia!$3:$23,((MAX(Equivalencia!$3:$3)-YEAR(C12))*14)+MONTH(C12)+2,FALSE)))</f>
        <v>0</v>
      </c>
      <c r="H12" s="376">
        <f t="shared" si="0"/>
        <v>0</v>
      </c>
    </row>
    <row r="13" spans="2:9" s="92" customFormat="1" ht="23.1" customHeight="1">
      <c r="B13" s="64" t="s">
        <v>13</v>
      </c>
      <c r="C13" s="65"/>
      <c r="D13" s="66"/>
      <c r="E13" s="64"/>
      <c r="F13" s="376"/>
      <c r="G13" s="393">
        <f>+IF(E13=0,0,IF(E13="MXN",1/HLOOKUP(YEAR(C13)+(MONTH(C13)/100),TC!$5:$37,DAY(C13)+2,FALSE),VLOOKUP(E13,Equivalencia!$3:$23,((MAX(Equivalencia!$3:$3)-YEAR(C13))*14)+MONTH(C13)+2,FALSE)))</f>
        <v>0</v>
      </c>
      <c r="H13" s="376">
        <f t="shared" si="0"/>
        <v>0</v>
      </c>
    </row>
    <row r="14" spans="2:9" s="92" customFormat="1" ht="23.1" customHeight="1">
      <c r="B14" s="64" t="s">
        <v>14</v>
      </c>
      <c r="C14" s="65"/>
      <c r="D14" s="66"/>
      <c r="E14" s="64"/>
      <c r="F14" s="376"/>
      <c r="G14" s="393">
        <f>+IF(E14=0,0,IF(E14="MXN",1/HLOOKUP(YEAR(C14)+(MONTH(C14)/100),TC!$5:$37,DAY(C14)+2,FALSE),VLOOKUP(E14,Equivalencia!$3:$23,((MAX(Equivalencia!$3:$3)-YEAR(C14))*14)+MONTH(C14)+2,FALSE)))</f>
        <v>0</v>
      </c>
      <c r="H14" s="376">
        <f t="shared" si="0"/>
        <v>0</v>
      </c>
    </row>
    <row r="15" spans="2:9" s="92" customFormat="1" ht="23.1" customHeight="1">
      <c r="B15" s="64" t="s">
        <v>15</v>
      </c>
      <c r="C15" s="65"/>
      <c r="D15" s="66"/>
      <c r="E15" s="64"/>
      <c r="F15" s="376"/>
      <c r="G15" s="393">
        <f>+IF(E15=0,0,IF(E15="MXN",1/HLOOKUP(YEAR(C15)+(MONTH(C15)/100),TC!$5:$37,DAY(C15)+2,FALSE),VLOOKUP(E15,Equivalencia!$3:$23,((MAX(Equivalencia!$3:$3)-YEAR(C15))*14)+MONTH(C15)+2,FALSE)))</f>
        <v>0</v>
      </c>
      <c r="H15" s="376">
        <f t="shared" si="0"/>
        <v>0</v>
      </c>
    </row>
    <row r="16" spans="2:9" s="92" customFormat="1" ht="23.1" customHeight="1">
      <c r="B16" s="64" t="s">
        <v>16</v>
      </c>
      <c r="C16" s="65"/>
      <c r="D16" s="66"/>
      <c r="E16" s="64"/>
      <c r="F16" s="376"/>
      <c r="G16" s="393">
        <f>+IF(E16=0,0,IF(E16="MXN",1/HLOOKUP(YEAR(C16)+(MONTH(C16)/100),TC!$5:$37,DAY(C16)+2,FALSE),VLOOKUP(E16,Equivalencia!$3:$23,((MAX(Equivalencia!$3:$3)-YEAR(C16))*14)+MONTH(C16)+2,FALSE)))</f>
        <v>0</v>
      </c>
      <c r="H16" s="376">
        <f t="shared" si="0"/>
        <v>0</v>
      </c>
    </row>
    <row r="17" spans="2:8" s="92" customFormat="1" ht="23.1" customHeight="1">
      <c r="B17" s="64" t="s">
        <v>17</v>
      </c>
      <c r="C17" s="65"/>
      <c r="D17" s="66"/>
      <c r="E17" s="64"/>
      <c r="F17" s="376"/>
      <c r="G17" s="393">
        <f>+IF(E17=0,0,IF(E17="MXN",1/HLOOKUP(YEAR(C17)+(MONTH(C17)/100),TC!$5:$37,DAY(C17)+2,FALSE),VLOOKUP(E17,Equivalencia!$3:$23,((MAX(Equivalencia!$3:$3)-YEAR(C17))*14)+MONTH(C17)+2,FALSE)))</f>
        <v>0</v>
      </c>
      <c r="H17" s="376">
        <f t="shared" si="0"/>
        <v>0</v>
      </c>
    </row>
    <row r="18" spans="2:8" s="92" customFormat="1" ht="23.1" customHeight="1">
      <c r="B18" s="64" t="s">
        <v>18</v>
      </c>
      <c r="C18" s="65"/>
      <c r="D18" s="66"/>
      <c r="E18" s="64"/>
      <c r="F18" s="376"/>
      <c r="G18" s="393">
        <f>+IF(E18=0,0,IF(E18="MXN",1/HLOOKUP(YEAR(C18)+(MONTH(C18)/100),TC!$5:$37,DAY(C18)+2,FALSE),VLOOKUP(E18,Equivalencia!$3:$23,((MAX(Equivalencia!$3:$3)-YEAR(C18))*14)+MONTH(C18)+2,FALSE)))</f>
        <v>0</v>
      </c>
      <c r="H18" s="376">
        <f t="shared" si="0"/>
        <v>0</v>
      </c>
    </row>
    <row r="19" spans="2:8" s="92" customFormat="1" ht="23.1" customHeight="1">
      <c r="B19" s="64" t="s">
        <v>19</v>
      </c>
      <c r="C19" s="65"/>
      <c r="D19" s="66"/>
      <c r="E19" s="64"/>
      <c r="F19" s="376"/>
      <c r="G19" s="393">
        <f>+IF(E19=0,0,IF(E19="MXN",1/HLOOKUP(YEAR(C19)+(MONTH(C19)/100),TC!$5:$37,DAY(C19)+2,FALSE),VLOOKUP(E19,Equivalencia!$3:$23,((MAX(Equivalencia!$3:$3)-YEAR(C19))*14)+MONTH(C19)+2,FALSE)))</f>
        <v>0</v>
      </c>
      <c r="H19" s="376">
        <f t="shared" si="0"/>
        <v>0</v>
      </c>
    </row>
    <row r="20" spans="2:8" s="92" customFormat="1" ht="23.1" customHeight="1">
      <c r="B20" s="64" t="s">
        <v>20</v>
      </c>
      <c r="C20" s="65"/>
      <c r="D20" s="66"/>
      <c r="E20" s="64"/>
      <c r="F20" s="376"/>
      <c r="G20" s="393">
        <f>+IF(E20=0,0,IF(E20="MXN",1/HLOOKUP(YEAR(C20)+(MONTH(C20)/100),TC!$5:$37,DAY(C20)+2,FALSE),VLOOKUP(E20,Equivalencia!$3:$23,((MAX(Equivalencia!$3:$3)-YEAR(C20))*14)+MONTH(C20)+2,FALSE)))</f>
        <v>0</v>
      </c>
      <c r="H20" s="376">
        <f t="shared" si="0"/>
        <v>0</v>
      </c>
    </row>
    <row r="21" spans="2:8" s="92" customFormat="1" ht="23.1" customHeight="1">
      <c r="B21" s="64" t="s">
        <v>21</v>
      </c>
      <c r="C21" s="65"/>
      <c r="D21" s="66"/>
      <c r="E21" s="64"/>
      <c r="F21" s="376"/>
      <c r="G21" s="393">
        <f>+IF(E21=0,0,IF(E21="MXN",1/HLOOKUP(YEAR(C21)+(MONTH(C21)/100),TC!$5:$37,DAY(C21)+2,FALSE),VLOOKUP(E21,Equivalencia!$3:$23,((MAX(Equivalencia!$3:$3)-YEAR(C21))*14)+MONTH(C21)+2,FALSE)))</f>
        <v>0</v>
      </c>
      <c r="H21" s="376">
        <f t="shared" si="0"/>
        <v>0</v>
      </c>
    </row>
    <row r="22" spans="2:8" s="92" customFormat="1" ht="23.1" customHeight="1">
      <c r="B22" s="64" t="s">
        <v>22</v>
      </c>
      <c r="C22" s="65"/>
      <c r="D22" s="66"/>
      <c r="E22" s="64"/>
      <c r="F22" s="376"/>
      <c r="G22" s="393">
        <f>+IF(E22=0,0,IF(E22="MXN",1/HLOOKUP(YEAR(C22)+(MONTH(C22)/100),TC!$5:$37,DAY(C22)+2,FALSE),VLOOKUP(E22,Equivalencia!$3:$23,((MAX(Equivalencia!$3:$3)-YEAR(C22))*14)+MONTH(C22)+2,FALSE)))</f>
        <v>0</v>
      </c>
      <c r="H22" s="376">
        <f t="shared" si="0"/>
        <v>0</v>
      </c>
    </row>
    <row r="23" spans="2:8" s="92" customFormat="1" ht="23.1" customHeight="1">
      <c r="B23" s="64" t="s">
        <v>23</v>
      </c>
      <c r="C23" s="65"/>
      <c r="D23" s="66"/>
      <c r="E23" s="64"/>
      <c r="F23" s="376"/>
      <c r="G23" s="393">
        <f>+IF(E23=0,0,IF(E23="MXN",1/HLOOKUP(YEAR(C23)+(MONTH(C23)/100),TC!$5:$37,DAY(C23)+2,FALSE),VLOOKUP(E23,Equivalencia!$3:$23,((MAX(Equivalencia!$3:$3)-YEAR(C23))*14)+MONTH(C23)+2,FALSE)))</f>
        <v>0</v>
      </c>
      <c r="H23" s="376">
        <f t="shared" si="0"/>
        <v>0</v>
      </c>
    </row>
    <row r="24" spans="2:8" s="92" customFormat="1" ht="23.1" customHeight="1">
      <c r="B24" s="64" t="s">
        <v>24</v>
      </c>
      <c r="C24" s="65"/>
      <c r="D24" s="66"/>
      <c r="E24" s="64"/>
      <c r="F24" s="376"/>
      <c r="G24" s="393">
        <f>+IF(E24=0,0,IF(E24="MXN",1/HLOOKUP(YEAR(C24)+(MONTH(C24)/100),TC!$5:$37,DAY(C24)+2,FALSE),VLOOKUP(E24,Equivalencia!$3:$23,((MAX(Equivalencia!$3:$3)-YEAR(C24))*14)+MONTH(C24)+2,FALSE)))</f>
        <v>0</v>
      </c>
      <c r="H24" s="376">
        <f t="shared" si="0"/>
        <v>0</v>
      </c>
    </row>
    <row r="25" spans="2:8" s="92" customFormat="1" ht="23.1" customHeight="1">
      <c r="B25" s="64" t="s">
        <v>25</v>
      </c>
      <c r="C25" s="65"/>
      <c r="D25" s="66"/>
      <c r="E25" s="64"/>
      <c r="F25" s="376"/>
      <c r="G25" s="393">
        <f>+IF(E25=0,0,IF(E25="MXN",1/HLOOKUP(YEAR(C25)+(MONTH(C25)/100),TC!$5:$37,DAY(C25)+2,FALSE),VLOOKUP(E25,Equivalencia!$3:$23,((MAX(Equivalencia!$3:$3)-YEAR(C25))*14)+MONTH(C25)+2,FALSE)))</f>
        <v>0</v>
      </c>
      <c r="H25" s="376">
        <f t="shared" si="0"/>
        <v>0</v>
      </c>
    </row>
    <row r="26" spans="2:8" s="92" customFormat="1" ht="23.1" customHeight="1">
      <c r="H26" s="93"/>
    </row>
    <row r="27" spans="2:8" ht="23.1" customHeight="1">
      <c r="B27" s="97" t="s">
        <v>212</v>
      </c>
      <c r="C27" s="97"/>
      <c r="D27" s="97"/>
      <c r="E27" s="97"/>
      <c r="F27" s="378">
        <f>SUM(F7:F26)</f>
        <v>0</v>
      </c>
      <c r="G27" s="70"/>
      <c r="H27" s="378">
        <f>SUM(H7:H26)</f>
        <v>0</v>
      </c>
    </row>
    <row r="30" spans="2:8" s="124" customFormat="1" ht="30">
      <c r="F30" s="62" t="s">
        <v>213</v>
      </c>
      <c r="H30" s="62" t="s">
        <v>214</v>
      </c>
    </row>
    <row r="32" spans="2:8" ht="23.1" customHeight="1">
      <c r="C32" s="96"/>
      <c r="D32" s="84" t="s">
        <v>215</v>
      </c>
      <c r="E32" s="85">
        <f>+Cuentas!B7</f>
        <v>1175000</v>
      </c>
      <c r="F32" s="386">
        <f t="shared" ref="F32:F49" si="1">+SUMIF($B$6:$B$700,E32,$F$6:$F$700)</f>
        <v>0</v>
      </c>
      <c r="G32" s="60"/>
      <c r="H32" s="386">
        <f t="shared" ref="H32:H49" si="2">+SUMIF($B$6:$B$700,E32,$H$6:$H$700)</f>
        <v>0</v>
      </c>
    </row>
    <row r="33" spans="3:8" ht="23.1" customHeight="1">
      <c r="C33" s="96"/>
      <c r="D33" s="84" t="s">
        <v>215</v>
      </c>
      <c r="E33" s="85">
        <f>+Cuentas!B8</f>
        <v>1179000</v>
      </c>
      <c r="F33" s="386">
        <f t="shared" si="1"/>
        <v>0</v>
      </c>
      <c r="G33" s="60"/>
      <c r="H33" s="386">
        <f t="shared" si="2"/>
        <v>0</v>
      </c>
    </row>
    <row r="34" spans="3:8" ht="23.1" customHeight="1">
      <c r="C34" s="96"/>
      <c r="D34" s="84" t="s">
        <v>215</v>
      </c>
      <c r="E34" s="85">
        <f>+Cuentas!B9</f>
        <v>1427200</v>
      </c>
      <c r="F34" s="386">
        <f t="shared" si="1"/>
        <v>0</v>
      </c>
      <c r="G34" s="60"/>
      <c r="H34" s="386">
        <f t="shared" si="2"/>
        <v>0</v>
      </c>
    </row>
    <row r="35" spans="3:8" ht="23.1" customHeight="1">
      <c r="C35" s="96"/>
      <c r="D35" s="84" t="s">
        <v>215</v>
      </c>
      <c r="E35" s="85" t="str">
        <f>+Cuentas!B10</f>
        <v>B22235000</v>
      </c>
      <c r="F35" s="386">
        <f t="shared" si="1"/>
        <v>0</v>
      </c>
      <c r="G35" s="60"/>
      <c r="H35" s="386">
        <f t="shared" si="2"/>
        <v>0</v>
      </c>
    </row>
    <row r="36" spans="3:8" ht="23.1" customHeight="1">
      <c r="C36" s="96"/>
      <c r="D36" s="84" t="s">
        <v>215</v>
      </c>
      <c r="E36" s="85">
        <f>+Cuentas!B11</f>
        <v>700833580</v>
      </c>
      <c r="F36" s="386">
        <f t="shared" si="1"/>
        <v>0</v>
      </c>
      <c r="G36" s="60"/>
      <c r="H36" s="386">
        <f t="shared" si="2"/>
        <v>0</v>
      </c>
    </row>
    <row r="37" spans="3:8" ht="23.1" customHeight="1">
      <c r="C37" s="96"/>
      <c r="D37" s="84" t="s">
        <v>215</v>
      </c>
      <c r="E37" s="85" t="str">
        <f>+Cuentas!B12</f>
        <v>F</v>
      </c>
      <c r="F37" s="386">
        <f t="shared" si="1"/>
        <v>0</v>
      </c>
      <c r="G37" s="60"/>
      <c r="H37" s="386">
        <f t="shared" si="2"/>
        <v>0</v>
      </c>
    </row>
    <row r="38" spans="3:8" ht="23.1" customHeight="1">
      <c r="C38" s="96"/>
      <c r="D38" s="84" t="s">
        <v>215</v>
      </c>
      <c r="E38" s="85" t="str">
        <f>+Cuentas!B13</f>
        <v>G</v>
      </c>
      <c r="F38" s="386">
        <f t="shared" si="1"/>
        <v>0</v>
      </c>
      <c r="G38" s="60"/>
      <c r="H38" s="386">
        <f t="shared" si="2"/>
        <v>0</v>
      </c>
    </row>
    <row r="39" spans="3:8" ht="23.1" customHeight="1">
      <c r="C39" s="96"/>
      <c r="D39" s="84" t="s">
        <v>215</v>
      </c>
      <c r="E39" s="85" t="str">
        <f>+Cuentas!B14</f>
        <v>H</v>
      </c>
      <c r="F39" s="386">
        <f t="shared" si="1"/>
        <v>0</v>
      </c>
      <c r="G39" s="60"/>
      <c r="H39" s="386">
        <f t="shared" si="2"/>
        <v>0</v>
      </c>
    </row>
    <row r="40" spans="3:8" ht="23.1" customHeight="1">
      <c r="C40" s="96"/>
      <c r="D40" s="84" t="s">
        <v>215</v>
      </c>
      <c r="E40" s="85" t="str">
        <f>+Cuentas!B15</f>
        <v>I</v>
      </c>
      <c r="F40" s="386">
        <f t="shared" si="1"/>
        <v>0</v>
      </c>
      <c r="G40" s="60"/>
      <c r="H40" s="386">
        <f t="shared" si="2"/>
        <v>0</v>
      </c>
    </row>
    <row r="41" spans="3:8" ht="23.1" customHeight="1">
      <c r="C41" s="96"/>
      <c r="D41" s="84" t="s">
        <v>215</v>
      </c>
      <c r="E41" s="85" t="str">
        <f>+Cuentas!B16</f>
        <v>J</v>
      </c>
      <c r="F41" s="386">
        <f t="shared" si="1"/>
        <v>0</v>
      </c>
      <c r="G41" s="60"/>
      <c r="H41" s="386">
        <f t="shared" si="2"/>
        <v>0</v>
      </c>
    </row>
    <row r="42" spans="3:8" ht="23.1" customHeight="1">
      <c r="C42" s="96"/>
      <c r="D42" s="84" t="s">
        <v>215</v>
      </c>
      <c r="E42" s="85" t="str">
        <f>+Cuentas!B17</f>
        <v>K</v>
      </c>
      <c r="F42" s="386">
        <f t="shared" si="1"/>
        <v>0</v>
      </c>
      <c r="G42" s="60"/>
      <c r="H42" s="386">
        <f t="shared" si="2"/>
        <v>0</v>
      </c>
    </row>
    <row r="43" spans="3:8" ht="23.1" customHeight="1">
      <c r="C43" s="96"/>
      <c r="D43" s="84" t="s">
        <v>215</v>
      </c>
      <c r="E43" s="85" t="str">
        <f>+Cuentas!B18</f>
        <v>L</v>
      </c>
      <c r="F43" s="386">
        <f t="shared" si="1"/>
        <v>0</v>
      </c>
      <c r="G43" s="60"/>
      <c r="H43" s="386">
        <f t="shared" si="2"/>
        <v>0</v>
      </c>
    </row>
    <row r="44" spans="3:8" ht="23.1" customHeight="1">
      <c r="C44" s="96"/>
      <c r="D44" s="84" t="s">
        <v>215</v>
      </c>
      <c r="E44" s="85" t="str">
        <f>+Cuentas!B19</f>
        <v>M</v>
      </c>
      <c r="F44" s="386">
        <f t="shared" si="1"/>
        <v>0</v>
      </c>
      <c r="G44" s="60"/>
      <c r="H44" s="386">
        <f t="shared" si="2"/>
        <v>0</v>
      </c>
    </row>
    <row r="45" spans="3:8" ht="23.1" customHeight="1">
      <c r="C45" s="96"/>
      <c r="D45" s="84" t="s">
        <v>215</v>
      </c>
      <c r="E45" s="85" t="str">
        <f>+Cuentas!B20</f>
        <v>N</v>
      </c>
      <c r="F45" s="386">
        <f t="shared" si="1"/>
        <v>0</v>
      </c>
      <c r="G45" s="60"/>
      <c r="H45" s="386">
        <f t="shared" si="2"/>
        <v>0</v>
      </c>
    </row>
    <row r="46" spans="3:8" ht="23.1" customHeight="1">
      <c r="C46" s="96"/>
      <c r="D46" s="84" t="s">
        <v>215</v>
      </c>
      <c r="E46" s="85" t="str">
        <f>+Cuentas!B21</f>
        <v>O</v>
      </c>
      <c r="F46" s="386">
        <f t="shared" si="1"/>
        <v>0</v>
      </c>
      <c r="G46" s="60"/>
      <c r="H46" s="386">
        <f t="shared" si="2"/>
        <v>0</v>
      </c>
    </row>
    <row r="47" spans="3:8" ht="23.1" customHeight="1">
      <c r="C47" s="96"/>
      <c r="D47" s="84" t="s">
        <v>215</v>
      </c>
      <c r="E47" s="85" t="str">
        <f>+Cuentas!B22</f>
        <v>P</v>
      </c>
      <c r="F47" s="386">
        <f t="shared" si="1"/>
        <v>0</v>
      </c>
      <c r="G47" s="60"/>
      <c r="H47" s="386">
        <f t="shared" si="2"/>
        <v>0</v>
      </c>
    </row>
    <row r="48" spans="3:8" ht="23.1" customHeight="1">
      <c r="C48" s="96"/>
      <c r="D48" s="84" t="s">
        <v>215</v>
      </c>
      <c r="E48" s="85" t="str">
        <f>+Cuentas!B23</f>
        <v>Q</v>
      </c>
      <c r="F48" s="386">
        <f t="shared" si="1"/>
        <v>0</v>
      </c>
      <c r="G48" s="60"/>
      <c r="H48" s="386">
        <f t="shared" si="2"/>
        <v>0</v>
      </c>
    </row>
    <row r="49" spans="2:10" ht="23.1" customHeight="1">
      <c r="C49" s="96"/>
      <c r="D49" s="84" t="s">
        <v>215</v>
      </c>
      <c r="E49" s="85" t="str">
        <f>+Cuentas!B24</f>
        <v>R</v>
      </c>
      <c r="F49" s="386">
        <f t="shared" si="1"/>
        <v>0</v>
      </c>
      <c r="G49" s="60"/>
      <c r="H49" s="386">
        <f t="shared" si="2"/>
        <v>0</v>
      </c>
    </row>
    <row r="50" spans="2:10" ht="23.1" customHeight="1">
      <c r="F50" s="387"/>
      <c r="G50" s="5"/>
      <c r="H50" s="387"/>
      <c r="I50" s="98"/>
      <c r="J50" s="578"/>
    </row>
    <row r="51" spans="2:10" ht="23.1" customHeight="1">
      <c r="E51" s="86" t="s">
        <v>119</v>
      </c>
      <c r="F51" s="388">
        <f>SUM(F31:F50)</f>
        <v>0</v>
      </c>
      <c r="G51" s="73"/>
      <c r="H51" s="388">
        <f>SUM(H31:H50)</f>
        <v>0</v>
      </c>
      <c r="I51" s="98"/>
      <c r="J51" s="578"/>
    </row>
    <row r="52" spans="2:10" ht="23.1" customHeight="1">
      <c r="I52" s="98"/>
      <c r="J52" s="578"/>
    </row>
    <row r="53" spans="2:10" ht="23.1" customHeight="1">
      <c r="I53" s="98"/>
      <c r="J53" s="578"/>
    </row>
    <row r="54" spans="2:10" ht="23.1" customHeight="1">
      <c r="B54" s="94" t="s">
        <v>26</v>
      </c>
      <c r="I54" s="98"/>
      <c r="J54" s="578"/>
    </row>
    <row r="55" spans="2:10" ht="23.1" customHeight="1">
      <c r="B55" s="92"/>
      <c r="C55" s="92"/>
      <c r="D55" s="92"/>
      <c r="E55" s="92"/>
      <c r="F55" s="92"/>
      <c r="G55" s="92"/>
      <c r="H55" s="92"/>
      <c r="I55" s="98"/>
      <c r="J55" s="578"/>
    </row>
    <row r="56" spans="2:10" ht="23.1" customHeight="1">
      <c r="B56" s="92"/>
      <c r="C56" s="92"/>
      <c r="D56" s="92"/>
      <c r="E56" s="92"/>
      <c r="F56" s="92"/>
      <c r="G56" s="92"/>
      <c r="H56" s="92"/>
      <c r="I56" s="98"/>
      <c r="J56" s="578"/>
    </row>
    <row r="57" spans="2:10" ht="23.1" customHeight="1">
      <c r="B57" s="92"/>
      <c r="C57" s="92"/>
      <c r="D57" s="92"/>
      <c r="E57" s="92"/>
      <c r="F57" s="92"/>
      <c r="G57" s="92"/>
      <c r="H57" s="92"/>
      <c r="I57" s="98"/>
      <c r="J57" s="578"/>
    </row>
    <row r="58" spans="2:10" ht="23.1" customHeight="1">
      <c r="B58" s="92"/>
      <c r="C58" s="92"/>
      <c r="D58" s="92"/>
      <c r="E58" s="92"/>
      <c r="F58" s="92"/>
      <c r="G58" s="92"/>
      <c r="H58" s="92"/>
    </row>
    <row r="59" spans="2:10" ht="23.1" customHeight="1">
      <c r="B59" s="92"/>
      <c r="C59" s="92"/>
      <c r="D59" s="92"/>
      <c r="E59" s="92"/>
      <c r="F59" s="92"/>
      <c r="G59" s="92"/>
      <c r="H59" s="92"/>
    </row>
    <row r="60" spans="2:10" ht="23.1" customHeight="1">
      <c r="B60" s="92"/>
      <c r="C60" s="92"/>
      <c r="D60" s="92"/>
      <c r="E60" s="92"/>
      <c r="F60" s="92"/>
      <c r="G60" s="92"/>
      <c r="H60" s="92"/>
    </row>
    <row r="61" spans="2:10" ht="23.1" customHeight="1">
      <c r="B61" s="92"/>
      <c r="C61" s="92"/>
      <c r="D61" s="92"/>
      <c r="E61" s="92"/>
      <c r="F61" s="92"/>
      <c r="G61" s="92"/>
      <c r="H61" s="92"/>
    </row>
    <row r="62" spans="2:10" ht="23.1" customHeight="1">
      <c r="B62" s="92"/>
      <c r="C62" s="92"/>
      <c r="D62" s="92"/>
      <c r="E62" s="92"/>
      <c r="F62" s="92"/>
      <c r="G62" s="92"/>
      <c r="H62" s="92"/>
    </row>
    <row r="63" spans="2:10" ht="23.1" customHeight="1">
      <c r="B63" s="92"/>
      <c r="C63" s="92"/>
      <c r="D63" s="92"/>
      <c r="E63" s="92"/>
      <c r="F63" s="92"/>
      <c r="G63" s="92"/>
      <c r="H63" s="92"/>
    </row>
    <row r="64" spans="2:10" ht="23.1" customHeight="1">
      <c r="B64" s="92"/>
      <c r="C64" s="92"/>
      <c r="D64" s="92"/>
      <c r="E64" s="92"/>
      <c r="F64" s="92"/>
      <c r="G64" s="92"/>
      <c r="H64" s="92"/>
    </row>
    <row r="65" spans="2:8" ht="23.1" customHeight="1">
      <c r="B65" s="92"/>
      <c r="C65" s="92"/>
      <c r="D65" s="92"/>
      <c r="E65" s="92"/>
      <c r="F65" s="92"/>
      <c r="G65" s="92"/>
      <c r="H65" s="92"/>
    </row>
    <row r="66" spans="2:8" ht="23.1" customHeight="1">
      <c r="B66" s="92"/>
      <c r="C66" s="92"/>
      <c r="D66" s="92"/>
      <c r="E66" s="92"/>
      <c r="F66" s="92"/>
      <c r="G66" s="92"/>
      <c r="H66" s="92"/>
    </row>
    <row r="67" spans="2:8" ht="23.1" customHeight="1">
      <c r="B67" s="92"/>
      <c r="C67" s="92"/>
      <c r="D67" s="92"/>
      <c r="E67" s="92"/>
      <c r="F67" s="92"/>
      <c r="G67" s="92"/>
      <c r="H67" s="92"/>
    </row>
    <row r="68" spans="2:8" ht="23.1" customHeight="1">
      <c r="B68" s="92"/>
      <c r="C68" s="92"/>
      <c r="D68" s="92"/>
      <c r="E68" s="92"/>
      <c r="F68" s="92"/>
      <c r="G68" s="92"/>
      <c r="H68" s="92"/>
    </row>
    <row r="69" spans="2:8" ht="23.1" customHeight="1">
      <c r="B69" s="92"/>
      <c r="C69" s="92"/>
      <c r="D69" s="92"/>
      <c r="E69" s="92"/>
      <c r="F69" s="92"/>
      <c r="G69" s="92"/>
      <c r="H69" s="92"/>
    </row>
    <row r="70" spans="2:8" ht="23.1" customHeight="1">
      <c r="B70" s="92"/>
      <c r="C70" s="92"/>
      <c r="D70" s="92"/>
      <c r="E70" s="92"/>
      <c r="F70" s="92"/>
      <c r="G70" s="92"/>
      <c r="H70" s="92"/>
    </row>
    <row r="71" spans="2:8" ht="23.1" customHeight="1">
      <c r="B71" s="92"/>
      <c r="C71" s="92"/>
      <c r="D71" s="92"/>
      <c r="E71" s="92"/>
      <c r="F71" s="92"/>
      <c r="G71" s="92"/>
      <c r="H71" s="92"/>
    </row>
    <row r="72" spans="2:8" ht="23.1" customHeight="1">
      <c r="B72" s="92"/>
      <c r="C72" s="92"/>
      <c r="D72" s="92"/>
      <c r="E72" s="92"/>
      <c r="F72" s="92"/>
      <c r="G72" s="92"/>
      <c r="H72" s="92"/>
    </row>
    <row r="73" spans="2:8" ht="23.1" customHeight="1">
      <c r="B73" s="92"/>
      <c r="C73" s="92"/>
      <c r="D73" s="92"/>
      <c r="E73" s="92"/>
      <c r="F73" s="92"/>
      <c r="G73" s="92"/>
      <c r="H73" s="92"/>
    </row>
    <row r="74" spans="2:8" ht="23.1" customHeight="1">
      <c r="B74" s="92"/>
      <c r="C74" s="92"/>
      <c r="D74" s="92"/>
      <c r="E74" s="92"/>
      <c r="F74" s="92"/>
      <c r="G74" s="92"/>
      <c r="H74" s="92"/>
    </row>
    <row r="75" spans="2:8" ht="23.1" customHeight="1">
      <c r="B75" s="92"/>
      <c r="C75" s="92"/>
      <c r="D75" s="92"/>
      <c r="E75" s="92"/>
      <c r="F75" s="92"/>
      <c r="G75" s="92"/>
      <c r="H75" s="92"/>
    </row>
    <row r="76" spans="2:8" ht="23.1" customHeight="1">
      <c r="B76" s="92"/>
      <c r="C76" s="92"/>
      <c r="D76" s="92"/>
      <c r="E76" s="92"/>
      <c r="F76" s="92"/>
      <c r="G76" s="92"/>
      <c r="H76" s="92"/>
    </row>
    <row r="77" spans="2:8" ht="23.1" customHeight="1">
      <c r="B77" s="92"/>
      <c r="C77" s="92"/>
      <c r="D77" s="92"/>
      <c r="E77" s="92"/>
      <c r="F77" s="92"/>
      <c r="G77" s="92"/>
      <c r="H77" s="92"/>
    </row>
    <row r="78" spans="2:8" ht="23.1" customHeight="1">
      <c r="B78" s="92"/>
      <c r="C78" s="92"/>
      <c r="D78" s="92"/>
      <c r="E78" s="92"/>
      <c r="F78" s="92"/>
      <c r="G78" s="92"/>
      <c r="H78" s="92"/>
    </row>
    <row r="79" spans="2:8" ht="23.1" customHeight="1">
      <c r="B79" s="92"/>
      <c r="C79" s="92"/>
      <c r="D79" s="92"/>
      <c r="E79" s="92"/>
      <c r="F79" s="92"/>
      <c r="G79" s="92"/>
      <c r="H79" s="92"/>
    </row>
    <row r="80" spans="2:8" ht="23.1" customHeight="1">
      <c r="B80" s="92"/>
      <c r="C80" s="92"/>
      <c r="D80" s="92"/>
      <c r="E80" s="92"/>
      <c r="F80" s="92"/>
      <c r="G80" s="92"/>
      <c r="H80" s="92"/>
    </row>
    <row r="81" spans="2:8" ht="23.1" customHeight="1">
      <c r="B81" s="92"/>
      <c r="C81" s="92"/>
      <c r="D81" s="92"/>
      <c r="E81" s="92"/>
      <c r="F81" s="92"/>
      <c r="G81" s="92"/>
      <c r="H81" s="92"/>
    </row>
    <row r="82" spans="2:8" ht="23.1" customHeight="1">
      <c r="B82" s="92"/>
      <c r="C82" s="92"/>
      <c r="D82" s="92"/>
      <c r="E82" s="92"/>
      <c r="F82" s="92"/>
      <c r="G82" s="92"/>
      <c r="H82" s="92"/>
    </row>
    <row r="83" spans="2:8" ht="23.1" customHeight="1">
      <c r="B83" s="92"/>
      <c r="C83" s="92"/>
      <c r="D83" s="92"/>
      <c r="E83" s="92"/>
      <c r="F83" s="92"/>
      <c r="G83" s="92"/>
      <c r="H83" s="92"/>
    </row>
    <row r="84" spans="2:8" ht="23.1" customHeight="1">
      <c r="B84" s="92"/>
      <c r="C84" s="92"/>
      <c r="D84" s="92"/>
      <c r="E84" s="92"/>
      <c r="F84" s="92"/>
      <c r="G84" s="92"/>
      <c r="H84" s="92"/>
    </row>
    <row r="85" spans="2:8" ht="23.1" customHeight="1">
      <c r="B85" s="92"/>
      <c r="C85" s="92"/>
      <c r="D85" s="92"/>
      <c r="E85" s="92"/>
      <c r="F85" s="92"/>
      <c r="G85" s="92"/>
      <c r="H85" s="92"/>
    </row>
    <row r="86" spans="2:8" ht="23.1" customHeight="1">
      <c r="B86" s="92"/>
      <c r="C86" s="92"/>
      <c r="D86" s="92"/>
      <c r="E86" s="92"/>
      <c r="F86" s="92"/>
      <c r="G86" s="92"/>
      <c r="H86" s="92"/>
    </row>
  </sheetData>
  <sheetProtection algorithmName="SHA-512" hashValue="T96rCPlcqChK8732SD7lCm5yjc2wPqITiFLGdksbwNwVBxU92DgyCstzxP5zem+1Xzde4jvDQfxCi3ylVIFySA==" saltValue="abD81EXEiLq/IW10bTedMA==" spinCount="100000" sheet="1" formatCells="0" formatColumns="0" formatRows="0" insertColumns="0" insertRows="0" deleteColumns="0" deleteRows="0" sort="0" autoFilter="0"/>
  <autoFilter ref="B6:H27" xr:uid="{309E86D5-3CF2-2C48-B674-B55D60C99E15}"/>
  <mergeCells count="2">
    <mergeCell ref="B3:H3"/>
    <mergeCell ref="B2:H2"/>
  </mergeCells>
  <printOptions horizontalCentered="1"/>
  <pageMargins left="0.70866141732283505" right="0.70866141732283505" top="0.74803149606299202" bottom="0.74803149606299202" header="0.31496062992126" footer="0.31496062992126"/>
  <pageSetup scale="61" fitToHeight="3"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FCFC20E5-CEBA-1D41-8D3C-41A44F9343AB}">
          <x14:formula1>
            <xm:f>Equivalencia!$A$4:$A$23</xm:f>
          </x14:formula1>
          <xm:sqref>E8:E25</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ECF46-F735-A846-863F-AF2EFC432156}">
  <sheetPr>
    <pageSetUpPr fitToPage="1"/>
  </sheetPr>
  <dimension ref="B2:L12"/>
  <sheetViews>
    <sheetView view="pageBreakPreview" zoomScaleNormal="110" zoomScaleSheetLayoutView="100" workbookViewId="0">
      <selection activeCell="C9" sqref="C9"/>
    </sheetView>
  </sheetViews>
  <sheetFormatPr defaultColWidth="10.6640625" defaultRowHeight="23.1" customHeight="1"/>
  <cols>
    <col min="1" max="1" width="10.6640625" style="12"/>
    <col min="2" max="2" width="7.109375" style="112" customWidth="1"/>
    <col min="3" max="3" width="75.88671875" style="12" customWidth="1"/>
    <col min="4" max="4" width="3.5546875" style="12" customWidth="1"/>
    <col min="5" max="5" width="16.109375" style="12" customWidth="1"/>
    <col min="6" max="16384" width="10.6640625" style="12"/>
  </cols>
  <sheetData>
    <row r="2" spans="2:12" ht="23.1" customHeight="1">
      <c r="B2" s="205" t="s">
        <v>216</v>
      </c>
      <c r="C2" s="205"/>
      <c r="D2" s="205"/>
      <c r="E2" s="205"/>
      <c r="H2" s="590"/>
      <c r="I2" s="590"/>
      <c r="J2" s="590"/>
      <c r="K2" s="590"/>
      <c r="L2" s="590"/>
    </row>
    <row r="3" spans="2:12" ht="23.1" customHeight="1">
      <c r="B3" s="576" t="s">
        <v>217</v>
      </c>
      <c r="C3" s="577"/>
      <c r="D3" s="577"/>
      <c r="E3" s="577"/>
      <c r="H3" s="577"/>
      <c r="I3" s="577"/>
      <c r="J3" s="577"/>
      <c r="K3" s="577"/>
      <c r="L3" s="577"/>
    </row>
    <row r="4" spans="2:12" ht="14.1" customHeight="1">
      <c r="B4" s="79" t="s">
        <v>41</v>
      </c>
      <c r="C4" s="79" t="s">
        <v>42</v>
      </c>
      <c r="D4" s="79"/>
      <c r="E4" s="80"/>
    </row>
    <row r="5" spans="2:12" ht="23.1" customHeight="1">
      <c r="B5" s="216"/>
      <c r="C5" s="88"/>
      <c r="D5" s="88"/>
      <c r="E5" s="88"/>
    </row>
    <row r="7" spans="2:12" ht="21.95" customHeight="1">
      <c r="B7" s="321"/>
      <c r="C7" s="347" t="s">
        <v>218</v>
      </c>
      <c r="D7" s="322"/>
      <c r="E7" s="348">
        <f>+IF(SUMIF(Ventas!R:R,Ventas!AF3,Ventas!X:X)&lt;0,SUMIF(Ventas!R:R,Ventas!AF3,Ventas!X:X),0)</f>
        <v>-26169.106129646138</v>
      </c>
      <c r="F7" s="113" t="s">
        <v>219</v>
      </c>
    </row>
    <row r="8" spans="2:12" ht="21.95" customHeight="1">
      <c r="B8" s="349"/>
      <c r="C8" s="347" t="s">
        <v>220</v>
      </c>
      <c r="D8" s="322"/>
      <c r="E8" s="549">
        <f>+IF(SUMIF(Ventas!R:R,Ventas!AF3,Ventas!X:X)&lt;0,0,SUMIF(Ventas!R:R,Ventas!AF3,Ventas!X:X))</f>
        <v>0</v>
      </c>
    </row>
    <row r="9" spans="2:12" ht="21.95" customHeight="1">
      <c r="B9" s="57"/>
      <c r="C9" s="82"/>
      <c r="E9" s="550"/>
    </row>
    <row r="10" spans="2:12" ht="21.95" customHeight="1">
      <c r="B10" s="352" t="s">
        <v>45</v>
      </c>
      <c r="C10" s="353" t="s">
        <v>221</v>
      </c>
      <c r="D10" s="342"/>
      <c r="E10" s="354">
        <f>-'Pérdidas o Acreditamientos'!H267</f>
        <v>0</v>
      </c>
      <c r="F10" s="113" t="s">
        <v>222</v>
      </c>
    </row>
    <row r="11" spans="2:12" ht="21.95" customHeight="1">
      <c r="B11" s="57"/>
      <c r="C11" s="114"/>
      <c r="E11" s="115"/>
      <c r="F11" s="113"/>
    </row>
    <row r="12" spans="2:12" ht="21.95" customHeight="1">
      <c r="B12" s="116" t="s">
        <v>47</v>
      </c>
      <c r="C12" s="117" t="str">
        <f>+IF(E12&lt;0,"(Pérdida) de ejercicios anteriores remanente","Ganancia en venta de acciones neta del ejercicio")</f>
        <v>Ganancia en venta de acciones neta del ejercicio</v>
      </c>
      <c r="D12" s="87"/>
      <c r="E12" s="118">
        <f>+E8+E10</f>
        <v>0</v>
      </c>
    </row>
  </sheetData>
  <sheetProtection algorithmName="SHA-512" hashValue="cfEtEC8Q5ehZsQ+EkUEgA2SyKOcnYjJ9JJkT7vNUoLa0uQ4rOh0hYGBByDKHOWOtvLFzjO47pMims/crRphc8Q==" saltValue="H0pDoMl/5DASSAgpKKjYtQ==" spinCount="100000" sheet="1" objects="1" scenarios="1"/>
  <mergeCells count="1">
    <mergeCell ref="H2:L2"/>
  </mergeCells>
  <pageMargins left="0.7" right="0.7" top="0.75" bottom="0.75" header="0.3" footer="0.3"/>
  <pageSetup scale="96" orientation="landscape"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2:L107"/>
  <sheetViews>
    <sheetView zoomScale="70" zoomScaleNormal="70" zoomScaleSheetLayoutView="100" workbookViewId="0">
      <pane ySplit="5" topLeftCell="A10" activePane="bottomLeft" state="frozen"/>
      <selection pane="bottomLeft" activeCell="B95" sqref="B95"/>
    </sheetView>
  </sheetViews>
  <sheetFormatPr defaultColWidth="10.6640625" defaultRowHeight="15.95" customHeight="1"/>
  <cols>
    <col min="1" max="1" width="10.6640625" style="12"/>
    <col min="2" max="2" width="83" style="12" bestFit="1" customWidth="1"/>
    <col min="3" max="3" width="22.109375" style="12" bestFit="1" customWidth="1"/>
    <col min="4" max="5" width="12.77734375" style="12" bestFit="1" customWidth="1"/>
    <col min="6" max="6" width="13.88671875" style="12" bestFit="1" customWidth="1"/>
    <col min="7" max="16384" width="10.6640625" style="12"/>
  </cols>
  <sheetData>
    <row r="2" spans="2:12" ht="44.1" customHeight="1">
      <c r="B2" s="589" t="s">
        <v>223</v>
      </c>
      <c r="C2" s="589"/>
      <c r="D2" s="589"/>
      <c r="E2" s="589"/>
      <c r="F2" s="589"/>
      <c r="H2" s="591"/>
      <c r="I2" s="591"/>
      <c r="J2" s="591"/>
      <c r="K2" s="591"/>
      <c r="L2" s="591"/>
    </row>
    <row r="3" spans="2:12" ht="15.95" customHeight="1">
      <c r="B3" s="592" t="s">
        <v>224</v>
      </c>
      <c r="C3" s="592"/>
      <c r="D3" s="592"/>
      <c r="E3" s="592"/>
      <c r="F3" s="206"/>
    </row>
    <row r="4" spans="2:12" ht="15.95" customHeight="1">
      <c r="B4" s="79" t="s">
        <v>41</v>
      </c>
      <c r="C4" s="79" t="s">
        <v>42</v>
      </c>
      <c r="D4" s="79"/>
      <c r="E4" s="80"/>
      <c r="F4" s="80"/>
    </row>
    <row r="5" spans="2:12" s="122" customFormat="1" ht="15.75" customHeight="1">
      <c r="B5" s="125" t="s">
        <v>225</v>
      </c>
      <c r="C5" s="125" t="s">
        <v>226</v>
      </c>
      <c r="D5" s="125" t="s">
        <v>227</v>
      </c>
      <c r="E5" s="125" t="s">
        <v>228</v>
      </c>
      <c r="F5" s="125" t="s">
        <v>229</v>
      </c>
    </row>
    <row r="6" spans="2:12" ht="17.25" customHeight="1">
      <c r="B6" s="238" t="s">
        <v>230</v>
      </c>
      <c r="C6" s="358"/>
      <c r="D6" s="359"/>
      <c r="E6" s="469"/>
      <c r="F6" s="469"/>
    </row>
    <row r="7" spans="2:12" ht="17.25" customHeight="1">
      <c r="B7" s="360">
        <v>1175000</v>
      </c>
      <c r="C7" s="358"/>
      <c r="D7" s="359"/>
      <c r="E7" s="469"/>
      <c r="F7" s="469"/>
    </row>
    <row r="8" spans="2:12" ht="17.25" customHeight="1">
      <c r="B8" s="438" t="s">
        <v>231</v>
      </c>
      <c r="C8" s="358">
        <v>127</v>
      </c>
      <c r="D8" s="359">
        <v>39850.89</v>
      </c>
      <c r="E8" s="469">
        <v>12359.379239543727</v>
      </c>
      <c r="F8" s="469">
        <v>27491.510760456269</v>
      </c>
    </row>
    <row r="9" spans="2:12" ht="17.25" customHeight="1">
      <c r="B9" s="438" t="s">
        <v>183</v>
      </c>
      <c r="C9" s="358">
        <v>972</v>
      </c>
      <c r="D9" s="359">
        <v>76032.069999999963</v>
      </c>
      <c r="E9" s="469">
        <v>59640.37857894737</v>
      </c>
      <c r="F9" s="469">
        <v>16391.691421052605</v>
      </c>
    </row>
    <row r="10" spans="2:12" ht="17.25" customHeight="1">
      <c r="B10" s="438" t="s">
        <v>161</v>
      </c>
      <c r="C10" s="358">
        <v>255</v>
      </c>
      <c r="D10" s="359">
        <v>61093.880000000012</v>
      </c>
      <c r="E10" s="469">
        <v>72340.109999999986</v>
      </c>
      <c r="F10" s="469">
        <v>-11246.229999999994</v>
      </c>
    </row>
    <row r="11" spans="2:12" ht="17.25" customHeight="1">
      <c r="B11" s="438" t="s">
        <v>177</v>
      </c>
      <c r="C11" s="358">
        <v>129</v>
      </c>
      <c r="D11" s="359">
        <v>33242.42</v>
      </c>
      <c r="E11" s="469">
        <v>31292.079999999998</v>
      </c>
      <c r="F11" s="469">
        <v>1950.3400000000011</v>
      </c>
    </row>
    <row r="12" spans="2:12" ht="17.25" customHeight="1">
      <c r="B12" s="438" t="s">
        <v>232</v>
      </c>
      <c r="C12" s="358">
        <v>80</v>
      </c>
      <c r="D12" s="359">
        <v>49380.56</v>
      </c>
      <c r="E12" s="469">
        <v>57379.34</v>
      </c>
      <c r="F12" s="469">
        <v>-7998.78</v>
      </c>
    </row>
    <row r="13" spans="2:12" ht="17.25" customHeight="1">
      <c r="B13" s="438" t="s">
        <v>233</v>
      </c>
      <c r="C13" s="358">
        <v>468</v>
      </c>
      <c r="D13" s="359">
        <v>35247.800000000003</v>
      </c>
      <c r="E13" s="469">
        <v>26443.09911392405</v>
      </c>
      <c r="F13" s="469">
        <v>8804.7008860759506</v>
      </c>
    </row>
    <row r="14" spans="2:12" ht="17.25" customHeight="1">
      <c r="B14" s="438" t="s">
        <v>181</v>
      </c>
      <c r="C14" s="358">
        <v>81</v>
      </c>
      <c r="D14" s="359">
        <v>7319.93</v>
      </c>
      <c r="E14" s="469">
        <v>8071.67</v>
      </c>
      <c r="F14" s="469">
        <v>-751.74000000000046</v>
      </c>
    </row>
    <row r="15" spans="2:12" ht="17.25" customHeight="1">
      <c r="B15" s="438" t="s">
        <v>174</v>
      </c>
      <c r="C15" s="358">
        <v>547</v>
      </c>
      <c r="D15" s="359">
        <v>19440.850000000002</v>
      </c>
      <c r="E15" s="469">
        <v>19850.14</v>
      </c>
      <c r="F15" s="469">
        <v>-409.29000000000065</v>
      </c>
    </row>
    <row r="16" spans="2:12" ht="17.25" customHeight="1">
      <c r="B16" s="438" t="s">
        <v>178</v>
      </c>
      <c r="C16" s="358">
        <v>558</v>
      </c>
      <c r="D16" s="359">
        <v>77432.020000000019</v>
      </c>
      <c r="E16" s="469">
        <v>89967.29</v>
      </c>
      <c r="F16" s="469">
        <v>-12535.27</v>
      </c>
    </row>
    <row r="17" spans="2:6" ht="17.25" customHeight="1">
      <c r="B17" s="438" t="s">
        <v>172</v>
      </c>
      <c r="C17" s="358">
        <v>64</v>
      </c>
      <c r="D17" s="359">
        <v>19443.099999999999</v>
      </c>
      <c r="E17" s="469">
        <v>19443.099999999999</v>
      </c>
      <c r="F17" s="469">
        <v>0</v>
      </c>
    </row>
    <row r="18" spans="2:6" ht="17.25" customHeight="1">
      <c r="B18" s="438" t="s">
        <v>155</v>
      </c>
      <c r="C18" s="358">
        <v>251</v>
      </c>
      <c r="D18" s="359">
        <v>54999.46</v>
      </c>
      <c r="E18" s="469">
        <v>30094.082418575657</v>
      </c>
      <c r="F18" s="469">
        <v>24905.377581424342</v>
      </c>
    </row>
    <row r="19" spans="2:6" ht="17.25" customHeight="1">
      <c r="B19" s="438" t="s">
        <v>175</v>
      </c>
      <c r="C19" s="358">
        <v>98</v>
      </c>
      <c r="D19" s="359">
        <v>11248.17</v>
      </c>
      <c r="E19" s="469">
        <v>9939.7571186440673</v>
      </c>
      <c r="F19" s="469">
        <v>1308.4128813559325</v>
      </c>
    </row>
    <row r="20" spans="2:6" ht="17.25" customHeight="1">
      <c r="B20" s="438" t="s">
        <v>166</v>
      </c>
      <c r="C20" s="358">
        <v>161</v>
      </c>
      <c r="D20" s="359">
        <v>29654.82</v>
      </c>
      <c r="E20" s="469">
        <v>14196.440360110802</v>
      </c>
      <c r="F20" s="469">
        <v>15458.379639889197</v>
      </c>
    </row>
    <row r="21" spans="2:6" ht="17.25" customHeight="1">
      <c r="B21" s="438" t="s">
        <v>152</v>
      </c>
      <c r="C21" s="358">
        <v>64</v>
      </c>
      <c r="D21" s="359">
        <v>29778.639999999996</v>
      </c>
      <c r="E21" s="469">
        <v>21333.825909090905</v>
      </c>
      <c r="F21" s="469">
        <v>8444.8140909090871</v>
      </c>
    </row>
    <row r="22" spans="2:6" ht="17.25" customHeight="1">
      <c r="B22" s="438" t="s">
        <v>162</v>
      </c>
      <c r="C22" s="358">
        <v>180</v>
      </c>
      <c r="D22" s="359">
        <v>30089.94</v>
      </c>
      <c r="E22" s="469">
        <v>15113.943065693429</v>
      </c>
      <c r="F22" s="469">
        <v>14975.996934306568</v>
      </c>
    </row>
    <row r="23" spans="2:6" ht="17.25" customHeight="1">
      <c r="B23" s="438" t="s">
        <v>160</v>
      </c>
      <c r="C23" s="358">
        <v>107</v>
      </c>
      <c r="D23" s="359">
        <v>37906.83</v>
      </c>
      <c r="E23" s="469">
        <v>36602.31589473685</v>
      </c>
      <c r="F23" s="469">
        <v>1304.5141052631566</v>
      </c>
    </row>
    <row r="24" spans="2:6" ht="17.25" customHeight="1">
      <c r="B24" s="438" t="s">
        <v>169</v>
      </c>
      <c r="C24" s="358">
        <v>107</v>
      </c>
      <c r="D24" s="359">
        <v>26496.28</v>
      </c>
      <c r="E24" s="469">
        <v>14143.06232931727</v>
      </c>
      <c r="F24" s="469">
        <v>12353.217670682729</v>
      </c>
    </row>
    <row r="25" spans="2:6" ht="17.25" customHeight="1">
      <c r="B25" s="438" t="s">
        <v>167</v>
      </c>
      <c r="C25" s="358">
        <v>147</v>
      </c>
      <c r="D25" s="359">
        <v>41232.33</v>
      </c>
      <c r="E25" s="469">
        <v>7772.8585514018687</v>
      </c>
      <c r="F25" s="469">
        <v>33459.471448598131</v>
      </c>
    </row>
    <row r="26" spans="2:6" ht="17.25" customHeight="1">
      <c r="B26" s="438" t="s">
        <v>170</v>
      </c>
      <c r="C26" s="358">
        <v>278</v>
      </c>
      <c r="D26" s="359">
        <v>20538.52</v>
      </c>
      <c r="E26" s="469">
        <v>25580.860187793427</v>
      </c>
      <c r="F26" s="469">
        <v>-5042.3401877934284</v>
      </c>
    </row>
    <row r="27" spans="2:6" ht="17.25" customHeight="1">
      <c r="B27" s="438" t="s">
        <v>234</v>
      </c>
      <c r="C27" s="358">
        <v>283</v>
      </c>
      <c r="D27" s="359">
        <v>33333.480000000003</v>
      </c>
      <c r="E27" s="469">
        <v>17892.295365853657</v>
      </c>
      <c r="F27" s="469">
        <v>15441.184634146342</v>
      </c>
    </row>
    <row r="28" spans="2:6" ht="17.25" customHeight="1">
      <c r="B28" s="438" t="s">
        <v>180</v>
      </c>
      <c r="C28" s="358">
        <v>518</v>
      </c>
      <c r="D28" s="359">
        <v>81000.896000000037</v>
      </c>
      <c r="E28" s="469">
        <v>101128.63190909089</v>
      </c>
      <c r="F28" s="469">
        <v>-20127.735909090909</v>
      </c>
    </row>
    <row r="29" spans="2:6" ht="17.25" customHeight="1">
      <c r="B29" s="438" t="s">
        <v>153</v>
      </c>
      <c r="C29" s="358">
        <v>211</v>
      </c>
      <c r="D29" s="359">
        <v>35830.810000000005</v>
      </c>
      <c r="E29" s="469">
        <v>18499.151105769233</v>
      </c>
      <c r="F29" s="469">
        <v>17331.658894230772</v>
      </c>
    </row>
    <row r="30" spans="2:6" ht="17.25" customHeight="1">
      <c r="B30" s="438" t="s">
        <v>154</v>
      </c>
      <c r="C30" s="358">
        <v>180</v>
      </c>
      <c r="D30" s="359">
        <v>18405.21</v>
      </c>
      <c r="E30" s="469">
        <v>18058.284258373205</v>
      </c>
      <c r="F30" s="469">
        <v>346.92574162679404</v>
      </c>
    </row>
    <row r="31" spans="2:6" ht="17.25" customHeight="1">
      <c r="B31" s="438" t="s">
        <v>158</v>
      </c>
      <c r="C31" s="358">
        <v>462</v>
      </c>
      <c r="D31" s="359">
        <v>83044.89999999998</v>
      </c>
      <c r="E31" s="469">
        <v>66055.5291826061</v>
      </c>
      <c r="F31" s="469">
        <v>16989.370817393916</v>
      </c>
    </row>
    <row r="32" spans="2:6" ht="17.25" customHeight="1">
      <c r="B32" s="438" t="s">
        <v>168</v>
      </c>
      <c r="C32" s="358">
        <v>75</v>
      </c>
      <c r="D32" s="359">
        <v>20776.45</v>
      </c>
      <c r="E32" s="469">
        <v>16298.383512906845</v>
      </c>
      <c r="F32" s="469">
        <v>4478.066487093156</v>
      </c>
    </row>
    <row r="33" spans="2:6" ht="17.25" customHeight="1">
      <c r="B33" s="438" t="s">
        <v>159</v>
      </c>
      <c r="C33" s="358">
        <v>248</v>
      </c>
      <c r="D33" s="359">
        <v>40765.19</v>
      </c>
      <c r="E33" s="469">
        <v>21227.53140461216</v>
      </c>
      <c r="F33" s="469">
        <v>19537.658595387835</v>
      </c>
    </row>
    <row r="34" spans="2:6" ht="17.25" customHeight="1">
      <c r="B34" s="438" t="s">
        <v>176</v>
      </c>
      <c r="C34" s="358">
        <v>117</v>
      </c>
      <c r="D34" s="359">
        <v>27270.58</v>
      </c>
      <c r="E34" s="469">
        <v>19337.429347826084</v>
      </c>
      <c r="F34" s="469">
        <v>7933.1506521739175</v>
      </c>
    </row>
    <row r="35" spans="2:6" ht="17.25" customHeight="1">
      <c r="B35" s="438" t="s">
        <v>171</v>
      </c>
      <c r="C35" s="358">
        <v>80</v>
      </c>
      <c r="D35" s="359">
        <v>40962.99</v>
      </c>
      <c r="E35" s="469">
        <v>12236.514537444935</v>
      </c>
      <c r="F35" s="469">
        <v>28726.475462555063</v>
      </c>
    </row>
    <row r="36" spans="2:6" ht="17.25" customHeight="1">
      <c r="B36" s="438" t="s">
        <v>165</v>
      </c>
      <c r="C36" s="358">
        <v>495</v>
      </c>
      <c r="D36" s="359">
        <v>39115.549999999988</v>
      </c>
      <c r="E36" s="469">
        <v>39796.357870370382</v>
      </c>
      <c r="F36" s="469">
        <v>-680.80787037037157</v>
      </c>
    </row>
    <row r="37" spans="2:6" ht="17.25" customHeight="1">
      <c r="B37" s="438" t="s">
        <v>164</v>
      </c>
      <c r="C37" s="358">
        <v>636</v>
      </c>
      <c r="D37" s="359">
        <v>47986.669999999991</v>
      </c>
      <c r="E37" s="469">
        <v>56908.060000000005</v>
      </c>
      <c r="F37" s="469">
        <v>-8921.39</v>
      </c>
    </row>
    <row r="38" spans="2:6" ht="17.25" customHeight="1">
      <c r="B38" s="438" t="s">
        <v>173</v>
      </c>
      <c r="C38" s="358">
        <v>1778</v>
      </c>
      <c r="D38" s="359">
        <v>62959.500000000007</v>
      </c>
      <c r="E38" s="469">
        <v>78128.160000000018</v>
      </c>
      <c r="F38" s="469">
        <v>-15168.659999999998</v>
      </c>
    </row>
    <row r="39" spans="2:6" ht="17.25" customHeight="1">
      <c r="B39" s="438" t="s">
        <v>235</v>
      </c>
      <c r="C39" s="358">
        <v>1515</v>
      </c>
      <c r="D39" s="359">
        <v>58046.25</v>
      </c>
      <c r="E39" s="469">
        <v>64802.993750000009</v>
      </c>
      <c r="F39" s="469">
        <v>-6756.7437500000033</v>
      </c>
    </row>
    <row r="40" spans="2:6" ht="17.25" customHeight="1">
      <c r="B40" s="439" t="s">
        <v>236</v>
      </c>
      <c r="C40" s="407">
        <v>11272</v>
      </c>
      <c r="D40" s="408">
        <v>1289926.9859999998</v>
      </c>
      <c r="E40" s="470">
        <v>1101933.0550126329</v>
      </c>
      <c r="F40" s="470">
        <v>187993.93098736706</v>
      </c>
    </row>
    <row r="41" spans="2:6" ht="17.25" customHeight="1">
      <c r="B41" s="360"/>
      <c r="C41" s="358"/>
      <c r="D41" s="359"/>
      <c r="E41" s="469"/>
      <c r="F41" s="469"/>
    </row>
    <row r="42" spans="2:6" ht="17.25" customHeight="1">
      <c r="B42" s="360">
        <v>1179000</v>
      </c>
      <c r="C42" s="358"/>
      <c r="D42" s="359"/>
      <c r="E42" s="469"/>
      <c r="F42" s="469"/>
    </row>
    <row r="43" spans="2:6" ht="17.25" customHeight="1">
      <c r="B43" s="438" t="s">
        <v>237</v>
      </c>
      <c r="C43" s="358">
        <v>1215.94</v>
      </c>
      <c r="D43" s="359">
        <v>184028.76828000002</v>
      </c>
      <c r="E43" s="469">
        <v>159230.05292157881</v>
      </c>
      <c r="F43" s="469">
        <v>24798.715358421206</v>
      </c>
    </row>
    <row r="44" spans="2:6" ht="17.25" customHeight="1">
      <c r="B44" s="438" t="s">
        <v>238</v>
      </c>
      <c r="C44" s="358">
        <v>78055.053</v>
      </c>
      <c r="D44" s="359">
        <v>92424.99</v>
      </c>
      <c r="E44" s="469">
        <v>93236.76</v>
      </c>
      <c r="F44" s="469">
        <v>-811.76999999998952</v>
      </c>
    </row>
    <row r="45" spans="2:6" ht="17.25" customHeight="1">
      <c r="B45" s="438" t="s">
        <v>239</v>
      </c>
      <c r="C45" s="358">
        <v>960</v>
      </c>
      <c r="D45" s="359">
        <v>234059.15</v>
      </c>
      <c r="E45" s="469">
        <v>220893.41999999998</v>
      </c>
      <c r="F45" s="469">
        <v>13165.73000000001</v>
      </c>
    </row>
    <row r="46" spans="2:6" ht="17.25" customHeight="1">
      <c r="B46" s="438" t="s">
        <v>240</v>
      </c>
      <c r="C46" s="358">
        <v>665</v>
      </c>
      <c r="D46" s="359">
        <v>290448.81</v>
      </c>
      <c r="E46" s="469">
        <v>178436.03604303085</v>
      </c>
      <c r="F46" s="469">
        <v>112012.77395696915</v>
      </c>
    </row>
    <row r="47" spans="2:6" ht="17.25" customHeight="1">
      <c r="B47" s="438" t="s">
        <v>241</v>
      </c>
      <c r="C47" s="358">
        <v>29451</v>
      </c>
      <c r="D47" s="359">
        <v>231569.35284599997</v>
      </c>
      <c r="E47" s="469">
        <v>209588.82011100001</v>
      </c>
      <c r="F47" s="469">
        <v>21980.532734999964</v>
      </c>
    </row>
    <row r="48" spans="2:6" ht="17.25" customHeight="1">
      <c r="B48" s="438" t="s">
        <v>242</v>
      </c>
      <c r="C48" s="358">
        <v>207636</v>
      </c>
      <c r="D48" s="359">
        <v>1096364.27</v>
      </c>
      <c r="E48" s="469">
        <v>1125066.0470753058</v>
      </c>
      <c r="F48" s="469">
        <v>-28701.777075305879</v>
      </c>
    </row>
    <row r="49" spans="2:6" ht="17.25" customHeight="1">
      <c r="B49" s="438" t="s">
        <v>243</v>
      </c>
      <c r="C49" s="358">
        <v>2886.1309999999999</v>
      </c>
      <c r="D49" s="359">
        <v>347490.17</v>
      </c>
      <c r="E49" s="469">
        <v>301398.61587744713</v>
      </c>
      <c r="F49" s="469">
        <v>46091.554122552858</v>
      </c>
    </row>
    <row r="50" spans="2:6" ht="17.25" customHeight="1">
      <c r="B50" s="438" t="s">
        <v>244</v>
      </c>
      <c r="C50" s="358">
        <v>1084</v>
      </c>
      <c r="D50" s="359">
        <v>219857.60066299999</v>
      </c>
      <c r="E50" s="469">
        <v>187229.21301100001</v>
      </c>
      <c r="F50" s="469">
        <v>32628.38765199999</v>
      </c>
    </row>
    <row r="51" spans="2:6" ht="17.25" customHeight="1">
      <c r="B51" s="438" t="s">
        <v>245</v>
      </c>
      <c r="C51" s="358">
        <v>1250</v>
      </c>
      <c r="D51" s="359">
        <v>215884.08153999998</v>
      </c>
      <c r="E51" s="469">
        <v>224017.67946799996</v>
      </c>
      <c r="F51" s="469">
        <v>-8133.5979279999883</v>
      </c>
    </row>
    <row r="52" spans="2:6" ht="17.25" customHeight="1">
      <c r="B52" s="438" t="s">
        <v>246</v>
      </c>
      <c r="C52" s="358">
        <v>2951</v>
      </c>
      <c r="D52" s="359">
        <v>205401.52</v>
      </c>
      <c r="E52" s="469">
        <v>186046.95225490196</v>
      </c>
      <c r="F52" s="469">
        <v>19354.567745098029</v>
      </c>
    </row>
    <row r="53" spans="2:6" ht="17.25" customHeight="1">
      <c r="B53" s="438" t="s">
        <v>247</v>
      </c>
      <c r="C53" s="358">
        <v>2018.6500000000003</v>
      </c>
      <c r="D53" s="359">
        <v>333470.49298049998</v>
      </c>
      <c r="E53" s="469">
        <v>340015.95212103048</v>
      </c>
      <c r="F53" s="469">
        <v>-6545.4591405304673</v>
      </c>
    </row>
    <row r="54" spans="2:6" ht="17.25" customHeight="1">
      <c r="B54" s="438" t="s">
        <v>248</v>
      </c>
      <c r="C54" s="358">
        <v>211.77396000000002</v>
      </c>
      <c r="D54" s="359">
        <v>14581.088145373513</v>
      </c>
      <c r="E54" s="469">
        <v>21177.5390157656</v>
      </c>
      <c r="F54" s="469">
        <v>-6596.4508703920919</v>
      </c>
    </row>
    <row r="55" spans="2:6" ht="17.25" customHeight="1">
      <c r="B55" s="438" t="s">
        <v>249</v>
      </c>
      <c r="C55" s="358">
        <v>21029.05</v>
      </c>
      <c r="D55" s="359">
        <v>21029.05</v>
      </c>
      <c r="E55" s="469">
        <v>15140.915999999999</v>
      </c>
      <c r="F55" s="469">
        <v>5888.134</v>
      </c>
    </row>
    <row r="56" spans="2:6" ht="17.25" customHeight="1">
      <c r="B56" s="438" t="s">
        <v>250</v>
      </c>
      <c r="C56" s="358">
        <v>4810.6499999999996</v>
      </c>
      <c r="D56" s="359">
        <v>4810.6499999999996</v>
      </c>
      <c r="E56" s="469">
        <v>4522.0110000000004</v>
      </c>
      <c r="F56" s="469">
        <v>288.63899999999921</v>
      </c>
    </row>
    <row r="57" spans="2:6" ht="17.25" customHeight="1">
      <c r="B57" s="438" t="s">
        <v>251</v>
      </c>
      <c r="C57" s="358">
        <v>3888.24</v>
      </c>
      <c r="D57" s="359">
        <v>3888.24</v>
      </c>
      <c r="E57" s="469">
        <v>3888.24</v>
      </c>
      <c r="F57" s="469">
        <v>0</v>
      </c>
    </row>
    <row r="58" spans="2:6" ht="17.25" customHeight="1">
      <c r="B58" s="438" t="s">
        <v>252</v>
      </c>
      <c r="C58" s="358">
        <v>2108.65</v>
      </c>
      <c r="D58" s="359">
        <v>221326.861</v>
      </c>
      <c r="E58" s="469">
        <v>387393.95077396568</v>
      </c>
      <c r="F58" s="469">
        <v>-166067.08977396571</v>
      </c>
    </row>
    <row r="59" spans="2:6" ht="17.25" customHeight="1">
      <c r="B59" s="438" t="s">
        <v>253</v>
      </c>
      <c r="C59" s="358">
        <v>5738.18</v>
      </c>
      <c r="D59" s="359">
        <v>5738.18</v>
      </c>
      <c r="E59" s="469">
        <v>4500</v>
      </c>
      <c r="F59" s="469">
        <v>1238.1800000000003</v>
      </c>
    </row>
    <row r="60" spans="2:6" ht="17.25" customHeight="1">
      <c r="B60" s="438" t="s">
        <v>254</v>
      </c>
      <c r="C60" s="358">
        <v>1.49</v>
      </c>
      <c r="D60" s="359">
        <v>533.36</v>
      </c>
      <c r="E60" s="469">
        <v>212.84649999999999</v>
      </c>
      <c r="F60" s="469">
        <v>320.51350000000002</v>
      </c>
    </row>
    <row r="61" spans="2:6" ht="17.25" customHeight="1">
      <c r="B61" s="438" t="s">
        <v>255</v>
      </c>
      <c r="C61" s="358">
        <v>2890</v>
      </c>
      <c r="D61" s="359">
        <v>172374.98433599999</v>
      </c>
      <c r="E61" s="469">
        <v>212106.00756350002</v>
      </c>
      <c r="F61" s="469">
        <v>-39731.023227500002</v>
      </c>
    </row>
    <row r="62" spans="2:6" ht="17.25" customHeight="1">
      <c r="B62" s="438" t="s">
        <v>256</v>
      </c>
      <c r="C62" s="358">
        <v>2428.4</v>
      </c>
      <c r="D62" s="359">
        <v>362848.23098350002</v>
      </c>
      <c r="E62" s="469">
        <v>452002.50736505334</v>
      </c>
      <c r="F62" s="469">
        <v>-89154.27638155334</v>
      </c>
    </row>
    <row r="63" spans="2:6" ht="17.25" customHeight="1">
      <c r="B63" s="438" t="s">
        <v>257</v>
      </c>
      <c r="C63" s="358">
        <v>1620</v>
      </c>
      <c r="D63" s="359">
        <v>209752.98</v>
      </c>
      <c r="E63" s="469">
        <v>213553.43999999997</v>
      </c>
      <c r="F63" s="469">
        <v>-3800.4599999999627</v>
      </c>
    </row>
    <row r="64" spans="2:6" ht="17.25" customHeight="1">
      <c r="B64" s="438" t="s">
        <v>258</v>
      </c>
      <c r="C64" s="358">
        <v>19995.530999999999</v>
      </c>
      <c r="D64" s="359">
        <v>214352.10072000042</v>
      </c>
      <c r="E64" s="469">
        <v>221676.12</v>
      </c>
      <c r="F64" s="469">
        <v>-7324.019279999593</v>
      </c>
    </row>
    <row r="65" spans="2:6" ht="17.25" customHeight="1">
      <c r="B65" s="438" t="s">
        <v>259</v>
      </c>
      <c r="C65" s="358">
        <v>138.93</v>
      </c>
      <c r="D65" s="359">
        <v>147401.56</v>
      </c>
      <c r="E65" s="469">
        <v>120000.32687506678</v>
      </c>
      <c r="F65" s="469">
        <v>27401.233124933216</v>
      </c>
    </row>
    <row r="66" spans="2:6" ht="17.25" customHeight="1">
      <c r="B66" s="439" t="s">
        <v>260</v>
      </c>
      <c r="C66" s="407">
        <v>393033.6689600001</v>
      </c>
      <c r="D66" s="408">
        <v>4829636.4914943743</v>
      </c>
      <c r="E66" s="470">
        <v>4881333.453976647</v>
      </c>
      <c r="F66" s="470">
        <v>-51696.962482272575</v>
      </c>
    </row>
    <row r="67" spans="2:6" ht="17.25" customHeight="1">
      <c r="B67" s="360"/>
      <c r="C67" s="358"/>
      <c r="D67" s="359"/>
      <c r="E67" s="469"/>
      <c r="F67" s="469"/>
    </row>
    <row r="68" spans="2:6" ht="17.25" customHeight="1">
      <c r="B68" s="360">
        <v>1427200</v>
      </c>
      <c r="C68" s="358"/>
      <c r="D68" s="359"/>
      <c r="E68" s="469"/>
      <c r="F68" s="469"/>
    </row>
    <row r="69" spans="2:6" ht="17.25" customHeight="1">
      <c r="B69" s="438" t="s">
        <v>261</v>
      </c>
      <c r="C69" s="358">
        <v>46</v>
      </c>
      <c r="D69" s="359">
        <v>7106.9</v>
      </c>
      <c r="E69" s="469">
        <v>37248.45626794258</v>
      </c>
      <c r="F69" s="469">
        <v>-30141.556267942582</v>
      </c>
    </row>
    <row r="70" spans="2:6" ht="17.25" customHeight="1">
      <c r="B70" s="438" t="s">
        <v>262</v>
      </c>
      <c r="C70" s="358">
        <v>72</v>
      </c>
      <c r="D70" s="359">
        <v>10403.48</v>
      </c>
      <c r="E70" s="469">
        <v>10826.640000000001</v>
      </c>
      <c r="F70" s="469">
        <v>-423.16000000000031</v>
      </c>
    </row>
    <row r="71" spans="2:6" ht="17.25" customHeight="1">
      <c r="B71" s="438" t="s">
        <v>263</v>
      </c>
      <c r="C71" s="358">
        <v>72</v>
      </c>
      <c r="D71" s="359">
        <v>7926.4400000000005</v>
      </c>
      <c r="E71" s="469">
        <v>9198</v>
      </c>
      <c r="F71" s="469">
        <v>-1271.56</v>
      </c>
    </row>
    <row r="72" spans="2:6" ht="17.25" customHeight="1">
      <c r="B72" s="438" t="s">
        <v>264</v>
      </c>
      <c r="C72" s="358">
        <v>23</v>
      </c>
      <c r="D72" s="359">
        <v>5227.7999999999993</v>
      </c>
      <c r="E72" s="469">
        <v>5528.7345238095231</v>
      </c>
      <c r="F72" s="469">
        <v>-300.93452380952419</v>
      </c>
    </row>
    <row r="73" spans="2:6" ht="17.25" customHeight="1">
      <c r="B73" s="438" t="s">
        <v>265</v>
      </c>
      <c r="C73" s="358">
        <v>548</v>
      </c>
      <c r="D73" s="359">
        <v>9460.1800000000094</v>
      </c>
      <c r="E73" s="469">
        <v>15483.338695652168</v>
      </c>
      <c r="F73" s="469">
        <v>-6023.158695652176</v>
      </c>
    </row>
    <row r="74" spans="2:6" ht="17.25" customHeight="1">
      <c r="B74" s="438" t="s">
        <v>266</v>
      </c>
      <c r="C74" s="358">
        <v>176</v>
      </c>
      <c r="D74" s="359">
        <v>29293.270000000004</v>
      </c>
      <c r="E74" s="469">
        <v>48267.880000000012</v>
      </c>
      <c r="F74" s="469">
        <v>-18974.610000000008</v>
      </c>
    </row>
    <row r="75" spans="2:6" ht="17.25" customHeight="1">
      <c r="B75" s="438" t="s">
        <v>267</v>
      </c>
      <c r="C75" s="358">
        <v>27</v>
      </c>
      <c r="D75" s="359">
        <v>8044.91</v>
      </c>
      <c r="E75" s="469">
        <v>8942.9870642201822</v>
      </c>
      <c r="F75" s="469">
        <v>-898.07706422018282</v>
      </c>
    </row>
    <row r="76" spans="2:6" ht="17.25" customHeight="1">
      <c r="B76" s="438" t="s">
        <v>268</v>
      </c>
      <c r="C76" s="358">
        <v>13</v>
      </c>
      <c r="D76" s="359">
        <v>3116.2</v>
      </c>
      <c r="E76" s="469">
        <v>4959.1733333333341</v>
      </c>
      <c r="F76" s="469">
        <v>-1842.9733333333336</v>
      </c>
    </row>
    <row r="77" spans="2:6" ht="17.25" customHeight="1">
      <c r="B77" s="438" t="s">
        <v>269</v>
      </c>
      <c r="C77" s="358">
        <v>32</v>
      </c>
      <c r="D77" s="359">
        <v>8741.39</v>
      </c>
      <c r="E77" s="469">
        <v>8430.6025316455689</v>
      </c>
      <c r="F77" s="469">
        <v>310.78746835443189</v>
      </c>
    </row>
    <row r="78" spans="2:6" ht="17.25" customHeight="1">
      <c r="B78" s="438" t="s">
        <v>270</v>
      </c>
      <c r="C78" s="358">
        <v>26</v>
      </c>
      <c r="D78" s="359">
        <v>7980.31</v>
      </c>
      <c r="E78" s="469">
        <v>11928.33</v>
      </c>
      <c r="F78" s="469">
        <v>-3948.0200000000013</v>
      </c>
    </row>
    <row r="79" spans="2:6" ht="17.25" customHeight="1">
      <c r="B79" s="438" t="s">
        <v>271</v>
      </c>
      <c r="C79" s="358">
        <v>10</v>
      </c>
      <c r="D79" s="359">
        <v>1755.31</v>
      </c>
      <c r="E79" s="469">
        <v>3010.4770270270269</v>
      </c>
      <c r="F79" s="469">
        <v>-1255.167027027027</v>
      </c>
    </row>
    <row r="80" spans="2:6" ht="17.25" customHeight="1">
      <c r="B80" s="438" t="s">
        <v>272</v>
      </c>
      <c r="C80" s="358">
        <v>19</v>
      </c>
      <c r="D80" s="359">
        <v>5233.58</v>
      </c>
      <c r="E80" s="469">
        <v>6551.8171999999995</v>
      </c>
      <c r="F80" s="469">
        <v>-1318.2371999999998</v>
      </c>
    </row>
    <row r="81" spans="2:6" ht="17.25" customHeight="1">
      <c r="B81" s="438" t="s">
        <v>273</v>
      </c>
      <c r="C81" s="358">
        <v>40</v>
      </c>
      <c r="D81" s="359">
        <v>8353.36</v>
      </c>
      <c r="E81" s="469">
        <v>8282.7999999999993</v>
      </c>
      <c r="F81" s="469">
        <v>70.559999999999945</v>
      </c>
    </row>
    <row r="82" spans="2:6" ht="17.25" customHeight="1">
      <c r="B82" s="438" t="s">
        <v>274</v>
      </c>
      <c r="C82" s="358">
        <v>28</v>
      </c>
      <c r="D82" s="359">
        <v>700.51</v>
      </c>
      <c r="E82" s="469">
        <v>1853.9666666666669</v>
      </c>
      <c r="F82" s="469">
        <v>-1153.4566666666667</v>
      </c>
    </row>
    <row r="83" spans="2:6" ht="17.25" customHeight="1">
      <c r="B83" s="438" t="s">
        <v>275</v>
      </c>
      <c r="C83" s="358">
        <v>48</v>
      </c>
      <c r="D83" s="359">
        <v>5221.45</v>
      </c>
      <c r="E83" s="469">
        <v>6732.0700000000015</v>
      </c>
      <c r="F83" s="469">
        <v>-1510.6199999999997</v>
      </c>
    </row>
    <row r="84" spans="2:6" ht="17.25" customHeight="1">
      <c r="B84" s="438" t="s">
        <v>276</v>
      </c>
      <c r="C84" s="358">
        <v>40</v>
      </c>
      <c r="D84" s="359">
        <v>4928.57</v>
      </c>
      <c r="E84" s="469">
        <v>6620.8799999999992</v>
      </c>
      <c r="F84" s="469">
        <v>-1692.3099999999995</v>
      </c>
    </row>
    <row r="85" spans="2:6" ht="17.25" customHeight="1">
      <c r="B85" s="438" t="s">
        <v>277</v>
      </c>
      <c r="C85" s="358">
        <v>97</v>
      </c>
      <c r="D85" s="359">
        <v>4463.4299999999994</v>
      </c>
      <c r="E85" s="469">
        <v>5816.0906060606048</v>
      </c>
      <c r="F85" s="469">
        <v>-1352.6606060606061</v>
      </c>
    </row>
    <row r="86" spans="2:6" ht="17.25" customHeight="1">
      <c r="B86" s="438" t="s">
        <v>278</v>
      </c>
      <c r="C86" s="358">
        <v>4</v>
      </c>
      <c r="D86" s="359">
        <v>1844.84</v>
      </c>
      <c r="E86" s="469">
        <v>1783.84</v>
      </c>
      <c r="F86" s="469">
        <v>61</v>
      </c>
    </row>
    <row r="87" spans="2:6" ht="17.25" customHeight="1">
      <c r="B87" s="438" t="s">
        <v>279</v>
      </c>
      <c r="C87" s="358">
        <v>359</v>
      </c>
      <c r="D87" s="359">
        <v>3464.5200000000004</v>
      </c>
      <c r="E87" s="469">
        <v>6768</v>
      </c>
      <c r="F87" s="469">
        <v>-3303.4800000000009</v>
      </c>
    </row>
    <row r="88" spans="2:6" ht="17.25" customHeight="1">
      <c r="B88" s="438" t="s">
        <v>280</v>
      </c>
      <c r="C88" s="358">
        <v>45</v>
      </c>
      <c r="D88" s="359">
        <v>3888.82</v>
      </c>
      <c r="E88" s="469">
        <v>12747.51</v>
      </c>
      <c r="F88" s="469">
        <v>-8858.6899999999987</v>
      </c>
    </row>
    <row r="89" spans="2:6" ht="17.25" customHeight="1">
      <c r="B89" s="438" t="s">
        <v>201</v>
      </c>
      <c r="C89" s="358">
        <v>16</v>
      </c>
      <c r="D89" s="359">
        <v>2695.25</v>
      </c>
      <c r="E89" s="469">
        <v>2831.04</v>
      </c>
      <c r="F89" s="469">
        <v>-135.78999999999996</v>
      </c>
    </row>
    <row r="90" spans="2:6" ht="17.25" customHeight="1">
      <c r="B90" s="438" t="s">
        <v>281</v>
      </c>
      <c r="C90" s="358">
        <v>31</v>
      </c>
      <c r="D90" s="359">
        <v>4982.3</v>
      </c>
      <c r="E90" s="469">
        <v>7614.5300000000007</v>
      </c>
      <c r="F90" s="469">
        <v>-2632.23</v>
      </c>
    </row>
    <row r="91" spans="2:6" ht="17.25" customHeight="1">
      <c r="B91" s="438" t="s">
        <v>282</v>
      </c>
      <c r="C91" s="358">
        <v>107</v>
      </c>
      <c r="D91" s="359">
        <v>5543.2</v>
      </c>
      <c r="E91" s="469">
        <v>6656.14</v>
      </c>
      <c r="F91" s="469">
        <v>-1112.9399999999996</v>
      </c>
    </row>
    <row r="92" spans="2:6" ht="17.25" customHeight="1">
      <c r="B92" s="439" t="s">
        <v>283</v>
      </c>
      <c r="C92" s="407">
        <v>1879</v>
      </c>
      <c r="D92" s="408">
        <v>150376.01999999999</v>
      </c>
      <c r="E92" s="470">
        <v>238083.30391635769</v>
      </c>
      <c r="F92" s="470">
        <v>-87707.283916357657</v>
      </c>
    </row>
    <row r="93" spans="2:6" ht="17.25" customHeight="1">
      <c r="B93" s="360"/>
      <c r="C93" s="358"/>
      <c r="D93" s="359"/>
      <c r="E93" s="469"/>
      <c r="F93" s="469"/>
    </row>
    <row r="94" spans="2:6" ht="17.25" customHeight="1">
      <c r="B94" s="360" t="s">
        <v>11</v>
      </c>
      <c r="C94" s="358"/>
      <c r="D94" s="359"/>
      <c r="E94" s="469"/>
      <c r="F94" s="469"/>
    </row>
    <row r="95" spans="2:6" ht="17.25" customHeight="1">
      <c r="B95" s="438" t="s">
        <v>284</v>
      </c>
      <c r="C95" s="358">
        <v>1503.31</v>
      </c>
      <c r="D95" s="359">
        <v>200000</v>
      </c>
      <c r="E95" s="469">
        <v>208734.14984065227</v>
      </c>
      <c r="F95" s="469">
        <v>-8734.1498406522733</v>
      </c>
    </row>
    <row r="96" spans="2:6" ht="17.25" customHeight="1">
      <c r="B96" s="439" t="s">
        <v>285</v>
      </c>
      <c r="C96" s="407">
        <v>1503.31</v>
      </c>
      <c r="D96" s="408">
        <v>200000</v>
      </c>
      <c r="E96" s="470">
        <v>208734.14984065227</v>
      </c>
      <c r="F96" s="470">
        <v>-8734.1498406522733</v>
      </c>
    </row>
    <row r="97" spans="2:6" ht="17.25" customHeight="1">
      <c r="B97" s="360"/>
      <c r="C97" s="358"/>
      <c r="D97" s="359"/>
      <c r="E97" s="469"/>
      <c r="F97" s="469"/>
    </row>
    <row r="98" spans="2:6" ht="17.25" customHeight="1">
      <c r="B98" s="238" t="s">
        <v>286</v>
      </c>
      <c r="C98" s="358">
        <v>407687.97896000009</v>
      </c>
      <c r="D98" s="359">
        <v>6469939.4974943725</v>
      </c>
      <c r="E98" s="469">
        <v>6430083.9627462877</v>
      </c>
      <c r="F98" s="469">
        <v>39855.534748084552</v>
      </c>
    </row>
    <row r="99" spans="2:6" ht="17.25" customHeight="1">
      <c r="B99" s="238"/>
      <c r="C99" s="358"/>
      <c r="D99" s="359"/>
      <c r="E99" s="469"/>
      <c r="F99" s="469"/>
    </row>
    <row r="100" spans="2:6" ht="17.25" customHeight="1">
      <c r="B100" s="345" t="s">
        <v>287</v>
      </c>
      <c r="C100" s="344">
        <v>407687.97896000009</v>
      </c>
      <c r="D100" s="346">
        <v>6469939.4974943725</v>
      </c>
      <c r="E100" s="471">
        <v>6430083.9627462877</v>
      </c>
      <c r="F100" s="471">
        <v>39855.534748084552</v>
      </c>
    </row>
    <row r="101" spans="2:6" ht="17.25" customHeight="1">
      <c r="B101"/>
      <c r="C101"/>
      <c r="D101"/>
      <c r="E101"/>
      <c r="F101"/>
    </row>
    <row r="102" spans="2:6" ht="17.25" customHeight="1">
      <c r="B102"/>
      <c r="C102"/>
      <c r="D102"/>
      <c r="E102"/>
      <c r="F102"/>
    </row>
    <row r="103" spans="2:6" ht="17.25" customHeight="1">
      <c r="B103"/>
      <c r="C103"/>
      <c r="D103"/>
      <c r="E103"/>
      <c r="F103"/>
    </row>
    <row r="104" spans="2:6" ht="17.25" customHeight="1">
      <c r="B104"/>
      <c r="C104"/>
      <c r="D104"/>
      <c r="E104"/>
      <c r="F104"/>
    </row>
    <row r="105" spans="2:6" ht="17.25" customHeight="1">
      <c r="B105"/>
      <c r="C105"/>
      <c r="D105"/>
      <c r="E105"/>
      <c r="F105"/>
    </row>
    <row r="106" spans="2:6" ht="17.25" customHeight="1">
      <c r="B106"/>
      <c r="C106"/>
      <c r="D106"/>
      <c r="E106"/>
      <c r="F106"/>
    </row>
    <row r="107" spans="2:6" ht="17.25" customHeight="1">
      <c r="B107"/>
      <c r="C107"/>
      <c r="D107"/>
      <c r="E107"/>
      <c r="F107"/>
    </row>
  </sheetData>
  <mergeCells count="3">
    <mergeCell ref="H2:L2"/>
    <mergeCell ref="B3:E3"/>
    <mergeCell ref="B2:F2"/>
  </mergeCells>
  <phoneticPr fontId="9" type="noConversion"/>
  <printOptions horizontalCentered="1"/>
  <pageMargins left="0.7" right="0.7" top="0.75" bottom="0.75" header="0.3" footer="0.3"/>
  <pageSetup fitToHeight="3"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96D5-89CA-DA48-ADBC-7A5C26CD4165}">
  <sheetPr>
    <pageSetUpPr fitToPage="1"/>
  </sheetPr>
  <dimension ref="B3:T3033"/>
  <sheetViews>
    <sheetView topLeftCell="D1" zoomScale="110" zoomScaleNormal="110" zoomScaleSheetLayoutView="100" workbookViewId="0">
      <pane ySplit="6" topLeftCell="A630" activePane="bottomLeft" state="frozen"/>
      <selection pane="bottomLeft" activeCell="C69" sqref="C69"/>
    </sheetView>
  </sheetViews>
  <sheetFormatPr defaultColWidth="10.6640625" defaultRowHeight="15.95"/>
  <cols>
    <col min="1" max="1" width="10.6640625" style="12"/>
    <col min="2" max="2" width="23" style="12" customWidth="1"/>
    <col min="3" max="3" width="32.88671875" style="12" customWidth="1"/>
    <col min="4" max="5" width="12.5546875" style="12" customWidth="1"/>
    <col min="6" max="6" width="12.5546875" style="112" customWidth="1"/>
    <col min="7" max="7" width="16.33203125" style="12" bestFit="1" customWidth="1"/>
    <col min="8" max="8" width="10" style="112" bestFit="1" customWidth="1"/>
    <col min="9" max="9" width="12.44140625" style="12" bestFit="1" customWidth="1"/>
    <col min="10" max="10" width="8.5546875" style="12" bestFit="1" customWidth="1"/>
    <col min="11" max="11" width="12.77734375" style="12" bestFit="1" customWidth="1"/>
    <col min="12" max="12" width="12.5546875" style="112" bestFit="1" customWidth="1"/>
    <col min="13" max="13" width="9.44140625" style="112" bestFit="1" customWidth="1"/>
    <col min="14" max="14" width="12.33203125" style="112" bestFit="1" customWidth="1"/>
    <col min="15" max="15" width="12.109375" style="12" bestFit="1" customWidth="1"/>
    <col min="16" max="16" width="16.5546875" style="12" customWidth="1"/>
    <col min="17" max="18" width="7" style="12" bestFit="1" customWidth="1"/>
    <col min="19" max="19" width="10" style="12" bestFit="1" customWidth="1"/>
    <col min="20" max="20" width="12" style="12" bestFit="1" customWidth="1"/>
    <col min="21" max="16384" width="10.6640625" style="12"/>
  </cols>
  <sheetData>
    <row r="3" spans="2:20" ht="23.1">
      <c r="B3" s="205" t="s">
        <v>288</v>
      </c>
      <c r="C3" s="205"/>
      <c r="D3" s="205"/>
      <c r="E3" s="205"/>
      <c r="F3" s="205"/>
      <c r="G3" s="205"/>
      <c r="H3" s="205"/>
      <c r="I3" s="205"/>
      <c r="J3" s="205"/>
      <c r="K3" s="205"/>
      <c r="L3" s="205"/>
      <c r="M3" s="205"/>
      <c r="N3" s="205"/>
      <c r="O3" s="205"/>
      <c r="P3" s="205"/>
      <c r="Q3" s="205"/>
      <c r="R3" s="205"/>
      <c r="S3" s="205"/>
      <c r="T3" s="205"/>
    </row>
    <row r="4" spans="2:20" s="126" customFormat="1">
      <c r="B4" s="91" t="s">
        <v>224</v>
      </c>
      <c r="C4" s="91"/>
      <c r="D4" s="91"/>
      <c r="E4" s="91"/>
      <c r="F4" s="91"/>
      <c r="G4" s="91"/>
      <c r="H4" s="91"/>
      <c r="I4" s="91"/>
      <c r="J4" s="91"/>
      <c r="K4" s="91"/>
      <c r="L4" s="91"/>
      <c r="M4" s="91"/>
      <c r="N4" s="91"/>
      <c r="O4" s="91"/>
      <c r="P4" s="91"/>
      <c r="Q4" s="91"/>
      <c r="R4" s="91"/>
      <c r="S4" s="91"/>
      <c r="T4" s="91"/>
    </row>
    <row r="5" spans="2:20" ht="14.1" customHeight="1">
      <c r="B5" s="79" t="s">
        <v>41</v>
      </c>
      <c r="C5" s="79" t="s">
        <v>42</v>
      </c>
      <c r="D5" s="79"/>
      <c r="E5" s="80"/>
      <c r="F5" s="80"/>
      <c r="G5" s="80"/>
      <c r="H5" s="80"/>
      <c r="I5" s="80"/>
      <c r="J5" s="80"/>
      <c r="K5" s="79"/>
      <c r="L5" s="80"/>
      <c r="M5" s="80"/>
      <c r="N5" s="80"/>
      <c r="O5" s="80"/>
      <c r="P5" s="91"/>
      <c r="Q5" s="91"/>
      <c r="R5" s="91"/>
      <c r="S5" s="91"/>
      <c r="T5" s="91"/>
    </row>
    <row r="6" spans="2:20" s="128" customFormat="1" ht="43.5">
      <c r="B6" s="125" t="s">
        <v>103</v>
      </c>
      <c r="C6" s="125" t="s">
        <v>289</v>
      </c>
      <c r="D6" s="125" t="s">
        <v>290</v>
      </c>
      <c r="E6" s="125" t="s">
        <v>291</v>
      </c>
      <c r="F6" s="125" t="s">
        <v>292</v>
      </c>
      <c r="G6" s="125" t="s">
        <v>293</v>
      </c>
      <c r="H6" s="125" t="s">
        <v>294</v>
      </c>
      <c r="I6" s="125" t="s">
        <v>295</v>
      </c>
      <c r="J6" s="125" t="s">
        <v>296</v>
      </c>
      <c r="K6" s="125" t="s">
        <v>297</v>
      </c>
      <c r="L6" s="125" t="s">
        <v>298</v>
      </c>
      <c r="M6" s="125" t="s">
        <v>299</v>
      </c>
      <c r="N6" s="125" t="s">
        <v>228</v>
      </c>
      <c r="O6" s="125" t="s">
        <v>229</v>
      </c>
      <c r="P6"/>
      <c r="Q6"/>
      <c r="R6"/>
      <c r="S6"/>
      <c r="T6"/>
    </row>
    <row r="7" spans="2:20" ht="17.25">
      <c r="B7" s="12">
        <v>1175000</v>
      </c>
      <c r="F7" s="12"/>
      <c r="H7" s="409"/>
      <c r="I7" s="358"/>
      <c r="J7" s="442"/>
      <c r="K7" s="280"/>
      <c r="L7" s="358"/>
      <c r="M7" s="579"/>
      <c r="N7" s="469"/>
      <c r="O7" s="469"/>
      <c r="P7"/>
      <c r="Q7"/>
      <c r="R7"/>
      <c r="S7"/>
      <c r="T7"/>
    </row>
    <row r="8" spans="2:20" ht="17.25">
      <c r="C8" s="12" t="s">
        <v>231</v>
      </c>
      <c r="F8" s="12"/>
      <c r="H8" s="409"/>
      <c r="I8" s="358"/>
      <c r="J8" s="442"/>
      <c r="K8" s="280"/>
      <c r="L8" s="358"/>
      <c r="M8" s="579"/>
      <c r="N8" s="469"/>
      <c r="O8" s="469"/>
      <c r="P8"/>
      <c r="Q8"/>
      <c r="R8"/>
      <c r="S8"/>
      <c r="T8"/>
    </row>
    <row r="9" spans="2:20" ht="17.25">
      <c r="D9" s="361">
        <v>44582</v>
      </c>
      <c r="E9" s="361"/>
      <c r="F9" s="361"/>
      <c r="G9" s="361"/>
      <c r="H9" s="409"/>
      <c r="I9" s="358"/>
      <c r="J9" s="442"/>
      <c r="K9" s="280"/>
      <c r="L9" s="358"/>
      <c r="M9" s="579"/>
      <c r="N9" s="469"/>
      <c r="O9" s="469"/>
      <c r="P9"/>
      <c r="Q9"/>
      <c r="R9"/>
      <c r="S9"/>
      <c r="T9"/>
    </row>
    <row r="10" spans="2:20" ht="17.25">
      <c r="E10" s="12" t="s">
        <v>33</v>
      </c>
      <c r="F10" s="12"/>
      <c r="H10" s="409"/>
      <c r="I10" s="358"/>
      <c r="J10" s="442"/>
      <c r="K10" s="280"/>
      <c r="L10" s="358"/>
      <c r="M10" s="579"/>
      <c r="N10" s="469"/>
      <c r="O10" s="469"/>
      <c r="P10"/>
      <c r="Q10"/>
      <c r="R10"/>
      <c r="S10"/>
      <c r="T10"/>
    </row>
    <row r="11" spans="2:20" ht="17.25">
      <c r="F11" s="361">
        <v>43830</v>
      </c>
      <c r="G11" s="361"/>
      <c r="H11" s="409"/>
      <c r="I11" s="358"/>
      <c r="J11" s="442"/>
      <c r="K11" s="280"/>
      <c r="L11" s="358"/>
      <c r="M11" s="579"/>
      <c r="N11" s="469"/>
      <c r="O11" s="469"/>
      <c r="P11"/>
      <c r="Q11"/>
      <c r="R11"/>
      <c r="S11"/>
      <c r="T11"/>
    </row>
    <row r="12" spans="2:20" ht="17.25">
      <c r="F12" s="12"/>
      <c r="G12" s="112" t="s">
        <v>33</v>
      </c>
      <c r="H12" s="409">
        <v>28</v>
      </c>
      <c r="I12" s="358">
        <v>9568.73</v>
      </c>
      <c r="J12" s="442">
        <v>1</v>
      </c>
      <c r="K12" s="280">
        <v>9568.73</v>
      </c>
      <c r="L12" s="358">
        <v>2724.9025095057032</v>
      </c>
      <c r="M12" s="579">
        <v>1</v>
      </c>
      <c r="N12" s="469">
        <v>2724.9025095057032</v>
      </c>
      <c r="O12" s="469">
        <v>6843.8274904942964</v>
      </c>
      <c r="P12"/>
      <c r="Q12"/>
      <c r="R12"/>
      <c r="S12"/>
      <c r="T12"/>
    </row>
    <row r="13" spans="2:20" ht="17.25">
      <c r="F13" s="12"/>
      <c r="H13" s="409"/>
      <c r="I13" s="358"/>
      <c r="J13" s="442"/>
      <c r="K13" s="280"/>
      <c r="L13" s="358"/>
      <c r="M13" s="579"/>
      <c r="N13" s="469"/>
      <c r="O13" s="469"/>
      <c r="P13"/>
      <c r="Q13"/>
      <c r="R13"/>
      <c r="S13"/>
      <c r="T13"/>
    </row>
    <row r="14" spans="2:20" ht="17.25">
      <c r="D14" s="361">
        <v>44678</v>
      </c>
      <c r="E14" s="361"/>
      <c r="F14" s="361"/>
      <c r="G14" s="361"/>
      <c r="H14" s="409"/>
      <c r="I14" s="358"/>
      <c r="J14" s="442"/>
      <c r="K14" s="280"/>
      <c r="L14" s="358"/>
      <c r="M14" s="579"/>
      <c r="N14" s="469"/>
      <c r="O14" s="469"/>
      <c r="P14"/>
      <c r="Q14"/>
      <c r="R14"/>
      <c r="S14"/>
      <c r="T14"/>
    </row>
    <row r="15" spans="2:20" ht="17.25">
      <c r="E15" s="12" t="s">
        <v>33</v>
      </c>
      <c r="F15" s="12"/>
      <c r="H15" s="409"/>
      <c r="I15" s="358"/>
      <c r="J15" s="442"/>
      <c r="K15" s="280"/>
      <c r="L15" s="358"/>
      <c r="M15" s="579"/>
      <c r="N15" s="469"/>
      <c r="O15" s="469"/>
      <c r="P15"/>
      <c r="Q15"/>
      <c r="R15"/>
      <c r="S15"/>
      <c r="T15"/>
    </row>
    <row r="16" spans="2:20" ht="17.25">
      <c r="F16" s="361">
        <v>43830</v>
      </c>
      <c r="G16" s="361"/>
      <c r="H16" s="409"/>
      <c r="I16" s="358"/>
      <c r="J16" s="442"/>
      <c r="K16" s="280"/>
      <c r="L16" s="358"/>
      <c r="M16" s="579"/>
      <c r="N16" s="469"/>
      <c r="O16" s="469"/>
      <c r="P16"/>
      <c r="Q16"/>
      <c r="R16"/>
      <c r="S16"/>
      <c r="T16"/>
    </row>
    <row r="17" spans="3:20" ht="17.25">
      <c r="F17" s="12"/>
      <c r="G17" s="112" t="s">
        <v>33</v>
      </c>
      <c r="H17" s="409">
        <v>99</v>
      </c>
      <c r="I17" s="358">
        <v>30282.159999999996</v>
      </c>
      <c r="J17" s="442">
        <v>1</v>
      </c>
      <c r="K17" s="280">
        <v>30282.159999999996</v>
      </c>
      <c r="L17" s="358">
        <v>9634.4767300380227</v>
      </c>
      <c r="M17" s="579">
        <v>1</v>
      </c>
      <c r="N17" s="469">
        <v>9634.4767300380227</v>
      </c>
      <c r="O17" s="469">
        <v>20647.683269961974</v>
      </c>
      <c r="P17"/>
      <c r="Q17"/>
      <c r="R17"/>
      <c r="S17"/>
      <c r="T17"/>
    </row>
    <row r="18" spans="3:20" ht="17.25">
      <c r="F18" s="12"/>
      <c r="H18" s="409"/>
      <c r="I18" s="358"/>
      <c r="J18" s="442"/>
      <c r="K18" s="280"/>
      <c r="L18" s="358"/>
      <c r="M18" s="579"/>
      <c r="N18" s="469"/>
      <c r="O18" s="469"/>
      <c r="P18"/>
      <c r="Q18"/>
      <c r="R18"/>
      <c r="S18"/>
      <c r="T18"/>
    </row>
    <row r="19" spans="3:20" ht="17.25">
      <c r="C19" s="342" t="s">
        <v>300</v>
      </c>
      <c r="D19" s="342"/>
      <c r="E19" s="342"/>
      <c r="F19" s="342"/>
      <c r="G19" s="342"/>
      <c r="H19" s="410">
        <v>127</v>
      </c>
      <c r="I19" s="407">
        <v>39850.89</v>
      </c>
      <c r="J19" s="460">
        <v>1</v>
      </c>
      <c r="K19" s="413">
        <v>39850.89</v>
      </c>
      <c r="L19" s="407">
        <v>12359.379239543727</v>
      </c>
      <c r="M19" s="580">
        <v>1</v>
      </c>
      <c r="N19" s="470">
        <v>12359.379239543727</v>
      </c>
      <c r="O19" s="470">
        <v>27491.510760456269</v>
      </c>
      <c r="P19"/>
      <c r="Q19"/>
      <c r="R19"/>
      <c r="S19"/>
      <c r="T19"/>
    </row>
    <row r="20" spans="3:20" ht="17.25">
      <c r="F20" s="12"/>
      <c r="H20" s="409"/>
      <c r="I20" s="358"/>
      <c r="J20" s="442"/>
      <c r="K20" s="280"/>
      <c r="L20" s="358"/>
      <c r="M20" s="579"/>
      <c r="N20" s="469"/>
      <c r="O20" s="469"/>
      <c r="P20"/>
      <c r="Q20"/>
      <c r="R20"/>
      <c r="S20"/>
      <c r="T20"/>
    </row>
    <row r="21" spans="3:20" ht="17.25">
      <c r="C21" s="12" t="s">
        <v>183</v>
      </c>
      <c r="F21" s="12"/>
      <c r="H21" s="409"/>
      <c r="I21" s="358"/>
      <c r="J21" s="442"/>
      <c r="K21" s="280"/>
      <c r="L21" s="358"/>
      <c r="M21" s="579"/>
      <c r="N21" s="469"/>
      <c r="O21" s="469"/>
      <c r="P21"/>
      <c r="Q21"/>
      <c r="R21"/>
      <c r="S21"/>
      <c r="T21"/>
    </row>
    <row r="22" spans="3:20" ht="17.25">
      <c r="D22" s="361">
        <v>44579</v>
      </c>
      <c r="E22" s="361"/>
      <c r="F22" s="361"/>
      <c r="G22" s="361"/>
      <c r="H22" s="409"/>
      <c r="I22" s="358"/>
      <c r="J22" s="442"/>
      <c r="K22" s="280"/>
      <c r="L22" s="358"/>
      <c r="M22" s="579"/>
      <c r="N22" s="469"/>
      <c r="O22" s="469"/>
      <c r="P22"/>
      <c r="Q22"/>
      <c r="R22"/>
      <c r="S22"/>
      <c r="T22"/>
    </row>
    <row r="23" spans="3:20" ht="17.25">
      <c r="E23" s="12" t="s">
        <v>33</v>
      </c>
      <c r="F23" s="12"/>
      <c r="H23" s="409"/>
      <c r="I23" s="358"/>
      <c r="J23" s="442"/>
      <c r="K23" s="280"/>
      <c r="L23" s="358"/>
      <c r="M23" s="579"/>
      <c r="N23" s="469"/>
      <c r="O23" s="469"/>
      <c r="P23"/>
      <c r="Q23"/>
      <c r="R23"/>
      <c r="S23"/>
      <c r="T23"/>
    </row>
    <row r="24" spans="3:20" ht="17.25">
      <c r="F24" s="361">
        <v>44523</v>
      </c>
      <c r="G24" s="361"/>
      <c r="H24" s="409"/>
      <c r="I24" s="358"/>
      <c r="J24" s="442"/>
      <c r="K24" s="280"/>
      <c r="L24" s="358"/>
      <c r="M24" s="579"/>
      <c r="N24" s="469"/>
      <c r="O24" s="469"/>
      <c r="P24"/>
      <c r="Q24"/>
      <c r="R24"/>
      <c r="S24"/>
      <c r="T24"/>
    </row>
    <row r="25" spans="3:20" ht="17.25">
      <c r="F25" s="12"/>
      <c r="G25" s="112" t="s">
        <v>33</v>
      </c>
      <c r="H25" s="409">
        <v>199</v>
      </c>
      <c r="I25" s="358">
        <v>16274.343822222188</v>
      </c>
      <c r="J25" s="442">
        <v>1</v>
      </c>
      <c r="K25" s="280">
        <v>16274.343822222188</v>
      </c>
      <c r="L25" s="358">
        <v>12316.98</v>
      </c>
      <c r="M25" s="579">
        <v>1</v>
      </c>
      <c r="N25" s="469">
        <v>12316.98</v>
      </c>
      <c r="O25" s="469">
        <v>3957.3638222221875</v>
      </c>
      <c r="P25"/>
      <c r="Q25"/>
      <c r="R25"/>
      <c r="S25"/>
      <c r="T25"/>
    </row>
    <row r="26" spans="3:20" ht="17.25">
      <c r="F26" s="12"/>
      <c r="H26" s="409"/>
      <c r="I26" s="358"/>
      <c r="J26" s="442"/>
      <c r="K26" s="280"/>
      <c r="L26" s="358"/>
      <c r="M26" s="579"/>
      <c r="N26" s="469"/>
      <c r="O26" s="469"/>
      <c r="P26"/>
      <c r="Q26"/>
      <c r="R26"/>
      <c r="S26"/>
      <c r="T26"/>
    </row>
    <row r="27" spans="3:20" ht="17.25">
      <c r="F27" s="361">
        <v>44530</v>
      </c>
      <c r="G27" s="361"/>
      <c r="H27" s="409"/>
      <c r="I27" s="358"/>
      <c r="J27" s="442"/>
      <c r="K27" s="280"/>
      <c r="L27" s="358"/>
      <c r="M27" s="579"/>
      <c r="N27" s="469"/>
      <c r="O27" s="469"/>
      <c r="P27"/>
      <c r="Q27"/>
      <c r="R27"/>
      <c r="S27"/>
      <c r="T27"/>
    </row>
    <row r="28" spans="3:20" ht="17.25">
      <c r="F28" s="12"/>
      <c r="G28" s="112" t="s">
        <v>33</v>
      </c>
      <c r="H28" s="409">
        <v>26</v>
      </c>
      <c r="I28" s="358">
        <v>2126.2961777777778</v>
      </c>
      <c r="J28" s="442">
        <v>1</v>
      </c>
      <c r="K28" s="280">
        <v>2126.2961777777778</v>
      </c>
      <c r="L28" s="358">
        <v>1538.8476842105265</v>
      </c>
      <c r="M28" s="579">
        <v>1</v>
      </c>
      <c r="N28" s="469">
        <v>1538.8476842105265</v>
      </c>
      <c r="O28" s="469">
        <v>587.44849356725126</v>
      </c>
      <c r="P28"/>
      <c r="Q28"/>
      <c r="R28"/>
      <c r="S28"/>
      <c r="T28"/>
    </row>
    <row r="29" spans="3:20" ht="17.25">
      <c r="F29" s="12"/>
      <c r="H29" s="409"/>
      <c r="I29" s="358"/>
      <c r="J29" s="442"/>
      <c r="K29" s="280"/>
      <c r="L29" s="358"/>
      <c r="M29" s="579"/>
      <c r="N29" s="469"/>
      <c r="O29" s="469"/>
      <c r="P29"/>
      <c r="Q29"/>
      <c r="R29"/>
      <c r="S29"/>
      <c r="T29"/>
    </row>
    <row r="30" spans="3:20" ht="17.25">
      <c r="D30" s="361">
        <v>44622</v>
      </c>
      <c r="E30" s="361"/>
      <c r="F30" s="361"/>
      <c r="G30" s="361"/>
      <c r="H30" s="409"/>
      <c r="I30" s="358"/>
      <c r="J30" s="442"/>
      <c r="K30" s="280"/>
      <c r="L30" s="358"/>
      <c r="M30" s="579"/>
      <c r="N30" s="469"/>
      <c r="O30" s="469"/>
      <c r="P30"/>
      <c r="Q30"/>
      <c r="R30"/>
      <c r="S30"/>
      <c r="T30"/>
    </row>
    <row r="31" spans="3:20" ht="17.25">
      <c r="E31" s="12" t="s">
        <v>33</v>
      </c>
      <c r="F31" s="12"/>
      <c r="H31" s="409"/>
      <c r="I31" s="358"/>
      <c r="J31" s="442"/>
      <c r="K31" s="280"/>
      <c r="L31" s="358"/>
      <c r="M31" s="579"/>
      <c r="N31" s="469"/>
      <c r="O31" s="469"/>
      <c r="P31"/>
      <c r="Q31"/>
      <c r="R31"/>
      <c r="S31"/>
      <c r="T31"/>
    </row>
    <row r="32" spans="3:20" ht="17.25">
      <c r="F32" s="361">
        <v>44530</v>
      </c>
      <c r="G32" s="361"/>
      <c r="H32" s="409"/>
      <c r="I32" s="358"/>
      <c r="J32" s="442"/>
      <c r="K32" s="280"/>
      <c r="L32" s="358"/>
      <c r="M32" s="579"/>
      <c r="N32" s="469"/>
      <c r="O32" s="469"/>
      <c r="P32"/>
      <c r="Q32"/>
      <c r="R32"/>
      <c r="S32"/>
      <c r="T32"/>
    </row>
    <row r="33" spans="4:20" ht="17.25">
      <c r="F33" s="12"/>
      <c r="G33" s="112" t="s">
        <v>33</v>
      </c>
      <c r="H33" s="409">
        <v>126</v>
      </c>
      <c r="I33" s="358">
        <v>10253.99</v>
      </c>
      <c r="J33" s="442">
        <v>1</v>
      </c>
      <c r="K33" s="280">
        <v>10253.99</v>
      </c>
      <c r="L33" s="358">
        <v>7455.0176315789477</v>
      </c>
      <c r="M33" s="579">
        <v>1</v>
      </c>
      <c r="N33" s="469">
        <v>7455.0176315789477</v>
      </c>
      <c r="O33" s="469">
        <v>2798.9723684210526</v>
      </c>
      <c r="P33"/>
      <c r="Q33"/>
      <c r="R33"/>
      <c r="S33"/>
      <c r="T33"/>
    </row>
    <row r="34" spans="4:20" ht="17.25">
      <c r="F34" s="12"/>
      <c r="H34" s="409"/>
      <c r="I34" s="358"/>
      <c r="J34" s="442"/>
      <c r="K34" s="280"/>
      <c r="L34" s="358"/>
      <c r="M34" s="579"/>
      <c r="N34" s="469"/>
      <c r="O34" s="469"/>
      <c r="P34"/>
      <c r="Q34"/>
      <c r="R34"/>
      <c r="S34"/>
      <c r="T34"/>
    </row>
    <row r="35" spans="4:20" ht="17.25">
      <c r="D35" s="361">
        <v>44623</v>
      </c>
      <c r="E35" s="361"/>
      <c r="F35" s="361"/>
      <c r="G35" s="361"/>
      <c r="H35" s="409"/>
      <c r="I35" s="358"/>
      <c r="J35" s="442"/>
      <c r="K35" s="280"/>
      <c r="L35" s="358"/>
      <c r="M35" s="579"/>
      <c r="N35" s="469"/>
      <c r="O35" s="469"/>
      <c r="P35"/>
      <c r="Q35"/>
      <c r="R35"/>
      <c r="S35"/>
      <c r="T35"/>
    </row>
    <row r="36" spans="4:20" ht="17.25">
      <c r="E36" s="12" t="s">
        <v>33</v>
      </c>
      <c r="F36" s="12"/>
      <c r="H36" s="409"/>
      <c r="I36" s="358"/>
      <c r="J36" s="442"/>
      <c r="K36" s="280"/>
      <c r="L36" s="358"/>
      <c r="M36" s="579"/>
      <c r="N36" s="469"/>
      <c r="O36" s="469"/>
      <c r="P36"/>
      <c r="Q36"/>
      <c r="R36"/>
      <c r="S36"/>
      <c r="T36"/>
    </row>
    <row r="37" spans="4:20" ht="17.25">
      <c r="F37" s="361">
        <v>44530</v>
      </c>
      <c r="G37" s="361"/>
      <c r="H37" s="409"/>
      <c r="I37" s="358"/>
      <c r="J37" s="442"/>
      <c r="K37" s="280"/>
      <c r="L37" s="358"/>
      <c r="M37" s="579"/>
      <c r="N37" s="469"/>
      <c r="O37" s="469"/>
      <c r="P37"/>
      <c r="Q37"/>
      <c r="R37"/>
      <c r="S37"/>
      <c r="T37"/>
    </row>
    <row r="38" spans="4:20" ht="17.25">
      <c r="F38" s="12"/>
      <c r="G38" s="112" t="s">
        <v>33</v>
      </c>
      <c r="H38" s="409">
        <v>3</v>
      </c>
      <c r="I38" s="358">
        <v>244.56</v>
      </c>
      <c r="J38" s="442">
        <v>1</v>
      </c>
      <c r="K38" s="280">
        <v>244.56</v>
      </c>
      <c r="L38" s="358">
        <v>177.49926315789475</v>
      </c>
      <c r="M38" s="579">
        <v>1</v>
      </c>
      <c r="N38" s="469">
        <v>177.49926315789475</v>
      </c>
      <c r="O38" s="469">
        <v>67.060736842105257</v>
      </c>
      <c r="P38"/>
      <c r="Q38"/>
      <c r="R38"/>
      <c r="S38"/>
      <c r="T38"/>
    </row>
    <row r="39" spans="4:20" ht="17.25">
      <c r="F39" s="12"/>
      <c r="H39" s="409"/>
      <c r="I39" s="358"/>
      <c r="J39" s="442"/>
      <c r="K39" s="280"/>
      <c r="L39" s="358"/>
      <c r="M39" s="579"/>
      <c r="N39" s="469"/>
      <c r="O39" s="469"/>
      <c r="P39"/>
      <c r="Q39"/>
      <c r="R39"/>
      <c r="S39"/>
      <c r="T39"/>
    </row>
    <row r="40" spans="4:20" ht="17.25">
      <c r="D40" s="361">
        <v>44628</v>
      </c>
      <c r="E40" s="361"/>
      <c r="F40" s="361"/>
      <c r="G40" s="361"/>
      <c r="H40" s="409"/>
      <c r="I40" s="358"/>
      <c r="J40" s="442"/>
      <c r="K40" s="280"/>
      <c r="L40" s="358"/>
      <c r="M40" s="579"/>
      <c r="N40" s="469"/>
      <c r="O40" s="469"/>
      <c r="P40"/>
      <c r="Q40"/>
      <c r="R40"/>
      <c r="S40"/>
      <c r="T40"/>
    </row>
    <row r="41" spans="4:20" ht="17.25">
      <c r="E41" s="12" t="s">
        <v>33</v>
      </c>
      <c r="F41" s="12"/>
      <c r="H41" s="409"/>
      <c r="I41" s="358"/>
      <c r="J41" s="442"/>
      <c r="K41" s="280"/>
      <c r="L41" s="358"/>
      <c r="M41" s="579"/>
      <c r="N41" s="469"/>
      <c r="O41" s="469"/>
      <c r="P41"/>
      <c r="Q41"/>
      <c r="R41"/>
      <c r="S41"/>
      <c r="T41"/>
    </row>
    <row r="42" spans="4:20" ht="17.25">
      <c r="F42" s="361">
        <v>44530</v>
      </c>
      <c r="G42" s="361"/>
      <c r="H42" s="409"/>
      <c r="I42" s="358"/>
      <c r="J42" s="442"/>
      <c r="K42" s="280"/>
      <c r="L42" s="358"/>
      <c r="M42" s="579"/>
      <c r="N42" s="469"/>
      <c r="O42" s="469"/>
      <c r="P42"/>
      <c r="Q42"/>
      <c r="R42"/>
      <c r="S42"/>
      <c r="T42"/>
    </row>
    <row r="43" spans="4:20" ht="17.25">
      <c r="F43" s="12"/>
      <c r="G43" s="112" t="s">
        <v>33</v>
      </c>
      <c r="H43" s="409">
        <v>40</v>
      </c>
      <c r="I43" s="358">
        <v>3234.333333333333</v>
      </c>
      <c r="J43" s="442">
        <v>1</v>
      </c>
      <c r="K43" s="280">
        <v>3234.333333333333</v>
      </c>
      <c r="L43" s="358">
        <v>2366.7539999999999</v>
      </c>
      <c r="M43" s="579">
        <v>1</v>
      </c>
      <c r="N43" s="469">
        <v>2366.7539999999999</v>
      </c>
      <c r="O43" s="469">
        <v>867.5793333333329</v>
      </c>
      <c r="P43"/>
      <c r="Q43"/>
      <c r="R43"/>
      <c r="S43"/>
      <c r="T43"/>
    </row>
    <row r="44" spans="4:20" ht="17.25">
      <c r="F44" s="12"/>
      <c r="H44" s="409"/>
      <c r="I44" s="358"/>
      <c r="J44" s="442"/>
      <c r="K44" s="280"/>
      <c r="L44" s="358"/>
      <c r="M44" s="579"/>
      <c r="N44" s="469"/>
      <c r="O44" s="469"/>
    </row>
    <row r="45" spans="4:20" ht="17.25">
      <c r="F45" s="361">
        <v>44544</v>
      </c>
      <c r="G45" s="361"/>
      <c r="H45" s="409"/>
      <c r="I45" s="358"/>
      <c r="J45" s="442"/>
      <c r="K45" s="280"/>
      <c r="L45" s="358"/>
      <c r="M45" s="579"/>
      <c r="N45" s="469"/>
      <c r="O45" s="469"/>
    </row>
    <row r="46" spans="4:20" ht="17.25">
      <c r="F46" s="12"/>
      <c r="G46" s="112" t="s">
        <v>33</v>
      </c>
      <c r="H46" s="409">
        <v>62</v>
      </c>
      <c r="I46" s="358">
        <v>5013.2166666666662</v>
      </c>
      <c r="J46" s="442">
        <v>1</v>
      </c>
      <c r="K46" s="280">
        <v>5013.2166666666662</v>
      </c>
      <c r="L46" s="358">
        <v>3642.0644303797462</v>
      </c>
      <c r="M46" s="579">
        <v>1</v>
      </c>
      <c r="N46" s="469">
        <v>3642.0644303797462</v>
      </c>
      <c r="O46" s="469">
        <v>1371.15223628692</v>
      </c>
    </row>
    <row r="47" spans="4:20" ht="17.25">
      <c r="F47" s="12"/>
      <c r="H47" s="409"/>
      <c r="I47" s="358"/>
      <c r="J47" s="442"/>
      <c r="K47" s="280"/>
      <c r="L47" s="358"/>
      <c r="M47" s="579"/>
      <c r="N47" s="469"/>
      <c r="O47" s="469"/>
    </row>
    <row r="48" spans="4:20" ht="17.25">
      <c r="D48" s="361">
        <v>44678</v>
      </c>
      <c r="E48" s="361"/>
      <c r="F48" s="361"/>
      <c r="G48" s="361"/>
      <c r="H48" s="409"/>
      <c r="I48" s="358"/>
      <c r="J48" s="442"/>
      <c r="K48" s="280"/>
      <c r="L48" s="358"/>
      <c r="M48" s="579"/>
      <c r="N48" s="469"/>
      <c r="O48" s="469"/>
    </row>
    <row r="49" spans="4:15" ht="17.25">
      <c r="E49" s="12" t="s">
        <v>33</v>
      </c>
      <c r="F49" s="12"/>
      <c r="H49" s="409"/>
      <c r="I49" s="358"/>
      <c r="J49" s="442"/>
      <c r="K49" s="280"/>
      <c r="L49" s="358"/>
      <c r="M49" s="579"/>
      <c r="N49" s="469"/>
      <c r="O49" s="469"/>
    </row>
    <row r="50" spans="4:15" ht="17.25">
      <c r="F50" s="361">
        <v>44544</v>
      </c>
      <c r="G50" s="361"/>
      <c r="H50" s="409"/>
      <c r="I50" s="358"/>
      <c r="J50" s="442"/>
      <c r="K50" s="280"/>
      <c r="L50" s="358"/>
      <c r="M50" s="579"/>
      <c r="N50" s="469"/>
      <c r="O50" s="469"/>
    </row>
    <row r="51" spans="4:15" ht="17.25">
      <c r="F51" s="12"/>
      <c r="G51" s="112" t="s">
        <v>33</v>
      </c>
      <c r="H51" s="409">
        <v>107</v>
      </c>
      <c r="I51" s="358">
        <v>8215.4100000000017</v>
      </c>
      <c r="J51" s="442">
        <v>1</v>
      </c>
      <c r="K51" s="280">
        <v>8215.4100000000017</v>
      </c>
      <c r="L51" s="358">
        <v>6291.3360241657065</v>
      </c>
      <c r="M51" s="579">
        <v>1</v>
      </c>
      <c r="N51" s="469">
        <v>6291.3360241657065</v>
      </c>
      <c r="O51" s="469">
        <v>1924.0739758342941</v>
      </c>
    </row>
    <row r="52" spans="4:15" ht="17.25">
      <c r="F52" s="12"/>
      <c r="H52" s="409"/>
      <c r="I52" s="358"/>
      <c r="J52" s="442"/>
      <c r="K52" s="280"/>
      <c r="L52" s="358"/>
      <c r="M52" s="579"/>
      <c r="N52" s="469"/>
      <c r="O52" s="469"/>
    </row>
    <row r="53" spans="4:15" ht="17.25">
      <c r="D53" s="361">
        <v>44818</v>
      </c>
      <c r="E53" s="361"/>
      <c r="F53" s="361"/>
      <c r="G53" s="361"/>
      <c r="H53" s="409"/>
      <c r="I53" s="358"/>
      <c r="J53" s="442"/>
      <c r="K53" s="280"/>
      <c r="L53" s="358"/>
      <c r="M53" s="579"/>
      <c r="N53" s="469"/>
      <c r="O53" s="469"/>
    </row>
    <row r="54" spans="4:15" ht="17.25">
      <c r="E54" s="12" t="s">
        <v>33</v>
      </c>
      <c r="F54" s="12"/>
      <c r="H54" s="409"/>
      <c r="I54" s="358"/>
      <c r="J54" s="442"/>
      <c r="K54" s="280"/>
      <c r="L54" s="358"/>
      <c r="M54" s="579"/>
      <c r="N54" s="469"/>
      <c r="O54" s="469"/>
    </row>
    <row r="55" spans="4:15" ht="17.25">
      <c r="F55" s="361">
        <v>44544</v>
      </c>
      <c r="G55" s="361"/>
      <c r="H55" s="409"/>
      <c r="I55" s="358"/>
      <c r="J55" s="442"/>
      <c r="K55" s="280"/>
      <c r="L55" s="358"/>
      <c r="M55" s="579"/>
      <c r="N55" s="469"/>
      <c r="O55" s="469"/>
    </row>
    <row r="56" spans="4:15" ht="17.25">
      <c r="F56" s="12"/>
      <c r="G56" s="112" t="s">
        <v>33</v>
      </c>
      <c r="H56" s="409">
        <v>57</v>
      </c>
      <c r="I56" s="358">
        <v>4363.9762962962968</v>
      </c>
      <c r="J56" s="442">
        <v>1</v>
      </c>
      <c r="K56" s="280">
        <v>4363.9762962962968</v>
      </c>
      <c r="L56" s="358">
        <v>3387.0695454545453</v>
      </c>
      <c r="M56" s="579">
        <v>1</v>
      </c>
      <c r="N56" s="469">
        <v>3387.0695454545453</v>
      </c>
      <c r="O56" s="469">
        <v>976.90675084175155</v>
      </c>
    </row>
    <row r="57" spans="4:15" ht="17.25">
      <c r="F57" s="12"/>
      <c r="H57" s="409"/>
      <c r="I57" s="358"/>
      <c r="J57" s="442"/>
      <c r="K57" s="280"/>
      <c r="L57" s="358"/>
      <c r="M57" s="579"/>
      <c r="N57" s="469"/>
      <c r="O57" s="469"/>
    </row>
    <row r="58" spans="4:15" ht="17.25">
      <c r="F58" s="361">
        <v>44546</v>
      </c>
      <c r="G58" s="361"/>
      <c r="H58" s="409"/>
      <c r="I58" s="358"/>
      <c r="J58" s="442"/>
      <c r="K58" s="280"/>
      <c r="L58" s="358"/>
      <c r="M58" s="579"/>
      <c r="N58" s="469"/>
      <c r="O58" s="469"/>
    </row>
    <row r="59" spans="4:15" ht="17.25">
      <c r="F59" s="12"/>
      <c r="G59" s="112" t="s">
        <v>33</v>
      </c>
      <c r="H59" s="409">
        <v>37</v>
      </c>
      <c r="I59" s="358">
        <v>2831.9137037037035</v>
      </c>
      <c r="J59" s="442">
        <v>1</v>
      </c>
      <c r="K59" s="280">
        <v>2831.9137037037035</v>
      </c>
      <c r="L59" s="358">
        <v>2270.7241626794257</v>
      </c>
      <c r="M59" s="579">
        <v>1</v>
      </c>
      <c r="N59" s="469">
        <v>2270.7241626794257</v>
      </c>
      <c r="O59" s="469">
        <v>561.18954102427813</v>
      </c>
    </row>
    <row r="60" spans="4:15" ht="17.25">
      <c r="F60" s="12"/>
      <c r="H60" s="409"/>
      <c r="I60" s="358"/>
      <c r="J60" s="442"/>
      <c r="K60" s="280"/>
      <c r="L60" s="358"/>
      <c r="M60" s="579"/>
      <c r="N60" s="469"/>
      <c r="O60" s="469"/>
    </row>
    <row r="61" spans="4:15" ht="17.25">
      <c r="D61" s="361">
        <v>44887</v>
      </c>
      <c r="E61" s="361"/>
      <c r="F61" s="361"/>
      <c r="G61" s="361"/>
      <c r="H61" s="409"/>
      <c r="I61" s="358"/>
      <c r="J61" s="442"/>
      <c r="K61" s="280"/>
      <c r="L61" s="358"/>
      <c r="M61" s="579"/>
      <c r="N61" s="469"/>
      <c r="O61" s="469"/>
    </row>
    <row r="62" spans="4:15" ht="17.25">
      <c r="E62" s="12" t="s">
        <v>33</v>
      </c>
      <c r="F62" s="12"/>
      <c r="H62" s="409"/>
      <c r="I62" s="358"/>
      <c r="J62" s="442"/>
      <c r="K62" s="280"/>
      <c r="L62" s="358"/>
      <c r="M62" s="579"/>
      <c r="N62" s="469"/>
      <c r="O62" s="469"/>
    </row>
    <row r="63" spans="4:15" ht="17.25">
      <c r="F63" s="361">
        <v>44546</v>
      </c>
      <c r="G63" s="361"/>
      <c r="H63" s="409"/>
      <c r="I63" s="358"/>
      <c r="J63" s="442"/>
      <c r="K63" s="280"/>
      <c r="L63" s="358"/>
      <c r="M63" s="579"/>
      <c r="N63" s="469"/>
      <c r="O63" s="469"/>
    </row>
    <row r="64" spans="4:15" ht="17.25">
      <c r="F64" s="12"/>
      <c r="G64" s="112" t="s">
        <v>33</v>
      </c>
      <c r="H64" s="409">
        <v>125</v>
      </c>
      <c r="I64" s="358">
        <v>9453.18</v>
      </c>
      <c r="J64" s="442">
        <v>1</v>
      </c>
      <c r="K64" s="280">
        <v>9453.18</v>
      </c>
      <c r="L64" s="358">
        <v>7659.7846889952143</v>
      </c>
      <c r="M64" s="579">
        <v>1</v>
      </c>
      <c r="N64" s="469">
        <v>7659.7846889952143</v>
      </c>
      <c r="O64" s="469">
        <v>1793.395311004786</v>
      </c>
    </row>
    <row r="65" spans="4:15" ht="17.25">
      <c r="F65" s="12"/>
      <c r="H65" s="409"/>
      <c r="I65" s="358"/>
      <c r="J65" s="442"/>
      <c r="K65" s="280"/>
      <c r="L65" s="358"/>
      <c r="M65" s="579"/>
      <c r="N65" s="469"/>
      <c r="O65" s="469"/>
    </row>
    <row r="66" spans="4:15" ht="17.25">
      <c r="D66" s="361">
        <v>44895</v>
      </c>
      <c r="E66" s="361"/>
      <c r="F66" s="361"/>
      <c r="G66" s="361"/>
      <c r="H66" s="409"/>
      <c r="I66" s="358"/>
      <c r="J66" s="442"/>
      <c r="K66" s="280"/>
      <c r="L66" s="358"/>
      <c r="M66" s="579"/>
      <c r="N66" s="469"/>
      <c r="O66" s="469"/>
    </row>
    <row r="67" spans="4:15" ht="17.25">
      <c r="E67" s="12" t="s">
        <v>33</v>
      </c>
      <c r="F67" s="12"/>
      <c r="H67" s="409"/>
      <c r="I67" s="358"/>
      <c r="J67" s="442"/>
      <c r="K67" s="280"/>
      <c r="L67" s="358"/>
      <c r="M67" s="579"/>
      <c r="N67" s="469"/>
      <c r="O67" s="469"/>
    </row>
    <row r="68" spans="4:15" ht="17.25">
      <c r="F68" s="361">
        <v>44685</v>
      </c>
      <c r="G68" s="361"/>
      <c r="H68" s="409"/>
      <c r="I68" s="358"/>
      <c r="J68" s="442"/>
      <c r="K68" s="280"/>
      <c r="L68" s="358"/>
      <c r="M68" s="579"/>
      <c r="N68" s="469"/>
      <c r="O68" s="469"/>
    </row>
    <row r="69" spans="4:15" ht="17.25">
      <c r="F69" s="12"/>
      <c r="G69" s="112" t="s">
        <v>33</v>
      </c>
      <c r="H69" s="409">
        <v>1</v>
      </c>
      <c r="I69" s="358">
        <v>73.763740458015263</v>
      </c>
      <c r="J69" s="442">
        <v>1</v>
      </c>
      <c r="K69" s="280">
        <v>73.763740458015263</v>
      </c>
      <c r="L69" s="358">
        <v>78.8</v>
      </c>
      <c r="M69" s="579">
        <v>1</v>
      </c>
      <c r="N69" s="469">
        <v>78.8</v>
      </c>
      <c r="O69" s="469">
        <v>-5.0362595419847338</v>
      </c>
    </row>
    <row r="70" spans="4:15" ht="17.25">
      <c r="F70" s="12"/>
      <c r="H70" s="409"/>
      <c r="I70" s="358"/>
      <c r="J70" s="442"/>
      <c r="K70" s="280"/>
      <c r="L70" s="358"/>
      <c r="M70" s="579"/>
      <c r="N70" s="469"/>
      <c r="O70" s="469"/>
    </row>
    <row r="71" spans="4:15" ht="17.25">
      <c r="F71" s="361">
        <v>44551</v>
      </c>
      <c r="G71" s="361"/>
      <c r="H71" s="409"/>
      <c r="I71" s="358"/>
      <c r="J71" s="442"/>
      <c r="K71" s="280"/>
      <c r="L71" s="358"/>
      <c r="M71" s="579"/>
      <c r="N71" s="469"/>
      <c r="O71" s="469"/>
    </row>
    <row r="72" spans="4:15" ht="17.25">
      <c r="F72" s="12"/>
      <c r="G72" s="112" t="s">
        <v>33</v>
      </c>
      <c r="H72" s="409">
        <v>52</v>
      </c>
      <c r="I72" s="358">
        <v>3835.7145038167937</v>
      </c>
      <c r="J72" s="442">
        <v>1</v>
      </c>
      <c r="K72" s="280">
        <v>3835.7145038167937</v>
      </c>
      <c r="L72" s="358">
        <v>3276.9</v>
      </c>
      <c r="M72" s="579">
        <v>1</v>
      </c>
      <c r="N72" s="469">
        <v>3276.9</v>
      </c>
      <c r="O72" s="469">
        <v>558.8145038167936</v>
      </c>
    </row>
    <row r="73" spans="4:15" ht="17.25">
      <c r="F73" s="12"/>
      <c r="H73" s="409"/>
      <c r="I73" s="358"/>
      <c r="J73" s="442"/>
      <c r="K73" s="280"/>
      <c r="L73" s="358"/>
      <c r="M73" s="579"/>
      <c r="N73" s="469"/>
      <c r="O73" s="469"/>
    </row>
    <row r="74" spans="4:15" ht="17.25">
      <c r="F74" s="361">
        <v>44546</v>
      </c>
      <c r="G74" s="361"/>
      <c r="H74" s="409"/>
      <c r="I74" s="358"/>
      <c r="J74" s="442"/>
      <c r="K74" s="280"/>
      <c r="L74" s="358"/>
      <c r="M74" s="579"/>
      <c r="N74" s="469"/>
      <c r="O74" s="469"/>
    </row>
    <row r="75" spans="4:15" ht="17.25">
      <c r="F75" s="12"/>
      <c r="G75" s="112" t="s">
        <v>33</v>
      </c>
      <c r="H75" s="409">
        <v>69</v>
      </c>
      <c r="I75" s="358">
        <v>5085.8045801526714</v>
      </c>
      <c r="J75" s="442">
        <v>1</v>
      </c>
      <c r="K75" s="280">
        <v>5085.8045801526714</v>
      </c>
      <c r="L75" s="358">
        <v>4228.2011483253591</v>
      </c>
      <c r="M75" s="579">
        <v>1</v>
      </c>
      <c r="N75" s="469">
        <v>4228.2011483253591</v>
      </c>
      <c r="O75" s="469">
        <v>857.60343182731299</v>
      </c>
    </row>
    <row r="76" spans="4:15" ht="17.25">
      <c r="F76" s="12"/>
      <c r="H76" s="409"/>
      <c r="I76" s="358"/>
      <c r="J76" s="442"/>
      <c r="K76" s="280"/>
      <c r="L76" s="358"/>
      <c r="M76" s="579"/>
      <c r="N76" s="469"/>
      <c r="O76" s="469"/>
    </row>
    <row r="77" spans="4:15" ht="17.25">
      <c r="F77" s="361">
        <v>44855</v>
      </c>
      <c r="G77" s="361"/>
      <c r="H77" s="409"/>
      <c r="I77" s="358"/>
      <c r="J77" s="442"/>
      <c r="K77" s="280"/>
      <c r="L77" s="358"/>
      <c r="M77" s="579"/>
      <c r="N77" s="469"/>
      <c r="O77" s="469"/>
    </row>
    <row r="78" spans="4:15" ht="17.25">
      <c r="F78" s="12"/>
      <c r="G78" s="112" t="s">
        <v>33</v>
      </c>
      <c r="H78" s="409">
        <v>62</v>
      </c>
      <c r="I78" s="358">
        <v>4575.8371755725184</v>
      </c>
      <c r="J78" s="442">
        <v>1</v>
      </c>
      <c r="K78" s="280">
        <v>4575.8371755725184</v>
      </c>
      <c r="L78" s="358">
        <v>4513.5999999999995</v>
      </c>
      <c r="M78" s="579">
        <v>1</v>
      </c>
      <c r="N78" s="469">
        <v>4513.5999999999995</v>
      </c>
      <c r="O78" s="469">
        <v>62.237175572519192</v>
      </c>
    </row>
    <row r="79" spans="4:15" ht="17.25">
      <c r="F79" s="12"/>
      <c r="H79" s="409"/>
      <c r="I79" s="358"/>
      <c r="J79" s="442"/>
      <c r="K79" s="280"/>
      <c r="L79" s="358"/>
      <c r="M79" s="579"/>
      <c r="N79" s="469"/>
      <c r="O79" s="469"/>
    </row>
    <row r="80" spans="4:15" ht="17.25">
      <c r="D80" s="361">
        <v>44896</v>
      </c>
      <c r="E80" s="361"/>
      <c r="F80" s="361"/>
      <c r="G80" s="361"/>
      <c r="H80" s="409"/>
      <c r="I80" s="358"/>
      <c r="J80" s="442"/>
      <c r="K80" s="280"/>
      <c r="L80" s="358"/>
      <c r="M80" s="579"/>
      <c r="N80" s="469"/>
      <c r="O80" s="469"/>
    </row>
    <row r="81" spans="3:15" ht="17.25">
      <c r="E81" s="12" t="s">
        <v>33</v>
      </c>
      <c r="F81" s="12"/>
      <c r="H81" s="409"/>
      <c r="I81" s="358"/>
      <c r="J81" s="442"/>
      <c r="K81" s="280"/>
      <c r="L81" s="358"/>
      <c r="M81" s="579"/>
      <c r="N81" s="469"/>
      <c r="O81" s="469"/>
    </row>
    <row r="82" spans="3:15" ht="17.25">
      <c r="F82" s="361">
        <v>44855</v>
      </c>
      <c r="G82" s="361"/>
      <c r="H82" s="409"/>
      <c r="I82" s="358"/>
      <c r="J82" s="442"/>
      <c r="K82" s="280"/>
      <c r="L82" s="358"/>
      <c r="M82" s="579"/>
      <c r="N82" s="469"/>
      <c r="O82" s="469"/>
    </row>
    <row r="83" spans="3:15" ht="17.25">
      <c r="F83" s="12"/>
      <c r="G83" s="112" t="s">
        <v>33</v>
      </c>
      <c r="H83" s="409">
        <v>6</v>
      </c>
      <c r="I83" s="358">
        <v>449.73</v>
      </c>
      <c r="J83" s="442">
        <v>1</v>
      </c>
      <c r="K83" s="280">
        <v>449.73</v>
      </c>
      <c r="L83" s="358">
        <v>436.79999999999995</v>
      </c>
      <c r="M83" s="579">
        <v>1</v>
      </c>
      <c r="N83" s="469">
        <v>436.79999999999995</v>
      </c>
      <c r="O83" s="469">
        <v>12.930000000000064</v>
      </c>
    </row>
    <row r="84" spans="3:15" ht="17.25">
      <c r="F84" s="12"/>
      <c r="H84" s="409"/>
      <c r="I84" s="358"/>
      <c r="J84" s="442"/>
      <c r="K84" s="280"/>
      <c r="L84" s="358"/>
      <c r="M84" s="579"/>
      <c r="N84" s="469"/>
      <c r="O84" s="469"/>
    </row>
    <row r="85" spans="3:15" ht="17.25">
      <c r="C85" s="342" t="s">
        <v>301</v>
      </c>
      <c r="D85" s="342"/>
      <c r="E85" s="342"/>
      <c r="F85" s="342"/>
      <c r="G85" s="342"/>
      <c r="H85" s="410">
        <v>972</v>
      </c>
      <c r="I85" s="407">
        <v>76032.069999999949</v>
      </c>
      <c r="J85" s="460">
        <v>1</v>
      </c>
      <c r="K85" s="413">
        <v>76032.069999999949</v>
      </c>
      <c r="L85" s="407">
        <v>59640.37857894737</v>
      </c>
      <c r="M85" s="580">
        <v>1</v>
      </c>
      <c r="N85" s="470">
        <v>59640.37857894737</v>
      </c>
      <c r="O85" s="470">
        <v>16391.691421052601</v>
      </c>
    </row>
    <row r="86" spans="3:15" ht="17.25">
      <c r="F86" s="12"/>
      <c r="H86" s="409"/>
      <c r="I86" s="358"/>
      <c r="J86" s="442"/>
      <c r="K86" s="280"/>
      <c r="L86" s="358"/>
      <c r="M86" s="579"/>
      <c r="N86" s="469"/>
      <c r="O86" s="469"/>
    </row>
    <row r="87" spans="3:15" ht="17.25">
      <c r="C87" s="12" t="s">
        <v>161</v>
      </c>
      <c r="F87" s="12"/>
      <c r="H87" s="409"/>
      <c r="I87" s="358"/>
      <c r="J87" s="442"/>
      <c r="K87" s="280"/>
      <c r="L87" s="358"/>
      <c r="M87" s="579"/>
      <c r="N87" s="469"/>
      <c r="O87" s="469"/>
    </row>
    <row r="88" spans="3:15" ht="17.25">
      <c r="D88" s="361">
        <v>44636</v>
      </c>
      <c r="E88" s="361"/>
      <c r="F88" s="361"/>
      <c r="G88" s="361"/>
      <c r="H88" s="409"/>
      <c r="I88" s="358"/>
      <c r="J88" s="442"/>
      <c r="K88" s="280"/>
      <c r="L88" s="358"/>
      <c r="M88" s="579"/>
      <c r="N88" s="469"/>
      <c r="O88" s="469"/>
    </row>
    <row r="89" spans="3:15" ht="17.25">
      <c r="E89" s="12" t="s">
        <v>33</v>
      </c>
      <c r="F89" s="12"/>
      <c r="H89" s="409"/>
      <c r="I89" s="358"/>
      <c r="J89" s="442"/>
      <c r="K89" s="280"/>
      <c r="L89" s="358"/>
      <c r="M89" s="579"/>
      <c r="N89" s="469"/>
      <c r="O89" s="469"/>
    </row>
    <row r="90" spans="3:15" ht="17.25">
      <c r="F90" s="361">
        <v>44154</v>
      </c>
      <c r="G90" s="361"/>
      <c r="H90" s="409"/>
      <c r="I90" s="358"/>
      <c r="J90" s="442"/>
      <c r="K90" s="280"/>
      <c r="L90" s="358"/>
      <c r="M90" s="579"/>
      <c r="N90" s="469"/>
      <c r="O90" s="469"/>
    </row>
    <row r="91" spans="3:15" ht="17.25">
      <c r="F91" s="12"/>
      <c r="G91" s="112" t="s">
        <v>33</v>
      </c>
      <c r="H91" s="409">
        <v>24</v>
      </c>
      <c r="I91" s="358">
        <v>5390.2613793103446</v>
      </c>
      <c r="J91" s="442">
        <v>1</v>
      </c>
      <c r="K91" s="280">
        <v>5390.2613793103446</v>
      </c>
      <c r="L91" s="358">
        <v>6489.69</v>
      </c>
      <c r="M91" s="579">
        <v>1</v>
      </c>
      <c r="N91" s="469">
        <v>6489.69</v>
      </c>
      <c r="O91" s="469">
        <v>-1099.4286206896554</v>
      </c>
    </row>
    <row r="92" spans="3:15" ht="17.25">
      <c r="F92" s="12"/>
      <c r="H92" s="409"/>
      <c r="I92" s="358"/>
      <c r="J92" s="442"/>
      <c r="K92" s="280"/>
      <c r="L92" s="358"/>
      <c r="M92" s="579"/>
      <c r="N92" s="469"/>
      <c r="O92" s="469"/>
    </row>
    <row r="93" spans="3:15" ht="17.25">
      <c r="F93" s="361">
        <v>44159</v>
      </c>
      <c r="G93" s="361"/>
      <c r="H93" s="409"/>
      <c r="I93" s="358"/>
      <c r="J93" s="442"/>
      <c r="K93" s="280"/>
      <c r="L93" s="358"/>
      <c r="M93" s="579"/>
      <c r="N93" s="469"/>
      <c r="O93" s="469"/>
    </row>
    <row r="94" spans="3:15" ht="17.25">
      <c r="F94" s="12"/>
      <c r="G94" s="112" t="s">
        <v>33</v>
      </c>
      <c r="H94" s="409">
        <v>18</v>
      </c>
      <c r="I94" s="358">
        <v>4036.5186206896551</v>
      </c>
      <c r="J94" s="442">
        <v>1</v>
      </c>
      <c r="K94" s="280">
        <v>4036.5186206896551</v>
      </c>
      <c r="L94" s="358">
        <v>5089.4363157894741</v>
      </c>
      <c r="M94" s="579">
        <v>1</v>
      </c>
      <c r="N94" s="469">
        <v>5089.4363157894741</v>
      </c>
      <c r="O94" s="469">
        <v>-1052.9176950998192</v>
      </c>
    </row>
    <row r="95" spans="3:15" ht="17.25">
      <c r="F95" s="12"/>
      <c r="H95" s="409"/>
      <c r="I95" s="358"/>
      <c r="J95" s="442"/>
      <c r="K95" s="280"/>
      <c r="L95" s="358"/>
      <c r="M95" s="579"/>
      <c r="N95" s="469"/>
      <c r="O95" s="469"/>
    </row>
    <row r="96" spans="3:15" ht="17.25">
      <c r="D96" s="361">
        <v>44637</v>
      </c>
      <c r="E96" s="361"/>
      <c r="F96" s="361"/>
      <c r="G96" s="361"/>
      <c r="H96" s="409"/>
      <c r="I96" s="358"/>
      <c r="J96" s="442"/>
      <c r="K96" s="280"/>
      <c r="L96" s="358"/>
      <c r="M96" s="579"/>
      <c r="N96" s="469"/>
      <c r="O96" s="469"/>
    </row>
    <row r="97" spans="4:15" ht="17.25">
      <c r="E97" s="12" t="s">
        <v>33</v>
      </c>
      <c r="F97" s="12"/>
      <c r="H97" s="409"/>
      <c r="I97" s="358"/>
      <c r="J97" s="442"/>
      <c r="K97" s="280"/>
      <c r="L97" s="358"/>
      <c r="M97" s="579"/>
      <c r="N97" s="469"/>
      <c r="O97" s="469"/>
    </row>
    <row r="98" spans="4:15" ht="17.25">
      <c r="F98" s="361">
        <v>44159</v>
      </c>
      <c r="G98" s="361"/>
      <c r="H98" s="409"/>
      <c r="I98" s="358"/>
      <c r="J98" s="442"/>
      <c r="K98" s="280"/>
      <c r="L98" s="358"/>
      <c r="M98" s="579"/>
      <c r="N98" s="469"/>
      <c r="O98" s="469"/>
    </row>
    <row r="99" spans="4:15" ht="17.25">
      <c r="F99" s="12"/>
      <c r="G99" s="112" t="s">
        <v>33</v>
      </c>
      <c r="H99" s="409">
        <v>7</v>
      </c>
      <c r="I99" s="358">
        <v>1592.4079999999999</v>
      </c>
      <c r="J99" s="442">
        <v>1</v>
      </c>
      <c r="K99" s="280">
        <v>1592.4079999999999</v>
      </c>
      <c r="L99" s="358">
        <v>1988.7736842105267</v>
      </c>
      <c r="M99" s="579">
        <v>1</v>
      </c>
      <c r="N99" s="469">
        <v>1988.7736842105267</v>
      </c>
      <c r="O99" s="469">
        <v>-396.36568421052669</v>
      </c>
    </row>
    <row r="100" spans="4:15" ht="17.25">
      <c r="F100" s="12"/>
      <c r="H100" s="409"/>
      <c r="I100" s="358"/>
      <c r="J100" s="442"/>
      <c r="K100" s="280"/>
      <c r="L100" s="358"/>
      <c r="M100" s="579"/>
      <c r="N100" s="469"/>
      <c r="O100" s="469"/>
    </row>
    <row r="101" spans="4:15" ht="17.25">
      <c r="F101" s="361">
        <v>44169</v>
      </c>
      <c r="G101" s="361"/>
      <c r="H101" s="409"/>
      <c r="I101" s="358"/>
      <c r="J101" s="442"/>
      <c r="K101" s="280"/>
      <c r="L101" s="358"/>
      <c r="M101" s="579"/>
      <c r="N101" s="469"/>
      <c r="O101" s="469"/>
    </row>
    <row r="102" spans="4:15" ht="17.25">
      <c r="F102" s="12"/>
      <c r="G102" s="112" t="s">
        <v>33</v>
      </c>
      <c r="H102" s="409">
        <v>25</v>
      </c>
      <c r="I102" s="358">
        <v>5679.6500000000005</v>
      </c>
      <c r="J102" s="442">
        <v>1</v>
      </c>
      <c r="K102" s="280">
        <v>5679.6500000000005</v>
      </c>
      <c r="L102" s="358">
        <v>6792.5599999999995</v>
      </c>
      <c r="M102" s="579">
        <v>1</v>
      </c>
      <c r="N102" s="469">
        <v>6792.5599999999995</v>
      </c>
      <c r="O102" s="469">
        <v>-1112.9099999999989</v>
      </c>
    </row>
    <row r="103" spans="4:15" ht="17.25">
      <c r="F103" s="12"/>
      <c r="H103" s="409"/>
      <c r="I103" s="358"/>
      <c r="J103" s="442"/>
      <c r="K103" s="280"/>
      <c r="L103" s="358"/>
      <c r="M103" s="579"/>
      <c r="N103" s="469"/>
      <c r="O103" s="469"/>
    </row>
    <row r="104" spans="4:15" ht="17.25">
      <c r="F104" s="361">
        <v>44174</v>
      </c>
      <c r="G104" s="361"/>
      <c r="H104" s="409"/>
      <c r="I104" s="358"/>
      <c r="J104" s="442"/>
      <c r="K104" s="280"/>
      <c r="L104" s="358"/>
      <c r="M104" s="579"/>
      <c r="N104" s="469"/>
      <c r="O104" s="469"/>
    </row>
    <row r="105" spans="4:15" ht="17.25">
      <c r="F105" s="12"/>
      <c r="G105" s="112" t="s">
        <v>33</v>
      </c>
      <c r="H105" s="409">
        <v>2</v>
      </c>
      <c r="I105" s="358">
        <v>454.37200000000001</v>
      </c>
      <c r="J105" s="442">
        <v>1</v>
      </c>
      <c r="K105" s="280">
        <v>454.37200000000001</v>
      </c>
      <c r="L105" s="358">
        <v>539.35333333333335</v>
      </c>
      <c r="M105" s="579">
        <v>1</v>
      </c>
      <c r="N105" s="469">
        <v>539.35333333333335</v>
      </c>
      <c r="O105" s="469">
        <v>-84.981333333333339</v>
      </c>
    </row>
    <row r="106" spans="4:15" ht="17.25">
      <c r="F106" s="12"/>
      <c r="H106" s="409"/>
      <c r="I106" s="358"/>
      <c r="J106" s="442"/>
      <c r="K106" s="280"/>
      <c r="L106" s="358"/>
      <c r="M106" s="579"/>
      <c r="N106" s="469"/>
      <c r="O106" s="469"/>
    </row>
    <row r="107" spans="4:15" ht="17.25">
      <c r="D107" s="361">
        <v>44638</v>
      </c>
      <c r="E107" s="361"/>
      <c r="F107" s="361"/>
      <c r="G107" s="361"/>
      <c r="H107" s="409"/>
      <c r="I107" s="358"/>
      <c r="J107" s="442"/>
      <c r="K107" s="280"/>
      <c r="L107" s="358"/>
      <c r="M107" s="579"/>
      <c r="N107" s="469"/>
      <c r="O107" s="469"/>
    </row>
    <row r="108" spans="4:15" ht="17.25">
      <c r="E108" s="12" t="s">
        <v>33</v>
      </c>
      <c r="F108" s="12"/>
      <c r="H108" s="409"/>
      <c r="I108" s="358"/>
      <c r="J108" s="442"/>
      <c r="K108" s="280"/>
      <c r="L108" s="358"/>
      <c r="M108" s="579"/>
      <c r="N108" s="469"/>
      <c r="O108" s="469"/>
    </row>
    <row r="109" spans="4:15" ht="17.25">
      <c r="F109" s="361">
        <v>44174</v>
      </c>
      <c r="G109" s="361"/>
      <c r="H109" s="409"/>
      <c r="I109" s="358"/>
      <c r="J109" s="442"/>
      <c r="K109" s="280"/>
      <c r="L109" s="358"/>
      <c r="M109" s="579"/>
      <c r="N109" s="469"/>
      <c r="O109" s="469"/>
    </row>
    <row r="110" spans="4:15" ht="17.25">
      <c r="F110" s="12"/>
      <c r="G110" s="112" t="s">
        <v>33</v>
      </c>
      <c r="H110" s="409">
        <v>2</v>
      </c>
      <c r="I110" s="358">
        <v>456.19</v>
      </c>
      <c r="J110" s="442">
        <v>1</v>
      </c>
      <c r="K110" s="280">
        <v>456.19</v>
      </c>
      <c r="L110" s="358">
        <v>538.85116666666659</v>
      </c>
      <c r="M110" s="579">
        <v>1</v>
      </c>
      <c r="N110" s="469">
        <v>538.85116666666659</v>
      </c>
      <c r="O110" s="469">
        <v>-82.661166666666645</v>
      </c>
    </row>
    <row r="111" spans="4:15" ht="17.25">
      <c r="F111" s="12"/>
      <c r="H111" s="409"/>
      <c r="I111" s="358"/>
      <c r="J111" s="442"/>
      <c r="K111" s="280"/>
      <c r="L111" s="358"/>
      <c r="M111" s="579"/>
      <c r="N111" s="469"/>
      <c r="O111" s="469"/>
    </row>
    <row r="112" spans="4:15" ht="17.25">
      <c r="D112" s="361">
        <v>44643</v>
      </c>
      <c r="E112" s="361"/>
      <c r="F112" s="361"/>
      <c r="G112" s="361"/>
      <c r="H112" s="409"/>
      <c r="I112" s="358"/>
      <c r="J112" s="442"/>
      <c r="K112" s="280"/>
      <c r="L112" s="358"/>
      <c r="M112" s="579"/>
      <c r="N112" s="469"/>
      <c r="O112" s="469"/>
    </row>
    <row r="113" spans="4:15" ht="17.25">
      <c r="E113" s="12" t="s">
        <v>33</v>
      </c>
      <c r="F113" s="12"/>
      <c r="H113" s="409"/>
      <c r="I113" s="358"/>
      <c r="J113" s="442"/>
      <c r="K113" s="280"/>
      <c r="L113" s="358"/>
      <c r="M113" s="579"/>
      <c r="N113" s="469"/>
      <c r="O113" s="469"/>
    </row>
    <row r="114" spans="4:15" ht="17.25">
      <c r="F114" s="361">
        <v>44174</v>
      </c>
      <c r="G114" s="361"/>
      <c r="H114" s="409"/>
      <c r="I114" s="358"/>
      <c r="J114" s="442"/>
      <c r="K114" s="280"/>
      <c r="L114" s="358"/>
      <c r="M114" s="579"/>
      <c r="N114" s="469"/>
      <c r="O114" s="469"/>
    </row>
    <row r="115" spans="4:15" ht="17.25">
      <c r="F115" s="12"/>
      <c r="G115" s="112" t="s">
        <v>33</v>
      </c>
      <c r="H115" s="409">
        <v>21</v>
      </c>
      <c r="I115" s="358">
        <v>4948.6772727272719</v>
      </c>
      <c r="J115" s="442">
        <v>1</v>
      </c>
      <c r="K115" s="280">
        <v>4948.6772727272719</v>
      </c>
      <c r="L115" s="358">
        <v>5653.0054999999993</v>
      </c>
      <c r="M115" s="579">
        <v>1</v>
      </c>
      <c r="N115" s="469">
        <v>5653.0054999999993</v>
      </c>
      <c r="O115" s="469">
        <v>-704.32822727272719</v>
      </c>
    </row>
    <row r="116" spans="4:15" ht="17.25">
      <c r="F116" s="12"/>
      <c r="H116" s="409"/>
      <c r="I116" s="358"/>
      <c r="J116" s="442"/>
      <c r="K116" s="280"/>
      <c r="L116" s="358"/>
      <c r="M116" s="579"/>
      <c r="N116" s="469"/>
      <c r="O116" s="469"/>
    </row>
    <row r="117" spans="4:15" ht="17.25">
      <c r="F117" s="361">
        <v>44203</v>
      </c>
      <c r="G117" s="361"/>
      <c r="H117" s="409"/>
      <c r="I117" s="358"/>
      <c r="J117" s="442"/>
      <c r="K117" s="280"/>
      <c r="L117" s="358"/>
      <c r="M117" s="579"/>
      <c r="N117" s="469"/>
      <c r="O117" s="469"/>
    </row>
    <row r="118" spans="4:15" ht="17.25">
      <c r="F118" s="12"/>
      <c r="G118" s="112" t="s">
        <v>33</v>
      </c>
      <c r="H118" s="409">
        <v>11</v>
      </c>
      <c r="I118" s="358">
        <v>2602.4827272727271</v>
      </c>
      <c r="J118" s="442">
        <v>1</v>
      </c>
      <c r="K118" s="280">
        <v>2602.4827272727271</v>
      </c>
      <c r="L118" s="358">
        <v>3159.0625</v>
      </c>
      <c r="M118" s="579">
        <v>1</v>
      </c>
      <c r="N118" s="469">
        <v>3159.0625</v>
      </c>
      <c r="O118" s="469">
        <v>-556.57977272727294</v>
      </c>
    </row>
    <row r="119" spans="4:15" ht="17.25">
      <c r="F119" s="12"/>
      <c r="H119" s="409"/>
      <c r="I119" s="358"/>
      <c r="J119" s="442"/>
      <c r="K119" s="280"/>
      <c r="L119" s="358"/>
      <c r="M119" s="579"/>
      <c r="N119" s="469"/>
      <c r="O119" s="469"/>
    </row>
    <row r="120" spans="4:15" ht="17.25">
      <c r="D120" s="361">
        <v>44644</v>
      </c>
      <c r="E120" s="361"/>
      <c r="F120" s="361"/>
      <c r="G120" s="361"/>
      <c r="H120" s="409"/>
      <c r="I120" s="358"/>
      <c r="J120" s="442"/>
      <c r="K120" s="280"/>
      <c r="L120" s="358"/>
      <c r="M120" s="579"/>
      <c r="N120" s="469"/>
      <c r="O120" s="469"/>
    </row>
    <row r="121" spans="4:15" ht="17.25">
      <c r="E121" s="12" t="s">
        <v>33</v>
      </c>
      <c r="F121" s="12"/>
      <c r="H121" s="409"/>
      <c r="I121" s="358"/>
      <c r="J121" s="442"/>
      <c r="K121" s="280"/>
      <c r="L121" s="358"/>
      <c r="M121" s="579"/>
      <c r="N121" s="469"/>
      <c r="O121" s="469"/>
    </row>
    <row r="122" spans="4:15" ht="17.25">
      <c r="F122" s="361">
        <v>44203</v>
      </c>
      <c r="G122" s="361"/>
      <c r="H122" s="409"/>
      <c r="I122" s="358"/>
      <c r="J122" s="442"/>
      <c r="K122" s="280"/>
      <c r="L122" s="358"/>
      <c r="M122" s="579"/>
      <c r="N122" s="469"/>
      <c r="O122" s="469"/>
    </row>
    <row r="123" spans="4:15" ht="17.25">
      <c r="F123" s="12"/>
      <c r="G123" s="112" t="s">
        <v>33</v>
      </c>
      <c r="H123" s="409">
        <v>1</v>
      </c>
      <c r="I123" s="358">
        <v>239.27909090909091</v>
      </c>
      <c r="J123" s="442">
        <v>1</v>
      </c>
      <c r="K123" s="280">
        <v>239.27909090909091</v>
      </c>
      <c r="L123" s="358">
        <v>287.1875</v>
      </c>
      <c r="M123" s="579">
        <v>1</v>
      </c>
      <c r="N123" s="469">
        <v>287.1875</v>
      </c>
      <c r="O123" s="469">
        <v>-47.908409090909089</v>
      </c>
    </row>
    <row r="124" spans="4:15" ht="17.25">
      <c r="F124" s="12"/>
      <c r="H124" s="409"/>
      <c r="I124" s="358"/>
      <c r="J124" s="442"/>
      <c r="K124" s="280"/>
      <c r="L124" s="358"/>
      <c r="M124" s="579"/>
      <c r="N124" s="469"/>
      <c r="O124" s="469"/>
    </row>
    <row r="125" spans="4:15" ht="17.25">
      <c r="F125" s="361">
        <v>44235</v>
      </c>
      <c r="G125" s="361"/>
      <c r="H125" s="409"/>
      <c r="I125" s="358"/>
      <c r="J125" s="442"/>
      <c r="K125" s="280"/>
      <c r="L125" s="358"/>
      <c r="M125" s="579"/>
      <c r="N125" s="469"/>
      <c r="O125" s="469"/>
    </row>
    <row r="126" spans="4:15" ht="17.25">
      <c r="F126" s="12"/>
      <c r="G126" s="112" t="s">
        <v>33</v>
      </c>
      <c r="H126" s="409">
        <v>13</v>
      </c>
      <c r="I126" s="358">
        <v>3110.6281818181819</v>
      </c>
      <c r="J126" s="442">
        <v>1</v>
      </c>
      <c r="K126" s="280">
        <v>3110.6281818181819</v>
      </c>
      <c r="L126" s="358">
        <v>3302.94</v>
      </c>
      <c r="M126" s="579">
        <v>1</v>
      </c>
      <c r="N126" s="469">
        <v>3302.94</v>
      </c>
      <c r="O126" s="469">
        <v>-192.31181818181813</v>
      </c>
    </row>
    <row r="127" spans="4:15" ht="17.25">
      <c r="F127" s="12"/>
      <c r="H127" s="409"/>
      <c r="I127" s="358"/>
      <c r="J127" s="442"/>
      <c r="K127" s="280"/>
      <c r="L127" s="358"/>
      <c r="M127" s="579"/>
      <c r="N127" s="469"/>
      <c r="O127" s="469"/>
    </row>
    <row r="128" spans="4:15" ht="17.25">
      <c r="F128" s="361">
        <v>44363</v>
      </c>
      <c r="G128" s="361"/>
      <c r="H128" s="409"/>
      <c r="I128" s="358"/>
      <c r="J128" s="442"/>
      <c r="K128" s="280"/>
      <c r="L128" s="358"/>
      <c r="M128" s="579"/>
      <c r="N128" s="469"/>
      <c r="O128" s="469"/>
    </row>
    <row r="129" spans="4:15" ht="17.25">
      <c r="F129" s="12"/>
      <c r="G129" s="112" t="s">
        <v>33</v>
      </c>
      <c r="H129" s="409">
        <v>8</v>
      </c>
      <c r="I129" s="358">
        <v>1914.2327272727273</v>
      </c>
      <c r="J129" s="442">
        <v>1</v>
      </c>
      <c r="K129" s="280">
        <v>1914.2327272727273</v>
      </c>
      <c r="L129" s="358">
        <v>2418.7599999999998</v>
      </c>
      <c r="M129" s="579">
        <v>1</v>
      </c>
      <c r="N129" s="469">
        <v>2418.7599999999998</v>
      </c>
      <c r="O129" s="469">
        <v>-504.52727272727248</v>
      </c>
    </row>
    <row r="130" spans="4:15" ht="17.25">
      <c r="F130" s="12"/>
      <c r="H130" s="409"/>
      <c r="I130" s="358"/>
      <c r="J130" s="442"/>
      <c r="K130" s="280"/>
      <c r="L130" s="358"/>
      <c r="M130" s="579"/>
      <c r="N130" s="469"/>
      <c r="O130" s="469"/>
    </row>
    <row r="131" spans="4:15" ht="17.25">
      <c r="D131" s="361">
        <v>44649</v>
      </c>
      <c r="E131" s="361"/>
      <c r="F131" s="361"/>
      <c r="G131" s="361"/>
      <c r="H131" s="409"/>
      <c r="I131" s="358"/>
      <c r="J131" s="442"/>
      <c r="K131" s="280"/>
      <c r="L131" s="358"/>
      <c r="M131" s="579"/>
      <c r="N131" s="469"/>
      <c r="O131" s="469"/>
    </row>
    <row r="132" spans="4:15" ht="17.25">
      <c r="E132" s="12" t="s">
        <v>33</v>
      </c>
      <c r="F132" s="12"/>
      <c r="H132" s="409"/>
      <c r="I132" s="358"/>
      <c r="J132" s="442"/>
      <c r="K132" s="280"/>
      <c r="L132" s="358"/>
      <c r="M132" s="579"/>
      <c r="N132" s="469"/>
      <c r="O132" s="469"/>
    </row>
    <row r="133" spans="4:15" ht="17.25">
      <c r="F133" s="361">
        <v>44363</v>
      </c>
      <c r="G133" s="361"/>
      <c r="H133" s="409"/>
      <c r="I133" s="358"/>
      <c r="J133" s="442"/>
      <c r="K133" s="280"/>
      <c r="L133" s="358"/>
      <c r="M133" s="579"/>
      <c r="N133" s="469"/>
      <c r="O133" s="469"/>
    </row>
    <row r="134" spans="4:15" ht="17.25">
      <c r="F134" s="12"/>
      <c r="G134" s="112" t="s">
        <v>33</v>
      </c>
      <c r="H134" s="409">
        <v>1</v>
      </c>
      <c r="I134" s="358">
        <v>250.23</v>
      </c>
      <c r="J134" s="442">
        <v>1</v>
      </c>
      <c r="K134" s="280">
        <v>250.23</v>
      </c>
      <c r="L134" s="358">
        <v>302.34499999999997</v>
      </c>
      <c r="M134" s="579">
        <v>1</v>
      </c>
      <c r="N134" s="469">
        <v>302.34499999999997</v>
      </c>
      <c r="O134" s="469">
        <v>-52.114999999999981</v>
      </c>
    </row>
    <row r="135" spans="4:15" ht="17.25">
      <c r="F135" s="12"/>
      <c r="H135" s="409"/>
      <c r="I135" s="358"/>
      <c r="J135" s="442"/>
      <c r="K135" s="280"/>
      <c r="L135" s="358"/>
      <c r="M135" s="579"/>
      <c r="N135" s="469"/>
      <c r="O135" s="469"/>
    </row>
    <row r="136" spans="4:15" ht="17.25">
      <c r="D136" s="361">
        <v>44650</v>
      </c>
      <c r="E136" s="361"/>
      <c r="F136" s="361"/>
      <c r="G136" s="361"/>
      <c r="H136" s="409"/>
      <c r="I136" s="358"/>
      <c r="J136" s="442"/>
      <c r="K136" s="280"/>
      <c r="L136" s="358"/>
      <c r="M136" s="579"/>
      <c r="N136" s="469"/>
      <c r="O136" s="469"/>
    </row>
    <row r="137" spans="4:15" ht="17.25">
      <c r="E137" s="12" t="s">
        <v>33</v>
      </c>
      <c r="F137" s="12"/>
      <c r="H137" s="409"/>
      <c r="I137" s="358"/>
      <c r="J137" s="442"/>
      <c r="K137" s="280"/>
      <c r="L137" s="358"/>
      <c r="M137" s="579"/>
      <c r="N137" s="469"/>
      <c r="O137" s="469"/>
    </row>
    <row r="138" spans="4:15" ht="17.25">
      <c r="F138" s="361">
        <v>44363</v>
      </c>
      <c r="G138" s="361"/>
      <c r="H138" s="409"/>
      <c r="I138" s="358"/>
      <c r="J138" s="442"/>
      <c r="K138" s="280"/>
      <c r="L138" s="358"/>
      <c r="M138" s="579"/>
      <c r="N138" s="469"/>
      <c r="O138" s="469"/>
    </row>
    <row r="139" spans="4:15" ht="17.25">
      <c r="F139" s="12"/>
      <c r="G139" s="112" t="s">
        <v>33</v>
      </c>
      <c r="H139" s="409">
        <v>54</v>
      </c>
      <c r="I139" s="358">
        <v>13546.93</v>
      </c>
      <c r="J139" s="442">
        <v>1</v>
      </c>
      <c r="K139" s="280">
        <v>13546.93</v>
      </c>
      <c r="L139" s="358">
        <v>16326.63</v>
      </c>
      <c r="M139" s="579">
        <v>1</v>
      </c>
      <c r="N139" s="469">
        <v>16326.63</v>
      </c>
      <c r="O139" s="469">
        <v>-2779.6999999999989</v>
      </c>
    </row>
    <row r="140" spans="4:15" ht="17.25">
      <c r="F140" s="12"/>
      <c r="H140" s="409"/>
      <c r="I140" s="358"/>
      <c r="J140" s="442"/>
      <c r="K140" s="280"/>
      <c r="L140" s="358"/>
      <c r="M140" s="579"/>
      <c r="N140" s="469"/>
      <c r="O140" s="469"/>
    </row>
    <row r="141" spans="4:15" ht="17.25">
      <c r="D141" s="361">
        <v>44671</v>
      </c>
      <c r="E141" s="361"/>
      <c r="F141" s="361"/>
      <c r="G141" s="361"/>
      <c r="H141" s="409"/>
      <c r="I141" s="358"/>
      <c r="J141" s="442"/>
      <c r="K141" s="280"/>
      <c r="L141" s="358"/>
      <c r="M141" s="579"/>
      <c r="N141" s="469"/>
      <c r="O141" s="469"/>
    </row>
    <row r="142" spans="4:15" ht="17.25">
      <c r="E142" s="12" t="s">
        <v>33</v>
      </c>
      <c r="F142" s="12"/>
      <c r="H142" s="409"/>
      <c r="I142" s="358"/>
      <c r="J142" s="442"/>
      <c r="K142" s="280"/>
      <c r="L142" s="358"/>
      <c r="M142" s="579"/>
      <c r="N142" s="469"/>
      <c r="O142" s="469"/>
    </row>
    <row r="143" spans="4:15" ht="17.25">
      <c r="F143" s="361">
        <v>44363</v>
      </c>
      <c r="G143" s="361"/>
      <c r="H143" s="409"/>
      <c r="I143" s="358"/>
      <c r="J143" s="442"/>
      <c r="K143" s="280"/>
      <c r="L143" s="358"/>
      <c r="M143" s="579"/>
      <c r="N143" s="469"/>
      <c r="O143" s="469"/>
    </row>
    <row r="144" spans="4:15" ht="17.25">
      <c r="F144" s="12"/>
      <c r="G144" s="112" t="s">
        <v>33</v>
      </c>
      <c r="H144" s="409">
        <v>28</v>
      </c>
      <c r="I144" s="358">
        <v>6949.25</v>
      </c>
      <c r="J144" s="442">
        <v>1</v>
      </c>
      <c r="K144" s="280">
        <v>6949.25</v>
      </c>
      <c r="L144" s="358">
        <v>8465.66</v>
      </c>
      <c r="M144" s="579">
        <v>1</v>
      </c>
      <c r="N144" s="469">
        <v>8465.66</v>
      </c>
      <c r="O144" s="469">
        <v>-1516.4099999999994</v>
      </c>
    </row>
    <row r="145" spans="3:15" ht="17.25">
      <c r="F145" s="12"/>
      <c r="H145" s="409"/>
      <c r="I145" s="358"/>
      <c r="J145" s="442"/>
      <c r="K145" s="280"/>
      <c r="L145" s="358"/>
      <c r="M145" s="579"/>
      <c r="N145" s="469"/>
      <c r="O145" s="469"/>
    </row>
    <row r="146" spans="3:15" ht="17.25">
      <c r="D146" s="361">
        <v>44672</v>
      </c>
      <c r="E146" s="361"/>
      <c r="F146" s="361"/>
      <c r="G146" s="361"/>
      <c r="H146" s="409"/>
      <c r="I146" s="358"/>
      <c r="J146" s="442"/>
      <c r="K146" s="280"/>
      <c r="L146" s="358"/>
      <c r="M146" s="579"/>
      <c r="N146" s="469"/>
      <c r="O146" s="469"/>
    </row>
    <row r="147" spans="3:15" ht="17.25">
      <c r="E147" s="12" t="s">
        <v>33</v>
      </c>
      <c r="F147" s="12"/>
      <c r="H147" s="409"/>
      <c r="I147" s="358"/>
      <c r="J147" s="442"/>
      <c r="K147" s="280"/>
      <c r="L147" s="358"/>
      <c r="M147" s="579"/>
      <c r="N147" s="469"/>
      <c r="O147" s="469"/>
    </row>
    <row r="148" spans="3:15" ht="17.25">
      <c r="F148" s="361">
        <v>44363</v>
      </c>
      <c r="G148" s="361"/>
      <c r="H148" s="409"/>
      <c r="I148" s="358"/>
      <c r="J148" s="442"/>
      <c r="K148" s="280"/>
      <c r="L148" s="358"/>
      <c r="M148" s="579"/>
      <c r="N148" s="469"/>
      <c r="O148" s="469"/>
    </row>
    <row r="149" spans="3:15" ht="17.25">
      <c r="F149" s="12"/>
      <c r="G149" s="112" t="s">
        <v>33</v>
      </c>
      <c r="H149" s="409">
        <v>15</v>
      </c>
      <c r="I149" s="358">
        <v>3721.035625</v>
      </c>
      <c r="J149" s="442">
        <v>1</v>
      </c>
      <c r="K149" s="280">
        <v>3721.035625</v>
      </c>
      <c r="L149" s="358">
        <v>4535.1749999999993</v>
      </c>
      <c r="M149" s="579">
        <v>1</v>
      </c>
      <c r="N149" s="469">
        <v>4535.1749999999993</v>
      </c>
      <c r="O149" s="469">
        <v>-814.13937499999975</v>
      </c>
    </row>
    <row r="150" spans="3:15" ht="17.25">
      <c r="F150" s="12"/>
      <c r="H150" s="409"/>
      <c r="I150" s="358"/>
      <c r="J150" s="442"/>
      <c r="K150" s="280"/>
      <c r="L150" s="358"/>
      <c r="M150" s="579"/>
      <c r="N150" s="469"/>
      <c r="O150" s="469"/>
    </row>
    <row r="151" spans="3:15" ht="17.25">
      <c r="F151" s="361">
        <v>44460</v>
      </c>
      <c r="G151" s="361"/>
      <c r="H151" s="409"/>
      <c r="I151" s="358"/>
      <c r="J151" s="442"/>
      <c r="K151" s="280"/>
      <c r="L151" s="358"/>
      <c r="M151" s="579"/>
      <c r="N151" s="469"/>
      <c r="O151" s="469"/>
    </row>
    <row r="152" spans="3:15" ht="17.25">
      <c r="F152" s="12"/>
      <c r="G152" s="112" t="s">
        <v>33</v>
      </c>
      <c r="H152" s="409">
        <v>25</v>
      </c>
      <c r="I152" s="358">
        <v>6201.734375</v>
      </c>
      <c r="J152" s="442">
        <v>1</v>
      </c>
      <c r="K152" s="280">
        <v>6201.734375</v>
      </c>
      <c r="L152" s="358">
        <v>6450.68</v>
      </c>
      <c r="M152" s="579">
        <v>1</v>
      </c>
      <c r="N152" s="469">
        <v>6450.68</v>
      </c>
      <c r="O152" s="469">
        <v>-248.94562499999972</v>
      </c>
    </row>
    <row r="153" spans="3:15" ht="17.25">
      <c r="F153" s="12"/>
      <c r="H153" s="409"/>
      <c r="I153" s="358"/>
      <c r="J153" s="442"/>
      <c r="K153" s="280"/>
      <c r="L153" s="358"/>
      <c r="M153" s="579"/>
      <c r="N153" s="469"/>
      <c r="O153" s="469"/>
    </row>
    <row r="154" spans="3:15" ht="17.25">
      <c r="C154" s="342" t="s">
        <v>302</v>
      </c>
      <c r="D154" s="342"/>
      <c r="E154" s="342"/>
      <c r="F154" s="342"/>
      <c r="G154" s="342"/>
      <c r="H154" s="410">
        <v>255</v>
      </c>
      <c r="I154" s="407">
        <v>61093.880000000012</v>
      </c>
      <c r="J154" s="460">
        <v>1</v>
      </c>
      <c r="K154" s="413">
        <v>61093.880000000012</v>
      </c>
      <c r="L154" s="407">
        <v>72340.109999999986</v>
      </c>
      <c r="M154" s="580">
        <v>1</v>
      </c>
      <c r="N154" s="470">
        <v>72340.109999999986</v>
      </c>
      <c r="O154" s="470">
        <v>-11246.229999999994</v>
      </c>
    </row>
    <row r="155" spans="3:15" ht="17.25">
      <c r="F155" s="12"/>
      <c r="H155" s="409"/>
      <c r="I155" s="358"/>
      <c r="J155" s="442"/>
      <c r="K155" s="280"/>
      <c r="L155" s="358"/>
      <c r="M155" s="579"/>
      <c r="N155" s="469"/>
      <c r="O155" s="469"/>
    </row>
    <row r="156" spans="3:15" ht="17.25">
      <c r="C156" s="12" t="s">
        <v>173</v>
      </c>
      <c r="F156" s="12"/>
      <c r="H156" s="409"/>
      <c r="I156" s="358"/>
      <c r="J156" s="442"/>
      <c r="K156" s="280"/>
      <c r="L156" s="358"/>
      <c r="M156" s="579"/>
      <c r="N156" s="469"/>
      <c r="O156" s="469"/>
    </row>
    <row r="157" spans="3:15" ht="17.25">
      <c r="D157" s="361">
        <v>44678</v>
      </c>
      <c r="E157" s="361"/>
      <c r="F157" s="361"/>
      <c r="G157" s="361"/>
      <c r="H157" s="409"/>
      <c r="I157" s="358"/>
      <c r="J157" s="442"/>
      <c r="K157" s="280"/>
      <c r="L157" s="358"/>
      <c r="M157" s="579"/>
      <c r="N157" s="469"/>
      <c r="O157" s="469"/>
    </row>
    <row r="158" spans="3:15" ht="17.25">
      <c r="E158" s="12" t="s">
        <v>33</v>
      </c>
      <c r="F158" s="12"/>
      <c r="H158" s="409"/>
      <c r="I158" s="358"/>
      <c r="J158" s="442"/>
      <c r="K158" s="280"/>
      <c r="L158" s="358"/>
      <c r="M158" s="579"/>
      <c r="N158" s="469"/>
      <c r="O158" s="469"/>
    </row>
    <row r="159" spans="3:15" ht="17.25">
      <c r="F159" s="361">
        <v>44462</v>
      </c>
      <c r="G159" s="361"/>
      <c r="H159" s="409"/>
      <c r="I159" s="358"/>
      <c r="J159" s="442"/>
      <c r="K159" s="280"/>
      <c r="L159" s="358"/>
      <c r="M159" s="579"/>
      <c r="N159" s="469"/>
      <c r="O159" s="469"/>
    </row>
    <row r="160" spans="3:15" ht="17.25">
      <c r="F160" s="12"/>
      <c r="G160" s="112" t="s">
        <v>33</v>
      </c>
      <c r="H160" s="409">
        <v>210</v>
      </c>
      <c r="I160" s="358">
        <v>7632.4127659574469</v>
      </c>
      <c r="J160" s="442">
        <v>1</v>
      </c>
      <c r="K160" s="280">
        <v>7632.4127659574469</v>
      </c>
      <c r="L160" s="358">
        <v>8698.94</v>
      </c>
      <c r="M160" s="579">
        <v>1</v>
      </c>
      <c r="N160" s="469">
        <v>8698.94</v>
      </c>
      <c r="O160" s="469">
        <v>-1066.5272340425536</v>
      </c>
    </row>
    <row r="161" spans="4:15" ht="17.25">
      <c r="F161" s="12"/>
      <c r="H161" s="409"/>
      <c r="I161" s="358"/>
      <c r="J161" s="442"/>
      <c r="K161" s="280"/>
      <c r="L161" s="358"/>
      <c r="M161" s="579"/>
      <c r="N161" s="469"/>
      <c r="O161" s="469"/>
    </row>
    <row r="162" spans="4:15" ht="17.25">
      <c r="F162" s="361">
        <v>44463</v>
      </c>
      <c r="G162" s="361"/>
      <c r="H162" s="409"/>
      <c r="I162" s="358"/>
      <c r="J162" s="442"/>
      <c r="K162" s="280"/>
      <c r="L162" s="358"/>
      <c r="M162" s="579"/>
      <c r="N162" s="469"/>
      <c r="O162" s="469"/>
    </row>
    <row r="163" spans="4:15" ht="17.25">
      <c r="F163" s="12"/>
      <c r="G163" s="112" t="s">
        <v>33</v>
      </c>
      <c r="H163" s="409">
        <v>213</v>
      </c>
      <c r="I163" s="358">
        <v>7741.4472340425536</v>
      </c>
      <c r="J163" s="442">
        <v>1</v>
      </c>
      <c r="K163" s="280">
        <v>7741.4472340425536</v>
      </c>
      <c r="L163" s="358">
        <v>8986.2139583333337</v>
      </c>
      <c r="M163" s="579">
        <v>1</v>
      </c>
      <c r="N163" s="469">
        <v>8986.2139583333337</v>
      </c>
      <c r="O163" s="469">
        <v>-1244.7667242907805</v>
      </c>
    </row>
    <row r="164" spans="4:15" ht="17.25">
      <c r="F164" s="12"/>
      <c r="H164" s="409"/>
      <c r="I164" s="358"/>
      <c r="J164" s="442"/>
      <c r="K164" s="280"/>
      <c r="L164" s="358"/>
      <c r="M164" s="579"/>
      <c r="N164" s="469"/>
      <c r="O164" s="469"/>
    </row>
    <row r="165" spans="4:15" ht="17.25">
      <c r="D165" s="361">
        <v>44694</v>
      </c>
      <c r="E165" s="361"/>
      <c r="F165" s="361"/>
      <c r="G165" s="361"/>
      <c r="H165" s="409"/>
      <c r="I165" s="358"/>
      <c r="J165" s="442"/>
      <c r="K165" s="280"/>
      <c r="L165" s="358"/>
      <c r="M165" s="579"/>
      <c r="N165" s="469"/>
      <c r="O165" s="469"/>
    </row>
    <row r="166" spans="4:15" ht="17.25">
      <c r="E166" s="12" t="s">
        <v>33</v>
      </c>
      <c r="F166" s="12"/>
      <c r="H166" s="409"/>
      <c r="I166" s="358"/>
      <c r="J166" s="442"/>
      <c r="K166" s="280"/>
      <c r="L166" s="358"/>
      <c r="M166" s="579"/>
      <c r="N166" s="469"/>
      <c r="O166" s="469"/>
    </row>
    <row r="167" spans="4:15" ht="17.25">
      <c r="F167" s="361">
        <v>44463</v>
      </c>
      <c r="G167" s="361"/>
      <c r="H167" s="409"/>
      <c r="I167" s="358"/>
      <c r="J167" s="442"/>
      <c r="K167" s="280"/>
      <c r="L167" s="358"/>
      <c r="M167" s="579"/>
      <c r="N167" s="469"/>
      <c r="O167" s="469"/>
    </row>
    <row r="168" spans="4:15" ht="17.25">
      <c r="F168" s="12"/>
      <c r="G168" s="112" t="s">
        <v>33</v>
      </c>
      <c r="H168" s="409">
        <v>161</v>
      </c>
      <c r="I168" s="358">
        <v>5619.48</v>
      </c>
      <c r="J168" s="442">
        <v>1</v>
      </c>
      <c r="K168" s="280">
        <v>5619.48</v>
      </c>
      <c r="L168" s="358">
        <v>6796.9336458333337</v>
      </c>
      <c r="M168" s="579">
        <v>1</v>
      </c>
      <c r="N168" s="469">
        <v>6796.9336458333337</v>
      </c>
      <c r="O168" s="469">
        <v>-1177.4536458333341</v>
      </c>
    </row>
    <row r="169" spans="4:15" ht="17.25">
      <c r="F169" s="12"/>
      <c r="H169" s="409"/>
      <c r="I169" s="358"/>
      <c r="J169" s="442"/>
      <c r="K169" s="280"/>
      <c r="L169" s="358"/>
      <c r="M169" s="579"/>
      <c r="N169" s="469"/>
      <c r="O169" s="469"/>
    </row>
    <row r="170" spans="4:15" ht="17.25">
      <c r="D170" s="361">
        <v>44697</v>
      </c>
      <c r="E170" s="361"/>
      <c r="F170" s="361"/>
      <c r="G170" s="361"/>
      <c r="H170" s="409"/>
      <c r="I170" s="358"/>
      <c r="J170" s="442"/>
      <c r="K170" s="280"/>
      <c r="L170" s="358"/>
      <c r="M170" s="579"/>
      <c r="N170" s="469"/>
      <c r="O170" s="469"/>
    </row>
    <row r="171" spans="4:15" ht="17.25">
      <c r="E171" s="12" t="s">
        <v>33</v>
      </c>
      <c r="F171" s="12"/>
      <c r="H171" s="409"/>
      <c r="I171" s="358"/>
      <c r="J171" s="442"/>
      <c r="K171" s="280"/>
      <c r="L171" s="358"/>
      <c r="M171" s="579"/>
      <c r="N171" s="469"/>
      <c r="O171" s="469"/>
    </row>
    <row r="172" spans="4:15" ht="17.25">
      <c r="F172" s="361">
        <v>44467</v>
      </c>
      <c r="G172" s="361"/>
      <c r="H172" s="409"/>
      <c r="I172" s="358"/>
      <c r="J172" s="442"/>
      <c r="K172" s="280"/>
      <c r="L172" s="358"/>
      <c r="M172" s="579"/>
      <c r="N172" s="469"/>
      <c r="O172" s="469"/>
    </row>
    <row r="173" spans="4:15" ht="17.25">
      <c r="F173" s="12"/>
      <c r="G173" s="112" t="s">
        <v>33</v>
      </c>
      <c r="H173" s="409">
        <v>183</v>
      </c>
      <c r="I173" s="358">
        <v>6459.8256852791892</v>
      </c>
      <c r="J173" s="442">
        <v>1</v>
      </c>
      <c r="K173" s="280">
        <v>6459.8256852791892</v>
      </c>
      <c r="L173" s="358">
        <v>7914.46</v>
      </c>
      <c r="M173" s="579">
        <v>1</v>
      </c>
      <c r="N173" s="469">
        <v>7914.46</v>
      </c>
      <c r="O173" s="469">
        <v>-1454.6343147208108</v>
      </c>
    </row>
    <row r="174" spans="4:15" ht="17.25">
      <c r="F174" s="12"/>
      <c r="H174" s="409"/>
      <c r="I174" s="358"/>
      <c r="J174" s="442"/>
      <c r="K174" s="280"/>
      <c r="L174" s="358"/>
      <c r="M174" s="579"/>
      <c r="N174" s="469"/>
      <c r="O174" s="469"/>
    </row>
    <row r="175" spans="4:15" ht="17.25">
      <c r="F175" s="361">
        <v>44474</v>
      </c>
      <c r="G175" s="361"/>
      <c r="H175" s="409"/>
      <c r="I175" s="358"/>
      <c r="J175" s="442"/>
      <c r="K175" s="280"/>
      <c r="L175" s="358"/>
      <c r="M175" s="579"/>
      <c r="N175" s="469"/>
      <c r="O175" s="469"/>
    </row>
    <row r="176" spans="4:15" ht="17.25">
      <c r="F176" s="12"/>
      <c r="G176" s="112" t="s">
        <v>33</v>
      </c>
      <c r="H176" s="409">
        <v>243</v>
      </c>
      <c r="I176" s="358">
        <v>8577.8013197969558</v>
      </c>
      <c r="J176" s="442">
        <v>1</v>
      </c>
      <c r="K176" s="280">
        <v>8577.8013197969558</v>
      </c>
      <c r="L176" s="358">
        <v>10846.81607142857</v>
      </c>
      <c r="M176" s="579">
        <v>1</v>
      </c>
      <c r="N176" s="469">
        <v>10846.81607142857</v>
      </c>
      <c r="O176" s="469">
        <v>-2269.0147516316138</v>
      </c>
    </row>
    <row r="177" spans="4:15" ht="17.25">
      <c r="F177" s="12"/>
      <c r="H177" s="409"/>
      <c r="I177" s="358"/>
      <c r="J177" s="442"/>
      <c r="K177" s="280"/>
      <c r="L177" s="358"/>
      <c r="M177" s="579"/>
      <c r="N177" s="469"/>
      <c r="O177" s="469"/>
    </row>
    <row r="178" spans="4:15" ht="17.25">
      <c r="F178" s="361">
        <v>44463</v>
      </c>
      <c r="G178" s="361"/>
      <c r="H178" s="409"/>
      <c r="I178" s="358"/>
      <c r="J178" s="442"/>
      <c r="K178" s="280"/>
      <c r="L178" s="358"/>
      <c r="M178" s="579"/>
      <c r="N178" s="469"/>
      <c r="O178" s="469"/>
    </row>
    <row r="179" spans="4:15" ht="17.25">
      <c r="F179" s="12"/>
      <c r="G179" s="112" t="s">
        <v>33</v>
      </c>
      <c r="H179" s="409">
        <v>29</v>
      </c>
      <c r="I179" s="358">
        <v>1023.688223350254</v>
      </c>
      <c r="J179" s="442">
        <v>1</v>
      </c>
      <c r="K179" s="280">
        <v>1023.688223350254</v>
      </c>
      <c r="L179" s="358">
        <v>1224.2923958333333</v>
      </c>
      <c r="M179" s="579">
        <v>1</v>
      </c>
      <c r="N179" s="469">
        <v>1224.2923958333333</v>
      </c>
      <c r="O179" s="469">
        <v>-200.60417248307931</v>
      </c>
    </row>
    <row r="180" spans="4:15" ht="17.25">
      <c r="F180" s="12"/>
      <c r="H180" s="409"/>
      <c r="I180" s="358"/>
      <c r="J180" s="442"/>
      <c r="K180" s="280"/>
      <c r="L180" s="358"/>
      <c r="M180" s="579"/>
      <c r="N180" s="469"/>
      <c r="O180" s="469"/>
    </row>
    <row r="181" spans="4:15" ht="17.25">
      <c r="F181" s="361">
        <v>44469</v>
      </c>
      <c r="G181" s="361"/>
      <c r="H181" s="409"/>
      <c r="I181" s="358"/>
      <c r="J181" s="442"/>
      <c r="K181" s="280"/>
      <c r="L181" s="358"/>
      <c r="M181" s="579"/>
      <c r="N181" s="469"/>
      <c r="O181" s="469"/>
    </row>
    <row r="182" spans="4:15" ht="17.25">
      <c r="F182" s="12"/>
      <c r="G182" s="112" t="s">
        <v>33</v>
      </c>
      <c r="H182" s="409">
        <v>136</v>
      </c>
      <c r="I182" s="358">
        <v>4800.7447715736052</v>
      </c>
      <c r="J182" s="442">
        <v>1</v>
      </c>
      <c r="K182" s="280">
        <v>4800.7447715736052</v>
      </c>
      <c r="L182" s="358">
        <v>5840.96</v>
      </c>
      <c r="M182" s="579">
        <v>1</v>
      </c>
      <c r="N182" s="469">
        <v>5840.96</v>
      </c>
      <c r="O182" s="469">
        <v>-1040.2152284263948</v>
      </c>
    </row>
    <row r="183" spans="4:15" ht="17.25">
      <c r="F183" s="12"/>
      <c r="H183" s="409"/>
      <c r="I183" s="358"/>
      <c r="J183" s="442"/>
      <c r="K183" s="280"/>
      <c r="L183" s="358"/>
      <c r="M183" s="579"/>
      <c r="N183" s="469"/>
      <c r="O183" s="469"/>
    </row>
    <row r="184" spans="4:15" ht="17.25">
      <c r="D184" s="361">
        <v>44721</v>
      </c>
      <c r="E184" s="361"/>
      <c r="F184" s="361"/>
      <c r="G184" s="361"/>
      <c r="H184" s="409"/>
      <c r="I184" s="358"/>
      <c r="J184" s="442"/>
      <c r="K184" s="280"/>
      <c r="L184" s="358"/>
      <c r="M184" s="579"/>
      <c r="N184" s="469"/>
      <c r="O184" s="469"/>
    </row>
    <row r="185" spans="4:15" ht="17.25">
      <c r="E185" s="12" t="s">
        <v>33</v>
      </c>
      <c r="F185" s="12"/>
      <c r="H185" s="409"/>
      <c r="I185" s="358"/>
      <c r="J185" s="442"/>
      <c r="K185" s="280"/>
      <c r="L185" s="358"/>
      <c r="M185" s="579"/>
      <c r="N185" s="469"/>
      <c r="O185" s="469"/>
    </row>
    <row r="186" spans="4:15" ht="17.25">
      <c r="F186" s="361">
        <v>44523</v>
      </c>
      <c r="G186" s="361"/>
      <c r="H186" s="409"/>
      <c r="I186" s="358"/>
      <c r="J186" s="442"/>
      <c r="K186" s="280"/>
      <c r="L186" s="358"/>
      <c r="M186" s="579"/>
      <c r="N186" s="469"/>
      <c r="O186" s="469"/>
    </row>
    <row r="187" spans="4:15" ht="17.25">
      <c r="F187" s="12"/>
      <c r="G187" s="112" t="s">
        <v>33</v>
      </c>
      <c r="H187" s="409">
        <v>114</v>
      </c>
      <c r="I187" s="358">
        <v>3998.3252112676059</v>
      </c>
      <c r="J187" s="442">
        <v>1</v>
      </c>
      <c r="K187" s="280">
        <v>3998.3252112676059</v>
      </c>
      <c r="L187" s="358">
        <v>5401.56</v>
      </c>
      <c r="M187" s="579">
        <v>1</v>
      </c>
      <c r="N187" s="469">
        <v>5401.56</v>
      </c>
      <c r="O187" s="469">
        <v>-1403.2347887323945</v>
      </c>
    </row>
    <row r="188" spans="4:15" ht="17.25">
      <c r="F188" s="12"/>
      <c r="H188" s="409"/>
      <c r="I188" s="358"/>
      <c r="J188" s="442"/>
      <c r="K188" s="280"/>
      <c r="L188" s="358"/>
      <c r="M188" s="579"/>
      <c r="N188" s="469"/>
      <c r="O188" s="469"/>
    </row>
    <row r="189" spans="4:15" ht="17.25">
      <c r="F189" s="361">
        <v>44474</v>
      </c>
      <c r="G189" s="361"/>
      <c r="H189" s="409"/>
      <c r="I189" s="358"/>
      <c r="J189" s="442"/>
      <c r="K189" s="280"/>
      <c r="L189" s="358"/>
      <c r="M189" s="579"/>
      <c r="N189" s="469"/>
      <c r="O189" s="469"/>
    </row>
    <row r="190" spans="4:15" ht="17.25">
      <c r="F190" s="12"/>
      <c r="G190" s="112" t="s">
        <v>33</v>
      </c>
      <c r="H190" s="409">
        <v>9</v>
      </c>
      <c r="I190" s="358">
        <v>315.65725352112679</v>
      </c>
      <c r="J190" s="442">
        <v>1</v>
      </c>
      <c r="K190" s="280">
        <v>315.65725352112679</v>
      </c>
      <c r="L190" s="358">
        <v>401.73392857142852</v>
      </c>
      <c r="M190" s="579">
        <v>1</v>
      </c>
      <c r="N190" s="469">
        <v>401.73392857142852</v>
      </c>
      <c r="O190" s="469">
        <v>-86.076675050301731</v>
      </c>
    </row>
    <row r="191" spans="4:15" ht="17.25">
      <c r="F191" s="12"/>
      <c r="H191" s="409"/>
      <c r="I191" s="358"/>
      <c r="J191" s="442"/>
      <c r="K191" s="280"/>
      <c r="L191" s="358"/>
      <c r="M191" s="579"/>
      <c r="N191" s="469"/>
      <c r="O191" s="469"/>
    </row>
    <row r="192" spans="4:15" ht="17.25">
      <c r="F192" s="361">
        <v>44540</v>
      </c>
      <c r="G192" s="361"/>
      <c r="H192" s="409"/>
      <c r="I192" s="358"/>
      <c r="J192" s="442"/>
      <c r="K192" s="280"/>
      <c r="L192" s="358"/>
      <c r="M192" s="579"/>
      <c r="N192" s="469"/>
      <c r="O192" s="469"/>
    </row>
    <row r="193" spans="3:15" ht="17.25">
      <c r="F193" s="12"/>
      <c r="G193" s="112" t="s">
        <v>33</v>
      </c>
      <c r="H193" s="409">
        <v>141</v>
      </c>
      <c r="I193" s="358">
        <v>4930.7562439024387</v>
      </c>
      <c r="J193" s="442">
        <v>1</v>
      </c>
      <c r="K193" s="280">
        <v>4930.7562439024387</v>
      </c>
      <c r="L193" s="358">
        <v>6240.6200000000008</v>
      </c>
      <c r="M193" s="579">
        <v>1</v>
      </c>
      <c r="N193" s="469">
        <v>6240.6200000000008</v>
      </c>
      <c r="O193" s="469">
        <v>-1309.8637560975617</v>
      </c>
    </row>
    <row r="194" spans="3:15" ht="17.25">
      <c r="F194" s="12"/>
      <c r="H194" s="409"/>
      <c r="I194" s="358"/>
      <c r="J194" s="442"/>
      <c r="K194" s="280"/>
      <c r="L194" s="358"/>
      <c r="M194" s="579"/>
      <c r="N194" s="469"/>
      <c r="O194" s="469"/>
    </row>
    <row r="195" spans="3:15" ht="17.25">
      <c r="F195" s="361">
        <v>44536</v>
      </c>
      <c r="G195" s="361"/>
      <c r="H195" s="409"/>
      <c r="I195" s="358"/>
      <c r="J195" s="442"/>
      <c r="K195" s="280"/>
      <c r="L195" s="358"/>
      <c r="M195" s="579"/>
      <c r="N195" s="469"/>
      <c r="O195" s="469"/>
    </row>
    <row r="196" spans="3:15" ht="17.25">
      <c r="F196" s="12"/>
      <c r="G196" s="112" t="s">
        <v>33</v>
      </c>
      <c r="H196" s="409">
        <v>116</v>
      </c>
      <c r="I196" s="358">
        <v>4061.0730474063898</v>
      </c>
      <c r="J196" s="442">
        <v>1</v>
      </c>
      <c r="K196" s="280">
        <v>4061.0730474063898</v>
      </c>
      <c r="L196" s="358">
        <v>5149.63</v>
      </c>
      <c r="M196" s="579">
        <v>1</v>
      </c>
      <c r="N196" s="469">
        <v>5149.63</v>
      </c>
      <c r="O196" s="469">
        <v>-1088.5569525936107</v>
      </c>
    </row>
    <row r="197" spans="3:15" ht="17.25">
      <c r="F197" s="12"/>
      <c r="H197" s="409"/>
      <c r="I197" s="358"/>
      <c r="J197" s="442"/>
      <c r="K197" s="280"/>
      <c r="L197" s="358"/>
      <c r="M197" s="579"/>
      <c r="N197" s="469"/>
      <c r="O197" s="469"/>
    </row>
    <row r="198" spans="3:15" ht="17.25">
      <c r="F198" s="361">
        <v>44575</v>
      </c>
      <c r="G198" s="361"/>
      <c r="H198" s="409"/>
      <c r="I198" s="358"/>
      <c r="J198" s="442"/>
      <c r="K198" s="280"/>
      <c r="L198" s="358"/>
      <c r="M198" s="579"/>
      <c r="N198" s="469"/>
      <c r="O198" s="469"/>
    </row>
    <row r="199" spans="3:15" ht="17.25">
      <c r="F199" s="12"/>
      <c r="G199" s="112" t="s">
        <v>33</v>
      </c>
      <c r="H199" s="409">
        <v>221</v>
      </c>
      <c r="I199" s="358">
        <v>7728.3484390243893</v>
      </c>
      <c r="J199" s="442">
        <v>1</v>
      </c>
      <c r="K199" s="280">
        <v>7728.3484390243893</v>
      </c>
      <c r="L199" s="358">
        <v>10550.65</v>
      </c>
      <c r="M199" s="579">
        <v>1</v>
      </c>
      <c r="N199" s="469">
        <v>10550.65</v>
      </c>
      <c r="O199" s="469">
        <v>-2822.3015609756103</v>
      </c>
    </row>
    <row r="200" spans="3:15" ht="17.25">
      <c r="F200" s="12"/>
      <c r="H200" s="409"/>
      <c r="I200" s="358"/>
      <c r="J200" s="442"/>
      <c r="K200" s="280"/>
      <c r="L200" s="358"/>
      <c r="M200" s="579"/>
      <c r="N200" s="469"/>
      <c r="O200" s="469"/>
    </row>
    <row r="201" spans="3:15" ht="17.25">
      <c r="F201" s="361">
        <v>44685</v>
      </c>
      <c r="G201" s="361"/>
      <c r="H201" s="409"/>
      <c r="I201" s="358"/>
      <c r="J201" s="442"/>
      <c r="K201" s="280"/>
      <c r="L201" s="358"/>
      <c r="M201" s="579"/>
      <c r="N201" s="469"/>
      <c r="O201" s="469"/>
    </row>
    <row r="202" spans="3:15" ht="17.25">
      <c r="F202" s="12"/>
      <c r="G202" s="112" t="s">
        <v>33</v>
      </c>
      <c r="H202" s="409">
        <v>2</v>
      </c>
      <c r="I202" s="358">
        <v>69.939804878048776</v>
      </c>
      <c r="J202" s="442">
        <v>1</v>
      </c>
      <c r="K202" s="280">
        <v>69.939804878048776</v>
      </c>
      <c r="L202" s="358">
        <v>75.349999999999994</v>
      </c>
      <c r="M202" s="579">
        <v>1</v>
      </c>
      <c r="N202" s="469">
        <v>75.349999999999994</v>
      </c>
      <c r="O202" s="469">
        <v>-5.4101951219512188</v>
      </c>
    </row>
    <row r="203" spans="3:15" ht="17.25">
      <c r="F203" s="12"/>
      <c r="H203" s="409"/>
      <c r="I203" s="358"/>
      <c r="J203" s="442"/>
      <c r="K203" s="280"/>
      <c r="L203" s="358"/>
      <c r="M203" s="579"/>
      <c r="N203" s="469"/>
      <c r="O203" s="469"/>
    </row>
    <row r="204" spans="3:15" ht="17.25">
      <c r="C204" s="342" t="s">
        <v>303</v>
      </c>
      <c r="D204" s="342"/>
      <c r="E204" s="342"/>
      <c r="F204" s="342"/>
      <c r="G204" s="342"/>
      <c r="H204" s="410">
        <v>1778</v>
      </c>
      <c r="I204" s="407">
        <v>62959.500000000007</v>
      </c>
      <c r="J204" s="460">
        <v>1</v>
      </c>
      <c r="K204" s="413">
        <v>62959.500000000007</v>
      </c>
      <c r="L204" s="407">
        <v>78128.159999999989</v>
      </c>
      <c r="M204" s="580">
        <v>1</v>
      </c>
      <c r="N204" s="470">
        <v>78128.159999999989</v>
      </c>
      <c r="O204" s="470">
        <v>-15168.660000000002</v>
      </c>
    </row>
    <row r="205" spans="3:15" ht="17.25">
      <c r="F205" s="12"/>
      <c r="H205" s="409"/>
      <c r="I205" s="358"/>
      <c r="J205" s="442"/>
      <c r="K205" s="280"/>
      <c r="L205" s="358"/>
      <c r="M205" s="579"/>
      <c r="N205" s="469"/>
      <c r="O205" s="469"/>
    </row>
    <row r="206" spans="3:15" ht="17.25">
      <c r="C206" s="12" t="s">
        <v>177</v>
      </c>
      <c r="F206" s="12"/>
      <c r="H206" s="409"/>
      <c r="I206" s="358"/>
      <c r="J206" s="442"/>
      <c r="K206" s="280"/>
      <c r="L206" s="358"/>
      <c r="M206" s="579"/>
      <c r="N206" s="469"/>
      <c r="O206" s="469"/>
    </row>
    <row r="207" spans="3:15" ht="17.25">
      <c r="D207" s="361">
        <v>44678</v>
      </c>
      <c r="E207" s="361"/>
      <c r="F207" s="361"/>
      <c r="G207" s="361"/>
      <c r="H207" s="409"/>
      <c r="I207" s="358"/>
      <c r="J207" s="442"/>
      <c r="K207" s="280"/>
      <c r="L207" s="358"/>
      <c r="M207" s="579"/>
      <c r="N207" s="469"/>
      <c r="O207" s="469"/>
    </row>
    <row r="208" spans="3:15" ht="17.25">
      <c r="E208" s="12" t="s">
        <v>33</v>
      </c>
      <c r="F208" s="12"/>
      <c r="H208" s="409"/>
      <c r="I208" s="358"/>
      <c r="J208" s="442"/>
      <c r="K208" s="280"/>
      <c r="L208" s="358"/>
      <c r="M208" s="579"/>
      <c r="N208" s="469"/>
      <c r="O208" s="469"/>
    </row>
    <row r="209" spans="4:15" ht="17.25">
      <c r="F209" s="361">
        <v>44363</v>
      </c>
      <c r="G209" s="361"/>
      <c r="H209" s="409"/>
      <c r="I209" s="358"/>
      <c r="J209" s="442"/>
      <c r="K209" s="280"/>
      <c r="L209" s="358"/>
      <c r="M209" s="579"/>
      <c r="N209" s="469"/>
      <c r="O209" s="469"/>
    </row>
    <row r="210" spans="4:15" ht="17.25">
      <c r="F210" s="12"/>
      <c r="G210" s="112" t="s">
        <v>33</v>
      </c>
      <c r="H210" s="409">
        <v>3</v>
      </c>
      <c r="I210" s="358">
        <v>762.26129032258063</v>
      </c>
      <c r="J210" s="442">
        <v>1</v>
      </c>
      <c r="K210" s="280">
        <v>762.26129032258063</v>
      </c>
      <c r="L210" s="358">
        <v>726.56999999999994</v>
      </c>
      <c r="M210" s="579">
        <v>1</v>
      </c>
      <c r="N210" s="469">
        <v>726.56999999999994</v>
      </c>
      <c r="O210" s="469">
        <v>35.691290322580699</v>
      </c>
    </row>
    <row r="211" spans="4:15" ht="17.25">
      <c r="F211" s="12"/>
      <c r="H211" s="409"/>
      <c r="I211" s="358"/>
      <c r="J211" s="442"/>
      <c r="K211" s="280"/>
      <c r="L211" s="358"/>
      <c r="M211" s="579"/>
      <c r="N211" s="469"/>
      <c r="O211" s="469"/>
    </row>
    <row r="212" spans="4:15" ht="17.25">
      <c r="F212" s="361">
        <v>44328</v>
      </c>
      <c r="G212" s="361"/>
      <c r="H212" s="409"/>
      <c r="I212" s="358"/>
      <c r="J212" s="442"/>
      <c r="K212" s="280"/>
      <c r="L212" s="358"/>
      <c r="M212" s="579"/>
      <c r="N212" s="469"/>
      <c r="O212" s="469"/>
    </row>
    <row r="213" spans="4:15" ht="17.25">
      <c r="F213" s="12"/>
      <c r="G213" s="112" t="s">
        <v>33</v>
      </c>
      <c r="H213" s="409">
        <v>14</v>
      </c>
      <c r="I213" s="358">
        <v>3557.2193548387099</v>
      </c>
      <c r="J213" s="442">
        <v>1</v>
      </c>
      <c r="K213" s="280">
        <v>3557.2193548387099</v>
      </c>
      <c r="L213" s="358">
        <v>3392.68</v>
      </c>
      <c r="M213" s="579">
        <v>1</v>
      </c>
      <c r="N213" s="469">
        <v>3392.68</v>
      </c>
      <c r="O213" s="469">
        <v>164.53935483871004</v>
      </c>
    </row>
    <row r="214" spans="4:15" ht="17.25">
      <c r="F214" s="12"/>
      <c r="H214" s="409"/>
      <c r="I214" s="358"/>
      <c r="J214" s="442"/>
      <c r="K214" s="280"/>
      <c r="L214" s="358"/>
      <c r="M214" s="579"/>
      <c r="N214" s="469"/>
      <c r="O214" s="469"/>
    </row>
    <row r="215" spans="4:15" ht="17.25">
      <c r="F215" s="361">
        <v>44329</v>
      </c>
      <c r="G215" s="361"/>
      <c r="H215" s="409"/>
      <c r="I215" s="358"/>
      <c r="J215" s="442"/>
      <c r="K215" s="280"/>
      <c r="L215" s="358"/>
      <c r="M215" s="579"/>
      <c r="N215" s="469"/>
      <c r="O215" s="469"/>
    </row>
    <row r="216" spans="4:15" ht="17.25">
      <c r="F216" s="12"/>
      <c r="G216" s="112" t="s">
        <v>33</v>
      </c>
      <c r="H216" s="409">
        <v>14</v>
      </c>
      <c r="I216" s="358">
        <v>3557.2193548387095</v>
      </c>
      <c r="J216" s="442">
        <v>1</v>
      </c>
      <c r="K216" s="280">
        <v>3557.2193548387095</v>
      </c>
      <c r="L216" s="358">
        <v>3426.5299999999997</v>
      </c>
      <c r="M216" s="579">
        <v>1</v>
      </c>
      <c r="N216" s="469">
        <v>3426.5299999999997</v>
      </c>
      <c r="O216" s="469">
        <v>130.68935483870973</v>
      </c>
    </row>
    <row r="217" spans="4:15" ht="17.25">
      <c r="F217" s="12"/>
      <c r="H217" s="409"/>
      <c r="I217" s="358"/>
      <c r="J217" s="442"/>
      <c r="K217" s="280"/>
      <c r="L217" s="358"/>
      <c r="M217" s="579"/>
      <c r="N217" s="469"/>
      <c r="O217" s="469"/>
    </row>
    <row r="218" spans="4:15" ht="17.25">
      <c r="D218" s="361">
        <v>44783</v>
      </c>
      <c r="E218" s="361"/>
      <c r="F218" s="361"/>
      <c r="G218" s="361"/>
      <c r="H218" s="409"/>
      <c r="I218" s="358"/>
      <c r="J218" s="442"/>
      <c r="K218" s="280"/>
      <c r="L218" s="358"/>
      <c r="M218" s="579"/>
      <c r="N218" s="469"/>
      <c r="O218" s="469"/>
    </row>
    <row r="219" spans="4:15" ht="17.25">
      <c r="E219" s="12" t="s">
        <v>33</v>
      </c>
      <c r="F219" s="12"/>
      <c r="H219" s="409"/>
      <c r="I219" s="358"/>
      <c r="J219" s="442"/>
      <c r="K219" s="280"/>
      <c r="L219" s="358"/>
      <c r="M219" s="579"/>
      <c r="N219" s="469"/>
      <c r="O219" s="469"/>
    </row>
    <row r="220" spans="4:15" ht="17.25">
      <c r="F220" s="361">
        <v>44363</v>
      </c>
      <c r="G220" s="361"/>
      <c r="H220" s="409"/>
      <c r="I220" s="358"/>
      <c r="J220" s="442"/>
      <c r="K220" s="280"/>
      <c r="L220" s="358"/>
      <c r="M220" s="579"/>
      <c r="N220" s="469"/>
      <c r="O220" s="469"/>
    </row>
    <row r="221" spans="4:15" ht="17.25">
      <c r="F221" s="12"/>
      <c r="G221" s="112" t="s">
        <v>33</v>
      </c>
      <c r="H221" s="409">
        <v>12</v>
      </c>
      <c r="I221" s="358">
        <v>3099.1899999999996</v>
      </c>
      <c r="J221" s="442">
        <v>1</v>
      </c>
      <c r="K221" s="280">
        <v>3099.1899999999996</v>
      </c>
      <c r="L221" s="358">
        <v>2906.28</v>
      </c>
      <c r="M221" s="579">
        <v>1</v>
      </c>
      <c r="N221" s="469">
        <v>2906.28</v>
      </c>
      <c r="O221" s="469">
        <v>192.90999999999968</v>
      </c>
    </row>
    <row r="222" spans="4:15" ht="17.25">
      <c r="F222" s="12"/>
      <c r="H222" s="409"/>
      <c r="I222" s="358"/>
      <c r="J222" s="442"/>
      <c r="K222" s="280"/>
      <c r="L222" s="358"/>
      <c r="M222" s="579"/>
      <c r="N222" s="469"/>
      <c r="O222" s="469"/>
    </row>
    <row r="223" spans="4:15" ht="17.25">
      <c r="D223" s="361">
        <v>44784</v>
      </c>
      <c r="E223" s="361"/>
      <c r="F223" s="361"/>
      <c r="G223" s="361"/>
      <c r="H223" s="409"/>
      <c r="I223" s="358"/>
      <c r="J223" s="442"/>
      <c r="K223" s="280"/>
      <c r="L223" s="358"/>
      <c r="M223" s="579"/>
      <c r="N223" s="469"/>
      <c r="O223" s="469"/>
    </row>
    <row r="224" spans="4:15" ht="17.25">
      <c r="E224" s="12" t="s">
        <v>33</v>
      </c>
      <c r="F224" s="12"/>
      <c r="H224" s="409"/>
      <c r="I224" s="358"/>
      <c r="J224" s="442"/>
      <c r="K224" s="280"/>
      <c r="L224" s="358"/>
      <c r="M224" s="579"/>
      <c r="N224" s="469"/>
      <c r="O224" s="469"/>
    </row>
    <row r="225" spans="4:15" ht="17.25">
      <c r="F225" s="361">
        <v>44363</v>
      </c>
      <c r="G225" s="361"/>
      <c r="H225" s="409"/>
      <c r="I225" s="358"/>
      <c r="J225" s="442"/>
      <c r="K225" s="280"/>
      <c r="L225" s="358"/>
      <c r="M225" s="579"/>
      <c r="N225" s="469"/>
      <c r="O225" s="469"/>
    </row>
    <row r="226" spans="4:15" ht="17.25">
      <c r="F226" s="12"/>
      <c r="G226" s="112" t="s">
        <v>33</v>
      </c>
      <c r="H226" s="409">
        <v>8</v>
      </c>
      <c r="I226" s="358">
        <v>2081.58</v>
      </c>
      <c r="J226" s="442">
        <v>1</v>
      </c>
      <c r="K226" s="280">
        <v>2081.58</v>
      </c>
      <c r="L226" s="358">
        <v>1937.52</v>
      </c>
      <c r="M226" s="579">
        <v>1</v>
      </c>
      <c r="N226" s="469">
        <v>1937.52</v>
      </c>
      <c r="O226" s="469">
        <v>144.05999999999995</v>
      </c>
    </row>
    <row r="227" spans="4:15" ht="17.25">
      <c r="F227" s="12"/>
      <c r="H227" s="409"/>
      <c r="I227" s="358"/>
      <c r="J227" s="442"/>
      <c r="K227" s="280"/>
      <c r="L227" s="358"/>
      <c r="M227" s="579"/>
      <c r="N227" s="469"/>
      <c r="O227" s="469"/>
    </row>
    <row r="228" spans="4:15" ht="17.25">
      <c r="D228" s="361">
        <v>44797</v>
      </c>
      <c r="E228" s="361"/>
      <c r="F228" s="361"/>
      <c r="G228" s="361"/>
      <c r="H228" s="409"/>
      <c r="I228" s="358"/>
      <c r="J228" s="442"/>
      <c r="K228" s="280"/>
      <c r="L228" s="358"/>
      <c r="M228" s="579"/>
      <c r="N228" s="469"/>
      <c r="O228" s="469"/>
    </row>
    <row r="229" spans="4:15" ht="17.25">
      <c r="E229" s="12" t="s">
        <v>33</v>
      </c>
      <c r="F229" s="12"/>
      <c r="H229" s="409"/>
      <c r="I229" s="358"/>
      <c r="J229" s="442"/>
      <c r="K229" s="280"/>
      <c r="L229" s="358"/>
      <c r="M229" s="579"/>
      <c r="N229" s="469"/>
      <c r="O229" s="469"/>
    </row>
    <row r="230" spans="4:15" ht="17.25">
      <c r="F230" s="361">
        <v>44370</v>
      </c>
      <c r="G230" s="361"/>
      <c r="H230" s="409"/>
      <c r="I230" s="358"/>
      <c r="J230" s="442"/>
      <c r="K230" s="280"/>
      <c r="L230" s="358"/>
      <c r="M230" s="579"/>
      <c r="N230" s="469"/>
      <c r="O230" s="469"/>
    </row>
    <row r="231" spans="4:15" ht="17.25">
      <c r="F231" s="12"/>
      <c r="G231" s="112" t="s">
        <v>33</v>
      </c>
      <c r="H231" s="409">
        <v>20</v>
      </c>
      <c r="I231" s="358">
        <v>5176.66</v>
      </c>
      <c r="J231" s="442">
        <v>1</v>
      </c>
      <c r="K231" s="280">
        <v>5176.66</v>
      </c>
      <c r="L231" s="358">
        <v>4811.568571428571</v>
      </c>
      <c r="M231" s="579">
        <v>1</v>
      </c>
      <c r="N231" s="469">
        <v>4811.568571428571</v>
      </c>
      <c r="O231" s="469">
        <v>365.09142857142871</v>
      </c>
    </row>
    <row r="232" spans="4:15" ht="17.25">
      <c r="F232" s="12"/>
      <c r="H232" s="409"/>
      <c r="I232" s="358"/>
      <c r="J232" s="442"/>
      <c r="K232" s="280"/>
      <c r="L232" s="358"/>
      <c r="M232" s="579"/>
      <c r="N232" s="469"/>
      <c r="O232" s="469"/>
    </row>
    <row r="233" spans="4:15" ht="17.25">
      <c r="D233" s="361">
        <v>44798</v>
      </c>
      <c r="E233" s="361"/>
      <c r="F233" s="361"/>
      <c r="G233" s="361"/>
      <c r="H233" s="409"/>
      <c r="I233" s="358"/>
      <c r="J233" s="442"/>
      <c r="K233" s="280"/>
      <c r="L233" s="358"/>
      <c r="M233" s="579"/>
      <c r="N233" s="469"/>
      <c r="O233" s="469"/>
    </row>
    <row r="234" spans="4:15" ht="17.25">
      <c r="E234" s="12" t="s">
        <v>33</v>
      </c>
      <c r="F234" s="12"/>
      <c r="H234" s="409"/>
      <c r="I234" s="358"/>
      <c r="J234" s="442"/>
      <c r="K234" s="280"/>
      <c r="L234" s="358"/>
      <c r="M234" s="579"/>
      <c r="N234" s="469"/>
      <c r="O234" s="469"/>
    </row>
    <row r="235" spans="4:15" ht="17.25">
      <c r="F235" s="361">
        <v>44370</v>
      </c>
      <c r="G235" s="361"/>
      <c r="H235" s="409"/>
      <c r="I235" s="358"/>
      <c r="J235" s="442"/>
      <c r="K235" s="280"/>
      <c r="L235" s="358"/>
      <c r="M235" s="579"/>
      <c r="N235" s="469"/>
      <c r="O235" s="469"/>
    </row>
    <row r="236" spans="4:15" ht="17.25">
      <c r="F236" s="12"/>
      <c r="G236" s="112" t="s">
        <v>33</v>
      </c>
      <c r="H236" s="409">
        <v>5</v>
      </c>
      <c r="I236" s="358">
        <v>1297.8763157894737</v>
      </c>
      <c r="J236" s="442">
        <v>1</v>
      </c>
      <c r="K236" s="280">
        <v>1297.8763157894737</v>
      </c>
      <c r="L236" s="358">
        <v>1201.4814285714285</v>
      </c>
      <c r="M236" s="579">
        <v>1</v>
      </c>
      <c r="N236" s="469">
        <v>1201.4814285714285</v>
      </c>
      <c r="O236" s="469">
        <v>96.394887218045255</v>
      </c>
    </row>
    <row r="237" spans="4:15" ht="17.25">
      <c r="F237" s="12"/>
      <c r="H237" s="409"/>
      <c r="I237" s="358"/>
      <c r="J237" s="442"/>
      <c r="K237" s="280"/>
      <c r="L237" s="358"/>
      <c r="M237" s="579"/>
      <c r="N237" s="469"/>
      <c r="O237" s="469"/>
    </row>
    <row r="238" spans="4:15" ht="17.25">
      <c r="F238" s="361">
        <v>44392</v>
      </c>
      <c r="G238" s="361"/>
      <c r="H238" s="409"/>
      <c r="I238" s="358"/>
      <c r="J238" s="442"/>
      <c r="K238" s="280"/>
      <c r="L238" s="358"/>
      <c r="M238" s="579"/>
      <c r="N238" s="469"/>
      <c r="O238" s="469"/>
    </row>
    <row r="239" spans="4:15" ht="17.25">
      <c r="F239" s="12"/>
      <c r="G239" s="112" t="s">
        <v>33</v>
      </c>
      <c r="H239" s="409">
        <v>14</v>
      </c>
      <c r="I239" s="358">
        <v>3634.0536842105266</v>
      </c>
      <c r="J239" s="442">
        <v>1</v>
      </c>
      <c r="K239" s="280">
        <v>3634.0536842105266</v>
      </c>
      <c r="L239" s="358">
        <v>3445.6712499999999</v>
      </c>
      <c r="M239" s="579">
        <v>1</v>
      </c>
      <c r="N239" s="469">
        <v>3445.6712499999999</v>
      </c>
      <c r="O239" s="469">
        <v>188.38243421052675</v>
      </c>
    </row>
    <row r="240" spans="4:15" ht="17.25">
      <c r="F240" s="12"/>
      <c r="H240" s="409"/>
      <c r="I240" s="358"/>
      <c r="J240" s="442"/>
      <c r="K240" s="280"/>
      <c r="L240" s="358"/>
      <c r="M240" s="579"/>
      <c r="N240" s="469"/>
      <c r="O240" s="469"/>
    </row>
    <row r="241" spans="4:15" ht="17.25">
      <c r="D241" s="361">
        <v>44799</v>
      </c>
      <c r="E241" s="361"/>
      <c r="F241" s="361"/>
      <c r="G241" s="361"/>
      <c r="H241" s="409"/>
      <c r="I241" s="358"/>
      <c r="J241" s="442"/>
      <c r="K241" s="280"/>
      <c r="L241" s="358"/>
      <c r="M241" s="579"/>
      <c r="N241" s="469"/>
      <c r="O241" s="469"/>
    </row>
    <row r="242" spans="4:15" ht="17.25">
      <c r="E242" s="12" t="s">
        <v>33</v>
      </c>
      <c r="F242" s="12"/>
      <c r="H242" s="409"/>
      <c r="I242" s="358"/>
      <c r="J242" s="442"/>
      <c r="K242" s="280"/>
      <c r="L242" s="358"/>
      <c r="M242" s="579"/>
      <c r="N242" s="469"/>
      <c r="O242" s="469"/>
    </row>
    <row r="243" spans="4:15" ht="17.25">
      <c r="F243" s="361">
        <v>44392</v>
      </c>
      <c r="G243" s="361"/>
      <c r="H243" s="409"/>
      <c r="I243" s="358"/>
      <c r="J243" s="442"/>
      <c r="K243" s="280"/>
      <c r="L243" s="358"/>
      <c r="M243" s="579"/>
      <c r="N243" s="469"/>
      <c r="O243" s="469"/>
    </row>
    <row r="244" spans="4:15" ht="17.25">
      <c r="F244" s="12"/>
      <c r="G244" s="112" t="s">
        <v>33</v>
      </c>
      <c r="H244" s="409">
        <v>1</v>
      </c>
      <c r="I244" s="358">
        <v>256.97000000000003</v>
      </c>
      <c r="J244" s="442">
        <v>1</v>
      </c>
      <c r="K244" s="280">
        <v>256.97000000000003</v>
      </c>
      <c r="L244" s="358">
        <v>246.11937499999999</v>
      </c>
      <c r="M244" s="579">
        <v>1</v>
      </c>
      <c r="N244" s="469">
        <v>246.11937499999999</v>
      </c>
      <c r="O244" s="469">
        <v>10.850625000000036</v>
      </c>
    </row>
    <row r="245" spans="4:15" ht="17.25">
      <c r="F245" s="12"/>
      <c r="H245" s="409"/>
      <c r="I245" s="358"/>
      <c r="J245" s="442"/>
      <c r="K245" s="280"/>
      <c r="L245" s="358"/>
      <c r="M245" s="579"/>
      <c r="N245" s="469"/>
      <c r="O245" s="469"/>
    </row>
    <row r="246" spans="4:15" ht="17.25">
      <c r="D246" s="361">
        <v>44817</v>
      </c>
      <c r="E246" s="361"/>
      <c r="F246" s="361"/>
      <c r="G246" s="361"/>
      <c r="H246" s="409"/>
      <c r="I246" s="358"/>
      <c r="J246" s="442"/>
      <c r="K246" s="280"/>
      <c r="L246" s="358"/>
      <c r="M246" s="579"/>
      <c r="N246" s="469"/>
      <c r="O246" s="469"/>
    </row>
    <row r="247" spans="4:15" ht="17.25">
      <c r="E247" s="12" t="s">
        <v>33</v>
      </c>
      <c r="F247" s="12"/>
      <c r="H247" s="409"/>
      <c r="I247" s="358"/>
      <c r="J247" s="442"/>
      <c r="K247" s="280"/>
      <c r="L247" s="358"/>
      <c r="M247" s="579"/>
      <c r="N247" s="469"/>
      <c r="O247" s="469"/>
    </row>
    <row r="248" spans="4:15" ht="17.25">
      <c r="F248" s="361">
        <v>44392</v>
      </c>
      <c r="G248" s="361"/>
      <c r="H248" s="409"/>
      <c r="I248" s="358"/>
      <c r="J248" s="442"/>
      <c r="K248" s="280"/>
      <c r="L248" s="358"/>
      <c r="M248" s="579"/>
      <c r="N248" s="469"/>
      <c r="O248" s="469"/>
    </row>
    <row r="249" spans="4:15" ht="17.25">
      <c r="F249" s="12"/>
      <c r="G249" s="112" t="s">
        <v>33</v>
      </c>
      <c r="H249" s="409">
        <v>12</v>
      </c>
      <c r="I249" s="358">
        <v>3091.1677777777782</v>
      </c>
      <c r="J249" s="442">
        <v>1</v>
      </c>
      <c r="K249" s="280">
        <v>3091.1677777777782</v>
      </c>
      <c r="L249" s="358">
        <v>2929.629375</v>
      </c>
      <c r="M249" s="579">
        <v>1</v>
      </c>
      <c r="N249" s="469">
        <v>2929.629375</v>
      </c>
      <c r="O249" s="469">
        <v>161.5384027777778</v>
      </c>
    </row>
    <row r="250" spans="4:15" ht="17.25">
      <c r="F250" s="12"/>
      <c r="H250" s="409"/>
      <c r="I250" s="358"/>
      <c r="J250" s="442"/>
      <c r="K250" s="280"/>
      <c r="L250" s="358"/>
      <c r="M250" s="579"/>
      <c r="N250" s="469"/>
      <c r="O250" s="469"/>
    </row>
    <row r="251" spans="4:15" ht="17.25">
      <c r="F251" s="361">
        <v>44482</v>
      </c>
      <c r="G251" s="361"/>
      <c r="H251" s="409"/>
      <c r="I251" s="358"/>
      <c r="J251" s="442"/>
      <c r="K251" s="280"/>
      <c r="L251" s="358"/>
      <c r="M251" s="579"/>
      <c r="N251" s="469"/>
      <c r="O251" s="469"/>
    </row>
    <row r="252" spans="4:15" ht="17.25">
      <c r="F252" s="12"/>
      <c r="G252" s="112" t="s">
        <v>33</v>
      </c>
      <c r="H252" s="409">
        <v>16</v>
      </c>
      <c r="I252" s="358">
        <v>4137.4222222222224</v>
      </c>
      <c r="J252" s="442">
        <v>1</v>
      </c>
      <c r="K252" s="280">
        <v>4137.4222222222224</v>
      </c>
      <c r="L252" s="358">
        <v>3840.76</v>
      </c>
      <c r="M252" s="579">
        <v>1</v>
      </c>
      <c r="N252" s="469">
        <v>3840.76</v>
      </c>
      <c r="O252" s="469">
        <v>296.66222222222223</v>
      </c>
    </row>
    <row r="253" spans="4:15" ht="17.25">
      <c r="F253" s="12"/>
      <c r="H253" s="409"/>
      <c r="I253" s="358"/>
      <c r="J253" s="442"/>
      <c r="K253" s="280"/>
      <c r="L253" s="358"/>
      <c r="M253" s="579"/>
      <c r="N253" s="469"/>
      <c r="O253" s="469"/>
    </row>
    <row r="254" spans="4:15" ht="17.25">
      <c r="F254" s="361">
        <v>44483</v>
      </c>
      <c r="G254" s="361"/>
      <c r="H254" s="409"/>
      <c r="I254" s="358"/>
      <c r="J254" s="442"/>
      <c r="K254" s="280"/>
      <c r="L254" s="358"/>
      <c r="M254" s="579"/>
      <c r="N254" s="469"/>
      <c r="O254" s="469"/>
    </row>
    <row r="255" spans="4:15" ht="17.25">
      <c r="F255" s="12"/>
      <c r="G255" s="112" t="s">
        <v>33</v>
      </c>
      <c r="H255" s="409">
        <v>5</v>
      </c>
      <c r="I255" s="358">
        <v>1291.6199999999999</v>
      </c>
      <c r="J255" s="442">
        <v>1</v>
      </c>
      <c r="K255" s="280">
        <v>1291.6199999999999</v>
      </c>
      <c r="L255" s="358">
        <v>1213.8387499999999</v>
      </c>
      <c r="M255" s="579">
        <v>1</v>
      </c>
      <c r="N255" s="469">
        <v>1213.8387499999999</v>
      </c>
      <c r="O255" s="469">
        <v>77.781250000000028</v>
      </c>
    </row>
    <row r="256" spans="4:15" ht="17.25">
      <c r="F256" s="12"/>
      <c r="H256" s="409"/>
      <c r="I256" s="358"/>
      <c r="J256" s="442"/>
      <c r="K256" s="280"/>
      <c r="L256" s="358"/>
      <c r="M256" s="579"/>
      <c r="N256" s="469"/>
      <c r="O256" s="469"/>
    </row>
    <row r="257" spans="3:15" ht="17.25">
      <c r="D257" s="361">
        <v>44818</v>
      </c>
      <c r="E257" s="361"/>
      <c r="F257" s="361"/>
      <c r="G257" s="361"/>
      <c r="H257" s="409"/>
      <c r="I257" s="358"/>
      <c r="J257" s="442"/>
      <c r="K257" s="280"/>
      <c r="L257" s="358"/>
      <c r="M257" s="579"/>
      <c r="N257" s="469"/>
      <c r="O257" s="469"/>
    </row>
    <row r="258" spans="3:15" ht="17.25">
      <c r="E258" s="12" t="s">
        <v>33</v>
      </c>
      <c r="F258" s="12"/>
      <c r="H258" s="409"/>
      <c r="I258" s="358"/>
      <c r="J258" s="442"/>
      <c r="K258" s="280"/>
      <c r="L258" s="358"/>
      <c r="M258" s="579"/>
      <c r="N258" s="469"/>
      <c r="O258" s="469"/>
    </row>
    <row r="259" spans="3:15" ht="17.25">
      <c r="F259" s="361">
        <v>44483</v>
      </c>
      <c r="G259" s="361"/>
      <c r="H259" s="409"/>
      <c r="I259" s="358"/>
      <c r="J259" s="442"/>
      <c r="K259" s="280"/>
      <c r="L259" s="358"/>
      <c r="M259" s="579"/>
      <c r="N259" s="469"/>
      <c r="O259" s="469"/>
    </row>
    <row r="260" spans="3:15" ht="17.25">
      <c r="F260" s="12"/>
      <c r="G260" s="112" t="s">
        <v>33</v>
      </c>
      <c r="H260" s="409">
        <v>5</v>
      </c>
      <c r="I260" s="358">
        <v>1299.18</v>
      </c>
      <c r="J260" s="442">
        <v>1</v>
      </c>
      <c r="K260" s="280">
        <v>1299.18</v>
      </c>
      <c r="L260" s="358">
        <v>1213.4312500000001</v>
      </c>
      <c r="M260" s="579">
        <v>1</v>
      </c>
      <c r="N260" s="469">
        <v>1213.4312500000001</v>
      </c>
      <c r="O260" s="469">
        <v>85.748749999999973</v>
      </c>
    </row>
    <row r="261" spans="3:15" ht="17.25">
      <c r="F261" s="12"/>
      <c r="H261" s="409"/>
      <c r="I261" s="358"/>
      <c r="J261" s="442"/>
      <c r="K261" s="280"/>
      <c r="L261" s="358"/>
      <c r="M261" s="579"/>
      <c r="N261" s="469"/>
      <c r="O261" s="469"/>
    </row>
    <row r="262" spans="3:15" ht="17.25">
      <c r="C262" s="342" t="s">
        <v>304</v>
      </c>
      <c r="D262" s="342"/>
      <c r="E262" s="342"/>
      <c r="F262" s="342"/>
      <c r="G262" s="342"/>
      <c r="H262" s="410">
        <v>129</v>
      </c>
      <c r="I262" s="407">
        <v>33242.42</v>
      </c>
      <c r="J262" s="460">
        <v>1</v>
      </c>
      <c r="K262" s="413">
        <v>33242.42</v>
      </c>
      <c r="L262" s="407">
        <v>31292.079999999998</v>
      </c>
      <c r="M262" s="580">
        <v>1</v>
      </c>
      <c r="N262" s="470">
        <v>31292.079999999998</v>
      </c>
      <c r="O262" s="470">
        <v>1950.3400000000011</v>
      </c>
    </row>
    <row r="263" spans="3:15" ht="17.25">
      <c r="F263" s="12"/>
      <c r="H263" s="409"/>
      <c r="I263" s="358"/>
      <c r="J263" s="442"/>
      <c r="K263" s="280"/>
      <c r="L263" s="358"/>
      <c r="M263" s="579"/>
      <c r="N263" s="469"/>
      <c r="O263" s="469"/>
    </row>
    <row r="264" spans="3:15" ht="17.25">
      <c r="C264" s="12" t="s">
        <v>232</v>
      </c>
      <c r="F264" s="12"/>
      <c r="H264" s="409"/>
      <c r="I264" s="358"/>
      <c r="J264" s="442"/>
      <c r="K264" s="280"/>
      <c r="L264" s="358"/>
      <c r="M264" s="579"/>
      <c r="N264" s="469"/>
      <c r="O264" s="469"/>
    </row>
    <row r="265" spans="3:15" ht="17.25">
      <c r="D265" s="361">
        <v>44678</v>
      </c>
      <c r="E265" s="361"/>
      <c r="F265" s="361"/>
      <c r="G265" s="361"/>
      <c r="H265" s="409"/>
      <c r="I265" s="358"/>
      <c r="J265" s="442"/>
      <c r="K265" s="280"/>
      <c r="L265" s="358"/>
      <c r="M265" s="579"/>
      <c r="N265" s="469"/>
      <c r="O265" s="469"/>
    </row>
    <row r="266" spans="3:15" ht="17.25">
      <c r="E266" s="12" t="s">
        <v>33</v>
      </c>
      <c r="F266" s="12"/>
      <c r="H266" s="409"/>
      <c r="I266" s="358"/>
      <c r="J266" s="442"/>
      <c r="K266" s="280"/>
      <c r="L266" s="358"/>
      <c r="M266" s="579"/>
      <c r="N266" s="469"/>
      <c r="O266" s="469"/>
    </row>
    <row r="267" spans="3:15" ht="17.25">
      <c r="F267" s="361">
        <v>44631</v>
      </c>
      <c r="G267" s="361"/>
      <c r="H267" s="409"/>
      <c r="I267" s="358"/>
      <c r="J267" s="442"/>
      <c r="K267" s="280"/>
      <c r="L267" s="358"/>
      <c r="M267" s="579"/>
      <c r="N267" s="469"/>
      <c r="O267" s="469"/>
    </row>
    <row r="268" spans="3:15" ht="17.25">
      <c r="F268" s="12"/>
      <c r="G268" s="112" t="s">
        <v>33</v>
      </c>
      <c r="H268" s="409">
        <v>25</v>
      </c>
      <c r="I268" s="358">
        <v>16236.91</v>
      </c>
      <c r="J268" s="442">
        <v>1</v>
      </c>
      <c r="K268" s="280">
        <v>16236.91</v>
      </c>
      <c r="L268" s="358">
        <v>17237.759999999998</v>
      </c>
      <c r="M268" s="579">
        <v>1</v>
      </c>
      <c r="N268" s="469">
        <v>17237.759999999998</v>
      </c>
      <c r="O268" s="469">
        <v>-1000.8499999999995</v>
      </c>
    </row>
    <row r="269" spans="3:15" ht="17.25">
      <c r="F269" s="12"/>
      <c r="H269" s="409"/>
      <c r="I269" s="358"/>
      <c r="J269" s="442"/>
      <c r="K269" s="280"/>
      <c r="L269" s="358"/>
      <c r="M269" s="579"/>
      <c r="N269" s="469"/>
      <c r="O269" s="469"/>
    </row>
    <row r="270" spans="3:15" ht="17.25">
      <c r="D270" s="361">
        <v>44742</v>
      </c>
      <c r="E270" s="361"/>
      <c r="F270" s="361"/>
      <c r="G270" s="361"/>
      <c r="H270" s="409"/>
      <c r="I270" s="358"/>
      <c r="J270" s="442"/>
      <c r="K270" s="280"/>
      <c r="L270" s="358"/>
      <c r="M270" s="579"/>
      <c r="N270" s="469"/>
      <c r="O270" s="469"/>
    </row>
    <row r="271" spans="3:15" ht="17.25">
      <c r="E271" s="12" t="s">
        <v>33</v>
      </c>
      <c r="F271" s="12"/>
      <c r="H271" s="409"/>
      <c r="I271" s="358"/>
      <c r="J271" s="442"/>
      <c r="K271" s="280"/>
      <c r="L271" s="358"/>
      <c r="M271" s="579"/>
      <c r="N271" s="469"/>
      <c r="O271" s="469"/>
    </row>
    <row r="272" spans="3:15" ht="17.25">
      <c r="F272" s="361">
        <v>44631</v>
      </c>
      <c r="G272" s="361"/>
      <c r="H272" s="409"/>
      <c r="I272" s="358"/>
      <c r="J272" s="442"/>
      <c r="K272" s="280"/>
      <c r="L272" s="358"/>
      <c r="M272" s="579"/>
      <c r="N272" s="469"/>
      <c r="O272" s="469"/>
    </row>
    <row r="273" spans="4:15" ht="17.25">
      <c r="F273" s="12"/>
      <c r="G273" s="112" t="s">
        <v>33</v>
      </c>
      <c r="H273" s="409">
        <v>1</v>
      </c>
      <c r="I273" s="358">
        <v>606.27</v>
      </c>
      <c r="J273" s="442">
        <v>1</v>
      </c>
      <c r="K273" s="280">
        <v>606.27</v>
      </c>
      <c r="L273" s="358">
        <v>687.05</v>
      </c>
      <c r="M273" s="579">
        <v>1</v>
      </c>
      <c r="N273" s="469">
        <v>687.05</v>
      </c>
      <c r="O273" s="469">
        <v>-80.779999999999973</v>
      </c>
    </row>
    <row r="274" spans="4:15" ht="17.25">
      <c r="F274" s="12"/>
      <c r="H274" s="409"/>
      <c r="I274" s="358"/>
      <c r="J274" s="442"/>
      <c r="K274" s="280"/>
      <c r="L274" s="358"/>
      <c r="M274" s="579"/>
      <c r="N274" s="469"/>
      <c r="O274" s="469"/>
    </row>
    <row r="275" spans="4:15" ht="17.25">
      <c r="F275" s="361">
        <v>44636</v>
      </c>
      <c r="G275" s="361"/>
      <c r="H275" s="409"/>
      <c r="I275" s="358"/>
      <c r="J275" s="442"/>
      <c r="K275" s="280"/>
      <c r="L275" s="358"/>
      <c r="M275" s="579"/>
      <c r="N275" s="469"/>
      <c r="O275" s="469"/>
    </row>
    <row r="276" spans="4:15" ht="17.25">
      <c r="F276" s="12"/>
      <c r="G276" s="112" t="s">
        <v>33</v>
      </c>
      <c r="H276" s="409">
        <v>17</v>
      </c>
      <c r="I276" s="358">
        <v>10348.84</v>
      </c>
      <c r="J276" s="442">
        <v>1</v>
      </c>
      <c r="K276" s="280">
        <v>10348.84</v>
      </c>
      <c r="L276" s="358">
        <v>12328.4475</v>
      </c>
      <c r="M276" s="579">
        <v>1</v>
      </c>
      <c r="N276" s="469">
        <v>12328.4475</v>
      </c>
      <c r="O276" s="469">
        <v>-1979.6075000000008</v>
      </c>
    </row>
    <row r="277" spans="4:15" ht="17.25">
      <c r="F277" s="12"/>
      <c r="H277" s="409"/>
      <c r="I277" s="358"/>
      <c r="J277" s="442"/>
      <c r="K277" s="280"/>
      <c r="L277" s="358"/>
      <c r="M277" s="579"/>
      <c r="N277" s="469"/>
      <c r="O277" s="469"/>
    </row>
    <row r="278" spans="4:15" ht="17.25">
      <c r="D278" s="361">
        <v>44761</v>
      </c>
      <c r="E278" s="361"/>
      <c r="F278" s="361"/>
      <c r="G278" s="361"/>
      <c r="H278" s="409"/>
      <c r="I278" s="358"/>
      <c r="J278" s="442"/>
      <c r="K278" s="280"/>
      <c r="L278" s="358"/>
      <c r="M278" s="579"/>
      <c r="N278" s="469"/>
      <c r="O278" s="469"/>
    </row>
    <row r="279" spans="4:15" ht="17.25">
      <c r="E279" s="12" t="s">
        <v>33</v>
      </c>
      <c r="F279" s="12"/>
      <c r="H279" s="409"/>
      <c r="I279" s="358"/>
      <c r="J279" s="442"/>
      <c r="K279" s="280"/>
      <c r="L279" s="358"/>
      <c r="M279" s="579"/>
      <c r="N279" s="469"/>
      <c r="O279" s="469"/>
    </row>
    <row r="280" spans="4:15" ht="17.25">
      <c r="F280" s="361">
        <v>44636</v>
      </c>
      <c r="G280" s="361"/>
      <c r="H280" s="409"/>
      <c r="I280" s="358"/>
      <c r="J280" s="442"/>
      <c r="K280" s="280"/>
      <c r="L280" s="358"/>
      <c r="M280" s="579"/>
      <c r="N280" s="469"/>
      <c r="O280" s="469"/>
    </row>
    <row r="281" spans="4:15" ht="17.25">
      <c r="F281" s="12"/>
      <c r="G281" s="112" t="s">
        <v>33</v>
      </c>
      <c r="H281" s="409">
        <v>9</v>
      </c>
      <c r="I281" s="358">
        <v>5623.6711764705888</v>
      </c>
      <c r="J281" s="442">
        <v>1</v>
      </c>
      <c r="K281" s="280">
        <v>5623.6711764705888</v>
      </c>
      <c r="L281" s="358">
        <v>6525.0225000000009</v>
      </c>
      <c r="M281" s="579">
        <v>1</v>
      </c>
      <c r="N281" s="469">
        <v>6525.0225000000009</v>
      </c>
      <c r="O281" s="469">
        <v>-901.35132352941218</v>
      </c>
    </row>
    <row r="282" spans="4:15" ht="17.25">
      <c r="F282" s="12"/>
      <c r="H282" s="409"/>
      <c r="I282" s="358"/>
      <c r="J282" s="442"/>
      <c r="K282" s="280"/>
      <c r="L282" s="358"/>
      <c r="M282" s="579"/>
      <c r="N282" s="469"/>
      <c r="O282" s="469"/>
    </row>
    <row r="283" spans="4:15" ht="17.25">
      <c r="F283" s="361">
        <v>44643</v>
      </c>
      <c r="G283" s="361"/>
      <c r="H283" s="409"/>
      <c r="I283" s="358"/>
      <c r="J283" s="442"/>
      <c r="K283" s="280"/>
      <c r="L283" s="358"/>
      <c r="M283" s="579"/>
      <c r="N283" s="469"/>
      <c r="O283" s="469"/>
    </row>
    <row r="284" spans="4:15" ht="17.25">
      <c r="F284" s="12"/>
      <c r="G284" s="112" t="s">
        <v>33</v>
      </c>
      <c r="H284" s="409">
        <v>10</v>
      </c>
      <c r="I284" s="358">
        <v>6251.3588235294119</v>
      </c>
      <c r="J284" s="442">
        <v>1</v>
      </c>
      <c r="K284" s="280">
        <v>6251.3588235294119</v>
      </c>
      <c r="L284" s="358">
        <v>7354.6384615384613</v>
      </c>
      <c r="M284" s="579">
        <v>1</v>
      </c>
      <c r="N284" s="469">
        <v>7354.6384615384613</v>
      </c>
      <c r="O284" s="469">
        <v>-1103.2796380090494</v>
      </c>
    </row>
    <row r="285" spans="4:15" ht="17.25">
      <c r="F285" s="12"/>
      <c r="H285" s="409"/>
      <c r="I285" s="358"/>
      <c r="J285" s="442"/>
      <c r="K285" s="280"/>
      <c r="L285" s="358"/>
      <c r="M285" s="579"/>
      <c r="N285" s="469"/>
      <c r="O285" s="469"/>
    </row>
    <row r="286" spans="4:15" ht="17.25">
      <c r="D286" s="361">
        <v>44833</v>
      </c>
      <c r="E286" s="361"/>
      <c r="F286" s="361"/>
      <c r="G286" s="361"/>
      <c r="H286" s="409"/>
      <c r="I286" s="358"/>
      <c r="J286" s="442"/>
      <c r="K286" s="280"/>
      <c r="L286" s="358"/>
      <c r="M286" s="579"/>
      <c r="N286" s="469"/>
      <c r="O286" s="469"/>
    </row>
    <row r="287" spans="4:15" ht="17.25">
      <c r="E287" s="12" t="s">
        <v>33</v>
      </c>
      <c r="F287" s="12"/>
      <c r="H287" s="409"/>
      <c r="I287" s="358"/>
      <c r="J287" s="442"/>
      <c r="K287" s="280"/>
      <c r="L287" s="358"/>
      <c r="M287" s="579"/>
      <c r="N287" s="469"/>
      <c r="O287" s="469"/>
    </row>
    <row r="288" spans="4:15" ht="17.25">
      <c r="F288" s="361">
        <v>44643</v>
      </c>
      <c r="G288" s="361"/>
      <c r="H288" s="409"/>
      <c r="I288" s="358"/>
      <c r="J288" s="442"/>
      <c r="K288" s="280"/>
      <c r="L288" s="358"/>
      <c r="M288" s="579"/>
      <c r="N288" s="469"/>
      <c r="O288" s="469"/>
    </row>
    <row r="289" spans="3:15" ht="17.25">
      <c r="F289" s="12"/>
      <c r="G289" s="112" t="s">
        <v>33</v>
      </c>
      <c r="H289" s="409">
        <v>7</v>
      </c>
      <c r="I289" s="358">
        <v>4010.8094444444441</v>
      </c>
      <c r="J289" s="442">
        <v>1</v>
      </c>
      <c r="K289" s="280">
        <v>4010.8094444444441</v>
      </c>
      <c r="L289" s="358">
        <v>5151.8115384615376</v>
      </c>
      <c r="M289" s="579">
        <v>1</v>
      </c>
      <c r="N289" s="469">
        <v>5151.8115384615376</v>
      </c>
      <c r="O289" s="469">
        <v>-1141.0020940170934</v>
      </c>
    </row>
    <row r="290" spans="3:15" ht="17.25">
      <c r="F290" s="12"/>
      <c r="H290" s="409"/>
      <c r="I290" s="358"/>
      <c r="J290" s="442"/>
      <c r="K290" s="280"/>
      <c r="L290" s="358"/>
      <c r="M290" s="579"/>
      <c r="N290" s="469"/>
      <c r="O290" s="469"/>
    </row>
    <row r="291" spans="3:15" ht="17.25">
      <c r="F291" s="361">
        <v>44644</v>
      </c>
      <c r="G291" s="361"/>
      <c r="H291" s="409"/>
      <c r="I291" s="358"/>
      <c r="J291" s="442"/>
      <c r="K291" s="280"/>
      <c r="L291" s="358"/>
      <c r="M291" s="579"/>
      <c r="N291" s="469"/>
      <c r="O291" s="469"/>
    </row>
    <row r="292" spans="3:15" ht="17.25">
      <c r="F292" s="12"/>
      <c r="G292" s="112" t="s">
        <v>33</v>
      </c>
      <c r="H292" s="409">
        <v>10</v>
      </c>
      <c r="I292" s="358">
        <v>5729.7277777777781</v>
      </c>
      <c r="J292" s="442">
        <v>1</v>
      </c>
      <c r="K292" s="280">
        <v>5729.7277777777781</v>
      </c>
      <c r="L292" s="358">
        <v>7395.16</v>
      </c>
      <c r="M292" s="579">
        <v>1</v>
      </c>
      <c r="N292" s="469">
        <v>7395.16</v>
      </c>
      <c r="O292" s="469">
        <v>-1665.4322222222218</v>
      </c>
    </row>
    <row r="293" spans="3:15" ht="17.25">
      <c r="F293" s="12"/>
      <c r="H293" s="409"/>
      <c r="I293" s="358"/>
      <c r="J293" s="442"/>
      <c r="K293" s="280"/>
      <c r="L293" s="358"/>
      <c r="M293" s="579"/>
      <c r="N293" s="469"/>
      <c r="O293" s="469"/>
    </row>
    <row r="294" spans="3:15" ht="17.25">
      <c r="F294" s="361">
        <v>44671</v>
      </c>
      <c r="G294" s="361"/>
      <c r="H294" s="409"/>
      <c r="I294" s="358"/>
      <c r="J294" s="442"/>
      <c r="K294" s="280"/>
      <c r="L294" s="358"/>
      <c r="M294" s="579"/>
      <c r="N294" s="469"/>
      <c r="O294" s="469"/>
    </row>
    <row r="295" spans="3:15" ht="17.25">
      <c r="F295" s="12"/>
      <c r="G295" s="112" t="s">
        <v>33</v>
      </c>
      <c r="H295" s="409">
        <v>1</v>
      </c>
      <c r="I295" s="358">
        <v>572.97277777777776</v>
      </c>
      <c r="J295" s="442">
        <v>1</v>
      </c>
      <c r="K295" s="280">
        <v>572.97277777777776</v>
      </c>
      <c r="L295" s="358">
        <v>699.44999999999993</v>
      </c>
      <c r="M295" s="579">
        <v>1</v>
      </c>
      <c r="N295" s="469">
        <v>699.44999999999993</v>
      </c>
      <c r="O295" s="469">
        <v>-126.47722222222217</v>
      </c>
    </row>
    <row r="296" spans="3:15" ht="17.25">
      <c r="F296" s="12"/>
      <c r="H296" s="409"/>
      <c r="I296" s="358"/>
      <c r="J296" s="442"/>
      <c r="K296" s="280"/>
      <c r="L296" s="358"/>
      <c r="M296" s="579"/>
      <c r="N296" s="469"/>
      <c r="O296" s="469"/>
    </row>
    <row r="297" spans="3:15" ht="17.25">
      <c r="C297" s="342" t="s">
        <v>305</v>
      </c>
      <c r="D297" s="342"/>
      <c r="E297" s="342"/>
      <c r="F297" s="342"/>
      <c r="G297" s="342"/>
      <c r="H297" s="410">
        <v>80</v>
      </c>
      <c r="I297" s="407">
        <v>49380.56</v>
      </c>
      <c r="J297" s="460">
        <v>1</v>
      </c>
      <c r="K297" s="413">
        <v>49380.56</v>
      </c>
      <c r="L297" s="407">
        <v>57379.34</v>
      </c>
      <c r="M297" s="580">
        <v>1</v>
      </c>
      <c r="N297" s="470">
        <v>57379.34</v>
      </c>
      <c r="O297" s="470">
        <v>-7998.78</v>
      </c>
    </row>
    <row r="298" spans="3:15" ht="17.25">
      <c r="F298" s="12"/>
      <c r="H298" s="409"/>
      <c r="I298" s="358"/>
      <c r="J298" s="442"/>
      <c r="K298" s="280"/>
      <c r="L298" s="358"/>
      <c r="M298" s="579"/>
      <c r="N298" s="469"/>
      <c r="O298" s="469"/>
    </row>
    <row r="299" spans="3:15" ht="17.25">
      <c r="C299" s="12" t="s">
        <v>165</v>
      </c>
      <c r="F299" s="12"/>
      <c r="H299" s="409"/>
      <c r="I299" s="358"/>
      <c r="J299" s="442"/>
      <c r="K299" s="280"/>
      <c r="L299" s="358"/>
      <c r="M299" s="579"/>
      <c r="N299" s="469"/>
      <c r="O299" s="469"/>
    </row>
    <row r="300" spans="3:15" ht="17.25">
      <c r="D300" s="361">
        <v>44593</v>
      </c>
      <c r="E300" s="361"/>
      <c r="F300" s="361"/>
      <c r="G300" s="361"/>
      <c r="H300" s="409"/>
      <c r="I300" s="358"/>
      <c r="J300" s="442"/>
      <c r="K300" s="280"/>
      <c r="L300" s="358"/>
      <c r="M300" s="579"/>
      <c r="N300" s="469"/>
      <c r="O300" s="469"/>
    </row>
    <row r="301" spans="3:15" ht="17.25">
      <c r="E301" s="12" t="s">
        <v>33</v>
      </c>
      <c r="F301" s="12"/>
      <c r="H301" s="409"/>
      <c r="I301" s="358"/>
      <c r="J301" s="442"/>
      <c r="K301" s="280"/>
      <c r="L301" s="358"/>
      <c r="M301" s="579"/>
      <c r="N301" s="469"/>
      <c r="O301" s="469"/>
    </row>
    <row r="302" spans="3:15" ht="17.25">
      <c r="F302" s="361">
        <v>44257</v>
      </c>
      <c r="G302" s="361"/>
      <c r="H302" s="409"/>
      <c r="I302" s="358"/>
      <c r="J302" s="442"/>
      <c r="K302" s="280"/>
      <c r="L302" s="358"/>
      <c r="M302" s="579"/>
      <c r="N302" s="469"/>
      <c r="O302" s="469"/>
    </row>
    <row r="303" spans="3:15" ht="17.25">
      <c r="F303" s="12"/>
      <c r="G303" s="112" t="s">
        <v>33</v>
      </c>
      <c r="H303" s="409">
        <v>8</v>
      </c>
      <c r="I303" s="358">
        <v>609.73599999999999</v>
      </c>
      <c r="J303" s="442">
        <v>1</v>
      </c>
      <c r="K303" s="280">
        <v>609.73599999999999</v>
      </c>
      <c r="L303" s="358">
        <v>635.29052631578952</v>
      </c>
      <c r="M303" s="579">
        <v>1</v>
      </c>
      <c r="N303" s="469">
        <v>635.29052631578952</v>
      </c>
      <c r="O303" s="469">
        <v>-25.554526315789531</v>
      </c>
    </row>
    <row r="304" spans="3:15" ht="17.25">
      <c r="F304" s="12"/>
      <c r="H304" s="409"/>
      <c r="I304" s="358"/>
      <c r="J304" s="442"/>
      <c r="K304" s="280"/>
      <c r="L304" s="358"/>
      <c r="M304" s="579"/>
      <c r="N304" s="469"/>
      <c r="O304" s="469"/>
    </row>
    <row r="305" spans="4:15" ht="17.25">
      <c r="F305" s="361">
        <v>44252</v>
      </c>
      <c r="G305" s="361"/>
      <c r="H305" s="409"/>
      <c r="I305" s="358"/>
      <c r="J305" s="442"/>
      <c r="K305" s="280"/>
      <c r="L305" s="358"/>
      <c r="M305" s="579"/>
      <c r="N305" s="469"/>
      <c r="O305" s="469"/>
    </row>
    <row r="306" spans="4:15" ht="17.25">
      <c r="F306" s="12"/>
      <c r="G306" s="112" t="s">
        <v>33</v>
      </c>
      <c r="H306" s="409">
        <v>33</v>
      </c>
      <c r="I306" s="358">
        <v>2521.1306666666669</v>
      </c>
      <c r="J306" s="442">
        <v>1</v>
      </c>
      <c r="K306" s="280">
        <v>2521.1306666666669</v>
      </c>
      <c r="L306" s="358">
        <v>2601.3599999999997</v>
      </c>
      <c r="M306" s="579">
        <v>1</v>
      </c>
      <c r="N306" s="469">
        <v>2601.3599999999997</v>
      </c>
      <c r="O306" s="469">
        <v>-80.229333333333472</v>
      </c>
    </row>
    <row r="307" spans="4:15" ht="17.25">
      <c r="F307" s="12"/>
      <c r="H307" s="409"/>
      <c r="I307" s="358"/>
      <c r="J307" s="442"/>
      <c r="K307" s="280"/>
      <c r="L307" s="358"/>
      <c r="M307" s="579"/>
      <c r="N307" s="469"/>
      <c r="O307" s="469"/>
    </row>
    <row r="308" spans="4:15" ht="17.25">
      <c r="F308" s="361">
        <v>44253</v>
      </c>
      <c r="G308" s="361"/>
      <c r="H308" s="409"/>
      <c r="I308" s="358"/>
      <c r="J308" s="442"/>
      <c r="K308" s="280"/>
      <c r="L308" s="358"/>
      <c r="M308" s="579"/>
      <c r="N308" s="469"/>
      <c r="O308" s="469"/>
    </row>
    <row r="309" spans="4:15" ht="17.25">
      <c r="F309" s="12"/>
      <c r="G309" s="112" t="s">
        <v>33</v>
      </c>
      <c r="H309" s="409">
        <v>5</v>
      </c>
      <c r="I309" s="358">
        <v>381.9133333333333</v>
      </c>
      <c r="J309" s="442">
        <v>1</v>
      </c>
      <c r="K309" s="280">
        <v>381.9133333333333</v>
      </c>
      <c r="L309" s="358">
        <v>392.35</v>
      </c>
      <c r="M309" s="579">
        <v>1</v>
      </c>
      <c r="N309" s="469">
        <v>392.35</v>
      </c>
      <c r="O309" s="469">
        <v>-10.436666666666724</v>
      </c>
    </row>
    <row r="310" spans="4:15" ht="17.25">
      <c r="F310" s="12"/>
      <c r="H310" s="409"/>
      <c r="I310" s="358"/>
      <c r="J310" s="442"/>
      <c r="K310" s="280"/>
      <c r="L310" s="358"/>
      <c r="M310" s="579"/>
      <c r="N310" s="469"/>
      <c r="O310" s="469"/>
    </row>
    <row r="311" spans="4:15" ht="17.25">
      <c r="D311" s="361">
        <v>44594</v>
      </c>
      <c r="E311" s="361"/>
      <c r="F311" s="361"/>
      <c r="G311" s="361"/>
      <c r="H311" s="409"/>
      <c r="I311" s="358"/>
      <c r="J311" s="442"/>
      <c r="K311" s="280"/>
      <c r="L311" s="358"/>
      <c r="M311" s="579"/>
      <c r="N311" s="469"/>
      <c r="O311" s="469"/>
    </row>
    <row r="312" spans="4:15" ht="17.25">
      <c r="E312" s="12" t="s">
        <v>33</v>
      </c>
      <c r="F312" s="12"/>
      <c r="H312" s="409"/>
      <c r="I312" s="358"/>
      <c r="J312" s="442"/>
      <c r="K312" s="280"/>
      <c r="L312" s="358"/>
      <c r="M312" s="579"/>
      <c r="N312" s="469"/>
      <c r="O312" s="469"/>
    </row>
    <row r="313" spans="4:15" ht="17.25">
      <c r="F313" s="361">
        <v>44257</v>
      </c>
      <c r="G313" s="361"/>
      <c r="H313" s="409"/>
      <c r="I313" s="358"/>
      <c r="J313" s="442"/>
      <c r="K313" s="280"/>
      <c r="L313" s="358"/>
      <c r="M313" s="579"/>
      <c r="N313" s="469"/>
      <c r="O313" s="469"/>
    </row>
    <row r="314" spans="4:15" ht="17.25">
      <c r="F314" s="12"/>
      <c r="G314" s="112" t="s">
        <v>33</v>
      </c>
      <c r="H314" s="409">
        <v>9</v>
      </c>
      <c r="I314" s="358">
        <v>700.74</v>
      </c>
      <c r="J314" s="442">
        <v>1</v>
      </c>
      <c r="K314" s="280">
        <v>700.74</v>
      </c>
      <c r="L314" s="358">
        <v>714.70184210526327</v>
      </c>
      <c r="M314" s="579">
        <v>1</v>
      </c>
      <c r="N314" s="469">
        <v>714.70184210526327</v>
      </c>
      <c r="O314" s="469">
        <v>-13.961842105263202</v>
      </c>
    </row>
    <row r="315" spans="4:15" ht="17.25">
      <c r="F315" s="12"/>
      <c r="H315" s="409"/>
      <c r="I315" s="358"/>
      <c r="J315" s="442"/>
      <c r="K315" s="280"/>
      <c r="L315" s="358"/>
      <c r="M315" s="579"/>
      <c r="N315" s="469"/>
      <c r="O315" s="469"/>
    </row>
    <row r="316" spans="4:15" ht="17.25">
      <c r="D316" s="361">
        <v>44595</v>
      </c>
      <c r="E316" s="361"/>
      <c r="F316" s="361"/>
      <c r="G316" s="361"/>
      <c r="H316" s="409"/>
      <c r="I316" s="358"/>
      <c r="J316" s="442"/>
      <c r="K316" s="280"/>
      <c r="L316" s="358"/>
      <c r="M316" s="579"/>
      <c r="N316" s="469"/>
      <c r="O316" s="469"/>
    </row>
    <row r="317" spans="4:15" ht="17.25">
      <c r="E317" s="12" t="s">
        <v>33</v>
      </c>
      <c r="F317" s="12"/>
      <c r="H317" s="409"/>
      <c r="I317" s="358"/>
      <c r="J317" s="442"/>
      <c r="K317" s="280"/>
      <c r="L317" s="358"/>
      <c r="M317" s="579"/>
      <c r="N317" s="469"/>
      <c r="O317" s="469"/>
    </row>
    <row r="318" spans="4:15" ht="17.25">
      <c r="F318" s="361">
        <v>44257</v>
      </c>
      <c r="G318" s="361"/>
      <c r="H318" s="409"/>
      <c r="I318" s="358"/>
      <c r="J318" s="442"/>
      <c r="K318" s="280"/>
      <c r="L318" s="358"/>
      <c r="M318" s="579"/>
      <c r="N318" s="469"/>
      <c r="O318" s="469"/>
    </row>
    <row r="319" spans="4:15" ht="17.25">
      <c r="F319" s="12"/>
      <c r="G319" s="112" t="s">
        <v>33</v>
      </c>
      <c r="H319" s="409">
        <v>21</v>
      </c>
      <c r="I319" s="358">
        <v>1637.5911904761904</v>
      </c>
      <c r="J319" s="442">
        <v>1</v>
      </c>
      <c r="K319" s="280">
        <v>1637.5911904761904</v>
      </c>
      <c r="L319" s="358">
        <v>1667.6376315789475</v>
      </c>
      <c r="M319" s="579">
        <v>1</v>
      </c>
      <c r="N319" s="469">
        <v>1667.6376315789475</v>
      </c>
      <c r="O319" s="469">
        <v>-30.046441102757171</v>
      </c>
    </row>
    <row r="320" spans="4:15" ht="17.25">
      <c r="F320" s="12"/>
      <c r="H320" s="409"/>
      <c r="I320" s="358"/>
      <c r="J320" s="442"/>
      <c r="K320" s="280"/>
      <c r="L320" s="358"/>
      <c r="M320" s="579"/>
      <c r="N320" s="469"/>
      <c r="O320" s="469"/>
    </row>
    <row r="321" spans="4:15" ht="17.25">
      <c r="F321" s="361">
        <v>44266</v>
      </c>
      <c r="G321" s="361"/>
      <c r="H321" s="409"/>
      <c r="I321" s="358"/>
      <c r="J321" s="442"/>
      <c r="K321" s="280"/>
      <c r="L321" s="358"/>
      <c r="M321" s="579"/>
      <c r="N321" s="469"/>
      <c r="O321" s="469"/>
    </row>
    <row r="322" spans="4:15" ht="17.25">
      <c r="F322" s="12"/>
      <c r="G322" s="112" t="s">
        <v>33</v>
      </c>
      <c r="H322" s="409">
        <v>29</v>
      </c>
      <c r="I322" s="358">
        <v>2257.2188095238098</v>
      </c>
      <c r="J322" s="442">
        <v>1</v>
      </c>
      <c r="K322" s="280">
        <v>2257.2188095238098</v>
      </c>
      <c r="L322" s="358">
        <v>2289.3999999999996</v>
      </c>
      <c r="M322" s="579">
        <v>1</v>
      </c>
      <c r="N322" s="469">
        <v>2289.3999999999996</v>
      </c>
      <c r="O322" s="469">
        <v>-32.181190476190238</v>
      </c>
    </row>
    <row r="323" spans="4:15" ht="17.25">
      <c r="F323" s="12"/>
      <c r="H323" s="409"/>
      <c r="I323" s="358"/>
      <c r="J323" s="442"/>
      <c r="K323" s="280"/>
      <c r="L323" s="358"/>
      <c r="M323" s="579"/>
      <c r="N323" s="469"/>
      <c r="O323" s="469"/>
    </row>
    <row r="324" spans="4:15" ht="17.25">
      <c r="F324" s="361">
        <v>44267</v>
      </c>
      <c r="G324" s="361"/>
      <c r="H324" s="409"/>
      <c r="I324" s="358"/>
      <c r="J324" s="442"/>
      <c r="K324" s="280"/>
      <c r="L324" s="358"/>
      <c r="M324" s="579"/>
      <c r="N324" s="469"/>
      <c r="O324" s="469"/>
    </row>
    <row r="325" spans="4:15" ht="17.25">
      <c r="F325" s="12"/>
      <c r="G325" s="112" t="s">
        <v>33</v>
      </c>
      <c r="H325" s="409">
        <v>11</v>
      </c>
      <c r="I325" s="358">
        <v>843.4758333333333</v>
      </c>
      <c r="J325" s="442">
        <v>1</v>
      </c>
      <c r="K325" s="280">
        <v>843.4758333333333</v>
      </c>
      <c r="L325" s="358">
        <v>868.39999999999986</v>
      </c>
      <c r="M325" s="579">
        <v>1</v>
      </c>
      <c r="N325" s="469">
        <v>868.39999999999986</v>
      </c>
      <c r="O325" s="469">
        <v>-24.924166666666622</v>
      </c>
    </row>
    <row r="326" spans="4:15" ht="17.25">
      <c r="F326" s="12"/>
      <c r="H326" s="409"/>
      <c r="I326" s="358"/>
      <c r="J326" s="442"/>
      <c r="K326" s="280"/>
      <c r="L326" s="358"/>
      <c r="M326" s="579"/>
      <c r="N326" s="469"/>
      <c r="O326" s="469"/>
    </row>
    <row r="327" spans="4:15" ht="17.25">
      <c r="F327" s="361">
        <v>44279</v>
      </c>
      <c r="G327" s="361"/>
      <c r="H327" s="409"/>
      <c r="I327" s="358"/>
      <c r="J327" s="442"/>
      <c r="K327" s="280"/>
      <c r="L327" s="358"/>
      <c r="M327" s="579"/>
      <c r="N327" s="469"/>
      <c r="O327" s="469"/>
    </row>
    <row r="328" spans="4:15" ht="17.25">
      <c r="F328" s="12"/>
      <c r="G328" s="112" t="s">
        <v>33</v>
      </c>
      <c r="H328" s="409">
        <v>21</v>
      </c>
      <c r="I328" s="358">
        <v>1616.6908333333331</v>
      </c>
      <c r="J328" s="442">
        <v>1</v>
      </c>
      <c r="K328" s="280">
        <v>1616.6908333333331</v>
      </c>
      <c r="L328" s="358">
        <v>1692.08</v>
      </c>
      <c r="M328" s="579">
        <v>1</v>
      </c>
      <c r="N328" s="469">
        <v>1692.08</v>
      </c>
      <c r="O328" s="469">
        <v>-75.389166666666824</v>
      </c>
    </row>
    <row r="329" spans="4:15" ht="17.25">
      <c r="F329" s="12"/>
      <c r="H329" s="409"/>
      <c r="I329" s="358"/>
      <c r="J329" s="442"/>
      <c r="K329" s="280"/>
      <c r="L329" s="358"/>
      <c r="M329" s="579"/>
      <c r="N329" s="469"/>
      <c r="O329" s="469"/>
    </row>
    <row r="330" spans="4:15" ht="17.25">
      <c r="F330" s="361">
        <v>44280</v>
      </c>
      <c r="G330" s="361"/>
      <c r="H330" s="409"/>
      <c r="I330" s="358"/>
      <c r="J330" s="442"/>
      <c r="K330" s="280"/>
      <c r="L330" s="358"/>
      <c r="M330" s="579"/>
      <c r="N330" s="469"/>
      <c r="O330" s="469"/>
    </row>
    <row r="331" spans="4:15" ht="17.25">
      <c r="F331" s="12"/>
      <c r="G331" s="112" t="s">
        <v>33</v>
      </c>
      <c r="H331" s="409">
        <v>11</v>
      </c>
      <c r="I331" s="358">
        <v>846.83805555555546</v>
      </c>
      <c r="J331" s="442">
        <v>1</v>
      </c>
      <c r="K331" s="280">
        <v>846.83805555555546</v>
      </c>
      <c r="L331" s="358">
        <v>882.74</v>
      </c>
      <c r="M331" s="579">
        <v>1</v>
      </c>
      <c r="N331" s="469">
        <v>882.74</v>
      </c>
      <c r="O331" s="469">
        <v>-35.901944444444638</v>
      </c>
    </row>
    <row r="332" spans="4:15" ht="17.25">
      <c r="F332" s="12"/>
      <c r="H332" s="409"/>
      <c r="I332" s="358"/>
      <c r="J332" s="442"/>
      <c r="K332" s="280"/>
      <c r="L332" s="358"/>
      <c r="M332" s="579"/>
      <c r="N332" s="469"/>
      <c r="O332" s="469"/>
    </row>
    <row r="333" spans="4:15" ht="17.25">
      <c r="F333" s="361">
        <v>44281</v>
      </c>
      <c r="G333" s="361"/>
      <c r="H333" s="409"/>
      <c r="I333" s="358"/>
      <c r="J333" s="442"/>
      <c r="K333" s="280"/>
      <c r="L333" s="358"/>
      <c r="M333" s="579"/>
      <c r="N333" s="469"/>
      <c r="O333" s="469"/>
    </row>
    <row r="334" spans="4:15" ht="17.25">
      <c r="F334" s="12"/>
      <c r="G334" s="112" t="s">
        <v>33</v>
      </c>
      <c r="H334" s="409">
        <v>2</v>
      </c>
      <c r="I334" s="358">
        <v>154.45527777777778</v>
      </c>
      <c r="J334" s="442">
        <v>1</v>
      </c>
      <c r="K334" s="280">
        <v>154.45527777777778</v>
      </c>
      <c r="L334" s="358">
        <v>157.79999999999998</v>
      </c>
      <c r="M334" s="579">
        <v>1</v>
      </c>
      <c r="N334" s="469">
        <v>157.79999999999998</v>
      </c>
      <c r="O334" s="469">
        <v>-3.3447222222222166</v>
      </c>
    </row>
    <row r="335" spans="4:15" ht="17.25">
      <c r="F335" s="12"/>
      <c r="H335" s="409"/>
      <c r="I335" s="358"/>
      <c r="J335" s="442"/>
      <c r="K335" s="280"/>
      <c r="L335" s="358"/>
      <c r="M335" s="579"/>
      <c r="N335" s="469"/>
      <c r="O335" s="469"/>
    </row>
    <row r="336" spans="4:15" ht="17.25">
      <c r="D336" s="361">
        <v>44599</v>
      </c>
      <c r="E336" s="361"/>
      <c r="F336" s="361"/>
      <c r="G336" s="361"/>
      <c r="H336" s="409"/>
      <c r="I336" s="358"/>
      <c r="J336" s="442"/>
      <c r="K336" s="280"/>
      <c r="L336" s="358"/>
      <c r="M336" s="579"/>
      <c r="N336" s="469"/>
      <c r="O336" s="469"/>
    </row>
    <row r="337" spans="4:15" ht="17.25">
      <c r="E337" s="12" t="s">
        <v>33</v>
      </c>
      <c r="F337" s="12"/>
      <c r="H337" s="409"/>
      <c r="I337" s="358"/>
      <c r="J337" s="442"/>
      <c r="K337" s="280"/>
      <c r="L337" s="358"/>
      <c r="M337" s="579"/>
      <c r="N337" s="469"/>
      <c r="O337" s="469"/>
    </row>
    <row r="338" spans="4:15" ht="17.25">
      <c r="F338" s="361">
        <v>44281</v>
      </c>
      <c r="G338" s="361"/>
      <c r="H338" s="409"/>
      <c r="I338" s="358"/>
      <c r="J338" s="442"/>
      <c r="K338" s="280"/>
      <c r="L338" s="358"/>
      <c r="M338" s="579"/>
      <c r="N338" s="469"/>
      <c r="O338" s="469"/>
    </row>
    <row r="339" spans="4:15" ht="17.25">
      <c r="F339" s="12"/>
      <c r="G339" s="112" t="s">
        <v>33</v>
      </c>
      <c r="H339" s="409">
        <v>5</v>
      </c>
      <c r="I339" s="358">
        <v>383.94687500000003</v>
      </c>
      <c r="J339" s="442">
        <v>1</v>
      </c>
      <c r="K339" s="280">
        <v>383.94687500000003</v>
      </c>
      <c r="L339" s="358">
        <v>394.49999999999994</v>
      </c>
      <c r="M339" s="579">
        <v>1</v>
      </c>
      <c r="N339" s="469">
        <v>394.49999999999994</v>
      </c>
      <c r="O339" s="469">
        <v>-10.553124999999909</v>
      </c>
    </row>
    <row r="340" spans="4:15" ht="17.25">
      <c r="F340" s="12"/>
      <c r="H340" s="409"/>
      <c r="I340" s="358"/>
      <c r="J340" s="442"/>
      <c r="K340" s="280"/>
      <c r="L340" s="358"/>
      <c r="M340" s="579"/>
      <c r="N340" s="469"/>
      <c r="O340" s="469"/>
    </row>
    <row r="341" spans="4:15" ht="17.25">
      <c r="F341" s="361">
        <v>44321</v>
      </c>
      <c r="G341" s="361"/>
      <c r="H341" s="409"/>
      <c r="I341" s="358"/>
      <c r="J341" s="442"/>
      <c r="K341" s="280"/>
      <c r="L341" s="358"/>
      <c r="M341" s="579"/>
      <c r="N341" s="469"/>
      <c r="O341" s="469"/>
    </row>
    <row r="342" spans="4:15" ht="17.25">
      <c r="F342" s="12"/>
      <c r="G342" s="112" t="s">
        <v>33</v>
      </c>
      <c r="H342" s="409">
        <v>13</v>
      </c>
      <c r="I342" s="358">
        <v>997.15312500000016</v>
      </c>
      <c r="J342" s="442">
        <v>1</v>
      </c>
      <c r="K342" s="280">
        <v>997.15312500000016</v>
      </c>
      <c r="L342" s="358">
        <v>1089.7763636363636</v>
      </c>
      <c r="M342" s="579">
        <v>1</v>
      </c>
      <c r="N342" s="469">
        <v>1089.7763636363636</v>
      </c>
      <c r="O342" s="469">
        <v>-92.623238636363595</v>
      </c>
    </row>
    <row r="343" spans="4:15" ht="17.25">
      <c r="F343" s="12"/>
      <c r="H343" s="409"/>
      <c r="I343" s="358"/>
      <c r="J343" s="442"/>
      <c r="K343" s="280"/>
      <c r="L343" s="358"/>
      <c r="M343" s="579"/>
      <c r="N343" s="469"/>
      <c r="O343" s="469"/>
    </row>
    <row r="344" spans="4:15" ht="17.25">
      <c r="D344" s="361">
        <v>44608</v>
      </c>
      <c r="E344" s="361"/>
      <c r="F344" s="361"/>
      <c r="G344" s="361"/>
      <c r="H344" s="409"/>
      <c r="I344" s="358"/>
      <c r="J344" s="442"/>
      <c r="K344" s="280"/>
      <c r="L344" s="358"/>
      <c r="M344" s="579"/>
      <c r="N344" s="469"/>
      <c r="O344" s="469"/>
    </row>
    <row r="345" spans="4:15" ht="17.25">
      <c r="E345" s="12" t="s">
        <v>33</v>
      </c>
      <c r="F345" s="12"/>
      <c r="H345" s="409"/>
      <c r="I345" s="358"/>
      <c r="J345" s="442"/>
      <c r="K345" s="280"/>
      <c r="L345" s="358"/>
      <c r="M345" s="579"/>
      <c r="N345" s="469"/>
      <c r="O345" s="469"/>
    </row>
    <row r="346" spans="4:15" ht="17.25">
      <c r="F346" s="361">
        <v>44363</v>
      </c>
      <c r="G346" s="361"/>
      <c r="H346" s="409"/>
      <c r="I346" s="358"/>
      <c r="J346" s="442"/>
      <c r="K346" s="280"/>
      <c r="L346" s="358"/>
      <c r="M346" s="579"/>
      <c r="N346" s="469"/>
      <c r="O346" s="469"/>
    </row>
    <row r="347" spans="4:15" ht="17.25">
      <c r="F347" s="12"/>
      <c r="G347" s="112" t="s">
        <v>33</v>
      </c>
      <c r="H347" s="409">
        <v>31</v>
      </c>
      <c r="I347" s="358">
        <v>2268.5025000000001</v>
      </c>
      <c r="J347" s="442">
        <v>1</v>
      </c>
      <c r="K347" s="280">
        <v>2268.5025000000001</v>
      </c>
      <c r="L347" s="358">
        <v>2713.8175000000001</v>
      </c>
      <c r="M347" s="579">
        <v>1</v>
      </c>
      <c r="N347" s="469">
        <v>2713.8175000000001</v>
      </c>
      <c r="O347" s="469">
        <v>-445.31500000000005</v>
      </c>
    </row>
    <row r="348" spans="4:15" ht="17.25">
      <c r="F348" s="12"/>
      <c r="H348" s="409"/>
      <c r="I348" s="358"/>
      <c r="J348" s="442"/>
      <c r="K348" s="280"/>
      <c r="L348" s="358"/>
      <c r="M348" s="579"/>
      <c r="N348" s="469"/>
      <c r="O348" s="469"/>
    </row>
    <row r="349" spans="4:15" ht="17.25">
      <c r="F349" s="361">
        <v>44321</v>
      </c>
      <c r="G349" s="361"/>
      <c r="H349" s="409"/>
      <c r="I349" s="358"/>
      <c r="J349" s="442"/>
      <c r="K349" s="280"/>
      <c r="L349" s="358"/>
      <c r="M349" s="579"/>
      <c r="N349" s="469"/>
      <c r="O349" s="469"/>
    </row>
    <row r="350" spans="4:15" ht="17.25">
      <c r="F350" s="12"/>
      <c r="G350" s="112" t="s">
        <v>33</v>
      </c>
      <c r="H350" s="409">
        <v>11</v>
      </c>
      <c r="I350" s="358">
        <v>802.39166666666665</v>
      </c>
      <c r="J350" s="442">
        <v>1</v>
      </c>
      <c r="K350" s="280">
        <v>802.39166666666665</v>
      </c>
      <c r="L350" s="358">
        <v>920.19363636363641</v>
      </c>
      <c r="M350" s="579">
        <v>1</v>
      </c>
      <c r="N350" s="469">
        <v>920.19363636363641</v>
      </c>
      <c r="O350" s="469">
        <v>-117.80196969696971</v>
      </c>
    </row>
    <row r="351" spans="4:15" ht="17.25">
      <c r="F351" s="12"/>
      <c r="H351" s="409"/>
      <c r="I351" s="358"/>
      <c r="J351" s="442"/>
      <c r="K351" s="280"/>
      <c r="L351" s="358"/>
      <c r="M351" s="579"/>
      <c r="N351" s="469"/>
      <c r="O351" s="469"/>
    </row>
    <row r="352" spans="4:15" ht="17.25">
      <c r="F352" s="361">
        <v>44322</v>
      </c>
      <c r="G352" s="361"/>
      <c r="H352" s="409"/>
      <c r="I352" s="358"/>
      <c r="J352" s="442"/>
      <c r="K352" s="280"/>
      <c r="L352" s="358"/>
      <c r="M352" s="579"/>
      <c r="N352" s="469"/>
      <c r="O352" s="469"/>
    </row>
    <row r="353" spans="4:15" ht="17.25">
      <c r="F353" s="12"/>
      <c r="G353" s="112" t="s">
        <v>33</v>
      </c>
      <c r="H353" s="409">
        <v>4</v>
      </c>
      <c r="I353" s="358">
        <v>292.16666666666669</v>
      </c>
      <c r="J353" s="442">
        <v>1</v>
      </c>
      <c r="K353" s="280">
        <v>292.16666666666669</v>
      </c>
      <c r="L353" s="358">
        <v>336.87</v>
      </c>
      <c r="M353" s="579">
        <v>1</v>
      </c>
      <c r="N353" s="469">
        <v>336.87</v>
      </c>
      <c r="O353" s="469">
        <v>-44.703333333333319</v>
      </c>
    </row>
    <row r="354" spans="4:15" ht="17.25">
      <c r="F354" s="12"/>
      <c r="H354" s="409"/>
      <c r="I354" s="358"/>
      <c r="J354" s="442"/>
      <c r="K354" s="280"/>
      <c r="L354" s="358"/>
      <c r="M354" s="579"/>
      <c r="N354" s="469"/>
      <c r="O354" s="469"/>
    </row>
    <row r="355" spans="4:15" ht="17.25">
      <c r="F355" s="361">
        <v>44341</v>
      </c>
      <c r="G355" s="361"/>
      <c r="H355" s="409"/>
      <c r="I355" s="358"/>
      <c r="J355" s="442"/>
      <c r="K355" s="280"/>
      <c r="L355" s="358"/>
      <c r="M355" s="579"/>
      <c r="N355" s="469"/>
      <c r="O355" s="469"/>
    </row>
    <row r="356" spans="4:15" ht="17.25">
      <c r="F356" s="12"/>
      <c r="G356" s="112" t="s">
        <v>33</v>
      </c>
      <c r="H356" s="409">
        <v>27</v>
      </c>
      <c r="I356" s="358">
        <v>1976.6291666666666</v>
      </c>
      <c r="J356" s="442">
        <v>1</v>
      </c>
      <c r="K356" s="280">
        <v>1976.6291666666666</v>
      </c>
      <c r="L356" s="358">
        <v>2293.67</v>
      </c>
      <c r="M356" s="579">
        <v>1</v>
      </c>
      <c r="N356" s="469">
        <v>2293.67</v>
      </c>
      <c r="O356" s="469">
        <v>-317.04083333333341</v>
      </c>
    </row>
    <row r="357" spans="4:15" ht="17.25">
      <c r="F357" s="12"/>
      <c r="H357" s="409"/>
      <c r="I357" s="358"/>
      <c r="J357" s="442"/>
      <c r="K357" s="280"/>
      <c r="L357" s="358"/>
      <c r="M357" s="579"/>
      <c r="N357" s="469"/>
      <c r="O357" s="469"/>
    </row>
    <row r="358" spans="4:15" ht="17.25">
      <c r="D358" s="361">
        <v>44609</v>
      </c>
      <c r="E358" s="361"/>
      <c r="F358" s="361"/>
      <c r="G358" s="361"/>
      <c r="H358" s="409"/>
      <c r="I358" s="358"/>
      <c r="J358" s="442"/>
      <c r="K358" s="280"/>
      <c r="L358" s="358"/>
      <c r="M358" s="579"/>
      <c r="N358" s="469"/>
      <c r="O358" s="469"/>
    </row>
    <row r="359" spans="4:15" ht="17.25">
      <c r="E359" s="12" t="s">
        <v>33</v>
      </c>
      <c r="F359" s="12"/>
      <c r="H359" s="409"/>
      <c r="I359" s="358"/>
      <c r="J359" s="442"/>
      <c r="K359" s="280"/>
      <c r="L359" s="358"/>
      <c r="M359" s="579"/>
      <c r="N359" s="469"/>
      <c r="O359" s="469"/>
    </row>
    <row r="360" spans="4:15" ht="17.25">
      <c r="F360" s="361">
        <v>44363</v>
      </c>
      <c r="G360" s="361"/>
      <c r="H360" s="409"/>
      <c r="I360" s="358"/>
      <c r="J360" s="442"/>
      <c r="K360" s="280"/>
      <c r="L360" s="358"/>
      <c r="M360" s="579"/>
      <c r="N360" s="469"/>
      <c r="O360" s="469"/>
    </row>
    <row r="361" spans="4:15" ht="17.25">
      <c r="F361" s="12"/>
      <c r="G361" s="112" t="s">
        <v>33</v>
      </c>
      <c r="H361" s="409">
        <v>33</v>
      </c>
      <c r="I361" s="358">
        <v>2440.84</v>
      </c>
      <c r="J361" s="442">
        <v>1</v>
      </c>
      <c r="K361" s="280">
        <v>2440.84</v>
      </c>
      <c r="L361" s="358">
        <v>2888.9025000000001</v>
      </c>
      <c r="M361" s="579">
        <v>1</v>
      </c>
      <c r="N361" s="469">
        <v>2888.9025000000001</v>
      </c>
      <c r="O361" s="469">
        <v>-448.0625</v>
      </c>
    </row>
    <row r="362" spans="4:15" ht="17.25">
      <c r="F362" s="12"/>
      <c r="H362" s="409"/>
      <c r="I362" s="358"/>
      <c r="J362" s="442"/>
      <c r="K362" s="280"/>
      <c r="L362" s="358"/>
      <c r="M362" s="579"/>
      <c r="N362" s="469"/>
      <c r="O362" s="469"/>
    </row>
    <row r="363" spans="4:15" ht="17.25">
      <c r="D363" s="361">
        <v>44610</v>
      </c>
      <c r="E363" s="361"/>
      <c r="F363" s="361"/>
      <c r="G363" s="361"/>
      <c r="H363" s="409"/>
      <c r="I363" s="358"/>
      <c r="J363" s="442"/>
      <c r="K363" s="280"/>
      <c r="L363" s="358"/>
      <c r="M363" s="579"/>
      <c r="N363" s="469"/>
      <c r="O363" s="469"/>
    </row>
    <row r="364" spans="4:15" ht="17.25">
      <c r="E364" s="12" t="s">
        <v>33</v>
      </c>
      <c r="F364" s="12"/>
      <c r="H364" s="409"/>
      <c r="I364" s="358"/>
      <c r="J364" s="442"/>
      <c r="K364" s="280"/>
      <c r="L364" s="358"/>
      <c r="M364" s="579"/>
      <c r="N364" s="469"/>
      <c r="O364" s="469"/>
    </row>
    <row r="365" spans="4:15" ht="17.25">
      <c r="F365" s="361">
        <v>44363</v>
      </c>
      <c r="G365" s="361"/>
      <c r="H365" s="409"/>
      <c r="I365" s="358"/>
      <c r="J365" s="442"/>
      <c r="K365" s="280"/>
      <c r="L365" s="358"/>
      <c r="M365" s="579"/>
      <c r="N365" s="469"/>
      <c r="O365" s="469"/>
    </row>
    <row r="366" spans="4:15" ht="17.25">
      <c r="F366" s="12"/>
      <c r="G366" s="112" t="s">
        <v>33</v>
      </c>
      <c r="H366" s="409">
        <v>1</v>
      </c>
      <c r="I366" s="358">
        <v>74.239999999999995</v>
      </c>
      <c r="J366" s="442">
        <v>1</v>
      </c>
      <c r="K366" s="280">
        <v>74.239999999999995</v>
      </c>
      <c r="L366" s="358">
        <v>87.542500000000004</v>
      </c>
      <c r="M366" s="579">
        <v>1</v>
      </c>
      <c r="N366" s="469">
        <v>87.542500000000004</v>
      </c>
      <c r="O366" s="469">
        <v>-13.302500000000009</v>
      </c>
    </row>
    <row r="367" spans="4:15" ht="17.25">
      <c r="F367" s="12"/>
      <c r="H367" s="409"/>
      <c r="I367" s="358"/>
      <c r="J367" s="442"/>
      <c r="K367" s="280"/>
      <c r="L367" s="358"/>
      <c r="M367" s="579"/>
      <c r="N367" s="469"/>
      <c r="O367" s="469"/>
    </row>
    <row r="368" spans="4:15" ht="17.25">
      <c r="D368" s="361">
        <v>44622</v>
      </c>
      <c r="E368" s="361"/>
      <c r="F368" s="361"/>
      <c r="G368" s="361"/>
      <c r="H368" s="409"/>
      <c r="I368" s="358"/>
      <c r="J368" s="442"/>
      <c r="K368" s="280"/>
      <c r="L368" s="358"/>
      <c r="M368" s="579"/>
      <c r="N368" s="469"/>
      <c r="O368" s="469"/>
    </row>
    <row r="369" spans="4:15" ht="17.25">
      <c r="E369" s="12" t="s">
        <v>33</v>
      </c>
      <c r="F369" s="12"/>
      <c r="H369" s="409"/>
      <c r="I369" s="358"/>
      <c r="J369" s="442"/>
      <c r="K369" s="280"/>
      <c r="L369" s="358"/>
      <c r="M369" s="579"/>
      <c r="N369" s="469"/>
      <c r="O369" s="469"/>
    </row>
    <row r="370" spans="4:15" ht="17.25">
      <c r="F370" s="361">
        <v>44363</v>
      </c>
      <c r="G370" s="361"/>
      <c r="H370" s="409"/>
      <c r="I370" s="358"/>
      <c r="J370" s="442"/>
      <c r="K370" s="280"/>
      <c r="L370" s="358"/>
      <c r="M370" s="579"/>
      <c r="N370" s="469"/>
      <c r="O370" s="469"/>
    </row>
    <row r="371" spans="4:15" ht="17.25">
      <c r="F371" s="12"/>
      <c r="G371" s="112" t="s">
        <v>33</v>
      </c>
      <c r="H371" s="409">
        <v>37</v>
      </c>
      <c r="I371" s="358">
        <v>3023.5400000000004</v>
      </c>
      <c r="J371" s="442">
        <v>1</v>
      </c>
      <c r="K371" s="280">
        <v>3023.5400000000004</v>
      </c>
      <c r="L371" s="358">
        <v>3151.53</v>
      </c>
      <c r="M371" s="579">
        <v>1</v>
      </c>
      <c r="N371" s="469">
        <v>3151.53</v>
      </c>
      <c r="O371" s="469">
        <v>-127.98999999999965</v>
      </c>
    </row>
    <row r="372" spans="4:15" ht="17.25">
      <c r="F372" s="12"/>
      <c r="H372" s="409"/>
      <c r="I372" s="358"/>
      <c r="J372" s="442"/>
      <c r="K372" s="280"/>
      <c r="L372" s="358"/>
      <c r="M372" s="579"/>
      <c r="N372" s="469"/>
      <c r="O372" s="469"/>
    </row>
    <row r="373" spans="4:15" ht="17.25">
      <c r="D373" s="361">
        <v>44623</v>
      </c>
      <c r="E373" s="361"/>
      <c r="F373" s="361"/>
      <c r="G373" s="361"/>
      <c r="H373" s="409"/>
      <c r="I373" s="358"/>
      <c r="J373" s="442"/>
      <c r="K373" s="280"/>
      <c r="L373" s="358"/>
      <c r="M373" s="579"/>
      <c r="N373" s="469"/>
      <c r="O373" s="469"/>
    </row>
    <row r="374" spans="4:15" ht="17.25">
      <c r="E374" s="12" t="s">
        <v>33</v>
      </c>
      <c r="F374" s="12"/>
      <c r="H374" s="409"/>
      <c r="I374" s="358"/>
      <c r="J374" s="442"/>
      <c r="K374" s="280"/>
      <c r="L374" s="358"/>
      <c r="M374" s="579"/>
      <c r="N374" s="469"/>
      <c r="O374" s="469"/>
    </row>
    <row r="375" spans="4:15" ht="17.25">
      <c r="F375" s="361">
        <v>44363</v>
      </c>
      <c r="G375" s="361"/>
      <c r="H375" s="409"/>
      <c r="I375" s="358"/>
      <c r="J375" s="442"/>
      <c r="K375" s="280"/>
      <c r="L375" s="358"/>
      <c r="M375" s="579"/>
      <c r="N375" s="469"/>
      <c r="O375" s="469"/>
    </row>
    <row r="376" spans="4:15" ht="17.25">
      <c r="F376" s="12"/>
      <c r="G376" s="112" t="s">
        <v>33</v>
      </c>
      <c r="H376" s="409">
        <v>45</v>
      </c>
      <c r="I376" s="358">
        <v>3703.9700000000003</v>
      </c>
      <c r="J376" s="442">
        <v>1</v>
      </c>
      <c r="K376" s="280">
        <v>3703.9700000000003</v>
      </c>
      <c r="L376" s="358">
        <v>3939.4125000000004</v>
      </c>
      <c r="M376" s="579">
        <v>1</v>
      </c>
      <c r="N376" s="469">
        <v>3939.4125000000004</v>
      </c>
      <c r="O376" s="469">
        <v>-235.44250000000017</v>
      </c>
    </row>
    <row r="377" spans="4:15" ht="17.25">
      <c r="F377" s="12"/>
      <c r="H377" s="409"/>
      <c r="I377" s="358"/>
      <c r="J377" s="442"/>
      <c r="K377" s="280"/>
      <c r="L377" s="358"/>
      <c r="M377" s="579"/>
      <c r="N377" s="469"/>
      <c r="O377" s="469"/>
    </row>
    <row r="378" spans="4:15" ht="17.25">
      <c r="D378" s="361">
        <v>44624</v>
      </c>
      <c r="E378" s="361"/>
      <c r="F378" s="361"/>
      <c r="G378" s="361"/>
      <c r="H378" s="409"/>
      <c r="I378" s="358"/>
      <c r="J378" s="442"/>
      <c r="K378" s="280"/>
      <c r="L378" s="358"/>
      <c r="M378" s="579"/>
      <c r="N378" s="469"/>
      <c r="O378" s="469"/>
    </row>
    <row r="379" spans="4:15" ht="17.25">
      <c r="E379" s="12" t="s">
        <v>33</v>
      </c>
      <c r="F379" s="12"/>
      <c r="H379" s="409"/>
      <c r="I379" s="358"/>
      <c r="J379" s="442"/>
      <c r="K379" s="280"/>
      <c r="L379" s="358"/>
      <c r="M379" s="579"/>
      <c r="N379" s="469"/>
      <c r="O379" s="469"/>
    </row>
    <row r="380" spans="4:15" ht="17.25">
      <c r="F380" s="361">
        <v>44363</v>
      </c>
      <c r="G380" s="361"/>
      <c r="H380" s="409"/>
      <c r="I380" s="358"/>
      <c r="J380" s="442"/>
      <c r="K380" s="280"/>
      <c r="L380" s="358"/>
      <c r="M380" s="579"/>
      <c r="N380" s="469"/>
      <c r="O380" s="469"/>
    </row>
    <row r="381" spans="4:15" ht="17.25">
      <c r="F381" s="12"/>
      <c r="G381" s="112" t="s">
        <v>33</v>
      </c>
      <c r="H381" s="409">
        <v>6</v>
      </c>
      <c r="I381" s="358">
        <v>503.38</v>
      </c>
      <c r="J381" s="442">
        <v>1</v>
      </c>
      <c r="K381" s="280">
        <v>503.38</v>
      </c>
      <c r="L381" s="358">
        <v>525.255</v>
      </c>
      <c r="M381" s="579">
        <v>1</v>
      </c>
      <c r="N381" s="469">
        <v>525.255</v>
      </c>
      <c r="O381" s="469">
        <v>-21.875</v>
      </c>
    </row>
    <row r="382" spans="4:15" ht="17.25">
      <c r="F382" s="12"/>
      <c r="H382" s="409"/>
      <c r="I382" s="358"/>
      <c r="J382" s="442"/>
      <c r="K382" s="280"/>
      <c r="L382" s="358"/>
      <c r="M382" s="579"/>
      <c r="N382" s="469"/>
      <c r="O382" s="469"/>
    </row>
    <row r="383" spans="4:15" ht="17.25">
      <c r="D383" s="361">
        <v>44627</v>
      </c>
      <c r="E383" s="361"/>
      <c r="F383" s="361"/>
      <c r="G383" s="361"/>
      <c r="H383" s="409"/>
      <c r="I383" s="358"/>
      <c r="J383" s="442"/>
      <c r="K383" s="280"/>
      <c r="L383" s="358"/>
      <c r="M383" s="579"/>
      <c r="N383" s="469"/>
      <c r="O383" s="469"/>
    </row>
    <row r="384" spans="4:15" ht="17.25">
      <c r="E384" s="12" t="s">
        <v>33</v>
      </c>
      <c r="F384" s="12"/>
      <c r="H384" s="409"/>
      <c r="I384" s="358"/>
      <c r="J384" s="442"/>
      <c r="K384" s="280"/>
      <c r="L384" s="358"/>
      <c r="M384" s="579"/>
      <c r="N384" s="469"/>
      <c r="O384" s="469"/>
    </row>
    <row r="385" spans="4:15" ht="17.25">
      <c r="F385" s="361">
        <v>44363</v>
      </c>
      <c r="G385" s="361"/>
      <c r="H385" s="409"/>
      <c r="I385" s="358"/>
      <c r="J385" s="442"/>
      <c r="K385" s="280"/>
      <c r="L385" s="358"/>
      <c r="M385" s="579"/>
      <c r="N385" s="469"/>
      <c r="O385" s="469"/>
    </row>
    <row r="386" spans="4:15" ht="17.25">
      <c r="F386" s="12"/>
      <c r="G386" s="112" t="s">
        <v>33</v>
      </c>
      <c r="H386" s="409">
        <v>15</v>
      </c>
      <c r="I386" s="358">
        <v>1277.51</v>
      </c>
      <c r="J386" s="442">
        <v>1</v>
      </c>
      <c r="K386" s="280">
        <v>1277.51</v>
      </c>
      <c r="L386" s="358">
        <v>1313.1375</v>
      </c>
      <c r="M386" s="579">
        <v>1</v>
      </c>
      <c r="N386" s="469">
        <v>1313.1375</v>
      </c>
      <c r="O386" s="469">
        <v>-35.627500000000055</v>
      </c>
    </row>
    <row r="387" spans="4:15" ht="17.25">
      <c r="F387" s="12"/>
      <c r="H387" s="409"/>
      <c r="I387" s="358"/>
      <c r="J387" s="442"/>
      <c r="K387" s="280"/>
      <c r="L387" s="358"/>
      <c r="M387" s="579"/>
      <c r="N387" s="469"/>
      <c r="O387" s="469"/>
    </row>
    <row r="388" spans="4:15" ht="17.25">
      <c r="D388" s="361">
        <v>44631</v>
      </c>
      <c r="E388" s="361"/>
      <c r="F388" s="361"/>
      <c r="G388" s="361"/>
      <c r="H388" s="409"/>
      <c r="I388" s="358"/>
      <c r="J388" s="442"/>
      <c r="K388" s="280"/>
      <c r="L388" s="358"/>
      <c r="M388" s="579"/>
      <c r="N388" s="469"/>
      <c r="O388" s="469"/>
    </row>
    <row r="389" spans="4:15" ht="17.25">
      <c r="E389" s="12" t="s">
        <v>33</v>
      </c>
      <c r="F389" s="12"/>
      <c r="H389" s="409"/>
      <c r="I389" s="358"/>
      <c r="J389" s="442"/>
      <c r="K389" s="280"/>
      <c r="L389" s="358"/>
      <c r="M389" s="579"/>
      <c r="N389" s="469"/>
      <c r="O389" s="469"/>
    </row>
    <row r="390" spans="4:15" ht="17.25">
      <c r="F390" s="361">
        <v>44363</v>
      </c>
      <c r="G390" s="361"/>
      <c r="H390" s="409"/>
      <c r="I390" s="358"/>
      <c r="J390" s="442"/>
      <c r="K390" s="280"/>
      <c r="L390" s="358"/>
      <c r="M390" s="579"/>
      <c r="N390" s="469"/>
      <c r="O390" s="469"/>
    </row>
    <row r="391" spans="4:15" ht="17.25">
      <c r="F391" s="12"/>
      <c r="G391" s="112" t="s">
        <v>33</v>
      </c>
      <c r="H391" s="409">
        <v>12</v>
      </c>
      <c r="I391" s="358">
        <v>1001.8792307692306</v>
      </c>
      <c r="J391" s="442">
        <v>1</v>
      </c>
      <c r="K391" s="280">
        <v>1001.8792307692306</v>
      </c>
      <c r="L391" s="358">
        <v>1050.51</v>
      </c>
      <c r="M391" s="579">
        <v>1</v>
      </c>
      <c r="N391" s="469">
        <v>1050.51</v>
      </c>
      <c r="O391" s="469">
        <v>-48.630769230769374</v>
      </c>
    </row>
    <row r="392" spans="4:15" ht="17.25">
      <c r="F392" s="12"/>
      <c r="H392" s="409"/>
      <c r="I392" s="358"/>
      <c r="J392" s="442"/>
      <c r="K392" s="280"/>
      <c r="L392" s="358"/>
      <c r="M392" s="579"/>
      <c r="N392" s="469"/>
      <c r="O392" s="469"/>
    </row>
    <row r="393" spans="4:15" ht="17.25">
      <c r="F393" s="361">
        <v>44427</v>
      </c>
      <c r="G393" s="361"/>
      <c r="H393" s="409"/>
      <c r="I393" s="358"/>
      <c r="J393" s="442"/>
      <c r="K393" s="280"/>
      <c r="L393" s="358"/>
      <c r="M393" s="579"/>
      <c r="N393" s="469"/>
      <c r="O393" s="469"/>
    </row>
    <row r="394" spans="4:15" ht="17.25">
      <c r="F394" s="12"/>
      <c r="G394" s="112" t="s">
        <v>33</v>
      </c>
      <c r="H394" s="409">
        <v>9</v>
      </c>
      <c r="I394" s="358">
        <v>751.85076923076917</v>
      </c>
      <c r="J394" s="442">
        <v>1</v>
      </c>
      <c r="K394" s="280">
        <v>751.85076923076917</v>
      </c>
      <c r="L394" s="358">
        <v>727.66750000000002</v>
      </c>
      <c r="M394" s="579">
        <v>1</v>
      </c>
      <c r="N394" s="469">
        <v>727.66750000000002</v>
      </c>
      <c r="O394" s="469">
        <v>24.183269230769213</v>
      </c>
    </row>
    <row r="395" spans="4:15" ht="17.25">
      <c r="F395" s="12"/>
      <c r="H395" s="409"/>
      <c r="I395" s="358"/>
      <c r="J395" s="442"/>
      <c r="K395" s="280"/>
      <c r="L395" s="358"/>
      <c r="M395" s="579"/>
      <c r="N395" s="469"/>
      <c r="O395" s="469"/>
    </row>
    <row r="396" spans="4:15" ht="17.25">
      <c r="D396" s="361">
        <v>44634</v>
      </c>
      <c r="E396" s="361"/>
      <c r="F396" s="361"/>
      <c r="G396" s="361"/>
      <c r="H396" s="409"/>
      <c r="I396" s="358"/>
      <c r="J396" s="442"/>
      <c r="K396" s="280"/>
      <c r="L396" s="358"/>
      <c r="M396" s="579"/>
      <c r="N396" s="469"/>
      <c r="O396" s="469"/>
    </row>
    <row r="397" spans="4:15" ht="17.25">
      <c r="E397" s="12" t="s">
        <v>33</v>
      </c>
      <c r="F397" s="12"/>
      <c r="H397" s="409"/>
      <c r="I397" s="358"/>
      <c r="J397" s="442"/>
      <c r="K397" s="280"/>
      <c r="L397" s="358"/>
      <c r="M397" s="579"/>
      <c r="N397" s="469"/>
      <c r="O397" s="469"/>
    </row>
    <row r="398" spans="4:15" ht="17.25">
      <c r="F398" s="361">
        <v>44427</v>
      </c>
      <c r="G398" s="361"/>
      <c r="H398" s="409"/>
      <c r="I398" s="358"/>
      <c r="J398" s="442"/>
      <c r="K398" s="280"/>
      <c r="L398" s="358"/>
      <c r="M398" s="579"/>
      <c r="N398" s="469"/>
      <c r="O398" s="469"/>
    </row>
    <row r="399" spans="4:15" ht="17.25">
      <c r="F399" s="12"/>
      <c r="G399" s="112" t="s">
        <v>33</v>
      </c>
      <c r="H399" s="409">
        <v>30</v>
      </c>
      <c r="I399" s="358">
        <v>2501.7350000000001</v>
      </c>
      <c r="J399" s="442">
        <v>1</v>
      </c>
      <c r="K399" s="280">
        <v>2501.7350000000001</v>
      </c>
      <c r="L399" s="358">
        <v>2416.9625000000001</v>
      </c>
      <c r="M399" s="579">
        <v>1</v>
      </c>
      <c r="N399" s="469">
        <v>2416.9625000000001</v>
      </c>
      <c r="O399" s="469">
        <v>84.772499999999781</v>
      </c>
    </row>
    <row r="400" spans="4:15" ht="17.25">
      <c r="F400" s="12"/>
      <c r="H400" s="409"/>
      <c r="I400" s="358"/>
      <c r="J400" s="442"/>
      <c r="K400" s="280"/>
      <c r="L400" s="358"/>
      <c r="M400" s="579"/>
      <c r="N400" s="469"/>
      <c r="O400" s="469"/>
    </row>
    <row r="401" spans="4:15" ht="17.25">
      <c r="F401" s="361">
        <v>44428</v>
      </c>
      <c r="G401" s="361"/>
      <c r="H401" s="409"/>
      <c r="I401" s="358"/>
      <c r="J401" s="442"/>
      <c r="K401" s="280"/>
      <c r="L401" s="358"/>
      <c r="M401" s="579"/>
      <c r="N401" s="469"/>
      <c r="O401" s="469"/>
    </row>
    <row r="402" spans="4:15" ht="17.25">
      <c r="F402" s="12"/>
      <c r="G402" s="112" t="s">
        <v>33</v>
      </c>
      <c r="H402" s="409">
        <v>3</v>
      </c>
      <c r="I402" s="358">
        <v>250.185</v>
      </c>
      <c r="J402" s="442">
        <v>1</v>
      </c>
      <c r="K402" s="280">
        <v>250.185</v>
      </c>
      <c r="L402" s="358">
        <v>245.20999999999998</v>
      </c>
      <c r="M402" s="579">
        <v>1</v>
      </c>
      <c r="N402" s="469">
        <v>245.20999999999998</v>
      </c>
      <c r="O402" s="469">
        <v>4.9750000000000227</v>
      </c>
    </row>
    <row r="403" spans="4:15" ht="17.25">
      <c r="F403" s="12"/>
      <c r="H403" s="409"/>
      <c r="I403" s="358"/>
      <c r="J403" s="442"/>
      <c r="K403" s="280"/>
      <c r="L403" s="358"/>
      <c r="M403" s="579"/>
      <c r="N403" s="469"/>
      <c r="O403" s="469"/>
    </row>
    <row r="404" spans="4:15" ht="17.25">
      <c r="D404" s="361">
        <v>44635</v>
      </c>
      <c r="E404" s="361"/>
      <c r="F404" s="361"/>
      <c r="G404" s="361"/>
      <c r="H404" s="409"/>
      <c r="I404" s="358"/>
      <c r="J404" s="442"/>
      <c r="K404" s="280"/>
      <c r="L404" s="358"/>
      <c r="M404" s="579"/>
      <c r="N404" s="469"/>
      <c r="O404" s="469"/>
    </row>
    <row r="405" spans="4:15" ht="17.25">
      <c r="E405" s="12" t="s">
        <v>33</v>
      </c>
      <c r="F405" s="12"/>
      <c r="H405" s="409"/>
      <c r="I405" s="358"/>
      <c r="J405" s="442"/>
      <c r="K405" s="280"/>
      <c r="L405" s="358"/>
      <c r="M405" s="579"/>
      <c r="N405" s="469"/>
      <c r="O405" s="469"/>
    </row>
    <row r="406" spans="4:15" ht="17.25">
      <c r="F406" s="361">
        <v>44453</v>
      </c>
      <c r="G406" s="361"/>
      <c r="H406" s="409"/>
      <c r="I406" s="358"/>
      <c r="J406" s="442"/>
      <c r="K406" s="280"/>
      <c r="L406" s="358"/>
      <c r="M406" s="579"/>
      <c r="N406" s="469"/>
      <c r="O406" s="469"/>
    </row>
    <row r="407" spans="4:15" ht="17.25">
      <c r="F407" s="12"/>
      <c r="G407" s="112" t="s">
        <v>33</v>
      </c>
      <c r="H407" s="409">
        <v>36</v>
      </c>
      <c r="I407" s="358">
        <v>3040.5149999999999</v>
      </c>
      <c r="J407" s="442">
        <v>1</v>
      </c>
      <c r="K407" s="280">
        <v>3040.5149999999999</v>
      </c>
      <c r="L407" s="358">
        <v>2902.7466666666664</v>
      </c>
      <c r="M407" s="579">
        <v>1</v>
      </c>
      <c r="N407" s="469">
        <v>2902.7466666666664</v>
      </c>
      <c r="O407" s="469">
        <v>137.76833333333352</v>
      </c>
    </row>
    <row r="408" spans="4:15" ht="17.25">
      <c r="F408" s="12"/>
      <c r="H408" s="409"/>
      <c r="I408" s="358"/>
      <c r="J408" s="442"/>
      <c r="K408" s="280"/>
      <c r="L408" s="358"/>
      <c r="M408" s="579"/>
      <c r="N408" s="469"/>
      <c r="O408" s="469"/>
    </row>
    <row r="409" spans="4:15" ht="17.25">
      <c r="F409" s="361">
        <v>44428</v>
      </c>
      <c r="G409" s="361"/>
      <c r="H409" s="409"/>
      <c r="I409" s="358"/>
      <c r="J409" s="442"/>
      <c r="K409" s="280"/>
      <c r="L409" s="358"/>
      <c r="M409" s="579"/>
      <c r="N409" s="469"/>
      <c r="O409" s="469"/>
    </row>
    <row r="410" spans="4:15" ht="17.25">
      <c r="F410" s="12"/>
      <c r="G410" s="112" t="s">
        <v>33</v>
      </c>
      <c r="H410" s="409">
        <v>9</v>
      </c>
      <c r="I410" s="358">
        <v>755.29499999999996</v>
      </c>
      <c r="J410" s="442">
        <v>1</v>
      </c>
      <c r="K410" s="280">
        <v>755.29499999999996</v>
      </c>
      <c r="L410" s="358">
        <v>735.63</v>
      </c>
      <c r="M410" s="579">
        <v>1</v>
      </c>
      <c r="N410" s="469">
        <v>735.63</v>
      </c>
      <c r="O410" s="469">
        <v>19.66500000000002</v>
      </c>
    </row>
    <row r="411" spans="4:15" ht="17.25">
      <c r="F411" s="12"/>
      <c r="H411" s="409"/>
      <c r="I411" s="358"/>
      <c r="J411" s="442"/>
      <c r="K411" s="280"/>
      <c r="L411" s="358"/>
      <c r="M411" s="579"/>
      <c r="N411" s="469"/>
      <c r="O411" s="469"/>
    </row>
    <row r="412" spans="4:15" ht="17.25">
      <c r="D412" s="361">
        <v>44636</v>
      </c>
      <c r="E412" s="361"/>
      <c r="F412" s="361"/>
      <c r="G412" s="361"/>
      <c r="H412" s="409"/>
      <c r="I412" s="358"/>
      <c r="J412" s="442"/>
      <c r="K412" s="280"/>
      <c r="L412" s="358"/>
      <c r="M412" s="579"/>
      <c r="N412" s="469"/>
      <c r="O412" s="469"/>
    </row>
    <row r="413" spans="4:15" ht="17.25">
      <c r="E413" s="12" t="s">
        <v>33</v>
      </c>
      <c r="F413" s="12"/>
      <c r="H413" s="409"/>
      <c r="I413" s="358"/>
      <c r="J413" s="442"/>
      <c r="K413" s="280"/>
      <c r="L413" s="358"/>
      <c r="M413" s="579"/>
      <c r="N413" s="469"/>
      <c r="O413" s="469"/>
    </row>
    <row r="414" spans="4:15" ht="17.25">
      <c r="F414" s="361">
        <v>44453</v>
      </c>
      <c r="G414" s="361"/>
      <c r="H414" s="409"/>
      <c r="I414" s="358"/>
      <c r="J414" s="442"/>
      <c r="K414" s="280"/>
      <c r="L414" s="358"/>
      <c r="M414" s="579"/>
      <c r="N414" s="469"/>
      <c r="O414" s="469"/>
    </row>
    <row r="415" spans="4:15" ht="17.25">
      <c r="F415" s="12"/>
      <c r="G415" s="112" t="s">
        <v>33</v>
      </c>
      <c r="H415" s="409">
        <v>18</v>
      </c>
      <c r="I415" s="358">
        <v>1500.03</v>
      </c>
      <c r="J415" s="442">
        <v>1</v>
      </c>
      <c r="K415" s="280">
        <v>1500.03</v>
      </c>
      <c r="L415" s="358">
        <v>161.2637037037037</v>
      </c>
      <c r="M415" s="579">
        <v>1</v>
      </c>
      <c r="N415" s="469">
        <v>161.2637037037037</v>
      </c>
      <c r="O415" s="469">
        <v>1338.7662962962963</v>
      </c>
    </row>
    <row r="416" spans="4:15" ht="17.25">
      <c r="F416" s="12"/>
      <c r="H416" s="409"/>
      <c r="I416" s="358"/>
      <c r="J416" s="442"/>
      <c r="K416" s="280"/>
      <c r="L416" s="358"/>
      <c r="M416" s="579"/>
      <c r="N416" s="469"/>
      <c r="O416" s="469"/>
    </row>
    <row r="417" spans="3:15" ht="17.25">
      <c r="C417" s="342" t="s">
        <v>306</v>
      </c>
      <c r="D417" s="342"/>
      <c r="E417" s="342"/>
      <c r="F417" s="342"/>
      <c r="G417" s="342"/>
      <c r="H417" s="410">
        <v>495</v>
      </c>
      <c r="I417" s="407">
        <v>39115.549999999996</v>
      </c>
      <c r="J417" s="460">
        <v>1</v>
      </c>
      <c r="K417" s="413">
        <v>39115.549999999996</v>
      </c>
      <c r="L417" s="407">
        <v>39796.357870370375</v>
      </c>
      <c r="M417" s="580">
        <v>1</v>
      </c>
      <c r="N417" s="470">
        <v>39796.357870370375</v>
      </c>
      <c r="O417" s="470">
        <v>-680.80787037037157</v>
      </c>
    </row>
    <row r="418" spans="3:15" ht="17.25">
      <c r="F418" s="12"/>
      <c r="H418" s="409"/>
      <c r="I418" s="358"/>
      <c r="J418" s="442"/>
      <c r="K418" s="280"/>
      <c r="L418" s="358"/>
      <c r="M418" s="579"/>
      <c r="N418" s="469"/>
      <c r="O418" s="469"/>
    </row>
    <row r="419" spans="3:15" ht="17.25">
      <c r="C419" s="12" t="s">
        <v>233</v>
      </c>
      <c r="F419" s="12"/>
      <c r="H419" s="409"/>
      <c r="I419" s="358"/>
      <c r="J419" s="442"/>
      <c r="K419" s="280"/>
      <c r="L419" s="358"/>
      <c r="M419" s="579"/>
      <c r="N419" s="469"/>
      <c r="O419" s="469"/>
    </row>
    <row r="420" spans="3:15" ht="17.25">
      <c r="D420" s="361">
        <v>44675</v>
      </c>
      <c r="E420" s="361"/>
      <c r="F420" s="361"/>
      <c r="G420" s="361"/>
      <c r="H420" s="409"/>
      <c r="I420" s="358"/>
      <c r="J420" s="442"/>
      <c r="K420" s="280"/>
      <c r="L420" s="358"/>
      <c r="M420" s="579"/>
      <c r="N420" s="469"/>
      <c r="O420" s="469"/>
    </row>
    <row r="421" spans="3:15" ht="17.25">
      <c r="E421" s="12" t="s">
        <v>33</v>
      </c>
      <c r="F421" s="12"/>
      <c r="H421" s="409"/>
      <c r="I421" s="358"/>
      <c r="J421" s="442"/>
      <c r="K421" s="280"/>
      <c r="L421" s="358"/>
      <c r="M421" s="579"/>
      <c r="N421" s="469"/>
      <c r="O421" s="469"/>
    </row>
    <row r="422" spans="3:15" ht="17.25">
      <c r="F422" s="361">
        <v>43915</v>
      </c>
      <c r="G422" s="361"/>
      <c r="H422" s="409"/>
      <c r="I422" s="358"/>
      <c r="J422" s="442"/>
      <c r="K422" s="280"/>
      <c r="L422" s="358"/>
      <c r="M422" s="579"/>
      <c r="N422" s="469"/>
      <c r="O422" s="469"/>
    </row>
    <row r="423" spans="3:15" ht="17.25">
      <c r="F423" s="12"/>
      <c r="G423" s="112" t="s">
        <v>33</v>
      </c>
      <c r="H423" s="409">
        <v>20</v>
      </c>
      <c r="I423" s="358">
        <v>1506.3162393162395</v>
      </c>
      <c r="J423" s="442">
        <v>1</v>
      </c>
      <c r="K423" s="280">
        <v>1506.3162393162395</v>
      </c>
      <c r="L423" s="358">
        <v>1025.3291139240507</v>
      </c>
      <c r="M423" s="579">
        <v>1</v>
      </c>
      <c r="N423" s="469">
        <v>1025.3291139240507</v>
      </c>
      <c r="O423" s="469">
        <v>480.98712539218877</v>
      </c>
    </row>
    <row r="424" spans="3:15" ht="17.25">
      <c r="F424" s="12"/>
      <c r="H424" s="409"/>
      <c r="I424" s="358"/>
      <c r="J424" s="442"/>
      <c r="K424" s="280"/>
      <c r="L424" s="358"/>
      <c r="M424" s="579"/>
      <c r="N424" s="469"/>
      <c r="O424" s="469"/>
    </row>
    <row r="425" spans="3:15" ht="17.25">
      <c r="D425" s="361">
        <v>44678</v>
      </c>
      <c r="E425" s="361"/>
      <c r="F425" s="361"/>
      <c r="G425" s="361"/>
      <c r="H425" s="409"/>
      <c r="I425" s="358"/>
      <c r="J425" s="442"/>
      <c r="K425" s="280"/>
      <c r="L425" s="358"/>
      <c r="M425" s="579"/>
      <c r="N425" s="469"/>
      <c r="O425" s="469"/>
    </row>
    <row r="426" spans="3:15" ht="17.25">
      <c r="E426" s="12" t="s">
        <v>33</v>
      </c>
      <c r="F426" s="12"/>
      <c r="H426" s="409"/>
      <c r="I426" s="358"/>
      <c r="J426" s="442"/>
      <c r="K426" s="280"/>
      <c r="L426" s="358"/>
      <c r="M426" s="579"/>
      <c r="N426" s="469"/>
      <c r="O426" s="469"/>
    </row>
    <row r="427" spans="3:15" ht="17.25">
      <c r="F427" s="361">
        <v>43896</v>
      </c>
      <c r="G427" s="361"/>
      <c r="H427" s="409"/>
      <c r="I427" s="358"/>
      <c r="J427" s="442"/>
      <c r="K427" s="280"/>
      <c r="L427" s="358"/>
      <c r="M427" s="579"/>
      <c r="N427" s="469"/>
      <c r="O427" s="469"/>
    </row>
    <row r="428" spans="3:15" ht="17.25">
      <c r="F428" s="12"/>
      <c r="G428" s="112" t="s">
        <v>33</v>
      </c>
      <c r="H428" s="409">
        <v>103</v>
      </c>
      <c r="I428" s="358">
        <v>7757.528632478633</v>
      </c>
      <c r="J428" s="442">
        <v>1</v>
      </c>
      <c r="K428" s="280">
        <v>7757.528632478633</v>
      </c>
      <c r="L428" s="358">
        <v>6152.51</v>
      </c>
      <c r="M428" s="579">
        <v>1</v>
      </c>
      <c r="N428" s="469">
        <v>6152.51</v>
      </c>
      <c r="O428" s="469">
        <v>1605.0186324786328</v>
      </c>
    </row>
    <row r="429" spans="3:15" ht="17.25">
      <c r="F429" s="12"/>
      <c r="H429" s="409"/>
      <c r="I429" s="358"/>
      <c r="J429" s="442"/>
      <c r="K429" s="280"/>
      <c r="L429" s="358"/>
      <c r="M429" s="579"/>
      <c r="N429" s="469"/>
      <c r="O429" s="469"/>
    </row>
    <row r="430" spans="3:15" ht="17.25">
      <c r="F430" s="361">
        <v>43899</v>
      </c>
      <c r="G430" s="361"/>
      <c r="H430" s="409"/>
      <c r="I430" s="358"/>
      <c r="J430" s="442"/>
      <c r="K430" s="280"/>
      <c r="L430" s="358"/>
      <c r="M430" s="579"/>
      <c r="N430" s="469"/>
      <c r="O430" s="469"/>
    </row>
    <row r="431" spans="3:15" ht="17.25">
      <c r="F431" s="12"/>
      <c r="G431" s="112" t="s">
        <v>33</v>
      </c>
      <c r="H431" s="409">
        <v>103</v>
      </c>
      <c r="I431" s="358">
        <v>7757.528632478633</v>
      </c>
      <c r="J431" s="442">
        <v>1</v>
      </c>
      <c r="K431" s="280">
        <v>7757.528632478633</v>
      </c>
      <c r="L431" s="358">
        <v>5954.97</v>
      </c>
      <c r="M431" s="579">
        <v>1</v>
      </c>
      <c r="N431" s="469">
        <v>5954.97</v>
      </c>
      <c r="O431" s="469">
        <v>1802.5586324786327</v>
      </c>
    </row>
    <row r="432" spans="3:15" ht="17.25">
      <c r="F432" s="12"/>
      <c r="H432" s="409"/>
      <c r="I432" s="358"/>
      <c r="J432" s="442"/>
      <c r="K432" s="280"/>
      <c r="L432" s="358"/>
      <c r="M432" s="579"/>
      <c r="N432" s="469"/>
      <c r="O432" s="469"/>
    </row>
    <row r="433" spans="3:15" ht="17.25">
      <c r="F433" s="361">
        <v>43901</v>
      </c>
      <c r="G433" s="361"/>
      <c r="H433" s="409"/>
      <c r="I433" s="358"/>
      <c r="J433" s="442"/>
      <c r="K433" s="280"/>
      <c r="L433" s="358"/>
      <c r="M433" s="579"/>
      <c r="N433" s="469"/>
      <c r="O433" s="469"/>
    </row>
    <row r="434" spans="3:15" ht="17.25">
      <c r="F434" s="12"/>
      <c r="G434" s="112" t="s">
        <v>33</v>
      </c>
      <c r="H434" s="409">
        <v>121</v>
      </c>
      <c r="I434" s="358">
        <v>9113.2132478632484</v>
      </c>
      <c r="J434" s="442">
        <v>1</v>
      </c>
      <c r="K434" s="280">
        <v>9113.2132478632484</v>
      </c>
      <c r="L434" s="358">
        <v>6909.2</v>
      </c>
      <c r="M434" s="579">
        <v>1</v>
      </c>
      <c r="N434" s="469">
        <v>6909.2</v>
      </c>
      <c r="O434" s="469">
        <v>2204.0132478632486</v>
      </c>
    </row>
    <row r="435" spans="3:15" ht="17.25">
      <c r="F435" s="12"/>
      <c r="H435" s="409"/>
      <c r="I435" s="358"/>
      <c r="J435" s="442"/>
      <c r="K435" s="280"/>
      <c r="L435" s="358"/>
      <c r="M435" s="579"/>
      <c r="N435" s="469"/>
      <c r="O435" s="469"/>
    </row>
    <row r="436" spans="3:15" ht="17.25">
      <c r="F436" s="361">
        <v>43902</v>
      </c>
      <c r="G436" s="361"/>
      <c r="H436" s="409"/>
      <c r="I436" s="358"/>
      <c r="J436" s="442"/>
      <c r="K436" s="280"/>
      <c r="L436" s="358"/>
      <c r="M436" s="579"/>
      <c r="N436" s="469"/>
      <c r="O436" s="469"/>
    </row>
    <row r="437" spans="3:15" ht="17.25">
      <c r="F437" s="12"/>
      <c r="G437" s="112" t="s">
        <v>33</v>
      </c>
      <c r="H437" s="409">
        <v>121</v>
      </c>
      <c r="I437" s="358">
        <v>9113.2132478632484</v>
      </c>
      <c r="J437" s="442">
        <v>1</v>
      </c>
      <c r="K437" s="280">
        <v>9113.2132478632484</v>
      </c>
      <c r="L437" s="358">
        <v>6401.09</v>
      </c>
      <c r="M437" s="579">
        <v>1</v>
      </c>
      <c r="N437" s="469">
        <v>6401.09</v>
      </c>
      <c r="O437" s="469">
        <v>2712.1232478632483</v>
      </c>
    </row>
    <row r="438" spans="3:15" ht="17.25">
      <c r="F438" s="12"/>
      <c r="H438" s="409"/>
      <c r="I438" s="358"/>
      <c r="J438" s="442"/>
      <c r="K438" s="280"/>
      <c r="L438" s="358"/>
      <c r="M438" s="579"/>
      <c r="N438" s="469"/>
      <c r="O438" s="469"/>
    </row>
    <row r="439" spans="3:15" ht="17.25">
      <c r="C439" s="342" t="s">
        <v>307</v>
      </c>
      <c r="D439" s="342"/>
      <c r="E439" s="342"/>
      <c r="F439" s="342"/>
      <c r="G439" s="342"/>
      <c r="H439" s="410">
        <v>468</v>
      </c>
      <c r="I439" s="407">
        <v>35247.800000000003</v>
      </c>
      <c r="J439" s="460">
        <v>1</v>
      </c>
      <c r="K439" s="413">
        <v>35247.800000000003</v>
      </c>
      <c r="L439" s="407">
        <v>26443.09911392405</v>
      </c>
      <c r="M439" s="580">
        <v>1</v>
      </c>
      <c r="N439" s="470">
        <v>26443.09911392405</v>
      </c>
      <c r="O439" s="470">
        <v>8804.7008860759506</v>
      </c>
    </row>
    <row r="440" spans="3:15" ht="17.25">
      <c r="F440" s="12"/>
      <c r="H440" s="409"/>
      <c r="I440" s="358"/>
      <c r="J440" s="442"/>
      <c r="K440" s="280"/>
      <c r="L440" s="358"/>
      <c r="M440" s="579"/>
      <c r="N440" s="469"/>
      <c r="O440" s="469"/>
    </row>
    <row r="441" spans="3:15" ht="17.25">
      <c r="C441" s="12" t="s">
        <v>235</v>
      </c>
      <c r="F441" s="12"/>
      <c r="H441" s="409"/>
      <c r="I441" s="358"/>
      <c r="J441" s="442"/>
      <c r="K441" s="280"/>
      <c r="L441" s="358"/>
      <c r="M441" s="579"/>
      <c r="N441" s="469"/>
      <c r="O441" s="469"/>
    </row>
    <row r="442" spans="3:15" ht="17.25">
      <c r="D442" s="361">
        <v>44678</v>
      </c>
      <c r="E442" s="361"/>
      <c r="F442" s="361"/>
      <c r="G442" s="361"/>
      <c r="H442" s="409"/>
      <c r="I442" s="358"/>
      <c r="J442" s="442"/>
      <c r="K442" s="280"/>
      <c r="L442" s="358"/>
      <c r="M442" s="579"/>
      <c r="N442" s="469"/>
      <c r="O442" s="469"/>
    </row>
    <row r="443" spans="3:15" ht="17.25">
      <c r="E443" s="12" t="s">
        <v>33</v>
      </c>
      <c r="F443" s="12"/>
      <c r="H443" s="409"/>
      <c r="I443" s="358"/>
      <c r="J443" s="442"/>
      <c r="K443" s="280"/>
      <c r="L443" s="358"/>
      <c r="M443" s="579"/>
      <c r="N443" s="469"/>
      <c r="O443" s="469"/>
    </row>
    <row r="444" spans="3:15" ht="17.25">
      <c r="F444" s="361">
        <v>43830</v>
      </c>
      <c r="G444" s="361"/>
      <c r="H444" s="409"/>
      <c r="I444" s="358"/>
      <c r="J444" s="442"/>
      <c r="K444" s="280"/>
      <c r="L444" s="358"/>
      <c r="M444" s="579"/>
      <c r="N444" s="469"/>
      <c r="O444" s="469"/>
    </row>
    <row r="445" spans="3:15" ht="17.25">
      <c r="F445" s="12"/>
      <c r="G445" s="112" t="s">
        <v>33</v>
      </c>
      <c r="H445" s="409">
        <v>561</v>
      </c>
      <c r="I445" s="358">
        <v>24949.17</v>
      </c>
      <c r="J445" s="442">
        <v>1</v>
      </c>
      <c r="K445" s="280">
        <v>24949.17</v>
      </c>
      <c r="L445" s="358">
        <v>19884.960940254652</v>
      </c>
      <c r="M445" s="579">
        <v>1</v>
      </c>
      <c r="N445" s="469">
        <v>19884.960940254652</v>
      </c>
      <c r="O445" s="469">
        <v>5064.2090597453462</v>
      </c>
    </row>
    <row r="446" spans="3:15" ht="17.25">
      <c r="F446" s="12"/>
      <c r="H446" s="409"/>
      <c r="I446" s="358"/>
      <c r="J446" s="442"/>
      <c r="K446" s="280"/>
      <c r="L446" s="358"/>
      <c r="M446" s="579"/>
      <c r="N446" s="469"/>
      <c r="O446" s="469"/>
    </row>
    <row r="447" spans="3:15" ht="17.25">
      <c r="D447" s="361">
        <v>44880</v>
      </c>
      <c r="E447" s="361"/>
      <c r="F447" s="361"/>
      <c r="G447" s="361"/>
      <c r="H447" s="409"/>
      <c r="I447" s="358"/>
      <c r="J447" s="442"/>
      <c r="K447" s="280"/>
      <c r="L447" s="358"/>
      <c r="M447" s="579"/>
      <c r="N447" s="469"/>
      <c r="O447" s="469"/>
    </row>
    <row r="448" spans="3:15" ht="17.25">
      <c r="E448" s="12" t="s">
        <v>33</v>
      </c>
      <c r="F448" s="12"/>
      <c r="H448" s="409"/>
      <c r="I448" s="358"/>
      <c r="J448" s="442"/>
      <c r="K448" s="280"/>
      <c r="L448" s="358"/>
      <c r="M448" s="579"/>
      <c r="N448" s="469"/>
      <c r="O448" s="469"/>
    </row>
    <row r="449" spans="4:15" ht="17.25">
      <c r="F449" s="361">
        <v>43830</v>
      </c>
      <c r="G449" s="361"/>
      <c r="H449" s="409"/>
      <c r="I449" s="358"/>
      <c r="J449" s="442"/>
      <c r="K449" s="280"/>
      <c r="L449" s="358"/>
      <c r="M449" s="579"/>
      <c r="N449" s="469"/>
      <c r="O449" s="469"/>
    </row>
    <row r="450" spans="4:15" ht="17.25">
      <c r="F450" s="12"/>
      <c r="G450" s="112" t="s">
        <v>33</v>
      </c>
      <c r="H450" s="409">
        <v>460</v>
      </c>
      <c r="I450" s="358">
        <v>15834.161276595745</v>
      </c>
      <c r="J450" s="442">
        <v>1</v>
      </c>
      <c r="K450" s="280">
        <v>15834.161276595745</v>
      </c>
      <c r="L450" s="358">
        <v>16304.959059745348</v>
      </c>
      <c r="M450" s="579">
        <v>1</v>
      </c>
      <c r="N450" s="469">
        <v>16304.959059745348</v>
      </c>
      <c r="O450" s="469">
        <v>-470.7977831496039</v>
      </c>
    </row>
    <row r="451" spans="4:15" ht="17.25">
      <c r="F451" s="12"/>
      <c r="H451" s="409"/>
      <c r="I451" s="358"/>
      <c r="J451" s="442"/>
      <c r="K451" s="280"/>
      <c r="L451" s="358"/>
      <c r="M451" s="579"/>
      <c r="N451" s="469"/>
      <c r="O451" s="469"/>
    </row>
    <row r="452" spans="4:15" ht="17.25">
      <c r="F452" s="361">
        <v>44363</v>
      </c>
      <c r="G452" s="361"/>
      <c r="H452" s="409"/>
      <c r="I452" s="358"/>
      <c r="J452" s="442"/>
      <c r="K452" s="280"/>
      <c r="L452" s="358"/>
      <c r="M452" s="579"/>
      <c r="N452" s="469"/>
      <c r="O452" s="469"/>
    </row>
    <row r="453" spans="4:15" ht="17.25">
      <c r="F453" s="12"/>
      <c r="G453" s="112" t="s">
        <v>33</v>
      </c>
      <c r="H453" s="409">
        <v>48</v>
      </c>
      <c r="I453" s="358">
        <v>1653.0587234042555</v>
      </c>
      <c r="J453" s="442">
        <v>1</v>
      </c>
      <c r="K453" s="280">
        <v>1653.0587234042555</v>
      </c>
      <c r="L453" s="358">
        <v>2780.2176923076927</v>
      </c>
      <c r="M453" s="579">
        <v>1</v>
      </c>
      <c r="N453" s="469">
        <v>2780.2176923076927</v>
      </c>
      <c r="O453" s="469">
        <v>-1127.1589689034372</v>
      </c>
    </row>
    <row r="454" spans="4:15" ht="17.25">
      <c r="F454" s="12"/>
      <c r="H454" s="409"/>
      <c r="I454" s="358"/>
      <c r="J454" s="442"/>
      <c r="K454" s="280"/>
      <c r="L454" s="358"/>
      <c r="M454" s="579"/>
      <c r="N454" s="469"/>
      <c r="O454" s="469"/>
    </row>
    <row r="455" spans="4:15" ht="17.25">
      <c r="D455" s="361">
        <v>44887</v>
      </c>
      <c r="E455" s="361"/>
      <c r="F455" s="361"/>
      <c r="G455" s="361"/>
      <c r="H455" s="409"/>
      <c r="I455" s="358"/>
      <c r="J455" s="442"/>
      <c r="K455" s="280"/>
      <c r="L455" s="358"/>
      <c r="M455" s="579"/>
      <c r="N455" s="469"/>
      <c r="O455" s="469"/>
    </row>
    <row r="456" spans="4:15" ht="17.25">
      <c r="E456" s="12" t="s">
        <v>33</v>
      </c>
      <c r="F456" s="12"/>
      <c r="H456" s="409"/>
      <c r="I456" s="358"/>
      <c r="J456" s="442"/>
      <c r="K456" s="280"/>
      <c r="L456" s="358"/>
      <c r="M456" s="579"/>
      <c r="N456" s="469"/>
      <c r="O456" s="469"/>
    </row>
    <row r="457" spans="4:15" ht="17.25">
      <c r="F457" s="361">
        <v>44363</v>
      </c>
      <c r="G457" s="361"/>
      <c r="H457" s="409"/>
      <c r="I457" s="358"/>
      <c r="J457" s="442"/>
      <c r="K457" s="280"/>
      <c r="L457" s="358"/>
      <c r="M457" s="579"/>
      <c r="N457" s="469"/>
      <c r="O457" s="469"/>
    </row>
    <row r="458" spans="4:15" ht="17.25">
      <c r="F458" s="12"/>
      <c r="G458" s="112" t="s">
        <v>33</v>
      </c>
      <c r="H458" s="409">
        <v>223</v>
      </c>
      <c r="I458" s="358">
        <v>7757.6700000000019</v>
      </c>
      <c r="J458" s="442">
        <v>1</v>
      </c>
      <c r="K458" s="280">
        <v>7757.6700000000019</v>
      </c>
      <c r="L458" s="358">
        <v>12916.428028846156</v>
      </c>
      <c r="M458" s="579">
        <v>1</v>
      </c>
      <c r="N458" s="469">
        <v>12916.428028846156</v>
      </c>
      <c r="O458" s="469">
        <v>-5158.758028846154</v>
      </c>
    </row>
    <row r="459" spans="4:15" ht="17.25">
      <c r="F459" s="12"/>
      <c r="H459" s="409"/>
      <c r="I459" s="358"/>
      <c r="J459" s="442"/>
      <c r="K459" s="280"/>
      <c r="L459" s="358"/>
      <c r="M459" s="579"/>
      <c r="N459" s="469"/>
      <c r="O459" s="469"/>
    </row>
    <row r="460" spans="4:15" ht="17.25">
      <c r="D460" s="361">
        <v>44916</v>
      </c>
      <c r="E460" s="361"/>
      <c r="F460" s="361"/>
      <c r="G460" s="361"/>
      <c r="H460" s="409"/>
      <c r="I460" s="358"/>
      <c r="J460" s="442"/>
      <c r="K460" s="280"/>
      <c r="L460" s="358"/>
      <c r="M460" s="579"/>
      <c r="N460" s="469"/>
      <c r="O460" s="469"/>
    </row>
    <row r="461" spans="4:15" ht="17.25">
      <c r="E461" s="12" t="s">
        <v>33</v>
      </c>
      <c r="F461" s="12"/>
      <c r="H461" s="409"/>
      <c r="I461" s="358"/>
      <c r="J461" s="442"/>
      <c r="K461" s="280"/>
      <c r="L461" s="358"/>
      <c r="M461" s="579"/>
      <c r="N461" s="469"/>
      <c r="O461" s="469"/>
    </row>
    <row r="462" spans="4:15" ht="17.25">
      <c r="F462" s="361">
        <v>44363</v>
      </c>
      <c r="G462" s="361"/>
      <c r="H462" s="409"/>
      <c r="I462" s="358"/>
      <c r="J462" s="442"/>
      <c r="K462" s="280"/>
      <c r="L462" s="358"/>
      <c r="M462" s="579"/>
      <c r="N462" s="469"/>
      <c r="O462" s="469"/>
    </row>
    <row r="463" spans="4:15" ht="17.25">
      <c r="F463" s="12"/>
      <c r="G463" s="112" t="s">
        <v>33</v>
      </c>
      <c r="H463" s="409">
        <v>223</v>
      </c>
      <c r="I463" s="358">
        <v>7852.1900000000005</v>
      </c>
      <c r="J463" s="442">
        <v>1</v>
      </c>
      <c r="K463" s="280">
        <v>7852.1900000000005</v>
      </c>
      <c r="L463" s="358">
        <v>12916.428028846156</v>
      </c>
      <c r="M463" s="579">
        <v>1</v>
      </c>
      <c r="N463" s="469">
        <v>12916.428028846156</v>
      </c>
      <c r="O463" s="469">
        <v>-5064.2380288461554</v>
      </c>
    </row>
    <row r="464" spans="4:15" ht="17.25">
      <c r="F464" s="12"/>
      <c r="H464" s="409"/>
      <c r="I464" s="358"/>
      <c r="J464" s="442"/>
      <c r="K464" s="280"/>
      <c r="L464" s="358"/>
      <c r="M464" s="579"/>
      <c r="N464" s="469"/>
      <c r="O464" s="469"/>
    </row>
    <row r="465" spans="3:15" ht="17.25">
      <c r="C465" s="342" t="s">
        <v>308</v>
      </c>
      <c r="D465" s="342"/>
      <c r="E465" s="342"/>
      <c r="F465" s="342"/>
      <c r="G465" s="342"/>
      <c r="H465" s="410">
        <v>1515</v>
      </c>
      <c r="I465" s="407">
        <v>58046.250000000007</v>
      </c>
      <c r="J465" s="460">
        <v>1</v>
      </c>
      <c r="K465" s="413">
        <v>58046.250000000007</v>
      </c>
      <c r="L465" s="407">
        <v>64802.993750000009</v>
      </c>
      <c r="M465" s="580">
        <v>1</v>
      </c>
      <c r="N465" s="470">
        <v>64802.993750000009</v>
      </c>
      <c r="O465" s="470">
        <v>-6756.7437500000042</v>
      </c>
    </row>
    <row r="466" spans="3:15" ht="17.25">
      <c r="F466" s="12"/>
      <c r="H466" s="409"/>
      <c r="I466" s="358"/>
      <c r="J466" s="442"/>
      <c r="K466" s="280"/>
      <c r="L466" s="358"/>
      <c r="M466" s="579"/>
      <c r="N466" s="469"/>
      <c r="O466" s="469"/>
    </row>
    <row r="467" spans="3:15" ht="17.25">
      <c r="C467" s="12" t="s">
        <v>181</v>
      </c>
      <c r="F467" s="12"/>
      <c r="H467" s="409"/>
      <c r="I467" s="358"/>
      <c r="J467" s="442"/>
      <c r="K467" s="280"/>
      <c r="L467" s="358"/>
      <c r="M467" s="579"/>
      <c r="N467" s="469"/>
      <c r="O467" s="469"/>
    </row>
    <row r="468" spans="3:15" ht="17.25">
      <c r="D468" s="361">
        <v>44678</v>
      </c>
      <c r="E468" s="361"/>
      <c r="F468" s="361"/>
      <c r="G468" s="361"/>
      <c r="H468" s="409"/>
      <c r="I468" s="358"/>
      <c r="J468" s="442"/>
      <c r="K468" s="280"/>
      <c r="L468" s="358"/>
      <c r="M468" s="579"/>
      <c r="N468" s="469"/>
      <c r="O468" s="469"/>
    </row>
    <row r="469" spans="3:15" ht="17.25">
      <c r="E469" s="12" t="s">
        <v>33</v>
      </c>
      <c r="F469" s="12"/>
      <c r="H469" s="409"/>
      <c r="I469" s="358"/>
      <c r="J469" s="442"/>
      <c r="K469" s="280"/>
      <c r="L469" s="358"/>
      <c r="M469" s="579"/>
      <c r="N469" s="469"/>
      <c r="O469" s="469"/>
    </row>
    <row r="470" spans="3:15" ht="17.25">
      <c r="F470" s="361">
        <v>44649</v>
      </c>
      <c r="G470" s="361"/>
      <c r="H470" s="409"/>
      <c r="I470" s="358"/>
      <c r="J470" s="442"/>
      <c r="K470" s="280"/>
      <c r="L470" s="358"/>
      <c r="M470" s="579"/>
      <c r="N470" s="469"/>
      <c r="O470" s="469"/>
    </row>
    <row r="471" spans="3:15" ht="17.25">
      <c r="F471" s="12"/>
      <c r="G471" s="112" t="s">
        <v>33</v>
      </c>
      <c r="H471" s="409">
        <v>81</v>
      </c>
      <c r="I471" s="358">
        <v>7319.93</v>
      </c>
      <c r="J471" s="442">
        <v>1</v>
      </c>
      <c r="K471" s="280">
        <v>7319.93</v>
      </c>
      <c r="L471" s="358">
        <v>8071.67</v>
      </c>
      <c r="M471" s="579">
        <v>1</v>
      </c>
      <c r="N471" s="469">
        <v>8071.67</v>
      </c>
      <c r="O471" s="469">
        <v>-751.74000000000046</v>
      </c>
    </row>
    <row r="472" spans="3:15" ht="17.25">
      <c r="F472" s="12"/>
      <c r="H472" s="409"/>
      <c r="I472" s="358"/>
      <c r="J472" s="442"/>
      <c r="K472" s="280"/>
      <c r="L472" s="358"/>
      <c r="M472" s="579"/>
      <c r="N472" s="469"/>
      <c r="O472" s="469"/>
    </row>
    <row r="473" spans="3:15" ht="17.25">
      <c r="C473" s="342" t="s">
        <v>309</v>
      </c>
      <c r="D473" s="342"/>
      <c r="E473" s="342"/>
      <c r="F473" s="342"/>
      <c r="G473" s="342"/>
      <c r="H473" s="410">
        <v>81</v>
      </c>
      <c r="I473" s="407">
        <v>7319.93</v>
      </c>
      <c r="J473" s="460">
        <v>1</v>
      </c>
      <c r="K473" s="413">
        <v>7319.93</v>
      </c>
      <c r="L473" s="407">
        <v>8071.67</v>
      </c>
      <c r="M473" s="580">
        <v>1</v>
      </c>
      <c r="N473" s="470">
        <v>8071.67</v>
      </c>
      <c r="O473" s="470">
        <v>-751.74000000000046</v>
      </c>
    </row>
    <row r="474" spans="3:15" ht="17.25">
      <c r="F474" s="12"/>
      <c r="H474" s="409"/>
      <c r="I474" s="358"/>
      <c r="J474" s="442"/>
      <c r="K474" s="280"/>
      <c r="L474" s="358"/>
      <c r="M474" s="579"/>
      <c r="N474" s="469"/>
      <c r="O474" s="469"/>
    </row>
    <row r="475" spans="3:15" ht="17.25">
      <c r="C475" s="12" t="s">
        <v>174</v>
      </c>
      <c r="F475" s="12"/>
      <c r="H475" s="409"/>
      <c r="I475" s="358"/>
      <c r="J475" s="442"/>
      <c r="K475" s="280"/>
      <c r="L475" s="358"/>
      <c r="M475" s="579"/>
      <c r="N475" s="469"/>
      <c r="O475" s="469"/>
    </row>
    <row r="476" spans="3:15" ht="17.25">
      <c r="D476" s="361">
        <v>44671</v>
      </c>
      <c r="E476" s="361"/>
      <c r="F476" s="361"/>
      <c r="G476" s="361"/>
      <c r="H476" s="409"/>
      <c r="I476" s="358"/>
      <c r="J476" s="442"/>
      <c r="K476" s="280"/>
      <c r="L476" s="358"/>
      <c r="M476" s="579"/>
      <c r="N476" s="469"/>
      <c r="O476" s="469"/>
    </row>
    <row r="477" spans="3:15" ht="17.25">
      <c r="E477" s="12" t="s">
        <v>33</v>
      </c>
      <c r="F477" s="12"/>
      <c r="H477" s="409"/>
      <c r="I477" s="358"/>
      <c r="J477" s="442"/>
      <c r="K477" s="280"/>
      <c r="L477" s="358"/>
      <c r="M477" s="579"/>
      <c r="N477" s="469"/>
      <c r="O477" s="469"/>
    </row>
    <row r="478" spans="3:15" ht="17.25">
      <c r="F478" s="361">
        <v>44579</v>
      </c>
      <c r="G478" s="361"/>
      <c r="H478" s="409"/>
      <c r="I478" s="358"/>
      <c r="J478" s="442"/>
      <c r="K478" s="280"/>
      <c r="L478" s="358"/>
      <c r="M478" s="579"/>
      <c r="N478" s="469"/>
      <c r="O478" s="469"/>
    </row>
    <row r="479" spans="3:15" ht="17.25">
      <c r="F479" s="12"/>
      <c r="G479" s="112" t="s">
        <v>33</v>
      </c>
      <c r="H479" s="409">
        <v>114</v>
      </c>
      <c r="I479" s="358">
        <v>3978.2145714285716</v>
      </c>
      <c r="J479" s="442">
        <v>1</v>
      </c>
      <c r="K479" s="280">
        <v>3978.2145714285716</v>
      </c>
      <c r="L479" s="358">
        <v>4181.54</v>
      </c>
      <c r="M479" s="579">
        <v>1</v>
      </c>
      <c r="N479" s="469">
        <v>4181.54</v>
      </c>
      <c r="O479" s="469">
        <v>-203.32542857142869</v>
      </c>
    </row>
    <row r="480" spans="3:15" ht="17.25">
      <c r="F480" s="12"/>
      <c r="H480" s="409"/>
      <c r="I480" s="358"/>
      <c r="J480" s="442"/>
      <c r="K480" s="280"/>
      <c r="L480" s="358"/>
      <c r="M480" s="579"/>
      <c r="N480" s="469"/>
      <c r="O480" s="469"/>
    </row>
    <row r="481" spans="4:15" ht="17.25">
      <c r="F481" s="361">
        <v>44582</v>
      </c>
      <c r="G481" s="361"/>
      <c r="H481" s="409"/>
      <c r="I481" s="358"/>
      <c r="J481" s="442"/>
      <c r="K481" s="280"/>
      <c r="L481" s="358"/>
      <c r="M481" s="579"/>
      <c r="N481" s="469"/>
      <c r="O481" s="469"/>
    </row>
    <row r="482" spans="4:15" ht="17.25">
      <c r="F482" s="12"/>
      <c r="G482" s="112" t="s">
        <v>33</v>
      </c>
      <c r="H482" s="409">
        <v>6</v>
      </c>
      <c r="I482" s="358">
        <v>209.51542857142857</v>
      </c>
      <c r="J482" s="442">
        <v>1</v>
      </c>
      <c r="K482" s="280">
        <v>209.51542857142857</v>
      </c>
      <c r="L482" s="358">
        <v>210.42000000000002</v>
      </c>
      <c r="M482" s="579">
        <v>1</v>
      </c>
      <c r="N482" s="469">
        <v>210.42000000000002</v>
      </c>
      <c r="O482" s="469">
        <v>-0.9045714285714439</v>
      </c>
    </row>
    <row r="483" spans="4:15" ht="17.25">
      <c r="F483" s="12"/>
      <c r="H483" s="409"/>
      <c r="I483" s="358"/>
      <c r="J483" s="442"/>
      <c r="K483" s="280"/>
      <c r="L483" s="358"/>
      <c r="M483" s="579"/>
      <c r="N483" s="469"/>
      <c r="O483" s="469"/>
    </row>
    <row r="484" spans="4:15" ht="17.25">
      <c r="D484" s="361">
        <v>44672</v>
      </c>
      <c r="E484" s="361"/>
      <c r="F484" s="361"/>
      <c r="G484" s="361"/>
      <c r="H484" s="409"/>
      <c r="I484" s="358"/>
      <c r="J484" s="442"/>
      <c r="K484" s="280"/>
      <c r="L484" s="358"/>
      <c r="M484" s="579"/>
      <c r="N484" s="469"/>
      <c r="O484" s="469"/>
    </row>
    <row r="485" spans="4:15" ht="17.25">
      <c r="E485" s="12" t="s">
        <v>33</v>
      </c>
      <c r="F485" s="12"/>
      <c r="H485" s="409"/>
      <c r="I485" s="358"/>
      <c r="J485" s="442"/>
      <c r="K485" s="280"/>
      <c r="L485" s="358"/>
      <c r="M485" s="579"/>
      <c r="N485" s="469"/>
      <c r="O485" s="469"/>
    </row>
    <row r="486" spans="4:15" ht="17.25">
      <c r="F486" s="361">
        <v>44582</v>
      </c>
      <c r="G486" s="361"/>
      <c r="H486" s="409"/>
      <c r="I486" s="358"/>
      <c r="J486" s="442"/>
      <c r="K486" s="280"/>
      <c r="L486" s="358"/>
      <c r="M486" s="579"/>
      <c r="N486" s="469"/>
      <c r="O486" s="469"/>
    </row>
    <row r="487" spans="4:15" ht="17.25">
      <c r="F487" s="12"/>
      <c r="G487" s="112" t="s">
        <v>33</v>
      </c>
      <c r="H487" s="409">
        <v>12</v>
      </c>
      <c r="I487" s="358">
        <v>422.35</v>
      </c>
      <c r="J487" s="442">
        <v>1</v>
      </c>
      <c r="K487" s="280">
        <v>422.35</v>
      </c>
      <c r="L487" s="358">
        <v>420.84000000000003</v>
      </c>
      <c r="M487" s="579">
        <v>1</v>
      </c>
      <c r="N487" s="469">
        <v>420.84000000000003</v>
      </c>
      <c r="O487" s="469">
        <v>1.5099999999999909</v>
      </c>
    </row>
    <row r="488" spans="4:15" ht="17.25">
      <c r="F488" s="12"/>
      <c r="H488" s="409"/>
      <c r="I488" s="358"/>
      <c r="J488" s="442"/>
      <c r="K488" s="280"/>
      <c r="L488" s="358"/>
      <c r="M488" s="579"/>
      <c r="N488" s="469"/>
      <c r="O488" s="469"/>
    </row>
    <row r="489" spans="4:15" ht="17.25">
      <c r="D489" s="361">
        <v>44678</v>
      </c>
      <c r="E489" s="361"/>
      <c r="F489" s="361"/>
      <c r="G489" s="361"/>
      <c r="H489" s="409"/>
      <c r="I489" s="358"/>
      <c r="J489" s="442"/>
      <c r="K489" s="280"/>
      <c r="L489" s="358"/>
      <c r="M489" s="579"/>
      <c r="N489" s="469"/>
      <c r="O489" s="469"/>
    </row>
    <row r="490" spans="4:15" ht="17.25">
      <c r="E490" s="12" t="s">
        <v>33</v>
      </c>
      <c r="F490" s="12"/>
      <c r="H490" s="409"/>
      <c r="I490" s="358"/>
      <c r="J490" s="442"/>
      <c r="K490" s="280"/>
      <c r="L490" s="358"/>
      <c r="M490" s="579"/>
      <c r="N490" s="469"/>
      <c r="O490" s="469"/>
    </row>
    <row r="491" spans="4:15" ht="17.25">
      <c r="F491" s="361">
        <v>44582</v>
      </c>
      <c r="G491" s="361"/>
      <c r="H491" s="409"/>
      <c r="I491" s="358"/>
      <c r="J491" s="442"/>
      <c r="K491" s="280"/>
      <c r="L491" s="358"/>
      <c r="M491" s="579"/>
      <c r="N491" s="469"/>
      <c r="O491" s="469"/>
    </row>
    <row r="492" spans="4:15" ht="17.25">
      <c r="F492" s="12"/>
      <c r="G492" s="112" t="s">
        <v>33</v>
      </c>
      <c r="H492" s="409">
        <v>30</v>
      </c>
      <c r="I492" s="358">
        <v>1059.5936842105261</v>
      </c>
      <c r="J492" s="442">
        <v>1</v>
      </c>
      <c r="K492" s="280">
        <v>1059.5936842105261</v>
      </c>
      <c r="L492" s="358">
        <v>1061.1500000000001</v>
      </c>
      <c r="M492" s="579">
        <v>1</v>
      </c>
      <c r="N492" s="469">
        <v>1061.1500000000001</v>
      </c>
      <c r="O492" s="469">
        <v>-1.5563157894737571</v>
      </c>
    </row>
    <row r="493" spans="4:15" ht="17.25">
      <c r="F493" s="12"/>
      <c r="H493" s="409"/>
      <c r="I493" s="358"/>
      <c r="J493" s="442"/>
      <c r="K493" s="280"/>
      <c r="L493" s="358"/>
      <c r="M493" s="579"/>
      <c r="N493" s="469"/>
      <c r="O493" s="469"/>
    </row>
    <row r="494" spans="4:15" ht="17.25">
      <c r="F494" s="361">
        <v>44585</v>
      </c>
      <c r="G494" s="361"/>
      <c r="H494" s="409"/>
      <c r="I494" s="358"/>
      <c r="J494" s="442"/>
      <c r="K494" s="280"/>
      <c r="L494" s="358"/>
      <c r="M494" s="579"/>
      <c r="N494" s="469"/>
      <c r="O494" s="469"/>
    </row>
    <row r="495" spans="4:15" ht="17.25">
      <c r="F495" s="12"/>
      <c r="G495" s="112" t="s">
        <v>33</v>
      </c>
      <c r="H495" s="409">
        <v>65</v>
      </c>
      <c r="I495" s="358">
        <v>2295.7863157894735</v>
      </c>
      <c r="J495" s="442">
        <v>1</v>
      </c>
      <c r="K495" s="280">
        <v>2295.7863157894735</v>
      </c>
      <c r="L495" s="358">
        <v>2286.2574468085108</v>
      </c>
      <c r="M495" s="579">
        <v>1</v>
      </c>
      <c r="N495" s="469">
        <v>2286.2574468085108</v>
      </c>
      <c r="O495" s="469">
        <v>9.5288689809626703</v>
      </c>
    </row>
    <row r="496" spans="4:15" ht="17.25">
      <c r="F496" s="12"/>
      <c r="H496" s="409"/>
      <c r="I496" s="358"/>
      <c r="J496" s="442"/>
      <c r="K496" s="280"/>
      <c r="L496" s="358"/>
      <c r="M496" s="579"/>
      <c r="N496" s="469"/>
      <c r="O496" s="469"/>
    </row>
    <row r="497" spans="4:15" ht="17.25">
      <c r="D497" s="361">
        <v>44764</v>
      </c>
      <c r="E497" s="361"/>
      <c r="F497" s="361"/>
      <c r="G497" s="361"/>
      <c r="H497" s="409"/>
      <c r="I497" s="358"/>
      <c r="J497" s="442"/>
      <c r="K497" s="280"/>
      <c r="L497" s="358"/>
      <c r="M497" s="579"/>
      <c r="N497" s="469"/>
      <c r="O497" s="469"/>
    </row>
    <row r="498" spans="4:15" ht="17.25">
      <c r="E498" s="12" t="s">
        <v>33</v>
      </c>
      <c r="F498" s="12"/>
      <c r="H498" s="409"/>
      <c r="I498" s="358"/>
      <c r="J498" s="442"/>
      <c r="K498" s="280"/>
      <c r="L498" s="358"/>
      <c r="M498" s="579"/>
      <c r="N498" s="469"/>
      <c r="O498" s="469"/>
    </row>
    <row r="499" spans="4:15" ht="17.25">
      <c r="F499" s="361">
        <v>44585</v>
      </c>
      <c r="G499" s="361"/>
      <c r="H499" s="409"/>
      <c r="I499" s="358"/>
      <c r="J499" s="442"/>
      <c r="K499" s="280"/>
      <c r="L499" s="358"/>
      <c r="M499" s="579"/>
      <c r="N499" s="469"/>
      <c r="O499" s="469"/>
    </row>
    <row r="500" spans="4:15" ht="17.25">
      <c r="F500" s="12"/>
      <c r="G500" s="112" t="s">
        <v>33</v>
      </c>
      <c r="H500" s="409">
        <v>31</v>
      </c>
      <c r="I500" s="358">
        <v>1061.5804347826086</v>
      </c>
      <c r="J500" s="442">
        <v>1</v>
      </c>
      <c r="K500" s="280">
        <v>1061.5804347826086</v>
      </c>
      <c r="L500" s="358">
        <v>1089.0225531914894</v>
      </c>
      <c r="M500" s="579">
        <v>1</v>
      </c>
      <c r="N500" s="469">
        <v>1089.0225531914894</v>
      </c>
      <c r="O500" s="469">
        <v>-27.442118408880887</v>
      </c>
    </row>
    <row r="501" spans="4:15" ht="17.25">
      <c r="F501" s="12"/>
      <c r="H501" s="409"/>
      <c r="I501" s="358"/>
      <c r="J501" s="442"/>
      <c r="K501" s="280"/>
      <c r="L501" s="358"/>
      <c r="M501" s="579"/>
      <c r="N501" s="469"/>
      <c r="O501" s="469"/>
    </row>
    <row r="502" spans="4:15" ht="17.25">
      <c r="F502" s="361">
        <v>44586</v>
      </c>
      <c r="G502" s="361"/>
      <c r="H502" s="409"/>
      <c r="I502" s="358"/>
      <c r="J502" s="442"/>
      <c r="K502" s="280"/>
      <c r="L502" s="358"/>
      <c r="M502" s="579"/>
      <c r="N502" s="469"/>
      <c r="O502" s="469"/>
    </row>
    <row r="503" spans="4:15" ht="17.25">
      <c r="F503" s="12"/>
      <c r="G503" s="112" t="s">
        <v>33</v>
      </c>
      <c r="H503" s="409">
        <v>47</v>
      </c>
      <c r="I503" s="358">
        <v>1613.1195652173915</v>
      </c>
      <c r="J503" s="442">
        <v>1</v>
      </c>
      <c r="K503" s="280">
        <v>1613.1195652173915</v>
      </c>
      <c r="L503" s="358">
        <v>1645.9917142857144</v>
      </c>
      <c r="M503" s="579">
        <v>1</v>
      </c>
      <c r="N503" s="469">
        <v>1645.9917142857144</v>
      </c>
      <c r="O503" s="469">
        <v>-32.872149068323068</v>
      </c>
    </row>
    <row r="504" spans="4:15" ht="17.25">
      <c r="F504" s="12"/>
      <c r="H504" s="409"/>
      <c r="I504" s="358"/>
      <c r="J504" s="442"/>
      <c r="K504" s="280"/>
      <c r="L504" s="358"/>
      <c r="M504" s="579"/>
      <c r="N504" s="469"/>
      <c r="O504" s="469"/>
    </row>
    <row r="505" spans="4:15" ht="17.25">
      <c r="D505" s="361">
        <v>44783</v>
      </c>
      <c r="E505" s="361"/>
      <c r="F505" s="361"/>
      <c r="G505" s="361"/>
      <c r="H505" s="409"/>
      <c r="I505" s="358"/>
      <c r="J505" s="442"/>
      <c r="K505" s="280"/>
      <c r="L505" s="358"/>
      <c r="M505" s="579"/>
      <c r="N505" s="469"/>
      <c r="O505" s="469"/>
    </row>
    <row r="506" spans="4:15" ht="17.25">
      <c r="E506" s="12" t="s">
        <v>33</v>
      </c>
      <c r="F506" s="12"/>
      <c r="H506" s="409"/>
      <c r="I506" s="358"/>
      <c r="J506" s="442"/>
      <c r="K506" s="280"/>
      <c r="L506" s="358"/>
      <c r="M506" s="579"/>
      <c r="N506" s="469"/>
      <c r="O506" s="469"/>
    </row>
    <row r="507" spans="4:15" ht="17.25">
      <c r="F507" s="361">
        <v>44586</v>
      </c>
      <c r="G507" s="361"/>
      <c r="H507" s="409"/>
      <c r="I507" s="358"/>
      <c r="J507" s="442"/>
      <c r="K507" s="280"/>
      <c r="L507" s="358"/>
      <c r="M507" s="579"/>
      <c r="N507" s="469"/>
      <c r="O507" s="469"/>
    </row>
    <row r="508" spans="4:15" ht="17.25">
      <c r="F508" s="12"/>
      <c r="G508" s="112" t="s">
        <v>33</v>
      </c>
      <c r="H508" s="409">
        <v>80</v>
      </c>
      <c r="I508" s="358">
        <v>2931.67</v>
      </c>
      <c r="J508" s="442">
        <v>1</v>
      </c>
      <c r="K508" s="280">
        <v>2931.67</v>
      </c>
      <c r="L508" s="358">
        <v>2808.1371428571429</v>
      </c>
      <c r="M508" s="579">
        <v>1</v>
      </c>
      <c r="N508" s="469">
        <v>2808.1371428571429</v>
      </c>
      <c r="O508" s="469">
        <v>123.53285714285704</v>
      </c>
    </row>
    <row r="509" spans="4:15" ht="17.25">
      <c r="F509" s="12"/>
      <c r="H509" s="409"/>
      <c r="I509" s="358"/>
      <c r="J509" s="442"/>
      <c r="K509" s="280"/>
      <c r="L509" s="358"/>
      <c r="M509" s="579"/>
      <c r="N509" s="469"/>
      <c r="O509" s="469"/>
    </row>
    <row r="510" spans="4:15" ht="17.25">
      <c r="D510" s="361">
        <v>44790</v>
      </c>
      <c r="E510" s="361"/>
      <c r="F510" s="361"/>
      <c r="G510" s="361"/>
      <c r="H510" s="409"/>
      <c r="I510" s="358"/>
      <c r="J510" s="442"/>
      <c r="K510" s="280"/>
      <c r="L510" s="358"/>
      <c r="M510" s="579"/>
      <c r="N510" s="469"/>
      <c r="O510" s="469"/>
    </row>
    <row r="511" spans="4:15" ht="17.25">
      <c r="E511" s="12" t="s">
        <v>33</v>
      </c>
      <c r="F511" s="12"/>
      <c r="H511" s="409"/>
      <c r="I511" s="358"/>
      <c r="J511" s="442"/>
      <c r="K511" s="280"/>
      <c r="L511" s="358"/>
      <c r="M511" s="579"/>
      <c r="N511" s="469"/>
      <c r="O511" s="469"/>
    </row>
    <row r="512" spans="4:15" ht="17.25">
      <c r="F512" s="361">
        <v>44586</v>
      </c>
      <c r="G512" s="361"/>
      <c r="H512" s="409"/>
      <c r="I512" s="358"/>
      <c r="J512" s="442"/>
      <c r="K512" s="280"/>
      <c r="L512" s="358"/>
      <c r="M512" s="579"/>
      <c r="N512" s="469"/>
      <c r="O512" s="469"/>
    </row>
    <row r="513" spans="3:15" ht="17.25">
      <c r="F513" s="12"/>
      <c r="G513" s="112" t="s">
        <v>33</v>
      </c>
      <c r="H513" s="409">
        <v>59</v>
      </c>
      <c r="I513" s="358">
        <v>2129.13</v>
      </c>
      <c r="J513" s="442">
        <v>1</v>
      </c>
      <c r="K513" s="280">
        <v>2129.13</v>
      </c>
      <c r="L513" s="358">
        <v>2071.0011428571429</v>
      </c>
      <c r="M513" s="579">
        <v>1</v>
      </c>
      <c r="N513" s="469">
        <v>2071.0011428571429</v>
      </c>
      <c r="O513" s="469">
        <v>58.128857142856873</v>
      </c>
    </row>
    <row r="514" spans="3:15" ht="17.25">
      <c r="F514" s="12"/>
      <c r="H514" s="409"/>
      <c r="I514" s="358"/>
      <c r="J514" s="442"/>
      <c r="K514" s="280"/>
      <c r="L514" s="358"/>
      <c r="M514" s="579"/>
      <c r="N514" s="469"/>
      <c r="O514" s="469"/>
    </row>
    <row r="515" spans="3:15" ht="17.25">
      <c r="F515" s="361">
        <v>44587</v>
      </c>
      <c r="G515" s="361"/>
      <c r="H515" s="409"/>
      <c r="I515" s="358"/>
      <c r="J515" s="442"/>
      <c r="K515" s="280"/>
      <c r="L515" s="358"/>
      <c r="M515" s="579"/>
      <c r="N515" s="469"/>
      <c r="O515" s="469"/>
    </row>
    <row r="516" spans="3:15" ht="17.25">
      <c r="F516" s="12"/>
      <c r="G516" s="112" t="s">
        <v>33</v>
      </c>
      <c r="H516" s="409">
        <v>5</v>
      </c>
      <c r="I516" s="358">
        <v>179.88706896551724</v>
      </c>
      <c r="J516" s="442">
        <v>1</v>
      </c>
      <c r="K516" s="280">
        <v>179.88706896551724</v>
      </c>
      <c r="L516" s="358">
        <v>199.69</v>
      </c>
      <c r="M516" s="579">
        <v>1</v>
      </c>
      <c r="N516" s="469">
        <v>199.69</v>
      </c>
      <c r="O516" s="469">
        <v>-19.802931034482754</v>
      </c>
    </row>
    <row r="517" spans="3:15" ht="17.25">
      <c r="F517" s="12"/>
      <c r="H517" s="409"/>
      <c r="I517" s="358"/>
      <c r="J517" s="442"/>
      <c r="K517" s="280"/>
      <c r="L517" s="358"/>
      <c r="M517" s="579"/>
      <c r="N517" s="469"/>
      <c r="O517" s="469"/>
    </row>
    <row r="518" spans="3:15" ht="17.25">
      <c r="F518" s="361">
        <v>44616</v>
      </c>
      <c r="G518" s="361"/>
      <c r="H518" s="409"/>
      <c r="I518" s="358"/>
      <c r="J518" s="442"/>
      <c r="K518" s="280"/>
      <c r="L518" s="358"/>
      <c r="M518" s="579"/>
      <c r="N518" s="469"/>
      <c r="O518" s="469"/>
    </row>
    <row r="519" spans="3:15" ht="17.25">
      <c r="F519" s="12"/>
      <c r="G519" s="112" t="s">
        <v>33</v>
      </c>
      <c r="H519" s="409">
        <v>53</v>
      </c>
      <c r="I519" s="358">
        <v>1906.8029310344828</v>
      </c>
      <c r="J519" s="442">
        <v>1</v>
      </c>
      <c r="K519" s="280">
        <v>1906.8029310344828</v>
      </c>
      <c r="L519" s="358">
        <v>2103.3176923076921</v>
      </c>
      <c r="M519" s="579">
        <v>1</v>
      </c>
      <c r="N519" s="469">
        <v>2103.3176923076921</v>
      </c>
      <c r="O519" s="469">
        <v>-196.5147612732091</v>
      </c>
    </row>
    <row r="520" spans="3:15" ht="17.25">
      <c r="F520" s="12"/>
      <c r="H520" s="409"/>
      <c r="I520" s="358"/>
      <c r="J520" s="442"/>
      <c r="K520" s="280"/>
      <c r="L520" s="358"/>
      <c r="M520" s="579"/>
      <c r="N520" s="469"/>
      <c r="O520" s="469"/>
    </row>
    <row r="521" spans="3:15" ht="17.25">
      <c r="D521" s="361">
        <v>44791</v>
      </c>
      <c r="E521" s="361"/>
      <c r="F521" s="361"/>
      <c r="G521" s="361"/>
      <c r="H521" s="409"/>
      <c r="I521" s="358"/>
      <c r="J521" s="442"/>
      <c r="K521" s="280"/>
      <c r="L521" s="358"/>
      <c r="M521" s="579"/>
      <c r="N521" s="469"/>
      <c r="O521" s="469"/>
    </row>
    <row r="522" spans="3:15" ht="17.25">
      <c r="E522" s="12" t="s">
        <v>33</v>
      </c>
      <c r="F522" s="12"/>
      <c r="H522" s="409"/>
      <c r="I522" s="358"/>
      <c r="J522" s="442"/>
      <c r="K522" s="280"/>
      <c r="L522" s="358"/>
      <c r="M522" s="579"/>
      <c r="N522" s="469"/>
      <c r="O522" s="469"/>
    </row>
    <row r="523" spans="3:15" ht="17.25">
      <c r="F523" s="361">
        <v>44616</v>
      </c>
      <c r="G523" s="361"/>
      <c r="H523" s="409"/>
      <c r="I523" s="358"/>
      <c r="J523" s="442"/>
      <c r="K523" s="280"/>
      <c r="L523" s="358"/>
      <c r="M523" s="579"/>
      <c r="N523" s="469"/>
      <c r="O523" s="469"/>
    </row>
    <row r="524" spans="3:15" ht="17.25">
      <c r="F524" s="12"/>
      <c r="G524" s="112" t="s">
        <v>33</v>
      </c>
      <c r="H524" s="409">
        <v>45</v>
      </c>
      <c r="I524" s="358">
        <v>1653.2000000000003</v>
      </c>
      <c r="J524" s="442">
        <v>1</v>
      </c>
      <c r="K524" s="280">
        <v>1653.2000000000003</v>
      </c>
      <c r="L524" s="358">
        <v>1772.7723076923075</v>
      </c>
      <c r="M524" s="579">
        <v>1</v>
      </c>
      <c r="N524" s="469">
        <v>1772.7723076923075</v>
      </c>
      <c r="O524" s="469">
        <v>-119.5723076923075</v>
      </c>
    </row>
    <row r="525" spans="3:15" ht="17.25">
      <c r="F525" s="12"/>
      <c r="H525" s="409"/>
      <c r="I525" s="358"/>
      <c r="J525" s="442"/>
      <c r="K525" s="280"/>
      <c r="L525" s="358"/>
      <c r="M525" s="579"/>
      <c r="N525" s="469"/>
      <c r="O525" s="469"/>
    </row>
    <row r="526" spans="3:15" ht="17.25">
      <c r="C526" s="342" t="s">
        <v>310</v>
      </c>
      <c r="D526" s="342"/>
      <c r="E526" s="342"/>
      <c r="F526" s="342"/>
      <c r="G526" s="342"/>
      <c r="H526" s="410">
        <v>547</v>
      </c>
      <c r="I526" s="407">
        <v>19440.850000000002</v>
      </c>
      <c r="J526" s="460">
        <v>1</v>
      </c>
      <c r="K526" s="413">
        <v>19440.850000000002</v>
      </c>
      <c r="L526" s="407">
        <v>19850.14</v>
      </c>
      <c r="M526" s="580">
        <v>1</v>
      </c>
      <c r="N526" s="470">
        <v>19850.14</v>
      </c>
      <c r="O526" s="470">
        <v>-409.29000000000065</v>
      </c>
    </row>
    <row r="527" spans="3:15" ht="17.25">
      <c r="F527" s="12"/>
      <c r="H527" s="409"/>
      <c r="I527" s="358"/>
      <c r="J527" s="442"/>
      <c r="K527" s="280"/>
      <c r="L527" s="358"/>
      <c r="M527" s="579"/>
      <c r="N527" s="469"/>
      <c r="O527" s="469"/>
    </row>
    <row r="528" spans="3:15" ht="17.25">
      <c r="C528" s="12" t="s">
        <v>164</v>
      </c>
      <c r="F528" s="12"/>
      <c r="H528" s="409"/>
      <c r="I528" s="358"/>
      <c r="J528" s="442"/>
      <c r="K528" s="280"/>
      <c r="L528" s="358"/>
      <c r="M528" s="579"/>
      <c r="N528" s="469"/>
      <c r="O528" s="469"/>
    </row>
    <row r="529" spans="4:15" ht="17.25">
      <c r="D529" s="361">
        <v>44643</v>
      </c>
      <c r="E529" s="361"/>
      <c r="F529" s="361"/>
      <c r="G529" s="361"/>
      <c r="H529" s="409"/>
      <c r="I529" s="358"/>
      <c r="J529" s="442"/>
      <c r="K529" s="280"/>
      <c r="L529" s="358"/>
      <c r="M529" s="579"/>
      <c r="N529" s="469"/>
      <c r="O529" s="469"/>
    </row>
    <row r="530" spans="4:15" ht="17.25">
      <c r="E530" s="12" t="s">
        <v>33</v>
      </c>
      <c r="F530" s="12"/>
      <c r="H530" s="409"/>
      <c r="I530" s="358"/>
      <c r="J530" s="442"/>
      <c r="K530" s="280"/>
      <c r="L530" s="358"/>
      <c r="M530" s="579"/>
      <c r="N530" s="469"/>
      <c r="O530" s="469"/>
    </row>
    <row r="531" spans="4:15" ht="17.25">
      <c r="F531" s="361">
        <v>44257</v>
      </c>
      <c r="G531" s="361"/>
      <c r="H531" s="409"/>
      <c r="I531" s="358"/>
      <c r="J531" s="442"/>
      <c r="K531" s="280"/>
      <c r="L531" s="358"/>
      <c r="M531" s="579"/>
      <c r="N531" s="469"/>
      <c r="O531" s="469"/>
    </row>
    <row r="532" spans="4:15" ht="17.25">
      <c r="F532" s="12"/>
      <c r="G532" s="112" t="s">
        <v>33</v>
      </c>
      <c r="H532" s="409">
        <v>20</v>
      </c>
      <c r="I532" s="358">
        <v>1578.8892307692308</v>
      </c>
      <c r="J532" s="442">
        <v>1</v>
      </c>
      <c r="K532" s="280">
        <v>1578.8892307692308</v>
      </c>
      <c r="L532" s="358">
        <v>1569.1423076923074</v>
      </c>
      <c r="M532" s="579">
        <v>1</v>
      </c>
      <c r="N532" s="469">
        <v>1569.1423076923074</v>
      </c>
      <c r="O532" s="469">
        <v>9.7469230769232809</v>
      </c>
    </row>
    <row r="533" spans="4:15" ht="17.25">
      <c r="F533" s="12"/>
      <c r="H533" s="409"/>
      <c r="I533" s="358"/>
      <c r="J533" s="442"/>
      <c r="K533" s="280"/>
      <c r="L533" s="358"/>
      <c r="M533" s="579"/>
      <c r="N533" s="469"/>
      <c r="O533" s="469"/>
    </row>
    <row r="534" spans="4:15" ht="17.25">
      <c r="F534" s="361">
        <v>44252</v>
      </c>
      <c r="G534" s="361"/>
      <c r="H534" s="409"/>
      <c r="I534" s="358"/>
      <c r="J534" s="442"/>
      <c r="K534" s="280"/>
      <c r="L534" s="358"/>
      <c r="M534" s="579"/>
      <c r="N534" s="469"/>
      <c r="O534" s="469"/>
    </row>
    <row r="535" spans="4:15" ht="17.25">
      <c r="F535" s="12"/>
      <c r="G535" s="112" t="s">
        <v>33</v>
      </c>
      <c r="H535" s="409">
        <v>51</v>
      </c>
      <c r="I535" s="358">
        <v>4027.0907692307692</v>
      </c>
      <c r="J535" s="442">
        <v>1</v>
      </c>
      <c r="K535" s="280">
        <v>4027.0907692307692</v>
      </c>
      <c r="L535" s="358">
        <v>3887.37</v>
      </c>
      <c r="M535" s="579">
        <v>1</v>
      </c>
      <c r="N535" s="469">
        <v>3887.37</v>
      </c>
      <c r="O535" s="469">
        <v>139.72076923076906</v>
      </c>
    </row>
    <row r="536" spans="4:15" ht="17.25">
      <c r="F536" s="12"/>
      <c r="H536" s="409"/>
      <c r="I536" s="358"/>
      <c r="J536" s="442"/>
      <c r="K536" s="280"/>
      <c r="L536" s="358"/>
      <c r="M536" s="579"/>
      <c r="N536" s="469"/>
      <c r="O536" s="469"/>
    </row>
    <row r="537" spans="4:15" ht="17.25">
      <c r="D537" s="361">
        <v>44644</v>
      </c>
      <c r="E537" s="361"/>
      <c r="F537" s="361"/>
      <c r="G537" s="361"/>
      <c r="H537" s="409"/>
      <c r="I537" s="358"/>
      <c r="J537" s="442"/>
      <c r="K537" s="280"/>
      <c r="L537" s="358"/>
      <c r="M537" s="579"/>
      <c r="N537" s="469"/>
      <c r="O537" s="469"/>
    </row>
    <row r="538" spans="4:15" ht="17.25">
      <c r="E538" s="12" t="s">
        <v>33</v>
      </c>
      <c r="F538" s="12"/>
      <c r="H538" s="409"/>
      <c r="I538" s="358"/>
      <c r="J538" s="442"/>
      <c r="K538" s="280"/>
      <c r="L538" s="358"/>
      <c r="M538" s="579"/>
      <c r="N538" s="469"/>
      <c r="O538" s="469"/>
    </row>
    <row r="539" spans="4:15" ht="17.25">
      <c r="F539" s="361">
        <v>44257</v>
      </c>
      <c r="G539" s="361"/>
      <c r="H539" s="409"/>
      <c r="I539" s="358"/>
      <c r="J539" s="442"/>
      <c r="K539" s="280"/>
      <c r="L539" s="358"/>
      <c r="M539" s="579"/>
      <c r="N539" s="469"/>
      <c r="O539" s="469"/>
    </row>
    <row r="540" spans="4:15" ht="17.25">
      <c r="F540" s="12"/>
      <c r="G540" s="112" t="s">
        <v>33</v>
      </c>
      <c r="H540" s="409">
        <v>13</v>
      </c>
      <c r="I540" s="358">
        <v>1010.5700000000002</v>
      </c>
      <c r="J540" s="442">
        <v>1</v>
      </c>
      <c r="K540" s="280">
        <v>1010.5700000000002</v>
      </c>
      <c r="L540" s="358">
        <v>1019.9424999999999</v>
      </c>
      <c r="M540" s="579">
        <v>1</v>
      </c>
      <c r="N540" s="469">
        <v>1019.9424999999999</v>
      </c>
      <c r="O540" s="469">
        <v>-9.3724999999997181</v>
      </c>
    </row>
    <row r="541" spans="4:15" ht="17.25">
      <c r="F541" s="12"/>
      <c r="H541" s="409"/>
      <c r="I541" s="358"/>
      <c r="J541" s="442"/>
      <c r="K541" s="280"/>
      <c r="L541" s="358"/>
      <c r="M541" s="579"/>
      <c r="N541" s="469"/>
      <c r="O541" s="469"/>
    </row>
    <row r="542" spans="4:15" ht="17.25">
      <c r="D542" s="361">
        <v>44649</v>
      </c>
      <c r="E542" s="361"/>
      <c r="F542" s="361"/>
      <c r="G542" s="361"/>
      <c r="H542" s="409"/>
      <c r="I542" s="358"/>
      <c r="J542" s="442"/>
      <c r="K542" s="280"/>
      <c r="L542" s="358"/>
      <c r="M542" s="579"/>
      <c r="N542" s="469"/>
      <c r="O542" s="469"/>
    </row>
    <row r="543" spans="4:15" ht="17.25">
      <c r="E543" s="12" t="s">
        <v>33</v>
      </c>
      <c r="F543" s="12"/>
      <c r="H543" s="409"/>
      <c r="I543" s="358"/>
      <c r="J543" s="442"/>
      <c r="K543" s="280"/>
      <c r="L543" s="358"/>
      <c r="M543" s="579"/>
      <c r="N543" s="469"/>
      <c r="O543" s="469"/>
    </row>
    <row r="544" spans="4:15" ht="17.25">
      <c r="F544" s="361">
        <v>44257</v>
      </c>
      <c r="G544" s="361"/>
      <c r="H544" s="409"/>
      <c r="I544" s="358"/>
      <c r="J544" s="442"/>
      <c r="K544" s="280"/>
      <c r="L544" s="358"/>
      <c r="M544" s="579"/>
      <c r="N544" s="469"/>
      <c r="O544" s="469"/>
    </row>
    <row r="545" spans="4:15" ht="17.25">
      <c r="F545" s="12"/>
      <c r="G545" s="112" t="s">
        <v>33</v>
      </c>
      <c r="H545" s="409">
        <v>19</v>
      </c>
      <c r="I545" s="358">
        <v>1534.6628571428573</v>
      </c>
      <c r="J545" s="442">
        <v>1</v>
      </c>
      <c r="K545" s="280">
        <v>1534.6628571428573</v>
      </c>
      <c r="L545" s="358">
        <v>1490.685192307692</v>
      </c>
      <c r="M545" s="579">
        <v>1</v>
      </c>
      <c r="N545" s="469">
        <v>1490.685192307692</v>
      </c>
      <c r="O545" s="469">
        <v>43.977664835165115</v>
      </c>
    </row>
    <row r="546" spans="4:15" ht="17.25">
      <c r="F546" s="12"/>
      <c r="H546" s="409"/>
      <c r="I546" s="358"/>
      <c r="J546" s="442"/>
      <c r="K546" s="280"/>
      <c r="L546" s="358"/>
      <c r="M546" s="579"/>
      <c r="N546" s="469"/>
      <c r="O546" s="469"/>
    </row>
    <row r="547" spans="4:15" ht="17.25">
      <c r="F547" s="361">
        <v>44266</v>
      </c>
      <c r="G547" s="361"/>
      <c r="H547" s="409"/>
      <c r="I547" s="358"/>
      <c r="J547" s="442"/>
      <c r="K547" s="280"/>
      <c r="L547" s="358"/>
      <c r="M547" s="579"/>
      <c r="N547" s="469"/>
      <c r="O547" s="469"/>
    </row>
    <row r="548" spans="4:15" ht="17.25">
      <c r="F548" s="12"/>
      <c r="G548" s="112" t="s">
        <v>33</v>
      </c>
      <c r="H548" s="409">
        <v>11</v>
      </c>
      <c r="I548" s="358">
        <v>887.72714285714278</v>
      </c>
      <c r="J548" s="442">
        <v>1</v>
      </c>
      <c r="K548" s="280">
        <v>887.72714285714278</v>
      </c>
      <c r="L548" s="358">
        <v>918.79039999999998</v>
      </c>
      <c r="M548" s="579">
        <v>1</v>
      </c>
      <c r="N548" s="469">
        <v>918.79039999999998</v>
      </c>
      <c r="O548" s="469">
        <v>-31.063257142857111</v>
      </c>
    </row>
    <row r="549" spans="4:15" ht="17.25">
      <c r="F549" s="12"/>
      <c r="H549" s="409"/>
      <c r="I549" s="358"/>
      <c r="J549" s="442"/>
      <c r="K549" s="280"/>
      <c r="L549" s="358"/>
      <c r="M549" s="579"/>
      <c r="N549" s="469"/>
      <c r="O549" s="469"/>
    </row>
    <row r="550" spans="4:15" ht="17.25">
      <c r="D550" s="361">
        <v>44650</v>
      </c>
      <c r="E550" s="361"/>
      <c r="F550" s="361"/>
      <c r="G550" s="361"/>
      <c r="H550" s="409"/>
      <c r="I550" s="358"/>
      <c r="J550" s="442"/>
      <c r="K550" s="280"/>
      <c r="L550" s="358"/>
      <c r="M550" s="579"/>
      <c r="N550" s="469"/>
      <c r="O550" s="469"/>
    </row>
    <row r="551" spans="4:15" ht="17.25">
      <c r="E551" s="12" t="s">
        <v>33</v>
      </c>
      <c r="F551" s="12"/>
      <c r="H551" s="409"/>
      <c r="I551" s="358"/>
      <c r="J551" s="442"/>
      <c r="K551" s="280"/>
      <c r="L551" s="358"/>
      <c r="M551" s="579"/>
      <c r="N551" s="469"/>
      <c r="O551" s="469"/>
    </row>
    <row r="552" spans="4:15" ht="17.25">
      <c r="F552" s="361">
        <v>44329</v>
      </c>
      <c r="G552" s="361"/>
      <c r="H552" s="409"/>
      <c r="I552" s="358"/>
      <c r="J552" s="442"/>
      <c r="K552" s="280"/>
      <c r="L552" s="358"/>
      <c r="M552" s="579"/>
      <c r="N552" s="469"/>
      <c r="O552" s="469"/>
    </row>
    <row r="553" spans="4:15" ht="17.25">
      <c r="F553" s="12"/>
      <c r="G553" s="112" t="s">
        <v>33</v>
      </c>
      <c r="H553" s="409">
        <v>37</v>
      </c>
      <c r="I553" s="358">
        <v>2979.0455128205126</v>
      </c>
      <c r="J553" s="442">
        <v>1</v>
      </c>
      <c r="K553" s="280">
        <v>2979.0455128205126</v>
      </c>
      <c r="L553" s="358">
        <v>3467.7873333333328</v>
      </c>
      <c r="M553" s="579">
        <v>1</v>
      </c>
      <c r="N553" s="469">
        <v>3467.7873333333328</v>
      </c>
      <c r="O553" s="469">
        <v>-488.74182051282025</v>
      </c>
    </row>
    <row r="554" spans="4:15" ht="17.25">
      <c r="F554" s="12"/>
      <c r="H554" s="409"/>
      <c r="I554" s="358"/>
      <c r="J554" s="442"/>
      <c r="K554" s="280"/>
      <c r="L554" s="358"/>
      <c r="M554" s="579"/>
      <c r="N554" s="469"/>
      <c r="O554" s="469"/>
    </row>
    <row r="555" spans="4:15" ht="17.25">
      <c r="F555" s="361">
        <v>44266</v>
      </c>
      <c r="G555" s="361"/>
      <c r="H555" s="409"/>
      <c r="I555" s="358"/>
      <c r="J555" s="442"/>
      <c r="K555" s="280"/>
      <c r="L555" s="358"/>
      <c r="M555" s="579"/>
      <c r="N555" s="469"/>
      <c r="O555" s="469"/>
    </row>
    <row r="556" spans="4:15" ht="17.25">
      <c r="F556" s="12"/>
      <c r="G556" s="112" t="s">
        <v>33</v>
      </c>
      <c r="H556" s="409">
        <v>41</v>
      </c>
      <c r="I556" s="358">
        <v>3301.104487179487</v>
      </c>
      <c r="J556" s="442">
        <v>1</v>
      </c>
      <c r="K556" s="280">
        <v>3301.104487179487</v>
      </c>
      <c r="L556" s="358">
        <v>3425.0495999999998</v>
      </c>
      <c r="M556" s="579">
        <v>1</v>
      </c>
      <c r="N556" s="469">
        <v>3425.0495999999998</v>
      </c>
      <c r="O556" s="469">
        <v>-123.94511282051286</v>
      </c>
    </row>
    <row r="557" spans="4:15" ht="17.25">
      <c r="F557" s="12"/>
      <c r="H557" s="409"/>
      <c r="I557" s="358"/>
      <c r="J557" s="442"/>
      <c r="K557" s="280"/>
      <c r="L557" s="358"/>
      <c r="M557" s="579"/>
      <c r="N557" s="469"/>
      <c r="O557" s="469"/>
    </row>
    <row r="558" spans="4:15" ht="17.25">
      <c r="D558" s="361">
        <v>44651</v>
      </c>
      <c r="E558" s="361"/>
      <c r="F558" s="361"/>
      <c r="G558" s="361"/>
      <c r="H558" s="409"/>
      <c r="I558" s="358"/>
      <c r="J558" s="442"/>
      <c r="K558" s="280"/>
      <c r="L558" s="358"/>
      <c r="M558" s="579"/>
      <c r="N558" s="469"/>
      <c r="O558" s="469"/>
    </row>
    <row r="559" spans="4:15" ht="17.25">
      <c r="E559" s="12" t="s">
        <v>33</v>
      </c>
      <c r="F559" s="12"/>
      <c r="H559" s="409"/>
      <c r="I559" s="358"/>
      <c r="J559" s="442"/>
      <c r="K559" s="280"/>
      <c r="L559" s="358"/>
      <c r="M559" s="579"/>
      <c r="N559" s="469"/>
      <c r="O559" s="469"/>
    </row>
    <row r="560" spans="4:15" ht="17.25">
      <c r="F560" s="361">
        <v>44363</v>
      </c>
      <c r="G560" s="361"/>
      <c r="H560" s="409"/>
      <c r="I560" s="358"/>
      <c r="J560" s="442"/>
      <c r="K560" s="280"/>
      <c r="L560" s="358"/>
      <c r="M560" s="579"/>
      <c r="N560" s="469"/>
      <c r="O560" s="469"/>
    </row>
    <row r="561" spans="4:15" ht="17.25">
      <c r="F561" s="12"/>
      <c r="G561" s="112" t="s">
        <v>33</v>
      </c>
      <c r="H561" s="409">
        <v>64</v>
      </c>
      <c r="I561" s="358">
        <v>4881.3223853211011</v>
      </c>
      <c r="J561" s="442">
        <v>1</v>
      </c>
      <c r="K561" s="280">
        <v>4881.3223853211011</v>
      </c>
      <c r="L561" s="358">
        <v>5694.8917073170733</v>
      </c>
      <c r="M561" s="579">
        <v>1</v>
      </c>
      <c r="N561" s="469">
        <v>5694.8917073170733</v>
      </c>
      <c r="O561" s="469">
        <v>-813.56932199597236</v>
      </c>
    </row>
    <row r="562" spans="4:15" ht="17.25">
      <c r="F562" s="12"/>
      <c r="H562" s="409"/>
      <c r="I562" s="358"/>
      <c r="J562" s="442"/>
      <c r="K562" s="280"/>
      <c r="L562" s="358"/>
      <c r="M562" s="579"/>
      <c r="N562" s="469"/>
      <c r="O562" s="469"/>
    </row>
    <row r="563" spans="4:15" ht="17.25">
      <c r="F563" s="361">
        <v>44329</v>
      </c>
      <c r="G563" s="361"/>
      <c r="H563" s="409"/>
      <c r="I563" s="358"/>
      <c r="J563" s="442"/>
      <c r="K563" s="280"/>
      <c r="L563" s="358"/>
      <c r="M563" s="579"/>
      <c r="N563" s="469"/>
      <c r="O563" s="469"/>
    </row>
    <row r="564" spans="4:15" ht="17.25">
      <c r="F564" s="12"/>
      <c r="G564" s="112" t="s">
        <v>33</v>
      </c>
      <c r="H564" s="409">
        <v>4</v>
      </c>
      <c r="I564" s="358">
        <v>305.16660550458721</v>
      </c>
      <c r="J564" s="442">
        <v>1</v>
      </c>
      <c r="K564" s="280">
        <v>305.16660550458721</v>
      </c>
      <c r="L564" s="358">
        <v>374.96266666666662</v>
      </c>
      <c r="M564" s="579">
        <v>1</v>
      </c>
      <c r="N564" s="469">
        <v>374.96266666666662</v>
      </c>
      <c r="O564" s="469">
        <v>-69.796061162079411</v>
      </c>
    </row>
    <row r="565" spans="4:15" ht="17.25">
      <c r="F565" s="12"/>
      <c r="H565" s="409"/>
      <c r="I565" s="358"/>
      <c r="J565" s="442"/>
      <c r="K565" s="280"/>
      <c r="L565" s="358"/>
      <c r="M565" s="579"/>
      <c r="N565" s="469"/>
      <c r="O565" s="469"/>
    </row>
    <row r="566" spans="4:15" ht="17.25">
      <c r="F566" s="361">
        <v>44341</v>
      </c>
      <c r="G566" s="361"/>
      <c r="H566" s="409"/>
      <c r="I566" s="358"/>
      <c r="J566" s="442"/>
      <c r="K566" s="280"/>
      <c r="L566" s="358"/>
      <c r="M566" s="579"/>
      <c r="N566" s="469"/>
      <c r="O566" s="469"/>
    </row>
    <row r="567" spans="4:15" ht="17.25">
      <c r="F567" s="12"/>
      <c r="G567" s="112" t="s">
        <v>33</v>
      </c>
      <c r="H567" s="409">
        <v>43</v>
      </c>
      <c r="I567" s="358">
        <v>3280.5410091743124</v>
      </c>
      <c r="J567" s="442">
        <v>1</v>
      </c>
      <c r="K567" s="280">
        <v>3280.5410091743124</v>
      </c>
      <c r="L567" s="358">
        <v>4021.4100000000008</v>
      </c>
      <c r="M567" s="579">
        <v>1</v>
      </c>
      <c r="N567" s="469">
        <v>4021.4100000000008</v>
      </c>
      <c r="O567" s="469">
        <v>-740.86899082568812</v>
      </c>
    </row>
    <row r="568" spans="4:15" ht="17.25">
      <c r="F568" s="12"/>
      <c r="H568" s="409"/>
      <c r="I568" s="358"/>
      <c r="J568" s="442"/>
      <c r="K568" s="280"/>
      <c r="L568" s="358"/>
      <c r="M568" s="579"/>
      <c r="N568" s="469"/>
      <c r="O568" s="469"/>
    </row>
    <row r="569" spans="4:15" ht="17.25">
      <c r="D569" s="361">
        <v>44657</v>
      </c>
      <c r="E569" s="361"/>
      <c r="F569" s="361"/>
      <c r="G569" s="361"/>
      <c r="H569" s="409"/>
      <c r="I569" s="358"/>
      <c r="J569" s="442"/>
      <c r="K569" s="280"/>
      <c r="L569" s="358"/>
      <c r="M569" s="579"/>
      <c r="N569" s="469"/>
      <c r="O569" s="469"/>
    </row>
    <row r="570" spans="4:15" ht="17.25">
      <c r="E570" s="12" t="s">
        <v>33</v>
      </c>
      <c r="F570" s="12"/>
      <c r="H570" s="409"/>
      <c r="I570" s="358"/>
      <c r="J570" s="442"/>
      <c r="K570" s="280"/>
      <c r="L570" s="358"/>
      <c r="M570" s="579"/>
      <c r="N570" s="469"/>
      <c r="O570" s="469"/>
    </row>
    <row r="571" spans="4:15" ht="17.25">
      <c r="F571" s="361">
        <v>44363</v>
      </c>
      <c r="G571" s="361"/>
      <c r="H571" s="409"/>
      <c r="I571" s="358"/>
      <c r="J571" s="442"/>
      <c r="K571" s="280"/>
      <c r="L571" s="358"/>
      <c r="M571" s="579"/>
      <c r="N571" s="469"/>
      <c r="O571" s="469"/>
    </row>
    <row r="572" spans="4:15" ht="17.25">
      <c r="F572" s="12"/>
      <c r="G572" s="112" t="s">
        <v>33</v>
      </c>
      <c r="H572" s="409">
        <v>108</v>
      </c>
      <c r="I572" s="358">
        <v>7733.83</v>
      </c>
      <c r="J572" s="442">
        <v>1</v>
      </c>
      <c r="K572" s="280">
        <v>7733.83</v>
      </c>
      <c r="L572" s="358">
        <v>9610.1297560975618</v>
      </c>
      <c r="M572" s="579">
        <v>1</v>
      </c>
      <c r="N572" s="469">
        <v>9610.1297560975618</v>
      </c>
      <c r="O572" s="469">
        <v>-1876.2997560975614</v>
      </c>
    </row>
    <row r="573" spans="4:15" ht="17.25">
      <c r="F573" s="12"/>
      <c r="H573" s="409"/>
      <c r="I573" s="358"/>
      <c r="J573" s="442"/>
      <c r="K573" s="280"/>
      <c r="L573" s="358"/>
      <c r="M573" s="579"/>
      <c r="N573" s="469"/>
      <c r="O573" s="469"/>
    </row>
    <row r="574" spans="4:15" ht="17.25">
      <c r="D574" s="361">
        <v>44663</v>
      </c>
      <c r="E574" s="361"/>
      <c r="F574" s="361"/>
      <c r="G574" s="361"/>
      <c r="H574" s="409"/>
      <c r="I574" s="358"/>
      <c r="J574" s="442"/>
      <c r="K574" s="280"/>
      <c r="L574" s="358"/>
      <c r="M574" s="579"/>
      <c r="N574" s="469"/>
      <c r="O574" s="469"/>
    </row>
    <row r="575" spans="4:15" ht="17.25">
      <c r="E575" s="12" t="s">
        <v>33</v>
      </c>
      <c r="F575" s="12"/>
      <c r="H575" s="409"/>
      <c r="I575" s="358"/>
      <c r="J575" s="442"/>
      <c r="K575" s="280"/>
      <c r="L575" s="358"/>
      <c r="M575" s="579"/>
      <c r="N575" s="469"/>
      <c r="O575" s="469"/>
    </row>
    <row r="576" spans="4:15" ht="17.25">
      <c r="F576" s="361">
        <v>44363</v>
      </c>
      <c r="G576" s="361"/>
      <c r="H576" s="409"/>
      <c r="I576" s="358"/>
      <c r="J576" s="442"/>
      <c r="K576" s="280"/>
      <c r="L576" s="358"/>
      <c r="M576" s="579"/>
      <c r="N576" s="469"/>
      <c r="O576" s="469"/>
    </row>
    <row r="577" spans="4:15" ht="17.25">
      <c r="F577" s="12"/>
      <c r="G577" s="112" t="s">
        <v>33</v>
      </c>
      <c r="H577" s="409">
        <v>33</v>
      </c>
      <c r="I577" s="358">
        <v>2369.8995789473684</v>
      </c>
      <c r="J577" s="442">
        <v>1</v>
      </c>
      <c r="K577" s="280">
        <v>2369.8995789473684</v>
      </c>
      <c r="L577" s="358">
        <v>2936.4285365853661</v>
      </c>
      <c r="M577" s="579">
        <v>1</v>
      </c>
      <c r="N577" s="469">
        <v>2936.4285365853661</v>
      </c>
      <c r="O577" s="469">
        <v>-566.52895763799779</v>
      </c>
    </row>
    <row r="578" spans="4:15" ht="17.25">
      <c r="F578" s="12"/>
      <c r="H578" s="409"/>
      <c r="I578" s="358"/>
      <c r="J578" s="442"/>
      <c r="K578" s="280"/>
      <c r="L578" s="358"/>
      <c r="M578" s="579"/>
      <c r="N578" s="469"/>
      <c r="O578" s="469"/>
    </row>
    <row r="579" spans="4:15" ht="17.25">
      <c r="F579" s="361">
        <v>44427</v>
      </c>
      <c r="G579" s="361"/>
      <c r="H579" s="409"/>
      <c r="I579" s="358"/>
      <c r="J579" s="442"/>
      <c r="K579" s="280"/>
      <c r="L579" s="358"/>
      <c r="M579" s="579"/>
      <c r="N579" s="469"/>
      <c r="O579" s="469"/>
    </row>
    <row r="580" spans="4:15" ht="17.25">
      <c r="F580" s="12"/>
      <c r="G580" s="112" t="s">
        <v>33</v>
      </c>
      <c r="H580" s="409">
        <v>80</v>
      </c>
      <c r="I580" s="358">
        <v>5751.5957894736848</v>
      </c>
      <c r="J580" s="442">
        <v>1</v>
      </c>
      <c r="K580" s="280">
        <v>5751.5957894736848</v>
      </c>
      <c r="L580" s="358">
        <v>7447.73</v>
      </c>
      <c r="M580" s="579">
        <v>1</v>
      </c>
      <c r="N580" s="469">
        <v>7447.73</v>
      </c>
      <c r="O580" s="469">
        <v>-1696.134210526315</v>
      </c>
    </row>
    <row r="581" spans="4:15" ht="17.25">
      <c r="F581" s="12"/>
      <c r="H581" s="409"/>
      <c r="I581" s="358"/>
      <c r="J581" s="442"/>
      <c r="K581" s="280"/>
      <c r="L581" s="358"/>
      <c r="M581" s="579"/>
      <c r="N581" s="469"/>
      <c r="O581" s="469"/>
    </row>
    <row r="582" spans="4:15" ht="17.25">
      <c r="F582" s="361">
        <v>44509</v>
      </c>
      <c r="G582" s="361"/>
      <c r="H582" s="409"/>
      <c r="I582" s="358"/>
      <c r="J582" s="442"/>
      <c r="K582" s="280"/>
      <c r="L582" s="358"/>
      <c r="M582" s="579"/>
      <c r="N582" s="469"/>
      <c r="O582" s="469"/>
    </row>
    <row r="583" spans="4:15" ht="17.25">
      <c r="F583" s="12"/>
      <c r="G583" s="112" t="s">
        <v>33</v>
      </c>
      <c r="H583" s="409">
        <v>7</v>
      </c>
      <c r="I583" s="358">
        <v>503.26463157894739</v>
      </c>
      <c r="J583" s="442">
        <v>1</v>
      </c>
      <c r="K583" s="280">
        <v>503.26463157894739</v>
      </c>
      <c r="L583" s="358">
        <v>678.11333333333334</v>
      </c>
      <c r="M583" s="579">
        <v>1</v>
      </c>
      <c r="N583" s="469">
        <v>678.11333333333334</v>
      </c>
      <c r="O583" s="469">
        <v>-174.84870175438596</v>
      </c>
    </row>
    <row r="584" spans="4:15" ht="17.25">
      <c r="F584" s="12"/>
      <c r="H584" s="409"/>
      <c r="I584" s="358"/>
      <c r="J584" s="442"/>
      <c r="K584" s="280"/>
      <c r="L584" s="358"/>
      <c r="M584" s="579"/>
      <c r="N584" s="469"/>
      <c r="O584" s="469"/>
    </row>
    <row r="585" spans="4:15" ht="17.25">
      <c r="D585" s="361">
        <v>44664</v>
      </c>
      <c r="E585" s="361"/>
      <c r="F585" s="361"/>
      <c r="G585" s="361"/>
      <c r="H585" s="409"/>
      <c r="I585" s="358"/>
      <c r="J585" s="442"/>
      <c r="K585" s="280"/>
      <c r="L585" s="358"/>
      <c r="M585" s="579"/>
      <c r="N585" s="469"/>
      <c r="O585" s="469"/>
    </row>
    <row r="586" spans="4:15" ht="17.25">
      <c r="E586" s="12" t="s">
        <v>33</v>
      </c>
      <c r="F586" s="12"/>
      <c r="H586" s="409"/>
      <c r="I586" s="358"/>
      <c r="J586" s="442"/>
      <c r="K586" s="280"/>
      <c r="L586" s="358"/>
      <c r="M586" s="579"/>
      <c r="N586" s="469"/>
      <c r="O586" s="469"/>
    </row>
    <row r="587" spans="4:15" ht="17.25">
      <c r="F587" s="361">
        <v>44509</v>
      </c>
      <c r="G587" s="361"/>
      <c r="H587" s="409"/>
      <c r="I587" s="358"/>
      <c r="J587" s="442"/>
      <c r="K587" s="280"/>
      <c r="L587" s="358"/>
      <c r="M587" s="579"/>
      <c r="N587" s="469"/>
      <c r="O587" s="469"/>
    </row>
    <row r="588" spans="4:15" ht="17.25">
      <c r="F588" s="12"/>
      <c r="G588" s="112" t="s">
        <v>33</v>
      </c>
      <c r="H588" s="409">
        <v>13</v>
      </c>
      <c r="I588" s="358">
        <v>951.91999999999985</v>
      </c>
      <c r="J588" s="442">
        <v>1</v>
      </c>
      <c r="K588" s="280">
        <v>951.91999999999985</v>
      </c>
      <c r="L588" s="358">
        <v>1259.3533333333335</v>
      </c>
      <c r="M588" s="579">
        <v>1</v>
      </c>
      <c r="N588" s="469">
        <v>1259.3533333333335</v>
      </c>
      <c r="O588" s="469">
        <v>-307.43333333333362</v>
      </c>
    </row>
    <row r="589" spans="4:15" ht="17.25">
      <c r="F589" s="12"/>
      <c r="H589" s="409"/>
      <c r="I589" s="358"/>
      <c r="J589" s="442"/>
      <c r="K589" s="280"/>
      <c r="L589" s="358"/>
      <c r="M589" s="579"/>
      <c r="N589" s="469"/>
      <c r="O589" s="469"/>
    </row>
    <row r="590" spans="4:15" ht="17.25">
      <c r="D590" s="361">
        <v>44671</v>
      </c>
      <c r="E590" s="361"/>
      <c r="F590" s="361"/>
      <c r="G590" s="361"/>
      <c r="H590" s="409"/>
      <c r="I590" s="358"/>
      <c r="J590" s="442"/>
      <c r="K590" s="280"/>
      <c r="L590" s="358"/>
      <c r="M590" s="579"/>
      <c r="N590" s="469"/>
      <c r="O590" s="469"/>
    </row>
    <row r="591" spans="4:15" ht="17.25">
      <c r="E591" s="12" t="s">
        <v>33</v>
      </c>
      <c r="F591" s="12"/>
      <c r="H591" s="409"/>
      <c r="I591" s="358"/>
      <c r="J591" s="442"/>
      <c r="K591" s="280"/>
      <c r="L591" s="358"/>
      <c r="M591" s="579"/>
      <c r="N591" s="469"/>
      <c r="O591" s="469"/>
    </row>
    <row r="592" spans="4:15" ht="17.25">
      <c r="F592" s="361">
        <v>44523</v>
      </c>
      <c r="G592" s="361"/>
      <c r="H592" s="409"/>
      <c r="I592" s="358"/>
      <c r="J592" s="442"/>
      <c r="K592" s="280"/>
      <c r="L592" s="358"/>
      <c r="M592" s="579"/>
      <c r="N592" s="469"/>
      <c r="O592" s="469"/>
    </row>
    <row r="593" spans="3:15" ht="17.25">
      <c r="F593" s="12"/>
      <c r="G593" s="112" t="s">
        <v>33</v>
      </c>
      <c r="H593" s="409">
        <v>46</v>
      </c>
      <c r="I593" s="358">
        <v>3444.8304761904765</v>
      </c>
      <c r="J593" s="442">
        <v>1</v>
      </c>
      <c r="K593" s="280">
        <v>3444.8304761904765</v>
      </c>
      <c r="L593" s="358">
        <v>4628.62</v>
      </c>
      <c r="M593" s="579">
        <v>1</v>
      </c>
      <c r="N593" s="469">
        <v>4628.62</v>
      </c>
      <c r="O593" s="469">
        <v>-1183.7895238095234</v>
      </c>
    </row>
    <row r="594" spans="3:15" ht="17.25">
      <c r="F594" s="12"/>
      <c r="H594" s="409"/>
      <c r="I594" s="358"/>
      <c r="J594" s="442"/>
      <c r="K594" s="280"/>
      <c r="L594" s="358"/>
      <c r="M594" s="579"/>
      <c r="N594" s="469"/>
      <c r="O594" s="469"/>
    </row>
    <row r="595" spans="3:15" ht="17.25">
      <c r="F595" s="361">
        <v>44509</v>
      </c>
      <c r="G595" s="361"/>
      <c r="H595" s="409"/>
      <c r="I595" s="358"/>
      <c r="J595" s="442"/>
      <c r="K595" s="280"/>
      <c r="L595" s="358"/>
      <c r="M595" s="579"/>
      <c r="N595" s="469"/>
      <c r="O595" s="469"/>
    </row>
    <row r="596" spans="3:15" ht="17.25">
      <c r="F596" s="12"/>
      <c r="G596" s="112" t="s">
        <v>33</v>
      </c>
      <c r="H596" s="409">
        <v>37</v>
      </c>
      <c r="I596" s="358">
        <v>2768.439523809524</v>
      </c>
      <c r="J596" s="442">
        <v>1</v>
      </c>
      <c r="K596" s="280">
        <v>2768.439523809524</v>
      </c>
      <c r="L596" s="358">
        <v>3584.3133333333335</v>
      </c>
      <c r="M596" s="579">
        <v>1</v>
      </c>
      <c r="N596" s="469">
        <v>3584.3133333333335</v>
      </c>
      <c r="O596" s="469">
        <v>-815.87380952380977</v>
      </c>
    </row>
    <row r="597" spans="3:15" ht="17.25">
      <c r="F597" s="12"/>
      <c r="H597" s="409"/>
      <c r="I597" s="358"/>
      <c r="J597" s="442"/>
      <c r="K597" s="280"/>
      <c r="L597" s="358"/>
      <c r="M597" s="579"/>
      <c r="N597" s="469"/>
      <c r="O597" s="469"/>
    </row>
    <row r="598" spans="3:15" ht="17.25">
      <c r="D598" s="361">
        <v>44672</v>
      </c>
      <c r="E598" s="361"/>
      <c r="F598" s="361"/>
      <c r="G598" s="361"/>
      <c r="H598" s="409"/>
      <c r="I598" s="358"/>
      <c r="J598" s="442"/>
      <c r="K598" s="280"/>
      <c r="L598" s="358"/>
      <c r="M598" s="579"/>
      <c r="N598" s="469"/>
      <c r="O598" s="469"/>
    </row>
    <row r="599" spans="3:15" ht="17.25">
      <c r="E599" s="12" t="s">
        <v>33</v>
      </c>
      <c r="F599" s="12"/>
      <c r="H599" s="409"/>
      <c r="I599" s="358"/>
      <c r="J599" s="442"/>
      <c r="K599" s="280"/>
      <c r="L599" s="358"/>
      <c r="M599" s="579"/>
      <c r="N599" s="469"/>
      <c r="O599" s="469"/>
    </row>
    <row r="600" spans="3:15" ht="17.25">
      <c r="F600" s="361">
        <v>44523</v>
      </c>
      <c r="G600" s="361"/>
      <c r="H600" s="409"/>
      <c r="I600" s="358"/>
      <c r="J600" s="442"/>
      <c r="K600" s="280"/>
      <c r="L600" s="358"/>
      <c r="M600" s="579"/>
      <c r="N600" s="469"/>
      <c r="O600" s="469"/>
    </row>
    <row r="601" spans="3:15" ht="17.25">
      <c r="F601" s="12"/>
      <c r="G601" s="112" t="s">
        <v>33</v>
      </c>
      <c r="H601" s="409">
        <v>9</v>
      </c>
      <c r="I601" s="358">
        <v>676.76999999999987</v>
      </c>
      <c r="J601" s="442">
        <v>1</v>
      </c>
      <c r="K601" s="280">
        <v>676.76999999999987</v>
      </c>
      <c r="L601" s="358">
        <v>893.33999999999992</v>
      </c>
      <c r="M601" s="579">
        <v>1</v>
      </c>
      <c r="N601" s="469">
        <v>893.33999999999992</v>
      </c>
      <c r="O601" s="469">
        <v>-216.57000000000011</v>
      </c>
    </row>
    <row r="602" spans="3:15" ht="17.25">
      <c r="F602" s="12"/>
      <c r="H602" s="409"/>
      <c r="I602" s="358"/>
      <c r="J602" s="442"/>
      <c r="K602" s="280"/>
      <c r="L602" s="358"/>
      <c r="M602" s="579"/>
      <c r="N602" s="469"/>
      <c r="O602" s="469"/>
    </row>
    <row r="603" spans="3:15" ht="17.25">
      <c r="C603" s="342" t="s">
        <v>311</v>
      </c>
      <c r="D603" s="342"/>
      <c r="E603" s="342"/>
      <c r="F603" s="342"/>
      <c r="G603" s="342"/>
      <c r="H603" s="410">
        <v>636</v>
      </c>
      <c r="I603" s="407">
        <v>47986.669999999984</v>
      </c>
      <c r="J603" s="460">
        <v>1</v>
      </c>
      <c r="K603" s="413">
        <v>47986.669999999984</v>
      </c>
      <c r="L603" s="407">
        <v>56908.060000000005</v>
      </c>
      <c r="M603" s="580">
        <v>1</v>
      </c>
      <c r="N603" s="470">
        <v>56908.060000000005</v>
      </c>
      <c r="O603" s="470">
        <v>-8921.3899999999976</v>
      </c>
    </row>
    <row r="604" spans="3:15" ht="17.25">
      <c r="F604" s="12"/>
      <c r="H604" s="409"/>
      <c r="I604" s="358"/>
      <c r="J604" s="442"/>
      <c r="K604" s="280"/>
      <c r="L604" s="358"/>
      <c r="M604" s="579"/>
      <c r="N604" s="469"/>
      <c r="O604" s="469"/>
    </row>
    <row r="605" spans="3:15" ht="17.25">
      <c r="C605" s="12" t="s">
        <v>178</v>
      </c>
      <c r="F605" s="12"/>
      <c r="H605" s="409"/>
      <c r="I605" s="358"/>
      <c r="J605" s="442"/>
      <c r="K605" s="280"/>
      <c r="L605" s="358"/>
      <c r="M605" s="579"/>
      <c r="N605" s="469"/>
      <c r="O605" s="469"/>
    </row>
    <row r="606" spans="3:15" ht="17.25">
      <c r="D606" s="361">
        <v>44678</v>
      </c>
      <c r="E606" s="361"/>
      <c r="F606" s="361"/>
      <c r="G606" s="361"/>
      <c r="H606" s="409"/>
      <c r="I606" s="358"/>
      <c r="J606" s="442"/>
      <c r="K606" s="280"/>
      <c r="L606" s="358"/>
      <c r="M606" s="579"/>
      <c r="N606" s="469"/>
      <c r="O606" s="469"/>
    </row>
    <row r="607" spans="3:15" ht="17.25">
      <c r="E607" s="12" t="s">
        <v>33</v>
      </c>
      <c r="F607" s="12"/>
      <c r="H607" s="409"/>
      <c r="I607" s="358"/>
      <c r="J607" s="442"/>
      <c r="K607" s="280"/>
      <c r="L607" s="358"/>
      <c r="M607" s="579"/>
      <c r="N607" s="469"/>
      <c r="O607" s="469"/>
    </row>
    <row r="608" spans="3:15" ht="17.25">
      <c r="F608" s="361">
        <v>44462</v>
      </c>
      <c r="G608" s="361"/>
      <c r="H608" s="409"/>
      <c r="I608" s="358"/>
      <c r="J608" s="442"/>
      <c r="K608" s="280"/>
      <c r="L608" s="358"/>
      <c r="M608" s="579"/>
      <c r="N608" s="469"/>
      <c r="O608" s="469"/>
    </row>
    <row r="609" spans="4:15" ht="17.25">
      <c r="F609" s="12"/>
      <c r="G609" s="112" t="s">
        <v>33</v>
      </c>
      <c r="H609" s="409">
        <v>52</v>
      </c>
      <c r="I609" s="358">
        <v>7471.0999999999995</v>
      </c>
      <c r="J609" s="442">
        <v>1</v>
      </c>
      <c r="K609" s="280">
        <v>7471.0999999999995</v>
      </c>
      <c r="L609" s="358">
        <v>8216.2999999999993</v>
      </c>
      <c r="M609" s="579">
        <v>1</v>
      </c>
      <c r="N609" s="469">
        <v>8216.2999999999993</v>
      </c>
      <c r="O609" s="469">
        <v>-745.19999999999914</v>
      </c>
    </row>
    <row r="610" spans="4:15" ht="17.25">
      <c r="F610" s="12"/>
      <c r="H610" s="409"/>
      <c r="I610" s="358"/>
      <c r="J610" s="442"/>
      <c r="K610" s="280"/>
      <c r="L610" s="358"/>
      <c r="M610" s="579"/>
      <c r="N610" s="469"/>
      <c r="O610" s="469"/>
    </row>
    <row r="611" spans="4:15" ht="17.25">
      <c r="F611" s="361">
        <v>44467</v>
      </c>
      <c r="G611" s="361"/>
      <c r="H611" s="409"/>
      <c r="I611" s="358"/>
      <c r="J611" s="442"/>
      <c r="K611" s="280"/>
      <c r="L611" s="358"/>
      <c r="M611" s="579"/>
      <c r="N611" s="469"/>
      <c r="O611" s="469"/>
    </row>
    <row r="612" spans="4:15" ht="17.25">
      <c r="F612" s="12"/>
      <c r="G612" s="112" t="s">
        <v>33</v>
      </c>
      <c r="H612" s="409">
        <v>54</v>
      </c>
      <c r="I612" s="358">
        <v>7758.45</v>
      </c>
      <c r="J612" s="442">
        <v>1</v>
      </c>
      <c r="K612" s="280">
        <v>7758.45</v>
      </c>
      <c r="L612" s="358">
        <v>8304.16</v>
      </c>
      <c r="M612" s="579">
        <v>1</v>
      </c>
      <c r="N612" s="469">
        <v>8304.16</v>
      </c>
      <c r="O612" s="469">
        <v>-545.70999999999992</v>
      </c>
    </row>
    <row r="613" spans="4:15" ht="17.25">
      <c r="F613" s="12"/>
      <c r="H613" s="409"/>
      <c r="I613" s="358"/>
      <c r="J613" s="442"/>
      <c r="K613" s="280"/>
      <c r="L613" s="358"/>
      <c r="M613" s="579"/>
      <c r="N613" s="469"/>
      <c r="O613" s="469"/>
    </row>
    <row r="614" spans="4:15" ht="17.25">
      <c r="F614" s="361">
        <v>44474</v>
      </c>
      <c r="G614" s="361"/>
      <c r="H614" s="409"/>
      <c r="I614" s="358"/>
      <c r="J614" s="442"/>
      <c r="K614" s="280"/>
      <c r="L614" s="358"/>
      <c r="M614" s="579"/>
      <c r="N614" s="469"/>
      <c r="O614" s="469"/>
    </row>
    <row r="615" spans="4:15" ht="17.25">
      <c r="F615" s="12"/>
      <c r="G615" s="112" t="s">
        <v>33</v>
      </c>
      <c r="H615" s="409">
        <v>22</v>
      </c>
      <c r="I615" s="358">
        <v>3160.8500000000004</v>
      </c>
      <c r="J615" s="442">
        <v>1</v>
      </c>
      <c r="K615" s="280">
        <v>3160.8500000000004</v>
      </c>
      <c r="L615" s="358">
        <v>3331.1547826086958</v>
      </c>
      <c r="M615" s="579">
        <v>1</v>
      </c>
      <c r="N615" s="469">
        <v>3331.1547826086958</v>
      </c>
      <c r="O615" s="469">
        <v>-170.30478260869535</v>
      </c>
    </row>
    <row r="616" spans="4:15" ht="17.25">
      <c r="F616" s="12"/>
      <c r="H616" s="409"/>
      <c r="I616" s="358"/>
      <c r="J616" s="442"/>
      <c r="K616" s="280"/>
      <c r="L616" s="358"/>
      <c r="M616" s="579"/>
      <c r="N616" s="469"/>
      <c r="O616" s="469"/>
    </row>
    <row r="617" spans="4:15" ht="17.25">
      <c r="D617" s="361">
        <v>44685</v>
      </c>
      <c r="E617" s="361"/>
      <c r="F617" s="361"/>
      <c r="G617" s="361"/>
      <c r="H617" s="409"/>
      <c r="I617" s="358"/>
      <c r="J617" s="442"/>
      <c r="K617" s="280"/>
      <c r="L617" s="358"/>
      <c r="M617" s="579"/>
      <c r="N617" s="469"/>
      <c r="O617" s="469"/>
    </row>
    <row r="618" spans="4:15" ht="17.25">
      <c r="E618" s="12" t="s">
        <v>33</v>
      </c>
      <c r="F618" s="12"/>
      <c r="H618" s="409"/>
      <c r="I618" s="358"/>
      <c r="J618" s="442"/>
      <c r="K618" s="280"/>
      <c r="L618" s="358"/>
      <c r="M618" s="579"/>
      <c r="N618" s="469"/>
      <c r="O618" s="469"/>
    </row>
    <row r="619" spans="4:15" ht="17.25">
      <c r="F619" s="361">
        <v>44474</v>
      </c>
      <c r="G619" s="361"/>
      <c r="H619" s="409"/>
      <c r="I619" s="358"/>
      <c r="J619" s="442"/>
      <c r="K619" s="280"/>
      <c r="L619" s="358"/>
      <c r="M619" s="579"/>
      <c r="N619" s="469"/>
      <c r="O619" s="469"/>
    </row>
    <row r="620" spans="4:15" ht="17.25">
      <c r="F620" s="12"/>
      <c r="G620" s="112" t="s">
        <v>33</v>
      </c>
      <c r="H620" s="409">
        <v>30</v>
      </c>
      <c r="I620" s="358">
        <v>4381.476315789474</v>
      </c>
      <c r="J620" s="442">
        <v>1</v>
      </c>
      <c r="K620" s="280">
        <v>4381.476315789474</v>
      </c>
      <c r="L620" s="358">
        <v>4546.5052173913045</v>
      </c>
      <c r="M620" s="579">
        <v>1</v>
      </c>
      <c r="N620" s="469">
        <v>4546.5052173913045</v>
      </c>
      <c r="O620" s="469">
        <v>-165.02890160183102</v>
      </c>
    </row>
    <row r="621" spans="4:15" ht="17.25">
      <c r="F621" s="12"/>
      <c r="H621" s="409"/>
      <c r="I621" s="358"/>
      <c r="J621" s="442"/>
      <c r="K621" s="280"/>
      <c r="L621" s="358"/>
      <c r="M621" s="579"/>
      <c r="N621" s="469"/>
      <c r="O621" s="469"/>
    </row>
    <row r="622" spans="4:15" ht="17.25">
      <c r="F622" s="361">
        <v>44484</v>
      </c>
      <c r="G622" s="361"/>
      <c r="H622" s="409"/>
      <c r="I622" s="358"/>
      <c r="J622" s="442"/>
      <c r="K622" s="280"/>
      <c r="L622" s="358"/>
      <c r="M622" s="579"/>
      <c r="N622" s="469"/>
      <c r="O622" s="469"/>
    </row>
    <row r="623" spans="4:15" ht="17.25">
      <c r="F623" s="12"/>
      <c r="G623" s="112" t="s">
        <v>33</v>
      </c>
      <c r="H623" s="409">
        <v>8</v>
      </c>
      <c r="I623" s="358">
        <v>1168.3936842105263</v>
      </c>
      <c r="J623" s="442">
        <v>1</v>
      </c>
      <c r="K623" s="280">
        <v>1168.3936842105263</v>
      </c>
      <c r="L623" s="358">
        <v>1293.4621276595744</v>
      </c>
      <c r="M623" s="579">
        <v>1</v>
      </c>
      <c r="N623" s="469">
        <v>1293.4621276595744</v>
      </c>
      <c r="O623" s="469">
        <v>-125.06844344904812</v>
      </c>
    </row>
    <row r="624" spans="4:15" ht="17.25">
      <c r="F624" s="12"/>
      <c r="H624" s="409"/>
      <c r="I624" s="358"/>
      <c r="J624" s="442"/>
      <c r="K624" s="280"/>
      <c r="L624" s="358"/>
      <c r="M624" s="579"/>
      <c r="N624" s="469"/>
      <c r="O624" s="469"/>
    </row>
    <row r="625" spans="4:15" ht="17.25">
      <c r="D625" s="361">
        <v>44727</v>
      </c>
      <c r="E625" s="361"/>
      <c r="F625" s="361"/>
      <c r="G625" s="361"/>
      <c r="H625" s="409"/>
      <c r="I625" s="358"/>
      <c r="J625" s="442"/>
      <c r="K625" s="280"/>
      <c r="L625" s="358"/>
      <c r="M625" s="579"/>
      <c r="N625" s="469"/>
      <c r="O625" s="469"/>
    </row>
    <row r="626" spans="4:15" ht="17.25">
      <c r="E626" s="12" t="s">
        <v>33</v>
      </c>
      <c r="F626" s="12"/>
      <c r="H626" s="409"/>
      <c r="I626" s="358"/>
      <c r="J626" s="442"/>
      <c r="K626" s="280"/>
      <c r="L626" s="358"/>
      <c r="M626" s="579"/>
      <c r="N626" s="469"/>
      <c r="O626" s="469"/>
    </row>
    <row r="627" spans="4:15" ht="17.25">
      <c r="F627" s="361">
        <v>44484</v>
      </c>
      <c r="G627" s="361"/>
      <c r="H627" s="409"/>
      <c r="I627" s="358"/>
      <c r="J627" s="442"/>
      <c r="K627" s="280"/>
      <c r="L627" s="358"/>
      <c r="M627" s="579"/>
      <c r="N627" s="469"/>
      <c r="O627" s="469"/>
    </row>
    <row r="628" spans="4:15" ht="17.25">
      <c r="F628" s="12"/>
      <c r="G628" s="112" t="s">
        <v>33</v>
      </c>
      <c r="H628" s="409">
        <v>17</v>
      </c>
      <c r="I628" s="358">
        <v>2219.9776923076925</v>
      </c>
      <c r="J628" s="442">
        <v>1</v>
      </c>
      <c r="K628" s="280">
        <v>2219.9776923076925</v>
      </c>
      <c r="L628" s="358">
        <v>2746.2804255319147</v>
      </c>
      <c r="M628" s="579">
        <v>1</v>
      </c>
      <c r="N628" s="469">
        <v>2746.2804255319147</v>
      </c>
      <c r="O628" s="469">
        <v>-526.30273322422215</v>
      </c>
    </row>
    <row r="629" spans="4:15" ht="17.25">
      <c r="F629" s="12"/>
      <c r="H629" s="409"/>
      <c r="I629" s="358"/>
      <c r="J629" s="442"/>
      <c r="K629" s="280"/>
      <c r="L629" s="358"/>
      <c r="M629" s="579"/>
      <c r="N629" s="469"/>
      <c r="O629" s="469"/>
    </row>
    <row r="630" spans="4:15" ht="17.25">
      <c r="F630" s="361">
        <v>44489</v>
      </c>
      <c r="G630" s="361"/>
      <c r="H630" s="409"/>
      <c r="I630" s="358"/>
      <c r="J630" s="442"/>
      <c r="K630" s="280"/>
      <c r="L630" s="358"/>
      <c r="M630" s="579"/>
      <c r="N630" s="469"/>
      <c r="O630" s="469"/>
    </row>
    <row r="631" spans="4:15" ht="17.25">
      <c r="F631" s="12"/>
      <c r="G631" s="112" t="s">
        <v>33</v>
      </c>
      <c r="H631" s="409">
        <v>12</v>
      </c>
      <c r="I631" s="358">
        <v>1568.2723076923078</v>
      </c>
      <c r="J631" s="442">
        <v>1</v>
      </c>
      <c r="K631" s="280">
        <v>1568.2723076923078</v>
      </c>
      <c r="L631" s="358">
        <v>1954.65</v>
      </c>
      <c r="M631" s="579">
        <v>1</v>
      </c>
      <c r="N631" s="469">
        <v>1954.65</v>
      </c>
      <c r="O631" s="469">
        <v>-386.37769230769243</v>
      </c>
    </row>
    <row r="632" spans="4:15" ht="17.25">
      <c r="F632" s="12"/>
      <c r="H632" s="409"/>
      <c r="I632" s="358"/>
      <c r="J632" s="442"/>
      <c r="K632" s="280"/>
      <c r="L632" s="358"/>
      <c r="M632" s="579"/>
      <c r="N632" s="469"/>
      <c r="O632" s="469"/>
    </row>
    <row r="633" spans="4:15" ht="17.25">
      <c r="F633" s="361">
        <v>44490</v>
      </c>
      <c r="G633" s="361"/>
      <c r="H633" s="409"/>
      <c r="I633" s="358"/>
      <c r="J633" s="442"/>
      <c r="K633" s="280"/>
      <c r="L633" s="358"/>
      <c r="M633" s="579"/>
      <c r="N633" s="469"/>
      <c r="O633" s="469"/>
    </row>
    <row r="634" spans="4:15" ht="17.25">
      <c r="F634" s="12"/>
      <c r="G634" s="112" t="s">
        <v>33</v>
      </c>
      <c r="H634" s="409">
        <v>11</v>
      </c>
      <c r="I634" s="358">
        <v>1442.6</v>
      </c>
      <c r="J634" s="442">
        <v>1</v>
      </c>
      <c r="K634" s="280">
        <v>1442.6</v>
      </c>
      <c r="L634" s="358">
        <v>1780.6969444444444</v>
      </c>
      <c r="M634" s="579">
        <v>1</v>
      </c>
      <c r="N634" s="469">
        <v>1780.6969444444444</v>
      </c>
      <c r="O634" s="469">
        <v>-338.0969444444446</v>
      </c>
    </row>
    <row r="635" spans="4:15" ht="17.25">
      <c r="F635" s="12"/>
      <c r="H635" s="409"/>
      <c r="I635" s="358"/>
      <c r="J635" s="442"/>
      <c r="K635" s="280"/>
      <c r="L635" s="358"/>
      <c r="M635" s="579"/>
      <c r="N635" s="469"/>
      <c r="O635" s="469"/>
    </row>
    <row r="636" spans="4:15" ht="17.25">
      <c r="D636" s="361">
        <v>44728</v>
      </c>
      <c r="E636" s="361"/>
      <c r="F636" s="361"/>
      <c r="G636" s="361"/>
      <c r="H636" s="409"/>
      <c r="I636" s="358"/>
      <c r="J636" s="442"/>
      <c r="K636" s="280"/>
      <c r="L636" s="358"/>
      <c r="M636" s="579"/>
      <c r="N636" s="469"/>
      <c r="O636" s="469"/>
    </row>
    <row r="637" spans="4:15" ht="17.25">
      <c r="E637" s="12" t="s">
        <v>33</v>
      </c>
      <c r="F637" s="12"/>
      <c r="H637" s="409"/>
      <c r="I637" s="358"/>
      <c r="J637" s="442"/>
      <c r="K637" s="280"/>
      <c r="L637" s="358"/>
      <c r="M637" s="579"/>
      <c r="N637" s="469"/>
      <c r="O637" s="469"/>
    </row>
    <row r="638" spans="4:15" ht="17.25">
      <c r="F638" s="361">
        <v>44484</v>
      </c>
      <c r="G638" s="361"/>
      <c r="H638" s="409"/>
      <c r="I638" s="358"/>
      <c r="J638" s="442"/>
      <c r="K638" s="280"/>
      <c r="L638" s="358"/>
      <c r="M638" s="579"/>
      <c r="N638" s="469"/>
      <c r="O638" s="469"/>
    </row>
    <row r="639" spans="4:15" ht="17.25">
      <c r="F639" s="12"/>
      <c r="G639" s="112" t="s">
        <v>33</v>
      </c>
      <c r="H639" s="409">
        <v>15</v>
      </c>
      <c r="I639" s="358">
        <v>1890.52</v>
      </c>
      <c r="J639" s="442">
        <v>1</v>
      </c>
      <c r="K639" s="280">
        <v>1890.52</v>
      </c>
      <c r="L639" s="358">
        <v>2425.241489361702</v>
      </c>
      <c r="M639" s="579">
        <v>1</v>
      </c>
      <c r="N639" s="469">
        <v>2425.241489361702</v>
      </c>
      <c r="O639" s="469">
        <v>-534.72148936170197</v>
      </c>
    </row>
    <row r="640" spans="4:15" ht="17.25">
      <c r="F640" s="12"/>
      <c r="H640" s="409"/>
      <c r="I640" s="358"/>
      <c r="J640" s="442"/>
      <c r="K640" s="280"/>
      <c r="L640" s="358"/>
      <c r="M640" s="579"/>
      <c r="N640" s="469"/>
      <c r="O640" s="469"/>
    </row>
    <row r="641" spans="4:15" ht="17.25">
      <c r="D641" s="361">
        <v>44742</v>
      </c>
      <c r="E641" s="361"/>
      <c r="F641" s="361"/>
      <c r="G641" s="361"/>
      <c r="H641" s="409"/>
      <c r="I641" s="358"/>
      <c r="J641" s="442"/>
      <c r="K641" s="280"/>
      <c r="L641" s="358"/>
      <c r="M641" s="579"/>
      <c r="N641" s="469"/>
      <c r="O641" s="469"/>
    </row>
    <row r="642" spans="4:15" ht="17.25">
      <c r="E642" s="12" t="s">
        <v>33</v>
      </c>
      <c r="F642" s="12"/>
      <c r="H642" s="409"/>
      <c r="I642" s="358"/>
      <c r="J642" s="442"/>
      <c r="K642" s="280"/>
      <c r="L642" s="358"/>
      <c r="M642" s="579"/>
      <c r="N642" s="469"/>
      <c r="O642" s="469"/>
    </row>
    <row r="643" spans="4:15" ht="17.25">
      <c r="F643" s="361">
        <v>44484</v>
      </c>
      <c r="G643" s="361"/>
      <c r="H643" s="409"/>
      <c r="I643" s="358"/>
      <c r="J643" s="442"/>
      <c r="K643" s="280"/>
      <c r="L643" s="358"/>
      <c r="M643" s="579"/>
      <c r="N643" s="469"/>
      <c r="O643" s="469"/>
    </row>
    <row r="644" spans="4:15" ht="17.25">
      <c r="F644" s="12"/>
      <c r="G644" s="112" t="s">
        <v>33</v>
      </c>
      <c r="H644" s="409">
        <v>13</v>
      </c>
      <c r="I644" s="358">
        <v>1639.51</v>
      </c>
      <c r="J644" s="442">
        <v>1</v>
      </c>
      <c r="K644" s="280">
        <v>1639.51</v>
      </c>
      <c r="L644" s="358">
        <v>2101.8759574468086</v>
      </c>
      <c r="M644" s="579">
        <v>1</v>
      </c>
      <c r="N644" s="469">
        <v>2101.8759574468086</v>
      </c>
      <c r="O644" s="469">
        <v>-462.36595744680847</v>
      </c>
    </row>
    <row r="645" spans="4:15" ht="17.25">
      <c r="F645" s="12"/>
      <c r="H645" s="409"/>
      <c r="I645" s="358"/>
      <c r="J645" s="442"/>
      <c r="K645" s="280"/>
      <c r="L645" s="358"/>
      <c r="M645" s="579"/>
      <c r="N645" s="469"/>
      <c r="O645" s="469"/>
    </row>
    <row r="646" spans="4:15" ht="17.25">
      <c r="F646" s="361">
        <v>44490</v>
      </c>
      <c r="G646" s="361"/>
      <c r="H646" s="409"/>
      <c r="I646" s="358"/>
      <c r="J646" s="442"/>
      <c r="K646" s="280"/>
      <c r="L646" s="358"/>
      <c r="M646" s="579"/>
      <c r="N646" s="469"/>
      <c r="O646" s="469"/>
    </row>
    <row r="647" spans="4:15" ht="17.25">
      <c r="F647" s="12"/>
      <c r="G647" s="112" t="s">
        <v>33</v>
      </c>
      <c r="H647" s="409">
        <v>8</v>
      </c>
      <c r="I647" s="358">
        <v>1008.91</v>
      </c>
      <c r="J647" s="442">
        <v>1</v>
      </c>
      <c r="K647" s="280">
        <v>1008.91</v>
      </c>
      <c r="L647" s="358">
        <v>1294.7311111111112</v>
      </c>
      <c r="M647" s="579">
        <v>1</v>
      </c>
      <c r="N647" s="469">
        <v>1294.7311111111112</v>
      </c>
      <c r="O647" s="469">
        <v>-285.82111111111124</v>
      </c>
    </row>
    <row r="648" spans="4:15" ht="17.25">
      <c r="F648" s="12"/>
      <c r="H648" s="409"/>
      <c r="I648" s="358"/>
      <c r="J648" s="442"/>
      <c r="K648" s="280"/>
      <c r="L648" s="358"/>
      <c r="M648" s="579"/>
      <c r="N648" s="469"/>
      <c r="O648" s="469"/>
    </row>
    <row r="649" spans="4:15" ht="17.25">
      <c r="D649" s="361">
        <v>44743</v>
      </c>
      <c r="E649" s="361"/>
      <c r="F649" s="361"/>
      <c r="G649" s="361"/>
      <c r="H649" s="409"/>
      <c r="I649" s="358"/>
      <c r="J649" s="442"/>
      <c r="K649" s="280"/>
      <c r="L649" s="358"/>
      <c r="M649" s="579"/>
      <c r="N649" s="469"/>
      <c r="O649" s="469"/>
    </row>
    <row r="650" spans="4:15" ht="17.25">
      <c r="E650" s="12" t="s">
        <v>33</v>
      </c>
      <c r="F650" s="12"/>
      <c r="H650" s="409"/>
      <c r="I650" s="358"/>
      <c r="J650" s="442"/>
      <c r="K650" s="280"/>
      <c r="L650" s="358"/>
      <c r="M650" s="579"/>
      <c r="N650" s="469"/>
      <c r="O650" s="469"/>
    </row>
    <row r="651" spans="4:15" ht="17.25">
      <c r="F651" s="361">
        <v>44490</v>
      </c>
      <c r="G651" s="361"/>
      <c r="H651" s="409"/>
      <c r="I651" s="358"/>
      <c r="J651" s="442"/>
      <c r="K651" s="280"/>
      <c r="L651" s="358"/>
      <c r="M651" s="579"/>
      <c r="N651" s="469"/>
      <c r="O651" s="469"/>
    </row>
    <row r="652" spans="4:15" ht="17.25">
      <c r="F652" s="12"/>
      <c r="G652" s="112" t="s">
        <v>33</v>
      </c>
      <c r="H652" s="409">
        <v>12</v>
      </c>
      <c r="I652" s="358">
        <v>1515.2</v>
      </c>
      <c r="J652" s="442">
        <v>1</v>
      </c>
      <c r="K652" s="280">
        <v>1515.2</v>
      </c>
      <c r="L652" s="358">
        <v>1942.0966666666668</v>
      </c>
      <c r="M652" s="579">
        <v>1</v>
      </c>
      <c r="N652" s="469">
        <v>1942.0966666666668</v>
      </c>
      <c r="O652" s="469">
        <v>-426.89666666666676</v>
      </c>
    </row>
    <row r="653" spans="4:15" ht="17.25">
      <c r="F653" s="12"/>
      <c r="H653" s="409"/>
      <c r="I653" s="358"/>
      <c r="J653" s="442"/>
      <c r="K653" s="280"/>
      <c r="L653" s="358"/>
      <c r="M653" s="579"/>
      <c r="N653" s="469"/>
      <c r="O653" s="469"/>
    </row>
    <row r="654" spans="4:15" ht="17.25">
      <c r="D654" s="361">
        <v>44747</v>
      </c>
      <c r="E654" s="361"/>
      <c r="F654" s="361"/>
      <c r="G654" s="361"/>
      <c r="H654" s="409"/>
      <c r="I654" s="358"/>
      <c r="J654" s="442"/>
      <c r="K654" s="280"/>
      <c r="L654" s="358"/>
      <c r="M654" s="579"/>
      <c r="N654" s="469"/>
      <c r="O654" s="469"/>
    </row>
    <row r="655" spans="4:15" ht="17.25">
      <c r="E655" s="12" t="s">
        <v>33</v>
      </c>
      <c r="F655" s="12"/>
      <c r="H655" s="409"/>
      <c r="I655" s="358"/>
      <c r="J655" s="442"/>
      <c r="K655" s="280"/>
      <c r="L655" s="358"/>
      <c r="M655" s="579"/>
      <c r="N655" s="469"/>
      <c r="O655" s="469"/>
    </row>
    <row r="656" spans="4:15" ht="17.25">
      <c r="F656" s="361">
        <v>44490</v>
      </c>
      <c r="G656" s="361"/>
      <c r="H656" s="409"/>
      <c r="I656" s="358"/>
      <c r="J656" s="442"/>
      <c r="K656" s="280"/>
      <c r="L656" s="358"/>
      <c r="M656" s="579"/>
      <c r="N656" s="469"/>
      <c r="O656" s="469"/>
    </row>
    <row r="657" spans="4:15" ht="17.25">
      <c r="F657" s="12"/>
      <c r="G657" s="112" t="s">
        <v>33</v>
      </c>
      <c r="H657" s="409">
        <v>3</v>
      </c>
      <c r="I657" s="358">
        <v>372.18</v>
      </c>
      <c r="J657" s="442">
        <v>1</v>
      </c>
      <c r="K657" s="280">
        <v>372.18</v>
      </c>
      <c r="L657" s="358">
        <v>485.5241666666667</v>
      </c>
      <c r="M657" s="579">
        <v>1</v>
      </c>
      <c r="N657" s="469">
        <v>485.5241666666667</v>
      </c>
      <c r="O657" s="469">
        <v>-113.34416666666669</v>
      </c>
    </row>
    <row r="658" spans="4:15" ht="17.25">
      <c r="F658" s="12"/>
      <c r="H658" s="409"/>
      <c r="I658" s="358"/>
      <c r="J658" s="442"/>
      <c r="K658" s="280"/>
      <c r="L658" s="358"/>
      <c r="M658" s="579"/>
      <c r="N658" s="469"/>
      <c r="O658" s="469"/>
    </row>
    <row r="659" spans="4:15" ht="17.25">
      <c r="D659" s="361">
        <v>44764</v>
      </c>
      <c r="E659" s="361"/>
      <c r="F659" s="361"/>
      <c r="G659" s="361"/>
      <c r="H659" s="409"/>
      <c r="I659" s="358"/>
      <c r="J659" s="442"/>
      <c r="K659" s="280"/>
      <c r="L659" s="358"/>
      <c r="M659" s="579"/>
      <c r="N659" s="469"/>
      <c r="O659" s="469"/>
    </row>
    <row r="660" spans="4:15" ht="17.25">
      <c r="E660" s="12" t="s">
        <v>33</v>
      </c>
      <c r="F660" s="12"/>
      <c r="H660" s="409"/>
      <c r="I660" s="358"/>
      <c r="J660" s="442"/>
      <c r="K660" s="280"/>
      <c r="L660" s="358"/>
      <c r="M660" s="579"/>
      <c r="N660" s="469"/>
      <c r="O660" s="469"/>
    </row>
    <row r="661" spans="4:15" ht="17.25">
      <c r="F661" s="361">
        <v>44490</v>
      </c>
      <c r="G661" s="361"/>
      <c r="H661" s="409"/>
      <c r="I661" s="358"/>
      <c r="J661" s="442"/>
      <c r="K661" s="280"/>
      <c r="L661" s="358"/>
      <c r="M661" s="579"/>
      <c r="N661" s="469"/>
      <c r="O661" s="469"/>
    </row>
    <row r="662" spans="4:15" ht="17.25">
      <c r="F662" s="12"/>
      <c r="G662" s="112" t="s">
        <v>33</v>
      </c>
      <c r="H662" s="409">
        <v>8</v>
      </c>
      <c r="I662" s="358">
        <v>1096.914</v>
      </c>
      <c r="J662" s="442">
        <v>1</v>
      </c>
      <c r="K662" s="280">
        <v>1096.914</v>
      </c>
      <c r="L662" s="358">
        <v>1294.7311111111112</v>
      </c>
      <c r="M662" s="579">
        <v>1</v>
      </c>
      <c r="N662" s="469">
        <v>1294.7311111111112</v>
      </c>
      <c r="O662" s="469">
        <v>-197.81711111111122</v>
      </c>
    </row>
    <row r="663" spans="4:15" ht="17.25">
      <c r="F663" s="12"/>
      <c r="H663" s="409"/>
      <c r="I663" s="358"/>
      <c r="J663" s="442"/>
      <c r="K663" s="280"/>
      <c r="L663" s="358"/>
      <c r="M663" s="579"/>
      <c r="N663" s="469"/>
      <c r="O663" s="469"/>
    </row>
    <row r="664" spans="4:15" ht="17.25">
      <c r="F664" s="361">
        <v>44497</v>
      </c>
      <c r="G664" s="361"/>
      <c r="H664" s="409"/>
      <c r="I664" s="358"/>
      <c r="J664" s="442"/>
      <c r="K664" s="280"/>
      <c r="L664" s="358"/>
      <c r="M664" s="579"/>
      <c r="N664" s="469"/>
      <c r="O664" s="469"/>
    </row>
    <row r="665" spans="4:15" ht="17.25">
      <c r="F665" s="12"/>
      <c r="G665" s="112" t="s">
        <v>33</v>
      </c>
      <c r="H665" s="409">
        <v>30</v>
      </c>
      <c r="I665" s="358">
        <v>4098.2860000000001</v>
      </c>
      <c r="J665" s="442">
        <v>1</v>
      </c>
      <c r="K665" s="280">
        <v>4098.2860000000001</v>
      </c>
      <c r="L665" s="358">
        <v>4926.5951724137931</v>
      </c>
      <c r="M665" s="579">
        <v>1</v>
      </c>
      <c r="N665" s="469">
        <v>4926.5951724137931</v>
      </c>
      <c r="O665" s="469">
        <v>-828.30917241379291</v>
      </c>
    </row>
    <row r="666" spans="4:15" ht="17.25">
      <c r="F666" s="12"/>
      <c r="H666" s="409"/>
      <c r="I666" s="358"/>
      <c r="J666" s="442"/>
      <c r="K666" s="280"/>
      <c r="L666" s="358"/>
      <c r="M666" s="579"/>
      <c r="N666" s="469"/>
      <c r="O666" s="469"/>
    </row>
    <row r="667" spans="4:15" ht="17.25">
      <c r="D667" s="361">
        <v>44826</v>
      </c>
      <c r="E667" s="361"/>
      <c r="F667" s="361"/>
      <c r="G667" s="361"/>
      <c r="H667" s="409"/>
      <c r="I667" s="358"/>
      <c r="J667" s="442"/>
      <c r="K667" s="280"/>
      <c r="L667" s="358"/>
      <c r="M667" s="579"/>
      <c r="N667" s="469"/>
      <c r="O667" s="469"/>
    </row>
    <row r="668" spans="4:15" ht="17.25">
      <c r="E668" s="12" t="s">
        <v>33</v>
      </c>
      <c r="F668" s="12"/>
      <c r="H668" s="409"/>
      <c r="I668" s="358"/>
      <c r="J668" s="442"/>
      <c r="K668" s="280"/>
      <c r="L668" s="358"/>
      <c r="M668" s="579"/>
      <c r="N668" s="469"/>
      <c r="O668" s="469"/>
    </row>
    <row r="669" spans="4:15" ht="17.25">
      <c r="F669" s="361">
        <v>44497</v>
      </c>
      <c r="G669" s="361"/>
      <c r="H669" s="409"/>
      <c r="I669" s="358"/>
      <c r="J669" s="442"/>
      <c r="K669" s="280"/>
      <c r="L669" s="358"/>
      <c r="M669" s="579"/>
      <c r="N669" s="469"/>
      <c r="O669" s="469"/>
    </row>
    <row r="670" spans="4:15" ht="17.25">
      <c r="F670" s="12"/>
      <c r="G670" s="112" t="s">
        <v>33</v>
      </c>
      <c r="H670" s="409">
        <v>6</v>
      </c>
      <c r="I670" s="358">
        <v>810.81</v>
      </c>
      <c r="J670" s="442">
        <v>1</v>
      </c>
      <c r="K670" s="280">
        <v>810.81</v>
      </c>
      <c r="L670" s="358">
        <v>987.583448275862</v>
      </c>
      <c r="M670" s="579">
        <v>1</v>
      </c>
      <c r="N670" s="469">
        <v>987.583448275862</v>
      </c>
      <c r="O670" s="469">
        <v>-176.77344827586199</v>
      </c>
    </row>
    <row r="671" spans="4:15" ht="17.25">
      <c r="F671" s="12"/>
      <c r="H671" s="409"/>
      <c r="I671" s="358"/>
      <c r="J671" s="442"/>
      <c r="K671" s="280"/>
      <c r="L671" s="358"/>
      <c r="M671" s="579"/>
      <c r="N671" s="469"/>
      <c r="O671" s="469"/>
    </row>
    <row r="672" spans="4:15" ht="17.25">
      <c r="D672" s="361">
        <v>44827</v>
      </c>
      <c r="E672" s="361"/>
      <c r="F672" s="361"/>
      <c r="G672" s="361"/>
      <c r="H672" s="409"/>
      <c r="I672" s="358"/>
      <c r="J672" s="442"/>
      <c r="K672" s="280"/>
      <c r="L672" s="358"/>
      <c r="M672" s="579"/>
      <c r="N672" s="469"/>
      <c r="O672" s="469"/>
    </row>
    <row r="673" spans="4:15" ht="17.25">
      <c r="E673" s="12" t="s">
        <v>33</v>
      </c>
      <c r="F673" s="12"/>
      <c r="H673" s="409"/>
      <c r="I673" s="358"/>
      <c r="J673" s="442"/>
      <c r="K673" s="280"/>
      <c r="L673" s="358"/>
      <c r="M673" s="579"/>
      <c r="N673" s="469"/>
      <c r="O673" s="469"/>
    </row>
    <row r="674" spans="4:15" ht="17.25">
      <c r="F674" s="361">
        <v>44509</v>
      </c>
      <c r="G674" s="361"/>
      <c r="H674" s="409"/>
      <c r="I674" s="358"/>
      <c r="J674" s="442"/>
      <c r="K674" s="280"/>
      <c r="L674" s="358"/>
      <c r="M674" s="579"/>
      <c r="N674" s="469"/>
      <c r="O674" s="469"/>
    </row>
    <row r="675" spans="4:15" ht="17.25">
      <c r="F675" s="12"/>
      <c r="G675" s="112" t="s">
        <v>33</v>
      </c>
      <c r="H675" s="409">
        <v>14</v>
      </c>
      <c r="I675" s="358">
        <v>1892.7431250000002</v>
      </c>
      <c r="J675" s="442">
        <v>1</v>
      </c>
      <c r="K675" s="280">
        <v>1892.7431250000002</v>
      </c>
      <c r="L675" s="358">
        <v>2441.8939999999998</v>
      </c>
      <c r="M675" s="579">
        <v>1</v>
      </c>
      <c r="N675" s="469">
        <v>2441.8939999999998</v>
      </c>
      <c r="O675" s="469">
        <v>-549.15087499999959</v>
      </c>
    </row>
    <row r="676" spans="4:15" ht="17.25">
      <c r="F676" s="12"/>
      <c r="H676" s="409"/>
      <c r="I676" s="358"/>
      <c r="J676" s="442"/>
      <c r="K676" s="280"/>
      <c r="L676" s="358"/>
      <c r="M676" s="579"/>
      <c r="N676" s="469"/>
      <c r="O676" s="469"/>
    </row>
    <row r="677" spans="4:15" ht="17.25">
      <c r="F677" s="361">
        <v>44497</v>
      </c>
      <c r="G677" s="361"/>
      <c r="H677" s="409"/>
      <c r="I677" s="358"/>
      <c r="J677" s="442"/>
      <c r="K677" s="280"/>
      <c r="L677" s="358"/>
      <c r="M677" s="579"/>
      <c r="N677" s="469"/>
      <c r="O677" s="469"/>
    </row>
    <row r="678" spans="4:15" ht="17.25">
      <c r="F678" s="12"/>
      <c r="G678" s="112" t="s">
        <v>33</v>
      </c>
      <c r="H678" s="409">
        <v>14</v>
      </c>
      <c r="I678" s="358">
        <v>1892.7431250000002</v>
      </c>
      <c r="J678" s="442">
        <v>1</v>
      </c>
      <c r="K678" s="280">
        <v>1892.7431250000002</v>
      </c>
      <c r="L678" s="358">
        <v>2304.3613793103445</v>
      </c>
      <c r="M678" s="579">
        <v>1</v>
      </c>
      <c r="N678" s="469">
        <v>2304.3613793103445</v>
      </c>
      <c r="O678" s="469">
        <v>-411.61825431034435</v>
      </c>
    </row>
    <row r="679" spans="4:15" ht="17.25">
      <c r="F679" s="12"/>
      <c r="H679" s="409"/>
      <c r="I679" s="358"/>
      <c r="J679" s="442"/>
      <c r="K679" s="280"/>
      <c r="L679" s="358"/>
      <c r="M679" s="579"/>
      <c r="N679" s="469"/>
      <c r="O679" s="469"/>
    </row>
    <row r="680" spans="4:15" ht="17.25">
      <c r="F680" s="361">
        <v>44498</v>
      </c>
      <c r="G680" s="361"/>
      <c r="H680" s="409"/>
      <c r="I680" s="358"/>
      <c r="J680" s="442"/>
      <c r="K680" s="280"/>
      <c r="L680" s="358"/>
      <c r="M680" s="579"/>
      <c r="N680" s="469"/>
      <c r="O680" s="469"/>
    </row>
    <row r="681" spans="4:15" ht="17.25">
      <c r="F681" s="12"/>
      <c r="G681" s="112" t="s">
        <v>33</v>
      </c>
      <c r="H681" s="409">
        <v>4</v>
      </c>
      <c r="I681" s="358">
        <v>540.78375000000005</v>
      </c>
      <c r="J681" s="442">
        <v>1</v>
      </c>
      <c r="K681" s="280">
        <v>540.78375000000005</v>
      </c>
      <c r="L681" s="358">
        <v>661.05</v>
      </c>
      <c r="M681" s="579">
        <v>1</v>
      </c>
      <c r="N681" s="469">
        <v>661.05</v>
      </c>
      <c r="O681" s="469">
        <v>-120.2662499999999</v>
      </c>
    </row>
    <row r="682" spans="4:15" ht="17.25">
      <c r="F682" s="12"/>
      <c r="H682" s="409"/>
      <c r="I682" s="358"/>
      <c r="J682" s="442"/>
      <c r="K682" s="280"/>
      <c r="L682" s="358"/>
      <c r="M682" s="579"/>
      <c r="N682" s="469"/>
      <c r="O682" s="469"/>
    </row>
    <row r="683" spans="4:15" ht="17.25">
      <c r="D683" s="361">
        <v>44831</v>
      </c>
      <c r="E683" s="361"/>
      <c r="F683" s="361"/>
      <c r="G683" s="361"/>
      <c r="H683" s="409"/>
      <c r="I683" s="358"/>
      <c r="J683" s="442"/>
      <c r="K683" s="280"/>
      <c r="L683" s="358"/>
      <c r="M683" s="579"/>
      <c r="N683" s="469"/>
      <c r="O683" s="469"/>
    </row>
    <row r="684" spans="4:15" ht="17.25">
      <c r="E684" s="12" t="s">
        <v>33</v>
      </c>
      <c r="F684" s="12"/>
      <c r="H684" s="409"/>
      <c r="I684" s="358"/>
      <c r="J684" s="442"/>
      <c r="K684" s="280"/>
      <c r="L684" s="358"/>
      <c r="M684" s="579"/>
      <c r="N684" s="469"/>
      <c r="O684" s="469"/>
    </row>
    <row r="685" spans="4:15" ht="17.25">
      <c r="F685" s="361">
        <v>44509</v>
      </c>
      <c r="G685" s="361"/>
      <c r="H685" s="409"/>
      <c r="I685" s="358"/>
      <c r="J685" s="442"/>
      <c r="K685" s="280"/>
      <c r="L685" s="358"/>
      <c r="M685" s="579"/>
      <c r="N685" s="469"/>
      <c r="O685" s="469"/>
    </row>
    <row r="686" spans="4:15" ht="17.25">
      <c r="F686" s="12"/>
      <c r="G686" s="112" t="s">
        <v>33</v>
      </c>
      <c r="H686" s="409">
        <v>14</v>
      </c>
      <c r="I686" s="358">
        <v>1834.4772727272725</v>
      </c>
      <c r="J686" s="442">
        <v>1</v>
      </c>
      <c r="K686" s="280">
        <v>1834.4772727272725</v>
      </c>
      <c r="L686" s="358">
        <v>2441.4560000000001</v>
      </c>
      <c r="M686" s="579">
        <v>1</v>
      </c>
      <c r="N686" s="469">
        <v>2441.4560000000001</v>
      </c>
      <c r="O686" s="469">
        <v>-606.97872727272704</v>
      </c>
    </row>
    <row r="687" spans="4:15" ht="17.25">
      <c r="F687" s="12"/>
      <c r="H687" s="409"/>
      <c r="I687" s="358"/>
      <c r="J687" s="442"/>
      <c r="K687" s="280"/>
      <c r="L687" s="358"/>
      <c r="M687" s="579"/>
      <c r="N687" s="469"/>
      <c r="O687" s="469"/>
    </row>
    <row r="688" spans="4:15" ht="17.25">
      <c r="F688" s="361">
        <v>44536</v>
      </c>
      <c r="G688" s="361"/>
      <c r="H688" s="409"/>
      <c r="I688" s="358"/>
      <c r="J688" s="442"/>
      <c r="K688" s="280"/>
      <c r="L688" s="358"/>
      <c r="M688" s="579"/>
      <c r="N688" s="469"/>
      <c r="O688" s="469"/>
    </row>
    <row r="689" spans="4:15" ht="17.25">
      <c r="F689" s="12"/>
      <c r="G689" s="112" t="s">
        <v>33</v>
      </c>
      <c r="H689" s="409">
        <v>22</v>
      </c>
      <c r="I689" s="358">
        <v>2901.4527272727273</v>
      </c>
      <c r="J689" s="442">
        <v>1</v>
      </c>
      <c r="K689" s="280">
        <v>2901.4527272727273</v>
      </c>
      <c r="L689" s="358">
        <v>3732.0234210526319</v>
      </c>
      <c r="M689" s="579">
        <v>1</v>
      </c>
      <c r="N689" s="469">
        <v>3732.0234210526319</v>
      </c>
      <c r="O689" s="469">
        <v>-830.57069377990456</v>
      </c>
    </row>
    <row r="690" spans="4:15" ht="17.25">
      <c r="F690" s="12"/>
      <c r="H690" s="409"/>
      <c r="I690" s="358"/>
      <c r="J690" s="442"/>
      <c r="K690" s="280"/>
      <c r="L690" s="358"/>
      <c r="M690" s="579"/>
      <c r="N690" s="469"/>
      <c r="O690" s="469"/>
    </row>
    <row r="691" spans="4:15" ht="17.25">
      <c r="D691" s="361">
        <v>44846</v>
      </c>
      <c r="E691" s="361"/>
      <c r="F691" s="361"/>
      <c r="G691" s="361"/>
      <c r="H691" s="409"/>
      <c r="I691" s="358"/>
      <c r="J691" s="442"/>
      <c r="K691" s="280"/>
      <c r="L691" s="358"/>
      <c r="M691" s="579"/>
      <c r="N691" s="469"/>
      <c r="O691" s="469"/>
    </row>
    <row r="692" spans="4:15" ht="17.25">
      <c r="E692" s="12" t="s">
        <v>33</v>
      </c>
      <c r="F692" s="12"/>
      <c r="H692" s="409"/>
      <c r="I692" s="358"/>
      <c r="J692" s="442"/>
      <c r="K692" s="280"/>
      <c r="L692" s="358"/>
      <c r="M692" s="579"/>
      <c r="N692" s="469"/>
      <c r="O692" s="469"/>
    </row>
    <row r="693" spans="4:15" ht="17.25">
      <c r="F693" s="361">
        <v>44536</v>
      </c>
      <c r="G693" s="361"/>
      <c r="H693" s="409"/>
      <c r="I693" s="358"/>
      <c r="J693" s="442"/>
      <c r="K693" s="280"/>
      <c r="L693" s="358"/>
      <c r="M693" s="579"/>
      <c r="N693" s="469"/>
      <c r="O693" s="469"/>
    </row>
    <row r="694" spans="4:15" ht="17.25">
      <c r="F694" s="12"/>
      <c r="G694" s="112" t="s">
        <v>33</v>
      </c>
      <c r="H694" s="409">
        <v>25</v>
      </c>
      <c r="I694" s="358">
        <v>3392.8095121951219</v>
      </c>
      <c r="J694" s="442">
        <v>1</v>
      </c>
      <c r="K694" s="280">
        <v>3392.8095121951219</v>
      </c>
      <c r="L694" s="358">
        <v>4244.286578947369</v>
      </c>
      <c r="M694" s="579">
        <v>1</v>
      </c>
      <c r="N694" s="469">
        <v>4244.286578947369</v>
      </c>
      <c r="O694" s="469">
        <v>-851.4770667522464</v>
      </c>
    </row>
    <row r="695" spans="4:15" ht="17.25">
      <c r="F695" s="12"/>
      <c r="H695" s="409"/>
      <c r="I695" s="358"/>
      <c r="J695" s="442"/>
      <c r="K695" s="280"/>
      <c r="L695" s="358"/>
      <c r="M695" s="579"/>
      <c r="N695" s="469"/>
      <c r="O695" s="469"/>
    </row>
    <row r="696" spans="4:15" ht="17.25">
      <c r="F696" s="361">
        <v>44551</v>
      </c>
      <c r="G696" s="361"/>
      <c r="H696" s="409"/>
      <c r="I696" s="358"/>
      <c r="J696" s="442"/>
      <c r="K696" s="280"/>
      <c r="L696" s="358"/>
      <c r="M696" s="579"/>
      <c r="N696" s="469"/>
      <c r="O696" s="469"/>
    </row>
    <row r="697" spans="4:15" ht="17.25">
      <c r="F697" s="12"/>
      <c r="G697" s="112" t="s">
        <v>33</v>
      </c>
      <c r="H697" s="409">
        <v>2</v>
      </c>
      <c r="I697" s="358">
        <v>271.52731707317076</v>
      </c>
      <c r="J697" s="442">
        <v>1</v>
      </c>
      <c r="K697" s="280">
        <v>271.52731707317076</v>
      </c>
      <c r="L697" s="358">
        <v>329.84</v>
      </c>
      <c r="M697" s="579">
        <v>1</v>
      </c>
      <c r="N697" s="469">
        <v>329.84</v>
      </c>
      <c r="O697" s="469">
        <v>-58.312682926829211</v>
      </c>
    </row>
    <row r="698" spans="4:15" ht="17.25">
      <c r="F698" s="12"/>
      <c r="H698" s="409"/>
      <c r="I698" s="358"/>
      <c r="J698" s="442"/>
      <c r="K698" s="280"/>
      <c r="L698" s="358"/>
      <c r="M698" s="579"/>
      <c r="N698" s="469"/>
      <c r="O698" s="469"/>
    </row>
    <row r="699" spans="4:15" ht="17.25">
      <c r="F699" s="361">
        <v>44537</v>
      </c>
      <c r="G699" s="361"/>
      <c r="H699" s="409"/>
      <c r="I699" s="358"/>
      <c r="J699" s="442"/>
      <c r="K699" s="280"/>
      <c r="L699" s="358"/>
      <c r="M699" s="579"/>
      <c r="N699" s="469"/>
      <c r="O699" s="469"/>
    </row>
    <row r="700" spans="4:15" ht="17.25">
      <c r="F700" s="12"/>
      <c r="G700" s="112" t="s">
        <v>33</v>
      </c>
      <c r="H700" s="409">
        <v>9</v>
      </c>
      <c r="I700" s="358">
        <v>1221.8729268292684</v>
      </c>
      <c r="J700" s="442">
        <v>1</v>
      </c>
      <c r="K700" s="280">
        <v>1221.8729268292684</v>
      </c>
      <c r="L700" s="358">
        <v>1562.08</v>
      </c>
      <c r="M700" s="579">
        <v>1</v>
      </c>
      <c r="N700" s="469">
        <v>1562.08</v>
      </c>
      <c r="O700" s="469">
        <v>-340.20707317073152</v>
      </c>
    </row>
    <row r="701" spans="4:15" ht="17.25">
      <c r="F701" s="12"/>
      <c r="H701" s="409"/>
      <c r="I701" s="358"/>
      <c r="J701" s="442"/>
      <c r="K701" s="280"/>
      <c r="L701" s="358"/>
      <c r="M701" s="579"/>
      <c r="N701" s="469"/>
      <c r="O701" s="469"/>
    </row>
    <row r="702" spans="4:15" ht="17.25">
      <c r="F702" s="361">
        <v>44552</v>
      </c>
      <c r="G702" s="361"/>
      <c r="H702" s="409"/>
      <c r="I702" s="358"/>
      <c r="J702" s="442"/>
      <c r="K702" s="280"/>
      <c r="L702" s="358"/>
      <c r="M702" s="579"/>
      <c r="N702" s="469"/>
      <c r="O702" s="469"/>
    </row>
    <row r="703" spans="4:15" ht="17.25">
      <c r="F703" s="12"/>
      <c r="G703" s="112" t="s">
        <v>33</v>
      </c>
      <c r="H703" s="409">
        <v>14</v>
      </c>
      <c r="I703" s="358">
        <v>1900.7702439024392</v>
      </c>
      <c r="J703" s="442">
        <v>1</v>
      </c>
      <c r="K703" s="280">
        <v>1900.7702439024392</v>
      </c>
      <c r="L703" s="358">
        <v>2335.7018867924526</v>
      </c>
      <c r="M703" s="579">
        <v>1</v>
      </c>
      <c r="N703" s="469">
        <v>2335.7018867924526</v>
      </c>
      <c r="O703" s="469">
        <v>-434.93164289001351</v>
      </c>
    </row>
    <row r="704" spans="4:15" ht="17.25">
      <c r="F704" s="12"/>
      <c r="H704" s="409"/>
      <c r="I704" s="358"/>
      <c r="J704" s="442"/>
      <c r="K704" s="280"/>
      <c r="L704" s="358"/>
      <c r="M704" s="579"/>
      <c r="N704" s="469"/>
      <c r="O704" s="469"/>
    </row>
    <row r="705" spans="4:15" ht="17.25">
      <c r="D705" s="361">
        <v>44847</v>
      </c>
      <c r="E705" s="361"/>
      <c r="F705" s="361"/>
      <c r="G705" s="361"/>
      <c r="H705" s="409"/>
      <c r="I705" s="358"/>
      <c r="J705" s="442"/>
      <c r="K705" s="280"/>
      <c r="L705" s="358"/>
      <c r="M705" s="579"/>
      <c r="N705" s="469"/>
      <c r="O705" s="469"/>
    </row>
    <row r="706" spans="4:15" ht="17.25">
      <c r="E706" s="12" t="s">
        <v>33</v>
      </c>
      <c r="F706" s="12"/>
      <c r="H706" s="409"/>
      <c r="I706" s="358"/>
      <c r="J706" s="442"/>
      <c r="K706" s="280"/>
      <c r="L706" s="358"/>
      <c r="M706" s="579"/>
      <c r="N706" s="469"/>
      <c r="O706" s="469"/>
    </row>
    <row r="707" spans="4:15" ht="17.25">
      <c r="F707" s="361">
        <v>44552</v>
      </c>
      <c r="G707" s="361"/>
      <c r="H707" s="409"/>
      <c r="I707" s="358"/>
      <c r="J707" s="442"/>
      <c r="K707" s="280"/>
      <c r="L707" s="358"/>
      <c r="M707" s="579"/>
      <c r="N707" s="469"/>
      <c r="O707" s="469"/>
    </row>
    <row r="708" spans="4:15" ht="17.25">
      <c r="F708" s="12"/>
      <c r="G708" s="112" t="s">
        <v>33</v>
      </c>
      <c r="H708" s="409">
        <v>2</v>
      </c>
      <c r="I708" s="358">
        <v>266.76</v>
      </c>
      <c r="J708" s="442">
        <v>1</v>
      </c>
      <c r="K708" s="280">
        <v>266.76</v>
      </c>
      <c r="L708" s="358">
        <v>333.67169811320753</v>
      </c>
      <c r="M708" s="579">
        <v>1</v>
      </c>
      <c r="N708" s="469">
        <v>333.67169811320753</v>
      </c>
      <c r="O708" s="469">
        <v>-66.911698113207535</v>
      </c>
    </row>
    <row r="709" spans="4:15" ht="17.25">
      <c r="F709" s="12"/>
      <c r="H709" s="409"/>
      <c r="I709" s="358"/>
      <c r="J709" s="442"/>
      <c r="K709" s="280"/>
      <c r="L709" s="358"/>
      <c r="M709" s="579"/>
      <c r="N709" s="469"/>
      <c r="O709" s="469"/>
    </row>
    <row r="710" spans="4:15" ht="17.25">
      <c r="D710" s="361">
        <v>44852</v>
      </c>
      <c r="E710" s="361"/>
      <c r="F710" s="361"/>
      <c r="G710" s="361"/>
      <c r="H710" s="409"/>
      <c r="I710" s="358"/>
      <c r="J710" s="442"/>
      <c r="K710" s="280"/>
      <c r="L710" s="358"/>
      <c r="M710" s="579"/>
      <c r="N710" s="469"/>
      <c r="O710" s="469"/>
    </row>
    <row r="711" spans="4:15" ht="17.25">
      <c r="E711" s="12" t="s">
        <v>33</v>
      </c>
      <c r="F711" s="12"/>
      <c r="H711" s="409"/>
      <c r="I711" s="358"/>
      <c r="J711" s="442"/>
      <c r="K711" s="280"/>
      <c r="L711" s="358"/>
      <c r="M711" s="579"/>
      <c r="N711" s="469"/>
      <c r="O711" s="469"/>
    </row>
    <row r="712" spans="4:15" ht="17.25">
      <c r="F712" s="361">
        <v>44575</v>
      </c>
      <c r="G712" s="361"/>
      <c r="H712" s="409"/>
      <c r="I712" s="358"/>
      <c r="J712" s="442"/>
      <c r="K712" s="280"/>
      <c r="L712" s="358"/>
      <c r="M712" s="579"/>
      <c r="N712" s="469"/>
      <c r="O712" s="469"/>
    </row>
    <row r="713" spans="4:15" ht="17.25">
      <c r="F713" s="12"/>
      <c r="G713" s="112" t="s">
        <v>33</v>
      </c>
      <c r="H713" s="409">
        <v>13</v>
      </c>
      <c r="I713" s="358">
        <v>1825.3408333333332</v>
      </c>
      <c r="J713" s="442">
        <v>1</v>
      </c>
      <c r="K713" s="280">
        <v>1825.3408333333332</v>
      </c>
      <c r="L713" s="358">
        <v>2213.6242222222222</v>
      </c>
      <c r="M713" s="579">
        <v>1</v>
      </c>
      <c r="N713" s="469">
        <v>2213.6242222222222</v>
      </c>
      <c r="O713" s="469">
        <v>-388.28338888888896</v>
      </c>
    </row>
    <row r="714" spans="4:15" ht="17.25">
      <c r="F714" s="12"/>
      <c r="H714" s="409"/>
      <c r="I714" s="358"/>
      <c r="J714" s="442"/>
      <c r="K714" s="280"/>
      <c r="L714" s="358"/>
      <c r="M714" s="579"/>
      <c r="N714" s="469"/>
      <c r="O714" s="469"/>
    </row>
    <row r="715" spans="4:15" ht="17.25">
      <c r="F715" s="361">
        <v>44552</v>
      </c>
      <c r="G715" s="361"/>
      <c r="H715" s="409"/>
      <c r="I715" s="358"/>
      <c r="J715" s="442"/>
      <c r="K715" s="280"/>
      <c r="L715" s="358"/>
      <c r="M715" s="579"/>
      <c r="N715" s="469"/>
      <c r="O715" s="469"/>
    </row>
    <row r="716" spans="4:15" ht="17.25">
      <c r="F716" s="12"/>
      <c r="G716" s="112" t="s">
        <v>33</v>
      </c>
      <c r="H716" s="409">
        <v>37</v>
      </c>
      <c r="I716" s="358">
        <v>5185.7791666666662</v>
      </c>
      <c r="J716" s="442">
        <v>1</v>
      </c>
      <c r="K716" s="280">
        <v>5185.7791666666662</v>
      </c>
      <c r="L716" s="358">
        <v>6172.9264150943391</v>
      </c>
      <c r="M716" s="579">
        <v>1</v>
      </c>
      <c r="N716" s="469">
        <v>6172.9264150943391</v>
      </c>
      <c r="O716" s="469">
        <v>-987.14724842767259</v>
      </c>
    </row>
    <row r="717" spans="4:15" ht="17.25">
      <c r="F717" s="12"/>
      <c r="H717" s="409"/>
      <c r="I717" s="358"/>
      <c r="J717" s="442"/>
      <c r="K717" s="280"/>
      <c r="L717" s="358"/>
      <c r="M717" s="579"/>
      <c r="N717" s="469"/>
      <c r="O717" s="469"/>
    </row>
    <row r="718" spans="4:15" ht="17.25">
      <c r="D718" s="361">
        <v>44853</v>
      </c>
      <c r="E718" s="361"/>
      <c r="F718" s="361"/>
      <c r="G718" s="361"/>
      <c r="H718" s="409"/>
      <c r="I718" s="358"/>
      <c r="J718" s="442"/>
      <c r="K718" s="280"/>
      <c r="L718" s="358"/>
      <c r="M718" s="579"/>
      <c r="N718" s="469"/>
      <c r="O718" s="469"/>
    </row>
    <row r="719" spans="4:15" ht="17.25">
      <c r="E719" s="12" t="s">
        <v>33</v>
      </c>
      <c r="F719" s="12"/>
      <c r="H719" s="409"/>
      <c r="I719" s="358"/>
      <c r="J719" s="442"/>
      <c r="K719" s="280"/>
      <c r="L719" s="358"/>
      <c r="M719" s="579"/>
      <c r="N719" s="469"/>
      <c r="O719" s="469"/>
    </row>
    <row r="720" spans="4:15" ht="17.25">
      <c r="F720" s="361">
        <v>44575</v>
      </c>
      <c r="G720" s="361"/>
      <c r="H720" s="409"/>
      <c r="I720" s="358"/>
      <c r="J720" s="442"/>
      <c r="K720" s="280"/>
      <c r="L720" s="358"/>
      <c r="M720" s="579"/>
      <c r="N720" s="469"/>
      <c r="O720" s="469"/>
    </row>
    <row r="721" spans="4:15" ht="17.25">
      <c r="F721" s="12"/>
      <c r="G721" s="112" t="s">
        <v>33</v>
      </c>
      <c r="H721" s="409">
        <v>3</v>
      </c>
      <c r="I721" s="358">
        <v>419.07</v>
      </c>
      <c r="J721" s="442">
        <v>1</v>
      </c>
      <c r="K721" s="280">
        <v>419.07</v>
      </c>
      <c r="L721" s="358">
        <v>509.42133333333334</v>
      </c>
      <c r="M721" s="579">
        <v>1</v>
      </c>
      <c r="N721" s="469">
        <v>509.42133333333334</v>
      </c>
      <c r="O721" s="469">
        <v>-90.351333333333343</v>
      </c>
    </row>
    <row r="722" spans="4:15" ht="17.25">
      <c r="F722" s="12"/>
      <c r="H722" s="409"/>
      <c r="I722" s="358"/>
      <c r="J722" s="442"/>
      <c r="K722" s="280"/>
      <c r="L722" s="358"/>
      <c r="M722" s="579"/>
      <c r="N722" s="469"/>
      <c r="O722" s="469"/>
    </row>
    <row r="723" spans="4:15" ht="17.25">
      <c r="D723" s="361">
        <v>44859</v>
      </c>
      <c r="E723" s="361"/>
      <c r="F723" s="361"/>
      <c r="G723" s="361"/>
      <c r="H723" s="409"/>
      <c r="I723" s="358"/>
      <c r="J723" s="442"/>
      <c r="K723" s="280"/>
      <c r="L723" s="358"/>
      <c r="M723" s="579"/>
      <c r="N723" s="469"/>
      <c r="O723" s="469"/>
    </row>
    <row r="724" spans="4:15" ht="17.25">
      <c r="E724" s="12" t="s">
        <v>33</v>
      </c>
      <c r="F724" s="12"/>
      <c r="H724" s="409"/>
      <c r="I724" s="358"/>
      <c r="J724" s="442"/>
      <c r="K724" s="280"/>
      <c r="L724" s="358"/>
      <c r="M724" s="579"/>
      <c r="N724" s="469"/>
      <c r="O724" s="469"/>
    </row>
    <row r="725" spans="4:15" ht="17.25">
      <c r="F725" s="361">
        <v>44575</v>
      </c>
      <c r="G725" s="361"/>
      <c r="H725" s="409"/>
      <c r="I725" s="358"/>
      <c r="J725" s="442"/>
      <c r="K725" s="280"/>
      <c r="L725" s="358"/>
      <c r="M725" s="579"/>
      <c r="N725" s="469"/>
      <c r="O725" s="469"/>
    </row>
    <row r="726" spans="4:15" ht="17.25">
      <c r="F726" s="12"/>
      <c r="G726" s="112" t="s">
        <v>33</v>
      </c>
      <c r="H726" s="409">
        <v>40</v>
      </c>
      <c r="I726" s="358">
        <v>5766.6496969696982</v>
      </c>
      <c r="J726" s="442">
        <v>1</v>
      </c>
      <c r="K726" s="280">
        <v>5766.6496969696982</v>
      </c>
      <c r="L726" s="358">
        <v>6792.2844444444445</v>
      </c>
      <c r="M726" s="579">
        <v>1</v>
      </c>
      <c r="N726" s="469">
        <v>6792.2844444444445</v>
      </c>
      <c r="O726" s="469">
        <v>-1025.6347474747465</v>
      </c>
    </row>
    <row r="727" spans="4:15" ht="17.25">
      <c r="F727" s="12"/>
      <c r="H727" s="409"/>
      <c r="I727" s="358"/>
      <c r="J727" s="442"/>
      <c r="K727" s="280"/>
      <c r="L727" s="358"/>
      <c r="M727" s="579"/>
      <c r="N727" s="469"/>
      <c r="O727" s="469"/>
    </row>
    <row r="728" spans="4:15" ht="17.25">
      <c r="F728" s="361">
        <v>44617</v>
      </c>
      <c r="G728" s="361"/>
      <c r="H728" s="409"/>
      <c r="I728" s="358"/>
      <c r="J728" s="442"/>
      <c r="K728" s="280"/>
      <c r="L728" s="358"/>
      <c r="M728" s="579"/>
      <c r="N728" s="469"/>
      <c r="O728" s="469"/>
    </row>
    <row r="729" spans="4:15" ht="17.25">
      <c r="F729" s="12"/>
      <c r="G729" s="112" t="s">
        <v>33</v>
      </c>
      <c r="H729" s="409">
        <v>6</v>
      </c>
      <c r="I729" s="358">
        <v>861.72030303030306</v>
      </c>
      <c r="J729" s="442">
        <v>1</v>
      </c>
      <c r="K729" s="280">
        <v>861.72030303030306</v>
      </c>
      <c r="L729" s="358">
        <v>887.57538461538456</v>
      </c>
      <c r="M729" s="579">
        <v>1</v>
      </c>
      <c r="N729" s="469">
        <v>887.57538461538456</v>
      </c>
      <c r="O729" s="469">
        <v>-25.855081585081564</v>
      </c>
    </row>
    <row r="730" spans="4:15" ht="17.25">
      <c r="F730" s="12"/>
      <c r="H730" s="409"/>
      <c r="I730" s="358"/>
      <c r="J730" s="442"/>
      <c r="K730" s="280"/>
      <c r="L730" s="358"/>
      <c r="M730" s="579"/>
      <c r="N730" s="469"/>
      <c r="O730" s="469"/>
    </row>
    <row r="731" spans="4:15" ht="17.25">
      <c r="D731" s="361">
        <v>44866</v>
      </c>
      <c r="E731" s="361"/>
      <c r="F731" s="361"/>
      <c r="G731" s="361"/>
      <c r="H731" s="409"/>
      <c r="I731" s="358"/>
      <c r="J731" s="442"/>
      <c r="K731" s="280"/>
      <c r="L731" s="358"/>
      <c r="M731" s="579"/>
      <c r="N731" s="469"/>
      <c r="O731" s="469"/>
    </row>
    <row r="732" spans="4:15" ht="17.25">
      <c r="E732" s="12" t="s">
        <v>33</v>
      </c>
      <c r="F732" s="12"/>
      <c r="H732" s="409"/>
      <c r="I732" s="358"/>
      <c r="J732" s="442"/>
      <c r="K732" s="280"/>
      <c r="L732" s="358"/>
      <c r="M732" s="579"/>
      <c r="N732" s="469"/>
      <c r="O732" s="469"/>
    </row>
    <row r="733" spans="4:15" ht="17.25">
      <c r="F733" s="361">
        <v>44617</v>
      </c>
      <c r="G733" s="361"/>
      <c r="H733" s="409"/>
      <c r="I733" s="358"/>
      <c r="J733" s="442"/>
      <c r="K733" s="280"/>
      <c r="L733" s="358"/>
      <c r="M733" s="579"/>
      <c r="N733" s="469"/>
      <c r="O733" s="469"/>
    </row>
    <row r="734" spans="4:15" ht="17.25">
      <c r="F734" s="12"/>
      <c r="G734" s="112" t="s">
        <v>33</v>
      </c>
      <c r="H734" s="409">
        <v>19</v>
      </c>
      <c r="I734" s="358">
        <v>2818.5186666666664</v>
      </c>
      <c r="J734" s="442">
        <v>1</v>
      </c>
      <c r="K734" s="280">
        <v>2818.5186666666664</v>
      </c>
      <c r="L734" s="358">
        <v>2800.5246153846156</v>
      </c>
      <c r="M734" s="579">
        <v>1</v>
      </c>
      <c r="N734" s="469">
        <v>2800.5246153846156</v>
      </c>
      <c r="O734" s="469">
        <v>17.994051282051203</v>
      </c>
    </row>
    <row r="735" spans="4:15" ht="17.25">
      <c r="F735" s="12"/>
      <c r="H735" s="409"/>
      <c r="I735" s="358"/>
      <c r="J735" s="442"/>
      <c r="K735" s="280"/>
      <c r="L735" s="358"/>
      <c r="M735" s="579"/>
      <c r="N735" s="469"/>
      <c r="O735" s="469"/>
    </row>
    <row r="736" spans="4:15" ht="17.25">
      <c r="F736" s="361">
        <v>44855</v>
      </c>
      <c r="G736" s="361"/>
      <c r="H736" s="409"/>
      <c r="I736" s="358"/>
      <c r="J736" s="442"/>
      <c r="K736" s="280"/>
      <c r="L736" s="358"/>
      <c r="M736" s="579"/>
      <c r="N736" s="469"/>
      <c r="O736" s="469"/>
    </row>
    <row r="737" spans="3:15" ht="17.25">
      <c r="F737" s="12"/>
      <c r="G737" s="112" t="s">
        <v>33</v>
      </c>
      <c r="H737" s="409">
        <v>19</v>
      </c>
      <c r="I737" s="358">
        <v>2835.5513333333333</v>
      </c>
      <c r="J737" s="442">
        <v>1</v>
      </c>
      <c r="K737" s="280">
        <v>2835.5513333333333</v>
      </c>
      <c r="L737" s="358">
        <v>2572.9799999999996</v>
      </c>
      <c r="M737" s="579">
        <v>1</v>
      </c>
      <c r="N737" s="469">
        <v>2572.9799999999996</v>
      </c>
      <c r="O737" s="469">
        <v>262.57133333333354</v>
      </c>
    </row>
    <row r="738" spans="3:15" ht="17.25">
      <c r="F738" s="12"/>
      <c r="H738" s="409"/>
      <c r="I738" s="358"/>
      <c r="J738" s="442"/>
      <c r="K738" s="280"/>
      <c r="L738" s="358"/>
      <c r="M738" s="579"/>
      <c r="N738" s="469"/>
      <c r="O738" s="469"/>
    </row>
    <row r="739" spans="3:15" ht="17.25">
      <c r="C739" s="342" t="s">
        <v>312</v>
      </c>
      <c r="D739" s="342"/>
      <c r="E739" s="342"/>
      <c r="F739" s="342"/>
      <c r="G739" s="342"/>
      <c r="H739" s="410">
        <v>558</v>
      </c>
      <c r="I739" s="407">
        <v>77432.020000000019</v>
      </c>
      <c r="J739" s="460">
        <v>1</v>
      </c>
      <c r="K739" s="413">
        <v>77432.020000000019</v>
      </c>
      <c r="L739" s="407">
        <v>89967.29</v>
      </c>
      <c r="M739" s="580">
        <v>1</v>
      </c>
      <c r="N739" s="470">
        <v>89967.29</v>
      </c>
      <c r="O739" s="470">
        <v>-12535.27</v>
      </c>
    </row>
    <row r="740" spans="3:15" ht="17.25">
      <c r="F740" s="12"/>
      <c r="H740" s="409"/>
      <c r="I740" s="358"/>
      <c r="J740" s="442"/>
      <c r="K740" s="280"/>
      <c r="L740" s="358"/>
      <c r="M740" s="579"/>
      <c r="N740" s="469"/>
      <c r="O740" s="469"/>
    </row>
    <row r="741" spans="3:15" ht="17.25">
      <c r="C741" s="12" t="s">
        <v>313</v>
      </c>
      <c r="F741" s="12"/>
      <c r="H741" s="409"/>
      <c r="I741" s="358"/>
      <c r="J741" s="442"/>
      <c r="K741" s="280"/>
      <c r="L741" s="358"/>
      <c r="M741" s="579"/>
      <c r="N741" s="469"/>
      <c r="O741" s="469"/>
    </row>
    <row r="742" spans="3:15" ht="17.25">
      <c r="D742" s="361">
        <v>44657</v>
      </c>
      <c r="E742" s="361"/>
      <c r="F742" s="361"/>
      <c r="G742" s="361"/>
      <c r="H742" s="409"/>
      <c r="I742" s="358"/>
      <c r="J742" s="442"/>
      <c r="K742" s="280"/>
      <c r="L742" s="358"/>
      <c r="M742" s="579"/>
      <c r="N742" s="469"/>
      <c r="O742" s="469"/>
    </row>
    <row r="743" spans="3:15" ht="17.25">
      <c r="E743" s="12" t="s">
        <v>33</v>
      </c>
      <c r="F743" s="12"/>
      <c r="H743" s="409"/>
      <c r="I743" s="358"/>
      <c r="J743" s="442"/>
      <c r="K743" s="280"/>
      <c r="L743" s="358"/>
      <c r="M743" s="579"/>
      <c r="N743" s="469"/>
      <c r="O743" s="469"/>
    </row>
    <row r="744" spans="3:15" ht="17.25">
      <c r="F744" s="361">
        <v>44655</v>
      </c>
      <c r="G744" s="361"/>
      <c r="H744" s="409"/>
      <c r="I744" s="358"/>
      <c r="J744" s="442"/>
      <c r="K744" s="280"/>
      <c r="L744" s="358"/>
      <c r="M744" s="579"/>
      <c r="N744" s="469"/>
      <c r="O744" s="469"/>
    </row>
    <row r="745" spans="3:15" ht="17.25">
      <c r="F745" s="12"/>
      <c r="G745" s="112" t="s">
        <v>33</v>
      </c>
      <c r="H745" s="409">
        <v>26</v>
      </c>
      <c r="I745" s="358">
        <v>739.99</v>
      </c>
      <c r="J745" s="442">
        <v>1</v>
      </c>
      <c r="K745" s="280">
        <v>739.99</v>
      </c>
      <c r="L745" s="358">
        <v>764.33</v>
      </c>
      <c r="M745" s="579">
        <v>1</v>
      </c>
      <c r="N745" s="469">
        <v>764.33</v>
      </c>
      <c r="O745" s="469">
        <v>-24.34000000000006</v>
      </c>
    </row>
    <row r="746" spans="3:15" ht="17.25">
      <c r="F746" s="12"/>
      <c r="H746" s="409"/>
      <c r="I746" s="358"/>
      <c r="J746" s="442"/>
      <c r="K746" s="280"/>
      <c r="L746" s="358"/>
      <c r="M746" s="579"/>
      <c r="N746" s="469"/>
      <c r="O746" s="469"/>
    </row>
    <row r="747" spans="3:15" ht="17.25">
      <c r="C747" s="342" t="s">
        <v>314</v>
      </c>
      <c r="D747" s="342"/>
      <c r="E747" s="342"/>
      <c r="F747" s="342"/>
      <c r="G747" s="342"/>
      <c r="H747" s="410">
        <v>26</v>
      </c>
      <c r="I747" s="407">
        <v>739.99</v>
      </c>
      <c r="J747" s="460">
        <v>1</v>
      </c>
      <c r="K747" s="413">
        <v>739.99</v>
      </c>
      <c r="L747" s="407">
        <v>764.33</v>
      </c>
      <c r="M747" s="580">
        <v>1</v>
      </c>
      <c r="N747" s="470">
        <v>764.33</v>
      </c>
      <c r="O747" s="470">
        <v>-24.34000000000006</v>
      </c>
    </row>
    <row r="748" spans="3:15" ht="17.25">
      <c r="F748" s="12"/>
      <c r="H748" s="409"/>
      <c r="I748" s="358"/>
      <c r="J748" s="442"/>
      <c r="K748" s="280"/>
      <c r="L748" s="358"/>
      <c r="M748" s="579"/>
      <c r="N748" s="469"/>
      <c r="O748" s="469"/>
    </row>
    <row r="749" spans="3:15" ht="17.25">
      <c r="C749" s="12" t="s">
        <v>172</v>
      </c>
      <c r="F749" s="12"/>
      <c r="H749" s="409"/>
      <c r="I749" s="358"/>
      <c r="J749" s="442"/>
      <c r="K749" s="280"/>
      <c r="L749" s="358"/>
      <c r="M749" s="579"/>
      <c r="N749" s="469"/>
      <c r="O749" s="469"/>
    </row>
    <row r="750" spans="3:15" ht="17.25">
      <c r="D750" s="361">
        <v>44678</v>
      </c>
      <c r="E750" s="361"/>
      <c r="F750" s="361"/>
      <c r="G750" s="361"/>
      <c r="H750" s="409"/>
      <c r="I750" s="358"/>
      <c r="J750" s="442"/>
      <c r="K750" s="280"/>
      <c r="L750" s="358"/>
      <c r="M750" s="579"/>
      <c r="N750" s="469"/>
      <c r="O750" s="469"/>
    </row>
    <row r="751" spans="3:15" ht="17.25">
      <c r="E751" s="12" t="s">
        <v>33</v>
      </c>
      <c r="F751" s="12"/>
      <c r="H751" s="409"/>
      <c r="I751" s="358"/>
      <c r="J751" s="442"/>
      <c r="K751" s="280"/>
      <c r="L751" s="358"/>
      <c r="M751" s="579"/>
      <c r="N751" s="469"/>
      <c r="O751" s="469"/>
    </row>
    <row r="752" spans="3:15" ht="17.25">
      <c r="F752" s="361">
        <v>43830</v>
      </c>
      <c r="G752" s="361"/>
      <c r="H752" s="409"/>
      <c r="I752" s="358"/>
      <c r="J752" s="442"/>
      <c r="K752" s="280"/>
      <c r="L752" s="358"/>
      <c r="M752" s="579"/>
      <c r="N752" s="469"/>
      <c r="O752" s="469"/>
    </row>
    <row r="753" spans="3:15" ht="17.25">
      <c r="F753" s="12"/>
      <c r="G753" s="112" t="s">
        <v>33</v>
      </c>
      <c r="H753" s="409">
        <v>64</v>
      </c>
      <c r="I753" s="358">
        <v>19443.099999999999</v>
      </c>
      <c r="J753" s="442">
        <v>1</v>
      </c>
      <c r="K753" s="280">
        <v>19443.099999999999</v>
      </c>
      <c r="L753" s="358">
        <v>19443.099999999999</v>
      </c>
      <c r="M753" s="579">
        <v>1</v>
      </c>
      <c r="N753" s="469">
        <v>19443.099999999999</v>
      </c>
      <c r="O753" s="469">
        <v>0</v>
      </c>
    </row>
    <row r="754" spans="3:15" ht="17.25">
      <c r="F754" s="12"/>
      <c r="H754" s="409"/>
      <c r="I754" s="358"/>
      <c r="J754" s="442"/>
      <c r="K754" s="280"/>
      <c r="L754" s="358"/>
      <c r="M754" s="579"/>
      <c r="N754" s="469"/>
      <c r="O754" s="469"/>
    </row>
    <row r="755" spans="3:15" ht="17.25">
      <c r="C755" s="342" t="s">
        <v>315</v>
      </c>
      <c r="D755" s="342"/>
      <c r="E755" s="342"/>
      <c r="F755" s="342"/>
      <c r="G755" s="342"/>
      <c r="H755" s="410">
        <v>64</v>
      </c>
      <c r="I755" s="407">
        <v>19443.099999999999</v>
      </c>
      <c r="J755" s="460">
        <v>1</v>
      </c>
      <c r="K755" s="413">
        <v>19443.099999999999</v>
      </c>
      <c r="L755" s="407">
        <v>19443.099999999999</v>
      </c>
      <c r="M755" s="580">
        <v>1</v>
      </c>
      <c r="N755" s="470">
        <v>19443.099999999999</v>
      </c>
      <c r="O755" s="470">
        <v>0</v>
      </c>
    </row>
    <row r="756" spans="3:15" ht="17.25">
      <c r="F756" s="12"/>
      <c r="H756" s="409"/>
      <c r="I756" s="358"/>
      <c r="J756" s="442"/>
      <c r="K756" s="280"/>
      <c r="L756" s="358"/>
      <c r="M756" s="579"/>
      <c r="N756" s="469"/>
      <c r="O756" s="469"/>
    </row>
    <row r="757" spans="3:15" ht="17.25">
      <c r="C757" s="12" t="s">
        <v>155</v>
      </c>
      <c r="F757" s="12"/>
      <c r="H757" s="409"/>
      <c r="I757" s="358"/>
      <c r="J757" s="442"/>
      <c r="K757" s="280"/>
      <c r="L757" s="358"/>
      <c r="M757" s="579"/>
      <c r="N757" s="469"/>
      <c r="O757" s="469"/>
    </row>
    <row r="758" spans="3:15" ht="17.25">
      <c r="D758" s="361">
        <v>44575</v>
      </c>
      <c r="E758" s="361"/>
      <c r="F758" s="361"/>
      <c r="G758" s="361"/>
      <c r="H758" s="409"/>
      <c r="I758" s="358"/>
      <c r="J758" s="442"/>
      <c r="K758" s="280"/>
      <c r="L758" s="358"/>
      <c r="M758" s="579"/>
      <c r="N758" s="469"/>
      <c r="O758" s="469"/>
    </row>
    <row r="759" spans="3:15" ht="17.25">
      <c r="E759" s="12" t="s">
        <v>33</v>
      </c>
      <c r="F759" s="12"/>
      <c r="H759" s="409"/>
      <c r="I759" s="358"/>
      <c r="J759" s="442"/>
      <c r="K759" s="280"/>
      <c r="L759" s="358"/>
      <c r="M759" s="579"/>
      <c r="N759" s="469"/>
      <c r="O759" s="469"/>
    </row>
    <row r="760" spans="3:15" ht="17.25">
      <c r="F760" s="361">
        <v>43799</v>
      </c>
      <c r="G760" s="361"/>
      <c r="H760" s="409"/>
      <c r="I760" s="358"/>
      <c r="J760" s="442"/>
      <c r="K760" s="280"/>
      <c r="L760" s="358"/>
      <c r="M760" s="579"/>
      <c r="N760" s="469"/>
      <c r="O760" s="469"/>
    </row>
    <row r="761" spans="3:15" ht="17.25">
      <c r="F761" s="12"/>
      <c r="G761" s="112" t="s">
        <v>33</v>
      </c>
      <c r="H761" s="409">
        <v>15</v>
      </c>
      <c r="I761" s="358">
        <v>3656.28</v>
      </c>
      <c r="J761" s="442">
        <v>1</v>
      </c>
      <c r="K761" s="280">
        <v>3656.28</v>
      </c>
      <c r="L761" s="358">
        <v>1507.3236559139787</v>
      </c>
      <c r="M761" s="579">
        <v>1</v>
      </c>
      <c r="N761" s="469">
        <v>1507.3236559139787</v>
      </c>
      <c r="O761" s="469">
        <v>2148.9563440860211</v>
      </c>
    </row>
    <row r="762" spans="3:15" ht="17.25">
      <c r="F762" s="12"/>
      <c r="H762" s="409"/>
      <c r="I762" s="358"/>
      <c r="J762" s="442"/>
      <c r="K762" s="280"/>
      <c r="L762" s="358"/>
      <c r="M762" s="579"/>
      <c r="N762" s="469"/>
      <c r="O762" s="469"/>
    </row>
    <row r="763" spans="3:15" ht="17.25">
      <c r="D763" s="361">
        <v>44578</v>
      </c>
      <c r="E763" s="361"/>
      <c r="F763" s="361"/>
      <c r="G763" s="361"/>
      <c r="H763" s="409"/>
      <c r="I763" s="358"/>
      <c r="J763" s="442"/>
      <c r="K763" s="280"/>
      <c r="L763" s="358"/>
      <c r="M763" s="579"/>
      <c r="N763" s="469"/>
      <c r="O763" s="469"/>
    </row>
    <row r="764" spans="3:15" ht="17.25">
      <c r="E764" s="12" t="s">
        <v>33</v>
      </c>
      <c r="F764" s="12"/>
      <c r="H764" s="409"/>
      <c r="I764" s="358"/>
      <c r="J764" s="442"/>
      <c r="K764" s="280"/>
      <c r="L764" s="358"/>
      <c r="M764" s="579"/>
      <c r="N764" s="469"/>
      <c r="O764" s="469"/>
    </row>
    <row r="765" spans="3:15" ht="17.25">
      <c r="F765" s="361">
        <v>43799</v>
      </c>
      <c r="G765" s="361"/>
      <c r="H765" s="409"/>
      <c r="I765" s="358"/>
      <c r="J765" s="442"/>
      <c r="K765" s="280"/>
      <c r="L765" s="358"/>
      <c r="M765" s="579"/>
      <c r="N765" s="469"/>
      <c r="O765" s="469"/>
    </row>
    <row r="766" spans="3:15" ht="17.25">
      <c r="F766" s="12"/>
      <c r="G766" s="112" t="s">
        <v>33</v>
      </c>
      <c r="H766" s="409">
        <v>15</v>
      </c>
      <c r="I766" s="358">
        <v>3651.23</v>
      </c>
      <c r="J766" s="442">
        <v>1</v>
      </c>
      <c r="K766" s="280">
        <v>3651.23</v>
      </c>
      <c r="L766" s="358">
        <v>1507.3236559139787</v>
      </c>
      <c r="M766" s="579">
        <v>1</v>
      </c>
      <c r="N766" s="469">
        <v>1507.3236559139787</v>
      </c>
      <c r="O766" s="469">
        <v>2143.9063440860214</v>
      </c>
    </row>
    <row r="767" spans="3:15" ht="17.25">
      <c r="F767" s="12"/>
      <c r="H767" s="409"/>
      <c r="I767" s="358"/>
      <c r="J767" s="442"/>
      <c r="K767" s="280"/>
      <c r="L767" s="358"/>
      <c r="M767" s="579"/>
      <c r="N767" s="469"/>
      <c r="O767" s="469"/>
    </row>
    <row r="768" spans="3:15" ht="17.25">
      <c r="D768" s="361">
        <v>44582</v>
      </c>
      <c r="E768" s="361"/>
      <c r="F768" s="361"/>
      <c r="G768" s="361"/>
      <c r="H768" s="409"/>
      <c r="I768" s="358"/>
      <c r="J768" s="442"/>
      <c r="K768" s="280"/>
      <c r="L768" s="358"/>
      <c r="M768" s="579"/>
      <c r="N768" s="469"/>
      <c r="O768" s="469"/>
    </row>
    <row r="769" spans="4:15" ht="17.25">
      <c r="E769" s="12" t="s">
        <v>33</v>
      </c>
      <c r="F769" s="12"/>
      <c r="H769" s="409"/>
      <c r="I769" s="358"/>
      <c r="J769" s="442"/>
      <c r="K769" s="280"/>
      <c r="L769" s="358"/>
      <c r="M769" s="579"/>
      <c r="N769" s="469"/>
      <c r="O769" s="469"/>
    </row>
    <row r="770" spans="4:15" ht="17.25">
      <c r="F770" s="361">
        <v>43799</v>
      </c>
      <c r="G770" s="361"/>
      <c r="H770" s="409"/>
      <c r="I770" s="358"/>
      <c r="J770" s="442"/>
      <c r="K770" s="280"/>
      <c r="L770" s="358"/>
      <c r="M770" s="579"/>
      <c r="N770" s="469"/>
      <c r="O770" s="469"/>
    </row>
    <row r="771" spans="4:15" ht="17.25">
      <c r="F771" s="12"/>
      <c r="G771" s="112" t="s">
        <v>33</v>
      </c>
      <c r="H771" s="409">
        <v>8</v>
      </c>
      <c r="I771" s="358">
        <v>1913.3100000000002</v>
      </c>
      <c r="J771" s="442">
        <v>1</v>
      </c>
      <c r="K771" s="280">
        <v>1913.3100000000002</v>
      </c>
      <c r="L771" s="358">
        <v>803.90594982078858</v>
      </c>
      <c r="M771" s="579">
        <v>1</v>
      </c>
      <c r="N771" s="469">
        <v>803.90594982078858</v>
      </c>
      <c r="O771" s="469">
        <v>1109.4040501792115</v>
      </c>
    </row>
    <row r="772" spans="4:15" ht="17.25">
      <c r="F772" s="12"/>
      <c r="H772" s="409"/>
      <c r="I772" s="358"/>
      <c r="J772" s="442"/>
      <c r="K772" s="280"/>
      <c r="L772" s="358"/>
      <c r="M772" s="579"/>
      <c r="N772" s="469"/>
      <c r="O772" s="469"/>
    </row>
    <row r="773" spans="4:15" ht="17.25">
      <c r="D773" s="361">
        <v>44585</v>
      </c>
      <c r="E773" s="361"/>
      <c r="F773" s="361"/>
      <c r="G773" s="361"/>
      <c r="H773" s="409"/>
      <c r="I773" s="358"/>
      <c r="J773" s="442"/>
      <c r="K773" s="280"/>
      <c r="L773" s="358"/>
      <c r="M773" s="579"/>
      <c r="N773" s="469"/>
      <c r="O773" s="469"/>
    </row>
    <row r="774" spans="4:15" ht="17.25">
      <c r="E774" s="12" t="s">
        <v>33</v>
      </c>
      <c r="F774" s="12"/>
      <c r="H774" s="409"/>
      <c r="I774" s="358"/>
      <c r="J774" s="442"/>
      <c r="K774" s="280"/>
      <c r="L774" s="358"/>
      <c r="M774" s="579"/>
      <c r="N774" s="469"/>
      <c r="O774" s="469"/>
    </row>
    <row r="775" spans="4:15" ht="17.25">
      <c r="F775" s="361">
        <v>43799</v>
      </c>
      <c r="G775" s="361"/>
      <c r="H775" s="409"/>
      <c r="I775" s="358"/>
      <c r="J775" s="442"/>
      <c r="K775" s="280"/>
      <c r="L775" s="358"/>
      <c r="M775" s="579"/>
      <c r="N775" s="469"/>
      <c r="O775" s="469"/>
    </row>
    <row r="776" spans="4:15" ht="17.25">
      <c r="F776" s="12"/>
      <c r="G776" s="112" t="s">
        <v>33</v>
      </c>
      <c r="H776" s="409">
        <v>19</v>
      </c>
      <c r="I776" s="358">
        <v>4506.5200000000004</v>
      </c>
      <c r="J776" s="442">
        <v>1</v>
      </c>
      <c r="K776" s="280">
        <v>4506.5200000000004</v>
      </c>
      <c r="L776" s="358">
        <v>1909.2766308243729</v>
      </c>
      <c r="M776" s="579">
        <v>1</v>
      </c>
      <c r="N776" s="469">
        <v>1909.2766308243729</v>
      </c>
      <c r="O776" s="469">
        <v>2597.2433691756273</v>
      </c>
    </row>
    <row r="777" spans="4:15" ht="17.25">
      <c r="F777" s="12"/>
      <c r="H777" s="409"/>
      <c r="I777" s="358"/>
      <c r="J777" s="442"/>
      <c r="K777" s="280"/>
      <c r="L777" s="358"/>
      <c r="M777" s="579"/>
      <c r="N777" s="469"/>
      <c r="O777" s="469"/>
    </row>
    <row r="778" spans="4:15" ht="17.25">
      <c r="D778" s="361">
        <v>44586</v>
      </c>
      <c r="E778" s="361"/>
      <c r="F778" s="361"/>
      <c r="G778" s="361"/>
      <c r="H778" s="409"/>
      <c r="I778" s="358"/>
      <c r="J778" s="442"/>
      <c r="K778" s="280"/>
      <c r="L778" s="358"/>
      <c r="M778" s="579"/>
      <c r="N778" s="469"/>
      <c r="O778" s="469"/>
    </row>
    <row r="779" spans="4:15" ht="17.25">
      <c r="E779" s="12" t="s">
        <v>33</v>
      </c>
      <c r="F779" s="12"/>
      <c r="H779" s="409"/>
      <c r="I779" s="358"/>
      <c r="J779" s="442"/>
      <c r="K779" s="280"/>
      <c r="L779" s="358"/>
      <c r="M779" s="579"/>
      <c r="N779" s="469"/>
      <c r="O779" s="469"/>
    </row>
    <row r="780" spans="4:15" ht="17.25">
      <c r="F780" s="361">
        <v>43799</v>
      </c>
      <c r="G780" s="361"/>
      <c r="H780" s="409"/>
      <c r="I780" s="358"/>
      <c r="J780" s="442"/>
      <c r="K780" s="280"/>
      <c r="L780" s="358"/>
      <c r="M780" s="579"/>
      <c r="N780" s="469"/>
      <c r="O780" s="469"/>
    </row>
    <row r="781" spans="4:15" ht="17.25">
      <c r="F781" s="12"/>
      <c r="G781" s="112" t="s">
        <v>33</v>
      </c>
      <c r="H781" s="409">
        <v>28</v>
      </c>
      <c r="I781" s="358">
        <v>6540.18</v>
      </c>
      <c r="J781" s="442">
        <v>1</v>
      </c>
      <c r="K781" s="280">
        <v>6540.18</v>
      </c>
      <c r="L781" s="358">
        <v>2813.6708243727603</v>
      </c>
      <c r="M781" s="579">
        <v>1</v>
      </c>
      <c r="N781" s="469">
        <v>2813.6708243727603</v>
      </c>
      <c r="O781" s="469">
        <v>3726.5091756272395</v>
      </c>
    </row>
    <row r="782" spans="4:15" ht="17.25">
      <c r="F782" s="12"/>
      <c r="H782" s="409"/>
      <c r="I782" s="358"/>
      <c r="J782" s="442"/>
      <c r="K782" s="280"/>
      <c r="L782" s="358"/>
      <c r="M782" s="579"/>
      <c r="N782" s="469"/>
      <c r="O782" s="469"/>
    </row>
    <row r="783" spans="4:15" ht="17.25">
      <c r="D783" s="361">
        <v>44601</v>
      </c>
      <c r="E783" s="361"/>
      <c r="F783" s="361"/>
      <c r="G783" s="361"/>
      <c r="H783" s="409"/>
      <c r="I783" s="358"/>
      <c r="J783" s="442"/>
      <c r="K783" s="280"/>
      <c r="L783" s="358"/>
      <c r="M783" s="579"/>
      <c r="N783" s="469"/>
      <c r="O783" s="469"/>
    </row>
    <row r="784" spans="4:15" ht="17.25">
      <c r="E784" s="12" t="s">
        <v>33</v>
      </c>
      <c r="F784" s="12"/>
      <c r="H784" s="409"/>
      <c r="I784" s="358"/>
      <c r="J784" s="442"/>
      <c r="K784" s="280"/>
      <c r="L784" s="358"/>
      <c r="M784" s="579"/>
      <c r="N784" s="469"/>
      <c r="O784" s="469"/>
    </row>
    <row r="785" spans="4:15" ht="17.25">
      <c r="F785" s="361">
        <v>43799</v>
      </c>
      <c r="G785" s="361"/>
      <c r="H785" s="409"/>
      <c r="I785" s="358"/>
      <c r="J785" s="442"/>
      <c r="K785" s="280"/>
      <c r="L785" s="358"/>
      <c r="M785" s="579"/>
      <c r="N785" s="469"/>
      <c r="O785" s="469"/>
    </row>
    <row r="786" spans="4:15" ht="17.25">
      <c r="F786" s="12"/>
      <c r="G786" s="112" t="s">
        <v>33</v>
      </c>
      <c r="H786" s="409">
        <v>24</v>
      </c>
      <c r="I786" s="358">
        <v>5440.6500000000005</v>
      </c>
      <c r="J786" s="442">
        <v>1</v>
      </c>
      <c r="K786" s="280">
        <v>5440.6500000000005</v>
      </c>
      <c r="L786" s="358">
        <v>2411.7178494623658</v>
      </c>
      <c r="M786" s="579">
        <v>1</v>
      </c>
      <c r="N786" s="469">
        <v>2411.7178494623658</v>
      </c>
      <c r="O786" s="469">
        <v>3028.9321505376347</v>
      </c>
    </row>
    <row r="787" spans="4:15" ht="17.25">
      <c r="F787" s="12"/>
      <c r="H787" s="409"/>
      <c r="I787" s="358"/>
      <c r="J787" s="442"/>
      <c r="K787" s="280"/>
      <c r="L787" s="358"/>
      <c r="M787" s="579"/>
      <c r="N787" s="469"/>
      <c r="O787" s="469"/>
    </row>
    <row r="788" spans="4:15" ht="17.25">
      <c r="D788" s="361">
        <v>44602</v>
      </c>
      <c r="E788" s="361"/>
      <c r="F788" s="361"/>
      <c r="G788" s="361"/>
      <c r="H788" s="409"/>
      <c r="I788" s="358"/>
      <c r="J788" s="442"/>
      <c r="K788" s="280"/>
      <c r="L788" s="358"/>
      <c r="M788" s="579"/>
      <c r="N788" s="469"/>
      <c r="O788" s="469"/>
    </row>
    <row r="789" spans="4:15" ht="17.25">
      <c r="E789" s="12" t="s">
        <v>33</v>
      </c>
      <c r="F789" s="12"/>
      <c r="H789" s="409"/>
      <c r="I789" s="358"/>
      <c r="J789" s="442"/>
      <c r="K789" s="280"/>
      <c r="L789" s="358"/>
      <c r="M789" s="579"/>
      <c r="N789" s="469"/>
      <c r="O789" s="469"/>
    </row>
    <row r="790" spans="4:15" ht="17.25">
      <c r="F790" s="361">
        <v>43799</v>
      </c>
      <c r="G790" s="361"/>
      <c r="H790" s="409"/>
      <c r="I790" s="358"/>
      <c r="J790" s="442"/>
      <c r="K790" s="280"/>
      <c r="L790" s="358"/>
      <c r="M790" s="579"/>
      <c r="N790" s="469"/>
      <c r="O790" s="469"/>
    </row>
    <row r="791" spans="4:15" ht="17.25">
      <c r="F791" s="12"/>
      <c r="G791" s="112" t="s">
        <v>33</v>
      </c>
      <c r="H791" s="409">
        <v>4</v>
      </c>
      <c r="I791" s="358">
        <v>893.11</v>
      </c>
      <c r="J791" s="442">
        <v>1</v>
      </c>
      <c r="K791" s="280">
        <v>893.11</v>
      </c>
      <c r="L791" s="358">
        <v>401.95297491039429</v>
      </c>
      <c r="M791" s="579">
        <v>1</v>
      </c>
      <c r="N791" s="469">
        <v>401.95297491039429</v>
      </c>
      <c r="O791" s="469">
        <v>491.15702508960572</v>
      </c>
    </row>
    <row r="792" spans="4:15" ht="17.25">
      <c r="F792" s="12"/>
      <c r="H792" s="409"/>
      <c r="I792" s="358"/>
      <c r="J792" s="442"/>
      <c r="K792" s="280"/>
      <c r="L792" s="358"/>
      <c r="M792" s="579"/>
      <c r="N792" s="469"/>
      <c r="O792" s="469"/>
    </row>
    <row r="793" spans="4:15" ht="17.25">
      <c r="D793" s="361">
        <v>44616</v>
      </c>
      <c r="E793" s="361"/>
      <c r="F793" s="361"/>
      <c r="G793" s="361"/>
      <c r="H793" s="409"/>
      <c r="I793" s="358"/>
      <c r="J793" s="442"/>
      <c r="K793" s="280"/>
      <c r="L793" s="358"/>
      <c r="M793" s="579"/>
      <c r="N793" s="469"/>
      <c r="O793" s="469"/>
    </row>
    <row r="794" spans="4:15" ht="17.25">
      <c r="E794" s="12" t="s">
        <v>33</v>
      </c>
      <c r="F794" s="12"/>
      <c r="H794" s="409"/>
      <c r="I794" s="358"/>
      <c r="J794" s="442"/>
      <c r="K794" s="280"/>
      <c r="L794" s="358"/>
      <c r="M794" s="579"/>
      <c r="N794" s="469"/>
      <c r="O794" s="469"/>
    </row>
    <row r="795" spans="4:15" ht="17.25">
      <c r="F795" s="361">
        <v>43799</v>
      </c>
      <c r="G795" s="361"/>
      <c r="H795" s="409"/>
      <c r="I795" s="358"/>
      <c r="J795" s="442"/>
      <c r="K795" s="280"/>
      <c r="L795" s="358"/>
      <c r="M795" s="579"/>
      <c r="N795" s="469"/>
      <c r="O795" s="469"/>
    </row>
    <row r="796" spans="4:15" ht="17.25">
      <c r="F796" s="12"/>
      <c r="G796" s="112" t="s">
        <v>33</v>
      </c>
      <c r="H796" s="409">
        <v>27</v>
      </c>
      <c r="I796" s="358">
        <v>5753.3</v>
      </c>
      <c r="J796" s="442">
        <v>1</v>
      </c>
      <c r="K796" s="280">
        <v>5753.3</v>
      </c>
      <c r="L796" s="358">
        <v>2713.1825806451616</v>
      </c>
      <c r="M796" s="579">
        <v>1</v>
      </c>
      <c r="N796" s="469">
        <v>2713.1825806451616</v>
      </c>
      <c r="O796" s="469">
        <v>3040.1174193548386</v>
      </c>
    </row>
    <row r="797" spans="4:15" ht="17.25">
      <c r="F797" s="12"/>
      <c r="H797" s="409"/>
      <c r="I797" s="358"/>
      <c r="J797" s="442"/>
      <c r="K797" s="280"/>
      <c r="L797" s="358"/>
      <c r="M797" s="579"/>
      <c r="N797" s="469"/>
      <c r="O797" s="469"/>
    </row>
    <row r="798" spans="4:15" ht="17.25">
      <c r="D798" s="361">
        <v>44678</v>
      </c>
      <c r="E798" s="361"/>
      <c r="F798" s="361"/>
      <c r="G798" s="361"/>
      <c r="H798" s="409"/>
      <c r="I798" s="358"/>
      <c r="J798" s="442"/>
      <c r="K798" s="280"/>
      <c r="L798" s="358"/>
      <c r="M798" s="579"/>
      <c r="N798" s="469"/>
      <c r="O798" s="469"/>
    </row>
    <row r="799" spans="4:15" ht="17.25">
      <c r="E799" s="12" t="s">
        <v>33</v>
      </c>
      <c r="F799" s="12"/>
      <c r="H799" s="409"/>
      <c r="I799" s="358"/>
      <c r="J799" s="442"/>
      <c r="K799" s="280"/>
      <c r="L799" s="358"/>
      <c r="M799" s="579"/>
      <c r="N799" s="469"/>
      <c r="O799" s="469"/>
    </row>
    <row r="800" spans="4:15" ht="17.25">
      <c r="F800" s="361">
        <v>43799</v>
      </c>
      <c r="G800" s="361"/>
      <c r="H800" s="409"/>
      <c r="I800" s="358"/>
      <c r="J800" s="442"/>
      <c r="K800" s="280"/>
      <c r="L800" s="358"/>
      <c r="M800" s="579"/>
      <c r="N800" s="469"/>
      <c r="O800" s="469"/>
    </row>
    <row r="801" spans="4:15" ht="17.25">
      <c r="F801" s="12"/>
      <c r="G801" s="112" t="s">
        <v>33</v>
      </c>
      <c r="H801" s="409">
        <v>67</v>
      </c>
      <c r="I801" s="358">
        <v>13320.54</v>
      </c>
      <c r="J801" s="442">
        <v>1</v>
      </c>
      <c r="K801" s="280">
        <v>13320.54</v>
      </c>
      <c r="L801" s="358">
        <v>6732.7123297491044</v>
      </c>
      <c r="M801" s="579">
        <v>1</v>
      </c>
      <c r="N801" s="469">
        <v>6732.7123297491044</v>
      </c>
      <c r="O801" s="469">
        <v>6587.8276702508965</v>
      </c>
    </row>
    <row r="802" spans="4:15" ht="17.25">
      <c r="F802" s="12"/>
      <c r="H802" s="409"/>
      <c r="I802" s="358"/>
      <c r="J802" s="442"/>
      <c r="K802" s="280"/>
      <c r="L802" s="358"/>
      <c r="M802" s="579"/>
      <c r="N802" s="469"/>
      <c r="O802" s="469"/>
    </row>
    <row r="803" spans="4:15" ht="17.25">
      <c r="D803" s="361">
        <v>44818</v>
      </c>
      <c r="E803" s="361"/>
      <c r="F803" s="361"/>
      <c r="G803" s="361"/>
      <c r="H803" s="409"/>
      <c r="I803" s="358"/>
      <c r="J803" s="442"/>
      <c r="K803" s="280"/>
      <c r="L803" s="358"/>
      <c r="M803" s="579"/>
      <c r="N803" s="469"/>
      <c r="O803" s="469"/>
    </row>
    <row r="804" spans="4:15" ht="17.25">
      <c r="E804" s="12" t="s">
        <v>33</v>
      </c>
      <c r="F804" s="12"/>
      <c r="H804" s="409"/>
      <c r="I804" s="358"/>
      <c r="J804" s="442"/>
      <c r="K804" s="280"/>
      <c r="L804" s="358"/>
      <c r="M804" s="579"/>
      <c r="N804" s="469"/>
      <c r="O804" s="469"/>
    </row>
    <row r="805" spans="4:15" ht="17.25">
      <c r="F805" s="361">
        <v>44363</v>
      </c>
      <c r="G805" s="361"/>
      <c r="H805" s="409"/>
      <c r="I805" s="358"/>
      <c r="J805" s="442"/>
      <c r="K805" s="280"/>
      <c r="L805" s="358"/>
      <c r="M805" s="579"/>
      <c r="N805" s="469"/>
      <c r="O805" s="469"/>
    </row>
    <row r="806" spans="4:15" ht="17.25">
      <c r="F806" s="12"/>
      <c r="G806" s="112" t="s">
        <v>33</v>
      </c>
      <c r="H806" s="409">
        <v>12</v>
      </c>
      <c r="I806" s="358">
        <v>2392.9976470588235</v>
      </c>
      <c r="J806" s="442">
        <v>1</v>
      </c>
      <c r="K806" s="280">
        <v>2392.9976470588235</v>
      </c>
      <c r="L806" s="358">
        <v>2785.8156521739129</v>
      </c>
      <c r="M806" s="579">
        <v>1</v>
      </c>
      <c r="N806" s="469">
        <v>2785.8156521739129</v>
      </c>
      <c r="O806" s="469">
        <v>-392.81800511508936</v>
      </c>
    </row>
    <row r="807" spans="4:15" ht="17.25">
      <c r="F807" s="12"/>
      <c r="H807" s="409"/>
      <c r="I807" s="358"/>
      <c r="J807" s="442"/>
      <c r="K807" s="280"/>
      <c r="L807" s="358"/>
      <c r="M807" s="579"/>
      <c r="N807" s="469"/>
      <c r="O807" s="469"/>
    </row>
    <row r="808" spans="4:15" ht="17.25">
      <c r="F808" s="361">
        <v>43799</v>
      </c>
      <c r="G808" s="361"/>
      <c r="H808" s="409"/>
      <c r="I808" s="358"/>
      <c r="J808" s="442"/>
      <c r="K808" s="280"/>
      <c r="L808" s="358"/>
      <c r="M808" s="579"/>
      <c r="N808" s="469"/>
      <c r="O808" s="469"/>
    </row>
    <row r="809" spans="4:15" ht="17.25">
      <c r="F809" s="12"/>
      <c r="G809" s="112" t="s">
        <v>33</v>
      </c>
      <c r="H809" s="409">
        <v>7</v>
      </c>
      <c r="I809" s="358">
        <v>1396.7523529411765</v>
      </c>
      <c r="J809" s="442">
        <v>1</v>
      </c>
      <c r="K809" s="280">
        <v>1396.7523529411765</v>
      </c>
      <c r="L809" s="358">
        <v>703.41770609318996</v>
      </c>
      <c r="M809" s="579">
        <v>1</v>
      </c>
      <c r="N809" s="469">
        <v>703.41770609318996</v>
      </c>
      <c r="O809" s="469">
        <v>693.33464684798639</v>
      </c>
    </row>
    <row r="810" spans="4:15" ht="17.25">
      <c r="F810" s="12"/>
      <c r="H810" s="409"/>
      <c r="I810" s="358"/>
      <c r="J810" s="442"/>
      <c r="K810" s="280"/>
      <c r="L810" s="358"/>
      <c r="M810" s="579"/>
      <c r="N810" s="469"/>
      <c r="O810" s="469"/>
    </row>
    <row r="811" spans="4:15" ht="17.25">
      <c r="D811" s="361">
        <v>44903</v>
      </c>
      <c r="E811" s="361"/>
      <c r="F811" s="361"/>
      <c r="G811" s="361"/>
      <c r="H811" s="409"/>
      <c r="I811" s="358"/>
      <c r="J811" s="442"/>
      <c r="K811" s="280"/>
      <c r="L811" s="358"/>
      <c r="M811" s="579"/>
      <c r="N811" s="469"/>
      <c r="O811" s="469"/>
    </row>
    <row r="812" spans="4:15" ht="17.25">
      <c r="E812" s="12" t="s">
        <v>33</v>
      </c>
      <c r="F812" s="12"/>
      <c r="H812" s="409"/>
      <c r="I812" s="358"/>
      <c r="J812" s="442"/>
      <c r="K812" s="280"/>
      <c r="L812" s="358"/>
      <c r="M812" s="579"/>
      <c r="N812" s="469"/>
      <c r="O812" s="469"/>
    </row>
    <row r="813" spans="4:15" ht="17.25">
      <c r="F813" s="361">
        <v>44363</v>
      </c>
      <c r="G813" s="361"/>
      <c r="H813" s="409"/>
      <c r="I813" s="358"/>
      <c r="J813" s="442"/>
      <c r="K813" s="280"/>
      <c r="L813" s="358"/>
      <c r="M813" s="579"/>
      <c r="N813" s="469"/>
      <c r="O813" s="469"/>
    </row>
    <row r="814" spans="4:15" ht="17.25">
      <c r="F814" s="12"/>
      <c r="G814" s="112" t="s">
        <v>33</v>
      </c>
      <c r="H814" s="409">
        <v>19</v>
      </c>
      <c r="I814" s="358">
        <v>4204.4399999999996</v>
      </c>
      <c r="J814" s="442">
        <v>1</v>
      </c>
      <c r="K814" s="280">
        <v>4204.4399999999996</v>
      </c>
      <c r="L814" s="358">
        <v>4410.8747826086956</v>
      </c>
      <c r="M814" s="579">
        <v>1</v>
      </c>
      <c r="N814" s="469">
        <v>4410.8747826086956</v>
      </c>
      <c r="O814" s="469">
        <v>-206.43478260869597</v>
      </c>
    </row>
    <row r="815" spans="4:15" ht="17.25">
      <c r="F815" s="12"/>
      <c r="H815" s="409"/>
      <c r="I815" s="358"/>
      <c r="J815" s="442"/>
      <c r="K815" s="280"/>
      <c r="L815" s="358"/>
      <c r="M815" s="579"/>
      <c r="N815" s="469"/>
      <c r="O815" s="469"/>
    </row>
    <row r="816" spans="4:15" ht="17.25">
      <c r="D816" s="361">
        <v>44904</v>
      </c>
      <c r="E816" s="361"/>
      <c r="F816" s="361"/>
      <c r="G816" s="361"/>
      <c r="H816" s="409"/>
      <c r="I816" s="358"/>
      <c r="J816" s="442"/>
      <c r="K816" s="280"/>
      <c r="L816" s="358"/>
      <c r="M816" s="579"/>
      <c r="N816" s="469"/>
      <c r="O816" s="469"/>
    </row>
    <row r="817" spans="3:15" ht="17.25">
      <c r="E817" s="12" t="s">
        <v>33</v>
      </c>
      <c r="F817" s="12"/>
      <c r="H817" s="409"/>
      <c r="I817" s="358"/>
      <c r="J817" s="442"/>
      <c r="K817" s="280"/>
      <c r="L817" s="358"/>
      <c r="M817" s="579"/>
      <c r="N817" s="469"/>
      <c r="O817" s="469"/>
    </row>
    <row r="818" spans="3:15" ht="17.25">
      <c r="F818" s="361">
        <v>44363</v>
      </c>
      <c r="G818" s="361"/>
      <c r="H818" s="409"/>
      <c r="I818" s="358"/>
      <c r="J818" s="442"/>
      <c r="K818" s="280"/>
      <c r="L818" s="358"/>
      <c r="M818" s="579"/>
      <c r="N818" s="469"/>
      <c r="O818" s="469"/>
    </row>
    <row r="819" spans="3:15" ht="17.25">
      <c r="F819" s="12"/>
      <c r="G819" s="112" t="s">
        <v>33</v>
      </c>
      <c r="H819" s="409">
        <v>6</v>
      </c>
      <c r="I819" s="358">
        <v>1330.15</v>
      </c>
      <c r="J819" s="442">
        <v>1</v>
      </c>
      <c r="K819" s="280">
        <v>1330.15</v>
      </c>
      <c r="L819" s="358">
        <v>1392.9078260869564</v>
      </c>
      <c r="M819" s="579">
        <v>1</v>
      </c>
      <c r="N819" s="469">
        <v>1392.9078260869564</v>
      </c>
      <c r="O819" s="469">
        <v>-62.757826086956356</v>
      </c>
    </row>
    <row r="820" spans="3:15" ht="17.25">
      <c r="F820" s="12"/>
      <c r="H820" s="409"/>
      <c r="I820" s="358"/>
      <c r="J820" s="442"/>
      <c r="K820" s="280"/>
      <c r="L820" s="358"/>
      <c r="M820" s="579"/>
      <c r="N820" s="469"/>
      <c r="O820" s="469"/>
    </row>
    <row r="821" spans="3:15" ht="17.25">
      <c r="C821" s="342" t="s">
        <v>316</v>
      </c>
      <c r="D821" s="342"/>
      <c r="E821" s="342"/>
      <c r="F821" s="342"/>
      <c r="G821" s="342"/>
      <c r="H821" s="410">
        <v>251</v>
      </c>
      <c r="I821" s="407">
        <v>54999.460000000006</v>
      </c>
      <c r="J821" s="460">
        <v>1</v>
      </c>
      <c r="K821" s="413">
        <v>54999.460000000006</v>
      </c>
      <c r="L821" s="407">
        <v>30094.082418575661</v>
      </c>
      <c r="M821" s="580">
        <v>1</v>
      </c>
      <c r="N821" s="470">
        <v>30094.082418575661</v>
      </c>
      <c r="O821" s="470">
        <v>24905.377581424345</v>
      </c>
    </row>
    <row r="822" spans="3:15" ht="17.25">
      <c r="F822" s="12"/>
      <c r="H822" s="409"/>
      <c r="I822" s="358"/>
      <c r="J822" s="442"/>
      <c r="K822" s="280"/>
      <c r="L822" s="358"/>
      <c r="M822" s="579"/>
      <c r="N822" s="469"/>
      <c r="O822" s="469"/>
    </row>
    <row r="823" spans="3:15" ht="17.25">
      <c r="C823" s="12" t="s">
        <v>175</v>
      </c>
      <c r="F823" s="12"/>
      <c r="H823" s="409"/>
      <c r="I823" s="358"/>
      <c r="J823" s="442"/>
      <c r="K823" s="280"/>
      <c r="L823" s="358"/>
      <c r="M823" s="579"/>
      <c r="N823" s="469"/>
      <c r="O823" s="469"/>
    </row>
    <row r="824" spans="3:15" ht="17.25">
      <c r="D824" s="361">
        <v>44678</v>
      </c>
      <c r="E824" s="361"/>
      <c r="F824" s="361"/>
      <c r="G824" s="361"/>
      <c r="H824" s="409"/>
      <c r="I824" s="358"/>
      <c r="J824" s="442"/>
      <c r="K824" s="280"/>
      <c r="L824" s="358"/>
      <c r="M824" s="579"/>
      <c r="N824" s="469"/>
      <c r="O824" s="469"/>
    </row>
    <row r="825" spans="3:15" ht="17.25">
      <c r="E825" s="12" t="s">
        <v>33</v>
      </c>
      <c r="F825" s="12"/>
      <c r="H825" s="409"/>
      <c r="I825" s="358"/>
      <c r="J825" s="442"/>
      <c r="K825" s="280"/>
      <c r="L825" s="358"/>
      <c r="M825" s="579"/>
      <c r="N825" s="469"/>
      <c r="O825" s="469"/>
    </row>
    <row r="826" spans="3:15" ht="17.25">
      <c r="F826" s="361">
        <v>44090</v>
      </c>
      <c r="G826" s="361"/>
      <c r="H826" s="409"/>
      <c r="I826" s="358"/>
      <c r="J826" s="442"/>
      <c r="K826" s="280"/>
      <c r="L826" s="358"/>
      <c r="M826" s="579"/>
      <c r="N826" s="469"/>
      <c r="O826" s="469"/>
    </row>
    <row r="827" spans="3:15" ht="17.25">
      <c r="F827" s="12"/>
      <c r="G827" s="112" t="s">
        <v>33</v>
      </c>
      <c r="H827" s="409">
        <v>46</v>
      </c>
      <c r="I827" s="358">
        <v>5279.7532653061226</v>
      </c>
      <c r="J827" s="442">
        <v>1</v>
      </c>
      <c r="K827" s="280">
        <v>5279.7532653061226</v>
      </c>
      <c r="L827" s="358">
        <v>4673.82</v>
      </c>
      <c r="M827" s="579">
        <v>1</v>
      </c>
      <c r="N827" s="469">
        <v>4673.82</v>
      </c>
      <c r="O827" s="469">
        <v>605.93326530612285</v>
      </c>
    </row>
    <row r="828" spans="3:15" ht="17.25">
      <c r="F828" s="12"/>
      <c r="H828" s="409"/>
      <c r="I828" s="358"/>
      <c r="J828" s="442"/>
      <c r="K828" s="280"/>
      <c r="L828" s="358"/>
      <c r="M828" s="579"/>
      <c r="N828" s="469"/>
      <c r="O828" s="469"/>
    </row>
    <row r="829" spans="3:15" ht="17.25">
      <c r="F829" s="361">
        <v>44103</v>
      </c>
      <c r="G829" s="361"/>
      <c r="H829" s="409"/>
      <c r="I829" s="358"/>
      <c r="J829" s="442"/>
      <c r="K829" s="280"/>
      <c r="L829" s="358"/>
      <c r="M829" s="579"/>
      <c r="N829" s="469"/>
      <c r="O829" s="469"/>
    </row>
    <row r="830" spans="3:15" ht="17.25">
      <c r="F830" s="12"/>
      <c r="G830" s="112" t="s">
        <v>33</v>
      </c>
      <c r="H830" s="409">
        <v>35</v>
      </c>
      <c r="I830" s="358">
        <v>4017.2035714285712</v>
      </c>
      <c r="J830" s="442">
        <v>1</v>
      </c>
      <c r="K830" s="280">
        <v>4017.2035714285712</v>
      </c>
      <c r="L830" s="358">
        <v>3513.0699999999997</v>
      </c>
      <c r="M830" s="579">
        <v>1</v>
      </c>
      <c r="N830" s="469">
        <v>3513.0699999999997</v>
      </c>
      <c r="O830" s="469">
        <v>504.13357142857126</v>
      </c>
    </row>
    <row r="831" spans="3:15" ht="17.25">
      <c r="F831" s="12"/>
      <c r="H831" s="409"/>
      <c r="I831" s="358"/>
      <c r="J831" s="442"/>
      <c r="K831" s="280"/>
      <c r="L831" s="358"/>
      <c r="M831" s="579"/>
      <c r="N831" s="469"/>
      <c r="O831" s="469"/>
    </row>
    <row r="832" spans="3:15" ht="17.25">
      <c r="F832" s="361">
        <v>44118</v>
      </c>
      <c r="G832" s="361"/>
      <c r="H832" s="409"/>
      <c r="I832" s="358"/>
      <c r="J832" s="442"/>
      <c r="K832" s="280"/>
      <c r="L832" s="358"/>
      <c r="M832" s="579"/>
      <c r="N832" s="469"/>
      <c r="O832" s="469"/>
    </row>
    <row r="833" spans="3:15" ht="17.25">
      <c r="F833" s="12"/>
      <c r="G833" s="112" t="s">
        <v>33</v>
      </c>
      <c r="H833" s="409">
        <v>17</v>
      </c>
      <c r="I833" s="358">
        <v>1951.2131632653061</v>
      </c>
      <c r="J833" s="442">
        <v>1</v>
      </c>
      <c r="K833" s="280">
        <v>1951.2131632653061</v>
      </c>
      <c r="L833" s="358">
        <v>1752.8671186440677</v>
      </c>
      <c r="M833" s="579">
        <v>1</v>
      </c>
      <c r="N833" s="469">
        <v>1752.8671186440677</v>
      </c>
      <c r="O833" s="469">
        <v>198.34604462123843</v>
      </c>
    </row>
    <row r="834" spans="3:15" ht="17.25">
      <c r="F834" s="12"/>
      <c r="H834" s="409"/>
      <c r="I834" s="358"/>
      <c r="J834" s="442"/>
      <c r="K834" s="280"/>
      <c r="L834" s="358"/>
      <c r="M834" s="579"/>
      <c r="N834" s="469"/>
      <c r="O834" s="469"/>
    </row>
    <row r="835" spans="3:15" ht="17.25">
      <c r="C835" s="342" t="s">
        <v>317</v>
      </c>
      <c r="D835" s="342"/>
      <c r="E835" s="342"/>
      <c r="F835" s="342"/>
      <c r="G835" s="342"/>
      <c r="H835" s="410">
        <v>98</v>
      </c>
      <c r="I835" s="407">
        <v>11248.17</v>
      </c>
      <c r="J835" s="460">
        <v>1</v>
      </c>
      <c r="K835" s="413">
        <v>11248.17</v>
      </c>
      <c r="L835" s="407">
        <v>9939.7571186440673</v>
      </c>
      <c r="M835" s="580">
        <v>1</v>
      </c>
      <c r="N835" s="470">
        <v>9939.7571186440673</v>
      </c>
      <c r="O835" s="470">
        <v>1308.4128813559325</v>
      </c>
    </row>
    <row r="836" spans="3:15" ht="17.25">
      <c r="F836" s="12"/>
      <c r="H836" s="409"/>
      <c r="I836" s="358"/>
      <c r="J836" s="442"/>
      <c r="K836" s="280"/>
      <c r="L836" s="358"/>
      <c r="M836" s="579"/>
      <c r="N836" s="469"/>
      <c r="O836" s="469"/>
    </row>
    <row r="837" spans="3:15" ht="17.25">
      <c r="C837" s="12" t="s">
        <v>166</v>
      </c>
      <c r="F837" s="12"/>
      <c r="H837" s="409"/>
      <c r="I837" s="358"/>
      <c r="J837" s="442"/>
      <c r="K837" s="280"/>
      <c r="L837" s="358"/>
      <c r="M837" s="579"/>
      <c r="N837" s="469"/>
      <c r="O837" s="469"/>
    </row>
    <row r="838" spans="3:15" ht="17.25">
      <c r="D838" s="361">
        <v>44678</v>
      </c>
      <c r="E838" s="361"/>
      <c r="F838" s="361"/>
      <c r="G838" s="361"/>
      <c r="H838" s="409"/>
      <c r="I838" s="358"/>
      <c r="J838" s="442"/>
      <c r="K838" s="280"/>
      <c r="L838" s="358"/>
      <c r="M838" s="579"/>
      <c r="N838" s="469"/>
      <c r="O838" s="469"/>
    </row>
    <row r="839" spans="3:15" ht="17.25">
      <c r="E839" s="12" t="s">
        <v>33</v>
      </c>
      <c r="F839" s="12"/>
      <c r="H839" s="409"/>
      <c r="I839" s="358"/>
      <c r="J839" s="442"/>
      <c r="K839" s="280"/>
      <c r="L839" s="358"/>
      <c r="M839" s="579"/>
      <c r="N839" s="469"/>
      <c r="O839" s="469"/>
    </row>
    <row r="840" spans="3:15" ht="17.25">
      <c r="F840" s="361">
        <v>43830</v>
      </c>
      <c r="G840" s="361"/>
      <c r="H840" s="409"/>
      <c r="I840" s="358"/>
      <c r="J840" s="442"/>
      <c r="K840" s="280"/>
      <c r="L840" s="358"/>
      <c r="M840" s="579"/>
      <c r="N840" s="469"/>
      <c r="O840" s="469"/>
    </row>
    <row r="841" spans="3:15" ht="17.25">
      <c r="F841" s="12"/>
      <c r="G841" s="112" t="s">
        <v>33</v>
      </c>
      <c r="H841" s="409">
        <v>161</v>
      </c>
      <c r="I841" s="358">
        <v>29654.82</v>
      </c>
      <c r="J841" s="442">
        <v>1</v>
      </c>
      <c r="K841" s="280">
        <v>29654.82</v>
      </c>
      <c r="L841" s="358">
        <v>14196.440360110802</v>
      </c>
      <c r="M841" s="579">
        <v>1</v>
      </c>
      <c r="N841" s="469">
        <v>14196.440360110802</v>
      </c>
      <c r="O841" s="469">
        <v>15458.379639889197</v>
      </c>
    </row>
    <row r="842" spans="3:15" ht="17.25">
      <c r="F842" s="12"/>
      <c r="H842" s="409"/>
      <c r="I842" s="358"/>
      <c r="J842" s="442"/>
      <c r="K842" s="280"/>
      <c r="L842" s="358"/>
      <c r="M842" s="579"/>
      <c r="N842" s="469"/>
      <c r="O842" s="469"/>
    </row>
    <row r="843" spans="3:15" ht="17.25">
      <c r="C843" s="342" t="s">
        <v>318</v>
      </c>
      <c r="D843" s="342"/>
      <c r="E843" s="342"/>
      <c r="F843" s="342"/>
      <c r="G843" s="342"/>
      <c r="H843" s="410">
        <v>161</v>
      </c>
      <c r="I843" s="407">
        <v>29654.82</v>
      </c>
      <c r="J843" s="460">
        <v>1</v>
      </c>
      <c r="K843" s="413">
        <v>29654.82</v>
      </c>
      <c r="L843" s="407">
        <v>14196.440360110802</v>
      </c>
      <c r="M843" s="580">
        <v>1</v>
      </c>
      <c r="N843" s="470">
        <v>14196.440360110802</v>
      </c>
      <c r="O843" s="470">
        <v>15458.379639889197</v>
      </c>
    </row>
    <row r="844" spans="3:15" ht="17.25">
      <c r="F844" s="12"/>
      <c r="H844" s="409"/>
      <c r="I844" s="358"/>
      <c r="J844" s="442"/>
      <c r="K844" s="280"/>
      <c r="L844" s="358"/>
      <c r="M844" s="579"/>
      <c r="N844" s="469"/>
      <c r="O844" s="469"/>
    </row>
    <row r="845" spans="3:15" ht="17.25">
      <c r="C845" s="12" t="s">
        <v>152</v>
      </c>
      <c r="F845" s="12"/>
      <c r="H845" s="409"/>
      <c r="I845" s="358"/>
      <c r="J845" s="442"/>
      <c r="K845" s="280"/>
      <c r="L845" s="358"/>
      <c r="M845" s="579"/>
      <c r="N845" s="469"/>
      <c r="O845" s="469"/>
    </row>
    <row r="846" spans="3:15" ht="17.25">
      <c r="D846" s="361">
        <v>44678</v>
      </c>
      <c r="E846" s="361"/>
      <c r="F846" s="361"/>
      <c r="G846" s="361"/>
      <c r="H846" s="409"/>
      <c r="I846" s="358"/>
      <c r="J846" s="442"/>
      <c r="K846" s="280"/>
      <c r="L846" s="358"/>
      <c r="M846" s="579"/>
      <c r="N846" s="469"/>
      <c r="O846" s="469"/>
    </row>
    <row r="847" spans="3:15" ht="17.25">
      <c r="E847" s="12" t="s">
        <v>33</v>
      </c>
      <c r="F847" s="12"/>
      <c r="H847" s="409"/>
      <c r="I847" s="358"/>
      <c r="J847" s="442"/>
      <c r="K847" s="280"/>
      <c r="L847" s="358"/>
      <c r="M847" s="579"/>
      <c r="N847" s="469"/>
      <c r="O847" s="469"/>
    </row>
    <row r="848" spans="3:15" ht="17.25">
      <c r="F848" s="361">
        <v>44103</v>
      </c>
      <c r="G848" s="361"/>
      <c r="H848" s="409"/>
      <c r="I848" s="358"/>
      <c r="J848" s="442"/>
      <c r="K848" s="280"/>
      <c r="L848" s="358"/>
      <c r="M848" s="579"/>
      <c r="N848" s="469"/>
      <c r="O848" s="469"/>
    </row>
    <row r="849" spans="4:15" ht="17.25">
      <c r="F849" s="12"/>
      <c r="G849" s="112" t="s">
        <v>33</v>
      </c>
      <c r="H849" s="409">
        <v>6</v>
      </c>
      <c r="I849" s="358">
        <v>2773.1131578947366</v>
      </c>
      <c r="J849" s="442">
        <v>1</v>
      </c>
      <c r="K849" s="280">
        <v>2773.1131578947366</v>
      </c>
      <c r="L849" s="358">
        <v>2042.3536363636363</v>
      </c>
      <c r="M849" s="579">
        <v>1</v>
      </c>
      <c r="N849" s="469">
        <v>2042.3536363636363</v>
      </c>
      <c r="O849" s="469">
        <v>730.75952153110029</v>
      </c>
    </row>
    <row r="850" spans="4:15" ht="17.25">
      <c r="F850" s="12"/>
      <c r="H850" s="409"/>
      <c r="I850" s="358"/>
      <c r="J850" s="442"/>
      <c r="K850" s="280"/>
      <c r="L850" s="358"/>
      <c r="M850" s="579"/>
      <c r="N850" s="469"/>
      <c r="O850" s="469"/>
    </row>
    <row r="851" spans="4:15" ht="17.25">
      <c r="F851" s="361">
        <v>44092</v>
      </c>
      <c r="G851" s="361"/>
      <c r="H851" s="409"/>
      <c r="I851" s="358"/>
      <c r="J851" s="442"/>
      <c r="K851" s="280"/>
      <c r="L851" s="358"/>
      <c r="M851" s="579"/>
      <c r="N851" s="469"/>
      <c r="O851" s="469"/>
    </row>
    <row r="852" spans="4:15" ht="17.25">
      <c r="F852" s="12"/>
      <c r="G852" s="112" t="s">
        <v>33</v>
      </c>
      <c r="H852" s="409">
        <v>10</v>
      </c>
      <c r="I852" s="358">
        <v>4621.8552631578941</v>
      </c>
      <c r="J852" s="442">
        <v>1</v>
      </c>
      <c r="K852" s="280">
        <v>4621.8552631578941</v>
      </c>
      <c r="L852" s="358">
        <v>3091.9749999999999</v>
      </c>
      <c r="M852" s="579">
        <v>1</v>
      </c>
      <c r="N852" s="469">
        <v>3091.9749999999999</v>
      </c>
      <c r="O852" s="469">
        <v>1529.8802631578942</v>
      </c>
    </row>
    <row r="853" spans="4:15" ht="17.25">
      <c r="F853" s="12"/>
      <c r="H853" s="409"/>
      <c r="I853" s="358"/>
      <c r="J853" s="442"/>
      <c r="K853" s="280"/>
      <c r="L853" s="358"/>
      <c r="M853" s="579"/>
      <c r="N853" s="469"/>
      <c r="O853" s="469"/>
    </row>
    <row r="854" spans="4:15" ht="17.25">
      <c r="F854" s="361">
        <v>44096</v>
      </c>
      <c r="G854" s="361"/>
      <c r="H854" s="409"/>
      <c r="I854" s="358"/>
      <c r="J854" s="442"/>
      <c r="K854" s="280"/>
      <c r="L854" s="358"/>
      <c r="M854" s="579"/>
      <c r="N854" s="469"/>
      <c r="O854" s="469"/>
    </row>
    <row r="855" spans="4:15" ht="17.25">
      <c r="F855" s="12"/>
      <c r="G855" s="112" t="s">
        <v>33</v>
      </c>
      <c r="H855" s="409">
        <v>11</v>
      </c>
      <c r="I855" s="358">
        <v>5084.0407894736836</v>
      </c>
      <c r="J855" s="442">
        <v>1</v>
      </c>
      <c r="K855" s="280">
        <v>5084.0407894736836</v>
      </c>
      <c r="L855" s="358">
        <v>3470.1100000000006</v>
      </c>
      <c r="M855" s="579">
        <v>1</v>
      </c>
      <c r="N855" s="469">
        <v>3470.1100000000006</v>
      </c>
      <c r="O855" s="469">
        <v>1613.930789473683</v>
      </c>
    </row>
    <row r="856" spans="4:15" ht="17.25">
      <c r="F856" s="12"/>
      <c r="H856" s="409"/>
      <c r="I856" s="358"/>
      <c r="J856" s="442"/>
      <c r="K856" s="280"/>
      <c r="L856" s="358"/>
      <c r="M856" s="579"/>
      <c r="N856" s="469"/>
      <c r="O856" s="469"/>
    </row>
    <row r="857" spans="4:15" ht="17.25">
      <c r="F857" s="361">
        <v>44097</v>
      </c>
      <c r="G857" s="361"/>
      <c r="H857" s="409"/>
      <c r="I857" s="358"/>
      <c r="J857" s="442"/>
      <c r="K857" s="280"/>
      <c r="L857" s="358"/>
      <c r="M857" s="579"/>
      <c r="N857" s="469"/>
      <c r="O857" s="469"/>
    </row>
    <row r="858" spans="4:15" ht="17.25">
      <c r="F858" s="12"/>
      <c r="G858" s="112" t="s">
        <v>33</v>
      </c>
      <c r="H858" s="409">
        <v>11</v>
      </c>
      <c r="I858" s="358">
        <v>5084.0407894736836</v>
      </c>
      <c r="J858" s="442">
        <v>1</v>
      </c>
      <c r="K858" s="280">
        <v>5084.0407894736836</v>
      </c>
      <c r="L858" s="358">
        <v>3562.28</v>
      </c>
      <c r="M858" s="579">
        <v>1</v>
      </c>
      <c r="N858" s="469">
        <v>3562.28</v>
      </c>
      <c r="O858" s="469">
        <v>1521.7607894736834</v>
      </c>
    </row>
    <row r="859" spans="4:15" ht="17.25">
      <c r="F859" s="12"/>
      <c r="H859" s="409"/>
      <c r="I859" s="358"/>
      <c r="J859" s="442"/>
      <c r="K859" s="280"/>
      <c r="L859" s="358"/>
      <c r="M859" s="579"/>
      <c r="N859" s="469"/>
      <c r="O859" s="469"/>
    </row>
    <row r="860" spans="4:15" ht="17.25">
      <c r="D860" s="361">
        <v>44909</v>
      </c>
      <c r="E860" s="361"/>
      <c r="F860" s="361"/>
      <c r="G860" s="361"/>
      <c r="H860" s="409"/>
      <c r="I860" s="358"/>
      <c r="J860" s="442"/>
      <c r="K860" s="280"/>
      <c r="L860" s="358"/>
      <c r="M860" s="579"/>
      <c r="N860" s="469"/>
      <c r="O860" s="469"/>
    </row>
    <row r="861" spans="4:15" ht="17.25">
      <c r="E861" s="12" t="s">
        <v>33</v>
      </c>
      <c r="F861" s="12"/>
      <c r="H861" s="409"/>
      <c r="I861" s="358"/>
      <c r="J861" s="442"/>
      <c r="K861" s="280"/>
      <c r="L861" s="358"/>
      <c r="M861" s="579"/>
      <c r="N861" s="469"/>
      <c r="O861" s="469"/>
    </row>
    <row r="862" spans="4:15" ht="17.25">
      <c r="F862" s="361">
        <v>44103</v>
      </c>
      <c r="G862" s="361"/>
      <c r="H862" s="409"/>
      <c r="I862" s="358"/>
      <c r="J862" s="442"/>
      <c r="K862" s="280"/>
      <c r="L862" s="358"/>
      <c r="M862" s="579"/>
      <c r="N862" s="469"/>
      <c r="O862" s="469"/>
    </row>
    <row r="863" spans="4:15" ht="17.25">
      <c r="F863" s="12"/>
      <c r="G863" s="112" t="s">
        <v>33</v>
      </c>
      <c r="H863" s="409">
        <v>6</v>
      </c>
      <c r="I863" s="358">
        <v>2818.9823076923076</v>
      </c>
      <c r="J863" s="442">
        <v>1</v>
      </c>
      <c r="K863" s="280">
        <v>2818.9823076923076</v>
      </c>
      <c r="L863" s="358">
        <v>2043.2563636363634</v>
      </c>
      <c r="M863" s="579">
        <v>1</v>
      </c>
      <c r="N863" s="469">
        <v>2043.2563636363634</v>
      </c>
      <c r="O863" s="469">
        <v>775.72594405594418</v>
      </c>
    </row>
    <row r="864" spans="4:15" ht="17.25">
      <c r="F864" s="12"/>
      <c r="H864" s="409"/>
      <c r="I864" s="358"/>
      <c r="J864" s="442"/>
      <c r="K864" s="280"/>
      <c r="L864" s="358"/>
      <c r="M864" s="579"/>
      <c r="N864" s="469"/>
      <c r="O864" s="469"/>
    </row>
    <row r="865" spans="3:15" ht="17.25">
      <c r="F865" s="361">
        <v>44133</v>
      </c>
      <c r="G865" s="361"/>
      <c r="H865" s="409"/>
      <c r="I865" s="358"/>
      <c r="J865" s="442"/>
      <c r="K865" s="280"/>
      <c r="L865" s="358"/>
      <c r="M865" s="579"/>
      <c r="N865" s="469"/>
      <c r="O865" s="469"/>
    </row>
    <row r="866" spans="3:15" ht="17.25">
      <c r="F866" s="12"/>
      <c r="G866" s="112" t="s">
        <v>33</v>
      </c>
      <c r="H866" s="409">
        <v>8</v>
      </c>
      <c r="I866" s="358">
        <v>3758.6430769230769</v>
      </c>
      <c r="J866" s="442">
        <v>1</v>
      </c>
      <c r="K866" s="280">
        <v>3758.6430769230769</v>
      </c>
      <c r="L866" s="358">
        <v>2819.9709090909091</v>
      </c>
      <c r="M866" s="579">
        <v>1</v>
      </c>
      <c r="N866" s="469">
        <v>2819.9709090909091</v>
      </c>
      <c r="O866" s="469">
        <v>938.67216783216782</v>
      </c>
    </row>
    <row r="867" spans="3:15" ht="17.25">
      <c r="F867" s="12"/>
      <c r="H867" s="409"/>
      <c r="I867" s="358"/>
      <c r="J867" s="442"/>
      <c r="K867" s="280"/>
      <c r="L867" s="358"/>
      <c r="M867" s="579"/>
      <c r="N867" s="469"/>
      <c r="O867" s="469"/>
    </row>
    <row r="868" spans="3:15" ht="17.25">
      <c r="F868" s="361">
        <v>44126</v>
      </c>
      <c r="G868" s="361"/>
      <c r="H868" s="409"/>
      <c r="I868" s="358"/>
      <c r="J868" s="442"/>
      <c r="K868" s="280"/>
      <c r="L868" s="358"/>
      <c r="M868" s="579"/>
      <c r="N868" s="469"/>
      <c r="O868" s="469"/>
    </row>
    <row r="869" spans="3:15" ht="17.25">
      <c r="F869" s="12"/>
      <c r="G869" s="112" t="s">
        <v>33</v>
      </c>
      <c r="H869" s="409">
        <v>12</v>
      </c>
      <c r="I869" s="358">
        <v>5637.9646153846152</v>
      </c>
      <c r="J869" s="442">
        <v>1</v>
      </c>
      <c r="K869" s="280">
        <v>5637.9646153846152</v>
      </c>
      <c r="L869" s="358">
        <v>4303.88</v>
      </c>
      <c r="M869" s="579">
        <v>1</v>
      </c>
      <c r="N869" s="469">
        <v>4303.88</v>
      </c>
      <c r="O869" s="469">
        <v>1334.0846153846155</v>
      </c>
    </row>
    <row r="870" spans="3:15" ht="17.25">
      <c r="F870" s="12"/>
      <c r="H870" s="409"/>
      <c r="I870" s="358"/>
      <c r="J870" s="442"/>
      <c r="K870" s="280"/>
      <c r="L870" s="358"/>
      <c r="M870" s="579"/>
      <c r="N870" s="469"/>
      <c r="O870" s="469"/>
    </row>
    <row r="871" spans="3:15" ht="17.25">
      <c r="C871" s="342" t="s">
        <v>319</v>
      </c>
      <c r="D871" s="342"/>
      <c r="E871" s="342"/>
      <c r="F871" s="342"/>
      <c r="G871" s="342"/>
      <c r="H871" s="410">
        <v>64</v>
      </c>
      <c r="I871" s="407">
        <v>29778.639999999992</v>
      </c>
      <c r="J871" s="460">
        <v>1</v>
      </c>
      <c r="K871" s="413">
        <v>29778.639999999992</v>
      </c>
      <c r="L871" s="407">
        <v>21333.825909090909</v>
      </c>
      <c r="M871" s="580">
        <v>1</v>
      </c>
      <c r="N871" s="470">
        <v>21333.825909090909</v>
      </c>
      <c r="O871" s="470">
        <v>8444.8140909090889</v>
      </c>
    </row>
    <row r="872" spans="3:15" ht="17.25">
      <c r="F872" s="12"/>
      <c r="H872" s="409"/>
      <c r="I872" s="358"/>
      <c r="J872" s="442"/>
      <c r="K872" s="280"/>
      <c r="L872" s="358"/>
      <c r="M872" s="579"/>
      <c r="N872" s="469"/>
      <c r="O872" s="469"/>
    </row>
    <row r="873" spans="3:15" ht="17.25">
      <c r="C873" s="12" t="s">
        <v>162</v>
      </c>
      <c r="F873" s="12"/>
      <c r="H873" s="409"/>
      <c r="I873" s="358"/>
      <c r="J873" s="442"/>
      <c r="K873" s="280"/>
      <c r="L873" s="358"/>
      <c r="M873" s="579"/>
      <c r="N873" s="469"/>
      <c r="O873" s="469"/>
    </row>
    <row r="874" spans="3:15" ht="17.25">
      <c r="D874" s="361">
        <v>44678</v>
      </c>
      <c r="E874" s="361"/>
      <c r="F874" s="361"/>
      <c r="G874" s="361"/>
      <c r="H874" s="409"/>
      <c r="I874" s="358"/>
      <c r="J874" s="442"/>
      <c r="K874" s="280"/>
      <c r="L874" s="358"/>
      <c r="M874" s="579"/>
      <c r="N874" s="469"/>
      <c r="O874" s="469"/>
    </row>
    <row r="875" spans="3:15" ht="17.25">
      <c r="E875" s="12" t="s">
        <v>33</v>
      </c>
      <c r="F875" s="12"/>
      <c r="H875" s="409"/>
      <c r="I875" s="358"/>
      <c r="J875" s="442"/>
      <c r="K875" s="280"/>
      <c r="L875" s="358"/>
      <c r="M875" s="579"/>
      <c r="N875" s="469"/>
      <c r="O875" s="469"/>
    </row>
    <row r="876" spans="3:15" ht="17.25">
      <c r="F876" s="361">
        <v>43465</v>
      </c>
      <c r="G876" s="361"/>
      <c r="H876" s="409"/>
      <c r="I876" s="358"/>
      <c r="J876" s="442"/>
      <c r="K876" s="280"/>
      <c r="L876" s="358"/>
      <c r="M876" s="579"/>
      <c r="N876" s="469"/>
      <c r="O876" s="469"/>
    </row>
    <row r="877" spans="3:15" ht="17.25">
      <c r="F877" s="12"/>
      <c r="G877" s="112" t="s">
        <v>33</v>
      </c>
      <c r="H877" s="409">
        <v>139</v>
      </c>
      <c r="I877" s="358">
        <v>23467.93</v>
      </c>
      <c r="J877" s="442">
        <v>1</v>
      </c>
      <c r="K877" s="280">
        <v>23467.93</v>
      </c>
      <c r="L877" s="358">
        <v>11671.322700729927</v>
      </c>
      <c r="M877" s="579">
        <v>1</v>
      </c>
      <c r="N877" s="469">
        <v>11671.322700729927</v>
      </c>
      <c r="O877" s="469">
        <v>11796.607299270074</v>
      </c>
    </row>
    <row r="878" spans="3:15" ht="17.25">
      <c r="F878" s="12"/>
      <c r="H878" s="409"/>
      <c r="I878" s="358"/>
      <c r="J878" s="442"/>
      <c r="K878" s="280"/>
      <c r="L878" s="358"/>
      <c r="M878" s="579"/>
      <c r="N878" s="469"/>
      <c r="O878" s="469"/>
    </row>
    <row r="879" spans="3:15" ht="17.25">
      <c r="D879" s="361">
        <v>44804</v>
      </c>
      <c r="E879" s="361"/>
      <c r="F879" s="361"/>
      <c r="G879" s="361"/>
      <c r="H879" s="409"/>
      <c r="I879" s="358"/>
      <c r="J879" s="442"/>
      <c r="K879" s="280"/>
      <c r="L879" s="358"/>
      <c r="M879" s="579"/>
      <c r="N879" s="469"/>
      <c r="O879" s="469"/>
    </row>
    <row r="880" spans="3:15" ht="17.25">
      <c r="E880" s="12" t="s">
        <v>33</v>
      </c>
      <c r="F880" s="12"/>
      <c r="H880" s="409"/>
      <c r="I880" s="358"/>
      <c r="J880" s="442"/>
      <c r="K880" s="280"/>
      <c r="L880" s="358"/>
      <c r="M880" s="579"/>
      <c r="N880" s="469"/>
      <c r="O880" s="469"/>
    </row>
    <row r="881" spans="3:15" ht="17.25">
      <c r="F881" s="361">
        <v>43465</v>
      </c>
      <c r="G881" s="361"/>
      <c r="H881" s="409"/>
      <c r="I881" s="358"/>
      <c r="J881" s="442"/>
      <c r="K881" s="280"/>
      <c r="L881" s="358"/>
      <c r="M881" s="579"/>
      <c r="N881" s="469"/>
      <c r="O881" s="469"/>
    </row>
    <row r="882" spans="3:15" ht="17.25">
      <c r="F882" s="12"/>
      <c r="G882" s="112" t="s">
        <v>33</v>
      </c>
      <c r="H882" s="409">
        <v>19</v>
      </c>
      <c r="I882" s="358">
        <v>3074.13</v>
      </c>
      <c r="J882" s="442">
        <v>1</v>
      </c>
      <c r="K882" s="280">
        <v>3074.13</v>
      </c>
      <c r="L882" s="358">
        <v>1595.3606569343067</v>
      </c>
      <c r="M882" s="579">
        <v>1</v>
      </c>
      <c r="N882" s="469">
        <v>1595.3606569343067</v>
      </c>
      <c r="O882" s="469">
        <v>1478.7693430656934</v>
      </c>
    </row>
    <row r="883" spans="3:15" ht="17.25">
      <c r="F883" s="12"/>
      <c r="H883" s="409"/>
      <c r="I883" s="358"/>
      <c r="J883" s="442"/>
      <c r="K883" s="280"/>
      <c r="L883" s="358"/>
      <c r="M883" s="579"/>
      <c r="N883" s="469"/>
      <c r="O883" s="469"/>
    </row>
    <row r="884" spans="3:15" ht="17.25">
      <c r="D884" s="361">
        <v>44805</v>
      </c>
      <c r="E884" s="361"/>
      <c r="F884" s="361"/>
      <c r="G884" s="361"/>
      <c r="H884" s="409"/>
      <c r="I884" s="358"/>
      <c r="J884" s="442"/>
      <c r="K884" s="280"/>
      <c r="L884" s="358"/>
      <c r="M884" s="579"/>
      <c r="N884" s="469"/>
      <c r="O884" s="469"/>
    </row>
    <row r="885" spans="3:15" ht="17.25">
      <c r="E885" s="12" t="s">
        <v>33</v>
      </c>
      <c r="F885" s="12"/>
      <c r="H885" s="409"/>
      <c r="I885" s="358"/>
      <c r="J885" s="442"/>
      <c r="K885" s="280"/>
      <c r="L885" s="358"/>
      <c r="M885" s="579"/>
      <c r="N885" s="469"/>
      <c r="O885" s="469"/>
    </row>
    <row r="886" spans="3:15" ht="17.25">
      <c r="F886" s="361">
        <v>43465</v>
      </c>
      <c r="G886" s="361"/>
      <c r="H886" s="409"/>
      <c r="I886" s="358"/>
      <c r="J886" s="442"/>
      <c r="K886" s="280"/>
      <c r="L886" s="358"/>
      <c r="M886" s="579"/>
      <c r="N886" s="469"/>
      <c r="O886" s="469"/>
    </row>
    <row r="887" spans="3:15" ht="17.25">
      <c r="F887" s="12"/>
      <c r="G887" s="112" t="s">
        <v>33</v>
      </c>
      <c r="H887" s="409">
        <v>20</v>
      </c>
      <c r="I887" s="358">
        <v>3226.48</v>
      </c>
      <c r="J887" s="442">
        <v>1</v>
      </c>
      <c r="K887" s="280">
        <v>3226.48</v>
      </c>
      <c r="L887" s="358">
        <v>1679.32700729927</v>
      </c>
      <c r="M887" s="579">
        <v>1</v>
      </c>
      <c r="N887" s="469">
        <v>1679.32700729927</v>
      </c>
      <c r="O887" s="469">
        <v>1547.15299270073</v>
      </c>
    </row>
    <row r="888" spans="3:15" ht="17.25">
      <c r="F888" s="12"/>
      <c r="H888" s="409"/>
      <c r="I888" s="358"/>
      <c r="J888" s="442"/>
      <c r="K888" s="280"/>
      <c r="L888" s="358"/>
      <c r="M888" s="579"/>
      <c r="N888" s="469"/>
      <c r="O888" s="469"/>
    </row>
    <row r="889" spans="3:15" ht="17.25">
      <c r="D889" s="361">
        <v>44806</v>
      </c>
      <c r="E889" s="361"/>
      <c r="F889" s="361"/>
      <c r="G889" s="361"/>
      <c r="H889" s="409"/>
      <c r="I889" s="358"/>
      <c r="J889" s="442"/>
      <c r="K889" s="280"/>
      <c r="L889" s="358"/>
      <c r="M889" s="579"/>
      <c r="N889" s="469"/>
      <c r="O889" s="469"/>
    </row>
    <row r="890" spans="3:15" ht="17.25">
      <c r="E890" s="12" t="s">
        <v>33</v>
      </c>
      <c r="F890" s="12"/>
      <c r="H890" s="409"/>
      <c r="I890" s="358"/>
      <c r="J890" s="442"/>
      <c r="K890" s="280"/>
      <c r="L890" s="358"/>
      <c r="M890" s="579"/>
      <c r="N890" s="469"/>
      <c r="O890" s="469"/>
    </row>
    <row r="891" spans="3:15" ht="17.25">
      <c r="F891" s="361">
        <v>43465</v>
      </c>
      <c r="G891" s="361"/>
      <c r="H891" s="409"/>
      <c r="I891" s="358"/>
      <c r="J891" s="442"/>
      <c r="K891" s="280"/>
      <c r="L891" s="358"/>
      <c r="M891" s="579"/>
      <c r="N891" s="469"/>
      <c r="O891" s="469"/>
    </row>
    <row r="892" spans="3:15" ht="17.25">
      <c r="F892" s="12"/>
      <c r="G892" s="112" t="s">
        <v>33</v>
      </c>
      <c r="H892" s="409">
        <v>2</v>
      </c>
      <c r="I892" s="358">
        <v>321.39999999999998</v>
      </c>
      <c r="J892" s="442">
        <v>1</v>
      </c>
      <c r="K892" s="280">
        <v>321.39999999999998</v>
      </c>
      <c r="L892" s="358">
        <v>167.93270072992701</v>
      </c>
      <c r="M892" s="579">
        <v>1</v>
      </c>
      <c r="N892" s="469">
        <v>167.93270072992701</v>
      </c>
      <c r="O892" s="469">
        <v>153.46729927007297</v>
      </c>
    </row>
    <row r="893" spans="3:15" ht="17.25">
      <c r="F893" s="12"/>
      <c r="H893" s="409"/>
      <c r="I893" s="358"/>
      <c r="J893" s="442"/>
      <c r="K893" s="280"/>
      <c r="L893" s="358"/>
      <c r="M893" s="579"/>
      <c r="N893" s="469"/>
      <c r="O893" s="469"/>
    </row>
    <row r="894" spans="3:15" ht="17.25">
      <c r="C894" s="342" t="s">
        <v>320</v>
      </c>
      <c r="D894" s="342"/>
      <c r="E894" s="342"/>
      <c r="F894" s="342"/>
      <c r="G894" s="342"/>
      <c r="H894" s="410">
        <v>180</v>
      </c>
      <c r="I894" s="407">
        <v>30089.94</v>
      </c>
      <c r="J894" s="460">
        <v>1</v>
      </c>
      <c r="K894" s="413">
        <v>30089.94</v>
      </c>
      <c r="L894" s="407">
        <v>15113.943065693429</v>
      </c>
      <c r="M894" s="580">
        <v>1</v>
      </c>
      <c r="N894" s="470">
        <v>15113.943065693429</v>
      </c>
      <c r="O894" s="470">
        <v>14975.996934306568</v>
      </c>
    </row>
    <row r="895" spans="3:15" ht="17.25">
      <c r="F895" s="12"/>
      <c r="H895" s="409"/>
      <c r="I895" s="358"/>
      <c r="J895" s="442"/>
      <c r="K895" s="280"/>
      <c r="L895" s="358"/>
      <c r="M895" s="579"/>
      <c r="N895" s="469"/>
      <c r="O895" s="469"/>
    </row>
    <row r="896" spans="3:15" ht="17.25">
      <c r="C896" s="12" t="s">
        <v>160</v>
      </c>
      <c r="F896" s="12"/>
      <c r="H896" s="409"/>
      <c r="I896" s="358"/>
      <c r="J896" s="442"/>
      <c r="K896" s="280"/>
      <c r="L896" s="358"/>
      <c r="M896" s="579"/>
      <c r="N896" s="469"/>
      <c r="O896" s="469"/>
    </row>
    <row r="897" spans="4:15" ht="17.25">
      <c r="D897" s="361">
        <v>44608</v>
      </c>
      <c r="E897" s="361"/>
      <c r="F897" s="361"/>
      <c r="G897" s="361"/>
      <c r="H897" s="409"/>
      <c r="I897" s="358"/>
      <c r="J897" s="442"/>
      <c r="K897" s="280"/>
      <c r="L897" s="358"/>
      <c r="M897" s="579"/>
      <c r="N897" s="469"/>
      <c r="O897" s="469"/>
    </row>
    <row r="898" spans="4:15" ht="17.25">
      <c r="E898" s="12" t="s">
        <v>33</v>
      </c>
      <c r="F898" s="12"/>
      <c r="H898" s="409"/>
      <c r="I898" s="358"/>
      <c r="J898" s="442"/>
      <c r="K898" s="280"/>
      <c r="L898" s="358"/>
      <c r="M898" s="579"/>
      <c r="N898" s="469"/>
      <c r="O898" s="469"/>
    </row>
    <row r="899" spans="4:15" ht="17.25">
      <c r="F899" s="361">
        <v>44133</v>
      </c>
      <c r="G899" s="361"/>
      <c r="H899" s="409"/>
      <c r="I899" s="358"/>
      <c r="J899" s="442"/>
      <c r="K899" s="280"/>
      <c r="L899" s="358"/>
      <c r="M899" s="579"/>
      <c r="N899" s="469"/>
      <c r="O899" s="469"/>
    </row>
    <row r="900" spans="4:15" ht="17.25">
      <c r="F900" s="12"/>
      <c r="G900" s="112" t="s">
        <v>33</v>
      </c>
      <c r="H900" s="409">
        <v>6</v>
      </c>
      <c r="I900" s="358">
        <v>2290.8186206896553</v>
      </c>
      <c r="J900" s="442">
        <v>1</v>
      </c>
      <c r="K900" s="280">
        <v>2290.8186206896553</v>
      </c>
      <c r="L900" s="358">
        <v>1757.88</v>
      </c>
      <c r="M900" s="579">
        <v>1</v>
      </c>
      <c r="N900" s="469">
        <v>1757.88</v>
      </c>
      <c r="O900" s="469">
        <v>532.93862068965518</v>
      </c>
    </row>
    <row r="901" spans="4:15" ht="17.25">
      <c r="F901" s="12"/>
      <c r="H901" s="409"/>
      <c r="I901" s="358"/>
      <c r="J901" s="442"/>
      <c r="K901" s="280"/>
      <c r="L901" s="358"/>
      <c r="M901" s="579"/>
      <c r="N901" s="469"/>
      <c r="O901" s="469"/>
    </row>
    <row r="902" spans="4:15" ht="17.25">
      <c r="F902" s="361">
        <v>44139</v>
      </c>
      <c r="G902" s="361"/>
      <c r="H902" s="409"/>
      <c r="I902" s="358"/>
      <c r="J902" s="442"/>
      <c r="K902" s="280"/>
      <c r="L902" s="358"/>
      <c r="M902" s="579"/>
      <c r="N902" s="469"/>
      <c r="O902" s="469"/>
    </row>
    <row r="903" spans="4:15" ht="17.25">
      <c r="F903" s="12"/>
      <c r="G903" s="112" t="s">
        <v>33</v>
      </c>
      <c r="H903" s="409">
        <v>11</v>
      </c>
      <c r="I903" s="358">
        <v>4199.834137931035</v>
      </c>
      <c r="J903" s="442">
        <v>1</v>
      </c>
      <c r="K903" s="280">
        <v>4199.834137931035</v>
      </c>
      <c r="L903" s="358">
        <v>3342.89</v>
      </c>
      <c r="M903" s="579">
        <v>1</v>
      </c>
      <c r="N903" s="469">
        <v>3342.89</v>
      </c>
      <c r="O903" s="469">
        <v>856.94413793103513</v>
      </c>
    </row>
    <row r="904" spans="4:15" ht="17.25">
      <c r="F904" s="12"/>
      <c r="H904" s="409"/>
      <c r="I904" s="358"/>
      <c r="J904" s="442"/>
      <c r="K904" s="280"/>
      <c r="L904" s="358"/>
      <c r="M904" s="579"/>
      <c r="N904" s="469"/>
      <c r="O904" s="469"/>
    </row>
    <row r="905" spans="4:15" ht="17.25">
      <c r="F905" s="361">
        <v>44152</v>
      </c>
      <c r="G905" s="361"/>
      <c r="H905" s="409"/>
      <c r="I905" s="358"/>
      <c r="J905" s="442"/>
      <c r="K905" s="280"/>
      <c r="L905" s="358"/>
      <c r="M905" s="579"/>
      <c r="N905" s="469"/>
      <c r="O905" s="469"/>
    </row>
    <row r="906" spans="4:15" ht="17.25">
      <c r="F906" s="12"/>
      <c r="G906" s="112" t="s">
        <v>33</v>
      </c>
      <c r="H906" s="409">
        <v>12</v>
      </c>
      <c r="I906" s="358">
        <v>4581.6372413793106</v>
      </c>
      <c r="J906" s="442">
        <v>1</v>
      </c>
      <c r="K906" s="280">
        <v>4581.6372413793106</v>
      </c>
      <c r="L906" s="358">
        <v>4017.2400000000007</v>
      </c>
      <c r="M906" s="579">
        <v>1</v>
      </c>
      <c r="N906" s="469">
        <v>4017.2400000000007</v>
      </c>
      <c r="O906" s="469">
        <v>564.39724137930989</v>
      </c>
    </row>
    <row r="907" spans="4:15" ht="17.25">
      <c r="F907" s="12"/>
      <c r="H907" s="409"/>
      <c r="I907" s="358"/>
      <c r="J907" s="442"/>
      <c r="K907" s="280"/>
      <c r="L907" s="358"/>
      <c r="M907" s="579"/>
      <c r="N907" s="469"/>
      <c r="O907" s="469"/>
    </row>
    <row r="908" spans="4:15" ht="17.25">
      <c r="D908" s="361">
        <v>44678</v>
      </c>
      <c r="E908" s="361"/>
      <c r="F908" s="361"/>
      <c r="G908" s="361"/>
      <c r="H908" s="409"/>
      <c r="I908" s="358"/>
      <c r="J908" s="442"/>
      <c r="K908" s="280"/>
      <c r="L908" s="358"/>
      <c r="M908" s="579"/>
      <c r="N908" s="469"/>
      <c r="O908" s="469"/>
    </row>
    <row r="909" spans="4:15" ht="17.25">
      <c r="E909" s="12" t="s">
        <v>33</v>
      </c>
      <c r="F909" s="12"/>
      <c r="H909" s="409"/>
      <c r="I909" s="358"/>
      <c r="J909" s="442"/>
      <c r="K909" s="280"/>
      <c r="L909" s="358"/>
      <c r="M909" s="579"/>
      <c r="N909" s="469"/>
      <c r="O909" s="469"/>
    </row>
    <row r="910" spans="4:15" ht="17.25">
      <c r="F910" s="361">
        <v>44363</v>
      </c>
      <c r="G910" s="361"/>
      <c r="H910" s="409"/>
      <c r="I910" s="358"/>
      <c r="J910" s="442"/>
      <c r="K910" s="280"/>
      <c r="L910" s="358"/>
      <c r="M910" s="579"/>
      <c r="N910" s="469"/>
      <c r="O910" s="469"/>
    </row>
    <row r="911" spans="4:15" ht="17.25">
      <c r="F911" s="12"/>
      <c r="G911" s="112" t="s">
        <v>33</v>
      </c>
      <c r="H911" s="409">
        <v>6</v>
      </c>
      <c r="I911" s="358">
        <v>2179.9406896551723</v>
      </c>
      <c r="J911" s="442">
        <v>1</v>
      </c>
      <c r="K911" s="280">
        <v>2179.9406896551723</v>
      </c>
      <c r="L911" s="358">
        <v>2204.3690526315791</v>
      </c>
      <c r="M911" s="579">
        <v>1</v>
      </c>
      <c r="N911" s="469">
        <v>2204.3690526315791</v>
      </c>
      <c r="O911" s="469">
        <v>-24.428362976406788</v>
      </c>
    </row>
    <row r="912" spans="4:15" ht="17.25">
      <c r="F912" s="12"/>
      <c r="H912" s="409"/>
      <c r="I912" s="358"/>
      <c r="J912" s="442"/>
      <c r="K912" s="280"/>
      <c r="L912" s="358"/>
      <c r="M912" s="579"/>
      <c r="N912" s="469"/>
      <c r="O912" s="469"/>
    </row>
    <row r="913" spans="4:15" ht="17.25">
      <c r="F913" s="361">
        <v>44216</v>
      </c>
      <c r="G913" s="361"/>
      <c r="H913" s="409"/>
      <c r="I913" s="358"/>
      <c r="J913" s="442"/>
      <c r="K913" s="280"/>
      <c r="L913" s="358"/>
      <c r="M913" s="579"/>
      <c r="N913" s="469"/>
      <c r="O913" s="469"/>
    </row>
    <row r="914" spans="4:15" ht="17.25">
      <c r="F914" s="12"/>
      <c r="G914" s="112" t="s">
        <v>33</v>
      </c>
      <c r="H914" s="409">
        <v>13</v>
      </c>
      <c r="I914" s="358">
        <v>4723.2048275862071</v>
      </c>
      <c r="J914" s="442">
        <v>1</v>
      </c>
      <c r="K914" s="280">
        <v>4723.2048275862071</v>
      </c>
      <c r="L914" s="358">
        <v>4333.5</v>
      </c>
      <c r="M914" s="579">
        <v>1</v>
      </c>
      <c r="N914" s="469">
        <v>4333.5</v>
      </c>
      <c r="O914" s="469">
        <v>389.7048275862071</v>
      </c>
    </row>
    <row r="915" spans="4:15" ht="17.25">
      <c r="F915" s="12"/>
      <c r="H915" s="409"/>
      <c r="I915" s="358"/>
      <c r="J915" s="442"/>
      <c r="K915" s="280"/>
      <c r="L915" s="358"/>
      <c r="M915" s="579"/>
      <c r="N915" s="469"/>
      <c r="O915" s="469"/>
    </row>
    <row r="916" spans="4:15" ht="17.25">
      <c r="F916" s="361">
        <v>44152</v>
      </c>
      <c r="G916" s="361"/>
      <c r="H916" s="409"/>
      <c r="I916" s="358"/>
      <c r="J916" s="442"/>
      <c r="K916" s="280"/>
      <c r="L916" s="358"/>
      <c r="M916" s="579"/>
      <c r="N916" s="469"/>
      <c r="O916" s="469"/>
    </row>
    <row r="917" spans="4:15" ht="17.25">
      <c r="F917" s="12"/>
      <c r="G917" s="112" t="s">
        <v>33</v>
      </c>
      <c r="H917" s="409">
        <v>1</v>
      </c>
      <c r="I917" s="358">
        <v>363.32344827586206</v>
      </c>
      <c r="J917" s="442">
        <v>1</v>
      </c>
      <c r="K917" s="280">
        <v>363.32344827586206</v>
      </c>
      <c r="L917" s="358">
        <v>334.77000000000004</v>
      </c>
      <c r="M917" s="579">
        <v>1</v>
      </c>
      <c r="N917" s="469">
        <v>334.77000000000004</v>
      </c>
      <c r="O917" s="469">
        <v>28.553448275862024</v>
      </c>
    </row>
    <row r="918" spans="4:15" ht="17.25">
      <c r="F918" s="12"/>
      <c r="H918" s="409"/>
      <c r="I918" s="358"/>
      <c r="J918" s="442"/>
      <c r="K918" s="280"/>
      <c r="L918" s="358"/>
      <c r="M918" s="579"/>
      <c r="N918" s="469"/>
      <c r="O918" s="469"/>
    </row>
    <row r="919" spans="4:15" ht="17.25">
      <c r="F919" s="361">
        <v>44223</v>
      </c>
      <c r="G919" s="361"/>
      <c r="H919" s="409"/>
      <c r="I919" s="358"/>
      <c r="J919" s="442"/>
      <c r="K919" s="280"/>
      <c r="L919" s="358"/>
      <c r="M919" s="579"/>
      <c r="N919" s="469"/>
      <c r="O919" s="469"/>
    </row>
    <row r="920" spans="4:15" ht="17.25">
      <c r="F920" s="12"/>
      <c r="G920" s="112" t="s">
        <v>33</v>
      </c>
      <c r="H920" s="409">
        <v>12</v>
      </c>
      <c r="I920" s="358">
        <v>4359.8813793103445</v>
      </c>
      <c r="J920" s="442">
        <v>1</v>
      </c>
      <c r="K920" s="280">
        <v>4359.8813793103445</v>
      </c>
      <c r="L920" s="358">
        <v>3793.67</v>
      </c>
      <c r="M920" s="579">
        <v>1</v>
      </c>
      <c r="N920" s="469">
        <v>3793.67</v>
      </c>
      <c r="O920" s="469">
        <v>566.21137931034446</v>
      </c>
    </row>
    <row r="921" spans="4:15" ht="17.25">
      <c r="F921" s="12"/>
      <c r="H921" s="409"/>
      <c r="I921" s="358"/>
      <c r="J921" s="442"/>
      <c r="K921" s="280"/>
      <c r="L921" s="358"/>
      <c r="M921" s="579"/>
      <c r="N921" s="469"/>
      <c r="O921" s="469"/>
    </row>
    <row r="922" spans="4:15" ht="17.25">
      <c r="F922" s="361">
        <v>44257</v>
      </c>
      <c r="G922" s="361"/>
      <c r="H922" s="409"/>
      <c r="I922" s="358"/>
      <c r="J922" s="442"/>
      <c r="K922" s="280"/>
      <c r="L922" s="358"/>
      <c r="M922" s="579"/>
      <c r="N922" s="469"/>
      <c r="O922" s="469"/>
    </row>
    <row r="923" spans="4:15" ht="17.25">
      <c r="F923" s="12"/>
      <c r="G923" s="112" t="s">
        <v>33</v>
      </c>
      <c r="H923" s="409">
        <v>13</v>
      </c>
      <c r="I923" s="358">
        <v>4723.2048275862071</v>
      </c>
      <c r="J923" s="442">
        <v>1</v>
      </c>
      <c r="K923" s="280">
        <v>4723.2048275862071</v>
      </c>
      <c r="L923" s="358">
        <v>4720.3500000000004</v>
      </c>
      <c r="M923" s="579">
        <v>1</v>
      </c>
      <c r="N923" s="469">
        <v>4720.3500000000004</v>
      </c>
      <c r="O923" s="469">
        <v>2.8548275862067385</v>
      </c>
    </row>
    <row r="924" spans="4:15" ht="17.25">
      <c r="F924" s="12"/>
      <c r="H924" s="409"/>
      <c r="I924" s="358"/>
      <c r="J924" s="442"/>
      <c r="K924" s="280"/>
      <c r="L924" s="358"/>
      <c r="M924" s="579"/>
      <c r="N924" s="469"/>
      <c r="O924" s="469"/>
    </row>
    <row r="925" spans="4:15" ht="17.25">
      <c r="F925" s="361">
        <v>44343</v>
      </c>
      <c r="G925" s="361"/>
      <c r="H925" s="409"/>
      <c r="I925" s="358"/>
      <c r="J925" s="442"/>
      <c r="K925" s="280"/>
      <c r="L925" s="358"/>
      <c r="M925" s="579"/>
      <c r="N925" s="469"/>
      <c r="O925" s="469"/>
    </row>
    <row r="926" spans="4:15" ht="17.25">
      <c r="F926" s="12"/>
      <c r="G926" s="112" t="s">
        <v>33</v>
      </c>
      <c r="H926" s="409">
        <v>13</v>
      </c>
      <c r="I926" s="358">
        <v>4723.2048275862071</v>
      </c>
      <c r="J926" s="442">
        <v>1</v>
      </c>
      <c r="K926" s="280">
        <v>4723.2048275862071</v>
      </c>
      <c r="L926" s="358">
        <v>4749.75</v>
      </c>
      <c r="M926" s="579">
        <v>1</v>
      </c>
      <c r="N926" s="469">
        <v>4749.75</v>
      </c>
      <c r="O926" s="469">
        <v>-26.545172413792898</v>
      </c>
    </row>
    <row r="927" spans="4:15" ht="17.25">
      <c r="F927" s="12"/>
      <c r="H927" s="409"/>
      <c r="I927" s="358"/>
      <c r="J927" s="442"/>
      <c r="K927" s="280"/>
      <c r="L927" s="358"/>
      <c r="M927" s="579"/>
      <c r="N927" s="469"/>
      <c r="O927" s="469"/>
    </row>
    <row r="928" spans="4:15" ht="17.25">
      <c r="D928" s="361">
        <v>44833</v>
      </c>
      <c r="E928" s="361"/>
      <c r="F928" s="361"/>
      <c r="G928" s="361"/>
      <c r="H928" s="409"/>
      <c r="I928" s="358"/>
      <c r="J928" s="442"/>
      <c r="K928" s="280"/>
      <c r="L928" s="358"/>
      <c r="M928" s="579"/>
      <c r="N928" s="469"/>
      <c r="O928" s="469"/>
    </row>
    <row r="929" spans="3:15" ht="17.25">
      <c r="E929" s="12" t="s">
        <v>33</v>
      </c>
      <c r="F929" s="12"/>
      <c r="H929" s="409"/>
      <c r="I929" s="358"/>
      <c r="J929" s="442"/>
      <c r="K929" s="280"/>
      <c r="L929" s="358"/>
      <c r="M929" s="579"/>
      <c r="N929" s="469"/>
      <c r="O929" s="469"/>
    </row>
    <row r="930" spans="3:15" ht="17.25">
      <c r="F930" s="361">
        <v>44363</v>
      </c>
      <c r="G930" s="361"/>
      <c r="H930" s="409"/>
      <c r="I930" s="358"/>
      <c r="J930" s="442"/>
      <c r="K930" s="280"/>
      <c r="L930" s="358"/>
      <c r="M930" s="579"/>
      <c r="N930" s="469"/>
      <c r="O930" s="469"/>
    </row>
    <row r="931" spans="3:15" ht="17.25">
      <c r="F931" s="12"/>
      <c r="G931" s="112" t="s">
        <v>33</v>
      </c>
      <c r="H931" s="409">
        <v>20</v>
      </c>
      <c r="I931" s="358">
        <v>5761.78</v>
      </c>
      <c r="J931" s="442">
        <v>1</v>
      </c>
      <c r="K931" s="280">
        <v>5761.78</v>
      </c>
      <c r="L931" s="358">
        <v>7347.8968421052641</v>
      </c>
      <c r="M931" s="579">
        <v>1</v>
      </c>
      <c r="N931" s="469">
        <v>7347.8968421052641</v>
      </c>
      <c r="O931" s="469">
        <v>-1586.1168421052644</v>
      </c>
    </row>
    <row r="932" spans="3:15" ht="17.25">
      <c r="F932" s="12"/>
      <c r="H932" s="409"/>
      <c r="I932" s="358"/>
      <c r="J932" s="442"/>
      <c r="K932" s="280"/>
      <c r="L932" s="358"/>
      <c r="M932" s="579"/>
      <c r="N932" s="469"/>
      <c r="O932" s="469"/>
    </row>
    <row r="933" spans="3:15" ht="17.25">
      <c r="C933" s="342" t="s">
        <v>321</v>
      </c>
      <c r="D933" s="342"/>
      <c r="E933" s="342"/>
      <c r="F933" s="342"/>
      <c r="G933" s="342"/>
      <c r="H933" s="410">
        <v>107</v>
      </c>
      <c r="I933" s="407">
        <v>37906.83</v>
      </c>
      <c r="J933" s="460">
        <v>1</v>
      </c>
      <c r="K933" s="413">
        <v>37906.83</v>
      </c>
      <c r="L933" s="407">
        <v>36602.315894736843</v>
      </c>
      <c r="M933" s="580">
        <v>1</v>
      </c>
      <c r="N933" s="470">
        <v>36602.315894736843</v>
      </c>
      <c r="O933" s="470">
        <v>1304.5141052631566</v>
      </c>
    </row>
    <row r="934" spans="3:15" ht="17.25">
      <c r="F934" s="12"/>
      <c r="H934" s="409"/>
      <c r="I934" s="358"/>
      <c r="J934" s="442"/>
      <c r="K934" s="280"/>
      <c r="L934" s="358"/>
      <c r="M934" s="579"/>
      <c r="N934" s="469"/>
      <c r="O934" s="469"/>
    </row>
    <row r="935" spans="3:15" ht="17.25">
      <c r="C935" s="12" t="s">
        <v>169</v>
      </c>
      <c r="F935" s="12"/>
      <c r="H935" s="409"/>
      <c r="I935" s="358"/>
      <c r="J935" s="442"/>
      <c r="K935" s="280"/>
      <c r="L935" s="358"/>
      <c r="M935" s="579"/>
      <c r="N935" s="469"/>
      <c r="O935" s="469"/>
    </row>
    <row r="936" spans="3:15" ht="17.25">
      <c r="D936" s="361">
        <v>44678</v>
      </c>
      <c r="E936" s="361"/>
      <c r="F936" s="361"/>
      <c r="G936" s="361"/>
      <c r="H936" s="409"/>
      <c r="I936" s="358"/>
      <c r="J936" s="442"/>
      <c r="K936" s="280"/>
      <c r="L936" s="358"/>
      <c r="M936" s="579"/>
      <c r="N936" s="469"/>
      <c r="O936" s="469"/>
    </row>
    <row r="937" spans="3:15" ht="17.25">
      <c r="E937" s="12" t="s">
        <v>33</v>
      </c>
      <c r="F937" s="12"/>
      <c r="H937" s="409"/>
      <c r="I937" s="358"/>
      <c r="J937" s="442"/>
      <c r="K937" s="280"/>
      <c r="L937" s="358"/>
      <c r="M937" s="579"/>
      <c r="N937" s="469"/>
      <c r="O937" s="469"/>
    </row>
    <row r="938" spans="3:15" ht="17.25">
      <c r="F938" s="361">
        <v>43830</v>
      </c>
      <c r="G938" s="361"/>
      <c r="H938" s="409"/>
      <c r="I938" s="358"/>
      <c r="J938" s="442"/>
      <c r="K938" s="280"/>
      <c r="L938" s="358"/>
      <c r="M938" s="579"/>
      <c r="N938" s="469"/>
      <c r="O938" s="469"/>
    </row>
    <row r="939" spans="3:15" ht="17.25">
      <c r="F939" s="12"/>
      <c r="G939" s="112" t="s">
        <v>33</v>
      </c>
      <c r="H939" s="409">
        <v>107</v>
      </c>
      <c r="I939" s="358">
        <v>26496.28</v>
      </c>
      <c r="J939" s="442">
        <v>1</v>
      </c>
      <c r="K939" s="280">
        <v>26496.28</v>
      </c>
      <c r="L939" s="358">
        <v>14143.06232931727</v>
      </c>
      <c r="M939" s="579">
        <v>1</v>
      </c>
      <c r="N939" s="469">
        <v>14143.06232931727</v>
      </c>
      <c r="O939" s="469">
        <v>12353.217670682729</v>
      </c>
    </row>
    <row r="940" spans="3:15" ht="17.25">
      <c r="F940" s="12"/>
      <c r="H940" s="409"/>
      <c r="I940" s="358"/>
      <c r="J940" s="442"/>
      <c r="K940" s="280"/>
      <c r="L940" s="358"/>
      <c r="M940" s="579"/>
      <c r="N940" s="469"/>
      <c r="O940" s="469"/>
    </row>
    <row r="941" spans="3:15" ht="17.25">
      <c r="C941" s="342" t="s">
        <v>322</v>
      </c>
      <c r="D941" s="342"/>
      <c r="E941" s="342"/>
      <c r="F941" s="342"/>
      <c r="G941" s="342"/>
      <c r="H941" s="410">
        <v>107</v>
      </c>
      <c r="I941" s="407">
        <v>26496.28</v>
      </c>
      <c r="J941" s="460">
        <v>1</v>
      </c>
      <c r="K941" s="413">
        <v>26496.28</v>
      </c>
      <c r="L941" s="407">
        <v>14143.06232931727</v>
      </c>
      <c r="M941" s="580">
        <v>1</v>
      </c>
      <c r="N941" s="470">
        <v>14143.06232931727</v>
      </c>
      <c r="O941" s="470">
        <v>12353.217670682729</v>
      </c>
    </row>
    <row r="942" spans="3:15" ht="17.25">
      <c r="F942" s="12"/>
      <c r="H942" s="409"/>
      <c r="I942" s="358"/>
      <c r="J942" s="442"/>
      <c r="K942" s="280"/>
      <c r="L942" s="358"/>
      <c r="M942" s="579"/>
      <c r="N942" s="469"/>
      <c r="O942" s="469"/>
    </row>
    <row r="943" spans="3:15" ht="17.25">
      <c r="C943" s="12" t="s">
        <v>188</v>
      </c>
      <c r="F943" s="12"/>
      <c r="H943" s="409"/>
      <c r="I943" s="358"/>
      <c r="J943" s="442"/>
      <c r="K943" s="280"/>
      <c r="L943" s="358"/>
      <c r="M943" s="579"/>
      <c r="N943" s="469"/>
      <c r="O943" s="469"/>
    </row>
    <row r="944" spans="3:15" ht="17.25">
      <c r="D944" s="361">
        <v>44880</v>
      </c>
      <c r="E944" s="361"/>
      <c r="F944" s="361"/>
      <c r="G944" s="361"/>
      <c r="H944" s="409"/>
      <c r="I944" s="358"/>
      <c r="J944" s="442"/>
      <c r="K944" s="280"/>
      <c r="L944" s="358"/>
      <c r="M944" s="579"/>
      <c r="N944" s="469"/>
      <c r="O944" s="469"/>
    </row>
    <row r="945" spans="4:15" ht="17.25">
      <c r="E945" s="12" t="s">
        <v>33</v>
      </c>
      <c r="F945" s="12"/>
      <c r="H945" s="409"/>
      <c r="I945" s="358"/>
      <c r="J945" s="442"/>
      <c r="K945" s="280"/>
      <c r="L945" s="358"/>
      <c r="M945" s="579"/>
      <c r="N945" s="469"/>
      <c r="O945" s="469"/>
    </row>
    <row r="946" spans="4:15" ht="17.25">
      <c r="F946" s="361">
        <v>44798</v>
      </c>
      <c r="G946" s="361"/>
      <c r="H946" s="409"/>
      <c r="I946" s="358"/>
      <c r="J946" s="442"/>
      <c r="K946" s="280"/>
      <c r="L946" s="358"/>
      <c r="M946" s="579"/>
      <c r="N946" s="469"/>
      <c r="O946" s="469"/>
    </row>
    <row r="947" spans="4:15" ht="17.25">
      <c r="F947" s="12"/>
      <c r="G947" s="112" t="s">
        <v>33</v>
      </c>
      <c r="H947" s="409">
        <v>60</v>
      </c>
      <c r="I947" s="358">
        <v>4992.3882242990658</v>
      </c>
      <c r="J947" s="442">
        <v>1</v>
      </c>
      <c r="K947" s="280">
        <v>4992.3882242990658</v>
      </c>
      <c r="L947" s="358">
        <v>5475.9700000000012</v>
      </c>
      <c r="M947" s="579">
        <v>1</v>
      </c>
      <c r="N947" s="469">
        <v>5475.9700000000012</v>
      </c>
      <c r="O947" s="469">
        <v>-483.58177570093494</v>
      </c>
    </row>
    <row r="948" spans="4:15" ht="17.25">
      <c r="F948" s="12"/>
      <c r="H948" s="409"/>
      <c r="I948" s="358"/>
      <c r="J948" s="442"/>
      <c r="K948" s="280"/>
      <c r="L948" s="358"/>
      <c r="M948" s="579"/>
      <c r="N948" s="469"/>
      <c r="O948" s="469"/>
    </row>
    <row r="949" spans="4:15" ht="17.25">
      <c r="F949" s="361">
        <v>44804</v>
      </c>
      <c r="G949" s="361"/>
      <c r="H949" s="409"/>
      <c r="I949" s="358"/>
      <c r="J949" s="442"/>
      <c r="K949" s="280"/>
      <c r="L949" s="358"/>
      <c r="M949" s="579"/>
      <c r="N949" s="469"/>
      <c r="O949" s="469"/>
    </row>
    <row r="950" spans="4:15" ht="17.25">
      <c r="F950" s="12"/>
      <c r="G950" s="112" t="s">
        <v>33</v>
      </c>
      <c r="H950" s="409">
        <v>65</v>
      </c>
      <c r="I950" s="358">
        <v>5411.8817757009356</v>
      </c>
      <c r="J950" s="442">
        <v>1</v>
      </c>
      <c r="K950" s="280">
        <v>5411.8817757009356</v>
      </c>
      <c r="L950" s="358">
        <v>5729.6391525423733</v>
      </c>
      <c r="M950" s="579">
        <v>1</v>
      </c>
      <c r="N950" s="469">
        <v>5729.6391525423733</v>
      </c>
      <c r="O950" s="469">
        <v>-317.7573768414378</v>
      </c>
    </row>
    <row r="951" spans="4:15" ht="17.25">
      <c r="F951" s="12"/>
      <c r="H951" s="409"/>
      <c r="I951" s="358"/>
      <c r="J951" s="442"/>
      <c r="K951" s="280"/>
      <c r="L951" s="358"/>
      <c r="M951" s="579"/>
      <c r="N951" s="469"/>
      <c r="O951" s="469"/>
    </row>
    <row r="952" spans="4:15" ht="17.25">
      <c r="D952" s="361">
        <v>44887</v>
      </c>
      <c r="E952" s="361"/>
      <c r="F952" s="361"/>
      <c r="G952" s="361"/>
      <c r="H952" s="409"/>
      <c r="I952" s="358"/>
      <c r="J952" s="442"/>
      <c r="K952" s="280"/>
      <c r="L952" s="358"/>
      <c r="M952" s="579"/>
      <c r="N952" s="469"/>
      <c r="O952" s="469"/>
    </row>
    <row r="953" spans="4:15" ht="17.25">
      <c r="E953" s="12" t="s">
        <v>33</v>
      </c>
      <c r="F953" s="12"/>
      <c r="H953" s="409"/>
      <c r="I953" s="358"/>
      <c r="J953" s="442"/>
      <c r="K953" s="280"/>
      <c r="L953" s="358"/>
      <c r="M953" s="579"/>
      <c r="N953" s="469"/>
      <c r="O953" s="469"/>
    </row>
    <row r="954" spans="4:15" ht="17.25">
      <c r="F954" s="361">
        <v>44804</v>
      </c>
      <c r="G954" s="361"/>
      <c r="H954" s="409"/>
      <c r="I954" s="358"/>
      <c r="J954" s="442"/>
      <c r="K954" s="280"/>
      <c r="L954" s="358"/>
      <c r="M954" s="579"/>
      <c r="N954" s="469"/>
      <c r="O954" s="469"/>
    </row>
    <row r="955" spans="4:15" ht="17.25">
      <c r="F955" s="12"/>
      <c r="G955" s="112" t="s">
        <v>33</v>
      </c>
      <c r="H955" s="409">
        <v>10</v>
      </c>
      <c r="I955" s="358">
        <v>775.36790123456785</v>
      </c>
      <c r="J955" s="442">
        <v>1</v>
      </c>
      <c r="K955" s="280">
        <v>775.36790123456785</v>
      </c>
      <c r="L955" s="358">
        <v>881.570847457627</v>
      </c>
      <c r="M955" s="579">
        <v>1</v>
      </c>
      <c r="N955" s="469">
        <v>881.570847457627</v>
      </c>
      <c r="O955" s="469">
        <v>-106.20294622305929</v>
      </c>
    </row>
    <row r="956" spans="4:15" ht="17.25">
      <c r="F956" s="12"/>
      <c r="H956" s="409"/>
      <c r="I956" s="358"/>
      <c r="J956" s="442"/>
      <c r="K956" s="280"/>
      <c r="L956" s="358"/>
      <c r="M956" s="579"/>
      <c r="N956" s="469"/>
      <c r="O956" s="469"/>
    </row>
    <row r="957" spans="4:15" ht="17.25">
      <c r="F957" s="361">
        <v>44817</v>
      </c>
      <c r="G957" s="361"/>
      <c r="H957" s="409"/>
      <c r="I957" s="358"/>
      <c r="J957" s="442"/>
      <c r="K957" s="280"/>
      <c r="L957" s="358"/>
      <c r="M957" s="579"/>
      <c r="N957" s="469"/>
      <c r="O957" s="469"/>
    </row>
    <row r="958" spans="4:15" ht="17.25">
      <c r="F958" s="12"/>
      <c r="G958" s="112" t="s">
        <v>33</v>
      </c>
      <c r="H958" s="409">
        <v>118</v>
      </c>
      <c r="I958" s="358">
        <v>9149.3412345679008</v>
      </c>
      <c r="J958" s="442">
        <v>1</v>
      </c>
      <c r="K958" s="280">
        <v>9149.3412345679008</v>
      </c>
      <c r="L958" s="358">
        <v>10717.71</v>
      </c>
      <c r="M958" s="579">
        <v>1</v>
      </c>
      <c r="N958" s="469">
        <v>10717.71</v>
      </c>
      <c r="O958" s="469">
        <v>-1568.3687654320984</v>
      </c>
    </row>
    <row r="959" spans="4:15" ht="17.25">
      <c r="F959" s="12"/>
      <c r="H959" s="409"/>
      <c r="I959" s="358"/>
      <c r="J959" s="442"/>
      <c r="K959" s="280"/>
      <c r="L959" s="358"/>
      <c r="M959" s="579"/>
      <c r="N959" s="469"/>
      <c r="O959" s="469"/>
    </row>
    <row r="960" spans="4:15" ht="17.25">
      <c r="F960" s="361">
        <v>44833</v>
      </c>
      <c r="G960" s="361"/>
      <c r="H960" s="409"/>
      <c r="I960" s="358"/>
      <c r="J960" s="442"/>
      <c r="K960" s="280"/>
      <c r="L960" s="358"/>
      <c r="M960" s="579"/>
      <c r="N960" s="469"/>
      <c r="O960" s="469"/>
    </row>
    <row r="961" spans="4:15" ht="17.25">
      <c r="F961" s="12"/>
      <c r="G961" s="112" t="s">
        <v>33</v>
      </c>
      <c r="H961" s="409">
        <v>87</v>
      </c>
      <c r="I961" s="358">
        <v>6707.3398641975309</v>
      </c>
      <c r="J961" s="442">
        <v>1</v>
      </c>
      <c r="K961" s="280">
        <v>6707.3398641975309</v>
      </c>
      <c r="L961" s="358">
        <v>7155.9</v>
      </c>
      <c r="M961" s="579">
        <v>1</v>
      </c>
      <c r="N961" s="469">
        <v>7155.9</v>
      </c>
      <c r="O961" s="469">
        <v>-448.5601358024694</v>
      </c>
    </row>
    <row r="962" spans="4:15" ht="17.25">
      <c r="F962" s="12"/>
      <c r="H962" s="409"/>
      <c r="I962" s="358"/>
      <c r="J962" s="442"/>
      <c r="K962" s="280"/>
      <c r="L962" s="358"/>
      <c r="M962" s="579"/>
      <c r="N962" s="469"/>
      <c r="O962" s="469"/>
    </row>
    <row r="963" spans="4:15" ht="17.25">
      <c r="F963" s="361">
        <v>44852</v>
      </c>
      <c r="G963" s="361"/>
      <c r="H963" s="409"/>
      <c r="I963" s="358"/>
      <c r="J963" s="442"/>
      <c r="K963" s="280"/>
      <c r="L963" s="358"/>
      <c r="M963" s="579"/>
      <c r="N963" s="469"/>
      <c r="O963" s="469"/>
    </row>
    <row r="964" spans="4:15" ht="17.25">
      <c r="F964" s="12"/>
      <c r="G964" s="112" t="s">
        <v>33</v>
      </c>
      <c r="H964" s="409">
        <v>7</v>
      </c>
      <c r="I964" s="358">
        <v>537.69100000000003</v>
      </c>
      <c r="J964" s="442">
        <v>1</v>
      </c>
      <c r="K964" s="280">
        <v>537.69100000000003</v>
      </c>
      <c r="L964" s="358">
        <v>589.35870370370378</v>
      </c>
      <c r="M964" s="579">
        <v>1</v>
      </c>
      <c r="N964" s="469">
        <v>589.35870370370378</v>
      </c>
      <c r="O964" s="469">
        <v>-51.667703703703751</v>
      </c>
    </row>
    <row r="965" spans="4:15" ht="17.25">
      <c r="F965" s="12"/>
      <c r="H965" s="409"/>
      <c r="I965" s="358"/>
      <c r="J965" s="442"/>
      <c r="K965" s="280"/>
      <c r="L965" s="358"/>
      <c r="M965" s="579"/>
      <c r="N965" s="469"/>
      <c r="O965" s="469"/>
    </row>
    <row r="966" spans="4:15" ht="17.25">
      <c r="D966" s="361">
        <v>44888</v>
      </c>
      <c r="E966" s="361"/>
      <c r="F966" s="361"/>
      <c r="G966" s="361"/>
      <c r="H966" s="409"/>
      <c r="I966" s="358"/>
      <c r="J966" s="442"/>
      <c r="K966" s="280"/>
      <c r="L966" s="358"/>
      <c r="M966" s="579"/>
      <c r="N966" s="469"/>
      <c r="O966" s="469"/>
    </row>
    <row r="967" spans="4:15" ht="17.25">
      <c r="E967" s="12" t="s">
        <v>33</v>
      </c>
      <c r="F967" s="12"/>
      <c r="H967" s="409"/>
      <c r="I967" s="358"/>
      <c r="J967" s="442"/>
      <c r="K967" s="280"/>
      <c r="L967" s="358"/>
      <c r="M967" s="579"/>
      <c r="N967" s="469"/>
      <c r="O967" s="469"/>
    </row>
    <row r="968" spans="4:15" ht="17.25">
      <c r="F968" s="361">
        <v>44852</v>
      </c>
      <c r="G968" s="361"/>
      <c r="H968" s="409"/>
      <c r="I968" s="358"/>
      <c r="J968" s="442"/>
      <c r="K968" s="280"/>
      <c r="L968" s="358"/>
      <c r="M968" s="579"/>
      <c r="N968" s="469"/>
      <c r="O968" s="469"/>
    </row>
    <row r="969" spans="4:15" ht="17.25">
      <c r="F969" s="12"/>
      <c r="G969" s="112" t="s">
        <v>33</v>
      </c>
      <c r="H969" s="409">
        <v>2</v>
      </c>
      <c r="I969" s="358">
        <v>154.68</v>
      </c>
      <c r="J969" s="442">
        <v>1</v>
      </c>
      <c r="K969" s="280">
        <v>154.68</v>
      </c>
      <c r="L969" s="358">
        <v>168.21148148148148</v>
      </c>
      <c r="M969" s="579">
        <v>1</v>
      </c>
      <c r="N969" s="469">
        <v>168.21148148148148</v>
      </c>
      <c r="O969" s="469">
        <v>-13.531481481481478</v>
      </c>
    </row>
    <row r="970" spans="4:15" ht="17.25">
      <c r="F970" s="12"/>
      <c r="H970" s="409"/>
      <c r="I970" s="358"/>
      <c r="J970" s="442"/>
      <c r="K970" s="280"/>
      <c r="L970" s="358"/>
      <c r="M970" s="579"/>
      <c r="N970" s="469"/>
      <c r="O970" s="469"/>
    </row>
    <row r="971" spans="4:15" ht="17.25">
      <c r="D971" s="361">
        <v>44894</v>
      </c>
      <c r="E971" s="361"/>
      <c r="F971" s="361"/>
      <c r="G971" s="361"/>
      <c r="H971" s="409"/>
      <c r="I971" s="358"/>
      <c r="J971" s="442"/>
      <c r="K971" s="280"/>
      <c r="L971" s="358"/>
      <c r="M971" s="579"/>
      <c r="N971" s="469"/>
      <c r="O971" s="469"/>
    </row>
    <row r="972" spans="4:15" ht="17.25">
      <c r="E972" s="12" t="s">
        <v>33</v>
      </c>
      <c r="F972" s="12"/>
      <c r="H972" s="409"/>
      <c r="I972" s="358"/>
      <c r="J972" s="442"/>
      <c r="K972" s="280"/>
      <c r="L972" s="358"/>
      <c r="M972" s="579"/>
      <c r="N972" s="469"/>
      <c r="O972" s="469"/>
    </row>
    <row r="973" spans="4:15" ht="17.25">
      <c r="F973" s="361">
        <v>44855</v>
      </c>
      <c r="G973" s="361"/>
      <c r="H973" s="409"/>
      <c r="I973" s="358"/>
      <c r="J973" s="442"/>
      <c r="K973" s="280"/>
      <c r="L973" s="358"/>
      <c r="M973" s="579"/>
      <c r="N973" s="469"/>
      <c r="O973" s="469"/>
    </row>
    <row r="974" spans="4:15" ht="17.25">
      <c r="F974" s="12"/>
      <c r="G974" s="112" t="s">
        <v>33</v>
      </c>
      <c r="H974" s="409">
        <v>121</v>
      </c>
      <c r="I974" s="358">
        <v>9232.1496045197746</v>
      </c>
      <c r="J974" s="442">
        <v>1</v>
      </c>
      <c r="K974" s="280">
        <v>9232.1496045197746</v>
      </c>
      <c r="L974" s="358">
        <v>9848.19</v>
      </c>
      <c r="M974" s="579">
        <v>1</v>
      </c>
      <c r="N974" s="469">
        <v>9848.19</v>
      </c>
      <c r="O974" s="469">
        <v>-616.04039548022592</v>
      </c>
    </row>
    <row r="975" spans="4:15" ht="17.25">
      <c r="F975" s="12"/>
      <c r="H975" s="409"/>
      <c r="I975" s="358"/>
      <c r="J975" s="442"/>
      <c r="K975" s="280"/>
      <c r="L975" s="358"/>
      <c r="M975" s="579"/>
      <c r="N975" s="469"/>
      <c r="O975" s="469"/>
    </row>
    <row r="976" spans="4:15" ht="17.25">
      <c r="F976" s="361">
        <v>44852</v>
      </c>
      <c r="G976" s="361"/>
      <c r="H976" s="409"/>
      <c r="I976" s="358"/>
      <c r="J976" s="442"/>
      <c r="K976" s="280"/>
      <c r="L976" s="358"/>
      <c r="M976" s="579"/>
      <c r="N976" s="469"/>
      <c r="O976" s="469"/>
    </row>
    <row r="977" spans="3:15" ht="17.25">
      <c r="F977" s="12"/>
      <c r="G977" s="112" t="s">
        <v>33</v>
      </c>
      <c r="H977" s="409">
        <v>79</v>
      </c>
      <c r="I977" s="358">
        <v>6027.0503954802261</v>
      </c>
      <c r="J977" s="442">
        <v>1</v>
      </c>
      <c r="K977" s="280">
        <v>6027.0503954802261</v>
      </c>
      <c r="L977" s="358">
        <v>6653.3298148148151</v>
      </c>
      <c r="M977" s="579">
        <v>1</v>
      </c>
      <c r="N977" s="469">
        <v>6653.3298148148151</v>
      </c>
      <c r="O977" s="469">
        <v>-626.27941933458897</v>
      </c>
    </row>
    <row r="978" spans="3:15" ht="17.25">
      <c r="F978" s="12"/>
      <c r="H978" s="409"/>
      <c r="I978" s="358"/>
      <c r="J978" s="442"/>
      <c r="K978" s="280"/>
      <c r="L978" s="358"/>
      <c r="M978" s="579"/>
      <c r="N978" s="469"/>
      <c r="O978" s="469"/>
    </row>
    <row r="979" spans="3:15" ht="17.25">
      <c r="C979" s="342" t="s">
        <v>323</v>
      </c>
      <c r="D979" s="342"/>
      <c r="E979" s="342"/>
      <c r="F979" s="342"/>
      <c r="G979" s="342"/>
      <c r="H979" s="410">
        <v>549</v>
      </c>
      <c r="I979" s="407">
        <v>42987.89</v>
      </c>
      <c r="J979" s="460">
        <v>1</v>
      </c>
      <c r="K979" s="413">
        <v>42987.89</v>
      </c>
      <c r="L979" s="407">
        <v>47219.880000000005</v>
      </c>
      <c r="M979" s="580">
        <v>1</v>
      </c>
      <c r="N979" s="470">
        <v>47219.880000000005</v>
      </c>
      <c r="O979" s="470">
        <v>-4231.99</v>
      </c>
    </row>
    <row r="980" spans="3:15" ht="17.25">
      <c r="F980" s="12"/>
      <c r="H980" s="409"/>
      <c r="I980" s="358"/>
      <c r="J980" s="442"/>
      <c r="K980" s="280"/>
      <c r="L980" s="358"/>
      <c r="M980" s="579"/>
      <c r="N980" s="469"/>
      <c r="O980" s="469"/>
    </row>
    <row r="981" spans="3:15" ht="17.25">
      <c r="C981" s="12" t="s">
        <v>167</v>
      </c>
      <c r="F981" s="12"/>
      <c r="H981" s="409"/>
      <c r="I981" s="358"/>
      <c r="J981" s="442"/>
      <c r="K981" s="280"/>
      <c r="L981" s="358"/>
      <c r="M981" s="579"/>
      <c r="N981" s="469"/>
      <c r="O981" s="469"/>
    </row>
    <row r="982" spans="3:15" ht="17.25">
      <c r="D982" s="361">
        <v>44678</v>
      </c>
      <c r="E982" s="361"/>
      <c r="F982" s="361"/>
      <c r="G982" s="361"/>
      <c r="H982" s="409"/>
      <c r="I982" s="358"/>
      <c r="J982" s="442"/>
      <c r="K982" s="280"/>
      <c r="L982" s="358"/>
      <c r="M982" s="579"/>
      <c r="N982" s="469"/>
      <c r="O982" s="469"/>
    </row>
    <row r="983" spans="3:15" ht="17.25">
      <c r="E983" s="12" t="s">
        <v>33</v>
      </c>
      <c r="F983" s="12"/>
      <c r="H983" s="409"/>
      <c r="I983" s="358"/>
      <c r="J983" s="442"/>
      <c r="K983" s="280"/>
      <c r="L983" s="358"/>
      <c r="M983" s="579"/>
      <c r="N983" s="469"/>
      <c r="O983" s="469"/>
    </row>
    <row r="984" spans="3:15" ht="17.25">
      <c r="F984" s="361">
        <v>43830</v>
      </c>
      <c r="G984" s="361"/>
      <c r="H984" s="409"/>
      <c r="I984" s="358"/>
      <c r="J984" s="442"/>
      <c r="K984" s="280"/>
      <c r="L984" s="358"/>
      <c r="M984" s="579"/>
      <c r="N984" s="469"/>
      <c r="O984" s="469"/>
    </row>
    <row r="985" spans="3:15" ht="17.25">
      <c r="F985" s="12"/>
      <c r="G985" s="112" t="s">
        <v>33</v>
      </c>
      <c r="H985" s="409">
        <v>147</v>
      </c>
      <c r="I985" s="358">
        <v>41232.33</v>
      </c>
      <c r="J985" s="442">
        <v>1</v>
      </c>
      <c r="K985" s="280">
        <v>41232.33</v>
      </c>
      <c r="L985" s="358">
        <v>7772.8585514018687</v>
      </c>
      <c r="M985" s="579">
        <v>1</v>
      </c>
      <c r="N985" s="469">
        <v>7772.8585514018687</v>
      </c>
      <c r="O985" s="469">
        <v>33459.471448598131</v>
      </c>
    </row>
    <row r="986" spans="3:15" ht="17.25">
      <c r="F986" s="12"/>
      <c r="H986" s="409"/>
      <c r="I986" s="358"/>
      <c r="J986" s="442"/>
      <c r="K986" s="280"/>
      <c r="L986" s="358"/>
      <c r="M986" s="579"/>
      <c r="N986" s="469"/>
      <c r="O986" s="469"/>
    </row>
    <row r="987" spans="3:15" ht="17.25">
      <c r="C987" s="342" t="s">
        <v>324</v>
      </c>
      <c r="D987" s="342"/>
      <c r="E987" s="342"/>
      <c r="F987" s="342"/>
      <c r="G987" s="342"/>
      <c r="H987" s="410">
        <v>147</v>
      </c>
      <c r="I987" s="407">
        <v>41232.33</v>
      </c>
      <c r="J987" s="460">
        <v>1</v>
      </c>
      <c r="K987" s="413">
        <v>41232.33</v>
      </c>
      <c r="L987" s="407">
        <v>7772.8585514018687</v>
      </c>
      <c r="M987" s="580">
        <v>1</v>
      </c>
      <c r="N987" s="470">
        <v>7772.8585514018687</v>
      </c>
      <c r="O987" s="470">
        <v>33459.471448598131</v>
      </c>
    </row>
    <row r="988" spans="3:15" ht="17.25">
      <c r="F988" s="12"/>
      <c r="H988" s="409"/>
      <c r="I988" s="358"/>
      <c r="J988" s="442"/>
      <c r="K988" s="280"/>
      <c r="L988" s="358"/>
      <c r="M988" s="579"/>
      <c r="N988" s="469"/>
      <c r="O988" s="469"/>
    </row>
    <row r="989" spans="3:15" ht="17.25">
      <c r="C989" s="12" t="s">
        <v>170</v>
      </c>
      <c r="F989" s="12"/>
      <c r="H989" s="409"/>
      <c r="I989" s="358"/>
      <c r="J989" s="442"/>
      <c r="K989" s="280"/>
      <c r="L989" s="358"/>
      <c r="M989" s="579"/>
      <c r="N989" s="469"/>
      <c r="O989" s="469"/>
    </row>
    <row r="990" spans="3:15" ht="17.25">
      <c r="D990" s="361">
        <v>44678</v>
      </c>
      <c r="E990" s="361"/>
      <c r="F990" s="361"/>
      <c r="G990" s="361"/>
      <c r="H990" s="409"/>
      <c r="I990" s="358"/>
      <c r="J990" s="442"/>
      <c r="K990" s="280"/>
      <c r="L990" s="358"/>
      <c r="M990" s="579"/>
      <c r="N990" s="469"/>
      <c r="O990" s="469"/>
    </row>
    <row r="991" spans="3:15" ht="17.25">
      <c r="E991" s="12" t="s">
        <v>33</v>
      </c>
      <c r="F991" s="12"/>
      <c r="H991" s="409"/>
      <c r="I991" s="358"/>
      <c r="J991" s="442"/>
      <c r="K991" s="280"/>
      <c r="L991" s="358"/>
      <c r="M991" s="579"/>
      <c r="N991" s="469"/>
      <c r="O991" s="469"/>
    </row>
    <row r="992" spans="3:15" ht="17.25">
      <c r="F992" s="361">
        <v>43830</v>
      </c>
      <c r="G992" s="361"/>
      <c r="H992" s="409"/>
      <c r="I992" s="358"/>
      <c r="J992" s="442"/>
      <c r="K992" s="280"/>
      <c r="L992" s="358"/>
      <c r="M992" s="579"/>
      <c r="N992" s="469"/>
      <c r="O992" s="469"/>
    </row>
    <row r="993" spans="3:15" ht="17.25">
      <c r="F993" s="12"/>
      <c r="G993" s="112" t="s">
        <v>33</v>
      </c>
      <c r="H993" s="409">
        <v>118</v>
      </c>
      <c r="I993" s="358">
        <v>8717.7890647482018</v>
      </c>
      <c r="J993" s="442">
        <v>1</v>
      </c>
      <c r="K993" s="280">
        <v>8717.7890647482018</v>
      </c>
      <c r="L993" s="358">
        <v>12665.660187793428</v>
      </c>
      <c r="M993" s="579">
        <v>1</v>
      </c>
      <c r="N993" s="469">
        <v>12665.660187793428</v>
      </c>
      <c r="O993" s="469">
        <v>-3947.8711230452263</v>
      </c>
    </row>
    <row r="994" spans="3:15" ht="17.25">
      <c r="F994" s="12"/>
      <c r="H994" s="409"/>
      <c r="I994" s="358"/>
      <c r="J994" s="442"/>
      <c r="K994" s="280"/>
      <c r="L994" s="358"/>
      <c r="M994" s="579"/>
      <c r="N994" s="469"/>
      <c r="O994" s="469"/>
    </row>
    <row r="995" spans="3:15" ht="17.25">
      <c r="F995" s="361">
        <v>44131</v>
      </c>
      <c r="G995" s="361"/>
      <c r="H995" s="409"/>
      <c r="I995" s="358"/>
      <c r="J995" s="442"/>
      <c r="K995" s="280"/>
      <c r="L995" s="358"/>
      <c r="M995" s="579"/>
      <c r="N995" s="469"/>
      <c r="O995" s="469"/>
    </row>
    <row r="996" spans="3:15" ht="17.25">
      <c r="F996" s="12"/>
      <c r="G996" s="112" t="s">
        <v>33</v>
      </c>
      <c r="H996" s="409">
        <v>160</v>
      </c>
      <c r="I996" s="358">
        <v>11820.730935251799</v>
      </c>
      <c r="J996" s="442">
        <v>1</v>
      </c>
      <c r="K996" s="280">
        <v>11820.730935251799</v>
      </c>
      <c r="L996" s="358">
        <v>12915.2</v>
      </c>
      <c r="M996" s="579">
        <v>1</v>
      </c>
      <c r="N996" s="469">
        <v>12915.2</v>
      </c>
      <c r="O996" s="469">
        <v>-1094.4690647482021</v>
      </c>
    </row>
    <row r="997" spans="3:15" ht="17.25">
      <c r="F997" s="12"/>
      <c r="H997" s="409"/>
      <c r="I997" s="358"/>
      <c r="J997" s="442"/>
      <c r="K997" s="280"/>
      <c r="L997" s="358"/>
      <c r="M997" s="579"/>
      <c r="N997" s="469"/>
      <c r="O997" s="469"/>
    </row>
    <row r="998" spans="3:15" ht="17.25">
      <c r="C998" s="342" t="s">
        <v>325</v>
      </c>
      <c r="D998" s="342"/>
      <c r="E998" s="342"/>
      <c r="F998" s="342"/>
      <c r="G998" s="342"/>
      <c r="H998" s="410">
        <v>278</v>
      </c>
      <c r="I998" s="407">
        <v>20538.52</v>
      </c>
      <c r="J998" s="460">
        <v>1</v>
      </c>
      <c r="K998" s="413">
        <v>20538.52</v>
      </c>
      <c r="L998" s="407">
        <v>25580.860187793427</v>
      </c>
      <c r="M998" s="580">
        <v>1</v>
      </c>
      <c r="N998" s="470">
        <v>25580.860187793427</v>
      </c>
      <c r="O998" s="470">
        <v>-5042.3401877934284</v>
      </c>
    </row>
    <row r="999" spans="3:15" ht="17.25">
      <c r="F999" s="12"/>
      <c r="H999" s="409"/>
      <c r="I999" s="358"/>
      <c r="J999" s="442"/>
      <c r="K999" s="280"/>
      <c r="L999" s="358"/>
      <c r="M999" s="579"/>
      <c r="N999" s="469"/>
      <c r="O999" s="469"/>
    </row>
    <row r="1000" spans="3:15" ht="17.25">
      <c r="C1000" s="12" t="s">
        <v>234</v>
      </c>
      <c r="F1000" s="12"/>
      <c r="H1000" s="409"/>
      <c r="I1000" s="358"/>
      <c r="J1000" s="442"/>
      <c r="K1000" s="280"/>
      <c r="L1000" s="358"/>
      <c r="M1000" s="579"/>
      <c r="N1000" s="469"/>
      <c r="O1000" s="469"/>
    </row>
    <row r="1001" spans="3:15" ht="17.25">
      <c r="D1001" s="361">
        <v>44678</v>
      </c>
      <c r="E1001" s="361"/>
      <c r="F1001" s="361"/>
      <c r="G1001" s="361"/>
      <c r="H1001" s="409"/>
      <c r="I1001" s="358"/>
      <c r="J1001" s="442"/>
      <c r="K1001" s="280"/>
      <c r="L1001" s="358"/>
      <c r="M1001" s="579"/>
      <c r="N1001" s="469"/>
      <c r="O1001" s="469"/>
    </row>
    <row r="1002" spans="3:15" ht="17.25">
      <c r="E1002" s="12" t="s">
        <v>33</v>
      </c>
      <c r="F1002" s="12"/>
      <c r="H1002" s="409"/>
      <c r="I1002" s="358"/>
      <c r="J1002" s="442"/>
      <c r="K1002" s="280"/>
      <c r="L1002" s="358"/>
      <c r="M1002" s="579"/>
      <c r="N1002" s="469"/>
      <c r="O1002" s="469"/>
    </row>
    <row r="1003" spans="3:15" ht="17.25">
      <c r="F1003" s="361">
        <v>43830</v>
      </c>
      <c r="G1003" s="361"/>
      <c r="H1003" s="409"/>
      <c r="I1003" s="358"/>
      <c r="J1003" s="442"/>
      <c r="K1003" s="280"/>
      <c r="L1003" s="358"/>
      <c r="M1003" s="579"/>
      <c r="N1003" s="469"/>
      <c r="O1003" s="469"/>
    </row>
    <row r="1004" spans="3:15" ht="17.25">
      <c r="F1004" s="12"/>
      <c r="G1004" s="112" t="s">
        <v>33</v>
      </c>
      <c r="H1004" s="409">
        <v>227</v>
      </c>
      <c r="I1004" s="358">
        <v>27620.85</v>
      </c>
      <c r="J1004" s="442">
        <v>1</v>
      </c>
      <c r="K1004" s="280">
        <v>27620.85</v>
      </c>
      <c r="L1004" s="358">
        <v>14351.770487804877</v>
      </c>
      <c r="M1004" s="579">
        <v>1</v>
      </c>
      <c r="N1004" s="469">
        <v>14351.770487804877</v>
      </c>
      <c r="O1004" s="469">
        <v>13269.079512195121</v>
      </c>
    </row>
    <row r="1005" spans="3:15" ht="17.25">
      <c r="F1005" s="12"/>
      <c r="H1005" s="409"/>
      <c r="I1005" s="358"/>
      <c r="J1005" s="442"/>
      <c r="K1005" s="280"/>
      <c r="L1005" s="358"/>
      <c r="M1005" s="579"/>
      <c r="N1005" s="469"/>
      <c r="O1005" s="469"/>
    </row>
    <row r="1006" spans="3:15" ht="17.25">
      <c r="D1006" s="361">
        <v>44742</v>
      </c>
      <c r="E1006" s="361"/>
      <c r="F1006" s="361"/>
      <c r="G1006" s="361"/>
      <c r="H1006" s="409"/>
      <c r="I1006" s="358"/>
      <c r="J1006" s="442"/>
      <c r="K1006" s="280"/>
      <c r="L1006" s="358"/>
      <c r="M1006" s="579"/>
      <c r="N1006" s="469"/>
      <c r="O1006" s="469"/>
    </row>
    <row r="1007" spans="3:15" ht="17.25">
      <c r="E1007" s="12" t="s">
        <v>33</v>
      </c>
      <c r="F1007" s="12"/>
      <c r="H1007" s="409"/>
      <c r="I1007" s="358"/>
      <c r="J1007" s="442"/>
      <c r="K1007" s="280"/>
      <c r="L1007" s="358"/>
      <c r="M1007" s="579"/>
      <c r="N1007" s="469"/>
      <c r="O1007" s="469"/>
    </row>
    <row r="1008" spans="3:15" ht="17.25">
      <c r="F1008" s="361">
        <v>43830</v>
      </c>
      <c r="G1008" s="361"/>
      <c r="H1008" s="409"/>
      <c r="I1008" s="358"/>
      <c r="J1008" s="442"/>
      <c r="K1008" s="280"/>
      <c r="L1008" s="358"/>
      <c r="M1008" s="579"/>
      <c r="N1008" s="469"/>
      <c r="O1008" s="469"/>
    </row>
    <row r="1009" spans="3:15" ht="17.25">
      <c r="F1009" s="12"/>
      <c r="G1009" s="112" t="s">
        <v>33</v>
      </c>
      <c r="H1009" s="409">
        <v>56</v>
      </c>
      <c r="I1009" s="358">
        <v>5712.630000000001</v>
      </c>
      <c r="J1009" s="442">
        <v>1</v>
      </c>
      <c r="K1009" s="280">
        <v>5712.630000000001</v>
      </c>
      <c r="L1009" s="358">
        <v>3540.5248780487809</v>
      </c>
      <c r="M1009" s="579">
        <v>1</v>
      </c>
      <c r="N1009" s="469">
        <v>3540.5248780487809</v>
      </c>
      <c r="O1009" s="469">
        <v>2172.1051219512196</v>
      </c>
    </row>
    <row r="1010" spans="3:15" ht="17.25">
      <c r="F1010" s="12"/>
      <c r="H1010" s="409"/>
      <c r="I1010" s="358"/>
      <c r="J1010" s="442"/>
      <c r="K1010" s="280"/>
      <c r="L1010" s="358"/>
      <c r="M1010" s="579"/>
      <c r="N1010" s="469"/>
      <c r="O1010" s="469"/>
    </row>
    <row r="1011" spans="3:15" ht="17.25">
      <c r="C1011" s="342" t="s">
        <v>326</v>
      </c>
      <c r="D1011" s="342"/>
      <c r="E1011" s="342"/>
      <c r="F1011" s="342"/>
      <c r="G1011" s="342"/>
      <c r="H1011" s="410">
        <v>283</v>
      </c>
      <c r="I1011" s="407">
        <v>33333.480000000003</v>
      </c>
      <c r="J1011" s="460">
        <v>1</v>
      </c>
      <c r="K1011" s="413">
        <v>33333.480000000003</v>
      </c>
      <c r="L1011" s="407">
        <v>17892.295365853657</v>
      </c>
      <c r="M1011" s="580">
        <v>1</v>
      </c>
      <c r="N1011" s="470">
        <v>17892.295365853657</v>
      </c>
      <c r="O1011" s="470">
        <v>15441.184634146342</v>
      </c>
    </row>
    <row r="1012" spans="3:15" ht="17.25">
      <c r="F1012" s="12"/>
      <c r="H1012" s="409"/>
      <c r="I1012" s="358"/>
      <c r="J1012" s="442"/>
      <c r="K1012" s="280"/>
      <c r="L1012" s="358"/>
      <c r="M1012" s="579"/>
      <c r="N1012" s="469"/>
      <c r="O1012" s="469"/>
    </row>
    <row r="1013" spans="3:15" ht="17.25">
      <c r="C1013" s="12" t="s">
        <v>180</v>
      </c>
      <c r="F1013" s="12"/>
      <c r="H1013" s="409"/>
      <c r="I1013" s="358"/>
      <c r="J1013" s="442"/>
      <c r="K1013" s="280"/>
      <c r="L1013" s="358"/>
      <c r="M1013" s="579"/>
      <c r="N1013" s="469"/>
      <c r="O1013" s="469"/>
    </row>
    <row r="1014" spans="3:15" ht="17.25">
      <c r="D1014" s="361">
        <v>44678</v>
      </c>
      <c r="E1014" s="361"/>
      <c r="F1014" s="361"/>
      <c r="G1014" s="361"/>
      <c r="H1014" s="409"/>
      <c r="I1014" s="358"/>
      <c r="J1014" s="442"/>
      <c r="K1014" s="280"/>
      <c r="L1014" s="358"/>
      <c r="M1014" s="579"/>
      <c r="N1014" s="469"/>
      <c r="O1014" s="469"/>
    </row>
    <row r="1015" spans="3:15" ht="17.25">
      <c r="E1015" s="12" t="s">
        <v>33</v>
      </c>
      <c r="F1015" s="12"/>
      <c r="H1015" s="409"/>
      <c r="I1015" s="358"/>
      <c r="J1015" s="442"/>
      <c r="K1015" s="280"/>
      <c r="L1015" s="358"/>
      <c r="M1015" s="579"/>
      <c r="N1015" s="469"/>
      <c r="O1015" s="469"/>
    </row>
    <row r="1016" spans="3:15" ht="17.25">
      <c r="F1016" s="361">
        <v>44579</v>
      </c>
      <c r="G1016" s="361"/>
      <c r="H1016" s="409"/>
      <c r="I1016" s="358"/>
      <c r="J1016" s="442"/>
      <c r="K1016" s="280"/>
      <c r="L1016" s="358"/>
      <c r="M1016" s="579"/>
      <c r="N1016" s="469"/>
      <c r="O1016" s="469"/>
    </row>
    <row r="1017" spans="3:15" ht="17.25">
      <c r="F1017" s="12"/>
      <c r="G1017" s="112" t="s">
        <v>33</v>
      </c>
      <c r="H1017" s="409">
        <v>53</v>
      </c>
      <c r="I1017" s="358">
        <v>8914.2110091743125</v>
      </c>
      <c r="J1017" s="442">
        <v>1</v>
      </c>
      <c r="K1017" s="280">
        <v>8914.2110091743125</v>
      </c>
      <c r="L1017" s="358">
        <v>11573.65</v>
      </c>
      <c r="M1017" s="579">
        <v>1</v>
      </c>
      <c r="N1017" s="469">
        <v>11573.65</v>
      </c>
      <c r="O1017" s="469">
        <v>-2659.4389908256876</v>
      </c>
    </row>
    <row r="1018" spans="3:15" ht="17.25">
      <c r="F1018" s="12"/>
      <c r="H1018" s="409"/>
      <c r="I1018" s="358"/>
      <c r="J1018" s="442"/>
      <c r="K1018" s="280"/>
      <c r="L1018" s="358"/>
      <c r="M1018" s="579"/>
      <c r="N1018" s="469"/>
      <c r="O1018" s="469"/>
    </row>
    <row r="1019" spans="3:15" ht="17.25">
      <c r="F1019" s="361">
        <v>44582</v>
      </c>
      <c r="G1019" s="361"/>
      <c r="H1019" s="409"/>
      <c r="I1019" s="358"/>
      <c r="J1019" s="442"/>
      <c r="K1019" s="280"/>
      <c r="L1019" s="358"/>
      <c r="M1019" s="579"/>
      <c r="N1019" s="469"/>
      <c r="O1019" s="469"/>
    </row>
    <row r="1020" spans="3:15" ht="17.25">
      <c r="F1020" s="12"/>
      <c r="G1020" s="112" t="s">
        <v>33</v>
      </c>
      <c r="H1020" s="409">
        <v>53</v>
      </c>
      <c r="I1020" s="358">
        <v>8914.2110091743125</v>
      </c>
      <c r="J1020" s="442">
        <v>1</v>
      </c>
      <c r="K1020" s="280">
        <v>8914.2110091743125</v>
      </c>
      <c r="L1020" s="358">
        <v>10797.65</v>
      </c>
      <c r="M1020" s="579">
        <v>1</v>
      </c>
      <c r="N1020" s="469">
        <v>10797.65</v>
      </c>
      <c r="O1020" s="469">
        <v>-1883.4389908256874</v>
      </c>
    </row>
    <row r="1021" spans="3:15" ht="17.25">
      <c r="F1021" s="12"/>
      <c r="H1021" s="409"/>
      <c r="I1021" s="358"/>
      <c r="J1021" s="442"/>
      <c r="K1021" s="280"/>
      <c r="L1021" s="358"/>
      <c r="M1021" s="579"/>
      <c r="N1021" s="469"/>
      <c r="O1021" s="469"/>
    </row>
    <row r="1022" spans="3:15" ht="17.25">
      <c r="F1022" s="361">
        <v>44580</v>
      </c>
      <c r="G1022" s="361"/>
      <c r="H1022" s="409"/>
      <c r="I1022" s="358"/>
      <c r="J1022" s="442"/>
      <c r="K1022" s="280"/>
      <c r="L1022" s="358"/>
      <c r="M1022" s="579"/>
      <c r="N1022" s="469"/>
      <c r="O1022" s="469"/>
    </row>
    <row r="1023" spans="3:15" ht="17.25">
      <c r="F1023" s="12"/>
      <c r="G1023" s="112" t="s">
        <v>33</v>
      </c>
      <c r="H1023" s="409">
        <v>3</v>
      </c>
      <c r="I1023" s="358">
        <v>504.57798165137615</v>
      </c>
      <c r="J1023" s="442">
        <v>1</v>
      </c>
      <c r="K1023" s="280">
        <v>504.57798165137615</v>
      </c>
      <c r="L1023" s="358">
        <v>656.12</v>
      </c>
      <c r="M1023" s="579">
        <v>1</v>
      </c>
      <c r="N1023" s="469">
        <v>656.12</v>
      </c>
      <c r="O1023" s="469">
        <v>-151.54201834862386</v>
      </c>
    </row>
    <row r="1024" spans="3:15" ht="17.25">
      <c r="F1024" s="12"/>
      <c r="H1024" s="409"/>
      <c r="I1024" s="358"/>
      <c r="J1024" s="442"/>
      <c r="K1024" s="280"/>
      <c r="L1024" s="358"/>
      <c r="M1024" s="579"/>
      <c r="N1024" s="469"/>
      <c r="O1024" s="469"/>
    </row>
    <row r="1025" spans="4:15" ht="17.25">
      <c r="D1025" s="361">
        <v>44685</v>
      </c>
      <c r="E1025" s="361"/>
      <c r="F1025" s="361"/>
      <c r="G1025" s="361"/>
      <c r="H1025" s="409"/>
      <c r="I1025" s="358"/>
      <c r="J1025" s="442"/>
      <c r="K1025" s="280"/>
      <c r="L1025" s="358"/>
      <c r="M1025" s="579"/>
      <c r="N1025" s="469"/>
      <c r="O1025" s="469"/>
    </row>
    <row r="1026" spans="4:15" ht="17.25">
      <c r="E1026" s="12" t="s">
        <v>33</v>
      </c>
      <c r="F1026" s="12"/>
      <c r="H1026" s="409"/>
      <c r="I1026" s="358"/>
      <c r="J1026" s="442"/>
      <c r="K1026" s="280"/>
      <c r="L1026" s="358"/>
      <c r="M1026" s="579"/>
      <c r="N1026" s="469"/>
      <c r="O1026" s="469"/>
    </row>
    <row r="1027" spans="4:15" ht="17.25">
      <c r="F1027" s="361">
        <v>44582</v>
      </c>
      <c r="G1027" s="361"/>
      <c r="H1027" s="409"/>
      <c r="I1027" s="358"/>
      <c r="J1027" s="442"/>
      <c r="K1027" s="280"/>
      <c r="L1027" s="358"/>
      <c r="M1027" s="579"/>
      <c r="N1027" s="469"/>
      <c r="O1027" s="469"/>
    </row>
    <row r="1028" spans="4:15" ht="17.25">
      <c r="F1028" s="12"/>
      <c r="G1028" s="112" t="s">
        <v>33</v>
      </c>
      <c r="H1028" s="409">
        <v>2</v>
      </c>
      <c r="I1028" s="358">
        <v>357.02000000000004</v>
      </c>
      <c r="J1028" s="442">
        <v>1</v>
      </c>
      <c r="K1028" s="280">
        <v>357.02000000000004</v>
      </c>
      <c r="L1028" s="358">
        <v>403.14</v>
      </c>
      <c r="M1028" s="579">
        <v>1</v>
      </c>
      <c r="N1028" s="469">
        <v>403.14</v>
      </c>
      <c r="O1028" s="469">
        <v>-46.119999999999948</v>
      </c>
    </row>
    <row r="1029" spans="4:15" ht="17.25">
      <c r="F1029" s="12"/>
      <c r="H1029" s="409"/>
      <c r="I1029" s="358"/>
      <c r="J1029" s="442"/>
      <c r="K1029" s="280"/>
      <c r="L1029" s="358"/>
      <c r="M1029" s="579"/>
      <c r="N1029" s="469"/>
      <c r="O1029" s="469"/>
    </row>
    <row r="1030" spans="4:15" ht="17.25">
      <c r="F1030" s="361">
        <v>44586</v>
      </c>
      <c r="G1030" s="361"/>
      <c r="H1030" s="409"/>
      <c r="I1030" s="358"/>
      <c r="J1030" s="442"/>
      <c r="K1030" s="280"/>
      <c r="L1030" s="358"/>
      <c r="M1030" s="579"/>
      <c r="N1030" s="469"/>
      <c r="O1030" s="469"/>
    </row>
    <row r="1031" spans="4:15" ht="17.25">
      <c r="F1031" s="12"/>
      <c r="G1031" s="112" t="s">
        <v>33</v>
      </c>
      <c r="H1031" s="409">
        <v>37</v>
      </c>
      <c r="I1031" s="358">
        <v>6604.8700000000008</v>
      </c>
      <c r="J1031" s="442">
        <v>1</v>
      </c>
      <c r="K1031" s="280">
        <v>6604.8700000000008</v>
      </c>
      <c r="L1031" s="358">
        <v>7270.2556603773583</v>
      </c>
      <c r="M1031" s="579">
        <v>1</v>
      </c>
      <c r="N1031" s="469">
        <v>7270.2556603773583</v>
      </c>
      <c r="O1031" s="469">
        <v>-665.38566037735745</v>
      </c>
    </row>
    <row r="1032" spans="4:15" ht="17.25">
      <c r="F1032" s="12"/>
      <c r="H1032" s="409"/>
      <c r="I1032" s="358"/>
      <c r="J1032" s="442"/>
      <c r="K1032" s="280"/>
      <c r="L1032" s="358"/>
      <c r="M1032" s="579"/>
      <c r="N1032" s="469"/>
      <c r="O1032" s="469"/>
    </row>
    <row r="1033" spans="4:15" ht="17.25">
      <c r="D1033" s="361">
        <v>44727</v>
      </c>
      <c r="E1033" s="361"/>
      <c r="F1033" s="361"/>
      <c r="G1033" s="361"/>
      <c r="H1033" s="409"/>
      <c r="I1033" s="358"/>
      <c r="J1033" s="442"/>
      <c r="K1033" s="280"/>
      <c r="L1033" s="358"/>
      <c r="M1033" s="579"/>
      <c r="N1033" s="469"/>
      <c r="O1033" s="469"/>
    </row>
    <row r="1034" spans="4:15" ht="17.25">
      <c r="E1034" s="12" t="s">
        <v>33</v>
      </c>
      <c r="F1034" s="12"/>
      <c r="H1034" s="409"/>
      <c r="I1034" s="358"/>
      <c r="J1034" s="442"/>
      <c r="K1034" s="280"/>
      <c r="L1034" s="358"/>
      <c r="M1034" s="579"/>
      <c r="N1034" s="469"/>
      <c r="O1034" s="469"/>
    </row>
    <row r="1035" spans="4:15" ht="17.25">
      <c r="F1035" s="361">
        <v>44586</v>
      </c>
      <c r="G1035" s="361"/>
      <c r="H1035" s="409"/>
      <c r="I1035" s="358"/>
      <c r="J1035" s="442"/>
      <c r="K1035" s="280"/>
      <c r="L1035" s="358"/>
      <c r="M1035" s="579"/>
      <c r="N1035" s="469"/>
      <c r="O1035" s="469"/>
    </row>
    <row r="1036" spans="4:15" ht="17.25">
      <c r="F1036" s="12"/>
      <c r="G1036" s="112" t="s">
        <v>33</v>
      </c>
      <c r="H1036" s="409">
        <v>16</v>
      </c>
      <c r="I1036" s="358">
        <v>2710.14</v>
      </c>
      <c r="J1036" s="442">
        <v>1</v>
      </c>
      <c r="K1036" s="280">
        <v>2710.14</v>
      </c>
      <c r="L1036" s="358">
        <v>3143.8943396226414</v>
      </c>
      <c r="M1036" s="579">
        <v>1</v>
      </c>
      <c r="N1036" s="469">
        <v>3143.8943396226414</v>
      </c>
      <c r="O1036" s="469">
        <v>-433.75433962264151</v>
      </c>
    </row>
    <row r="1037" spans="4:15" ht="17.25">
      <c r="F1037" s="12"/>
      <c r="H1037" s="409"/>
      <c r="I1037" s="358"/>
      <c r="J1037" s="442"/>
      <c r="K1037" s="280"/>
      <c r="L1037" s="358"/>
      <c r="M1037" s="579"/>
      <c r="N1037" s="469"/>
      <c r="O1037" s="469"/>
    </row>
    <row r="1038" spans="4:15" ht="17.25">
      <c r="F1038" s="361">
        <v>44593</v>
      </c>
      <c r="G1038" s="361"/>
      <c r="H1038" s="409"/>
      <c r="I1038" s="358"/>
      <c r="J1038" s="442"/>
      <c r="K1038" s="280"/>
      <c r="L1038" s="358"/>
      <c r="M1038" s="579"/>
      <c r="N1038" s="469"/>
      <c r="O1038" s="469"/>
    </row>
    <row r="1039" spans="4:15" ht="17.25">
      <c r="F1039" s="12"/>
      <c r="G1039" s="112" t="s">
        <v>33</v>
      </c>
      <c r="H1039" s="409">
        <v>38</v>
      </c>
      <c r="I1039" s="358">
        <v>6426.83</v>
      </c>
      <c r="J1039" s="442">
        <v>1</v>
      </c>
      <c r="K1039" s="280">
        <v>6426.83</v>
      </c>
      <c r="L1039" s="358">
        <v>7780.2598076923068</v>
      </c>
      <c r="M1039" s="579">
        <v>1</v>
      </c>
      <c r="N1039" s="469">
        <v>7780.2598076923068</v>
      </c>
      <c r="O1039" s="469">
        <v>-1353.4298076923078</v>
      </c>
    </row>
    <row r="1040" spans="4:15" ht="17.25">
      <c r="F1040" s="12"/>
      <c r="H1040" s="409"/>
      <c r="I1040" s="358"/>
      <c r="J1040" s="442"/>
      <c r="K1040" s="280"/>
      <c r="L1040" s="358"/>
      <c r="M1040" s="579"/>
      <c r="N1040" s="469"/>
      <c r="O1040" s="469"/>
    </row>
    <row r="1041" spans="4:15" ht="17.25">
      <c r="D1041" s="361">
        <v>44742</v>
      </c>
      <c r="E1041" s="361"/>
      <c r="F1041" s="361"/>
      <c r="G1041" s="361"/>
      <c r="H1041" s="409"/>
      <c r="I1041" s="358"/>
      <c r="J1041" s="442"/>
      <c r="K1041" s="280"/>
      <c r="L1041" s="358"/>
      <c r="M1041" s="579"/>
      <c r="N1041" s="469"/>
      <c r="O1041" s="469"/>
    </row>
    <row r="1042" spans="4:15" ht="17.25">
      <c r="E1042" s="12" t="s">
        <v>33</v>
      </c>
      <c r="F1042" s="12"/>
      <c r="H1042" s="409"/>
      <c r="I1042" s="358"/>
      <c r="J1042" s="442"/>
      <c r="K1042" s="280"/>
      <c r="L1042" s="358"/>
      <c r="M1042" s="579"/>
      <c r="N1042" s="469"/>
      <c r="O1042" s="469"/>
    </row>
    <row r="1043" spans="4:15" ht="17.25">
      <c r="F1043" s="361">
        <v>44593</v>
      </c>
      <c r="G1043" s="361"/>
      <c r="H1043" s="409"/>
      <c r="I1043" s="358"/>
      <c r="J1043" s="442"/>
      <c r="K1043" s="280"/>
      <c r="L1043" s="358"/>
      <c r="M1043" s="579"/>
      <c r="N1043" s="469"/>
      <c r="O1043" s="469"/>
    </row>
    <row r="1044" spans="4:15" ht="17.25">
      <c r="F1044" s="12"/>
      <c r="G1044" s="112" t="s">
        <v>33</v>
      </c>
      <c r="H1044" s="409">
        <v>19</v>
      </c>
      <c r="I1044" s="358">
        <v>2807.1720000000005</v>
      </c>
      <c r="J1044" s="442">
        <v>1</v>
      </c>
      <c r="K1044" s="280">
        <v>2807.1720000000005</v>
      </c>
      <c r="L1044" s="358">
        <v>3907.1701923076921</v>
      </c>
      <c r="M1044" s="579">
        <v>1</v>
      </c>
      <c r="N1044" s="469">
        <v>3907.1701923076921</v>
      </c>
      <c r="O1044" s="469">
        <v>-1099.9981923076921</v>
      </c>
    </row>
    <row r="1045" spans="4:15" ht="17.25">
      <c r="F1045" s="12"/>
      <c r="H1045" s="409"/>
      <c r="I1045" s="358"/>
      <c r="J1045" s="442"/>
      <c r="K1045" s="280"/>
      <c r="L1045" s="358"/>
      <c r="M1045" s="579"/>
      <c r="N1045" s="469"/>
      <c r="O1045" s="469"/>
    </row>
    <row r="1046" spans="4:15" ht="17.25">
      <c r="F1046" s="361">
        <v>44601</v>
      </c>
      <c r="G1046" s="361"/>
      <c r="H1046" s="409"/>
      <c r="I1046" s="358"/>
      <c r="J1046" s="442"/>
      <c r="K1046" s="280"/>
      <c r="L1046" s="358"/>
      <c r="M1046" s="579"/>
      <c r="N1046" s="469"/>
      <c r="O1046" s="469"/>
    </row>
    <row r="1047" spans="4:15" ht="17.25">
      <c r="F1047" s="12"/>
      <c r="G1047" s="112" t="s">
        <v>33</v>
      </c>
      <c r="H1047" s="409">
        <v>18</v>
      </c>
      <c r="I1047" s="358">
        <v>2656.8540000000003</v>
      </c>
      <c r="J1047" s="442">
        <v>1</v>
      </c>
      <c r="K1047" s="280">
        <v>2656.8540000000003</v>
      </c>
      <c r="L1047" s="358">
        <v>3770.3432000000003</v>
      </c>
      <c r="M1047" s="579">
        <v>1</v>
      </c>
      <c r="N1047" s="469">
        <v>3770.3432000000003</v>
      </c>
      <c r="O1047" s="469">
        <v>-1113.4891999999998</v>
      </c>
    </row>
    <row r="1048" spans="4:15" ht="17.25">
      <c r="F1048" s="12"/>
      <c r="H1048" s="409"/>
      <c r="I1048" s="358"/>
      <c r="J1048" s="442"/>
      <c r="K1048" s="280"/>
      <c r="L1048" s="358"/>
      <c r="M1048" s="579"/>
      <c r="N1048" s="469"/>
      <c r="O1048" s="469"/>
    </row>
    <row r="1049" spans="4:15" ht="17.25">
      <c r="D1049" s="361">
        <v>44826</v>
      </c>
      <c r="E1049" s="361"/>
      <c r="F1049" s="361"/>
      <c r="G1049" s="361"/>
      <c r="H1049" s="409"/>
      <c r="I1049" s="358"/>
      <c r="J1049" s="442"/>
      <c r="K1049" s="280"/>
      <c r="L1049" s="358"/>
      <c r="M1049" s="579"/>
      <c r="N1049" s="469"/>
      <c r="O1049" s="469"/>
    </row>
    <row r="1050" spans="4:15" ht="17.25">
      <c r="E1050" s="12" t="s">
        <v>33</v>
      </c>
      <c r="F1050" s="12"/>
      <c r="H1050" s="409"/>
      <c r="I1050" s="358"/>
      <c r="J1050" s="442"/>
      <c r="K1050" s="280"/>
      <c r="L1050" s="358"/>
      <c r="M1050" s="579"/>
      <c r="N1050" s="469"/>
      <c r="O1050" s="469"/>
    </row>
    <row r="1051" spans="4:15" ht="17.25">
      <c r="F1051" s="361">
        <v>44601</v>
      </c>
      <c r="G1051" s="361"/>
      <c r="H1051" s="409"/>
      <c r="I1051" s="358"/>
      <c r="J1051" s="442"/>
      <c r="K1051" s="280"/>
      <c r="L1051" s="358"/>
      <c r="M1051" s="579"/>
      <c r="N1051" s="469"/>
      <c r="O1051" s="469"/>
    </row>
    <row r="1052" spans="4:15" ht="17.25">
      <c r="F1052" s="12"/>
      <c r="G1052" s="112" t="s">
        <v>33</v>
      </c>
      <c r="H1052" s="409">
        <v>29</v>
      </c>
      <c r="I1052" s="358">
        <v>4499.6099999999997</v>
      </c>
      <c r="J1052" s="442">
        <v>1</v>
      </c>
      <c r="K1052" s="280">
        <v>4499.6099999999997</v>
      </c>
      <c r="L1052" s="358">
        <v>6035.4382285714282</v>
      </c>
      <c r="M1052" s="579">
        <v>1</v>
      </c>
      <c r="N1052" s="469">
        <v>6035.4382285714282</v>
      </c>
      <c r="O1052" s="469">
        <v>-1535.8282285714281</v>
      </c>
    </row>
    <row r="1053" spans="4:15" ht="17.25">
      <c r="F1053" s="12"/>
      <c r="H1053" s="409"/>
      <c r="I1053" s="358"/>
      <c r="J1053" s="442"/>
      <c r="K1053" s="280"/>
      <c r="L1053" s="358"/>
      <c r="M1053" s="579"/>
      <c r="N1053" s="469"/>
      <c r="O1053" s="469"/>
    </row>
    <row r="1054" spans="4:15" ht="17.25">
      <c r="D1054" s="361">
        <v>44827</v>
      </c>
      <c r="E1054" s="361"/>
      <c r="F1054" s="361"/>
      <c r="G1054" s="361"/>
      <c r="H1054" s="409"/>
      <c r="I1054" s="358"/>
      <c r="J1054" s="442"/>
      <c r="K1054" s="280"/>
      <c r="L1054" s="358"/>
      <c r="M1054" s="579"/>
      <c r="N1054" s="469"/>
      <c r="O1054" s="469"/>
    </row>
    <row r="1055" spans="4:15" ht="17.25">
      <c r="E1055" s="12" t="s">
        <v>33</v>
      </c>
      <c r="F1055" s="12"/>
      <c r="H1055" s="409"/>
      <c r="I1055" s="358"/>
      <c r="J1055" s="442"/>
      <c r="K1055" s="280"/>
      <c r="L1055" s="358"/>
      <c r="M1055" s="579"/>
      <c r="N1055" s="469"/>
      <c r="O1055" s="469"/>
    </row>
    <row r="1056" spans="4:15" ht="17.25">
      <c r="F1056" s="361">
        <v>44601</v>
      </c>
      <c r="G1056" s="361"/>
      <c r="H1056" s="409"/>
      <c r="I1056" s="358"/>
      <c r="J1056" s="442"/>
      <c r="K1056" s="280"/>
      <c r="L1056" s="358"/>
      <c r="M1056" s="579"/>
      <c r="N1056" s="469"/>
      <c r="O1056" s="469"/>
    </row>
    <row r="1057" spans="4:15" ht="17.25">
      <c r="F1057" s="12"/>
      <c r="G1057" s="112" t="s">
        <v>33</v>
      </c>
      <c r="H1057" s="409">
        <v>6</v>
      </c>
      <c r="I1057" s="358">
        <v>928.75666666666666</v>
      </c>
      <c r="J1057" s="442">
        <v>1</v>
      </c>
      <c r="K1057" s="280">
        <v>928.75666666666666</v>
      </c>
      <c r="L1057" s="358">
        <v>1241.8085714285714</v>
      </c>
      <c r="M1057" s="579">
        <v>1</v>
      </c>
      <c r="N1057" s="469">
        <v>1241.8085714285714</v>
      </c>
      <c r="O1057" s="469">
        <v>-313.05190476190484</v>
      </c>
    </row>
    <row r="1058" spans="4:15" ht="17.25">
      <c r="F1058" s="12"/>
      <c r="H1058" s="409"/>
      <c r="I1058" s="358"/>
      <c r="J1058" s="442"/>
      <c r="K1058" s="280"/>
      <c r="L1058" s="358"/>
      <c r="M1058" s="579"/>
      <c r="N1058" s="469"/>
      <c r="O1058" s="469"/>
    </row>
    <row r="1059" spans="4:15" ht="17.25">
      <c r="F1059" s="361">
        <v>44602</v>
      </c>
      <c r="G1059" s="361"/>
      <c r="H1059" s="409"/>
      <c r="I1059" s="358"/>
      <c r="J1059" s="442"/>
      <c r="K1059" s="280"/>
      <c r="L1059" s="358"/>
      <c r="M1059" s="579"/>
      <c r="N1059" s="469"/>
      <c r="O1059" s="469"/>
    </row>
    <row r="1060" spans="4:15" ht="17.25">
      <c r="F1060" s="12"/>
      <c r="G1060" s="112" t="s">
        <v>33</v>
      </c>
      <c r="H1060" s="409">
        <v>2</v>
      </c>
      <c r="I1060" s="358">
        <v>310.67333333333335</v>
      </c>
      <c r="J1060" s="442">
        <v>1</v>
      </c>
      <c r="K1060" s="280">
        <v>310.67333333333335</v>
      </c>
      <c r="L1060" s="358">
        <v>417.38</v>
      </c>
      <c r="M1060" s="579">
        <v>1</v>
      </c>
      <c r="N1060" s="469">
        <v>417.38</v>
      </c>
      <c r="O1060" s="469">
        <v>-106.70666666666665</v>
      </c>
    </row>
    <row r="1061" spans="4:15" ht="17.25">
      <c r="F1061" s="12"/>
      <c r="H1061" s="409"/>
      <c r="I1061" s="358"/>
      <c r="J1061" s="442"/>
      <c r="K1061" s="280"/>
      <c r="L1061" s="358"/>
      <c r="M1061" s="579"/>
      <c r="N1061" s="469"/>
      <c r="O1061" s="469"/>
    </row>
    <row r="1062" spans="4:15" ht="17.25">
      <c r="D1062" s="361">
        <v>44831</v>
      </c>
      <c r="E1062" s="361"/>
      <c r="F1062" s="361"/>
      <c r="G1062" s="361"/>
      <c r="H1062" s="409"/>
      <c r="I1062" s="358"/>
      <c r="J1062" s="442"/>
      <c r="K1062" s="280"/>
      <c r="L1062" s="358"/>
      <c r="M1062" s="579"/>
      <c r="N1062" s="469"/>
      <c r="O1062" s="469"/>
    </row>
    <row r="1063" spans="4:15" ht="17.25">
      <c r="E1063" s="12" t="s">
        <v>33</v>
      </c>
      <c r="F1063" s="12"/>
      <c r="H1063" s="409"/>
      <c r="I1063" s="358"/>
      <c r="J1063" s="442"/>
      <c r="K1063" s="280"/>
      <c r="L1063" s="358"/>
      <c r="M1063" s="579"/>
      <c r="N1063" s="469"/>
      <c r="O1063" s="469"/>
    </row>
    <row r="1064" spans="4:15" ht="17.25">
      <c r="F1064" s="361">
        <v>44608</v>
      </c>
      <c r="G1064" s="361"/>
      <c r="H1064" s="409"/>
      <c r="I1064" s="358"/>
      <c r="J1064" s="442"/>
      <c r="K1064" s="280"/>
      <c r="L1064" s="358"/>
      <c r="M1064" s="579"/>
      <c r="N1064" s="469"/>
      <c r="O1064" s="469"/>
    </row>
    <row r="1065" spans="4:15" ht="17.25">
      <c r="F1065" s="12"/>
      <c r="G1065" s="112" t="s">
        <v>33</v>
      </c>
      <c r="H1065" s="409">
        <v>35</v>
      </c>
      <c r="I1065" s="358">
        <v>5354.93</v>
      </c>
      <c r="J1065" s="442">
        <v>1</v>
      </c>
      <c r="K1065" s="280">
        <v>5354.93</v>
      </c>
      <c r="L1065" s="358">
        <v>6938.1359090909082</v>
      </c>
      <c r="M1065" s="579">
        <v>1</v>
      </c>
      <c r="N1065" s="469">
        <v>6938.1359090909082</v>
      </c>
      <c r="O1065" s="469">
        <v>-1583.2059090909081</v>
      </c>
    </row>
    <row r="1066" spans="4:15" ht="17.25">
      <c r="F1066" s="12"/>
      <c r="H1066" s="409"/>
      <c r="I1066" s="358"/>
      <c r="J1066" s="442"/>
      <c r="K1066" s="280"/>
      <c r="L1066" s="358"/>
      <c r="M1066" s="579"/>
      <c r="N1066" s="469"/>
      <c r="O1066" s="469"/>
    </row>
    <row r="1067" spans="4:15" ht="17.25">
      <c r="D1067" s="361">
        <v>44846</v>
      </c>
      <c r="E1067" s="361"/>
      <c r="F1067" s="361"/>
      <c r="G1067" s="361"/>
      <c r="H1067" s="409"/>
      <c r="I1067" s="358"/>
      <c r="J1067" s="442"/>
      <c r="K1067" s="280"/>
      <c r="L1067" s="358"/>
      <c r="M1067" s="579"/>
      <c r="N1067" s="469"/>
      <c r="O1067" s="469"/>
    </row>
    <row r="1068" spans="4:15" ht="17.25">
      <c r="E1068" s="12" t="s">
        <v>33</v>
      </c>
      <c r="F1068" s="12"/>
      <c r="H1068" s="409"/>
      <c r="I1068" s="358"/>
      <c r="J1068" s="442"/>
      <c r="K1068" s="280"/>
      <c r="L1068" s="358"/>
      <c r="M1068" s="579"/>
      <c r="N1068" s="469"/>
      <c r="O1068" s="469"/>
    </row>
    <row r="1069" spans="4:15" ht="17.25">
      <c r="F1069" s="361">
        <v>44608</v>
      </c>
      <c r="G1069" s="361"/>
      <c r="H1069" s="409"/>
      <c r="I1069" s="358"/>
      <c r="J1069" s="442"/>
      <c r="K1069" s="280"/>
      <c r="L1069" s="358"/>
      <c r="M1069" s="579"/>
      <c r="N1069" s="469"/>
      <c r="O1069" s="469"/>
    </row>
    <row r="1070" spans="4:15" ht="17.25">
      <c r="F1070" s="12"/>
      <c r="G1070" s="112" t="s">
        <v>33</v>
      </c>
      <c r="H1070" s="409">
        <v>17</v>
      </c>
      <c r="I1070" s="358">
        <v>2404.3720930232557</v>
      </c>
      <c r="J1070" s="442">
        <v>1</v>
      </c>
      <c r="K1070" s="280">
        <v>2404.3720930232557</v>
      </c>
      <c r="L1070" s="358">
        <v>3333.1899999999996</v>
      </c>
      <c r="M1070" s="579">
        <v>1</v>
      </c>
      <c r="N1070" s="469">
        <v>3333.1899999999996</v>
      </c>
      <c r="O1070" s="469">
        <v>-928.8179069767441</v>
      </c>
    </row>
    <row r="1071" spans="4:15" ht="17.25">
      <c r="F1071" s="12"/>
      <c r="H1071" s="409"/>
      <c r="I1071" s="358"/>
      <c r="J1071" s="442"/>
      <c r="K1071" s="280"/>
      <c r="L1071" s="358"/>
      <c r="M1071" s="579"/>
      <c r="N1071" s="469"/>
      <c r="O1071" s="469"/>
    </row>
    <row r="1072" spans="4:15" ht="17.25">
      <c r="F1072" s="361">
        <v>44609</v>
      </c>
      <c r="G1072" s="361"/>
      <c r="H1072" s="409"/>
      <c r="I1072" s="358"/>
      <c r="J1072" s="442"/>
      <c r="K1072" s="280"/>
      <c r="L1072" s="358"/>
      <c r="M1072" s="579"/>
      <c r="N1072" s="469"/>
      <c r="O1072" s="469"/>
    </row>
    <row r="1073" spans="4:15" ht="17.25">
      <c r="F1073" s="12"/>
      <c r="G1073" s="112" t="s">
        <v>33</v>
      </c>
      <c r="H1073" s="409">
        <v>2</v>
      </c>
      <c r="I1073" s="358">
        <v>282.52186046511628</v>
      </c>
      <c r="J1073" s="442">
        <v>1</v>
      </c>
      <c r="K1073" s="280">
        <v>282.52186046511628</v>
      </c>
      <c r="L1073" s="358">
        <v>392.14</v>
      </c>
      <c r="M1073" s="579">
        <v>1</v>
      </c>
      <c r="N1073" s="469">
        <v>392.14</v>
      </c>
      <c r="O1073" s="469">
        <v>-109.61813953488371</v>
      </c>
    </row>
    <row r="1074" spans="4:15" ht="17.25">
      <c r="F1074" s="12"/>
      <c r="H1074" s="409"/>
      <c r="I1074" s="358"/>
      <c r="J1074" s="442"/>
      <c r="K1074" s="280"/>
      <c r="L1074" s="358"/>
      <c r="M1074" s="579"/>
      <c r="N1074" s="469"/>
      <c r="O1074" s="469"/>
    </row>
    <row r="1075" spans="4:15" ht="17.25">
      <c r="F1075" s="361">
        <v>44622</v>
      </c>
      <c r="G1075" s="361"/>
      <c r="H1075" s="409"/>
      <c r="I1075" s="358"/>
      <c r="J1075" s="442"/>
      <c r="K1075" s="280"/>
      <c r="L1075" s="358"/>
      <c r="M1075" s="579"/>
      <c r="N1075" s="469"/>
      <c r="O1075" s="469"/>
    </row>
    <row r="1076" spans="4:15" ht="17.25">
      <c r="F1076" s="12"/>
      <c r="G1076" s="112" t="s">
        <v>33</v>
      </c>
      <c r="H1076" s="409">
        <v>33</v>
      </c>
      <c r="I1076" s="358">
        <v>4665.4760465116278</v>
      </c>
      <c r="J1076" s="442">
        <v>1</v>
      </c>
      <c r="K1076" s="280">
        <v>4665.4760465116278</v>
      </c>
      <c r="L1076" s="358">
        <v>6236.2</v>
      </c>
      <c r="M1076" s="579">
        <v>1</v>
      </c>
      <c r="N1076" s="469">
        <v>6236.2</v>
      </c>
      <c r="O1076" s="469">
        <v>-1570.723953488372</v>
      </c>
    </row>
    <row r="1077" spans="4:15" ht="17.25">
      <c r="F1077" s="12"/>
      <c r="H1077" s="409"/>
      <c r="I1077" s="358"/>
      <c r="J1077" s="442"/>
      <c r="K1077" s="280"/>
      <c r="L1077" s="358"/>
      <c r="M1077" s="579"/>
      <c r="N1077" s="469"/>
      <c r="O1077" s="469"/>
    </row>
    <row r="1078" spans="4:15" ht="17.25">
      <c r="D1078" s="361">
        <v>44852</v>
      </c>
      <c r="E1078" s="361"/>
      <c r="F1078" s="361"/>
      <c r="G1078" s="361"/>
      <c r="H1078" s="409"/>
      <c r="I1078" s="358"/>
      <c r="J1078" s="442"/>
      <c r="K1078" s="280"/>
      <c r="L1078" s="358"/>
      <c r="M1078" s="579"/>
      <c r="N1078" s="469"/>
      <c r="O1078" s="469"/>
    </row>
    <row r="1079" spans="4:15" ht="17.25">
      <c r="E1079" s="12" t="s">
        <v>33</v>
      </c>
      <c r="F1079" s="12"/>
      <c r="H1079" s="409"/>
      <c r="I1079" s="358"/>
      <c r="J1079" s="442"/>
      <c r="K1079" s="280"/>
      <c r="L1079" s="358"/>
      <c r="M1079" s="579"/>
      <c r="N1079" s="469"/>
      <c r="O1079" s="469"/>
    </row>
    <row r="1080" spans="4:15" ht="17.25">
      <c r="F1080" s="361">
        <v>44628</v>
      </c>
      <c r="G1080" s="361"/>
      <c r="H1080" s="409"/>
      <c r="I1080" s="358"/>
      <c r="J1080" s="442"/>
      <c r="K1080" s="280"/>
      <c r="L1080" s="358"/>
      <c r="M1080" s="579"/>
      <c r="N1080" s="469"/>
      <c r="O1080" s="469"/>
    </row>
    <row r="1081" spans="4:15" ht="17.25">
      <c r="F1081" s="12"/>
      <c r="G1081" s="112" t="s">
        <v>33</v>
      </c>
      <c r="H1081" s="409">
        <v>14</v>
      </c>
      <c r="I1081" s="358">
        <v>1967.077302631579</v>
      </c>
      <c r="J1081" s="442">
        <v>1</v>
      </c>
      <c r="K1081" s="280">
        <v>1967.077302631579</v>
      </c>
      <c r="L1081" s="358">
        <v>2508.4899999999998</v>
      </c>
      <c r="M1081" s="579">
        <v>1</v>
      </c>
      <c r="N1081" s="469">
        <v>2508.4899999999998</v>
      </c>
      <c r="O1081" s="469">
        <v>-541.41269736842105</v>
      </c>
    </row>
    <row r="1082" spans="4:15" ht="17.25">
      <c r="F1082" s="12"/>
      <c r="H1082" s="409"/>
      <c r="I1082" s="358"/>
      <c r="J1082" s="442"/>
      <c r="K1082" s="280"/>
      <c r="L1082" s="358"/>
      <c r="M1082" s="579"/>
      <c r="N1082" s="469"/>
      <c r="O1082" s="469"/>
    </row>
    <row r="1083" spans="4:15" ht="17.25">
      <c r="F1083" s="361">
        <v>44622</v>
      </c>
      <c r="G1083" s="361"/>
      <c r="H1083" s="409"/>
      <c r="I1083" s="358"/>
      <c r="J1083" s="442"/>
      <c r="K1083" s="280"/>
      <c r="L1083" s="358"/>
      <c r="M1083" s="579"/>
      <c r="N1083" s="469"/>
      <c r="O1083" s="469"/>
    </row>
    <row r="1084" spans="4:15" ht="17.25">
      <c r="F1084" s="12"/>
      <c r="G1084" s="112" t="s">
        <v>33</v>
      </c>
      <c r="H1084" s="409">
        <v>17</v>
      </c>
      <c r="I1084" s="358">
        <v>2382.7989473684211</v>
      </c>
      <c r="J1084" s="442">
        <v>1</v>
      </c>
      <c r="K1084" s="280">
        <v>2382.7989473684211</v>
      </c>
      <c r="L1084" s="358">
        <v>3199.3999999999996</v>
      </c>
      <c r="M1084" s="579">
        <v>1</v>
      </c>
      <c r="N1084" s="469">
        <v>3199.3999999999996</v>
      </c>
      <c r="O1084" s="469">
        <v>-816.6010526315788</v>
      </c>
    </row>
    <row r="1085" spans="4:15" ht="17.25">
      <c r="F1085" s="12"/>
      <c r="H1085" s="409"/>
      <c r="I1085" s="358"/>
      <c r="J1085" s="442"/>
      <c r="K1085" s="280"/>
      <c r="L1085" s="358"/>
      <c r="M1085" s="579"/>
      <c r="N1085" s="469"/>
      <c r="O1085" s="469"/>
    </row>
    <row r="1086" spans="4:15" ht="17.25">
      <c r="F1086" s="361">
        <v>44629</v>
      </c>
      <c r="G1086" s="361"/>
      <c r="H1086" s="409"/>
      <c r="I1086" s="358"/>
      <c r="J1086" s="442"/>
      <c r="K1086" s="280"/>
      <c r="L1086" s="358"/>
      <c r="M1086" s="579"/>
      <c r="N1086" s="469"/>
      <c r="O1086" s="469"/>
    </row>
    <row r="1087" spans="4:15" ht="17.25">
      <c r="F1087" s="12"/>
      <c r="G1087" s="112" t="s">
        <v>33</v>
      </c>
      <c r="H1087" s="409">
        <v>17</v>
      </c>
      <c r="I1087" s="358">
        <v>2389.7137499999999</v>
      </c>
      <c r="J1087" s="442">
        <v>1</v>
      </c>
      <c r="K1087" s="280">
        <v>2389.7137499999999</v>
      </c>
      <c r="L1087" s="358">
        <v>3045.8199999999997</v>
      </c>
      <c r="M1087" s="579">
        <v>1</v>
      </c>
      <c r="N1087" s="469">
        <v>3045.8199999999997</v>
      </c>
      <c r="O1087" s="469">
        <v>-656.10624999999982</v>
      </c>
    </row>
    <row r="1088" spans="4:15" ht="17.25">
      <c r="F1088" s="12"/>
      <c r="H1088" s="409"/>
      <c r="I1088" s="358"/>
      <c r="J1088" s="442"/>
      <c r="K1088" s="280"/>
      <c r="L1088" s="358"/>
      <c r="M1088" s="579"/>
      <c r="N1088" s="469"/>
      <c r="O1088" s="469"/>
    </row>
    <row r="1089" spans="4:15" ht="17.25">
      <c r="D1089" s="361">
        <v>44853</v>
      </c>
      <c r="E1089" s="361"/>
      <c r="F1089" s="361"/>
      <c r="G1089" s="361"/>
      <c r="H1089" s="409"/>
      <c r="I1089" s="358"/>
      <c r="J1089" s="442"/>
      <c r="K1089" s="280"/>
      <c r="L1089" s="358"/>
      <c r="M1089" s="579"/>
      <c r="N1089" s="469"/>
      <c r="O1089" s="469"/>
    </row>
    <row r="1090" spans="4:15" ht="17.25">
      <c r="E1090" s="12" t="s">
        <v>33</v>
      </c>
      <c r="F1090" s="12"/>
      <c r="H1090" s="409"/>
      <c r="I1090" s="358"/>
      <c r="J1090" s="442"/>
      <c r="K1090" s="280"/>
      <c r="L1090" s="358"/>
      <c r="M1090" s="579"/>
      <c r="N1090" s="469"/>
      <c r="O1090" s="469"/>
    </row>
    <row r="1091" spans="4:15" ht="17.25">
      <c r="F1091" s="361">
        <v>44629</v>
      </c>
      <c r="G1091" s="361"/>
      <c r="H1091" s="409"/>
      <c r="I1091" s="358"/>
      <c r="J1091" s="442"/>
      <c r="K1091" s="280"/>
      <c r="L1091" s="358"/>
      <c r="M1091" s="579"/>
      <c r="N1091" s="469"/>
      <c r="O1091" s="469"/>
    </row>
    <row r="1092" spans="4:15" ht="17.25">
      <c r="F1092" s="12"/>
      <c r="G1092" s="112" t="s">
        <v>33</v>
      </c>
      <c r="H1092" s="409">
        <v>2</v>
      </c>
      <c r="I1092" s="358">
        <v>284.46799999999996</v>
      </c>
      <c r="J1092" s="442">
        <v>1</v>
      </c>
      <c r="K1092" s="280">
        <v>284.46799999999996</v>
      </c>
      <c r="L1092" s="358">
        <v>366.71999999999997</v>
      </c>
      <c r="M1092" s="579">
        <v>1</v>
      </c>
      <c r="N1092" s="469">
        <v>366.71999999999997</v>
      </c>
      <c r="O1092" s="469">
        <v>-82.25200000000001</v>
      </c>
    </row>
    <row r="1093" spans="4:15" ht="17.25">
      <c r="F1093" s="12"/>
      <c r="H1093" s="409"/>
      <c r="I1093" s="358"/>
      <c r="J1093" s="442"/>
      <c r="K1093" s="280"/>
      <c r="L1093" s="358"/>
      <c r="M1093" s="579"/>
      <c r="N1093" s="469"/>
      <c r="O1093" s="469"/>
    </row>
    <row r="1094" spans="4:15" ht="17.25">
      <c r="F1094" s="361">
        <v>44630</v>
      </c>
      <c r="G1094" s="361"/>
      <c r="H1094" s="409"/>
      <c r="I1094" s="358"/>
      <c r="J1094" s="442"/>
      <c r="K1094" s="280"/>
      <c r="L1094" s="358"/>
      <c r="M1094" s="579"/>
      <c r="N1094" s="469"/>
      <c r="O1094" s="469"/>
    </row>
    <row r="1095" spans="4:15" ht="17.25">
      <c r="F1095" s="12"/>
      <c r="G1095" s="112" t="s">
        <v>33</v>
      </c>
      <c r="H1095" s="409">
        <v>3</v>
      </c>
      <c r="I1095" s="358">
        <v>426.70199999999994</v>
      </c>
      <c r="J1095" s="442">
        <v>1</v>
      </c>
      <c r="K1095" s="280">
        <v>426.70199999999994</v>
      </c>
      <c r="L1095" s="358">
        <v>552.48599999999988</v>
      </c>
      <c r="M1095" s="579">
        <v>1</v>
      </c>
      <c r="N1095" s="469">
        <v>552.48599999999988</v>
      </c>
      <c r="O1095" s="469">
        <v>-125.78399999999993</v>
      </c>
    </row>
    <row r="1096" spans="4:15" ht="17.25">
      <c r="F1096" s="12"/>
      <c r="H1096" s="409"/>
      <c r="I1096" s="358"/>
      <c r="J1096" s="442"/>
      <c r="K1096" s="280"/>
      <c r="L1096" s="358"/>
      <c r="M1096" s="579"/>
      <c r="N1096" s="469"/>
      <c r="O1096" s="469"/>
    </row>
    <row r="1097" spans="4:15" ht="17.25">
      <c r="D1097" s="361">
        <v>44859</v>
      </c>
      <c r="E1097" s="361"/>
      <c r="F1097" s="361"/>
      <c r="G1097" s="361"/>
      <c r="H1097" s="409"/>
      <c r="I1097" s="358"/>
      <c r="J1097" s="442"/>
      <c r="K1097" s="280"/>
      <c r="L1097" s="358"/>
      <c r="M1097" s="579"/>
      <c r="N1097" s="469"/>
      <c r="O1097" s="469"/>
    </row>
    <row r="1098" spans="4:15" ht="17.25">
      <c r="E1098" s="12" t="s">
        <v>33</v>
      </c>
      <c r="F1098" s="12"/>
      <c r="H1098" s="409"/>
      <c r="I1098" s="358"/>
      <c r="J1098" s="442"/>
      <c r="K1098" s="280"/>
      <c r="L1098" s="358"/>
      <c r="M1098" s="579"/>
      <c r="N1098" s="469"/>
      <c r="O1098" s="469"/>
    </row>
    <row r="1099" spans="4:15" ht="17.25">
      <c r="F1099" s="361">
        <v>44630</v>
      </c>
      <c r="G1099" s="361"/>
      <c r="H1099" s="409"/>
      <c r="I1099" s="358"/>
      <c r="J1099" s="442"/>
      <c r="K1099" s="280"/>
      <c r="L1099" s="358"/>
      <c r="M1099" s="579"/>
      <c r="N1099" s="469"/>
      <c r="O1099" s="469"/>
    </row>
    <row r="1100" spans="4:15" ht="17.25">
      <c r="F1100" s="12"/>
      <c r="G1100" s="112" t="s">
        <v>33</v>
      </c>
      <c r="H1100" s="409">
        <v>16</v>
      </c>
      <c r="I1100" s="358">
        <v>2366.9059574468083</v>
      </c>
      <c r="J1100" s="442">
        <v>1</v>
      </c>
      <c r="K1100" s="280">
        <v>2366.9059574468083</v>
      </c>
      <c r="L1100" s="358">
        <v>2946.3900000000003</v>
      </c>
      <c r="M1100" s="579">
        <v>1</v>
      </c>
      <c r="N1100" s="469">
        <v>2946.3900000000003</v>
      </c>
      <c r="O1100" s="469">
        <v>-579.48404255319133</v>
      </c>
    </row>
    <row r="1101" spans="4:15" ht="17.25">
      <c r="F1101" s="12"/>
      <c r="H1101" s="409"/>
      <c r="I1101" s="358"/>
      <c r="J1101" s="442"/>
      <c r="K1101" s="280"/>
      <c r="L1101" s="358"/>
      <c r="M1101" s="579"/>
      <c r="N1101" s="469"/>
      <c r="O1101" s="469"/>
    </row>
    <row r="1102" spans="4:15" ht="17.25">
      <c r="F1102" s="361">
        <v>44634</v>
      </c>
      <c r="G1102" s="361"/>
      <c r="H1102" s="409"/>
      <c r="I1102" s="358"/>
      <c r="J1102" s="442"/>
      <c r="K1102" s="280"/>
      <c r="L1102" s="358"/>
      <c r="M1102" s="579"/>
      <c r="N1102" s="469"/>
      <c r="O1102" s="469"/>
    </row>
    <row r="1103" spans="4:15" ht="17.25">
      <c r="F1103" s="12"/>
      <c r="G1103" s="112" t="s">
        <v>33</v>
      </c>
      <c r="H1103" s="409">
        <v>25</v>
      </c>
      <c r="I1103" s="358">
        <v>3697.7180851063827</v>
      </c>
      <c r="J1103" s="442">
        <v>1</v>
      </c>
      <c r="K1103" s="280">
        <v>3697.7180851063827</v>
      </c>
      <c r="L1103" s="358">
        <v>4517.3599999999997</v>
      </c>
      <c r="M1103" s="579">
        <v>1</v>
      </c>
      <c r="N1103" s="469">
        <v>4517.3599999999997</v>
      </c>
      <c r="O1103" s="469">
        <v>-819.64191489361701</v>
      </c>
    </row>
    <row r="1104" spans="4:15" ht="17.25">
      <c r="F1104" s="12"/>
      <c r="H1104" s="409"/>
      <c r="I1104" s="358"/>
      <c r="J1104" s="442"/>
      <c r="K1104" s="280"/>
      <c r="L1104" s="358"/>
      <c r="M1104" s="579"/>
      <c r="N1104" s="469"/>
      <c r="O1104" s="469"/>
    </row>
    <row r="1105" spans="3:15" ht="17.25">
      <c r="F1105" s="361">
        <v>44783</v>
      </c>
      <c r="G1105" s="361"/>
      <c r="H1105" s="409"/>
      <c r="I1105" s="358"/>
      <c r="J1105" s="442"/>
      <c r="K1105" s="280"/>
      <c r="L1105" s="358"/>
      <c r="M1105" s="579"/>
      <c r="N1105" s="469"/>
      <c r="O1105" s="469"/>
    </row>
    <row r="1106" spans="3:15" ht="17.25">
      <c r="F1106" s="12"/>
      <c r="G1106" s="112" t="s">
        <v>33</v>
      </c>
      <c r="H1106" s="409">
        <v>29</v>
      </c>
      <c r="I1106" s="358">
        <v>4289.855957446809</v>
      </c>
      <c r="J1106" s="442">
        <v>1</v>
      </c>
      <c r="K1106" s="280">
        <v>4289.855957446809</v>
      </c>
      <c r="L1106" s="358">
        <v>5206.6707692307691</v>
      </c>
      <c r="M1106" s="579">
        <v>1</v>
      </c>
      <c r="N1106" s="469">
        <v>5206.6707692307691</v>
      </c>
      <c r="O1106" s="469">
        <v>-916.81481178396086</v>
      </c>
    </row>
    <row r="1107" spans="3:15" ht="17.25">
      <c r="F1107" s="12"/>
      <c r="H1107" s="409"/>
      <c r="I1107" s="358"/>
      <c r="J1107" s="442"/>
      <c r="K1107" s="280"/>
      <c r="L1107" s="358"/>
      <c r="M1107" s="579"/>
      <c r="N1107" s="469"/>
      <c r="O1107" s="469"/>
    </row>
    <row r="1108" spans="3:15" ht="17.25">
      <c r="D1108" s="361">
        <v>44866</v>
      </c>
      <c r="E1108" s="361"/>
      <c r="F1108" s="361"/>
      <c r="G1108" s="361"/>
      <c r="H1108" s="409"/>
      <c r="I1108" s="358"/>
      <c r="J1108" s="442"/>
      <c r="K1108" s="280"/>
      <c r="L1108" s="358"/>
      <c r="M1108" s="579"/>
      <c r="N1108" s="469"/>
      <c r="O1108" s="469"/>
    </row>
    <row r="1109" spans="3:15" ht="17.25">
      <c r="E1109" s="12" t="s">
        <v>33</v>
      </c>
      <c r="F1109" s="12"/>
      <c r="H1109" s="409"/>
      <c r="I1109" s="358"/>
      <c r="J1109" s="442"/>
      <c r="K1109" s="280"/>
      <c r="L1109" s="358"/>
      <c r="M1109" s="579"/>
      <c r="N1109" s="469"/>
      <c r="O1109" s="469"/>
    </row>
    <row r="1110" spans="3:15" ht="17.25">
      <c r="F1110" s="361">
        <v>44783</v>
      </c>
      <c r="G1110" s="361"/>
      <c r="H1110" s="409"/>
      <c r="I1110" s="358"/>
      <c r="J1110" s="442"/>
      <c r="K1110" s="280"/>
      <c r="L1110" s="358"/>
      <c r="M1110" s="579"/>
      <c r="N1110" s="469"/>
      <c r="O1110" s="469"/>
    </row>
    <row r="1111" spans="3:15" ht="17.25">
      <c r="F1111" s="12"/>
      <c r="G1111" s="112" t="s">
        <v>33</v>
      </c>
      <c r="H1111" s="409">
        <v>9</v>
      </c>
      <c r="I1111" s="358">
        <v>1360.6334999999999</v>
      </c>
      <c r="J1111" s="442">
        <v>1</v>
      </c>
      <c r="K1111" s="280">
        <v>1360.6334999999999</v>
      </c>
      <c r="L1111" s="358">
        <v>1614.1292307692308</v>
      </c>
      <c r="M1111" s="579">
        <v>1</v>
      </c>
      <c r="N1111" s="469">
        <v>1614.1292307692308</v>
      </c>
      <c r="O1111" s="469">
        <v>-253.49573076923093</v>
      </c>
    </row>
    <row r="1112" spans="3:15" ht="17.25">
      <c r="F1112" s="12"/>
      <c r="H1112" s="409"/>
      <c r="I1112" s="358"/>
      <c r="J1112" s="442"/>
      <c r="K1112" s="280"/>
      <c r="L1112" s="358"/>
      <c r="M1112" s="579"/>
      <c r="N1112" s="469"/>
      <c r="O1112" s="469"/>
    </row>
    <row r="1113" spans="3:15" ht="17.25">
      <c r="F1113" s="361">
        <v>44855</v>
      </c>
      <c r="G1113" s="361"/>
      <c r="H1113" s="409"/>
      <c r="I1113" s="358"/>
      <c r="J1113" s="442"/>
      <c r="K1113" s="280"/>
      <c r="L1113" s="358"/>
      <c r="M1113" s="579"/>
      <c r="N1113" s="469"/>
      <c r="O1113" s="469"/>
    </row>
    <row r="1114" spans="3:15" ht="17.25">
      <c r="F1114" s="12"/>
      <c r="G1114" s="112" t="s">
        <v>33</v>
      </c>
      <c r="H1114" s="409">
        <v>22</v>
      </c>
      <c r="I1114" s="358">
        <v>3341.6149999999998</v>
      </c>
      <c r="J1114" s="442">
        <v>1</v>
      </c>
      <c r="K1114" s="280">
        <v>3341.6149999999998</v>
      </c>
      <c r="L1114" s="358">
        <v>3091.22</v>
      </c>
      <c r="M1114" s="579">
        <v>1</v>
      </c>
      <c r="N1114" s="469">
        <v>3091.22</v>
      </c>
      <c r="O1114" s="469">
        <v>250.39499999999998</v>
      </c>
    </row>
    <row r="1115" spans="3:15" ht="17.25">
      <c r="F1115" s="12"/>
      <c r="H1115" s="409"/>
      <c r="I1115" s="358"/>
      <c r="J1115" s="442"/>
      <c r="K1115" s="280"/>
      <c r="L1115" s="358"/>
      <c r="M1115" s="579"/>
      <c r="N1115" s="469"/>
      <c r="O1115" s="469"/>
    </row>
    <row r="1116" spans="3:15" ht="17.25">
      <c r="F1116" s="361">
        <v>44784</v>
      </c>
      <c r="G1116" s="361"/>
      <c r="H1116" s="409"/>
      <c r="I1116" s="358"/>
      <c r="J1116" s="442"/>
      <c r="K1116" s="280"/>
      <c r="L1116" s="358"/>
      <c r="M1116" s="579"/>
      <c r="N1116" s="469"/>
      <c r="O1116" s="469"/>
    </row>
    <row r="1117" spans="3:15" ht="17.25">
      <c r="F1117" s="12"/>
      <c r="G1117" s="112" t="s">
        <v>33</v>
      </c>
      <c r="H1117" s="409">
        <v>1</v>
      </c>
      <c r="I1117" s="358">
        <v>151.1815</v>
      </c>
      <c r="J1117" s="442">
        <v>1</v>
      </c>
      <c r="K1117" s="280">
        <v>151.1815</v>
      </c>
      <c r="L1117" s="358">
        <v>183.17</v>
      </c>
      <c r="M1117" s="579">
        <v>1</v>
      </c>
      <c r="N1117" s="469">
        <v>183.17</v>
      </c>
      <c r="O1117" s="469">
        <v>-31.988499999999988</v>
      </c>
    </row>
    <row r="1118" spans="3:15" ht="17.25">
      <c r="F1118" s="12"/>
      <c r="H1118" s="409"/>
      <c r="I1118" s="358"/>
      <c r="J1118" s="442"/>
      <c r="K1118" s="280"/>
      <c r="L1118" s="358"/>
      <c r="M1118" s="579"/>
      <c r="N1118" s="469"/>
      <c r="O1118" s="469"/>
    </row>
    <row r="1119" spans="3:15" ht="17.25">
      <c r="C1119" s="342" t="s">
        <v>327</v>
      </c>
      <c r="D1119" s="342"/>
      <c r="E1119" s="342"/>
      <c r="F1119" s="342"/>
      <c r="G1119" s="342"/>
      <c r="H1119" s="410">
        <v>518</v>
      </c>
      <c r="I1119" s="407">
        <v>81000.896000000037</v>
      </c>
      <c r="J1119" s="460">
        <v>1</v>
      </c>
      <c r="K1119" s="413">
        <v>81000.896000000037</v>
      </c>
      <c r="L1119" s="407">
        <v>101128.63190909089</v>
      </c>
      <c r="M1119" s="580">
        <v>1</v>
      </c>
      <c r="N1119" s="470">
        <v>101128.63190909089</v>
      </c>
      <c r="O1119" s="470">
        <v>-20127.735909090909</v>
      </c>
    </row>
    <row r="1120" spans="3:15" ht="17.25">
      <c r="F1120" s="12"/>
      <c r="H1120" s="409"/>
      <c r="I1120" s="358"/>
      <c r="J1120" s="442"/>
      <c r="K1120" s="280"/>
      <c r="L1120" s="358"/>
      <c r="M1120" s="579"/>
      <c r="N1120" s="469"/>
      <c r="O1120" s="469"/>
    </row>
    <row r="1121" spans="3:15" ht="17.25">
      <c r="C1121" s="12" t="s">
        <v>153</v>
      </c>
      <c r="F1121" s="12"/>
      <c r="H1121" s="409"/>
      <c r="I1121" s="358"/>
      <c r="J1121" s="442"/>
      <c r="K1121" s="280"/>
      <c r="L1121" s="358"/>
      <c r="M1121" s="579"/>
      <c r="N1121" s="469"/>
      <c r="O1121" s="469"/>
    </row>
    <row r="1122" spans="3:15" ht="17.25">
      <c r="D1122" s="361">
        <v>44628</v>
      </c>
      <c r="E1122" s="361"/>
      <c r="F1122" s="361"/>
      <c r="G1122" s="361"/>
      <c r="H1122" s="409"/>
      <c r="I1122" s="358"/>
      <c r="J1122" s="442"/>
      <c r="K1122" s="280"/>
      <c r="L1122" s="358"/>
      <c r="M1122" s="579"/>
      <c r="N1122" s="469"/>
      <c r="O1122" s="469"/>
    </row>
    <row r="1123" spans="3:15" ht="17.25">
      <c r="E1123" s="12" t="s">
        <v>33</v>
      </c>
      <c r="F1123" s="12"/>
      <c r="H1123" s="409"/>
      <c r="I1123" s="358"/>
      <c r="J1123" s="442"/>
      <c r="K1123" s="280"/>
      <c r="L1123" s="358"/>
      <c r="M1123" s="579"/>
      <c r="N1123" s="469"/>
      <c r="O1123" s="469"/>
    </row>
    <row r="1124" spans="3:15" ht="17.25">
      <c r="F1124" s="361">
        <v>43830</v>
      </c>
      <c r="G1124" s="361"/>
      <c r="H1124" s="409"/>
      <c r="I1124" s="358"/>
      <c r="J1124" s="442"/>
      <c r="K1124" s="280"/>
      <c r="L1124" s="358"/>
      <c r="M1124" s="579"/>
      <c r="N1124" s="469"/>
      <c r="O1124" s="469"/>
    </row>
    <row r="1125" spans="3:15" ht="17.25">
      <c r="F1125" s="12"/>
      <c r="G1125" s="112" t="s">
        <v>33</v>
      </c>
      <c r="H1125" s="409">
        <v>57</v>
      </c>
      <c r="I1125" s="358">
        <v>9108.69</v>
      </c>
      <c r="J1125" s="442">
        <v>1</v>
      </c>
      <c r="K1125" s="280">
        <v>9108.69</v>
      </c>
      <c r="L1125" s="358">
        <v>4997.4010096153852</v>
      </c>
      <c r="M1125" s="579">
        <v>1</v>
      </c>
      <c r="N1125" s="469">
        <v>4997.4010096153852</v>
      </c>
      <c r="O1125" s="469">
        <v>4111.2889903846153</v>
      </c>
    </row>
    <row r="1126" spans="3:15" ht="17.25">
      <c r="F1126" s="12"/>
      <c r="H1126" s="409"/>
      <c r="I1126" s="358"/>
      <c r="J1126" s="442"/>
      <c r="K1126" s="280"/>
      <c r="L1126" s="358"/>
      <c r="M1126" s="579"/>
      <c r="N1126" s="469"/>
      <c r="O1126" s="469"/>
    </row>
    <row r="1127" spans="3:15" ht="17.25">
      <c r="D1127" s="361">
        <v>44678</v>
      </c>
      <c r="E1127" s="361"/>
      <c r="F1127" s="361"/>
      <c r="G1127" s="361"/>
      <c r="H1127" s="409"/>
      <c r="I1127" s="358"/>
      <c r="J1127" s="442"/>
      <c r="K1127" s="280"/>
      <c r="L1127" s="358"/>
      <c r="M1127" s="579"/>
      <c r="N1127" s="469"/>
      <c r="O1127" s="469"/>
    </row>
    <row r="1128" spans="3:15" ht="17.25">
      <c r="E1128" s="12" t="s">
        <v>33</v>
      </c>
      <c r="F1128" s="12"/>
      <c r="H1128" s="409"/>
      <c r="I1128" s="358"/>
      <c r="J1128" s="442"/>
      <c r="K1128" s="280"/>
      <c r="L1128" s="358"/>
      <c r="M1128" s="579"/>
      <c r="N1128" s="469"/>
      <c r="O1128" s="469"/>
    </row>
    <row r="1129" spans="3:15" ht="17.25">
      <c r="F1129" s="361">
        <v>43830</v>
      </c>
      <c r="G1129" s="361"/>
      <c r="H1129" s="409"/>
      <c r="I1129" s="358"/>
      <c r="J1129" s="442"/>
      <c r="K1129" s="280"/>
      <c r="L1129" s="358"/>
      <c r="M1129" s="579"/>
      <c r="N1129" s="469"/>
      <c r="O1129" s="469"/>
    </row>
    <row r="1130" spans="3:15" ht="17.25">
      <c r="F1130" s="12"/>
      <c r="G1130" s="112" t="s">
        <v>33</v>
      </c>
      <c r="H1130" s="409">
        <v>154</v>
      </c>
      <c r="I1130" s="358">
        <v>26722.120000000003</v>
      </c>
      <c r="J1130" s="442">
        <v>1</v>
      </c>
      <c r="K1130" s="280">
        <v>26722.120000000003</v>
      </c>
      <c r="L1130" s="358">
        <v>13501.750096153848</v>
      </c>
      <c r="M1130" s="579">
        <v>1</v>
      </c>
      <c r="N1130" s="469">
        <v>13501.750096153848</v>
      </c>
      <c r="O1130" s="469">
        <v>13220.369903846155</v>
      </c>
    </row>
    <row r="1131" spans="3:15" ht="17.25">
      <c r="F1131" s="12"/>
      <c r="H1131" s="409"/>
      <c r="I1131" s="358"/>
      <c r="J1131" s="442"/>
      <c r="K1131" s="280"/>
      <c r="L1131" s="358"/>
      <c r="M1131" s="579"/>
      <c r="N1131" s="469"/>
      <c r="O1131" s="469"/>
    </row>
    <row r="1132" spans="3:15" ht="17.25">
      <c r="C1132" s="342" t="s">
        <v>328</v>
      </c>
      <c r="D1132" s="342"/>
      <c r="E1132" s="342"/>
      <c r="F1132" s="342"/>
      <c r="G1132" s="342"/>
      <c r="H1132" s="410">
        <v>211</v>
      </c>
      <c r="I1132" s="407">
        <v>35830.810000000005</v>
      </c>
      <c r="J1132" s="460">
        <v>1</v>
      </c>
      <c r="K1132" s="413">
        <v>35830.810000000005</v>
      </c>
      <c r="L1132" s="407">
        <v>18499.151105769233</v>
      </c>
      <c r="M1132" s="580">
        <v>1</v>
      </c>
      <c r="N1132" s="470">
        <v>18499.151105769233</v>
      </c>
      <c r="O1132" s="470">
        <v>17331.658894230772</v>
      </c>
    </row>
    <row r="1133" spans="3:15" ht="17.25">
      <c r="F1133" s="12"/>
      <c r="H1133" s="409"/>
      <c r="I1133" s="358"/>
      <c r="J1133" s="442"/>
      <c r="K1133" s="280"/>
      <c r="L1133" s="358"/>
      <c r="M1133" s="579"/>
      <c r="N1133" s="469"/>
      <c r="O1133" s="469"/>
    </row>
    <row r="1134" spans="3:15" ht="17.25">
      <c r="C1134" s="12" t="s">
        <v>154</v>
      </c>
      <c r="F1134" s="12"/>
      <c r="H1134" s="409"/>
      <c r="I1134" s="358"/>
      <c r="J1134" s="442"/>
      <c r="K1134" s="280"/>
      <c r="L1134" s="358"/>
      <c r="M1134" s="579"/>
      <c r="N1134" s="469"/>
      <c r="O1134" s="469"/>
    </row>
    <row r="1135" spans="3:15" ht="17.25">
      <c r="D1135" s="361">
        <v>44678</v>
      </c>
      <c r="E1135" s="361"/>
      <c r="F1135" s="361"/>
      <c r="G1135" s="361"/>
      <c r="H1135" s="409"/>
      <c r="I1135" s="358"/>
      <c r="J1135" s="442"/>
      <c r="K1135" s="280"/>
      <c r="L1135" s="358"/>
      <c r="M1135" s="579"/>
      <c r="N1135" s="469"/>
      <c r="O1135" s="469"/>
    </row>
    <row r="1136" spans="3:15" ht="17.25">
      <c r="E1136" s="12" t="s">
        <v>33</v>
      </c>
      <c r="F1136" s="12"/>
      <c r="H1136" s="409"/>
      <c r="I1136" s="358"/>
      <c r="J1136" s="442"/>
      <c r="K1136" s="280"/>
      <c r="L1136" s="358"/>
      <c r="M1136" s="579"/>
      <c r="N1136" s="469"/>
      <c r="O1136" s="469"/>
    </row>
    <row r="1137" spans="3:15" ht="17.25">
      <c r="F1137" s="361">
        <v>44474</v>
      </c>
      <c r="G1137" s="361"/>
      <c r="H1137" s="409"/>
      <c r="I1137" s="358"/>
      <c r="J1137" s="442"/>
      <c r="K1137" s="280"/>
      <c r="L1137" s="358"/>
      <c r="M1137" s="579"/>
      <c r="N1137" s="469"/>
      <c r="O1137" s="469"/>
    </row>
    <row r="1138" spans="3:15" ht="17.25">
      <c r="F1138" s="12"/>
      <c r="G1138" s="112" t="s">
        <v>33</v>
      </c>
      <c r="H1138" s="409">
        <v>25</v>
      </c>
      <c r="I1138" s="358">
        <v>2556.2791666666662</v>
      </c>
      <c r="J1138" s="442">
        <v>1</v>
      </c>
      <c r="K1138" s="280">
        <v>2556.2791666666662</v>
      </c>
      <c r="L1138" s="358">
        <v>2411.7863636363636</v>
      </c>
      <c r="M1138" s="579">
        <v>1</v>
      </c>
      <c r="N1138" s="469">
        <v>2411.7863636363636</v>
      </c>
      <c r="O1138" s="469">
        <v>144.49280303030292</v>
      </c>
    </row>
    <row r="1139" spans="3:15" ht="17.25">
      <c r="F1139" s="12"/>
      <c r="H1139" s="409"/>
      <c r="I1139" s="358"/>
      <c r="J1139" s="442"/>
      <c r="K1139" s="280"/>
      <c r="L1139" s="358"/>
      <c r="M1139" s="579"/>
      <c r="N1139" s="469"/>
      <c r="O1139" s="469"/>
    </row>
    <row r="1140" spans="3:15" ht="17.25">
      <c r="F1140" s="361">
        <v>44377</v>
      </c>
      <c r="G1140" s="361"/>
      <c r="H1140" s="409"/>
      <c r="I1140" s="358"/>
      <c r="J1140" s="442"/>
      <c r="K1140" s="280"/>
      <c r="L1140" s="358"/>
      <c r="M1140" s="579"/>
      <c r="N1140" s="469"/>
      <c r="O1140" s="469"/>
    </row>
    <row r="1141" spans="3:15" ht="17.25">
      <c r="F1141" s="12"/>
      <c r="G1141" s="112" t="s">
        <v>33</v>
      </c>
      <c r="H1141" s="409">
        <v>26</v>
      </c>
      <c r="I1141" s="358">
        <v>2658.5303333333331</v>
      </c>
      <c r="J1141" s="442">
        <v>1</v>
      </c>
      <c r="K1141" s="280">
        <v>2658.5303333333331</v>
      </c>
      <c r="L1141" s="358">
        <v>2569.4978947368418</v>
      </c>
      <c r="M1141" s="579">
        <v>1</v>
      </c>
      <c r="N1141" s="469">
        <v>2569.4978947368418</v>
      </c>
      <c r="O1141" s="469">
        <v>89.032438596491374</v>
      </c>
    </row>
    <row r="1142" spans="3:15" ht="17.25">
      <c r="F1142" s="12"/>
      <c r="H1142" s="409"/>
      <c r="I1142" s="358"/>
      <c r="J1142" s="442"/>
      <c r="K1142" s="280"/>
      <c r="L1142" s="358"/>
      <c r="M1142" s="579"/>
      <c r="N1142" s="469"/>
      <c r="O1142" s="469"/>
    </row>
    <row r="1143" spans="3:15" ht="17.25">
      <c r="F1143" s="361">
        <v>44378</v>
      </c>
      <c r="G1143" s="361"/>
      <c r="H1143" s="409"/>
      <c r="I1143" s="358"/>
      <c r="J1143" s="442"/>
      <c r="K1143" s="280"/>
      <c r="L1143" s="358"/>
      <c r="M1143" s="579"/>
      <c r="N1143" s="469"/>
      <c r="O1143" s="469"/>
    </row>
    <row r="1144" spans="3:15" ht="17.25">
      <c r="F1144" s="12"/>
      <c r="G1144" s="112" t="s">
        <v>33</v>
      </c>
      <c r="H1144" s="409">
        <v>50</v>
      </c>
      <c r="I1144" s="358">
        <v>5112.5583333333334</v>
      </c>
      <c r="J1144" s="442">
        <v>1</v>
      </c>
      <c r="K1144" s="280">
        <v>5112.5583333333334</v>
      </c>
      <c r="L1144" s="358">
        <v>4995.57</v>
      </c>
      <c r="M1144" s="579">
        <v>1</v>
      </c>
      <c r="N1144" s="469">
        <v>4995.57</v>
      </c>
      <c r="O1144" s="469">
        <v>116.98833333333369</v>
      </c>
    </row>
    <row r="1145" spans="3:15" ht="17.25">
      <c r="F1145" s="12"/>
      <c r="H1145" s="409"/>
      <c r="I1145" s="358"/>
      <c r="J1145" s="442"/>
      <c r="K1145" s="280"/>
      <c r="L1145" s="358"/>
      <c r="M1145" s="579"/>
      <c r="N1145" s="469"/>
      <c r="O1145" s="469"/>
    </row>
    <row r="1146" spans="3:15" ht="17.25">
      <c r="F1146" s="361">
        <v>44453</v>
      </c>
      <c r="G1146" s="361"/>
      <c r="H1146" s="409"/>
      <c r="I1146" s="358"/>
      <c r="J1146" s="442"/>
      <c r="K1146" s="280"/>
      <c r="L1146" s="358"/>
      <c r="M1146" s="579"/>
      <c r="N1146" s="469"/>
      <c r="O1146" s="469"/>
    </row>
    <row r="1147" spans="3:15" ht="17.25">
      <c r="F1147" s="12"/>
      <c r="G1147" s="112" t="s">
        <v>33</v>
      </c>
      <c r="H1147" s="409">
        <v>79</v>
      </c>
      <c r="I1147" s="358">
        <v>8077.8421666666663</v>
      </c>
      <c r="J1147" s="442">
        <v>1</v>
      </c>
      <c r="K1147" s="280">
        <v>8077.8421666666663</v>
      </c>
      <c r="L1147" s="358">
        <v>8081.43</v>
      </c>
      <c r="M1147" s="579">
        <v>1</v>
      </c>
      <c r="N1147" s="469">
        <v>8081.43</v>
      </c>
      <c r="O1147" s="469">
        <v>-3.5878333333339469</v>
      </c>
    </row>
    <row r="1148" spans="3:15" ht="17.25">
      <c r="F1148" s="12"/>
      <c r="H1148" s="409"/>
      <c r="I1148" s="358"/>
      <c r="J1148" s="442"/>
      <c r="K1148" s="280"/>
      <c r="L1148" s="358"/>
      <c r="M1148" s="579"/>
      <c r="N1148" s="469"/>
      <c r="O1148" s="469"/>
    </row>
    <row r="1149" spans="3:15" ht="17.25">
      <c r="C1149" s="342" t="s">
        <v>329</v>
      </c>
      <c r="D1149" s="342"/>
      <c r="E1149" s="342"/>
      <c r="F1149" s="342"/>
      <c r="G1149" s="342"/>
      <c r="H1149" s="410">
        <v>180</v>
      </c>
      <c r="I1149" s="407">
        <v>18405.21</v>
      </c>
      <c r="J1149" s="460">
        <v>1</v>
      </c>
      <c r="K1149" s="413">
        <v>18405.21</v>
      </c>
      <c r="L1149" s="407">
        <v>18058.284258373205</v>
      </c>
      <c r="M1149" s="580">
        <v>1</v>
      </c>
      <c r="N1149" s="470">
        <v>18058.284258373205</v>
      </c>
      <c r="O1149" s="470">
        <v>346.92574162679404</v>
      </c>
    </row>
    <row r="1150" spans="3:15" ht="17.25">
      <c r="F1150" s="12"/>
      <c r="H1150" s="409"/>
      <c r="I1150" s="358"/>
      <c r="J1150" s="442"/>
      <c r="K1150" s="280"/>
      <c r="L1150" s="358"/>
      <c r="M1150" s="579"/>
      <c r="N1150" s="469"/>
      <c r="O1150" s="469"/>
    </row>
    <row r="1151" spans="3:15" ht="17.25">
      <c r="C1151" s="12" t="s">
        <v>158</v>
      </c>
      <c r="F1151" s="12"/>
      <c r="H1151" s="409"/>
      <c r="I1151" s="358"/>
      <c r="J1151" s="442"/>
      <c r="K1151" s="280"/>
      <c r="L1151" s="358"/>
      <c r="M1151" s="579"/>
      <c r="N1151" s="469"/>
      <c r="O1151" s="469"/>
    </row>
    <row r="1152" spans="3:15" ht="17.25">
      <c r="D1152" s="361">
        <v>44575</v>
      </c>
      <c r="E1152" s="361"/>
      <c r="F1152" s="361"/>
      <c r="G1152" s="361"/>
      <c r="H1152" s="409"/>
      <c r="I1152" s="358"/>
      <c r="J1152" s="442"/>
      <c r="K1152" s="280"/>
      <c r="L1152" s="358"/>
      <c r="M1152" s="579"/>
      <c r="N1152" s="469"/>
      <c r="O1152" s="469"/>
    </row>
    <row r="1153" spans="4:15" ht="17.25">
      <c r="E1153" s="12" t="s">
        <v>33</v>
      </c>
      <c r="F1153" s="12"/>
      <c r="H1153" s="409"/>
      <c r="I1153" s="358"/>
      <c r="J1153" s="442"/>
      <c r="K1153" s="280"/>
      <c r="L1153" s="358"/>
      <c r="M1153" s="579"/>
      <c r="N1153" s="469"/>
      <c r="O1153" s="469"/>
    </row>
    <row r="1154" spans="4:15" ht="17.25">
      <c r="F1154" s="361">
        <v>43830</v>
      </c>
      <c r="G1154" s="361"/>
      <c r="H1154" s="409"/>
      <c r="I1154" s="358"/>
      <c r="J1154" s="442"/>
      <c r="K1154" s="280"/>
      <c r="L1154" s="358"/>
      <c r="M1154" s="579"/>
      <c r="N1154" s="469"/>
      <c r="O1154" s="469"/>
    </row>
    <row r="1155" spans="4:15" ht="17.25">
      <c r="F1155" s="12"/>
      <c r="G1155" s="112" t="s">
        <v>33</v>
      </c>
      <c r="H1155" s="409">
        <v>11</v>
      </c>
      <c r="I1155" s="358">
        <v>2444.08</v>
      </c>
      <c r="J1155" s="442">
        <v>1</v>
      </c>
      <c r="K1155" s="280">
        <v>2444.08</v>
      </c>
      <c r="L1155" s="358">
        <v>1066.8156845238095</v>
      </c>
      <c r="M1155" s="579">
        <v>1</v>
      </c>
      <c r="N1155" s="469">
        <v>1066.8156845238095</v>
      </c>
      <c r="O1155" s="469">
        <v>1377.2643154761904</v>
      </c>
    </row>
    <row r="1156" spans="4:15" ht="17.25">
      <c r="F1156" s="12"/>
      <c r="H1156" s="409"/>
      <c r="I1156" s="358"/>
      <c r="J1156" s="442"/>
      <c r="K1156" s="280"/>
      <c r="L1156" s="358"/>
      <c r="M1156" s="579"/>
      <c r="N1156" s="469"/>
      <c r="O1156" s="469"/>
    </row>
    <row r="1157" spans="4:15" ht="17.25">
      <c r="D1157" s="361">
        <v>44578</v>
      </c>
      <c r="E1157" s="361"/>
      <c r="F1157" s="361"/>
      <c r="G1157" s="361"/>
      <c r="H1157" s="409"/>
      <c r="I1157" s="358"/>
      <c r="J1157" s="442"/>
      <c r="K1157" s="280"/>
      <c r="L1157" s="358"/>
      <c r="M1157" s="579"/>
      <c r="N1157" s="469"/>
      <c r="O1157" s="469"/>
    </row>
    <row r="1158" spans="4:15" ht="17.25">
      <c r="E1158" s="12" t="s">
        <v>33</v>
      </c>
      <c r="F1158" s="12"/>
      <c r="H1158" s="409"/>
      <c r="I1158" s="358"/>
      <c r="J1158" s="442"/>
      <c r="K1158" s="280"/>
      <c r="L1158" s="358"/>
      <c r="M1158" s="579"/>
      <c r="N1158" s="469"/>
      <c r="O1158" s="469"/>
    </row>
    <row r="1159" spans="4:15" ht="17.25">
      <c r="F1159" s="361">
        <v>43830</v>
      </c>
      <c r="G1159" s="361"/>
      <c r="H1159" s="409"/>
      <c r="I1159" s="358"/>
      <c r="J1159" s="442"/>
      <c r="K1159" s="280"/>
      <c r="L1159" s="358"/>
      <c r="M1159" s="579"/>
      <c r="N1159" s="469"/>
      <c r="O1159" s="469"/>
    </row>
    <row r="1160" spans="4:15" ht="17.25">
      <c r="F1160" s="12"/>
      <c r="G1160" s="112" t="s">
        <v>33</v>
      </c>
      <c r="H1160" s="409">
        <v>46</v>
      </c>
      <c r="I1160" s="358">
        <v>10220.02</v>
      </c>
      <c r="J1160" s="442">
        <v>1</v>
      </c>
      <c r="K1160" s="280">
        <v>10220.02</v>
      </c>
      <c r="L1160" s="358">
        <v>4461.2292261904759</v>
      </c>
      <c r="M1160" s="579">
        <v>1</v>
      </c>
      <c r="N1160" s="469">
        <v>4461.2292261904759</v>
      </c>
      <c r="O1160" s="469">
        <v>5758.7907738095246</v>
      </c>
    </row>
    <row r="1161" spans="4:15" ht="17.25">
      <c r="F1161" s="12"/>
      <c r="H1161" s="409"/>
      <c r="I1161" s="358"/>
      <c r="J1161" s="442"/>
      <c r="K1161" s="280"/>
      <c r="L1161" s="358"/>
      <c r="M1161" s="579"/>
      <c r="N1161" s="469"/>
      <c r="O1161" s="469"/>
    </row>
    <row r="1162" spans="4:15" ht="17.25">
      <c r="D1162" s="361">
        <v>44582</v>
      </c>
      <c r="E1162" s="361"/>
      <c r="F1162" s="361"/>
      <c r="G1162" s="361"/>
      <c r="H1162" s="409"/>
      <c r="I1162" s="358"/>
      <c r="J1162" s="442"/>
      <c r="K1162" s="280"/>
      <c r="L1162" s="358"/>
      <c r="M1162" s="579"/>
      <c r="N1162" s="469"/>
      <c r="O1162" s="469"/>
    </row>
    <row r="1163" spans="4:15" ht="17.25">
      <c r="E1163" s="12" t="s">
        <v>33</v>
      </c>
      <c r="F1163" s="12"/>
      <c r="H1163" s="409"/>
      <c r="I1163" s="358"/>
      <c r="J1163" s="442"/>
      <c r="K1163" s="280"/>
      <c r="L1163" s="358"/>
      <c r="M1163" s="579"/>
      <c r="N1163" s="469"/>
      <c r="O1163" s="469"/>
    </row>
    <row r="1164" spans="4:15" ht="17.25">
      <c r="F1164" s="361">
        <v>43830</v>
      </c>
      <c r="G1164" s="361"/>
      <c r="H1164" s="409"/>
      <c r="I1164" s="358"/>
      <c r="J1164" s="442"/>
      <c r="K1164" s="280"/>
      <c r="L1164" s="358"/>
      <c r="M1164" s="579"/>
      <c r="N1164" s="469"/>
      <c r="O1164" s="469"/>
    </row>
    <row r="1165" spans="4:15" ht="17.25">
      <c r="F1165" s="12"/>
      <c r="G1165" s="112" t="s">
        <v>33</v>
      </c>
      <c r="H1165" s="409">
        <v>27</v>
      </c>
      <c r="I1165" s="358">
        <v>5491.58</v>
      </c>
      <c r="J1165" s="442">
        <v>1</v>
      </c>
      <c r="K1165" s="280">
        <v>5491.58</v>
      </c>
      <c r="L1165" s="358">
        <v>2618.5475892857139</v>
      </c>
      <c r="M1165" s="579">
        <v>1</v>
      </c>
      <c r="N1165" s="469">
        <v>2618.5475892857139</v>
      </c>
      <c r="O1165" s="469">
        <v>2873.032410714286</v>
      </c>
    </row>
    <row r="1166" spans="4:15" ht="17.25">
      <c r="F1166" s="12"/>
      <c r="H1166" s="409"/>
      <c r="I1166" s="358"/>
      <c r="J1166" s="442"/>
      <c r="K1166" s="280"/>
      <c r="L1166" s="358"/>
      <c r="M1166" s="579"/>
      <c r="N1166" s="469"/>
      <c r="O1166" s="469"/>
    </row>
    <row r="1167" spans="4:15" ht="17.25">
      <c r="D1167" s="361">
        <v>44586</v>
      </c>
      <c r="E1167" s="361"/>
      <c r="F1167" s="361"/>
      <c r="G1167" s="361"/>
      <c r="H1167" s="409"/>
      <c r="I1167" s="358"/>
      <c r="J1167" s="442"/>
      <c r="K1167" s="280"/>
      <c r="L1167" s="358"/>
      <c r="M1167" s="579"/>
      <c r="N1167" s="469"/>
      <c r="O1167" s="469"/>
    </row>
    <row r="1168" spans="4:15" ht="17.25">
      <c r="E1168" s="12" t="s">
        <v>33</v>
      </c>
      <c r="F1168" s="12"/>
      <c r="H1168" s="409"/>
      <c r="I1168" s="358"/>
      <c r="J1168" s="442"/>
      <c r="K1168" s="280"/>
      <c r="L1168" s="358"/>
      <c r="M1168" s="579"/>
      <c r="N1168" s="469"/>
      <c r="O1168" s="469"/>
    </row>
    <row r="1169" spans="4:15" ht="17.25">
      <c r="F1169" s="361">
        <v>43830</v>
      </c>
      <c r="G1169" s="361"/>
      <c r="H1169" s="409"/>
      <c r="I1169" s="358"/>
      <c r="J1169" s="442"/>
      <c r="K1169" s="280"/>
      <c r="L1169" s="358"/>
      <c r="M1169" s="579"/>
      <c r="N1169" s="469"/>
      <c r="O1169" s="469"/>
    </row>
    <row r="1170" spans="4:15" ht="17.25">
      <c r="F1170" s="12"/>
      <c r="G1170" s="112" t="s">
        <v>33</v>
      </c>
      <c r="H1170" s="409">
        <v>7</v>
      </c>
      <c r="I1170" s="358">
        <v>1429.32</v>
      </c>
      <c r="J1170" s="442">
        <v>1</v>
      </c>
      <c r="K1170" s="280">
        <v>1429.32</v>
      </c>
      <c r="L1170" s="358">
        <v>678.88270833333331</v>
      </c>
      <c r="M1170" s="579">
        <v>1</v>
      </c>
      <c r="N1170" s="469">
        <v>678.88270833333331</v>
      </c>
      <c r="O1170" s="469">
        <v>750.43729166666662</v>
      </c>
    </row>
    <row r="1171" spans="4:15" ht="17.25">
      <c r="F1171" s="12"/>
      <c r="H1171" s="409"/>
      <c r="I1171" s="358"/>
      <c r="J1171" s="442"/>
      <c r="K1171" s="280"/>
      <c r="L1171" s="358"/>
      <c r="M1171" s="579"/>
      <c r="N1171" s="469"/>
      <c r="O1171" s="469"/>
    </row>
    <row r="1172" spans="4:15" ht="17.25">
      <c r="D1172" s="361">
        <v>44587</v>
      </c>
      <c r="E1172" s="361"/>
      <c r="F1172" s="361"/>
      <c r="G1172" s="361"/>
      <c r="H1172" s="409"/>
      <c r="I1172" s="358"/>
      <c r="J1172" s="442"/>
      <c r="K1172" s="280"/>
      <c r="L1172" s="358"/>
      <c r="M1172" s="579"/>
      <c r="N1172" s="469"/>
      <c r="O1172" s="469"/>
    </row>
    <row r="1173" spans="4:15" ht="17.25">
      <c r="E1173" s="12" t="s">
        <v>33</v>
      </c>
      <c r="F1173" s="12"/>
      <c r="H1173" s="409"/>
      <c r="I1173" s="358"/>
      <c r="J1173" s="442"/>
      <c r="K1173" s="280"/>
      <c r="L1173" s="358"/>
      <c r="M1173" s="579"/>
      <c r="N1173" s="469"/>
      <c r="O1173" s="469"/>
    </row>
    <row r="1174" spans="4:15" ht="17.25">
      <c r="F1174" s="361">
        <v>43830</v>
      </c>
      <c r="G1174" s="361"/>
      <c r="H1174" s="409"/>
      <c r="I1174" s="358"/>
      <c r="J1174" s="442"/>
      <c r="K1174" s="280"/>
      <c r="L1174" s="358"/>
      <c r="M1174" s="579"/>
      <c r="N1174" s="469"/>
      <c r="O1174" s="469"/>
    </row>
    <row r="1175" spans="4:15" ht="17.25">
      <c r="F1175" s="12"/>
      <c r="G1175" s="112" t="s">
        <v>33</v>
      </c>
      <c r="H1175" s="409">
        <v>48</v>
      </c>
      <c r="I1175" s="358">
        <v>9820.76</v>
      </c>
      <c r="J1175" s="442">
        <v>1</v>
      </c>
      <c r="K1175" s="280">
        <v>9820.76</v>
      </c>
      <c r="L1175" s="358">
        <v>4655.1957142857136</v>
      </c>
      <c r="M1175" s="579">
        <v>1</v>
      </c>
      <c r="N1175" s="469">
        <v>4655.1957142857136</v>
      </c>
      <c r="O1175" s="469">
        <v>5165.5642857142866</v>
      </c>
    </row>
    <row r="1176" spans="4:15" ht="17.25">
      <c r="F1176" s="12"/>
      <c r="H1176" s="409"/>
      <c r="I1176" s="358"/>
      <c r="J1176" s="442"/>
      <c r="K1176" s="280"/>
      <c r="L1176" s="358"/>
      <c r="M1176" s="579"/>
      <c r="N1176" s="469"/>
      <c r="O1176" s="469"/>
    </row>
    <row r="1177" spans="4:15" ht="17.25">
      <c r="D1177" s="361">
        <v>44631</v>
      </c>
      <c r="E1177" s="361"/>
      <c r="F1177" s="361"/>
      <c r="G1177" s="361"/>
      <c r="H1177" s="409"/>
      <c r="I1177" s="358"/>
      <c r="J1177" s="442"/>
      <c r="K1177" s="280"/>
      <c r="L1177" s="358"/>
      <c r="M1177" s="579"/>
      <c r="N1177" s="469"/>
      <c r="O1177" s="469"/>
    </row>
    <row r="1178" spans="4:15" ht="17.25">
      <c r="E1178" s="12" t="s">
        <v>33</v>
      </c>
      <c r="F1178" s="12"/>
      <c r="H1178" s="409"/>
      <c r="I1178" s="358"/>
      <c r="J1178" s="442"/>
      <c r="K1178" s="280"/>
      <c r="L1178" s="358"/>
      <c r="M1178" s="579"/>
      <c r="N1178" s="469"/>
      <c r="O1178" s="469"/>
    </row>
    <row r="1179" spans="4:15" ht="17.25">
      <c r="F1179" s="361">
        <v>43830</v>
      </c>
      <c r="G1179" s="361"/>
      <c r="H1179" s="409"/>
      <c r="I1179" s="358"/>
      <c r="J1179" s="442"/>
      <c r="K1179" s="280"/>
      <c r="L1179" s="358"/>
      <c r="M1179" s="579"/>
      <c r="N1179" s="469"/>
      <c r="O1179" s="469"/>
    </row>
    <row r="1180" spans="4:15" ht="17.25">
      <c r="F1180" s="12"/>
      <c r="G1180" s="112" t="s">
        <v>33</v>
      </c>
      <c r="H1180" s="409">
        <v>39</v>
      </c>
      <c r="I1180" s="358">
        <v>7189.42</v>
      </c>
      <c r="J1180" s="442">
        <v>1</v>
      </c>
      <c r="K1180" s="280">
        <v>7189.42</v>
      </c>
      <c r="L1180" s="358">
        <v>3782.3465178571428</v>
      </c>
      <c r="M1180" s="579">
        <v>1</v>
      </c>
      <c r="N1180" s="469">
        <v>3782.3465178571428</v>
      </c>
      <c r="O1180" s="469">
        <v>3407.0734821428568</v>
      </c>
    </row>
    <row r="1181" spans="4:15" ht="17.25">
      <c r="F1181" s="12"/>
      <c r="H1181" s="409"/>
      <c r="I1181" s="358"/>
      <c r="J1181" s="442"/>
      <c r="K1181" s="280"/>
      <c r="L1181" s="358"/>
      <c r="M1181" s="579"/>
      <c r="N1181" s="469"/>
      <c r="O1181" s="469"/>
    </row>
    <row r="1182" spans="4:15" ht="17.25">
      <c r="D1182" s="361">
        <v>44634</v>
      </c>
      <c r="E1182" s="361"/>
      <c r="F1182" s="361"/>
      <c r="G1182" s="361"/>
      <c r="H1182" s="409"/>
      <c r="I1182" s="358"/>
      <c r="J1182" s="442"/>
      <c r="K1182" s="280"/>
      <c r="L1182" s="358"/>
      <c r="M1182" s="579"/>
      <c r="N1182" s="469"/>
      <c r="O1182" s="469"/>
    </row>
    <row r="1183" spans="4:15" ht="17.25">
      <c r="E1183" s="12" t="s">
        <v>33</v>
      </c>
      <c r="F1183" s="12"/>
      <c r="H1183" s="409"/>
      <c r="I1183" s="358"/>
      <c r="J1183" s="442"/>
      <c r="K1183" s="280"/>
      <c r="L1183" s="358"/>
      <c r="M1183" s="579"/>
      <c r="N1183" s="469"/>
      <c r="O1183" s="469"/>
    </row>
    <row r="1184" spans="4:15" ht="17.25">
      <c r="F1184" s="361">
        <v>43830</v>
      </c>
      <c r="G1184" s="361"/>
      <c r="H1184" s="409"/>
      <c r="I1184" s="358"/>
      <c r="J1184" s="442"/>
      <c r="K1184" s="280"/>
      <c r="L1184" s="358"/>
      <c r="M1184" s="579"/>
      <c r="N1184" s="469"/>
      <c r="O1184" s="469"/>
    </row>
    <row r="1185" spans="4:15" ht="17.25">
      <c r="F1185" s="12"/>
      <c r="G1185" s="112" t="s">
        <v>33</v>
      </c>
      <c r="H1185" s="409">
        <v>38</v>
      </c>
      <c r="I1185" s="358">
        <v>6994.58</v>
      </c>
      <c r="J1185" s="442">
        <v>1</v>
      </c>
      <c r="K1185" s="280">
        <v>6994.58</v>
      </c>
      <c r="L1185" s="358">
        <v>3685.3632738095234</v>
      </c>
      <c r="M1185" s="579">
        <v>1</v>
      </c>
      <c r="N1185" s="469">
        <v>3685.3632738095234</v>
      </c>
      <c r="O1185" s="469">
        <v>3309.2167261904765</v>
      </c>
    </row>
    <row r="1186" spans="4:15" ht="17.25">
      <c r="F1186" s="12"/>
      <c r="H1186" s="409"/>
      <c r="I1186" s="358"/>
      <c r="J1186" s="442"/>
      <c r="K1186" s="280"/>
      <c r="L1186" s="358"/>
      <c r="M1186" s="579"/>
      <c r="N1186" s="469"/>
      <c r="O1186" s="469"/>
    </row>
    <row r="1187" spans="4:15" ht="17.25">
      <c r="D1187" s="361">
        <v>44675</v>
      </c>
      <c r="E1187" s="361"/>
      <c r="F1187" s="361"/>
      <c r="G1187" s="361"/>
      <c r="H1187" s="409"/>
      <c r="I1187" s="358"/>
      <c r="J1187" s="442"/>
      <c r="K1187" s="280"/>
      <c r="L1187" s="358"/>
      <c r="M1187" s="579"/>
      <c r="N1187" s="469"/>
      <c r="O1187" s="469"/>
    </row>
    <row r="1188" spans="4:15" ht="17.25">
      <c r="E1188" s="12" t="s">
        <v>33</v>
      </c>
      <c r="F1188" s="12"/>
      <c r="H1188" s="409"/>
      <c r="I1188" s="358"/>
      <c r="J1188" s="442"/>
      <c r="K1188" s="280"/>
      <c r="L1188" s="358"/>
      <c r="M1188" s="579"/>
      <c r="N1188" s="469"/>
      <c r="O1188" s="469"/>
    </row>
    <row r="1189" spans="4:15" ht="17.25">
      <c r="F1189" s="361">
        <v>43830</v>
      </c>
      <c r="G1189" s="361"/>
      <c r="H1189" s="409"/>
      <c r="I1189" s="358"/>
      <c r="J1189" s="442"/>
      <c r="K1189" s="280"/>
      <c r="L1189" s="358"/>
      <c r="M1189" s="579"/>
      <c r="N1189" s="469"/>
      <c r="O1189" s="469"/>
    </row>
    <row r="1190" spans="4:15" ht="17.25">
      <c r="F1190" s="12"/>
      <c r="G1190" s="112" t="s">
        <v>33</v>
      </c>
      <c r="H1190" s="409">
        <v>12</v>
      </c>
      <c r="I1190" s="358">
        <v>2018.518</v>
      </c>
      <c r="J1190" s="442">
        <v>1</v>
      </c>
      <c r="K1190" s="280">
        <v>2018.518</v>
      </c>
      <c r="L1190" s="358">
        <v>1163.7989285714284</v>
      </c>
      <c r="M1190" s="579">
        <v>1</v>
      </c>
      <c r="N1190" s="469">
        <v>1163.7989285714284</v>
      </c>
      <c r="O1190" s="469">
        <v>854.71907142857162</v>
      </c>
    </row>
    <row r="1191" spans="4:15" ht="17.25">
      <c r="F1191" s="12"/>
      <c r="H1191" s="409"/>
      <c r="I1191" s="358"/>
      <c r="J1191" s="442"/>
      <c r="K1191" s="280"/>
      <c r="L1191" s="358"/>
      <c r="M1191" s="579"/>
      <c r="N1191" s="469"/>
      <c r="O1191" s="469"/>
    </row>
    <row r="1192" spans="4:15" ht="17.25">
      <c r="F1192" s="361">
        <v>44363</v>
      </c>
      <c r="G1192" s="361"/>
      <c r="H1192" s="409"/>
      <c r="I1192" s="358"/>
      <c r="J1192" s="442"/>
      <c r="K1192" s="280"/>
      <c r="L1192" s="358"/>
      <c r="M1192" s="579"/>
      <c r="N1192" s="469"/>
      <c r="O1192" s="469"/>
    </row>
    <row r="1193" spans="4:15" ht="17.25">
      <c r="F1193" s="12"/>
      <c r="G1193" s="112" t="s">
        <v>33</v>
      </c>
      <c r="H1193" s="409">
        <v>48</v>
      </c>
      <c r="I1193" s="358">
        <v>8074.0720000000001</v>
      </c>
      <c r="J1193" s="442">
        <v>1</v>
      </c>
      <c r="K1193" s="280">
        <v>8074.0720000000001</v>
      </c>
      <c r="L1193" s="358">
        <v>9014.0204184100403</v>
      </c>
      <c r="M1193" s="579">
        <v>1</v>
      </c>
      <c r="N1193" s="469">
        <v>9014.0204184100403</v>
      </c>
      <c r="O1193" s="469">
        <v>-939.94841841004018</v>
      </c>
    </row>
    <row r="1194" spans="4:15" ht="17.25">
      <c r="F1194" s="12"/>
      <c r="H1194" s="409"/>
      <c r="I1194" s="358"/>
      <c r="J1194" s="442"/>
      <c r="K1194" s="280"/>
      <c r="L1194" s="358"/>
      <c r="M1194" s="579"/>
      <c r="N1194" s="469"/>
      <c r="O1194" s="469"/>
    </row>
    <row r="1195" spans="4:15" ht="17.25">
      <c r="D1195" s="361">
        <v>44685</v>
      </c>
      <c r="E1195" s="361"/>
      <c r="F1195" s="361"/>
      <c r="G1195" s="361"/>
      <c r="H1195" s="409"/>
      <c r="I1195" s="358"/>
      <c r="J1195" s="442"/>
      <c r="K1195" s="280"/>
      <c r="L1195" s="358"/>
      <c r="M1195" s="579"/>
      <c r="N1195" s="469"/>
      <c r="O1195" s="469"/>
    </row>
    <row r="1196" spans="4:15" ht="17.25">
      <c r="E1196" s="12" t="s">
        <v>33</v>
      </c>
      <c r="F1196" s="12"/>
      <c r="H1196" s="409"/>
      <c r="I1196" s="358"/>
      <c r="J1196" s="442"/>
      <c r="K1196" s="280"/>
      <c r="L1196" s="358"/>
      <c r="M1196" s="579"/>
      <c r="N1196" s="469"/>
      <c r="O1196" s="469"/>
    </row>
    <row r="1197" spans="4:15" ht="17.25">
      <c r="F1197" s="361">
        <v>44363</v>
      </c>
      <c r="G1197" s="361"/>
      <c r="H1197" s="409"/>
      <c r="I1197" s="358"/>
      <c r="J1197" s="442"/>
      <c r="K1197" s="280"/>
      <c r="L1197" s="358"/>
      <c r="M1197" s="579"/>
      <c r="N1197" s="469"/>
      <c r="O1197" s="469"/>
    </row>
    <row r="1198" spans="4:15" ht="17.25">
      <c r="F1198" s="12"/>
      <c r="G1198" s="112" t="s">
        <v>33</v>
      </c>
      <c r="H1198" s="409">
        <v>59</v>
      </c>
      <c r="I1198" s="358">
        <v>10008.36</v>
      </c>
      <c r="J1198" s="442">
        <v>1</v>
      </c>
      <c r="K1198" s="280">
        <v>10008.36</v>
      </c>
      <c r="L1198" s="358">
        <v>11079.733430962342</v>
      </c>
      <c r="M1198" s="579">
        <v>1</v>
      </c>
      <c r="N1198" s="469">
        <v>11079.733430962342</v>
      </c>
      <c r="O1198" s="469">
        <v>-1071.3734309623414</v>
      </c>
    </row>
    <row r="1199" spans="4:15" ht="17.25">
      <c r="F1199" s="12"/>
      <c r="H1199" s="409"/>
      <c r="I1199" s="358"/>
      <c r="J1199" s="442"/>
      <c r="K1199" s="280"/>
      <c r="L1199" s="358"/>
      <c r="M1199" s="579"/>
      <c r="N1199" s="469"/>
      <c r="O1199" s="469"/>
    </row>
    <row r="1200" spans="4:15" ht="17.25">
      <c r="D1200" s="361">
        <v>44903</v>
      </c>
      <c r="E1200" s="361"/>
      <c r="F1200" s="361"/>
      <c r="G1200" s="361"/>
      <c r="H1200" s="409"/>
      <c r="I1200" s="358"/>
      <c r="J1200" s="442"/>
      <c r="K1200" s="280"/>
      <c r="L1200" s="358"/>
      <c r="M1200" s="579"/>
      <c r="N1200" s="469"/>
      <c r="O1200" s="469"/>
    </row>
    <row r="1201" spans="3:15" ht="17.25">
      <c r="E1201" s="12" t="s">
        <v>33</v>
      </c>
      <c r="F1201" s="12"/>
      <c r="H1201" s="409"/>
      <c r="I1201" s="358"/>
      <c r="J1201" s="442"/>
      <c r="K1201" s="280"/>
      <c r="L1201" s="358"/>
      <c r="M1201" s="579"/>
      <c r="N1201" s="469"/>
      <c r="O1201" s="469"/>
    </row>
    <row r="1202" spans="3:15" ht="17.25">
      <c r="F1202" s="361">
        <v>44363</v>
      </c>
      <c r="G1202" s="361"/>
      <c r="H1202" s="409"/>
      <c r="I1202" s="358"/>
      <c r="J1202" s="442"/>
      <c r="K1202" s="280"/>
      <c r="L1202" s="358"/>
      <c r="M1202" s="579"/>
      <c r="N1202" s="469"/>
      <c r="O1202" s="469"/>
    </row>
    <row r="1203" spans="3:15" ht="17.25">
      <c r="F1203" s="12"/>
      <c r="G1203" s="112" t="s">
        <v>33</v>
      </c>
      <c r="H1203" s="409">
        <v>38</v>
      </c>
      <c r="I1203" s="358">
        <v>5861.78</v>
      </c>
      <c r="J1203" s="442">
        <v>1</v>
      </c>
      <c r="K1203" s="280">
        <v>5861.78</v>
      </c>
      <c r="L1203" s="358">
        <v>7136.0994979079496</v>
      </c>
      <c r="M1203" s="579">
        <v>1</v>
      </c>
      <c r="N1203" s="469">
        <v>7136.0994979079496</v>
      </c>
      <c r="O1203" s="469">
        <v>-1274.3194979079499</v>
      </c>
    </row>
    <row r="1204" spans="3:15" ht="17.25">
      <c r="F1204" s="12"/>
      <c r="H1204" s="409"/>
      <c r="I1204" s="358"/>
      <c r="J1204" s="442"/>
      <c r="K1204" s="280"/>
      <c r="L1204" s="358"/>
      <c r="M1204" s="579"/>
      <c r="N1204" s="469"/>
      <c r="O1204" s="469"/>
    </row>
    <row r="1205" spans="3:15" ht="17.25">
      <c r="D1205" s="361">
        <v>44904</v>
      </c>
      <c r="E1205" s="361"/>
      <c r="F1205" s="361"/>
      <c r="G1205" s="361"/>
      <c r="H1205" s="409"/>
      <c r="I1205" s="358"/>
      <c r="J1205" s="442"/>
      <c r="K1205" s="280"/>
      <c r="L1205" s="358"/>
      <c r="M1205" s="579"/>
      <c r="N1205" s="469"/>
      <c r="O1205" s="469"/>
    </row>
    <row r="1206" spans="3:15" ht="17.25">
      <c r="E1206" s="12" t="s">
        <v>33</v>
      </c>
      <c r="F1206" s="12"/>
      <c r="H1206" s="409"/>
      <c r="I1206" s="358"/>
      <c r="J1206" s="442"/>
      <c r="K1206" s="280"/>
      <c r="L1206" s="358"/>
      <c r="M1206" s="579"/>
      <c r="N1206" s="469"/>
      <c r="O1206" s="469"/>
    </row>
    <row r="1207" spans="3:15" ht="17.25">
      <c r="F1207" s="361">
        <v>44363</v>
      </c>
      <c r="G1207" s="361"/>
      <c r="H1207" s="409"/>
      <c r="I1207" s="358"/>
      <c r="J1207" s="442"/>
      <c r="K1207" s="280"/>
      <c r="L1207" s="358"/>
      <c r="M1207" s="579"/>
      <c r="N1207" s="469"/>
      <c r="O1207" s="469"/>
    </row>
    <row r="1208" spans="3:15" ht="17.25">
      <c r="F1208" s="12"/>
      <c r="G1208" s="112" t="s">
        <v>33</v>
      </c>
      <c r="H1208" s="409">
        <v>13</v>
      </c>
      <c r="I1208" s="358">
        <v>2016.21</v>
      </c>
      <c r="J1208" s="442">
        <v>1</v>
      </c>
      <c r="K1208" s="280">
        <v>2016.21</v>
      </c>
      <c r="L1208" s="358">
        <v>2441.2971966527193</v>
      </c>
      <c r="M1208" s="579">
        <v>1</v>
      </c>
      <c r="N1208" s="469">
        <v>2441.2971966527193</v>
      </c>
      <c r="O1208" s="469">
        <v>-425.08719665271929</v>
      </c>
    </row>
    <row r="1209" spans="3:15" ht="17.25">
      <c r="F1209" s="12"/>
      <c r="H1209" s="409"/>
      <c r="I1209" s="358"/>
      <c r="J1209" s="442"/>
      <c r="K1209" s="280"/>
      <c r="L1209" s="358"/>
      <c r="M1209" s="579"/>
      <c r="N1209" s="469"/>
      <c r="O1209" s="469"/>
    </row>
    <row r="1210" spans="3:15" ht="17.25">
      <c r="D1210" s="361">
        <v>44909</v>
      </c>
      <c r="E1210" s="361"/>
      <c r="F1210" s="361"/>
      <c r="G1210" s="361"/>
      <c r="H1210" s="409"/>
      <c r="I1210" s="358"/>
      <c r="J1210" s="442"/>
      <c r="K1210" s="280"/>
      <c r="L1210" s="358"/>
      <c r="M1210" s="579"/>
      <c r="N1210" s="469"/>
      <c r="O1210" s="469"/>
    </row>
    <row r="1211" spans="3:15" ht="17.25">
      <c r="E1211" s="12" t="s">
        <v>33</v>
      </c>
      <c r="F1211" s="12"/>
      <c r="H1211" s="409"/>
      <c r="I1211" s="358"/>
      <c r="J1211" s="442"/>
      <c r="K1211" s="280"/>
      <c r="L1211" s="358"/>
      <c r="M1211" s="579"/>
      <c r="N1211" s="469"/>
      <c r="O1211" s="469"/>
    </row>
    <row r="1212" spans="3:15" ht="17.25">
      <c r="F1212" s="361">
        <v>44363</v>
      </c>
      <c r="G1212" s="361"/>
      <c r="H1212" s="409"/>
      <c r="I1212" s="358"/>
      <c r="J1212" s="442"/>
      <c r="K1212" s="280"/>
      <c r="L1212" s="358"/>
      <c r="M1212" s="579"/>
      <c r="N1212" s="469"/>
      <c r="O1212" s="469"/>
    </row>
    <row r="1213" spans="3:15" ht="17.25">
      <c r="F1213" s="12"/>
      <c r="G1213" s="112" t="s">
        <v>33</v>
      </c>
      <c r="H1213" s="409">
        <v>76</v>
      </c>
      <c r="I1213" s="358">
        <v>11476.2</v>
      </c>
      <c r="J1213" s="442">
        <v>1</v>
      </c>
      <c r="K1213" s="280">
        <v>11476.2</v>
      </c>
      <c r="L1213" s="358">
        <v>14272.198995815899</v>
      </c>
      <c r="M1213" s="579">
        <v>1</v>
      </c>
      <c r="N1213" s="469">
        <v>14272.198995815899</v>
      </c>
      <c r="O1213" s="469">
        <v>-2795.9989958158985</v>
      </c>
    </row>
    <row r="1214" spans="3:15" ht="17.25">
      <c r="F1214" s="12"/>
      <c r="H1214" s="409"/>
      <c r="I1214" s="358"/>
      <c r="J1214" s="442"/>
      <c r="K1214" s="280"/>
      <c r="L1214" s="358"/>
      <c r="M1214" s="579"/>
      <c r="N1214" s="469"/>
      <c r="O1214" s="469"/>
    </row>
    <row r="1215" spans="3:15" ht="17.25">
      <c r="C1215" s="342" t="s">
        <v>330</v>
      </c>
      <c r="D1215" s="342"/>
      <c r="E1215" s="342"/>
      <c r="F1215" s="342"/>
      <c r="G1215" s="342"/>
      <c r="H1215" s="410">
        <v>462</v>
      </c>
      <c r="I1215" s="407">
        <v>83044.899999999994</v>
      </c>
      <c r="J1215" s="460">
        <v>1</v>
      </c>
      <c r="K1215" s="413">
        <v>83044.899999999994</v>
      </c>
      <c r="L1215" s="407">
        <v>66055.529182606086</v>
      </c>
      <c r="M1215" s="580">
        <v>1</v>
      </c>
      <c r="N1215" s="470">
        <v>66055.529182606086</v>
      </c>
      <c r="O1215" s="470">
        <v>16989.370817393916</v>
      </c>
    </row>
    <row r="1216" spans="3:15" ht="17.25">
      <c r="F1216" s="12"/>
      <c r="H1216" s="409"/>
      <c r="I1216" s="358"/>
      <c r="J1216" s="442"/>
      <c r="K1216" s="280"/>
      <c r="L1216" s="358"/>
      <c r="M1216" s="579"/>
      <c r="N1216" s="469"/>
      <c r="O1216" s="469"/>
    </row>
    <row r="1217" spans="3:15" ht="17.25">
      <c r="C1217" s="12" t="s">
        <v>168</v>
      </c>
      <c r="F1217" s="12"/>
      <c r="H1217" s="409"/>
      <c r="I1217" s="358"/>
      <c r="J1217" s="442"/>
      <c r="K1217" s="280"/>
      <c r="L1217" s="358"/>
      <c r="M1217" s="579"/>
      <c r="N1217" s="469"/>
      <c r="O1217" s="469"/>
    </row>
    <row r="1218" spans="3:15" ht="17.25">
      <c r="D1218" s="361">
        <v>44678</v>
      </c>
      <c r="E1218" s="361"/>
      <c r="F1218" s="361"/>
      <c r="G1218" s="361"/>
      <c r="H1218" s="409"/>
      <c r="I1218" s="358"/>
      <c r="J1218" s="442"/>
      <c r="K1218" s="280"/>
      <c r="L1218" s="358"/>
      <c r="M1218" s="579"/>
      <c r="N1218" s="469"/>
      <c r="O1218" s="469"/>
    </row>
    <row r="1219" spans="3:15" ht="17.25">
      <c r="E1219" s="12" t="s">
        <v>33</v>
      </c>
      <c r="F1219" s="12"/>
      <c r="H1219" s="409"/>
      <c r="I1219" s="358"/>
      <c r="J1219" s="442"/>
      <c r="K1219" s="280"/>
      <c r="L1219" s="358"/>
      <c r="M1219" s="579"/>
      <c r="N1219" s="469"/>
      <c r="O1219" s="469"/>
    </row>
    <row r="1220" spans="3:15" ht="17.25">
      <c r="F1220" s="361">
        <v>43830</v>
      </c>
      <c r="G1220" s="361"/>
      <c r="H1220" s="409"/>
      <c r="I1220" s="358"/>
      <c r="J1220" s="442"/>
      <c r="K1220" s="280"/>
      <c r="L1220" s="358"/>
      <c r="M1220" s="579"/>
      <c r="N1220" s="469"/>
      <c r="O1220" s="469"/>
    </row>
    <row r="1221" spans="3:15" ht="17.25">
      <c r="F1221" s="12"/>
      <c r="G1221" s="112" t="s">
        <v>33</v>
      </c>
      <c r="H1221" s="409">
        <v>55</v>
      </c>
      <c r="I1221" s="358">
        <v>15236.063333333334</v>
      </c>
      <c r="J1221" s="442">
        <v>1</v>
      </c>
      <c r="K1221" s="280">
        <v>15236.063333333334</v>
      </c>
      <c r="L1221" s="358">
        <v>16169.259876543209</v>
      </c>
      <c r="M1221" s="579">
        <v>1</v>
      </c>
      <c r="N1221" s="469">
        <v>16169.259876543209</v>
      </c>
      <c r="O1221" s="469">
        <v>-933.19654320987502</v>
      </c>
    </row>
    <row r="1222" spans="3:15" ht="17.25">
      <c r="F1222" s="12"/>
      <c r="H1222" s="409"/>
      <c r="I1222" s="358"/>
      <c r="J1222" s="442"/>
      <c r="K1222" s="280"/>
      <c r="L1222" s="358"/>
      <c r="M1222" s="579"/>
      <c r="N1222" s="469"/>
      <c r="O1222" s="469"/>
    </row>
    <row r="1223" spans="3:15" ht="17.25">
      <c r="F1223" s="361">
        <v>44287</v>
      </c>
      <c r="G1223" s="361"/>
      <c r="H1223" s="409"/>
      <c r="I1223" s="358"/>
      <c r="J1223" s="442"/>
      <c r="K1223" s="280"/>
      <c r="L1223" s="358"/>
      <c r="M1223" s="579"/>
      <c r="N1223" s="469"/>
      <c r="O1223" s="469"/>
    </row>
    <row r="1224" spans="3:15" ht="17.25">
      <c r="F1224" s="12"/>
      <c r="G1224" s="112" t="s">
        <v>33</v>
      </c>
      <c r="H1224" s="409">
        <v>20</v>
      </c>
      <c r="I1224" s="358">
        <v>5540.3866666666672</v>
      </c>
      <c r="J1224" s="442">
        <v>1</v>
      </c>
      <c r="K1224" s="280">
        <v>5540.3866666666672</v>
      </c>
      <c r="L1224" s="358">
        <v>129.12363636363634</v>
      </c>
      <c r="M1224" s="579">
        <v>1</v>
      </c>
      <c r="N1224" s="469">
        <v>129.12363636363634</v>
      </c>
      <c r="O1224" s="469">
        <v>5411.263030303031</v>
      </c>
    </row>
    <row r="1225" spans="3:15" ht="17.25">
      <c r="F1225" s="12"/>
      <c r="H1225" s="409"/>
      <c r="I1225" s="358"/>
      <c r="J1225" s="442"/>
      <c r="K1225" s="280"/>
      <c r="L1225" s="358"/>
      <c r="M1225" s="579"/>
      <c r="N1225" s="469"/>
      <c r="O1225" s="469"/>
    </row>
    <row r="1226" spans="3:15" ht="17.25">
      <c r="C1226" s="342" t="s">
        <v>331</v>
      </c>
      <c r="D1226" s="342"/>
      <c r="E1226" s="342"/>
      <c r="F1226" s="342"/>
      <c r="G1226" s="342"/>
      <c r="H1226" s="410">
        <v>75</v>
      </c>
      <c r="I1226" s="407">
        <v>20776.45</v>
      </c>
      <c r="J1226" s="460">
        <v>1</v>
      </c>
      <c r="K1226" s="413">
        <v>20776.45</v>
      </c>
      <c r="L1226" s="407">
        <v>16298.383512906845</v>
      </c>
      <c r="M1226" s="580">
        <v>1</v>
      </c>
      <c r="N1226" s="470">
        <v>16298.383512906845</v>
      </c>
      <c r="O1226" s="470">
        <v>4478.066487093156</v>
      </c>
    </row>
    <row r="1227" spans="3:15" ht="17.25">
      <c r="F1227" s="12"/>
      <c r="H1227" s="409"/>
      <c r="I1227" s="358"/>
      <c r="J1227" s="442"/>
      <c r="K1227" s="280"/>
      <c r="L1227" s="358"/>
      <c r="M1227" s="579"/>
      <c r="N1227" s="469"/>
      <c r="O1227" s="469"/>
    </row>
    <row r="1228" spans="3:15" ht="17.25">
      <c r="C1228" s="12" t="s">
        <v>159</v>
      </c>
      <c r="F1228" s="12"/>
      <c r="H1228" s="409"/>
      <c r="I1228" s="358"/>
      <c r="J1228" s="442"/>
      <c r="K1228" s="280"/>
      <c r="L1228" s="358"/>
      <c r="M1228" s="579"/>
      <c r="N1228" s="469"/>
      <c r="O1228" s="469"/>
    </row>
    <row r="1229" spans="3:15" ht="17.25">
      <c r="D1229" s="361">
        <v>44678</v>
      </c>
      <c r="E1229" s="361"/>
      <c r="F1229" s="361"/>
      <c r="G1229" s="361"/>
      <c r="H1229" s="409"/>
      <c r="I1229" s="358"/>
      <c r="J1229" s="442"/>
      <c r="K1229" s="280"/>
      <c r="L1229" s="358"/>
      <c r="M1229" s="579"/>
      <c r="N1229" s="469"/>
      <c r="O1229" s="469"/>
    </row>
    <row r="1230" spans="3:15" ht="17.25">
      <c r="E1230" s="12" t="s">
        <v>33</v>
      </c>
      <c r="F1230" s="12"/>
      <c r="H1230" s="409"/>
      <c r="I1230" s="358"/>
      <c r="J1230" s="442"/>
      <c r="K1230" s="280"/>
      <c r="L1230" s="358"/>
      <c r="M1230" s="579"/>
      <c r="N1230" s="469"/>
      <c r="O1230" s="469"/>
    </row>
    <row r="1231" spans="3:15" ht="17.25">
      <c r="F1231" s="361">
        <v>43830</v>
      </c>
      <c r="G1231" s="361"/>
      <c r="H1231" s="409"/>
      <c r="I1231" s="358"/>
      <c r="J1231" s="442"/>
      <c r="K1231" s="280"/>
      <c r="L1231" s="358"/>
      <c r="M1231" s="579"/>
      <c r="N1231" s="469"/>
      <c r="O1231" s="469"/>
    </row>
    <row r="1232" spans="3:15" ht="17.25">
      <c r="F1232" s="12"/>
      <c r="G1232" s="112" t="s">
        <v>33</v>
      </c>
      <c r="H1232" s="409">
        <v>188</v>
      </c>
      <c r="I1232" s="358">
        <v>30855.85</v>
      </c>
      <c r="J1232" s="442">
        <v>1</v>
      </c>
      <c r="K1232" s="280">
        <v>30855.85</v>
      </c>
      <c r="L1232" s="358">
        <v>16091.838322851154</v>
      </c>
      <c r="M1232" s="579">
        <v>1</v>
      </c>
      <c r="N1232" s="469">
        <v>16091.838322851154</v>
      </c>
      <c r="O1232" s="469">
        <v>14764.011677148845</v>
      </c>
    </row>
    <row r="1233" spans="3:15" ht="17.25">
      <c r="F1233" s="12"/>
      <c r="H1233" s="409"/>
      <c r="I1233" s="358"/>
      <c r="J1233" s="442"/>
      <c r="K1233" s="280"/>
      <c r="L1233" s="358"/>
      <c r="M1233" s="579"/>
      <c r="N1233" s="469"/>
      <c r="O1233" s="469"/>
    </row>
    <row r="1234" spans="3:15" ht="17.25">
      <c r="D1234" s="361">
        <v>44804</v>
      </c>
      <c r="E1234" s="361"/>
      <c r="F1234" s="361"/>
      <c r="G1234" s="361"/>
      <c r="H1234" s="409"/>
      <c r="I1234" s="358"/>
      <c r="J1234" s="442"/>
      <c r="K1234" s="280"/>
      <c r="L1234" s="358"/>
      <c r="M1234" s="579"/>
      <c r="N1234" s="469"/>
      <c r="O1234" s="469"/>
    </row>
    <row r="1235" spans="3:15" ht="17.25">
      <c r="E1235" s="12" t="s">
        <v>33</v>
      </c>
      <c r="F1235" s="12"/>
      <c r="H1235" s="409"/>
      <c r="I1235" s="358"/>
      <c r="J1235" s="442"/>
      <c r="K1235" s="280"/>
      <c r="L1235" s="358"/>
      <c r="M1235" s="579"/>
      <c r="N1235" s="469"/>
      <c r="O1235" s="469"/>
    </row>
    <row r="1236" spans="3:15" ht="17.25">
      <c r="F1236" s="361">
        <v>43830</v>
      </c>
      <c r="G1236" s="361"/>
      <c r="H1236" s="409"/>
      <c r="I1236" s="358"/>
      <c r="J1236" s="442"/>
      <c r="K1236" s="280"/>
      <c r="L1236" s="358"/>
      <c r="M1236" s="579"/>
      <c r="N1236" s="469"/>
      <c r="O1236" s="469"/>
    </row>
    <row r="1237" spans="3:15" ht="17.25">
      <c r="F1237" s="12"/>
      <c r="G1237" s="112" t="s">
        <v>33</v>
      </c>
      <c r="H1237" s="409">
        <v>60</v>
      </c>
      <c r="I1237" s="358">
        <v>9909.34</v>
      </c>
      <c r="J1237" s="442">
        <v>1</v>
      </c>
      <c r="K1237" s="280">
        <v>9909.34</v>
      </c>
      <c r="L1237" s="358">
        <v>5135.6930817610064</v>
      </c>
      <c r="M1237" s="579">
        <v>1</v>
      </c>
      <c r="N1237" s="469">
        <v>5135.6930817610064</v>
      </c>
      <c r="O1237" s="469">
        <v>4773.6469182389928</v>
      </c>
    </row>
    <row r="1238" spans="3:15" ht="17.25">
      <c r="F1238" s="12"/>
      <c r="H1238" s="409"/>
      <c r="I1238" s="358"/>
      <c r="J1238" s="442"/>
      <c r="K1238" s="280"/>
      <c r="L1238" s="358"/>
      <c r="M1238" s="579"/>
      <c r="N1238" s="469"/>
      <c r="O1238" s="469"/>
    </row>
    <row r="1239" spans="3:15" ht="17.25">
      <c r="C1239" s="342" t="s">
        <v>332</v>
      </c>
      <c r="D1239" s="342"/>
      <c r="E1239" s="342"/>
      <c r="F1239" s="342"/>
      <c r="G1239" s="342"/>
      <c r="H1239" s="410">
        <v>248</v>
      </c>
      <c r="I1239" s="407">
        <v>40765.19</v>
      </c>
      <c r="J1239" s="460">
        <v>1</v>
      </c>
      <c r="K1239" s="413">
        <v>40765.19</v>
      </c>
      <c r="L1239" s="407">
        <v>21227.53140461216</v>
      </c>
      <c r="M1239" s="580">
        <v>1</v>
      </c>
      <c r="N1239" s="470">
        <v>21227.53140461216</v>
      </c>
      <c r="O1239" s="470">
        <v>19537.658595387835</v>
      </c>
    </row>
    <row r="1240" spans="3:15" ht="17.25">
      <c r="F1240" s="12"/>
      <c r="H1240" s="409"/>
      <c r="I1240" s="358"/>
      <c r="J1240" s="442"/>
      <c r="K1240" s="280"/>
      <c r="L1240" s="358"/>
      <c r="M1240" s="579"/>
      <c r="N1240" s="469"/>
      <c r="O1240" s="469"/>
    </row>
    <row r="1241" spans="3:15" ht="17.25">
      <c r="C1241" s="12" t="s">
        <v>333</v>
      </c>
      <c r="F1241" s="12"/>
      <c r="H1241" s="409"/>
      <c r="I1241" s="358"/>
      <c r="J1241" s="442"/>
      <c r="K1241" s="280"/>
      <c r="L1241" s="358"/>
      <c r="M1241" s="579"/>
      <c r="N1241" s="469"/>
      <c r="O1241" s="469"/>
    </row>
    <row r="1242" spans="3:15" ht="17.25">
      <c r="D1242" s="361">
        <v>44875</v>
      </c>
      <c r="E1242" s="361"/>
      <c r="F1242" s="361"/>
      <c r="G1242" s="361"/>
      <c r="H1242" s="409"/>
      <c r="I1242" s="358"/>
      <c r="J1242" s="442"/>
      <c r="K1242" s="280"/>
      <c r="L1242" s="358"/>
      <c r="M1242" s="579"/>
      <c r="N1242" s="469"/>
      <c r="O1242" s="469"/>
    </row>
    <row r="1243" spans="3:15" ht="17.25">
      <c r="E1243" s="12" t="s">
        <v>33</v>
      </c>
      <c r="F1243" s="12"/>
      <c r="H1243" s="409"/>
      <c r="I1243" s="358"/>
      <c r="J1243" s="442"/>
      <c r="K1243" s="280"/>
      <c r="L1243" s="358"/>
      <c r="M1243" s="579"/>
      <c r="N1243" s="469"/>
      <c r="O1243" s="469"/>
    </row>
    <row r="1244" spans="3:15" ht="17.25">
      <c r="F1244" s="361">
        <v>44866</v>
      </c>
      <c r="G1244" s="361"/>
      <c r="H1244" s="409"/>
      <c r="I1244" s="358"/>
      <c r="J1244" s="442"/>
      <c r="K1244" s="280"/>
      <c r="L1244" s="358"/>
      <c r="M1244" s="579"/>
      <c r="N1244" s="469"/>
      <c r="O1244" s="469"/>
    </row>
    <row r="1245" spans="3:15" ht="17.25">
      <c r="F1245" s="12"/>
      <c r="G1245" s="112" t="s">
        <v>33</v>
      </c>
      <c r="H1245" s="409">
        <v>227</v>
      </c>
      <c r="I1245" s="358">
        <v>10136.157866108788</v>
      </c>
      <c r="J1245" s="442">
        <v>1</v>
      </c>
      <c r="K1245" s="280">
        <v>10136.157866108788</v>
      </c>
      <c r="L1245" s="358">
        <v>9725.7999999999993</v>
      </c>
      <c r="M1245" s="579">
        <v>1</v>
      </c>
      <c r="N1245" s="469">
        <v>9725.7999999999993</v>
      </c>
      <c r="O1245" s="469">
        <v>410.35786610878722</v>
      </c>
    </row>
    <row r="1246" spans="3:15" ht="17.25">
      <c r="F1246" s="12"/>
      <c r="H1246" s="409"/>
      <c r="I1246" s="358"/>
      <c r="J1246" s="442"/>
      <c r="K1246" s="280"/>
      <c r="L1246" s="358"/>
      <c r="M1246" s="579"/>
      <c r="N1246" s="469"/>
      <c r="O1246" s="469"/>
    </row>
    <row r="1247" spans="3:15" ht="17.25">
      <c r="F1247" s="361">
        <v>44867</v>
      </c>
      <c r="G1247" s="361"/>
      <c r="H1247" s="409"/>
      <c r="I1247" s="358"/>
      <c r="J1247" s="442"/>
      <c r="K1247" s="280"/>
      <c r="L1247" s="358"/>
      <c r="M1247" s="579"/>
      <c r="N1247" s="469"/>
      <c r="O1247" s="469"/>
    </row>
    <row r="1248" spans="3:15" ht="17.25">
      <c r="F1248" s="12"/>
      <c r="G1248" s="112" t="s">
        <v>33</v>
      </c>
      <c r="H1248" s="409">
        <v>12</v>
      </c>
      <c r="I1248" s="358">
        <v>535.8321338912134</v>
      </c>
      <c r="J1248" s="442">
        <v>1</v>
      </c>
      <c r="K1248" s="280">
        <v>535.8321338912134</v>
      </c>
      <c r="L1248" s="358">
        <v>512.70000000000005</v>
      </c>
      <c r="M1248" s="579">
        <v>1</v>
      </c>
      <c r="N1248" s="469">
        <v>512.70000000000005</v>
      </c>
      <c r="O1248" s="469">
        <v>23.132133891213357</v>
      </c>
    </row>
    <row r="1249" spans="3:15" ht="17.25">
      <c r="F1249" s="12"/>
      <c r="H1249" s="409"/>
      <c r="I1249" s="358"/>
      <c r="J1249" s="442"/>
      <c r="K1249" s="280"/>
      <c r="L1249" s="358"/>
      <c r="M1249" s="579"/>
      <c r="N1249" s="469"/>
      <c r="O1249" s="469"/>
    </row>
    <row r="1250" spans="3:15" ht="17.25">
      <c r="C1250" s="342" t="s">
        <v>334</v>
      </c>
      <c r="D1250" s="342"/>
      <c r="E1250" s="342"/>
      <c r="F1250" s="342"/>
      <c r="G1250" s="342"/>
      <c r="H1250" s="410">
        <v>239</v>
      </c>
      <c r="I1250" s="407">
        <v>10671.990000000002</v>
      </c>
      <c r="J1250" s="460">
        <v>1</v>
      </c>
      <c r="K1250" s="413">
        <v>10671.990000000002</v>
      </c>
      <c r="L1250" s="407">
        <v>10238.5</v>
      </c>
      <c r="M1250" s="580">
        <v>1</v>
      </c>
      <c r="N1250" s="470">
        <v>10238.5</v>
      </c>
      <c r="O1250" s="470">
        <v>433.49000000000058</v>
      </c>
    </row>
    <row r="1251" spans="3:15" ht="17.25">
      <c r="F1251" s="12"/>
      <c r="H1251" s="409"/>
      <c r="I1251" s="358"/>
      <c r="J1251" s="442"/>
      <c r="K1251" s="280"/>
      <c r="L1251" s="358"/>
      <c r="M1251" s="579"/>
      <c r="N1251" s="469"/>
      <c r="O1251" s="469"/>
    </row>
    <row r="1252" spans="3:15" ht="17.25">
      <c r="C1252" s="12" t="s">
        <v>176</v>
      </c>
      <c r="F1252" s="12"/>
      <c r="H1252" s="409"/>
      <c r="I1252" s="358"/>
      <c r="J1252" s="442"/>
      <c r="K1252" s="280"/>
      <c r="L1252" s="358"/>
      <c r="M1252" s="579"/>
      <c r="N1252" s="469"/>
      <c r="O1252" s="469"/>
    </row>
    <row r="1253" spans="3:15" ht="17.25">
      <c r="D1253" s="361">
        <v>44678</v>
      </c>
      <c r="E1253" s="361"/>
      <c r="F1253" s="361"/>
      <c r="G1253" s="361"/>
      <c r="H1253" s="409"/>
      <c r="I1253" s="358"/>
      <c r="J1253" s="442"/>
      <c r="K1253" s="280"/>
      <c r="L1253" s="358"/>
      <c r="M1253" s="579"/>
      <c r="N1253" s="469"/>
      <c r="O1253" s="469"/>
    </row>
    <row r="1254" spans="3:15" ht="17.25">
      <c r="E1254" s="12" t="s">
        <v>33</v>
      </c>
      <c r="F1254" s="12"/>
      <c r="H1254" s="409"/>
      <c r="I1254" s="358"/>
      <c r="J1254" s="442"/>
      <c r="K1254" s="280"/>
      <c r="L1254" s="358"/>
      <c r="M1254" s="579"/>
      <c r="N1254" s="469"/>
      <c r="O1254" s="469"/>
    </row>
    <row r="1255" spans="3:15" ht="17.25">
      <c r="F1255" s="361">
        <v>43830</v>
      </c>
      <c r="G1255" s="361"/>
      <c r="H1255" s="409"/>
      <c r="I1255" s="358"/>
      <c r="J1255" s="442"/>
      <c r="K1255" s="280"/>
      <c r="L1255" s="358"/>
      <c r="M1255" s="579"/>
      <c r="N1255" s="469"/>
      <c r="O1255" s="469"/>
    </row>
    <row r="1256" spans="3:15" ht="17.25">
      <c r="F1256" s="12"/>
      <c r="G1256" s="112" t="s">
        <v>33</v>
      </c>
      <c r="H1256" s="409">
        <v>117</v>
      </c>
      <c r="I1256" s="358">
        <v>27270.58</v>
      </c>
      <c r="J1256" s="442">
        <v>1</v>
      </c>
      <c r="K1256" s="280">
        <v>27270.58</v>
      </c>
      <c r="L1256" s="358">
        <v>19337.429347826084</v>
      </c>
      <c r="M1256" s="579">
        <v>1</v>
      </c>
      <c r="N1256" s="469">
        <v>19337.429347826084</v>
      </c>
      <c r="O1256" s="469">
        <v>7933.1506521739175</v>
      </c>
    </row>
    <row r="1257" spans="3:15" ht="17.25">
      <c r="F1257" s="12"/>
      <c r="H1257" s="409"/>
      <c r="I1257" s="358"/>
      <c r="J1257" s="442"/>
      <c r="K1257" s="280"/>
      <c r="L1257" s="358"/>
      <c r="M1257" s="579"/>
      <c r="N1257" s="469"/>
      <c r="O1257" s="469"/>
    </row>
    <row r="1258" spans="3:15" ht="17.25">
      <c r="C1258" s="342" t="s">
        <v>335</v>
      </c>
      <c r="D1258" s="342"/>
      <c r="E1258" s="342"/>
      <c r="F1258" s="342"/>
      <c r="G1258" s="342"/>
      <c r="H1258" s="410">
        <v>117</v>
      </c>
      <c r="I1258" s="407">
        <v>27270.58</v>
      </c>
      <c r="J1258" s="460">
        <v>1</v>
      </c>
      <c r="K1258" s="413">
        <v>27270.58</v>
      </c>
      <c r="L1258" s="407">
        <v>19337.429347826084</v>
      </c>
      <c r="M1258" s="580">
        <v>1</v>
      </c>
      <c r="N1258" s="470">
        <v>19337.429347826084</v>
      </c>
      <c r="O1258" s="470">
        <v>7933.1506521739175</v>
      </c>
    </row>
    <row r="1259" spans="3:15" ht="17.25">
      <c r="F1259" s="12"/>
      <c r="H1259" s="409"/>
      <c r="I1259" s="358"/>
      <c r="J1259" s="442"/>
      <c r="K1259" s="280"/>
      <c r="L1259" s="358"/>
      <c r="M1259" s="579"/>
      <c r="N1259" s="469"/>
      <c r="O1259" s="469"/>
    </row>
    <row r="1260" spans="3:15" ht="17.25">
      <c r="C1260" s="12" t="s">
        <v>171</v>
      </c>
      <c r="F1260" s="12"/>
      <c r="H1260" s="409"/>
      <c r="I1260" s="358"/>
      <c r="J1260" s="442"/>
      <c r="K1260" s="280"/>
      <c r="L1260" s="358"/>
      <c r="M1260" s="579"/>
      <c r="N1260" s="469"/>
      <c r="O1260" s="469"/>
    </row>
    <row r="1261" spans="3:15" ht="17.25">
      <c r="D1261" s="361">
        <v>44678</v>
      </c>
      <c r="E1261" s="361"/>
      <c r="F1261" s="361"/>
      <c r="G1261" s="361"/>
      <c r="H1261" s="409"/>
      <c r="I1261" s="358"/>
      <c r="J1261" s="442"/>
      <c r="K1261" s="280"/>
      <c r="L1261" s="358"/>
      <c r="M1261" s="579"/>
      <c r="N1261" s="469"/>
      <c r="O1261" s="469"/>
    </row>
    <row r="1262" spans="3:15" ht="17.25">
      <c r="E1262" s="12" t="s">
        <v>33</v>
      </c>
      <c r="F1262" s="12"/>
      <c r="H1262" s="409"/>
      <c r="I1262" s="358"/>
      <c r="J1262" s="442"/>
      <c r="K1262" s="280"/>
      <c r="L1262" s="358"/>
      <c r="M1262" s="579"/>
      <c r="N1262" s="469"/>
      <c r="O1262" s="469"/>
    </row>
    <row r="1263" spans="3:15" ht="17.25">
      <c r="F1263" s="361">
        <v>43830</v>
      </c>
      <c r="G1263" s="361"/>
      <c r="H1263" s="409"/>
      <c r="I1263" s="358"/>
      <c r="J1263" s="442"/>
      <c r="K1263" s="280"/>
      <c r="L1263" s="358"/>
      <c r="M1263" s="579"/>
      <c r="N1263" s="469"/>
      <c r="O1263" s="469"/>
    </row>
    <row r="1264" spans="3:15" ht="17.25">
      <c r="F1264" s="12"/>
      <c r="G1264" s="112" t="s">
        <v>33</v>
      </c>
      <c r="H1264" s="409">
        <v>80</v>
      </c>
      <c r="I1264" s="358">
        <v>40962.99</v>
      </c>
      <c r="J1264" s="442">
        <v>1</v>
      </c>
      <c r="K1264" s="280">
        <v>40962.99</v>
      </c>
      <c r="L1264" s="358">
        <v>12236.514537444935</v>
      </c>
      <c r="M1264" s="579">
        <v>1</v>
      </c>
      <c r="N1264" s="469">
        <v>12236.514537444935</v>
      </c>
      <c r="O1264" s="469">
        <v>28726.475462555063</v>
      </c>
    </row>
    <row r="1265" spans="2:15" ht="17.25">
      <c r="F1265" s="12"/>
      <c r="H1265" s="409"/>
      <c r="I1265" s="358"/>
      <c r="J1265" s="442"/>
      <c r="K1265" s="280"/>
      <c r="L1265" s="358"/>
      <c r="M1265" s="579"/>
      <c r="N1265" s="469"/>
      <c r="O1265" s="469"/>
    </row>
    <row r="1266" spans="2:15" ht="17.25">
      <c r="C1266" s="342" t="s">
        <v>336</v>
      </c>
      <c r="D1266" s="342"/>
      <c r="E1266" s="342"/>
      <c r="F1266" s="342"/>
      <c r="G1266" s="342"/>
      <c r="H1266" s="410">
        <v>80</v>
      </c>
      <c r="I1266" s="407">
        <v>40962.99</v>
      </c>
      <c r="J1266" s="460">
        <v>1</v>
      </c>
      <c r="K1266" s="413">
        <v>40962.99</v>
      </c>
      <c r="L1266" s="407">
        <v>12236.514537444935</v>
      </c>
      <c r="M1266" s="580">
        <v>1</v>
      </c>
      <c r="N1266" s="470">
        <v>12236.514537444935</v>
      </c>
      <c r="O1266" s="470">
        <v>28726.475462555063</v>
      </c>
    </row>
    <row r="1267" spans="2:15" ht="17.25">
      <c r="F1267" s="12"/>
      <c r="H1267" s="409"/>
      <c r="I1267" s="358"/>
      <c r="J1267" s="442"/>
      <c r="K1267" s="280"/>
      <c r="L1267" s="358"/>
      <c r="M1267" s="579"/>
      <c r="N1267" s="469"/>
      <c r="O1267" s="469"/>
    </row>
    <row r="1268" spans="2:15" ht="17.25">
      <c r="B1268" s="404" t="s">
        <v>236</v>
      </c>
      <c r="C1268" s="404"/>
      <c r="D1268" s="404"/>
      <c r="E1268" s="404"/>
      <c r="F1268" s="404"/>
      <c r="G1268" s="404"/>
      <c r="H1268" s="411">
        <v>12086</v>
      </c>
      <c r="I1268" s="362">
        <v>1344326.8560000011</v>
      </c>
      <c r="J1268" s="443">
        <v>1</v>
      </c>
      <c r="K1268" s="414">
        <v>1344326.8560000011</v>
      </c>
      <c r="L1268" s="362">
        <v>1160155.7650126319</v>
      </c>
      <c r="M1268" s="581">
        <v>1</v>
      </c>
      <c r="N1268" s="472">
        <v>1160155.7650126319</v>
      </c>
      <c r="O1268" s="472">
        <v>184171.09098736697</v>
      </c>
    </row>
    <row r="1269" spans="2:15" ht="17.25">
      <c r="F1269" s="12"/>
      <c r="H1269" s="409"/>
      <c r="I1269" s="358"/>
      <c r="J1269" s="442"/>
      <c r="K1269" s="280"/>
      <c r="L1269" s="358"/>
      <c r="M1269" s="579"/>
      <c r="N1269" s="469"/>
      <c r="O1269" s="469"/>
    </row>
    <row r="1270" spans="2:15" ht="17.25">
      <c r="B1270" s="12">
        <v>1179000</v>
      </c>
      <c r="F1270" s="12"/>
      <c r="H1270" s="409"/>
      <c r="I1270" s="358"/>
      <c r="J1270" s="442"/>
      <c r="K1270" s="280"/>
      <c r="L1270" s="358"/>
      <c r="M1270" s="579"/>
      <c r="N1270" s="469"/>
      <c r="O1270" s="469"/>
    </row>
    <row r="1271" spans="2:15" ht="17.25">
      <c r="C1271" s="12" t="s">
        <v>256</v>
      </c>
      <c r="F1271" s="12"/>
      <c r="H1271" s="409"/>
      <c r="I1271" s="358"/>
      <c r="J1271" s="442"/>
      <c r="K1271" s="280"/>
      <c r="L1271" s="358"/>
      <c r="M1271" s="579"/>
      <c r="N1271" s="469"/>
      <c r="O1271" s="469"/>
    </row>
    <row r="1272" spans="2:15" ht="17.25">
      <c r="D1272" s="361">
        <v>44777</v>
      </c>
      <c r="E1272" s="361"/>
      <c r="F1272" s="361"/>
      <c r="G1272" s="361"/>
      <c r="H1272" s="409"/>
      <c r="I1272" s="358"/>
      <c r="J1272" s="442"/>
      <c r="K1272" s="280"/>
      <c r="L1272" s="358"/>
      <c r="M1272" s="579"/>
      <c r="N1272" s="469"/>
      <c r="O1272" s="469"/>
    </row>
    <row r="1273" spans="2:15" ht="17.25">
      <c r="E1273" s="12" t="s">
        <v>337</v>
      </c>
      <c r="F1273" s="12"/>
      <c r="H1273" s="409"/>
      <c r="I1273" s="358"/>
      <c r="J1273" s="442"/>
      <c r="K1273" s="280"/>
      <c r="L1273" s="358"/>
      <c r="M1273" s="579"/>
      <c r="N1273" s="469"/>
      <c r="O1273" s="469"/>
    </row>
    <row r="1274" spans="2:15" ht="17.25">
      <c r="F1274" s="361">
        <v>44490</v>
      </c>
      <c r="G1274" s="361"/>
      <c r="H1274" s="409"/>
      <c r="I1274" s="358"/>
      <c r="J1274" s="442"/>
      <c r="K1274" s="280"/>
      <c r="L1274" s="358"/>
      <c r="M1274" s="579"/>
      <c r="N1274" s="469"/>
      <c r="O1274" s="469"/>
    </row>
    <row r="1275" spans="2:15" ht="17.25">
      <c r="F1275" s="12"/>
      <c r="G1275" s="112" t="s">
        <v>337</v>
      </c>
      <c r="H1275" s="409">
        <v>1227.25</v>
      </c>
      <c r="I1275" s="358">
        <v>192300.19</v>
      </c>
      <c r="J1275" s="442">
        <v>1.0056</v>
      </c>
      <c r="K1275" s="280">
        <v>193377.07106400002</v>
      </c>
      <c r="L1275" s="358">
        <v>198327.10515354865</v>
      </c>
      <c r="M1275" s="579">
        <v>1.1572499999999999</v>
      </c>
      <c r="N1275" s="469">
        <v>229514.04243894416</v>
      </c>
      <c r="O1275" s="469">
        <v>-36136.971374944143</v>
      </c>
    </row>
    <row r="1276" spans="2:15" ht="17.25">
      <c r="F1276" s="12"/>
      <c r="H1276" s="409"/>
      <c r="I1276" s="358"/>
      <c r="J1276" s="442"/>
      <c r="K1276" s="280"/>
      <c r="L1276" s="358"/>
      <c r="M1276" s="579"/>
      <c r="N1276" s="469"/>
      <c r="O1276" s="469"/>
    </row>
    <row r="1277" spans="2:15" ht="17.25">
      <c r="D1277" s="361">
        <v>44841</v>
      </c>
      <c r="E1277" s="361"/>
      <c r="F1277" s="361"/>
      <c r="G1277" s="361"/>
      <c r="H1277" s="409"/>
      <c r="I1277" s="358"/>
      <c r="J1277" s="442"/>
      <c r="K1277" s="280"/>
      <c r="L1277" s="358"/>
      <c r="M1277" s="579"/>
      <c r="N1277" s="469"/>
      <c r="O1277" s="469"/>
    </row>
    <row r="1278" spans="2:15" ht="17.25">
      <c r="E1278" s="12" t="s">
        <v>337</v>
      </c>
      <c r="F1278" s="12"/>
      <c r="H1278" s="409"/>
      <c r="I1278" s="358"/>
      <c r="J1278" s="442"/>
      <c r="K1278" s="280"/>
      <c r="L1278" s="358"/>
      <c r="M1278" s="579"/>
      <c r="N1278" s="469"/>
      <c r="O1278" s="469"/>
    </row>
    <row r="1279" spans="2:15" ht="17.25">
      <c r="F1279" s="361">
        <v>44490</v>
      </c>
      <c r="G1279" s="361"/>
      <c r="H1279" s="409"/>
      <c r="I1279" s="358"/>
      <c r="J1279" s="442"/>
      <c r="K1279" s="280"/>
      <c r="L1279" s="358"/>
      <c r="M1279" s="579"/>
      <c r="N1279" s="469"/>
      <c r="O1279" s="469"/>
    </row>
    <row r="1280" spans="2:15" ht="17.25">
      <c r="F1280" s="12"/>
      <c r="G1280" s="112" t="s">
        <v>337</v>
      </c>
      <c r="H1280" s="409">
        <v>589.4</v>
      </c>
      <c r="I1280" s="358">
        <v>84096.567504474879</v>
      </c>
      <c r="J1280" s="442">
        <v>0.98885000000000001</v>
      </c>
      <c r="K1280" s="280">
        <v>83158.890776799977</v>
      </c>
      <c r="L1280" s="358">
        <v>95248.723387656617</v>
      </c>
      <c r="M1280" s="579">
        <v>1.1572499999999999</v>
      </c>
      <c r="N1280" s="469">
        <v>110226.58514036561</v>
      </c>
      <c r="O1280" s="469">
        <v>-27067.694363565635</v>
      </c>
    </row>
    <row r="1281" spans="3:15" ht="17.25">
      <c r="F1281" s="12"/>
      <c r="H1281" s="409"/>
      <c r="I1281" s="358"/>
      <c r="J1281" s="442"/>
      <c r="K1281" s="280"/>
      <c r="L1281" s="358"/>
      <c r="M1281" s="579"/>
      <c r="N1281" s="469"/>
      <c r="O1281" s="469"/>
    </row>
    <row r="1282" spans="3:15" ht="17.25">
      <c r="F1282" s="361">
        <v>44595</v>
      </c>
      <c r="G1282" s="361"/>
      <c r="H1282" s="409"/>
      <c r="I1282" s="358"/>
      <c r="J1282" s="442"/>
      <c r="K1282" s="280"/>
      <c r="L1282" s="358"/>
      <c r="M1282" s="579"/>
      <c r="N1282" s="469"/>
      <c r="O1282" s="469"/>
    </row>
    <row r="1283" spans="3:15" ht="17.25">
      <c r="F1283" s="12"/>
      <c r="G1283" s="112" t="s">
        <v>337</v>
      </c>
      <c r="H1283" s="409">
        <v>611.75</v>
      </c>
      <c r="I1283" s="358">
        <v>87285.502495525128</v>
      </c>
      <c r="J1283" s="442">
        <v>0.98885000000000001</v>
      </c>
      <c r="K1283" s="280">
        <v>86312.269142700025</v>
      </c>
      <c r="L1283" s="358">
        <v>99979.409347413806</v>
      </c>
      <c r="M1283" s="579">
        <v>1.1228499999999999</v>
      </c>
      <c r="N1283" s="469">
        <v>112261.87978574359</v>
      </c>
      <c r="O1283" s="469">
        <v>-25949.610643043561</v>
      </c>
    </row>
    <row r="1284" spans="3:15" ht="17.25">
      <c r="F1284" s="12"/>
      <c r="H1284" s="409"/>
      <c r="I1284" s="358"/>
      <c r="J1284" s="442"/>
      <c r="K1284" s="280"/>
      <c r="L1284" s="358"/>
      <c r="M1284" s="579"/>
      <c r="N1284" s="469"/>
      <c r="O1284" s="469"/>
    </row>
    <row r="1285" spans="3:15" ht="17.25">
      <c r="C1285" s="342" t="s">
        <v>338</v>
      </c>
      <c r="D1285" s="342"/>
      <c r="E1285" s="342"/>
      <c r="F1285" s="342"/>
      <c r="G1285" s="342"/>
      <c r="H1285" s="410">
        <v>2428.4</v>
      </c>
      <c r="I1285" s="407">
        <v>363682.26</v>
      </c>
      <c r="J1285" s="460">
        <v>0.99443333333333328</v>
      </c>
      <c r="K1285" s="413">
        <v>362848.23098350002</v>
      </c>
      <c r="L1285" s="407">
        <v>393555.23788861907</v>
      </c>
      <c r="M1285" s="580">
        <v>1.1457833333333332</v>
      </c>
      <c r="N1285" s="470">
        <v>452002.50736505334</v>
      </c>
      <c r="O1285" s="470">
        <v>-89154.27638155334</v>
      </c>
    </row>
    <row r="1286" spans="3:15" ht="17.25">
      <c r="F1286" s="12"/>
      <c r="H1286" s="409"/>
      <c r="I1286" s="358"/>
      <c r="J1286" s="442"/>
      <c r="K1286" s="280"/>
      <c r="L1286" s="358"/>
      <c r="M1286" s="579"/>
      <c r="N1286" s="469"/>
      <c r="O1286" s="469"/>
    </row>
    <row r="1287" spans="3:15" ht="17.25">
      <c r="C1287" s="12" t="s">
        <v>237</v>
      </c>
      <c r="F1287" s="12"/>
      <c r="H1287" s="409"/>
      <c r="I1287" s="358"/>
      <c r="J1287" s="442"/>
      <c r="K1287" s="280"/>
      <c r="L1287" s="358"/>
      <c r="M1287" s="579"/>
      <c r="N1287" s="469"/>
      <c r="O1287" s="469"/>
    </row>
    <row r="1288" spans="3:15" ht="17.25">
      <c r="D1288" s="361">
        <v>44596</v>
      </c>
      <c r="E1288" s="361"/>
      <c r="F1288" s="361"/>
      <c r="G1288" s="361"/>
      <c r="H1288" s="409"/>
      <c r="I1288" s="358"/>
      <c r="J1288" s="442"/>
      <c r="K1288" s="280"/>
      <c r="L1288" s="358"/>
      <c r="M1288" s="579"/>
      <c r="N1288" s="469"/>
      <c r="O1288" s="469"/>
    </row>
    <row r="1289" spans="3:15" ht="17.25">
      <c r="E1289" s="12" t="s">
        <v>339</v>
      </c>
      <c r="F1289" s="12"/>
      <c r="H1289" s="409"/>
      <c r="I1289" s="358"/>
      <c r="J1289" s="442"/>
      <c r="K1289" s="280"/>
      <c r="L1289" s="358"/>
      <c r="M1289" s="579"/>
      <c r="N1289" s="469"/>
      <c r="O1289" s="469"/>
    </row>
    <row r="1290" spans="3:15" ht="17.25">
      <c r="F1290" s="361">
        <v>43990</v>
      </c>
      <c r="G1290" s="361"/>
      <c r="H1290" s="409"/>
      <c r="I1290" s="358"/>
      <c r="J1290" s="442"/>
      <c r="K1290" s="280"/>
      <c r="L1290" s="358"/>
      <c r="M1290" s="579"/>
      <c r="N1290" s="469"/>
      <c r="O1290" s="469"/>
    </row>
    <row r="1291" spans="3:15" ht="17.25">
      <c r="F1291" s="12"/>
      <c r="G1291" s="112" t="s">
        <v>339</v>
      </c>
      <c r="H1291" s="409">
        <v>1215.94</v>
      </c>
      <c r="I1291" s="358">
        <v>21201471</v>
      </c>
      <c r="J1291" s="442">
        <v>8.6800000000000002E-3</v>
      </c>
      <c r="K1291" s="280">
        <v>184028.76828000002</v>
      </c>
      <c r="L1291" s="358">
        <v>17176920.487764705</v>
      </c>
      <c r="M1291" s="579">
        <v>9.2700000000000005E-3</v>
      </c>
      <c r="N1291" s="469">
        <v>159230.05292157881</v>
      </c>
      <c r="O1291" s="469">
        <v>24798.715358421206</v>
      </c>
    </row>
    <row r="1292" spans="3:15" ht="17.25">
      <c r="F1292" s="12"/>
      <c r="H1292" s="409"/>
      <c r="I1292" s="358"/>
      <c r="J1292" s="442"/>
      <c r="K1292" s="280"/>
      <c r="L1292" s="358"/>
      <c r="M1292" s="579"/>
      <c r="N1292" s="469"/>
      <c r="O1292" s="469"/>
    </row>
    <row r="1293" spans="3:15" ht="17.25">
      <c r="C1293" s="342" t="s">
        <v>340</v>
      </c>
      <c r="D1293" s="342"/>
      <c r="E1293" s="342"/>
      <c r="F1293" s="342"/>
      <c r="G1293" s="342"/>
      <c r="H1293" s="410">
        <v>1215.94</v>
      </c>
      <c r="I1293" s="407">
        <v>21201471</v>
      </c>
      <c r="J1293" s="460">
        <v>8.6800000000000002E-3</v>
      </c>
      <c r="K1293" s="413">
        <v>184028.76828000002</v>
      </c>
      <c r="L1293" s="407">
        <v>17176920.487764705</v>
      </c>
      <c r="M1293" s="580">
        <v>9.2700000000000005E-3</v>
      </c>
      <c r="N1293" s="470">
        <v>159230.05292157881</v>
      </c>
      <c r="O1293" s="470">
        <v>24798.715358421206</v>
      </c>
    </row>
    <row r="1294" spans="3:15" ht="17.25">
      <c r="F1294" s="12"/>
      <c r="H1294" s="409"/>
      <c r="I1294" s="358"/>
      <c r="J1294" s="442"/>
      <c r="K1294" s="280"/>
      <c r="L1294" s="358"/>
      <c r="M1294" s="579"/>
      <c r="N1294" s="469"/>
      <c r="O1294" s="469"/>
    </row>
    <row r="1295" spans="3:15" ht="17.25">
      <c r="C1295" s="12" t="s">
        <v>248</v>
      </c>
      <c r="F1295" s="12"/>
      <c r="H1295" s="409"/>
      <c r="I1295" s="358"/>
      <c r="J1295" s="442"/>
      <c r="K1295" s="280"/>
      <c r="L1295" s="358"/>
      <c r="M1295" s="579"/>
      <c r="N1295" s="469"/>
      <c r="O1295" s="469"/>
    </row>
    <row r="1296" spans="3:15" ht="17.25">
      <c r="D1296" s="361">
        <v>44572</v>
      </c>
      <c r="E1296" s="361"/>
      <c r="F1296" s="361"/>
      <c r="G1296" s="361"/>
      <c r="H1296" s="409"/>
      <c r="I1296" s="358"/>
      <c r="J1296" s="442"/>
      <c r="K1296" s="280"/>
      <c r="L1296" s="358"/>
      <c r="M1296" s="579"/>
      <c r="N1296" s="469"/>
      <c r="O1296" s="469"/>
    </row>
    <row r="1297" spans="4:15" ht="17.25">
      <c r="E1297" s="12" t="s">
        <v>33</v>
      </c>
      <c r="F1297" s="12"/>
      <c r="H1297" s="409"/>
      <c r="I1297" s="358"/>
      <c r="J1297" s="442"/>
      <c r="K1297" s="280"/>
      <c r="L1297" s="358"/>
      <c r="M1297" s="579"/>
      <c r="N1297" s="469"/>
      <c r="O1297" s="469"/>
    </row>
    <row r="1298" spans="4:15" ht="17.25">
      <c r="F1298" s="361">
        <v>43830</v>
      </c>
      <c r="G1298" s="361"/>
      <c r="H1298" s="409"/>
      <c r="I1298" s="358"/>
      <c r="J1298" s="442"/>
      <c r="K1298" s="280"/>
      <c r="L1298" s="358"/>
      <c r="M1298" s="579"/>
      <c r="N1298" s="469"/>
      <c r="O1298" s="469"/>
    </row>
    <row r="1299" spans="4:15" ht="17.25">
      <c r="F1299" s="12"/>
      <c r="G1299" s="112" t="s">
        <v>33</v>
      </c>
      <c r="H1299" s="409">
        <v>82.04</v>
      </c>
      <c r="I1299" s="358">
        <v>5520.7572926621151</v>
      </c>
      <c r="J1299" s="442">
        <v>1</v>
      </c>
      <c r="K1299" s="280">
        <v>5520.7572926621151</v>
      </c>
      <c r="L1299" s="358">
        <v>8204.1554041508498</v>
      </c>
      <c r="M1299" s="579">
        <v>1</v>
      </c>
      <c r="N1299" s="469">
        <v>8204.1554041508498</v>
      </c>
      <c r="O1299" s="469">
        <v>-2683.3981114887347</v>
      </c>
    </row>
    <row r="1300" spans="4:15" ht="17.25">
      <c r="F1300" s="12"/>
      <c r="H1300" s="409"/>
      <c r="I1300" s="358"/>
      <c r="J1300" s="442"/>
      <c r="K1300" s="280"/>
      <c r="L1300" s="358"/>
      <c r="M1300" s="579"/>
      <c r="N1300" s="469"/>
      <c r="O1300" s="469"/>
    </row>
    <row r="1301" spans="4:15" ht="17.25">
      <c r="D1301" s="361">
        <v>44644</v>
      </c>
      <c r="E1301" s="361"/>
      <c r="F1301" s="361"/>
      <c r="G1301" s="361"/>
      <c r="H1301" s="409"/>
      <c r="I1301" s="358"/>
      <c r="J1301" s="442"/>
      <c r="K1301" s="280"/>
      <c r="L1301" s="358"/>
      <c r="M1301" s="579"/>
      <c r="N1301" s="469"/>
      <c r="O1301" s="469"/>
    </row>
    <row r="1302" spans="4:15" ht="17.25">
      <c r="E1302" s="12" t="s">
        <v>33</v>
      </c>
      <c r="F1302" s="12"/>
      <c r="H1302" s="409"/>
      <c r="I1302" s="358"/>
      <c r="J1302" s="442"/>
      <c r="K1302" s="280"/>
      <c r="L1302" s="358"/>
      <c r="M1302" s="579"/>
      <c r="N1302" s="469"/>
      <c r="O1302" s="469"/>
    </row>
    <row r="1303" spans="4:15" ht="17.25">
      <c r="F1303" s="361">
        <v>43830</v>
      </c>
      <c r="G1303" s="361"/>
      <c r="H1303" s="409"/>
      <c r="I1303" s="358"/>
      <c r="J1303" s="442"/>
      <c r="K1303" s="280"/>
      <c r="L1303" s="358"/>
      <c r="M1303" s="579"/>
      <c r="N1303" s="469"/>
      <c r="O1303" s="469"/>
    </row>
    <row r="1304" spans="4:15" ht="17.25">
      <c r="F1304" s="12"/>
      <c r="G1304" s="112" t="s">
        <v>33</v>
      </c>
      <c r="H1304" s="409">
        <v>87.04</v>
      </c>
      <c r="I1304" s="358">
        <v>6018.5108527113971</v>
      </c>
      <c r="J1304" s="442">
        <v>1</v>
      </c>
      <c r="K1304" s="280">
        <v>6018.5108527113971</v>
      </c>
      <c r="L1304" s="358">
        <v>8703.9587794137788</v>
      </c>
      <c r="M1304" s="579">
        <v>1</v>
      </c>
      <c r="N1304" s="469">
        <v>8703.9587794137788</v>
      </c>
      <c r="O1304" s="469">
        <v>-2685.4479267023817</v>
      </c>
    </row>
    <row r="1305" spans="4:15" ht="17.25">
      <c r="F1305" s="12"/>
      <c r="H1305" s="409"/>
      <c r="I1305" s="358"/>
      <c r="J1305" s="442"/>
      <c r="K1305" s="280"/>
      <c r="L1305" s="358"/>
      <c r="M1305" s="579"/>
      <c r="N1305" s="469"/>
      <c r="O1305" s="469"/>
    </row>
    <row r="1306" spans="4:15" ht="17.25">
      <c r="D1306" s="361">
        <v>44778</v>
      </c>
      <c r="E1306" s="361"/>
      <c r="F1306" s="361"/>
      <c r="G1306" s="361"/>
      <c r="H1306" s="409"/>
      <c r="I1306" s="358"/>
      <c r="J1306" s="442"/>
      <c r="K1306" s="280"/>
      <c r="L1306" s="358"/>
      <c r="M1306" s="579"/>
      <c r="N1306" s="469"/>
      <c r="O1306" s="469"/>
    </row>
    <row r="1307" spans="4:15" ht="17.25">
      <c r="E1307" s="12" t="s">
        <v>33</v>
      </c>
      <c r="F1307" s="12"/>
      <c r="H1307" s="409"/>
      <c r="I1307" s="358"/>
      <c r="J1307" s="442"/>
      <c r="K1307" s="280"/>
      <c r="L1307" s="358"/>
      <c r="M1307" s="579"/>
      <c r="N1307" s="469"/>
      <c r="O1307" s="469"/>
    </row>
    <row r="1308" spans="4:15" ht="17.25">
      <c r="F1308" s="361">
        <v>43830</v>
      </c>
      <c r="G1308" s="361"/>
      <c r="H1308" s="409"/>
      <c r="I1308" s="358"/>
      <c r="J1308" s="442"/>
      <c r="K1308" s="280"/>
      <c r="L1308" s="358"/>
      <c r="M1308" s="579"/>
      <c r="N1308" s="469"/>
      <c r="O1308" s="469"/>
    </row>
    <row r="1309" spans="4:15" ht="17.25">
      <c r="F1309" s="12"/>
      <c r="G1309" s="112" t="s">
        <v>33</v>
      </c>
      <c r="H1309" s="409">
        <v>21.66</v>
      </c>
      <c r="I1309" s="358">
        <v>1640.2699999999998</v>
      </c>
      <c r="J1309" s="442">
        <v>1</v>
      </c>
      <c r="K1309" s="280">
        <v>1640.2699999999998</v>
      </c>
      <c r="L1309" s="358">
        <v>2166.0146274900039</v>
      </c>
      <c r="M1309" s="579">
        <v>1</v>
      </c>
      <c r="N1309" s="469">
        <v>2166.0146274900039</v>
      </c>
      <c r="O1309" s="469">
        <v>-525.74462749000418</v>
      </c>
    </row>
    <row r="1310" spans="4:15" ht="17.25">
      <c r="F1310" s="12"/>
      <c r="H1310" s="409"/>
      <c r="I1310" s="358"/>
      <c r="J1310" s="442"/>
      <c r="K1310" s="280"/>
      <c r="L1310" s="358"/>
      <c r="M1310" s="579"/>
      <c r="N1310" s="469"/>
      <c r="O1310" s="469"/>
    </row>
    <row r="1311" spans="4:15" ht="17.25">
      <c r="D1311" s="361">
        <v>44834</v>
      </c>
      <c r="E1311" s="361"/>
      <c r="F1311" s="361"/>
      <c r="G1311" s="361"/>
      <c r="H1311" s="409"/>
      <c r="I1311" s="358"/>
      <c r="J1311" s="442"/>
      <c r="K1311" s="280"/>
      <c r="L1311" s="358"/>
      <c r="M1311" s="579"/>
      <c r="N1311" s="469"/>
      <c r="O1311" s="469"/>
    </row>
    <row r="1312" spans="4:15" ht="17.25">
      <c r="E1312" s="12" t="s">
        <v>33</v>
      </c>
      <c r="F1312" s="12"/>
      <c r="H1312" s="409"/>
      <c r="I1312" s="358"/>
      <c r="J1312" s="442"/>
      <c r="K1312" s="280"/>
      <c r="L1312" s="358"/>
      <c r="M1312" s="579"/>
      <c r="N1312" s="469"/>
      <c r="O1312" s="469"/>
    </row>
    <row r="1313" spans="3:15" ht="17.25">
      <c r="F1313" s="361">
        <v>43830</v>
      </c>
      <c r="G1313" s="361"/>
      <c r="H1313" s="409"/>
      <c r="I1313" s="358"/>
      <c r="J1313" s="442"/>
      <c r="K1313" s="280"/>
      <c r="L1313" s="358"/>
      <c r="M1313" s="579"/>
      <c r="N1313" s="469"/>
      <c r="O1313" s="469"/>
    </row>
    <row r="1314" spans="3:15" ht="17.25">
      <c r="F1314" s="12"/>
      <c r="G1314" s="112" t="s">
        <v>33</v>
      </c>
      <c r="H1314" s="409">
        <v>21.03396</v>
      </c>
      <c r="I1314" s="358">
        <v>1401.55</v>
      </c>
      <c r="J1314" s="442">
        <v>1</v>
      </c>
      <c r="K1314" s="280">
        <v>1401.55</v>
      </c>
      <c r="L1314" s="358">
        <v>2103.4102047109718</v>
      </c>
      <c r="M1314" s="579">
        <v>1</v>
      </c>
      <c r="N1314" s="469">
        <v>2103.4102047109718</v>
      </c>
      <c r="O1314" s="469">
        <v>-701.86020471097186</v>
      </c>
    </row>
    <row r="1315" spans="3:15" ht="17.25">
      <c r="F1315" s="12"/>
      <c r="H1315" s="409"/>
      <c r="I1315" s="358"/>
      <c r="J1315" s="442"/>
      <c r="K1315" s="280"/>
      <c r="L1315" s="358"/>
      <c r="M1315" s="579"/>
      <c r="N1315" s="469"/>
      <c r="O1315" s="469"/>
    </row>
    <row r="1316" spans="3:15" ht="17.25">
      <c r="C1316" s="342" t="s">
        <v>341</v>
      </c>
      <c r="D1316" s="342"/>
      <c r="E1316" s="342"/>
      <c r="F1316" s="342"/>
      <c r="G1316" s="342"/>
      <c r="H1316" s="410">
        <v>211.77396000000002</v>
      </c>
      <c r="I1316" s="407">
        <v>14581.088145373513</v>
      </c>
      <c r="J1316" s="460">
        <v>1</v>
      </c>
      <c r="K1316" s="413">
        <v>14581.088145373513</v>
      </c>
      <c r="L1316" s="407">
        <v>21177.5390157656</v>
      </c>
      <c r="M1316" s="580">
        <v>1</v>
      </c>
      <c r="N1316" s="470">
        <v>21177.5390157656</v>
      </c>
      <c r="O1316" s="470">
        <v>-6596.4508703920919</v>
      </c>
    </row>
    <row r="1317" spans="3:15" ht="17.25">
      <c r="F1317" s="12"/>
      <c r="H1317" s="409"/>
      <c r="I1317" s="358"/>
      <c r="J1317" s="442"/>
      <c r="K1317" s="280"/>
      <c r="L1317" s="358"/>
      <c r="M1317" s="579"/>
      <c r="N1317" s="469"/>
      <c r="O1317" s="469"/>
    </row>
    <row r="1318" spans="3:15" ht="17.25">
      <c r="C1318" s="12" t="s">
        <v>238</v>
      </c>
      <c r="F1318" s="12"/>
      <c r="H1318" s="409"/>
      <c r="I1318" s="358"/>
      <c r="J1318" s="442"/>
      <c r="K1318" s="280"/>
      <c r="L1318" s="358"/>
      <c r="M1318" s="579"/>
      <c r="N1318" s="469"/>
      <c r="O1318" s="469"/>
    </row>
    <row r="1319" spans="3:15" ht="17.25">
      <c r="D1319" s="361">
        <v>44588</v>
      </c>
      <c r="E1319" s="361"/>
      <c r="F1319" s="361"/>
      <c r="G1319" s="361"/>
      <c r="H1319" s="409"/>
      <c r="I1319" s="358"/>
      <c r="J1319" s="442"/>
      <c r="K1319" s="280"/>
      <c r="L1319" s="358"/>
      <c r="M1319" s="579"/>
      <c r="N1319" s="469"/>
      <c r="O1319" s="469"/>
    </row>
    <row r="1320" spans="3:15" ht="17.25">
      <c r="E1320" s="12" t="s">
        <v>33</v>
      </c>
      <c r="F1320" s="12"/>
      <c r="H1320" s="409"/>
      <c r="I1320" s="358"/>
      <c r="J1320" s="442"/>
      <c r="K1320" s="280"/>
      <c r="L1320" s="358"/>
      <c r="M1320" s="579"/>
      <c r="N1320" s="469"/>
      <c r="O1320" s="469"/>
    </row>
    <row r="1321" spans="3:15" ht="17.25">
      <c r="F1321" s="361">
        <v>44357</v>
      </c>
      <c r="G1321" s="361"/>
      <c r="H1321" s="409"/>
      <c r="I1321" s="358"/>
      <c r="J1321" s="442"/>
      <c r="K1321" s="280"/>
      <c r="L1321" s="358"/>
      <c r="M1321" s="579"/>
      <c r="N1321" s="469"/>
      <c r="O1321" s="469"/>
    </row>
    <row r="1322" spans="3:15" ht="17.25">
      <c r="F1322" s="12"/>
      <c r="G1322" s="112" t="s">
        <v>33</v>
      </c>
      <c r="H1322" s="409">
        <v>78055.053</v>
      </c>
      <c r="I1322" s="358">
        <v>92424.99</v>
      </c>
      <c r="J1322" s="442">
        <v>1</v>
      </c>
      <c r="K1322" s="280">
        <v>92424.99</v>
      </c>
      <c r="L1322" s="358">
        <v>93236.76</v>
      </c>
      <c r="M1322" s="579">
        <v>1</v>
      </c>
      <c r="N1322" s="469">
        <v>93236.76</v>
      </c>
      <c r="O1322" s="469">
        <v>-811.76999999998952</v>
      </c>
    </row>
    <row r="1323" spans="3:15" ht="17.25">
      <c r="F1323" s="12"/>
      <c r="H1323" s="409"/>
      <c r="I1323" s="358"/>
      <c r="J1323" s="442"/>
      <c r="K1323" s="280"/>
      <c r="L1323" s="358"/>
      <c r="M1323" s="579"/>
      <c r="N1323" s="469"/>
      <c r="O1323" s="469"/>
    </row>
    <row r="1324" spans="3:15" ht="17.25">
      <c r="C1324" s="342" t="s">
        <v>342</v>
      </c>
      <c r="D1324" s="342"/>
      <c r="E1324" s="342"/>
      <c r="F1324" s="342"/>
      <c r="G1324" s="342"/>
      <c r="H1324" s="410">
        <v>78055.053</v>
      </c>
      <c r="I1324" s="407">
        <v>92424.99</v>
      </c>
      <c r="J1324" s="460">
        <v>1</v>
      </c>
      <c r="K1324" s="413">
        <v>92424.99</v>
      </c>
      <c r="L1324" s="407">
        <v>93236.76</v>
      </c>
      <c r="M1324" s="580">
        <v>1</v>
      </c>
      <c r="N1324" s="470">
        <v>93236.76</v>
      </c>
      <c r="O1324" s="470">
        <v>-811.76999999998952</v>
      </c>
    </row>
    <row r="1325" spans="3:15" ht="17.25">
      <c r="F1325" s="12"/>
      <c r="H1325" s="409"/>
      <c r="I1325" s="358"/>
      <c r="J1325" s="442"/>
      <c r="K1325" s="280"/>
      <c r="L1325" s="358"/>
      <c r="M1325" s="579"/>
      <c r="N1325" s="469"/>
      <c r="O1325" s="469"/>
    </row>
    <row r="1326" spans="3:15" ht="17.25">
      <c r="C1326" s="12" t="s">
        <v>250</v>
      </c>
      <c r="F1326" s="12"/>
      <c r="H1326" s="409"/>
      <c r="I1326" s="358"/>
      <c r="J1326" s="442"/>
      <c r="K1326" s="280"/>
      <c r="L1326" s="358"/>
      <c r="M1326" s="579"/>
      <c r="N1326" s="469"/>
      <c r="O1326" s="469"/>
    </row>
    <row r="1327" spans="3:15" ht="17.25">
      <c r="D1327" s="361">
        <v>44714</v>
      </c>
      <c r="E1327" s="361"/>
      <c r="F1327" s="361"/>
      <c r="G1327" s="361"/>
      <c r="H1327" s="409"/>
      <c r="I1327" s="358"/>
      <c r="J1327" s="442"/>
      <c r="K1327" s="280"/>
      <c r="L1327" s="358"/>
      <c r="M1327" s="579"/>
      <c r="N1327" s="469"/>
      <c r="O1327" s="469"/>
    </row>
    <row r="1328" spans="3:15" ht="17.25">
      <c r="E1328" s="12" t="s">
        <v>33</v>
      </c>
      <c r="F1328" s="12"/>
      <c r="H1328" s="409"/>
      <c r="I1328" s="358"/>
      <c r="J1328" s="442"/>
      <c r="K1328" s="280"/>
      <c r="L1328" s="358"/>
      <c r="M1328" s="579"/>
      <c r="N1328" s="469"/>
      <c r="O1328" s="469"/>
    </row>
    <row r="1329" spans="3:15" ht="17.25">
      <c r="F1329" s="361">
        <v>44469</v>
      </c>
      <c r="G1329" s="361"/>
      <c r="H1329" s="409"/>
      <c r="I1329" s="358"/>
      <c r="J1329" s="442"/>
      <c r="K1329" s="280"/>
      <c r="L1329" s="358"/>
      <c r="M1329" s="579"/>
      <c r="N1329" s="469"/>
      <c r="O1329" s="469"/>
    </row>
    <row r="1330" spans="3:15" ht="17.25">
      <c r="F1330" s="12"/>
      <c r="G1330" s="112" t="s">
        <v>33</v>
      </c>
      <c r="H1330" s="409">
        <v>4810.6499999999996</v>
      </c>
      <c r="I1330" s="358">
        <v>4810.6499999999996</v>
      </c>
      <c r="J1330" s="442">
        <v>1</v>
      </c>
      <c r="K1330" s="280">
        <v>4810.6499999999996</v>
      </c>
      <c r="L1330" s="358">
        <v>4522.0110000000004</v>
      </c>
      <c r="M1330" s="579">
        <v>1</v>
      </c>
      <c r="N1330" s="469">
        <v>4522.0110000000004</v>
      </c>
      <c r="O1330" s="469">
        <v>288.63899999999921</v>
      </c>
    </row>
    <row r="1331" spans="3:15" ht="17.25">
      <c r="F1331" s="12"/>
      <c r="H1331" s="409"/>
      <c r="I1331" s="358"/>
      <c r="J1331" s="442"/>
      <c r="K1331" s="280"/>
      <c r="L1331" s="358"/>
      <c r="M1331" s="579"/>
      <c r="N1331" s="469"/>
      <c r="O1331" s="469"/>
    </row>
    <row r="1332" spans="3:15" ht="17.25">
      <c r="C1332" s="342" t="s">
        <v>343</v>
      </c>
      <c r="D1332" s="342"/>
      <c r="E1332" s="342"/>
      <c r="F1332" s="342"/>
      <c r="G1332" s="342"/>
      <c r="H1332" s="410">
        <v>4810.6499999999996</v>
      </c>
      <c r="I1332" s="407">
        <v>4810.6499999999996</v>
      </c>
      <c r="J1332" s="460">
        <v>1</v>
      </c>
      <c r="K1332" s="413">
        <v>4810.6499999999996</v>
      </c>
      <c r="L1332" s="407">
        <v>4522.0110000000004</v>
      </c>
      <c r="M1332" s="580">
        <v>1</v>
      </c>
      <c r="N1332" s="470">
        <v>4522.0110000000004</v>
      </c>
      <c r="O1332" s="470">
        <v>288.63899999999921</v>
      </c>
    </row>
    <row r="1333" spans="3:15" ht="17.25">
      <c r="F1333" s="12"/>
      <c r="H1333" s="409"/>
      <c r="I1333" s="358"/>
      <c r="J1333" s="442"/>
      <c r="K1333" s="280"/>
      <c r="L1333" s="358"/>
      <c r="M1333" s="579"/>
      <c r="N1333" s="469"/>
      <c r="O1333" s="469"/>
    </row>
    <row r="1334" spans="3:15" ht="17.25">
      <c r="C1334" s="12" t="s">
        <v>251</v>
      </c>
      <c r="F1334" s="12"/>
      <c r="H1334" s="409"/>
      <c r="I1334" s="358"/>
      <c r="J1334" s="442"/>
      <c r="K1334" s="280"/>
      <c r="L1334" s="358"/>
      <c r="M1334" s="579"/>
      <c r="N1334" s="469"/>
      <c r="O1334" s="469"/>
    </row>
    <row r="1335" spans="3:15" ht="17.25">
      <c r="D1335" s="361">
        <v>44728</v>
      </c>
      <c r="E1335" s="361"/>
      <c r="F1335" s="361"/>
      <c r="G1335" s="361"/>
      <c r="H1335" s="409"/>
      <c r="I1335" s="358"/>
      <c r="J1335" s="442"/>
      <c r="K1335" s="280"/>
      <c r="L1335" s="358"/>
      <c r="M1335" s="579"/>
      <c r="N1335" s="469"/>
      <c r="O1335" s="469"/>
    </row>
    <row r="1336" spans="3:15" ht="17.25">
      <c r="E1336" s="12" t="s">
        <v>33</v>
      </c>
      <c r="F1336" s="12"/>
      <c r="H1336" s="409"/>
      <c r="I1336" s="358"/>
      <c r="J1336" s="442"/>
      <c r="K1336" s="280"/>
      <c r="L1336" s="358"/>
      <c r="M1336" s="579"/>
      <c r="N1336" s="469"/>
      <c r="O1336" s="469"/>
    </row>
    <row r="1337" spans="3:15" ht="17.25">
      <c r="F1337" s="361">
        <v>44408</v>
      </c>
      <c r="G1337" s="361"/>
      <c r="H1337" s="409"/>
      <c r="I1337" s="358"/>
      <c r="J1337" s="442"/>
      <c r="K1337" s="280"/>
      <c r="L1337" s="358"/>
      <c r="M1337" s="579"/>
      <c r="N1337" s="469"/>
      <c r="O1337" s="469"/>
    </row>
    <row r="1338" spans="3:15" ht="17.25">
      <c r="F1338" s="12"/>
      <c r="G1338" s="112" t="s">
        <v>33</v>
      </c>
      <c r="H1338" s="409">
        <v>3888.24</v>
      </c>
      <c r="I1338" s="358">
        <v>3888.24</v>
      </c>
      <c r="J1338" s="442">
        <v>1</v>
      </c>
      <c r="K1338" s="280">
        <v>3888.24</v>
      </c>
      <c r="L1338" s="358">
        <v>3888.24</v>
      </c>
      <c r="M1338" s="579">
        <v>1</v>
      </c>
      <c r="N1338" s="469">
        <v>3888.24</v>
      </c>
      <c r="O1338" s="469">
        <v>0</v>
      </c>
    </row>
    <row r="1339" spans="3:15" ht="17.25">
      <c r="F1339" s="12"/>
      <c r="H1339" s="409"/>
      <c r="I1339" s="358"/>
      <c r="J1339" s="442"/>
      <c r="K1339" s="280"/>
      <c r="L1339" s="358"/>
      <c r="M1339" s="579"/>
      <c r="N1339" s="469"/>
      <c r="O1339" s="469"/>
    </row>
    <row r="1340" spans="3:15" ht="17.25">
      <c r="C1340" s="342" t="s">
        <v>344</v>
      </c>
      <c r="D1340" s="342"/>
      <c r="E1340" s="342"/>
      <c r="F1340" s="342"/>
      <c r="G1340" s="342"/>
      <c r="H1340" s="410">
        <v>3888.24</v>
      </c>
      <c r="I1340" s="407">
        <v>3888.24</v>
      </c>
      <c r="J1340" s="460">
        <v>1</v>
      </c>
      <c r="K1340" s="413">
        <v>3888.24</v>
      </c>
      <c r="L1340" s="407">
        <v>3888.24</v>
      </c>
      <c r="M1340" s="580">
        <v>1</v>
      </c>
      <c r="N1340" s="470">
        <v>3888.24</v>
      </c>
      <c r="O1340" s="470">
        <v>0</v>
      </c>
    </row>
    <row r="1341" spans="3:15" ht="17.25">
      <c r="F1341" s="12"/>
      <c r="H1341" s="409"/>
      <c r="I1341" s="358"/>
      <c r="J1341" s="442"/>
      <c r="K1341" s="280"/>
      <c r="L1341" s="358"/>
      <c r="M1341" s="579"/>
      <c r="N1341" s="469"/>
      <c r="O1341" s="469"/>
    </row>
    <row r="1342" spans="3:15" ht="17.25">
      <c r="C1342" s="12" t="s">
        <v>252</v>
      </c>
      <c r="F1342" s="12"/>
      <c r="H1342" s="409"/>
      <c r="I1342" s="358"/>
      <c r="J1342" s="442"/>
      <c r="K1342" s="280"/>
      <c r="L1342" s="358"/>
      <c r="M1342" s="579"/>
      <c r="N1342" s="469"/>
      <c r="O1342" s="469"/>
    </row>
    <row r="1343" spans="3:15" ht="17.25">
      <c r="D1343" s="361">
        <v>44733</v>
      </c>
      <c r="E1343" s="361"/>
      <c r="F1343" s="361"/>
      <c r="G1343" s="361"/>
      <c r="H1343" s="409"/>
      <c r="I1343" s="358"/>
      <c r="J1343" s="442"/>
      <c r="K1343" s="280"/>
      <c r="L1343" s="358"/>
      <c r="M1343" s="579"/>
      <c r="N1343" s="469"/>
      <c r="O1343" s="469"/>
    </row>
    <row r="1344" spans="3:15" ht="17.25">
      <c r="E1344" s="12" t="s">
        <v>337</v>
      </c>
      <c r="F1344" s="12"/>
      <c r="H1344" s="409"/>
      <c r="I1344" s="358"/>
      <c r="J1344" s="442"/>
      <c r="K1344" s="280"/>
      <c r="L1344" s="358"/>
      <c r="M1344" s="579"/>
      <c r="N1344" s="469"/>
      <c r="O1344" s="469"/>
    </row>
    <row r="1345" spans="3:15" ht="17.25">
      <c r="F1345" s="361">
        <v>44315</v>
      </c>
      <c r="G1345" s="361"/>
      <c r="H1345" s="409"/>
      <c r="I1345" s="358"/>
      <c r="J1345" s="442"/>
      <c r="K1345" s="280"/>
      <c r="L1345" s="358"/>
      <c r="M1345" s="579"/>
      <c r="N1345" s="469"/>
      <c r="O1345" s="469"/>
    </row>
    <row r="1346" spans="3:15" ht="17.25">
      <c r="F1346" s="12"/>
      <c r="G1346" s="112" t="s">
        <v>337</v>
      </c>
      <c r="H1346" s="409">
        <v>645.65</v>
      </c>
      <c r="I1346" s="358">
        <v>64825.262490218855</v>
      </c>
      <c r="J1346" s="442">
        <v>1.0454000000000001</v>
      </c>
      <c r="K1346" s="280">
        <v>67768.329407274796</v>
      </c>
      <c r="L1346" s="358">
        <v>96422.940775944124</v>
      </c>
      <c r="M1346" s="579">
        <v>1.2040500000000001</v>
      </c>
      <c r="N1346" s="469">
        <v>116098.04184127552</v>
      </c>
      <c r="O1346" s="469">
        <v>-48329.712434000729</v>
      </c>
    </row>
    <row r="1347" spans="3:15" ht="17.25">
      <c r="F1347" s="12"/>
      <c r="H1347" s="409"/>
      <c r="I1347" s="358"/>
      <c r="J1347" s="442"/>
      <c r="K1347" s="280"/>
      <c r="L1347" s="358"/>
      <c r="M1347" s="579"/>
      <c r="N1347" s="469"/>
      <c r="O1347" s="469"/>
    </row>
    <row r="1348" spans="3:15" ht="17.25">
      <c r="F1348" s="361">
        <v>44357</v>
      </c>
      <c r="G1348" s="361"/>
      <c r="H1348" s="409"/>
      <c r="I1348" s="358"/>
      <c r="J1348" s="442"/>
      <c r="K1348" s="280"/>
      <c r="L1348" s="358"/>
      <c r="M1348" s="579"/>
      <c r="N1348" s="469"/>
      <c r="O1348" s="469"/>
    </row>
    <row r="1349" spans="3:15" ht="17.25">
      <c r="F1349" s="12"/>
      <c r="G1349" s="112" t="s">
        <v>337</v>
      </c>
      <c r="H1349" s="409">
        <v>859.57</v>
      </c>
      <c r="I1349" s="358">
        <v>86303.493965333269</v>
      </c>
      <c r="J1349" s="442">
        <v>1.0454000000000001</v>
      </c>
      <c r="K1349" s="280">
        <v>90221.672591359413</v>
      </c>
      <c r="L1349" s="358">
        <v>133641.62</v>
      </c>
      <c r="M1349" s="579">
        <v>1.1856</v>
      </c>
      <c r="N1349" s="469">
        <v>158445.50467199998</v>
      </c>
      <c r="O1349" s="469">
        <v>-68223.832080640568</v>
      </c>
    </row>
    <row r="1350" spans="3:15" ht="17.25">
      <c r="F1350" s="12"/>
      <c r="H1350" s="409"/>
      <c r="I1350" s="358"/>
      <c r="J1350" s="442"/>
      <c r="K1350" s="280"/>
      <c r="L1350" s="358"/>
      <c r="M1350" s="579"/>
      <c r="N1350" s="469"/>
      <c r="O1350" s="469"/>
    </row>
    <row r="1351" spans="3:15" ht="17.25">
      <c r="F1351" s="361">
        <v>44490</v>
      </c>
      <c r="G1351" s="361"/>
      <c r="H1351" s="409"/>
      <c r="I1351" s="358"/>
      <c r="J1351" s="442"/>
      <c r="K1351" s="280"/>
      <c r="L1351" s="358"/>
      <c r="M1351" s="579"/>
      <c r="N1351" s="469"/>
      <c r="O1351" s="469"/>
    </row>
    <row r="1352" spans="3:15" ht="17.25">
      <c r="F1352" s="12"/>
      <c r="G1352" s="112" t="s">
        <v>337</v>
      </c>
      <c r="H1352" s="409">
        <v>603.42999999999995</v>
      </c>
      <c r="I1352" s="358">
        <v>60586.243544447861</v>
      </c>
      <c r="J1352" s="442">
        <v>1.0454000000000001</v>
      </c>
      <c r="K1352" s="280">
        <v>63336.859001365803</v>
      </c>
      <c r="L1352" s="358">
        <v>97516.011458794746</v>
      </c>
      <c r="M1352" s="579">
        <v>1.1572499999999999</v>
      </c>
      <c r="N1352" s="469">
        <v>112850.40426069021</v>
      </c>
      <c r="O1352" s="469">
        <v>-49513.545259324404</v>
      </c>
    </row>
    <row r="1353" spans="3:15" ht="17.25">
      <c r="F1353" s="12"/>
      <c r="H1353" s="409"/>
      <c r="I1353" s="358"/>
      <c r="J1353" s="442"/>
      <c r="K1353" s="280"/>
      <c r="L1353" s="358"/>
      <c r="M1353" s="579"/>
      <c r="N1353" s="469"/>
      <c r="O1353" s="469"/>
    </row>
    <row r="1354" spans="3:15" ht="17.25">
      <c r="C1354" s="342" t="s">
        <v>345</v>
      </c>
      <c r="D1354" s="342"/>
      <c r="E1354" s="342"/>
      <c r="F1354" s="342"/>
      <c r="G1354" s="342"/>
      <c r="H1354" s="410">
        <v>2108.65</v>
      </c>
      <c r="I1354" s="407">
        <v>211715</v>
      </c>
      <c r="J1354" s="460">
        <v>1.0454000000000001</v>
      </c>
      <c r="K1354" s="413">
        <v>221326.861</v>
      </c>
      <c r="L1354" s="407">
        <v>327580.57223473885</v>
      </c>
      <c r="M1354" s="580">
        <v>1.1822999999999999</v>
      </c>
      <c r="N1354" s="470">
        <v>387393.95077396568</v>
      </c>
      <c r="O1354" s="470">
        <v>-166067.08977396571</v>
      </c>
    </row>
    <row r="1355" spans="3:15" ht="17.25">
      <c r="F1355" s="12"/>
      <c r="H1355" s="409"/>
      <c r="I1355" s="358"/>
      <c r="J1355" s="442"/>
      <c r="K1355" s="280"/>
      <c r="L1355" s="358"/>
      <c r="M1355" s="579"/>
      <c r="N1355" s="469"/>
      <c r="O1355" s="469"/>
    </row>
    <row r="1356" spans="3:15" ht="17.25">
      <c r="C1356" s="12" t="s">
        <v>247</v>
      </c>
      <c r="F1356" s="12"/>
      <c r="H1356" s="409"/>
      <c r="I1356" s="358"/>
      <c r="J1356" s="442"/>
      <c r="K1356" s="280"/>
      <c r="L1356" s="358"/>
      <c r="M1356" s="579"/>
      <c r="N1356" s="469"/>
      <c r="O1356" s="469"/>
    </row>
    <row r="1357" spans="3:15" ht="17.25">
      <c r="D1357" s="361">
        <v>44706</v>
      </c>
      <c r="E1357" s="361"/>
      <c r="F1357" s="361"/>
      <c r="G1357" s="361"/>
      <c r="H1357" s="409"/>
      <c r="I1357" s="358"/>
      <c r="J1357" s="442"/>
      <c r="K1357" s="280"/>
      <c r="L1357" s="358"/>
      <c r="M1357" s="579"/>
      <c r="N1357" s="469"/>
      <c r="O1357" s="469"/>
    </row>
    <row r="1358" spans="3:15" ht="17.25">
      <c r="E1358" s="12" t="s">
        <v>337</v>
      </c>
      <c r="F1358" s="12"/>
      <c r="H1358" s="409"/>
      <c r="I1358" s="358"/>
      <c r="J1358" s="442"/>
      <c r="K1358" s="280"/>
      <c r="L1358" s="358"/>
      <c r="M1358" s="579"/>
      <c r="N1358" s="469"/>
      <c r="O1358" s="469"/>
    </row>
    <row r="1359" spans="3:15" ht="17.25">
      <c r="F1359" s="361">
        <v>43936</v>
      </c>
      <c r="G1359" s="361"/>
      <c r="H1359" s="409"/>
      <c r="I1359" s="358"/>
      <c r="J1359" s="442"/>
      <c r="K1359" s="280"/>
      <c r="L1359" s="358"/>
      <c r="M1359" s="579"/>
      <c r="N1359" s="469"/>
      <c r="O1359" s="469"/>
    </row>
    <row r="1360" spans="3:15" ht="17.25">
      <c r="F1360" s="12"/>
      <c r="G1360" s="112" t="s">
        <v>337</v>
      </c>
      <c r="H1360" s="409">
        <v>257.10000000000002</v>
      </c>
      <c r="I1360" s="358">
        <v>39650.454510192452</v>
      </c>
      <c r="J1360" s="442">
        <v>1.07115</v>
      </c>
      <c r="K1360" s="280">
        <v>42471.584348592645</v>
      </c>
      <c r="L1360" s="358">
        <v>27856.331364455556</v>
      </c>
      <c r="M1360" s="579">
        <v>1.0948</v>
      </c>
      <c r="N1360" s="469">
        <v>30497.111577805943</v>
      </c>
      <c r="O1360" s="469">
        <v>11974.472770786702</v>
      </c>
    </row>
    <row r="1361" spans="3:15" ht="17.25">
      <c r="F1361" s="12"/>
      <c r="H1361" s="409"/>
      <c r="I1361" s="358"/>
      <c r="J1361" s="442"/>
      <c r="K1361" s="280"/>
      <c r="L1361" s="358"/>
      <c r="M1361" s="579"/>
      <c r="N1361" s="469"/>
      <c r="O1361" s="469"/>
    </row>
    <row r="1362" spans="3:15" ht="17.25">
      <c r="F1362" s="361">
        <v>43987</v>
      </c>
      <c r="G1362" s="361"/>
      <c r="H1362" s="409"/>
      <c r="I1362" s="358"/>
      <c r="J1362" s="442"/>
      <c r="K1362" s="280"/>
      <c r="L1362" s="358"/>
      <c r="M1362" s="579"/>
      <c r="N1362" s="469"/>
      <c r="O1362" s="469"/>
    </row>
    <row r="1363" spans="3:15" ht="17.25">
      <c r="F1363" s="12"/>
      <c r="G1363" s="112" t="s">
        <v>337</v>
      </c>
      <c r="H1363" s="409">
        <v>178.02</v>
      </c>
      <c r="I1363" s="358">
        <v>27454.585421643176</v>
      </c>
      <c r="J1363" s="442">
        <v>1.07115</v>
      </c>
      <c r="K1363" s="280">
        <v>29407.979174393091</v>
      </c>
      <c r="L1363" s="358">
        <v>22413.95</v>
      </c>
      <c r="M1363" s="579">
        <v>1.1228499999999999</v>
      </c>
      <c r="N1363" s="469">
        <v>25167.503757499999</v>
      </c>
      <c r="O1363" s="469">
        <v>4240.4754168930922</v>
      </c>
    </row>
    <row r="1364" spans="3:15" ht="17.25">
      <c r="F1364" s="12"/>
      <c r="H1364" s="409"/>
      <c r="I1364" s="358"/>
      <c r="J1364" s="442"/>
      <c r="K1364" s="280"/>
      <c r="L1364" s="358"/>
      <c r="M1364" s="579"/>
      <c r="N1364" s="469"/>
      <c r="O1364" s="469"/>
    </row>
    <row r="1365" spans="3:15" ht="17.25">
      <c r="F1365" s="361">
        <v>44301</v>
      </c>
      <c r="G1365" s="361"/>
      <c r="H1365" s="409"/>
      <c r="I1365" s="358"/>
      <c r="J1365" s="442"/>
      <c r="K1365" s="280"/>
      <c r="L1365" s="358"/>
      <c r="M1365" s="579"/>
      <c r="N1365" s="469"/>
      <c r="O1365" s="469"/>
    </row>
    <row r="1366" spans="3:15" ht="17.25">
      <c r="F1366" s="12"/>
      <c r="G1366" s="112" t="s">
        <v>337</v>
      </c>
      <c r="H1366" s="409">
        <v>853.05</v>
      </c>
      <c r="I1366" s="358">
        <v>131559.00513387658</v>
      </c>
      <c r="J1366" s="442">
        <v>1.07115</v>
      </c>
      <c r="K1366" s="280">
        <v>140919.42834915189</v>
      </c>
      <c r="L1366" s="358">
        <v>127070.74000000002</v>
      </c>
      <c r="M1366" s="579">
        <v>1.2040500000000001</v>
      </c>
      <c r="N1366" s="469">
        <v>152999.52449700003</v>
      </c>
      <c r="O1366" s="469">
        <v>-12080.096147848148</v>
      </c>
    </row>
    <row r="1367" spans="3:15" ht="17.25">
      <c r="F1367" s="12"/>
      <c r="H1367" s="409"/>
      <c r="I1367" s="358"/>
      <c r="J1367" s="442"/>
      <c r="K1367" s="280"/>
      <c r="L1367" s="358"/>
      <c r="M1367" s="579"/>
      <c r="N1367" s="469"/>
      <c r="O1367" s="469"/>
    </row>
    <row r="1368" spans="3:15" ht="17.25">
      <c r="F1368" s="361">
        <v>44315</v>
      </c>
      <c r="G1368" s="361"/>
      <c r="H1368" s="409"/>
      <c r="I1368" s="358"/>
      <c r="J1368" s="442"/>
      <c r="K1368" s="280"/>
      <c r="L1368" s="358"/>
      <c r="M1368" s="579"/>
      <c r="N1368" s="469"/>
      <c r="O1368" s="469"/>
    </row>
    <row r="1369" spans="3:15" ht="17.25">
      <c r="F1369" s="12"/>
      <c r="G1369" s="112" t="s">
        <v>337</v>
      </c>
      <c r="H1369" s="409">
        <v>730.48000000000025</v>
      </c>
      <c r="I1369" s="358">
        <v>112656.02493428779</v>
      </c>
      <c r="J1369" s="442">
        <v>1.07115</v>
      </c>
      <c r="K1369" s="280">
        <v>120671.50110836238</v>
      </c>
      <c r="L1369" s="358">
        <v>109091.6592240559</v>
      </c>
      <c r="M1369" s="579">
        <v>1.2040500000000001</v>
      </c>
      <c r="N1369" s="469">
        <v>131351.8122887245</v>
      </c>
      <c r="O1369" s="469">
        <v>-10680.311180362114</v>
      </c>
    </row>
    <row r="1370" spans="3:15" ht="17.25">
      <c r="F1370" s="12"/>
      <c r="H1370" s="409"/>
      <c r="I1370" s="358"/>
      <c r="J1370" s="442"/>
      <c r="K1370" s="280"/>
      <c r="L1370" s="358"/>
      <c r="M1370" s="579"/>
      <c r="N1370" s="469"/>
      <c r="O1370" s="469"/>
    </row>
    <row r="1371" spans="3:15" ht="17.25">
      <c r="C1371" s="342" t="s">
        <v>346</v>
      </c>
      <c r="D1371" s="342"/>
      <c r="E1371" s="342"/>
      <c r="F1371" s="342"/>
      <c r="G1371" s="342"/>
      <c r="H1371" s="410">
        <v>2018.6500000000003</v>
      </c>
      <c r="I1371" s="407">
        <v>311320.07</v>
      </c>
      <c r="J1371" s="460">
        <v>1.07115</v>
      </c>
      <c r="K1371" s="413">
        <v>333470.49298049998</v>
      </c>
      <c r="L1371" s="407">
        <v>286432.68058851146</v>
      </c>
      <c r="M1371" s="580">
        <v>1.1564375</v>
      </c>
      <c r="N1371" s="470">
        <v>340015.95212103048</v>
      </c>
      <c r="O1371" s="470">
        <v>-6545.4591405304673</v>
      </c>
    </row>
    <row r="1372" spans="3:15" ht="17.25">
      <c r="F1372" s="12"/>
      <c r="H1372" s="409"/>
      <c r="I1372" s="358"/>
      <c r="J1372" s="442"/>
      <c r="K1372" s="280"/>
      <c r="L1372" s="358"/>
      <c r="M1372" s="579"/>
      <c r="N1372" s="469"/>
      <c r="O1372" s="469"/>
    </row>
    <row r="1373" spans="3:15" ht="17.25">
      <c r="C1373" s="12" t="s">
        <v>347</v>
      </c>
      <c r="F1373" s="12"/>
      <c r="H1373" s="409"/>
      <c r="I1373" s="358"/>
      <c r="J1373" s="442"/>
      <c r="K1373" s="280"/>
      <c r="L1373" s="358"/>
      <c r="M1373" s="579"/>
      <c r="N1373" s="469"/>
      <c r="O1373" s="469"/>
    </row>
    <row r="1374" spans="3:15" ht="17.25">
      <c r="D1374" s="361">
        <v>44876</v>
      </c>
      <c r="E1374" s="361"/>
      <c r="F1374" s="361"/>
      <c r="G1374" s="361"/>
      <c r="H1374" s="409"/>
      <c r="I1374" s="358"/>
      <c r="J1374" s="442"/>
      <c r="K1374" s="280"/>
      <c r="L1374" s="358"/>
      <c r="M1374" s="579"/>
      <c r="N1374" s="469"/>
      <c r="O1374" s="469"/>
    </row>
    <row r="1375" spans="3:15" ht="17.25">
      <c r="E1375" s="12" t="s">
        <v>33</v>
      </c>
      <c r="F1375" s="12"/>
      <c r="H1375" s="409"/>
      <c r="I1375" s="358"/>
      <c r="J1375" s="442"/>
      <c r="K1375" s="280"/>
      <c r="L1375" s="358"/>
      <c r="M1375" s="579"/>
      <c r="N1375" s="469"/>
      <c r="O1375" s="469"/>
    </row>
    <row r="1376" spans="3:15" ht="17.25">
      <c r="F1376" s="361">
        <v>43830</v>
      </c>
      <c r="G1376" s="361"/>
      <c r="H1376" s="409"/>
      <c r="I1376" s="358"/>
      <c r="J1376" s="442"/>
      <c r="K1376" s="280"/>
      <c r="L1376" s="358"/>
      <c r="M1376" s="579"/>
      <c r="N1376" s="469"/>
      <c r="O1376" s="469"/>
    </row>
    <row r="1377" spans="3:15" ht="17.25">
      <c r="F1377" s="12"/>
      <c r="G1377" s="112" t="s">
        <v>33</v>
      </c>
      <c r="H1377" s="409">
        <v>3535</v>
      </c>
      <c r="I1377" s="358">
        <v>142782.39999999999</v>
      </c>
      <c r="J1377" s="442">
        <v>1</v>
      </c>
      <c r="K1377" s="280">
        <v>142782.39999999999</v>
      </c>
      <c r="L1377" s="358">
        <v>154083.79006966163</v>
      </c>
      <c r="M1377" s="579">
        <v>1</v>
      </c>
      <c r="N1377" s="469">
        <v>154083.79006966163</v>
      </c>
      <c r="O1377" s="469">
        <v>-11301.390069661633</v>
      </c>
    </row>
    <row r="1378" spans="3:15" ht="17.25">
      <c r="F1378" s="12"/>
      <c r="H1378" s="409"/>
      <c r="I1378" s="358"/>
      <c r="J1378" s="442"/>
      <c r="K1378" s="280"/>
      <c r="L1378" s="358"/>
      <c r="M1378" s="579"/>
      <c r="N1378" s="469"/>
      <c r="O1378" s="469"/>
    </row>
    <row r="1379" spans="3:15" ht="17.25">
      <c r="C1379" s="342" t="s">
        <v>348</v>
      </c>
      <c r="D1379" s="342"/>
      <c r="E1379" s="342"/>
      <c r="F1379" s="342"/>
      <c r="G1379" s="342"/>
      <c r="H1379" s="410">
        <v>3535</v>
      </c>
      <c r="I1379" s="407">
        <v>142782.39999999999</v>
      </c>
      <c r="J1379" s="460">
        <v>1</v>
      </c>
      <c r="K1379" s="413">
        <v>142782.39999999999</v>
      </c>
      <c r="L1379" s="407">
        <v>154083.79006966163</v>
      </c>
      <c r="M1379" s="580">
        <v>1</v>
      </c>
      <c r="N1379" s="470">
        <v>154083.79006966163</v>
      </c>
      <c r="O1379" s="470">
        <v>-11301.390069661633</v>
      </c>
    </row>
    <row r="1380" spans="3:15" ht="17.25">
      <c r="F1380" s="12"/>
      <c r="H1380" s="409"/>
      <c r="I1380" s="358"/>
      <c r="J1380" s="442"/>
      <c r="K1380" s="280"/>
      <c r="L1380" s="358"/>
      <c r="M1380" s="579"/>
      <c r="N1380" s="469"/>
      <c r="O1380" s="469"/>
    </row>
    <row r="1381" spans="3:15" ht="17.25">
      <c r="C1381" s="12" t="s">
        <v>239</v>
      </c>
      <c r="F1381" s="12"/>
      <c r="H1381" s="409"/>
      <c r="I1381" s="358"/>
      <c r="J1381" s="442"/>
      <c r="K1381" s="280"/>
      <c r="L1381" s="358"/>
      <c r="M1381" s="579"/>
      <c r="N1381" s="469"/>
      <c r="O1381" s="469"/>
    </row>
    <row r="1382" spans="3:15" ht="17.25">
      <c r="D1382" s="361">
        <v>44595</v>
      </c>
      <c r="E1382" s="361"/>
      <c r="F1382" s="361"/>
      <c r="G1382" s="361"/>
      <c r="H1382" s="409"/>
      <c r="I1382" s="358"/>
      <c r="J1382" s="442"/>
      <c r="K1382" s="280"/>
      <c r="L1382" s="358"/>
      <c r="M1382" s="579"/>
      <c r="N1382" s="469"/>
      <c r="O1382" s="469"/>
    </row>
    <row r="1383" spans="3:15" ht="17.25">
      <c r="E1383" s="12" t="s">
        <v>33</v>
      </c>
      <c r="F1383" s="12"/>
      <c r="H1383" s="409"/>
      <c r="I1383" s="358"/>
      <c r="J1383" s="442"/>
      <c r="K1383" s="280"/>
      <c r="L1383" s="358"/>
      <c r="M1383" s="579"/>
      <c r="N1383" s="469"/>
      <c r="O1383" s="469"/>
    </row>
    <row r="1384" spans="3:15" ht="17.25">
      <c r="F1384" s="361">
        <v>44357</v>
      </c>
      <c r="G1384" s="361"/>
      <c r="H1384" s="409"/>
      <c r="I1384" s="358"/>
      <c r="J1384" s="442"/>
      <c r="K1384" s="280"/>
      <c r="L1384" s="358"/>
      <c r="M1384" s="579"/>
      <c r="N1384" s="469"/>
      <c r="O1384" s="469"/>
    </row>
    <row r="1385" spans="3:15" ht="17.25">
      <c r="F1385" s="12"/>
      <c r="G1385" s="112" t="s">
        <v>33</v>
      </c>
      <c r="H1385" s="409">
        <v>207</v>
      </c>
      <c r="I1385" s="358">
        <v>50469.00421875</v>
      </c>
      <c r="J1385" s="442">
        <v>1</v>
      </c>
      <c r="K1385" s="280">
        <v>50469.00421875</v>
      </c>
      <c r="L1385" s="358">
        <v>47984.62</v>
      </c>
      <c r="M1385" s="579">
        <v>1</v>
      </c>
      <c r="N1385" s="469">
        <v>47984.62</v>
      </c>
      <c r="O1385" s="469">
        <v>2484.3842187499977</v>
      </c>
    </row>
    <row r="1386" spans="3:15" ht="17.25">
      <c r="F1386" s="12"/>
      <c r="H1386" s="409"/>
      <c r="I1386" s="358"/>
      <c r="J1386" s="442"/>
      <c r="K1386" s="280"/>
      <c r="L1386" s="358"/>
      <c r="M1386" s="579"/>
      <c r="N1386" s="469"/>
      <c r="O1386" s="469"/>
    </row>
    <row r="1387" spans="3:15" ht="17.25">
      <c r="F1387" s="361">
        <v>44237</v>
      </c>
      <c r="G1387" s="361"/>
      <c r="H1387" s="409"/>
      <c r="I1387" s="358"/>
      <c r="J1387" s="442"/>
      <c r="K1387" s="280"/>
      <c r="L1387" s="358"/>
      <c r="M1387" s="579"/>
      <c r="N1387" s="469"/>
      <c r="O1387" s="469"/>
    </row>
    <row r="1388" spans="3:15" ht="17.25">
      <c r="F1388" s="12"/>
      <c r="G1388" s="112" t="s">
        <v>33</v>
      </c>
      <c r="H1388" s="409">
        <v>753</v>
      </c>
      <c r="I1388" s="358">
        <v>183590.14578125</v>
      </c>
      <c r="J1388" s="442">
        <v>1</v>
      </c>
      <c r="K1388" s="280">
        <v>183590.14578125</v>
      </c>
      <c r="L1388" s="358">
        <v>172908.79999999999</v>
      </c>
      <c r="M1388" s="579">
        <v>1</v>
      </c>
      <c r="N1388" s="469">
        <v>172908.79999999999</v>
      </c>
      <c r="O1388" s="469">
        <v>10681.345781250013</v>
      </c>
    </row>
    <row r="1389" spans="3:15" ht="17.25">
      <c r="F1389" s="12"/>
      <c r="H1389" s="409"/>
      <c r="I1389" s="358"/>
      <c r="J1389" s="442"/>
      <c r="K1389" s="280"/>
      <c r="L1389" s="358"/>
      <c r="M1389" s="579"/>
      <c r="N1389" s="469"/>
      <c r="O1389" s="469"/>
    </row>
    <row r="1390" spans="3:15" ht="17.25">
      <c r="C1390" s="342" t="s">
        <v>349</v>
      </c>
      <c r="D1390" s="342"/>
      <c r="E1390" s="342"/>
      <c r="F1390" s="342"/>
      <c r="G1390" s="342"/>
      <c r="H1390" s="410">
        <v>960</v>
      </c>
      <c r="I1390" s="407">
        <v>234059.15</v>
      </c>
      <c r="J1390" s="460">
        <v>1</v>
      </c>
      <c r="K1390" s="413">
        <v>234059.15</v>
      </c>
      <c r="L1390" s="407">
        <v>220893.41999999998</v>
      </c>
      <c r="M1390" s="580">
        <v>1</v>
      </c>
      <c r="N1390" s="470">
        <v>220893.41999999998</v>
      </c>
      <c r="O1390" s="470">
        <v>13165.73000000001</v>
      </c>
    </row>
    <row r="1391" spans="3:15" ht="17.25">
      <c r="F1391" s="12"/>
      <c r="H1391" s="409"/>
      <c r="I1391" s="358"/>
      <c r="J1391" s="442"/>
      <c r="K1391" s="280"/>
      <c r="L1391" s="358"/>
      <c r="M1391" s="579"/>
      <c r="N1391" s="469"/>
      <c r="O1391" s="469"/>
    </row>
    <row r="1392" spans="3:15" ht="17.25">
      <c r="C1392" s="12" t="s">
        <v>257</v>
      </c>
      <c r="F1392" s="12"/>
      <c r="H1392" s="409"/>
      <c r="I1392" s="358"/>
      <c r="J1392" s="442"/>
      <c r="K1392" s="280"/>
      <c r="L1392" s="358"/>
      <c r="M1392" s="579"/>
      <c r="N1392" s="469"/>
      <c r="O1392" s="469"/>
    </row>
    <row r="1393" spans="3:15" ht="17.25">
      <c r="D1393" s="361">
        <v>44781</v>
      </c>
      <c r="E1393" s="361"/>
      <c r="F1393" s="361"/>
      <c r="G1393" s="361"/>
      <c r="H1393" s="409"/>
      <c r="I1393" s="358"/>
      <c r="J1393" s="442"/>
      <c r="K1393" s="280"/>
      <c r="L1393" s="358"/>
      <c r="M1393" s="579"/>
      <c r="N1393" s="469"/>
      <c r="O1393" s="469"/>
    </row>
    <row r="1394" spans="3:15" ht="17.25">
      <c r="E1394" s="12" t="s">
        <v>33</v>
      </c>
      <c r="F1394" s="12"/>
      <c r="H1394" s="409"/>
      <c r="I1394" s="358"/>
      <c r="J1394" s="442"/>
      <c r="K1394" s="280"/>
      <c r="L1394" s="358"/>
      <c r="M1394" s="579"/>
      <c r="N1394" s="469"/>
      <c r="O1394" s="469"/>
    </row>
    <row r="1395" spans="3:15" ht="17.25">
      <c r="F1395" s="361">
        <v>44643</v>
      </c>
      <c r="G1395" s="361"/>
      <c r="H1395" s="409"/>
      <c r="I1395" s="358"/>
      <c r="J1395" s="442"/>
      <c r="K1395" s="280"/>
      <c r="L1395" s="358"/>
      <c r="M1395" s="579"/>
      <c r="N1395" s="469"/>
      <c r="O1395" s="469"/>
    </row>
    <row r="1396" spans="3:15" ht="17.25">
      <c r="F1396" s="12"/>
      <c r="G1396" s="112" t="s">
        <v>33</v>
      </c>
      <c r="H1396" s="409">
        <v>1620</v>
      </c>
      <c r="I1396" s="358">
        <v>209752.98</v>
      </c>
      <c r="J1396" s="442">
        <v>1</v>
      </c>
      <c r="K1396" s="280">
        <v>209752.98</v>
      </c>
      <c r="L1396" s="358">
        <v>213553.43999999997</v>
      </c>
      <c r="M1396" s="579">
        <v>1</v>
      </c>
      <c r="N1396" s="469">
        <v>213553.43999999997</v>
      </c>
      <c r="O1396" s="469">
        <v>-3800.4599999999627</v>
      </c>
    </row>
    <row r="1397" spans="3:15" ht="17.25">
      <c r="F1397" s="12"/>
      <c r="H1397" s="409"/>
      <c r="I1397" s="358"/>
      <c r="J1397" s="442"/>
      <c r="K1397" s="280"/>
      <c r="L1397" s="358"/>
      <c r="M1397" s="579"/>
      <c r="N1397" s="469"/>
      <c r="O1397" s="469"/>
    </row>
    <row r="1398" spans="3:15" ht="17.25">
      <c r="C1398" s="342" t="s">
        <v>350</v>
      </c>
      <c r="D1398" s="342"/>
      <c r="E1398" s="342"/>
      <c r="F1398" s="342"/>
      <c r="G1398" s="342"/>
      <c r="H1398" s="410">
        <v>1620</v>
      </c>
      <c r="I1398" s="407">
        <v>209752.98</v>
      </c>
      <c r="J1398" s="460">
        <v>1</v>
      </c>
      <c r="K1398" s="413">
        <v>209752.98</v>
      </c>
      <c r="L1398" s="407">
        <v>213553.43999999997</v>
      </c>
      <c r="M1398" s="580">
        <v>1</v>
      </c>
      <c r="N1398" s="470">
        <v>213553.43999999997</v>
      </c>
      <c r="O1398" s="470">
        <v>-3800.4599999999627</v>
      </c>
    </row>
    <row r="1399" spans="3:15" ht="17.25">
      <c r="F1399" s="12"/>
      <c r="H1399" s="409"/>
      <c r="I1399" s="358"/>
      <c r="J1399" s="442"/>
      <c r="K1399" s="280"/>
      <c r="L1399" s="358"/>
      <c r="M1399" s="579"/>
      <c r="N1399" s="469"/>
      <c r="O1399" s="469"/>
    </row>
    <row r="1400" spans="3:15" ht="17.25">
      <c r="C1400" s="12" t="s">
        <v>240</v>
      </c>
      <c r="F1400" s="12"/>
      <c r="H1400" s="409"/>
      <c r="I1400" s="358"/>
      <c r="J1400" s="442"/>
      <c r="K1400" s="280"/>
      <c r="L1400" s="358"/>
      <c r="M1400" s="579"/>
      <c r="N1400" s="469"/>
      <c r="O1400" s="469"/>
    </row>
    <row r="1401" spans="3:15" ht="17.25">
      <c r="D1401" s="361">
        <v>44673</v>
      </c>
      <c r="E1401" s="361"/>
      <c r="F1401" s="361"/>
      <c r="G1401" s="361"/>
      <c r="H1401" s="409"/>
      <c r="I1401" s="358"/>
      <c r="J1401" s="442"/>
      <c r="K1401" s="280"/>
      <c r="L1401" s="358"/>
      <c r="M1401" s="579"/>
      <c r="N1401" s="469"/>
      <c r="O1401" s="469"/>
    </row>
    <row r="1402" spans="3:15" ht="17.25">
      <c r="E1402" s="12" t="s">
        <v>33</v>
      </c>
      <c r="F1402" s="12"/>
      <c r="H1402" s="409"/>
      <c r="I1402" s="358"/>
      <c r="J1402" s="442"/>
      <c r="K1402" s="280"/>
      <c r="L1402" s="358"/>
      <c r="M1402" s="579"/>
      <c r="N1402" s="469"/>
      <c r="O1402" s="469"/>
    </row>
    <row r="1403" spans="3:15" ht="17.25">
      <c r="F1403" s="361">
        <v>43830</v>
      </c>
      <c r="G1403" s="361"/>
      <c r="H1403" s="409"/>
      <c r="I1403" s="358"/>
      <c r="J1403" s="442"/>
      <c r="K1403" s="280"/>
      <c r="L1403" s="358"/>
      <c r="M1403" s="579"/>
      <c r="N1403" s="469"/>
      <c r="O1403" s="469"/>
    </row>
    <row r="1404" spans="3:15" ht="17.25">
      <c r="F1404" s="12"/>
      <c r="G1404" s="112" t="s">
        <v>33</v>
      </c>
      <c r="H1404" s="409">
        <v>521</v>
      </c>
      <c r="I1404" s="358">
        <v>234318.32</v>
      </c>
      <c r="J1404" s="442">
        <v>1</v>
      </c>
      <c r="K1404" s="280">
        <v>234318.32</v>
      </c>
      <c r="L1404" s="358">
        <v>139797.25530589334</v>
      </c>
      <c r="M1404" s="579">
        <v>1</v>
      </c>
      <c r="N1404" s="469">
        <v>139797.25530589334</v>
      </c>
      <c r="O1404" s="469">
        <v>94521.064694106666</v>
      </c>
    </row>
    <row r="1405" spans="3:15" ht="17.25">
      <c r="F1405" s="12"/>
      <c r="H1405" s="409"/>
      <c r="I1405" s="358"/>
      <c r="J1405" s="442"/>
      <c r="K1405" s="280"/>
      <c r="L1405" s="358"/>
      <c r="M1405" s="579"/>
      <c r="N1405" s="469"/>
      <c r="O1405" s="469"/>
    </row>
    <row r="1406" spans="3:15" ht="17.25">
      <c r="D1406" s="361">
        <v>44840</v>
      </c>
      <c r="E1406" s="361"/>
      <c r="F1406" s="361"/>
      <c r="G1406" s="361"/>
      <c r="H1406" s="409"/>
      <c r="I1406" s="358"/>
      <c r="J1406" s="442"/>
      <c r="K1406" s="280"/>
      <c r="L1406" s="358"/>
      <c r="M1406" s="579"/>
      <c r="N1406" s="469"/>
      <c r="O1406" s="469"/>
    </row>
    <row r="1407" spans="3:15" ht="17.25">
      <c r="E1407" s="12" t="s">
        <v>33</v>
      </c>
      <c r="F1407" s="12"/>
      <c r="H1407" s="409"/>
      <c r="I1407" s="358"/>
      <c r="J1407" s="442"/>
      <c r="K1407" s="280"/>
      <c r="L1407" s="358"/>
      <c r="M1407" s="579"/>
      <c r="N1407" s="469"/>
      <c r="O1407" s="469"/>
    </row>
    <row r="1408" spans="3:15" ht="17.25">
      <c r="F1408" s="361">
        <v>43830</v>
      </c>
      <c r="G1408" s="361"/>
      <c r="H1408" s="409"/>
      <c r="I1408" s="358"/>
      <c r="J1408" s="442"/>
      <c r="K1408" s="280"/>
      <c r="L1408" s="358"/>
      <c r="M1408" s="579"/>
      <c r="N1408" s="469"/>
      <c r="O1408" s="469"/>
    </row>
    <row r="1409" spans="3:15" ht="17.25">
      <c r="F1409" s="12"/>
      <c r="G1409" s="112" t="s">
        <v>33</v>
      </c>
      <c r="H1409" s="409">
        <v>144</v>
      </c>
      <c r="I1409" s="358">
        <v>56130.49</v>
      </c>
      <c r="J1409" s="442">
        <v>1</v>
      </c>
      <c r="K1409" s="280">
        <v>56130.49</v>
      </c>
      <c r="L1409" s="358">
        <v>38638.780737137509</v>
      </c>
      <c r="M1409" s="579">
        <v>1</v>
      </c>
      <c r="N1409" s="469">
        <v>38638.780737137509</v>
      </c>
      <c r="O1409" s="469">
        <v>17491.709262862489</v>
      </c>
    </row>
    <row r="1410" spans="3:15" ht="17.25">
      <c r="F1410" s="12"/>
      <c r="H1410" s="409"/>
      <c r="I1410" s="358"/>
      <c r="J1410" s="442"/>
      <c r="K1410" s="280"/>
      <c r="L1410" s="358"/>
      <c r="M1410" s="579"/>
      <c r="N1410" s="469"/>
      <c r="O1410" s="469"/>
    </row>
    <row r="1411" spans="3:15" ht="17.25">
      <c r="C1411" s="342" t="s">
        <v>351</v>
      </c>
      <c r="D1411" s="342"/>
      <c r="E1411" s="342"/>
      <c r="F1411" s="342"/>
      <c r="G1411" s="342"/>
      <c r="H1411" s="410">
        <v>665</v>
      </c>
      <c r="I1411" s="407">
        <v>290448.81</v>
      </c>
      <c r="J1411" s="460">
        <v>1</v>
      </c>
      <c r="K1411" s="413">
        <v>290448.81</v>
      </c>
      <c r="L1411" s="407">
        <v>178436.03604303085</v>
      </c>
      <c r="M1411" s="580">
        <v>1</v>
      </c>
      <c r="N1411" s="470">
        <v>178436.03604303085</v>
      </c>
      <c r="O1411" s="470">
        <v>112012.77395696915</v>
      </c>
    </row>
    <row r="1412" spans="3:15" ht="17.25">
      <c r="F1412" s="12"/>
      <c r="H1412" s="409"/>
      <c r="I1412" s="358"/>
      <c r="J1412" s="442"/>
      <c r="K1412" s="280"/>
      <c r="L1412" s="358"/>
      <c r="M1412" s="579"/>
      <c r="N1412" s="469"/>
      <c r="O1412" s="469"/>
    </row>
    <row r="1413" spans="3:15" ht="17.25">
      <c r="C1413" s="12" t="s">
        <v>241</v>
      </c>
      <c r="F1413" s="12"/>
      <c r="H1413" s="409"/>
      <c r="I1413" s="358"/>
      <c r="J1413" s="442"/>
      <c r="K1413" s="280"/>
      <c r="L1413" s="358"/>
      <c r="M1413" s="579"/>
      <c r="N1413" s="469"/>
      <c r="O1413" s="469"/>
    </row>
    <row r="1414" spans="3:15" ht="17.25">
      <c r="D1414" s="361">
        <v>44595</v>
      </c>
      <c r="E1414" s="361"/>
      <c r="F1414" s="361"/>
      <c r="G1414" s="361"/>
      <c r="H1414" s="409"/>
      <c r="I1414" s="358"/>
      <c r="J1414" s="442"/>
      <c r="K1414" s="280"/>
      <c r="L1414" s="358"/>
      <c r="M1414" s="579"/>
      <c r="N1414" s="469"/>
      <c r="O1414" s="469"/>
    </row>
    <row r="1415" spans="3:15" ht="17.25">
      <c r="E1415" s="12" t="s">
        <v>337</v>
      </c>
      <c r="F1415" s="12"/>
      <c r="H1415" s="409"/>
      <c r="I1415" s="358"/>
      <c r="J1415" s="442"/>
      <c r="K1415" s="280"/>
      <c r="L1415" s="358"/>
      <c r="M1415" s="579"/>
      <c r="N1415" s="469"/>
      <c r="O1415" s="469"/>
    </row>
    <row r="1416" spans="3:15" ht="17.25">
      <c r="F1416" s="361">
        <v>44357</v>
      </c>
      <c r="G1416" s="361"/>
      <c r="H1416" s="409"/>
      <c r="I1416" s="358"/>
      <c r="J1416" s="442"/>
      <c r="K1416" s="280"/>
      <c r="L1416" s="358"/>
      <c r="M1416" s="579"/>
      <c r="N1416" s="469"/>
      <c r="O1416" s="469"/>
    </row>
    <row r="1417" spans="3:15" ht="17.25">
      <c r="F1417" s="12"/>
      <c r="G1417" s="112" t="s">
        <v>337</v>
      </c>
      <c r="H1417" s="409">
        <v>4326</v>
      </c>
      <c r="I1417" s="358">
        <v>30293.245749210553</v>
      </c>
      <c r="J1417" s="442">
        <v>1.1228499999999999</v>
      </c>
      <c r="K1417" s="280">
        <v>34014.77098950107</v>
      </c>
      <c r="L1417" s="358">
        <v>26589.32</v>
      </c>
      <c r="M1417" s="579">
        <v>1.1856</v>
      </c>
      <c r="N1417" s="469">
        <v>31524.297791999998</v>
      </c>
      <c r="O1417" s="469">
        <v>2490.4731975010727</v>
      </c>
    </row>
    <row r="1418" spans="3:15" ht="17.25">
      <c r="F1418" s="12"/>
      <c r="H1418" s="409"/>
      <c r="I1418" s="358"/>
      <c r="J1418" s="442"/>
      <c r="K1418" s="280"/>
      <c r="L1418" s="358"/>
      <c r="M1418" s="579"/>
      <c r="N1418" s="469"/>
      <c r="O1418" s="469"/>
    </row>
    <row r="1419" spans="3:15" ht="17.25">
      <c r="F1419" s="361">
        <v>44313</v>
      </c>
      <c r="G1419" s="361"/>
      <c r="H1419" s="409"/>
      <c r="I1419" s="358"/>
      <c r="J1419" s="442"/>
      <c r="K1419" s="280"/>
      <c r="L1419" s="358"/>
      <c r="M1419" s="579"/>
      <c r="N1419" s="469"/>
      <c r="O1419" s="469"/>
    </row>
    <row r="1420" spans="3:15" ht="17.25">
      <c r="F1420" s="12"/>
      <c r="G1420" s="112" t="s">
        <v>337</v>
      </c>
      <c r="H1420" s="409">
        <v>25125</v>
      </c>
      <c r="I1420" s="358">
        <v>175940.31425078944</v>
      </c>
      <c r="J1420" s="442">
        <v>1.1228499999999999</v>
      </c>
      <c r="K1420" s="280">
        <v>197554.5818564989</v>
      </c>
      <c r="L1420" s="358">
        <v>147887.98000000001</v>
      </c>
      <c r="M1420" s="579">
        <v>1.2040500000000001</v>
      </c>
      <c r="N1420" s="469">
        <v>178064.52231900001</v>
      </c>
      <c r="O1420" s="469">
        <v>19490.059537498892</v>
      </c>
    </row>
    <row r="1421" spans="3:15" ht="17.25">
      <c r="F1421" s="12"/>
      <c r="H1421" s="409"/>
      <c r="I1421" s="358"/>
      <c r="J1421" s="442"/>
      <c r="K1421" s="280"/>
      <c r="L1421" s="358"/>
      <c r="M1421" s="579"/>
      <c r="N1421" s="469"/>
      <c r="O1421" s="469"/>
    </row>
    <row r="1422" spans="3:15" ht="17.25">
      <c r="C1422" s="342" t="s">
        <v>352</v>
      </c>
      <c r="D1422" s="342"/>
      <c r="E1422" s="342"/>
      <c r="F1422" s="342"/>
      <c r="G1422" s="342"/>
      <c r="H1422" s="410">
        <v>29451</v>
      </c>
      <c r="I1422" s="407">
        <v>206233.56</v>
      </c>
      <c r="J1422" s="460">
        <v>1.1228499999999999</v>
      </c>
      <c r="K1422" s="413">
        <v>231569.35284599997</v>
      </c>
      <c r="L1422" s="407">
        <v>174477.30000000002</v>
      </c>
      <c r="M1422" s="580">
        <v>1.194825</v>
      </c>
      <c r="N1422" s="470">
        <v>209588.82011100001</v>
      </c>
      <c r="O1422" s="470">
        <v>21980.532734999964</v>
      </c>
    </row>
    <row r="1423" spans="3:15" ht="17.25">
      <c r="F1423" s="12"/>
      <c r="H1423" s="409"/>
      <c r="I1423" s="358"/>
      <c r="J1423" s="442"/>
      <c r="K1423" s="280"/>
      <c r="L1423" s="358"/>
      <c r="M1423" s="579"/>
      <c r="N1423" s="469"/>
      <c r="O1423" s="469"/>
    </row>
    <row r="1424" spans="3:15" ht="17.25">
      <c r="C1424" s="12" t="s">
        <v>242</v>
      </c>
      <c r="F1424" s="12"/>
      <c r="H1424" s="409"/>
      <c r="I1424" s="358"/>
      <c r="J1424" s="442"/>
      <c r="K1424" s="280"/>
      <c r="L1424" s="358"/>
      <c r="M1424" s="579"/>
      <c r="N1424" s="469"/>
      <c r="O1424" s="469"/>
    </row>
    <row r="1425" spans="3:15" ht="17.25">
      <c r="D1425" s="361">
        <v>44587</v>
      </c>
      <c r="E1425" s="361"/>
      <c r="F1425" s="361"/>
      <c r="G1425" s="361"/>
      <c r="H1425" s="409"/>
      <c r="I1425" s="358"/>
      <c r="J1425" s="442"/>
      <c r="K1425" s="280"/>
      <c r="L1425" s="358"/>
      <c r="M1425" s="579"/>
      <c r="N1425" s="469"/>
      <c r="O1425" s="469"/>
    </row>
    <row r="1426" spans="3:15" ht="17.25">
      <c r="E1426" s="12" t="s">
        <v>33</v>
      </c>
      <c r="F1426" s="12"/>
      <c r="H1426" s="409"/>
      <c r="I1426" s="358"/>
      <c r="J1426" s="442"/>
      <c r="K1426" s="280"/>
      <c r="L1426" s="358"/>
      <c r="M1426" s="579"/>
      <c r="N1426" s="469"/>
      <c r="O1426" s="469"/>
    </row>
    <row r="1427" spans="3:15" ht="17.25">
      <c r="F1427" s="361">
        <v>44399</v>
      </c>
      <c r="G1427" s="361"/>
      <c r="H1427" s="409"/>
      <c r="I1427" s="358"/>
      <c r="J1427" s="442"/>
      <c r="K1427" s="280"/>
      <c r="L1427" s="358"/>
      <c r="M1427" s="579"/>
      <c r="N1427" s="469"/>
      <c r="O1427" s="469"/>
    </row>
    <row r="1428" spans="3:15" ht="17.25">
      <c r="F1428" s="12"/>
      <c r="G1428" s="112" t="s">
        <v>33</v>
      </c>
      <c r="H1428" s="409">
        <v>81144</v>
      </c>
      <c r="I1428" s="358">
        <v>434716.59</v>
      </c>
      <c r="J1428" s="442">
        <v>1</v>
      </c>
      <c r="K1428" s="280">
        <v>434716.59</v>
      </c>
      <c r="L1428" s="358">
        <v>439660.169711828</v>
      </c>
      <c r="M1428" s="579">
        <v>1</v>
      </c>
      <c r="N1428" s="469">
        <v>439660.169711828</v>
      </c>
      <c r="O1428" s="469">
        <v>-4943.5797118279734</v>
      </c>
    </row>
    <row r="1429" spans="3:15" ht="17.25">
      <c r="F1429" s="12"/>
      <c r="H1429" s="409"/>
      <c r="I1429" s="358"/>
      <c r="J1429" s="442"/>
      <c r="K1429" s="280"/>
      <c r="L1429" s="358"/>
      <c r="M1429" s="579"/>
      <c r="N1429" s="469"/>
      <c r="O1429" s="469"/>
    </row>
    <row r="1430" spans="3:15" ht="17.25">
      <c r="D1430" s="361">
        <v>44643</v>
      </c>
      <c r="E1430" s="361"/>
      <c r="F1430" s="361"/>
      <c r="G1430" s="361"/>
      <c r="H1430" s="409"/>
      <c r="I1430" s="358"/>
      <c r="J1430" s="442"/>
      <c r="K1430" s="280"/>
      <c r="L1430" s="358"/>
      <c r="M1430" s="579"/>
      <c r="N1430" s="469"/>
      <c r="O1430" s="469"/>
    </row>
    <row r="1431" spans="3:15" ht="17.25">
      <c r="E1431" s="12" t="s">
        <v>33</v>
      </c>
      <c r="F1431" s="12"/>
      <c r="H1431" s="409"/>
      <c r="I1431" s="358"/>
      <c r="J1431" s="442"/>
      <c r="K1431" s="280"/>
      <c r="L1431" s="358"/>
      <c r="M1431" s="579"/>
      <c r="N1431" s="469"/>
      <c r="O1431" s="469"/>
    </row>
    <row r="1432" spans="3:15" ht="17.25">
      <c r="F1432" s="361">
        <v>44403</v>
      </c>
      <c r="G1432" s="361"/>
      <c r="H1432" s="409"/>
      <c r="I1432" s="358"/>
      <c r="J1432" s="442"/>
      <c r="K1432" s="280"/>
      <c r="L1432" s="358"/>
      <c r="M1432" s="579"/>
      <c r="N1432" s="469"/>
      <c r="O1432" s="469"/>
    </row>
    <row r="1433" spans="3:15" ht="17.25">
      <c r="F1433" s="12"/>
      <c r="G1433" s="112" t="s">
        <v>33</v>
      </c>
      <c r="H1433" s="409">
        <v>81483</v>
      </c>
      <c r="I1433" s="358">
        <v>428349.42</v>
      </c>
      <c r="J1433" s="442">
        <v>1</v>
      </c>
      <c r="K1433" s="280">
        <v>428349.42</v>
      </c>
      <c r="L1433" s="358">
        <v>441521.41720589658</v>
      </c>
      <c r="M1433" s="579">
        <v>1</v>
      </c>
      <c r="N1433" s="469">
        <v>441521.41720589658</v>
      </c>
      <c r="O1433" s="469">
        <v>-13171.997205896601</v>
      </c>
    </row>
    <row r="1434" spans="3:15" ht="17.25">
      <c r="F1434" s="12"/>
      <c r="H1434" s="409"/>
      <c r="I1434" s="358"/>
      <c r="J1434" s="442"/>
      <c r="K1434" s="280"/>
      <c r="L1434" s="358"/>
      <c r="M1434" s="579"/>
      <c r="N1434" s="469"/>
      <c r="O1434" s="469"/>
    </row>
    <row r="1435" spans="3:15" ht="17.25">
      <c r="D1435" s="361">
        <v>44728</v>
      </c>
      <c r="E1435" s="361"/>
      <c r="F1435" s="361"/>
      <c r="G1435" s="361"/>
      <c r="H1435" s="409"/>
      <c r="I1435" s="358"/>
      <c r="J1435" s="442"/>
      <c r="K1435" s="280"/>
      <c r="L1435" s="358"/>
      <c r="M1435" s="579"/>
      <c r="N1435" s="469"/>
      <c r="O1435" s="469"/>
    </row>
    <row r="1436" spans="3:15" ht="17.25">
      <c r="E1436" s="12" t="s">
        <v>33</v>
      </c>
      <c r="F1436" s="12"/>
      <c r="H1436" s="409"/>
      <c r="I1436" s="358"/>
      <c r="J1436" s="442"/>
      <c r="K1436" s="280"/>
      <c r="L1436" s="358"/>
      <c r="M1436" s="579"/>
      <c r="N1436" s="469"/>
      <c r="O1436" s="469"/>
    </row>
    <row r="1437" spans="3:15" ht="17.25">
      <c r="F1437" s="361">
        <v>44403</v>
      </c>
      <c r="G1437" s="361"/>
      <c r="H1437" s="409"/>
      <c r="I1437" s="358"/>
      <c r="J1437" s="442"/>
      <c r="K1437" s="280"/>
      <c r="L1437" s="358"/>
      <c r="M1437" s="579"/>
      <c r="N1437" s="469"/>
      <c r="O1437" s="469"/>
    </row>
    <row r="1438" spans="3:15" ht="17.25">
      <c r="F1438" s="12"/>
      <c r="G1438" s="112" t="s">
        <v>33</v>
      </c>
      <c r="H1438" s="409">
        <v>45009</v>
      </c>
      <c r="I1438" s="358">
        <v>233298.26000000004</v>
      </c>
      <c r="J1438" s="442">
        <v>1</v>
      </c>
      <c r="K1438" s="280">
        <v>233298.26000000004</v>
      </c>
      <c r="L1438" s="358">
        <v>243884.46015758134</v>
      </c>
      <c r="M1438" s="579">
        <v>1</v>
      </c>
      <c r="N1438" s="469">
        <v>243884.46015758134</v>
      </c>
      <c r="O1438" s="469">
        <v>-10586.200157581305</v>
      </c>
    </row>
    <row r="1439" spans="3:15" ht="17.25">
      <c r="F1439" s="12"/>
      <c r="H1439" s="409"/>
      <c r="I1439" s="358"/>
      <c r="J1439" s="442"/>
      <c r="K1439" s="280"/>
      <c r="L1439" s="358"/>
      <c r="M1439" s="579"/>
      <c r="N1439" s="469"/>
      <c r="O1439" s="469"/>
    </row>
    <row r="1440" spans="3:15" ht="17.25">
      <c r="C1440" s="342" t="s">
        <v>353</v>
      </c>
      <c r="D1440" s="342"/>
      <c r="E1440" s="342"/>
      <c r="F1440" s="342"/>
      <c r="G1440" s="342"/>
      <c r="H1440" s="410">
        <v>207636</v>
      </c>
      <c r="I1440" s="407">
        <v>1096364.27</v>
      </c>
      <c r="J1440" s="460">
        <v>1</v>
      </c>
      <c r="K1440" s="413">
        <v>1096364.27</v>
      </c>
      <c r="L1440" s="407">
        <v>1125066.0470753058</v>
      </c>
      <c r="M1440" s="580">
        <v>1</v>
      </c>
      <c r="N1440" s="470">
        <v>1125066.0470753058</v>
      </c>
      <c r="O1440" s="470">
        <v>-28701.777075305879</v>
      </c>
    </row>
    <row r="1441" spans="3:15" ht="17.25">
      <c r="F1441" s="12"/>
      <c r="H1441" s="409"/>
      <c r="I1441" s="358"/>
      <c r="J1441" s="442"/>
      <c r="K1441" s="280"/>
      <c r="L1441" s="358"/>
      <c r="M1441" s="579"/>
      <c r="N1441" s="469"/>
      <c r="O1441" s="469"/>
    </row>
    <row r="1442" spans="3:15" ht="17.25">
      <c r="C1442" s="12" t="s">
        <v>243</v>
      </c>
      <c r="F1442" s="12"/>
      <c r="H1442" s="409"/>
      <c r="I1442" s="358"/>
      <c r="J1442" s="442"/>
      <c r="K1442" s="280"/>
      <c r="L1442" s="358"/>
      <c r="M1442" s="579"/>
      <c r="N1442" s="469"/>
      <c r="O1442" s="469"/>
    </row>
    <row r="1443" spans="3:15" ht="17.25">
      <c r="D1443" s="361">
        <v>44589</v>
      </c>
      <c r="E1443" s="361"/>
      <c r="F1443" s="361"/>
      <c r="G1443" s="361"/>
      <c r="H1443" s="409"/>
      <c r="I1443" s="358"/>
      <c r="J1443" s="442"/>
      <c r="K1443" s="280"/>
      <c r="L1443" s="358"/>
      <c r="M1443" s="579"/>
      <c r="N1443" s="469"/>
      <c r="O1443" s="469"/>
    </row>
    <row r="1444" spans="3:15" ht="17.25">
      <c r="E1444" s="12" t="s">
        <v>33</v>
      </c>
      <c r="F1444" s="12"/>
      <c r="H1444" s="409"/>
      <c r="I1444" s="358"/>
      <c r="J1444" s="442"/>
      <c r="K1444" s="280"/>
      <c r="L1444" s="358"/>
      <c r="M1444" s="579"/>
      <c r="N1444" s="469"/>
      <c r="O1444" s="469"/>
    </row>
    <row r="1445" spans="3:15" ht="17.25">
      <c r="F1445" s="361">
        <v>43964</v>
      </c>
      <c r="G1445" s="361"/>
      <c r="H1445" s="409"/>
      <c r="I1445" s="358"/>
      <c r="J1445" s="442"/>
      <c r="K1445" s="280"/>
      <c r="L1445" s="358"/>
      <c r="M1445" s="579"/>
      <c r="N1445" s="469"/>
      <c r="O1445" s="469"/>
    </row>
    <row r="1446" spans="3:15" ht="17.25">
      <c r="F1446" s="12"/>
      <c r="G1446" s="112" t="s">
        <v>33</v>
      </c>
      <c r="H1446" s="409">
        <v>2886.1309999999999</v>
      </c>
      <c r="I1446" s="358">
        <v>347490.17</v>
      </c>
      <c r="J1446" s="442">
        <v>1</v>
      </c>
      <c r="K1446" s="280">
        <v>347490.17</v>
      </c>
      <c r="L1446" s="358">
        <v>301398.61587744713</v>
      </c>
      <c r="M1446" s="579">
        <v>1</v>
      </c>
      <c r="N1446" s="469">
        <v>301398.61587744713</v>
      </c>
      <c r="O1446" s="469">
        <v>46091.554122552858</v>
      </c>
    </row>
    <row r="1447" spans="3:15" ht="17.25">
      <c r="F1447" s="12"/>
      <c r="H1447" s="409"/>
      <c r="I1447" s="358"/>
      <c r="J1447" s="442"/>
      <c r="K1447" s="280"/>
      <c r="L1447" s="358"/>
      <c r="M1447" s="579"/>
      <c r="N1447" s="469"/>
      <c r="O1447" s="469"/>
    </row>
    <row r="1448" spans="3:15" ht="17.25">
      <c r="C1448" s="342" t="s">
        <v>354</v>
      </c>
      <c r="D1448" s="342"/>
      <c r="E1448" s="342"/>
      <c r="F1448" s="342"/>
      <c r="G1448" s="342"/>
      <c r="H1448" s="410">
        <v>2886.1309999999999</v>
      </c>
      <c r="I1448" s="407">
        <v>347490.17</v>
      </c>
      <c r="J1448" s="460">
        <v>1</v>
      </c>
      <c r="K1448" s="413">
        <v>347490.17</v>
      </c>
      <c r="L1448" s="407">
        <v>301398.61587744713</v>
      </c>
      <c r="M1448" s="580">
        <v>1</v>
      </c>
      <c r="N1448" s="470">
        <v>301398.61587744713</v>
      </c>
      <c r="O1448" s="470">
        <v>46091.554122552858</v>
      </c>
    </row>
    <row r="1449" spans="3:15" ht="17.25">
      <c r="F1449" s="12"/>
      <c r="H1449" s="409"/>
      <c r="I1449" s="358"/>
      <c r="J1449" s="442"/>
      <c r="K1449" s="280"/>
      <c r="L1449" s="358"/>
      <c r="M1449" s="579"/>
      <c r="N1449" s="469"/>
      <c r="O1449" s="469"/>
    </row>
    <row r="1450" spans="3:15" ht="17.25">
      <c r="C1450" s="12" t="s">
        <v>258</v>
      </c>
      <c r="F1450" s="12"/>
      <c r="H1450" s="409"/>
      <c r="I1450" s="358"/>
      <c r="J1450" s="442"/>
      <c r="K1450" s="280"/>
      <c r="L1450" s="358"/>
      <c r="M1450" s="579"/>
      <c r="N1450" s="469"/>
      <c r="O1450" s="469"/>
    </row>
    <row r="1451" spans="3:15" ht="17.25">
      <c r="D1451" s="361">
        <v>44782</v>
      </c>
      <c r="E1451" s="361"/>
      <c r="F1451" s="361"/>
      <c r="G1451" s="361"/>
      <c r="H1451" s="409"/>
      <c r="I1451" s="358"/>
      <c r="J1451" s="442"/>
      <c r="K1451" s="280"/>
      <c r="L1451" s="358"/>
      <c r="M1451" s="579"/>
      <c r="N1451" s="469"/>
      <c r="O1451" s="469"/>
    </row>
    <row r="1452" spans="3:15" ht="17.25">
      <c r="E1452" s="12" t="s">
        <v>33</v>
      </c>
      <c r="F1452" s="12"/>
      <c r="H1452" s="409"/>
      <c r="I1452" s="358"/>
      <c r="J1452" s="442"/>
      <c r="K1452" s="280"/>
      <c r="L1452" s="358"/>
      <c r="M1452" s="579"/>
      <c r="N1452" s="469"/>
      <c r="O1452" s="469"/>
    </row>
    <row r="1453" spans="3:15" ht="17.25">
      <c r="F1453" s="361">
        <v>44357</v>
      </c>
      <c r="G1453" s="361"/>
      <c r="H1453" s="409"/>
      <c r="I1453" s="358"/>
      <c r="J1453" s="442"/>
      <c r="K1453" s="280"/>
      <c r="L1453" s="358"/>
      <c r="M1453" s="579"/>
      <c r="N1453" s="469"/>
      <c r="O1453" s="469"/>
    </row>
    <row r="1454" spans="3:15" ht="17.25">
      <c r="F1454" s="12"/>
      <c r="G1454" s="112" t="s">
        <v>33</v>
      </c>
      <c r="H1454" s="409">
        <v>4187.808</v>
      </c>
      <c r="I1454" s="358">
        <v>44893.303519272558</v>
      </c>
      <c r="J1454" s="442">
        <v>1</v>
      </c>
      <c r="K1454" s="280">
        <v>44893.303519272558</v>
      </c>
      <c r="L1454" s="358">
        <v>46526.55</v>
      </c>
      <c r="M1454" s="579">
        <v>1</v>
      </c>
      <c r="N1454" s="469">
        <v>46526.55</v>
      </c>
      <c r="O1454" s="469">
        <v>-1633.2464807274446</v>
      </c>
    </row>
    <row r="1455" spans="3:15" ht="17.25">
      <c r="F1455" s="12"/>
      <c r="H1455" s="409"/>
      <c r="I1455" s="358"/>
      <c r="J1455" s="442"/>
      <c r="K1455" s="280"/>
      <c r="L1455" s="358"/>
      <c r="M1455" s="579"/>
      <c r="N1455" s="469"/>
      <c r="O1455" s="469"/>
    </row>
    <row r="1456" spans="3:15" ht="17.25">
      <c r="F1456" s="361">
        <v>44330</v>
      </c>
      <c r="G1456" s="361"/>
      <c r="H1456" s="409"/>
      <c r="I1456" s="358"/>
      <c r="J1456" s="442"/>
      <c r="K1456" s="280"/>
      <c r="L1456" s="358"/>
      <c r="M1456" s="579"/>
      <c r="N1456" s="469"/>
      <c r="O1456" s="469"/>
    </row>
    <row r="1457" spans="3:15" ht="17.25">
      <c r="F1457" s="12"/>
      <c r="G1457" s="112" t="s">
        <v>33</v>
      </c>
      <c r="H1457" s="409">
        <v>15807.723</v>
      </c>
      <c r="I1457" s="358">
        <v>169458.79720072786</v>
      </c>
      <c r="J1457" s="442">
        <v>1</v>
      </c>
      <c r="K1457" s="280">
        <v>169458.79720072786</v>
      </c>
      <c r="L1457" s="358">
        <v>175149.57</v>
      </c>
      <c r="M1457" s="579">
        <v>1</v>
      </c>
      <c r="N1457" s="469">
        <v>175149.57</v>
      </c>
      <c r="O1457" s="469">
        <v>-5690.7727992721484</v>
      </c>
    </row>
    <row r="1458" spans="3:15" ht="17.25">
      <c r="F1458" s="12"/>
      <c r="H1458" s="409"/>
      <c r="I1458" s="358"/>
      <c r="J1458" s="442"/>
      <c r="K1458" s="280"/>
      <c r="L1458" s="358"/>
      <c r="M1458" s="579"/>
      <c r="N1458" s="469"/>
      <c r="O1458" s="469"/>
    </row>
    <row r="1459" spans="3:15" ht="17.25">
      <c r="C1459" s="342" t="s">
        <v>355</v>
      </c>
      <c r="D1459" s="342"/>
      <c r="E1459" s="342"/>
      <c r="F1459" s="342"/>
      <c r="G1459" s="342"/>
      <c r="H1459" s="410">
        <v>19995.530999999999</v>
      </c>
      <c r="I1459" s="407">
        <v>214352.10072000042</v>
      </c>
      <c r="J1459" s="460">
        <v>1</v>
      </c>
      <c r="K1459" s="413">
        <v>214352.10072000042</v>
      </c>
      <c r="L1459" s="407">
        <v>221676.12</v>
      </c>
      <c r="M1459" s="580">
        <v>1</v>
      </c>
      <c r="N1459" s="470">
        <v>221676.12</v>
      </c>
      <c r="O1459" s="470">
        <v>-7324.019279999593</v>
      </c>
    </row>
    <row r="1460" spans="3:15" ht="17.25">
      <c r="F1460" s="12"/>
      <c r="H1460" s="409"/>
      <c r="I1460" s="358"/>
      <c r="J1460" s="442"/>
      <c r="K1460" s="280"/>
      <c r="L1460" s="358"/>
      <c r="M1460" s="579"/>
      <c r="N1460" s="469"/>
      <c r="O1460" s="469"/>
    </row>
    <row r="1461" spans="3:15" ht="17.25">
      <c r="C1461" s="12" t="s">
        <v>356</v>
      </c>
      <c r="F1461" s="12"/>
      <c r="H1461" s="409"/>
      <c r="I1461" s="358"/>
      <c r="J1461" s="442"/>
      <c r="K1461" s="280"/>
      <c r="L1461" s="358"/>
      <c r="M1461" s="579"/>
      <c r="N1461" s="469"/>
      <c r="O1461" s="469"/>
    </row>
    <row r="1462" spans="3:15" ht="17.25">
      <c r="D1462" s="361">
        <v>44883</v>
      </c>
      <c r="E1462" s="361"/>
      <c r="F1462" s="361"/>
      <c r="G1462" s="361"/>
      <c r="H1462" s="409"/>
      <c r="I1462" s="358"/>
      <c r="J1462" s="442"/>
      <c r="K1462" s="280"/>
      <c r="L1462" s="358"/>
      <c r="M1462" s="579"/>
      <c r="N1462" s="469"/>
      <c r="O1462" s="469"/>
    </row>
    <row r="1463" spans="3:15" ht="17.25">
      <c r="E1463" s="12" t="s">
        <v>33</v>
      </c>
      <c r="F1463" s="12"/>
      <c r="H1463" s="409"/>
      <c r="I1463" s="358"/>
      <c r="J1463" s="442"/>
      <c r="K1463" s="280"/>
      <c r="L1463" s="358"/>
      <c r="M1463" s="579"/>
      <c r="N1463" s="469"/>
      <c r="O1463" s="469"/>
    </row>
    <row r="1464" spans="3:15" ht="17.25">
      <c r="F1464" s="361">
        <v>43708</v>
      </c>
      <c r="G1464" s="361"/>
      <c r="H1464" s="409"/>
      <c r="I1464" s="358"/>
      <c r="J1464" s="442"/>
      <c r="K1464" s="280"/>
      <c r="L1464" s="358"/>
      <c r="M1464" s="579"/>
      <c r="N1464" s="469"/>
      <c r="O1464" s="469"/>
    </row>
    <row r="1465" spans="3:15" ht="17.25">
      <c r="F1465" s="12"/>
      <c r="G1465" s="112" t="s">
        <v>33</v>
      </c>
      <c r="H1465" s="409">
        <v>7678.04</v>
      </c>
      <c r="I1465" s="358">
        <v>783160.26</v>
      </c>
      <c r="J1465" s="442">
        <v>1</v>
      </c>
      <c r="K1465" s="280">
        <v>783160.26</v>
      </c>
      <c r="L1465" s="358">
        <v>770427.99134002114</v>
      </c>
      <c r="M1465" s="579">
        <v>1</v>
      </c>
      <c r="N1465" s="469">
        <v>770427.99134002114</v>
      </c>
      <c r="O1465" s="469">
        <v>12732.268659978872</v>
      </c>
    </row>
    <row r="1466" spans="3:15" ht="17.25">
      <c r="F1466" s="12"/>
      <c r="H1466" s="409"/>
      <c r="I1466" s="358"/>
      <c r="J1466" s="442"/>
      <c r="K1466" s="280"/>
      <c r="L1466" s="358"/>
      <c r="M1466" s="579"/>
      <c r="N1466" s="469"/>
      <c r="O1466" s="469"/>
    </row>
    <row r="1467" spans="3:15" ht="17.25">
      <c r="C1467" s="342" t="s">
        <v>357</v>
      </c>
      <c r="D1467" s="342"/>
      <c r="E1467" s="342"/>
      <c r="F1467" s="342"/>
      <c r="G1467" s="342"/>
      <c r="H1467" s="410">
        <v>7678.04</v>
      </c>
      <c r="I1467" s="407">
        <v>783160.26</v>
      </c>
      <c r="J1467" s="460">
        <v>1</v>
      </c>
      <c r="K1467" s="413">
        <v>783160.26</v>
      </c>
      <c r="L1467" s="407">
        <v>770427.99134002114</v>
      </c>
      <c r="M1467" s="580">
        <v>1</v>
      </c>
      <c r="N1467" s="470">
        <v>770427.99134002114</v>
      </c>
      <c r="O1467" s="470">
        <v>12732.268659978872</v>
      </c>
    </row>
    <row r="1468" spans="3:15" ht="17.25">
      <c r="F1468" s="12"/>
      <c r="H1468" s="409"/>
      <c r="I1468" s="358"/>
      <c r="J1468" s="442"/>
      <c r="K1468" s="280"/>
      <c r="L1468" s="358"/>
      <c r="M1468" s="579"/>
      <c r="N1468" s="469"/>
      <c r="O1468" s="469"/>
    </row>
    <row r="1469" spans="3:15" ht="17.25">
      <c r="C1469" s="12" t="s">
        <v>358</v>
      </c>
      <c r="F1469" s="12"/>
      <c r="H1469" s="409"/>
      <c r="I1469" s="358"/>
      <c r="J1469" s="442"/>
      <c r="K1469" s="280"/>
      <c r="L1469" s="358"/>
      <c r="M1469" s="579"/>
      <c r="N1469" s="469"/>
      <c r="O1469" s="469"/>
    </row>
    <row r="1470" spans="3:15" ht="17.25">
      <c r="D1470" s="361">
        <v>44853</v>
      </c>
      <c r="E1470" s="361"/>
      <c r="F1470" s="361"/>
      <c r="G1470" s="361"/>
      <c r="H1470" s="409"/>
      <c r="I1470" s="358"/>
      <c r="J1470" s="442"/>
      <c r="K1470" s="280"/>
      <c r="L1470" s="358"/>
      <c r="M1470" s="579"/>
      <c r="N1470" s="469"/>
      <c r="O1470" s="469"/>
    </row>
    <row r="1471" spans="3:15" ht="17.25">
      <c r="E1471" s="12" t="s">
        <v>33</v>
      </c>
      <c r="F1471" s="12"/>
      <c r="H1471" s="409"/>
      <c r="I1471" s="358"/>
      <c r="J1471" s="442"/>
      <c r="K1471" s="280"/>
      <c r="L1471" s="358"/>
      <c r="M1471" s="579"/>
      <c r="N1471" s="469"/>
      <c r="O1471" s="469"/>
    </row>
    <row r="1472" spans="3:15" ht="17.25">
      <c r="F1472" s="361">
        <v>44469</v>
      </c>
      <c r="G1472" s="361"/>
      <c r="H1472" s="409"/>
      <c r="I1472" s="358"/>
      <c r="J1472" s="442"/>
      <c r="K1472" s="280"/>
      <c r="L1472" s="358"/>
      <c r="M1472" s="579"/>
      <c r="N1472" s="469"/>
      <c r="O1472" s="469"/>
    </row>
    <row r="1473" spans="3:15" ht="17.25">
      <c r="F1473" s="12"/>
      <c r="G1473" s="112" t="s">
        <v>33</v>
      </c>
      <c r="H1473" s="409">
        <v>8667.2199999999993</v>
      </c>
      <c r="I1473" s="358">
        <v>8667.2199999999993</v>
      </c>
      <c r="J1473" s="442">
        <v>1</v>
      </c>
      <c r="K1473" s="280">
        <v>8667.2199999999993</v>
      </c>
      <c r="L1473" s="358">
        <v>7540.4813999999997</v>
      </c>
      <c r="M1473" s="579">
        <v>1</v>
      </c>
      <c r="N1473" s="469">
        <v>7540.4813999999997</v>
      </c>
      <c r="O1473" s="469">
        <v>1126.7385999999997</v>
      </c>
    </row>
    <row r="1474" spans="3:15" ht="17.25">
      <c r="F1474" s="12"/>
      <c r="H1474" s="409"/>
      <c r="I1474" s="358"/>
      <c r="J1474" s="442"/>
      <c r="K1474" s="280"/>
      <c r="L1474" s="358"/>
      <c r="M1474" s="579"/>
      <c r="N1474" s="469"/>
      <c r="O1474" s="469"/>
    </row>
    <row r="1475" spans="3:15" ht="17.25">
      <c r="C1475" s="342" t="s">
        <v>359</v>
      </c>
      <c r="D1475" s="342"/>
      <c r="E1475" s="342"/>
      <c r="F1475" s="342"/>
      <c r="G1475" s="342"/>
      <c r="H1475" s="410">
        <v>8667.2199999999993</v>
      </c>
      <c r="I1475" s="407">
        <v>8667.2199999999993</v>
      </c>
      <c r="J1475" s="460">
        <v>1</v>
      </c>
      <c r="K1475" s="413">
        <v>8667.2199999999993</v>
      </c>
      <c r="L1475" s="407">
        <v>7540.4813999999997</v>
      </c>
      <c r="M1475" s="580">
        <v>1</v>
      </c>
      <c r="N1475" s="470">
        <v>7540.4813999999997</v>
      </c>
      <c r="O1475" s="470">
        <v>1126.7385999999997</v>
      </c>
    </row>
    <row r="1476" spans="3:15" ht="17.25">
      <c r="F1476" s="12"/>
      <c r="H1476" s="409"/>
      <c r="I1476" s="358"/>
      <c r="J1476" s="442"/>
      <c r="K1476" s="280"/>
      <c r="L1476" s="358"/>
      <c r="M1476" s="579"/>
      <c r="N1476" s="469"/>
      <c r="O1476" s="469"/>
    </row>
    <row r="1477" spans="3:15" ht="17.25">
      <c r="C1477" s="12" t="s">
        <v>249</v>
      </c>
      <c r="F1477" s="12"/>
      <c r="H1477" s="409"/>
      <c r="I1477" s="358"/>
      <c r="J1477" s="442"/>
      <c r="K1477" s="280"/>
      <c r="L1477" s="358"/>
      <c r="M1477" s="579"/>
      <c r="N1477" s="469"/>
      <c r="O1477" s="469"/>
    </row>
    <row r="1478" spans="3:15" ht="17.25">
      <c r="D1478" s="361">
        <v>44699</v>
      </c>
      <c r="E1478" s="361"/>
      <c r="F1478" s="361"/>
      <c r="G1478" s="361"/>
      <c r="H1478" s="409"/>
      <c r="I1478" s="358"/>
      <c r="J1478" s="442"/>
      <c r="K1478" s="280"/>
      <c r="L1478" s="358"/>
      <c r="M1478" s="579"/>
      <c r="N1478" s="469"/>
      <c r="O1478" s="469"/>
    </row>
    <row r="1479" spans="3:15" ht="17.25">
      <c r="E1479" s="12" t="s">
        <v>33</v>
      </c>
      <c r="F1479" s="12"/>
      <c r="H1479" s="409"/>
      <c r="I1479" s="358"/>
      <c r="J1479" s="442"/>
      <c r="K1479" s="280"/>
      <c r="L1479" s="358"/>
      <c r="M1479" s="579"/>
      <c r="N1479" s="469"/>
      <c r="O1479" s="469"/>
    </row>
    <row r="1480" spans="3:15" ht="17.25">
      <c r="F1480" s="361">
        <v>44469</v>
      </c>
      <c r="G1480" s="361"/>
      <c r="H1480" s="409"/>
      <c r="I1480" s="358"/>
      <c r="J1480" s="442"/>
      <c r="K1480" s="280"/>
      <c r="L1480" s="358"/>
      <c r="M1480" s="579"/>
      <c r="N1480" s="469"/>
      <c r="O1480" s="469"/>
    </row>
    <row r="1481" spans="3:15" ht="17.25">
      <c r="F1481" s="12"/>
      <c r="G1481" s="112" t="s">
        <v>33</v>
      </c>
      <c r="H1481" s="409">
        <v>21029.05</v>
      </c>
      <c r="I1481" s="358">
        <v>21029.05</v>
      </c>
      <c r="J1481" s="442">
        <v>1</v>
      </c>
      <c r="K1481" s="280">
        <v>21029.05</v>
      </c>
      <c r="L1481" s="358">
        <v>15140.915999999999</v>
      </c>
      <c r="M1481" s="579">
        <v>1</v>
      </c>
      <c r="N1481" s="469">
        <v>15140.915999999999</v>
      </c>
      <c r="O1481" s="469">
        <v>5888.134</v>
      </c>
    </row>
    <row r="1482" spans="3:15" ht="17.25">
      <c r="F1482" s="12"/>
      <c r="H1482" s="409"/>
      <c r="I1482" s="358"/>
      <c r="J1482" s="442"/>
      <c r="K1482" s="280"/>
      <c r="L1482" s="358"/>
      <c r="M1482" s="579"/>
      <c r="N1482" s="469"/>
      <c r="O1482" s="469"/>
    </row>
    <row r="1483" spans="3:15" ht="17.25">
      <c r="C1483" s="342" t="s">
        <v>360</v>
      </c>
      <c r="D1483" s="342"/>
      <c r="E1483" s="342"/>
      <c r="F1483" s="342"/>
      <c r="G1483" s="342"/>
      <c r="H1483" s="410">
        <v>21029.05</v>
      </c>
      <c r="I1483" s="407">
        <v>21029.05</v>
      </c>
      <c r="J1483" s="460">
        <v>1</v>
      </c>
      <c r="K1483" s="413">
        <v>21029.05</v>
      </c>
      <c r="L1483" s="407">
        <v>15140.915999999999</v>
      </c>
      <c r="M1483" s="580">
        <v>1</v>
      </c>
      <c r="N1483" s="470">
        <v>15140.915999999999</v>
      </c>
      <c r="O1483" s="470">
        <v>5888.134</v>
      </c>
    </row>
    <row r="1484" spans="3:15" ht="17.25">
      <c r="F1484" s="12"/>
      <c r="H1484" s="409"/>
      <c r="I1484" s="358"/>
      <c r="J1484" s="442"/>
      <c r="K1484" s="280"/>
      <c r="L1484" s="358"/>
      <c r="M1484" s="579"/>
      <c r="N1484" s="469"/>
      <c r="O1484" s="469"/>
    </row>
    <row r="1485" spans="3:15" ht="17.25">
      <c r="C1485" s="12" t="s">
        <v>253</v>
      </c>
      <c r="F1485" s="12"/>
      <c r="H1485" s="409"/>
      <c r="I1485" s="358"/>
      <c r="J1485" s="442"/>
      <c r="K1485" s="280"/>
      <c r="L1485" s="358"/>
      <c r="M1485" s="579"/>
      <c r="N1485" s="469"/>
      <c r="O1485" s="469"/>
    </row>
    <row r="1486" spans="3:15" ht="17.25">
      <c r="D1486" s="361">
        <v>44754</v>
      </c>
      <c r="E1486" s="361"/>
      <c r="F1486" s="361"/>
      <c r="G1486" s="361"/>
      <c r="H1486" s="409"/>
      <c r="I1486" s="358"/>
      <c r="J1486" s="442"/>
      <c r="K1486" s="280"/>
      <c r="L1486" s="358"/>
      <c r="M1486" s="579"/>
      <c r="N1486" s="469"/>
      <c r="O1486" s="469"/>
    </row>
    <row r="1487" spans="3:15" ht="17.25">
      <c r="E1487" s="12" t="s">
        <v>33</v>
      </c>
      <c r="F1487" s="12"/>
      <c r="H1487" s="409"/>
      <c r="I1487" s="358"/>
      <c r="J1487" s="442"/>
      <c r="K1487" s="280"/>
      <c r="L1487" s="358"/>
      <c r="M1487" s="579"/>
      <c r="N1487" s="469"/>
      <c r="O1487" s="469"/>
    </row>
    <row r="1488" spans="3:15" ht="17.25">
      <c r="F1488" s="361">
        <v>44469</v>
      </c>
      <c r="G1488" s="361"/>
      <c r="H1488" s="409"/>
      <c r="I1488" s="358"/>
      <c r="J1488" s="442"/>
      <c r="K1488" s="280"/>
      <c r="L1488" s="358"/>
      <c r="M1488" s="579"/>
      <c r="N1488" s="469"/>
      <c r="O1488" s="469"/>
    </row>
    <row r="1489" spans="3:15" ht="17.25">
      <c r="F1489" s="12"/>
      <c r="G1489" s="112" t="s">
        <v>33</v>
      </c>
      <c r="H1489" s="409">
        <v>5738.18</v>
      </c>
      <c r="I1489" s="358">
        <v>5738.18</v>
      </c>
      <c r="J1489" s="442">
        <v>1</v>
      </c>
      <c r="K1489" s="280">
        <v>5738.18</v>
      </c>
      <c r="L1489" s="358">
        <v>4500</v>
      </c>
      <c r="M1489" s="579">
        <v>1</v>
      </c>
      <c r="N1489" s="469">
        <v>4500</v>
      </c>
      <c r="O1489" s="469">
        <v>1238.1800000000003</v>
      </c>
    </row>
    <row r="1490" spans="3:15" ht="17.25">
      <c r="F1490" s="12"/>
      <c r="H1490" s="409"/>
      <c r="I1490" s="358"/>
      <c r="J1490" s="442"/>
      <c r="K1490" s="280"/>
      <c r="L1490" s="358"/>
      <c r="M1490" s="579"/>
      <c r="N1490" s="469"/>
      <c r="O1490" s="469"/>
    </row>
    <row r="1491" spans="3:15" ht="17.25">
      <c r="C1491" s="342" t="s">
        <v>361</v>
      </c>
      <c r="D1491" s="342"/>
      <c r="E1491" s="342"/>
      <c r="F1491" s="342"/>
      <c r="G1491" s="342"/>
      <c r="H1491" s="410">
        <v>5738.18</v>
      </c>
      <c r="I1491" s="407">
        <v>5738.18</v>
      </c>
      <c r="J1491" s="460">
        <v>1</v>
      </c>
      <c r="K1491" s="413">
        <v>5738.18</v>
      </c>
      <c r="L1491" s="407">
        <v>4500</v>
      </c>
      <c r="M1491" s="580">
        <v>1</v>
      </c>
      <c r="N1491" s="470">
        <v>4500</v>
      </c>
      <c r="O1491" s="470">
        <v>1238.1800000000003</v>
      </c>
    </row>
    <row r="1492" spans="3:15" ht="17.25">
      <c r="F1492" s="12"/>
      <c r="H1492" s="409"/>
      <c r="I1492" s="358"/>
      <c r="J1492" s="442"/>
      <c r="K1492" s="280"/>
      <c r="L1492" s="358"/>
      <c r="M1492" s="579"/>
      <c r="N1492" s="469"/>
      <c r="O1492" s="469"/>
    </row>
    <row r="1493" spans="3:15" ht="17.25">
      <c r="C1493" s="12" t="s">
        <v>254</v>
      </c>
      <c r="F1493" s="12"/>
      <c r="H1493" s="409"/>
      <c r="I1493" s="358"/>
      <c r="J1493" s="442"/>
      <c r="K1493" s="280"/>
      <c r="L1493" s="358"/>
      <c r="M1493" s="579"/>
      <c r="N1493" s="469"/>
      <c r="O1493" s="469"/>
    </row>
    <row r="1494" spans="3:15" ht="17.25">
      <c r="D1494" s="361">
        <v>44774</v>
      </c>
      <c r="E1494" s="361"/>
      <c r="F1494" s="361"/>
      <c r="G1494" s="361"/>
      <c r="H1494" s="409"/>
      <c r="I1494" s="358"/>
      <c r="J1494" s="442"/>
      <c r="K1494" s="280"/>
      <c r="L1494" s="358"/>
      <c r="M1494" s="579"/>
      <c r="N1494" s="469"/>
      <c r="O1494" s="469"/>
    </row>
    <row r="1495" spans="3:15" ht="17.25">
      <c r="E1495" s="12" t="s">
        <v>33</v>
      </c>
      <c r="F1495" s="12"/>
      <c r="H1495" s="409"/>
      <c r="I1495" s="358"/>
      <c r="J1495" s="442"/>
      <c r="K1495" s="280"/>
      <c r="L1495" s="358"/>
      <c r="M1495" s="579"/>
      <c r="N1495" s="469"/>
      <c r="O1495" s="469"/>
    </row>
    <row r="1496" spans="3:15" ht="17.25">
      <c r="F1496" s="361">
        <v>44284</v>
      </c>
      <c r="G1496" s="361"/>
      <c r="H1496" s="409"/>
      <c r="I1496" s="358"/>
      <c r="J1496" s="442"/>
      <c r="K1496" s="280"/>
      <c r="L1496" s="358"/>
      <c r="M1496" s="579"/>
      <c r="N1496" s="469"/>
      <c r="O1496" s="469"/>
    </row>
    <row r="1497" spans="3:15" ht="17.25">
      <c r="F1497" s="12"/>
      <c r="G1497" s="112" t="s">
        <v>33</v>
      </c>
      <c r="H1497" s="409">
        <v>1.49</v>
      </c>
      <c r="I1497" s="358">
        <v>533.36</v>
      </c>
      <c r="J1497" s="442">
        <v>1</v>
      </c>
      <c r="K1497" s="280">
        <v>533.36</v>
      </c>
      <c r="L1497" s="358">
        <v>212.84649999999999</v>
      </c>
      <c r="M1497" s="579">
        <v>1</v>
      </c>
      <c r="N1497" s="469">
        <v>212.84649999999999</v>
      </c>
      <c r="O1497" s="469">
        <v>320.51350000000002</v>
      </c>
    </row>
    <row r="1498" spans="3:15" ht="17.25">
      <c r="F1498" s="12"/>
      <c r="H1498" s="409"/>
      <c r="I1498" s="358"/>
      <c r="J1498" s="442"/>
      <c r="K1498" s="280"/>
      <c r="L1498" s="358"/>
      <c r="M1498" s="579"/>
      <c r="N1498" s="469"/>
      <c r="O1498" s="469"/>
    </row>
    <row r="1499" spans="3:15" ht="17.25">
      <c r="C1499" s="342" t="s">
        <v>362</v>
      </c>
      <c r="D1499" s="342"/>
      <c r="E1499" s="342"/>
      <c r="F1499" s="342"/>
      <c r="G1499" s="342"/>
      <c r="H1499" s="410">
        <v>1.49</v>
      </c>
      <c r="I1499" s="407">
        <v>533.36</v>
      </c>
      <c r="J1499" s="460">
        <v>1</v>
      </c>
      <c r="K1499" s="413">
        <v>533.36</v>
      </c>
      <c r="L1499" s="407">
        <v>212.84649999999999</v>
      </c>
      <c r="M1499" s="580">
        <v>1</v>
      </c>
      <c r="N1499" s="470">
        <v>212.84649999999999</v>
      </c>
      <c r="O1499" s="470">
        <v>320.51350000000002</v>
      </c>
    </row>
    <row r="1500" spans="3:15" ht="17.25">
      <c r="F1500" s="12"/>
      <c r="H1500" s="409"/>
      <c r="I1500" s="358"/>
      <c r="J1500" s="442"/>
      <c r="K1500" s="280"/>
      <c r="L1500" s="358"/>
      <c r="M1500" s="579"/>
      <c r="N1500" s="469"/>
      <c r="O1500" s="469"/>
    </row>
    <row r="1501" spans="3:15" ht="17.25">
      <c r="C1501" s="12" t="s">
        <v>244</v>
      </c>
      <c r="F1501" s="12"/>
      <c r="H1501" s="409"/>
      <c r="I1501" s="358"/>
      <c r="J1501" s="442"/>
      <c r="K1501" s="280"/>
      <c r="L1501" s="358"/>
      <c r="M1501" s="579"/>
      <c r="N1501" s="469"/>
      <c r="O1501" s="469"/>
    </row>
    <row r="1502" spans="3:15" ht="17.25">
      <c r="D1502" s="361">
        <v>44595</v>
      </c>
      <c r="E1502" s="361"/>
      <c r="F1502" s="361"/>
      <c r="G1502" s="361"/>
      <c r="H1502" s="409"/>
      <c r="I1502" s="358"/>
      <c r="J1502" s="442"/>
      <c r="K1502" s="280"/>
      <c r="L1502" s="358"/>
      <c r="M1502" s="579"/>
      <c r="N1502" s="469"/>
      <c r="O1502" s="469"/>
    </row>
    <row r="1503" spans="3:15" ht="17.25">
      <c r="E1503" s="12" t="s">
        <v>337</v>
      </c>
      <c r="F1503" s="12"/>
      <c r="H1503" s="409"/>
      <c r="I1503" s="358"/>
      <c r="J1503" s="442"/>
      <c r="K1503" s="280"/>
      <c r="L1503" s="358"/>
      <c r="M1503" s="579"/>
      <c r="N1503" s="469"/>
      <c r="O1503" s="469"/>
    </row>
    <row r="1504" spans="3:15" ht="17.25">
      <c r="F1504" s="361">
        <v>43830</v>
      </c>
      <c r="G1504" s="361"/>
      <c r="H1504" s="409"/>
      <c r="I1504" s="358"/>
      <c r="J1504" s="442"/>
      <c r="K1504" s="280"/>
      <c r="L1504" s="358"/>
      <c r="M1504" s="579"/>
      <c r="N1504" s="469"/>
      <c r="O1504" s="469"/>
    </row>
    <row r="1505" spans="3:15" ht="17.25">
      <c r="F1505" s="12"/>
      <c r="G1505" s="112" t="s">
        <v>337</v>
      </c>
      <c r="H1505" s="409">
        <v>1009</v>
      </c>
      <c r="I1505" s="358">
        <v>182255.91201107012</v>
      </c>
      <c r="J1505" s="442">
        <v>1.1228499999999999</v>
      </c>
      <c r="K1505" s="280">
        <v>204646.05080163007</v>
      </c>
      <c r="L1505" s="358">
        <v>153137.87</v>
      </c>
      <c r="M1505" s="579">
        <v>1.1225000000000001</v>
      </c>
      <c r="N1505" s="469">
        <v>171897.25907500001</v>
      </c>
      <c r="O1505" s="469">
        <v>32748.791726630065</v>
      </c>
    </row>
    <row r="1506" spans="3:15" ht="17.25">
      <c r="F1506" s="12"/>
      <c r="H1506" s="409"/>
      <c r="I1506" s="358"/>
      <c r="J1506" s="442"/>
      <c r="K1506" s="280"/>
      <c r="L1506" s="358"/>
      <c r="M1506" s="579"/>
      <c r="N1506" s="469"/>
      <c r="O1506" s="469"/>
    </row>
    <row r="1507" spans="3:15" ht="17.25">
      <c r="F1507" s="361">
        <v>44357</v>
      </c>
      <c r="G1507" s="361"/>
      <c r="H1507" s="409"/>
      <c r="I1507" s="358"/>
      <c r="J1507" s="442"/>
      <c r="K1507" s="280"/>
      <c r="L1507" s="358"/>
      <c r="M1507" s="579"/>
      <c r="N1507" s="469"/>
      <c r="O1507" s="469"/>
    </row>
    <row r="1508" spans="3:15" ht="17.25">
      <c r="F1508" s="12"/>
      <c r="G1508" s="112" t="s">
        <v>337</v>
      </c>
      <c r="H1508" s="409">
        <v>75</v>
      </c>
      <c r="I1508" s="358">
        <v>13547.267988929889</v>
      </c>
      <c r="J1508" s="442">
        <v>1.1228499999999999</v>
      </c>
      <c r="K1508" s="280">
        <v>15211.549861369924</v>
      </c>
      <c r="L1508" s="358">
        <v>12931.81</v>
      </c>
      <c r="M1508" s="579">
        <v>1.1856</v>
      </c>
      <c r="N1508" s="469">
        <v>15331.953936</v>
      </c>
      <c r="O1508" s="469">
        <v>-120.40407463007614</v>
      </c>
    </row>
    <row r="1509" spans="3:15" ht="17.25">
      <c r="F1509" s="12"/>
      <c r="H1509" s="409"/>
      <c r="I1509" s="358"/>
      <c r="J1509" s="442"/>
      <c r="K1509" s="280"/>
      <c r="L1509" s="358"/>
      <c r="M1509" s="579"/>
      <c r="N1509" s="469"/>
      <c r="O1509" s="469"/>
    </row>
    <row r="1510" spans="3:15" ht="17.25">
      <c r="C1510" s="342" t="s">
        <v>363</v>
      </c>
      <c r="D1510" s="342"/>
      <c r="E1510" s="342"/>
      <c r="F1510" s="342"/>
      <c r="G1510" s="342"/>
      <c r="H1510" s="410">
        <v>1084</v>
      </c>
      <c r="I1510" s="407">
        <v>195803.18</v>
      </c>
      <c r="J1510" s="460">
        <v>1.1228499999999999</v>
      </c>
      <c r="K1510" s="413">
        <v>219857.60066299999</v>
      </c>
      <c r="L1510" s="407">
        <v>166069.68</v>
      </c>
      <c r="M1510" s="580">
        <v>1.15405</v>
      </c>
      <c r="N1510" s="470">
        <v>187229.21301100001</v>
      </c>
      <c r="O1510" s="470">
        <v>32628.38765199999</v>
      </c>
    </row>
    <row r="1511" spans="3:15" ht="17.25">
      <c r="F1511" s="12"/>
      <c r="H1511" s="409"/>
      <c r="I1511" s="358"/>
      <c r="J1511" s="442"/>
      <c r="K1511" s="280"/>
      <c r="L1511" s="358"/>
      <c r="M1511" s="579"/>
      <c r="N1511" s="469"/>
      <c r="O1511" s="469"/>
    </row>
    <row r="1512" spans="3:15" ht="17.25">
      <c r="C1512" s="12" t="s">
        <v>245</v>
      </c>
      <c r="F1512" s="12"/>
      <c r="H1512" s="409"/>
      <c r="I1512" s="358"/>
      <c r="J1512" s="442"/>
      <c r="K1512" s="280"/>
      <c r="L1512" s="358"/>
      <c r="M1512" s="579"/>
      <c r="N1512" s="469"/>
      <c r="O1512" s="469"/>
    </row>
    <row r="1513" spans="3:15" ht="17.25">
      <c r="D1513" s="361">
        <v>44595</v>
      </c>
      <c r="E1513" s="361"/>
      <c r="F1513" s="361"/>
      <c r="G1513" s="361"/>
      <c r="H1513" s="409"/>
      <c r="I1513" s="358"/>
      <c r="J1513" s="442"/>
      <c r="K1513" s="280"/>
      <c r="L1513" s="358"/>
      <c r="M1513" s="579"/>
      <c r="N1513" s="469"/>
      <c r="O1513" s="469"/>
    </row>
    <row r="1514" spans="3:15" ht="17.25">
      <c r="E1514" s="12" t="s">
        <v>337</v>
      </c>
      <c r="F1514" s="12"/>
      <c r="H1514" s="409"/>
      <c r="I1514" s="358"/>
      <c r="J1514" s="442"/>
      <c r="K1514" s="280"/>
      <c r="L1514" s="358"/>
      <c r="M1514" s="579"/>
      <c r="N1514" s="469"/>
      <c r="O1514" s="469"/>
    </row>
    <row r="1515" spans="3:15" ht="17.25">
      <c r="F1515" s="361">
        <v>44357</v>
      </c>
      <c r="G1515" s="361"/>
      <c r="H1515" s="409"/>
      <c r="I1515" s="358"/>
      <c r="J1515" s="442"/>
      <c r="K1515" s="280"/>
      <c r="L1515" s="358"/>
      <c r="M1515" s="579"/>
      <c r="N1515" s="469"/>
      <c r="O1515" s="469"/>
    </row>
    <row r="1516" spans="3:15" ht="17.25">
      <c r="F1516" s="12"/>
      <c r="G1516" s="112" t="s">
        <v>337</v>
      </c>
      <c r="H1516" s="409">
        <v>300</v>
      </c>
      <c r="I1516" s="358">
        <v>46143.455999999998</v>
      </c>
      <c r="J1516" s="442">
        <v>1.1228499999999999</v>
      </c>
      <c r="K1516" s="280">
        <v>51812.179569599997</v>
      </c>
      <c r="L1516" s="358">
        <v>43795.500000000007</v>
      </c>
      <c r="M1516" s="579">
        <v>1.1856</v>
      </c>
      <c r="N1516" s="469">
        <v>51923.944800000005</v>
      </c>
      <c r="O1516" s="469">
        <v>-111.76523040000757</v>
      </c>
    </row>
    <row r="1517" spans="3:15" ht="17.25">
      <c r="F1517" s="12"/>
      <c r="H1517" s="409"/>
      <c r="I1517" s="358"/>
      <c r="J1517" s="442"/>
      <c r="K1517" s="280"/>
      <c r="L1517" s="358"/>
      <c r="M1517" s="579"/>
      <c r="N1517" s="469"/>
      <c r="O1517" s="469"/>
    </row>
    <row r="1518" spans="3:15" ht="17.25">
      <c r="F1518" s="361">
        <v>44216</v>
      </c>
      <c r="G1518" s="361"/>
      <c r="H1518" s="409"/>
      <c r="I1518" s="358"/>
      <c r="J1518" s="442"/>
      <c r="K1518" s="280"/>
      <c r="L1518" s="358"/>
      <c r="M1518" s="579"/>
      <c r="N1518" s="469"/>
      <c r="O1518" s="469"/>
    </row>
    <row r="1519" spans="3:15" ht="17.25">
      <c r="F1519" s="12"/>
      <c r="G1519" s="112" t="s">
        <v>337</v>
      </c>
      <c r="H1519" s="409">
        <v>950</v>
      </c>
      <c r="I1519" s="358">
        <v>146120.94399999999</v>
      </c>
      <c r="J1519" s="442">
        <v>1.1228499999999999</v>
      </c>
      <c r="K1519" s="280">
        <v>164071.90197039998</v>
      </c>
      <c r="L1519" s="358">
        <v>141687.57999999999</v>
      </c>
      <c r="M1519" s="579">
        <v>1.2145999999999999</v>
      </c>
      <c r="N1519" s="469">
        <v>172093.73466799996</v>
      </c>
      <c r="O1519" s="469">
        <v>-8021.8326975999807</v>
      </c>
    </row>
    <row r="1520" spans="3:15" ht="17.25">
      <c r="F1520" s="12"/>
      <c r="H1520" s="409"/>
      <c r="I1520" s="358"/>
      <c r="J1520" s="442"/>
      <c r="K1520" s="280"/>
      <c r="L1520" s="358"/>
      <c r="M1520" s="579"/>
      <c r="N1520" s="469"/>
      <c r="O1520" s="469"/>
    </row>
    <row r="1521" spans="3:15" ht="17.25">
      <c r="C1521" s="342" t="s">
        <v>364</v>
      </c>
      <c r="D1521" s="342"/>
      <c r="E1521" s="342"/>
      <c r="F1521" s="342"/>
      <c r="G1521" s="342"/>
      <c r="H1521" s="410">
        <v>1250</v>
      </c>
      <c r="I1521" s="407">
        <v>192264.4</v>
      </c>
      <c r="J1521" s="460">
        <v>1.1228499999999999</v>
      </c>
      <c r="K1521" s="413">
        <v>215884.08153999998</v>
      </c>
      <c r="L1521" s="407">
        <v>185483.08</v>
      </c>
      <c r="M1521" s="580">
        <v>1.2000999999999999</v>
      </c>
      <c r="N1521" s="470">
        <v>224017.67946799996</v>
      </c>
      <c r="O1521" s="470">
        <v>-8133.5979279999883</v>
      </c>
    </row>
    <row r="1522" spans="3:15" ht="17.25">
      <c r="F1522" s="12"/>
      <c r="H1522" s="409"/>
      <c r="I1522" s="358"/>
      <c r="J1522" s="442"/>
      <c r="K1522" s="280"/>
      <c r="L1522" s="358"/>
      <c r="M1522" s="579"/>
      <c r="N1522" s="469"/>
      <c r="O1522" s="469"/>
    </row>
    <row r="1523" spans="3:15" ht="17.25">
      <c r="C1523" s="12" t="s">
        <v>259</v>
      </c>
      <c r="F1523" s="12"/>
      <c r="H1523" s="409"/>
      <c r="I1523" s="358"/>
      <c r="J1523" s="442"/>
      <c r="K1523" s="280"/>
      <c r="L1523" s="358"/>
      <c r="M1523" s="579"/>
      <c r="N1523" s="469"/>
      <c r="O1523" s="469"/>
    </row>
    <row r="1524" spans="3:15" ht="17.25">
      <c r="D1524" s="361">
        <v>44656</v>
      </c>
      <c r="E1524" s="361"/>
      <c r="F1524" s="361"/>
      <c r="G1524" s="361"/>
      <c r="H1524" s="409"/>
      <c r="I1524" s="358"/>
      <c r="J1524" s="442"/>
      <c r="K1524" s="280"/>
      <c r="L1524" s="358"/>
      <c r="M1524" s="579"/>
      <c r="N1524" s="469"/>
      <c r="O1524" s="469"/>
    </row>
    <row r="1525" spans="3:15" ht="17.25">
      <c r="E1525" s="12" t="s">
        <v>33</v>
      </c>
      <c r="F1525" s="12"/>
      <c r="H1525" s="409"/>
      <c r="I1525" s="358"/>
      <c r="J1525" s="442"/>
      <c r="K1525" s="280"/>
      <c r="L1525" s="358"/>
      <c r="M1525" s="579"/>
      <c r="N1525" s="469"/>
      <c r="O1525" s="469"/>
    </row>
    <row r="1526" spans="3:15" ht="17.25">
      <c r="F1526" s="361">
        <v>44196</v>
      </c>
      <c r="G1526" s="361"/>
      <c r="H1526" s="409"/>
      <c r="I1526" s="358"/>
      <c r="J1526" s="442"/>
      <c r="K1526" s="280"/>
      <c r="L1526" s="358"/>
      <c r="M1526" s="579"/>
      <c r="N1526" s="469"/>
      <c r="O1526" s="469"/>
    </row>
    <row r="1527" spans="3:15" ht="17.25">
      <c r="F1527" s="12"/>
      <c r="G1527" s="112" t="s">
        <v>33</v>
      </c>
      <c r="H1527" s="409">
        <v>34.729999999999997</v>
      </c>
      <c r="I1527" s="358">
        <v>37358.089999999997</v>
      </c>
      <c r="J1527" s="442">
        <v>1</v>
      </c>
      <c r="K1527" s="280">
        <v>37358.089999999997</v>
      </c>
      <c r="L1527" s="358">
        <v>29997.922352055484</v>
      </c>
      <c r="M1527" s="579">
        <v>1</v>
      </c>
      <c r="N1527" s="469">
        <v>29997.922352055484</v>
      </c>
      <c r="O1527" s="469">
        <v>7360.1676479445123</v>
      </c>
    </row>
    <row r="1528" spans="3:15" ht="17.25">
      <c r="F1528" s="12"/>
      <c r="H1528" s="409"/>
      <c r="I1528" s="358"/>
      <c r="J1528" s="442"/>
      <c r="K1528" s="280"/>
      <c r="L1528" s="358"/>
      <c r="M1528" s="579"/>
      <c r="N1528" s="469"/>
      <c r="O1528" s="469"/>
    </row>
    <row r="1529" spans="3:15" ht="17.25">
      <c r="D1529" s="361">
        <v>44742</v>
      </c>
      <c r="E1529" s="361"/>
      <c r="F1529" s="361"/>
      <c r="G1529" s="361"/>
      <c r="H1529" s="409"/>
      <c r="I1529" s="358"/>
      <c r="J1529" s="442"/>
      <c r="K1529" s="280"/>
      <c r="L1529" s="358"/>
      <c r="M1529" s="579"/>
      <c r="N1529" s="469"/>
      <c r="O1529" s="469"/>
    </row>
    <row r="1530" spans="3:15" ht="17.25">
      <c r="E1530" s="12" t="s">
        <v>33</v>
      </c>
      <c r="F1530" s="12"/>
      <c r="H1530" s="409"/>
      <c r="I1530" s="358"/>
      <c r="J1530" s="442"/>
      <c r="K1530" s="280"/>
      <c r="L1530" s="358"/>
      <c r="M1530" s="579"/>
      <c r="N1530" s="469"/>
      <c r="O1530" s="469"/>
    </row>
    <row r="1531" spans="3:15" ht="17.25">
      <c r="F1531" s="361">
        <v>44196</v>
      </c>
      <c r="G1531" s="361"/>
      <c r="H1531" s="409"/>
      <c r="I1531" s="358"/>
      <c r="J1531" s="442"/>
      <c r="K1531" s="280"/>
      <c r="L1531" s="358"/>
      <c r="M1531" s="579"/>
      <c r="N1531" s="469"/>
      <c r="O1531" s="469"/>
    </row>
    <row r="1532" spans="3:15" ht="17.25">
      <c r="F1532" s="12"/>
      <c r="G1532" s="112" t="s">
        <v>33</v>
      </c>
      <c r="H1532" s="409">
        <v>26.05</v>
      </c>
      <c r="I1532" s="358">
        <v>28537.49</v>
      </c>
      <c r="J1532" s="442">
        <v>1</v>
      </c>
      <c r="K1532" s="280">
        <v>28537.49</v>
      </c>
      <c r="L1532" s="358">
        <v>22500.601130752821</v>
      </c>
      <c r="M1532" s="579">
        <v>1</v>
      </c>
      <c r="N1532" s="469">
        <v>22500.601130752821</v>
      </c>
      <c r="O1532" s="469">
        <v>6036.888869247181</v>
      </c>
    </row>
    <row r="1533" spans="3:15" ht="17.25">
      <c r="F1533" s="12"/>
      <c r="H1533" s="409"/>
      <c r="I1533" s="358"/>
      <c r="J1533" s="442"/>
      <c r="K1533" s="280"/>
      <c r="L1533" s="358"/>
      <c r="M1533" s="579"/>
      <c r="N1533" s="469"/>
      <c r="O1533" s="469"/>
    </row>
    <row r="1534" spans="3:15" ht="17.25">
      <c r="D1534" s="361">
        <v>44805</v>
      </c>
      <c r="E1534" s="361"/>
      <c r="F1534" s="361"/>
      <c r="G1534" s="361"/>
      <c r="H1534" s="409"/>
      <c r="I1534" s="358"/>
      <c r="J1534" s="442"/>
      <c r="K1534" s="280"/>
      <c r="L1534" s="358"/>
      <c r="M1534" s="579"/>
      <c r="N1534" s="469"/>
      <c r="O1534" s="469"/>
    </row>
    <row r="1535" spans="3:15" ht="17.25">
      <c r="E1535" s="12" t="s">
        <v>33</v>
      </c>
      <c r="F1535" s="12"/>
      <c r="H1535" s="409"/>
      <c r="I1535" s="358"/>
      <c r="J1535" s="442"/>
      <c r="K1535" s="280"/>
      <c r="L1535" s="358"/>
      <c r="M1535" s="579"/>
      <c r="N1535" s="469"/>
      <c r="O1535" s="469"/>
    </row>
    <row r="1536" spans="3:15" ht="17.25">
      <c r="F1536" s="361">
        <v>44196</v>
      </c>
      <c r="G1536" s="361"/>
      <c r="H1536" s="409"/>
      <c r="I1536" s="358"/>
      <c r="J1536" s="442"/>
      <c r="K1536" s="280"/>
      <c r="L1536" s="358"/>
      <c r="M1536" s="579"/>
      <c r="N1536" s="469"/>
      <c r="O1536" s="469"/>
    </row>
    <row r="1537" spans="3:15" ht="17.25">
      <c r="F1537" s="12"/>
      <c r="G1537" s="112" t="s">
        <v>33</v>
      </c>
      <c r="H1537" s="409">
        <v>78.150000000000006</v>
      </c>
      <c r="I1537" s="358">
        <v>81505.98</v>
      </c>
      <c r="J1537" s="442">
        <v>1</v>
      </c>
      <c r="K1537" s="280">
        <v>81505.98</v>
      </c>
      <c r="L1537" s="358">
        <v>67501.803392258473</v>
      </c>
      <c r="M1537" s="579">
        <v>1</v>
      </c>
      <c r="N1537" s="469">
        <v>67501.803392258473</v>
      </c>
      <c r="O1537" s="469">
        <v>14004.176607741523</v>
      </c>
    </row>
    <row r="1538" spans="3:15" ht="17.25">
      <c r="F1538" s="12"/>
      <c r="H1538" s="409"/>
      <c r="I1538" s="358"/>
      <c r="J1538" s="442"/>
      <c r="K1538" s="280"/>
      <c r="L1538" s="358"/>
      <c r="M1538" s="579"/>
      <c r="N1538" s="469"/>
      <c r="O1538" s="469"/>
    </row>
    <row r="1539" spans="3:15" ht="17.25">
      <c r="C1539" s="342" t="s">
        <v>365</v>
      </c>
      <c r="D1539" s="342"/>
      <c r="E1539" s="342"/>
      <c r="F1539" s="342"/>
      <c r="G1539" s="342"/>
      <c r="H1539" s="410">
        <v>138.93</v>
      </c>
      <c r="I1539" s="407">
        <v>147401.56</v>
      </c>
      <c r="J1539" s="460">
        <v>1</v>
      </c>
      <c r="K1539" s="413">
        <v>147401.56</v>
      </c>
      <c r="L1539" s="407">
        <v>120000.32687506678</v>
      </c>
      <c r="M1539" s="580">
        <v>1</v>
      </c>
      <c r="N1539" s="470">
        <v>120000.32687506678</v>
      </c>
      <c r="O1539" s="470">
        <v>27401.233124933216</v>
      </c>
    </row>
    <row r="1540" spans="3:15" ht="17.25">
      <c r="F1540" s="12"/>
      <c r="H1540" s="409"/>
      <c r="I1540" s="358"/>
      <c r="J1540" s="442"/>
      <c r="K1540" s="280"/>
      <c r="L1540" s="358"/>
      <c r="M1540" s="579"/>
      <c r="N1540" s="469"/>
      <c r="O1540" s="469"/>
    </row>
    <row r="1541" spans="3:15" ht="17.25">
      <c r="C1541" s="12" t="s">
        <v>366</v>
      </c>
      <c r="F1541" s="12"/>
      <c r="H1541" s="409"/>
      <c r="I1541" s="358"/>
      <c r="J1541" s="442"/>
      <c r="K1541" s="280"/>
      <c r="L1541" s="358"/>
      <c r="M1541" s="579"/>
      <c r="N1541" s="469"/>
      <c r="O1541" s="469"/>
    </row>
    <row r="1542" spans="3:15" ht="17.25">
      <c r="D1542" s="361">
        <v>44840</v>
      </c>
      <c r="E1542" s="361"/>
      <c r="F1542" s="361"/>
      <c r="G1542" s="361"/>
      <c r="H1542" s="409"/>
      <c r="I1542" s="358"/>
      <c r="J1542" s="442"/>
      <c r="K1542" s="280"/>
      <c r="L1542" s="358"/>
      <c r="M1542" s="579"/>
      <c r="N1542" s="469"/>
      <c r="O1542" s="469"/>
    </row>
    <row r="1543" spans="3:15" ht="17.25">
      <c r="E1543" s="12" t="s">
        <v>33</v>
      </c>
      <c r="F1543" s="12"/>
      <c r="H1543" s="409"/>
      <c r="I1543" s="358"/>
      <c r="J1543" s="442"/>
      <c r="K1543" s="280"/>
      <c r="L1543" s="358"/>
      <c r="M1543" s="579"/>
      <c r="N1543" s="469"/>
      <c r="O1543" s="469"/>
    </row>
    <row r="1544" spans="3:15" ht="17.25">
      <c r="F1544" s="361">
        <v>43830</v>
      </c>
      <c r="G1544" s="361"/>
      <c r="H1544" s="409"/>
      <c r="I1544" s="358"/>
      <c r="J1544" s="442"/>
      <c r="K1544" s="280"/>
      <c r="L1544" s="358"/>
      <c r="M1544" s="579"/>
      <c r="N1544" s="469"/>
      <c r="O1544" s="469"/>
    </row>
    <row r="1545" spans="3:15" ht="17.25">
      <c r="F1545" s="12"/>
      <c r="G1545" s="112" t="s">
        <v>33</v>
      </c>
      <c r="H1545" s="409">
        <v>338</v>
      </c>
      <c r="I1545" s="358">
        <v>24204.23</v>
      </c>
      <c r="J1545" s="442">
        <v>1</v>
      </c>
      <c r="K1545" s="280">
        <v>24204.23</v>
      </c>
      <c r="L1545" s="358">
        <v>16024.45381404324</v>
      </c>
      <c r="M1545" s="579">
        <v>1</v>
      </c>
      <c r="N1545" s="469">
        <v>16024.45381404324</v>
      </c>
      <c r="O1545" s="469">
        <v>8179.7761859567599</v>
      </c>
    </row>
    <row r="1546" spans="3:15" ht="17.25">
      <c r="F1546" s="12"/>
      <c r="H1546" s="409"/>
      <c r="I1546" s="358"/>
      <c r="J1546" s="442"/>
      <c r="K1546" s="280"/>
      <c r="L1546" s="358"/>
      <c r="M1546" s="579"/>
      <c r="N1546" s="469"/>
      <c r="O1546" s="469"/>
    </row>
    <row r="1547" spans="3:15" ht="17.25">
      <c r="C1547" s="342" t="s">
        <v>367</v>
      </c>
      <c r="D1547" s="342"/>
      <c r="E1547" s="342"/>
      <c r="F1547" s="342"/>
      <c r="G1547" s="342"/>
      <c r="H1547" s="410">
        <v>338</v>
      </c>
      <c r="I1547" s="407">
        <v>24204.23</v>
      </c>
      <c r="J1547" s="460">
        <v>1</v>
      </c>
      <c r="K1547" s="413">
        <v>24204.23</v>
      </c>
      <c r="L1547" s="407">
        <v>16024.45381404324</v>
      </c>
      <c r="M1547" s="580">
        <v>1</v>
      </c>
      <c r="N1547" s="470">
        <v>16024.45381404324</v>
      </c>
      <c r="O1547" s="470">
        <v>8179.7761859567599</v>
      </c>
    </row>
    <row r="1548" spans="3:15" ht="17.25">
      <c r="F1548" s="12"/>
      <c r="H1548" s="409"/>
      <c r="I1548" s="358"/>
      <c r="J1548" s="442"/>
      <c r="K1548" s="280"/>
      <c r="L1548" s="358"/>
      <c r="M1548" s="579"/>
      <c r="N1548" s="469"/>
      <c r="O1548" s="469"/>
    </row>
    <row r="1549" spans="3:15" ht="17.25">
      <c r="C1549" s="12" t="s">
        <v>255</v>
      </c>
      <c r="F1549" s="12"/>
      <c r="H1549" s="409"/>
      <c r="I1549" s="358"/>
      <c r="J1549" s="442"/>
      <c r="K1549" s="280"/>
      <c r="L1549" s="358"/>
      <c r="M1549" s="579"/>
      <c r="N1549" s="469"/>
      <c r="O1549" s="469"/>
    </row>
    <row r="1550" spans="3:15" ht="17.25">
      <c r="D1550" s="361">
        <v>44777</v>
      </c>
      <c r="E1550" s="361"/>
      <c r="F1550" s="361"/>
      <c r="G1550" s="361"/>
      <c r="H1550" s="409"/>
      <c r="I1550" s="358"/>
      <c r="J1550" s="442"/>
      <c r="K1550" s="280"/>
      <c r="L1550" s="358"/>
      <c r="M1550" s="579"/>
      <c r="N1550" s="469"/>
      <c r="O1550" s="469"/>
    </row>
    <row r="1551" spans="3:15" ht="17.25">
      <c r="E1551" s="12" t="s">
        <v>337</v>
      </c>
      <c r="F1551" s="12"/>
      <c r="H1551" s="409"/>
      <c r="I1551" s="358"/>
      <c r="J1551" s="442"/>
      <c r="K1551" s="280"/>
      <c r="L1551" s="358"/>
      <c r="M1551" s="579"/>
      <c r="N1551" s="469"/>
      <c r="O1551" s="469"/>
    </row>
    <row r="1552" spans="3:15" ht="17.25">
      <c r="F1552" s="361">
        <v>44357</v>
      </c>
      <c r="G1552" s="361"/>
      <c r="H1552" s="409"/>
      <c r="I1552" s="358"/>
      <c r="J1552" s="442"/>
      <c r="K1552" s="280"/>
      <c r="L1552" s="358"/>
      <c r="M1552" s="579"/>
      <c r="N1552" s="469"/>
      <c r="O1552" s="469"/>
    </row>
    <row r="1553" spans="2:15" ht="17.25">
      <c r="F1553" s="12"/>
      <c r="G1553" s="112" t="s">
        <v>337</v>
      </c>
      <c r="H1553" s="409">
        <v>510</v>
      </c>
      <c r="I1553" s="358">
        <v>30249.716470588235</v>
      </c>
      <c r="J1553" s="442">
        <v>1.0056</v>
      </c>
      <c r="K1553" s="280">
        <v>30419.114882823531</v>
      </c>
      <c r="L1553" s="358">
        <v>32153.15</v>
      </c>
      <c r="M1553" s="579">
        <v>1.1856</v>
      </c>
      <c r="N1553" s="469">
        <v>38120.774640000003</v>
      </c>
      <c r="O1553" s="469">
        <v>-7701.6597571764723</v>
      </c>
    </row>
    <row r="1554" spans="2:15" ht="17.25">
      <c r="F1554" s="12"/>
      <c r="H1554" s="409"/>
      <c r="I1554" s="358"/>
      <c r="J1554" s="442"/>
      <c r="K1554" s="280"/>
      <c r="L1554" s="358"/>
      <c r="M1554" s="579"/>
      <c r="N1554" s="469"/>
      <c r="O1554" s="469"/>
    </row>
    <row r="1555" spans="2:15" ht="17.25">
      <c r="F1555" s="361">
        <v>44329</v>
      </c>
      <c r="G1555" s="361"/>
      <c r="H1555" s="409"/>
      <c r="I1555" s="358"/>
      <c r="J1555" s="442"/>
      <c r="K1555" s="280"/>
      <c r="L1555" s="358"/>
      <c r="M1555" s="579"/>
      <c r="N1555" s="469"/>
      <c r="O1555" s="469"/>
    </row>
    <row r="1556" spans="2:15" ht="17.25">
      <c r="F1556" s="12"/>
      <c r="G1556" s="112" t="s">
        <v>337</v>
      </c>
      <c r="H1556" s="409">
        <v>2380</v>
      </c>
      <c r="I1556" s="358">
        <v>141165.34352941177</v>
      </c>
      <c r="J1556" s="442">
        <v>1.0056</v>
      </c>
      <c r="K1556" s="280">
        <v>141955.86945317648</v>
      </c>
      <c r="L1556" s="358">
        <v>142325.03</v>
      </c>
      <c r="M1556" s="579">
        <v>1.22245</v>
      </c>
      <c r="N1556" s="469">
        <v>173985.23292350001</v>
      </c>
      <c r="O1556" s="469">
        <v>-32029.363470323529</v>
      </c>
    </row>
    <row r="1557" spans="2:15" ht="17.25">
      <c r="F1557" s="12"/>
      <c r="H1557" s="409"/>
      <c r="I1557" s="358"/>
      <c r="J1557" s="442"/>
      <c r="K1557" s="280"/>
      <c r="L1557" s="358"/>
      <c r="M1557" s="579"/>
      <c r="N1557" s="469"/>
      <c r="O1557" s="469"/>
    </row>
    <row r="1558" spans="2:15" ht="17.25">
      <c r="C1558" s="342" t="s">
        <v>368</v>
      </c>
      <c r="D1558" s="342"/>
      <c r="E1558" s="342"/>
      <c r="F1558" s="342"/>
      <c r="G1558" s="342"/>
      <c r="H1558" s="410">
        <v>2890</v>
      </c>
      <c r="I1558" s="407">
        <v>171415.06</v>
      </c>
      <c r="J1558" s="460">
        <v>1.0056</v>
      </c>
      <c r="K1558" s="413">
        <v>172374.98433599999</v>
      </c>
      <c r="L1558" s="407">
        <v>174478.18</v>
      </c>
      <c r="M1558" s="580">
        <v>1.2040250000000001</v>
      </c>
      <c r="N1558" s="470">
        <v>212106.00756350002</v>
      </c>
      <c r="O1558" s="470">
        <v>-39731.023227500002</v>
      </c>
    </row>
    <row r="1559" spans="2:15" ht="17.25">
      <c r="F1559" s="12"/>
      <c r="H1559" s="409"/>
      <c r="I1559" s="358"/>
      <c r="J1559" s="442"/>
      <c r="K1559" s="280"/>
      <c r="L1559" s="358"/>
      <c r="M1559" s="579"/>
      <c r="N1559" s="469"/>
      <c r="O1559" s="469"/>
    </row>
    <row r="1560" spans="2:15" ht="17.25">
      <c r="C1560" s="12" t="s">
        <v>246</v>
      </c>
      <c r="F1560" s="12"/>
      <c r="H1560" s="409"/>
      <c r="I1560" s="358"/>
      <c r="J1560" s="442"/>
      <c r="K1560" s="280"/>
      <c r="L1560" s="358"/>
      <c r="M1560" s="579"/>
      <c r="N1560" s="469"/>
      <c r="O1560" s="469"/>
    </row>
    <row r="1561" spans="2:15" ht="17.25">
      <c r="D1561" s="361">
        <v>44595</v>
      </c>
      <c r="E1561" s="361"/>
      <c r="F1561" s="361"/>
      <c r="G1561" s="361"/>
      <c r="H1561" s="409"/>
      <c r="I1561" s="358"/>
      <c r="J1561" s="442"/>
      <c r="K1561" s="280"/>
      <c r="L1561" s="358"/>
      <c r="M1561" s="579"/>
      <c r="N1561" s="469"/>
      <c r="O1561" s="469"/>
    </row>
    <row r="1562" spans="2:15" ht="17.25">
      <c r="E1562" s="12" t="s">
        <v>33</v>
      </c>
      <c r="F1562" s="12"/>
      <c r="H1562" s="409"/>
      <c r="I1562" s="358"/>
      <c r="J1562" s="442"/>
      <c r="K1562" s="280"/>
      <c r="L1562" s="358"/>
      <c r="M1562" s="579"/>
      <c r="N1562" s="469"/>
      <c r="O1562" s="469"/>
    </row>
    <row r="1563" spans="2:15" ht="17.25">
      <c r="F1563" s="361">
        <v>44406</v>
      </c>
      <c r="G1563" s="361"/>
      <c r="H1563" s="409"/>
      <c r="I1563" s="358"/>
      <c r="J1563" s="442"/>
      <c r="K1563" s="280"/>
      <c r="L1563" s="358"/>
      <c r="M1563" s="579"/>
      <c r="N1563" s="469"/>
      <c r="O1563" s="469"/>
    </row>
    <row r="1564" spans="2:15" ht="17.25">
      <c r="F1564" s="12"/>
      <c r="G1564" s="112" t="s">
        <v>33</v>
      </c>
      <c r="H1564" s="409">
        <v>2951</v>
      </c>
      <c r="I1564" s="358">
        <v>205401.52</v>
      </c>
      <c r="J1564" s="442">
        <v>1</v>
      </c>
      <c r="K1564" s="280">
        <v>205401.52</v>
      </c>
      <c r="L1564" s="358">
        <v>186046.95225490196</v>
      </c>
      <c r="M1564" s="579">
        <v>1</v>
      </c>
      <c r="N1564" s="469">
        <v>186046.95225490196</v>
      </c>
      <c r="O1564" s="469">
        <v>19354.567745098029</v>
      </c>
    </row>
    <row r="1565" spans="2:15" ht="17.25">
      <c r="F1565" s="12"/>
      <c r="H1565" s="409"/>
      <c r="I1565" s="358"/>
      <c r="J1565" s="442"/>
      <c r="K1565" s="280"/>
      <c r="L1565" s="358"/>
      <c r="M1565" s="579"/>
      <c r="N1565" s="469"/>
      <c r="O1565" s="469"/>
    </row>
    <row r="1566" spans="2:15" ht="17.25">
      <c r="C1566" s="342" t="s">
        <v>369</v>
      </c>
      <c r="D1566" s="342"/>
      <c r="E1566" s="342"/>
      <c r="F1566" s="342"/>
      <c r="G1566" s="342"/>
      <c r="H1566" s="410">
        <v>2951</v>
      </c>
      <c r="I1566" s="407">
        <v>205401.52</v>
      </c>
      <c r="J1566" s="460">
        <v>1</v>
      </c>
      <c r="K1566" s="413">
        <v>205401.52</v>
      </c>
      <c r="L1566" s="407">
        <v>186046.95225490196</v>
      </c>
      <c r="M1566" s="580">
        <v>1</v>
      </c>
      <c r="N1566" s="470">
        <v>186046.95225490196</v>
      </c>
      <c r="O1566" s="470">
        <v>19354.567745098029</v>
      </c>
    </row>
    <row r="1567" spans="2:15" ht="17.25">
      <c r="F1567" s="12"/>
      <c r="H1567" s="409"/>
      <c r="I1567" s="358"/>
      <c r="J1567" s="442"/>
      <c r="K1567" s="280"/>
      <c r="L1567" s="358"/>
      <c r="M1567" s="579"/>
      <c r="N1567" s="469"/>
      <c r="O1567" s="469"/>
    </row>
    <row r="1568" spans="2:15" ht="17.25">
      <c r="B1568" s="404" t="s">
        <v>260</v>
      </c>
      <c r="C1568" s="404"/>
      <c r="D1568" s="404"/>
      <c r="E1568" s="404"/>
      <c r="F1568" s="404"/>
      <c r="G1568" s="404"/>
      <c r="H1568" s="411">
        <v>413251.92895999993</v>
      </c>
      <c r="I1568" s="362">
        <v>26700994.758865368</v>
      </c>
      <c r="J1568" s="443">
        <v>1.0032873469387755</v>
      </c>
      <c r="K1568" s="414">
        <v>5788450.6014943738</v>
      </c>
      <c r="L1568" s="362">
        <v>22542823.205741834</v>
      </c>
      <c r="M1568" s="581">
        <v>1.0433728571428571</v>
      </c>
      <c r="N1568" s="472">
        <v>5829410.1706003724</v>
      </c>
      <c r="O1568" s="472">
        <v>-40959.56910599862</v>
      </c>
    </row>
    <row r="1569" spans="2:15" ht="17.25">
      <c r="F1569" s="12"/>
      <c r="H1569" s="409"/>
      <c r="I1569" s="358"/>
      <c r="J1569" s="442"/>
      <c r="K1569" s="280"/>
      <c r="L1569" s="358"/>
      <c r="M1569" s="579"/>
      <c r="N1569" s="469"/>
      <c r="O1569" s="469"/>
    </row>
    <row r="1570" spans="2:15" ht="17.25">
      <c r="B1570" s="12">
        <v>1427200</v>
      </c>
      <c r="F1570" s="12"/>
      <c r="H1570" s="409"/>
      <c r="I1570" s="358"/>
      <c r="J1570" s="442"/>
      <c r="K1570" s="280"/>
      <c r="L1570" s="358"/>
      <c r="M1570" s="579"/>
      <c r="N1570" s="469"/>
      <c r="O1570" s="469"/>
    </row>
    <row r="1571" spans="2:15" ht="17.25">
      <c r="C1571" s="12" t="s">
        <v>370</v>
      </c>
      <c r="F1571" s="12"/>
      <c r="H1571" s="409"/>
      <c r="I1571" s="358"/>
      <c r="J1571" s="442"/>
      <c r="K1571" s="280"/>
      <c r="L1571" s="358"/>
      <c r="M1571" s="579"/>
      <c r="N1571" s="469"/>
      <c r="O1571" s="469"/>
    </row>
    <row r="1572" spans="2:15" ht="17.25">
      <c r="D1572" s="361">
        <v>44901</v>
      </c>
      <c r="E1572" s="361"/>
      <c r="F1572" s="361"/>
      <c r="G1572" s="361"/>
      <c r="H1572" s="409"/>
      <c r="I1572" s="358"/>
      <c r="J1572" s="442"/>
      <c r="K1572" s="280"/>
      <c r="L1572" s="358"/>
      <c r="M1572" s="579"/>
      <c r="N1572" s="469"/>
      <c r="O1572" s="469"/>
    </row>
    <row r="1573" spans="2:15" ht="17.25">
      <c r="E1573" s="12" t="s">
        <v>33</v>
      </c>
      <c r="F1573" s="12"/>
      <c r="H1573" s="409"/>
      <c r="I1573" s="358"/>
      <c r="J1573" s="442"/>
      <c r="K1573" s="280"/>
      <c r="L1573" s="358"/>
      <c r="M1573" s="579"/>
      <c r="N1573" s="469"/>
      <c r="O1573" s="469"/>
    </row>
    <row r="1574" spans="2:15" ht="17.25">
      <c r="F1574" s="361">
        <v>44503</v>
      </c>
      <c r="G1574" s="361"/>
      <c r="H1574" s="409"/>
      <c r="I1574" s="358"/>
      <c r="J1574" s="442"/>
      <c r="K1574" s="280"/>
      <c r="L1574" s="358"/>
      <c r="M1574" s="579"/>
      <c r="N1574" s="469"/>
      <c r="O1574" s="469"/>
    </row>
    <row r="1575" spans="2:15" ht="17.25">
      <c r="F1575" s="12"/>
      <c r="G1575" s="112" t="s">
        <v>33</v>
      </c>
      <c r="H1575" s="409">
        <v>40</v>
      </c>
      <c r="I1575" s="358">
        <v>2842.66</v>
      </c>
      <c r="J1575" s="442">
        <v>1</v>
      </c>
      <c r="K1575" s="280">
        <v>2842.66</v>
      </c>
      <c r="L1575" s="358">
        <v>5124.4000000000005</v>
      </c>
      <c r="M1575" s="579">
        <v>1</v>
      </c>
      <c r="N1575" s="469">
        <v>5124.4000000000005</v>
      </c>
      <c r="O1575" s="469">
        <v>-2281.7400000000007</v>
      </c>
    </row>
    <row r="1576" spans="2:15" ht="17.25">
      <c r="F1576" s="12"/>
      <c r="H1576" s="409"/>
      <c r="I1576" s="358"/>
      <c r="J1576" s="442"/>
      <c r="K1576" s="280"/>
      <c r="L1576" s="358"/>
      <c r="M1576" s="579"/>
      <c r="N1576" s="469"/>
      <c r="O1576" s="469"/>
    </row>
    <row r="1577" spans="2:15" ht="17.25">
      <c r="C1577" s="342" t="s">
        <v>371</v>
      </c>
      <c r="D1577" s="342"/>
      <c r="E1577" s="342"/>
      <c r="F1577" s="342"/>
      <c r="G1577" s="342"/>
      <c r="H1577" s="410">
        <v>40</v>
      </c>
      <c r="I1577" s="407">
        <v>2842.66</v>
      </c>
      <c r="J1577" s="460">
        <v>1</v>
      </c>
      <c r="K1577" s="413">
        <v>2842.66</v>
      </c>
      <c r="L1577" s="407">
        <v>5124.4000000000005</v>
      </c>
      <c r="M1577" s="580">
        <v>1</v>
      </c>
      <c r="N1577" s="470">
        <v>5124.4000000000005</v>
      </c>
      <c r="O1577" s="470">
        <v>-2281.7400000000007</v>
      </c>
    </row>
    <row r="1578" spans="2:15" ht="17.25">
      <c r="F1578" s="12"/>
      <c r="H1578" s="409"/>
      <c r="I1578" s="358"/>
      <c r="J1578" s="442"/>
      <c r="K1578" s="280"/>
      <c r="L1578" s="358"/>
      <c r="M1578" s="579"/>
      <c r="N1578" s="469"/>
      <c r="O1578" s="469"/>
    </row>
    <row r="1579" spans="2:15" ht="17.25">
      <c r="C1579" s="12" t="s">
        <v>372</v>
      </c>
      <c r="F1579" s="12"/>
      <c r="H1579" s="409"/>
      <c r="I1579" s="358"/>
      <c r="J1579" s="442"/>
      <c r="K1579" s="280"/>
      <c r="L1579" s="358"/>
      <c r="M1579" s="579"/>
      <c r="N1579" s="469"/>
      <c r="O1579" s="469"/>
    </row>
    <row r="1580" spans="2:15" ht="17.25">
      <c r="D1580" s="361">
        <v>44691</v>
      </c>
      <c r="E1580" s="361"/>
      <c r="F1580" s="361"/>
      <c r="G1580" s="361"/>
      <c r="H1580" s="409"/>
      <c r="I1580" s="358"/>
      <c r="J1580" s="442"/>
      <c r="K1580" s="280"/>
      <c r="L1580" s="358"/>
      <c r="M1580" s="579"/>
      <c r="N1580" s="469"/>
      <c r="O1580" s="469"/>
    </row>
    <row r="1581" spans="2:15" ht="17.25">
      <c r="E1581" s="12" t="s">
        <v>33</v>
      </c>
      <c r="F1581" s="12"/>
      <c r="H1581" s="409"/>
      <c r="I1581" s="358"/>
      <c r="J1581" s="442"/>
      <c r="K1581" s="280"/>
      <c r="L1581" s="358"/>
      <c r="M1581" s="579"/>
      <c r="N1581" s="469"/>
      <c r="O1581" s="469"/>
    </row>
    <row r="1582" spans="2:15" ht="17.25">
      <c r="F1582" s="361">
        <v>44580</v>
      </c>
      <c r="G1582" s="361"/>
      <c r="H1582" s="409"/>
      <c r="I1582" s="358"/>
      <c r="J1582" s="442"/>
      <c r="K1582" s="280"/>
      <c r="L1582" s="358"/>
      <c r="M1582" s="579"/>
      <c r="N1582" s="469"/>
      <c r="O1582" s="469"/>
    </row>
    <row r="1583" spans="2:15" ht="17.25">
      <c r="F1583" s="12"/>
      <c r="G1583" s="112" t="s">
        <v>33</v>
      </c>
      <c r="H1583" s="409">
        <v>14</v>
      </c>
      <c r="I1583" s="358">
        <v>245.64037037037036</v>
      </c>
      <c r="J1583" s="442">
        <v>1</v>
      </c>
      <c r="K1583" s="280">
        <v>245.64037037037036</v>
      </c>
      <c r="L1583" s="358">
        <v>902.19</v>
      </c>
      <c r="M1583" s="579">
        <v>1</v>
      </c>
      <c r="N1583" s="469">
        <v>902.19</v>
      </c>
      <c r="O1583" s="469">
        <v>-656.54962962962964</v>
      </c>
    </row>
    <row r="1584" spans="2:15" ht="17.25">
      <c r="F1584" s="12"/>
      <c r="H1584" s="409"/>
      <c r="I1584" s="358"/>
      <c r="J1584" s="442"/>
      <c r="K1584" s="280"/>
      <c r="L1584" s="358"/>
      <c r="M1584" s="579"/>
      <c r="N1584" s="469"/>
      <c r="O1584" s="469"/>
    </row>
    <row r="1585" spans="6:15" ht="17.25">
      <c r="F1585" s="361">
        <v>44559</v>
      </c>
      <c r="G1585" s="361"/>
      <c r="H1585" s="409"/>
      <c r="I1585" s="358"/>
      <c r="J1585" s="442"/>
      <c r="K1585" s="280"/>
      <c r="L1585" s="358"/>
      <c r="M1585" s="579"/>
      <c r="N1585" s="469"/>
      <c r="O1585" s="469"/>
    </row>
    <row r="1586" spans="6:15" ht="17.25">
      <c r="F1586" s="12"/>
      <c r="G1586" s="112" t="s">
        <v>33</v>
      </c>
      <c r="H1586" s="409">
        <v>19</v>
      </c>
      <c r="I1586" s="358">
        <v>333.79</v>
      </c>
      <c r="J1586" s="442">
        <v>1</v>
      </c>
      <c r="K1586" s="280">
        <v>333.79</v>
      </c>
      <c r="L1586" s="358">
        <v>1885.0100000000002</v>
      </c>
      <c r="M1586" s="579">
        <v>1</v>
      </c>
      <c r="N1586" s="469">
        <v>1885.0100000000002</v>
      </c>
      <c r="O1586" s="469">
        <v>-1551.22</v>
      </c>
    </row>
    <row r="1587" spans="6:15" ht="17.25">
      <c r="F1587" s="12"/>
      <c r="H1587" s="409"/>
      <c r="I1587" s="358"/>
      <c r="J1587" s="442"/>
      <c r="K1587" s="280"/>
      <c r="L1587" s="358"/>
      <c r="M1587" s="579"/>
      <c r="N1587" s="469"/>
      <c r="O1587" s="469"/>
    </row>
    <row r="1588" spans="6:15" ht="17.25">
      <c r="F1588" s="361">
        <v>44592</v>
      </c>
      <c r="G1588" s="361"/>
      <c r="H1588" s="409"/>
      <c r="I1588" s="358"/>
      <c r="J1588" s="442"/>
      <c r="K1588" s="280"/>
      <c r="L1588" s="358"/>
      <c r="M1588" s="579"/>
      <c r="N1588" s="469"/>
      <c r="O1588" s="469"/>
    </row>
    <row r="1589" spans="6:15" ht="17.25">
      <c r="F1589" s="12"/>
      <c r="G1589" s="112" t="s">
        <v>33</v>
      </c>
      <c r="H1589" s="409">
        <v>10</v>
      </c>
      <c r="I1589" s="358">
        <v>175.4574074074074</v>
      </c>
      <c r="J1589" s="442">
        <v>1</v>
      </c>
      <c r="K1589" s="280">
        <v>175.4574074074074</v>
      </c>
      <c r="L1589" s="358">
        <v>663.20714285714291</v>
      </c>
      <c r="M1589" s="579">
        <v>1</v>
      </c>
      <c r="N1589" s="469">
        <v>663.20714285714291</v>
      </c>
      <c r="O1589" s="469">
        <v>-487.74973544973551</v>
      </c>
    </row>
    <row r="1590" spans="6:15" ht="17.25">
      <c r="F1590" s="12"/>
      <c r="H1590" s="409"/>
      <c r="I1590" s="358"/>
      <c r="J1590" s="442"/>
      <c r="K1590" s="280"/>
      <c r="L1590" s="358"/>
      <c r="M1590" s="579"/>
      <c r="N1590" s="469"/>
      <c r="O1590" s="469"/>
    </row>
    <row r="1591" spans="6:15" ht="17.25">
      <c r="F1591" s="361">
        <v>44564</v>
      </c>
      <c r="G1591" s="361"/>
      <c r="H1591" s="409"/>
      <c r="I1591" s="358"/>
      <c r="J1591" s="442"/>
      <c r="K1591" s="280"/>
      <c r="L1591" s="358"/>
      <c r="M1591" s="579"/>
      <c r="N1591" s="469"/>
      <c r="O1591" s="469"/>
    </row>
    <row r="1592" spans="6:15" ht="17.25">
      <c r="F1592" s="12"/>
      <c r="G1592" s="112" t="s">
        <v>33</v>
      </c>
      <c r="H1592" s="409">
        <v>7</v>
      </c>
      <c r="I1592" s="358">
        <v>122.6787037037037</v>
      </c>
      <c r="J1592" s="442">
        <v>1</v>
      </c>
      <c r="K1592" s="280">
        <v>122.6787037037037</v>
      </c>
      <c r="L1592" s="358">
        <v>673.02</v>
      </c>
      <c r="M1592" s="579">
        <v>1</v>
      </c>
      <c r="N1592" s="469">
        <v>673.02</v>
      </c>
      <c r="O1592" s="469">
        <v>-550.34129629629626</v>
      </c>
    </row>
    <row r="1593" spans="6:15" ht="17.25">
      <c r="F1593" s="12"/>
      <c r="H1593" s="409"/>
      <c r="I1593" s="358"/>
      <c r="J1593" s="442"/>
      <c r="K1593" s="280"/>
      <c r="L1593" s="358"/>
      <c r="M1593" s="579"/>
      <c r="N1593" s="469"/>
      <c r="O1593" s="469"/>
    </row>
    <row r="1594" spans="6:15" ht="17.25">
      <c r="F1594" s="361">
        <v>44573</v>
      </c>
      <c r="G1594" s="361"/>
      <c r="H1594" s="409"/>
      <c r="I1594" s="358"/>
      <c r="J1594" s="442"/>
      <c r="K1594" s="280"/>
      <c r="L1594" s="358"/>
      <c r="M1594" s="579"/>
      <c r="N1594" s="469"/>
      <c r="O1594" s="469"/>
    </row>
    <row r="1595" spans="6:15" ht="17.25">
      <c r="F1595" s="12"/>
      <c r="G1595" s="112" t="s">
        <v>33</v>
      </c>
      <c r="H1595" s="409">
        <v>8</v>
      </c>
      <c r="I1595" s="358">
        <v>140.36592592592592</v>
      </c>
      <c r="J1595" s="442">
        <v>1</v>
      </c>
      <c r="K1595" s="280">
        <v>140.36592592592592</v>
      </c>
      <c r="L1595" s="358">
        <v>649.78</v>
      </c>
      <c r="M1595" s="579">
        <v>1</v>
      </c>
      <c r="N1595" s="469">
        <v>649.78</v>
      </c>
      <c r="O1595" s="469">
        <v>-509.41407407407405</v>
      </c>
    </row>
    <row r="1596" spans="6:15" ht="17.25">
      <c r="F1596" s="12"/>
      <c r="H1596" s="409"/>
      <c r="I1596" s="358"/>
      <c r="J1596" s="442"/>
      <c r="K1596" s="280"/>
      <c r="L1596" s="358"/>
      <c r="M1596" s="579"/>
      <c r="N1596" s="469"/>
      <c r="O1596" s="469"/>
    </row>
    <row r="1597" spans="6:15" ht="17.25">
      <c r="F1597" s="361">
        <v>44574</v>
      </c>
      <c r="G1597" s="361"/>
      <c r="H1597" s="409"/>
      <c r="I1597" s="358"/>
      <c r="J1597" s="442"/>
      <c r="K1597" s="280"/>
      <c r="L1597" s="358"/>
      <c r="M1597" s="579"/>
      <c r="N1597" s="469"/>
      <c r="O1597" s="469"/>
    </row>
    <row r="1598" spans="6:15" ht="17.25">
      <c r="F1598" s="12"/>
      <c r="G1598" s="112" t="s">
        <v>33</v>
      </c>
      <c r="H1598" s="409">
        <v>9</v>
      </c>
      <c r="I1598" s="358">
        <v>157.91166666666666</v>
      </c>
      <c r="J1598" s="442">
        <v>1</v>
      </c>
      <c r="K1598" s="280">
        <v>157.91166666666666</v>
      </c>
      <c r="L1598" s="358">
        <v>674.98</v>
      </c>
      <c r="M1598" s="579">
        <v>1</v>
      </c>
      <c r="N1598" s="469">
        <v>674.98</v>
      </c>
      <c r="O1598" s="469">
        <v>-517.06833333333338</v>
      </c>
    </row>
    <row r="1599" spans="6:15" ht="17.25">
      <c r="F1599" s="12"/>
      <c r="H1599" s="409"/>
      <c r="I1599" s="358"/>
      <c r="J1599" s="442"/>
      <c r="K1599" s="280"/>
      <c r="L1599" s="358"/>
      <c r="M1599" s="579"/>
      <c r="N1599" s="469"/>
      <c r="O1599" s="469"/>
    </row>
    <row r="1600" spans="6:15" ht="17.25">
      <c r="F1600" s="361">
        <v>44565</v>
      </c>
      <c r="G1600" s="361"/>
      <c r="H1600" s="409"/>
      <c r="I1600" s="358"/>
      <c r="J1600" s="442"/>
      <c r="K1600" s="280"/>
      <c r="L1600" s="358"/>
      <c r="M1600" s="579"/>
      <c r="N1600" s="469"/>
      <c r="O1600" s="469"/>
    </row>
    <row r="1601" spans="4:15" ht="17.25">
      <c r="F1601" s="12"/>
      <c r="G1601" s="112" t="s">
        <v>33</v>
      </c>
      <c r="H1601" s="409">
        <v>8</v>
      </c>
      <c r="I1601" s="358">
        <v>140.36592592592592</v>
      </c>
      <c r="J1601" s="442">
        <v>1</v>
      </c>
      <c r="K1601" s="280">
        <v>140.36592592592592</v>
      </c>
      <c r="L1601" s="358">
        <v>651.39</v>
      </c>
      <c r="M1601" s="579">
        <v>1</v>
      </c>
      <c r="N1601" s="469">
        <v>651.39</v>
      </c>
      <c r="O1601" s="469">
        <v>-511.02407407407406</v>
      </c>
    </row>
    <row r="1602" spans="4:15" ht="17.25">
      <c r="F1602" s="12"/>
      <c r="H1602" s="409"/>
      <c r="I1602" s="358"/>
      <c r="J1602" s="442"/>
      <c r="K1602" s="280"/>
      <c r="L1602" s="358"/>
      <c r="M1602" s="579"/>
      <c r="N1602" s="469"/>
      <c r="O1602" s="469"/>
    </row>
    <row r="1603" spans="4:15" ht="17.25">
      <c r="D1603" s="361">
        <v>44692</v>
      </c>
      <c r="E1603" s="361"/>
      <c r="F1603" s="361"/>
      <c r="G1603" s="361"/>
      <c r="H1603" s="409"/>
      <c r="I1603" s="358"/>
      <c r="J1603" s="442"/>
      <c r="K1603" s="280"/>
      <c r="L1603" s="358"/>
      <c r="M1603" s="579"/>
      <c r="N1603" s="469"/>
      <c r="O1603" s="469"/>
    </row>
    <row r="1604" spans="4:15" ht="17.25">
      <c r="E1604" s="12" t="s">
        <v>33</v>
      </c>
      <c r="F1604" s="12"/>
      <c r="H1604" s="409"/>
      <c r="I1604" s="358"/>
      <c r="J1604" s="442"/>
      <c r="K1604" s="280"/>
      <c r="L1604" s="358"/>
      <c r="M1604" s="579"/>
      <c r="N1604" s="469"/>
      <c r="O1604" s="469"/>
    </row>
    <row r="1605" spans="4:15" ht="17.25">
      <c r="F1605" s="361">
        <v>44592</v>
      </c>
      <c r="G1605" s="361"/>
      <c r="H1605" s="409"/>
      <c r="I1605" s="358"/>
      <c r="J1605" s="442"/>
      <c r="K1605" s="280"/>
      <c r="L1605" s="358"/>
      <c r="M1605" s="579"/>
      <c r="N1605" s="469"/>
      <c r="O1605" s="469"/>
    </row>
    <row r="1606" spans="4:15" ht="17.25">
      <c r="F1606" s="12"/>
      <c r="G1606" s="112" t="s">
        <v>33</v>
      </c>
      <c r="H1606" s="409">
        <v>4</v>
      </c>
      <c r="I1606" s="358">
        <v>64.641176470588235</v>
      </c>
      <c r="J1606" s="442">
        <v>1</v>
      </c>
      <c r="K1606" s="280">
        <v>64.641176470588235</v>
      </c>
      <c r="L1606" s="358">
        <v>265.28285714285715</v>
      </c>
      <c r="M1606" s="579">
        <v>1</v>
      </c>
      <c r="N1606" s="469">
        <v>265.28285714285715</v>
      </c>
      <c r="O1606" s="469">
        <v>-200.64168067226893</v>
      </c>
    </row>
    <row r="1607" spans="4:15" ht="17.25">
      <c r="F1607" s="12"/>
      <c r="H1607" s="409"/>
      <c r="I1607" s="358"/>
      <c r="J1607" s="442"/>
      <c r="K1607" s="280"/>
      <c r="L1607" s="358"/>
      <c r="M1607" s="579"/>
      <c r="N1607" s="469"/>
      <c r="O1607" s="469"/>
    </row>
    <row r="1608" spans="4:15" ht="17.25">
      <c r="F1608" s="361">
        <v>44596</v>
      </c>
      <c r="G1608" s="361"/>
      <c r="H1608" s="409"/>
      <c r="I1608" s="358"/>
      <c r="J1608" s="442"/>
      <c r="K1608" s="280"/>
      <c r="L1608" s="358"/>
      <c r="M1608" s="579"/>
      <c r="N1608" s="469"/>
      <c r="O1608" s="469"/>
    </row>
    <row r="1609" spans="4:15" ht="17.25">
      <c r="F1609" s="12"/>
      <c r="G1609" s="112" t="s">
        <v>33</v>
      </c>
      <c r="H1609" s="409">
        <v>10</v>
      </c>
      <c r="I1609" s="358">
        <v>161.60294117647058</v>
      </c>
      <c r="J1609" s="442">
        <v>1</v>
      </c>
      <c r="K1609" s="280">
        <v>161.60294117647058</v>
      </c>
      <c r="L1609" s="358">
        <v>606.28</v>
      </c>
      <c r="M1609" s="579">
        <v>1</v>
      </c>
      <c r="N1609" s="469">
        <v>606.28</v>
      </c>
      <c r="O1609" s="469">
        <v>-444.67705882352936</v>
      </c>
    </row>
    <row r="1610" spans="4:15" ht="17.25">
      <c r="F1610" s="12"/>
      <c r="H1610" s="409"/>
      <c r="I1610" s="358"/>
      <c r="J1610" s="442"/>
      <c r="K1610" s="280"/>
      <c r="L1610" s="358"/>
      <c r="M1610" s="579"/>
      <c r="N1610" s="469"/>
      <c r="O1610" s="469"/>
    </row>
    <row r="1611" spans="4:15" ht="17.25">
      <c r="F1611" s="361">
        <v>44637</v>
      </c>
      <c r="G1611" s="361"/>
      <c r="H1611" s="409"/>
      <c r="I1611" s="358"/>
      <c r="J1611" s="442"/>
      <c r="K1611" s="280"/>
      <c r="L1611" s="358"/>
      <c r="M1611" s="579"/>
      <c r="N1611" s="469"/>
      <c r="O1611" s="469"/>
    </row>
    <row r="1612" spans="4:15" ht="17.25">
      <c r="F1612" s="12"/>
      <c r="G1612" s="112" t="s">
        <v>33</v>
      </c>
      <c r="H1612" s="409">
        <v>18</v>
      </c>
      <c r="I1612" s="358">
        <v>290.88529411764705</v>
      </c>
      <c r="J1612" s="442">
        <v>1</v>
      </c>
      <c r="K1612" s="280">
        <v>290.88529411764705</v>
      </c>
      <c r="L1612" s="358">
        <v>638.96</v>
      </c>
      <c r="M1612" s="579">
        <v>1</v>
      </c>
      <c r="N1612" s="469">
        <v>638.96</v>
      </c>
      <c r="O1612" s="469">
        <v>-348.07470588235299</v>
      </c>
    </row>
    <row r="1613" spans="4:15" ht="17.25">
      <c r="F1613" s="12"/>
      <c r="H1613" s="409"/>
      <c r="I1613" s="358"/>
      <c r="J1613" s="442"/>
      <c r="K1613" s="280"/>
      <c r="L1613" s="358"/>
      <c r="M1613" s="579"/>
      <c r="N1613" s="469"/>
      <c r="O1613" s="469"/>
    </row>
    <row r="1614" spans="4:15" ht="17.25">
      <c r="F1614" s="361">
        <v>44638</v>
      </c>
      <c r="G1614" s="361"/>
      <c r="H1614" s="409"/>
      <c r="I1614" s="358"/>
      <c r="J1614" s="442"/>
      <c r="K1614" s="280"/>
      <c r="L1614" s="358"/>
      <c r="M1614" s="579"/>
      <c r="N1614" s="469"/>
      <c r="O1614" s="469"/>
    </row>
    <row r="1615" spans="4:15" ht="17.25">
      <c r="F1615" s="12"/>
      <c r="G1615" s="112" t="s">
        <v>33</v>
      </c>
      <c r="H1615" s="409">
        <v>16</v>
      </c>
      <c r="I1615" s="358">
        <v>258.56470588235294</v>
      </c>
      <c r="J1615" s="442">
        <v>1</v>
      </c>
      <c r="K1615" s="280">
        <v>258.56470588235294</v>
      </c>
      <c r="L1615" s="358">
        <v>633.66</v>
      </c>
      <c r="M1615" s="579">
        <v>1</v>
      </c>
      <c r="N1615" s="469">
        <v>633.66</v>
      </c>
      <c r="O1615" s="469">
        <v>-375.09529411764703</v>
      </c>
    </row>
    <row r="1616" spans="4:15" ht="17.25">
      <c r="F1616" s="12"/>
      <c r="H1616" s="409"/>
      <c r="I1616" s="358"/>
      <c r="J1616" s="442"/>
      <c r="K1616" s="280"/>
      <c r="L1616" s="358"/>
      <c r="M1616" s="579"/>
      <c r="N1616" s="469"/>
      <c r="O1616" s="469"/>
    </row>
    <row r="1617" spans="3:15" ht="17.25">
      <c r="F1617" s="361">
        <v>44641</v>
      </c>
      <c r="G1617" s="361"/>
      <c r="H1617" s="409"/>
      <c r="I1617" s="358"/>
      <c r="J1617" s="442"/>
      <c r="K1617" s="280"/>
      <c r="L1617" s="358"/>
      <c r="M1617" s="579"/>
      <c r="N1617" s="469"/>
      <c r="O1617" s="469"/>
    </row>
    <row r="1618" spans="3:15" ht="17.25">
      <c r="F1618" s="12"/>
      <c r="G1618" s="112" t="s">
        <v>33</v>
      </c>
      <c r="H1618" s="409">
        <v>20</v>
      </c>
      <c r="I1618" s="358">
        <v>323.20588235294116</v>
      </c>
      <c r="J1618" s="442">
        <v>1</v>
      </c>
      <c r="K1618" s="280">
        <v>323.20588235294116</v>
      </c>
      <c r="L1618" s="358">
        <v>860.8</v>
      </c>
      <c r="M1618" s="579">
        <v>1</v>
      </c>
      <c r="N1618" s="469">
        <v>860.8</v>
      </c>
      <c r="O1618" s="469">
        <v>-537.59411764705874</v>
      </c>
    </row>
    <row r="1619" spans="3:15" ht="17.25">
      <c r="F1619" s="12"/>
      <c r="H1619" s="409"/>
      <c r="I1619" s="358"/>
      <c r="J1619" s="442"/>
      <c r="K1619" s="280"/>
      <c r="L1619" s="358"/>
      <c r="M1619" s="579"/>
      <c r="N1619" s="469"/>
      <c r="O1619" s="469"/>
    </row>
    <row r="1620" spans="3:15" ht="17.25">
      <c r="C1620" s="342" t="s">
        <v>373</v>
      </c>
      <c r="D1620" s="342"/>
      <c r="E1620" s="342"/>
      <c r="F1620" s="342"/>
      <c r="G1620" s="342"/>
      <c r="H1620" s="410">
        <v>143</v>
      </c>
      <c r="I1620" s="407">
        <v>2415.1099999999997</v>
      </c>
      <c r="J1620" s="460">
        <v>1</v>
      </c>
      <c r="K1620" s="413">
        <v>2415.1099999999997</v>
      </c>
      <c r="L1620" s="407">
        <v>9104.56</v>
      </c>
      <c r="M1620" s="580">
        <v>1</v>
      </c>
      <c r="N1620" s="470">
        <v>9104.56</v>
      </c>
      <c r="O1620" s="470">
        <v>-6689.45</v>
      </c>
    </row>
    <row r="1621" spans="3:15" ht="17.25">
      <c r="F1621" s="12"/>
      <c r="H1621" s="409"/>
      <c r="I1621" s="358"/>
      <c r="J1621" s="442"/>
      <c r="K1621" s="280"/>
      <c r="L1621" s="358"/>
      <c r="M1621" s="579"/>
      <c r="N1621" s="469"/>
      <c r="O1621" s="469"/>
    </row>
    <row r="1622" spans="3:15" ht="17.25">
      <c r="C1622" s="12" t="s">
        <v>374</v>
      </c>
      <c r="F1622" s="12"/>
      <c r="H1622" s="409"/>
      <c r="I1622" s="358"/>
      <c r="J1622" s="442"/>
      <c r="K1622" s="280"/>
      <c r="L1622" s="358"/>
      <c r="M1622" s="579"/>
      <c r="N1622" s="469"/>
      <c r="O1622" s="469"/>
    </row>
    <row r="1623" spans="3:15" ht="17.25">
      <c r="D1623" s="361">
        <v>44634</v>
      </c>
      <c r="E1623" s="361"/>
      <c r="F1623" s="361"/>
      <c r="G1623" s="361"/>
      <c r="H1623" s="409"/>
      <c r="I1623" s="358"/>
      <c r="J1623" s="442"/>
      <c r="K1623" s="280"/>
      <c r="L1623" s="358"/>
      <c r="M1623" s="579"/>
      <c r="N1623" s="469"/>
      <c r="O1623" s="469"/>
    </row>
    <row r="1624" spans="3:15" ht="17.25">
      <c r="E1624" s="12" t="s">
        <v>33</v>
      </c>
      <c r="F1624" s="12"/>
      <c r="H1624" s="409"/>
      <c r="I1624" s="358"/>
      <c r="J1624" s="442"/>
      <c r="K1624" s="280"/>
      <c r="L1624" s="358"/>
      <c r="M1624" s="579"/>
      <c r="N1624" s="469"/>
      <c r="O1624" s="469"/>
    </row>
    <row r="1625" spans="3:15" ht="17.25">
      <c r="F1625" s="361">
        <v>44503</v>
      </c>
      <c r="G1625" s="361"/>
      <c r="H1625" s="409"/>
      <c r="I1625" s="358"/>
      <c r="J1625" s="442"/>
      <c r="K1625" s="280"/>
      <c r="L1625" s="358"/>
      <c r="M1625" s="579"/>
      <c r="N1625" s="469"/>
      <c r="O1625" s="469"/>
    </row>
    <row r="1626" spans="3:15" ht="17.25">
      <c r="F1626" s="12"/>
      <c r="G1626" s="112" t="s">
        <v>33</v>
      </c>
      <c r="H1626" s="409">
        <v>76</v>
      </c>
      <c r="I1626" s="358">
        <v>6046.3664705882347</v>
      </c>
      <c r="J1626" s="442">
        <v>1</v>
      </c>
      <c r="K1626" s="280">
        <v>6046.3664705882347</v>
      </c>
      <c r="L1626" s="358">
        <v>12482.240000000002</v>
      </c>
      <c r="M1626" s="579">
        <v>1</v>
      </c>
      <c r="N1626" s="469">
        <v>12482.240000000002</v>
      </c>
      <c r="O1626" s="469">
        <v>-6435.873529411765</v>
      </c>
    </row>
    <row r="1627" spans="3:15" ht="17.25">
      <c r="F1627" s="12"/>
      <c r="H1627" s="409"/>
      <c r="I1627" s="358"/>
      <c r="J1627" s="442"/>
      <c r="K1627" s="280"/>
      <c r="L1627" s="358"/>
      <c r="M1627" s="579"/>
      <c r="N1627" s="469"/>
      <c r="O1627" s="469"/>
    </row>
    <row r="1628" spans="3:15" ht="17.25">
      <c r="F1628" s="361">
        <v>44537</v>
      </c>
      <c r="G1628" s="361"/>
      <c r="H1628" s="409"/>
      <c r="I1628" s="358"/>
      <c r="J1628" s="442"/>
      <c r="K1628" s="280"/>
      <c r="L1628" s="358"/>
      <c r="M1628" s="579"/>
      <c r="N1628" s="469"/>
      <c r="O1628" s="469"/>
    </row>
    <row r="1629" spans="3:15" ht="17.25">
      <c r="F1629" s="12"/>
      <c r="G1629" s="112" t="s">
        <v>33</v>
      </c>
      <c r="H1629" s="409">
        <v>11</v>
      </c>
      <c r="I1629" s="358">
        <v>867.45352941176475</v>
      </c>
      <c r="J1629" s="442">
        <v>1</v>
      </c>
      <c r="K1629" s="280">
        <v>867.45352941176475</v>
      </c>
      <c r="L1629" s="358">
        <v>1378.68</v>
      </c>
      <c r="M1629" s="579">
        <v>1</v>
      </c>
      <c r="N1629" s="469">
        <v>1378.68</v>
      </c>
      <c r="O1629" s="469">
        <v>-511.22647058823532</v>
      </c>
    </row>
    <row r="1630" spans="3:15" ht="17.25">
      <c r="F1630" s="12"/>
      <c r="H1630" s="409"/>
      <c r="I1630" s="358"/>
      <c r="J1630" s="442"/>
      <c r="K1630" s="280"/>
      <c r="L1630" s="358"/>
      <c r="M1630" s="579"/>
      <c r="N1630" s="469"/>
      <c r="O1630" s="469"/>
    </row>
    <row r="1631" spans="3:15" ht="17.25">
      <c r="C1631" s="342" t="s">
        <v>375</v>
      </c>
      <c r="D1631" s="342"/>
      <c r="E1631" s="342"/>
      <c r="F1631" s="342"/>
      <c r="G1631" s="342"/>
      <c r="H1631" s="410">
        <v>87</v>
      </c>
      <c r="I1631" s="407">
        <v>6913.82</v>
      </c>
      <c r="J1631" s="460">
        <v>1</v>
      </c>
      <c r="K1631" s="413">
        <v>6913.82</v>
      </c>
      <c r="L1631" s="407">
        <v>13860.920000000002</v>
      </c>
      <c r="M1631" s="580">
        <v>1</v>
      </c>
      <c r="N1631" s="470">
        <v>13860.920000000002</v>
      </c>
      <c r="O1631" s="470">
        <v>-6947.1</v>
      </c>
    </row>
    <row r="1632" spans="3:15" ht="17.25">
      <c r="F1632" s="12"/>
      <c r="H1632" s="409"/>
      <c r="I1632" s="358"/>
      <c r="J1632" s="442"/>
      <c r="K1632" s="280"/>
      <c r="L1632" s="358"/>
      <c r="M1632" s="579"/>
      <c r="N1632" s="469"/>
      <c r="O1632" s="469"/>
    </row>
    <row r="1633" spans="3:15" ht="17.25">
      <c r="C1633" s="12" t="s">
        <v>261</v>
      </c>
      <c r="F1633" s="12"/>
      <c r="H1633" s="409"/>
      <c r="I1633" s="358"/>
      <c r="J1633" s="442"/>
      <c r="K1633" s="280"/>
      <c r="L1633" s="358"/>
      <c r="M1633" s="579"/>
      <c r="N1633" s="469"/>
      <c r="O1633" s="469"/>
    </row>
    <row r="1634" spans="3:15" ht="17.25">
      <c r="D1634" s="361">
        <v>44708</v>
      </c>
      <c r="E1634" s="361"/>
      <c r="F1634" s="361"/>
      <c r="G1634" s="361"/>
      <c r="H1634" s="409"/>
      <c r="I1634" s="358"/>
      <c r="J1634" s="442"/>
      <c r="K1634" s="280"/>
      <c r="L1634" s="358"/>
      <c r="M1634" s="579"/>
      <c r="N1634" s="469"/>
      <c r="O1634" s="469"/>
    </row>
    <row r="1635" spans="3:15" ht="17.25">
      <c r="E1635" s="12" t="s">
        <v>33</v>
      </c>
      <c r="F1635" s="12"/>
      <c r="H1635" s="409"/>
      <c r="I1635" s="358"/>
      <c r="J1635" s="442"/>
      <c r="K1635" s="280"/>
      <c r="L1635" s="358"/>
      <c r="M1635" s="579"/>
      <c r="N1635" s="469"/>
      <c r="O1635" s="469"/>
    </row>
    <row r="1636" spans="3:15" ht="17.25">
      <c r="F1636" s="361">
        <v>44503</v>
      </c>
      <c r="G1636" s="361"/>
      <c r="H1636" s="409"/>
      <c r="I1636" s="358"/>
      <c r="J1636" s="442"/>
      <c r="K1636" s="280"/>
      <c r="L1636" s="358"/>
      <c r="M1636" s="579"/>
      <c r="N1636" s="469"/>
      <c r="O1636" s="469"/>
    </row>
    <row r="1637" spans="3:15" ht="17.25">
      <c r="F1637" s="12"/>
      <c r="G1637" s="112" t="s">
        <v>33</v>
      </c>
      <c r="H1637" s="409">
        <v>1</v>
      </c>
      <c r="I1637" s="358">
        <v>2237.7199999999998</v>
      </c>
      <c r="J1637" s="442">
        <v>1</v>
      </c>
      <c r="K1637" s="280">
        <v>2237.7199999999998</v>
      </c>
      <c r="L1637" s="358">
        <v>2900.4945454545455</v>
      </c>
      <c r="M1637" s="579">
        <v>1</v>
      </c>
      <c r="N1637" s="469">
        <v>2900.4945454545455</v>
      </c>
      <c r="O1637" s="469">
        <v>-662.77454545454566</v>
      </c>
    </row>
    <row r="1638" spans="3:15" ht="17.25">
      <c r="F1638" s="12"/>
      <c r="H1638" s="409"/>
      <c r="I1638" s="358"/>
      <c r="J1638" s="442"/>
      <c r="K1638" s="280"/>
      <c r="L1638" s="358"/>
      <c r="M1638" s="579"/>
      <c r="N1638" s="469"/>
      <c r="O1638" s="469"/>
    </row>
    <row r="1639" spans="3:15" ht="17.25">
      <c r="D1639" s="361">
        <v>44769</v>
      </c>
      <c r="E1639" s="361"/>
      <c r="F1639" s="361"/>
      <c r="G1639" s="361"/>
      <c r="H1639" s="409"/>
      <c r="I1639" s="358"/>
      <c r="J1639" s="442"/>
      <c r="K1639" s="280"/>
      <c r="L1639" s="358"/>
      <c r="M1639" s="579"/>
      <c r="N1639" s="469"/>
      <c r="O1639" s="469"/>
    </row>
    <row r="1640" spans="3:15" ht="17.25">
      <c r="E1640" s="12" t="s">
        <v>33</v>
      </c>
      <c r="F1640" s="12"/>
      <c r="H1640" s="409"/>
      <c r="I1640" s="358"/>
      <c r="J1640" s="442"/>
      <c r="K1640" s="280"/>
      <c r="L1640" s="358"/>
      <c r="M1640" s="579"/>
      <c r="N1640" s="469"/>
      <c r="O1640" s="469"/>
    </row>
    <row r="1641" spans="3:15" ht="17.25">
      <c r="F1641" s="361">
        <v>44503</v>
      </c>
      <c r="G1641" s="361"/>
      <c r="H1641" s="409"/>
      <c r="I1641" s="358"/>
      <c r="J1641" s="442"/>
      <c r="K1641" s="280"/>
      <c r="L1641" s="358"/>
      <c r="M1641" s="579"/>
      <c r="N1641" s="469"/>
      <c r="O1641" s="469"/>
    </row>
    <row r="1642" spans="3:15" ht="17.25">
      <c r="F1642" s="12"/>
      <c r="G1642" s="112" t="s">
        <v>33</v>
      </c>
      <c r="H1642" s="409">
        <v>10</v>
      </c>
      <c r="I1642" s="358">
        <v>1082.04</v>
      </c>
      <c r="J1642" s="442">
        <v>1</v>
      </c>
      <c r="K1642" s="280">
        <v>1082.04</v>
      </c>
      <c r="L1642" s="358">
        <v>29004.945454545454</v>
      </c>
      <c r="M1642" s="579">
        <v>1</v>
      </c>
      <c r="N1642" s="469">
        <v>29004.945454545454</v>
      </c>
      <c r="O1642" s="469">
        <v>-27922.905454545453</v>
      </c>
    </row>
    <row r="1643" spans="3:15" ht="17.25">
      <c r="F1643" s="12"/>
      <c r="H1643" s="409"/>
      <c r="I1643" s="358"/>
      <c r="J1643" s="442"/>
      <c r="K1643" s="280"/>
      <c r="L1643" s="358"/>
      <c r="M1643" s="579"/>
      <c r="N1643" s="469"/>
      <c r="O1643" s="469"/>
    </row>
    <row r="1644" spans="3:15" ht="17.25">
      <c r="F1644" s="361">
        <v>44760</v>
      </c>
      <c r="G1644" s="361"/>
      <c r="H1644" s="409"/>
      <c r="I1644" s="358"/>
      <c r="J1644" s="442"/>
      <c r="K1644" s="280"/>
      <c r="L1644" s="358"/>
      <c r="M1644" s="579"/>
      <c r="N1644" s="469"/>
      <c r="O1644" s="469"/>
    </row>
    <row r="1645" spans="3:15" ht="17.25">
      <c r="F1645" s="12"/>
      <c r="G1645" s="112" t="s">
        <v>33</v>
      </c>
      <c r="H1645" s="409">
        <v>35</v>
      </c>
      <c r="I1645" s="358">
        <v>3787.1400000000003</v>
      </c>
      <c r="J1645" s="442">
        <v>1</v>
      </c>
      <c r="K1645" s="280">
        <v>3787.1400000000003</v>
      </c>
      <c r="L1645" s="358">
        <v>5343.016267942583</v>
      </c>
      <c r="M1645" s="579">
        <v>1</v>
      </c>
      <c r="N1645" s="469">
        <v>5343.016267942583</v>
      </c>
      <c r="O1645" s="469">
        <v>-1555.8762679425827</v>
      </c>
    </row>
    <row r="1646" spans="3:15" ht="17.25">
      <c r="F1646" s="12"/>
      <c r="H1646" s="409"/>
      <c r="I1646" s="358"/>
      <c r="J1646" s="442"/>
      <c r="K1646" s="280"/>
      <c r="L1646" s="358"/>
      <c r="M1646" s="579"/>
      <c r="N1646" s="469"/>
      <c r="O1646" s="469"/>
    </row>
    <row r="1647" spans="3:15" ht="17.25">
      <c r="C1647" s="342" t="s">
        <v>376</v>
      </c>
      <c r="D1647" s="342"/>
      <c r="E1647" s="342"/>
      <c r="F1647" s="342"/>
      <c r="G1647" s="342"/>
      <c r="H1647" s="410">
        <v>46</v>
      </c>
      <c r="I1647" s="407">
        <v>7106.9</v>
      </c>
      <c r="J1647" s="460">
        <v>1</v>
      </c>
      <c r="K1647" s="413">
        <v>7106.9</v>
      </c>
      <c r="L1647" s="407">
        <v>37248.45626794258</v>
      </c>
      <c r="M1647" s="580">
        <v>1</v>
      </c>
      <c r="N1647" s="470">
        <v>37248.45626794258</v>
      </c>
      <c r="O1647" s="470">
        <v>-30141.556267942582</v>
      </c>
    </row>
    <row r="1648" spans="3:15" ht="17.25">
      <c r="F1648" s="12"/>
      <c r="H1648" s="409"/>
      <c r="I1648" s="358"/>
      <c r="J1648" s="442"/>
      <c r="K1648" s="280"/>
      <c r="L1648" s="358"/>
      <c r="M1648" s="579"/>
      <c r="N1648" s="469"/>
      <c r="O1648" s="469"/>
    </row>
    <row r="1649" spans="3:15" ht="17.25">
      <c r="C1649" s="12" t="s">
        <v>276</v>
      </c>
      <c r="F1649" s="12"/>
      <c r="H1649" s="409"/>
      <c r="I1649" s="358"/>
      <c r="J1649" s="442"/>
      <c r="K1649" s="280"/>
      <c r="L1649" s="358"/>
      <c r="M1649" s="579"/>
      <c r="N1649" s="469"/>
      <c r="O1649" s="469"/>
    </row>
    <row r="1650" spans="3:15" ht="17.25">
      <c r="D1650" s="361">
        <v>44763</v>
      </c>
      <c r="E1650" s="361"/>
      <c r="F1650" s="361"/>
      <c r="G1650" s="361"/>
      <c r="H1650" s="409"/>
      <c r="I1650" s="358"/>
      <c r="J1650" s="442"/>
      <c r="K1650" s="280"/>
      <c r="L1650" s="358"/>
      <c r="M1650" s="579"/>
      <c r="N1650" s="469"/>
      <c r="O1650" s="469"/>
    </row>
    <row r="1651" spans="3:15" ht="17.25">
      <c r="E1651" s="12" t="s">
        <v>33</v>
      </c>
      <c r="F1651" s="12"/>
      <c r="H1651" s="409"/>
      <c r="I1651" s="358"/>
      <c r="J1651" s="442"/>
      <c r="K1651" s="280"/>
      <c r="L1651" s="358"/>
      <c r="M1651" s="579"/>
      <c r="N1651" s="469"/>
      <c r="O1651" s="469"/>
    </row>
    <row r="1652" spans="3:15" ht="17.25">
      <c r="F1652" s="361">
        <v>44718</v>
      </c>
      <c r="G1652" s="361"/>
      <c r="H1652" s="409"/>
      <c r="I1652" s="358"/>
      <c r="J1652" s="442"/>
      <c r="K1652" s="280"/>
      <c r="L1652" s="358"/>
      <c r="M1652" s="579"/>
      <c r="N1652" s="469"/>
      <c r="O1652" s="469"/>
    </row>
    <row r="1653" spans="3:15" ht="17.25">
      <c r="F1653" s="12"/>
      <c r="G1653" s="112" t="s">
        <v>33</v>
      </c>
      <c r="H1653" s="409">
        <v>40</v>
      </c>
      <c r="I1653" s="358">
        <v>4928.57</v>
      </c>
      <c r="J1653" s="442">
        <v>1</v>
      </c>
      <c r="K1653" s="280">
        <v>4928.57</v>
      </c>
      <c r="L1653" s="358">
        <v>6620.8799999999992</v>
      </c>
      <c r="M1653" s="579">
        <v>1</v>
      </c>
      <c r="N1653" s="469">
        <v>6620.8799999999992</v>
      </c>
      <c r="O1653" s="469">
        <v>-1692.3099999999995</v>
      </c>
    </row>
    <row r="1654" spans="3:15" ht="17.25">
      <c r="F1654" s="12"/>
      <c r="H1654" s="409"/>
      <c r="I1654" s="358"/>
      <c r="J1654" s="442"/>
      <c r="K1654" s="280"/>
      <c r="L1654" s="358"/>
      <c r="M1654" s="579"/>
      <c r="N1654" s="469"/>
      <c r="O1654" s="469"/>
    </row>
    <row r="1655" spans="3:15" ht="17.25">
      <c r="C1655" s="342" t="s">
        <v>377</v>
      </c>
      <c r="D1655" s="342"/>
      <c r="E1655" s="342"/>
      <c r="F1655" s="342"/>
      <c r="G1655" s="342"/>
      <c r="H1655" s="410">
        <v>40</v>
      </c>
      <c r="I1655" s="407">
        <v>4928.57</v>
      </c>
      <c r="J1655" s="460">
        <v>1</v>
      </c>
      <c r="K1655" s="413">
        <v>4928.57</v>
      </c>
      <c r="L1655" s="407">
        <v>6620.8799999999992</v>
      </c>
      <c r="M1655" s="580">
        <v>1</v>
      </c>
      <c r="N1655" s="470">
        <v>6620.8799999999992</v>
      </c>
      <c r="O1655" s="470">
        <v>-1692.3099999999995</v>
      </c>
    </row>
    <row r="1656" spans="3:15" ht="17.25">
      <c r="F1656" s="12"/>
      <c r="H1656" s="409"/>
      <c r="I1656" s="358"/>
      <c r="J1656" s="442"/>
      <c r="K1656" s="280"/>
      <c r="L1656" s="358"/>
      <c r="M1656" s="579"/>
      <c r="N1656" s="469"/>
      <c r="O1656" s="469"/>
    </row>
    <row r="1657" spans="3:15" ht="17.25">
      <c r="C1657" s="12" t="s">
        <v>201</v>
      </c>
      <c r="F1657" s="12"/>
      <c r="H1657" s="409"/>
      <c r="I1657" s="358"/>
      <c r="J1657" s="442"/>
      <c r="K1657" s="280"/>
      <c r="L1657" s="358"/>
      <c r="M1657" s="579"/>
      <c r="N1657" s="469"/>
      <c r="O1657" s="469"/>
    </row>
    <row r="1658" spans="3:15" ht="17.25">
      <c r="D1658" s="361">
        <v>44790</v>
      </c>
      <c r="E1658" s="361"/>
      <c r="F1658" s="361"/>
      <c r="G1658" s="361"/>
      <c r="H1658" s="409"/>
      <c r="I1658" s="358"/>
      <c r="J1658" s="442"/>
      <c r="K1658" s="280"/>
      <c r="L1658" s="358"/>
      <c r="M1658" s="579"/>
      <c r="N1658" s="469"/>
      <c r="O1658" s="469"/>
    </row>
    <row r="1659" spans="3:15" ht="17.25">
      <c r="E1659" s="12" t="s">
        <v>33</v>
      </c>
      <c r="F1659" s="12"/>
      <c r="H1659" s="409"/>
      <c r="I1659" s="358"/>
      <c r="J1659" s="442"/>
      <c r="K1659" s="280"/>
      <c r="L1659" s="358"/>
      <c r="M1659" s="579"/>
      <c r="N1659" s="469"/>
      <c r="O1659" s="469"/>
    </row>
    <row r="1660" spans="3:15" ht="17.25">
      <c r="F1660" s="361">
        <v>44503</v>
      </c>
      <c r="G1660" s="361"/>
      <c r="H1660" s="409"/>
      <c r="I1660" s="358"/>
      <c r="J1660" s="442"/>
      <c r="K1660" s="280"/>
      <c r="L1660" s="358"/>
      <c r="M1660" s="579"/>
      <c r="N1660" s="469"/>
      <c r="O1660" s="469"/>
    </row>
    <row r="1661" spans="3:15" ht="17.25">
      <c r="F1661" s="12"/>
      <c r="G1661" s="112" t="s">
        <v>33</v>
      </c>
      <c r="H1661" s="409">
        <v>16</v>
      </c>
      <c r="I1661" s="358">
        <v>2695.25</v>
      </c>
      <c r="J1661" s="442">
        <v>1</v>
      </c>
      <c r="K1661" s="280">
        <v>2695.25</v>
      </c>
      <c r="L1661" s="358">
        <v>2831.04</v>
      </c>
      <c r="M1661" s="579">
        <v>1</v>
      </c>
      <c r="N1661" s="469">
        <v>2831.04</v>
      </c>
      <c r="O1661" s="469">
        <v>-135.78999999999996</v>
      </c>
    </row>
    <row r="1662" spans="3:15" ht="17.25">
      <c r="F1662" s="12"/>
      <c r="H1662" s="409"/>
      <c r="I1662" s="358"/>
      <c r="J1662" s="442"/>
      <c r="K1662" s="280"/>
      <c r="L1662" s="358"/>
      <c r="M1662" s="579"/>
      <c r="N1662" s="469"/>
      <c r="O1662" s="469"/>
    </row>
    <row r="1663" spans="3:15" ht="17.25">
      <c r="C1663" s="342" t="s">
        <v>378</v>
      </c>
      <c r="D1663" s="342"/>
      <c r="E1663" s="342"/>
      <c r="F1663" s="342"/>
      <c r="G1663" s="342"/>
      <c r="H1663" s="410">
        <v>16</v>
      </c>
      <c r="I1663" s="407">
        <v>2695.25</v>
      </c>
      <c r="J1663" s="460">
        <v>1</v>
      </c>
      <c r="K1663" s="413">
        <v>2695.25</v>
      </c>
      <c r="L1663" s="407">
        <v>2831.04</v>
      </c>
      <c r="M1663" s="580">
        <v>1</v>
      </c>
      <c r="N1663" s="470">
        <v>2831.04</v>
      </c>
      <c r="O1663" s="470">
        <v>-135.78999999999996</v>
      </c>
    </row>
    <row r="1664" spans="3:15" ht="17.25">
      <c r="F1664" s="12"/>
      <c r="H1664" s="409"/>
      <c r="I1664" s="358"/>
      <c r="J1664" s="442"/>
      <c r="K1664" s="280"/>
      <c r="L1664" s="358"/>
      <c r="M1664" s="579"/>
      <c r="N1664" s="469"/>
      <c r="O1664" s="469"/>
    </row>
    <row r="1665" spans="3:15" ht="17.25">
      <c r="C1665" s="12" t="s">
        <v>379</v>
      </c>
      <c r="F1665" s="12"/>
      <c r="H1665" s="409"/>
      <c r="I1665" s="358"/>
      <c r="J1665" s="442"/>
      <c r="K1665" s="280"/>
      <c r="L1665" s="358"/>
      <c r="M1665" s="579"/>
      <c r="N1665" s="469"/>
      <c r="O1665" s="469"/>
    </row>
    <row r="1666" spans="3:15" ht="17.25">
      <c r="D1666" s="361">
        <v>44617</v>
      </c>
      <c r="E1666" s="361"/>
      <c r="F1666" s="361"/>
      <c r="G1666" s="361"/>
      <c r="H1666" s="409"/>
      <c r="I1666" s="358"/>
      <c r="J1666" s="442"/>
      <c r="K1666" s="280"/>
      <c r="L1666" s="358"/>
      <c r="M1666" s="579"/>
      <c r="N1666" s="469"/>
      <c r="O1666" s="469"/>
    </row>
    <row r="1667" spans="3:15" ht="17.25">
      <c r="E1667" s="12" t="s">
        <v>33</v>
      </c>
      <c r="F1667" s="12"/>
      <c r="H1667" s="409"/>
      <c r="I1667" s="358"/>
      <c r="J1667" s="442"/>
      <c r="K1667" s="280"/>
      <c r="L1667" s="358"/>
      <c r="M1667" s="579"/>
      <c r="N1667" s="469"/>
      <c r="O1667" s="469"/>
    </row>
    <row r="1668" spans="3:15" ht="17.25">
      <c r="F1668" s="361">
        <v>44503</v>
      </c>
      <c r="G1668" s="361"/>
      <c r="H1668" s="409"/>
      <c r="I1668" s="358"/>
      <c r="J1668" s="442"/>
      <c r="K1668" s="280"/>
      <c r="L1668" s="358"/>
      <c r="M1668" s="579"/>
      <c r="N1668" s="469"/>
      <c r="O1668" s="469"/>
    </row>
    <row r="1669" spans="3:15" ht="17.25">
      <c r="F1669" s="12"/>
      <c r="G1669" s="112" t="s">
        <v>33</v>
      </c>
      <c r="H1669" s="409">
        <v>26</v>
      </c>
      <c r="I1669" s="358">
        <v>1237.33</v>
      </c>
      <c r="J1669" s="442">
        <v>1</v>
      </c>
      <c r="K1669" s="280">
        <v>1237.33</v>
      </c>
      <c r="L1669" s="358">
        <v>1641.38</v>
      </c>
      <c r="M1669" s="579">
        <v>1</v>
      </c>
      <c r="N1669" s="469">
        <v>1641.38</v>
      </c>
      <c r="O1669" s="469">
        <v>-404.05000000000007</v>
      </c>
    </row>
    <row r="1670" spans="3:15" ht="17.25">
      <c r="F1670" s="12"/>
      <c r="H1670" s="409"/>
      <c r="I1670" s="358"/>
      <c r="J1670" s="442"/>
      <c r="K1670" s="280"/>
      <c r="L1670" s="358"/>
      <c r="M1670" s="579"/>
      <c r="N1670" s="469"/>
      <c r="O1670" s="469"/>
    </row>
    <row r="1671" spans="3:15" ht="17.25">
      <c r="D1671" s="361">
        <v>44620</v>
      </c>
      <c r="E1671" s="361"/>
      <c r="F1671" s="361"/>
      <c r="G1671" s="361"/>
      <c r="H1671" s="409"/>
      <c r="I1671" s="358"/>
      <c r="J1671" s="442"/>
      <c r="K1671" s="280"/>
      <c r="L1671" s="358"/>
      <c r="M1671" s="579"/>
      <c r="N1671" s="469"/>
      <c r="O1671" s="469"/>
    </row>
    <row r="1672" spans="3:15" ht="17.25">
      <c r="E1672" s="12" t="s">
        <v>33</v>
      </c>
      <c r="F1672" s="12"/>
      <c r="H1672" s="409"/>
      <c r="I1672" s="358"/>
      <c r="J1672" s="442"/>
      <c r="K1672" s="280"/>
      <c r="L1672" s="358"/>
      <c r="M1672" s="579"/>
      <c r="N1672" s="469"/>
      <c r="O1672" s="469"/>
    </row>
    <row r="1673" spans="3:15" ht="17.25">
      <c r="F1673" s="361">
        <v>44503</v>
      </c>
      <c r="G1673" s="361"/>
      <c r="H1673" s="409"/>
      <c r="I1673" s="358"/>
      <c r="J1673" s="442"/>
      <c r="K1673" s="280"/>
      <c r="L1673" s="358"/>
      <c r="M1673" s="579"/>
      <c r="N1673" s="469"/>
      <c r="O1673" s="469"/>
    </row>
    <row r="1674" spans="3:15" ht="17.25">
      <c r="F1674" s="12"/>
      <c r="G1674" s="112" t="s">
        <v>33</v>
      </c>
      <c r="H1674" s="409">
        <v>11</v>
      </c>
      <c r="I1674" s="358">
        <v>527.76</v>
      </c>
      <c r="J1674" s="442">
        <v>1</v>
      </c>
      <c r="K1674" s="280">
        <v>527.76</v>
      </c>
      <c r="L1674" s="358">
        <v>694.43000000000006</v>
      </c>
      <c r="M1674" s="579">
        <v>1</v>
      </c>
      <c r="N1674" s="469">
        <v>694.43000000000006</v>
      </c>
      <c r="O1674" s="469">
        <v>-166.67000000000007</v>
      </c>
    </row>
    <row r="1675" spans="3:15" ht="17.25">
      <c r="F1675" s="12"/>
      <c r="H1675" s="409"/>
      <c r="I1675" s="358"/>
      <c r="J1675" s="442"/>
      <c r="K1675" s="280"/>
      <c r="L1675" s="358"/>
      <c r="M1675" s="579"/>
      <c r="N1675" s="469"/>
      <c r="O1675" s="469"/>
    </row>
    <row r="1676" spans="3:15" ht="17.25">
      <c r="D1676" s="361">
        <v>44621</v>
      </c>
      <c r="E1676" s="361"/>
      <c r="F1676" s="361"/>
      <c r="G1676" s="361"/>
      <c r="H1676" s="409"/>
      <c r="I1676" s="358"/>
      <c r="J1676" s="442"/>
      <c r="K1676" s="280"/>
      <c r="L1676" s="358"/>
      <c r="M1676" s="579"/>
      <c r="N1676" s="469"/>
      <c r="O1676" s="469"/>
    </row>
    <row r="1677" spans="3:15" ht="17.25">
      <c r="E1677" s="12" t="s">
        <v>33</v>
      </c>
      <c r="F1677" s="12"/>
      <c r="H1677" s="409"/>
      <c r="I1677" s="358"/>
      <c r="J1677" s="442"/>
      <c r="K1677" s="280"/>
      <c r="L1677" s="358"/>
      <c r="M1677" s="579"/>
      <c r="N1677" s="469"/>
      <c r="O1677" s="469"/>
    </row>
    <row r="1678" spans="3:15" ht="17.25">
      <c r="F1678" s="361">
        <v>44503</v>
      </c>
      <c r="G1678" s="361"/>
      <c r="H1678" s="409"/>
      <c r="I1678" s="358"/>
      <c r="J1678" s="442"/>
      <c r="K1678" s="280"/>
      <c r="L1678" s="358"/>
      <c r="M1678" s="579"/>
      <c r="N1678" s="469"/>
      <c r="O1678" s="469"/>
    </row>
    <row r="1679" spans="3:15" ht="17.25">
      <c r="F1679" s="12"/>
      <c r="G1679" s="112" t="s">
        <v>33</v>
      </c>
      <c r="H1679" s="409">
        <v>14</v>
      </c>
      <c r="I1679" s="358">
        <v>648</v>
      </c>
      <c r="J1679" s="442">
        <v>1</v>
      </c>
      <c r="K1679" s="280">
        <v>648</v>
      </c>
      <c r="L1679" s="358">
        <v>883.82</v>
      </c>
      <c r="M1679" s="579">
        <v>1</v>
      </c>
      <c r="N1679" s="469">
        <v>883.82</v>
      </c>
      <c r="O1679" s="469">
        <v>-235.82000000000005</v>
      </c>
    </row>
    <row r="1680" spans="3:15" ht="17.25">
      <c r="F1680" s="12"/>
      <c r="H1680" s="409"/>
      <c r="I1680" s="358"/>
      <c r="J1680" s="442"/>
      <c r="K1680" s="280"/>
      <c r="L1680" s="358"/>
      <c r="M1680" s="579"/>
      <c r="N1680" s="469"/>
      <c r="O1680" s="469"/>
    </row>
    <row r="1681" spans="4:15" ht="17.25">
      <c r="D1681" s="361">
        <v>44623</v>
      </c>
      <c r="E1681" s="361"/>
      <c r="F1681" s="361"/>
      <c r="G1681" s="361"/>
      <c r="H1681" s="409"/>
      <c r="I1681" s="358"/>
      <c r="J1681" s="442"/>
      <c r="K1681" s="280"/>
      <c r="L1681" s="358"/>
      <c r="M1681" s="579"/>
      <c r="N1681" s="469"/>
      <c r="O1681" s="469"/>
    </row>
    <row r="1682" spans="4:15" ht="17.25">
      <c r="E1682" s="12" t="s">
        <v>33</v>
      </c>
      <c r="F1682" s="12"/>
      <c r="H1682" s="409"/>
      <c r="I1682" s="358"/>
      <c r="J1682" s="442"/>
      <c r="K1682" s="280"/>
      <c r="L1682" s="358"/>
      <c r="M1682" s="579"/>
      <c r="N1682" s="469"/>
      <c r="O1682" s="469"/>
    </row>
    <row r="1683" spans="4:15" ht="17.25">
      <c r="F1683" s="361">
        <v>44503</v>
      </c>
      <c r="G1683" s="361"/>
      <c r="H1683" s="409"/>
      <c r="I1683" s="358"/>
      <c r="J1683" s="442"/>
      <c r="K1683" s="280"/>
      <c r="L1683" s="358"/>
      <c r="M1683" s="579"/>
      <c r="N1683" s="469"/>
      <c r="O1683" s="469"/>
    </row>
    <row r="1684" spans="4:15" ht="17.25">
      <c r="F1684" s="12"/>
      <c r="G1684" s="112" t="s">
        <v>33</v>
      </c>
      <c r="H1684" s="409">
        <v>26</v>
      </c>
      <c r="I1684" s="358">
        <v>1294.93</v>
      </c>
      <c r="J1684" s="442">
        <v>1</v>
      </c>
      <c r="K1684" s="280">
        <v>1294.93</v>
      </c>
      <c r="L1684" s="358">
        <v>1641.38</v>
      </c>
      <c r="M1684" s="579">
        <v>1</v>
      </c>
      <c r="N1684" s="469">
        <v>1641.38</v>
      </c>
      <c r="O1684" s="469">
        <v>-346.45000000000005</v>
      </c>
    </row>
    <row r="1685" spans="4:15" ht="17.25">
      <c r="F1685" s="12"/>
      <c r="H1685" s="409"/>
      <c r="I1685" s="358"/>
      <c r="J1685" s="442"/>
      <c r="K1685" s="280"/>
      <c r="L1685" s="358"/>
      <c r="M1685" s="579"/>
      <c r="N1685" s="469"/>
      <c r="O1685" s="469"/>
    </row>
    <row r="1686" spans="4:15" ht="17.25">
      <c r="D1686" s="361">
        <v>44642</v>
      </c>
      <c r="E1686" s="361"/>
      <c r="F1686" s="361"/>
      <c r="G1686" s="361"/>
      <c r="H1686" s="409"/>
      <c r="I1686" s="358"/>
      <c r="J1686" s="442"/>
      <c r="K1686" s="280"/>
      <c r="L1686" s="358"/>
      <c r="M1686" s="579"/>
      <c r="N1686" s="469"/>
      <c r="O1686" s="469"/>
    </row>
    <row r="1687" spans="4:15" ht="17.25">
      <c r="E1687" s="12" t="s">
        <v>33</v>
      </c>
      <c r="F1687" s="12"/>
      <c r="H1687" s="409"/>
      <c r="I1687" s="358"/>
      <c r="J1687" s="442"/>
      <c r="K1687" s="280"/>
      <c r="L1687" s="358"/>
      <c r="M1687" s="579"/>
      <c r="N1687" s="469"/>
      <c r="O1687" s="469"/>
    </row>
    <row r="1688" spans="4:15" ht="17.25">
      <c r="F1688" s="361">
        <v>44503</v>
      </c>
      <c r="G1688" s="361"/>
      <c r="H1688" s="409"/>
      <c r="I1688" s="358"/>
      <c r="J1688" s="442"/>
      <c r="K1688" s="280"/>
      <c r="L1688" s="358"/>
      <c r="M1688" s="579"/>
      <c r="N1688" s="469"/>
      <c r="O1688" s="469"/>
    </row>
    <row r="1689" spans="4:15" ht="17.25">
      <c r="F1689" s="12"/>
      <c r="G1689" s="112" t="s">
        <v>33</v>
      </c>
      <c r="H1689" s="409">
        <v>32</v>
      </c>
      <c r="I1689" s="358">
        <v>2063.79</v>
      </c>
      <c r="J1689" s="442">
        <v>1</v>
      </c>
      <c r="K1689" s="280">
        <v>2063.79</v>
      </c>
      <c r="L1689" s="358">
        <v>2020.16</v>
      </c>
      <c r="M1689" s="579">
        <v>1</v>
      </c>
      <c r="N1689" s="469">
        <v>2020.16</v>
      </c>
      <c r="O1689" s="469">
        <v>43.629999999999882</v>
      </c>
    </row>
    <row r="1690" spans="4:15" ht="17.25">
      <c r="F1690" s="12"/>
      <c r="H1690" s="409"/>
      <c r="I1690" s="358"/>
      <c r="J1690" s="442"/>
      <c r="K1690" s="280"/>
      <c r="L1690" s="358"/>
      <c r="M1690" s="579"/>
      <c r="N1690" s="469"/>
      <c r="O1690" s="469"/>
    </row>
    <row r="1691" spans="4:15" ht="17.25">
      <c r="D1691" s="361">
        <v>44643</v>
      </c>
      <c r="E1691" s="361"/>
      <c r="F1691" s="361"/>
      <c r="G1691" s="361"/>
      <c r="H1691" s="409"/>
      <c r="I1691" s="358"/>
      <c r="J1691" s="442"/>
      <c r="K1691" s="280"/>
      <c r="L1691" s="358"/>
      <c r="M1691" s="579"/>
      <c r="N1691" s="469"/>
      <c r="O1691" s="469"/>
    </row>
    <row r="1692" spans="4:15" ht="17.25">
      <c r="E1692" s="12" t="s">
        <v>33</v>
      </c>
      <c r="F1692" s="12"/>
      <c r="H1692" s="409"/>
      <c r="I1692" s="358"/>
      <c r="J1692" s="442"/>
      <c r="K1692" s="280"/>
      <c r="L1692" s="358"/>
      <c r="M1692" s="579"/>
      <c r="N1692" s="469"/>
      <c r="O1692" s="469"/>
    </row>
    <row r="1693" spans="4:15" ht="17.25">
      <c r="F1693" s="361">
        <v>44503</v>
      </c>
      <c r="G1693" s="361"/>
      <c r="H1693" s="409"/>
      <c r="I1693" s="358"/>
      <c r="J1693" s="442"/>
      <c r="K1693" s="280"/>
      <c r="L1693" s="358"/>
      <c r="M1693" s="579"/>
      <c r="N1693" s="469"/>
      <c r="O1693" s="469"/>
    </row>
    <row r="1694" spans="4:15" ht="17.25">
      <c r="F1694" s="12"/>
      <c r="G1694" s="112" t="s">
        <v>33</v>
      </c>
      <c r="H1694" s="409">
        <v>36</v>
      </c>
      <c r="I1694" s="358">
        <v>2322.2745762711866</v>
      </c>
      <c r="J1694" s="442">
        <v>1</v>
      </c>
      <c r="K1694" s="280">
        <v>2322.2745762711866</v>
      </c>
      <c r="L1694" s="358">
        <v>2272.6800000000003</v>
      </c>
      <c r="M1694" s="579">
        <v>1</v>
      </c>
      <c r="N1694" s="469">
        <v>2272.6800000000003</v>
      </c>
      <c r="O1694" s="469">
        <v>49.59457627118627</v>
      </c>
    </row>
    <row r="1695" spans="4:15" ht="17.25">
      <c r="F1695" s="12"/>
      <c r="H1695" s="409"/>
      <c r="I1695" s="358"/>
      <c r="J1695" s="442"/>
      <c r="K1695" s="280"/>
      <c r="L1695" s="358"/>
      <c r="M1695" s="579"/>
      <c r="N1695" s="469"/>
      <c r="O1695" s="469"/>
    </row>
    <row r="1696" spans="4:15" ht="17.25">
      <c r="F1696" s="361">
        <v>44524</v>
      </c>
      <c r="G1696" s="361"/>
      <c r="H1696" s="409"/>
      <c r="I1696" s="358"/>
      <c r="J1696" s="442"/>
      <c r="K1696" s="280"/>
      <c r="L1696" s="358"/>
      <c r="M1696" s="579"/>
      <c r="N1696" s="469"/>
      <c r="O1696" s="469"/>
    </row>
    <row r="1697" spans="3:15" ht="17.25">
      <c r="F1697" s="12"/>
      <c r="G1697" s="112" t="s">
        <v>33</v>
      </c>
      <c r="H1697" s="409">
        <v>23</v>
      </c>
      <c r="I1697" s="358">
        <v>1483.6754237288135</v>
      </c>
      <c r="J1697" s="442">
        <v>1</v>
      </c>
      <c r="K1697" s="280">
        <v>1483.6754237288135</v>
      </c>
      <c r="L1697" s="358">
        <v>964.29</v>
      </c>
      <c r="M1697" s="579">
        <v>1</v>
      </c>
      <c r="N1697" s="469">
        <v>964.29</v>
      </c>
      <c r="O1697" s="469">
        <v>519.38542372881352</v>
      </c>
    </row>
    <row r="1698" spans="3:15" ht="17.25">
      <c r="F1698" s="12"/>
      <c r="H1698" s="409"/>
      <c r="I1698" s="358"/>
      <c r="J1698" s="442"/>
      <c r="K1698" s="280"/>
      <c r="L1698" s="358"/>
      <c r="M1698" s="579"/>
      <c r="N1698" s="469"/>
      <c r="O1698" s="469"/>
    </row>
    <row r="1699" spans="3:15" ht="17.25">
      <c r="C1699" s="342" t="s">
        <v>380</v>
      </c>
      <c r="D1699" s="342"/>
      <c r="E1699" s="342"/>
      <c r="F1699" s="342"/>
      <c r="G1699" s="342"/>
      <c r="H1699" s="410">
        <v>168</v>
      </c>
      <c r="I1699" s="407">
        <v>9577.760000000002</v>
      </c>
      <c r="J1699" s="460">
        <v>1</v>
      </c>
      <c r="K1699" s="413">
        <v>9577.760000000002</v>
      </c>
      <c r="L1699" s="407">
        <v>10118.14</v>
      </c>
      <c r="M1699" s="580">
        <v>1</v>
      </c>
      <c r="N1699" s="470">
        <v>10118.14</v>
      </c>
      <c r="O1699" s="470">
        <v>-540.38000000000056</v>
      </c>
    </row>
    <row r="1700" spans="3:15" ht="17.25">
      <c r="F1700" s="12"/>
      <c r="H1700" s="409"/>
      <c r="I1700" s="358"/>
      <c r="J1700" s="442"/>
      <c r="K1700" s="280"/>
      <c r="L1700" s="358"/>
      <c r="M1700" s="579"/>
      <c r="N1700" s="469"/>
      <c r="O1700" s="469"/>
    </row>
    <row r="1701" spans="3:15" ht="17.25">
      <c r="C1701" s="12" t="s">
        <v>262</v>
      </c>
      <c r="F1701" s="12"/>
      <c r="H1701" s="409"/>
      <c r="I1701" s="358"/>
      <c r="J1701" s="442"/>
      <c r="K1701" s="280"/>
      <c r="L1701" s="358"/>
      <c r="M1701" s="579"/>
      <c r="N1701" s="469"/>
      <c r="O1701" s="469"/>
    </row>
    <row r="1702" spans="3:15" ht="17.25">
      <c r="D1702" s="361">
        <v>44698</v>
      </c>
      <c r="E1702" s="361"/>
      <c r="F1702" s="361"/>
      <c r="G1702" s="361"/>
      <c r="H1702" s="409"/>
      <c r="I1702" s="358"/>
      <c r="J1702" s="442"/>
      <c r="K1702" s="280"/>
      <c r="L1702" s="358"/>
      <c r="M1702" s="579"/>
      <c r="N1702" s="469"/>
      <c r="O1702" s="469"/>
    </row>
    <row r="1703" spans="3:15" ht="17.25">
      <c r="E1703" s="12" t="s">
        <v>33</v>
      </c>
      <c r="F1703" s="12"/>
      <c r="H1703" s="409"/>
      <c r="I1703" s="358"/>
      <c r="J1703" s="442"/>
      <c r="K1703" s="280"/>
      <c r="L1703" s="358"/>
      <c r="M1703" s="579"/>
      <c r="N1703" s="469"/>
      <c r="O1703" s="469"/>
    </row>
    <row r="1704" spans="3:15" ht="17.25">
      <c r="F1704" s="361">
        <v>44503</v>
      </c>
      <c r="G1704" s="361"/>
      <c r="H1704" s="409"/>
      <c r="I1704" s="358"/>
      <c r="J1704" s="442"/>
      <c r="K1704" s="280"/>
      <c r="L1704" s="358"/>
      <c r="M1704" s="579"/>
      <c r="N1704" s="469"/>
      <c r="O1704" s="469"/>
    </row>
    <row r="1705" spans="3:15" ht="17.25">
      <c r="F1705" s="12"/>
      <c r="G1705" s="112" t="s">
        <v>33</v>
      </c>
      <c r="H1705" s="409">
        <v>23</v>
      </c>
      <c r="I1705" s="358">
        <v>3401.84</v>
      </c>
      <c r="J1705" s="442">
        <v>1</v>
      </c>
      <c r="K1705" s="280">
        <v>3401.84</v>
      </c>
      <c r="L1705" s="358">
        <v>3458.51</v>
      </c>
      <c r="M1705" s="579">
        <v>1</v>
      </c>
      <c r="N1705" s="469">
        <v>3458.51</v>
      </c>
      <c r="O1705" s="469">
        <v>-56.6700000000003</v>
      </c>
    </row>
    <row r="1706" spans="3:15" ht="17.25">
      <c r="F1706" s="12"/>
      <c r="H1706" s="409"/>
      <c r="I1706" s="358"/>
      <c r="J1706" s="442"/>
      <c r="K1706" s="280"/>
      <c r="L1706" s="358"/>
      <c r="M1706" s="579"/>
      <c r="N1706" s="469"/>
      <c r="O1706" s="469"/>
    </row>
    <row r="1707" spans="3:15" ht="17.25">
      <c r="D1707" s="361">
        <v>44832</v>
      </c>
      <c r="E1707" s="361"/>
      <c r="F1707" s="361"/>
      <c r="G1707" s="361"/>
      <c r="H1707" s="409"/>
      <c r="I1707" s="358"/>
      <c r="J1707" s="442"/>
      <c r="K1707" s="280"/>
      <c r="L1707" s="358"/>
      <c r="M1707" s="579"/>
      <c r="N1707" s="469"/>
      <c r="O1707" s="469"/>
    </row>
    <row r="1708" spans="3:15" ht="17.25">
      <c r="E1708" s="12" t="s">
        <v>33</v>
      </c>
      <c r="F1708" s="12"/>
      <c r="H1708" s="409"/>
      <c r="I1708" s="358"/>
      <c r="J1708" s="442"/>
      <c r="K1708" s="280"/>
      <c r="L1708" s="358"/>
      <c r="M1708" s="579"/>
      <c r="N1708" s="469"/>
      <c r="O1708" s="469"/>
    </row>
    <row r="1709" spans="3:15" ht="17.25">
      <c r="F1709" s="361">
        <v>44503</v>
      </c>
      <c r="G1709" s="361"/>
      <c r="H1709" s="409"/>
      <c r="I1709" s="358"/>
      <c r="J1709" s="442"/>
      <c r="K1709" s="280"/>
      <c r="L1709" s="358"/>
      <c r="M1709" s="579"/>
      <c r="N1709" s="469"/>
      <c r="O1709" s="469"/>
    </row>
    <row r="1710" spans="3:15" ht="17.25">
      <c r="F1710" s="12"/>
      <c r="G1710" s="112" t="s">
        <v>33</v>
      </c>
      <c r="H1710" s="409">
        <v>19</v>
      </c>
      <c r="I1710" s="358">
        <v>2789.1700000000005</v>
      </c>
      <c r="J1710" s="442">
        <v>1</v>
      </c>
      <c r="K1710" s="280">
        <v>2789.1700000000005</v>
      </c>
      <c r="L1710" s="358">
        <v>2857.03</v>
      </c>
      <c r="M1710" s="579">
        <v>1</v>
      </c>
      <c r="N1710" s="469">
        <v>2857.03</v>
      </c>
      <c r="O1710" s="469">
        <v>-67.859999999999673</v>
      </c>
    </row>
    <row r="1711" spans="3:15" ht="17.25">
      <c r="F1711" s="12"/>
      <c r="H1711" s="409"/>
      <c r="I1711" s="358"/>
      <c r="J1711" s="442"/>
      <c r="K1711" s="280"/>
      <c r="L1711" s="358"/>
      <c r="M1711" s="579"/>
      <c r="N1711" s="469"/>
      <c r="O1711" s="469"/>
    </row>
    <row r="1712" spans="3:15" ht="17.25">
      <c r="D1712" s="361">
        <v>44837</v>
      </c>
      <c r="E1712" s="361"/>
      <c r="F1712" s="361"/>
      <c r="G1712" s="361"/>
      <c r="H1712" s="409"/>
      <c r="I1712" s="358"/>
      <c r="J1712" s="442"/>
      <c r="K1712" s="280"/>
      <c r="L1712" s="358"/>
      <c r="M1712" s="579"/>
      <c r="N1712" s="469"/>
      <c r="O1712" s="469"/>
    </row>
    <row r="1713" spans="3:15" ht="17.25">
      <c r="E1713" s="12" t="s">
        <v>33</v>
      </c>
      <c r="F1713" s="12"/>
      <c r="H1713" s="409"/>
      <c r="I1713" s="358"/>
      <c r="J1713" s="442"/>
      <c r="K1713" s="280"/>
      <c r="L1713" s="358"/>
      <c r="M1713" s="579"/>
      <c r="N1713" s="469"/>
      <c r="O1713" s="469"/>
    </row>
    <row r="1714" spans="3:15" ht="17.25">
      <c r="F1714" s="361">
        <v>44503</v>
      </c>
      <c r="G1714" s="361"/>
      <c r="H1714" s="409"/>
      <c r="I1714" s="358"/>
      <c r="J1714" s="442"/>
      <c r="K1714" s="280"/>
      <c r="L1714" s="358"/>
      <c r="M1714" s="579"/>
      <c r="N1714" s="469"/>
      <c r="O1714" s="469"/>
    </row>
    <row r="1715" spans="3:15" ht="17.25">
      <c r="F1715" s="12"/>
      <c r="G1715" s="112" t="s">
        <v>33</v>
      </c>
      <c r="H1715" s="409">
        <v>20</v>
      </c>
      <c r="I1715" s="358">
        <v>2838.24</v>
      </c>
      <c r="J1715" s="442">
        <v>1</v>
      </c>
      <c r="K1715" s="280">
        <v>2838.24</v>
      </c>
      <c r="L1715" s="358">
        <v>3007.4</v>
      </c>
      <c r="M1715" s="579">
        <v>1</v>
      </c>
      <c r="N1715" s="469">
        <v>3007.4</v>
      </c>
      <c r="O1715" s="469">
        <v>-169.16000000000031</v>
      </c>
    </row>
    <row r="1716" spans="3:15" ht="17.25">
      <c r="F1716" s="12"/>
      <c r="H1716" s="409"/>
      <c r="I1716" s="358"/>
      <c r="J1716" s="442"/>
      <c r="K1716" s="280"/>
      <c r="L1716" s="358"/>
      <c r="M1716" s="579"/>
      <c r="N1716" s="469"/>
      <c r="O1716" s="469"/>
    </row>
    <row r="1717" spans="3:15" ht="17.25">
      <c r="D1717" s="361">
        <v>44847</v>
      </c>
      <c r="E1717" s="361"/>
      <c r="F1717" s="361"/>
      <c r="G1717" s="361"/>
      <c r="H1717" s="409"/>
      <c r="I1717" s="358"/>
      <c r="J1717" s="442"/>
      <c r="K1717" s="280"/>
      <c r="L1717" s="358"/>
      <c r="M1717" s="579"/>
      <c r="N1717" s="469"/>
      <c r="O1717" s="469"/>
    </row>
    <row r="1718" spans="3:15" ht="17.25">
      <c r="E1718" s="12" t="s">
        <v>33</v>
      </c>
      <c r="F1718" s="12"/>
      <c r="H1718" s="409"/>
      <c r="I1718" s="358"/>
      <c r="J1718" s="442"/>
      <c r="K1718" s="280"/>
      <c r="L1718" s="358"/>
      <c r="M1718" s="579"/>
      <c r="N1718" s="469"/>
      <c r="O1718" s="469"/>
    </row>
    <row r="1719" spans="3:15" ht="17.25">
      <c r="F1719" s="361">
        <v>44503</v>
      </c>
      <c r="G1719" s="361"/>
      <c r="H1719" s="409"/>
      <c r="I1719" s="358"/>
      <c r="J1719" s="442"/>
      <c r="K1719" s="280"/>
      <c r="L1719" s="358"/>
      <c r="M1719" s="579"/>
      <c r="N1719" s="469"/>
      <c r="O1719" s="469"/>
    </row>
    <row r="1720" spans="3:15" ht="17.25">
      <c r="F1720" s="12"/>
      <c r="G1720" s="112" t="s">
        <v>33</v>
      </c>
      <c r="H1720" s="409">
        <v>10</v>
      </c>
      <c r="I1720" s="358">
        <v>1374.23</v>
      </c>
      <c r="J1720" s="442">
        <v>1</v>
      </c>
      <c r="K1720" s="280">
        <v>1374.23</v>
      </c>
      <c r="L1720" s="358">
        <v>1503.7</v>
      </c>
      <c r="M1720" s="579">
        <v>1</v>
      </c>
      <c r="N1720" s="469">
        <v>1503.7</v>
      </c>
      <c r="O1720" s="469">
        <v>-129.47000000000003</v>
      </c>
    </row>
    <row r="1721" spans="3:15" ht="17.25">
      <c r="F1721" s="12"/>
      <c r="H1721" s="409"/>
      <c r="I1721" s="358"/>
      <c r="J1721" s="442"/>
      <c r="K1721" s="280"/>
      <c r="L1721" s="358"/>
      <c r="M1721" s="579"/>
      <c r="N1721" s="469"/>
      <c r="O1721" s="469"/>
    </row>
    <row r="1722" spans="3:15" ht="17.25">
      <c r="C1722" s="342" t="s">
        <v>381</v>
      </c>
      <c r="D1722" s="342"/>
      <c r="E1722" s="342"/>
      <c r="F1722" s="342"/>
      <c r="G1722" s="342"/>
      <c r="H1722" s="410">
        <v>72</v>
      </c>
      <c r="I1722" s="407">
        <v>10403.48</v>
      </c>
      <c r="J1722" s="460">
        <v>1</v>
      </c>
      <c r="K1722" s="413">
        <v>10403.48</v>
      </c>
      <c r="L1722" s="407">
        <v>10826.640000000001</v>
      </c>
      <c r="M1722" s="580">
        <v>1</v>
      </c>
      <c r="N1722" s="470">
        <v>10826.640000000001</v>
      </c>
      <c r="O1722" s="470">
        <v>-423.16000000000031</v>
      </c>
    </row>
    <row r="1723" spans="3:15" ht="17.25">
      <c r="F1723" s="12"/>
      <c r="H1723" s="409"/>
      <c r="I1723" s="358"/>
      <c r="J1723" s="442"/>
      <c r="K1723" s="280"/>
      <c r="L1723" s="358"/>
      <c r="M1723" s="579"/>
      <c r="N1723" s="469"/>
      <c r="O1723" s="469"/>
    </row>
    <row r="1724" spans="3:15" ht="17.25">
      <c r="C1724" s="12" t="s">
        <v>263</v>
      </c>
      <c r="F1724" s="12"/>
      <c r="H1724" s="409"/>
      <c r="I1724" s="358"/>
      <c r="J1724" s="442"/>
      <c r="K1724" s="280"/>
      <c r="L1724" s="358"/>
      <c r="M1724" s="579"/>
      <c r="N1724" s="469"/>
      <c r="O1724" s="469"/>
    </row>
    <row r="1725" spans="3:15" ht="17.25">
      <c r="D1725" s="361">
        <v>44610</v>
      </c>
      <c r="E1725" s="361"/>
      <c r="F1725" s="361"/>
      <c r="G1725" s="361"/>
      <c r="H1725" s="409"/>
      <c r="I1725" s="358"/>
      <c r="J1725" s="442"/>
      <c r="K1725" s="280"/>
      <c r="L1725" s="358"/>
      <c r="M1725" s="579"/>
      <c r="N1725" s="469"/>
      <c r="O1725" s="469"/>
    </row>
    <row r="1726" spans="3:15" ht="17.25">
      <c r="E1726" s="12" t="s">
        <v>33</v>
      </c>
      <c r="F1726" s="12"/>
      <c r="H1726" s="409"/>
      <c r="I1726" s="358"/>
      <c r="J1726" s="442"/>
      <c r="K1726" s="280"/>
      <c r="L1726" s="358"/>
      <c r="M1726" s="579"/>
      <c r="N1726" s="469"/>
      <c r="O1726" s="469"/>
    </row>
    <row r="1727" spans="3:15" ht="17.25">
      <c r="F1727" s="361">
        <v>44503</v>
      </c>
      <c r="G1727" s="361"/>
      <c r="H1727" s="409"/>
      <c r="I1727" s="358"/>
      <c r="J1727" s="442"/>
      <c r="K1727" s="280"/>
      <c r="L1727" s="358"/>
      <c r="M1727" s="579"/>
      <c r="N1727" s="469"/>
      <c r="O1727" s="469"/>
    </row>
    <row r="1728" spans="3:15" ht="17.25">
      <c r="F1728" s="12"/>
      <c r="G1728" s="112" t="s">
        <v>33</v>
      </c>
      <c r="H1728" s="409">
        <v>12</v>
      </c>
      <c r="I1728" s="358">
        <v>1516.25</v>
      </c>
      <c r="J1728" s="442">
        <v>1</v>
      </c>
      <c r="K1728" s="280">
        <v>1516.25</v>
      </c>
      <c r="L1728" s="358">
        <v>1533</v>
      </c>
      <c r="M1728" s="579">
        <v>1</v>
      </c>
      <c r="N1728" s="469">
        <v>1533</v>
      </c>
      <c r="O1728" s="469">
        <v>-16.75</v>
      </c>
    </row>
    <row r="1729" spans="4:15" ht="17.25">
      <c r="F1729" s="12"/>
      <c r="H1729" s="409"/>
      <c r="I1729" s="358"/>
      <c r="J1729" s="442"/>
      <c r="K1729" s="280"/>
      <c r="L1729" s="358"/>
      <c r="M1729" s="579"/>
      <c r="N1729" s="469"/>
      <c r="O1729" s="469"/>
    </row>
    <row r="1730" spans="4:15" ht="17.25">
      <c r="D1730" s="361">
        <v>44614</v>
      </c>
      <c r="E1730" s="361"/>
      <c r="F1730" s="361"/>
      <c r="G1730" s="361"/>
      <c r="H1730" s="409"/>
      <c r="I1730" s="358"/>
      <c r="J1730" s="442"/>
      <c r="K1730" s="280"/>
      <c r="L1730" s="358"/>
      <c r="M1730" s="579"/>
      <c r="N1730" s="469"/>
      <c r="O1730" s="469"/>
    </row>
    <row r="1731" spans="4:15" ht="17.25">
      <c r="E1731" s="12" t="s">
        <v>33</v>
      </c>
      <c r="F1731" s="12"/>
      <c r="H1731" s="409"/>
      <c r="I1731" s="358"/>
      <c r="J1731" s="442"/>
      <c r="K1731" s="280"/>
      <c r="L1731" s="358"/>
      <c r="M1731" s="579"/>
      <c r="N1731" s="469"/>
      <c r="O1731" s="469"/>
    </row>
    <row r="1732" spans="4:15" ht="17.25">
      <c r="F1732" s="361">
        <v>44503</v>
      </c>
      <c r="G1732" s="361"/>
      <c r="H1732" s="409"/>
      <c r="I1732" s="358"/>
      <c r="J1732" s="442"/>
      <c r="K1732" s="280"/>
      <c r="L1732" s="358"/>
      <c r="M1732" s="579"/>
      <c r="N1732" s="469"/>
      <c r="O1732" s="469"/>
    </row>
    <row r="1733" spans="4:15" ht="17.25">
      <c r="F1733" s="12"/>
      <c r="G1733" s="112" t="s">
        <v>33</v>
      </c>
      <c r="H1733" s="409">
        <v>3</v>
      </c>
      <c r="I1733" s="358">
        <v>370.72</v>
      </c>
      <c r="J1733" s="442">
        <v>1</v>
      </c>
      <c r="K1733" s="280">
        <v>370.72</v>
      </c>
      <c r="L1733" s="358">
        <v>383.25</v>
      </c>
      <c r="M1733" s="579">
        <v>1</v>
      </c>
      <c r="N1733" s="469">
        <v>383.25</v>
      </c>
      <c r="O1733" s="469">
        <v>-12.530000000000001</v>
      </c>
    </row>
    <row r="1734" spans="4:15" ht="17.25">
      <c r="F1734" s="12"/>
      <c r="H1734" s="409"/>
      <c r="I1734" s="358"/>
      <c r="J1734" s="442"/>
      <c r="K1734" s="280"/>
      <c r="L1734" s="358"/>
      <c r="M1734" s="579"/>
      <c r="N1734" s="469"/>
      <c r="O1734" s="469"/>
    </row>
    <row r="1735" spans="4:15" ht="17.25">
      <c r="D1735" s="361">
        <v>44769</v>
      </c>
      <c r="E1735" s="361"/>
      <c r="F1735" s="361"/>
      <c r="G1735" s="361"/>
      <c r="H1735" s="409"/>
      <c r="I1735" s="358"/>
      <c r="J1735" s="442"/>
      <c r="K1735" s="280"/>
      <c r="L1735" s="358"/>
      <c r="M1735" s="579"/>
      <c r="N1735" s="469"/>
      <c r="O1735" s="469"/>
    </row>
    <row r="1736" spans="4:15" ht="17.25">
      <c r="E1736" s="12" t="s">
        <v>33</v>
      </c>
      <c r="F1736" s="12"/>
      <c r="H1736" s="409"/>
      <c r="I1736" s="358"/>
      <c r="J1736" s="442"/>
      <c r="K1736" s="280"/>
      <c r="L1736" s="358"/>
      <c r="M1736" s="579"/>
      <c r="N1736" s="469"/>
      <c r="O1736" s="469"/>
    </row>
    <row r="1737" spans="4:15" ht="17.25">
      <c r="F1737" s="361">
        <v>44503</v>
      </c>
      <c r="G1737" s="361"/>
      <c r="H1737" s="409"/>
      <c r="I1737" s="358"/>
      <c r="J1737" s="442"/>
      <c r="K1737" s="280"/>
      <c r="L1737" s="358"/>
      <c r="M1737" s="579"/>
      <c r="N1737" s="469"/>
      <c r="O1737" s="469"/>
    </row>
    <row r="1738" spans="4:15" ht="17.25">
      <c r="F1738" s="12"/>
      <c r="G1738" s="112" t="s">
        <v>33</v>
      </c>
      <c r="H1738" s="409">
        <v>23</v>
      </c>
      <c r="I1738" s="358">
        <v>2467.5100000000002</v>
      </c>
      <c r="J1738" s="442">
        <v>1</v>
      </c>
      <c r="K1738" s="280">
        <v>2467.5100000000002</v>
      </c>
      <c r="L1738" s="358">
        <v>2938.25</v>
      </c>
      <c r="M1738" s="579">
        <v>1</v>
      </c>
      <c r="N1738" s="469">
        <v>2938.25</v>
      </c>
      <c r="O1738" s="469">
        <v>-470.74</v>
      </c>
    </row>
    <row r="1739" spans="4:15" ht="17.25">
      <c r="F1739" s="12"/>
      <c r="H1739" s="409"/>
      <c r="I1739" s="358"/>
      <c r="J1739" s="442"/>
      <c r="K1739" s="280"/>
      <c r="L1739" s="358"/>
      <c r="M1739" s="579"/>
      <c r="N1739" s="469"/>
      <c r="O1739" s="469"/>
    </row>
    <row r="1740" spans="4:15" ht="17.25">
      <c r="D1740" s="361">
        <v>44845</v>
      </c>
      <c r="E1740" s="361"/>
      <c r="F1740" s="361"/>
      <c r="G1740" s="361"/>
      <c r="H1740" s="409"/>
      <c r="I1740" s="358"/>
      <c r="J1740" s="442"/>
      <c r="K1740" s="280"/>
      <c r="L1740" s="358"/>
      <c r="M1740" s="579"/>
      <c r="N1740" s="469"/>
      <c r="O1740" s="469"/>
    </row>
    <row r="1741" spans="4:15" ht="17.25">
      <c r="E1741" s="12" t="s">
        <v>33</v>
      </c>
      <c r="F1741" s="12"/>
      <c r="H1741" s="409"/>
      <c r="I1741" s="358"/>
      <c r="J1741" s="442"/>
      <c r="K1741" s="280"/>
      <c r="L1741" s="358"/>
      <c r="M1741" s="579"/>
      <c r="N1741" s="469"/>
      <c r="O1741" s="469"/>
    </row>
    <row r="1742" spans="4:15" ht="17.25">
      <c r="F1742" s="361">
        <v>44503</v>
      </c>
      <c r="G1742" s="361"/>
      <c r="H1742" s="409"/>
      <c r="I1742" s="358"/>
      <c r="J1742" s="442"/>
      <c r="K1742" s="280"/>
      <c r="L1742" s="358"/>
      <c r="M1742" s="579"/>
      <c r="N1742" s="469"/>
      <c r="O1742" s="469"/>
    </row>
    <row r="1743" spans="4:15" ht="17.25">
      <c r="F1743" s="12"/>
      <c r="G1743" s="112" t="s">
        <v>33</v>
      </c>
      <c r="H1743" s="409">
        <v>16</v>
      </c>
      <c r="I1743" s="358">
        <v>1715.34</v>
      </c>
      <c r="J1743" s="442">
        <v>1</v>
      </c>
      <c r="K1743" s="280">
        <v>1715.34</v>
      </c>
      <c r="L1743" s="358">
        <v>2044</v>
      </c>
      <c r="M1743" s="579">
        <v>1</v>
      </c>
      <c r="N1743" s="469">
        <v>2044</v>
      </c>
      <c r="O1743" s="469">
        <v>-328.65999999999997</v>
      </c>
    </row>
    <row r="1744" spans="4:15" ht="17.25">
      <c r="F1744" s="12"/>
      <c r="H1744" s="409"/>
      <c r="I1744" s="358"/>
      <c r="J1744" s="442"/>
      <c r="K1744" s="280"/>
      <c r="L1744" s="358"/>
      <c r="M1744" s="579"/>
      <c r="N1744" s="469"/>
      <c r="O1744" s="469"/>
    </row>
    <row r="1745" spans="3:15" ht="17.25">
      <c r="D1745" s="361">
        <v>44847</v>
      </c>
      <c r="E1745" s="361"/>
      <c r="F1745" s="361"/>
      <c r="G1745" s="361"/>
      <c r="H1745" s="409"/>
      <c r="I1745" s="358"/>
      <c r="J1745" s="442"/>
      <c r="K1745" s="280"/>
      <c r="L1745" s="358"/>
      <c r="M1745" s="579"/>
      <c r="N1745" s="469"/>
      <c r="O1745" s="469"/>
    </row>
    <row r="1746" spans="3:15" ht="17.25">
      <c r="E1746" s="12" t="s">
        <v>33</v>
      </c>
      <c r="F1746" s="12"/>
      <c r="H1746" s="409"/>
      <c r="I1746" s="358"/>
      <c r="J1746" s="442"/>
      <c r="K1746" s="280"/>
      <c r="L1746" s="358"/>
      <c r="M1746" s="579"/>
      <c r="N1746" s="469"/>
      <c r="O1746" s="469"/>
    </row>
    <row r="1747" spans="3:15" ht="17.25">
      <c r="F1747" s="361">
        <v>44503</v>
      </c>
      <c r="G1747" s="361"/>
      <c r="H1747" s="409"/>
      <c r="I1747" s="358"/>
      <c r="J1747" s="442"/>
      <c r="K1747" s="280"/>
      <c r="L1747" s="358"/>
      <c r="M1747" s="579"/>
      <c r="N1747" s="469"/>
      <c r="O1747" s="469"/>
    </row>
    <row r="1748" spans="3:15" ht="17.25">
      <c r="F1748" s="12"/>
      <c r="G1748" s="112" t="s">
        <v>33</v>
      </c>
      <c r="H1748" s="409">
        <v>14</v>
      </c>
      <c r="I1748" s="358">
        <v>1447.73</v>
      </c>
      <c r="J1748" s="442">
        <v>1</v>
      </c>
      <c r="K1748" s="280">
        <v>1447.73</v>
      </c>
      <c r="L1748" s="358">
        <v>1788.5</v>
      </c>
      <c r="M1748" s="579">
        <v>1</v>
      </c>
      <c r="N1748" s="469">
        <v>1788.5</v>
      </c>
      <c r="O1748" s="469">
        <v>-340.77000000000004</v>
      </c>
    </row>
    <row r="1749" spans="3:15" ht="17.25">
      <c r="F1749" s="12"/>
      <c r="H1749" s="409"/>
      <c r="I1749" s="358"/>
      <c r="J1749" s="442"/>
      <c r="K1749" s="280"/>
      <c r="L1749" s="358"/>
      <c r="M1749" s="579"/>
      <c r="N1749" s="469"/>
      <c r="O1749" s="469"/>
    </row>
    <row r="1750" spans="3:15" ht="17.25">
      <c r="D1750" s="361">
        <v>44848</v>
      </c>
      <c r="E1750" s="361"/>
      <c r="F1750" s="361"/>
      <c r="G1750" s="361"/>
      <c r="H1750" s="409"/>
      <c r="I1750" s="358"/>
      <c r="J1750" s="442"/>
      <c r="K1750" s="280"/>
      <c r="L1750" s="358"/>
      <c r="M1750" s="579"/>
      <c r="N1750" s="469"/>
      <c r="O1750" s="469"/>
    </row>
    <row r="1751" spans="3:15" ht="17.25">
      <c r="E1751" s="12" t="s">
        <v>33</v>
      </c>
      <c r="F1751" s="12"/>
      <c r="H1751" s="409"/>
      <c r="I1751" s="358"/>
      <c r="J1751" s="442"/>
      <c r="K1751" s="280"/>
      <c r="L1751" s="358"/>
      <c r="M1751" s="579"/>
      <c r="N1751" s="469"/>
      <c r="O1751" s="469"/>
    </row>
    <row r="1752" spans="3:15" ht="17.25">
      <c r="F1752" s="361">
        <v>44503</v>
      </c>
      <c r="G1752" s="361"/>
      <c r="H1752" s="409"/>
      <c r="I1752" s="358"/>
      <c r="J1752" s="442"/>
      <c r="K1752" s="280"/>
      <c r="L1752" s="358"/>
      <c r="M1752" s="579"/>
      <c r="N1752" s="469"/>
      <c r="O1752" s="469"/>
    </row>
    <row r="1753" spans="3:15" ht="17.25">
      <c r="F1753" s="12"/>
      <c r="G1753" s="112" t="s">
        <v>33</v>
      </c>
      <c r="H1753" s="409">
        <v>3</v>
      </c>
      <c r="I1753" s="358">
        <v>303.84000000000003</v>
      </c>
      <c r="J1753" s="442">
        <v>1</v>
      </c>
      <c r="K1753" s="280">
        <v>303.84000000000003</v>
      </c>
      <c r="L1753" s="358">
        <v>383.25</v>
      </c>
      <c r="M1753" s="579">
        <v>1</v>
      </c>
      <c r="N1753" s="469">
        <v>383.25</v>
      </c>
      <c r="O1753" s="469">
        <v>-79.41</v>
      </c>
    </row>
    <row r="1754" spans="3:15" ht="17.25">
      <c r="F1754" s="12"/>
      <c r="H1754" s="409"/>
      <c r="I1754" s="358"/>
      <c r="J1754" s="442"/>
      <c r="K1754" s="280"/>
      <c r="L1754" s="358"/>
      <c r="M1754" s="579"/>
      <c r="N1754" s="469"/>
      <c r="O1754" s="469"/>
    </row>
    <row r="1755" spans="3:15" ht="17.25">
      <c r="D1755" s="361">
        <v>44851</v>
      </c>
      <c r="E1755" s="361"/>
      <c r="F1755" s="361"/>
      <c r="G1755" s="361"/>
      <c r="H1755" s="409"/>
      <c r="I1755" s="358"/>
      <c r="J1755" s="442"/>
      <c r="K1755" s="280"/>
      <c r="L1755" s="358"/>
      <c r="M1755" s="579"/>
      <c r="N1755" s="469"/>
      <c r="O1755" s="469"/>
    </row>
    <row r="1756" spans="3:15" ht="17.25">
      <c r="E1756" s="12" t="s">
        <v>33</v>
      </c>
      <c r="F1756" s="12"/>
      <c r="H1756" s="409"/>
      <c r="I1756" s="358"/>
      <c r="J1756" s="442"/>
      <c r="K1756" s="280"/>
      <c r="L1756" s="358"/>
      <c r="M1756" s="579"/>
      <c r="N1756" s="469"/>
      <c r="O1756" s="469"/>
    </row>
    <row r="1757" spans="3:15" ht="17.25">
      <c r="F1757" s="361">
        <v>44503</v>
      </c>
      <c r="G1757" s="361"/>
      <c r="H1757" s="409"/>
      <c r="I1757" s="358"/>
      <c r="J1757" s="442"/>
      <c r="K1757" s="280"/>
      <c r="L1757" s="358"/>
      <c r="M1757" s="579"/>
      <c r="N1757" s="469"/>
      <c r="O1757" s="469"/>
    </row>
    <row r="1758" spans="3:15" ht="17.25">
      <c r="F1758" s="12"/>
      <c r="G1758" s="112" t="s">
        <v>33</v>
      </c>
      <c r="H1758" s="409">
        <v>1</v>
      </c>
      <c r="I1758" s="358">
        <v>105.05</v>
      </c>
      <c r="J1758" s="442">
        <v>1</v>
      </c>
      <c r="K1758" s="280">
        <v>105.05</v>
      </c>
      <c r="L1758" s="358">
        <v>127.75</v>
      </c>
      <c r="M1758" s="579">
        <v>1</v>
      </c>
      <c r="N1758" s="469">
        <v>127.75</v>
      </c>
      <c r="O1758" s="469">
        <v>-22.700000000000003</v>
      </c>
    </row>
    <row r="1759" spans="3:15" ht="17.25">
      <c r="F1759" s="12"/>
      <c r="H1759" s="409"/>
      <c r="I1759" s="358"/>
      <c r="J1759" s="442"/>
      <c r="K1759" s="280"/>
      <c r="L1759" s="358"/>
      <c r="M1759" s="579"/>
      <c r="N1759" s="469"/>
      <c r="O1759" s="469"/>
    </row>
    <row r="1760" spans="3:15" ht="17.25">
      <c r="C1760" s="342" t="s">
        <v>382</v>
      </c>
      <c r="D1760" s="342"/>
      <c r="E1760" s="342"/>
      <c r="F1760" s="342"/>
      <c r="G1760" s="342"/>
      <c r="H1760" s="410">
        <v>72</v>
      </c>
      <c r="I1760" s="407">
        <v>7926.4400000000005</v>
      </c>
      <c r="J1760" s="460">
        <v>1</v>
      </c>
      <c r="K1760" s="413">
        <v>7926.4400000000005</v>
      </c>
      <c r="L1760" s="407">
        <v>9198</v>
      </c>
      <c r="M1760" s="580">
        <v>1</v>
      </c>
      <c r="N1760" s="470">
        <v>9198</v>
      </c>
      <c r="O1760" s="470">
        <v>-1271.56</v>
      </c>
    </row>
    <row r="1761" spans="3:15" ht="17.25">
      <c r="F1761" s="12"/>
      <c r="H1761" s="409"/>
      <c r="I1761" s="358"/>
      <c r="J1761" s="442"/>
      <c r="K1761" s="280"/>
      <c r="L1761" s="358"/>
      <c r="M1761" s="579"/>
      <c r="N1761" s="469"/>
      <c r="O1761" s="469"/>
    </row>
    <row r="1762" spans="3:15" ht="17.25">
      <c r="C1762" s="12" t="s">
        <v>383</v>
      </c>
      <c r="F1762" s="12"/>
      <c r="H1762" s="409"/>
      <c r="I1762" s="358"/>
      <c r="J1762" s="442"/>
      <c r="K1762" s="280"/>
      <c r="L1762" s="358"/>
      <c r="M1762" s="579"/>
      <c r="N1762" s="469"/>
      <c r="O1762" s="469"/>
    </row>
    <row r="1763" spans="3:15" ht="17.25">
      <c r="D1763" s="361">
        <v>44634</v>
      </c>
      <c r="E1763" s="361"/>
      <c r="F1763" s="361"/>
      <c r="G1763" s="361"/>
      <c r="H1763" s="409"/>
      <c r="I1763" s="358"/>
      <c r="J1763" s="442"/>
      <c r="K1763" s="280"/>
      <c r="L1763" s="358"/>
      <c r="M1763" s="579"/>
      <c r="N1763" s="469"/>
      <c r="O1763" s="469"/>
    </row>
    <row r="1764" spans="3:15" ht="17.25">
      <c r="E1764" s="12" t="s">
        <v>33</v>
      </c>
      <c r="F1764" s="12"/>
      <c r="H1764" s="409"/>
      <c r="I1764" s="358"/>
      <c r="J1764" s="442"/>
      <c r="K1764" s="280"/>
      <c r="L1764" s="358"/>
      <c r="M1764" s="579"/>
      <c r="N1764" s="469"/>
      <c r="O1764" s="469"/>
    </row>
    <row r="1765" spans="3:15" ht="17.25">
      <c r="F1765" s="361">
        <v>44544</v>
      </c>
      <c r="G1765" s="361"/>
      <c r="H1765" s="409"/>
      <c r="I1765" s="358"/>
      <c r="J1765" s="442"/>
      <c r="K1765" s="280"/>
      <c r="L1765" s="358"/>
      <c r="M1765" s="579"/>
      <c r="N1765" s="469"/>
      <c r="O1765" s="469"/>
    </row>
    <row r="1766" spans="3:15" ht="17.25">
      <c r="F1766" s="12"/>
      <c r="G1766" s="112" t="s">
        <v>33</v>
      </c>
      <c r="H1766" s="409">
        <v>2</v>
      </c>
      <c r="I1766" s="358">
        <v>480.13000000000005</v>
      </c>
      <c r="J1766" s="442">
        <v>1</v>
      </c>
      <c r="K1766" s="280">
        <v>480.13000000000005</v>
      </c>
      <c r="L1766" s="358">
        <v>693.82</v>
      </c>
      <c r="M1766" s="579">
        <v>1</v>
      </c>
      <c r="N1766" s="469">
        <v>693.82</v>
      </c>
      <c r="O1766" s="469">
        <v>-213.69</v>
      </c>
    </row>
    <row r="1767" spans="3:15" ht="17.25">
      <c r="F1767" s="12"/>
      <c r="H1767" s="409"/>
      <c r="I1767" s="358"/>
      <c r="J1767" s="442"/>
      <c r="K1767" s="280"/>
      <c r="L1767" s="358"/>
      <c r="M1767" s="579"/>
      <c r="N1767" s="469"/>
      <c r="O1767" s="469"/>
    </row>
    <row r="1768" spans="3:15" ht="17.25">
      <c r="F1768" s="361">
        <v>44540</v>
      </c>
      <c r="G1768" s="361"/>
      <c r="H1768" s="409"/>
      <c r="I1768" s="358"/>
      <c r="J1768" s="442"/>
      <c r="K1768" s="280"/>
      <c r="L1768" s="358"/>
      <c r="M1768" s="579"/>
      <c r="N1768" s="469"/>
      <c r="O1768" s="469"/>
    </row>
    <row r="1769" spans="3:15" ht="17.25">
      <c r="F1769" s="12"/>
      <c r="G1769" s="112" t="s">
        <v>33</v>
      </c>
      <c r="H1769" s="409">
        <v>2</v>
      </c>
      <c r="I1769" s="358">
        <v>480.13000000000005</v>
      </c>
      <c r="J1769" s="442">
        <v>1</v>
      </c>
      <c r="K1769" s="280">
        <v>480.13000000000005</v>
      </c>
      <c r="L1769" s="358">
        <v>743.89</v>
      </c>
      <c r="M1769" s="579">
        <v>1</v>
      </c>
      <c r="N1769" s="469">
        <v>743.89</v>
      </c>
      <c r="O1769" s="469">
        <v>-263.75999999999993</v>
      </c>
    </row>
    <row r="1770" spans="3:15" ht="17.25">
      <c r="F1770" s="12"/>
      <c r="H1770" s="409"/>
      <c r="I1770" s="358"/>
      <c r="J1770" s="442"/>
      <c r="K1770" s="280"/>
      <c r="L1770" s="358"/>
      <c r="M1770" s="579"/>
      <c r="N1770" s="469"/>
      <c r="O1770" s="469"/>
    </row>
    <row r="1771" spans="3:15" ht="17.25">
      <c r="F1771" s="361">
        <v>44553</v>
      </c>
      <c r="G1771" s="361"/>
      <c r="H1771" s="409"/>
      <c r="I1771" s="358"/>
      <c r="J1771" s="442"/>
      <c r="K1771" s="280"/>
      <c r="L1771" s="358"/>
      <c r="M1771" s="579"/>
      <c r="N1771" s="469"/>
      <c r="O1771" s="469"/>
    </row>
    <row r="1772" spans="3:15" ht="17.25">
      <c r="F1772" s="12"/>
      <c r="G1772" s="112" t="s">
        <v>33</v>
      </c>
      <c r="H1772" s="409">
        <v>2</v>
      </c>
      <c r="I1772" s="358">
        <v>492.41500000000002</v>
      </c>
      <c r="J1772" s="442">
        <v>1</v>
      </c>
      <c r="K1772" s="280">
        <v>492.41500000000002</v>
      </c>
      <c r="L1772" s="358">
        <v>775.27</v>
      </c>
      <c r="M1772" s="579">
        <v>1</v>
      </c>
      <c r="N1772" s="469">
        <v>775.27</v>
      </c>
      <c r="O1772" s="469">
        <v>-282.85499999999996</v>
      </c>
    </row>
    <row r="1773" spans="3:15" ht="17.25">
      <c r="F1773" s="12"/>
      <c r="H1773" s="409"/>
      <c r="I1773" s="358"/>
      <c r="J1773" s="442"/>
      <c r="K1773" s="280"/>
      <c r="L1773" s="358"/>
      <c r="M1773" s="579"/>
      <c r="N1773" s="469"/>
      <c r="O1773" s="469"/>
    </row>
    <row r="1774" spans="3:15" ht="17.25">
      <c r="F1774" s="361">
        <v>44537</v>
      </c>
      <c r="G1774" s="361"/>
      <c r="H1774" s="409"/>
      <c r="I1774" s="358"/>
      <c r="J1774" s="442"/>
      <c r="K1774" s="280"/>
      <c r="L1774" s="358"/>
      <c r="M1774" s="579"/>
      <c r="N1774" s="469"/>
      <c r="O1774" s="469"/>
    </row>
    <row r="1775" spans="3:15" ht="17.25">
      <c r="F1775" s="12"/>
      <c r="G1775" s="112" t="s">
        <v>33</v>
      </c>
      <c r="H1775" s="409">
        <v>4</v>
      </c>
      <c r="I1775" s="358">
        <v>962.17000000000007</v>
      </c>
      <c r="J1775" s="442">
        <v>1</v>
      </c>
      <c r="K1775" s="280">
        <v>962.17000000000007</v>
      </c>
      <c r="L1775" s="358">
        <v>1521.82</v>
      </c>
      <c r="M1775" s="579">
        <v>1</v>
      </c>
      <c r="N1775" s="469">
        <v>1521.82</v>
      </c>
      <c r="O1775" s="469">
        <v>-559.64999999999986</v>
      </c>
    </row>
    <row r="1776" spans="3:15" ht="17.25">
      <c r="F1776" s="12"/>
      <c r="H1776" s="409"/>
      <c r="I1776" s="358"/>
      <c r="J1776" s="442"/>
      <c r="K1776" s="280"/>
      <c r="L1776" s="358"/>
      <c r="M1776" s="579"/>
      <c r="N1776" s="469"/>
      <c r="O1776" s="469"/>
    </row>
    <row r="1777" spans="3:15" ht="17.25">
      <c r="F1777" s="361">
        <v>44564</v>
      </c>
      <c r="G1777" s="361"/>
      <c r="H1777" s="409"/>
      <c r="I1777" s="358"/>
      <c r="J1777" s="442"/>
      <c r="K1777" s="280"/>
      <c r="L1777" s="358"/>
      <c r="M1777" s="579"/>
      <c r="N1777" s="469"/>
      <c r="O1777" s="469"/>
    </row>
    <row r="1778" spans="3:15" ht="17.25">
      <c r="F1778" s="12"/>
      <c r="G1778" s="112" t="s">
        <v>33</v>
      </c>
      <c r="H1778" s="409">
        <v>1</v>
      </c>
      <c r="I1778" s="358">
        <v>246.20750000000001</v>
      </c>
      <c r="J1778" s="442">
        <v>1</v>
      </c>
      <c r="K1778" s="280">
        <v>246.20750000000001</v>
      </c>
      <c r="L1778" s="358">
        <v>356.55500000000001</v>
      </c>
      <c r="M1778" s="579">
        <v>1</v>
      </c>
      <c r="N1778" s="469">
        <v>356.55500000000001</v>
      </c>
      <c r="O1778" s="469">
        <v>-110.3475</v>
      </c>
    </row>
    <row r="1779" spans="3:15" ht="17.25">
      <c r="F1779" s="12"/>
      <c r="H1779" s="409"/>
      <c r="I1779" s="358"/>
      <c r="J1779" s="442"/>
      <c r="K1779" s="280"/>
      <c r="L1779" s="358"/>
      <c r="M1779" s="579"/>
      <c r="N1779" s="469"/>
      <c r="O1779" s="469"/>
    </row>
    <row r="1780" spans="3:15" ht="17.25">
      <c r="F1780" s="361">
        <v>44550</v>
      </c>
      <c r="G1780" s="361"/>
      <c r="H1780" s="409"/>
      <c r="I1780" s="358"/>
      <c r="J1780" s="442"/>
      <c r="K1780" s="280"/>
      <c r="L1780" s="358"/>
      <c r="M1780" s="579"/>
      <c r="N1780" s="469"/>
      <c r="O1780" s="469"/>
    </row>
    <row r="1781" spans="3:15" ht="17.25">
      <c r="F1781" s="12"/>
      <c r="G1781" s="112" t="s">
        <v>33</v>
      </c>
      <c r="H1781" s="409">
        <v>2</v>
      </c>
      <c r="I1781" s="358">
        <v>492.41500000000002</v>
      </c>
      <c r="J1781" s="442">
        <v>1</v>
      </c>
      <c r="K1781" s="280">
        <v>492.41500000000002</v>
      </c>
      <c r="L1781" s="358">
        <v>687.55</v>
      </c>
      <c r="M1781" s="579">
        <v>1</v>
      </c>
      <c r="N1781" s="469">
        <v>687.55</v>
      </c>
      <c r="O1781" s="469">
        <v>-195.13499999999993</v>
      </c>
    </row>
    <row r="1782" spans="3:15" ht="17.25">
      <c r="F1782" s="12"/>
      <c r="H1782" s="409"/>
      <c r="I1782" s="358"/>
      <c r="J1782" s="442"/>
      <c r="K1782" s="280"/>
      <c r="L1782" s="358"/>
      <c r="M1782" s="579"/>
      <c r="N1782" s="469"/>
      <c r="O1782" s="469"/>
    </row>
    <row r="1783" spans="3:15" ht="17.25">
      <c r="F1783" s="361">
        <v>44557</v>
      </c>
      <c r="G1783" s="361"/>
      <c r="H1783" s="409"/>
      <c r="I1783" s="358"/>
      <c r="J1783" s="442"/>
      <c r="K1783" s="280"/>
      <c r="L1783" s="358"/>
      <c r="M1783" s="579"/>
      <c r="N1783" s="469"/>
      <c r="O1783" s="469"/>
    </row>
    <row r="1784" spans="3:15" ht="17.25">
      <c r="F1784" s="12"/>
      <c r="G1784" s="112" t="s">
        <v>33</v>
      </c>
      <c r="H1784" s="409">
        <v>3</v>
      </c>
      <c r="I1784" s="358">
        <v>738.62250000000006</v>
      </c>
      <c r="J1784" s="442">
        <v>1</v>
      </c>
      <c r="K1784" s="280">
        <v>738.62250000000006</v>
      </c>
      <c r="L1784" s="358">
        <v>1183.0999999999999</v>
      </c>
      <c r="M1784" s="579">
        <v>1</v>
      </c>
      <c r="N1784" s="469">
        <v>1183.0999999999999</v>
      </c>
      <c r="O1784" s="469">
        <v>-444.47749999999985</v>
      </c>
    </row>
    <row r="1785" spans="3:15" ht="17.25">
      <c r="F1785" s="12"/>
      <c r="H1785" s="409"/>
      <c r="I1785" s="358"/>
      <c r="J1785" s="442"/>
      <c r="K1785" s="280"/>
      <c r="L1785" s="358"/>
      <c r="M1785" s="579"/>
      <c r="N1785" s="469"/>
      <c r="O1785" s="469"/>
    </row>
    <row r="1786" spans="3:15" ht="17.25">
      <c r="D1786" s="361">
        <v>44635</v>
      </c>
      <c r="E1786" s="361"/>
      <c r="F1786" s="361"/>
      <c r="G1786" s="361"/>
      <c r="H1786" s="409"/>
      <c r="I1786" s="358"/>
      <c r="J1786" s="442"/>
      <c r="K1786" s="280"/>
      <c r="L1786" s="358"/>
      <c r="M1786" s="579"/>
      <c r="N1786" s="469"/>
      <c r="O1786" s="469"/>
    </row>
    <row r="1787" spans="3:15" ht="17.25">
      <c r="E1787" s="12" t="s">
        <v>33</v>
      </c>
      <c r="F1787" s="12"/>
      <c r="H1787" s="409"/>
      <c r="I1787" s="358"/>
      <c r="J1787" s="442"/>
      <c r="K1787" s="280"/>
      <c r="L1787" s="358"/>
      <c r="M1787" s="579"/>
      <c r="N1787" s="469"/>
      <c r="O1787" s="469"/>
    </row>
    <row r="1788" spans="3:15" ht="17.25">
      <c r="F1788" s="361">
        <v>44564</v>
      </c>
      <c r="G1788" s="361"/>
      <c r="H1788" s="409"/>
      <c r="I1788" s="358"/>
      <c r="J1788" s="442"/>
      <c r="K1788" s="280"/>
      <c r="L1788" s="358"/>
      <c r="M1788" s="579"/>
      <c r="N1788" s="469"/>
      <c r="O1788" s="469"/>
    </row>
    <row r="1789" spans="3:15" ht="17.25">
      <c r="F1789" s="12"/>
      <c r="G1789" s="112" t="s">
        <v>33</v>
      </c>
      <c r="H1789" s="409">
        <v>1</v>
      </c>
      <c r="I1789" s="358">
        <v>240.1</v>
      </c>
      <c r="J1789" s="442">
        <v>1</v>
      </c>
      <c r="K1789" s="280">
        <v>240.1</v>
      </c>
      <c r="L1789" s="358">
        <v>356.55500000000001</v>
      </c>
      <c r="M1789" s="579">
        <v>1</v>
      </c>
      <c r="N1789" s="469">
        <v>356.55500000000001</v>
      </c>
      <c r="O1789" s="469">
        <v>-116.45500000000001</v>
      </c>
    </row>
    <row r="1790" spans="3:15" ht="17.25">
      <c r="F1790" s="12"/>
      <c r="H1790" s="409"/>
      <c r="I1790" s="358"/>
      <c r="J1790" s="442"/>
      <c r="K1790" s="280"/>
      <c r="L1790" s="358"/>
      <c r="M1790" s="579"/>
      <c r="N1790" s="469"/>
      <c r="O1790" s="469"/>
    </row>
    <row r="1791" spans="3:15" ht="17.25">
      <c r="C1791" s="342" t="s">
        <v>384</v>
      </c>
      <c r="D1791" s="342"/>
      <c r="E1791" s="342"/>
      <c r="F1791" s="342"/>
      <c r="G1791" s="342"/>
      <c r="H1791" s="410">
        <v>17</v>
      </c>
      <c r="I1791" s="407">
        <v>4132.1900000000005</v>
      </c>
      <c r="J1791" s="460">
        <v>1</v>
      </c>
      <c r="K1791" s="413">
        <v>4132.1900000000005</v>
      </c>
      <c r="L1791" s="407">
        <v>6318.5599999999995</v>
      </c>
      <c r="M1791" s="580">
        <v>1</v>
      </c>
      <c r="N1791" s="470">
        <v>6318.5599999999995</v>
      </c>
      <c r="O1791" s="470">
        <v>-2186.3699999999994</v>
      </c>
    </row>
    <row r="1792" spans="3:15" ht="17.25">
      <c r="F1792" s="12"/>
      <c r="H1792" s="409"/>
      <c r="I1792" s="358"/>
      <c r="J1792" s="442"/>
      <c r="K1792" s="280"/>
      <c r="L1792" s="358"/>
      <c r="M1792" s="579"/>
      <c r="N1792" s="469"/>
      <c r="O1792" s="469"/>
    </row>
    <row r="1793" spans="3:15" ht="17.25">
      <c r="C1793" s="12" t="s">
        <v>385</v>
      </c>
      <c r="F1793" s="12"/>
      <c r="H1793" s="409"/>
      <c r="I1793" s="358"/>
      <c r="J1793" s="442"/>
      <c r="K1793" s="280"/>
      <c r="L1793" s="358"/>
      <c r="M1793" s="579"/>
      <c r="N1793" s="469"/>
      <c r="O1793" s="469"/>
    </row>
    <row r="1794" spans="3:15" ht="17.25">
      <c r="D1794" s="361">
        <v>44586</v>
      </c>
      <c r="E1794" s="361"/>
      <c r="F1794" s="361"/>
      <c r="G1794" s="361"/>
      <c r="H1794" s="409"/>
      <c r="I1794" s="358"/>
      <c r="J1794" s="442"/>
      <c r="K1794" s="280"/>
      <c r="L1794" s="358"/>
      <c r="M1794" s="579"/>
      <c r="N1794" s="469"/>
      <c r="O1794" s="469"/>
    </row>
    <row r="1795" spans="3:15" ht="17.25">
      <c r="E1795" s="12" t="s">
        <v>33</v>
      </c>
      <c r="F1795" s="12"/>
      <c r="H1795" s="409"/>
      <c r="I1795" s="358"/>
      <c r="J1795" s="442"/>
      <c r="K1795" s="280"/>
      <c r="L1795" s="358"/>
      <c r="M1795" s="579"/>
      <c r="N1795" s="469"/>
      <c r="O1795" s="469"/>
    </row>
    <row r="1796" spans="3:15" ht="17.25">
      <c r="F1796" s="361">
        <v>44503</v>
      </c>
      <c r="G1796" s="361"/>
      <c r="H1796" s="409"/>
      <c r="I1796" s="358"/>
      <c r="J1796" s="442"/>
      <c r="K1796" s="280"/>
      <c r="L1796" s="358"/>
      <c r="M1796" s="579"/>
      <c r="N1796" s="469"/>
      <c r="O1796" s="469"/>
    </row>
    <row r="1797" spans="3:15" ht="17.25">
      <c r="F1797" s="12"/>
      <c r="G1797" s="112" t="s">
        <v>33</v>
      </c>
      <c r="H1797" s="409">
        <v>34</v>
      </c>
      <c r="I1797" s="358">
        <v>7965.5199999999995</v>
      </c>
      <c r="J1797" s="442">
        <v>1</v>
      </c>
      <c r="K1797" s="280">
        <v>7965.5199999999995</v>
      </c>
      <c r="L1797" s="358">
        <v>10322.57</v>
      </c>
      <c r="M1797" s="579">
        <v>1</v>
      </c>
      <c r="N1797" s="469">
        <v>10322.57</v>
      </c>
      <c r="O1797" s="469">
        <v>-2357.0500000000002</v>
      </c>
    </row>
    <row r="1798" spans="3:15" ht="17.25">
      <c r="F1798" s="12"/>
      <c r="H1798" s="409"/>
      <c r="I1798" s="358"/>
      <c r="J1798" s="442"/>
      <c r="K1798" s="280"/>
      <c r="L1798" s="358"/>
      <c r="M1798" s="579"/>
      <c r="N1798" s="469"/>
      <c r="O1798" s="469"/>
    </row>
    <row r="1799" spans="3:15" ht="17.25">
      <c r="C1799" s="342" t="s">
        <v>386</v>
      </c>
      <c r="D1799" s="342"/>
      <c r="E1799" s="342"/>
      <c r="F1799" s="342"/>
      <c r="G1799" s="342"/>
      <c r="H1799" s="410">
        <v>34</v>
      </c>
      <c r="I1799" s="407">
        <v>7965.5199999999995</v>
      </c>
      <c r="J1799" s="460">
        <v>1</v>
      </c>
      <c r="K1799" s="413">
        <v>7965.5199999999995</v>
      </c>
      <c r="L1799" s="407">
        <v>10322.57</v>
      </c>
      <c r="M1799" s="580">
        <v>1</v>
      </c>
      <c r="N1799" s="470">
        <v>10322.57</v>
      </c>
      <c r="O1799" s="470">
        <v>-2357.0500000000002</v>
      </c>
    </row>
    <row r="1800" spans="3:15" ht="17.25">
      <c r="F1800" s="12"/>
      <c r="H1800" s="409"/>
      <c r="I1800" s="358"/>
      <c r="J1800" s="442"/>
      <c r="K1800" s="280"/>
      <c r="L1800" s="358"/>
      <c r="M1800" s="579"/>
      <c r="N1800" s="469"/>
      <c r="O1800" s="469"/>
    </row>
    <row r="1801" spans="3:15" ht="17.25">
      <c r="C1801" s="12" t="s">
        <v>387</v>
      </c>
      <c r="F1801" s="12"/>
      <c r="H1801" s="409"/>
      <c r="I1801" s="358"/>
      <c r="J1801" s="442"/>
      <c r="K1801" s="280"/>
      <c r="L1801" s="358"/>
      <c r="M1801" s="579"/>
      <c r="N1801" s="469"/>
      <c r="O1801" s="469"/>
    </row>
    <row r="1802" spans="3:15" ht="17.25">
      <c r="D1802" s="361">
        <v>44596</v>
      </c>
      <c r="E1802" s="361"/>
      <c r="F1802" s="361"/>
      <c r="G1802" s="361"/>
      <c r="H1802" s="409"/>
      <c r="I1802" s="358"/>
      <c r="J1802" s="442"/>
      <c r="K1802" s="280"/>
      <c r="L1802" s="358"/>
      <c r="M1802" s="579"/>
      <c r="N1802" s="469"/>
      <c r="O1802" s="469"/>
    </row>
    <row r="1803" spans="3:15" ht="17.25">
      <c r="E1803" s="12" t="s">
        <v>33</v>
      </c>
      <c r="F1803" s="12"/>
      <c r="H1803" s="409"/>
      <c r="I1803" s="358"/>
      <c r="J1803" s="442"/>
      <c r="K1803" s="280"/>
      <c r="L1803" s="358"/>
      <c r="M1803" s="579"/>
      <c r="N1803" s="469"/>
      <c r="O1803" s="469"/>
    </row>
    <row r="1804" spans="3:15" ht="17.25">
      <c r="F1804" s="361">
        <v>44505</v>
      </c>
      <c r="G1804" s="361"/>
      <c r="H1804" s="409"/>
      <c r="I1804" s="358"/>
      <c r="J1804" s="442"/>
      <c r="K1804" s="280"/>
      <c r="L1804" s="358"/>
      <c r="M1804" s="579"/>
      <c r="N1804" s="469"/>
      <c r="O1804" s="469"/>
    </row>
    <row r="1805" spans="3:15" ht="17.25">
      <c r="F1805" s="12"/>
      <c r="G1805" s="112" t="s">
        <v>33</v>
      </c>
      <c r="H1805" s="409">
        <v>6</v>
      </c>
      <c r="I1805" s="358">
        <v>1343.5319999999997</v>
      </c>
      <c r="J1805" s="442">
        <v>1</v>
      </c>
      <c r="K1805" s="280">
        <v>1343.5319999999997</v>
      </c>
      <c r="L1805" s="358">
        <v>1975.92</v>
      </c>
      <c r="M1805" s="579">
        <v>1</v>
      </c>
      <c r="N1805" s="469">
        <v>1975.92</v>
      </c>
      <c r="O1805" s="469">
        <v>-632.38800000000015</v>
      </c>
    </row>
    <row r="1806" spans="3:15" ht="17.25">
      <c r="F1806" s="12"/>
      <c r="H1806" s="409"/>
      <c r="I1806" s="358"/>
      <c r="J1806" s="442"/>
      <c r="K1806" s="280"/>
      <c r="L1806" s="358"/>
      <c r="M1806" s="579"/>
      <c r="N1806" s="469"/>
      <c r="O1806" s="469"/>
    </row>
    <row r="1807" spans="3:15" ht="17.25">
      <c r="F1807" s="361">
        <v>44508</v>
      </c>
      <c r="G1807" s="361"/>
      <c r="H1807" s="409"/>
      <c r="I1807" s="358"/>
      <c r="J1807" s="442"/>
      <c r="K1807" s="280"/>
      <c r="L1807" s="358"/>
      <c r="M1807" s="579"/>
      <c r="N1807" s="469"/>
      <c r="O1807" s="469"/>
    </row>
    <row r="1808" spans="3:15" ht="17.25">
      <c r="F1808" s="12"/>
      <c r="G1808" s="112" t="s">
        <v>33</v>
      </c>
      <c r="H1808" s="409">
        <v>4</v>
      </c>
      <c r="I1808" s="358">
        <v>895.68799999999987</v>
      </c>
      <c r="J1808" s="442">
        <v>1</v>
      </c>
      <c r="K1808" s="280">
        <v>895.68799999999987</v>
      </c>
      <c r="L1808" s="358">
        <v>1383.5474999999999</v>
      </c>
      <c r="M1808" s="579">
        <v>1</v>
      </c>
      <c r="N1808" s="469">
        <v>1383.5474999999999</v>
      </c>
      <c r="O1808" s="469">
        <v>-487.85950000000014</v>
      </c>
    </row>
    <row r="1809" spans="4:15" ht="17.25">
      <c r="F1809" s="12"/>
      <c r="H1809" s="409"/>
      <c r="I1809" s="358"/>
      <c r="J1809" s="442"/>
      <c r="K1809" s="280"/>
      <c r="L1809" s="358"/>
      <c r="M1809" s="579"/>
      <c r="N1809" s="469"/>
      <c r="O1809" s="469"/>
    </row>
    <row r="1810" spans="4:15" ht="17.25">
      <c r="D1810" s="361">
        <v>44607</v>
      </c>
      <c r="E1810" s="361"/>
      <c r="F1810" s="361"/>
      <c r="G1810" s="361"/>
      <c r="H1810" s="409"/>
      <c r="I1810" s="358"/>
      <c r="J1810" s="442"/>
      <c r="K1810" s="280"/>
      <c r="L1810" s="358"/>
      <c r="M1810" s="579"/>
      <c r="N1810" s="469"/>
      <c r="O1810" s="469"/>
    </row>
    <row r="1811" spans="4:15" ht="17.25">
      <c r="E1811" s="12" t="s">
        <v>33</v>
      </c>
      <c r="F1811" s="12"/>
      <c r="H1811" s="409"/>
      <c r="I1811" s="358"/>
      <c r="J1811" s="442"/>
      <c r="K1811" s="280"/>
      <c r="L1811" s="358"/>
      <c r="M1811" s="579"/>
      <c r="N1811" s="469"/>
      <c r="O1811" s="469"/>
    </row>
    <row r="1812" spans="4:15" ht="17.25">
      <c r="F1812" s="361">
        <v>44508</v>
      </c>
      <c r="G1812" s="361"/>
      <c r="H1812" s="409"/>
      <c r="I1812" s="358"/>
      <c r="J1812" s="442"/>
      <c r="K1812" s="280"/>
      <c r="L1812" s="358"/>
      <c r="M1812" s="579"/>
      <c r="N1812" s="469"/>
      <c r="O1812" s="469"/>
    </row>
    <row r="1813" spans="4:15" ht="17.25">
      <c r="F1813" s="12"/>
      <c r="G1813" s="112" t="s">
        <v>33</v>
      </c>
      <c r="H1813" s="409">
        <v>1</v>
      </c>
      <c r="I1813" s="358">
        <v>249.24</v>
      </c>
      <c r="J1813" s="442">
        <v>1</v>
      </c>
      <c r="K1813" s="280">
        <v>249.24</v>
      </c>
      <c r="L1813" s="358">
        <v>345.82249999999999</v>
      </c>
      <c r="M1813" s="579">
        <v>1</v>
      </c>
      <c r="N1813" s="469">
        <v>345.82249999999999</v>
      </c>
      <c r="O1813" s="469">
        <v>-96.582499999999982</v>
      </c>
    </row>
    <row r="1814" spans="4:15" ht="17.25">
      <c r="F1814" s="12"/>
      <c r="H1814" s="409"/>
      <c r="I1814" s="358"/>
      <c r="J1814" s="442"/>
      <c r="K1814" s="280"/>
      <c r="L1814" s="358"/>
      <c r="M1814" s="579"/>
      <c r="N1814" s="469"/>
      <c r="O1814" s="469"/>
    </row>
    <row r="1815" spans="4:15" ht="17.25">
      <c r="F1815" s="361">
        <v>44537</v>
      </c>
      <c r="G1815" s="361"/>
      <c r="H1815" s="409"/>
      <c r="I1815" s="358"/>
      <c r="J1815" s="442"/>
      <c r="K1815" s="280"/>
      <c r="L1815" s="358"/>
      <c r="M1815" s="579"/>
      <c r="N1815" s="469"/>
      <c r="O1815" s="469"/>
    </row>
    <row r="1816" spans="4:15" ht="17.25">
      <c r="F1816" s="12"/>
      <c r="G1816" s="112" t="s">
        <v>33</v>
      </c>
      <c r="H1816" s="409">
        <v>1</v>
      </c>
      <c r="I1816" s="358">
        <v>249.24</v>
      </c>
      <c r="J1816" s="442">
        <v>1</v>
      </c>
      <c r="K1816" s="280">
        <v>249.24</v>
      </c>
      <c r="L1816" s="358">
        <v>252.44499999999999</v>
      </c>
      <c r="M1816" s="579">
        <v>1</v>
      </c>
      <c r="N1816" s="469">
        <v>252.44499999999999</v>
      </c>
      <c r="O1816" s="469">
        <v>-3.2049999999999841</v>
      </c>
    </row>
    <row r="1817" spans="4:15" ht="17.25">
      <c r="F1817" s="12"/>
      <c r="H1817" s="409"/>
      <c r="I1817" s="358"/>
      <c r="J1817" s="442"/>
      <c r="K1817" s="280"/>
      <c r="L1817" s="358"/>
      <c r="M1817" s="579"/>
      <c r="N1817" s="469"/>
      <c r="O1817" s="469"/>
    </row>
    <row r="1818" spans="4:15" ht="17.25">
      <c r="F1818" s="361">
        <v>44510</v>
      </c>
      <c r="G1818" s="361"/>
      <c r="H1818" s="409"/>
      <c r="I1818" s="358"/>
      <c r="J1818" s="442"/>
      <c r="K1818" s="280"/>
      <c r="L1818" s="358"/>
      <c r="M1818" s="579"/>
      <c r="N1818" s="469"/>
      <c r="O1818" s="469"/>
    </row>
    <row r="1819" spans="4:15" ht="17.25">
      <c r="F1819" s="12"/>
      <c r="G1819" s="112" t="s">
        <v>33</v>
      </c>
      <c r="H1819" s="409">
        <v>3</v>
      </c>
      <c r="I1819" s="358">
        <v>747.72</v>
      </c>
      <c r="J1819" s="442">
        <v>1</v>
      </c>
      <c r="K1819" s="280">
        <v>747.72</v>
      </c>
      <c r="L1819" s="358">
        <v>998.87999999999988</v>
      </c>
      <c r="M1819" s="579">
        <v>1</v>
      </c>
      <c r="N1819" s="469">
        <v>998.87999999999988</v>
      </c>
      <c r="O1819" s="469">
        <v>-251.15999999999985</v>
      </c>
    </row>
    <row r="1820" spans="4:15" ht="17.25">
      <c r="F1820" s="12"/>
      <c r="H1820" s="409"/>
      <c r="I1820" s="358"/>
      <c r="J1820" s="442"/>
      <c r="K1820" s="280"/>
      <c r="L1820" s="358"/>
      <c r="M1820" s="579"/>
      <c r="N1820" s="469"/>
      <c r="O1820" s="469"/>
    </row>
    <row r="1821" spans="4:15" ht="17.25">
      <c r="D1821" s="361">
        <v>44610</v>
      </c>
      <c r="E1821" s="361"/>
      <c r="F1821" s="361"/>
      <c r="G1821" s="361"/>
      <c r="H1821" s="409"/>
      <c r="I1821" s="358"/>
      <c r="J1821" s="442"/>
      <c r="K1821" s="280"/>
      <c r="L1821" s="358"/>
      <c r="M1821" s="579"/>
      <c r="N1821" s="469"/>
      <c r="O1821" s="469"/>
    </row>
    <row r="1822" spans="4:15" ht="17.25">
      <c r="E1822" s="12" t="s">
        <v>33</v>
      </c>
      <c r="F1822" s="12"/>
      <c r="H1822" s="409"/>
      <c r="I1822" s="358"/>
      <c r="J1822" s="442"/>
      <c r="K1822" s="280"/>
      <c r="L1822" s="358"/>
      <c r="M1822" s="579"/>
      <c r="N1822" s="469"/>
      <c r="O1822" s="469"/>
    </row>
    <row r="1823" spans="4:15" ht="17.25">
      <c r="F1823" s="361">
        <v>44544</v>
      </c>
      <c r="G1823" s="361"/>
      <c r="H1823" s="409"/>
      <c r="I1823" s="358"/>
      <c r="J1823" s="442"/>
      <c r="K1823" s="280"/>
      <c r="L1823" s="358"/>
      <c r="M1823" s="579"/>
      <c r="N1823" s="469"/>
      <c r="O1823" s="469"/>
    </row>
    <row r="1824" spans="4:15" ht="17.25">
      <c r="F1824" s="12"/>
      <c r="G1824" s="112" t="s">
        <v>33</v>
      </c>
      <c r="H1824" s="409">
        <v>2</v>
      </c>
      <c r="I1824" s="358">
        <v>451.82</v>
      </c>
      <c r="J1824" s="442">
        <v>1</v>
      </c>
      <c r="K1824" s="280">
        <v>451.82</v>
      </c>
      <c r="L1824" s="358">
        <v>471.32666666666665</v>
      </c>
      <c r="M1824" s="579">
        <v>1</v>
      </c>
      <c r="N1824" s="469">
        <v>471.32666666666665</v>
      </c>
      <c r="O1824" s="469">
        <v>-19.506666666666661</v>
      </c>
    </row>
    <row r="1825" spans="4:15" ht="17.25">
      <c r="F1825" s="12"/>
      <c r="H1825" s="409"/>
      <c r="I1825" s="358"/>
      <c r="J1825" s="442"/>
      <c r="K1825" s="280"/>
      <c r="L1825" s="358"/>
      <c r="M1825" s="579"/>
      <c r="N1825" s="469"/>
      <c r="O1825" s="469"/>
    </row>
    <row r="1826" spans="4:15" ht="17.25">
      <c r="F1826" s="361">
        <v>44537</v>
      </c>
      <c r="G1826" s="361"/>
      <c r="H1826" s="409"/>
      <c r="I1826" s="358"/>
      <c r="J1826" s="442"/>
      <c r="K1826" s="280"/>
      <c r="L1826" s="358"/>
      <c r="M1826" s="579"/>
      <c r="N1826" s="469"/>
      <c r="O1826" s="469"/>
    </row>
    <row r="1827" spans="4:15" ht="17.25">
      <c r="F1827" s="12"/>
      <c r="G1827" s="112" t="s">
        <v>33</v>
      </c>
      <c r="H1827" s="409">
        <v>3</v>
      </c>
      <c r="I1827" s="358">
        <v>677.73</v>
      </c>
      <c r="J1827" s="442">
        <v>1</v>
      </c>
      <c r="K1827" s="280">
        <v>677.73</v>
      </c>
      <c r="L1827" s="358">
        <v>757.33500000000004</v>
      </c>
      <c r="M1827" s="579">
        <v>1</v>
      </c>
      <c r="N1827" s="469">
        <v>757.33500000000004</v>
      </c>
      <c r="O1827" s="469">
        <v>-79.605000000000018</v>
      </c>
    </row>
    <row r="1828" spans="4:15" ht="17.25">
      <c r="F1828" s="12"/>
      <c r="H1828" s="409"/>
      <c r="I1828" s="358"/>
      <c r="J1828" s="442"/>
      <c r="K1828" s="280"/>
      <c r="L1828" s="358"/>
      <c r="M1828" s="579"/>
      <c r="N1828" s="469"/>
      <c r="O1828" s="469"/>
    </row>
    <row r="1829" spans="4:15" ht="17.25">
      <c r="D1829" s="361">
        <v>44627</v>
      </c>
      <c r="E1829" s="361"/>
      <c r="F1829" s="361"/>
      <c r="G1829" s="361"/>
      <c r="H1829" s="409"/>
      <c r="I1829" s="358"/>
      <c r="J1829" s="442"/>
      <c r="K1829" s="280"/>
      <c r="L1829" s="358"/>
      <c r="M1829" s="579"/>
      <c r="N1829" s="469"/>
      <c r="O1829" s="469"/>
    </row>
    <row r="1830" spans="4:15" ht="17.25">
      <c r="E1830" s="12" t="s">
        <v>33</v>
      </c>
      <c r="F1830" s="12"/>
      <c r="H1830" s="409"/>
      <c r="I1830" s="358"/>
      <c r="J1830" s="442"/>
      <c r="K1830" s="280"/>
      <c r="L1830" s="358"/>
      <c r="M1830" s="579"/>
      <c r="N1830" s="469"/>
      <c r="O1830" s="469"/>
    </row>
    <row r="1831" spans="4:15" ht="17.25">
      <c r="F1831" s="361">
        <v>44544</v>
      </c>
      <c r="G1831" s="361"/>
      <c r="H1831" s="409"/>
      <c r="I1831" s="358"/>
      <c r="J1831" s="442"/>
      <c r="K1831" s="280"/>
      <c r="L1831" s="358"/>
      <c r="M1831" s="579"/>
      <c r="N1831" s="469"/>
      <c r="O1831" s="469"/>
    </row>
    <row r="1832" spans="4:15" ht="17.25">
      <c r="F1832" s="12"/>
      <c r="G1832" s="112" t="s">
        <v>33</v>
      </c>
      <c r="H1832" s="409">
        <v>1</v>
      </c>
      <c r="I1832" s="358">
        <v>187.66</v>
      </c>
      <c r="J1832" s="442">
        <v>1</v>
      </c>
      <c r="K1832" s="280">
        <v>187.66</v>
      </c>
      <c r="L1832" s="358">
        <v>235.66333333333333</v>
      </c>
      <c r="M1832" s="579">
        <v>1</v>
      </c>
      <c r="N1832" s="469">
        <v>235.66333333333333</v>
      </c>
      <c r="O1832" s="469">
        <v>-48.00333333333333</v>
      </c>
    </row>
    <row r="1833" spans="4:15" ht="17.25">
      <c r="F1833" s="12"/>
      <c r="H1833" s="409"/>
      <c r="I1833" s="358"/>
      <c r="J1833" s="442"/>
      <c r="K1833" s="280"/>
      <c r="L1833" s="358"/>
      <c r="M1833" s="579"/>
      <c r="N1833" s="469"/>
      <c r="O1833" s="469"/>
    </row>
    <row r="1834" spans="4:15" ht="17.25">
      <c r="F1834" s="361">
        <v>44586</v>
      </c>
      <c r="G1834" s="361"/>
      <c r="H1834" s="409"/>
      <c r="I1834" s="358"/>
      <c r="J1834" s="442"/>
      <c r="K1834" s="280"/>
      <c r="L1834" s="358"/>
      <c r="M1834" s="579"/>
      <c r="N1834" s="469"/>
      <c r="O1834" s="469"/>
    </row>
    <row r="1835" spans="4:15" ht="17.25">
      <c r="F1835" s="12"/>
      <c r="G1835" s="112" t="s">
        <v>33</v>
      </c>
      <c r="H1835" s="409">
        <v>4</v>
      </c>
      <c r="I1835" s="358">
        <v>769.5</v>
      </c>
      <c r="J1835" s="442">
        <v>1</v>
      </c>
      <c r="K1835" s="280">
        <v>769.5</v>
      </c>
      <c r="L1835" s="358">
        <v>632.12</v>
      </c>
      <c r="M1835" s="579">
        <v>1</v>
      </c>
      <c r="N1835" s="469">
        <v>632.12</v>
      </c>
      <c r="O1835" s="469">
        <v>137.38</v>
      </c>
    </row>
    <row r="1836" spans="4:15" ht="17.25">
      <c r="F1836" s="12"/>
      <c r="H1836" s="409"/>
      <c r="I1836" s="358"/>
      <c r="J1836" s="442"/>
      <c r="K1836" s="280"/>
      <c r="L1836" s="358"/>
      <c r="M1836" s="579"/>
      <c r="N1836" s="469"/>
      <c r="O1836" s="469"/>
    </row>
    <row r="1837" spans="4:15" ht="17.25">
      <c r="F1837" s="361">
        <v>44581</v>
      </c>
      <c r="G1837" s="361"/>
      <c r="H1837" s="409"/>
      <c r="I1837" s="358"/>
      <c r="J1837" s="442"/>
      <c r="K1837" s="280"/>
      <c r="L1837" s="358"/>
      <c r="M1837" s="579"/>
      <c r="N1837" s="469"/>
      <c r="O1837" s="469"/>
    </row>
    <row r="1838" spans="4:15" ht="17.25">
      <c r="F1838" s="12"/>
      <c r="G1838" s="112" t="s">
        <v>33</v>
      </c>
      <c r="H1838" s="409">
        <v>4</v>
      </c>
      <c r="I1838" s="358">
        <v>769.5</v>
      </c>
      <c r="J1838" s="442">
        <v>1</v>
      </c>
      <c r="K1838" s="280">
        <v>769.5</v>
      </c>
      <c r="L1838" s="358">
        <v>710.1</v>
      </c>
      <c r="M1838" s="579">
        <v>1</v>
      </c>
      <c r="N1838" s="469">
        <v>710.1</v>
      </c>
      <c r="O1838" s="469">
        <v>59.399999999999977</v>
      </c>
    </row>
    <row r="1839" spans="4:15" ht="17.25">
      <c r="F1839" s="12"/>
      <c r="H1839" s="409"/>
      <c r="I1839" s="358"/>
      <c r="J1839" s="442"/>
      <c r="K1839" s="280"/>
      <c r="L1839" s="358"/>
      <c r="M1839" s="579"/>
      <c r="N1839" s="469"/>
      <c r="O1839" s="469"/>
    </row>
    <row r="1840" spans="4:15" ht="17.25">
      <c r="F1840" s="361">
        <v>44573</v>
      </c>
      <c r="G1840" s="361"/>
      <c r="H1840" s="409"/>
      <c r="I1840" s="358"/>
      <c r="J1840" s="442"/>
      <c r="K1840" s="280"/>
      <c r="L1840" s="358"/>
      <c r="M1840" s="579"/>
      <c r="N1840" s="469"/>
      <c r="O1840" s="469"/>
    </row>
    <row r="1841" spans="3:15" ht="17.25">
      <c r="F1841" s="12"/>
      <c r="G1841" s="112" t="s">
        <v>33</v>
      </c>
      <c r="H1841" s="409">
        <v>3</v>
      </c>
      <c r="I1841" s="358">
        <v>577.13249999999994</v>
      </c>
      <c r="J1841" s="442">
        <v>1</v>
      </c>
      <c r="K1841" s="280">
        <v>577.13249999999994</v>
      </c>
      <c r="L1841" s="358">
        <v>619.94000000000005</v>
      </c>
      <c r="M1841" s="579">
        <v>1</v>
      </c>
      <c r="N1841" s="469">
        <v>619.94000000000005</v>
      </c>
      <c r="O1841" s="469">
        <v>-42.807500000000118</v>
      </c>
    </row>
    <row r="1842" spans="3:15" ht="17.25">
      <c r="F1842" s="12"/>
      <c r="H1842" s="409"/>
      <c r="I1842" s="358"/>
      <c r="J1842" s="442"/>
      <c r="K1842" s="280"/>
      <c r="L1842" s="358"/>
      <c r="M1842" s="579"/>
      <c r="N1842" s="469"/>
      <c r="O1842" s="469"/>
    </row>
    <row r="1843" spans="3:15" ht="17.25">
      <c r="F1843" s="361">
        <v>44550</v>
      </c>
      <c r="G1843" s="361"/>
      <c r="H1843" s="409"/>
      <c r="I1843" s="358"/>
      <c r="J1843" s="442"/>
      <c r="K1843" s="280"/>
      <c r="L1843" s="358"/>
      <c r="M1843" s="579"/>
      <c r="N1843" s="469"/>
      <c r="O1843" s="469"/>
    </row>
    <row r="1844" spans="3:15" ht="17.25">
      <c r="F1844" s="12"/>
      <c r="G1844" s="112" t="s">
        <v>33</v>
      </c>
      <c r="H1844" s="409">
        <v>3</v>
      </c>
      <c r="I1844" s="358">
        <v>559.48666666666668</v>
      </c>
      <c r="J1844" s="442">
        <v>1</v>
      </c>
      <c r="K1844" s="280">
        <v>559.48666666666668</v>
      </c>
      <c r="L1844" s="358">
        <v>721.31</v>
      </c>
      <c r="M1844" s="579">
        <v>1</v>
      </c>
      <c r="N1844" s="469">
        <v>721.31</v>
      </c>
      <c r="O1844" s="469">
        <v>-161.82333333333324</v>
      </c>
    </row>
    <row r="1845" spans="3:15" ht="17.25">
      <c r="F1845" s="12"/>
      <c r="H1845" s="409"/>
      <c r="I1845" s="358"/>
      <c r="J1845" s="442"/>
      <c r="K1845" s="280"/>
      <c r="L1845" s="358"/>
      <c r="M1845" s="579"/>
      <c r="N1845" s="469"/>
      <c r="O1845" s="469"/>
    </row>
    <row r="1846" spans="3:15" ht="17.25">
      <c r="F1846" s="361">
        <v>44565</v>
      </c>
      <c r="G1846" s="361"/>
      <c r="H1846" s="409"/>
      <c r="I1846" s="358"/>
      <c r="J1846" s="442"/>
      <c r="K1846" s="280"/>
      <c r="L1846" s="358"/>
      <c r="M1846" s="579"/>
      <c r="N1846" s="469"/>
      <c r="O1846" s="469"/>
    </row>
    <row r="1847" spans="3:15" ht="17.25">
      <c r="F1847" s="12"/>
      <c r="G1847" s="112" t="s">
        <v>33</v>
      </c>
      <c r="H1847" s="409">
        <v>3</v>
      </c>
      <c r="I1847" s="358">
        <v>565.37083333333339</v>
      </c>
      <c r="J1847" s="442">
        <v>1</v>
      </c>
      <c r="K1847" s="280">
        <v>565.37083333333339</v>
      </c>
      <c r="L1847" s="358">
        <v>622.02</v>
      </c>
      <c r="M1847" s="579">
        <v>1</v>
      </c>
      <c r="N1847" s="469">
        <v>622.02</v>
      </c>
      <c r="O1847" s="469">
        <v>-56.649166666666673</v>
      </c>
    </row>
    <row r="1848" spans="3:15" ht="17.25">
      <c r="F1848" s="12"/>
      <c r="H1848" s="409"/>
      <c r="I1848" s="358"/>
      <c r="J1848" s="442"/>
      <c r="K1848" s="280"/>
      <c r="L1848" s="358"/>
      <c r="M1848" s="579"/>
      <c r="N1848" s="469"/>
      <c r="O1848" s="469"/>
    </row>
    <row r="1849" spans="3:15" ht="17.25">
      <c r="C1849" s="342" t="s">
        <v>388</v>
      </c>
      <c r="D1849" s="342"/>
      <c r="E1849" s="342"/>
      <c r="F1849" s="342"/>
      <c r="G1849" s="342"/>
      <c r="H1849" s="410">
        <v>38</v>
      </c>
      <c r="I1849" s="407">
        <v>8043.6199999999981</v>
      </c>
      <c r="J1849" s="460">
        <v>1</v>
      </c>
      <c r="K1849" s="413">
        <v>8043.6199999999981</v>
      </c>
      <c r="L1849" s="407">
        <v>9726.43</v>
      </c>
      <c r="M1849" s="580">
        <v>1</v>
      </c>
      <c r="N1849" s="470">
        <v>9726.43</v>
      </c>
      <c r="O1849" s="470">
        <v>-1682.8100000000004</v>
      </c>
    </row>
    <row r="1850" spans="3:15" ht="17.25">
      <c r="F1850" s="12"/>
      <c r="H1850" s="409"/>
      <c r="I1850" s="358"/>
      <c r="J1850" s="442"/>
      <c r="K1850" s="280"/>
      <c r="L1850" s="358"/>
      <c r="M1850" s="579"/>
      <c r="N1850" s="469"/>
      <c r="O1850" s="469"/>
    </row>
    <row r="1851" spans="3:15" ht="17.25">
      <c r="C1851" s="12" t="s">
        <v>274</v>
      </c>
      <c r="F1851" s="12"/>
      <c r="H1851" s="409"/>
      <c r="I1851" s="358"/>
      <c r="J1851" s="442"/>
      <c r="K1851" s="280"/>
      <c r="L1851" s="358"/>
      <c r="M1851" s="579"/>
      <c r="N1851" s="469"/>
      <c r="O1851" s="469"/>
    </row>
    <row r="1852" spans="3:15" ht="17.25">
      <c r="D1852" s="361">
        <v>44754</v>
      </c>
      <c r="E1852" s="361"/>
      <c r="F1852" s="361"/>
      <c r="G1852" s="361"/>
      <c r="H1852" s="409"/>
      <c r="I1852" s="358"/>
      <c r="J1852" s="442"/>
      <c r="K1852" s="280"/>
      <c r="L1852" s="358"/>
      <c r="M1852" s="579"/>
      <c r="N1852" s="469"/>
      <c r="O1852" s="469"/>
    </row>
    <row r="1853" spans="3:15" ht="17.25">
      <c r="E1853" s="12" t="s">
        <v>33</v>
      </c>
      <c r="F1853" s="12"/>
      <c r="H1853" s="409"/>
      <c r="I1853" s="358"/>
      <c r="J1853" s="442"/>
      <c r="K1853" s="280"/>
      <c r="L1853" s="358"/>
      <c r="M1853" s="579"/>
      <c r="N1853" s="469"/>
      <c r="O1853" s="469"/>
    </row>
    <row r="1854" spans="3:15" ht="17.25">
      <c r="F1854" s="361">
        <v>44551</v>
      </c>
      <c r="G1854" s="361"/>
      <c r="H1854" s="409"/>
      <c r="I1854" s="358"/>
      <c r="J1854" s="442"/>
      <c r="K1854" s="280"/>
      <c r="L1854" s="358"/>
      <c r="M1854" s="579"/>
      <c r="N1854" s="469"/>
      <c r="O1854" s="469"/>
    </row>
    <row r="1855" spans="3:15" ht="17.25">
      <c r="F1855" s="12"/>
      <c r="G1855" s="112" t="s">
        <v>33</v>
      </c>
      <c r="H1855" s="409">
        <v>23</v>
      </c>
      <c r="I1855" s="358">
        <v>575.07636363636357</v>
      </c>
      <c r="J1855" s="442">
        <v>1</v>
      </c>
      <c r="K1855" s="280">
        <v>575.07636363636357</v>
      </c>
      <c r="L1855" s="358">
        <v>1495.5</v>
      </c>
      <c r="M1855" s="579">
        <v>1</v>
      </c>
      <c r="N1855" s="469">
        <v>1495.5</v>
      </c>
      <c r="O1855" s="469">
        <v>-920.42363636363643</v>
      </c>
    </row>
    <row r="1856" spans="3:15" ht="17.25">
      <c r="F1856" s="12"/>
      <c r="H1856" s="409"/>
      <c r="I1856" s="358"/>
      <c r="J1856" s="442"/>
      <c r="K1856" s="280"/>
      <c r="L1856" s="358"/>
      <c r="M1856" s="579"/>
      <c r="N1856" s="469"/>
      <c r="O1856" s="469"/>
    </row>
    <row r="1857" spans="3:15" ht="17.25">
      <c r="F1857" s="361">
        <v>44553</v>
      </c>
      <c r="G1857" s="361"/>
      <c r="H1857" s="409"/>
      <c r="I1857" s="358"/>
      <c r="J1857" s="442"/>
      <c r="K1857" s="280"/>
      <c r="L1857" s="358"/>
      <c r="M1857" s="579"/>
      <c r="N1857" s="469"/>
      <c r="O1857" s="469"/>
    </row>
    <row r="1858" spans="3:15" ht="17.25">
      <c r="F1858" s="12"/>
      <c r="G1858" s="112" t="s">
        <v>33</v>
      </c>
      <c r="H1858" s="409">
        <v>5</v>
      </c>
      <c r="I1858" s="358">
        <v>125.43363636363635</v>
      </c>
      <c r="J1858" s="442">
        <v>1</v>
      </c>
      <c r="K1858" s="280">
        <v>125.43363636363635</v>
      </c>
      <c r="L1858" s="358">
        <v>358.46666666666664</v>
      </c>
      <c r="M1858" s="579">
        <v>1</v>
      </c>
      <c r="N1858" s="469">
        <v>358.46666666666664</v>
      </c>
      <c r="O1858" s="469">
        <v>-233.03303030303027</v>
      </c>
    </row>
    <row r="1859" spans="3:15" ht="17.25">
      <c r="F1859" s="12"/>
      <c r="H1859" s="409"/>
      <c r="I1859" s="358"/>
      <c r="J1859" s="442"/>
      <c r="K1859" s="280"/>
      <c r="L1859" s="358"/>
      <c r="M1859" s="579"/>
      <c r="N1859" s="469"/>
      <c r="O1859" s="469"/>
    </row>
    <row r="1860" spans="3:15" ht="17.25">
      <c r="C1860" s="342" t="s">
        <v>389</v>
      </c>
      <c r="D1860" s="342"/>
      <c r="E1860" s="342"/>
      <c r="F1860" s="342"/>
      <c r="G1860" s="342"/>
      <c r="H1860" s="410">
        <v>28</v>
      </c>
      <c r="I1860" s="407">
        <v>700.51</v>
      </c>
      <c r="J1860" s="460">
        <v>1</v>
      </c>
      <c r="K1860" s="413">
        <v>700.51</v>
      </c>
      <c r="L1860" s="407">
        <v>1853.9666666666669</v>
      </c>
      <c r="M1860" s="580">
        <v>1</v>
      </c>
      <c r="N1860" s="470">
        <v>1853.9666666666669</v>
      </c>
      <c r="O1860" s="470">
        <v>-1153.4566666666667</v>
      </c>
    </row>
    <row r="1861" spans="3:15" ht="17.25">
      <c r="F1861" s="12"/>
      <c r="H1861" s="409"/>
      <c r="I1861" s="358"/>
      <c r="J1861" s="442"/>
      <c r="K1861" s="280"/>
      <c r="L1861" s="358"/>
      <c r="M1861" s="579"/>
      <c r="N1861" s="469"/>
      <c r="O1861" s="469"/>
    </row>
    <row r="1862" spans="3:15" ht="17.25">
      <c r="C1862" s="12" t="s">
        <v>390</v>
      </c>
      <c r="F1862" s="12"/>
      <c r="H1862" s="409"/>
      <c r="I1862" s="358"/>
      <c r="J1862" s="442"/>
      <c r="K1862" s="280"/>
      <c r="L1862" s="358"/>
      <c r="M1862" s="579"/>
      <c r="N1862" s="469"/>
      <c r="O1862" s="469"/>
    </row>
    <row r="1863" spans="3:15" ht="17.25">
      <c r="D1863" s="361">
        <v>44725</v>
      </c>
      <c r="E1863" s="361"/>
      <c r="F1863" s="361"/>
      <c r="G1863" s="361"/>
      <c r="H1863" s="409"/>
      <c r="I1863" s="358"/>
      <c r="J1863" s="442"/>
      <c r="K1863" s="280"/>
      <c r="L1863" s="358"/>
      <c r="M1863" s="579"/>
      <c r="N1863" s="469"/>
      <c r="O1863" s="469"/>
    </row>
    <row r="1864" spans="3:15" ht="17.25">
      <c r="E1864" s="12" t="s">
        <v>33</v>
      </c>
      <c r="F1864" s="12"/>
      <c r="H1864" s="409"/>
      <c r="I1864" s="358"/>
      <c r="J1864" s="442"/>
      <c r="K1864" s="280"/>
      <c r="L1864" s="358"/>
      <c r="M1864" s="579"/>
      <c r="N1864" s="469"/>
      <c r="O1864" s="469"/>
    </row>
    <row r="1865" spans="3:15" ht="17.25">
      <c r="F1865" s="361">
        <v>44638</v>
      </c>
      <c r="G1865" s="361"/>
      <c r="H1865" s="409"/>
      <c r="I1865" s="358"/>
      <c r="J1865" s="442"/>
      <c r="K1865" s="280"/>
      <c r="L1865" s="358"/>
      <c r="M1865" s="579"/>
      <c r="N1865" s="469"/>
      <c r="O1865" s="469"/>
    </row>
    <row r="1866" spans="3:15" ht="17.25">
      <c r="F1866" s="12"/>
      <c r="G1866" s="112" t="s">
        <v>33</v>
      </c>
      <c r="H1866" s="409">
        <v>24</v>
      </c>
      <c r="I1866" s="358">
        <v>1320.28</v>
      </c>
      <c r="J1866" s="442">
        <v>1</v>
      </c>
      <c r="K1866" s="280">
        <v>1320.28</v>
      </c>
      <c r="L1866" s="358">
        <v>2169.16</v>
      </c>
      <c r="M1866" s="579">
        <v>1</v>
      </c>
      <c r="N1866" s="469">
        <v>2169.16</v>
      </c>
      <c r="O1866" s="469">
        <v>-848.87999999999988</v>
      </c>
    </row>
    <row r="1867" spans="3:15" ht="17.25">
      <c r="F1867" s="12"/>
      <c r="H1867" s="409"/>
      <c r="I1867" s="358"/>
      <c r="J1867" s="442"/>
      <c r="K1867" s="280"/>
      <c r="L1867" s="358"/>
      <c r="M1867" s="579"/>
      <c r="N1867" s="469"/>
      <c r="O1867" s="469"/>
    </row>
    <row r="1868" spans="3:15" ht="17.25">
      <c r="F1868" s="361">
        <v>44641</v>
      </c>
      <c r="G1868" s="361"/>
      <c r="H1868" s="409"/>
      <c r="I1868" s="358"/>
      <c r="J1868" s="442"/>
      <c r="K1868" s="280"/>
      <c r="L1868" s="358"/>
      <c r="M1868" s="579"/>
      <c r="N1868" s="469"/>
      <c r="O1868" s="469"/>
    </row>
    <row r="1869" spans="3:15" ht="17.25">
      <c r="F1869" s="12"/>
      <c r="G1869" s="112" t="s">
        <v>33</v>
      </c>
      <c r="H1869" s="409">
        <v>1</v>
      </c>
      <c r="I1869" s="358">
        <v>54.69</v>
      </c>
      <c r="J1869" s="442">
        <v>1</v>
      </c>
      <c r="K1869" s="280">
        <v>54.69</v>
      </c>
      <c r="L1869" s="358">
        <v>100.265</v>
      </c>
      <c r="M1869" s="579">
        <v>1</v>
      </c>
      <c r="N1869" s="469">
        <v>100.265</v>
      </c>
      <c r="O1869" s="469">
        <v>-45.575000000000003</v>
      </c>
    </row>
    <row r="1870" spans="3:15" ht="17.25">
      <c r="F1870" s="12"/>
      <c r="H1870" s="409"/>
      <c r="I1870" s="358"/>
      <c r="J1870" s="442"/>
      <c r="K1870" s="280"/>
      <c r="L1870" s="358"/>
      <c r="M1870" s="579"/>
      <c r="N1870" s="469"/>
      <c r="O1870" s="469"/>
    </row>
    <row r="1871" spans="3:15" ht="17.25">
      <c r="D1871" s="361">
        <v>44726</v>
      </c>
      <c r="E1871" s="361"/>
      <c r="F1871" s="361"/>
      <c r="G1871" s="361"/>
      <c r="H1871" s="409"/>
      <c r="I1871" s="358"/>
      <c r="J1871" s="442"/>
      <c r="K1871" s="280"/>
      <c r="L1871" s="358"/>
      <c r="M1871" s="579"/>
      <c r="N1871" s="469"/>
      <c r="O1871" s="469"/>
    </row>
    <row r="1872" spans="3:15" ht="17.25">
      <c r="E1872" s="12" t="s">
        <v>33</v>
      </c>
      <c r="F1872" s="12"/>
      <c r="H1872" s="409"/>
      <c r="I1872" s="358"/>
      <c r="J1872" s="442"/>
      <c r="K1872" s="280"/>
      <c r="L1872" s="358"/>
      <c r="M1872" s="579"/>
      <c r="N1872" s="469"/>
      <c r="O1872" s="469"/>
    </row>
    <row r="1873" spans="4:15" ht="17.25">
      <c r="F1873" s="361">
        <v>44641</v>
      </c>
      <c r="G1873" s="361"/>
      <c r="H1873" s="409"/>
      <c r="I1873" s="358"/>
      <c r="J1873" s="442"/>
      <c r="K1873" s="280"/>
      <c r="L1873" s="358"/>
      <c r="M1873" s="579"/>
      <c r="N1873" s="469"/>
      <c r="O1873" s="469"/>
    </row>
    <row r="1874" spans="4:15" ht="17.25">
      <c r="F1874" s="12"/>
      <c r="G1874" s="112" t="s">
        <v>33</v>
      </c>
      <c r="H1874" s="409">
        <v>13</v>
      </c>
      <c r="I1874" s="358">
        <v>706.69857142857143</v>
      </c>
      <c r="J1874" s="442">
        <v>1</v>
      </c>
      <c r="K1874" s="280">
        <v>706.69857142857143</v>
      </c>
      <c r="L1874" s="358">
        <v>1291.1949999999999</v>
      </c>
      <c r="M1874" s="579">
        <v>1</v>
      </c>
      <c r="N1874" s="469">
        <v>1291.1949999999999</v>
      </c>
      <c r="O1874" s="469">
        <v>-584.49642857142862</v>
      </c>
    </row>
    <row r="1875" spans="4:15" ht="17.25">
      <c r="F1875" s="12"/>
      <c r="H1875" s="409"/>
      <c r="I1875" s="358"/>
      <c r="J1875" s="442"/>
      <c r="K1875" s="280"/>
      <c r="L1875" s="358"/>
      <c r="M1875" s="579"/>
      <c r="N1875" s="469"/>
      <c r="O1875" s="469"/>
    </row>
    <row r="1876" spans="4:15" ht="17.25">
      <c r="F1876" s="361">
        <v>44642</v>
      </c>
      <c r="G1876" s="361"/>
      <c r="H1876" s="409"/>
      <c r="I1876" s="358"/>
      <c r="J1876" s="442"/>
      <c r="K1876" s="280"/>
      <c r="L1876" s="358"/>
      <c r="M1876" s="579"/>
      <c r="N1876" s="469"/>
      <c r="O1876" s="469"/>
    </row>
    <row r="1877" spans="4:15" ht="17.25">
      <c r="F1877" s="12"/>
      <c r="G1877" s="112" t="s">
        <v>33</v>
      </c>
      <c r="H1877" s="409">
        <v>8</v>
      </c>
      <c r="I1877" s="358">
        <v>432.68142857142857</v>
      </c>
      <c r="J1877" s="442">
        <v>1</v>
      </c>
      <c r="K1877" s="280">
        <v>432.68142857142857</v>
      </c>
      <c r="L1877" s="358">
        <v>810.08</v>
      </c>
      <c r="M1877" s="579">
        <v>1</v>
      </c>
      <c r="N1877" s="469">
        <v>810.08</v>
      </c>
      <c r="O1877" s="469">
        <v>-377.39857142857147</v>
      </c>
    </row>
    <row r="1878" spans="4:15" ht="17.25">
      <c r="F1878" s="12"/>
      <c r="H1878" s="409"/>
      <c r="I1878" s="358"/>
      <c r="J1878" s="442"/>
      <c r="K1878" s="280"/>
      <c r="L1878" s="358"/>
      <c r="M1878" s="579"/>
      <c r="N1878" s="469"/>
      <c r="O1878" s="469"/>
    </row>
    <row r="1879" spans="4:15" ht="17.25">
      <c r="D1879" s="361">
        <v>44727</v>
      </c>
      <c r="E1879" s="361"/>
      <c r="F1879" s="361"/>
      <c r="G1879" s="361"/>
      <c r="H1879" s="409"/>
      <c r="I1879" s="358"/>
      <c r="J1879" s="442"/>
      <c r="K1879" s="280"/>
      <c r="L1879" s="358"/>
      <c r="M1879" s="579"/>
      <c r="N1879" s="469"/>
      <c r="O1879" s="469"/>
    </row>
    <row r="1880" spans="4:15" ht="17.25">
      <c r="E1880" s="12" t="s">
        <v>33</v>
      </c>
      <c r="F1880" s="12"/>
      <c r="H1880" s="409"/>
      <c r="I1880" s="358"/>
      <c r="J1880" s="442"/>
      <c r="K1880" s="280"/>
      <c r="L1880" s="358"/>
      <c r="M1880" s="579"/>
      <c r="N1880" s="469"/>
      <c r="O1880" s="469"/>
    </row>
    <row r="1881" spans="4:15" ht="17.25">
      <c r="F1881" s="361">
        <v>44678</v>
      </c>
      <c r="G1881" s="361"/>
      <c r="H1881" s="409"/>
      <c r="I1881" s="358"/>
      <c r="J1881" s="442"/>
      <c r="K1881" s="280"/>
      <c r="L1881" s="358"/>
      <c r="M1881" s="579"/>
      <c r="N1881" s="469"/>
      <c r="O1881" s="469"/>
    </row>
    <row r="1882" spans="4:15" ht="17.25">
      <c r="F1882" s="12"/>
      <c r="G1882" s="112" t="s">
        <v>33</v>
      </c>
      <c r="H1882" s="409">
        <v>8</v>
      </c>
      <c r="I1882" s="358">
        <v>439.18545454545455</v>
      </c>
      <c r="J1882" s="442">
        <v>1</v>
      </c>
      <c r="K1882" s="280">
        <v>439.18545454545455</v>
      </c>
      <c r="L1882" s="358">
        <v>698.54</v>
      </c>
      <c r="M1882" s="579">
        <v>1</v>
      </c>
      <c r="N1882" s="469">
        <v>698.54</v>
      </c>
      <c r="O1882" s="469">
        <v>-259.35454545454547</v>
      </c>
    </row>
    <row r="1883" spans="4:15" ht="17.25">
      <c r="F1883" s="12"/>
      <c r="H1883" s="409"/>
      <c r="I1883" s="358"/>
      <c r="J1883" s="442"/>
      <c r="K1883" s="280"/>
      <c r="L1883" s="358"/>
      <c r="M1883" s="579"/>
      <c r="N1883" s="469"/>
      <c r="O1883" s="469"/>
    </row>
    <row r="1884" spans="4:15" ht="17.25">
      <c r="F1884" s="361">
        <v>44679</v>
      </c>
      <c r="G1884" s="361"/>
      <c r="H1884" s="409"/>
      <c r="I1884" s="358"/>
      <c r="J1884" s="442"/>
      <c r="K1884" s="280"/>
      <c r="L1884" s="358"/>
      <c r="M1884" s="579"/>
      <c r="N1884" s="469"/>
      <c r="O1884" s="469"/>
    </row>
    <row r="1885" spans="4:15" ht="17.25">
      <c r="F1885" s="12"/>
      <c r="G1885" s="112" t="s">
        <v>33</v>
      </c>
      <c r="H1885" s="409">
        <v>8</v>
      </c>
      <c r="I1885" s="358">
        <v>434.87636363636364</v>
      </c>
      <c r="J1885" s="442">
        <v>1</v>
      </c>
      <c r="K1885" s="280">
        <v>434.87636363636364</v>
      </c>
      <c r="L1885" s="358">
        <v>686.96</v>
      </c>
      <c r="M1885" s="579">
        <v>1</v>
      </c>
      <c r="N1885" s="469">
        <v>686.96</v>
      </c>
      <c r="O1885" s="469">
        <v>-252.0836363636364</v>
      </c>
    </row>
    <row r="1886" spans="4:15" ht="17.25">
      <c r="F1886" s="12"/>
      <c r="H1886" s="409"/>
      <c r="I1886" s="358"/>
      <c r="J1886" s="442"/>
      <c r="K1886" s="280"/>
      <c r="L1886" s="358"/>
      <c r="M1886" s="579"/>
      <c r="N1886" s="469"/>
      <c r="O1886" s="469"/>
    </row>
    <row r="1887" spans="4:15" ht="17.25">
      <c r="F1887" s="361">
        <v>44642</v>
      </c>
      <c r="G1887" s="361"/>
      <c r="H1887" s="409"/>
      <c r="I1887" s="358"/>
      <c r="J1887" s="442"/>
      <c r="K1887" s="280"/>
      <c r="L1887" s="358"/>
      <c r="M1887" s="579"/>
      <c r="N1887" s="469"/>
      <c r="O1887" s="469"/>
    </row>
    <row r="1888" spans="4:15" ht="17.25">
      <c r="F1888" s="12"/>
      <c r="G1888" s="112" t="s">
        <v>33</v>
      </c>
      <c r="H1888" s="409">
        <v>1</v>
      </c>
      <c r="I1888" s="358">
        <v>54.898181818181818</v>
      </c>
      <c r="J1888" s="442">
        <v>1</v>
      </c>
      <c r="K1888" s="280">
        <v>54.898181818181818</v>
      </c>
      <c r="L1888" s="358">
        <v>102.27000000000001</v>
      </c>
      <c r="M1888" s="579">
        <v>1</v>
      </c>
      <c r="N1888" s="469">
        <v>102.27000000000001</v>
      </c>
      <c r="O1888" s="469">
        <v>-47.371818181818192</v>
      </c>
    </row>
    <row r="1889" spans="4:15" ht="17.25">
      <c r="F1889" s="12"/>
      <c r="H1889" s="409"/>
      <c r="I1889" s="358"/>
      <c r="J1889" s="442"/>
      <c r="K1889" s="280"/>
      <c r="L1889" s="358"/>
      <c r="M1889" s="579"/>
      <c r="N1889" s="469"/>
      <c r="O1889" s="469"/>
    </row>
    <row r="1890" spans="4:15" ht="17.25">
      <c r="D1890" s="361">
        <v>44893</v>
      </c>
      <c r="E1890" s="361"/>
      <c r="F1890" s="361"/>
      <c r="G1890" s="361"/>
      <c r="H1890" s="409"/>
      <c r="I1890" s="358"/>
      <c r="J1890" s="442"/>
      <c r="K1890" s="280"/>
      <c r="L1890" s="358"/>
      <c r="M1890" s="579"/>
      <c r="N1890" s="469"/>
      <c r="O1890" s="469"/>
    </row>
    <row r="1891" spans="4:15" ht="17.25">
      <c r="E1891" s="12" t="s">
        <v>33</v>
      </c>
      <c r="F1891" s="12"/>
      <c r="H1891" s="409"/>
      <c r="I1891" s="358"/>
      <c r="J1891" s="442"/>
      <c r="K1891" s="280"/>
      <c r="L1891" s="358"/>
      <c r="M1891" s="579"/>
      <c r="N1891" s="469"/>
      <c r="O1891" s="469"/>
    </row>
    <row r="1892" spans="4:15" ht="17.25">
      <c r="F1892" s="361">
        <v>44847</v>
      </c>
      <c r="G1892" s="361"/>
      <c r="H1892" s="409"/>
      <c r="I1892" s="358"/>
      <c r="J1892" s="442"/>
      <c r="K1892" s="280"/>
      <c r="L1892" s="358"/>
      <c r="M1892" s="579"/>
      <c r="N1892" s="469"/>
      <c r="O1892" s="469"/>
    </row>
    <row r="1893" spans="4:15" ht="17.25">
      <c r="F1893" s="12"/>
      <c r="G1893" s="112" t="s">
        <v>33</v>
      </c>
      <c r="H1893" s="409">
        <v>22</v>
      </c>
      <c r="I1893" s="358">
        <v>1364.66</v>
      </c>
      <c r="J1893" s="442">
        <v>1</v>
      </c>
      <c r="K1893" s="280">
        <v>1364.66</v>
      </c>
      <c r="L1893" s="358">
        <v>1101.7749999999999</v>
      </c>
      <c r="M1893" s="579">
        <v>1</v>
      </c>
      <c r="N1893" s="469">
        <v>1101.7749999999999</v>
      </c>
      <c r="O1893" s="469">
        <v>262.8850000000001</v>
      </c>
    </row>
    <row r="1894" spans="4:15" ht="17.25">
      <c r="F1894" s="12"/>
      <c r="H1894" s="409"/>
      <c r="I1894" s="358"/>
      <c r="J1894" s="442"/>
      <c r="K1894" s="280"/>
      <c r="L1894" s="358"/>
      <c r="M1894" s="579"/>
      <c r="N1894" s="469"/>
      <c r="O1894" s="469"/>
    </row>
    <row r="1895" spans="4:15" ht="17.25">
      <c r="D1895" s="361">
        <v>44908</v>
      </c>
      <c r="E1895" s="361"/>
      <c r="F1895" s="361"/>
      <c r="G1895" s="361"/>
      <c r="H1895" s="409"/>
      <c r="I1895" s="358"/>
      <c r="J1895" s="442"/>
      <c r="K1895" s="280"/>
      <c r="L1895" s="358"/>
      <c r="M1895" s="579"/>
      <c r="N1895" s="469"/>
      <c r="O1895" s="469"/>
    </row>
    <row r="1896" spans="4:15" ht="17.25">
      <c r="E1896" s="12" t="s">
        <v>33</v>
      </c>
      <c r="F1896" s="12"/>
      <c r="H1896" s="409"/>
      <c r="I1896" s="358"/>
      <c r="J1896" s="442"/>
      <c r="K1896" s="280"/>
      <c r="L1896" s="358"/>
      <c r="M1896" s="579"/>
      <c r="N1896" s="469"/>
      <c r="O1896" s="469"/>
    </row>
    <row r="1897" spans="4:15" ht="17.25">
      <c r="F1897" s="361">
        <v>44852</v>
      </c>
      <c r="G1897" s="361"/>
      <c r="H1897" s="409"/>
      <c r="I1897" s="358"/>
      <c r="J1897" s="442"/>
      <c r="K1897" s="280"/>
      <c r="L1897" s="358"/>
      <c r="M1897" s="579"/>
      <c r="N1897" s="469"/>
      <c r="O1897" s="469"/>
    </row>
    <row r="1898" spans="4:15" ht="17.25">
      <c r="F1898" s="12"/>
      <c r="G1898" s="112" t="s">
        <v>33</v>
      </c>
      <c r="H1898" s="409">
        <v>11</v>
      </c>
      <c r="I1898" s="358">
        <v>864.59576923076918</v>
      </c>
      <c r="J1898" s="442">
        <v>1</v>
      </c>
      <c r="K1898" s="280">
        <v>864.59576923076918</v>
      </c>
      <c r="L1898" s="358">
        <v>606.95000000000005</v>
      </c>
      <c r="M1898" s="579">
        <v>1</v>
      </c>
      <c r="N1898" s="469">
        <v>606.95000000000005</v>
      </c>
      <c r="O1898" s="469">
        <v>257.64576923076913</v>
      </c>
    </row>
    <row r="1899" spans="4:15" ht="17.25">
      <c r="F1899" s="12"/>
      <c r="H1899" s="409"/>
      <c r="I1899" s="358"/>
      <c r="J1899" s="442"/>
      <c r="K1899" s="280"/>
      <c r="L1899" s="358"/>
      <c r="M1899" s="579"/>
      <c r="N1899" s="469"/>
      <c r="O1899" s="469"/>
    </row>
    <row r="1900" spans="4:15" ht="17.25">
      <c r="F1900" s="361">
        <v>44847</v>
      </c>
      <c r="G1900" s="361"/>
      <c r="H1900" s="409"/>
      <c r="I1900" s="358"/>
      <c r="J1900" s="442"/>
      <c r="K1900" s="280"/>
      <c r="L1900" s="358"/>
      <c r="M1900" s="579"/>
      <c r="N1900" s="469"/>
      <c r="O1900" s="469"/>
    </row>
    <row r="1901" spans="4:15" ht="17.25">
      <c r="F1901" s="12"/>
      <c r="G1901" s="112" t="s">
        <v>33</v>
      </c>
      <c r="H1901" s="409">
        <v>3</v>
      </c>
      <c r="I1901" s="358">
        <v>235.76961538461535</v>
      </c>
      <c r="J1901" s="442">
        <v>1</v>
      </c>
      <c r="K1901" s="280">
        <v>235.76961538461535</v>
      </c>
      <c r="L1901" s="358">
        <v>150.285</v>
      </c>
      <c r="M1901" s="579">
        <v>1</v>
      </c>
      <c r="N1901" s="469">
        <v>150.285</v>
      </c>
      <c r="O1901" s="469">
        <v>85.484615384615367</v>
      </c>
    </row>
    <row r="1902" spans="4:15" ht="17.25">
      <c r="F1902" s="12"/>
      <c r="H1902" s="409"/>
      <c r="I1902" s="358"/>
      <c r="J1902" s="442"/>
      <c r="K1902" s="280"/>
      <c r="L1902" s="358"/>
      <c r="M1902" s="579"/>
      <c r="N1902" s="469"/>
      <c r="O1902" s="469"/>
    </row>
    <row r="1903" spans="4:15" ht="17.25">
      <c r="F1903" s="361">
        <v>44848</v>
      </c>
      <c r="G1903" s="361"/>
      <c r="H1903" s="409"/>
      <c r="I1903" s="358"/>
      <c r="J1903" s="442"/>
      <c r="K1903" s="280"/>
      <c r="L1903" s="358"/>
      <c r="M1903" s="579"/>
      <c r="N1903" s="469"/>
      <c r="O1903" s="469"/>
    </row>
    <row r="1904" spans="4:15" ht="17.25">
      <c r="F1904" s="12"/>
      <c r="G1904" s="112" t="s">
        <v>33</v>
      </c>
      <c r="H1904" s="409">
        <v>2</v>
      </c>
      <c r="I1904" s="358">
        <v>157.19923076923075</v>
      </c>
      <c r="J1904" s="442">
        <v>1</v>
      </c>
      <c r="K1904" s="280">
        <v>157.19923076923075</v>
      </c>
      <c r="L1904" s="358">
        <v>102.5</v>
      </c>
      <c r="M1904" s="579">
        <v>1</v>
      </c>
      <c r="N1904" s="469">
        <v>102.5</v>
      </c>
      <c r="O1904" s="469">
        <v>54.699230769230752</v>
      </c>
    </row>
    <row r="1905" spans="3:15" ht="17.25">
      <c r="F1905" s="12"/>
      <c r="H1905" s="409"/>
      <c r="I1905" s="358"/>
      <c r="J1905" s="442"/>
      <c r="K1905" s="280"/>
      <c r="L1905" s="358"/>
      <c r="M1905" s="579"/>
      <c r="N1905" s="469"/>
      <c r="O1905" s="469"/>
    </row>
    <row r="1906" spans="3:15" ht="17.25">
      <c r="F1906" s="361">
        <v>44854</v>
      </c>
      <c r="G1906" s="361"/>
      <c r="H1906" s="409"/>
      <c r="I1906" s="358"/>
      <c r="J1906" s="442"/>
      <c r="K1906" s="280"/>
      <c r="L1906" s="358"/>
      <c r="M1906" s="579"/>
      <c r="N1906" s="469"/>
      <c r="O1906" s="469"/>
    </row>
    <row r="1907" spans="3:15" ht="17.25">
      <c r="F1907" s="12"/>
      <c r="G1907" s="112" t="s">
        <v>33</v>
      </c>
      <c r="H1907" s="409">
        <v>18</v>
      </c>
      <c r="I1907" s="358">
        <v>1414.5253846153846</v>
      </c>
      <c r="J1907" s="442">
        <v>1</v>
      </c>
      <c r="K1907" s="280">
        <v>1414.5253846153846</v>
      </c>
      <c r="L1907" s="358">
        <v>945.31999999999994</v>
      </c>
      <c r="M1907" s="579">
        <v>1</v>
      </c>
      <c r="N1907" s="469">
        <v>945.31999999999994</v>
      </c>
      <c r="O1907" s="469">
        <v>469.2053846153845</v>
      </c>
    </row>
    <row r="1908" spans="3:15" ht="17.25">
      <c r="F1908" s="12"/>
      <c r="H1908" s="409"/>
      <c r="I1908" s="358"/>
      <c r="J1908" s="442"/>
      <c r="K1908" s="280"/>
      <c r="L1908" s="358"/>
      <c r="M1908" s="579"/>
      <c r="N1908" s="469"/>
      <c r="O1908" s="469"/>
    </row>
    <row r="1909" spans="3:15" ht="17.25">
      <c r="C1909" s="342" t="s">
        <v>391</v>
      </c>
      <c r="D1909" s="342"/>
      <c r="E1909" s="342"/>
      <c r="F1909" s="342"/>
      <c r="G1909" s="342"/>
      <c r="H1909" s="410">
        <v>119</v>
      </c>
      <c r="I1909" s="407">
        <v>7480.0600000000013</v>
      </c>
      <c r="J1909" s="460">
        <v>1</v>
      </c>
      <c r="K1909" s="413">
        <v>7480.0600000000013</v>
      </c>
      <c r="L1909" s="407">
        <v>8765.3000000000011</v>
      </c>
      <c r="M1909" s="580">
        <v>1</v>
      </c>
      <c r="N1909" s="470">
        <v>8765.3000000000011</v>
      </c>
      <c r="O1909" s="470">
        <v>-1285.2399999999996</v>
      </c>
    </row>
    <row r="1910" spans="3:15" ht="17.25">
      <c r="F1910" s="12"/>
      <c r="H1910" s="409"/>
      <c r="I1910" s="358"/>
      <c r="J1910" s="442"/>
      <c r="K1910" s="280"/>
      <c r="L1910" s="358"/>
      <c r="M1910" s="579"/>
      <c r="N1910" s="469"/>
      <c r="O1910" s="469"/>
    </row>
    <row r="1911" spans="3:15" ht="17.25">
      <c r="C1911" s="12" t="s">
        <v>275</v>
      </c>
      <c r="F1911" s="12"/>
      <c r="H1911" s="409"/>
      <c r="I1911" s="358"/>
      <c r="J1911" s="442"/>
      <c r="K1911" s="280"/>
      <c r="L1911" s="358"/>
      <c r="M1911" s="579"/>
      <c r="N1911" s="469"/>
      <c r="O1911" s="469"/>
    </row>
    <row r="1912" spans="3:15" ht="17.25">
      <c r="D1912" s="361">
        <v>44610</v>
      </c>
      <c r="E1912" s="361"/>
      <c r="F1912" s="361"/>
      <c r="G1912" s="361"/>
      <c r="H1912" s="409"/>
      <c r="I1912" s="358"/>
      <c r="J1912" s="442"/>
      <c r="K1912" s="280"/>
      <c r="L1912" s="358"/>
      <c r="M1912" s="579"/>
      <c r="N1912" s="469"/>
      <c r="O1912" s="469"/>
    </row>
    <row r="1913" spans="3:15" ht="17.25">
      <c r="E1913" s="12" t="s">
        <v>33</v>
      </c>
      <c r="F1913" s="12"/>
      <c r="H1913" s="409"/>
      <c r="I1913" s="358"/>
      <c r="J1913" s="442"/>
      <c r="K1913" s="280"/>
      <c r="L1913" s="358"/>
      <c r="M1913" s="579"/>
      <c r="N1913" s="469"/>
      <c r="O1913" s="469"/>
    </row>
    <row r="1914" spans="3:15" ht="17.25">
      <c r="F1914" s="361">
        <v>44592</v>
      </c>
      <c r="G1914" s="361"/>
      <c r="H1914" s="409"/>
      <c r="I1914" s="358"/>
      <c r="J1914" s="442"/>
      <c r="K1914" s="280"/>
      <c r="L1914" s="358"/>
      <c r="M1914" s="579"/>
      <c r="N1914" s="469"/>
      <c r="O1914" s="469"/>
    </row>
    <row r="1915" spans="3:15" ht="17.25">
      <c r="F1915" s="12"/>
      <c r="G1915" s="112" t="s">
        <v>33</v>
      </c>
      <c r="H1915" s="409">
        <v>11</v>
      </c>
      <c r="I1915" s="358">
        <v>1758.5900000000001</v>
      </c>
      <c r="J1915" s="442">
        <v>1</v>
      </c>
      <c r="K1915" s="280">
        <v>1758.5900000000001</v>
      </c>
      <c r="L1915" s="358">
        <v>1611.4926666666665</v>
      </c>
      <c r="M1915" s="579">
        <v>1</v>
      </c>
      <c r="N1915" s="469">
        <v>1611.4926666666665</v>
      </c>
      <c r="O1915" s="469">
        <v>147.09733333333361</v>
      </c>
    </row>
    <row r="1916" spans="3:15" ht="17.25">
      <c r="F1916" s="12"/>
      <c r="H1916" s="409"/>
      <c r="I1916" s="358"/>
      <c r="J1916" s="442"/>
      <c r="K1916" s="280"/>
      <c r="L1916" s="358"/>
      <c r="M1916" s="579"/>
      <c r="N1916" s="469"/>
      <c r="O1916" s="469"/>
    </row>
    <row r="1917" spans="3:15" ht="17.25">
      <c r="D1917" s="361">
        <v>44757</v>
      </c>
      <c r="E1917" s="361"/>
      <c r="F1917" s="361"/>
      <c r="G1917" s="361"/>
      <c r="H1917" s="409"/>
      <c r="I1917" s="358"/>
      <c r="J1917" s="442"/>
      <c r="K1917" s="280"/>
      <c r="L1917" s="358"/>
      <c r="M1917" s="579"/>
      <c r="N1917" s="469"/>
      <c r="O1917" s="469"/>
    </row>
    <row r="1918" spans="3:15" ht="17.25">
      <c r="E1918" s="12" t="s">
        <v>33</v>
      </c>
      <c r="F1918" s="12"/>
      <c r="H1918" s="409"/>
      <c r="I1918" s="358"/>
      <c r="J1918" s="442"/>
      <c r="K1918" s="280"/>
      <c r="L1918" s="358"/>
      <c r="M1918" s="579"/>
      <c r="N1918" s="469"/>
      <c r="O1918" s="469"/>
    </row>
    <row r="1919" spans="3:15" ht="17.25">
      <c r="F1919" s="361">
        <v>44593</v>
      </c>
      <c r="G1919" s="361"/>
      <c r="H1919" s="409"/>
      <c r="I1919" s="358"/>
      <c r="J1919" s="442"/>
      <c r="K1919" s="280"/>
      <c r="L1919" s="358"/>
      <c r="M1919" s="579"/>
      <c r="N1919" s="469"/>
      <c r="O1919" s="469"/>
    </row>
    <row r="1920" spans="3:15" ht="17.25">
      <c r="F1920" s="12"/>
      <c r="G1920" s="112" t="s">
        <v>33</v>
      </c>
      <c r="H1920" s="409">
        <v>7</v>
      </c>
      <c r="I1920" s="358">
        <v>654.30666666666662</v>
      </c>
      <c r="J1920" s="442">
        <v>1</v>
      </c>
      <c r="K1920" s="280">
        <v>654.30666666666662</v>
      </c>
      <c r="L1920" s="358">
        <v>1029.99</v>
      </c>
      <c r="M1920" s="579">
        <v>1</v>
      </c>
      <c r="N1920" s="469">
        <v>1029.99</v>
      </c>
      <c r="O1920" s="469">
        <v>-375.68333333333334</v>
      </c>
    </row>
    <row r="1921" spans="4:15" ht="17.25">
      <c r="F1921" s="12"/>
      <c r="H1921" s="409"/>
      <c r="I1921" s="358"/>
      <c r="J1921" s="442"/>
      <c r="K1921" s="280"/>
      <c r="L1921" s="358"/>
      <c r="M1921" s="579"/>
      <c r="N1921" s="469"/>
      <c r="O1921" s="469"/>
    </row>
    <row r="1922" spans="4:15" ht="17.25">
      <c r="F1922" s="361">
        <v>44592</v>
      </c>
      <c r="G1922" s="361"/>
      <c r="H1922" s="409"/>
      <c r="I1922" s="358"/>
      <c r="J1922" s="442"/>
      <c r="K1922" s="280"/>
      <c r="L1922" s="358"/>
      <c r="M1922" s="579"/>
      <c r="N1922" s="469"/>
      <c r="O1922" s="469"/>
    </row>
    <row r="1923" spans="4:15" ht="17.25">
      <c r="F1923" s="12"/>
      <c r="G1923" s="112" t="s">
        <v>33</v>
      </c>
      <c r="H1923" s="409">
        <v>4</v>
      </c>
      <c r="I1923" s="358">
        <v>373.09333333333331</v>
      </c>
      <c r="J1923" s="442">
        <v>1</v>
      </c>
      <c r="K1923" s="280">
        <v>373.09333333333331</v>
      </c>
      <c r="L1923" s="358">
        <v>585.99733333333324</v>
      </c>
      <c r="M1923" s="579">
        <v>1</v>
      </c>
      <c r="N1923" s="469">
        <v>585.99733333333324</v>
      </c>
      <c r="O1923" s="469">
        <v>-212.90399999999994</v>
      </c>
    </row>
    <row r="1924" spans="4:15" ht="17.25">
      <c r="F1924" s="12"/>
      <c r="H1924" s="409"/>
      <c r="I1924" s="358"/>
      <c r="J1924" s="442"/>
      <c r="K1924" s="280"/>
      <c r="L1924" s="358"/>
      <c r="M1924" s="579"/>
      <c r="N1924" s="469"/>
      <c r="O1924" s="469"/>
    </row>
    <row r="1925" spans="4:15" ht="17.25">
      <c r="F1925" s="361">
        <v>44596</v>
      </c>
      <c r="G1925" s="361"/>
      <c r="H1925" s="409"/>
      <c r="I1925" s="358"/>
      <c r="J1925" s="442"/>
      <c r="K1925" s="280"/>
      <c r="L1925" s="358"/>
      <c r="M1925" s="579"/>
      <c r="N1925" s="469"/>
      <c r="O1925" s="469"/>
    </row>
    <row r="1926" spans="4:15" ht="17.25">
      <c r="F1926" s="12"/>
      <c r="G1926" s="112" t="s">
        <v>33</v>
      </c>
      <c r="H1926" s="409">
        <v>15</v>
      </c>
      <c r="I1926" s="358">
        <v>1404.4875</v>
      </c>
      <c r="J1926" s="442">
        <v>1</v>
      </c>
      <c r="K1926" s="280">
        <v>1404.4875</v>
      </c>
      <c r="L1926" s="358">
        <v>2246.4700000000003</v>
      </c>
      <c r="M1926" s="579">
        <v>1</v>
      </c>
      <c r="N1926" s="469">
        <v>2246.4700000000003</v>
      </c>
      <c r="O1926" s="469">
        <v>-841.98250000000007</v>
      </c>
    </row>
    <row r="1927" spans="4:15" ht="17.25">
      <c r="F1927" s="12"/>
      <c r="H1927" s="409"/>
      <c r="I1927" s="358"/>
      <c r="J1927" s="442"/>
      <c r="K1927" s="280"/>
      <c r="L1927" s="358"/>
      <c r="M1927" s="579"/>
      <c r="N1927" s="469"/>
      <c r="O1927" s="469"/>
    </row>
    <row r="1928" spans="4:15" ht="17.25">
      <c r="F1928" s="361">
        <v>44678</v>
      </c>
      <c r="G1928" s="361"/>
      <c r="H1928" s="409"/>
      <c r="I1928" s="358"/>
      <c r="J1928" s="442"/>
      <c r="K1928" s="280"/>
      <c r="L1928" s="358"/>
      <c r="M1928" s="579"/>
      <c r="N1928" s="469"/>
      <c r="O1928" s="469"/>
    </row>
    <row r="1929" spans="4:15" ht="17.25">
      <c r="F1929" s="12"/>
      <c r="G1929" s="112" t="s">
        <v>33</v>
      </c>
      <c r="H1929" s="409">
        <v>5</v>
      </c>
      <c r="I1929" s="358">
        <v>468.16250000000002</v>
      </c>
      <c r="J1929" s="442">
        <v>1</v>
      </c>
      <c r="K1929" s="280">
        <v>468.16250000000002</v>
      </c>
      <c r="L1929" s="358">
        <v>618.40000000000009</v>
      </c>
      <c r="M1929" s="579">
        <v>1</v>
      </c>
      <c r="N1929" s="469">
        <v>618.40000000000009</v>
      </c>
      <c r="O1929" s="469">
        <v>-150.23749999999998</v>
      </c>
    </row>
    <row r="1930" spans="4:15" ht="17.25">
      <c r="F1930" s="12"/>
      <c r="H1930" s="409"/>
      <c r="I1930" s="358"/>
      <c r="J1930" s="442"/>
      <c r="K1930" s="280"/>
      <c r="L1930" s="358"/>
      <c r="M1930" s="579"/>
      <c r="N1930" s="469"/>
      <c r="O1930" s="469"/>
    </row>
    <row r="1931" spans="4:15" ht="17.25">
      <c r="F1931" s="361">
        <v>44694</v>
      </c>
      <c r="G1931" s="361"/>
      <c r="H1931" s="409"/>
      <c r="I1931" s="358"/>
      <c r="J1931" s="442"/>
      <c r="K1931" s="280"/>
      <c r="L1931" s="358"/>
      <c r="M1931" s="579"/>
      <c r="N1931" s="469"/>
      <c r="O1931" s="469"/>
    </row>
    <row r="1932" spans="4:15" ht="17.25">
      <c r="F1932" s="12"/>
      <c r="G1932" s="112" t="s">
        <v>33</v>
      </c>
      <c r="H1932" s="409">
        <v>5</v>
      </c>
      <c r="I1932" s="358">
        <v>467.85</v>
      </c>
      <c r="J1932" s="442">
        <v>1</v>
      </c>
      <c r="K1932" s="280">
        <v>467.85</v>
      </c>
      <c r="L1932" s="358">
        <v>533.1</v>
      </c>
      <c r="M1932" s="579">
        <v>1</v>
      </c>
      <c r="N1932" s="469">
        <v>533.1</v>
      </c>
      <c r="O1932" s="469">
        <v>-65.25</v>
      </c>
    </row>
    <row r="1933" spans="4:15" ht="17.25">
      <c r="F1933" s="12"/>
      <c r="H1933" s="409"/>
      <c r="I1933" s="358"/>
      <c r="J1933" s="442"/>
      <c r="K1933" s="280"/>
      <c r="L1933" s="358"/>
      <c r="M1933" s="579"/>
      <c r="N1933" s="469"/>
      <c r="O1933" s="469"/>
    </row>
    <row r="1934" spans="4:15" ht="17.25">
      <c r="D1934" s="361">
        <v>44760</v>
      </c>
      <c r="E1934" s="361"/>
      <c r="F1934" s="361"/>
      <c r="G1934" s="361"/>
      <c r="H1934" s="409"/>
      <c r="I1934" s="358"/>
      <c r="J1934" s="442"/>
      <c r="K1934" s="280"/>
      <c r="L1934" s="358"/>
      <c r="M1934" s="579"/>
      <c r="N1934" s="469"/>
      <c r="O1934" s="469"/>
    </row>
    <row r="1935" spans="4:15" ht="17.25">
      <c r="E1935" s="12" t="s">
        <v>33</v>
      </c>
      <c r="F1935" s="12"/>
      <c r="H1935" s="409"/>
      <c r="I1935" s="358"/>
      <c r="J1935" s="442"/>
      <c r="K1935" s="280"/>
      <c r="L1935" s="358"/>
      <c r="M1935" s="579"/>
      <c r="N1935" s="469"/>
      <c r="O1935" s="469"/>
    </row>
    <row r="1936" spans="4:15" ht="17.25">
      <c r="F1936" s="361">
        <v>44694</v>
      </c>
      <c r="G1936" s="361"/>
      <c r="H1936" s="409"/>
      <c r="I1936" s="358"/>
      <c r="J1936" s="442"/>
      <c r="K1936" s="280"/>
      <c r="L1936" s="358"/>
      <c r="M1936" s="579"/>
      <c r="N1936" s="469"/>
      <c r="O1936" s="469"/>
    </row>
    <row r="1937" spans="3:15" ht="17.25">
      <c r="F1937" s="12"/>
      <c r="G1937" s="112" t="s">
        <v>33</v>
      </c>
      <c r="H1937" s="409">
        <v>1</v>
      </c>
      <c r="I1937" s="358">
        <v>94.96</v>
      </c>
      <c r="J1937" s="442">
        <v>1</v>
      </c>
      <c r="K1937" s="280">
        <v>94.96</v>
      </c>
      <c r="L1937" s="358">
        <v>106.62</v>
      </c>
      <c r="M1937" s="579">
        <v>1</v>
      </c>
      <c r="N1937" s="469">
        <v>106.62</v>
      </c>
      <c r="O1937" s="469">
        <v>-11.660000000000011</v>
      </c>
    </row>
    <row r="1938" spans="3:15" ht="17.25">
      <c r="F1938" s="12"/>
      <c r="H1938" s="409"/>
      <c r="I1938" s="358"/>
      <c r="J1938" s="442"/>
      <c r="K1938" s="280"/>
      <c r="L1938" s="358"/>
      <c r="M1938" s="579"/>
      <c r="N1938" s="469"/>
      <c r="O1938" s="469"/>
    </row>
    <row r="1939" spans="3:15" ht="17.25">
      <c r="C1939" s="342" t="s">
        <v>392</v>
      </c>
      <c r="D1939" s="342"/>
      <c r="E1939" s="342"/>
      <c r="F1939" s="342"/>
      <c r="G1939" s="342"/>
      <c r="H1939" s="410">
        <v>48</v>
      </c>
      <c r="I1939" s="407">
        <v>5221.45</v>
      </c>
      <c r="J1939" s="460">
        <v>1</v>
      </c>
      <c r="K1939" s="413">
        <v>5221.45</v>
      </c>
      <c r="L1939" s="407">
        <v>6732.0700000000015</v>
      </c>
      <c r="M1939" s="580">
        <v>1</v>
      </c>
      <c r="N1939" s="470">
        <v>6732.0700000000015</v>
      </c>
      <c r="O1939" s="470">
        <v>-1510.6199999999997</v>
      </c>
    </row>
    <row r="1940" spans="3:15" ht="17.25">
      <c r="F1940" s="12"/>
      <c r="H1940" s="409"/>
      <c r="I1940" s="358"/>
      <c r="J1940" s="442"/>
      <c r="K1940" s="280"/>
      <c r="L1940" s="358"/>
      <c r="M1940" s="579"/>
      <c r="N1940" s="469"/>
      <c r="O1940" s="469"/>
    </row>
    <row r="1941" spans="3:15" ht="17.25">
      <c r="C1941" s="12" t="s">
        <v>393</v>
      </c>
      <c r="F1941" s="12"/>
      <c r="H1941" s="409"/>
      <c r="I1941" s="358"/>
      <c r="J1941" s="442"/>
      <c r="K1941" s="280"/>
      <c r="L1941" s="358"/>
      <c r="M1941" s="579"/>
      <c r="N1941" s="469"/>
      <c r="O1941" s="469"/>
    </row>
    <row r="1942" spans="3:15" ht="17.25">
      <c r="D1942" s="361">
        <v>44725</v>
      </c>
      <c r="E1942" s="361"/>
      <c r="F1942" s="361"/>
      <c r="G1942" s="361"/>
      <c r="H1942" s="409"/>
      <c r="I1942" s="358"/>
      <c r="J1942" s="442"/>
      <c r="K1942" s="280"/>
      <c r="L1942" s="358"/>
      <c r="M1942" s="579"/>
      <c r="N1942" s="469"/>
      <c r="O1942" s="469"/>
    </row>
    <row r="1943" spans="3:15" ht="17.25">
      <c r="E1943" s="12" t="s">
        <v>33</v>
      </c>
      <c r="F1943" s="12"/>
      <c r="H1943" s="409"/>
      <c r="I1943" s="358"/>
      <c r="J1943" s="442"/>
      <c r="K1943" s="280"/>
      <c r="L1943" s="358"/>
      <c r="M1943" s="579"/>
      <c r="N1943" s="469"/>
      <c r="O1943" s="469"/>
    </row>
    <row r="1944" spans="3:15" ht="17.25">
      <c r="F1944" s="361">
        <v>44679</v>
      </c>
      <c r="G1944" s="361"/>
      <c r="H1944" s="409"/>
      <c r="I1944" s="358"/>
      <c r="J1944" s="442"/>
      <c r="K1944" s="280"/>
      <c r="L1944" s="358"/>
      <c r="M1944" s="579"/>
      <c r="N1944" s="469"/>
      <c r="O1944" s="469"/>
    </row>
    <row r="1945" spans="3:15" ht="17.25">
      <c r="F1945" s="12"/>
      <c r="G1945" s="112" t="s">
        <v>33</v>
      </c>
      <c r="H1945" s="409">
        <v>13</v>
      </c>
      <c r="I1945" s="358">
        <v>764.94888888888897</v>
      </c>
      <c r="J1945" s="442">
        <v>1</v>
      </c>
      <c r="K1945" s="280">
        <v>764.94888888888897</v>
      </c>
      <c r="L1945" s="358">
        <v>1073.0899999999999</v>
      </c>
      <c r="M1945" s="579">
        <v>1</v>
      </c>
      <c r="N1945" s="469">
        <v>1073.0899999999999</v>
      </c>
      <c r="O1945" s="469">
        <v>-308.14111111111094</v>
      </c>
    </row>
    <row r="1946" spans="3:15" ht="17.25">
      <c r="F1946" s="12"/>
      <c r="H1946" s="409"/>
      <c r="I1946" s="358"/>
      <c r="J1946" s="442"/>
      <c r="K1946" s="280"/>
      <c r="L1946" s="358"/>
      <c r="M1946" s="579"/>
      <c r="N1946" s="469"/>
      <c r="O1946" s="469"/>
    </row>
    <row r="1947" spans="3:15" ht="17.25">
      <c r="F1947" s="361">
        <v>44683</v>
      </c>
      <c r="G1947" s="361"/>
      <c r="H1947" s="409"/>
      <c r="I1947" s="358"/>
      <c r="J1947" s="442"/>
      <c r="K1947" s="280"/>
      <c r="L1947" s="358"/>
      <c r="M1947" s="579"/>
      <c r="N1947" s="469"/>
      <c r="O1947" s="469"/>
    </row>
    <row r="1948" spans="3:15" ht="17.25">
      <c r="F1948" s="12"/>
      <c r="G1948" s="112" t="s">
        <v>33</v>
      </c>
      <c r="H1948" s="409">
        <v>11</v>
      </c>
      <c r="I1948" s="358">
        <v>646.58111111111111</v>
      </c>
      <c r="J1948" s="442">
        <v>1</v>
      </c>
      <c r="K1948" s="280">
        <v>646.58111111111111</v>
      </c>
      <c r="L1948" s="358">
        <v>927.40000000000009</v>
      </c>
      <c r="M1948" s="579">
        <v>1</v>
      </c>
      <c r="N1948" s="469">
        <v>927.40000000000009</v>
      </c>
      <c r="O1948" s="469">
        <v>-280.81888888888898</v>
      </c>
    </row>
    <row r="1949" spans="3:15" ht="17.25">
      <c r="F1949" s="12"/>
      <c r="H1949" s="409"/>
      <c r="I1949" s="358"/>
      <c r="J1949" s="442"/>
      <c r="K1949" s="280"/>
      <c r="L1949" s="358"/>
      <c r="M1949" s="579"/>
      <c r="N1949" s="469"/>
      <c r="O1949" s="469"/>
    </row>
    <row r="1950" spans="3:15" ht="17.25">
      <c r="C1950" s="342" t="s">
        <v>394</v>
      </c>
      <c r="D1950" s="342"/>
      <c r="E1950" s="342"/>
      <c r="F1950" s="342"/>
      <c r="G1950" s="342"/>
      <c r="H1950" s="410">
        <v>24</v>
      </c>
      <c r="I1950" s="407">
        <v>1411.5300000000002</v>
      </c>
      <c r="J1950" s="460">
        <v>1</v>
      </c>
      <c r="K1950" s="413">
        <v>1411.5300000000002</v>
      </c>
      <c r="L1950" s="407">
        <v>2000.49</v>
      </c>
      <c r="M1950" s="580">
        <v>1</v>
      </c>
      <c r="N1950" s="470">
        <v>2000.49</v>
      </c>
      <c r="O1950" s="470">
        <v>-588.95999999999992</v>
      </c>
    </row>
    <row r="1951" spans="3:15" ht="17.25">
      <c r="F1951" s="12"/>
      <c r="H1951" s="409"/>
      <c r="I1951" s="358"/>
      <c r="J1951" s="442"/>
      <c r="K1951" s="280"/>
      <c r="L1951" s="358"/>
      <c r="M1951" s="579"/>
      <c r="N1951" s="469"/>
      <c r="O1951" s="469"/>
    </row>
    <row r="1952" spans="3:15" ht="17.25">
      <c r="C1952" s="12" t="s">
        <v>395</v>
      </c>
      <c r="F1952" s="12"/>
      <c r="H1952" s="409"/>
      <c r="I1952" s="358"/>
      <c r="J1952" s="442"/>
      <c r="K1952" s="280"/>
      <c r="L1952" s="358"/>
      <c r="M1952" s="579"/>
      <c r="N1952" s="469"/>
      <c r="O1952" s="469"/>
    </row>
    <row r="1953" spans="4:15" ht="17.25">
      <c r="D1953" s="361">
        <v>44845</v>
      </c>
      <c r="E1953" s="361"/>
      <c r="F1953" s="361"/>
      <c r="G1953" s="361"/>
      <c r="H1953" s="409"/>
      <c r="I1953" s="358"/>
      <c r="J1953" s="442"/>
      <c r="K1953" s="280"/>
      <c r="L1953" s="358"/>
      <c r="M1953" s="579"/>
      <c r="N1953" s="469"/>
      <c r="O1953" s="469"/>
    </row>
    <row r="1954" spans="4:15" ht="17.25">
      <c r="E1954" s="12" t="s">
        <v>33</v>
      </c>
      <c r="F1954" s="12"/>
      <c r="H1954" s="409"/>
      <c r="I1954" s="358"/>
      <c r="J1954" s="442"/>
      <c r="K1954" s="280"/>
      <c r="L1954" s="358"/>
      <c r="M1954" s="579"/>
      <c r="N1954" s="469"/>
      <c r="O1954" s="469"/>
    </row>
    <row r="1955" spans="4:15" ht="17.25">
      <c r="F1955" s="361">
        <v>44736</v>
      </c>
      <c r="G1955" s="361"/>
      <c r="H1955" s="409"/>
      <c r="I1955" s="358"/>
      <c r="J1955" s="442"/>
      <c r="K1955" s="280"/>
      <c r="L1955" s="358"/>
      <c r="M1955" s="579"/>
      <c r="N1955" s="469"/>
      <c r="O1955" s="469"/>
    </row>
    <row r="1956" spans="4:15" ht="17.25">
      <c r="F1956" s="12"/>
      <c r="G1956" s="112" t="s">
        <v>33</v>
      </c>
      <c r="H1956" s="409">
        <v>14</v>
      </c>
      <c r="I1956" s="358">
        <v>904.96777777777777</v>
      </c>
      <c r="J1956" s="442">
        <v>1</v>
      </c>
      <c r="K1956" s="280">
        <v>904.96777777777777</v>
      </c>
      <c r="L1956" s="358">
        <v>1073.29</v>
      </c>
      <c r="M1956" s="579">
        <v>1</v>
      </c>
      <c r="N1956" s="469">
        <v>1073.29</v>
      </c>
      <c r="O1956" s="469">
        <v>-168.32222222222222</v>
      </c>
    </row>
    <row r="1957" spans="4:15" ht="17.25">
      <c r="F1957" s="12"/>
      <c r="H1957" s="409"/>
      <c r="I1957" s="358"/>
      <c r="J1957" s="442"/>
      <c r="K1957" s="280"/>
      <c r="L1957" s="358"/>
      <c r="M1957" s="579"/>
      <c r="N1957" s="469"/>
      <c r="O1957" s="469"/>
    </row>
    <row r="1958" spans="4:15" ht="17.25">
      <c r="F1958" s="361">
        <v>44739</v>
      </c>
      <c r="G1958" s="361"/>
      <c r="H1958" s="409"/>
      <c r="I1958" s="358"/>
      <c r="J1958" s="442"/>
      <c r="K1958" s="280"/>
      <c r="L1958" s="358"/>
      <c r="M1958" s="579"/>
      <c r="N1958" s="469"/>
      <c r="O1958" s="469"/>
    </row>
    <row r="1959" spans="4:15" ht="17.25">
      <c r="F1959" s="12"/>
      <c r="G1959" s="112" t="s">
        <v>33</v>
      </c>
      <c r="H1959" s="409">
        <v>1</v>
      </c>
      <c r="I1959" s="358">
        <v>64.632222222222225</v>
      </c>
      <c r="J1959" s="442">
        <v>1</v>
      </c>
      <c r="K1959" s="280">
        <v>64.632222222222225</v>
      </c>
      <c r="L1959" s="358">
        <v>76.709999999999994</v>
      </c>
      <c r="M1959" s="579">
        <v>1</v>
      </c>
      <c r="N1959" s="469">
        <v>76.709999999999994</v>
      </c>
      <c r="O1959" s="469">
        <v>-12.077777777777769</v>
      </c>
    </row>
    <row r="1960" spans="4:15" ht="17.25">
      <c r="F1960" s="12"/>
      <c r="H1960" s="409"/>
      <c r="I1960" s="358"/>
      <c r="J1960" s="442"/>
      <c r="K1960" s="280"/>
      <c r="L1960" s="358"/>
      <c r="M1960" s="579"/>
      <c r="N1960" s="469"/>
      <c r="O1960" s="469"/>
    </row>
    <row r="1961" spans="4:15" ht="17.25">
      <c r="F1961" s="361">
        <v>44740</v>
      </c>
      <c r="G1961" s="361"/>
      <c r="H1961" s="409"/>
      <c r="I1961" s="358"/>
      <c r="J1961" s="442"/>
      <c r="K1961" s="280"/>
      <c r="L1961" s="358"/>
      <c r="M1961" s="579"/>
      <c r="N1961" s="469"/>
      <c r="O1961" s="469"/>
    </row>
    <row r="1962" spans="4:15" ht="17.25">
      <c r="F1962" s="12"/>
      <c r="G1962" s="112" t="s">
        <v>33</v>
      </c>
      <c r="H1962" s="409">
        <v>3</v>
      </c>
      <c r="I1962" s="358">
        <v>193.12</v>
      </c>
      <c r="J1962" s="442">
        <v>1</v>
      </c>
      <c r="K1962" s="280">
        <v>193.12</v>
      </c>
      <c r="L1962" s="358">
        <v>226.33636363636361</v>
      </c>
      <c r="M1962" s="579">
        <v>1</v>
      </c>
      <c r="N1962" s="469">
        <v>226.33636363636361</v>
      </c>
      <c r="O1962" s="469">
        <v>-33.216363636363624</v>
      </c>
    </row>
    <row r="1963" spans="4:15" ht="17.25">
      <c r="F1963" s="12"/>
      <c r="H1963" s="409"/>
      <c r="I1963" s="358"/>
      <c r="J1963" s="442"/>
      <c r="K1963" s="280"/>
      <c r="L1963" s="358"/>
      <c r="M1963" s="579"/>
      <c r="N1963" s="469"/>
      <c r="O1963" s="469"/>
    </row>
    <row r="1964" spans="4:15" ht="17.25">
      <c r="D1964" s="361">
        <v>44846</v>
      </c>
      <c r="E1964" s="361"/>
      <c r="F1964" s="361"/>
      <c r="G1964" s="361"/>
      <c r="H1964" s="409"/>
      <c r="I1964" s="358"/>
      <c r="J1964" s="442"/>
      <c r="K1964" s="280"/>
      <c r="L1964" s="358"/>
      <c r="M1964" s="579"/>
      <c r="N1964" s="469"/>
      <c r="O1964" s="469"/>
    </row>
    <row r="1965" spans="4:15" ht="17.25">
      <c r="E1965" s="12" t="s">
        <v>33</v>
      </c>
      <c r="F1965" s="12"/>
      <c r="H1965" s="409"/>
      <c r="I1965" s="358"/>
      <c r="J1965" s="442"/>
      <c r="K1965" s="280"/>
      <c r="L1965" s="358"/>
      <c r="M1965" s="579"/>
      <c r="N1965" s="469"/>
      <c r="O1965" s="469"/>
    </row>
    <row r="1966" spans="4:15" ht="17.25">
      <c r="F1966" s="361">
        <v>44740</v>
      </c>
      <c r="G1966" s="361"/>
      <c r="H1966" s="409"/>
      <c r="I1966" s="358"/>
      <c r="J1966" s="442"/>
      <c r="K1966" s="280"/>
      <c r="L1966" s="358"/>
      <c r="M1966" s="579"/>
      <c r="N1966" s="469"/>
      <c r="O1966" s="469"/>
    </row>
    <row r="1967" spans="4:15" ht="17.25">
      <c r="F1967" s="12"/>
      <c r="G1967" s="112" t="s">
        <v>33</v>
      </c>
      <c r="H1967" s="409">
        <v>19</v>
      </c>
      <c r="I1967" s="358">
        <v>1193.4892307692307</v>
      </c>
      <c r="J1967" s="442">
        <v>1</v>
      </c>
      <c r="K1967" s="280">
        <v>1193.4892307692307</v>
      </c>
      <c r="L1967" s="358">
        <v>1398.4036363636365</v>
      </c>
      <c r="M1967" s="579">
        <v>1</v>
      </c>
      <c r="N1967" s="469">
        <v>1398.4036363636365</v>
      </c>
      <c r="O1967" s="469">
        <v>-204.91440559440554</v>
      </c>
    </row>
    <row r="1968" spans="4:15" ht="17.25">
      <c r="F1968" s="12"/>
      <c r="H1968" s="409"/>
      <c r="I1968" s="358"/>
      <c r="J1968" s="442"/>
      <c r="K1968" s="280"/>
      <c r="L1968" s="358"/>
      <c r="M1968" s="579"/>
      <c r="N1968" s="469"/>
      <c r="O1968" s="469"/>
    </row>
    <row r="1969" spans="3:15" ht="17.25">
      <c r="F1969" s="361">
        <v>44748</v>
      </c>
      <c r="G1969" s="361"/>
      <c r="H1969" s="409"/>
      <c r="I1969" s="358"/>
      <c r="J1969" s="442"/>
      <c r="K1969" s="280"/>
      <c r="L1969" s="358"/>
      <c r="M1969" s="579"/>
      <c r="N1969" s="469"/>
      <c r="O1969" s="469"/>
    </row>
    <row r="1970" spans="3:15" ht="17.25">
      <c r="F1970" s="12"/>
      <c r="G1970" s="112" t="s">
        <v>33</v>
      </c>
      <c r="H1970" s="409">
        <v>8</v>
      </c>
      <c r="I1970" s="358">
        <v>502.7607692307692</v>
      </c>
      <c r="J1970" s="442">
        <v>1</v>
      </c>
      <c r="K1970" s="280">
        <v>502.7607692307692</v>
      </c>
      <c r="L1970" s="358">
        <v>603.82599999999991</v>
      </c>
      <c r="M1970" s="579">
        <v>1</v>
      </c>
      <c r="N1970" s="469">
        <v>603.82599999999991</v>
      </c>
      <c r="O1970" s="469">
        <v>-101.06523076923077</v>
      </c>
    </row>
    <row r="1971" spans="3:15" ht="17.25">
      <c r="F1971" s="12"/>
      <c r="H1971" s="409"/>
      <c r="I1971" s="358"/>
      <c r="J1971" s="442"/>
      <c r="K1971" s="280"/>
      <c r="L1971" s="358"/>
      <c r="M1971" s="579"/>
      <c r="N1971" s="469"/>
      <c r="O1971" s="469"/>
    </row>
    <row r="1972" spans="3:15" ht="17.25">
      <c r="D1972" s="361">
        <v>44847</v>
      </c>
      <c r="E1972" s="361"/>
      <c r="F1972" s="361"/>
      <c r="G1972" s="361"/>
      <c r="H1972" s="409"/>
      <c r="I1972" s="358"/>
      <c r="J1972" s="442"/>
      <c r="K1972" s="280"/>
      <c r="L1972" s="358"/>
      <c r="M1972" s="579"/>
      <c r="N1972" s="469"/>
      <c r="O1972" s="469"/>
    </row>
    <row r="1973" spans="3:15" ht="17.25">
      <c r="E1973" s="12" t="s">
        <v>33</v>
      </c>
      <c r="F1973" s="12"/>
      <c r="H1973" s="409"/>
      <c r="I1973" s="358"/>
      <c r="J1973" s="442"/>
      <c r="K1973" s="280"/>
      <c r="L1973" s="358"/>
      <c r="M1973" s="579"/>
      <c r="N1973" s="469"/>
      <c r="O1973" s="469"/>
    </row>
    <row r="1974" spans="3:15" ht="17.25">
      <c r="F1974" s="361">
        <v>44748</v>
      </c>
      <c r="G1974" s="361"/>
      <c r="H1974" s="409"/>
      <c r="I1974" s="358"/>
      <c r="J1974" s="442"/>
      <c r="K1974" s="280"/>
      <c r="L1974" s="358"/>
      <c r="M1974" s="579"/>
      <c r="N1974" s="469"/>
      <c r="O1974" s="469"/>
    </row>
    <row r="1975" spans="3:15" ht="17.25">
      <c r="F1975" s="12"/>
      <c r="G1975" s="112" t="s">
        <v>33</v>
      </c>
      <c r="H1975" s="409">
        <v>2</v>
      </c>
      <c r="I1975" s="358">
        <v>120.77</v>
      </c>
      <c r="J1975" s="442">
        <v>1</v>
      </c>
      <c r="K1975" s="280">
        <v>120.77</v>
      </c>
      <c r="L1975" s="358">
        <v>151.00399999999999</v>
      </c>
      <c r="M1975" s="579">
        <v>1</v>
      </c>
      <c r="N1975" s="469">
        <v>151.00399999999999</v>
      </c>
      <c r="O1975" s="469">
        <v>-30.233999999999995</v>
      </c>
    </row>
    <row r="1976" spans="3:15" ht="17.25">
      <c r="F1976" s="12"/>
      <c r="H1976" s="409"/>
      <c r="I1976" s="358"/>
      <c r="J1976" s="442"/>
      <c r="K1976" s="280"/>
      <c r="L1976" s="358"/>
      <c r="M1976" s="579"/>
      <c r="N1976" s="469"/>
      <c r="O1976" s="469"/>
    </row>
    <row r="1977" spans="3:15" ht="17.25">
      <c r="C1977" s="342" t="s">
        <v>396</v>
      </c>
      <c r="D1977" s="342"/>
      <c r="E1977" s="342"/>
      <c r="F1977" s="342"/>
      <c r="G1977" s="342"/>
      <c r="H1977" s="410">
        <v>47</v>
      </c>
      <c r="I1977" s="407">
        <v>2979.74</v>
      </c>
      <c r="J1977" s="460">
        <v>1</v>
      </c>
      <c r="K1977" s="413">
        <v>2979.74</v>
      </c>
      <c r="L1977" s="407">
        <v>3529.57</v>
      </c>
      <c r="M1977" s="580">
        <v>1</v>
      </c>
      <c r="N1977" s="470">
        <v>3529.57</v>
      </c>
      <c r="O1977" s="470">
        <v>-549.83000000000004</v>
      </c>
    </row>
    <row r="1978" spans="3:15" ht="17.25">
      <c r="F1978" s="12"/>
      <c r="H1978" s="409"/>
      <c r="I1978" s="358"/>
      <c r="J1978" s="442"/>
      <c r="K1978" s="280"/>
      <c r="L1978" s="358"/>
      <c r="M1978" s="579"/>
      <c r="N1978" s="469"/>
      <c r="O1978" s="469"/>
    </row>
    <row r="1979" spans="3:15" ht="17.25">
      <c r="C1979" s="12" t="s">
        <v>397</v>
      </c>
      <c r="F1979" s="12"/>
      <c r="H1979" s="409"/>
      <c r="I1979" s="358"/>
      <c r="J1979" s="442"/>
      <c r="K1979" s="280"/>
      <c r="L1979" s="358"/>
      <c r="M1979" s="579"/>
      <c r="N1979" s="469"/>
      <c r="O1979" s="469"/>
    </row>
    <row r="1980" spans="3:15" ht="17.25">
      <c r="D1980" s="361">
        <v>44623</v>
      </c>
      <c r="E1980" s="361"/>
      <c r="F1980" s="361"/>
      <c r="G1980" s="361"/>
      <c r="H1980" s="409"/>
      <c r="I1980" s="358"/>
      <c r="J1980" s="442"/>
      <c r="K1980" s="280"/>
      <c r="L1980" s="358"/>
      <c r="M1980" s="579"/>
      <c r="N1980" s="469"/>
      <c r="O1980" s="469"/>
    </row>
    <row r="1981" spans="3:15" ht="17.25">
      <c r="E1981" s="12" t="s">
        <v>33</v>
      </c>
      <c r="F1981" s="12"/>
      <c r="H1981" s="409"/>
      <c r="I1981" s="358"/>
      <c r="J1981" s="442"/>
      <c r="K1981" s="280"/>
      <c r="L1981" s="358"/>
      <c r="M1981" s="579"/>
      <c r="N1981" s="469"/>
      <c r="O1981" s="469"/>
    </row>
    <row r="1982" spans="3:15" ht="17.25">
      <c r="F1982" s="361">
        <v>44573</v>
      </c>
      <c r="G1982" s="361"/>
      <c r="H1982" s="409"/>
      <c r="I1982" s="358"/>
      <c r="J1982" s="442"/>
      <c r="K1982" s="280"/>
      <c r="L1982" s="358"/>
      <c r="M1982" s="579"/>
      <c r="N1982" s="469"/>
      <c r="O1982" s="469"/>
    </row>
    <row r="1983" spans="3:15" ht="17.25">
      <c r="F1983" s="12"/>
      <c r="G1983" s="112" t="s">
        <v>33</v>
      </c>
      <c r="H1983" s="409">
        <v>2</v>
      </c>
      <c r="I1983" s="358">
        <v>496.06</v>
      </c>
      <c r="J1983" s="442">
        <v>1</v>
      </c>
      <c r="K1983" s="280">
        <v>496.06</v>
      </c>
      <c r="L1983" s="358">
        <v>1146.5333333333333</v>
      </c>
      <c r="M1983" s="579">
        <v>1</v>
      </c>
      <c r="N1983" s="469">
        <v>1146.5333333333333</v>
      </c>
      <c r="O1983" s="469">
        <v>-650.47333333333336</v>
      </c>
    </row>
    <row r="1984" spans="3:15" ht="17.25">
      <c r="F1984" s="12"/>
      <c r="H1984" s="409"/>
      <c r="I1984" s="358"/>
      <c r="J1984" s="442"/>
      <c r="K1984" s="280"/>
      <c r="L1984" s="358"/>
      <c r="M1984" s="579"/>
      <c r="N1984" s="469"/>
      <c r="O1984" s="469"/>
    </row>
    <row r="1985" spans="4:15" ht="17.25">
      <c r="D1985" s="361">
        <v>44627</v>
      </c>
      <c r="E1985" s="361"/>
      <c r="F1985" s="361"/>
      <c r="G1985" s="361"/>
      <c r="H1985" s="409"/>
      <c r="I1985" s="358"/>
      <c r="J1985" s="442"/>
      <c r="K1985" s="280"/>
      <c r="L1985" s="358"/>
      <c r="M1985" s="579"/>
      <c r="N1985" s="469"/>
      <c r="O1985" s="469"/>
    </row>
    <row r="1986" spans="4:15" ht="17.25">
      <c r="E1986" s="12" t="s">
        <v>33</v>
      </c>
      <c r="F1986" s="12"/>
      <c r="H1986" s="409"/>
      <c r="I1986" s="358"/>
      <c r="J1986" s="442"/>
      <c r="K1986" s="280"/>
      <c r="L1986" s="358"/>
      <c r="M1986" s="579"/>
      <c r="N1986" s="469"/>
      <c r="O1986" s="469"/>
    </row>
    <row r="1987" spans="4:15" ht="17.25">
      <c r="F1987" s="361">
        <v>44573</v>
      </c>
      <c r="G1987" s="361"/>
      <c r="H1987" s="409"/>
      <c r="I1987" s="358"/>
      <c r="J1987" s="442"/>
      <c r="K1987" s="280"/>
      <c r="L1987" s="358"/>
      <c r="M1987" s="579"/>
      <c r="N1987" s="469"/>
      <c r="O1987" s="469"/>
    </row>
    <row r="1988" spans="4:15" ht="17.25">
      <c r="F1988" s="12"/>
      <c r="G1988" s="112" t="s">
        <v>33</v>
      </c>
      <c r="H1988" s="409">
        <v>1</v>
      </c>
      <c r="I1988" s="358">
        <v>183.405</v>
      </c>
      <c r="J1988" s="442">
        <v>1</v>
      </c>
      <c r="K1988" s="280">
        <v>183.405</v>
      </c>
      <c r="L1988" s="358">
        <v>573.26666666666665</v>
      </c>
      <c r="M1988" s="579">
        <v>1</v>
      </c>
      <c r="N1988" s="469">
        <v>573.26666666666665</v>
      </c>
      <c r="O1988" s="469">
        <v>-389.86166666666668</v>
      </c>
    </row>
    <row r="1989" spans="4:15" ht="17.25">
      <c r="F1989" s="12"/>
      <c r="H1989" s="409"/>
      <c r="I1989" s="358"/>
      <c r="J1989" s="442"/>
      <c r="K1989" s="280"/>
      <c r="L1989" s="358"/>
      <c r="M1989" s="579"/>
      <c r="N1989" s="469"/>
      <c r="O1989" s="469"/>
    </row>
    <row r="1990" spans="4:15" ht="17.25">
      <c r="F1990" s="361">
        <v>44574</v>
      </c>
      <c r="G1990" s="361"/>
      <c r="H1990" s="409"/>
      <c r="I1990" s="358"/>
      <c r="J1990" s="442"/>
      <c r="K1990" s="280"/>
      <c r="L1990" s="358"/>
      <c r="M1990" s="579"/>
      <c r="N1990" s="469"/>
      <c r="O1990" s="469"/>
    </row>
    <row r="1991" spans="4:15" ht="17.25">
      <c r="F1991" s="12"/>
      <c r="G1991" s="112" t="s">
        <v>33</v>
      </c>
      <c r="H1991" s="409">
        <v>1</v>
      </c>
      <c r="I1991" s="358">
        <v>183.405</v>
      </c>
      <c r="J1991" s="442">
        <v>1</v>
      </c>
      <c r="K1991" s="280">
        <v>183.405</v>
      </c>
      <c r="L1991" s="358">
        <v>554.48</v>
      </c>
      <c r="M1991" s="579">
        <v>1</v>
      </c>
      <c r="N1991" s="469">
        <v>554.48</v>
      </c>
      <c r="O1991" s="469">
        <v>-371.07500000000005</v>
      </c>
    </row>
    <row r="1992" spans="4:15" ht="17.25">
      <c r="F1992" s="12"/>
      <c r="H1992" s="409"/>
      <c r="I1992" s="358"/>
      <c r="J1992" s="442"/>
      <c r="K1992" s="280"/>
      <c r="L1992" s="358"/>
      <c r="M1992" s="579"/>
      <c r="N1992" s="469"/>
      <c r="O1992" s="469"/>
    </row>
    <row r="1993" spans="4:15" ht="17.25">
      <c r="D1993" s="361">
        <v>44628</v>
      </c>
      <c r="E1993" s="361"/>
      <c r="F1993" s="361"/>
      <c r="G1993" s="361"/>
      <c r="H1993" s="409"/>
      <c r="I1993" s="358"/>
      <c r="J1993" s="442"/>
      <c r="K1993" s="280"/>
      <c r="L1993" s="358"/>
      <c r="M1993" s="579"/>
      <c r="N1993" s="469"/>
      <c r="O1993" s="469"/>
    </row>
    <row r="1994" spans="4:15" ht="17.25">
      <c r="E1994" s="12" t="s">
        <v>33</v>
      </c>
      <c r="F1994" s="12"/>
      <c r="H1994" s="409"/>
      <c r="I1994" s="358"/>
      <c r="J1994" s="442"/>
      <c r="K1994" s="280"/>
      <c r="L1994" s="358"/>
      <c r="M1994" s="579"/>
      <c r="N1994" s="469"/>
      <c r="O1994" s="469"/>
    </row>
    <row r="1995" spans="4:15" ht="17.25">
      <c r="F1995" s="361">
        <v>44579</v>
      </c>
      <c r="G1995" s="361"/>
      <c r="H1995" s="409"/>
      <c r="I1995" s="358"/>
      <c r="J1995" s="442"/>
      <c r="K1995" s="280"/>
      <c r="L1995" s="358"/>
      <c r="M1995" s="579"/>
      <c r="N1995" s="469"/>
      <c r="O1995" s="469"/>
    </row>
    <row r="1996" spans="4:15" ht="17.25">
      <c r="F1996" s="12"/>
      <c r="G1996" s="112" t="s">
        <v>33</v>
      </c>
      <c r="H1996" s="409">
        <v>2</v>
      </c>
      <c r="I1996" s="358">
        <v>354.56</v>
      </c>
      <c r="J1996" s="442">
        <v>1</v>
      </c>
      <c r="K1996" s="280">
        <v>354.56</v>
      </c>
      <c r="L1996" s="358">
        <v>1020.14</v>
      </c>
      <c r="M1996" s="579">
        <v>1</v>
      </c>
      <c r="N1996" s="469">
        <v>1020.14</v>
      </c>
      <c r="O1996" s="469">
        <v>-665.57999999999993</v>
      </c>
    </row>
    <row r="1997" spans="4:15" ht="17.25">
      <c r="F1997" s="12"/>
      <c r="H1997" s="409"/>
      <c r="I1997" s="358"/>
      <c r="J1997" s="442"/>
      <c r="K1997" s="280"/>
      <c r="L1997" s="358"/>
      <c r="M1997" s="579"/>
      <c r="N1997" s="469"/>
      <c r="O1997" s="469"/>
    </row>
    <row r="1998" spans="4:15" ht="17.25">
      <c r="F1998" s="361">
        <v>44580</v>
      </c>
      <c r="G1998" s="361"/>
      <c r="H1998" s="409"/>
      <c r="I1998" s="358"/>
      <c r="J1998" s="442"/>
      <c r="K1998" s="280"/>
      <c r="L1998" s="358"/>
      <c r="M1998" s="579"/>
      <c r="N1998" s="469"/>
      <c r="O1998" s="469"/>
    </row>
    <row r="1999" spans="4:15" ht="17.25">
      <c r="F1999" s="12"/>
      <c r="G1999" s="112" t="s">
        <v>33</v>
      </c>
      <c r="H1999" s="409">
        <v>1</v>
      </c>
      <c r="I1999" s="358">
        <v>177.28</v>
      </c>
      <c r="J1999" s="442">
        <v>1</v>
      </c>
      <c r="K1999" s="280">
        <v>177.28</v>
      </c>
      <c r="L1999" s="358">
        <v>506.18</v>
      </c>
      <c r="M1999" s="579">
        <v>1</v>
      </c>
      <c r="N1999" s="469">
        <v>506.18</v>
      </c>
      <c r="O1999" s="469">
        <v>-328.9</v>
      </c>
    </row>
    <row r="2000" spans="4:15" ht="17.25">
      <c r="F2000" s="12"/>
      <c r="H2000" s="409"/>
      <c r="I2000" s="358"/>
      <c r="J2000" s="442"/>
      <c r="K2000" s="280"/>
      <c r="L2000" s="358"/>
      <c r="M2000" s="579"/>
      <c r="N2000" s="469"/>
      <c r="O2000" s="469"/>
    </row>
    <row r="2001" spans="3:15" ht="17.25">
      <c r="F2001" s="361">
        <v>44574</v>
      </c>
      <c r="G2001" s="361"/>
      <c r="H2001" s="409"/>
      <c r="I2001" s="358"/>
      <c r="J2001" s="442"/>
      <c r="K2001" s="280"/>
      <c r="L2001" s="358"/>
      <c r="M2001" s="579"/>
      <c r="N2001" s="469"/>
      <c r="O2001" s="469"/>
    </row>
    <row r="2002" spans="3:15" ht="17.25">
      <c r="F2002" s="12"/>
      <c r="G2002" s="112" t="s">
        <v>33</v>
      </c>
      <c r="H2002" s="409">
        <v>3</v>
      </c>
      <c r="I2002" s="358">
        <v>543.72</v>
      </c>
      <c r="J2002" s="442">
        <v>1</v>
      </c>
      <c r="K2002" s="280">
        <v>543.72</v>
      </c>
      <c r="L2002" s="358">
        <v>1674.58</v>
      </c>
      <c r="M2002" s="579">
        <v>1</v>
      </c>
      <c r="N2002" s="469">
        <v>1674.58</v>
      </c>
      <c r="O2002" s="469">
        <v>-1130.8600000000001</v>
      </c>
    </row>
    <row r="2003" spans="3:15" ht="17.25">
      <c r="F2003" s="12"/>
      <c r="H2003" s="409"/>
      <c r="I2003" s="358"/>
      <c r="J2003" s="442"/>
      <c r="K2003" s="280"/>
      <c r="L2003" s="358"/>
      <c r="M2003" s="579"/>
      <c r="N2003" s="469"/>
      <c r="O2003" s="469"/>
    </row>
    <row r="2004" spans="3:15" ht="17.25">
      <c r="C2004" s="342" t="s">
        <v>398</v>
      </c>
      <c r="D2004" s="342"/>
      <c r="E2004" s="342"/>
      <c r="F2004" s="342"/>
      <c r="G2004" s="342"/>
      <c r="H2004" s="410">
        <v>10</v>
      </c>
      <c r="I2004" s="407">
        <v>1938.4300000000003</v>
      </c>
      <c r="J2004" s="460">
        <v>1</v>
      </c>
      <c r="K2004" s="413">
        <v>1938.4300000000003</v>
      </c>
      <c r="L2004" s="407">
        <v>5475.18</v>
      </c>
      <c r="M2004" s="580">
        <v>1</v>
      </c>
      <c r="N2004" s="470">
        <v>5475.18</v>
      </c>
      <c r="O2004" s="470">
        <v>-3536.75</v>
      </c>
    </row>
    <row r="2005" spans="3:15" ht="17.25">
      <c r="F2005" s="12"/>
      <c r="H2005" s="409"/>
      <c r="I2005" s="358"/>
      <c r="J2005" s="442"/>
      <c r="K2005" s="280"/>
      <c r="L2005" s="358"/>
      <c r="M2005" s="579"/>
      <c r="N2005" s="469"/>
      <c r="O2005" s="469"/>
    </row>
    <row r="2006" spans="3:15" ht="17.25">
      <c r="C2006" s="12" t="s">
        <v>264</v>
      </c>
      <c r="F2006" s="12"/>
      <c r="H2006" s="409"/>
      <c r="I2006" s="358"/>
      <c r="J2006" s="442"/>
      <c r="K2006" s="280"/>
      <c r="L2006" s="358"/>
      <c r="M2006" s="579"/>
      <c r="N2006" s="469"/>
      <c r="O2006" s="469"/>
    </row>
    <row r="2007" spans="3:15" ht="17.25">
      <c r="D2007" s="361">
        <v>44694</v>
      </c>
      <c r="E2007" s="361"/>
      <c r="F2007" s="361"/>
      <c r="G2007" s="361"/>
      <c r="H2007" s="409"/>
      <c r="I2007" s="358"/>
      <c r="J2007" s="442"/>
      <c r="K2007" s="280"/>
      <c r="L2007" s="358"/>
      <c r="M2007" s="579"/>
      <c r="N2007" s="469"/>
      <c r="O2007" s="469"/>
    </row>
    <row r="2008" spans="3:15" ht="17.25">
      <c r="E2008" s="12" t="s">
        <v>33</v>
      </c>
      <c r="F2008" s="12"/>
      <c r="H2008" s="409"/>
      <c r="I2008" s="358"/>
      <c r="J2008" s="442"/>
      <c r="K2008" s="280"/>
      <c r="L2008" s="358"/>
      <c r="M2008" s="579"/>
      <c r="N2008" s="469"/>
      <c r="O2008" s="469"/>
    </row>
    <row r="2009" spans="3:15" ht="17.25">
      <c r="F2009" s="361">
        <v>44503</v>
      </c>
      <c r="G2009" s="361"/>
      <c r="H2009" s="409"/>
      <c r="I2009" s="358"/>
      <c r="J2009" s="442"/>
      <c r="K2009" s="280"/>
      <c r="L2009" s="358"/>
      <c r="M2009" s="579"/>
      <c r="N2009" s="469"/>
      <c r="O2009" s="469"/>
    </row>
    <row r="2010" spans="3:15" ht="17.25">
      <c r="F2010" s="12"/>
      <c r="G2010" s="112" t="s">
        <v>33</v>
      </c>
      <c r="H2010" s="409">
        <v>5</v>
      </c>
      <c r="I2010" s="358">
        <v>1170.72</v>
      </c>
      <c r="J2010" s="442">
        <v>1</v>
      </c>
      <c r="K2010" s="280">
        <v>1170.72</v>
      </c>
      <c r="L2010" s="358">
        <v>1201.8988095238096</v>
      </c>
      <c r="M2010" s="579">
        <v>1</v>
      </c>
      <c r="N2010" s="469">
        <v>1201.8988095238096</v>
      </c>
      <c r="O2010" s="469">
        <v>-31.178809523809633</v>
      </c>
    </row>
    <row r="2011" spans="3:15" ht="17.25">
      <c r="F2011" s="12"/>
      <c r="H2011" s="409"/>
      <c r="I2011" s="358"/>
      <c r="J2011" s="442"/>
      <c r="K2011" s="280"/>
      <c r="L2011" s="358"/>
      <c r="M2011" s="579"/>
      <c r="N2011" s="469"/>
      <c r="O2011" s="469"/>
    </row>
    <row r="2012" spans="3:15" ht="17.25">
      <c r="D2012" s="361">
        <v>44698</v>
      </c>
      <c r="E2012" s="361"/>
      <c r="F2012" s="361"/>
      <c r="G2012" s="361"/>
      <c r="H2012" s="409"/>
      <c r="I2012" s="358"/>
      <c r="J2012" s="442"/>
      <c r="K2012" s="280"/>
      <c r="L2012" s="358"/>
      <c r="M2012" s="579"/>
      <c r="N2012" s="469"/>
      <c r="O2012" s="469"/>
    </row>
    <row r="2013" spans="3:15" ht="17.25">
      <c r="E2013" s="12" t="s">
        <v>33</v>
      </c>
      <c r="F2013" s="12"/>
      <c r="H2013" s="409"/>
      <c r="I2013" s="358"/>
      <c r="J2013" s="442"/>
      <c r="K2013" s="280"/>
      <c r="L2013" s="358"/>
      <c r="M2013" s="579"/>
      <c r="N2013" s="469"/>
      <c r="O2013" s="469"/>
    </row>
    <row r="2014" spans="3:15" ht="17.25">
      <c r="F2014" s="361">
        <v>44503</v>
      </c>
      <c r="G2014" s="361"/>
      <c r="H2014" s="409"/>
      <c r="I2014" s="358"/>
      <c r="J2014" s="442"/>
      <c r="K2014" s="280"/>
      <c r="L2014" s="358"/>
      <c r="M2014" s="579"/>
      <c r="N2014" s="469"/>
      <c r="O2014" s="469"/>
    </row>
    <row r="2015" spans="3:15" ht="17.25">
      <c r="F2015" s="12"/>
      <c r="G2015" s="112" t="s">
        <v>33</v>
      </c>
      <c r="H2015" s="409">
        <v>3</v>
      </c>
      <c r="I2015" s="358">
        <v>685.76</v>
      </c>
      <c r="J2015" s="442">
        <v>1</v>
      </c>
      <c r="K2015" s="280">
        <v>685.76</v>
      </c>
      <c r="L2015" s="358">
        <v>721.13928571428573</v>
      </c>
      <c r="M2015" s="579">
        <v>1</v>
      </c>
      <c r="N2015" s="469">
        <v>721.13928571428573</v>
      </c>
      <c r="O2015" s="469">
        <v>-35.379285714285743</v>
      </c>
    </row>
    <row r="2016" spans="3:15" ht="17.25">
      <c r="F2016" s="12"/>
      <c r="H2016" s="409"/>
      <c r="I2016" s="358"/>
      <c r="J2016" s="442"/>
      <c r="K2016" s="280"/>
      <c r="L2016" s="358"/>
      <c r="M2016" s="579"/>
      <c r="N2016" s="469"/>
      <c r="O2016" s="469"/>
    </row>
    <row r="2017" spans="3:15" ht="17.25">
      <c r="D2017" s="361">
        <v>44699</v>
      </c>
      <c r="E2017" s="361"/>
      <c r="F2017" s="361"/>
      <c r="G2017" s="361"/>
      <c r="H2017" s="409"/>
      <c r="I2017" s="358"/>
      <c r="J2017" s="442"/>
      <c r="K2017" s="280"/>
      <c r="L2017" s="358"/>
      <c r="M2017" s="579"/>
      <c r="N2017" s="469"/>
      <c r="O2017" s="469"/>
    </row>
    <row r="2018" spans="3:15" ht="17.25">
      <c r="E2018" s="12" t="s">
        <v>33</v>
      </c>
      <c r="F2018" s="12"/>
      <c r="H2018" s="409"/>
      <c r="I2018" s="358"/>
      <c r="J2018" s="442"/>
      <c r="K2018" s="280"/>
      <c r="L2018" s="358"/>
      <c r="M2018" s="579"/>
      <c r="N2018" s="469"/>
      <c r="O2018" s="469"/>
    </row>
    <row r="2019" spans="3:15" ht="17.25">
      <c r="F2019" s="361">
        <v>44503</v>
      </c>
      <c r="G2019" s="361"/>
      <c r="H2019" s="409"/>
      <c r="I2019" s="358"/>
      <c r="J2019" s="442"/>
      <c r="K2019" s="280"/>
      <c r="L2019" s="358"/>
      <c r="M2019" s="579"/>
      <c r="N2019" s="469"/>
      <c r="O2019" s="469"/>
    </row>
    <row r="2020" spans="3:15" ht="17.25">
      <c r="F2020" s="12"/>
      <c r="G2020" s="112" t="s">
        <v>33</v>
      </c>
      <c r="H2020" s="409">
        <v>6</v>
      </c>
      <c r="I2020" s="358">
        <v>1336.6100000000001</v>
      </c>
      <c r="J2020" s="442">
        <v>1</v>
      </c>
      <c r="K2020" s="280">
        <v>1336.6100000000001</v>
      </c>
      <c r="L2020" s="358">
        <v>1442.2785714285715</v>
      </c>
      <c r="M2020" s="579">
        <v>1</v>
      </c>
      <c r="N2020" s="469">
        <v>1442.2785714285715</v>
      </c>
      <c r="O2020" s="469">
        <v>-105.66857142857151</v>
      </c>
    </row>
    <row r="2021" spans="3:15" ht="17.25">
      <c r="F2021" s="12"/>
      <c r="H2021" s="409"/>
      <c r="I2021" s="358"/>
      <c r="J2021" s="442"/>
      <c r="K2021" s="280"/>
      <c r="L2021" s="358"/>
      <c r="M2021" s="579"/>
      <c r="N2021" s="469"/>
      <c r="O2021" s="469"/>
    </row>
    <row r="2022" spans="3:15" ht="17.25">
      <c r="D2022" s="361">
        <v>44701</v>
      </c>
      <c r="E2022" s="361"/>
      <c r="F2022" s="361"/>
      <c r="G2022" s="361"/>
      <c r="H2022" s="409"/>
      <c r="I2022" s="358"/>
      <c r="J2022" s="442"/>
      <c r="K2022" s="280"/>
      <c r="L2022" s="358"/>
      <c r="M2022" s="579"/>
      <c r="N2022" s="469"/>
      <c r="O2022" s="469"/>
    </row>
    <row r="2023" spans="3:15" ht="17.25">
      <c r="E2023" s="12" t="s">
        <v>33</v>
      </c>
      <c r="F2023" s="12"/>
      <c r="H2023" s="409"/>
      <c r="I2023" s="358"/>
      <c r="J2023" s="442"/>
      <c r="K2023" s="280"/>
      <c r="L2023" s="358"/>
      <c r="M2023" s="579"/>
      <c r="N2023" s="469"/>
      <c r="O2023" s="469"/>
    </row>
    <row r="2024" spans="3:15" ht="17.25">
      <c r="F2024" s="361">
        <v>44503</v>
      </c>
      <c r="G2024" s="361"/>
      <c r="H2024" s="409"/>
      <c r="I2024" s="358"/>
      <c r="J2024" s="442"/>
      <c r="K2024" s="280"/>
      <c r="L2024" s="358"/>
      <c r="M2024" s="579"/>
      <c r="N2024" s="469"/>
      <c r="O2024" s="469"/>
    </row>
    <row r="2025" spans="3:15" ht="17.25">
      <c r="F2025" s="12"/>
      <c r="G2025" s="112" t="s">
        <v>33</v>
      </c>
      <c r="H2025" s="409">
        <v>5</v>
      </c>
      <c r="I2025" s="358">
        <v>1134.6500000000001</v>
      </c>
      <c r="J2025" s="442">
        <v>1</v>
      </c>
      <c r="K2025" s="280">
        <v>1134.6500000000001</v>
      </c>
      <c r="L2025" s="358">
        <v>1201.8988095238096</v>
      </c>
      <c r="M2025" s="579">
        <v>1</v>
      </c>
      <c r="N2025" s="469">
        <v>1201.8988095238096</v>
      </c>
      <c r="O2025" s="469">
        <v>-67.248809523809541</v>
      </c>
    </row>
    <row r="2026" spans="3:15" ht="17.25">
      <c r="F2026" s="12"/>
      <c r="H2026" s="409"/>
      <c r="I2026" s="358"/>
      <c r="J2026" s="442"/>
      <c r="K2026" s="280"/>
      <c r="L2026" s="358"/>
      <c r="M2026" s="579"/>
      <c r="N2026" s="469"/>
      <c r="O2026" s="469"/>
    </row>
    <row r="2027" spans="3:15" ht="17.25">
      <c r="D2027" s="361">
        <v>44782</v>
      </c>
      <c r="E2027" s="361"/>
      <c r="F2027" s="361"/>
      <c r="G2027" s="361"/>
      <c r="H2027" s="409"/>
      <c r="I2027" s="358"/>
      <c r="J2027" s="442"/>
      <c r="K2027" s="280"/>
      <c r="L2027" s="358"/>
      <c r="M2027" s="579"/>
      <c r="N2027" s="469"/>
      <c r="O2027" s="469"/>
    </row>
    <row r="2028" spans="3:15" ht="17.25">
      <c r="E2028" s="12" t="s">
        <v>33</v>
      </c>
      <c r="F2028" s="12"/>
      <c r="H2028" s="409"/>
      <c r="I2028" s="358"/>
      <c r="J2028" s="442"/>
      <c r="K2028" s="280"/>
      <c r="L2028" s="358"/>
      <c r="M2028" s="579"/>
      <c r="N2028" s="469"/>
      <c r="O2028" s="469"/>
    </row>
    <row r="2029" spans="3:15" ht="17.25">
      <c r="F2029" s="361">
        <v>44503</v>
      </c>
      <c r="G2029" s="361"/>
      <c r="H2029" s="409"/>
      <c r="I2029" s="358"/>
      <c r="J2029" s="442"/>
      <c r="K2029" s="280"/>
      <c r="L2029" s="358"/>
      <c r="M2029" s="579"/>
      <c r="N2029" s="469"/>
      <c r="O2029" s="469"/>
    </row>
    <row r="2030" spans="3:15" ht="17.25">
      <c r="F2030" s="12"/>
      <c r="G2030" s="112" t="s">
        <v>33</v>
      </c>
      <c r="H2030" s="409">
        <v>4</v>
      </c>
      <c r="I2030" s="358">
        <v>900.06</v>
      </c>
      <c r="J2030" s="442">
        <v>1</v>
      </c>
      <c r="K2030" s="280">
        <v>900.06</v>
      </c>
      <c r="L2030" s="358">
        <v>961.51904761904768</v>
      </c>
      <c r="M2030" s="579">
        <v>1</v>
      </c>
      <c r="N2030" s="469">
        <v>961.51904761904768</v>
      </c>
      <c r="O2030" s="469">
        <v>-61.459047619047737</v>
      </c>
    </row>
    <row r="2031" spans="3:15" ht="17.25">
      <c r="F2031" s="12"/>
      <c r="H2031" s="409"/>
      <c r="I2031" s="358"/>
      <c r="J2031" s="442"/>
      <c r="K2031" s="280"/>
      <c r="L2031" s="358"/>
      <c r="M2031" s="579"/>
      <c r="N2031" s="469"/>
      <c r="O2031" s="469"/>
    </row>
    <row r="2032" spans="3:15" ht="17.25">
      <c r="C2032" s="342" t="s">
        <v>399</v>
      </c>
      <c r="D2032" s="342"/>
      <c r="E2032" s="342"/>
      <c r="F2032" s="342"/>
      <c r="G2032" s="342"/>
      <c r="H2032" s="410">
        <v>23</v>
      </c>
      <c r="I2032" s="407">
        <v>5227.7999999999993</v>
      </c>
      <c r="J2032" s="460">
        <v>1</v>
      </c>
      <c r="K2032" s="413">
        <v>5227.7999999999993</v>
      </c>
      <c r="L2032" s="407">
        <v>5528.7345238095231</v>
      </c>
      <c r="M2032" s="580">
        <v>1</v>
      </c>
      <c r="N2032" s="470">
        <v>5528.7345238095231</v>
      </c>
      <c r="O2032" s="470">
        <v>-300.93452380952419</v>
      </c>
    </row>
    <row r="2033" spans="3:15" ht="17.25">
      <c r="F2033" s="12"/>
      <c r="H2033" s="409"/>
      <c r="I2033" s="358"/>
      <c r="J2033" s="442"/>
      <c r="K2033" s="280"/>
      <c r="L2033" s="358"/>
      <c r="M2033" s="579"/>
      <c r="N2033" s="469"/>
      <c r="O2033" s="469"/>
    </row>
    <row r="2034" spans="3:15" ht="17.25">
      <c r="C2034" s="12" t="s">
        <v>265</v>
      </c>
      <c r="F2034" s="12"/>
      <c r="H2034" s="409"/>
      <c r="I2034" s="358"/>
      <c r="J2034" s="442"/>
      <c r="K2034" s="280"/>
      <c r="L2034" s="358"/>
      <c r="M2034" s="579"/>
      <c r="N2034" s="469"/>
      <c r="O2034" s="469"/>
    </row>
    <row r="2035" spans="3:15" ht="17.25">
      <c r="D2035" s="361">
        <v>44589</v>
      </c>
      <c r="E2035" s="361"/>
      <c r="F2035" s="361"/>
      <c r="G2035" s="361"/>
      <c r="H2035" s="409"/>
      <c r="I2035" s="358"/>
      <c r="J2035" s="442"/>
      <c r="K2035" s="280"/>
      <c r="L2035" s="358"/>
      <c r="M2035" s="579"/>
      <c r="N2035" s="469"/>
      <c r="O2035" s="469"/>
    </row>
    <row r="2036" spans="3:15" ht="17.25">
      <c r="E2036" s="12" t="s">
        <v>33</v>
      </c>
      <c r="F2036" s="12"/>
      <c r="H2036" s="409"/>
      <c r="I2036" s="358"/>
      <c r="J2036" s="442"/>
      <c r="K2036" s="280"/>
      <c r="L2036" s="358"/>
      <c r="M2036" s="579"/>
      <c r="N2036" s="469"/>
      <c r="O2036" s="469"/>
    </row>
    <row r="2037" spans="3:15" ht="17.25">
      <c r="F2037" s="361">
        <v>44503</v>
      </c>
      <c r="G2037" s="361"/>
      <c r="H2037" s="409"/>
      <c r="I2037" s="358"/>
      <c r="J2037" s="442"/>
      <c r="K2037" s="280"/>
      <c r="L2037" s="358"/>
      <c r="M2037" s="579"/>
      <c r="N2037" s="469"/>
      <c r="O2037" s="469"/>
    </row>
    <row r="2038" spans="3:15" ht="17.25">
      <c r="F2038" s="12"/>
      <c r="G2038" s="112" t="s">
        <v>33</v>
      </c>
      <c r="H2038" s="409">
        <v>23</v>
      </c>
      <c r="I2038" s="358">
        <v>464.34</v>
      </c>
      <c r="J2038" s="442">
        <v>1</v>
      </c>
      <c r="K2038" s="280">
        <v>464.34</v>
      </c>
      <c r="L2038" s="358">
        <v>1032.24</v>
      </c>
      <c r="M2038" s="579">
        <v>1</v>
      </c>
      <c r="N2038" s="469">
        <v>1032.24</v>
      </c>
      <c r="O2038" s="469">
        <v>-567.90000000000009</v>
      </c>
    </row>
    <row r="2039" spans="3:15" ht="17.25">
      <c r="F2039" s="12"/>
      <c r="H2039" s="409"/>
      <c r="I2039" s="358"/>
      <c r="J2039" s="442"/>
      <c r="K2039" s="280"/>
      <c r="L2039" s="358"/>
      <c r="M2039" s="579"/>
      <c r="N2039" s="469"/>
      <c r="O2039" s="469"/>
    </row>
    <row r="2040" spans="3:15" ht="17.25">
      <c r="D2040" s="361">
        <v>44592</v>
      </c>
      <c r="E2040" s="361"/>
      <c r="F2040" s="361"/>
      <c r="G2040" s="361"/>
      <c r="H2040" s="409"/>
      <c r="I2040" s="358"/>
      <c r="J2040" s="442"/>
      <c r="K2040" s="280"/>
      <c r="L2040" s="358"/>
      <c r="M2040" s="579"/>
      <c r="N2040" s="469"/>
      <c r="O2040" s="469"/>
    </row>
    <row r="2041" spans="3:15" ht="17.25">
      <c r="E2041" s="12" t="s">
        <v>33</v>
      </c>
      <c r="F2041" s="12"/>
      <c r="H2041" s="409"/>
      <c r="I2041" s="358"/>
      <c r="J2041" s="442"/>
      <c r="K2041" s="280"/>
      <c r="L2041" s="358"/>
      <c r="M2041" s="579"/>
      <c r="N2041" s="469"/>
      <c r="O2041" s="469"/>
    </row>
    <row r="2042" spans="3:15" ht="17.25">
      <c r="F2042" s="361">
        <v>44503</v>
      </c>
      <c r="G2042" s="361"/>
      <c r="H2042" s="409"/>
      <c r="I2042" s="358"/>
      <c r="J2042" s="442"/>
      <c r="K2042" s="280"/>
      <c r="L2042" s="358"/>
      <c r="M2042" s="579"/>
      <c r="N2042" s="469"/>
      <c r="O2042" s="469"/>
    </row>
    <row r="2043" spans="3:15" ht="17.25">
      <c r="F2043" s="12"/>
      <c r="G2043" s="112" t="s">
        <v>33</v>
      </c>
      <c r="H2043" s="409">
        <v>3</v>
      </c>
      <c r="I2043" s="358">
        <v>62.86</v>
      </c>
      <c r="J2043" s="442">
        <v>1</v>
      </c>
      <c r="K2043" s="280">
        <v>62.86</v>
      </c>
      <c r="L2043" s="358">
        <v>134.64000000000001</v>
      </c>
      <c r="M2043" s="579">
        <v>1</v>
      </c>
      <c r="N2043" s="469">
        <v>134.64000000000001</v>
      </c>
      <c r="O2043" s="469">
        <v>-71.780000000000015</v>
      </c>
    </row>
    <row r="2044" spans="3:15" ht="17.25">
      <c r="F2044" s="12"/>
      <c r="H2044" s="409"/>
      <c r="I2044" s="358"/>
      <c r="J2044" s="442"/>
      <c r="K2044" s="280"/>
      <c r="L2044" s="358"/>
      <c r="M2044" s="579"/>
      <c r="N2044" s="469"/>
      <c r="O2044" s="469"/>
    </row>
    <row r="2045" spans="3:15" ht="17.25">
      <c r="D2045" s="361">
        <v>44593</v>
      </c>
      <c r="E2045" s="361"/>
      <c r="F2045" s="361"/>
      <c r="G2045" s="361"/>
      <c r="H2045" s="409"/>
      <c r="I2045" s="358"/>
      <c r="J2045" s="442"/>
      <c r="K2045" s="280"/>
      <c r="L2045" s="358"/>
      <c r="M2045" s="579"/>
      <c r="N2045" s="469"/>
      <c r="O2045" s="469"/>
    </row>
    <row r="2046" spans="3:15" ht="17.25">
      <c r="E2046" s="12" t="s">
        <v>33</v>
      </c>
      <c r="F2046" s="12"/>
      <c r="H2046" s="409"/>
      <c r="I2046" s="358"/>
      <c r="J2046" s="442"/>
      <c r="K2046" s="280"/>
      <c r="L2046" s="358"/>
      <c r="M2046" s="579"/>
      <c r="N2046" s="469"/>
      <c r="O2046" s="469"/>
    </row>
    <row r="2047" spans="3:15" ht="17.25">
      <c r="F2047" s="361">
        <v>44503</v>
      </c>
      <c r="G2047" s="361"/>
      <c r="H2047" s="409"/>
      <c r="I2047" s="358"/>
      <c r="J2047" s="442"/>
      <c r="K2047" s="280"/>
      <c r="L2047" s="358"/>
      <c r="M2047" s="579"/>
      <c r="N2047" s="469"/>
      <c r="O2047" s="469"/>
    </row>
    <row r="2048" spans="3:15" ht="17.25">
      <c r="F2048" s="12"/>
      <c r="G2048" s="112" t="s">
        <v>33</v>
      </c>
      <c r="H2048" s="409">
        <v>49</v>
      </c>
      <c r="I2048" s="358">
        <v>1065.8700000000001</v>
      </c>
      <c r="J2048" s="442">
        <v>1</v>
      </c>
      <c r="K2048" s="280">
        <v>1065.8700000000001</v>
      </c>
      <c r="L2048" s="358">
        <v>2199.1200000000003</v>
      </c>
      <c r="M2048" s="579">
        <v>1</v>
      </c>
      <c r="N2048" s="469">
        <v>2199.1200000000003</v>
      </c>
      <c r="O2048" s="469">
        <v>-1133.2500000000002</v>
      </c>
    </row>
    <row r="2049" spans="4:15" ht="17.25">
      <c r="F2049" s="12"/>
      <c r="H2049" s="409"/>
      <c r="I2049" s="358"/>
      <c r="J2049" s="442"/>
      <c r="K2049" s="280"/>
      <c r="L2049" s="358"/>
      <c r="M2049" s="579"/>
      <c r="N2049" s="469"/>
      <c r="O2049" s="469"/>
    </row>
    <row r="2050" spans="4:15" ht="17.25">
      <c r="D2050" s="361">
        <v>44594</v>
      </c>
      <c r="E2050" s="361"/>
      <c r="F2050" s="361"/>
      <c r="G2050" s="361"/>
      <c r="H2050" s="409"/>
      <c r="I2050" s="358"/>
      <c r="J2050" s="442"/>
      <c r="K2050" s="280"/>
      <c r="L2050" s="358"/>
      <c r="M2050" s="579"/>
      <c r="N2050" s="469"/>
      <c r="O2050" s="469"/>
    </row>
    <row r="2051" spans="4:15" ht="17.25">
      <c r="E2051" s="12" t="s">
        <v>33</v>
      </c>
      <c r="F2051" s="12"/>
      <c r="H2051" s="409"/>
      <c r="I2051" s="358"/>
      <c r="J2051" s="442"/>
      <c r="K2051" s="280"/>
      <c r="L2051" s="358"/>
      <c r="M2051" s="579"/>
      <c r="N2051" s="469"/>
      <c r="O2051" s="469"/>
    </row>
    <row r="2052" spans="4:15" ht="17.25">
      <c r="F2052" s="361">
        <v>44503</v>
      </c>
      <c r="G2052" s="361"/>
      <c r="H2052" s="409"/>
      <c r="I2052" s="358"/>
      <c r="J2052" s="442"/>
      <c r="K2052" s="280"/>
      <c r="L2052" s="358"/>
      <c r="M2052" s="579"/>
      <c r="N2052" s="469"/>
      <c r="O2052" s="469"/>
    </row>
    <row r="2053" spans="4:15" ht="17.25">
      <c r="F2053" s="12"/>
      <c r="G2053" s="112" t="s">
        <v>33</v>
      </c>
      <c r="H2053" s="409">
        <v>8</v>
      </c>
      <c r="I2053" s="358">
        <v>174.2</v>
      </c>
      <c r="J2053" s="442">
        <v>1</v>
      </c>
      <c r="K2053" s="280">
        <v>174.2</v>
      </c>
      <c r="L2053" s="358">
        <v>359.04</v>
      </c>
      <c r="M2053" s="579">
        <v>1</v>
      </c>
      <c r="N2053" s="469">
        <v>359.04</v>
      </c>
      <c r="O2053" s="469">
        <v>-184.84000000000003</v>
      </c>
    </row>
    <row r="2054" spans="4:15" ht="17.25">
      <c r="F2054" s="12"/>
      <c r="H2054" s="409"/>
      <c r="I2054" s="358"/>
      <c r="J2054" s="442"/>
      <c r="K2054" s="280"/>
      <c r="L2054" s="358"/>
      <c r="M2054" s="579"/>
      <c r="N2054" s="469"/>
      <c r="O2054" s="469"/>
    </row>
    <row r="2055" spans="4:15" ht="17.25">
      <c r="D2055" s="361">
        <v>44595</v>
      </c>
      <c r="E2055" s="361"/>
      <c r="F2055" s="361"/>
      <c r="G2055" s="361"/>
      <c r="H2055" s="409"/>
      <c r="I2055" s="358"/>
      <c r="J2055" s="442"/>
      <c r="K2055" s="280"/>
      <c r="L2055" s="358"/>
      <c r="M2055" s="579"/>
      <c r="N2055" s="469"/>
      <c r="O2055" s="469"/>
    </row>
    <row r="2056" spans="4:15" ht="17.25">
      <c r="E2056" s="12" t="s">
        <v>33</v>
      </c>
      <c r="F2056" s="12"/>
      <c r="H2056" s="409"/>
      <c r="I2056" s="358"/>
      <c r="J2056" s="442"/>
      <c r="K2056" s="280"/>
      <c r="L2056" s="358"/>
      <c r="M2056" s="579"/>
      <c r="N2056" s="469"/>
      <c r="O2056" s="469"/>
    </row>
    <row r="2057" spans="4:15" ht="17.25">
      <c r="F2057" s="361">
        <v>44503</v>
      </c>
      <c r="G2057" s="361"/>
      <c r="H2057" s="409"/>
      <c r="I2057" s="358"/>
      <c r="J2057" s="442"/>
      <c r="K2057" s="280"/>
      <c r="L2057" s="358"/>
      <c r="M2057" s="579"/>
      <c r="N2057" s="469"/>
      <c r="O2057" s="469"/>
    </row>
    <row r="2058" spans="4:15" ht="17.25">
      <c r="F2058" s="12"/>
      <c r="G2058" s="112" t="s">
        <v>33</v>
      </c>
      <c r="H2058" s="409">
        <v>18</v>
      </c>
      <c r="I2058" s="358">
        <v>353.55722222222221</v>
      </c>
      <c r="J2058" s="442">
        <v>1</v>
      </c>
      <c r="K2058" s="280">
        <v>353.55722222222221</v>
      </c>
      <c r="L2058" s="358">
        <v>807.84</v>
      </c>
      <c r="M2058" s="579">
        <v>1</v>
      </c>
      <c r="N2058" s="469">
        <v>807.84</v>
      </c>
      <c r="O2058" s="469">
        <v>-454.28277777777782</v>
      </c>
    </row>
    <row r="2059" spans="4:15" ht="17.25">
      <c r="F2059" s="12"/>
      <c r="H2059" s="409"/>
      <c r="I2059" s="358"/>
      <c r="J2059" s="442"/>
      <c r="K2059" s="280"/>
      <c r="L2059" s="358"/>
      <c r="M2059" s="579"/>
      <c r="N2059" s="469"/>
      <c r="O2059" s="469"/>
    </row>
    <row r="2060" spans="4:15" ht="17.25">
      <c r="F2060" s="361">
        <v>44505</v>
      </c>
      <c r="G2060" s="361"/>
      <c r="H2060" s="409"/>
      <c r="I2060" s="358"/>
      <c r="J2060" s="442"/>
      <c r="K2060" s="280"/>
      <c r="L2060" s="358"/>
      <c r="M2060" s="579"/>
      <c r="N2060" s="469"/>
      <c r="O2060" s="469"/>
    </row>
    <row r="2061" spans="4:15" ht="17.25">
      <c r="F2061" s="12"/>
      <c r="G2061" s="112" t="s">
        <v>33</v>
      </c>
      <c r="H2061" s="409">
        <v>3</v>
      </c>
      <c r="I2061" s="358">
        <v>60.962777777777774</v>
      </c>
      <c r="J2061" s="442">
        <v>1</v>
      </c>
      <c r="K2061" s="280">
        <v>60.962777777777774</v>
      </c>
      <c r="L2061" s="358">
        <v>114.24608695652174</v>
      </c>
      <c r="M2061" s="579">
        <v>1</v>
      </c>
      <c r="N2061" s="469">
        <v>114.24608695652174</v>
      </c>
      <c r="O2061" s="469">
        <v>-53.283309178743963</v>
      </c>
    </row>
    <row r="2062" spans="4:15" ht="17.25">
      <c r="F2062" s="12"/>
      <c r="H2062" s="409"/>
      <c r="I2062" s="358"/>
      <c r="J2062" s="442"/>
      <c r="K2062" s="280"/>
      <c r="L2062" s="358"/>
      <c r="M2062" s="579"/>
      <c r="N2062" s="469"/>
      <c r="O2062" s="469"/>
    </row>
    <row r="2063" spans="4:15" ht="17.25">
      <c r="D2063" s="361">
        <v>44596</v>
      </c>
      <c r="E2063" s="361"/>
      <c r="F2063" s="361"/>
      <c r="G2063" s="361"/>
      <c r="H2063" s="409"/>
      <c r="I2063" s="358"/>
      <c r="J2063" s="442"/>
      <c r="K2063" s="280"/>
      <c r="L2063" s="358"/>
      <c r="M2063" s="579"/>
      <c r="N2063" s="469"/>
      <c r="O2063" s="469"/>
    </row>
    <row r="2064" spans="4:15" ht="17.25">
      <c r="E2064" s="12" t="s">
        <v>33</v>
      </c>
      <c r="F2064" s="12"/>
      <c r="H2064" s="409"/>
      <c r="I2064" s="358"/>
      <c r="J2064" s="442"/>
      <c r="K2064" s="280"/>
      <c r="L2064" s="358"/>
      <c r="M2064" s="579"/>
      <c r="N2064" s="469"/>
      <c r="O2064" s="469"/>
    </row>
    <row r="2065" spans="4:15" ht="17.25">
      <c r="F2065" s="361">
        <v>44505</v>
      </c>
      <c r="G2065" s="361"/>
      <c r="H2065" s="409"/>
      <c r="I2065" s="358"/>
      <c r="J2065" s="442"/>
      <c r="K2065" s="280"/>
      <c r="L2065" s="358"/>
      <c r="M2065" s="579"/>
      <c r="N2065" s="469"/>
      <c r="O2065" s="469"/>
    </row>
    <row r="2066" spans="4:15" ht="17.25">
      <c r="F2066" s="12"/>
      <c r="G2066" s="112" t="s">
        <v>33</v>
      </c>
      <c r="H2066" s="409">
        <v>44</v>
      </c>
      <c r="I2066" s="358">
        <v>896.69</v>
      </c>
      <c r="J2066" s="442">
        <v>1</v>
      </c>
      <c r="K2066" s="280">
        <v>896.69</v>
      </c>
      <c r="L2066" s="358">
        <v>1652.9577225672874</v>
      </c>
      <c r="M2066" s="579">
        <v>1</v>
      </c>
      <c r="N2066" s="469">
        <v>1652.9577225672874</v>
      </c>
      <c r="O2066" s="469">
        <v>-756.26772256728759</v>
      </c>
    </row>
    <row r="2067" spans="4:15" ht="17.25">
      <c r="F2067" s="12"/>
      <c r="H2067" s="409"/>
      <c r="I2067" s="358"/>
      <c r="J2067" s="442"/>
      <c r="K2067" s="280"/>
      <c r="L2067" s="358"/>
      <c r="M2067" s="579"/>
      <c r="N2067" s="469"/>
      <c r="O2067" s="469"/>
    </row>
    <row r="2068" spans="4:15" ht="17.25">
      <c r="D2068" s="361">
        <v>44599</v>
      </c>
      <c r="E2068" s="361"/>
      <c r="F2068" s="361"/>
      <c r="G2068" s="361"/>
      <c r="H2068" s="409"/>
      <c r="I2068" s="358"/>
      <c r="J2068" s="442"/>
      <c r="K2068" s="280"/>
      <c r="L2068" s="358"/>
      <c r="M2068" s="579"/>
      <c r="N2068" s="469"/>
      <c r="O2068" s="469"/>
    </row>
    <row r="2069" spans="4:15" ht="17.25">
      <c r="E2069" s="12" t="s">
        <v>33</v>
      </c>
      <c r="F2069" s="12"/>
      <c r="H2069" s="409"/>
      <c r="I2069" s="358"/>
      <c r="J2069" s="442"/>
      <c r="K2069" s="280"/>
      <c r="L2069" s="358"/>
      <c r="M2069" s="579"/>
      <c r="N2069" s="469"/>
      <c r="O2069" s="469"/>
    </row>
    <row r="2070" spans="4:15" ht="17.25">
      <c r="F2070" s="361">
        <v>44505</v>
      </c>
      <c r="G2070" s="361"/>
      <c r="H2070" s="409"/>
      <c r="I2070" s="358"/>
      <c r="J2070" s="442"/>
      <c r="K2070" s="280"/>
      <c r="L2070" s="358"/>
      <c r="M2070" s="579"/>
      <c r="N2070" s="469"/>
      <c r="O2070" s="469"/>
    </row>
    <row r="2071" spans="4:15" ht="17.25">
      <c r="F2071" s="12"/>
      <c r="G2071" s="112" t="s">
        <v>33</v>
      </c>
      <c r="H2071" s="409">
        <v>1</v>
      </c>
      <c r="I2071" s="358">
        <v>22.213333333333335</v>
      </c>
      <c r="J2071" s="442">
        <v>1</v>
      </c>
      <c r="K2071" s="280">
        <v>22.213333333333335</v>
      </c>
      <c r="L2071" s="358">
        <v>37.546190476190475</v>
      </c>
      <c r="M2071" s="579">
        <v>1</v>
      </c>
      <c r="N2071" s="469">
        <v>37.546190476190475</v>
      </c>
      <c r="O2071" s="469">
        <v>-15.33285714285714</v>
      </c>
    </row>
    <row r="2072" spans="4:15" ht="17.25">
      <c r="F2072" s="12"/>
      <c r="H2072" s="409"/>
      <c r="I2072" s="358"/>
      <c r="J2072" s="442"/>
      <c r="K2072" s="280"/>
      <c r="L2072" s="358"/>
      <c r="M2072" s="579"/>
      <c r="N2072" s="469"/>
      <c r="O2072" s="469"/>
    </row>
    <row r="2073" spans="4:15" ht="17.25">
      <c r="F2073" s="361">
        <v>44508</v>
      </c>
      <c r="G2073" s="361"/>
      <c r="H2073" s="409"/>
      <c r="I2073" s="358"/>
      <c r="J2073" s="442"/>
      <c r="K2073" s="280"/>
      <c r="L2073" s="358"/>
      <c r="M2073" s="579"/>
      <c r="N2073" s="469"/>
      <c r="O2073" s="469"/>
    </row>
    <row r="2074" spans="4:15" ht="17.25">
      <c r="F2074" s="12"/>
      <c r="G2074" s="112" t="s">
        <v>33</v>
      </c>
      <c r="H2074" s="409">
        <v>7</v>
      </c>
      <c r="I2074" s="358">
        <v>156.21952380952382</v>
      </c>
      <c r="J2074" s="442">
        <v>1</v>
      </c>
      <c r="K2074" s="280">
        <v>156.21952380952382</v>
      </c>
      <c r="L2074" s="358">
        <v>279.2</v>
      </c>
      <c r="M2074" s="579">
        <v>1</v>
      </c>
      <c r="N2074" s="469">
        <v>279.2</v>
      </c>
      <c r="O2074" s="469">
        <v>-122.98047619047618</v>
      </c>
    </row>
    <row r="2075" spans="4:15" ht="17.25">
      <c r="F2075" s="12"/>
      <c r="H2075" s="409"/>
      <c r="I2075" s="358"/>
      <c r="J2075" s="442"/>
      <c r="K2075" s="280"/>
      <c r="L2075" s="358"/>
      <c r="M2075" s="579"/>
      <c r="N2075" s="469"/>
      <c r="O2075" s="469"/>
    </row>
    <row r="2076" spans="4:15" ht="17.25">
      <c r="F2076" s="361">
        <v>44511</v>
      </c>
      <c r="G2076" s="361"/>
      <c r="H2076" s="409"/>
      <c r="I2076" s="358"/>
      <c r="J2076" s="442"/>
      <c r="K2076" s="280"/>
      <c r="L2076" s="358"/>
      <c r="M2076" s="579"/>
      <c r="N2076" s="469"/>
      <c r="O2076" s="469"/>
    </row>
    <row r="2077" spans="4:15" ht="17.25">
      <c r="F2077" s="12"/>
      <c r="G2077" s="112" t="s">
        <v>33</v>
      </c>
      <c r="H2077" s="409">
        <v>14</v>
      </c>
      <c r="I2077" s="358">
        <v>313.02000000000004</v>
      </c>
      <c r="J2077" s="442">
        <v>1</v>
      </c>
      <c r="K2077" s="280">
        <v>313.02000000000004</v>
      </c>
      <c r="L2077" s="358">
        <v>538.24</v>
      </c>
      <c r="M2077" s="579">
        <v>1</v>
      </c>
      <c r="N2077" s="469">
        <v>538.24</v>
      </c>
      <c r="O2077" s="469">
        <v>-225.22</v>
      </c>
    </row>
    <row r="2078" spans="4:15" ht="17.25">
      <c r="F2078" s="12"/>
      <c r="H2078" s="409"/>
      <c r="I2078" s="358"/>
      <c r="J2078" s="442"/>
      <c r="K2078" s="280"/>
      <c r="L2078" s="358"/>
      <c r="M2078" s="579"/>
      <c r="N2078" s="469"/>
      <c r="O2078" s="469"/>
    </row>
    <row r="2079" spans="4:15" ht="17.25">
      <c r="F2079" s="361">
        <v>44512</v>
      </c>
      <c r="G2079" s="361"/>
      <c r="H2079" s="409"/>
      <c r="I2079" s="358"/>
      <c r="J2079" s="442"/>
      <c r="K2079" s="280"/>
      <c r="L2079" s="358"/>
      <c r="M2079" s="579"/>
      <c r="N2079" s="469"/>
      <c r="O2079" s="469"/>
    </row>
    <row r="2080" spans="4:15" ht="17.25">
      <c r="F2080" s="12"/>
      <c r="G2080" s="112" t="s">
        <v>33</v>
      </c>
      <c r="H2080" s="409">
        <v>3</v>
      </c>
      <c r="I2080" s="358">
        <v>67.232142857142861</v>
      </c>
      <c r="J2080" s="442">
        <v>1</v>
      </c>
      <c r="K2080" s="280">
        <v>67.232142857142861</v>
      </c>
      <c r="L2080" s="358">
        <v>115.28</v>
      </c>
      <c r="M2080" s="579">
        <v>1</v>
      </c>
      <c r="N2080" s="469">
        <v>115.28</v>
      </c>
      <c r="O2080" s="469">
        <v>-48.047857142857147</v>
      </c>
    </row>
    <row r="2081" spans="4:15" ht="17.25">
      <c r="F2081" s="12"/>
      <c r="H2081" s="409"/>
      <c r="I2081" s="358"/>
      <c r="J2081" s="442"/>
      <c r="K2081" s="280"/>
      <c r="L2081" s="358"/>
      <c r="M2081" s="579"/>
      <c r="N2081" s="469"/>
      <c r="O2081" s="469"/>
    </row>
    <row r="2082" spans="4:15" ht="17.25">
      <c r="F2082" s="361">
        <v>44515</v>
      </c>
      <c r="G2082" s="361"/>
      <c r="H2082" s="409"/>
      <c r="I2082" s="358"/>
      <c r="J2082" s="442"/>
      <c r="K2082" s="280"/>
      <c r="L2082" s="358"/>
      <c r="M2082" s="579"/>
      <c r="N2082" s="469"/>
      <c r="O2082" s="469"/>
    </row>
    <row r="2083" spans="4:15" ht="17.25">
      <c r="F2083" s="12"/>
      <c r="G2083" s="112" t="s">
        <v>33</v>
      </c>
      <c r="H2083" s="409">
        <v>1</v>
      </c>
      <c r="I2083" s="358">
        <v>22.515000000000001</v>
      </c>
      <c r="J2083" s="442">
        <v>1</v>
      </c>
      <c r="K2083" s="280">
        <v>22.515000000000001</v>
      </c>
      <c r="L2083" s="358">
        <v>37.910000000000004</v>
      </c>
      <c r="M2083" s="579">
        <v>1</v>
      </c>
      <c r="N2083" s="469">
        <v>37.910000000000004</v>
      </c>
      <c r="O2083" s="469">
        <v>-15.395000000000003</v>
      </c>
    </row>
    <row r="2084" spans="4:15" ht="17.25">
      <c r="F2084" s="12"/>
      <c r="H2084" s="409"/>
      <c r="I2084" s="358"/>
      <c r="J2084" s="442"/>
      <c r="K2084" s="280"/>
      <c r="L2084" s="358"/>
      <c r="M2084" s="579"/>
      <c r="N2084" s="469"/>
      <c r="O2084" s="469"/>
    </row>
    <row r="2085" spans="4:15" ht="17.25">
      <c r="D2085" s="361">
        <v>44600</v>
      </c>
      <c r="E2085" s="361"/>
      <c r="F2085" s="361"/>
      <c r="G2085" s="361"/>
      <c r="H2085" s="409"/>
      <c r="I2085" s="358"/>
      <c r="J2085" s="442"/>
      <c r="K2085" s="280"/>
      <c r="L2085" s="358"/>
      <c r="M2085" s="579"/>
      <c r="N2085" s="469"/>
      <c r="O2085" s="469"/>
    </row>
    <row r="2086" spans="4:15" ht="17.25">
      <c r="E2086" s="12" t="s">
        <v>33</v>
      </c>
      <c r="F2086" s="12"/>
      <c r="H2086" s="409"/>
      <c r="I2086" s="358"/>
      <c r="J2086" s="442"/>
      <c r="K2086" s="280"/>
      <c r="L2086" s="358"/>
      <c r="M2086" s="579"/>
      <c r="N2086" s="469"/>
      <c r="O2086" s="469"/>
    </row>
    <row r="2087" spans="4:15" ht="17.25">
      <c r="F2087" s="361">
        <v>44515</v>
      </c>
      <c r="G2087" s="361"/>
      <c r="H2087" s="409"/>
      <c r="I2087" s="358"/>
      <c r="J2087" s="442"/>
      <c r="K2087" s="280"/>
      <c r="L2087" s="358"/>
      <c r="M2087" s="579"/>
      <c r="N2087" s="469"/>
      <c r="O2087" s="469"/>
    </row>
    <row r="2088" spans="4:15" ht="17.25">
      <c r="F2088" s="12"/>
      <c r="G2088" s="112" t="s">
        <v>33</v>
      </c>
      <c r="H2088" s="409">
        <v>2</v>
      </c>
      <c r="I2088" s="358">
        <v>44.95</v>
      </c>
      <c r="J2088" s="442">
        <v>1</v>
      </c>
      <c r="K2088" s="280">
        <v>44.95</v>
      </c>
      <c r="L2088" s="358">
        <v>75.820000000000007</v>
      </c>
      <c r="M2088" s="579">
        <v>1</v>
      </c>
      <c r="N2088" s="469">
        <v>75.820000000000007</v>
      </c>
      <c r="O2088" s="469">
        <v>-30.870000000000005</v>
      </c>
    </row>
    <row r="2089" spans="4:15" ht="17.25">
      <c r="F2089" s="12"/>
      <c r="H2089" s="409"/>
      <c r="I2089" s="358"/>
      <c r="J2089" s="442"/>
      <c r="K2089" s="280"/>
      <c r="L2089" s="358"/>
      <c r="M2089" s="579"/>
      <c r="N2089" s="469"/>
      <c r="O2089" s="469"/>
    </row>
    <row r="2090" spans="4:15" ht="17.25">
      <c r="F2090" s="361">
        <v>44516</v>
      </c>
      <c r="G2090" s="361"/>
      <c r="H2090" s="409"/>
      <c r="I2090" s="358"/>
      <c r="J2090" s="442"/>
      <c r="K2090" s="280"/>
      <c r="L2090" s="358"/>
      <c r="M2090" s="579"/>
      <c r="N2090" s="469"/>
      <c r="O2090" s="469"/>
    </row>
    <row r="2091" spans="4:15" ht="17.25">
      <c r="F2091" s="12"/>
      <c r="G2091" s="112" t="s">
        <v>33</v>
      </c>
      <c r="H2091" s="409">
        <v>20</v>
      </c>
      <c r="I2091" s="358">
        <v>445.36956521739125</v>
      </c>
      <c r="J2091" s="442">
        <v>1</v>
      </c>
      <c r="K2091" s="280">
        <v>445.36956521739125</v>
      </c>
      <c r="L2091" s="358">
        <v>769.63</v>
      </c>
      <c r="M2091" s="579">
        <v>1</v>
      </c>
      <c r="N2091" s="469">
        <v>769.63</v>
      </c>
      <c r="O2091" s="469">
        <v>-324.26043478260868</v>
      </c>
    </row>
    <row r="2092" spans="4:15" ht="17.25">
      <c r="F2092" s="12"/>
      <c r="H2092" s="409"/>
      <c r="I2092" s="358"/>
      <c r="J2092" s="442"/>
      <c r="K2092" s="280"/>
      <c r="L2092" s="358"/>
      <c r="M2092" s="579"/>
      <c r="N2092" s="469"/>
      <c r="O2092" s="469"/>
    </row>
    <row r="2093" spans="4:15" ht="17.25">
      <c r="F2093" s="361">
        <v>44517</v>
      </c>
      <c r="G2093" s="361"/>
      <c r="H2093" s="409"/>
      <c r="I2093" s="358"/>
      <c r="J2093" s="442"/>
      <c r="K2093" s="280"/>
      <c r="L2093" s="358"/>
      <c r="M2093" s="579"/>
      <c r="N2093" s="469"/>
      <c r="O2093" s="469"/>
    </row>
    <row r="2094" spans="4:15" ht="17.25">
      <c r="F2094" s="12"/>
      <c r="G2094" s="112" t="s">
        <v>33</v>
      </c>
      <c r="H2094" s="409">
        <v>2</v>
      </c>
      <c r="I2094" s="358">
        <v>44.402608695652177</v>
      </c>
      <c r="J2094" s="442">
        <v>1</v>
      </c>
      <c r="K2094" s="280">
        <v>44.402608695652177</v>
      </c>
      <c r="L2094" s="358">
        <v>77.61</v>
      </c>
      <c r="M2094" s="579">
        <v>1</v>
      </c>
      <c r="N2094" s="469">
        <v>77.61</v>
      </c>
      <c r="O2094" s="469">
        <v>-33.207391304347823</v>
      </c>
    </row>
    <row r="2095" spans="4:15" ht="17.25">
      <c r="F2095" s="12"/>
      <c r="H2095" s="409"/>
      <c r="I2095" s="358"/>
      <c r="J2095" s="442"/>
      <c r="K2095" s="280"/>
      <c r="L2095" s="358"/>
      <c r="M2095" s="579"/>
      <c r="N2095" s="469"/>
      <c r="O2095" s="469"/>
    </row>
    <row r="2096" spans="4:15" ht="17.25">
      <c r="F2096" s="361">
        <v>44540</v>
      </c>
      <c r="G2096" s="361"/>
      <c r="H2096" s="409"/>
      <c r="I2096" s="358"/>
      <c r="J2096" s="442"/>
      <c r="K2096" s="280"/>
      <c r="L2096" s="358"/>
      <c r="M2096" s="579"/>
      <c r="N2096" s="469"/>
      <c r="O2096" s="469"/>
    </row>
    <row r="2097" spans="4:15" ht="17.25">
      <c r="F2097" s="12"/>
      <c r="G2097" s="112" t="s">
        <v>33</v>
      </c>
      <c r="H2097" s="409">
        <v>7</v>
      </c>
      <c r="I2097" s="358">
        <v>155.26782608695655</v>
      </c>
      <c r="J2097" s="442">
        <v>1</v>
      </c>
      <c r="K2097" s="280">
        <v>155.26782608695655</v>
      </c>
      <c r="L2097" s="358">
        <v>191.5</v>
      </c>
      <c r="M2097" s="579">
        <v>1</v>
      </c>
      <c r="N2097" s="469">
        <v>191.5</v>
      </c>
      <c r="O2097" s="469">
        <v>-36.232173913043468</v>
      </c>
    </row>
    <row r="2098" spans="4:15" ht="17.25">
      <c r="F2098" s="12"/>
      <c r="H2098" s="409"/>
      <c r="I2098" s="358"/>
      <c r="J2098" s="442"/>
      <c r="K2098" s="280"/>
      <c r="L2098" s="358"/>
      <c r="M2098" s="579"/>
      <c r="N2098" s="469"/>
      <c r="O2098" s="469"/>
    </row>
    <row r="2099" spans="4:15" ht="17.25">
      <c r="D2099" s="361">
        <v>44601</v>
      </c>
      <c r="E2099" s="361"/>
      <c r="F2099" s="361"/>
      <c r="G2099" s="361"/>
      <c r="H2099" s="409"/>
      <c r="I2099" s="358"/>
      <c r="J2099" s="442"/>
      <c r="K2099" s="280"/>
      <c r="L2099" s="358"/>
      <c r="M2099" s="579"/>
      <c r="N2099" s="469"/>
      <c r="O2099" s="469"/>
    </row>
    <row r="2100" spans="4:15" ht="17.25">
      <c r="E2100" s="12" t="s">
        <v>33</v>
      </c>
      <c r="F2100" s="12"/>
      <c r="H2100" s="409"/>
      <c r="I2100" s="358"/>
      <c r="J2100" s="442"/>
      <c r="K2100" s="280"/>
      <c r="L2100" s="358"/>
      <c r="M2100" s="579"/>
      <c r="N2100" s="469"/>
      <c r="O2100" s="469"/>
    </row>
    <row r="2101" spans="4:15" ht="17.25">
      <c r="F2101" s="361">
        <v>44540</v>
      </c>
      <c r="G2101" s="361"/>
      <c r="H2101" s="409"/>
      <c r="I2101" s="358"/>
      <c r="J2101" s="442"/>
      <c r="K2101" s="280"/>
      <c r="L2101" s="358"/>
      <c r="M2101" s="579"/>
      <c r="N2101" s="469"/>
      <c r="O2101" s="469"/>
    </row>
    <row r="2102" spans="4:15" ht="17.25">
      <c r="F2102" s="12"/>
      <c r="G2102" s="112" t="s">
        <v>33</v>
      </c>
      <c r="H2102" s="409">
        <v>17</v>
      </c>
      <c r="I2102" s="358">
        <v>394.98875000000004</v>
      </c>
      <c r="J2102" s="442">
        <v>1</v>
      </c>
      <c r="K2102" s="280">
        <v>394.98875000000004</v>
      </c>
      <c r="L2102" s="358">
        <v>464.83</v>
      </c>
      <c r="M2102" s="579">
        <v>1</v>
      </c>
      <c r="N2102" s="469">
        <v>464.83</v>
      </c>
      <c r="O2102" s="469">
        <v>-69.84124999999996</v>
      </c>
    </row>
    <row r="2103" spans="4:15" ht="17.25">
      <c r="F2103" s="12"/>
      <c r="H2103" s="409"/>
      <c r="I2103" s="358"/>
      <c r="J2103" s="442"/>
      <c r="K2103" s="280"/>
      <c r="L2103" s="358"/>
      <c r="M2103" s="579"/>
      <c r="N2103" s="469"/>
      <c r="O2103" s="469"/>
    </row>
    <row r="2104" spans="4:15" ht="17.25">
      <c r="F2104" s="361">
        <v>44559</v>
      </c>
      <c r="G2104" s="361"/>
      <c r="H2104" s="409"/>
      <c r="I2104" s="358"/>
      <c r="J2104" s="442"/>
      <c r="K2104" s="280"/>
      <c r="L2104" s="358"/>
      <c r="M2104" s="579"/>
      <c r="N2104" s="469"/>
      <c r="O2104" s="469"/>
    </row>
    <row r="2105" spans="4:15" ht="17.25">
      <c r="F2105" s="12"/>
      <c r="G2105" s="112" t="s">
        <v>33</v>
      </c>
      <c r="H2105" s="409">
        <v>8</v>
      </c>
      <c r="I2105" s="358">
        <v>182.54125000000002</v>
      </c>
      <c r="J2105" s="442">
        <v>1</v>
      </c>
      <c r="K2105" s="280">
        <v>182.54125000000002</v>
      </c>
      <c r="L2105" s="358">
        <v>198.77111111111111</v>
      </c>
      <c r="M2105" s="579">
        <v>1</v>
      </c>
      <c r="N2105" s="469">
        <v>198.77111111111111</v>
      </c>
      <c r="O2105" s="469">
        <v>-16.22986111111112</v>
      </c>
    </row>
    <row r="2106" spans="4:15" ht="17.25">
      <c r="F2106" s="12"/>
      <c r="H2106" s="409"/>
      <c r="I2106" s="358"/>
      <c r="J2106" s="442"/>
      <c r="K2106" s="280"/>
      <c r="L2106" s="358"/>
      <c r="M2106" s="579"/>
      <c r="N2106" s="469"/>
      <c r="O2106" s="469"/>
    </row>
    <row r="2107" spans="4:15" ht="17.25">
      <c r="D2107" s="361">
        <v>44602</v>
      </c>
      <c r="E2107" s="361"/>
      <c r="F2107" s="361"/>
      <c r="G2107" s="361"/>
      <c r="H2107" s="409"/>
      <c r="I2107" s="358"/>
      <c r="J2107" s="442"/>
      <c r="K2107" s="280"/>
      <c r="L2107" s="358"/>
      <c r="M2107" s="579"/>
      <c r="N2107" s="469"/>
      <c r="O2107" s="469"/>
    </row>
    <row r="2108" spans="4:15" ht="17.25">
      <c r="E2108" s="12" t="s">
        <v>33</v>
      </c>
      <c r="F2108" s="12"/>
      <c r="H2108" s="409"/>
      <c r="I2108" s="358"/>
      <c r="J2108" s="442"/>
      <c r="K2108" s="280"/>
      <c r="L2108" s="358"/>
      <c r="M2108" s="579"/>
      <c r="N2108" s="469"/>
      <c r="O2108" s="469"/>
    </row>
    <row r="2109" spans="4:15" ht="17.25">
      <c r="F2109" s="361">
        <v>44559</v>
      </c>
      <c r="G2109" s="361"/>
      <c r="H2109" s="409"/>
      <c r="I2109" s="358"/>
      <c r="J2109" s="442"/>
      <c r="K2109" s="280"/>
      <c r="L2109" s="358"/>
      <c r="M2109" s="579"/>
      <c r="N2109" s="469"/>
      <c r="O2109" s="469"/>
    </row>
    <row r="2110" spans="4:15" ht="17.25">
      <c r="F2110" s="12"/>
      <c r="G2110" s="112" t="s">
        <v>33</v>
      </c>
      <c r="H2110" s="409">
        <v>2</v>
      </c>
      <c r="I2110" s="358">
        <v>46.612499999999997</v>
      </c>
      <c r="J2110" s="442">
        <v>1</v>
      </c>
      <c r="K2110" s="280">
        <v>46.612499999999997</v>
      </c>
      <c r="L2110" s="358">
        <v>49.628888888888895</v>
      </c>
      <c r="M2110" s="579">
        <v>1</v>
      </c>
      <c r="N2110" s="469">
        <v>49.628888888888895</v>
      </c>
      <c r="O2110" s="469">
        <v>-3.0163888888888977</v>
      </c>
    </row>
    <row r="2111" spans="4:15" ht="17.25">
      <c r="F2111" s="12"/>
      <c r="H2111" s="409"/>
      <c r="I2111" s="358"/>
      <c r="J2111" s="442"/>
      <c r="K2111" s="280"/>
      <c r="L2111" s="358"/>
      <c r="M2111" s="579"/>
      <c r="N2111" s="469"/>
      <c r="O2111" s="469"/>
    </row>
    <row r="2112" spans="4:15" ht="17.25">
      <c r="F2112" s="361">
        <v>44560</v>
      </c>
      <c r="G2112" s="361"/>
      <c r="H2112" s="409"/>
      <c r="I2112" s="358"/>
      <c r="J2112" s="442"/>
      <c r="K2112" s="280"/>
      <c r="L2112" s="358"/>
      <c r="M2112" s="579"/>
      <c r="N2112" s="469"/>
      <c r="O2112" s="469"/>
    </row>
    <row r="2113" spans="4:15" ht="17.25">
      <c r="F2113" s="12"/>
      <c r="G2113" s="112" t="s">
        <v>33</v>
      </c>
      <c r="H2113" s="409">
        <v>17</v>
      </c>
      <c r="I2113" s="358">
        <v>391.98083333333329</v>
      </c>
      <c r="J2113" s="442">
        <v>1</v>
      </c>
      <c r="K2113" s="280">
        <v>391.98083333333329</v>
      </c>
      <c r="L2113" s="358">
        <v>450.22</v>
      </c>
      <c r="M2113" s="579">
        <v>1</v>
      </c>
      <c r="N2113" s="469">
        <v>450.22</v>
      </c>
      <c r="O2113" s="469">
        <v>-58.239166666666634</v>
      </c>
    </row>
    <row r="2114" spans="4:15" ht="17.25">
      <c r="F2114" s="12"/>
      <c r="H2114" s="409"/>
      <c r="I2114" s="358"/>
      <c r="J2114" s="442"/>
      <c r="K2114" s="280"/>
      <c r="L2114" s="358"/>
      <c r="M2114" s="579"/>
      <c r="N2114" s="469"/>
      <c r="O2114" s="469"/>
    </row>
    <row r="2115" spans="4:15" ht="17.25">
      <c r="F2115" s="361">
        <v>44561</v>
      </c>
      <c r="G2115" s="361"/>
      <c r="H2115" s="409"/>
      <c r="I2115" s="358"/>
      <c r="J2115" s="442"/>
      <c r="K2115" s="280"/>
      <c r="L2115" s="358"/>
      <c r="M2115" s="579"/>
      <c r="N2115" s="469"/>
      <c r="O2115" s="469"/>
    </row>
    <row r="2116" spans="4:15" ht="17.25">
      <c r="F2116" s="12"/>
      <c r="G2116" s="112" t="s">
        <v>33</v>
      </c>
      <c r="H2116" s="409">
        <v>4</v>
      </c>
      <c r="I2116" s="358">
        <v>91.810666666666677</v>
      </c>
      <c r="J2116" s="442">
        <v>1</v>
      </c>
      <c r="K2116" s="280">
        <v>91.810666666666677</v>
      </c>
      <c r="L2116" s="358">
        <v>105.78</v>
      </c>
      <c r="M2116" s="579">
        <v>1</v>
      </c>
      <c r="N2116" s="469">
        <v>105.78</v>
      </c>
      <c r="O2116" s="469">
        <v>-13.969333333333324</v>
      </c>
    </row>
    <row r="2117" spans="4:15" ht="17.25">
      <c r="F2117" s="12"/>
      <c r="H2117" s="409"/>
      <c r="I2117" s="358"/>
      <c r="J2117" s="442"/>
      <c r="K2117" s="280"/>
      <c r="L2117" s="358"/>
      <c r="M2117" s="579"/>
      <c r="N2117" s="469"/>
      <c r="O2117" s="469"/>
    </row>
    <row r="2118" spans="4:15" ht="17.25">
      <c r="F2118" s="361">
        <v>44568</v>
      </c>
      <c r="G2118" s="361"/>
      <c r="H2118" s="409"/>
      <c r="I2118" s="358"/>
      <c r="J2118" s="442"/>
      <c r="K2118" s="280"/>
      <c r="L2118" s="358"/>
      <c r="M2118" s="579"/>
      <c r="N2118" s="469"/>
      <c r="O2118" s="469"/>
    </row>
    <row r="2119" spans="4:15" ht="17.25">
      <c r="F2119" s="12"/>
      <c r="G2119" s="112" t="s">
        <v>33</v>
      </c>
      <c r="H2119" s="409">
        <v>6</v>
      </c>
      <c r="I2119" s="358">
        <v>137.71600000000001</v>
      </c>
      <c r="J2119" s="442">
        <v>1</v>
      </c>
      <c r="K2119" s="280">
        <v>137.71600000000001</v>
      </c>
      <c r="L2119" s="358">
        <v>136.48571428571427</v>
      </c>
      <c r="M2119" s="579">
        <v>1</v>
      </c>
      <c r="N2119" s="469">
        <v>136.48571428571427</v>
      </c>
      <c r="O2119" s="469">
        <v>1.2302857142857277</v>
      </c>
    </row>
    <row r="2120" spans="4:15" ht="17.25">
      <c r="F2120" s="12"/>
      <c r="H2120" s="409"/>
      <c r="I2120" s="358"/>
      <c r="J2120" s="442"/>
      <c r="K2120" s="280"/>
      <c r="L2120" s="358"/>
      <c r="M2120" s="579"/>
      <c r="N2120" s="469"/>
      <c r="O2120" s="469"/>
    </row>
    <row r="2121" spans="4:15" ht="17.25">
      <c r="D2121" s="361">
        <v>44603</v>
      </c>
      <c r="E2121" s="361"/>
      <c r="F2121" s="361"/>
      <c r="G2121" s="361"/>
      <c r="H2121" s="409"/>
      <c r="I2121" s="358"/>
      <c r="J2121" s="442"/>
      <c r="K2121" s="280"/>
      <c r="L2121" s="358"/>
      <c r="M2121" s="579"/>
      <c r="N2121" s="469"/>
      <c r="O2121" s="469"/>
    </row>
    <row r="2122" spans="4:15" ht="17.25">
      <c r="E2122" s="12" t="s">
        <v>33</v>
      </c>
      <c r="F2122" s="12"/>
      <c r="H2122" s="409"/>
      <c r="I2122" s="358"/>
      <c r="J2122" s="442"/>
      <c r="K2122" s="280"/>
      <c r="L2122" s="358"/>
      <c r="M2122" s="579"/>
      <c r="N2122" s="469"/>
      <c r="O2122" s="469"/>
    </row>
    <row r="2123" spans="4:15" ht="17.25">
      <c r="F2123" s="361">
        <v>44568</v>
      </c>
      <c r="G2123" s="361"/>
      <c r="H2123" s="409"/>
      <c r="I2123" s="358"/>
      <c r="J2123" s="442"/>
      <c r="K2123" s="280"/>
      <c r="L2123" s="358"/>
      <c r="M2123" s="579"/>
      <c r="N2123" s="469"/>
      <c r="O2123" s="469"/>
    </row>
    <row r="2124" spans="4:15" ht="17.25">
      <c r="F2124" s="12"/>
      <c r="G2124" s="112" t="s">
        <v>33</v>
      </c>
      <c r="H2124" s="409">
        <v>4</v>
      </c>
      <c r="I2124" s="358">
        <v>74.682222222222222</v>
      </c>
      <c r="J2124" s="442">
        <v>1</v>
      </c>
      <c r="K2124" s="280">
        <v>74.682222222222222</v>
      </c>
      <c r="L2124" s="358">
        <v>90.954285714285703</v>
      </c>
      <c r="M2124" s="579">
        <v>1</v>
      </c>
      <c r="N2124" s="469">
        <v>90.954285714285703</v>
      </c>
      <c r="O2124" s="469">
        <v>-16.272063492063481</v>
      </c>
    </row>
    <row r="2125" spans="4:15" ht="17.25">
      <c r="F2125" s="12"/>
      <c r="H2125" s="409"/>
      <c r="I2125" s="358"/>
      <c r="J2125" s="442"/>
      <c r="K2125" s="280"/>
      <c r="L2125" s="358"/>
      <c r="M2125" s="579"/>
      <c r="N2125" s="469"/>
      <c r="O2125" s="469"/>
    </row>
    <row r="2126" spans="4:15" ht="17.25">
      <c r="F2126" s="361">
        <v>44571</v>
      </c>
      <c r="G2126" s="361"/>
      <c r="H2126" s="409"/>
      <c r="I2126" s="358"/>
      <c r="J2126" s="442"/>
      <c r="K2126" s="280"/>
      <c r="L2126" s="358"/>
      <c r="M2126" s="579"/>
      <c r="N2126" s="469"/>
      <c r="O2126" s="469"/>
    </row>
    <row r="2127" spans="4:15" ht="17.25">
      <c r="F2127" s="12"/>
      <c r="G2127" s="112" t="s">
        <v>33</v>
      </c>
      <c r="H2127" s="409">
        <v>18</v>
      </c>
      <c r="I2127" s="358">
        <v>339.46194444444444</v>
      </c>
      <c r="J2127" s="442">
        <v>1</v>
      </c>
      <c r="K2127" s="280">
        <v>339.46194444444444</v>
      </c>
      <c r="L2127" s="358">
        <v>410.47</v>
      </c>
      <c r="M2127" s="579">
        <v>1</v>
      </c>
      <c r="N2127" s="469">
        <v>410.47</v>
      </c>
      <c r="O2127" s="469">
        <v>-71.008055555555572</v>
      </c>
    </row>
    <row r="2128" spans="4:15" ht="17.25">
      <c r="F2128" s="12"/>
      <c r="H2128" s="409"/>
      <c r="I2128" s="358"/>
      <c r="J2128" s="442"/>
      <c r="K2128" s="280"/>
      <c r="L2128" s="358"/>
      <c r="M2128" s="579"/>
      <c r="N2128" s="469"/>
      <c r="O2128" s="469"/>
    </row>
    <row r="2129" spans="4:15" ht="17.25">
      <c r="F2129" s="361">
        <v>44572</v>
      </c>
      <c r="G2129" s="361"/>
      <c r="H2129" s="409"/>
      <c r="I2129" s="358"/>
      <c r="J2129" s="442"/>
      <c r="K2129" s="280"/>
      <c r="L2129" s="358"/>
      <c r="M2129" s="579"/>
      <c r="N2129" s="469"/>
      <c r="O2129" s="469"/>
    </row>
    <row r="2130" spans="4:15" ht="17.25">
      <c r="F2130" s="12"/>
      <c r="G2130" s="112" t="s">
        <v>33</v>
      </c>
      <c r="H2130" s="409">
        <v>1</v>
      </c>
      <c r="I2130" s="358">
        <v>18.825833333333332</v>
      </c>
      <c r="J2130" s="442">
        <v>1</v>
      </c>
      <c r="K2130" s="280">
        <v>18.825833333333332</v>
      </c>
      <c r="L2130" s="358">
        <v>24.18</v>
      </c>
      <c r="M2130" s="579">
        <v>1</v>
      </c>
      <c r="N2130" s="469">
        <v>24.18</v>
      </c>
      <c r="O2130" s="469">
        <v>-5.3541666666666679</v>
      </c>
    </row>
    <row r="2131" spans="4:15" ht="17.25">
      <c r="F2131" s="12"/>
      <c r="H2131" s="409"/>
      <c r="I2131" s="358"/>
      <c r="J2131" s="442"/>
      <c r="K2131" s="280"/>
      <c r="L2131" s="358"/>
      <c r="M2131" s="579"/>
      <c r="N2131" s="469"/>
      <c r="O2131" s="469"/>
    </row>
    <row r="2132" spans="4:15" ht="17.25">
      <c r="D2132" s="361">
        <v>44606</v>
      </c>
      <c r="E2132" s="361"/>
      <c r="F2132" s="361"/>
      <c r="G2132" s="361"/>
      <c r="H2132" s="409"/>
      <c r="I2132" s="358"/>
      <c r="J2132" s="442"/>
      <c r="K2132" s="280"/>
      <c r="L2132" s="358"/>
      <c r="M2132" s="579"/>
      <c r="N2132" s="469"/>
      <c r="O2132" s="469"/>
    </row>
    <row r="2133" spans="4:15" ht="17.25">
      <c r="E2133" s="12" t="s">
        <v>33</v>
      </c>
      <c r="F2133" s="12"/>
      <c r="H2133" s="409"/>
      <c r="I2133" s="358"/>
      <c r="J2133" s="442"/>
      <c r="K2133" s="280"/>
      <c r="L2133" s="358"/>
      <c r="M2133" s="579"/>
      <c r="N2133" s="469"/>
      <c r="O2133" s="469"/>
    </row>
    <row r="2134" spans="4:15" ht="17.25">
      <c r="F2134" s="361">
        <v>44572</v>
      </c>
      <c r="G2134" s="361"/>
      <c r="H2134" s="409"/>
      <c r="I2134" s="358"/>
      <c r="J2134" s="442"/>
      <c r="K2134" s="280"/>
      <c r="L2134" s="358"/>
      <c r="M2134" s="579"/>
      <c r="N2134" s="469"/>
      <c r="O2134" s="469"/>
    </row>
    <row r="2135" spans="4:15" ht="17.25">
      <c r="F2135" s="12"/>
      <c r="G2135" s="112" t="s">
        <v>33</v>
      </c>
      <c r="H2135" s="409">
        <v>1</v>
      </c>
      <c r="I2135" s="358">
        <v>20.47</v>
      </c>
      <c r="J2135" s="442">
        <v>1</v>
      </c>
      <c r="K2135" s="280">
        <v>20.47</v>
      </c>
      <c r="L2135" s="358">
        <v>20.188695652173912</v>
      </c>
      <c r="M2135" s="579">
        <v>1</v>
      </c>
      <c r="N2135" s="469">
        <v>20.188695652173912</v>
      </c>
      <c r="O2135" s="469">
        <v>0.2813043478260866</v>
      </c>
    </row>
    <row r="2136" spans="4:15" ht="17.25">
      <c r="F2136" s="12"/>
      <c r="H2136" s="409"/>
      <c r="I2136" s="358"/>
      <c r="J2136" s="442"/>
      <c r="K2136" s="280"/>
      <c r="L2136" s="358"/>
      <c r="M2136" s="579"/>
      <c r="N2136" s="469"/>
      <c r="O2136" s="469"/>
    </row>
    <row r="2137" spans="4:15" ht="17.25">
      <c r="D2137" s="361">
        <v>44760</v>
      </c>
      <c r="E2137" s="361"/>
      <c r="F2137" s="361"/>
      <c r="G2137" s="361"/>
      <c r="H2137" s="409"/>
      <c r="I2137" s="358"/>
      <c r="J2137" s="442"/>
      <c r="K2137" s="280"/>
      <c r="L2137" s="358"/>
      <c r="M2137" s="579"/>
      <c r="N2137" s="469"/>
      <c r="O2137" s="469"/>
    </row>
    <row r="2138" spans="4:15" ht="17.25">
      <c r="E2138" s="12" t="s">
        <v>33</v>
      </c>
      <c r="F2138" s="12"/>
      <c r="H2138" s="409"/>
      <c r="I2138" s="358"/>
      <c r="J2138" s="442"/>
      <c r="K2138" s="280"/>
      <c r="L2138" s="358"/>
      <c r="M2138" s="579"/>
      <c r="N2138" s="469"/>
      <c r="O2138" s="469"/>
    </row>
    <row r="2139" spans="4:15" ht="17.25">
      <c r="F2139" s="361">
        <v>44644</v>
      </c>
      <c r="G2139" s="361"/>
      <c r="H2139" s="409"/>
      <c r="I2139" s="358"/>
      <c r="J2139" s="442"/>
      <c r="K2139" s="280"/>
      <c r="L2139" s="358"/>
      <c r="M2139" s="579"/>
      <c r="N2139" s="469"/>
      <c r="O2139" s="469"/>
    </row>
    <row r="2140" spans="4:15" ht="17.25">
      <c r="F2140" s="12"/>
      <c r="G2140" s="112" t="s">
        <v>33</v>
      </c>
      <c r="H2140" s="409">
        <v>38</v>
      </c>
      <c r="I2140" s="358">
        <v>485.66899999999998</v>
      </c>
      <c r="J2140" s="442">
        <v>1</v>
      </c>
      <c r="K2140" s="280">
        <v>485.66899999999998</v>
      </c>
      <c r="L2140" s="358">
        <v>732.06</v>
      </c>
      <c r="M2140" s="579">
        <v>1</v>
      </c>
      <c r="N2140" s="469">
        <v>732.06</v>
      </c>
      <c r="O2140" s="469">
        <v>-246.39099999999996</v>
      </c>
    </row>
    <row r="2141" spans="4:15" ht="17.25">
      <c r="F2141" s="12"/>
      <c r="H2141" s="409"/>
      <c r="I2141" s="358"/>
      <c r="J2141" s="442"/>
      <c r="K2141" s="280"/>
      <c r="L2141" s="358"/>
      <c r="M2141" s="579"/>
      <c r="N2141" s="469"/>
      <c r="O2141" s="469"/>
    </row>
    <row r="2142" spans="4:15" ht="17.25">
      <c r="F2142" s="361">
        <v>44645</v>
      </c>
      <c r="G2142" s="361"/>
      <c r="H2142" s="409"/>
      <c r="I2142" s="358"/>
      <c r="J2142" s="442"/>
      <c r="K2142" s="280"/>
      <c r="L2142" s="358"/>
      <c r="M2142" s="579"/>
      <c r="N2142" s="469"/>
      <c r="O2142" s="469"/>
    </row>
    <row r="2143" spans="4:15" ht="17.25">
      <c r="F2143" s="12"/>
      <c r="G2143" s="112" t="s">
        <v>33</v>
      </c>
      <c r="H2143" s="409">
        <v>34</v>
      </c>
      <c r="I2143" s="358">
        <v>432.81423529411762</v>
      </c>
      <c r="J2143" s="442">
        <v>1</v>
      </c>
      <c r="K2143" s="280">
        <v>432.81423529411762</v>
      </c>
      <c r="L2143" s="358">
        <v>670.61999999999989</v>
      </c>
      <c r="M2143" s="579">
        <v>1</v>
      </c>
      <c r="N2143" s="469">
        <v>670.61999999999989</v>
      </c>
      <c r="O2143" s="469">
        <v>-237.80576470588232</v>
      </c>
    </row>
    <row r="2144" spans="4:15" ht="17.25">
      <c r="F2144" s="12"/>
      <c r="H2144" s="409"/>
      <c r="I2144" s="358"/>
      <c r="J2144" s="442"/>
      <c r="K2144" s="280"/>
      <c r="L2144" s="358"/>
      <c r="M2144" s="579"/>
      <c r="N2144" s="469"/>
      <c r="O2144" s="469"/>
    </row>
    <row r="2145" spans="4:15" ht="17.25">
      <c r="F2145" s="361">
        <v>44648</v>
      </c>
      <c r="G2145" s="361"/>
      <c r="H2145" s="409"/>
      <c r="I2145" s="358"/>
      <c r="J2145" s="442"/>
      <c r="K2145" s="280"/>
      <c r="L2145" s="358"/>
      <c r="M2145" s="579"/>
      <c r="N2145" s="469"/>
      <c r="O2145" s="469"/>
    </row>
    <row r="2146" spans="4:15" ht="17.25">
      <c r="F2146" s="12"/>
      <c r="G2146" s="112" t="s">
        <v>33</v>
      </c>
      <c r="H2146" s="409">
        <v>1</v>
      </c>
      <c r="I2146" s="358">
        <v>12.726764705882353</v>
      </c>
      <c r="J2146" s="442">
        <v>1</v>
      </c>
      <c r="K2146" s="280">
        <v>12.726764705882353</v>
      </c>
      <c r="L2146" s="358">
        <v>20.57</v>
      </c>
      <c r="M2146" s="579">
        <v>1</v>
      </c>
      <c r="N2146" s="469">
        <v>20.57</v>
      </c>
      <c r="O2146" s="469">
        <v>-7.8432352941176475</v>
      </c>
    </row>
    <row r="2147" spans="4:15" ht="17.25">
      <c r="F2147" s="12"/>
      <c r="H2147" s="409"/>
      <c r="I2147" s="358"/>
      <c r="J2147" s="442"/>
      <c r="K2147" s="280"/>
      <c r="L2147" s="358"/>
      <c r="M2147" s="579"/>
      <c r="N2147" s="469"/>
      <c r="O2147" s="469"/>
    </row>
    <row r="2148" spans="4:15" ht="17.25">
      <c r="D2148" s="361">
        <v>44761</v>
      </c>
      <c r="E2148" s="361"/>
      <c r="F2148" s="361"/>
      <c r="G2148" s="361"/>
      <c r="H2148" s="409"/>
      <c r="I2148" s="358"/>
      <c r="J2148" s="442"/>
      <c r="K2148" s="280"/>
      <c r="L2148" s="358"/>
      <c r="M2148" s="579"/>
      <c r="N2148" s="469"/>
      <c r="O2148" s="469"/>
    </row>
    <row r="2149" spans="4:15" ht="17.25">
      <c r="E2149" s="12" t="s">
        <v>33</v>
      </c>
      <c r="F2149" s="12"/>
      <c r="H2149" s="409"/>
      <c r="I2149" s="358"/>
      <c r="J2149" s="442"/>
      <c r="K2149" s="280"/>
      <c r="L2149" s="358"/>
      <c r="M2149" s="579"/>
      <c r="N2149" s="469"/>
      <c r="O2149" s="469"/>
    </row>
    <row r="2150" spans="4:15" ht="17.25">
      <c r="F2150" s="361">
        <v>44648</v>
      </c>
      <c r="G2150" s="361"/>
      <c r="H2150" s="409"/>
      <c r="I2150" s="358"/>
      <c r="J2150" s="442"/>
      <c r="K2150" s="280"/>
      <c r="L2150" s="358"/>
      <c r="M2150" s="579"/>
      <c r="N2150" s="469"/>
      <c r="O2150" s="469"/>
    </row>
    <row r="2151" spans="4:15" ht="17.25">
      <c r="F2151" s="12"/>
      <c r="G2151" s="112" t="s">
        <v>33</v>
      </c>
      <c r="H2151" s="409">
        <v>18</v>
      </c>
      <c r="I2151" s="358">
        <v>233.98</v>
      </c>
      <c r="J2151" s="442">
        <v>1</v>
      </c>
      <c r="K2151" s="280">
        <v>233.98</v>
      </c>
      <c r="L2151" s="358">
        <v>367.92277777777781</v>
      </c>
      <c r="M2151" s="579">
        <v>1</v>
      </c>
      <c r="N2151" s="469">
        <v>367.92277777777781</v>
      </c>
      <c r="O2151" s="469">
        <v>-133.94277777777785</v>
      </c>
    </row>
    <row r="2152" spans="4:15" ht="17.25">
      <c r="F2152" s="12"/>
      <c r="H2152" s="409"/>
      <c r="I2152" s="358"/>
      <c r="J2152" s="442"/>
      <c r="K2152" s="280"/>
      <c r="L2152" s="358"/>
      <c r="M2152" s="579"/>
      <c r="N2152" s="469"/>
      <c r="O2152" s="469"/>
    </row>
    <row r="2153" spans="4:15" ht="17.25">
      <c r="D2153" s="361">
        <v>44762</v>
      </c>
      <c r="E2153" s="361"/>
      <c r="F2153" s="361"/>
      <c r="G2153" s="361"/>
      <c r="H2153" s="409"/>
      <c r="I2153" s="358"/>
      <c r="J2153" s="442"/>
      <c r="K2153" s="280"/>
      <c r="L2153" s="358"/>
      <c r="M2153" s="579"/>
      <c r="N2153" s="469"/>
      <c r="O2153" s="469"/>
    </row>
    <row r="2154" spans="4:15" ht="17.25">
      <c r="E2154" s="12" t="s">
        <v>33</v>
      </c>
      <c r="F2154" s="12"/>
      <c r="H2154" s="409"/>
      <c r="I2154" s="358"/>
      <c r="J2154" s="442"/>
      <c r="K2154" s="280"/>
      <c r="L2154" s="358"/>
      <c r="M2154" s="579"/>
      <c r="N2154" s="469"/>
      <c r="O2154" s="469"/>
    </row>
    <row r="2155" spans="4:15" ht="17.25">
      <c r="F2155" s="361">
        <v>44649</v>
      </c>
      <c r="G2155" s="361"/>
      <c r="H2155" s="409"/>
      <c r="I2155" s="358"/>
      <c r="J2155" s="442"/>
      <c r="K2155" s="280"/>
      <c r="L2155" s="358"/>
      <c r="M2155" s="579"/>
      <c r="N2155" s="469"/>
      <c r="O2155" s="469"/>
    </row>
    <row r="2156" spans="4:15" ht="17.25">
      <c r="F2156" s="12"/>
      <c r="G2156" s="112" t="s">
        <v>33</v>
      </c>
      <c r="H2156" s="409">
        <v>18</v>
      </c>
      <c r="I2156" s="358">
        <v>248.78999999999996</v>
      </c>
      <c r="J2156" s="442">
        <v>1</v>
      </c>
      <c r="K2156" s="280">
        <v>248.78999999999996</v>
      </c>
      <c r="L2156" s="358">
        <v>375.43666666666667</v>
      </c>
      <c r="M2156" s="579">
        <v>1</v>
      </c>
      <c r="N2156" s="469">
        <v>375.43666666666667</v>
      </c>
      <c r="O2156" s="469">
        <v>-126.64666666666669</v>
      </c>
    </row>
    <row r="2157" spans="4:15" ht="17.25">
      <c r="F2157" s="12"/>
      <c r="H2157" s="409"/>
      <c r="I2157" s="358"/>
      <c r="J2157" s="442"/>
      <c r="K2157" s="280"/>
      <c r="L2157" s="358"/>
      <c r="M2157" s="579"/>
      <c r="N2157" s="469"/>
      <c r="O2157" s="469"/>
    </row>
    <row r="2158" spans="4:15" ht="17.25">
      <c r="F2158" s="361">
        <v>44648</v>
      </c>
      <c r="G2158" s="361"/>
      <c r="H2158" s="409"/>
      <c r="I2158" s="358"/>
      <c r="J2158" s="442"/>
      <c r="K2158" s="280"/>
      <c r="L2158" s="358"/>
      <c r="M2158" s="579"/>
      <c r="N2158" s="469"/>
      <c r="O2158" s="469"/>
    </row>
    <row r="2159" spans="4:15" ht="17.25">
      <c r="F2159" s="12"/>
      <c r="G2159" s="112" t="s">
        <v>33</v>
      </c>
      <c r="H2159" s="409">
        <v>16</v>
      </c>
      <c r="I2159" s="358">
        <v>208</v>
      </c>
      <c r="J2159" s="442">
        <v>1</v>
      </c>
      <c r="K2159" s="280">
        <v>208</v>
      </c>
      <c r="L2159" s="358">
        <v>325.43722222222226</v>
      </c>
      <c r="M2159" s="579">
        <v>1</v>
      </c>
      <c r="N2159" s="469">
        <v>325.43722222222226</v>
      </c>
      <c r="O2159" s="469">
        <v>-117.43722222222226</v>
      </c>
    </row>
    <row r="2160" spans="4:15" ht="17.25">
      <c r="F2160" s="12"/>
      <c r="H2160" s="409"/>
      <c r="I2160" s="358"/>
      <c r="J2160" s="442"/>
      <c r="K2160" s="280"/>
      <c r="L2160" s="358"/>
      <c r="M2160" s="579"/>
      <c r="N2160" s="469"/>
      <c r="O2160" s="469"/>
    </row>
    <row r="2161" spans="4:15" ht="17.25">
      <c r="D2161" s="361">
        <v>44763</v>
      </c>
      <c r="E2161" s="361"/>
      <c r="F2161" s="361"/>
      <c r="G2161" s="361"/>
      <c r="H2161" s="409"/>
      <c r="I2161" s="358"/>
      <c r="J2161" s="442"/>
      <c r="K2161" s="280"/>
      <c r="L2161" s="358"/>
      <c r="M2161" s="579"/>
      <c r="N2161" s="469"/>
      <c r="O2161" s="469"/>
    </row>
    <row r="2162" spans="4:15" ht="17.25">
      <c r="E2162" s="12" t="s">
        <v>33</v>
      </c>
      <c r="F2162" s="12"/>
      <c r="H2162" s="409"/>
      <c r="I2162" s="358"/>
      <c r="J2162" s="442"/>
      <c r="K2162" s="280"/>
      <c r="L2162" s="358"/>
      <c r="M2162" s="579"/>
      <c r="N2162" s="469"/>
      <c r="O2162" s="469"/>
    </row>
    <row r="2163" spans="4:15" ht="17.25">
      <c r="F2163" s="361">
        <v>44649</v>
      </c>
      <c r="G2163" s="361"/>
      <c r="H2163" s="409"/>
      <c r="I2163" s="358"/>
      <c r="J2163" s="442"/>
      <c r="K2163" s="280"/>
      <c r="L2163" s="358"/>
      <c r="M2163" s="579"/>
      <c r="N2163" s="469"/>
      <c r="O2163" s="469"/>
    </row>
    <row r="2164" spans="4:15" ht="17.25">
      <c r="F2164" s="12"/>
      <c r="G2164" s="112" t="s">
        <v>33</v>
      </c>
      <c r="H2164" s="409">
        <v>19</v>
      </c>
      <c r="I2164" s="358">
        <v>259.98124999999999</v>
      </c>
      <c r="J2164" s="442">
        <v>1</v>
      </c>
      <c r="K2164" s="280">
        <v>259.98124999999999</v>
      </c>
      <c r="L2164" s="358">
        <v>396.0333333333333</v>
      </c>
      <c r="M2164" s="579">
        <v>1</v>
      </c>
      <c r="N2164" s="469">
        <v>396.0333333333333</v>
      </c>
      <c r="O2164" s="469">
        <v>-136.05208333333334</v>
      </c>
    </row>
    <row r="2165" spans="4:15" ht="17.25">
      <c r="F2165" s="12"/>
      <c r="H2165" s="409"/>
      <c r="I2165" s="358"/>
      <c r="J2165" s="442"/>
      <c r="K2165" s="280"/>
      <c r="L2165" s="358"/>
      <c r="M2165" s="579"/>
      <c r="N2165" s="469"/>
      <c r="O2165" s="469"/>
    </row>
    <row r="2166" spans="4:15" ht="17.25">
      <c r="F2166" s="361">
        <v>44650</v>
      </c>
      <c r="G2166" s="361"/>
      <c r="H2166" s="409"/>
      <c r="I2166" s="358"/>
      <c r="J2166" s="442"/>
      <c r="K2166" s="280"/>
      <c r="L2166" s="358"/>
      <c r="M2166" s="579"/>
      <c r="N2166" s="469"/>
      <c r="O2166" s="469"/>
    </row>
    <row r="2167" spans="4:15" ht="17.25">
      <c r="F2167" s="12"/>
      <c r="G2167" s="112" t="s">
        <v>33</v>
      </c>
      <c r="H2167" s="409">
        <v>38</v>
      </c>
      <c r="I2167" s="358">
        <v>522.58875</v>
      </c>
      <c r="J2167" s="442">
        <v>1</v>
      </c>
      <c r="K2167" s="280">
        <v>522.58875</v>
      </c>
      <c r="L2167" s="358">
        <v>775.47843749999993</v>
      </c>
      <c r="M2167" s="579">
        <v>1</v>
      </c>
      <c r="N2167" s="469">
        <v>775.47843749999993</v>
      </c>
      <c r="O2167" s="469">
        <v>-252.88968750000001</v>
      </c>
    </row>
    <row r="2168" spans="4:15" ht="17.25">
      <c r="F2168" s="12"/>
      <c r="H2168" s="409"/>
      <c r="I2168" s="358"/>
      <c r="J2168" s="442"/>
      <c r="K2168" s="280"/>
      <c r="L2168" s="358"/>
      <c r="M2168" s="579"/>
      <c r="N2168" s="469"/>
      <c r="O2168" s="469"/>
    </row>
    <row r="2169" spans="4:15" ht="17.25">
      <c r="D2169" s="361">
        <v>44764</v>
      </c>
      <c r="E2169" s="361"/>
      <c r="F2169" s="361"/>
      <c r="G2169" s="361"/>
      <c r="H2169" s="409"/>
      <c r="I2169" s="358"/>
      <c r="J2169" s="442"/>
      <c r="K2169" s="280"/>
      <c r="L2169" s="358"/>
      <c r="M2169" s="579"/>
      <c r="N2169" s="469"/>
      <c r="O2169" s="469"/>
    </row>
    <row r="2170" spans="4:15" ht="17.25">
      <c r="E2170" s="12" t="s">
        <v>33</v>
      </c>
      <c r="F2170" s="12"/>
      <c r="H2170" s="409"/>
      <c r="I2170" s="358"/>
      <c r="J2170" s="442"/>
      <c r="K2170" s="280"/>
      <c r="L2170" s="358"/>
      <c r="M2170" s="579"/>
      <c r="N2170" s="469"/>
      <c r="O2170" s="469"/>
    </row>
    <row r="2171" spans="4:15" ht="17.25">
      <c r="F2171" s="361">
        <v>44650</v>
      </c>
      <c r="G2171" s="361"/>
      <c r="H2171" s="409"/>
      <c r="I2171" s="358"/>
      <c r="J2171" s="442"/>
      <c r="K2171" s="280"/>
      <c r="L2171" s="358"/>
      <c r="M2171" s="579"/>
      <c r="N2171" s="469"/>
      <c r="O2171" s="469"/>
    </row>
    <row r="2172" spans="4:15" ht="17.25">
      <c r="F2172" s="12"/>
      <c r="G2172" s="112" t="s">
        <v>33</v>
      </c>
      <c r="H2172" s="409">
        <v>11</v>
      </c>
      <c r="I2172" s="358">
        <v>146.61000000000001</v>
      </c>
      <c r="J2172" s="442">
        <v>1</v>
      </c>
      <c r="K2172" s="280">
        <v>146.61000000000001</v>
      </c>
      <c r="L2172" s="358">
        <v>226.11156249999999</v>
      </c>
      <c r="M2172" s="579">
        <v>1</v>
      </c>
      <c r="N2172" s="469">
        <v>226.11156249999999</v>
      </c>
      <c r="O2172" s="469">
        <v>-79.501562500000006</v>
      </c>
    </row>
    <row r="2173" spans="4:15" ht="17.25">
      <c r="F2173" s="12"/>
      <c r="H2173" s="409"/>
      <c r="I2173" s="358"/>
      <c r="J2173" s="442"/>
      <c r="K2173" s="280"/>
      <c r="L2173" s="358"/>
      <c r="M2173" s="579"/>
      <c r="N2173" s="469"/>
      <c r="O2173" s="469"/>
    </row>
    <row r="2174" spans="4:15" ht="17.25">
      <c r="D2174" s="361">
        <v>44767</v>
      </c>
      <c r="E2174" s="361"/>
      <c r="F2174" s="361"/>
      <c r="G2174" s="361"/>
      <c r="H2174" s="409"/>
      <c r="I2174" s="358"/>
      <c r="J2174" s="442"/>
      <c r="K2174" s="280"/>
      <c r="L2174" s="358"/>
      <c r="M2174" s="579"/>
      <c r="N2174" s="469"/>
      <c r="O2174" s="469"/>
    </row>
    <row r="2175" spans="4:15" ht="17.25">
      <c r="E2175" s="12" t="s">
        <v>33</v>
      </c>
      <c r="F2175" s="12"/>
      <c r="H2175" s="409"/>
      <c r="I2175" s="358"/>
      <c r="J2175" s="442"/>
      <c r="K2175" s="280"/>
      <c r="L2175" s="358"/>
      <c r="M2175" s="579"/>
      <c r="N2175" s="469"/>
      <c r="O2175" s="469"/>
    </row>
    <row r="2176" spans="4:15" ht="17.25">
      <c r="F2176" s="361">
        <v>44652</v>
      </c>
      <c r="G2176" s="361"/>
      <c r="H2176" s="409"/>
      <c r="I2176" s="358"/>
      <c r="J2176" s="442"/>
      <c r="K2176" s="280"/>
      <c r="L2176" s="358"/>
      <c r="M2176" s="579"/>
      <c r="N2176" s="469"/>
      <c r="O2176" s="469"/>
    </row>
    <row r="2177" spans="4:15" ht="17.25">
      <c r="F2177" s="12"/>
      <c r="G2177" s="112" t="s">
        <v>33</v>
      </c>
      <c r="H2177" s="409">
        <v>3</v>
      </c>
      <c r="I2177" s="358">
        <v>37.506666666666661</v>
      </c>
      <c r="J2177" s="442">
        <v>1</v>
      </c>
      <c r="K2177" s="280">
        <v>37.506666666666661</v>
      </c>
      <c r="L2177" s="358">
        <v>56.42</v>
      </c>
      <c r="M2177" s="579">
        <v>1</v>
      </c>
      <c r="N2177" s="469">
        <v>56.42</v>
      </c>
      <c r="O2177" s="469">
        <v>-18.913333333333338</v>
      </c>
    </row>
    <row r="2178" spans="4:15" ht="17.25">
      <c r="F2178" s="12"/>
      <c r="H2178" s="409"/>
      <c r="I2178" s="358"/>
      <c r="J2178" s="442"/>
      <c r="K2178" s="280"/>
      <c r="L2178" s="358"/>
      <c r="M2178" s="579"/>
      <c r="N2178" s="469"/>
      <c r="O2178" s="469"/>
    </row>
    <row r="2179" spans="4:15" ht="17.25">
      <c r="F2179" s="361">
        <v>44658</v>
      </c>
      <c r="G2179" s="361"/>
      <c r="H2179" s="409"/>
      <c r="I2179" s="358"/>
      <c r="J2179" s="442"/>
      <c r="K2179" s="280"/>
      <c r="L2179" s="358"/>
      <c r="M2179" s="579"/>
      <c r="N2179" s="469"/>
      <c r="O2179" s="469"/>
    </row>
    <row r="2180" spans="4:15" ht="17.25">
      <c r="F2180" s="12"/>
      <c r="G2180" s="112" t="s">
        <v>33</v>
      </c>
      <c r="H2180" s="409">
        <v>17</v>
      </c>
      <c r="I2180" s="358">
        <v>213.69333333333336</v>
      </c>
      <c r="J2180" s="442">
        <v>1</v>
      </c>
      <c r="K2180" s="280">
        <v>213.69333333333336</v>
      </c>
      <c r="L2180" s="358">
        <v>291.42333333333335</v>
      </c>
      <c r="M2180" s="579">
        <v>1</v>
      </c>
      <c r="N2180" s="469">
        <v>291.42333333333335</v>
      </c>
      <c r="O2180" s="469">
        <v>-77.72999999999999</v>
      </c>
    </row>
    <row r="2181" spans="4:15" ht="17.25">
      <c r="F2181" s="12"/>
      <c r="H2181" s="409"/>
      <c r="I2181" s="358"/>
      <c r="J2181" s="442"/>
      <c r="K2181" s="280"/>
      <c r="L2181" s="358"/>
      <c r="M2181" s="579"/>
      <c r="N2181" s="469"/>
      <c r="O2181" s="469"/>
    </row>
    <row r="2182" spans="4:15" ht="17.25">
      <c r="D2182" s="361">
        <v>44768</v>
      </c>
      <c r="E2182" s="361"/>
      <c r="F2182" s="361"/>
      <c r="G2182" s="361"/>
      <c r="H2182" s="409"/>
      <c r="I2182" s="358"/>
      <c r="J2182" s="442"/>
      <c r="K2182" s="280"/>
      <c r="L2182" s="358"/>
      <c r="M2182" s="579"/>
      <c r="N2182" s="469"/>
      <c r="O2182" s="469"/>
    </row>
    <row r="2183" spans="4:15" ht="17.25">
      <c r="E2183" s="12" t="s">
        <v>33</v>
      </c>
      <c r="F2183" s="12"/>
      <c r="H2183" s="409"/>
      <c r="I2183" s="358"/>
      <c r="J2183" s="442"/>
      <c r="K2183" s="280"/>
      <c r="L2183" s="358"/>
      <c r="M2183" s="579"/>
      <c r="N2183" s="469"/>
      <c r="O2183" s="469"/>
    </row>
    <row r="2184" spans="4:15" ht="17.25">
      <c r="F2184" s="361">
        <v>44658</v>
      </c>
      <c r="G2184" s="361"/>
      <c r="H2184" s="409"/>
      <c r="I2184" s="358"/>
      <c r="J2184" s="442"/>
      <c r="K2184" s="280"/>
      <c r="L2184" s="358"/>
      <c r="M2184" s="579"/>
      <c r="N2184" s="469"/>
      <c r="O2184" s="469"/>
    </row>
    <row r="2185" spans="4:15" ht="17.25">
      <c r="F2185" s="12"/>
      <c r="G2185" s="112" t="s">
        <v>33</v>
      </c>
      <c r="H2185" s="409">
        <v>32</v>
      </c>
      <c r="I2185" s="358">
        <v>373.45000000000005</v>
      </c>
      <c r="J2185" s="442">
        <v>1</v>
      </c>
      <c r="K2185" s="280">
        <v>373.45000000000005</v>
      </c>
      <c r="L2185" s="358">
        <v>544.81666666666672</v>
      </c>
      <c r="M2185" s="579">
        <v>1</v>
      </c>
      <c r="N2185" s="469">
        <v>544.81666666666672</v>
      </c>
      <c r="O2185" s="469">
        <v>-171.36666666666673</v>
      </c>
    </row>
    <row r="2186" spans="4:15" ht="17.25">
      <c r="F2186" s="12"/>
      <c r="H2186" s="409"/>
      <c r="I2186" s="358"/>
      <c r="J2186" s="442"/>
      <c r="K2186" s="280"/>
      <c r="L2186" s="358"/>
      <c r="M2186" s="579"/>
      <c r="N2186" s="469"/>
      <c r="O2186" s="469"/>
    </row>
    <row r="2187" spans="4:15" ht="17.25">
      <c r="F2187" s="361">
        <v>44659</v>
      </c>
      <c r="G2187" s="361"/>
      <c r="H2187" s="409"/>
      <c r="I2187" s="358"/>
      <c r="J2187" s="442"/>
      <c r="K2187" s="280"/>
      <c r="L2187" s="358"/>
      <c r="M2187" s="579"/>
      <c r="N2187" s="469"/>
      <c r="O2187" s="469"/>
    </row>
    <row r="2188" spans="4:15" ht="17.25">
      <c r="F2188" s="12"/>
      <c r="G2188" s="112" t="s">
        <v>33</v>
      </c>
      <c r="H2188" s="409">
        <v>12</v>
      </c>
      <c r="I2188" s="358">
        <v>139.99</v>
      </c>
      <c r="J2188" s="442">
        <v>1</v>
      </c>
      <c r="K2188" s="280">
        <v>139.99</v>
      </c>
      <c r="L2188" s="358">
        <v>195.92500000000001</v>
      </c>
      <c r="M2188" s="579">
        <v>1</v>
      </c>
      <c r="N2188" s="469">
        <v>195.92500000000001</v>
      </c>
      <c r="O2188" s="469">
        <v>-55.934999999999988</v>
      </c>
    </row>
    <row r="2189" spans="4:15" ht="17.25">
      <c r="F2189" s="12"/>
      <c r="H2189" s="409"/>
      <c r="I2189" s="358"/>
      <c r="J2189" s="442"/>
      <c r="K2189" s="280"/>
      <c r="L2189" s="358"/>
      <c r="M2189" s="579"/>
      <c r="N2189" s="469"/>
      <c r="O2189" s="469"/>
    </row>
    <row r="2190" spans="4:15" ht="17.25">
      <c r="D2190" s="361">
        <v>44769</v>
      </c>
      <c r="E2190" s="361"/>
      <c r="F2190" s="361"/>
      <c r="G2190" s="361"/>
      <c r="H2190" s="409"/>
      <c r="I2190" s="358"/>
      <c r="J2190" s="442"/>
      <c r="K2190" s="280"/>
      <c r="L2190" s="358"/>
      <c r="M2190" s="579"/>
      <c r="N2190" s="469"/>
      <c r="O2190" s="469"/>
    </row>
    <row r="2191" spans="4:15" ht="17.25">
      <c r="E2191" s="12" t="s">
        <v>33</v>
      </c>
      <c r="F2191" s="12"/>
      <c r="H2191" s="409"/>
      <c r="I2191" s="358"/>
      <c r="J2191" s="442"/>
      <c r="K2191" s="280"/>
      <c r="L2191" s="358"/>
      <c r="M2191" s="579"/>
      <c r="N2191" s="469"/>
      <c r="O2191" s="469"/>
    </row>
    <row r="2192" spans="4:15" ht="17.25">
      <c r="F2192" s="361">
        <v>44659</v>
      </c>
      <c r="G2192" s="361"/>
      <c r="H2192" s="409"/>
      <c r="I2192" s="358"/>
      <c r="J2192" s="442"/>
      <c r="K2192" s="280"/>
      <c r="L2192" s="358"/>
      <c r="M2192" s="579"/>
      <c r="N2192" s="469"/>
      <c r="O2192" s="469"/>
    </row>
    <row r="2193" spans="3:15" ht="17.25">
      <c r="F2193" s="12"/>
      <c r="G2193" s="112" t="s">
        <v>33</v>
      </c>
      <c r="H2193" s="409">
        <v>8</v>
      </c>
      <c r="I2193" s="358">
        <v>95.62</v>
      </c>
      <c r="J2193" s="442">
        <v>1</v>
      </c>
      <c r="K2193" s="280">
        <v>95.62</v>
      </c>
      <c r="L2193" s="358">
        <v>130.755</v>
      </c>
      <c r="M2193" s="579">
        <v>1</v>
      </c>
      <c r="N2193" s="469">
        <v>130.755</v>
      </c>
      <c r="O2193" s="469">
        <v>-35.134999999999998</v>
      </c>
    </row>
    <row r="2194" spans="3:15" ht="17.25">
      <c r="F2194" s="12"/>
      <c r="H2194" s="409"/>
      <c r="I2194" s="358"/>
      <c r="J2194" s="442"/>
      <c r="K2194" s="280"/>
      <c r="L2194" s="358"/>
      <c r="M2194" s="579"/>
      <c r="N2194" s="469"/>
      <c r="O2194" s="469"/>
    </row>
    <row r="2195" spans="3:15" ht="17.25">
      <c r="C2195" s="342" t="s">
        <v>400</v>
      </c>
      <c r="D2195" s="342"/>
      <c r="E2195" s="342"/>
      <c r="F2195" s="342"/>
      <c r="G2195" s="342"/>
      <c r="H2195" s="410">
        <v>548</v>
      </c>
      <c r="I2195" s="407">
        <v>9460.1800000000094</v>
      </c>
      <c r="J2195" s="460">
        <v>1</v>
      </c>
      <c r="K2195" s="413">
        <v>9460.1800000000094</v>
      </c>
      <c r="L2195" s="407">
        <v>15483.338695652168</v>
      </c>
      <c r="M2195" s="580">
        <v>1</v>
      </c>
      <c r="N2195" s="470">
        <v>15483.338695652168</v>
      </c>
      <c r="O2195" s="470">
        <v>-6023.158695652176</v>
      </c>
    </row>
    <row r="2196" spans="3:15" ht="17.25">
      <c r="F2196" s="12"/>
      <c r="H2196" s="409"/>
      <c r="I2196" s="358"/>
      <c r="J2196" s="442"/>
      <c r="K2196" s="280"/>
      <c r="L2196" s="358"/>
      <c r="M2196" s="579"/>
      <c r="N2196" s="469"/>
      <c r="O2196" s="469"/>
    </row>
    <row r="2197" spans="3:15" ht="17.25">
      <c r="C2197" s="12" t="s">
        <v>401</v>
      </c>
      <c r="F2197" s="12"/>
      <c r="H2197" s="409"/>
      <c r="I2197" s="358"/>
      <c r="J2197" s="442"/>
      <c r="K2197" s="280"/>
      <c r="L2197" s="358"/>
      <c r="M2197" s="579"/>
      <c r="N2197" s="469"/>
      <c r="O2197" s="469"/>
    </row>
    <row r="2198" spans="3:15" ht="17.25">
      <c r="D2198" s="361">
        <v>44914</v>
      </c>
      <c r="E2198" s="361"/>
      <c r="F2198" s="361"/>
      <c r="G2198" s="361"/>
      <c r="H2198" s="409"/>
      <c r="I2198" s="358"/>
      <c r="J2198" s="442"/>
      <c r="K2198" s="280"/>
      <c r="L2198" s="358"/>
      <c r="M2198" s="579"/>
      <c r="N2198" s="469"/>
      <c r="O2198" s="469"/>
    </row>
    <row r="2199" spans="3:15" ht="17.25">
      <c r="E2199" s="12" t="s">
        <v>33</v>
      </c>
      <c r="F2199" s="12"/>
      <c r="H2199" s="409"/>
      <c r="I2199" s="358"/>
      <c r="J2199" s="442"/>
      <c r="K2199" s="280"/>
      <c r="L2199" s="358"/>
      <c r="M2199" s="579"/>
      <c r="N2199" s="469"/>
      <c r="O2199" s="469"/>
    </row>
    <row r="2200" spans="3:15" ht="17.25">
      <c r="F2200" s="361">
        <v>44847</v>
      </c>
      <c r="G2200" s="361"/>
      <c r="H2200" s="409"/>
      <c r="I2200" s="358"/>
      <c r="J2200" s="442"/>
      <c r="K2200" s="280"/>
      <c r="L2200" s="358"/>
      <c r="M2200" s="579"/>
      <c r="N2200" s="469"/>
      <c r="O2200" s="469"/>
    </row>
    <row r="2201" spans="3:15" ht="17.25">
      <c r="F2201" s="12"/>
      <c r="G2201" s="112" t="s">
        <v>33</v>
      </c>
      <c r="H2201" s="409">
        <v>10</v>
      </c>
      <c r="I2201" s="358">
        <v>451.91212121212118</v>
      </c>
      <c r="J2201" s="442">
        <v>1</v>
      </c>
      <c r="K2201" s="280">
        <v>451.91212121212118</v>
      </c>
      <c r="L2201" s="358">
        <v>480.63</v>
      </c>
      <c r="M2201" s="579">
        <v>1</v>
      </c>
      <c r="N2201" s="469">
        <v>480.63</v>
      </c>
      <c r="O2201" s="469">
        <v>-28.717878787878803</v>
      </c>
    </row>
    <row r="2202" spans="3:15" ht="17.25">
      <c r="F2202" s="12"/>
      <c r="H2202" s="409"/>
      <c r="I2202" s="358"/>
      <c r="J2202" s="442"/>
      <c r="K2202" s="280"/>
      <c r="L2202" s="358"/>
      <c r="M2202" s="579"/>
      <c r="N2202" s="469"/>
      <c r="O2202" s="469"/>
    </row>
    <row r="2203" spans="3:15" ht="17.25">
      <c r="F2203" s="361">
        <v>44848</v>
      </c>
      <c r="G2203" s="361"/>
      <c r="H2203" s="409"/>
      <c r="I2203" s="358"/>
      <c r="J2203" s="442"/>
      <c r="K2203" s="280"/>
      <c r="L2203" s="358"/>
      <c r="M2203" s="579"/>
      <c r="N2203" s="469"/>
      <c r="O2203" s="469"/>
    </row>
    <row r="2204" spans="3:15" ht="17.25">
      <c r="F2204" s="12"/>
      <c r="G2204" s="112" t="s">
        <v>33</v>
      </c>
      <c r="H2204" s="409">
        <v>19</v>
      </c>
      <c r="I2204" s="358">
        <v>858.63303030303018</v>
      </c>
      <c r="J2204" s="442">
        <v>1</v>
      </c>
      <c r="K2204" s="280">
        <v>858.63303030303018</v>
      </c>
      <c r="L2204" s="358">
        <v>826.56</v>
      </c>
      <c r="M2204" s="579">
        <v>1</v>
      </c>
      <c r="N2204" s="469">
        <v>826.56</v>
      </c>
      <c r="O2204" s="469">
        <v>32.073030303030251</v>
      </c>
    </row>
    <row r="2205" spans="3:15" ht="17.25">
      <c r="F2205" s="12"/>
      <c r="H2205" s="409"/>
      <c r="I2205" s="358"/>
      <c r="J2205" s="442"/>
      <c r="K2205" s="280"/>
      <c r="L2205" s="358"/>
      <c r="M2205" s="579"/>
      <c r="N2205" s="469"/>
      <c r="O2205" s="469"/>
    </row>
    <row r="2206" spans="3:15" ht="17.25">
      <c r="F2206" s="361">
        <v>44851</v>
      </c>
      <c r="G2206" s="361"/>
      <c r="H2206" s="409"/>
      <c r="I2206" s="358"/>
      <c r="J2206" s="442"/>
      <c r="K2206" s="280"/>
      <c r="L2206" s="358"/>
      <c r="M2206" s="579"/>
      <c r="N2206" s="469"/>
      <c r="O2206" s="469"/>
    </row>
    <row r="2207" spans="3:15" ht="17.25">
      <c r="F2207" s="12"/>
      <c r="G2207" s="112" t="s">
        <v>33</v>
      </c>
      <c r="H2207" s="409">
        <v>8</v>
      </c>
      <c r="I2207" s="358">
        <v>370.11484848484849</v>
      </c>
      <c r="J2207" s="442">
        <v>1</v>
      </c>
      <c r="K2207" s="280">
        <v>370.11484848484849</v>
      </c>
      <c r="L2207" s="358">
        <v>364.5866666666667</v>
      </c>
      <c r="M2207" s="579">
        <v>1</v>
      </c>
      <c r="N2207" s="469">
        <v>364.5866666666667</v>
      </c>
      <c r="O2207" s="469">
        <v>5.5281818181817641</v>
      </c>
    </row>
    <row r="2208" spans="3:15" ht="17.25">
      <c r="F2208" s="12"/>
      <c r="H2208" s="409"/>
      <c r="I2208" s="358"/>
      <c r="J2208" s="442"/>
      <c r="K2208" s="280"/>
      <c r="L2208" s="358"/>
      <c r="M2208" s="579"/>
      <c r="N2208" s="469"/>
      <c r="O2208" s="469"/>
    </row>
    <row r="2209" spans="3:15" ht="17.25">
      <c r="D2209" s="361">
        <v>44915</v>
      </c>
      <c r="E2209" s="361"/>
      <c r="F2209" s="361"/>
      <c r="G2209" s="361"/>
      <c r="H2209" s="409"/>
      <c r="I2209" s="358"/>
      <c r="J2209" s="442"/>
      <c r="K2209" s="280"/>
      <c r="L2209" s="358"/>
      <c r="M2209" s="579"/>
      <c r="N2209" s="469"/>
      <c r="O2209" s="469"/>
    </row>
    <row r="2210" spans="3:15" ht="17.25">
      <c r="E2210" s="12" t="s">
        <v>33</v>
      </c>
      <c r="F2210" s="12"/>
      <c r="H2210" s="409"/>
      <c r="I2210" s="358"/>
      <c r="J2210" s="442"/>
      <c r="K2210" s="280"/>
      <c r="L2210" s="358"/>
      <c r="M2210" s="579"/>
      <c r="N2210" s="469"/>
      <c r="O2210" s="469"/>
    </row>
    <row r="2211" spans="3:15" ht="17.25">
      <c r="F2211" s="361">
        <v>44855</v>
      </c>
      <c r="G2211" s="361"/>
      <c r="H2211" s="409"/>
      <c r="I2211" s="358"/>
      <c r="J2211" s="442"/>
      <c r="K2211" s="280"/>
      <c r="L2211" s="358"/>
      <c r="M2211" s="579"/>
      <c r="N2211" s="469"/>
      <c r="O2211" s="469"/>
    </row>
    <row r="2212" spans="3:15" ht="17.25">
      <c r="F2212" s="12"/>
      <c r="G2212" s="112" t="s">
        <v>33</v>
      </c>
      <c r="H2212" s="409">
        <v>8</v>
      </c>
      <c r="I2212" s="358">
        <v>357.63</v>
      </c>
      <c r="J2212" s="442">
        <v>1</v>
      </c>
      <c r="K2212" s="280">
        <v>357.63</v>
      </c>
      <c r="L2212" s="358">
        <v>373.26</v>
      </c>
      <c r="M2212" s="579">
        <v>1</v>
      </c>
      <c r="N2212" s="469">
        <v>373.26</v>
      </c>
      <c r="O2212" s="469">
        <v>-15.629999999999974</v>
      </c>
    </row>
    <row r="2213" spans="3:15" ht="17.25">
      <c r="F2213" s="12"/>
      <c r="H2213" s="409"/>
      <c r="I2213" s="358"/>
      <c r="J2213" s="442"/>
      <c r="K2213" s="280"/>
      <c r="L2213" s="358"/>
      <c r="M2213" s="579"/>
      <c r="N2213" s="469"/>
      <c r="O2213" s="469"/>
    </row>
    <row r="2214" spans="3:15" ht="17.25">
      <c r="F2214" s="361">
        <v>44851</v>
      </c>
      <c r="G2214" s="361"/>
      <c r="H2214" s="409"/>
      <c r="I2214" s="358"/>
      <c r="J2214" s="442"/>
      <c r="K2214" s="280"/>
      <c r="L2214" s="358"/>
      <c r="M2214" s="579"/>
      <c r="N2214" s="469"/>
      <c r="O2214" s="469"/>
    </row>
    <row r="2215" spans="3:15" ht="17.25">
      <c r="F2215" s="12"/>
      <c r="G2215" s="112" t="s">
        <v>33</v>
      </c>
      <c r="H2215" s="409">
        <v>1</v>
      </c>
      <c r="I2215" s="358">
        <v>45.49</v>
      </c>
      <c r="J2215" s="442">
        <v>1</v>
      </c>
      <c r="K2215" s="280">
        <v>45.49</v>
      </c>
      <c r="L2215" s="358">
        <v>45.573333333333338</v>
      </c>
      <c r="M2215" s="579">
        <v>1</v>
      </c>
      <c r="N2215" s="469">
        <v>45.573333333333338</v>
      </c>
      <c r="O2215" s="469">
        <v>-8.3333333333335702E-2</v>
      </c>
    </row>
    <row r="2216" spans="3:15" ht="17.25">
      <c r="F2216" s="12"/>
      <c r="H2216" s="409"/>
      <c r="I2216" s="358"/>
      <c r="J2216" s="442"/>
      <c r="K2216" s="280"/>
      <c r="L2216" s="358"/>
      <c r="M2216" s="579"/>
      <c r="N2216" s="469"/>
      <c r="O2216" s="469"/>
    </row>
    <row r="2217" spans="3:15" ht="17.25">
      <c r="C2217" s="342" t="s">
        <v>402</v>
      </c>
      <c r="D2217" s="342"/>
      <c r="E2217" s="342"/>
      <c r="F2217" s="342"/>
      <c r="G2217" s="342"/>
      <c r="H2217" s="410">
        <v>46</v>
      </c>
      <c r="I2217" s="407">
        <v>2083.7799999999993</v>
      </c>
      <c r="J2217" s="460">
        <v>1</v>
      </c>
      <c r="K2217" s="413">
        <v>2083.7799999999993</v>
      </c>
      <c r="L2217" s="407">
        <v>2090.61</v>
      </c>
      <c r="M2217" s="580">
        <v>1</v>
      </c>
      <c r="N2217" s="470">
        <v>2090.61</v>
      </c>
      <c r="O2217" s="470">
        <v>-6.8300000000000978</v>
      </c>
    </row>
    <row r="2218" spans="3:15" ht="17.25">
      <c r="F2218" s="12"/>
      <c r="H2218" s="409"/>
      <c r="I2218" s="358"/>
      <c r="J2218" s="442"/>
      <c r="K2218" s="280"/>
      <c r="L2218" s="358"/>
      <c r="M2218" s="579"/>
      <c r="N2218" s="469"/>
      <c r="O2218" s="469"/>
    </row>
    <row r="2219" spans="3:15" ht="17.25">
      <c r="C2219" s="12" t="s">
        <v>278</v>
      </c>
      <c r="F2219" s="12"/>
      <c r="H2219" s="409"/>
      <c r="I2219" s="358"/>
      <c r="J2219" s="442"/>
      <c r="K2219" s="280"/>
      <c r="L2219" s="358"/>
      <c r="M2219" s="579"/>
      <c r="N2219" s="469"/>
      <c r="O2219" s="469"/>
    </row>
    <row r="2220" spans="3:15" ht="17.25">
      <c r="D2220" s="361">
        <v>44782</v>
      </c>
      <c r="E2220" s="361"/>
      <c r="F2220" s="361"/>
      <c r="G2220" s="361"/>
      <c r="H2220" s="409"/>
      <c r="I2220" s="358"/>
      <c r="J2220" s="442"/>
      <c r="K2220" s="280"/>
      <c r="L2220" s="358"/>
      <c r="M2220" s="579"/>
      <c r="N2220" s="469"/>
      <c r="O2220" s="469"/>
    </row>
    <row r="2221" spans="3:15" ht="17.25">
      <c r="E2221" s="12" t="s">
        <v>33</v>
      </c>
      <c r="F2221" s="12"/>
      <c r="H2221" s="409"/>
      <c r="I2221" s="358"/>
      <c r="J2221" s="442"/>
      <c r="K2221" s="280"/>
      <c r="L2221" s="358"/>
      <c r="M2221" s="579"/>
      <c r="N2221" s="469"/>
      <c r="O2221" s="469"/>
    </row>
    <row r="2222" spans="3:15" ht="17.25">
      <c r="F2222" s="361">
        <v>44636</v>
      </c>
      <c r="G2222" s="361"/>
      <c r="H2222" s="409"/>
      <c r="I2222" s="358"/>
      <c r="J2222" s="442"/>
      <c r="K2222" s="280"/>
      <c r="L2222" s="358"/>
      <c r="M2222" s="579"/>
      <c r="N2222" s="469"/>
      <c r="O2222" s="469"/>
    </row>
    <row r="2223" spans="3:15" ht="17.25">
      <c r="F2223" s="12"/>
      <c r="G2223" s="112" t="s">
        <v>33</v>
      </c>
      <c r="H2223" s="409">
        <v>4</v>
      </c>
      <c r="I2223" s="358">
        <v>1844.84</v>
      </c>
      <c r="J2223" s="442">
        <v>1</v>
      </c>
      <c r="K2223" s="280">
        <v>1844.84</v>
      </c>
      <c r="L2223" s="358">
        <v>1783.84</v>
      </c>
      <c r="M2223" s="579">
        <v>1</v>
      </c>
      <c r="N2223" s="469">
        <v>1783.84</v>
      </c>
      <c r="O2223" s="469">
        <v>61</v>
      </c>
    </row>
    <row r="2224" spans="3:15" ht="17.25">
      <c r="F2224" s="12"/>
      <c r="H2224" s="409"/>
      <c r="I2224" s="358"/>
      <c r="J2224" s="442"/>
      <c r="K2224" s="280"/>
      <c r="L2224" s="358"/>
      <c r="M2224" s="579"/>
      <c r="N2224" s="469"/>
      <c r="O2224" s="469"/>
    </row>
    <row r="2225" spans="3:15" ht="17.25">
      <c r="C2225" s="342" t="s">
        <v>403</v>
      </c>
      <c r="D2225" s="342"/>
      <c r="E2225" s="342"/>
      <c r="F2225" s="342"/>
      <c r="G2225" s="342"/>
      <c r="H2225" s="410">
        <v>4</v>
      </c>
      <c r="I2225" s="407">
        <v>1844.84</v>
      </c>
      <c r="J2225" s="460">
        <v>1</v>
      </c>
      <c r="K2225" s="413">
        <v>1844.84</v>
      </c>
      <c r="L2225" s="407">
        <v>1783.84</v>
      </c>
      <c r="M2225" s="580">
        <v>1</v>
      </c>
      <c r="N2225" s="470">
        <v>1783.84</v>
      </c>
      <c r="O2225" s="470">
        <v>61</v>
      </c>
    </row>
    <row r="2226" spans="3:15" ht="17.25">
      <c r="F2226" s="12"/>
      <c r="H2226" s="409"/>
      <c r="I2226" s="358"/>
      <c r="J2226" s="442"/>
      <c r="K2226" s="280"/>
      <c r="L2226" s="358"/>
      <c r="M2226" s="579"/>
      <c r="N2226" s="469"/>
      <c r="O2226" s="469"/>
    </row>
    <row r="2227" spans="3:15" ht="17.25">
      <c r="C2227" s="12" t="s">
        <v>404</v>
      </c>
      <c r="F2227" s="12"/>
      <c r="H2227" s="409"/>
      <c r="I2227" s="358"/>
      <c r="J2227" s="442"/>
      <c r="K2227" s="280"/>
      <c r="L2227" s="358"/>
      <c r="M2227" s="579"/>
      <c r="N2227" s="469"/>
      <c r="O2227" s="469"/>
    </row>
    <row r="2228" spans="3:15" ht="17.25">
      <c r="D2228" s="361">
        <v>44914</v>
      </c>
      <c r="E2228" s="361"/>
      <c r="F2228" s="361"/>
      <c r="G2228" s="361"/>
      <c r="H2228" s="409"/>
      <c r="I2228" s="358"/>
      <c r="J2228" s="442"/>
      <c r="K2228" s="280"/>
      <c r="L2228" s="358"/>
      <c r="M2228" s="579"/>
      <c r="N2228" s="469"/>
      <c r="O2228" s="469"/>
    </row>
    <row r="2229" spans="3:15" ht="17.25">
      <c r="E2229" s="12" t="s">
        <v>33</v>
      </c>
      <c r="F2229" s="12"/>
      <c r="H2229" s="409"/>
      <c r="I2229" s="358"/>
      <c r="J2229" s="442"/>
      <c r="K2229" s="280"/>
      <c r="L2229" s="358"/>
      <c r="M2229" s="579"/>
      <c r="N2229" s="469"/>
      <c r="O2229" s="469"/>
    </row>
    <row r="2230" spans="3:15" ht="17.25">
      <c r="F2230" s="361">
        <v>44698</v>
      </c>
      <c r="G2230" s="361"/>
      <c r="H2230" s="409"/>
      <c r="I2230" s="358"/>
      <c r="J2230" s="442"/>
      <c r="K2230" s="280"/>
      <c r="L2230" s="358"/>
      <c r="M2230" s="579"/>
      <c r="N2230" s="469"/>
      <c r="O2230" s="469"/>
    </row>
    <row r="2231" spans="3:15" ht="17.25">
      <c r="F2231" s="12"/>
      <c r="G2231" s="112" t="s">
        <v>33</v>
      </c>
      <c r="H2231" s="409">
        <v>4</v>
      </c>
      <c r="I2231" s="358">
        <v>1753.88</v>
      </c>
      <c r="J2231" s="442">
        <v>1</v>
      </c>
      <c r="K2231" s="280">
        <v>1753.88</v>
      </c>
      <c r="L2231" s="358">
        <v>2028.6619999999998</v>
      </c>
      <c r="M2231" s="579">
        <v>1</v>
      </c>
      <c r="N2231" s="469">
        <v>2028.6619999999998</v>
      </c>
      <c r="O2231" s="469">
        <v>-274.78199999999993</v>
      </c>
    </row>
    <row r="2232" spans="3:15" ht="17.25">
      <c r="F2232" s="12"/>
      <c r="H2232" s="409"/>
      <c r="I2232" s="358"/>
      <c r="J2232" s="442"/>
      <c r="K2232" s="280"/>
      <c r="L2232" s="358"/>
      <c r="M2232" s="579"/>
      <c r="N2232" s="469"/>
      <c r="O2232" s="469"/>
    </row>
    <row r="2233" spans="3:15" ht="17.25">
      <c r="C2233" s="342" t="s">
        <v>405</v>
      </c>
      <c r="D2233" s="342"/>
      <c r="E2233" s="342"/>
      <c r="F2233" s="342"/>
      <c r="G2233" s="342"/>
      <c r="H2233" s="410">
        <v>4</v>
      </c>
      <c r="I2233" s="407">
        <v>1753.88</v>
      </c>
      <c r="J2233" s="460">
        <v>1</v>
      </c>
      <c r="K2233" s="413">
        <v>1753.88</v>
      </c>
      <c r="L2233" s="407">
        <v>2028.6619999999998</v>
      </c>
      <c r="M2233" s="580">
        <v>1</v>
      </c>
      <c r="N2233" s="470">
        <v>2028.6619999999998</v>
      </c>
      <c r="O2233" s="470">
        <v>-274.78199999999993</v>
      </c>
    </row>
    <row r="2234" spans="3:15" ht="17.25">
      <c r="F2234" s="12"/>
      <c r="H2234" s="409"/>
      <c r="I2234" s="358"/>
      <c r="J2234" s="442"/>
      <c r="K2234" s="280"/>
      <c r="L2234" s="358"/>
      <c r="M2234" s="579"/>
      <c r="N2234" s="469"/>
      <c r="O2234" s="469"/>
    </row>
    <row r="2235" spans="3:15" ht="17.25">
      <c r="C2235" s="12" t="s">
        <v>406</v>
      </c>
      <c r="F2235" s="12"/>
      <c r="H2235" s="409"/>
      <c r="I2235" s="358"/>
      <c r="J2235" s="442"/>
      <c r="K2235" s="280"/>
      <c r="L2235" s="358"/>
      <c r="M2235" s="579"/>
      <c r="N2235" s="469"/>
      <c r="O2235" s="469"/>
    </row>
    <row r="2236" spans="3:15" ht="17.25">
      <c r="D2236" s="361">
        <v>44866</v>
      </c>
      <c r="E2236" s="361"/>
      <c r="F2236" s="361"/>
      <c r="G2236" s="361"/>
      <c r="H2236" s="409"/>
      <c r="I2236" s="358"/>
      <c r="J2236" s="442"/>
      <c r="K2236" s="280"/>
      <c r="L2236" s="358"/>
      <c r="M2236" s="579"/>
      <c r="N2236" s="469"/>
      <c r="O2236" s="469"/>
    </row>
    <row r="2237" spans="3:15" ht="17.25">
      <c r="E2237" s="12" t="s">
        <v>33</v>
      </c>
      <c r="F2237" s="12"/>
      <c r="H2237" s="409"/>
      <c r="I2237" s="358"/>
      <c r="J2237" s="442"/>
      <c r="K2237" s="280"/>
      <c r="L2237" s="358"/>
      <c r="M2237" s="579"/>
      <c r="N2237" s="469"/>
      <c r="O2237" s="469"/>
    </row>
    <row r="2238" spans="3:15" ht="17.25">
      <c r="F2238" s="361">
        <v>44503</v>
      </c>
      <c r="G2238" s="361"/>
      <c r="H2238" s="409"/>
      <c r="I2238" s="358"/>
      <c r="J2238" s="442"/>
      <c r="K2238" s="280"/>
      <c r="L2238" s="358"/>
      <c r="M2238" s="579"/>
      <c r="N2238" s="469"/>
      <c r="O2238" s="469"/>
    </row>
    <row r="2239" spans="3:15" ht="17.25">
      <c r="F2239" s="12"/>
      <c r="G2239" s="112" t="s">
        <v>33</v>
      </c>
      <c r="H2239" s="409">
        <v>70</v>
      </c>
      <c r="I2239" s="358">
        <v>1069.98</v>
      </c>
      <c r="J2239" s="442">
        <v>1</v>
      </c>
      <c r="K2239" s="280">
        <v>1069.98</v>
      </c>
      <c r="L2239" s="358">
        <v>3451.3370370370367</v>
      </c>
      <c r="M2239" s="579">
        <v>1</v>
      </c>
      <c r="N2239" s="469">
        <v>3451.3370370370367</v>
      </c>
      <c r="O2239" s="469">
        <v>-2381.3570370370367</v>
      </c>
    </row>
    <row r="2240" spans="3:15" ht="17.25">
      <c r="F2240" s="12"/>
      <c r="H2240" s="409"/>
      <c r="I2240" s="358"/>
      <c r="J2240" s="442"/>
      <c r="K2240" s="280"/>
      <c r="L2240" s="358"/>
      <c r="M2240" s="579"/>
      <c r="N2240" s="469"/>
      <c r="O2240" s="469"/>
    </row>
    <row r="2241" spans="3:15" ht="17.25">
      <c r="D2241" s="361">
        <v>44873</v>
      </c>
      <c r="E2241" s="361"/>
      <c r="F2241" s="361"/>
      <c r="G2241" s="361"/>
      <c r="H2241" s="409"/>
      <c r="I2241" s="358"/>
      <c r="J2241" s="442"/>
      <c r="K2241" s="280"/>
      <c r="L2241" s="358"/>
      <c r="M2241" s="579"/>
      <c r="N2241" s="469"/>
      <c r="O2241" s="469"/>
    </row>
    <row r="2242" spans="3:15" ht="17.25">
      <c r="E2242" s="12" t="s">
        <v>33</v>
      </c>
      <c r="F2242" s="12"/>
      <c r="H2242" s="409"/>
      <c r="I2242" s="358"/>
      <c r="J2242" s="442"/>
      <c r="K2242" s="280"/>
      <c r="L2242" s="358"/>
      <c r="M2242" s="579"/>
      <c r="N2242" s="469"/>
      <c r="O2242" s="469"/>
    </row>
    <row r="2243" spans="3:15" ht="17.25">
      <c r="F2243" s="361">
        <v>44503</v>
      </c>
      <c r="G2243" s="361"/>
      <c r="H2243" s="409"/>
      <c r="I2243" s="358"/>
      <c r="J2243" s="442"/>
      <c r="K2243" s="280"/>
      <c r="L2243" s="358"/>
      <c r="M2243" s="579"/>
      <c r="N2243" s="469"/>
      <c r="O2243" s="469"/>
    </row>
    <row r="2244" spans="3:15" ht="17.25">
      <c r="F2244" s="12"/>
      <c r="G2244" s="112" t="s">
        <v>33</v>
      </c>
      <c r="H2244" s="409">
        <v>200</v>
      </c>
      <c r="I2244" s="358">
        <v>2193.6709248554912</v>
      </c>
      <c r="J2244" s="442">
        <v>1</v>
      </c>
      <c r="K2244" s="280">
        <v>2193.6709248554912</v>
      </c>
      <c r="L2244" s="358">
        <v>9860.9629629629635</v>
      </c>
      <c r="M2244" s="579">
        <v>1</v>
      </c>
      <c r="N2244" s="469">
        <v>9860.9629629629635</v>
      </c>
      <c r="O2244" s="469">
        <v>-7667.2920381074709</v>
      </c>
    </row>
    <row r="2245" spans="3:15" ht="17.25">
      <c r="F2245" s="12"/>
      <c r="H2245" s="409"/>
      <c r="I2245" s="358"/>
      <c r="J2245" s="442"/>
      <c r="K2245" s="280"/>
      <c r="L2245" s="358"/>
      <c r="M2245" s="579"/>
      <c r="N2245" s="469"/>
      <c r="O2245" s="469"/>
    </row>
    <row r="2246" spans="3:15" ht="17.25">
      <c r="F2246" s="361">
        <v>44601</v>
      </c>
      <c r="G2246" s="361"/>
      <c r="H2246" s="409"/>
      <c r="I2246" s="358"/>
      <c r="J2246" s="442"/>
      <c r="K2246" s="280"/>
      <c r="L2246" s="358"/>
      <c r="M2246" s="579"/>
      <c r="N2246" s="469"/>
      <c r="O2246" s="469"/>
    </row>
    <row r="2247" spans="3:15" ht="17.25">
      <c r="F2247" s="12"/>
      <c r="G2247" s="112" t="s">
        <v>33</v>
      </c>
      <c r="H2247" s="409">
        <v>20</v>
      </c>
      <c r="I2247" s="358">
        <v>218.11907514450866</v>
      </c>
      <c r="J2247" s="442">
        <v>1</v>
      </c>
      <c r="K2247" s="280">
        <v>218.11907514450866</v>
      </c>
      <c r="L2247" s="358">
        <v>869.06</v>
      </c>
      <c r="M2247" s="579">
        <v>1</v>
      </c>
      <c r="N2247" s="469">
        <v>869.06</v>
      </c>
      <c r="O2247" s="469">
        <v>-650.94092485549118</v>
      </c>
    </row>
    <row r="2248" spans="3:15" ht="17.25">
      <c r="F2248" s="12"/>
      <c r="H2248" s="409"/>
      <c r="I2248" s="358"/>
      <c r="J2248" s="442"/>
      <c r="K2248" s="280"/>
      <c r="L2248" s="358"/>
      <c r="M2248" s="579"/>
      <c r="N2248" s="469"/>
      <c r="O2248" s="469"/>
    </row>
    <row r="2249" spans="3:15" ht="17.25">
      <c r="C2249" s="342" t="s">
        <v>407</v>
      </c>
      <c r="D2249" s="342"/>
      <c r="E2249" s="342"/>
      <c r="F2249" s="342"/>
      <c r="G2249" s="342"/>
      <c r="H2249" s="410">
        <v>290</v>
      </c>
      <c r="I2249" s="407">
        <v>3481.7699999999995</v>
      </c>
      <c r="J2249" s="460">
        <v>1</v>
      </c>
      <c r="K2249" s="413">
        <v>3481.7699999999995</v>
      </c>
      <c r="L2249" s="407">
        <v>14181.359999999999</v>
      </c>
      <c r="M2249" s="580">
        <v>1</v>
      </c>
      <c r="N2249" s="470">
        <v>14181.359999999999</v>
      </c>
      <c r="O2249" s="470">
        <v>-10699.59</v>
      </c>
    </row>
    <row r="2250" spans="3:15" ht="17.25">
      <c r="F2250" s="12"/>
      <c r="H2250" s="409"/>
      <c r="I2250" s="358"/>
      <c r="J2250" s="442"/>
      <c r="K2250" s="280"/>
      <c r="L2250" s="358"/>
      <c r="M2250" s="579"/>
      <c r="N2250" s="469"/>
      <c r="O2250" s="469"/>
    </row>
    <row r="2251" spans="3:15" ht="17.25">
      <c r="C2251" s="12" t="s">
        <v>408</v>
      </c>
      <c r="F2251" s="12"/>
      <c r="H2251" s="409"/>
      <c r="I2251" s="358"/>
      <c r="J2251" s="442"/>
      <c r="K2251" s="280"/>
      <c r="L2251" s="358"/>
      <c r="M2251" s="579"/>
      <c r="N2251" s="469"/>
      <c r="O2251" s="469"/>
    </row>
    <row r="2252" spans="3:15" ht="17.25">
      <c r="D2252" s="361">
        <v>44854</v>
      </c>
      <c r="E2252" s="361"/>
      <c r="F2252" s="361"/>
      <c r="G2252" s="361"/>
      <c r="H2252" s="409"/>
      <c r="I2252" s="358"/>
      <c r="J2252" s="442"/>
      <c r="K2252" s="280"/>
      <c r="L2252" s="358"/>
      <c r="M2252" s="579"/>
      <c r="N2252" s="469"/>
      <c r="O2252" s="469"/>
    </row>
    <row r="2253" spans="3:15" ht="17.25">
      <c r="E2253" s="12" t="s">
        <v>33</v>
      </c>
      <c r="F2253" s="12"/>
      <c r="H2253" s="409"/>
      <c r="I2253" s="358"/>
      <c r="J2253" s="442"/>
      <c r="K2253" s="280"/>
      <c r="L2253" s="358"/>
      <c r="M2253" s="579"/>
      <c r="N2253" s="469"/>
      <c r="O2253" s="469"/>
    </row>
    <row r="2254" spans="3:15" ht="17.25">
      <c r="F2254" s="361">
        <v>44503</v>
      </c>
      <c r="G2254" s="361"/>
      <c r="H2254" s="409"/>
      <c r="I2254" s="358"/>
      <c r="J2254" s="442"/>
      <c r="K2254" s="280"/>
      <c r="L2254" s="358"/>
      <c r="M2254" s="579"/>
      <c r="N2254" s="469"/>
      <c r="O2254" s="469"/>
    </row>
    <row r="2255" spans="3:15" ht="17.25">
      <c r="F2255" s="12"/>
      <c r="G2255" s="112" t="s">
        <v>33</v>
      </c>
      <c r="H2255" s="409">
        <v>52</v>
      </c>
      <c r="I2255" s="358">
        <v>2251.9300000000003</v>
      </c>
      <c r="J2255" s="442">
        <v>1</v>
      </c>
      <c r="K2255" s="280">
        <v>2251.9300000000003</v>
      </c>
      <c r="L2255" s="358">
        <v>7924.8</v>
      </c>
      <c r="M2255" s="579">
        <v>1</v>
      </c>
      <c r="N2255" s="469">
        <v>7924.8</v>
      </c>
      <c r="O2255" s="469">
        <v>-5672.87</v>
      </c>
    </row>
    <row r="2256" spans="3:15" ht="17.25">
      <c r="F2256" s="12"/>
      <c r="H2256" s="409"/>
      <c r="I2256" s="358"/>
      <c r="J2256" s="442"/>
      <c r="K2256" s="280"/>
      <c r="L2256" s="358"/>
      <c r="M2256" s="579"/>
      <c r="N2256" s="469"/>
      <c r="O2256" s="469"/>
    </row>
    <row r="2257" spans="3:15" ht="17.25">
      <c r="D2257" s="361">
        <v>44855</v>
      </c>
      <c r="E2257" s="361"/>
      <c r="F2257" s="361"/>
      <c r="G2257" s="361"/>
      <c r="H2257" s="409"/>
      <c r="I2257" s="358"/>
      <c r="J2257" s="442"/>
      <c r="K2257" s="280"/>
      <c r="L2257" s="358"/>
      <c r="M2257" s="579"/>
      <c r="N2257" s="469"/>
      <c r="O2257" s="469"/>
    </row>
    <row r="2258" spans="3:15" ht="17.25">
      <c r="E2258" s="12" t="s">
        <v>33</v>
      </c>
      <c r="F2258" s="12"/>
      <c r="H2258" s="409"/>
      <c r="I2258" s="358"/>
      <c r="J2258" s="442"/>
      <c r="K2258" s="280"/>
      <c r="L2258" s="358"/>
      <c r="M2258" s="579"/>
      <c r="N2258" s="469"/>
      <c r="O2258" s="469"/>
    </row>
    <row r="2259" spans="3:15" ht="17.25">
      <c r="F2259" s="361">
        <v>44503</v>
      </c>
      <c r="G2259" s="361"/>
      <c r="H2259" s="409"/>
      <c r="I2259" s="358"/>
      <c r="J2259" s="442"/>
      <c r="K2259" s="280"/>
      <c r="L2259" s="358"/>
      <c r="M2259" s="579"/>
      <c r="N2259" s="469"/>
      <c r="O2259" s="469"/>
    </row>
    <row r="2260" spans="3:15" ht="17.25">
      <c r="F2260" s="12"/>
      <c r="G2260" s="112" t="s">
        <v>33</v>
      </c>
      <c r="H2260" s="409">
        <v>13</v>
      </c>
      <c r="I2260" s="358">
        <v>536.6875</v>
      </c>
      <c r="J2260" s="442">
        <v>1</v>
      </c>
      <c r="K2260" s="280">
        <v>536.6875</v>
      </c>
      <c r="L2260" s="358">
        <v>1981.2</v>
      </c>
      <c r="M2260" s="579">
        <v>1</v>
      </c>
      <c r="N2260" s="469">
        <v>1981.2</v>
      </c>
      <c r="O2260" s="469">
        <v>-1444.5125000000003</v>
      </c>
    </row>
    <row r="2261" spans="3:15" ht="17.25">
      <c r="F2261" s="12"/>
      <c r="H2261" s="409"/>
      <c r="I2261" s="358"/>
      <c r="J2261" s="442"/>
      <c r="K2261" s="280"/>
      <c r="L2261" s="358"/>
      <c r="M2261" s="579"/>
      <c r="N2261" s="469"/>
      <c r="O2261" s="469"/>
    </row>
    <row r="2262" spans="3:15" ht="17.25">
      <c r="F2262" s="361">
        <v>44775</v>
      </c>
      <c r="G2262" s="361"/>
      <c r="H2262" s="409"/>
      <c r="I2262" s="358"/>
      <c r="J2262" s="442"/>
      <c r="K2262" s="280"/>
      <c r="L2262" s="358"/>
      <c r="M2262" s="579"/>
      <c r="N2262" s="469"/>
      <c r="O2262" s="469"/>
    </row>
    <row r="2263" spans="3:15" ht="17.25">
      <c r="F2263" s="12"/>
      <c r="G2263" s="112" t="s">
        <v>33</v>
      </c>
      <c r="H2263" s="409">
        <v>12</v>
      </c>
      <c r="I2263" s="358">
        <v>497.59125</v>
      </c>
      <c r="J2263" s="442">
        <v>1</v>
      </c>
      <c r="K2263" s="280">
        <v>497.59125</v>
      </c>
      <c r="L2263" s="358">
        <v>923.67</v>
      </c>
      <c r="M2263" s="579">
        <v>1</v>
      </c>
      <c r="N2263" s="469">
        <v>923.67</v>
      </c>
      <c r="O2263" s="469">
        <v>-426.07874999999996</v>
      </c>
    </row>
    <row r="2264" spans="3:15" ht="17.25">
      <c r="F2264" s="12"/>
      <c r="H2264" s="409"/>
      <c r="I2264" s="358"/>
      <c r="J2264" s="442"/>
      <c r="K2264" s="280"/>
      <c r="L2264" s="358"/>
      <c r="M2264" s="579"/>
      <c r="N2264" s="469"/>
      <c r="O2264" s="469"/>
    </row>
    <row r="2265" spans="3:15" ht="17.25">
      <c r="F2265" s="361">
        <v>44777</v>
      </c>
      <c r="G2265" s="361"/>
      <c r="H2265" s="409"/>
      <c r="I2265" s="358"/>
      <c r="J2265" s="442"/>
      <c r="K2265" s="280"/>
      <c r="L2265" s="358"/>
      <c r="M2265" s="579"/>
      <c r="N2265" s="469"/>
      <c r="O2265" s="469"/>
    </row>
    <row r="2266" spans="3:15" ht="17.25">
      <c r="F2266" s="12"/>
      <c r="G2266" s="112" t="s">
        <v>33</v>
      </c>
      <c r="H2266" s="409">
        <v>12</v>
      </c>
      <c r="I2266" s="358">
        <v>497.59125000000006</v>
      </c>
      <c r="J2266" s="442">
        <v>1</v>
      </c>
      <c r="K2266" s="280">
        <v>497.59125000000006</v>
      </c>
      <c r="L2266" s="358">
        <v>784.3599999999999</v>
      </c>
      <c r="M2266" s="579">
        <v>1</v>
      </c>
      <c r="N2266" s="469">
        <v>784.3599999999999</v>
      </c>
      <c r="O2266" s="469">
        <v>-286.76874999999984</v>
      </c>
    </row>
    <row r="2267" spans="3:15" ht="17.25">
      <c r="F2267" s="12"/>
      <c r="H2267" s="409"/>
      <c r="I2267" s="358"/>
      <c r="J2267" s="442"/>
      <c r="K2267" s="280"/>
      <c r="L2267" s="358"/>
      <c r="M2267" s="579"/>
      <c r="N2267" s="469"/>
      <c r="O2267" s="469"/>
    </row>
    <row r="2268" spans="3:15" ht="17.25">
      <c r="C2268" s="342" t="s">
        <v>409</v>
      </c>
      <c r="D2268" s="342"/>
      <c r="E2268" s="342"/>
      <c r="F2268" s="342"/>
      <c r="G2268" s="342"/>
      <c r="H2268" s="410">
        <v>89</v>
      </c>
      <c r="I2268" s="407">
        <v>3783.8000000000006</v>
      </c>
      <c r="J2268" s="460">
        <v>1</v>
      </c>
      <c r="K2268" s="413">
        <v>3783.8000000000006</v>
      </c>
      <c r="L2268" s="407">
        <v>11614.029999999999</v>
      </c>
      <c r="M2268" s="580">
        <v>1</v>
      </c>
      <c r="N2268" s="470">
        <v>11614.029999999999</v>
      </c>
      <c r="O2268" s="470">
        <v>-7830.23</v>
      </c>
    </row>
    <row r="2269" spans="3:15" ht="17.25">
      <c r="F2269" s="12"/>
      <c r="H2269" s="409"/>
      <c r="I2269" s="358"/>
      <c r="J2269" s="442"/>
      <c r="K2269" s="280"/>
      <c r="L2269" s="358"/>
      <c r="M2269" s="579"/>
      <c r="N2269" s="469"/>
      <c r="O2269" s="469"/>
    </row>
    <row r="2270" spans="3:15" ht="17.25">
      <c r="C2270" s="12" t="s">
        <v>266</v>
      </c>
      <c r="F2270" s="12"/>
      <c r="H2270" s="409"/>
      <c r="I2270" s="358"/>
      <c r="J2270" s="442"/>
      <c r="K2270" s="280"/>
      <c r="L2270" s="358"/>
      <c r="M2270" s="579"/>
      <c r="N2270" s="469"/>
      <c r="O2270" s="469"/>
    </row>
    <row r="2271" spans="3:15" ht="17.25">
      <c r="D2271" s="361">
        <v>44595</v>
      </c>
      <c r="E2271" s="361"/>
      <c r="F2271" s="361"/>
      <c r="G2271" s="361"/>
      <c r="H2271" s="409"/>
      <c r="I2271" s="358"/>
      <c r="J2271" s="442"/>
      <c r="K2271" s="280"/>
      <c r="L2271" s="358"/>
      <c r="M2271" s="579"/>
      <c r="N2271" s="469"/>
      <c r="O2271" s="469"/>
    </row>
    <row r="2272" spans="3:15" ht="17.25">
      <c r="E2272" s="12" t="s">
        <v>33</v>
      </c>
      <c r="F2272" s="12"/>
      <c r="H2272" s="409"/>
      <c r="I2272" s="358"/>
      <c r="J2272" s="442"/>
      <c r="K2272" s="280"/>
      <c r="L2272" s="358"/>
      <c r="M2272" s="579"/>
      <c r="N2272" s="469"/>
      <c r="O2272" s="469"/>
    </row>
    <row r="2273" spans="4:15" ht="17.25">
      <c r="F2273" s="361">
        <v>44503</v>
      </c>
      <c r="G2273" s="361"/>
      <c r="H2273" s="409"/>
      <c r="I2273" s="358"/>
      <c r="J2273" s="442"/>
      <c r="K2273" s="280"/>
      <c r="L2273" s="358"/>
      <c r="M2273" s="579"/>
      <c r="N2273" s="469"/>
      <c r="O2273" s="469"/>
    </row>
    <row r="2274" spans="4:15" ht="17.25">
      <c r="F2274" s="12"/>
      <c r="G2274" s="112" t="s">
        <v>33</v>
      </c>
      <c r="H2274" s="409">
        <v>54</v>
      </c>
      <c r="I2274" s="358">
        <v>13130.76</v>
      </c>
      <c r="J2274" s="442">
        <v>1</v>
      </c>
      <c r="K2274" s="280">
        <v>13130.76</v>
      </c>
      <c r="L2274" s="358">
        <v>17674.472307692311</v>
      </c>
      <c r="M2274" s="579">
        <v>1</v>
      </c>
      <c r="N2274" s="469">
        <v>17674.472307692311</v>
      </c>
      <c r="O2274" s="469">
        <v>-4543.7123076923108</v>
      </c>
    </row>
    <row r="2275" spans="4:15" ht="17.25">
      <c r="F2275" s="12"/>
      <c r="H2275" s="409"/>
      <c r="I2275" s="358"/>
      <c r="J2275" s="442"/>
      <c r="K2275" s="280"/>
      <c r="L2275" s="358"/>
      <c r="M2275" s="579"/>
      <c r="N2275" s="469"/>
      <c r="O2275" s="469"/>
    </row>
    <row r="2276" spans="4:15" ht="17.25">
      <c r="D2276" s="361">
        <v>44596</v>
      </c>
      <c r="E2276" s="361"/>
      <c r="F2276" s="361"/>
      <c r="G2276" s="361"/>
      <c r="H2276" s="409"/>
      <c r="I2276" s="358"/>
      <c r="J2276" s="442"/>
      <c r="K2276" s="280"/>
      <c r="L2276" s="358"/>
      <c r="M2276" s="579"/>
      <c r="N2276" s="469"/>
      <c r="O2276" s="469"/>
    </row>
    <row r="2277" spans="4:15" ht="17.25">
      <c r="E2277" s="12" t="s">
        <v>33</v>
      </c>
      <c r="F2277" s="12"/>
      <c r="H2277" s="409"/>
      <c r="I2277" s="358"/>
      <c r="J2277" s="442"/>
      <c r="K2277" s="280"/>
      <c r="L2277" s="358"/>
      <c r="M2277" s="579"/>
      <c r="N2277" s="469"/>
      <c r="O2277" s="469"/>
    </row>
    <row r="2278" spans="4:15" ht="17.25">
      <c r="F2278" s="361">
        <v>44503</v>
      </c>
      <c r="G2278" s="361"/>
      <c r="H2278" s="409"/>
      <c r="I2278" s="358"/>
      <c r="J2278" s="442"/>
      <c r="K2278" s="280"/>
      <c r="L2278" s="358"/>
      <c r="M2278" s="579"/>
      <c r="N2278" s="469"/>
      <c r="O2278" s="469"/>
    </row>
    <row r="2279" spans="4:15" ht="17.25">
      <c r="F2279" s="12"/>
      <c r="G2279" s="112" t="s">
        <v>33</v>
      </c>
      <c r="H2279" s="409">
        <v>30</v>
      </c>
      <c r="I2279" s="358">
        <v>6956.21</v>
      </c>
      <c r="J2279" s="442">
        <v>1</v>
      </c>
      <c r="K2279" s="280">
        <v>6956.21</v>
      </c>
      <c r="L2279" s="358">
        <v>9819.1512820512835</v>
      </c>
      <c r="M2279" s="579">
        <v>1</v>
      </c>
      <c r="N2279" s="469">
        <v>9819.1512820512835</v>
      </c>
      <c r="O2279" s="469">
        <v>-2862.9412820512835</v>
      </c>
    </row>
    <row r="2280" spans="4:15" ht="17.25">
      <c r="F2280" s="12"/>
      <c r="H2280" s="409"/>
      <c r="I2280" s="358"/>
      <c r="J2280" s="442"/>
      <c r="K2280" s="280"/>
      <c r="L2280" s="358"/>
      <c r="M2280" s="579"/>
      <c r="N2280" s="469"/>
      <c r="O2280" s="469"/>
    </row>
    <row r="2281" spans="4:15" ht="17.25">
      <c r="D2281" s="361">
        <v>44861</v>
      </c>
      <c r="E2281" s="361"/>
      <c r="F2281" s="361"/>
      <c r="G2281" s="361"/>
      <c r="H2281" s="409"/>
      <c r="I2281" s="358"/>
      <c r="J2281" s="442"/>
      <c r="K2281" s="280"/>
      <c r="L2281" s="358"/>
      <c r="M2281" s="579"/>
      <c r="N2281" s="469"/>
      <c r="O2281" s="469"/>
    </row>
    <row r="2282" spans="4:15" ht="17.25">
      <c r="E2282" s="12" t="s">
        <v>33</v>
      </c>
      <c r="F2282" s="12"/>
      <c r="H2282" s="409"/>
      <c r="I2282" s="358"/>
      <c r="J2282" s="442"/>
      <c r="K2282" s="280"/>
      <c r="L2282" s="358"/>
      <c r="M2282" s="579"/>
      <c r="N2282" s="469"/>
      <c r="O2282" s="469"/>
    </row>
    <row r="2283" spans="4:15" ht="17.25">
      <c r="F2283" s="361">
        <v>44503</v>
      </c>
      <c r="G2283" s="361"/>
      <c r="H2283" s="409"/>
      <c r="I2283" s="358"/>
      <c r="J2283" s="442"/>
      <c r="K2283" s="280"/>
      <c r="L2283" s="358"/>
      <c r="M2283" s="579"/>
      <c r="N2283" s="469"/>
      <c r="O2283" s="469"/>
    </row>
    <row r="2284" spans="4:15" ht="17.25">
      <c r="F2284" s="12"/>
      <c r="G2284" s="112" t="s">
        <v>33</v>
      </c>
      <c r="H2284" s="409">
        <v>33</v>
      </c>
      <c r="I2284" s="358">
        <v>3302.2597826086953</v>
      </c>
      <c r="J2284" s="442">
        <v>1</v>
      </c>
      <c r="K2284" s="280">
        <v>3302.2597826086953</v>
      </c>
      <c r="L2284" s="358">
        <v>10801.066410256411</v>
      </c>
      <c r="M2284" s="579">
        <v>1</v>
      </c>
      <c r="N2284" s="469">
        <v>10801.066410256411</v>
      </c>
      <c r="O2284" s="469">
        <v>-7498.8066276477166</v>
      </c>
    </row>
    <row r="2285" spans="4:15" ht="17.25">
      <c r="F2285" s="12"/>
      <c r="H2285" s="409"/>
      <c r="I2285" s="358"/>
      <c r="J2285" s="442"/>
      <c r="K2285" s="280"/>
      <c r="L2285" s="358"/>
      <c r="M2285" s="579"/>
      <c r="N2285" s="469"/>
      <c r="O2285" s="469"/>
    </row>
    <row r="2286" spans="4:15" ht="17.25">
      <c r="F2286" s="361">
        <v>44777</v>
      </c>
      <c r="G2286" s="361"/>
      <c r="H2286" s="409"/>
      <c r="I2286" s="358"/>
      <c r="J2286" s="442"/>
      <c r="K2286" s="280"/>
      <c r="L2286" s="358"/>
      <c r="M2286" s="579"/>
      <c r="N2286" s="469"/>
      <c r="O2286" s="469"/>
    </row>
    <row r="2287" spans="4:15" ht="17.25">
      <c r="F2287" s="12"/>
      <c r="G2287" s="112" t="s">
        <v>33</v>
      </c>
      <c r="H2287" s="409">
        <v>10</v>
      </c>
      <c r="I2287" s="358">
        <v>1000.6847826086955</v>
      </c>
      <c r="J2287" s="442">
        <v>1</v>
      </c>
      <c r="K2287" s="280">
        <v>1000.6847826086955</v>
      </c>
      <c r="L2287" s="358">
        <v>1693.55</v>
      </c>
      <c r="M2287" s="579">
        <v>1</v>
      </c>
      <c r="N2287" s="469">
        <v>1693.55</v>
      </c>
      <c r="O2287" s="469">
        <v>-692.86521739130444</v>
      </c>
    </row>
    <row r="2288" spans="4:15" ht="17.25">
      <c r="F2288" s="12"/>
      <c r="H2288" s="409"/>
      <c r="I2288" s="358"/>
      <c r="J2288" s="442"/>
      <c r="K2288" s="280"/>
      <c r="L2288" s="358"/>
      <c r="M2288" s="579"/>
      <c r="N2288" s="469"/>
      <c r="O2288" s="469"/>
    </row>
    <row r="2289" spans="3:15" ht="17.25">
      <c r="F2289" s="361">
        <v>44769</v>
      </c>
      <c r="G2289" s="361"/>
      <c r="H2289" s="409"/>
      <c r="I2289" s="358"/>
      <c r="J2289" s="442"/>
      <c r="K2289" s="280"/>
      <c r="L2289" s="358"/>
      <c r="M2289" s="579"/>
      <c r="N2289" s="469"/>
      <c r="O2289" s="469"/>
    </row>
    <row r="2290" spans="3:15" ht="17.25">
      <c r="F2290" s="12"/>
      <c r="G2290" s="112" t="s">
        <v>33</v>
      </c>
      <c r="H2290" s="409">
        <v>38</v>
      </c>
      <c r="I2290" s="358">
        <v>3802.6021739130429</v>
      </c>
      <c r="J2290" s="442">
        <v>1</v>
      </c>
      <c r="K2290" s="280">
        <v>3802.6021739130429</v>
      </c>
      <c r="L2290" s="358">
        <v>6388.49</v>
      </c>
      <c r="M2290" s="579">
        <v>1</v>
      </c>
      <c r="N2290" s="469">
        <v>6388.49</v>
      </c>
      <c r="O2290" s="469">
        <v>-2585.8878260869569</v>
      </c>
    </row>
    <row r="2291" spans="3:15" ht="17.25">
      <c r="F2291" s="12"/>
      <c r="H2291" s="409"/>
      <c r="I2291" s="358"/>
      <c r="J2291" s="442"/>
      <c r="K2291" s="280"/>
      <c r="L2291" s="358"/>
      <c r="M2291" s="579"/>
      <c r="N2291" s="469"/>
      <c r="O2291" s="469"/>
    </row>
    <row r="2292" spans="3:15" ht="17.25">
      <c r="F2292" s="361">
        <v>44781</v>
      </c>
      <c r="G2292" s="361"/>
      <c r="H2292" s="409"/>
      <c r="I2292" s="358"/>
      <c r="J2292" s="442"/>
      <c r="K2292" s="280"/>
      <c r="L2292" s="358"/>
      <c r="M2292" s="579"/>
      <c r="N2292" s="469"/>
      <c r="O2292" s="469"/>
    </row>
    <row r="2293" spans="3:15" ht="17.25">
      <c r="F2293" s="12"/>
      <c r="G2293" s="112" t="s">
        <v>33</v>
      </c>
      <c r="H2293" s="409">
        <v>11</v>
      </c>
      <c r="I2293" s="358">
        <v>1100.7532608695651</v>
      </c>
      <c r="J2293" s="442">
        <v>1</v>
      </c>
      <c r="K2293" s="280">
        <v>1100.7532608695651</v>
      </c>
      <c r="L2293" s="358">
        <v>1891.15</v>
      </c>
      <c r="M2293" s="579">
        <v>1</v>
      </c>
      <c r="N2293" s="469">
        <v>1891.15</v>
      </c>
      <c r="O2293" s="469">
        <v>-790.39673913043498</v>
      </c>
    </row>
    <row r="2294" spans="3:15" ht="17.25">
      <c r="F2294" s="12"/>
      <c r="H2294" s="409"/>
      <c r="I2294" s="358"/>
      <c r="J2294" s="442"/>
      <c r="K2294" s="280"/>
      <c r="L2294" s="358"/>
      <c r="M2294" s="579"/>
      <c r="N2294" s="469"/>
      <c r="O2294" s="469"/>
    </row>
    <row r="2295" spans="3:15" ht="17.25">
      <c r="C2295" s="342" t="s">
        <v>410</v>
      </c>
      <c r="D2295" s="342"/>
      <c r="E2295" s="342"/>
      <c r="F2295" s="342"/>
      <c r="G2295" s="342"/>
      <c r="H2295" s="410">
        <v>176</v>
      </c>
      <c r="I2295" s="407">
        <v>29293.270000000004</v>
      </c>
      <c r="J2295" s="460">
        <v>1</v>
      </c>
      <c r="K2295" s="413">
        <v>29293.270000000004</v>
      </c>
      <c r="L2295" s="407">
        <v>48267.880000000012</v>
      </c>
      <c r="M2295" s="580">
        <v>1</v>
      </c>
      <c r="N2295" s="470">
        <v>48267.880000000012</v>
      </c>
      <c r="O2295" s="470">
        <v>-18974.610000000008</v>
      </c>
    </row>
    <row r="2296" spans="3:15" ht="17.25">
      <c r="F2296" s="12"/>
      <c r="H2296" s="409"/>
      <c r="I2296" s="358"/>
      <c r="J2296" s="442"/>
      <c r="K2296" s="280"/>
      <c r="L2296" s="358"/>
      <c r="M2296" s="579"/>
      <c r="N2296" s="469"/>
      <c r="O2296" s="469"/>
    </row>
    <row r="2297" spans="3:15" ht="17.25">
      <c r="C2297" s="12" t="s">
        <v>411</v>
      </c>
      <c r="F2297" s="12"/>
      <c r="H2297" s="409"/>
      <c r="I2297" s="358"/>
      <c r="J2297" s="442"/>
      <c r="K2297" s="280"/>
      <c r="L2297" s="358"/>
      <c r="M2297" s="579"/>
      <c r="N2297" s="469"/>
      <c r="O2297" s="469"/>
    </row>
    <row r="2298" spans="3:15" ht="17.25">
      <c r="D2298" s="361">
        <v>44566</v>
      </c>
      <c r="E2298" s="361"/>
      <c r="F2298" s="361"/>
      <c r="G2298" s="361"/>
      <c r="H2298" s="409"/>
      <c r="I2298" s="358"/>
      <c r="J2298" s="442"/>
      <c r="K2298" s="280"/>
      <c r="L2298" s="358"/>
      <c r="M2298" s="579"/>
      <c r="N2298" s="469"/>
      <c r="O2298" s="469"/>
    </row>
    <row r="2299" spans="3:15" ht="17.25">
      <c r="E2299" s="12" t="s">
        <v>33</v>
      </c>
      <c r="F2299" s="12"/>
      <c r="H2299" s="409"/>
      <c r="I2299" s="358"/>
      <c r="J2299" s="442"/>
      <c r="K2299" s="280"/>
      <c r="L2299" s="358"/>
      <c r="M2299" s="579"/>
      <c r="N2299" s="469"/>
      <c r="O2299" s="469"/>
    </row>
    <row r="2300" spans="3:15" ht="17.25">
      <c r="F2300" s="361">
        <v>44503</v>
      </c>
      <c r="G2300" s="361"/>
      <c r="H2300" s="409"/>
      <c r="I2300" s="358"/>
      <c r="J2300" s="442"/>
      <c r="K2300" s="280"/>
      <c r="L2300" s="358"/>
      <c r="M2300" s="579"/>
      <c r="N2300" s="469"/>
      <c r="O2300" s="469"/>
    </row>
    <row r="2301" spans="3:15" ht="17.25">
      <c r="F2301" s="12"/>
      <c r="G2301" s="112" t="s">
        <v>33</v>
      </c>
      <c r="H2301" s="409">
        <v>23</v>
      </c>
      <c r="I2301" s="358">
        <v>1964.25</v>
      </c>
      <c r="J2301" s="442">
        <v>1</v>
      </c>
      <c r="K2301" s="280">
        <v>1964.25</v>
      </c>
      <c r="L2301" s="358">
        <v>1819.53</v>
      </c>
      <c r="M2301" s="579">
        <v>1</v>
      </c>
      <c r="N2301" s="469">
        <v>1819.53</v>
      </c>
      <c r="O2301" s="469">
        <v>144.71999999999997</v>
      </c>
    </row>
    <row r="2302" spans="3:15" ht="17.25">
      <c r="F2302" s="12"/>
      <c r="H2302" s="409"/>
      <c r="I2302" s="358"/>
      <c r="J2302" s="442"/>
      <c r="K2302" s="280"/>
      <c r="L2302" s="358"/>
      <c r="M2302" s="579"/>
      <c r="N2302" s="469"/>
      <c r="O2302" s="469"/>
    </row>
    <row r="2303" spans="3:15" ht="17.25">
      <c r="D2303" s="361">
        <v>44567</v>
      </c>
      <c r="E2303" s="361"/>
      <c r="F2303" s="361"/>
      <c r="G2303" s="361"/>
      <c r="H2303" s="409"/>
      <c r="I2303" s="358"/>
      <c r="J2303" s="442"/>
      <c r="K2303" s="280"/>
      <c r="L2303" s="358"/>
      <c r="M2303" s="579"/>
      <c r="N2303" s="469"/>
      <c r="O2303" s="469"/>
    </row>
    <row r="2304" spans="3:15" ht="17.25">
      <c r="E2304" s="12" t="s">
        <v>33</v>
      </c>
      <c r="F2304" s="12"/>
      <c r="H2304" s="409"/>
      <c r="I2304" s="358"/>
      <c r="J2304" s="442"/>
      <c r="K2304" s="280"/>
      <c r="L2304" s="358"/>
      <c r="M2304" s="579"/>
      <c r="N2304" s="469"/>
      <c r="O2304" s="469"/>
    </row>
    <row r="2305" spans="3:15" ht="17.25">
      <c r="F2305" s="361">
        <v>44503</v>
      </c>
      <c r="G2305" s="361"/>
      <c r="H2305" s="409"/>
      <c r="I2305" s="358"/>
      <c r="J2305" s="442"/>
      <c r="K2305" s="280"/>
      <c r="L2305" s="358"/>
      <c r="M2305" s="579"/>
      <c r="N2305" s="469"/>
      <c r="O2305" s="469"/>
    </row>
    <row r="2306" spans="3:15" ht="17.25">
      <c r="F2306" s="12"/>
      <c r="G2306" s="112" t="s">
        <v>33</v>
      </c>
      <c r="H2306" s="409">
        <v>7</v>
      </c>
      <c r="I2306" s="358">
        <v>597.34</v>
      </c>
      <c r="J2306" s="442">
        <v>1</v>
      </c>
      <c r="K2306" s="280">
        <v>597.34</v>
      </c>
      <c r="L2306" s="358">
        <v>553.77</v>
      </c>
      <c r="M2306" s="579">
        <v>1</v>
      </c>
      <c r="N2306" s="469">
        <v>553.77</v>
      </c>
      <c r="O2306" s="469">
        <v>43.570000000000022</v>
      </c>
    </row>
    <row r="2307" spans="3:15" ht="17.25">
      <c r="F2307" s="12"/>
      <c r="H2307" s="409"/>
      <c r="I2307" s="358"/>
      <c r="J2307" s="442"/>
      <c r="K2307" s="280"/>
      <c r="L2307" s="358"/>
      <c r="M2307" s="579"/>
      <c r="N2307" s="469"/>
      <c r="O2307" s="469"/>
    </row>
    <row r="2308" spans="3:15" ht="17.25">
      <c r="D2308" s="361">
        <v>44568</v>
      </c>
      <c r="E2308" s="361"/>
      <c r="F2308" s="361"/>
      <c r="G2308" s="361"/>
      <c r="H2308" s="409"/>
      <c r="I2308" s="358"/>
      <c r="J2308" s="442"/>
      <c r="K2308" s="280"/>
      <c r="L2308" s="358"/>
      <c r="M2308" s="579"/>
      <c r="N2308" s="469"/>
      <c r="O2308" s="469"/>
    </row>
    <row r="2309" spans="3:15" ht="17.25">
      <c r="E2309" s="12" t="s">
        <v>33</v>
      </c>
      <c r="F2309" s="12"/>
      <c r="H2309" s="409"/>
      <c r="I2309" s="358"/>
      <c r="J2309" s="442"/>
      <c r="K2309" s="280"/>
      <c r="L2309" s="358"/>
      <c r="M2309" s="579"/>
      <c r="N2309" s="469"/>
      <c r="O2309" s="469"/>
    </row>
    <row r="2310" spans="3:15" ht="17.25">
      <c r="F2310" s="361">
        <v>44503</v>
      </c>
      <c r="G2310" s="361"/>
      <c r="H2310" s="409"/>
      <c r="I2310" s="358"/>
      <c r="J2310" s="442"/>
      <c r="K2310" s="280"/>
      <c r="L2310" s="358"/>
      <c r="M2310" s="579"/>
      <c r="N2310" s="469"/>
      <c r="O2310" s="469"/>
    </row>
    <row r="2311" spans="3:15" ht="17.25">
      <c r="F2311" s="12"/>
      <c r="G2311" s="112" t="s">
        <v>33</v>
      </c>
      <c r="H2311" s="409">
        <v>30</v>
      </c>
      <c r="I2311" s="358">
        <v>2524.7799999999997</v>
      </c>
      <c r="J2311" s="442">
        <v>1</v>
      </c>
      <c r="K2311" s="280">
        <v>2524.7799999999997</v>
      </c>
      <c r="L2311" s="358">
        <v>2373.2999999999997</v>
      </c>
      <c r="M2311" s="579">
        <v>1</v>
      </c>
      <c r="N2311" s="469">
        <v>2373.2999999999997</v>
      </c>
      <c r="O2311" s="469">
        <v>151.47999999999982</v>
      </c>
    </row>
    <row r="2312" spans="3:15" ht="17.25">
      <c r="F2312" s="12"/>
      <c r="H2312" s="409"/>
      <c r="I2312" s="358"/>
      <c r="J2312" s="442"/>
      <c r="K2312" s="280"/>
      <c r="L2312" s="358"/>
      <c r="M2312" s="579"/>
      <c r="N2312" s="469"/>
      <c r="O2312" s="469"/>
    </row>
    <row r="2313" spans="3:15" ht="17.25">
      <c r="D2313" s="361">
        <v>44571</v>
      </c>
      <c r="E2313" s="361"/>
      <c r="F2313" s="361"/>
      <c r="G2313" s="361"/>
      <c r="H2313" s="409"/>
      <c r="I2313" s="358"/>
      <c r="J2313" s="442"/>
      <c r="K2313" s="280"/>
      <c r="L2313" s="358"/>
      <c r="M2313" s="579"/>
      <c r="N2313" s="469"/>
      <c r="O2313" s="469"/>
    </row>
    <row r="2314" spans="3:15" ht="17.25">
      <c r="E2314" s="12" t="s">
        <v>33</v>
      </c>
      <c r="F2314" s="12"/>
      <c r="H2314" s="409"/>
      <c r="I2314" s="358"/>
      <c r="J2314" s="442"/>
      <c r="K2314" s="280"/>
      <c r="L2314" s="358"/>
      <c r="M2314" s="579"/>
      <c r="N2314" s="469"/>
      <c r="O2314" s="469"/>
    </row>
    <row r="2315" spans="3:15" ht="17.25">
      <c r="F2315" s="361">
        <v>44503</v>
      </c>
      <c r="G2315" s="361"/>
      <c r="H2315" s="409"/>
      <c r="I2315" s="358"/>
      <c r="J2315" s="442"/>
      <c r="K2315" s="280"/>
      <c r="L2315" s="358"/>
      <c r="M2315" s="579"/>
      <c r="N2315" s="469"/>
      <c r="O2315" s="469"/>
    </row>
    <row r="2316" spans="3:15" ht="17.25">
      <c r="F2316" s="12"/>
      <c r="G2316" s="112" t="s">
        <v>33</v>
      </c>
      <c r="H2316" s="409">
        <v>26</v>
      </c>
      <c r="I2316" s="358">
        <v>2141.9300000000003</v>
      </c>
      <c r="J2316" s="442">
        <v>1</v>
      </c>
      <c r="K2316" s="280">
        <v>2141.9300000000003</v>
      </c>
      <c r="L2316" s="358">
        <v>2056.8599999999997</v>
      </c>
      <c r="M2316" s="579">
        <v>1</v>
      </c>
      <c r="N2316" s="469">
        <v>2056.8599999999997</v>
      </c>
      <c r="O2316" s="469">
        <v>85.070000000000107</v>
      </c>
    </row>
    <row r="2317" spans="3:15" ht="17.25">
      <c r="F2317" s="12"/>
      <c r="H2317" s="409"/>
      <c r="I2317" s="358"/>
      <c r="J2317" s="442"/>
      <c r="K2317" s="280"/>
      <c r="L2317" s="358"/>
      <c r="M2317" s="579"/>
      <c r="N2317" s="469"/>
      <c r="O2317" s="469"/>
    </row>
    <row r="2318" spans="3:15" ht="17.25">
      <c r="C2318" s="342" t="s">
        <v>412</v>
      </c>
      <c r="D2318" s="342"/>
      <c r="E2318" s="342"/>
      <c r="F2318" s="342"/>
      <c r="G2318" s="342"/>
      <c r="H2318" s="410">
        <v>86</v>
      </c>
      <c r="I2318" s="407">
        <v>7228.3</v>
      </c>
      <c r="J2318" s="460">
        <v>1</v>
      </c>
      <c r="K2318" s="413">
        <v>7228.3</v>
      </c>
      <c r="L2318" s="407">
        <v>6803.46</v>
      </c>
      <c r="M2318" s="580">
        <v>1</v>
      </c>
      <c r="N2318" s="470">
        <v>6803.46</v>
      </c>
      <c r="O2318" s="470">
        <v>424.83999999999992</v>
      </c>
    </row>
    <row r="2319" spans="3:15" ht="17.25">
      <c r="F2319" s="12"/>
      <c r="H2319" s="409"/>
      <c r="I2319" s="358"/>
      <c r="J2319" s="442"/>
      <c r="K2319" s="280"/>
      <c r="L2319" s="358"/>
      <c r="M2319" s="579"/>
      <c r="N2319" s="469"/>
      <c r="O2319" s="469"/>
    </row>
    <row r="2320" spans="3:15" ht="17.25">
      <c r="C2320" s="12" t="s">
        <v>413</v>
      </c>
      <c r="F2320" s="12"/>
      <c r="H2320" s="409"/>
      <c r="I2320" s="358"/>
      <c r="J2320" s="442"/>
      <c r="K2320" s="280"/>
      <c r="L2320" s="358"/>
      <c r="M2320" s="579"/>
      <c r="N2320" s="469"/>
      <c r="O2320" s="469"/>
    </row>
    <row r="2321" spans="4:15" ht="17.25">
      <c r="D2321" s="361">
        <v>44610</v>
      </c>
      <c r="E2321" s="361"/>
      <c r="F2321" s="361"/>
      <c r="G2321" s="361"/>
      <c r="H2321" s="409"/>
      <c r="I2321" s="358"/>
      <c r="J2321" s="442"/>
      <c r="K2321" s="280"/>
      <c r="L2321" s="358"/>
      <c r="M2321" s="579"/>
      <c r="N2321" s="469"/>
      <c r="O2321" s="469"/>
    </row>
    <row r="2322" spans="4:15" ht="17.25">
      <c r="E2322" s="12" t="s">
        <v>33</v>
      </c>
      <c r="F2322" s="12"/>
      <c r="H2322" s="409"/>
      <c r="I2322" s="358"/>
      <c r="J2322" s="442"/>
      <c r="K2322" s="280"/>
      <c r="L2322" s="358"/>
      <c r="M2322" s="579"/>
      <c r="N2322" s="469"/>
      <c r="O2322" s="469"/>
    </row>
    <row r="2323" spans="4:15" ht="17.25">
      <c r="F2323" s="361">
        <v>44503</v>
      </c>
      <c r="G2323" s="361"/>
      <c r="H2323" s="409"/>
      <c r="I2323" s="358"/>
      <c r="J2323" s="442"/>
      <c r="K2323" s="280"/>
      <c r="L2323" s="358"/>
      <c r="M2323" s="579"/>
      <c r="N2323" s="469"/>
      <c r="O2323" s="469"/>
    </row>
    <row r="2324" spans="4:15" ht="17.25">
      <c r="F2324" s="12"/>
      <c r="G2324" s="112" t="s">
        <v>33</v>
      </c>
      <c r="H2324" s="409">
        <v>22</v>
      </c>
      <c r="I2324" s="358">
        <v>1986.22</v>
      </c>
      <c r="J2324" s="442">
        <v>1</v>
      </c>
      <c r="K2324" s="280">
        <v>1986.22</v>
      </c>
      <c r="L2324" s="358">
        <v>1557.8200000000002</v>
      </c>
      <c r="M2324" s="579">
        <v>1</v>
      </c>
      <c r="N2324" s="469">
        <v>1557.8200000000002</v>
      </c>
      <c r="O2324" s="469">
        <v>428.39999999999986</v>
      </c>
    </row>
    <row r="2325" spans="4:15" ht="17.25">
      <c r="F2325" s="12"/>
      <c r="H2325" s="409"/>
      <c r="I2325" s="358"/>
      <c r="J2325" s="442"/>
      <c r="K2325" s="280"/>
      <c r="L2325" s="358"/>
      <c r="M2325" s="579"/>
      <c r="N2325" s="469"/>
      <c r="O2325" s="469"/>
    </row>
    <row r="2326" spans="4:15" ht="17.25">
      <c r="D2326" s="361">
        <v>44648</v>
      </c>
      <c r="E2326" s="361"/>
      <c r="F2326" s="361"/>
      <c r="G2326" s="361"/>
      <c r="H2326" s="409"/>
      <c r="I2326" s="358"/>
      <c r="J2326" s="442"/>
      <c r="K2326" s="280"/>
      <c r="L2326" s="358"/>
      <c r="M2326" s="579"/>
      <c r="N2326" s="469"/>
      <c r="O2326" s="469"/>
    </row>
    <row r="2327" spans="4:15" ht="17.25">
      <c r="E2327" s="12" t="s">
        <v>33</v>
      </c>
      <c r="F2327" s="12"/>
      <c r="H2327" s="409"/>
      <c r="I2327" s="358"/>
      <c r="J2327" s="442"/>
      <c r="K2327" s="280"/>
      <c r="L2327" s="358"/>
      <c r="M2327" s="579"/>
      <c r="N2327" s="469"/>
      <c r="O2327" s="469"/>
    </row>
    <row r="2328" spans="4:15" ht="17.25">
      <c r="F2328" s="361">
        <v>44503</v>
      </c>
      <c r="G2328" s="361"/>
      <c r="H2328" s="409"/>
      <c r="I2328" s="358"/>
      <c r="J2328" s="442"/>
      <c r="K2328" s="280"/>
      <c r="L2328" s="358"/>
      <c r="M2328" s="579"/>
      <c r="N2328" s="469"/>
      <c r="O2328" s="469"/>
    </row>
    <row r="2329" spans="4:15" ht="17.25">
      <c r="F2329" s="12"/>
      <c r="G2329" s="112" t="s">
        <v>33</v>
      </c>
      <c r="H2329" s="409">
        <v>40</v>
      </c>
      <c r="I2329" s="358">
        <v>3117.88</v>
      </c>
      <c r="J2329" s="442">
        <v>1</v>
      </c>
      <c r="K2329" s="280">
        <v>3117.88</v>
      </c>
      <c r="L2329" s="358">
        <v>2832.4</v>
      </c>
      <c r="M2329" s="579">
        <v>1</v>
      </c>
      <c r="N2329" s="469">
        <v>2832.4</v>
      </c>
      <c r="O2329" s="469">
        <v>285.48</v>
      </c>
    </row>
    <row r="2330" spans="4:15" ht="17.25">
      <c r="F2330" s="12"/>
      <c r="H2330" s="409"/>
      <c r="I2330" s="358"/>
      <c r="J2330" s="442"/>
      <c r="K2330" s="280"/>
      <c r="L2330" s="358"/>
      <c r="M2330" s="579"/>
      <c r="N2330" s="469"/>
      <c r="O2330" s="469"/>
    </row>
    <row r="2331" spans="4:15" ht="17.25">
      <c r="D2331" s="361">
        <v>44650</v>
      </c>
      <c r="E2331" s="361"/>
      <c r="F2331" s="361"/>
      <c r="G2331" s="361"/>
      <c r="H2331" s="409"/>
      <c r="I2331" s="358"/>
      <c r="J2331" s="442"/>
      <c r="K2331" s="280"/>
      <c r="L2331" s="358"/>
      <c r="M2331" s="579"/>
      <c r="N2331" s="469"/>
      <c r="O2331" s="469"/>
    </row>
    <row r="2332" spans="4:15" ht="17.25">
      <c r="E2332" s="12" t="s">
        <v>33</v>
      </c>
      <c r="F2332" s="12"/>
      <c r="H2332" s="409"/>
      <c r="I2332" s="358"/>
      <c r="J2332" s="442"/>
      <c r="K2332" s="280"/>
      <c r="L2332" s="358"/>
      <c r="M2332" s="579"/>
      <c r="N2332" s="469"/>
      <c r="O2332" s="469"/>
    </row>
    <row r="2333" spans="4:15" ht="17.25">
      <c r="F2333" s="361">
        <v>44503</v>
      </c>
      <c r="G2333" s="361"/>
      <c r="H2333" s="409"/>
      <c r="I2333" s="358"/>
      <c r="J2333" s="442"/>
      <c r="K2333" s="280"/>
      <c r="L2333" s="358"/>
      <c r="M2333" s="579"/>
      <c r="N2333" s="469"/>
      <c r="O2333" s="469"/>
    </row>
    <row r="2334" spans="4:15" ht="17.25">
      <c r="F2334" s="12"/>
      <c r="G2334" s="112" t="s">
        <v>33</v>
      </c>
      <c r="H2334" s="409">
        <v>8</v>
      </c>
      <c r="I2334" s="358">
        <v>658.69037037037037</v>
      </c>
      <c r="J2334" s="442">
        <v>1</v>
      </c>
      <c r="K2334" s="280">
        <v>658.69037037037037</v>
      </c>
      <c r="L2334" s="358">
        <v>566.48</v>
      </c>
      <c r="M2334" s="579">
        <v>1</v>
      </c>
      <c r="N2334" s="469">
        <v>566.48</v>
      </c>
      <c r="O2334" s="469">
        <v>92.210370370370356</v>
      </c>
    </row>
    <row r="2335" spans="4:15" ht="17.25">
      <c r="F2335" s="12"/>
      <c r="H2335" s="409"/>
      <c r="I2335" s="358"/>
      <c r="J2335" s="442"/>
      <c r="K2335" s="280"/>
      <c r="L2335" s="358"/>
      <c r="M2335" s="579"/>
      <c r="N2335" s="469"/>
      <c r="O2335" s="469"/>
    </row>
    <row r="2336" spans="4:15" ht="17.25">
      <c r="F2336" s="361">
        <v>44508</v>
      </c>
      <c r="G2336" s="361"/>
      <c r="H2336" s="409"/>
      <c r="I2336" s="358"/>
      <c r="J2336" s="442"/>
      <c r="K2336" s="280"/>
      <c r="L2336" s="358"/>
      <c r="M2336" s="579"/>
      <c r="N2336" s="469"/>
      <c r="O2336" s="469"/>
    </row>
    <row r="2337" spans="3:15" ht="17.25">
      <c r="F2337" s="12"/>
      <c r="G2337" s="112" t="s">
        <v>33</v>
      </c>
      <c r="H2337" s="409">
        <v>19</v>
      </c>
      <c r="I2337" s="358">
        <v>1564.3896296296296</v>
      </c>
      <c r="J2337" s="442">
        <v>1</v>
      </c>
      <c r="K2337" s="280">
        <v>1564.3896296296296</v>
      </c>
      <c r="L2337" s="358">
        <v>1419.8959090909091</v>
      </c>
      <c r="M2337" s="579">
        <v>1</v>
      </c>
      <c r="N2337" s="469">
        <v>1419.8959090909091</v>
      </c>
      <c r="O2337" s="469">
        <v>144.49372053872048</v>
      </c>
    </row>
    <row r="2338" spans="3:15" ht="17.25">
      <c r="F2338" s="12"/>
      <c r="H2338" s="409"/>
      <c r="I2338" s="358"/>
      <c r="J2338" s="442"/>
      <c r="K2338" s="280"/>
      <c r="L2338" s="358"/>
      <c r="M2338" s="579"/>
      <c r="N2338" s="469"/>
      <c r="O2338" s="469"/>
    </row>
    <row r="2339" spans="3:15" ht="17.25">
      <c r="D2339" s="361">
        <v>44652</v>
      </c>
      <c r="E2339" s="361"/>
      <c r="F2339" s="361"/>
      <c r="G2339" s="361"/>
      <c r="H2339" s="409"/>
      <c r="I2339" s="358"/>
      <c r="J2339" s="442"/>
      <c r="K2339" s="280"/>
      <c r="L2339" s="358"/>
      <c r="M2339" s="579"/>
      <c r="N2339" s="469"/>
      <c r="O2339" s="469"/>
    </row>
    <row r="2340" spans="3:15" ht="17.25">
      <c r="E2340" s="12" t="s">
        <v>33</v>
      </c>
      <c r="F2340" s="12"/>
      <c r="H2340" s="409"/>
      <c r="I2340" s="358"/>
      <c r="J2340" s="442"/>
      <c r="K2340" s="280"/>
      <c r="L2340" s="358"/>
      <c r="M2340" s="579"/>
      <c r="N2340" s="469"/>
      <c r="O2340" s="469"/>
    </row>
    <row r="2341" spans="3:15" ht="17.25">
      <c r="F2341" s="361">
        <v>44508</v>
      </c>
      <c r="G2341" s="361"/>
      <c r="H2341" s="409"/>
      <c r="I2341" s="358"/>
      <c r="J2341" s="442"/>
      <c r="K2341" s="280"/>
      <c r="L2341" s="358"/>
      <c r="M2341" s="579"/>
      <c r="N2341" s="469"/>
      <c r="O2341" s="469"/>
    </row>
    <row r="2342" spans="3:15" ht="17.25">
      <c r="F2342" s="12"/>
      <c r="G2342" s="112" t="s">
        <v>33</v>
      </c>
      <c r="H2342" s="409">
        <v>3</v>
      </c>
      <c r="I2342" s="358">
        <v>223.7581395348837</v>
      </c>
      <c r="J2342" s="442">
        <v>1</v>
      </c>
      <c r="K2342" s="280">
        <v>223.7581395348837</v>
      </c>
      <c r="L2342" s="358">
        <v>224.1940909090909</v>
      </c>
      <c r="M2342" s="579">
        <v>1</v>
      </c>
      <c r="N2342" s="469">
        <v>224.1940909090909</v>
      </c>
      <c r="O2342" s="469">
        <v>-0.43595137420720675</v>
      </c>
    </row>
    <row r="2343" spans="3:15" ht="17.25">
      <c r="F2343" s="12"/>
      <c r="H2343" s="409"/>
      <c r="I2343" s="358"/>
      <c r="J2343" s="442"/>
      <c r="K2343" s="280"/>
      <c r="L2343" s="358"/>
      <c r="M2343" s="579"/>
      <c r="N2343" s="469"/>
      <c r="O2343" s="469"/>
    </row>
    <row r="2344" spans="3:15" ht="17.25">
      <c r="F2344" s="361">
        <v>44511</v>
      </c>
      <c r="G2344" s="361"/>
      <c r="H2344" s="409"/>
      <c r="I2344" s="358"/>
      <c r="J2344" s="442"/>
      <c r="K2344" s="280"/>
      <c r="L2344" s="358"/>
      <c r="M2344" s="579"/>
      <c r="N2344" s="469"/>
      <c r="O2344" s="469"/>
    </row>
    <row r="2345" spans="3:15" ht="17.25">
      <c r="F2345" s="12"/>
      <c r="G2345" s="112" t="s">
        <v>33</v>
      </c>
      <c r="H2345" s="409">
        <v>23</v>
      </c>
      <c r="I2345" s="358">
        <v>1715.4790697674416</v>
      </c>
      <c r="J2345" s="442">
        <v>1</v>
      </c>
      <c r="K2345" s="280">
        <v>1715.4790697674416</v>
      </c>
      <c r="L2345" s="358">
        <v>1720.3</v>
      </c>
      <c r="M2345" s="579">
        <v>1</v>
      </c>
      <c r="N2345" s="469">
        <v>1720.3</v>
      </c>
      <c r="O2345" s="469">
        <v>-4.8209302325583394</v>
      </c>
    </row>
    <row r="2346" spans="3:15" ht="17.25">
      <c r="F2346" s="12"/>
      <c r="H2346" s="409"/>
      <c r="I2346" s="358"/>
      <c r="J2346" s="442"/>
      <c r="K2346" s="280"/>
      <c r="L2346" s="358"/>
      <c r="M2346" s="579"/>
      <c r="N2346" s="469"/>
      <c r="O2346" s="469"/>
    </row>
    <row r="2347" spans="3:15" ht="17.25">
      <c r="F2347" s="361">
        <v>44516</v>
      </c>
      <c r="G2347" s="361"/>
      <c r="H2347" s="409"/>
      <c r="I2347" s="358"/>
      <c r="J2347" s="442"/>
      <c r="K2347" s="280"/>
      <c r="L2347" s="358"/>
      <c r="M2347" s="579"/>
      <c r="N2347" s="469"/>
      <c r="O2347" s="469"/>
    </row>
    <row r="2348" spans="3:15" ht="17.25">
      <c r="F2348" s="12"/>
      <c r="G2348" s="112" t="s">
        <v>33</v>
      </c>
      <c r="H2348" s="409">
        <v>17</v>
      </c>
      <c r="I2348" s="358">
        <v>1267.9627906976743</v>
      </c>
      <c r="J2348" s="442">
        <v>1</v>
      </c>
      <c r="K2348" s="280">
        <v>1267.9627906976743</v>
      </c>
      <c r="L2348" s="358">
        <v>1300</v>
      </c>
      <c r="M2348" s="579">
        <v>1</v>
      </c>
      <c r="N2348" s="469">
        <v>1300</v>
      </c>
      <c r="O2348" s="469">
        <v>-32.037209302325664</v>
      </c>
    </row>
    <row r="2349" spans="3:15" ht="17.25">
      <c r="F2349" s="12"/>
      <c r="H2349" s="409"/>
      <c r="I2349" s="358"/>
      <c r="J2349" s="442"/>
      <c r="K2349" s="280"/>
      <c r="L2349" s="358"/>
      <c r="M2349" s="579"/>
      <c r="N2349" s="469"/>
      <c r="O2349" s="469"/>
    </row>
    <row r="2350" spans="3:15" ht="17.25">
      <c r="C2350" s="342" t="s">
        <v>414</v>
      </c>
      <c r="D2350" s="342"/>
      <c r="E2350" s="342"/>
      <c r="F2350" s="342"/>
      <c r="G2350" s="342"/>
      <c r="H2350" s="410">
        <v>132</v>
      </c>
      <c r="I2350" s="407">
        <v>10534.380000000001</v>
      </c>
      <c r="J2350" s="460">
        <v>1</v>
      </c>
      <c r="K2350" s="413">
        <v>10534.380000000001</v>
      </c>
      <c r="L2350" s="407">
        <v>9621.09</v>
      </c>
      <c r="M2350" s="580">
        <v>1</v>
      </c>
      <c r="N2350" s="470">
        <v>9621.09</v>
      </c>
      <c r="O2350" s="470">
        <v>913.28999999999951</v>
      </c>
    </row>
    <row r="2351" spans="3:15" ht="17.25">
      <c r="F2351" s="12"/>
      <c r="H2351" s="409"/>
      <c r="I2351" s="358"/>
      <c r="J2351" s="442"/>
      <c r="K2351" s="280"/>
      <c r="L2351" s="358"/>
      <c r="M2351" s="579"/>
      <c r="N2351" s="469"/>
      <c r="O2351" s="469"/>
    </row>
    <row r="2352" spans="3:15" ht="17.25">
      <c r="C2352" s="12" t="s">
        <v>267</v>
      </c>
      <c r="F2352" s="12"/>
      <c r="H2352" s="409"/>
      <c r="I2352" s="358"/>
      <c r="J2352" s="442"/>
      <c r="K2352" s="280"/>
      <c r="L2352" s="358"/>
      <c r="M2352" s="579"/>
      <c r="N2352" s="469"/>
      <c r="O2352" s="469"/>
    </row>
    <row r="2353" spans="3:15" ht="17.25">
      <c r="D2353" s="361">
        <v>44574</v>
      </c>
      <c r="E2353" s="361"/>
      <c r="F2353" s="361"/>
      <c r="G2353" s="361"/>
      <c r="H2353" s="409"/>
      <c r="I2353" s="358"/>
      <c r="J2353" s="442"/>
      <c r="K2353" s="280"/>
      <c r="L2353" s="358"/>
      <c r="M2353" s="579"/>
      <c r="N2353" s="469"/>
      <c r="O2353" s="469"/>
    </row>
    <row r="2354" spans="3:15" ht="17.25">
      <c r="E2354" s="12" t="s">
        <v>33</v>
      </c>
      <c r="F2354" s="12"/>
      <c r="H2354" s="409"/>
      <c r="I2354" s="358"/>
      <c r="J2354" s="442"/>
      <c r="K2354" s="280"/>
      <c r="L2354" s="358"/>
      <c r="M2354" s="579"/>
      <c r="N2354" s="469"/>
      <c r="O2354" s="469"/>
    </row>
    <row r="2355" spans="3:15" ht="17.25">
      <c r="F2355" s="361">
        <v>44503</v>
      </c>
      <c r="G2355" s="361"/>
      <c r="H2355" s="409"/>
      <c r="I2355" s="358"/>
      <c r="J2355" s="442"/>
      <c r="K2355" s="280"/>
      <c r="L2355" s="358"/>
      <c r="M2355" s="579"/>
      <c r="N2355" s="469"/>
      <c r="O2355" s="469"/>
    </row>
    <row r="2356" spans="3:15" ht="17.25">
      <c r="F2356" s="12"/>
      <c r="G2356" s="112" t="s">
        <v>33</v>
      </c>
      <c r="H2356" s="409">
        <v>10</v>
      </c>
      <c r="I2356" s="358">
        <v>3173.49</v>
      </c>
      <c r="J2356" s="442">
        <v>1</v>
      </c>
      <c r="K2356" s="280">
        <v>3173.49</v>
      </c>
      <c r="L2356" s="358">
        <v>3312.2174311926601</v>
      </c>
      <c r="M2356" s="579">
        <v>1</v>
      </c>
      <c r="N2356" s="469">
        <v>3312.2174311926601</v>
      </c>
      <c r="O2356" s="469">
        <v>-138.72743119266033</v>
      </c>
    </row>
    <row r="2357" spans="3:15" ht="17.25">
      <c r="F2357" s="12"/>
      <c r="H2357" s="409"/>
      <c r="I2357" s="358"/>
      <c r="J2357" s="442"/>
      <c r="K2357" s="280"/>
      <c r="L2357" s="358"/>
      <c r="M2357" s="579"/>
      <c r="N2357" s="469"/>
      <c r="O2357" s="469"/>
    </row>
    <row r="2358" spans="3:15" ht="17.25">
      <c r="D2358" s="361">
        <v>44580</v>
      </c>
      <c r="E2358" s="361"/>
      <c r="F2358" s="361"/>
      <c r="G2358" s="361"/>
      <c r="H2358" s="409"/>
      <c r="I2358" s="358"/>
      <c r="J2358" s="442"/>
      <c r="K2358" s="280"/>
      <c r="L2358" s="358"/>
      <c r="M2358" s="579"/>
      <c r="N2358" s="469"/>
      <c r="O2358" s="469"/>
    </row>
    <row r="2359" spans="3:15" ht="17.25">
      <c r="E2359" s="12" t="s">
        <v>33</v>
      </c>
      <c r="F2359" s="12"/>
      <c r="H2359" s="409"/>
      <c r="I2359" s="358"/>
      <c r="J2359" s="442"/>
      <c r="K2359" s="280"/>
      <c r="L2359" s="358"/>
      <c r="M2359" s="579"/>
      <c r="N2359" s="469"/>
      <c r="O2359" s="469"/>
    </row>
    <row r="2360" spans="3:15" ht="17.25">
      <c r="F2360" s="361">
        <v>44503</v>
      </c>
      <c r="G2360" s="361"/>
      <c r="H2360" s="409"/>
      <c r="I2360" s="358"/>
      <c r="J2360" s="442"/>
      <c r="K2360" s="280"/>
      <c r="L2360" s="358"/>
      <c r="M2360" s="579"/>
      <c r="N2360" s="469"/>
      <c r="O2360" s="469"/>
    </row>
    <row r="2361" spans="3:15" ht="17.25">
      <c r="F2361" s="12"/>
      <c r="G2361" s="112" t="s">
        <v>33</v>
      </c>
      <c r="H2361" s="409">
        <v>8</v>
      </c>
      <c r="I2361" s="358">
        <v>2483.88</v>
      </c>
      <c r="J2361" s="442">
        <v>1</v>
      </c>
      <c r="K2361" s="280">
        <v>2483.88</v>
      </c>
      <c r="L2361" s="358">
        <v>2649.7739449541282</v>
      </c>
      <c r="M2361" s="579">
        <v>1</v>
      </c>
      <c r="N2361" s="469">
        <v>2649.7739449541282</v>
      </c>
      <c r="O2361" s="469">
        <v>-165.89394495412807</v>
      </c>
    </row>
    <row r="2362" spans="3:15" ht="17.25">
      <c r="F2362" s="12"/>
      <c r="H2362" s="409"/>
      <c r="I2362" s="358"/>
      <c r="J2362" s="442"/>
      <c r="K2362" s="280"/>
      <c r="L2362" s="358"/>
      <c r="M2362" s="579"/>
      <c r="N2362" s="469"/>
      <c r="O2362" s="469"/>
    </row>
    <row r="2363" spans="3:15" ht="17.25">
      <c r="D2363" s="361">
        <v>44707</v>
      </c>
      <c r="E2363" s="361"/>
      <c r="F2363" s="361"/>
      <c r="G2363" s="361"/>
      <c r="H2363" s="409"/>
      <c r="I2363" s="358"/>
      <c r="J2363" s="442"/>
      <c r="K2363" s="280"/>
      <c r="L2363" s="358"/>
      <c r="M2363" s="579"/>
      <c r="N2363" s="469"/>
      <c r="O2363" s="469"/>
    </row>
    <row r="2364" spans="3:15" ht="17.25">
      <c r="E2364" s="12" t="s">
        <v>33</v>
      </c>
      <c r="F2364" s="12"/>
      <c r="H2364" s="409"/>
      <c r="I2364" s="358"/>
      <c r="J2364" s="442"/>
      <c r="K2364" s="280"/>
      <c r="L2364" s="358"/>
      <c r="M2364" s="579"/>
      <c r="N2364" s="469"/>
      <c r="O2364" s="469"/>
    </row>
    <row r="2365" spans="3:15" ht="17.25">
      <c r="F2365" s="361">
        <v>44503</v>
      </c>
      <c r="G2365" s="361"/>
      <c r="H2365" s="409"/>
      <c r="I2365" s="358"/>
      <c r="J2365" s="442"/>
      <c r="K2365" s="280"/>
      <c r="L2365" s="358"/>
      <c r="M2365" s="579"/>
      <c r="N2365" s="469"/>
      <c r="O2365" s="469"/>
    </row>
    <row r="2366" spans="3:15" ht="17.25">
      <c r="F2366" s="12"/>
      <c r="G2366" s="112" t="s">
        <v>33</v>
      </c>
      <c r="H2366" s="409">
        <v>9</v>
      </c>
      <c r="I2366" s="358">
        <v>2387.54</v>
      </c>
      <c r="J2366" s="442">
        <v>1</v>
      </c>
      <c r="K2366" s="280">
        <v>2387.54</v>
      </c>
      <c r="L2366" s="358">
        <v>2980.9956880733944</v>
      </c>
      <c r="M2366" s="579">
        <v>1</v>
      </c>
      <c r="N2366" s="469">
        <v>2980.9956880733944</v>
      </c>
      <c r="O2366" s="469">
        <v>-593.45568807339441</v>
      </c>
    </row>
    <row r="2367" spans="3:15" ht="17.25">
      <c r="F2367" s="12"/>
      <c r="H2367" s="409"/>
      <c r="I2367" s="358"/>
      <c r="J2367" s="442"/>
      <c r="K2367" s="280"/>
      <c r="L2367" s="358"/>
      <c r="M2367" s="579"/>
      <c r="N2367" s="469"/>
      <c r="O2367" s="469"/>
    </row>
    <row r="2368" spans="3:15" ht="17.25">
      <c r="C2368" s="342" t="s">
        <v>415</v>
      </c>
      <c r="D2368" s="342"/>
      <c r="E2368" s="342"/>
      <c r="F2368" s="342"/>
      <c r="G2368" s="342"/>
      <c r="H2368" s="410">
        <v>27</v>
      </c>
      <c r="I2368" s="407">
        <v>8044.91</v>
      </c>
      <c r="J2368" s="460">
        <v>1</v>
      </c>
      <c r="K2368" s="413">
        <v>8044.91</v>
      </c>
      <c r="L2368" s="407">
        <v>8942.9870642201822</v>
      </c>
      <c r="M2368" s="580">
        <v>1</v>
      </c>
      <c r="N2368" s="470">
        <v>8942.9870642201822</v>
      </c>
      <c r="O2368" s="470">
        <v>-898.07706422018282</v>
      </c>
    </row>
    <row r="2369" spans="3:15" ht="17.25">
      <c r="F2369" s="12"/>
      <c r="H2369" s="409"/>
      <c r="I2369" s="358"/>
      <c r="J2369" s="442"/>
      <c r="K2369" s="280"/>
      <c r="L2369" s="358"/>
      <c r="M2369" s="579"/>
      <c r="N2369" s="469"/>
      <c r="O2369" s="469"/>
    </row>
    <row r="2370" spans="3:15" ht="17.25">
      <c r="C2370" s="12" t="s">
        <v>416</v>
      </c>
      <c r="F2370" s="12"/>
      <c r="H2370" s="409"/>
      <c r="I2370" s="358"/>
      <c r="J2370" s="442"/>
      <c r="K2370" s="280"/>
      <c r="L2370" s="358"/>
      <c r="M2370" s="579"/>
      <c r="N2370" s="469"/>
      <c r="O2370" s="469"/>
    </row>
    <row r="2371" spans="3:15" ht="17.25">
      <c r="D2371" s="361">
        <v>44567</v>
      </c>
      <c r="E2371" s="361"/>
      <c r="F2371" s="361"/>
      <c r="G2371" s="361"/>
      <c r="H2371" s="409"/>
      <c r="I2371" s="358"/>
      <c r="J2371" s="442"/>
      <c r="K2371" s="280"/>
      <c r="L2371" s="358"/>
      <c r="M2371" s="579"/>
      <c r="N2371" s="469"/>
      <c r="O2371" s="469"/>
    </row>
    <row r="2372" spans="3:15" ht="17.25">
      <c r="E2372" s="12" t="s">
        <v>33</v>
      </c>
      <c r="F2372" s="12"/>
      <c r="H2372" s="409"/>
      <c r="I2372" s="358"/>
      <c r="J2372" s="442"/>
      <c r="K2372" s="280"/>
      <c r="L2372" s="358"/>
      <c r="M2372" s="579"/>
      <c r="N2372" s="469"/>
      <c r="O2372" s="469"/>
    </row>
    <row r="2373" spans="3:15" ht="17.25">
      <c r="F2373" s="361">
        <v>44509</v>
      </c>
      <c r="G2373" s="361"/>
      <c r="H2373" s="409"/>
      <c r="I2373" s="358"/>
      <c r="J2373" s="442"/>
      <c r="K2373" s="280"/>
      <c r="L2373" s="358"/>
      <c r="M2373" s="579"/>
      <c r="N2373" s="469"/>
      <c r="O2373" s="469"/>
    </row>
    <row r="2374" spans="3:15" ht="17.25">
      <c r="F2374" s="12"/>
      <c r="G2374" s="112" t="s">
        <v>33</v>
      </c>
      <c r="H2374" s="409">
        <v>3</v>
      </c>
      <c r="I2374" s="358">
        <v>725.59</v>
      </c>
      <c r="J2374" s="442">
        <v>1</v>
      </c>
      <c r="K2374" s="280">
        <v>725.59</v>
      </c>
      <c r="L2374" s="358">
        <v>1244.6775</v>
      </c>
      <c r="M2374" s="579">
        <v>1</v>
      </c>
      <c r="N2374" s="469">
        <v>1244.6775</v>
      </c>
      <c r="O2374" s="469">
        <v>-519.08749999999998</v>
      </c>
    </row>
    <row r="2375" spans="3:15" ht="17.25">
      <c r="F2375" s="12"/>
      <c r="H2375" s="409"/>
      <c r="I2375" s="358"/>
      <c r="J2375" s="442"/>
      <c r="K2375" s="280"/>
      <c r="L2375" s="358"/>
      <c r="M2375" s="579"/>
      <c r="N2375" s="469"/>
      <c r="O2375" s="469"/>
    </row>
    <row r="2376" spans="3:15" ht="17.25">
      <c r="D2376" s="361">
        <v>44568</v>
      </c>
      <c r="E2376" s="361"/>
      <c r="F2376" s="361"/>
      <c r="G2376" s="361"/>
      <c r="H2376" s="409"/>
      <c r="I2376" s="358"/>
      <c r="J2376" s="442"/>
      <c r="K2376" s="280"/>
      <c r="L2376" s="358"/>
      <c r="M2376" s="579"/>
      <c r="N2376" s="469"/>
      <c r="O2376" s="469"/>
    </row>
    <row r="2377" spans="3:15" ht="17.25">
      <c r="E2377" s="12" t="s">
        <v>33</v>
      </c>
      <c r="F2377" s="12"/>
      <c r="H2377" s="409"/>
      <c r="I2377" s="358"/>
      <c r="J2377" s="442"/>
      <c r="K2377" s="280"/>
      <c r="L2377" s="358"/>
      <c r="M2377" s="579"/>
      <c r="N2377" s="469"/>
      <c r="O2377" s="469"/>
    </row>
    <row r="2378" spans="3:15" ht="17.25">
      <c r="F2378" s="361">
        <v>44509</v>
      </c>
      <c r="G2378" s="361"/>
      <c r="H2378" s="409"/>
      <c r="I2378" s="358"/>
      <c r="J2378" s="442"/>
      <c r="K2378" s="280"/>
      <c r="L2378" s="358"/>
      <c r="M2378" s="579"/>
      <c r="N2378" s="469"/>
      <c r="O2378" s="469"/>
    </row>
    <row r="2379" spans="3:15" ht="17.25">
      <c r="F2379" s="12"/>
      <c r="G2379" s="112" t="s">
        <v>33</v>
      </c>
      <c r="H2379" s="409">
        <v>6</v>
      </c>
      <c r="I2379" s="358">
        <v>1438.99</v>
      </c>
      <c r="J2379" s="442">
        <v>1</v>
      </c>
      <c r="K2379" s="280">
        <v>1438.99</v>
      </c>
      <c r="L2379" s="358">
        <v>2528.7225000000003</v>
      </c>
      <c r="M2379" s="579">
        <v>1</v>
      </c>
      <c r="N2379" s="469">
        <v>2528.7225000000003</v>
      </c>
      <c r="O2379" s="469">
        <v>-1089.7325000000001</v>
      </c>
    </row>
    <row r="2380" spans="3:15" ht="17.25">
      <c r="F2380" s="12"/>
      <c r="H2380" s="409"/>
      <c r="I2380" s="358"/>
      <c r="J2380" s="442"/>
      <c r="K2380" s="280"/>
      <c r="L2380" s="358"/>
      <c r="M2380" s="579"/>
      <c r="N2380" s="469"/>
      <c r="O2380" s="469"/>
    </row>
    <row r="2381" spans="3:15" ht="17.25">
      <c r="F2381" s="361">
        <v>44537</v>
      </c>
      <c r="G2381" s="361"/>
      <c r="H2381" s="409"/>
      <c r="I2381" s="358"/>
      <c r="J2381" s="442"/>
      <c r="K2381" s="280"/>
      <c r="L2381" s="358"/>
      <c r="M2381" s="579"/>
      <c r="N2381" s="469"/>
      <c r="O2381" s="469"/>
    </row>
    <row r="2382" spans="3:15" ht="17.25">
      <c r="F2382" s="12"/>
      <c r="G2382" s="112" t="s">
        <v>33</v>
      </c>
      <c r="H2382" s="409">
        <v>2</v>
      </c>
      <c r="I2382" s="358">
        <v>479.96400000000006</v>
      </c>
      <c r="J2382" s="442">
        <v>1</v>
      </c>
      <c r="K2382" s="280">
        <v>479.96400000000006</v>
      </c>
      <c r="L2382" s="358">
        <v>641.48</v>
      </c>
      <c r="M2382" s="579">
        <v>1</v>
      </c>
      <c r="N2382" s="469">
        <v>641.48</v>
      </c>
      <c r="O2382" s="469">
        <v>-161.51599999999996</v>
      </c>
    </row>
    <row r="2383" spans="3:15" ht="17.25">
      <c r="F2383" s="12"/>
      <c r="H2383" s="409"/>
      <c r="I2383" s="358"/>
      <c r="J2383" s="442"/>
      <c r="K2383" s="280"/>
      <c r="L2383" s="358"/>
      <c r="M2383" s="579"/>
      <c r="N2383" s="469"/>
      <c r="O2383" s="469"/>
    </row>
    <row r="2384" spans="3:15" ht="17.25">
      <c r="F2384" s="361">
        <v>44510</v>
      </c>
      <c r="G2384" s="361"/>
      <c r="H2384" s="409"/>
      <c r="I2384" s="358"/>
      <c r="J2384" s="442"/>
      <c r="K2384" s="280"/>
      <c r="L2384" s="358"/>
      <c r="M2384" s="579"/>
      <c r="N2384" s="469"/>
      <c r="O2384" s="469"/>
    </row>
    <row r="2385" spans="3:15" ht="17.25">
      <c r="F2385" s="12"/>
      <c r="G2385" s="112" t="s">
        <v>33</v>
      </c>
      <c r="H2385" s="409">
        <v>3</v>
      </c>
      <c r="I2385" s="358">
        <v>719.94600000000014</v>
      </c>
      <c r="J2385" s="442">
        <v>1</v>
      </c>
      <c r="K2385" s="280">
        <v>719.94600000000014</v>
      </c>
      <c r="L2385" s="358">
        <v>1085.1300000000001</v>
      </c>
      <c r="M2385" s="579">
        <v>1</v>
      </c>
      <c r="N2385" s="469">
        <v>1085.1300000000001</v>
      </c>
      <c r="O2385" s="469">
        <v>-365.18399999999997</v>
      </c>
    </row>
    <row r="2386" spans="3:15" ht="17.25">
      <c r="F2386" s="12"/>
      <c r="H2386" s="409"/>
      <c r="I2386" s="358"/>
      <c r="J2386" s="442"/>
      <c r="K2386" s="280"/>
      <c r="L2386" s="358"/>
      <c r="M2386" s="579"/>
      <c r="N2386" s="469"/>
      <c r="O2386" s="469"/>
    </row>
    <row r="2387" spans="3:15" ht="17.25">
      <c r="C2387" s="342" t="s">
        <v>417</v>
      </c>
      <c r="D2387" s="342"/>
      <c r="E2387" s="342"/>
      <c r="F2387" s="342"/>
      <c r="G2387" s="342"/>
      <c r="H2387" s="410">
        <v>14</v>
      </c>
      <c r="I2387" s="407">
        <v>3364.49</v>
      </c>
      <c r="J2387" s="460">
        <v>1</v>
      </c>
      <c r="K2387" s="413">
        <v>3364.49</v>
      </c>
      <c r="L2387" s="407">
        <v>5500.01</v>
      </c>
      <c r="M2387" s="580">
        <v>1</v>
      </c>
      <c r="N2387" s="470">
        <v>5500.01</v>
      </c>
      <c r="O2387" s="470">
        <v>-2135.5200000000004</v>
      </c>
    </row>
    <row r="2388" spans="3:15" ht="17.25">
      <c r="F2388" s="12"/>
      <c r="H2388" s="409"/>
      <c r="I2388" s="358"/>
      <c r="J2388" s="442"/>
      <c r="K2388" s="280"/>
      <c r="L2388" s="358"/>
      <c r="M2388" s="579"/>
      <c r="N2388" s="469"/>
      <c r="O2388" s="469"/>
    </row>
    <row r="2389" spans="3:15" ht="17.25">
      <c r="C2389" s="12" t="s">
        <v>268</v>
      </c>
      <c r="F2389" s="12"/>
      <c r="H2389" s="409"/>
      <c r="I2389" s="358"/>
      <c r="J2389" s="442"/>
      <c r="K2389" s="280"/>
      <c r="L2389" s="358"/>
      <c r="M2389" s="579"/>
      <c r="N2389" s="469"/>
      <c r="O2389" s="469"/>
    </row>
    <row r="2390" spans="3:15" ht="17.25">
      <c r="D2390" s="361">
        <v>44634</v>
      </c>
      <c r="E2390" s="361"/>
      <c r="F2390" s="361"/>
      <c r="G2390" s="361"/>
      <c r="H2390" s="409"/>
      <c r="I2390" s="358"/>
      <c r="J2390" s="442"/>
      <c r="K2390" s="280"/>
      <c r="L2390" s="358"/>
      <c r="M2390" s="579"/>
      <c r="N2390" s="469"/>
      <c r="O2390" s="469"/>
    </row>
    <row r="2391" spans="3:15" ht="17.25">
      <c r="E2391" s="12" t="s">
        <v>33</v>
      </c>
      <c r="F2391" s="12"/>
      <c r="H2391" s="409"/>
      <c r="I2391" s="358"/>
      <c r="J2391" s="442"/>
      <c r="K2391" s="280"/>
      <c r="L2391" s="358"/>
      <c r="M2391" s="579"/>
      <c r="N2391" s="469"/>
      <c r="O2391" s="469"/>
    </row>
    <row r="2392" spans="3:15" ht="17.25">
      <c r="F2392" s="361">
        <v>44581</v>
      </c>
      <c r="G2392" s="361"/>
      <c r="H2392" s="409"/>
      <c r="I2392" s="358"/>
      <c r="J2392" s="442"/>
      <c r="K2392" s="280"/>
      <c r="L2392" s="358"/>
      <c r="M2392" s="579"/>
      <c r="N2392" s="469"/>
      <c r="O2392" s="469"/>
    </row>
    <row r="2393" spans="3:15" ht="17.25">
      <c r="F2393" s="12"/>
      <c r="G2393" s="112" t="s">
        <v>33</v>
      </c>
      <c r="H2393" s="409">
        <v>6</v>
      </c>
      <c r="I2393" s="358">
        <v>1762.07</v>
      </c>
      <c r="J2393" s="442">
        <v>1</v>
      </c>
      <c r="K2393" s="280">
        <v>1762.07</v>
      </c>
      <c r="L2393" s="358">
        <v>2370.2799999999997</v>
      </c>
      <c r="M2393" s="579">
        <v>1</v>
      </c>
      <c r="N2393" s="469">
        <v>2370.2799999999997</v>
      </c>
      <c r="O2393" s="469">
        <v>-608.21</v>
      </c>
    </row>
    <row r="2394" spans="3:15" ht="17.25">
      <c r="F2394" s="12"/>
      <c r="H2394" s="409"/>
      <c r="I2394" s="358"/>
      <c r="J2394" s="442"/>
      <c r="K2394" s="280"/>
      <c r="L2394" s="358"/>
      <c r="M2394" s="579"/>
      <c r="N2394" s="469"/>
      <c r="O2394" s="469"/>
    </row>
    <row r="2395" spans="3:15" ht="17.25">
      <c r="D2395" s="361">
        <v>44914</v>
      </c>
      <c r="E2395" s="361"/>
      <c r="F2395" s="361"/>
      <c r="G2395" s="361"/>
      <c r="H2395" s="409"/>
      <c r="I2395" s="358"/>
      <c r="J2395" s="442"/>
      <c r="K2395" s="280"/>
      <c r="L2395" s="358"/>
      <c r="M2395" s="579"/>
      <c r="N2395" s="469"/>
      <c r="O2395" s="469"/>
    </row>
    <row r="2396" spans="3:15" ht="17.25">
      <c r="E2396" s="12" t="s">
        <v>33</v>
      </c>
      <c r="F2396" s="12"/>
      <c r="H2396" s="409"/>
      <c r="I2396" s="358"/>
      <c r="J2396" s="442"/>
      <c r="K2396" s="280"/>
      <c r="L2396" s="358"/>
      <c r="M2396" s="579"/>
      <c r="N2396" s="469"/>
      <c r="O2396" s="469"/>
    </row>
    <row r="2397" spans="3:15" ht="17.25">
      <c r="F2397" s="361">
        <v>44587</v>
      </c>
      <c r="G2397" s="361"/>
      <c r="H2397" s="409"/>
      <c r="I2397" s="358"/>
      <c r="J2397" s="442"/>
      <c r="K2397" s="280"/>
      <c r="L2397" s="358"/>
      <c r="M2397" s="579"/>
      <c r="N2397" s="469"/>
      <c r="O2397" s="469"/>
    </row>
    <row r="2398" spans="3:15" ht="17.25">
      <c r="F2398" s="12"/>
      <c r="G2398" s="112" t="s">
        <v>33</v>
      </c>
      <c r="H2398" s="409">
        <v>3</v>
      </c>
      <c r="I2398" s="358">
        <v>574.91999999999996</v>
      </c>
      <c r="J2398" s="442">
        <v>1</v>
      </c>
      <c r="K2398" s="280">
        <v>574.91999999999996</v>
      </c>
      <c r="L2398" s="358">
        <v>1098.8200000000002</v>
      </c>
      <c r="M2398" s="579">
        <v>1</v>
      </c>
      <c r="N2398" s="469">
        <v>1098.8200000000002</v>
      </c>
      <c r="O2398" s="469">
        <v>-523.90000000000009</v>
      </c>
    </row>
    <row r="2399" spans="3:15" ht="17.25">
      <c r="F2399" s="12"/>
      <c r="H2399" s="409"/>
      <c r="I2399" s="358"/>
      <c r="J2399" s="442"/>
      <c r="K2399" s="280"/>
      <c r="L2399" s="358"/>
      <c r="M2399" s="579"/>
      <c r="N2399" s="469"/>
      <c r="O2399" s="469"/>
    </row>
    <row r="2400" spans="3:15" ht="17.25">
      <c r="F2400" s="361">
        <v>44592</v>
      </c>
      <c r="G2400" s="361"/>
      <c r="H2400" s="409"/>
      <c r="I2400" s="358"/>
      <c r="J2400" s="442"/>
      <c r="K2400" s="280"/>
      <c r="L2400" s="358"/>
      <c r="M2400" s="579"/>
      <c r="N2400" s="469"/>
      <c r="O2400" s="469"/>
    </row>
    <row r="2401" spans="3:15" ht="17.25">
      <c r="F2401" s="12"/>
      <c r="G2401" s="112" t="s">
        <v>33</v>
      </c>
      <c r="H2401" s="409">
        <v>1</v>
      </c>
      <c r="I2401" s="358">
        <v>194.80250000000001</v>
      </c>
      <c r="J2401" s="442">
        <v>1</v>
      </c>
      <c r="K2401" s="280">
        <v>194.80250000000001</v>
      </c>
      <c r="L2401" s="358">
        <v>399.45333333333332</v>
      </c>
      <c r="M2401" s="579">
        <v>1</v>
      </c>
      <c r="N2401" s="469">
        <v>399.45333333333332</v>
      </c>
      <c r="O2401" s="469">
        <v>-204.65083333333331</v>
      </c>
    </row>
    <row r="2402" spans="3:15" ht="17.25">
      <c r="F2402" s="12"/>
      <c r="H2402" s="409"/>
      <c r="I2402" s="358"/>
      <c r="J2402" s="442"/>
      <c r="K2402" s="280"/>
      <c r="L2402" s="358"/>
      <c r="M2402" s="579"/>
      <c r="N2402" s="469"/>
      <c r="O2402" s="469"/>
    </row>
    <row r="2403" spans="3:15" ht="17.25">
      <c r="F2403" s="361">
        <v>44589</v>
      </c>
      <c r="G2403" s="361"/>
      <c r="H2403" s="409"/>
      <c r="I2403" s="358"/>
      <c r="J2403" s="442"/>
      <c r="K2403" s="280"/>
      <c r="L2403" s="358"/>
      <c r="M2403" s="579"/>
      <c r="N2403" s="469"/>
      <c r="O2403" s="469"/>
    </row>
    <row r="2404" spans="3:15" ht="17.25">
      <c r="F2404" s="12"/>
      <c r="G2404" s="112" t="s">
        <v>33</v>
      </c>
      <c r="H2404" s="409">
        <v>3</v>
      </c>
      <c r="I2404" s="358">
        <v>584.40750000000003</v>
      </c>
      <c r="J2404" s="442">
        <v>1</v>
      </c>
      <c r="K2404" s="280">
        <v>584.40750000000003</v>
      </c>
      <c r="L2404" s="358">
        <v>1090.6199999999999</v>
      </c>
      <c r="M2404" s="579">
        <v>1</v>
      </c>
      <c r="N2404" s="469">
        <v>1090.6199999999999</v>
      </c>
      <c r="O2404" s="469">
        <v>-506.21249999999986</v>
      </c>
    </row>
    <row r="2405" spans="3:15" ht="17.25">
      <c r="F2405" s="12"/>
      <c r="H2405" s="409"/>
      <c r="I2405" s="358"/>
      <c r="J2405" s="442"/>
      <c r="K2405" s="280"/>
      <c r="L2405" s="358"/>
      <c r="M2405" s="579"/>
      <c r="N2405" s="469"/>
      <c r="O2405" s="469"/>
    </row>
    <row r="2406" spans="3:15" ht="17.25">
      <c r="C2406" s="342" t="s">
        <v>418</v>
      </c>
      <c r="D2406" s="342"/>
      <c r="E2406" s="342"/>
      <c r="F2406" s="342"/>
      <c r="G2406" s="342"/>
      <c r="H2406" s="410">
        <v>13</v>
      </c>
      <c r="I2406" s="407">
        <v>3116.2</v>
      </c>
      <c r="J2406" s="460">
        <v>1</v>
      </c>
      <c r="K2406" s="413">
        <v>3116.2</v>
      </c>
      <c r="L2406" s="407">
        <v>4959.1733333333332</v>
      </c>
      <c r="M2406" s="580">
        <v>1</v>
      </c>
      <c r="N2406" s="470">
        <v>4959.1733333333332</v>
      </c>
      <c r="O2406" s="470">
        <v>-1842.9733333333334</v>
      </c>
    </row>
    <row r="2407" spans="3:15" ht="17.25">
      <c r="F2407" s="12"/>
      <c r="H2407" s="409"/>
      <c r="I2407" s="358"/>
      <c r="J2407" s="442"/>
      <c r="K2407" s="280"/>
      <c r="L2407" s="358"/>
      <c r="M2407" s="579"/>
      <c r="N2407" s="469"/>
      <c r="O2407" s="469"/>
    </row>
    <row r="2408" spans="3:15" ht="17.25">
      <c r="C2408" s="12" t="s">
        <v>269</v>
      </c>
      <c r="F2408" s="12"/>
      <c r="H2408" s="409"/>
      <c r="I2408" s="358"/>
      <c r="J2408" s="442"/>
      <c r="K2408" s="280"/>
      <c r="L2408" s="358"/>
      <c r="M2408" s="579"/>
      <c r="N2408" s="469"/>
      <c r="O2408" s="469"/>
    </row>
    <row r="2409" spans="3:15" ht="17.25">
      <c r="D2409" s="361">
        <v>44644</v>
      </c>
      <c r="E2409" s="361"/>
      <c r="F2409" s="361"/>
      <c r="G2409" s="361"/>
      <c r="H2409" s="409"/>
      <c r="I2409" s="358"/>
      <c r="J2409" s="442"/>
      <c r="K2409" s="280"/>
      <c r="L2409" s="358"/>
      <c r="M2409" s="579"/>
      <c r="N2409" s="469"/>
      <c r="O2409" s="469"/>
    </row>
    <row r="2410" spans="3:15" ht="17.25">
      <c r="E2410" s="12" t="s">
        <v>33</v>
      </c>
      <c r="F2410" s="12"/>
      <c r="H2410" s="409"/>
      <c r="I2410" s="358"/>
      <c r="J2410" s="442"/>
      <c r="K2410" s="280"/>
      <c r="L2410" s="358"/>
      <c r="M2410" s="579"/>
      <c r="N2410" s="469"/>
      <c r="O2410" s="469"/>
    </row>
    <row r="2411" spans="3:15" ht="17.25">
      <c r="F2411" s="361">
        <v>44503</v>
      </c>
      <c r="G2411" s="361"/>
      <c r="H2411" s="409"/>
      <c r="I2411" s="358"/>
      <c r="J2411" s="442"/>
      <c r="K2411" s="280"/>
      <c r="L2411" s="358"/>
      <c r="M2411" s="579"/>
      <c r="N2411" s="469"/>
      <c r="O2411" s="469"/>
    </row>
    <row r="2412" spans="3:15" ht="17.25">
      <c r="F2412" s="12"/>
      <c r="G2412" s="112" t="s">
        <v>33</v>
      </c>
      <c r="H2412" s="409">
        <v>12</v>
      </c>
      <c r="I2412" s="358">
        <v>3345.96</v>
      </c>
      <c r="J2412" s="442">
        <v>1</v>
      </c>
      <c r="K2412" s="280">
        <v>3345.96</v>
      </c>
      <c r="L2412" s="358">
        <v>3161.4759493670881</v>
      </c>
      <c r="M2412" s="579">
        <v>1</v>
      </c>
      <c r="N2412" s="469">
        <v>3161.4759493670881</v>
      </c>
      <c r="O2412" s="469">
        <v>184.48405063291193</v>
      </c>
    </row>
    <row r="2413" spans="3:15" ht="17.25">
      <c r="F2413" s="12"/>
      <c r="H2413" s="409"/>
      <c r="I2413" s="358"/>
      <c r="J2413" s="442"/>
      <c r="K2413" s="280"/>
      <c r="L2413" s="358"/>
      <c r="M2413" s="579"/>
      <c r="N2413" s="469"/>
      <c r="O2413" s="469"/>
    </row>
    <row r="2414" spans="3:15" ht="17.25">
      <c r="D2414" s="361">
        <v>44645</v>
      </c>
      <c r="E2414" s="361"/>
      <c r="F2414" s="361"/>
      <c r="G2414" s="361"/>
      <c r="H2414" s="409"/>
      <c r="I2414" s="358"/>
      <c r="J2414" s="442"/>
      <c r="K2414" s="280"/>
      <c r="L2414" s="358"/>
      <c r="M2414" s="579"/>
      <c r="N2414" s="469"/>
      <c r="O2414" s="469"/>
    </row>
    <row r="2415" spans="3:15" ht="17.25">
      <c r="E2415" s="12" t="s">
        <v>33</v>
      </c>
      <c r="F2415" s="12"/>
      <c r="H2415" s="409"/>
      <c r="I2415" s="358"/>
      <c r="J2415" s="442"/>
      <c r="K2415" s="280"/>
      <c r="L2415" s="358"/>
      <c r="M2415" s="579"/>
      <c r="N2415" s="469"/>
      <c r="O2415" s="469"/>
    </row>
    <row r="2416" spans="3:15" ht="17.25">
      <c r="F2416" s="361">
        <v>44503</v>
      </c>
      <c r="G2416" s="361"/>
      <c r="H2416" s="409"/>
      <c r="I2416" s="358"/>
      <c r="J2416" s="442"/>
      <c r="K2416" s="280"/>
      <c r="L2416" s="358"/>
      <c r="M2416" s="579"/>
      <c r="N2416" s="469"/>
      <c r="O2416" s="469"/>
    </row>
    <row r="2417" spans="3:15" ht="17.25">
      <c r="F2417" s="12"/>
      <c r="G2417" s="112" t="s">
        <v>33</v>
      </c>
      <c r="H2417" s="409">
        <v>11</v>
      </c>
      <c r="I2417" s="358">
        <v>3007.67</v>
      </c>
      <c r="J2417" s="442">
        <v>1</v>
      </c>
      <c r="K2417" s="280">
        <v>3007.67</v>
      </c>
      <c r="L2417" s="358">
        <v>2898.0196202531642</v>
      </c>
      <c r="M2417" s="579">
        <v>1</v>
      </c>
      <c r="N2417" s="469">
        <v>2898.0196202531642</v>
      </c>
      <c r="O2417" s="469">
        <v>109.65037974683582</v>
      </c>
    </row>
    <row r="2418" spans="3:15" ht="17.25">
      <c r="F2418" s="12"/>
      <c r="H2418" s="409"/>
      <c r="I2418" s="358"/>
      <c r="J2418" s="442"/>
      <c r="K2418" s="280"/>
      <c r="L2418" s="358"/>
      <c r="M2418" s="579"/>
      <c r="N2418" s="469"/>
      <c r="O2418" s="469"/>
    </row>
    <row r="2419" spans="3:15" ht="17.25">
      <c r="D2419" s="361">
        <v>44652</v>
      </c>
      <c r="E2419" s="361"/>
      <c r="F2419" s="361"/>
      <c r="G2419" s="361"/>
      <c r="H2419" s="409"/>
      <c r="I2419" s="358"/>
      <c r="J2419" s="442"/>
      <c r="K2419" s="280"/>
      <c r="L2419" s="358"/>
      <c r="M2419" s="579"/>
      <c r="N2419" s="469"/>
      <c r="O2419" s="469"/>
    </row>
    <row r="2420" spans="3:15" ht="17.25">
      <c r="E2420" s="12" t="s">
        <v>33</v>
      </c>
      <c r="F2420" s="12"/>
      <c r="H2420" s="409"/>
      <c r="I2420" s="358"/>
      <c r="J2420" s="442"/>
      <c r="K2420" s="280"/>
      <c r="L2420" s="358"/>
      <c r="M2420" s="579"/>
      <c r="N2420" s="469"/>
      <c r="O2420" s="469"/>
    </row>
    <row r="2421" spans="3:15" ht="17.25">
      <c r="F2421" s="361">
        <v>44503</v>
      </c>
      <c r="G2421" s="361"/>
      <c r="H2421" s="409"/>
      <c r="I2421" s="358"/>
      <c r="J2421" s="442"/>
      <c r="K2421" s="280"/>
      <c r="L2421" s="358"/>
      <c r="M2421" s="579"/>
      <c r="N2421" s="469"/>
      <c r="O2421" s="469"/>
    </row>
    <row r="2422" spans="3:15" ht="17.25">
      <c r="F2422" s="12"/>
      <c r="G2422" s="112" t="s">
        <v>33</v>
      </c>
      <c r="H2422" s="409">
        <v>9</v>
      </c>
      <c r="I2422" s="358">
        <v>2387.7600000000002</v>
      </c>
      <c r="J2422" s="442">
        <v>1</v>
      </c>
      <c r="K2422" s="280">
        <v>2387.7600000000002</v>
      </c>
      <c r="L2422" s="358">
        <v>2371.1069620253161</v>
      </c>
      <c r="M2422" s="579">
        <v>1</v>
      </c>
      <c r="N2422" s="469">
        <v>2371.1069620253161</v>
      </c>
      <c r="O2422" s="469">
        <v>16.653037974684139</v>
      </c>
    </row>
    <row r="2423" spans="3:15" ht="17.25">
      <c r="F2423" s="12"/>
      <c r="H2423" s="409"/>
      <c r="I2423" s="358"/>
      <c r="J2423" s="442"/>
      <c r="K2423" s="280"/>
      <c r="L2423" s="358"/>
      <c r="M2423" s="579"/>
      <c r="N2423" s="469"/>
      <c r="O2423" s="469"/>
    </row>
    <row r="2424" spans="3:15" ht="17.25">
      <c r="C2424" s="342" t="s">
        <v>419</v>
      </c>
      <c r="D2424" s="342"/>
      <c r="E2424" s="342"/>
      <c r="F2424" s="342"/>
      <c r="G2424" s="342"/>
      <c r="H2424" s="410">
        <v>32</v>
      </c>
      <c r="I2424" s="407">
        <v>8741.39</v>
      </c>
      <c r="J2424" s="460">
        <v>1</v>
      </c>
      <c r="K2424" s="413">
        <v>8741.39</v>
      </c>
      <c r="L2424" s="407">
        <v>8430.6025316455689</v>
      </c>
      <c r="M2424" s="580">
        <v>1</v>
      </c>
      <c r="N2424" s="470">
        <v>8430.6025316455689</v>
      </c>
      <c r="O2424" s="470">
        <v>310.78746835443189</v>
      </c>
    </row>
    <row r="2425" spans="3:15" ht="17.25">
      <c r="F2425" s="12"/>
      <c r="H2425" s="409"/>
      <c r="I2425" s="358"/>
      <c r="J2425" s="442"/>
      <c r="K2425" s="280"/>
      <c r="L2425" s="358"/>
      <c r="M2425" s="579"/>
      <c r="N2425" s="469"/>
      <c r="O2425" s="469"/>
    </row>
    <row r="2426" spans="3:15" ht="17.25">
      <c r="C2426" s="12" t="s">
        <v>420</v>
      </c>
      <c r="F2426" s="12"/>
      <c r="H2426" s="409"/>
      <c r="I2426" s="358"/>
      <c r="J2426" s="442"/>
      <c r="K2426" s="280"/>
      <c r="L2426" s="358"/>
      <c r="M2426" s="579"/>
      <c r="N2426" s="469"/>
      <c r="O2426" s="469"/>
    </row>
    <row r="2427" spans="3:15" ht="17.25">
      <c r="D2427" s="361">
        <v>44581</v>
      </c>
      <c r="E2427" s="361"/>
      <c r="F2427" s="361"/>
      <c r="G2427" s="361"/>
      <c r="H2427" s="409"/>
      <c r="I2427" s="358"/>
      <c r="J2427" s="442"/>
      <c r="K2427" s="280"/>
      <c r="L2427" s="358"/>
      <c r="M2427" s="579"/>
      <c r="N2427" s="469"/>
      <c r="O2427" s="469"/>
    </row>
    <row r="2428" spans="3:15" ht="17.25">
      <c r="E2428" s="12" t="s">
        <v>33</v>
      </c>
      <c r="F2428" s="12"/>
      <c r="H2428" s="409"/>
      <c r="I2428" s="358"/>
      <c r="J2428" s="442"/>
      <c r="K2428" s="280"/>
      <c r="L2428" s="358"/>
      <c r="M2428" s="579"/>
      <c r="N2428" s="469"/>
      <c r="O2428" s="469"/>
    </row>
    <row r="2429" spans="3:15" ht="17.25">
      <c r="F2429" s="361">
        <v>44503</v>
      </c>
      <c r="G2429" s="361"/>
      <c r="H2429" s="409"/>
      <c r="I2429" s="358"/>
      <c r="J2429" s="442"/>
      <c r="K2429" s="280"/>
      <c r="L2429" s="358"/>
      <c r="M2429" s="579"/>
      <c r="N2429" s="469"/>
      <c r="O2429" s="469"/>
    </row>
    <row r="2430" spans="3:15" ht="17.25">
      <c r="F2430" s="12"/>
      <c r="G2430" s="112" t="s">
        <v>33</v>
      </c>
      <c r="H2430" s="409">
        <v>10</v>
      </c>
      <c r="I2430" s="358">
        <v>2070.73</v>
      </c>
      <c r="J2430" s="442">
        <v>1</v>
      </c>
      <c r="K2430" s="280">
        <v>2070.73</v>
      </c>
      <c r="L2430" s="358">
        <v>2150.5855072463769</v>
      </c>
      <c r="M2430" s="579">
        <v>1</v>
      </c>
      <c r="N2430" s="469">
        <v>2150.5855072463769</v>
      </c>
      <c r="O2430" s="469">
        <v>-79.855507246376874</v>
      </c>
    </row>
    <row r="2431" spans="3:15" ht="17.25">
      <c r="F2431" s="12"/>
      <c r="H2431" s="409"/>
      <c r="I2431" s="358"/>
      <c r="J2431" s="442"/>
      <c r="K2431" s="280"/>
      <c r="L2431" s="358"/>
      <c r="M2431" s="579"/>
      <c r="N2431" s="469"/>
      <c r="O2431" s="469"/>
    </row>
    <row r="2432" spans="3:15" ht="17.25">
      <c r="D2432" s="361">
        <v>44712</v>
      </c>
      <c r="E2432" s="361"/>
      <c r="F2432" s="361"/>
      <c r="G2432" s="361"/>
      <c r="H2432" s="409"/>
      <c r="I2432" s="358"/>
      <c r="J2432" s="442"/>
      <c r="K2432" s="280"/>
      <c r="L2432" s="358"/>
      <c r="M2432" s="579"/>
      <c r="N2432" s="469"/>
      <c r="O2432" s="469"/>
    </row>
    <row r="2433" spans="4:15" ht="17.25">
      <c r="E2433" s="12" t="s">
        <v>33</v>
      </c>
      <c r="F2433" s="12"/>
      <c r="H2433" s="409"/>
      <c r="I2433" s="358"/>
      <c r="J2433" s="442"/>
      <c r="K2433" s="280"/>
      <c r="L2433" s="358"/>
      <c r="M2433" s="579"/>
      <c r="N2433" s="469"/>
      <c r="O2433" s="469"/>
    </row>
    <row r="2434" spans="4:15" ht="17.25">
      <c r="F2434" s="361">
        <v>44503</v>
      </c>
      <c r="G2434" s="361"/>
      <c r="H2434" s="409"/>
      <c r="I2434" s="358"/>
      <c r="J2434" s="442"/>
      <c r="K2434" s="280"/>
      <c r="L2434" s="358"/>
      <c r="M2434" s="579"/>
      <c r="N2434" s="469"/>
      <c r="O2434" s="469"/>
    </row>
    <row r="2435" spans="4:15" ht="17.25">
      <c r="F2435" s="12"/>
      <c r="G2435" s="112" t="s">
        <v>33</v>
      </c>
      <c r="H2435" s="409">
        <v>4</v>
      </c>
      <c r="I2435" s="358">
        <v>766.67</v>
      </c>
      <c r="J2435" s="442">
        <v>1</v>
      </c>
      <c r="K2435" s="280">
        <v>766.67</v>
      </c>
      <c r="L2435" s="358">
        <v>860.23420289855073</v>
      </c>
      <c r="M2435" s="579">
        <v>1</v>
      </c>
      <c r="N2435" s="469">
        <v>860.23420289855073</v>
      </c>
      <c r="O2435" s="469">
        <v>-93.564202898550775</v>
      </c>
    </row>
    <row r="2436" spans="4:15" ht="17.25">
      <c r="F2436" s="12"/>
      <c r="H2436" s="409"/>
      <c r="I2436" s="358"/>
      <c r="J2436" s="442"/>
      <c r="K2436" s="280"/>
      <c r="L2436" s="358"/>
      <c r="M2436" s="579"/>
      <c r="N2436" s="469"/>
      <c r="O2436" s="469"/>
    </row>
    <row r="2437" spans="4:15" ht="17.25">
      <c r="D2437" s="361">
        <v>44713</v>
      </c>
      <c r="E2437" s="361"/>
      <c r="F2437" s="361"/>
      <c r="G2437" s="361"/>
      <c r="H2437" s="409"/>
      <c r="I2437" s="358"/>
      <c r="J2437" s="442"/>
      <c r="K2437" s="280"/>
      <c r="L2437" s="358"/>
      <c r="M2437" s="579"/>
      <c r="N2437" s="469"/>
      <c r="O2437" s="469"/>
    </row>
    <row r="2438" spans="4:15" ht="17.25">
      <c r="E2438" s="12" t="s">
        <v>33</v>
      </c>
      <c r="F2438" s="12"/>
      <c r="H2438" s="409"/>
      <c r="I2438" s="358"/>
      <c r="J2438" s="442"/>
      <c r="K2438" s="280"/>
      <c r="L2438" s="358"/>
      <c r="M2438" s="579"/>
      <c r="N2438" s="469"/>
      <c r="O2438" s="469"/>
    </row>
    <row r="2439" spans="4:15" ht="17.25">
      <c r="F2439" s="361">
        <v>44503</v>
      </c>
      <c r="G2439" s="361"/>
      <c r="H2439" s="409"/>
      <c r="I2439" s="358"/>
      <c r="J2439" s="442"/>
      <c r="K2439" s="280"/>
      <c r="L2439" s="358"/>
      <c r="M2439" s="579"/>
      <c r="N2439" s="469"/>
      <c r="O2439" s="469"/>
    </row>
    <row r="2440" spans="4:15" ht="17.25">
      <c r="F2440" s="12"/>
      <c r="G2440" s="112" t="s">
        <v>33</v>
      </c>
      <c r="H2440" s="409">
        <v>4</v>
      </c>
      <c r="I2440" s="358">
        <v>758.88</v>
      </c>
      <c r="J2440" s="442">
        <v>1</v>
      </c>
      <c r="K2440" s="280">
        <v>758.88</v>
      </c>
      <c r="L2440" s="358">
        <v>860.23420289855073</v>
      </c>
      <c r="M2440" s="579">
        <v>1</v>
      </c>
      <c r="N2440" s="469">
        <v>860.23420289855073</v>
      </c>
      <c r="O2440" s="469">
        <v>-101.35420289855074</v>
      </c>
    </row>
    <row r="2441" spans="4:15" ht="17.25">
      <c r="F2441" s="12"/>
      <c r="H2441" s="409"/>
      <c r="I2441" s="358"/>
      <c r="J2441" s="442"/>
      <c r="K2441" s="280"/>
      <c r="L2441" s="358"/>
      <c r="M2441" s="579"/>
      <c r="N2441" s="469"/>
      <c r="O2441" s="469"/>
    </row>
    <row r="2442" spans="4:15" ht="17.25">
      <c r="D2442" s="361">
        <v>44845</v>
      </c>
      <c r="E2442" s="361"/>
      <c r="F2442" s="361"/>
      <c r="G2442" s="361"/>
      <c r="H2442" s="409"/>
      <c r="I2442" s="358"/>
      <c r="J2442" s="442"/>
      <c r="K2442" s="280"/>
      <c r="L2442" s="358"/>
      <c r="M2442" s="579"/>
      <c r="N2442" s="469"/>
      <c r="O2442" s="469"/>
    </row>
    <row r="2443" spans="4:15" ht="17.25">
      <c r="E2443" s="12" t="s">
        <v>33</v>
      </c>
      <c r="F2443" s="12"/>
      <c r="H2443" s="409"/>
      <c r="I2443" s="358"/>
      <c r="J2443" s="442"/>
      <c r="K2443" s="280"/>
      <c r="L2443" s="358"/>
      <c r="M2443" s="579"/>
      <c r="N2443" s="469"/>
      <c r="O2443" s="469"/>
    </row>
    <row r="2444" spans="4:15" ht="17.25">
      <c r="F2444" s="361">
        <v>44503</v>
      </c>
      <c r="G2444" s="361"/>
      <c r="H2444" s="409"/>
      <c r="I2444" s="358"/>
      <c r="J2444" s="442"/>
      <c r="K2444" s="280"/>
      <c r="L2444" s="358"/>
      <c r="M2444" s="579"/>
      <c r="N2444" s="469"/>
      <c r="O2444" s="469"/>
    </row>
    <row r="2445" spans="4:15" ht="17.25">
      <c r="F2445" s="12"/>
      <c r="G2445" s="112" t="s">
        <v>33</v>
      </c>
      <c r="H2445" s="409">
        <v>4</v>
      </c>
      <c r="I2445" s="358">
        <v>574.08000000000004</v>
      </c>
      <c r="J2445" s="442">
        <v>1</v>
      </c>
      <c r="K2445" s="280">
        <v>574.08000000000004</v>
      </c>
      <c r="L2445" s="358">
        <v>860.23420289855073</v>
      </c>
      <c r="M2445" s="579">
        <v>1</v>
      </c>
      <c r="N2445" s="469">
        <v>860.23420289855073</v>
      </c>
      <c r="O2445" s="469">
        <v>-286.15420289855069</v>
      </c>
    </row>
    <row r="2446" spans="4:15" ht="17.25">
      <c r="F2446" s="12"/>
      <c r="H2446" s="409"/>
      <c r="I2446" s="358"/>
      <c r="J2446" s="442"/>
      <c r="K2446" s="280"/>
      <c r="L2446" s="358"/>
      <c r="M2446" s="579"/>
      <c r="N2446" s="469"/>
      <c r="O2446" s="469"/>
    </row>
    <row r="2447" spans="4:15" ht="17.25">
      <c r="D2447" s="361">
        <v>44846</v>
      </c>
      <c r="E2447" s="361"/>
      <c r="F2447" s="361"/>
      <c r="G2447" s="361"/>
      <c r="H2447" s="409"/>
      <c r="I2447" s="358"/>
      <c r="J2447" s="442"/>
      <c r="K2447" s="280"/>
      <c r="L2447" s="358"/>
      <c r="M2447" s="579"/>
      <c r="N2447" s="469"/>
      <c r="O2447" s="469"/>
    </row>
    <row r="2448" spans="4:15" ht="17.25">
      <c r="E2448" s="12" t="s">
        <v>33</v>
      </c>
      <c r="F2448" s="12"/>
      <c r="H2448" s="409"/>
      <c r="I2448" s="358"/>
      <c r="J2448" s="442"/>
      <c r="K2448" s="280"/>
      <c r="L2448" s="358"/>
      <c r="M2448" s="579"/>
      <c r="N2448" s="469"/>
      <c r="O2448" s="469"/>
    </row>
    <row r="2449" spans="4:15" ht="17.25">
      <c r="F2449" s="361">
        <v>44503</v>
      </c>
      <c r="G2449" s="361"/>
      <c r="H2449" s="409"/>
      <c r="I2449" s="358"/>
      <c r="J2449" s="442"/>
      <c r="K2449" s="280"/>
      <c r="L2449" s="358"/>
      <c r="M2449" s="579"/>
      <c r="N2449" s="469"/>
      <c r="O2449" s="469"/>
    </row>
    <row r="2450" spans="4:15" ht="17.25">
      <c r="F2450" s="12"/>
      <c r="G2450" s="112" t="s">
        <v>33</v>
      </c>
      <c r="H2450" s="409">
        <v>15</v>
      </c>
      <c r="I2450" s="358">
        <v>2149.84</v>
      </c>
      <c r="J2450" s="442">
        <v>1</v>
      </c>
      <c r="K2450" s="280">
        <v>2149.84</v>
      </c>
      <c r="L2450" s="358">
        <v>3225.8782608695651</v>
      </c>
      <c r="M2450" s="579">
        <v>1</v>
      </c>
      <c r="N2450" s="469">
        <v>3225.8782608695651</v>
      </c>
      <c r="O2450" s="469">
        <v>-1076.038260869565</v>
      </c>
    </row>
    <row r="2451" spans="4:15" ht="17.25">
      <c r="F2451" s="12"/>
      <c r="H2451" s="409"/>
      <c r="I2451" s="358"/>
      <c r="J2451" s="442"/>
      <c r="K2451" s="280"/>
      <c r="L2451" s="358"/>
      <c r="M2451" s="579"/>
      <c r="N2451" s="469"/>
      <c r="O2451" s="469"/>
    </row>
    <row r="2452" spans="4:15" ht="17.25">
      <c r="D2452" s="361">
        <v>44847</v>
      </c>
      <c r="E2452" s="361"/>
      <c r="F2452" s="361"/>
      <c r="G2452" s="361"/>
      <c r="H2452" s="409"/>
      <c r="I2452" s="358"/>
      <c r="J2452" s="442"/>
      <c r="K2452" s="280"/>
      <c r="L2452" s="358"/>
      <c r="M2452" s="579"/>
      <c r="N2452" s="469"/>
      <c r="O2452" s="469"/>
    </row>
    <row r="2453" spans="4:15" ht="17.25">
      <c r="E2453" s="12" t="s">
        <v>33</v>
      </c>
      <c r="F2453" s="12"/>
      <c r="H2453" s="409"/>
      <c r="I2453" s="358"/>
      <c r="J2453" s="442"/>
      <c r="K2453" s="280"/>
      <c r="L2453" s="358"/>
      <c r="M2453" s="579"/>
      <c r="N2453" s="469"/>
      <c r="O2453" s="469"/>
    </row>
    <row r="2454" spans="4:15" ht="17.25">
      <c r="F2454" s="361">
        <v>44503</v>
      </c>
      <c r="G2454" s="361"/>
      <c r="H2454" s="409"/>
      <c r="I2454" s="358"/>
      <c r="J2454" s="442"/>
      <c r="K2454" s="280"/>
      <c r="L2454" s="358"/>
      <c r="M2454" s="579"/>
      <c r="N2454" s="469"/>
      <c r="O2454" s="469"/>
    </row>
    <row r="2455" spans="4:15" ht="17.25">
      <c r="F2455" s="12"/>
      <c r="G2455" s="112" t="s">
        <v>33</v>
      </c>
      <c r="H2455" s="409">
        <v>23</v>
      </c>
      <c r="I2455" s="358">
        <v>3278.8181818181815</v>
      </c>
      <c r="J2455" s="442">
        <v>1</v>
      </c>
      <c r="K2455" s="280">
        <v>3278.8181818181815</v>
      </c>
      <c r="L2455" s="358">
        <v>4946.3466666666664</v>
      </c>
      <c r="M2455" s="579">
        <v>1</v>
      </c>
      <c r="N2455" s="469">
        <v>4946.3466666666664</v>
      </c>
      <c r="O2455" s="469">
        <v>-1667.5284848484855</v>
      </c>
    </row>
    <row r="2456" spans="4:15" ht="17.25">
      <c r="F2456" s="12"/>
      <c r="H2456" s="409"/>
      <c r="I2456" s="358"/>
      <c r="J2456" s="442"/>
      <c r="K2456" s="280"/>
      <c r="L2456" s="358"/>
      <c r="M2456" s="579"/>
      <c r="N2456" s="469"/>
      <c r="O2456" s="469"/>
    </row>
    <row r="2457" spans="4:15" ht="17.25">
      <c r="F2457" s="361">
        <v>44628</v>
      </c>
      <c r="G2457" s="361"/>
      <c r="H2457" s="409"/>
      <c r="I2457" s="358"/>
      <c r="J2457" s="442"/>
      <c r="K2457" s="280"/>
      <c r="L2457" s="358"/>
      <c r="M2457" s="579"/>
      <c r="N2457" s="469"/>
      <c r="O2457" s="469"/>
    </row>
    <row r="2458" spans="4:15" ht="17.25">
      <c r="F2458" s="12"/>
      <c r="G2458" s="112" t="s">
        <v>33</v>
      </c>
      <c r="H2458" s="409">
        <v>2</v>
      </c>
      <c r="I2458" s="358">
        <v>282.58590909090907</v>
      </c>
      <c r="J2458" s="442">
        <v>1</v>
      </c>
      <c r="K2458" s="280">
        <v>282.58590909090907</v>
      </c>
      <c r="L2458" s="358">
        <v>546.63</v>
      </c>
      <c r="M2458" s="579">
        <v>1</v>
      </c>
      <c r="N2458" s="469">
        <v>546.63</v>
      </c>
      <c r="O2458" s="469">
        <v>-264.04409090909087</v>
      </c>
    </row>
    <row r="2459" spans="4:15" ht="17.25">
      <c r="F2459" s="12"/>
      <c r="H2459" s="409"/>
      <c r="I2459" s="358"/>
      <c r="J2459" s="442"/>
      <c r="K2459" s="280"/>
      <c r="L2459" s="358"/>
      <c r="M2459" s="579"/>
      <c r="N2459" s="469"/>
      <c r="O2459" s="469"/>
    </row>
    <row r="2460" spans="4:15" ht="17.25">
      <c r="F2460" s="361">
        <v>44629</v>
      </c>
      <c r="G2460" s="361"/>
      <c r="H2460" s="409"/>
      <c r="I2460" s="358"/>
      <c r="J2460" s="442"/>
      <c r="K2460" s="280"/>
      <c r="L2460" s="358"/>
      <c r="M2460" s="579"/>
      <c r="N2460" s="469"/>
      <c r="O2460" s="469"/>
    </row>
    <row r="2461" spans="4:15" ht="17.25">
      <c r="F2461" s="12"/>
      <c r="G2461" s="112" t="s">
        <v>33</v>
      </c>
      <c r="H2461" s="409">
        <v>1</v>
      </c>
      <c r="I2461" s="358">
        <v>142.42590909090907</v>
      </c>
      <c r="J2461" s="442">
        <v>1</v>
      </c>
      <c r="K2461" s="280">
        <v>142.42590909090907</v>
      </c>
      <c r="L2461" s="358">
        <v>552.17000000000007</v>
      </c>
      <c r="M2461" s="579">
        <v>1</v>
      </c>
      <c r="N2461" s="469">
        <v>552.17000000000007</v>
      </c>
      <c r="O2461" s="469">
        <v>-409.74409090909103</v>
      </c>
    </row>
    <row r="2462" spans="4:15" ht="17.25">
      <c r="F2462" s="12"/>
      <c r="H2462" s="409"/>
      <c r="I2462" s="358"/>
      <c r="J2462" s="442"/>
      <c r="K2462" s="280"/>
      <c r="L2462" s="358"/>
      <c r="M2462" s="579"/>
      <c r="N2462" s="469"/>
      <c r="O2462" s="469"/>
    </row>
    <row r="2463" spans="4:15" ht="17.25">
      <c r="F2463" s="361">
        <v>44630</v>
      </c>
      <c r="G2463" s="361"/>
      <c r="H2463" s="409"/>
      <c r="I2463" s="358"/>
      <c r="J2463" s="442"/>
      <c r="K2463" s="280"/>
      <c r="L2463" s="358"/>
      <c r="M2463" s="579"/>
      <c r="N2463" s="469"/>
      <c r="O2463" s="469"/>
    </row>
    <row r="2464" spans="4:15" ht="17.25">
      <c r="F2464" s="12"/>
      <c r="G2464" s="112" t="s">
        <v>33</v>
      </c>
      <c r="H2464" s="409">
        <v>1</v>
      </c>
      <c r="I2464" s="358">
        <v>140.16</v>
      </c>
      <c r="J2464" s="442">
        <v>1</v>
      </c>
      <c r="K2464" s="280">
        <v>140.16</v>
      </c>
      <c r="L2464" s="358">
        <v>184.16</v>
      </c>
      <c r="M2464" s="579">
        <v>1</v>
      </c>
      <c r="N2464" s="469">
        <v>184.16</v>
      </c>
      <c r="O2464" s="469">
        <v>-44</v>
      </c>
    </row>
    <row r="2465" spans="3:15" ht="17.25">
      <c r="F2465" s="12"/>
      <c r="H2465" s="409"/>
      <c r="I2465" s="358"/>
      <c r="J2465" s="442"/>
      <c r="K2465" s="280"/>
      <c r="L2465" s="358"/>
      <c r="M2465" s="579"/>
      <c r="N2465" s="469"/>
      <c r="O2465" s="469"/>
    </row>
    <row r="2466" spans="3:15" ht="17.25">
      <c r="D2466" s="361">
        <v>44848</v>
      </c>
      <c r="E2466" s="361"/>
      <c r="F2466" s="361"/>
      <c r="G2466" s="361"/>
      <c r="H2466" s="409"/>
      <c r="I2466" s="358"/>
      <c r="J2466" s="442"/>
      <c r="K2466" s="280"/>
      <c r="L2466" s="358"/>
      <c r="M2466" s="579"/>
      <c r="N2466" s="469"/>
      <c r="O2466" s="469"/>
    </row>
    <row r="2467" spans="3:15" ht="17.25">
      <c r="E2467" s="12" t="s">
        <v>33</v>
      </c>
      <c r="F2467" s="12"/>
      <c r="H2467" s="409"/>
      <c r="I2467" s="358"/>
      <c r="J2467" s="442"/>
      <c r="K2467" s="280"/>
      <c r="L2467" s="358"/>
      <c r="M2467" s="579"/>
      <c r="N2467" s="469"/>
      <c r="O2467" s="469"/>
    </row>
    <row r="2468" spans="3:15" ht="17.25">
      <c r="F2468" s="361">
        <v>44630</v>
      </c>
      <c r="G2468" s="361"/>
      <c r="H2468" s="409"/>
      <c r="I2468" s="358"/>
      <c r="J2468" s="442"/>
      <c r="K2468" s="280"/>
      <c r="L2468" s="358"/>
      <c r="M2468" s="579"/>
      <c r="N2468" s="469"/>
      <c r="O2468" s="469"/>
    </row>
    <row r="2469" spans="3:15" ht="17.25">
      <c r="F2469" s="12"/>
      <c r="G2469" s="112" t="s">
        <v>33</v>
      </c>
      <c r="H2469" s="409">
        <v>1</v>
      </c>
      <c r="I2469" s="358">
        <v>144.22</v>
      </c>
      <c r="J2469" s="442">
        <v>1</v>
      </c>
      <c r="K2469" s="280">
        <v>144.22</v>
      </c>
      <c r="L2469" s="358">
        <v>184.65</v>
      </c>
      <c r="M2469" s="579">
        <v>1</v>
      </c>
      <c r="N2469" s="469">
        <v>184.65</v>
      </c>
      <c r="O2469" s="469">
        <v>-40.430000000000007</v>
      </c>
    </row>
    <row r="2470" spans="3:15" ht="17.25">
      <c r="F2470" s="12"/>
      <c r="H2470" s="409"/>
      <c r="I2470" s="358"/>
      <c r="J2470" s="442"/>
      <c r="K2470" s="280"/>
      <c r="L2470" s="358"/>
      <c r="M2470" s="579"/>
      <c r="N2470" s="469"/>
      <c r="O2470" s="469"/>
    </row>
    <row r="2471" spans="3:15" ht="17.25">
      <c r="C2471" s="342" t="s">
        <v>421</v>
      </c>
      <c r="D2471" s="342"/>
      <c r="E2471" s="342"/>
      <c r="F2471" s="342"/>
      <c r="G2471" s="342"/>
      <c r="H2471" s="410">
        <v>65</v>
      </c>
      <c r="I2471" s="407">
        <v>10308.41</v>
      </c>
      <c r="J2471" s="460">
        <v>1</v>
      </c>
      <c r="K2471" s="413">
        <v>10308.41</v>
      </c>
      <c r="L2471" s="407">
        <v>14371.123043478261</v>
      </c>
      <c r="M2471" s="580">
        <v>1</v>
      </c>
      <c r="N2471" s="470">
        <v>14371.123043478261</v>
      </c>
      <c r="O2471" s="470">
        <v>-4062.7130434782616</v>
      </c>
    </row>
    <row r="2472" spans="3:15" ht="17.25">
      <c r="F2472" s="12"/>
      <c r="H2472" s="409"/>
      <c r="I2472" s="358"/>
      <c r="J2472" s="442"/>
      <c r="K2472" s="280"/>
      <c r="L2472" s="358"/>
      <c r="M2472" s="579"/>
      <c r="N2472" s="469"/>
      <c r="O2472" s="469"/>
    </row>
    <row r="2473" spans="3:15" ht="17.25">
      <c r="C2473" s="12" t="s">
        <v>279</v>
      </c>
      <c r="F2473" s="12"/>
      <c r="H2473" s="409"/>
      <c r="I2473" s="358"/>
      <c r="J2473" s="442"/>
      <c r="K2473" s="280"/>
      <c r="L2473" s="358"/>
      <c r="M2473" s="579"/>
      <c r="N2473" s="469"/>
      <c r="O2473" s="469"/>
    </row>
    <row r="2474" spans="3:15" ht="17.25">
      <c r="D2474" s="361">
        <v>44783</v>
      </c>
      <c r="E2474" s="361"/>
      <c r="F2474" s="361"/>
      <c r="G2474" s="361"/>
      <c r="H2474" s="409"/>
      <c r="I2474" s="358"/>
      <c r="J2474" s="442"/>
      <c r="K2474" s="280"/>
      <c r="L2474" s="358"/>
      <c r="M2474" s="579"/>
      <c r="N2474" s="469"/>
      <c r="O2474" s="469"/>
    </row>
    <row r="2475" spans="3:15" ht="17.25">
      <c r="E2475" s="12" t="s">
        <v>33</v>
      </c>
      <c r="F2475" s="12"/>
      <c r="H2475" s="409"/>
      <c r="I2475" s="358"/>
      <c r="J2475" s="442"/>
      <c r="K2475" s="280"/>
      <c r="L2475" s="358"/>
      <c r="M2475" s="579"/>
      <c r="N2475" s="469"/>
      <c r="O2475" s="469"/>
    </row>
    <row r="2476" spans="3:15" ht="17.25">
      <c r="F2476" s="361">
        <v>44644</v>
      </c>
      <c r="G2476" s="361"/>
      <c r="H2476" s="409"/>
      <c r="I2476" s="358"/>
      <c r="J2476" s="442"/>
      <c r="K2476" s="280"/>
      <c r="L2476" s="358"/>
      <c r="M2476" s="579"/>
      <c r="N2476" s="469"/>
      <c r="O2476" s="469"/>
    </row>
    <row r="2477" spans="3:15" ht="17.25">
      <c r="F2477" s="12"/>
      <c r="G2477" s="112" t="s">
        <v>33</v>
      </c>
      <c r="H2477" s="409">
        <v>58</v>
      </c>
      <c r="I2477" s="358">
        <v>956.77999999999986</v>
      </c>
      <c r="J2477" s="442">
        <v>1</v>
      </c>
      <c r="K2477" s="280">
        <v>956.77999999999986</v>
      </c>
      <c r="L2477" s="358">
        <v>1243.6219999999998</v>
      </c>
      <c r="M2477" s="579">
        <v>1</v>
      </c>
      <c r="N2477" s="469">
        <v>1243.6219999999998</v>
      </c>
      <c r="O2477" s="469">
        <v>-286.84200000000004</v>
      </c>
    </row>
    <row r="2478" spans="3:15" ht="17.25">
      <c r="F2478" s="12"/>
      <c r="H2478" s="409"/>
      <c r="I2478" s="358"/>
      <c r="J2478" s="442"/>
      <c r="K2478" s="280"/>
      <c r="L2478" s="358"/>
      <c r="M2478" s="579"/>
      <c r="N2478" s="469"/>
      <c r="O2478" s="469"/>
    </row>
    <row r="2479" spans="3:15" ht="17.25">
      <c r="D2479" s="361">
        <v>44908</v>
      </c>
      <c r="E2479" s="361"/>
      <c r="F2479" s="361"/>
      <c r="G2479" s="361"/>
      <c r="H2479" s="409"/>
      <c r="I2479" s="358"/>
      <c r="J2479" s="442"/>
      <c r="K2479" s="280"/>
      <c r="L2479" s="358"/>
      <c r="M2479" s="579"/>
      <c r="N2479" s="469"/>
      <c r="O2479" s="469"/>
    </row>
    <row r="2480" spans="3:15" ht="17.25">
      <c r="E2480" s="12" t="s">
        <v>33</v>
      </c>
      <c r="F2480" s="12"/>
      <c r="H2480" s="409"/>
      <c r="I2480" s="358"/>
      <c r="J2480" s="442"/>
      <c r="K2480" s="280"/>
      <c r="L2480" s="358"/>
      <c r="M2480" s="579"/>
      <c r="N2480" s="469"/>
      <c r="O2480" s="469"/>
    </row>
    <row r="2481" spans="4:15" ht="17.25">
      <c r="F2481" s="361">
        <v>44649</v>
      </c>
      <c r="G2481" s="361"/>
      <c r="H2481" s="409"/>
      <c r="I2481" s="358"/>
      <c r="J2481" s="442"/>
      <c r="K2481" s="280"/>
      <c r="L2481" s="358"/>
      <c r="M2481" s="579"/>
      <c r="N2481" s="469"/>
      <c r="O2481" s="469"/>
    </row>
    <row r="2482" spans="4:15" ht="17.25">
      <c r="F2482" s="12"/>
      <c r="G2482" s="112" t="s">
        <v>33</v>
      </c>
      <c r="H2482" s="409">
        <v>45</v>
      </c>
      <c r="I2482" s="358">
        <v>395.50108695652182</v>
      </c>
      <c r="J2482" s="442">
        <v>1</v>
      </c>
      <c r="K2482" s="280">
        <v>395.50108695652182</v>
      </c>
      <c r="L2482" s="358">
        <v>908.40052631578942</v>
      </c>
      <c r="M2482" s="579">
        <v>1</v>
      </c>
      <c r="N2482" s="469">
        <v>908.40052631578942</v>
      </c>
      <c r="O2482" s="469">
        <v>-512.89943935926772</v>
      </c>
    </row>
    <row r="2483" spans="4:15" ht="17.25">
      <c r="F2483" s="12"/>
      <c r="H2483" s="409"/>
      <c r="I2483" s="358"/>
      <c r="J2483" s="442"/>
      <c r="K2483" s="280"/>
      <c r="L2483" s="358"/>
      <c r="M2483" s="579"/>
      <c r="N2483" s="469"/>
      <c r="O2483" s="469"/>
    </row>
    <row r="2484" spans="4:15" ht="17.25">
      <c r="F2484" s="361">
        <v>44644</v>
      </c>
      <c r="G2484" s="361"/>
      <c r="H2484" s="409"/>
      <c r="I2484" s="358"/>
      <c r="J2484" s="442"/>
      <c r="K2484" s="280"/>
      <c r="L2484" s="358"/>
      <c r="M2484" s="579"/>
      <c r="N2484" s="469"/>
      <c r="O2484" s="469"/>
    </row>
    <row r="2485" spans="4:15" ht="17.25">
      <c r="F2485" s="12"/>
      <c r="G2485" s="112" t="s">
        <v>33</v>
      </c>
      <c r="H2485" s="409">
        <v>3</v>
      </c>
      <c r="I2485" s="358">
        <v>25.330263157894741</v>
      </c>
      <c r="J2485" s="442">
        <v>1</v>
      </c>
      <c r="K2485" s="280">
        <v>25.330263157894741</v>
      </c>
      <c r="L2485" s="358">
        <v>65.147999999999996</v>
      </c>
      <c r="M2485" s="579">
        <v>1</v>
      </c>
      <c r="N2485" s="469">
        <v>65.147999999999996</v>
      </c>
      <c r="O2485" s="469">
        <v>-39.817736842105255</v>
      </c>
    </row>
    <row r="2486" spans="4:15" ht="17.25">
      <c r="F2486" s="12"/>
      <c r="H2486" s="409"/>
      <c r="I2486" s="358"/>
      <c r="J2486" s="442"/>
      <c r="K2486" s="280"/>
      <c r="L2486" s="358"/>
      <c r="M2486" s="579"/>
      <c r="N2486" s="469"/>
      <c r="O2486" s="469"/>
    </row>
    <row r="2487" spans="4:15" ht="17.25">
      <c r="F2487" s="361">
        <v>44645</v>
      </c>
      <c r="G2487" s="361"/>
      <c r="H2487" s="409"/>
      <c r="I2487" s="358"/>
      <c r="J2487" s="442"/>
      <c r="K2487" s="280"/>
      <c r="L2487" s="358"/>
      <c r="M2487" s="579"/>
      <c r="N2487" s="469"/>
      <c r="O2487" s="469"/>
    </row>
    <row r="2488" spans="4:15" ht="17.25">
      <c r="F2488" s="12"/>
      <c r="G2488" s="112" t="s">
        <v>33</v>
      </c>
      <c r="H2488" s="409">
        <v>36</v>
      </c>
      <c r="I2488" s="358">
        <v>304.30864988558363</v>
      </c>
      <c r="J2488" s="442">
        <v>1</v>
      </c>
      <c r="K2488" s="280">
        <v>304.30864988558363</v>
      </c>
      <c r="L2488" s="358">
        <v>726.41999999999985</v>
      </c>
      <c r="M2488" s="579">
        <v>1</v>
      </c>
      <c r="N2488" s="469">
        <v>726.41999999999985</v>
      </c>
      <c r="O2488" s="469">
        <v>-422.11135011441633</v>
      </c>
    </row>
    <row r="2489" spans="4:15" ht="17.25">
      <c r="F2489" s="12"/>
      <c r="H2489" s="409"/>
      <c r="I2489" s="358"/>
      <c r="J2489" s="442"/>
      <c r="K2489" s="280"/>
      <c r="L2489" s="358"/>
      <c r="M2489" s="579"/>
      <c r="N2489" s="469"/>
      <c r="O2489" s="469"/>
    </row>
    <row r="2490" spans="4:15" ht="17.25">
      <c r="D2490" s="361">
        <v>44909</v>
      </c>
      <c r="E2490" s="361"/>
      <c r="F2490" s="361"/>
      <c r="G2490" s="361"/>
      <c r="H2490" s="409"/>
      <c r="I2490" s="358"/>
      <c r="J2490" s="442"/>
      <c r="K2490" s="280"/>
      <c r="L2490" s="358"/>
      <c r="M2490" s="579"/>
      <c r="N2490" s="469"/>
      <c r="O2490" s="469"/>
    </row>
    <row r="2491" spans="4:15" ht="17.25">
      <c r="E2491" s="12" t="s">
        <v>33</v>
      </c>
      <c r="F2491" s="12"/>
      <c r="H2491" s="409"/>
      <c r="I2491" s="358"/>
      <c r="J2491" s="442"/>
      <c r="K2491" s="280"/>
      <c r="L2491" s="358"/>
      <c r="M2491" s="579"/>
      <c r="N2491" s="469"/>
      <c r="O2491" s="469"/>
    </row>
    <row r="2492" spans="4:15" ht="17.25">
      <c r="F2492" s="361">
        <v>44649</v>
      </c>
      <c r="G2492" s="361"/>
      <c r="H2492" s="409"/>
      <c r="I2492" s="358"/>
      <c r="J2492" s="442"/>
      <c r="K2492" s="280"/>
      <c r="L2492" s="358"/>
      <c r="M2492" s="579"/>
      <c r="N2492" s="469"/>
      <c r="O2492" s="469"/>
    </row>
    <row r="2493" spans="4:15" ht="17.25">
      <c r="F2493" s="12"/>
      <c r="G2493" s="112" t="s">
        <v>33</v>
      </c>
      <c r="H2493" s="409">
        <v>53</v>
      </c>
      <c r="I2493" s="358">
        <v>439.02770833333341</v>
      </c>
      <c r="J2493" s="442">
        <v>1</v>
      </c>
      <c r="K2493" s="280">
        <v>439.02770833333341</v>
      </c>
      <c r="L2493" s="358">
        <v>1067.3094736842106</v>
      </c>
      <c r="M2493" s="579">
        <v>1</v>
      </c>
      <c r="N2493" s="469">
        <v>1067.3094736842106</v>
      </c>
      <c r="O2493" s="469">
        <v>-628.28176535087744</v>
      </c>
    </row>
    <row r="2494" spans="4:15" ht="17.25">
      <c r="F2494" s="12"/>
      <c r="H2494" s="409"/>
      <c r="I2494" s="358"/>
      <c r="J2494" s="442"/>
      <c r="K2494" s="280"/>
      <c r="L2494" s="358"/>
      <c r="M2494" s="579"/>
      <c r="N2494" s="469"/>
      <c r="O2494" s="469"/>
    </row>
    <row r="2495" spans="4:15" ht="17.25">
      <c r="F2495" s="361">
        <v>44694</v>
      </c>
      <c r="G2495" s="361"/>
      <c r="H2495" s="409"/>
      <c r="I2495" s="358"/>
      <c r="J2495" s="442"/>
      <c r="K2495" s="280"/>
      <c r="L2495" s="358"/>
      <c r="M2495" s="579"/>
      <c r="N2495" s="469"/>
      <c r="O2495" s="469"/>
    </row>
    <row r="2496" spans="4:15" ht="17.25">
      <c r="F2496" s="12"/>
      <c r="G2496" s="112" t="s">
        <v>33</v>
      </c>
      <c r="H2496" s="409">
        <v>42</v>
      </c>
      <c r="I2496" s="358">
        <v>342.90465517241387</v>
      </c>
      <c r="J2496" s="442">
        <v>1</v>
      </c>
      <c r="K2496" s="280">
        <v>342.90465517241387</v>
      </c>
      <c r="L2496" s="358">
        <v>529.52260869565214</v>
      </c>
      <c r="M2496" s="579">
        <v>1</v>
      </c>
      <c r="N2496" s="469">
        <v>529.52260869565214</v>
      </c>
      <c r="O2496" s="469">
        <v>-186.61795352323833</v>
      </c>
    </row>
    <row r="2497" spans="4:15" ht="17.25">
      <c r="F2497" s="12"/>
      <c r="H2497" s="409"/>
      <c r="I2497" s="358"/>
      <c r="J2497" s="442"/>
      <c r="K2497" s="280"/>
      <c r="L2497" s="358"/>
      <c r="M2497" s="579"/>
      <c r="N2497" s="469"/>
      <c r="O2497" s="469"/>
    </row>
    <row r="2498" spans="4:15" ht="17.25">
      <c r="F2498" s="361">
        <v>44650</v>
      </c>
      <c r="G2498" s="361"/>
      <c r="H2498" s="409"/>
      <c r="I2498" s="358"/>
      <c r="J2498" s="442"/>
      <c r="K2498" s="280"/>
      <c r="L2498" s="358"/>
      <c r="M2498" s="579"/>
      <c r="N2498" s="469"/>
      <c r="O2498" s="469"/>
    </row>
    <row r="2499" spans="4:15" ht="17.25">
      <c r="F2499" s="12"/>
      <c r="G2499" s="112" t="s">
        <v>33</v>
      </c>
      <c r="H2499" s="409">
        <v>50</v>
      </c>
      <c r="I2499" s="358">
        <v>413.34306752873562</v>
      </c>
      <c r="J2499" s="442">
        <v>1</v>
      </c>
      <c r="K2499" s="280">
        <v>413.34306752873562</v>
      </c>
      <c r="L2499" s="358">
        <v>1034.9599999999998</v>
      </c>
      <c r="M2499" s="579">
        <v>1</v>
      </c>
      <c r="N2499" s="469">
        <v>1034.9599999999998</v>
      </c>
      <c r="O2499" s="469">
        <v>-621.61693247126425</v>
      </c>
    </row>
    <row r="2500" spans="4:15" ht="17.25">
      <c r="F2500" s="12"/>
      <c r="H2500" s="409"/>
      <c r="I2500" s="358"/>
      <c r="J2500" s="442"/>
      <c r="K2500" s="280"/>
      <c r="L2500" s="358"/>
      <c r="M2500" s="579"/>
      <c r="N2500" s="469"/>
      <c r="O2500" s="469"/>
    </row>
    <row r="2501" spans="4:15" ht="17.25">
      <c r="F2501" s="361">
        <v>44652</v>
      </c>
      <c r="G2501" s="361"/>
      <c r="H2501" s="409"/>
      <c r="I2501" s="358"/>
      <c r="J2501" s="442"/>
      <c r="K2501" s="280"/>
      <c r="L2501" s="358"/>
      <c r="M2501" s="579"/>
      <c r="N2501" s="469"/>
      <c r="O2501" s="469"/>
    </row>
    <row r="2502" spans="4:15" ht="17.25">
      <c r="F2502" s="12"/>
      <c r="G2502" s="112" t="s">
        <v>33</v>
      </c>
      <c r="H2502" s="409">
        <v>3</v>
      </c>
      <c r="I2502" s="358">
        <v>24.493189655172415</v>
      </c>
      <c r="J2502" s="442">
        <v>1</v>
      </c>
      <c r="K2502" s="280">
        <v>24.493189655172415</v>
      </c>
      <c r="L2502" s="358">
        <v>59.96</v>
      </c>
      <c r="M2502" s="579">
        <v>1</v>
      </c>
      <c r="N2502" s="469">
        <v>59.96</v>
      </c>
      <c r="O2502" s="469">
        <v>-35.466810344827586</v>
      </c>
    </row>
    <row r="2503" spans="4:15" ht="17.25">
      <c r="F2503" s="12"/>
      <c r="H2503" s="409"/>
      <c r="I2503" s="358"/>
      <c r="J2503" s="442"/>
      <c r="K2503" s="280"/>
      <c r="L2503" s="358"/>
      <c r="M2503" s="579"/>
      <c r="N2503" s="469"/>
      <c r="O2503" s="469"/>
    </row>
    <row r="2504" spans="4:15" ht="17.25">
      <c r="F2504" s="361">
        <v>44658</v>
      </c>
      <c r="G2504" s="361"/>
      <c r="H2504" s="409"/>
      <c r="I2504" s="358"/>
      <c r="J2504" s="442"/>
      <c r="K2504" s="280"/>
      <c r="L2504" s="358"/>
      <c r="M2504" s="579"/>
      <c r="N2504" s="469"/>
      <c r="O2504" s="469"/>
    </row>
    <row r="2505" spans="4:15" ht="17.25">
      <c r="F2505" s="12"/>
      <c r="G2505" s="112" t="s">
        <v>33</v>
      </c>
      <c r="H2505" s="409">
        <v>29</v>
      </c>
      <c r="I2505" s="358">
        <v>236.76750000000001</v>
      </c>
      <c r="J2505" s="442">
        <v>1</v>
      </c>
      <c r="K2505" s="280">
        <v>236.76750000000001</v>
      </c>
      <c r="L2505" s="358">
        <v>544.5</v>
      </c>
      <c r="M2505" s="579">
        <v>1</v>
      </c>
      <c r="N2505" s="469">
        <v>544.5</v>
      </c>
      <c r="O2505" s="469">
        <v>-307.73249999999996</v>
      </c>
    </row>
    <row r="2506" spans="4:15" ht="17.25">
      <c r="F2506" s="12"/>
      <c r="H2506" s="409"/>
      <c r="I2506" s="358"/>
      <c r="J2506" s="442"/>
      <c r="K2506" s="280"/>
      <c r="L2506" s="358"/>
      <c r="M2506" s="579"/>
      <c r="N2506" s="469"/>
      <c r="O2506" s="469"/>
    </row>
    <row r="2507" spans="4:15" ht="17.25">
      <c r="F2507" s="361">
        <v>44679</v>
      </c>
      <c r="G2507" s="361"/>
      <c r="H2507" s="409"/>
      <c r="I2507" s="358"/>
      <c r="J2507" s="442"/>
      <c r="K2507" s="280"/>
      <c r="L2507" s="358"/>
      <c r="M2507" s="579"/>
      <c r="N2507" s="469"/>
      <c r="O2507" s="469"/>
    </row>
    <row r="2508" spans="4:15" ht="17.25">
      <c r="F2508" s="12"/>
      <c r="G2508" s="112" t="s">
        <v>33</v>
      </c>
      <c r="H2508" s="409">
        <v>35</v>
      </c>
      <c r="I2508" s="358">
        <v>285.75387931034481</v>
      </c>
      <c r="J2508" s="442">
        <v>1</v>
      </c>
      <c r="K2508" s="280">
        <v>285.75387931034481</v>
      </c>
      <c r="L2508" s="358">
        <v>525.14</v>
      </c>
      <c r="M2508" s="579">
        <v>1</v>
      </c>
      <c r="N2508" s="469">
        <v>525.14</v>
      </c>
      <c r="O2508" s="469">
        <v>-239.38612068965517</v>
      </c>
    </row>
    <row r="2509" spans="4:15" ht="17.25">
      <c r="F2509" s="12"/>
      <c r="H2509" s="409"/>
      <c r="I2509" s="358"/>
      <c r="J2509" s="442"/>
      <c r="K2509" s="280"/>
      <c r="L2509" s="358"/>
      <c r="M2509" s="579"/>
      <c r="N2509" s="469"/>
      <c r="O2509" s="469"/>
    </row>
    <row r="2510" spans="4:15" ht="17.25">
      <c r="D2510" s="361">
        <v>44910</v>
      </c>
      <c r="E2510" s="361"/>
      <c r="F2510" s="361"/>
      <c r="G2510" s="361"/>
      <c r="H2510" s="409"/>
      <c r="I2510" s="358"/>
      <c r="J2510" s="442"/>
      <c r="K2510" s="280"/>
      <c r="L2510" s="358"/>
      <c r="M2510" s="579"/>
      <c r="N2510" s="469"/>
      <c r="O2510" s="469"/>
    </row>
    <row r="2511" spans="4:15" ht="17.25">
      <c r="E2511" s="12" t="s">
        <v>33</v>
      </c>
      <c r="F2511" s="12"/>
      <c r="H2511" s="409"/>
      <c r="I2511" s="358"/>
      <c r="J2511" s="442"/>
      <c r="K2511" s="280"/>
      <c r="L2511" s="358"/>
      <c r="M2511" s="579"/>
      <c r="N2511" s="469"/>
      <c r="O2511" s="469"/>
    </row>
    <row r="2512" spans="4:15" ht="17.25">
      <c r="F2512" s="361">
        <v>44694</v>
      </c>
      <c r="G2512" s="361"/>
      <c r="H2512" s="409"/>
      <c r="I2512" s="358"/>
      <c r="J2512" s="442"/>
      <c r="K2512" s="280"/>
      <c r="L2512" s="358"/>
      <c r="M2512" s="579"/>
      <c r="N2512" s="469"/>
      <c r="O2512" s="469"/>
    </row>
    <row r="2513" spans="3:15" ht="17.25">
      <c r="F2513" s="12"/>
      <c r="G2513" s="112" t="s">
        <v>33</v>
      </c>
      <c r="H2513" s="409">
        <v>5</v>
      </c>
      <c r="I2513" s="358">
        <v>40.31</v>
      </c>
      <c r="J2513" s="442">
        <v>1</v>
      </c>
      <c r="K2513" s="280">
        <v>40.31</v>
      </c>
      <c r="L2513" s="358">
        <v>63.017391304347825</v>
      </c>
      <c r="M2513" s="579">
        <v>1</v>
      </c>
      <c r="N2513" s="469">
        <v>63.017391304347825</v>
      </c>
      <c r="O2513" s="469">
        <v>-22.707391304347823</v>
      </c>
    </row>
    <row r="2514" spans="3:15" ht="17.25">
      <c r="F2514" s="12"/>
      <c r="H2514" s="409"/>
      <c r="I2514" s="358"/>
      <c r="J2514" s="442"/>
      <c r="K2514" s="280"/>
      <c r="L2514" s="358"/>
      <c r="M2514" s="579"/>
      <c r="N2514" s="469"/>
      <c r="O2514" s="469"/>
    </row>
    <row r="2515" spans="3:15" ht="17.25">
      <c r="C2515" s="342" t="s">
        <v>422</v>
      </c>
      <c r="D2515" s="342"/>
      <c r="E2515" s="342"/>
      <c r="F2515" s="342"/>
      <c r="G2515" s="342"/>
      <c r="H2515" s="410">
        <v>359</v>
      </c>
      <c r="I2515" s="407">
        <v>3464.5200000000009</v>
      </c>
      <c r="J2515" s="460">
        <v>1</v>
      </c>
      <c r="K2515" s="413">
        <v>3464.5200000000009</v>
      </c>
      <c r="L2515" s="407">
        <v>6768.0000000000009</v>
      </c>
      <c r="M2515" s="580">
        <v>1</v>
      </c>
      <c r="N2515" s="470">
        <v>6768.0000000000009</v>
      </c>
      <c r="O2515" s="470">
        <v>-3303.4799999999996</v>
      </c>
    </row>
    <row r="2516" spans="3:15" ht="17.25">
      <c r="F2516" s="12"/>
      <c r="H2516" s="409"/>
      <c r="I2516" s="358"/>
      <c r="J2516" s="442"/>
      <c r="K2516" s="280"/>
      <c r="L2516" s="358"/>
      <c r="M2516" s="579"/>
      <c r="N2516" s="469"/>
      <c r="O2516" s="469"/>
    </row>
    <row r="2517" spans="3:15" ht="17.25">
      <c r="C2517" s="12" t="s">
        <v>270</v>
      </c>
      <c r="F2517" s="12"/>
      <c r="H2517" s="409"/>
      <c r="I2517" s="358"/>
      <c r="J2517" s="442"/>
      <c r="K2517" s="280"/>
      <c r="L2517" s="358"/>
      <c r="M2517" s="579"/>
      <c r="N2517" s="469"/>
      <c r="O2517" s="469"/>
    </row>
    <row r="2518" spans="3:15" ht="17.25">
      <c r="D2518" s="361">
        <v>44739</v>
      </c>
      <c r="E2518" s="361"/>
      <c r="F2518" s="361"/>
      <c r="G2518" s="361"/>
      <c r="H2518" s="409"/>
      <c r="I2518" s="358"/>
      <c r="J2518" s="442"/>
      <c r="K2518" s="280"/>
      <c r="L2518" s="358"/>
      <c r="M2518" s="579"/>
      <c r="N2518" s="469"/>
      <c r="O2518" s="469"/>
    </row>
    <row r="2519" spans="3:15" ht="17.25">
      <c r="E2519" s="12" t="s">
        <v>33</v>
      </c>
      <c r="F2519" s="12"/>
      <c r="H2519" s="409"/>
      <c r="I2519" s="358"/>
      <c r="J2519" s="442"/>
      <c r="K2519" s="280"/>
      <c r="L2519" s="358"/>
      <c r="M2519" s="579"/>
      <c r="N2519" s="469"/>
      <c r="O2519" s="469"/>
    </row>
    <row r="2520" spans="3:15" ht="17.25">
      <c r="F2520" s="361">
        <v>44503</v>
      </c>
      <c r="G2520" s="361"/>
      <c r="H2520" s="409"/>
      <c r="I2520" s="358"/>
      <c r="J2520" s="442"/>
      <c r="K2520" s="280"/>
      <c r="L2520" s="358"/>
      <c r="M2520" s="579"/>
      <c r="N2520" s="469"/>
      <c r="O2520" s="469"/>
    </row>
    <row r="2521" spans="3:15" ht="17.25">
      <c r="F2521" s="12"/>
      <c r="G2521" s="112" t="s">
        <v>33</v>
      </c>
      <c r="H2521" s="409">
        <v>4</v>
      </c>
      <c r="I2521" s="358">
        <v>1205.8800000000001</v>
      </c>
      <c r="J2521" s="442">
        <v>1</v>
      </c>
      <c r="K2521" s="280">
        <v>1205.8800000000001</v>
      </c>
      <c r="L2521" s="358">
        <v>2076.1114285714289</v>
      </c>
      <c r="M2521" s="579">
        <v>1</v>
      </c>
      <c r="N2521" s="469">
        <v>2076.1114285714289</v>
      </c>
      <c r="O2521" s="469">
        <v>-870.23142857142875</v>
      </c>
    </row>
    <row r="2522" spans="3:15" ht="17.25">
      <c r="F2522" s="12"/>
      <c r="H2522" s="409"/>
      <c r="I2522" s="358"/>
      <c r="J2522" s="442"/>
      <c r="K2522" s="280"/>
      <c r="L2522" s="358"/>
      <c r="M2522" s="579"/>
      <c r="N2522" s="469"/>
      <c r="O2522" s="469"/>
    </row>
    <row r="2523" spans="3:15" ht="17.25">
      <c r="D2523" s="361">
        <v>44754</v>
      </c>
      <c r="E2523" s="361"/>
      <c r="F2523" s="361"/>
      <c r="G2523" s="361"/>
      <c r="H2523" s="409"/>
      <c r="I2523" s="358"/>
      <c r="J2523" s="442"/>
      <c r="K2523" s="280"/>
      <c r="L2523" s="358"/>
      <c r="M2523" s="579"/>
      <c r="N2523" s="469"/>
      <c r="O2523" s="469"/>
    </row>
    <row r="2524" spans="3:15" ht="17.25">
      <c r="E2524" s="12" t="s">
        <v>33</v>
      </c>
      <c r="F2524" s="12"/>
      <c r="H2524" s="409"/>
      <c r="I2524" s="358"/>
      <c r="J2524" s="442"/>
      <c r="K2524" s="280"/>
      <c r="L2524" s="358"/>
      <c r="M2524" s="579"/>
      <c r="N2524" s="469"/>
      <c r="O2524" s="469"/>
    </row>
    <row r="2525" spans="3:15" ht="17.25">
      <c r="F2525" s="361">
        <v>44503</v>
      </c>
      <c r="G2525" s="361"/>
      <c r="H2525" s="409"/>
      <c r="I2525" s="358"/>
      <c r="J2525" s="442"/>
      <c r="K2525" s="280"/>
      <c r="L2525" s="358"/>
      <c r="M2525" s="579"/>
      <c r="N2525" s="469"/>
      <c r="O2525" s="469"/>
    </row>
    <row r="2526" spans="3:15" ht="17.25">
      <c r="F2526" s="12"/>
      <c r="G2526" s="112" t="s">
        <v>33</v>
      </c>
      <c r="H2526" s="409">
        <v>4</v>
      </c>
      <c r="I2526" s="358">
        <v>1184.8499999999999</v>
      </c>
      <c r="J2526" s="442">
        <v>1</v>
      </c>
      <c r="K2526" s="280">
        <v>1184.8499999999999</v>
      </c>
      <c r="L2526" s="358">
        <v>2076.1114285714289</v>
      </c>
      <c r="M2526" s="579">
        <v>1</v>
      </c>
      <c r="N2526" s="469">
        <v>2076.1114285714289</v>
      </c>
      <c r="O2526" s="469">
        <v>-891.26142857142895</v>
      </c>
    </row>
    <row r="2527" spans="3:15" ht="17.25">
      <c r="F2527" s="12"/>
      <c r="H2527" s="409"/>
      <c r="I2527" s="358"/>
      <c r="J2527" s="442"/>
      <c r="K2527" s="280"/>
      <c r="L2527" s="358"/>
      <c r="M2527" s="579"/>
      <c r="N2527" s="469"/>
      <c r="O2527" s="469"/>
    </row>
    <row r="2528" spans="3:15" ht="17.25">
      <c r="D2528" s="361">
        <v>44756</v>
      </c>
      <c r="E2528" s="361"/>
      <c r="F2528" s="361"/>
      <c r="G2528" s="361"/>
      <c r="H2528" s="409"/>
      <c r="I2528" s="358"/>
      <c r="J2528" s="442"/>
      <c r="K2528" s="280"/>
      <c r="L2528" s="358"/>
      <c r="M2528" s="579"/>
      <c r="N2528" s="469"/>
      <c r="O2528" s="469"/>
    </row>
    <row r="2529" spans="4:15" ht="17.25">
      <c r="E2529" s="12" t="s">
        <v>33</v>
      </c>
      <c r="F2529" s="12"/>
      <c r="H2529" s="409"/>
      <c r="I2529" s="358"/>
      <c r="J2529" s="442"/>
      <c r="K2529" s="280"/>
      <c r="L2529" s="358"/>
      <c r="M2529" s="579"/>
      <c r="N2529" s="469"/>
      <c r="O2529" s="469"/>
    </row>
    <row r="2530" spans="4:15" ht="17.25">
      <c r="F2530" s="361">
        <v>44503</v>
      </c>
      <c r="G2530" s="361"/>
      <c r="H2530" s="409"/>
      <c r="I2530" s="358"/>
      <c r="J2530" s="442"/>
      <c r="K2530" s="280"/>
      <c r="L2530" s="358"/>
      <c r="M2530" s="579"/>
      <c r="N2530" s="469"/>
      <c r="O2530" s="469"/>
    </row>
    <row r="2531" spans="4:15" ht="17.25">
      <c r="F2531" s="12"/>
      <c r="G2531" s="112" t="s">
        <v>33</v>
      </c>
      <c r="H2531" s="409">
        <v>3</v>
      </c>
      <c r="I2531" s="358">
        <v>858.39</v>
      </c>
      <c r="J2531" s="442">
        <v>1</v>
      </c>
      <c r="K2531" s="280">
        <v>858.39</v>
      </c>
      <c r="L2531" s="358">
        <v>1557.0835714285718</v>
      </c>
      <c r="M2531" s="579">
        <v>1</v>
      </c>
      <c r="N2531" s="469">
        <v>1557.0835714285718</v>
      </c>
      <c r="O2531" s="469">
        <v>-698.69357142857177</v>
      </c>
    </row>
    <row r="2532" spans="4:15" ht="17.25">
      <c r="F2532" s="12"/>
      <c r="H2532" s="409"/>
      <c r="I2532" s="358"/>
      <c r="J2532" s="442"/>
      <c r="K2532" s="280"/>
      <c r="L2532" s="358"/>
      <c r="M2532" s="579"/>
      <c r="N2532" s="469"/>
      <c r="O2532" s="469"/>
    </row>
    <row r="2533" spans="4:15" ht="17.25">
      <c r="D2533" s="361">
        <v>44785</v>
      </c>
      <c r="E2533" s="361"/>
      <c r="F2533" s="361"/>
      <c r="G2533" s="361"/>
      <c r="H2533" s="409"/>
      <c r="I2533" s="358"/>
      <c r="J2533" s="442"/>
      <c r="K2533" s="280"/>
      <c r="L2533" s="358"/>
      <c r="M2533" s="579"/>
      <c r="N2533" s="469"/>
      <c r="O2533" s="469"/>
    </row>
    <row r="2534" spans="4:15" ht="17.25">
      <c r="E2534" s="12" t="s">
        <v>33</v>
      </c>
      <c r="F2534" s="12"/>
      <c r="H2534" s="409"/>
      <c r="I2534" s="358"/>
      <c r="J2534" s="442"/>
      <c r="K2534" s="280"/>
      <c r="L2534" s="358"/>
      <c r="M2534" s="579"/>
      <c r="N2534" s="469"/>
      <c r="O2534" s="469"/>
    </row>
    <row r="2535" spans="4:15" ht="17.25">
      <c r="F2535" s="361">
        <v>44503</v>
      </c>
      <c r="G2535" s="361"/>
      <c r="H2535" s="409"/>
      <c r="I2535" s="358"/>
      <c r="J2535" s="442"/>
      <c r="K2535" s="280"/>
      <c r="L2535" s="358"/>
      <c r="M2535" s="579"/>
      <c r="N2535" s="469"/>
      <c r="O2535" s="469"/>
    </row>
    <row r="2536" spans="4:15" ht="17.25">
      <c r="F2536" s="12"/>
      <c r="G2536" s="112" t="s">
        <v>33</v>
      </c>
      <c r="H2536" s="409">
        <v>2</v>
      </c>
      <c r="I2536" s="358">
        <v>776.26</v>
      </c>
      <c r="J2536" s="442">
        <v>1</v>
      </c>
      <c r="K2536" s="280">
        <v>776.26</v>
      </c>
      <c r="L2536" s="358">
        <v>1038.0557142857144</v>
      </c>
      <c r="M2536" s="579">
        <v>1</v>
      </c>
      <c r="N2536" s="469">
        <v>1038.0557142857144</v>
      </c>
      <c r="O2536" s="469">
        <v>-261.79571428571444</v>
      </c>
    </row>
    <row r="2537" spans="4:15" ht="17.25">
      <c r="F2537" s="12"/>
      <c r="H2537" s="409"/>
      <c r="I2537" s="358"/>
      <c r="J2537" s="442"/>
      <c r="K2537" s="280"/>
      <c r="L2537" s="358"/>
      <c r="M2537" s="579"/>
      <c r="N2537" s="469"/>
      <c r="O2537" s="469"/>
    </row>
    <row r="2538" spans="4:15" ht="17.25">
      <c r="D2538" s="361">
        <v>44915</v>
      </c>
      <c r="E2538" s="361"/>
      <c r="F2538" s="361"/>
      <c r="G2538" s="361"/>
      <c r="H2538" s="409"/>
      <c r="I2538" s="358"/>
      <c r="J2538" s="442"/>
      <c r="K2538" s="280"/>
      <c r="L2538" s="358"/>
      <c r="M2538" s="579"/>
      <c r="N2538" s="469"/>
      <c r="O2538" s="469"/>
    </row>
    <row r="2539" spans="4:15" ht="17.25">
      <c r="E2539" s="12" t="s">
        <v>33</v>
      </c>
      <c r="F2539" s="12"/>
      <c r="H2539" s="409"/>
      <c r="I2539" s="358"/>
      <c r="J2539" s="442"/>
      <c r="K2539" s="280"/>
      <c r="L2539" s="358"/>
      <c r="M2539" s="579"/>
      <c r="N2539" s="469"/>
      <c r="O2539" s="469"/>
    </row>
    <row r="2540" spans="4:15" ht="17.25">
      <c r="F2540" s="361">
        <v>44503</v>
      </c>
      <c r="G2540" s="361"/>
      <c r="H2540" s="409"/>
      <c r="I2540" s="358"/>
      <c r="J2540" s="442"/>
      <c r="K2540" s="280"/>
      <c r="L2540" s="358"/>
      <c r="M2540" s="579"/>
      <c r="N2540" s="469"/>
      <c r="O2540" s="469"/>
    </row>
    <row r="2541" spans="4:15" ht="17.25">
      <c r="F2541" s="12"/>
      <c r="G2541" s="112" t="s">
        <v>33</v>
      </c>
      <c r="H2541" s="409">
        <v>1</v>
      </c>
      <c r="I2541" s="358">
        <v>308.14</v>
      </c>
      <c r="J2541" s="442">
        <v>1</v>
      </c>
      <c r="K2541" s="280">
        <v>308.14</v>
      </c>
      <c r="L2541" s="358">
        <v>519.02785714285721</v>
      </c>
      <c r="M2541" s="579">
        <v>1</v>
      </c>
      <c r="N2541" s="469">
        <v>519.02785714285721</v>
      </c>
      <c r="O2541" s="469">
        <v>-210.88785714285723</v>
      </c>
    </row>
    <row r="2542" spans="4:15" ht="17.25">
      <c r="F2542" s="12"/>
      <c r="H2542" s="409"/>
      <c r="I2542" s="358"/>
      <c r="J2542" s="442"/>
      <c r="K2542" s="280"/>
      <c r="L2542" s="358"/>
      <c r="M2542" s="579"/>
      <c r="N2542" s="469"/>
      <c r="O2542" s="469"/>
    </row>
    <row r="2543" spans="4:15" ht="17.25">
      <c r="F2543" s="361">
        <v>44537</v>
      </c>
      <c r="G2543" s="361"/>
      <c r="H2543" s="409"/>
      <c r="I2543" s="358"/>
      <c r="J2543" s="442"/>
      <c r="K2543" s="280"/>
      <c r="L2543" s="358"/>
      <c r="M2543" s="579"/>
      <c r="N2543" s="469"/>
      <c r="O2543" s="469"/>
    </row>
    <row r="2544" spans="4:15" ht="17.25">
      <c r="F2544" s="12"/>
      <c r="G2544" s="112" t="s">
        <v>33</v>
      </c>
      <c r="H2544" s="409">
        <v>3</v>
      </c>
      <c r="I2544" s="358">
        <v>913.77</v>
      </c>
      <c r="J2544" s="442">
        <v>1</v>
      </c>
      <c r="K2544" s="280">
        <v>913.77</v>
      </c>
      <c r="L2544" s="358">
        <v>1310.07</v>
      </c>
      <c r="M2544" s="579">
        <v>1</v>
      </c>
      <c r="N2544" s="469">
        <v>1310.07</v>
      </c>
      <c r="O2544" s="469">
        <v>-396.3</v>
      </c>
    </row>
    <row r="2545" spans="4:15" ht="17.25">
      <c r="F2545" s="12"/>
      <c r="H2545" s="409"/>
      <c r="I2545" s="358"/>
      <c r="J2545" s="442"/>
      <c r="K2545" s="280"/>
      <c r="L2545" s="358"/>
      <c r="M2545" s="579"/>
      <c r="N2545" s="469"/>
      <c r="O2545" s="469"/>
    </row>
    <row r="2546" spans="4:15" ht="17.25">
      <c r="F2546" s="361">
        <v>44550</v>
      </c>
      <c r="G2546" s="361"/>
      <c r="H2546" s="409"/>
      <c r="I2546" s="358"/>
      <c r="J2546" s="442"/>
      <c r="K2546" s="280"/>
      <c r="L2546" s="358"/>
      <c r="M2546" s="579"/>
      <c r="N2546" s="469"/>
      <c r="O2546" s="469"/>
    </row>
    <row r="2547" spans="4:15" ht="17.25">
      <c r="F2547" s="12"/>
      <c r="G2547" s="112" t="s">
        <v>33</v>
      </c>
      <c r="H2547" s="409">
        <v>1</v>
      </c>
      <c r="I2547" s="358">
        <v>304.58999999999997</v>
      </c>
      <c r="J2547" s="442">
        <v>1</v>
      </c>
      <c r="K2547" s="280">
        <v>304.58999999999997</v>
      </c>
      <c r="L2547" s="358">
        <v>405.02499999999998</v>
      </c>
      <c r="M2547" s="579">
        <v>1</v>
      </c>
      <c r="N2547" s="469">
        <v>405.02499999999998</v>
      </c>
      <c r="O2547" s="469">
        <v>-100.435</v>
      </c>
    </row>
    <row r="2548" spans="4:15" ht="17.25">
      <c r="F2548" s="12"/>
      <c r="H2548" s="409"/>
      <c r="I2548" s="358"/>
      <c r="J2548" s="442"/>
      <c r="K2548" s="280"/>
      <c r="L2548" s="358"/>
      <c r="M2548" s="579"/>
      <c r="N2548" s="469"/>
      <c r="O2548" s="469"/>
    </row>
    <row r="2549" spans="4:15" ht="17.25">
      <c r="D2549" s="361">
        <v>44916</v>
      </c>
      <c r="E2549" s="361"/>
      <c r="F2549" s="361"/>
      <c r="G2549" s="361"/>
      <c r="H2549" s="409"/>
      <c r="I2549" s="358"/>
      <c r="J2549" s="442"/>
      <c r="K2549" s="280"/>
      <c r="L2549" s="358"/>
      <c r="M2549" s="579"/>
      <c r="N2549" s="469"/>
      <c r="O2549" s="469"/>
    </row>
    <row r="2550" spans="4:15" ht="17.25">
      <c r="E2550" s="12" t="s">
        <v>33</v>
      </c>
      <c r="F2550" s="12"/>
      <c r="H2550" s="409"/>
      <c r="I2550" s="358"/>
      <c r="J2550" s="442"/>
      <c r="K2550" s="280"/>
      <c r="L2550" s="358"/>
      <c r="M2550" s="579"/>
      <c r="N2550" s="469"/>
      <c r="O2550" s="469"/>
    </row>
    <row r="2551" spans="4:15" ht="17.25">
      <c r="F2551" s="361">
        <v>44550</v>
      </c>
      <c r="G2551" s="361"/>
      <c r="H2551" s="409"/>
      <c r="I2551" s="358"/>
      <c r="J2551" s="442"/>
      <c r="K2551" s="280"/>
      <c r="L2551" s="358"/>
      <c r="M2551" s="579"/>
      <c r="N2551" s="469"/>
      <c r="O2551" s="469"/>
    </row>
    <row r="2552" spans="4:15" ht="17.25">
      <c r="F2552" s="12"/>
      <c r="G2552" s="112" t="s">
        <v>33</v>
      </c>
      <c r="H2552" s="409">
        <v>1</v>
      </c>
      <c r="I2552" s="358">
        <v>310.33999999999997</v>
      </c>
      <c r="J2552" s="442">
        <v>1</v>
      </c>
      <c r="K2552" s="280">
        <v>310.33999999999997</v>
      </c>
      <c r="L2552" s="358">
        <v>405.02499999999998</v>
      </c>
      <c r="M2552" s="579">
        <v>1</v>
      </c>
      <c r="N2552" s="469">
        <v>405.02499999999998</v>
      </c>
      <c r="O2552" s="469">
        <v>-94.685000000000002</v>
      </c>
    </row>
    <row r="2553" spans="4:15" ht="17.25">
      <c r="F2553" s="12"/>
      <c r="H2553" s="409"/>
      <c r="I2553" s="358"/>
      <c r="J2553" s="442"/>
      <c r="K2553" s="280"/>
      <c r="L2553" s="358"/>
      <c r="M2553" s="579"/>
      <c r="N2553" s="469"/>
      <c r="O2553" s="469"/>
    </row>
    <row r="2554" spans="4:15" ht="17.25">
      <c r="F2554" s="361">
        <v>44558</v>
      </c>
      <c r="G2554" s="361"/>
      <c r="H2554" s="409"/>
      <c r="I2554" s="358"/>
      <c r="J2554" s="442"/>
      <c r="K2554" s="280"/>
      <c r="L2554" s="358"/>
      <c r="M2554" s="579"/>
      <c r="N2554" s="469"/>
      <c r="O2554" s="469"/>
    </row>
    <row r="2555" spans="4:15" ht="17.25">
      <c r="F2555" s="12"/>
      <c r="G2555" s="112" t="s">
        <v>33</v>
      </c>
      <c r="H2555" s="409">
        <v>3</v>
      </c>
      <c r="I2555" s="358">
        <v>928.45</v>
      </c>
      <c r="J2555" s="442">
        <v>1</v>
      </c>
      <c r="K2555" s="280">
        <v>928.45</v>
      </c>
      <c r="L2555" s="358">
        <v>1276.27</v>
      </c>
      <c r="M2555" s="579">
        <v>1</v>
      </c>
      <c r="N2555" s="469">
        <v>1276.27</v>
      </c>
      <c r="O2555" s="469">
        <v>-347.81999999999994</v>
      </c>
    </row>
    <row r="2556" spans="4:15" ht="17.25">
      <c r="F2556" s="12"/>
      <c r="H2556" s="409"/>
      <c r="I2556" s="358"/>
      <c r="J2556" s="442"/>
      <c r="K2556" s="280"/>
      <c r="L2556" s="358"/>
      <c r="M2556" s="579"/>
      <c r="N2556" s="469"/>
      <c r="O2556" s="469"/>
    </row>
    <row r="2557" spans="4:15" ht="17.25">
      <c r="D2557" s="361">
        <v>44917</v>
      </c>
      <c r="E2557" s="361"/>
      <c r="F2557" s="361"/>
      <c r="G2557" s="361"/>
      <c r="H2557" s="409"/>
      <c r="I2557" s="358"/>
      <c r="J2557" s="442"/>
      <c r="K2557" s="280"/>
      <c r="L2557" s="358"/>
      <c r="M2557" s="579"/>
      <c r="N2557" s="469"/>
      <c r="O2557" s="469"/>
    </row>
    <row r="2558" spans="4:15" ht="17.25">
      <c r="E2558" s="12" t="s">
        <v>33</v>
      </c>
      <c r="F2558" s="12"/>
      <c r="H2558" s="409"/>
      <c r="I2558" s="358"/>
      <c r="J2558" s="442"/>
      <c r="K2558" s="280"/>
      <c r="L2558" s="358"/>
      <c r="M2558" s="579"/>
      <c r="N2558" s="469"/>
      <c r="O2558" s="469"/>
    </row>
    <row r="2559" spans="4:15" ht="17.25">
      <c r="F2559" s="361">
        <v>44581</v>
      </c>
      <c r="G2559" s="361"/>
      <c r="H2559" s="409"/>
      <c r="I2559" s="358"/>
      <c r="J2559" s="442"/>
      <c r="K2559" s="280"/>
      <c r="L2559" s="358"/>
      <c r="M2559" s="579"/>
      <c r="N2559" s="469"/>
      <c r="O2559" s="469"/>
    </row>
    <row r="2560" spans="4:15" ht="17.25">
      <c r="F2560" s="12"/>
      <c r="G2560" s="112" t="s">
        <v>33</v>
      </c>
      <c r="H2560" s="409">
        <v>2</v>
      </c>
      <c r="I2560" s="358">
        <v>594.64666666666665</v>
      </c>
      <c r="J2560" s="442">
        <v>1</v>
      </c>
      <c r="K2560" s="280">
        <v>594.64666666666665</v>
      </c>
      <c r="L2560" s="358">
        <v>669</v>
      </c>
      <c r="M2560" s="579">
        <v>1</v>
      </c>
      <c r="N2560" s="469">
        <v>669</v>
      </c>
      <c r="O2560" s="469">
        <v>-74.353333333333353</v>
      </c>
    </row>
    <row r="2561" spans="3:15" ht="17.25">
      <c r="F2561" s="12"/>
      <c r="H2561" s="409"/>
      <c r="I2561" s="358"/>
      <c r="J2561" s="442"/>
      <c r="K2561" s="280"/>
      <c r="L2561" s="358"/>
      <c r="M2561" s="579"/>
      <c r="N2561" s="469"/>
      <c r="O2561" s="469"/>
    </row>
    <row r="2562" spans="3:15" ht="17.25">
      <c r="F2562" s="361">
        <v>44629</v>
      </c>
      <c r="G2562" s="361"/>
      <c r="H2562" s="409"/>
      <c r="I2562" s="358"/>
      <c r="J2562" s="442"/>
      <c r="K2562" s="280"/>
      <c r="L2562" s="358"/>
      <c r="M2562" s="579"/>
      <c r="N2562" s="469"/>
      <c r="O2562" s="469"/>
    </row>
    <row r="2563" spans="3:15" ht="17.25">
      <c r="F2563" s="12"/>
      <c r="G2563" s="112" t="s">
        <v>33</v>
      </c>
      <c r="H2563" s="409">
        <v>2</v>
      </c>
      <c r="I2563" s="358">
        <v>594.99333333333334</v>
      </c>
      <c r="J2563" s="442">
        <v>1</v>
      </c>
      <c r="K2563" s="280">
        <v>594.99333333333334</v>
      </c>
      <c r="L2563" s="358">
        <v>596.54999999999995</v>
      </c>
      <c r="M2563" s="579">
        <v>1</v>
      </c>
      <c r="N2563" s="469">
        <v>596.54999999999995</v>
      </c>
      <c r="O2563" s="469">
        <v>-1.5566666666666151</v>
      </c>
    </row>
    <row r="2564" spans="3:15" ht="17.25">
      <c r="F2564" s="12"/>
      <c r="H2564" s="409"/>
      <c r="I2564" s="358"/>
      <c r="J2564" s="442"/>
      <c r="K2564" s="280"/>
      <c r="L2564" s="358"/>
      <c r="M2564" s="579"/>
      <c r="N2564" s="469"/>
      <c r="O2564" s="469"/>
    </row>
    <row r="2565" spans="3:15" ht="17.25">
      <c r="C2565" s="342" t="s">
        <v>423</v>
      </c>
      <c r="D2565" s="342"/>
      <c r="E2565" s="342"/>
      <c r="F2565" s="342"/>
      <c r="G2565" s="342"/>
      <c r="H2565" s="410">
        <v>26</v>
      </c>
      <c r="I2565" s="407">
        <v>7980.3100000000013</v>
      </c>
      <c r="J2565" s="460">
        <v>1</v>
      </c>
      <c r="K2565" s="413">
        <v>7980.3100000000013</v>
      </c>
      <c r="L2565" s="407">
        <v>11928.33</v>
      </c>
      <c r="M2565" s="580">
        <v>1</v>
      </c>
      <c r="N2565" s="470">
        <v>11928.33</v>
      </c>
      <c r="O2565" s="470">
        <v>-3948.0200000000004</v>
      </c>
    </row>
    <row r="2566" spans="3:15" ht="17.25">
      <c r="F2566" s="12"/>
      <c r="H2566" s="409"/>
      <c r="I2566" s="358"/>
      <c r="J2566" s="442"/>
      <c r="K2566" s="280"/>
      <c r="L2566" s="358"/>
      <c r="M2566" s="579"/>
      <c r="N2566" s="469"/>
      <c r="O2566" s="469"/>
    </row>
    <row r="2567" spans="3:15" ht="17.25">
      <c r="C2567" s="12" t="s">
        <v>424</v>
      </c>
      <c r="F2567" s="12"/>
      <c r="H2567" s="409"/>
      <c r="I2567" s="358"/>
      <c r="J2567" s="442"/>
      <c r="K2567" s="280"/>
      <c r="L2567" s="358"/>
      <c r="M2567" s="579"/>
      <c r="N2567" s="469"/>
      <c r="O2567" s="469"/>
    </row>
    <row r="2568" spans="3:15" ht="17.25">
      <c r="D2568" s="361">
        <v>44610</v>
      </c>
      <c r="E2568" s="361"/>
      <c r="F2568" s="361"/>
      <c r="G2568" s="361"/>
      <c r="H2568" s="409"/>
      <c r="I2568" s="358"/>
      <c r="J2568" s="442"/>
      <c r="K2568" s="280"/>
      <c r="L2568" s="358"/>
      <c r="M2568" s="579"/>
      <c r="N2568" s="469"/>
      <c r="O2568" s="469"/>
    </row>
    <row r="2569" spans="3:15" ht="17.25">
      <c r="E2569" s="12" t="s">
        <v>33</v>
      </c>
      <c r="F2569" s="12"/>
      <c r="H2569" s="409"/>
      <c r="I2569" s="358"/>
      <c r="J2569" s="442"/>
      <c r="K2569" s="280"/>
      <c r="L2569" s="358"/>
      <c r="M2569" s="579"/>
      <c r="N2569" s="469"/>
      <c r="O2569" s="469"/>
    </row>
    <row r="2570" spans="3:15" ht="17.25">
      <c r="F2570" s="361">
        <v>44568</v>
      </c>
      <c r="G2570" s="361"/>
      <c r="H2570" s="409"/>
      <c r="I2570" s="358"/>
      <c r="J2570" s="442"/>
      <c r="K2570" s="280"/>
      <c r="L2570" s="358"/>
      <c r="M2570" s="579"/>
      <c r="N2570" s="469"/>
      <c r="O2570" s="469"/>
    </row>
    <row r="2571" spans="3:15" ht="17.25">
      <c r="F2571" s="12"/>
      <c r="G2571" s="112" t="s">
        <v>33</v>
      </c>
      <c r="H2571" s="409">
        <v>6</v>
      </c>
      <c r="I2571" s="358">
        <v>676.69384615384615</v>
      </c>
      <c r="J2571" s="442">
        <v>1</v>
      </c>
      <c r="K2571" s="280">
        <v>676.69384615384615</v>
      </c>
      <c r="L2571" s="358">
        <v>1095.6300000000001</v>
      </c>
      <c r="M2571" s="579">
        <v>1</v>
      </c>
      <c r="N2571" s="469">
        <v>1095.6300000000001</v>
      </c>
      <c r="O2571" s="469">
        <v>-418.93615384615396</v>
      </c>
    </row>
    <row r="2572" spans="3:15" ht="17.25">
      <c r="F2572" s="12"/>
      <c r="H2572" s="409"/>
      <c r="I2572" s="358"/>
      <c r="J2572" s="442"/>
      <c r="K2572" s="280"/>
      <c r="L2572" s="358"/>
      <c r="M2572" s="579"/>
      <c r="N2572" s="469"/>
      <c r="O2572" s="469"/>
    </row>
    <row r="2573" spans="3:15" ht="17.25">
      <c r="F2573" s="361">
        <v>44551</v>
      </c>
      <c r="G2573" s="361"/>
      <c r="H2573" s="409"/>
      <c r="I2573" s="358"/>
      <c r="J2573" s="442"/>
      <c r="K2573" s="280"/>
      <c r="L2573" s="358"/>
      <c r="M2573" s="579"/>
      <c r="N2573" s="469"/>
      <c r="O2573" s="469"/>
    </row>
    <row r="2574" spans="3:15" ht="17.25">
      <c r="F2574" s="12"/>
      <c r="G2574" s="112" t="s">
        <v>33</v>
      </c>
      <c r="H2574" s="409">
        <v>9</v>
      </c>
      <c r="I2574" s="358">
        <v>1015.0407692307692</v>
      </c>
      <c r="J2574" s="442">
        <v>1</v>
      </c>
      <c r="K2574" s="280">
        <v>1015.0407692307692</v>
      </c>
      <c r="L2574" s="358">
        <v>2082.65</v>
      </c>
      <c r="M2574" s="579">
        <v>1</v>
      </c>
      <c r="N2574" s="469">
        <v>2082.65</v>
      </c>
      <c r="O2574" s="469">
        <v>-1067.6092307692306</v>
      </c>
    </row>
    <row r="2575" spans="3:15" ht="17.25">
      <c r="F2575" s="12"/>
      <c r="H2575" s="409"/>
      <c r="I2575" s="358"/>
      <c r="J2575" s="442"/>
      <c r="K2575" s="280"/>
      <c r="L2575" s="358"/>
      <c r="M2575" s="579"/>
      <c r="N2575" s="469"/>
      <c r="O2575" s="469"/>
    </row>
    <row r="2576" spans="3:15" ht="17.25">
      <c r="F2576" s="361">
        <v>44550</v>
      </c>
      <c r="G2576" s="361"/>
      <c r="H2576" s="409"/>
      <c r="I2576" s="358"/>
      <c r="J2576" s="442"/>
      <c r="K2576" s="280"/>
      <c r="L2576" s="358"/>
      <c r="M2576" s="579"/>
      <c r="N2576" s="469"/>
      <c r="O2576" s="469"/>
    </row>
    <row r="2577" spans="3:15" ht="17.25">
      <c r="F2577" s="12"/>
      <c r="G2577" s="112" t="s">
        <v>33</v>
      </c>
      <c r="H2577" s="409">
        <v>6</v>
      </c>
      <c r="I2577" s="358">
        <v>676.69384615384615</v>
      </c>
      <c r="J2577" s="442">
        <v>1</v>
      </c>
      <c r="K2577" s="280">
        <v>676.69384615384615</v>
      </c>
      <c r="L2577" s="358">
        <v>1366.6</v>
      </c>
      <c r="M2577" s="579">
        <v>1</v>
      </c>
      <c r="N2577" s="469">
        <v>1366.6</v>
      </c>
      <c r="O2577" s="469">
        <v>-689.90615384615376</v>
      </c>
    </row>
    <row r="2578" spans="3:15" ht="17.25">
      <c r="F2578" s="12"/>
      <c r="H2578" s="409"/>
      <c r="I2578" s="358"/>
      <c r="J2578" s="442"/>
      <c r="K2578" s="280"/>
      <c r="L2578" s="358"/>
      <c r="M2578" s="579"/>
      <c r="N2578" s="469"/>
      <c r="O2578" s="469"/>
    </row>
    <row r="2579" spans="3:15" ht="17.25">
      <c r="F2579" s="361">
        <v>44557</v>
      </c>
      <c r="G2579" s="361"/>
      <c r="H2579" s="409"/>
      <c r="I2579" s="358"/>
      <c r="J2579" s="442"/>
      <c r="K2579" s="280"/>
      <c r="L2579" s="358"/>
      <c r="M2579" s="579"/>
      <c r="N2579" s="469"/>
      <c r="O2579" s="469"/>
    </row>
    <row r="2580" spans="3:15" ht="17.25">
      <c r="F2580" s="12"/>
      <c r="G2580" s="112" t="s">
        <v>33</v>
      </c>
      <c r="H2580" s="409">
        <v>5</v>
      </c>
      <c r="I2580" s="358">
        <v>563.9115384615385</v>
      </c>
      <c r="J2580" s="442">
        <v>1</v>
      </c>
      <c r="K2580" s="280">
        <v>563.9115384615385</v>
      </c>
      <c r="L2580" s="358">
        <v>1157.3900000000001</v>
      </c>
      <c r="M2580" s="579">
        <v>1</v>
      </c>
      <c r="N2580" s="469">
        <v>1157.3900000000001</v>
      </c>
      <c r="O2580" s="469">
        <v>-593.4784615384616</v>
      </c>
    </row>
    <row r="2581" spans="3:15" ht="17.25">
      <c r="F2581" s="12"/>
      <c r="H2581" s="409"/>
      <c r="I2581" s="358"/>
      <c r="J2581" s="442"/>
      <c r="K2581" s="280"/>
      <c r="L2581" s="358"/>
      <c r="M2581" s="579"/>
      <c r="N2581" s="469"/>
      <c r="O2581" s="469"/>
    </row>
    <row r="2582" spans="3:15" ht="17.25">
      <c r="C2582" s="342" t="s">
        <v>425</v>
      </c>
      <c r="D2582" s="342"/>
      <c r="E2582" s="342"/>
      <c r="F2582" s="342"/>
      <c r="G2582" s="342"/>
      <c r="H2582" s="410">
        <v>26</v>
      </c>
      <c r="I2582" s="407">
        <v>2932.3399999999997</v>
      </c>
      <c r="J2582" s="460">
        <v>1</v>
      </c>
      <c r="K2582" s="413">
        <v>2932.3399999999997</v>
      </c>
      <c r="L2582" s="407">
        <v>5702.27</v>
      </c>
      <c r="M2582" s="580">
        <v>1</v>
      </c>
      <c r="N2582" s="470">
        <v>5702.27</v>
      </c>
      <c r="O2582" s="470">
        <v>-2769.93</v>
      </c>
    </row>
    <row r="2583" spans="3:15" ht="17.25">
      <c r="F2583" s="12"/>
      <c r="H2583" s="409"/>
      <c r="I2583" s="358"/>
      <c r="J2583" s="442"/>
      <c r="K2583" s="280"/>
      <c r="L2583" s="358"/>
      <c r="M2583" s="579"/>
      <c r="N2583" s="469"/>
      <c r="O2583" s="469"/>
    </row>
    <row r="2584" spans="3:15" ht="17.25">
      <c r="C2584" s="12" t="s">
        <v>271</v>
      </c>
      <c r="F2584" s="12"/>
      <c r="H2584" s="409"/>
      <c r="I2584" s="358"/>
      <c r="J2584" s="442"/>
      <c r="K2584" s="280"/>
      <c r="L2584" s="358"/>
      <c r="M2584" s="579"/>
      <c r="N2584" s="469"/>
      <c r="O2584" s="469"/>
    </row>
    <row r="2585" spans="3:15" ht="17.25">
      <c r="D2585" s="361">
        <v>44713</v>
      </c>
      <c r="E2585" s="361"/>
      <c r="F2585" s="361"/>
      <c r="G2585" s="361"/>
      <c r="H2585" s="409"/>
      <c r="I2585" s="358"/>
      <c r="J2585" s="442"/>
      <c r="K2585" s="280"/>
      <c r="L2585" s="358"/>
      <c r="M2585" s="579"/>
      <c r="N2585" s="469"/>
      <c r="O2585" s="469"/>
    </row>
    <row r="2586" spans="3:15" ht="17.25">
      <c r="E2586" s="12" t="s">
        <v>33</v>
      </c>
      <c r="F2586" s="12"/>
      <c r="H2586" s="409"/>
      <c r="I2586" s="358"/>
      <c r="J2586" s="442"/>
      <c r="K2586" s="280"/>
      <c r="L2586" s="358"/>
      <c r="M2586" s="579"/>
      <c r="N2586" s="469"/>
      <c r="O2586" s="469"/>
    </row>
    <row r="2587" spans="3:15" ht="17.25">
      <c r="F2587" s="361">
        <v>44503</v>
      </c>
      <c r="G2587" s="361"/>
      <c r="H2587" s="409"/>
      <c r="I2587" s="358"/>
      <c r="J2587" s="442"/>
      <c r="K2587" s="280"/>
      <c r="L2587" s="358"/>
      <c r="M2587" s="579"/>
      <c r="N2587" s="469"/>
      <c r="O2587" s="469"/>
    </row>
    <row r="2588" spans="3:15" ht="17.25">
      <c r="F2588" s="12"/>
      <c r="G2588" s="112" t="s">
        <v>33</v>
      </c>
      <c r="H2588" s="409">
        <v>10</v>
      </c>
      <c r="I2588" s="358">
        <v>1755.31</v>
      </c>
      <c r="J2588" s="442">
        <v>1</v>
      </c>
      <c r="K2588" s="280">
        <v>1755.31</v>
      </c>
      <c r="L2588" s="358">
        <v>3010.4770270270269</v>
      </c>
      <c r="M2588" s="579">
        <v>1</v>
      </c>
      <c r="N2588" s="469">
        <v>3010.4770270270269</v>
      </c>
      <c r="O2588" s="469">
        <v>-1255.167027027027</v>
      </c>
    </row>
    <row r="2589" spans="3:15" ht="17.25">
      <c r="F2589" s="12"/>
      <c r="H2589" s="409"/>
      <c r="I2589" s="358"/>
      <c r="J2589" s="442"/>
      <c r="K2589" s="280"/>
      <c r="L2589" s="358"/>
      <c r="M2589" s="579"/>
      <c r="N2589" s="469"/>
      <c r="O2589" s="469"/>
    </row>
    <row r="2590" spans="3:15" ht="17.25">
      <c r="C2590" s="342" t="s">
        <v>426</v>
      </c>
      <c r="D2590" s="342"/>
      <c r="E2590" s="342"/>
      <c r="F2590" s="342"/>
      <c r="G2590" s="342"/>
      <c r="H2590" s="410">
        <v>10</v>
      </c>
      <c r="I2590" s="407">
        <v>1755.31</v>
      </c>
      <c r="J2590" s="460">
        <v>1</v>
      </c>
      <c r="K2590" s="413">
        <v>1755.31</v>
      </c>
      <c r="L2590" s="407">
        <v>3010.4770270270269</v>
      </c>
      <c r="M2590" s="580">
        <v>1</v>
      </c>
      <c r="N2590" s="470">
        <v>3010.4770270270269</v>
      </c>
      <c r="O2590" s="470">
        <v>-1255.167027027027</v>
      </c>
    </row>
    <row r="2591" spans="3:15" ht="17.25">
      <c r="F2591" s="12"/>
      <c r="H2591" s="409"/>
      <c r="I2591" s="358"/>
      <c r="J2591" s="442"/>
      <c r="K2591" s="280"/>
      <c r="L2591" s="358"/>
      <c r="M2591" s="579"/>
      <c r="N2591" s="469"/>
      <c r="O2591" s="469"/>
    </row>
    <row r="2592" spans="3:15" ht="17.25">
      <c r="C2592" s="12" t="s">
        <v>427</v>
      </c>
      <c r="F2592" s="12"/>
      <c r="H2592" s="409"/>
      <c r="I2592" s="358"/>
      <c r="J2592" s="442"/>
      <c r="K2592" s="280"/>
      <c r="L2592" s="358"/>
      <c r="M2592" s="579"/>
      <c r="N2592" s="469"/>
      <c r="O2592" s="469"/>
    </row>
    <row r="2593" spans="4:15" ht="17.25">
      <c r="D2593" s="361">
        <v>44634</v>
      </c>
      <c r="E2593" s="361"/>
      <c r="F2593" s="361"/>
      <c r="G2593" s="361"/>
      <c r="H2593" s="409"/>
      <c r="I2593" s="358"/>
      <c r="J2593" s="442"/>
      <c r="K2593" s="280"/>
      <c r="L2593" s="358"/>
      <c r="M2593" s="579"/>
      <c r="N2593" s="469"/>
      <c r="O2593" s="469"/>
    </row>
    <row r="2594" spans="4:15" ht="17.25">
      <c r="E2594" s="12" t="s">
        <v>33</v>
      </c>
      <c r="F2594" s="12"/>
      <c r="H2594" s="409"/>
      <c r="I2594" s="358"/>
      <c r="J2594" s="442"/>
      <c r="K2594" s="280"/>
      <c r="L2594" s="358"/>
      <c r="M2594" s="579"/>
      <c r="N2594" s="469"/>
      <c r="O2594" s="469"/>
    </row>
    <row r="2595" spans="4:15" ht="17.25">
      <c r="F2595" s="361">
        <v>44509</v>
      </c>
      <c r="G2595" s="361"/>
      <c r="H2595" s="409"/>
      <c r="I2595" s="358"/>
      <c r="J2595" s="442"/>
      <c r="K2595" s="280"/>
      <c r="L2595" s="358"/>
      <c r="M2595" s="579"/>
      <c r="N2595" s="469"/>
      <c r="O2595" s="469"/>
    </row>
    <row r="2596" spans="4:15" ht="17.25">
      <c r="F2596" s="12"/>
      <c r="G2596" s="112" t="s">
        <v>33</v>
      </c>
      <c r="H2596" s="409">
        <v>38</v>
      </c>
      <c r="I2596" s="358">
        <v>1133.818888888889</v>
      </c>
      <c r="J2596" s="442">
        <v>1</v>
      </c>
      <c r="K2596" s="280">
        <v>1133.818888888889</v>
      </c>
      <c r="L2596" s="358">
        <v>2816.1299999999997</v>
      </c>
      <c r="M2596" s="579">
        <v>1</v>
      </c>
      <c r="N2596" s="469">
        <v>2816.1299999999997</v>
      </c>
      <c r="O2596" s="469">
        <v>-1682.3111111111107</v>
      </c>
    </row>
    <row r="2597" spans="4:15" ht="17.25">
      <c r="F2597" s="12"/>
      <c r="H2597" s="409"/>
      <c r="I2597" s="358"/>
      <c r="J2597" s="442"/>
      <c r="K2597" s="280"/>
      <c r="L2597" s="358"/>
      <c r="M2597" s="579"/>
      <c r="N2597" s="469"/>
      <c r="O2597" s="469"/>
    </row>
    <row r="2598" spans="4:15" ht="17.25">
      <c r="F2598" s="361">
        <v>44510</v>
      </c>
      <c r="G2598" s="361"/>
      <c r="H2598" s="409"/>
      <c r="I2598" s="358"/>
      <c r="J2598" s="442"/>
      <c r="K2598" s="280"/>
      <c r="L2598" s="358"/>
      <c r="M2598" s="579"/>
      <c r="N2598" s="469"/>
      <c r="O2598" s="469"/>
    </row>
    <row r="2599" spans="4:15" ht="17.25">
      <c r="F2599" s="12"/>
      <c r="G2599" s="112" t="s">
        <v>33</v>
      </c>
      <c r="H2599" s="409">
        <v>5</v>
      </c>
      <c r="I2599" s="358">
        <v>148.87111111111113</v>
      </c>
      <c r="J2599" s="442">
        <v>1</v>
      </c>
      <c r="K2599" s="280">
        <v>148.87111111111113</v>
      </c>
      <c r="L2599" s="358">
        <v>364.54999999999995</v>
      </c>
      <c r="M2599" s="579">
        <v>1</v>
      </c>
      <c r="N2599" s="469">
        <v>364.54999999999995</v>
      </c>
      <c r="O2599" s="469">
        <v>-215.67888888888888</v>
      </c>
    </row>
    <row r="2600" spans="4:15" ht="17.25">
      <c r="F2600" s="12"/>
      <c r="H2600" s="409"/>
      <c r="I2600" s="358"/>
      <c r="J2600" s="442"/>
      <c r="K2600" s="280"/>
      <c r="L2600" s="358"/>
      <c r="M2600" s="579"/>
      <c r="N2600" s="469"/>
      <c r="O2600" s="469"/>
    </row>
    <row r="2601" spans="4:15" ht="17.25">
      <c r="D2601" s="361">
        <v>44635</v>
      </c>
      <c r="E2601" s="361"/>
      <c r="F2601" s="361"/>
      <c r="G2601" s="361"/>
      <c r="H2601" s="409"/>
      <c r="I2601" s="358"/>
      <c r="J2601" s="442"/>
      <c r="K2601" s="280"/>
      <c r="L2601" s="358"/>
      <c r="M2601" s="579"/>
      <c r="N2601" s="469"/>
      <c r="O2601" s="469"/>
    </row>
    <row r="2602" spans="4:15" ht="17.25">
      <c r="E2602" s="12" t="s">
        <v>33</v>
      </c>
      <c r="F2602" s="12"/>
      <c r="H2602" s="409"/>
      <c r="I2602" s="358"/>
      <c r="J2602" s="442"/>
      <c r="K2602" s="280"/>
      <c r="L2602" s="358"/>
      <c r="M2602" s="579"/>
      <c r="N2602" s="469"/>
      <c r="O2602" s="469"/>
    </row>
    <row r="2603" spans="4:15" ht="17.25">
      <c r="F2603" s="361">
        <v>44523</v>
      </c>
      <c r="G2603" s="361"/>
      <c r="H2603" s="409"/>
      <c r="I2603" s="358"/>
      <c r="J2603" s="442"/>
      <c r="K2603" s="280"/>
      <c r="L2603" s="358"/>
      <c r="M2603" s="579"/>
      <c r="N2603" s="469"/>
      <c r="O2603" s="469"/>
    </row>
    <row r="2604" spans="4:15" ht="17.25">
      <c r="F2604" s="12"/>
      <c r="G2604" s="112" t="s">
        <v>33</v>
      </c>
      <c r="H2604" s="409">
        <v>15</v>
      </c>
      <c r="I2604" s="358">
        <v>459.7630434782609</v>
      </c>
      <c r="J2604" s="442">
        <v>1</v>
      </c>
      <c r="K2604" s="280">
        <v>459.7630434782609</v>
      </c>
      <c r="L2604" s="358">
        <v>930.14</v>
      </c>
      <c r="M2604" s="579">
        <v>1</v>
      </c>
      <c r="N2604" s="469">
        <v>930.14</v>
      </c>
      <c r="O2604" s="469">
        <v>-470.37695652173909</v>
      </c>
    </row>
    <row r="2605" spans="4:15" ht="17.25">
      <c r="F2605" s="12"/>
      <c r="H2605" s="409"/>
      <c r="I2605" s="358"/>
      <c r="J2605" s="442"/>
      <c r="K2605" s="280"/>
      <c r="L2605" s="358"/>
      <c r="M2605" s="579"/>
      <c r="N2605" s="469"/>
      <c r="O2605" s="469"/>
    </row>
    <row r="2606" spans="4:15" ht="17.25">
      <c r="F2606" s="361">
        <v>44516</v>
      </c>
      <c r="G2606" s="361"/>
      <c r="H2606" s="409"/>
      <c r="I2606" s="358"/>
      <c r="J2606" s="442"/>
      <c r="K2606" s="280"/>
      <c r="L2606" s="358"/>
      <c r="M2606" s="579"/>
      <c r="N2606" s="469"/>
      <c r="O2606" s="469"/>
    </row>
    <row r="2607" spans="4:15" ht="17.25">
      <c r="F2607" s="12"/>
      <c r="G2607" s="112" t="s">
        <v>33</v>
      </c>
      <c r="H2607" s="409">
        <v>11</v>
      </c>
      <c r="I2607" s="358">
        <v>338.6452173913043</v>
      </c>
      <c r="J2607" s="442">
        <v>1</v>
      </c>
      <c r="K2607" s="280">
        <v>338.6452173913043</v>
      </c>
      <c r="L2607" s="358">
        <v>820.87</v>
      </c>
      <c r="M2607" s="579">
        <v>1</v>
      </c>
      <c r="N2607" s="469">
        <v>820.87</v>
      </c>
      <c r="O2607" s="469">
        <v>-482.22478260869565</v>
      </c>
    </row>
    <row r="2608" spans="4:15" ht="17.25">
      <c r="F2608" s="12"/>
      <c r="H2608" s="409"/>
      <c r="I2608" s="358"/>
      <c r="J2608" s="442"/>
      <c r="K2608" s="280"/>
      <c r="L2608" s="358"/>
      <c r="M2608" s="579"/>
      <c r="N2608" s="469"/>
      <c r="O2608" s="469"/>
    </row>
    <row r="2609" spans="4:15" ht="17.25">
      <c r="F2609" s="361">
        <v>44537</v>
      </c>
      <c r="G2609" s="361"/>
      <c r="H2609" s="409"/>
      <c r="I2609" s="358"/>
      <c r="J2609" s="442"/>
      <c r="K2609" s="280"/>
      <c r="L2609" s="358"/>
      <c r="M2609" s="579"/>
      <c r="N2609" s="469"/>
      <c r="O2609" s="469"/>
    </row>
    <row r="2610" spans="4:15" ht="17.25">
      <c r="F2610" s="12"/>
      <c r="G2610" s="112" t="s">
        <v>33</v>
      </c>
      <c r="H2610" s="409">
        <v>15</v>
      </c>
      <c r="I2610" s="358">
        <v>460.61243478260872</v>
      </c>
      <c r="J2610" s="442">
        <v>1</v>
      </c>
      <c r="K2610" s="280">
        <v>460.61243478260872</v>
      </c>
      <c r="L2610" s="358">
        <v>767.06</v>
      </c>
      <c r="M2610" s="579">
        <v>1</v>
      </c>
      <c r="N2610" s="469">
        <v>767.06</v>
      </c>
      <c r="O2610" s="469">
        <v>-306.44756521739123</v>
      </c>
    </row>
    <row r="2611" spans="4:15" ht="17.25">
      <c r="F2611" s="12"/>
      <c r="H2611" s="409"/>
      <c r="I2611" s="358"/>
      <c r="J2611" s="442"/>
      <c r="K2611" s="280"/>
      <c r="L2611" s="358"/>
      <c r="M2611" s="579"/>
      <c r="N2611" s="469"/>
      <c r="O2611" s="469"/>
    </row>
    <row r="2612" spans="4:15" ht="17.25">
      <c r="F2612" s="361">
        <v>44510</v>
      </c>
      <c r="G2612" s="361"/>
      <c r="H2612" s="409"/>
      <c r="I2612" s="358"/>
      <c r="J2612" s="442"/>
      <c r="K2612" s="280"/>
      <c r="L2612" s="358"/>
      <c r="M2612" s="579"/>
      <c r="N2612" s="469"/>
      <c r="O2612" s="469"/>
    </row>
    <row r="2613" spans="4:15" ht="17.25">
      <c r="F2613" s="12"/>
      <c r="G2613" s="112" t="s">
        <v>33</v>
      </c>
      <c r="H2613" s="409">
        <v>6</v>
      </c>
      <c r="I2613" s="358">
        <v>187.7</v>
      </c>
      <c r="J2613" s="442">
        <v>1</v>
      </c>
      <c r="K2613" s="280">
        <v>187.7</v>
      </c>
      <c r="L2613" s="358">
        <v>437.45999999999992</v>
      </c>
      <c r="M2613" s="579">
        <v>1</v>
      </c>
      <c r="N2613" s="469">
        <v>437.45999999999992</v>
      </c>
      <c r="O2613" s="469">
        <v>-249.76</v>
      </c>
    </row>
    <row r="2614" spans="4:15" ht="17.25">
      <c r="F2614" s="12"/>
      <c r="H2614" s="409"/>
      <c r="I2614" s="358"/>
      <c r="J2614" s="442"/>
      <c r="K2614" s="280"/>
      <c r="L2614" s="358"/>
      <c r="M2614" s="579"/>
      <c r="N2614" s="469"/>
      <c r="O2614" s="469"/>
    </row>
    <row r="2615" spans="4:15" ht="17.25">
      <c r="F2615" s="361">
        <v>44550</v>
      </c>
      <c r="G2615" s="361"/>
      <c r="H2615" s="409"/>
      <c r="I2615" s="358"/>
      <c r="J2615" s="442"/>
      <c r="K2615" s="280"/>
      <c r="L2615" s="358"/>
      <c r="M2615" s="579"/>
      <c r="N2615" s="469"/>
      <c r="O2615" s="469"/>
    </row>
    <row r="2616" spans="4:15" ht="17.25">
      <c r="F2616" s="12"/>
      <c r="G2616" s="112" t="s">
        <v>33</v>
      </c>
      <c r="H2616" s="409">
        <v>2</v>
      </c>
      <c r="I2616" s="358">
        <v>61.867999999999995</v>
      </c>
      <c r="J2616" s="442">
        <v>1</v>
      </c>
      <c r="K2616" s="280">
        <v>61.867999999999995</v>
      </c>
      <c r="L2616" s="358">
        <v>97.874666666666656</v>
      </c>
      <c r="M2616" s="579">
        <v>1</v>
      </c>
      <c r="N2616" s="469">
        <v>97.874666666666656</v>
      </c>
      <c r="O2616" s="469">
        <v>-36.006666666666661</v>
      </c>
    </row>
    <row r="2617" spans="4:15" ht="17.25">
      <c r="F2617" s="12"/>
      <c r="H2617" s="409"/>
      <c r="I2617" s="358"/>
      <c r="J2617" s="442"/>
      <c r="K2617" s="280"/>
      <c r="L2617" s="358"/>
      <c r="M2617" s="579"/>
      <c r="N2617" s="469"/>
      <c r="O2617" s="469"/>
    </row>
    <row r="2618" spans="4:15" ht="17.25">
      <c r="F2618" s="361">
        <v>44529</v>
      </c>
      <c r="G2618" s="361"/>
      <c r="H2618" s="409"/>
      <c r="I2618" s="358"/>
      <c r="J2618" s="442"/>
      <c r="K2618" s="280"/>
      <c r="L2618" s="358"/>
      <c r="M2618" s="579"/>
      <c r="N2618" s="469"/>
      <c r="O2618" s="469"/>
    </row>
    <row r="2619" spans="4:15" ht="17.25">
      <c r="F2619" s="12"/>
      <c r="G2619" s="112" t="s">
        <v>33</v>
      </c>
      <c r="H2619" s="409">
        <v>11</v>
      </c>
      <c r="I2619" s="358">
        <v>337.15956521739133</v>
      </c>
      <c r="J2619" s="442">
        <v>1</v>
      </c>
      <c r="K2619" s="280">
        <v>337.15956521739133</v>
      </c>
      <c r="L2619" s="358">
        <v>637.04</v>
      </c>
      <c r="M2619" s="579">
        <v>1</v>
      </c>
      <c r="N2619" s="469">
        <v>637.04</v>
      </c>
      <c r="O2619" s="469">
        <v>-299.88043478260875</v>
      </c>
    </row>
    <row r="2620" spans="4:15" ht="17.25">
      <c r="F2620" s="12"/>
      <c r="H2620" s="409"/>
      <c r="I2620" s="358"/>
      <c r="J2620" s="442"/>
      <c r="K2620" s="280"/>
      <c r="L2620" s="358"/>
      <c r="M2620" s="579"/>
      <c r="N2620" s="469"/>
      <c r="O2620" s="469"/>
    </row>
    <row r="2621" spans="4:15" ht="17.25">
      <c r="F2621" s="361">
        <v>44531</v>
      </c>
      <c r="G2621" s="361"/>
      <c r="H2621" s="409"/>
      <c r="I2621" s="358"/>
      <c r="J2621" s="442"/>
      <c r="K2621" s="280"/>
      <c r="L2621" s="358"/>
      <c r="M2621" s="579"/>
      <c r="N2621" s="469"/>
      <c r="O2621" s="469"/>
    </row>
    <row r="2622" spans="4:15" ht="17.25">
      <c r="F2622" s="12"/>
      <c r="G2622" s="112" t="s">
        <v>33</v>
      </c>
      <c r="H2622" s="409">
        <v>2</v>
      </c>
      <c r="I2622" s="358">
        <v>61.301739130434783</v>
      </c>
      <c r="J2622" s="442">
        <v>1</v>
      </c>
      <c r="K2622" s="280">
        <v>61.301739130434783</v>
      </c>
      <c r="L2622" s="358">
        <v>114.22999999999999</v>
      </c>
      <c r="M2622" s="579">
        <v>1</v>
      </c>
      <c r="N2622" s="469">
        <v>114.22999999999999</v>
      </c>
      <c r="O2622" s="469">
        <v>-52.928260869565214</v>
      </c>
    </row>
    <row r="2623" spans="4:15" ht="17.25">
      <c r="F2623" s="12"/>
      <c r="H2623" s="409"/>
      <c r="I2623" s="358"/>
      <c r="J2623" s="442"/>
      <c r="K2623" s="280"/>
      <c r="L2623" s="358"/>
      <c r="M2623" s="579"/>
      <c r="N2623" s="469"/>
      <c r="O2623" s="469"/>
    </row>
    <row r="2624" spans="4:15" ht="17.25">
      <c r="D2624" s="361">
        <v>44636</v>
      </c>
      <c r="E2624" s="361"/>
      <c r="F2624" s="361"/>
      <c r="G2624" s="361"/>
      <c r="H2624" s="409"/>
      <c r="I2624" s="358"/>
      <c r="J2624" s="442"/>
      <c r="K2624" s="280"/>
      <c r="L2624" s="358"/>
      <c r="M2624" s="579"/>
      <c r="N2624" s="469"/>
      <c r="O2624" s="469"/>
    </row>
    <row r="2625" spans="3:15" ht="17.25">
      <c r="E2625" s="12" t="s">
        <v>33</v>
      </c>
      <c r="F2625" s="12"/>
      <c r="H2625" s="409"/>
      <c r="I2625" s="358"/>
      <c r="J2625" s="442"/>
      <c r="K2625" s="280"/>
      <c r="L2625" s="358"/>
      <c r="M2625" s="579"/>
      <c r="N2625" s="469"/>
      <c r="O2625" s="469"/>
    </row>
    <row r="2626" spans="3:15" ht="17.25">
      <c r="F2626" s="361">
        <v>44550</v>
      </c>
      <c r="G2626" s="361"/>
      <c r="H2626" s="409"/>
      <c r="I2626" s="358"/>
      <c r="J2626" s="442"/>
      <c r="K2626" s="280"/>
      <c r="L2626" s="358"/>
      <c r="M2626" s="579"/>
      <c r="N2626" s="469"/>
      <c r="O2626" s="469"/>
    </row>
    <row r="2627" spans="3:15" ht="17.25">
      <c r="F2627" s="12"/>
      <c r="G2627" s="112" t="s">
        <v>33</v>
      </c>
      <c r="H2627" s="409">
        <v>13</v>
      </c>
      <c r="I2627" s="358">
        <v>442.91</v>
      </c>
      <c r="J2627" s="442">
        <v>1</v>
      </c>
      <c r="K2627" s="280">
        <v>442.91</v>
      </c>
      <c r="L2627" s="358">
        <v>636.18533333333323</v>
      </c>
      <c r="M2627" s="579">
        <v>1</v>
      </c>
      <c r="N2627" s="469">
        <v>636.18533333333323</v>
      </c>
      <c r="O2627" s="469">
        <v>-193.27533333333321</v>
      </c>
    </row>
    <row r="2628" spans="3:15" ht="17.25">
      <c r="F2628" s="12"/>
      <c r="H2628" s="409"/>
      <c r="I2628" s="358"/>
      <c r="J2628" s="442"/>
      <c r="K2628" s="280"/>
      <c r="L2628" s="358"/>
      <c r="M2628" s="579"/>
      <c r="N2628" s="469"/>
      <c r="O2628" s="469"/>
    </row>
    <row r="2629" spans="3:15" ht="17.25">
      <c r="C2629" s="342" t="s">
        <v>428</v>
      </c>
      <c r="D2629" s="342"/>
      <c r="E2629" s="342"/>
      <c r="F2629" s="342"/>
      <c r="G2629" s="342"/>
      <c r="H2629" s="410">
        <v>118</v>
      </c>
      <c r="I2629" s="407">
        <v>3632.6499999999996</v>
      </c>
      <c r="J2629" s="460">
        <v>1</v>
      </c>
      <c r="K2629" s="413">
        <v>3632.6499999999996</v>
      </c>
      <c r="L2629" s="407">
        <v>7621.5399999999972</v>
      </c>
      <c r="M2629" s="580">
        <v>1</v>
      </c>
      <c r="N2629" s="470">
        <v>7621.5399999999972</v>
      </c>
      <c r="O2629" s="470">
        <v>-3988.889999999999</v>
      </c>
    </row>
    <row r="2630" spans="3:15" ht="17.25">
      <c r="F2630" s="12"/>
      <c r="H2630" s="409"/>
      <c r="I2630" s="358"/>
      <c r="J2630" s="442"/>
      <c r="K2630" s="280"/>
      <c r="L2630" s="358"/>
      <c r="M2630" s="579"/>
      <c r="N2630" s="469"/>
      <c r="O2630" s="469"/>
    </row>
    <row r="2631" spans="3:15" ht="17.25">
      <c r="C2631" s="12" t="s">
        <v>277</v>
      </c>
      <c r="F2631" s="12"/>
      <c r="H2631" s="409"/>
      <c r="I2631" s="358"/>
      <c r="J2631" s="442"/>
      <c r="K2631" s="280"/>
      <c r="L2631" s="358"/>
      <c r="M2631" s="579"/>
      <c r="N2631" s="469"/>
      <c r="O2631" s="469"/>
    </row>
    <row r="2632" spans="3:15" ht="17.25">
      <c r="D2632" s="361">
        <v>44776</v>
      </c>
      <c r="E2632" s="361"/>
      <c r="F2632" s="361"/>
      <c r="G2632" s="361"/>
      <c r="H2632" s="409"/>
      <c r="I2632" s="358"/>
      <c r="J2632" s="442"/>
      <c r="K2632" s="280"/>
      <c r="L2632" s="358"/>
      <c r="M2632" s="579"/>
      <c r="N2632" s="469"/>
      <c r="O2632" s="469"/>
    </row>
    <row r="2633" spans="3:15" ht="17.25">
      <c r="E2633" s="12" t="s">
        <v>33</v>
      </c>
      <c r="F2633" s="12"/>
      <c r="H2633" s="409"/>
      <c r="I2633" s="358"/>
      <c r="J2633" s="442"/>
      <c r="K2633" s="280"/>
      <c r="L2633" s="358"/>
      <c r="M2633" s="579"/>
      <c r="N2633" s="469"/>
      <c r="O2633" s="469"/>
    </row>
    <row r="2634" spans="3:15" ht="17.25">
      <c r="F2634" s="361">
        <v>44503</v>
      </c>
      <c r="G2634" s="361"/>
      <c r="H2634" s="409"/>
      <c r="I2634" s="358"/>
      <c r="J2634" s="442"/>
      <c r="K2634" s="280"/>
      <c r="L2634" s="358"/>
      <c r="M2634" s="579"/>
      <c r="N2634" s="469"/>
      <c r="O2634" s="469"/>
    </row>
    <row r="2635" spans="3:15" ht="17.25">
      <c r="F2635" s="12"/>
      <c r="G2635" s="112" t="s">
        <v>33</v>
      </c>
      <c r="H2635" s="409">
        <v>15</v>
      </c>
      <c r="I2635" s="358">
        <v>607.91999999999985</v>
      </c>
      <c r="J2635" s="442">
        <v>1</v>
      </c>
      <c r="K2635" s="280">
        <v>607.91999999999985</v>
      </c>
      <c r="L2635" s="358">
        <v>899.39545454545464</v>
      </c>
      <c r="M2635" s="579">
        <v>1</v>
      </c>
      <c r="N2635" s="469">
        <v>899.39545454545464</v>
      </c>
      <c r="O2635" s="469">
        <v>-291.47545454545462</v>
      </c>
    </row>
    <row r="2636" spans="3:15" ht="17.25">
      <c r="F2636" s="12"/>
      <c r="H2636" s="409"/>
      <c r="I2636" s="358"/>
      <c r="J2636" s="442"/>
      <c r="K2636" s="280"/>
      <c r="L2636" s="358"/>
      <c r="M2636" s="579"/>
      <c r="N2636" s="469"/>
      <c r="O2636" s="469"/>
    </row>
    <row r="2637" spans="3:15" ht="17.25">
      <c r="D2637" s="361">
        <v>44777</v>
      </c>
      <c r="E2637" s="361"/>
      <c r="F2637" s="361"/>
      <c r="G2637" s="361"/>
      <c r="H2637" s="409"/>
      <c r="I2637" s="358"/>
      <c r="J2637" s="442"/>
      <c r="K2637" s="280"/>
      <c r="L2637" s="358"/>
      <c r="M2637" s="579"/>
      <c r="N2637" s="469"/>
      <c r="O2637" s="469"/>
    </row>
    <row r="2638" spans="3:15" ht="17.25">
      <c r="E2638" s="12" t="s">
        <v>33</v>
      </c>
      <c r="F2638" s="12"/>
      <c r="H2638" s="409"/>
      <c r="I2638" s="358"/>
      <c r="J2638" s="442"/>
      <c r="K2638" s="280"/>
      <c r="L2638" s="358"/>
      <c r="M2638" s="579"/>
      <c r="N2638" s="469"/>
      <c r="O2638" s="469"/>
    </row>
    <row r="2639" spans="3:15" ht="17.25">
      <c r="F2639" s="361">
        <v>44503</v>
      </c>
      <c r="G2639" s="361"/>
      <c r="H2639" s="409"/>
      <c r="I2639" s="358"/>
      <c r="J2639" s="442"/>
      <c r="K2639" s="280"/>
      <c r="L2639" s="358"/>
      <c r="M2639" s="579"/>
      <c r="N2639" s="469"/>
      <c r="O2639" s="469"/>
    </row>
    <row r="2640" spans="3:15" ht="17.25">
      <c r="F2640" s="12"/>
      <c r="G2640" s="112" t="s">
        <v>33</v>
      </c>
      <c r="H2640" s="409">
        <v>24</v>
      </c>
      <c r="I2640" s="358">
        <v>1042.4000000000001</v>
      </c>
      <c r="J2640" s="442">
        <v>1</v>
      </c>
      <c r="K2640" s="280">
        <v>1042.4000000000001</v>
      </c>
      <c r="L2640" s="358">
        <v>1439.0327272727272</v>
      </c>
      <c r="M2640" s="579">
        <v>1</v>
      </c>
      <c r="N2640" s="469">
        <v>1439.0327272727272</v>
      </c>
      <c r="O2640" s="469">
        <v>-396.63272727272727</v>
      </c>
    </row>
    <row r="2641" spans="4:15" ht="17.25">
      <c r="F2641" s="12"/>
      <c r="H2641" s="409"/>
      <c r="I2641" s="358"/>
      <c r="J2641" s="442"/>
      <c r="K2641" s="280"/>
      <c r="L2641" s="358"/>
      <c r="M2641" s="579"/>
      <c r="N2641" s="469"/>
      <c r="O2641" s="469"/>
    </row>
    <row r="2642" spans="4:15" ht="17.25">
      <c r="D2642" s="361">
        <v>44778</v>
      </c>
      <c r="E2642" s="361"/>
      <c r="F2642" s="361"/>
      <c r="G2642" s="361"/>
      <c r="H2642" s="409"/>
      <c r="I2642" s="358"/>
      <c r="J2642" s="442"/>
      <c r="K2642" s="280"/>
      <c r="L2642" s="358"/>
      <c r="M2642" s="579"/>
      <c r="N2642" s="469"/>
      <c r="O2642" s="469"/>
    </row>
    <row r="2643" spans="4:15" ht="17.25">
      <c r="E2643" s="12" t="s">
        <v>33</v>
      </c>
      <c r="F2643" s="12"/>
      <c r="H2643" s="409"/>
      <c r="I2643" s="358"/>
      <c r="J2643" s="442"/>
      <c r="K2643" s="280"/>
      <c r="L2643" s="358"/>
      <c r="M2643" s="579"/>
      <c r="N2643" s="469"/>
      <c r="O2643" s="469"/>
    </row>
    <row r="2644" spans="4:15" ht="17.25">
      <c r="F2644" s="361">
        <v>44503</v>
      </c>
      <c r="G2644" s="361"/>
      <c r="H2644" s="409"/>
      <c r="I2644" s="358"/>
      <c r="J2644" s="442"/>
      <c r="K2644" s="280"/>
      <c r="L2644" s="358"/>
      <c r="M2644" s="579"/>
      <c r="N2644" s="469"/>
      <c r="O2644" s="469"/>
    </row>
    <row r="2645" spans="4:15" ht="17.25">
      <c r="F2645" s="12"/>
      <c r="G2645" s="112" t="s">
        <v>33</v>
      </c>
      <c r="H2645" s="409">
        <v>3</v>
      </c>
      <c r="I2645" s="358">
        <v>134.79</v>
      </c>
      <c r="J2645" s="442">
        <v>1</v>
      </c>
      <c r="K2645" s="280">
        <v>134.79</v>
      </c>
      <c r="L2645" s="358">
        <v>179.87909090909091</v>
      </c>
      <c r="M2645" s="579">
        <v>1</v>
      </c>
      <c r="N2645" s="469">
        <v>179.87909090909091</v>
      </c>
      <c r="O2645" s="469">
        <v>-45.089090909090913</v>
      </c>
    </row>
    <row r="2646" spans="4:15" ht="17.25">
      <c r="F2646" s="12"/>
      <c r="H2646" s="409"/>
      <c r="I2646" s="358"/>
      <c r="J2646" s="442"/>
      <c r="K2646" s="280"/>
      <c r="L2646" s="358"/>
      <c r="M2646" s="579"/>
      <c r="N2646" s="469"/>
      <c r="O2646" s="469"/>
    </row>
    <row r="2647" spans="4:15" ht="17.25">
      <c r="D2647" s="361">
        <v>44790</v>
      </c>
      <c r="E2647" s="361"/>
      <c r="F2647" s="361"/>
      <c r="G2647" s="361"/>
      <c r="H2647" s="409"/>
      <c r="I2647" s="358"/>
      <c r="J2647" s="442"/>
      <c r="K2647" s="280"/>
      <c r="L2647" s="358"/>
      <c r="M2647" s="579"/>
      <c r="N2647" s="469"/>
      <c r="O2647" s="469"/>
    </row>
    <row r="2648" spans="4:15" ht="17.25">
      <c r="E2648" s="12" t="s">
        <v>33</v>
      </c>
      <c r="F2648" s="12"/>
      <c r="H2648" s="409"/>
      <c r="I2648" s="358"/>
      <c r="J2648" s="442"/>
      <c r="K2648" s="280"/>
      <c r="L2648" s="358"/>
      <c r="M2648" s="579"/>
      <c r="N2648" s="469"/>
      <c r="O2648" s="469"/>
    </row>
    <row r="2649" spans="4:15" ht="17.25">
      <c r="F2649" s="361">
        <v>44503</v>
      </c>
      <c r="G2649" s="361"/>
      <c r="H2649" s="409"/>
      <c r="I2649" s="358"/>
      <c r="J2649" s="442"/>
      <c r="K2649" s="280"/>
      <c r="L2649" s="358"/>
      <c r="M2649" s="579"/>
      <c r="N2649" s="469"/>
      <c r="O2649" s="469"/>
    </row>
    <row r="2650" spans="4:15" ht="17.25">
      <c r="F2650" s="12"/>
      <c r="G2650" s="112" t="s">
        <v>33</v>
      </c>
      <c r="H2650" s="409">
        <v>11</v>
      </c>
      <c r="I2650" s="358">
        <v>532.58999999999992</v>
      </c>
      <c r="J2650" s="442">
        <v>1</v>
      </c>
      <c r="K2650" s="280">
        <v>532.58999999999992</v>
      </c>
      <c r="L2650" s="358">
        <v>659.55666666666673</v>
      </c>
      <c r="M2650" s="579">
        <v>1</v>
      </c>
      <c r="N2650" s="469">
        <v>659.55666666666673</v>
      </c>
      <c r="O2650" s="469">
        <v>-126.96666666666673</v>
      </c>
    </row>
    <row r="2651" spans="4:15" ht="17.25">
      <c r="F2651" s="12"/>
      <c r="H2651" s="409"/>
      <c r="I2651" s="358"/>
      <c r="J2651" s="442"/>
      <c r="K2651" s="280"/>
      <c r="L2651" s="358"/>
      <c r="M2651" s="579"/>
      <c r="N2651" s="469"/>
      <c r="O2651" s="469"/>
    </row>
    <row r="2652" spans="4:15" ht="17.25">
      <c r="D2652" s="361">
        <v>44791</v>
      </c>
      <c r="E2652" s="361"/>
      <c r="F2652" s="361"/>
      <c r="G2652" s="361"/>
      <c r="H2652" s="409"/>
      <c r="I2652" s="358"/>
      <c r="J2652" s="442"/>
      <c r="K2652" s="280"/>
      <c r="L2652" s="358"/>
      <c r="M2652" s="579"/>
      <c r="N2652" s="469"/>
      <c r="O2652" s="469"/>
    </row>
    <row r="2653" spans="4:15" ht="17.25">
      <c r="E2653" s="12" t="s">
        <v>33</v>
      </c>
      <c r="F2653" s="12"/>
      <c r="H2653" s="409"/>
      <c r="I2653" s="358"/>
      <c r="J2653" s="442"/>
      <c r="K2653" s="280"/>
      <c r="L2653" s="358"/>
      <c r="M2653" s="579"/>
      <c r="N2653" s="469"/>
      <c r="O2653" s="469"/>
    </row>
    <row r="2654" spans="4:15" ht="17.25">
      <c r="F2654" s="361">
        <v>44503</v>
      </c>
      <c r="G2654" s="361"/>
      <c r="H2654" s="409"/>
      <c r="I2654" s="358"/>
      <c r="J2654" s="442"/>
      <c r="K2654" s="280"/>
      <c r="L2654" s="358"/>
      <c r="M2654" s="579"/>
      <c r="N2654" s="469"/>
      <c r="O2654" s="469"/>
    </row>
    <row r="2655" spans="4:15" ht="17.25">
      <c r="F2655" s="12"/>
      <c r="G2655" s="112" t="s">
        <v>33</v>
      </c>
      <c r="H2655" s="409">
        <v>14</v>
      </c>
      <c r="I2655" s="358">
        <v>666.62</v>
      </c>
      <c r="J2655" s="442">
        <v>1</v>
      </c>
      <c r="K2655" s="280">
        <v>666.62</v>
      </c>
      <c r="L2655" s="358">
        <v>839.43575757575763</v>
      </c>
      <c r="M2655" s="579">
        <v>1</v>
      </c>
      <c r="N2655" s="469">
        <v>839.43575757575763</v>
      </c>
      <c r="O2655" s="469">
        <v>-172.81575757575763</v>
      </c>
    </row>
    <row r="2656" spans="4:15" ht="17.25">
      <c r="F2656" s="12"/>
      <c r="H2656" s="409"/>
      <c r="I2656" s="358"/>
      <c r="J2656" s="442"/>
      <c r="K2656" s="280"/>
      <c r="L2656" s="358"/>
      <c r="M2656" s="579"/>
      <c r="N2656" s="469"/>
      <c r="O2656" s="469"/>
    </row>
    <row r="2657" spans="3:15" ht="17.25">
      <c r="D2657" s="361">
        <v>44876</v>
      </c>
      <c r="E2657" s="361"/>
      <c r="F2657" s="361"/>
      <c r="G2657" s="361"/>
      <c r="H2657" s="409"/>
      <c r="I2657" s="358"/>
      <c r="J2657" s="442"/>
      <c r="K2657" s="280"/>
      <c r="L2657" s="358"/>
      <c r="M2657" s="579"/>
      <c r="N2657" s="469"/>
      <c r="O2657" s="469"/>
    </row>
    <row r="2658" spans="3:15" ht="17.25">
      <c r="E2658" s="12" t="s">
        <v>33</v>
      </c>
      <c r="F2658" s="12"/>
      <c r="H2658" s="409"/>
      <c r="I2658" s="358"/>
      <c r="J2658" s="442"/>
      <c r="K2658" s="280"/>
      <c r="L2658" s="358"/>
      <c r="M2658" s="579"/>
      <c r="N2658" s="469"/>
      <c r="O2658" s="469"/>
    </row>
    <row r="2659" spans="3:15" ht="17.25">
      <c r="F2659" s="361">
        <v>44503</v>
      </c>
      <c r="G2659" s="361"/>
      <c r="H2659" s="409"/>
      <c r="I2659" s="358"/>
      <c r="J2659" s="442"/>
      <c r="K2659" s="280"/>
      <c r="L2659" s="358"/>
      <c r="M2659" s="579"/>
      <c r="N2659" s="469"/>
      <c r="O2659" s="469"/>
    </row>
    <row r="2660" spans="3:15" ht="17.25">
      <c r="F2660" s="12"/>
      <c r="G2660" s="112" t="s">
        <v>33</v>
      </c>
      <c r="H2660" s="409">
        <v>18</v>
      </c>
      <c r="I2660" s="358">
        <v>859.03</v>
      </c>
      <c r="J2660" s="442">
        <v>1</v>
      </c>
      <c r="K2660" s="280">
        <v>859.03</v>
      </c>
      <c r="L2660" s="358">
        <v>1079.2745454545454</v>
      </c>
      <c r="M2660" s="579">
        <v>1</v>
      </c>
      <c r="N2660" s="469">
        <v>1079.2745454545454</v>
      </c>
      <c r="O2660" s="469">
        <v>-220.24454545454543</v>
      </c>
    </row>
    <row r="2661" spans="3:15" ht="17.25">
      <c r="F2661" s="12"/>
      <c r="H2661" s="409"/>
      <c r="I2661" s="358"/>
      <c r="J2661" s="442"/>
      <c r="K2661" s="280"/>
      <c r="L2661" s="358"/>
      <c r="M2661" s="579"/>
      <c r="N2661" s="469"/>
      <c r="O2661" s="469"/>
    </row>
    <row r="2662" spans="3:15" ht="17.25">
      <c r="D2662" s="361">
        <v>44879</v>
      </c>
      <c r="E2662" s="361"/>
      <c r="F2662" s="361"/>
      <c r="G2662" s="361"/>
      <c r="H2662" s="409"/>
      <c r="I2662" s="358"/>
      <c r="J2662" s="442"/>
      <c r="K2662" s="280"/>
      <c r="L2662" s="358"/>
      <c r="M2662" s="579"/>
      <c r="N2662" s="469"/>
      <c r="O2662" s="469"/>
    </row>
    <row r="2663" spans="3:15" ht="17.25">
      <c r="E2663" s="12" t="s">
        <v>33</v>
      </c>
      <c r="F2663" s="12"/>
      <c r="H2663" s="409"/>
      <c r="I2663" s="358"/>
      <c r="J2663" s="442"/>
      <c r="K2663" s="280"/>
      <c r="L2663" s="358"/>
      <c r="M2663" s="579"/>
      <c r="N2663" s="469"/>
      <c r="O2663" s="469"/>
    </row>
    <row r="2664" spans="3:15" ht="17.25">
      <c r="F2664" s="361">
        <v>44503</v>
      </c>
      <c r="G2664" s="361"/>
      <c r="H2664" s="409"/>
      <c r="I2664" s="358"/>
      <c r="J2664" s="442"/>
      <c r="K2664" s="280"/>
      <c r="L2664" s="358"/>
      <c r="M2664" s="579"/>
      <c r="N2664" s="469"/>
      <c r="O2664" s="469"/>
    </row>
    <row r="2665" spans="3:15" ht="17.25">
      <c r="F2665" s="12"/>
      <c r="G2665" s="112" t="s">
        <v>33</v>
      </c>
      <c r="H2665" s="409">
        <v>1</v>
      </c>
      <c r="I2665" s="358">
        <v>46.06</v>
      </c>
      <c r="J2665" s="442">
        <v>1</v>
      </c>
      <c r="K2665" s="280">
        <v>46.06</v>
      </c>
      <c r="L2665" s="358">
        <v>59.959696969696971</v>
      </c>
      <c r="M2665" s="579">
        <v>1</v>
      </c>
      <c r="N2665" s="469">
        <v>59.959696969696971</v>
      </c>
      <c r="O2665" s="469">
        <v>-13.899696969696969</v>
      </c>
    </row>
    <row r="2666" spans="3:15" ht="17.25">
      <c r="F2666" s="12"/>
      <c r="H2666" s="409"/>
      <c r="I2666" s="358"/>
      <c r="J2666" s="442"/>
      <c r="K2666" s="280"/>
      <c r="L2666" s="358"/>
      <c r="M2666" s="579"/>
      <c r="N2666" s="469"/>
      <c r="O2666" s="469"/>
    </row>
    <row r="2667" spans="3:15" ht="17.25">
      <c r="D2667" s="361">
        <v>44909</v>
      </c>
      <c r="E2667" s="361"/>
      <c r="F2667" s="361"/>
      <c r="G2667" s="361"/>
      <c r="H2667" s="409"/>
      <c r="I2667" s="358"/>
      <c r="J2667" s="442"/>
      <c r="K2667" s="280"/>
      <c r="L2667" s="358"/>
      <c r="M2667" s="579"/>
      <c r="N2667" s="469"/>
      <c r="O2667" s="469"/>
    </row>
    <row r="2668" spans="3:15" ht="17.25">
      <c r="E2668" s="12" t="s">
        <v>33</v>
      </c>
      <c r="F2668" s="12"/>
      <c r="H2668" s="409"/>
      <c r="I2668" s="358"/>
      <c r="J2668" s="442"/>
      <c r="K2668" s="280"/>
      <c r="L2668" s="358"/>
      <c r="M2668" s="579"/>
      <c r="N2668" s="469"/>
      <c r="O2668" s="469"/>
    </row>
    <row r="2669" spans="3:15" ht="17.25">
      <c r="F2669" s="361">
        <v>44503</v>
      </c>
      <c r="G2669" s="361"/>
      <c r="H2669" s="409"/>
      <c r="I2669" s="358"/>
      <c r="J2669" s="442"/>
      <c r="K2669" s="280"/>
      <c r="L2669" s="358"/>
      <c r="M2669" s="579"/>
      <c r="N2669" s="469"/>
      <c r="O2669" s="469"/>
    </row>
    <row r="2670" spans="3:15" ht="17.25">
      <c r="F2670" s="12"/>
      <c r="G2670" s="112" t="s">
        <v>33</v>
      </c>
      <c r="H2670" s="409">
        <v>11</v>
      </c>
      <c r="I2670" s="358">
        <v>574.02</v>
      </c>
      <c r="J2670" s="442">
        <v>1</v>
      </c>
      <c r="K2670" s="280">
        <v>574.02</v>
      </c>
      <c r="L2670" s="358">
        <v>659.55666666666673</v>
      </c>
      <c r="M2670" s="579">
        <v>1</v>
      </c>
      <c r="N2670" s="469">
        <v>659.55666666666673</v>
      </c>
      <c r="O2670" s="469">
        <v>-85.53666666666669</v>
      </c>
    </row>
    <row r="2671" spans="3:15" ht="17.25">
      <c r="F2671" s="12"/>
      <c r="H2671" s="409"/>
      <c r="I2671" s="358"/>
      <c r="J2671" s="442"/>
      <c r="K2671" s="280"/>
      <c r="L2671" s="358"/>
      <c r="M2671" s="579"/>
      <c r="N2671" s="469"/>
      <c r="O2671" s="469"/>
    </row>
    <row r="2672" spans="3:15" ht="17.25">
      <c r="C2672" s="342" t="s">
        <v>429</v>
      </c>
      <c r="D2672" s="342"/>
      <c r="E2672" s="342"/>
      <c r="F2672" s="342"/>
      <c r="G2672" s="342"/>
      <c r="H2672" s="410">
        <v>97</v>
      </c>
      <c r="I2672" s="407">
        <v>4463.4299999999994</v>
      </c>
      <c r="J2672" s="460">
        <v>1</v>
      </c>
      <c r="K2672" s="413">
        <v>4463.4299999999994</v>
      </c>
      <c r="L2672" s="407">
        <v>5816.0906060606048</v>
      </c>
      <c r="M2672" s="580">
        <v>1</v>
      </c>
      <c r="N2672" s="470">
        <v>5816.0906060606048</v>
      </c>
      <c r="O2672" s="470">
        <v>-1352.6606060606064</v>
      </c>
    </row>
    <row r="2673" spans="3:15" ht="17.25">
      <c r="F2673" s="12"/>
      <c r="H2673" s="409"/>
      <c r="I2673" s="358"/>
      <c r="J2673" s="442"/>
      <c r="K2673" s="280"/>
      <c r="L2673" s="358"/>
      <c r="M2673" s="579"/>
      <c r="N2673" s="469"/>
      <c r="O2673" s="469"/>
    </row>
    <row r="2674" spans="3:15" ht="17.25">
      <c r="C2674" s="12" t="s">
        <v>430</v>
      </c>
      <c r="F2674" s="12"/>
      <c r="H2674" s="409"/>
      <c r="I2674" s="358"/>
      <c r="J2674" s="442"/>
      <c r="K2674" s="280"/>
      <c r="L2674" s="358"/>
      <c r="M2674" s="579"/>
      <c r="N2674" s="469"/>
      <c r="O2674" s="469"/>
    </row>
    <row r="2675" spans="3:15" ht="17.25">
      <c r="D2675" s="361">
        <v>44687</v>
      </c>
      <c r="E2675" s="361"/>
      <c r="F2675" s="361"/>
      <c r="G2675" s="361"/>
      <c r="H2675" s="409"/>
      <c r="I2675" s="358"/>
      <c r="J2675" s="442"/>
      <c r="K2675" s="280"/>
      <c r="L2675" s="358"/>
      <c r="M2675" s="579"/>
      <c r="N2675" s="469"/>
      <c r="O2675" s="469"/>
    </row>
    <row r="2676" spans="3:15" ht="17.25">
      <c r="E2676" s="12" t="s">
        <v>33</v>
      </c>
      <c r="F2676" s="12"/>
      <c r="H2676" s="409"/>
      <c r="I2676" s="358"/>
      <c r="J2676" s="442"/>
      <c r="K2676" s="280"/>
      <c r="L2676" s="358"/>
      <c r="M2676" s="579"/>
      <c r="N2676" s="469"/>
      <c r="O2676" s="469"/>
    </row>
    <row r="2677" spans="3:15" ht="17.25">
      <c r="F2677" s="361">
        <v>44658</v>
      </c>
      <c r="G2677" s="361"/>
      <c r="H2677" s="409"/>
      <c r="I2677" s="358"/>
      <c r="J2677" s="442"/>
      <c r="K2677" s="280"/>
      <c r="L2677" s="358"/>
      <c r="M2677" s="579"/>
      <c r="N2677" s="469"/>
      <c r="O2677" s="469"/>
    </row>
    <row r="2678" spans="3:15" ht="17.25">
      <c r="F2678" s="12"/>
      <c r="G2678" s="112" t="s">
        <v>33</v>
      </c>
      <c r="H2678" s="409">
        <v>3</v>
      </c>
      <c r="I2678" s="358">
        <v>1121.2733333333333</v>
      </c>
      <c r="J2678" s="442">
        <v>1</v>
      </c>
      <c r="K2678" s="280">
        <v>1121.2733333333333</v>
      </c>
      <c r="L2678" s="358">
        <v>1878.46</v>
      </c>
      <c r="M2678" s="579">
        <v>1</v>
      </c>
      <c r="N2678" s="469">
        <v>1878.46</v>
      </c>
      <c r="O2678" s="469">
        <v>-757.18666666666672</v>
      </c>
    </row>
    <row r="2679" spans="3:15" ht="17.25">
      <c r="F2679" s="12"/>
      <c r="H2679" s="409"/>
      <c r="I2679" s="358"/>
      <c r="J2679" s="442"/>
      <c r="K2679" s="280"/>
      <c r="L2679" s="358"/>
      <c r="M2679" s="579"/>
      <c r="N2679" s="469"/>
      <c r="O2679" s="469"/>
    </row>
    <row r="2680" spans="3:15" ht="17.25">
      <c r="F2680" s="361">
        <v>44641</v>
      </c>
      <c r="G2680" s="361"/>
      <c r="H2680" s="409"/>
      <c r="I2680" s="358"/>
      <c r="J2680" s="442"/>
      <c r="K2680" s="280"/>
      <c r="L2680" s="358"/>
      <c r="M2680" s="579"/>
      <c r="N2680" s="469"/>
      <c r="O2680" s="469"/>
    </row>
    <row r="2681" spans="3:15" ht="17.25">
      <c r="F2681" s="12"/>
      <c r="G2681" s="112" t="s">
        <v>33</v>
      </c>
      <c r="H2681" s="409">
        <v>3</v>
      </c>
      <c r="I2681" s="358">
        <v>1121.2733333333333</v>
      </c>
      <c r="J2681" s="442">
        <v>1</v>
      </c>
      <c r="K2681" s="280">
        <v>1121.2733333333333</v>
      </c>
      <c r="L2681" s="358">
        <v>2107.5500000000002</v>
      </c>
      <c r="M2681" s="579">
        <v>1</v>
      </c>
      <c r="N2681" s="469">
        <v>2107.5500000000002</v>
      </c>
      <c r="O2681" s="469">
        <v>-986.27666666666687</v>
      </c>
    </row>
    <row r="2682" spans="3:15" ht="17.25">
      <c r="F2682" s="12"/>
      <c r="H2682" s="409"/>
      <c r="I2682" s="358"/>
      <c r="J2682" s="442"/>
      <c r="K2682" s="280"/>
      <c r="L2682" s="358"/>
      <c r="M2682" s="579"/>
      <c r="N2682" s="469"/>
      <c r="O2682" s="469"/>
    </row>
    <row r="2683" spans="3:15" ht="17.25">
      <c r="F2683" s="361">
        <v>44642</v>
      </c>
      <c r="G2683" s="361"/>
      <c r="H2683" s="409"/>
      <c r="I2683" s="358"/>
      <c r="J2683" s="442"/>
      <c r="K2683" s="280"/>
      <c r="L2683" s="358"/>
      <c r="M2683" s="579"/>
      <c r="N2683" s="469"/>
      <c r="O2683" s="469"/>
    </row>
    <row r="2684" spans="3:15" ht="17.25">
      <c r="F2684" s="12"/>
      <c r="G2684" s="112" t="s">
        <v>33</v>
      </c>
      <c r="H2684" s="409">
        <v>3</v>
      </c>
      <c r="I2684" s="358">
        <v>1121.2733333333333</v>
      </c>
      <c r="J2684" s="442">
        <v>1</v>
      </c>
      <c r="K2684" s="280">
        <v>1121.2733333333333</v>
      </c>
      <c r="L2684" s="358">
        <v>2160.65</v>
      </c>
      <c r="M2684" s="579">
        <v>1</v>
      </c>
      <c r="N2684" s="469">
        <v>2160.65</v>
      </c>
      <c r="O2684" s="469">
        <v>-1039.3766666666668</v>
      </c>
    </row>
    <row r="2685" spans="3:15" ht="17.25">
      <c r="F2685" s="12"/>
      <c r="H2685" s="409"/>
      <c r="I2685" s="358"/>
      <c r="J2685" s="442"/>
      <c r="K2685" s="280"/>
      <c r="L2685" s="358"/>
      <c r="M2685" s="579"/>
      <c r="N2685" s="469"/>
      <c r="O2685" s="469"/>
    </row>
    <row r="2686" spans="3:15" ht="17.25">
      <c r="C2686" s="342" t="s">
        <v>431</v>
      </c>
      <c r="D2686" s="342"/>
      <c r="E2686" s="342"/>
      <c r="F2686" s="342"/>
      <c r="G2686" s="342"/>
      <c r="H2686" s="410">
        <v>9</v>
      </c>
      <c r="I2686" s="407">
        <v>3363.8199999999997</v>
      </c>
      <c r="J2686" s="460">
        <v>1</v>
      </c>
      <c r="K2686" s="413">
        <v>3363.8199999999997</v>
      </c>
      <c r="L2686" s="407">
        <v>6146.66</v>
      </c>
      <c r="M2686" s="580">
        <v>1</v>
      </c>
      <c r="N2686" s="470">
        <v>6146.66</v>
      </c>
      <c r="O2686" s="470">
        <v>-2782.84</v>
      </c>
    </row>
    <row r="2687" spans="3:15" ht="17.25">
      <c r="F2687" s="12"/>
      <c r="H2687" s="409"/>
      <c r="I2687" s="358"/>
      <c r="J2687" s="442"/>
      <c r="K2687" s="280"/>
      <c r="L2687" s="358"/>
      <c r="M2687" s="579"/>
      <c r="N2687" s="469"/>
      <c r="O2687" s="469"/>
    </row>
    <row r="2688" spans="3:15" ht="17.25">
      <c r="C2688" s="12" t="s">
        <v>432</v>
      </c>
      <c r="F2688" s="12"/>
      <c r="H2688" s="409"/>
      <c r="I2688" s="358"/>
      <c r="J2688" s="442"/>
      <c r="K2688" s="280"/>
      <c r="L2688" s="358"/>
      <c r="M2688" s="579"/>
      <c r="N2688" s="469"/>
      <c r="O2688" s="469"/>
    </row>
    <row r="2689" spans="3:15" ht="17.25">
      <c r="D2689" s="361">
        <v>44567</v>
      </c>
      <c r="E2689" s="361"/>
      <c r="F2689" s="361"/>
      <c r="G2689" s="361"/>
      <c r="H2689" s="409"/>
      <c r="I2689" s="358"/>
      <c r="J2689" s="442"/>
      <c r="K2689" s="280"/>
      <c r="L2689" s="358"/>
      <c r="M2689" s="579"/>
      <c r="N2689" s="469"/>
      <c r="O2689" s="469"/>
    </row>
    <row r="2690" spans="3:15" ht="17.25">
      <c r="E2690" s="12" t="s">
        <v>33</v>
      </c>
      <c r="F2690" s="12"/>
      <c r="H2690" s="409"/>
      <c r="I2690" s="358"/>
      <c r="J2690" s="442"/>
      <c r="K2690" s="280"/>
      <c r="L2690" s="358"/>
      <c r="M2690" s="579"/>
      <c r="N2690" s="469"/>
      <c r="O2690" s="469"/>
    </row>
    <row r="2691" spans="3:15" ht="17.25">
      <c r="F2691" s="361">
        <v>44503</v>
      </c>
      <c r="G2691" s="361"/>
      <c r="H2691" s="409"/>
      <c r="I2691" s="358"/>
      <c r="J2691" s="442"/>
      <c r="K2691" s="280"/>
      <c r="L2691" s="358"/>
      <c r="M2691" s="579"/>
      <c r="N2691" s="469"/>
      <c r="O2691" s="469"/>
    </row>
    <row r="2692" spans="3:15" ht="17.25">
      <c r="F2692" s="12"/>
      <c r="G2692" s="112" t="s">
        <v>33</v>
      </c>
      <c r="H2692" s="409">
        <v>19</v>
      </c>
      <c r="I2692" s="358">
        <v>1320.6799999999998</v>
      </c>
      <c r="J2692" s="442">
        <v>1</v>
      </c>
      <c r="K2692" s="280">
        <v>1320.6799999999998</v>
      </c>
      <c r="L2692" s="358">
        <v>1312.375</v>
      </c>
      <c r="M2692" s="579">
        <v>1</v>
      </c>
      <c r="N2692" s="469">
        <v>1312.375</v>
      </c>
      <c r="O2692" s="469">
        <v>8.3050000000000779</v>
      </c>
    </row>
    <row r="2693" spans="3:15" ht="17.25">
      <c r="F2693" s="12"/>
      <c r="H2693" s="409"/>
      <c r="I2693" s="358"/>
      <c r="J2693" s="442"/>
      <c r="K2693" s="280"/>
      <c r="L2693" s="358"/>
      <c r="M2693" s="579"/>
      <c r="N2693" s="469"/>
      <c r="O2693" s="469"/>
    </row>
    <row r="2694" spans="3:15" ht="17.25">
      <c r="D2694" s="361">
        <v>44568</v>
      </c>
      <c r="E2694" s="361"/>
      <c r="F2694" s="361"/>
      <c r="G2694" s="361"/>
      <c r="H2694" s="409"/>
      <c r="I2694" s="358"/>
      <c r="J2694" s="442"/>
      <c r="K2694" s="280"/>
      <c r="L2694" s="358"/>
      <c r="M2694" s="579"/>
      <c r="N2694" s="469"/>
      <c r="O2694" s="469"/>
    </row>
    <row r="2695" spans="3:15" ht="17.25">
      <c r="E2695" s="12" t="s">
        <v>33</v>
      </c>
      <c r="F2695" s="12"/>
      <c r="H2695" s="409"/>
      <c r="I2695" s="358"/>
      <c r="J2695" s="442"/>
      <c r="K2695" s="280"/>
      <c r="L2695" s="358"/>
      <c r="M2695" s="579"/>
      <c r="N2695" s="469"/>
      <c r="O2695" s="469"/>
    </row>
    <row r="2696" spans="3:15" ht="17.25">
      <c r="F2696" s="361">
        <v>44503</v>
      </c>
      <c r="G2696" s="361"/>
      <c r="H2696" s="409"/>
      <c r="I2696" s="358"/>
      <c r="J2696" s="442"/>
      <c r="K2696" s="280"/>
      <c r="L2696" s="358"/>
      <c r="M2696" s="579"/>
      <c r="N2696" s="469"/>
      <c r="O2696" s="469"/>
    </row>
    <row r="2697" spans="3:15" ht="17.25">
      <c r="F2697" s="12"/>
      <c r="G2697" s="112" t="s">
        <v>33</v>
      </c>
      <c r="H2697" s="409">
        <v>18</v>
      </c>
      <c r="I2697" s="358">
        <v>1168.19</v>
      </c>
      <c r="J2697" s="442">
        <v>1</v>
      </c>
      <c r="K2697" s="280">
        <v>1168.19</v>
      </c>
      <c r="L2697" s="358">
        <v>1243.3026315789473</v>
      </c>
      <c r="M2697" s="579">
        <v>1</v>
      </c>
      <c r="N2697" s="469">
        <v>1243.3026315789473</v>
      </c>
      <c r="O2697" s="469">
        <v>-75.112631578947287</v>
      </c>
    </row>
    <row r="2698" spans="3:15" ht="17.25">
      <c r="F2698" s="12"/>
      <c r="H2698" s="409"/>
      <c r="I2698" s="358"/>
      <c r="J2698" s="442"/>
      <c r="K2698" s="280"/>
      <c r="L2698" s="358"/>
      <c r="M2698" s="579"/>
      <c r="N2698" s="469"/>
      <c r="O2698" s="469"/>
    </row>
    <row r="2699" spans="3:15" ht="17.25">
      <c r="D2699" s="361">
        <v>44571</v>
      </c>
      <c r="E2699" s="361"/>
      <c r="F2699" s="361"/>
      <c r="G2699" s="361"/>
      <c r="H2699" s="409"/>
      <c r="I2699" s="358"/>
      <c r="J2699" s="442"/>
      <c r="K2699" s="280"/>
      <c r="L2699" s="358"/>
      <c r="M2699" s="579"/>
      <c r="N2699" s="469"/>
      <c r="O2699" s="469"/>
    </row>
    <row r="2700" spans="3:15" ht="17.25">
      <c r="E2700" s="12" t="s">
        <v>33</v>
      </c>
      <c r="F2700" s="12"/>
      <c r="H2700" s="409"/>
      <c r="I2700" s="358"/>
      <c r="J2700" s="442"/>
      <c r="K2700" s="280"/>
      <c r="L2700" s="358"/>
      <c r="M2700" s="579"/>
      <c r="N2700" s="469"/>
      <c r="O2700" s="469"/>
    </row>
    <row r="2701" spans="3:15" ht="17.25">
      <c r="F2701" s="361">
        <v>44503</v>
      </c>
      <c r="G2701" s="361"/>
      <c r="H2701" s="409"/>
      <c r="I2701" s="358"/>
      <c r="J2701" s="442"/>
      <c r="K2701" s="280"/>
      <c r="L2701" s="358"/>
      <c r="M2701" s="579"/>
      <c r="N2701" s="469"/>
      <c r="O2701" s="469"/>
    </row>
    <row r="2702" spans="3:15" ht="17.25">
      <c r="F2702" s="12"/>
      <c r="G2702" s="112" t="s">
        <v>33</v>
      </c>
      <c r="H2702" s="409">
        <v>26</v>
      </c>
      <c r="I2702" s="358">
        <v>1551.0900000000001</v>
      </c>
      <c r="J2702" s="442">
        <v>1</v>
      </c>
      <c r="K2702" s="280">
        <v>1551.0900000000001</v>
      </c>
      <c r="L2702" s="358">
        <v>1795.8815789473683</v>
      </c>
      <c r="M2702" s="579">
        <v>1</v>
      </c>
      <c r="N2702" s="469">
        <v>1795.8815789473683</v>
      </c>
      <c r="O2702" s="469">
        <v>-244.79157894736849</v>
      </c>
    </row>
    <row r="2703" spans="3:15" ht="17.25">
      <c r="F2703" s="12"/>
      <c r="H2703" s="409"/>
      <c r="I2703" s="358"/>
      <c r="J2703" s="442"/>
      <c r="K2703" s="280"/>
      <c r="L2703" s="358"/>
      <c r="M2703" s="579"/>
      <c r="N2703" s="469"/>
      <c r="O2703" s="469"/>
    </row>
    <row r="2704" spans="3:15" ht="17.25">
      <c r="C2704" s="342" t="s">
        <v>433</v>
      </c>
      <c r="D2704" s="342"/>
      <c r="E2704" s="342"/>
      <c r="F2704" s="342"/>
      <c r="G2704" s="342"/>
      <c r="H2704" s="410">
        <v>63</v>
      </c>
      <c r="I2704" s="407">
        <v>4039.9600000000005</v>
      </c>
      <c r="J2704" s="460">
        <v>1</v>
      </c>
      <c r="K2704" s="413">
        <v>4039.9600000000005</v>
      </c>
      <c r="L2704" s="407">
        <v>4351.5592105263158</v>
      </c>
      <c r="M2704" s="580">
        <v>1</v>
      </c>
      <c r="N2704" s="470">
        <v>4351.5592105263158</v>
      </c>
      <c r="O2704" s="470">
        <v>-311.59921052631569</v>
      </c>
    </row>
    <row r="2705" spans="3:15" ht="17.25">
      <c r="F2705" s="12"/>
      <c r="H2705" s="409"/>
      <c r="I2705" s="358"/>
      <c r="J2705" s="442"/>
      <c r="K2705" s="280"/>
      <c r="L2705" s="358"/>
      <c r="M2705" s="579"/>
      <c r="N2705" s="469"/>
      <c r="O2705" s="469"/>
    </row>
    <row r="2706" spans="3:15" ht="17.25">
      <c r="C2706" s="12" t="s">
        <v>281</v>
      </c>
      <c r="F2706" s="12"/>
      <c r="H2706" s="409"/>
      <c r="I2706" s="358"/>
      <c r="J2706" s="442"/>
      <c r="K2706" s="280"/>
      <c r="L2706" s="358"/>
      <c r="M2706" s="579"/>
      <c r="N2706" s="469"/>
      <c r="O2706" s="469"/>
    </row>
    <row r="2707" spans="3:15" ht="17.25">
      <c r="D2707" s="361">
        <v>44790</v>
      </c>
      <c r="E2707" s="361"/>
      <c r="F2707" s="361"/>
      <c r="G2707" s="361"/>
      <c r="H2707" s="409"/>
      <c r="I2707" s="358"/>
      <c r="J2707" s="442"/>
      <c r="K2707" s="280"/>
      <c r="L2707" s="358"/>
      <c r="M2707" s="579"/>
      <c r="N2707" s="469"/>
      <c r="O2707" s="469"/>
    </row>
    <row r="2708" spans="3:15" ht="17.25">
      <c r="E2708" s="12" t="s">
        <v>33</v>
      </c>
      <c r="F2708" s="12"/>
      <c r="H2708" s="409"/>
      <c r="I2708" s="358"/>
      <c r="J2708" s="442"/>
      <c r="K2708" s="280"/>
      <c r="L2708" s="358"/>
      <c r="M2708" s="579"/>
      <c r="N2708" s="469"/>
      <c r="O2708" s="469"/>
    </row>
    <row r="2709" spans="3:15" ht="17.25">
      <c r="F2709" s="361">
        <v>44599</v>
      </c>
      <c r="G2709" s="361"/>
      <c r="H2709" s="409"/>
      <c r="I2709" s="358"/>
      <c r="J2709" s="442"/>
      <c r="K2709" s="280"/>
      <c r="L2709" s="358"/>
      <c r="M2709" s="579"/>
      <c r="N2709" s="469"/>
      <c r="O2709" s="469"/>
    </row>
    <row r="2710" spans="3:15" ht="17.25">
      <c r="F2710" s="12"/>
      <c r="G2710" s="112" t="s">
        <v>33</v>
      </c>
      <c r="H2710" s="409">
        <v>15</v>
      </c>
      <c r="I2710" s="358">
        <v>2410.7903225806454</v>
      </c>
      <c r="J2710" s="442">
        <v>1</v>
      </c>
      <c r="K2710" s="280">
        <v>2410.7903225806454</v>
      </c>
      <c r="L2710" s="358">
        <v>4453.13</v>
      </c>
      <c r="M2710" s="579">
        <v>1</v>
      </c>
      <c r="N2710" s="469">
        <v>4453.13</v>
      </c>
      <c r="O2710" s="469">
        <v>-2042.3396774193548</v>
      </c>
    </row>
    <row r="2711" spans="3:15" ht="17.25">
      <c r="F2711" s="12"/>
      <c r="H2711" s="409"/>
      <c r="I2711" s="358"/>
      <c r="J2711" s="442"/>
      <c r="K2711" s="280"/>
      <c r="L2711" s="358"/>
      <c r="M2711" s="579"/>
      <c r="N2711" s="469"/>
      <c r="O2711" s="469"/>
    </row>
    <row r="2712" spans="3:15" ht="17.25">
      <c r="F2712" s="361">
        <v>44628</v>
      </c>
      <c r="G2712" s="361"/>
      <c r="H2712" s="409"/>
      <c r="I2712" s="358"/>
      <c r="J2712" s="442"/>
      <c r="K2712" s="280"/>
      <c r="L2712" s="358"/>
      <c r="M2712" s="579"/>
      <c r="N2712" s="469"/>
      <c r="O2712" s="469"/>
    </row>
    <row r="2713" spans="3:15" ht="17.25">
      <c r="F2713" s="12"/>
      <c r="G2713" s="112" t="s">
        <v>33</v>
      </c>
      <c r="H2713" s="409">
        <v>3</v>
      </c>
      <c r="I2713" s="358">
        <v>482.158064516129</v>
      </c>
      <c r="J2713" s="442">
        <v>1</v>
      </c>
      <c r="K2713" s="280">
        <v>482.158064516129</v>
      </c>
      <c r="L2713" s="358">
        <v>590.46</v>
      </c>
      <c r="M2713" s="579">
        <v>1</v>
      </c>
      <c r="N2713" s="469">
        <v>590.46</v>
      </c>
      <c r="O2713" s="469">
        <v>-108.30193548387103</v>
      </c>
    </row>
    <row r="2714" spans="3:15" ht="17.25">
      <c r="F2714" s="12"/>
      <c r="H2714" s="409"/>
      <c r="I2714" s="358"/>
      <c r="J2714" s="442"/>
      <c r="K2714" s="280"/>
      <c r="L2714" s="358"/>
      <c r="M2714" s="579"/>
      <c r="N2714" s="469"/>
      <c r="O2714" s="469"/>
    </row>
    <row r="2715" spans="3:15" ht="17.25">
      <c r="F2715" s="361">
        <v>44637</v>
      </c>
      <c r="G2715" s="361"/>
      <c r="H2715" s="409"/>
      <c r="I2715" s="358"/>
      <c r="J2715" s="442"/>
      <c r="K2715" s="280"/>
      <c r="L2715" s="358"/>
      <c r="M2715" s="579"/>
      <c r="N2715" s="469"/>
      <c r="O2715" s="469"/>
    </row>
    <row r="2716" spans="3:15" ht="17.25">
      <c r="F2716" s="12"/>
      <c r="G2716" s="112" t="s">
        <v>33</v>
      </c>
      <c r="H2716" s="409">
        <v>4</v>
      </c>
      <c r="I2716" s="358">
        <v>642.87741935483871</v>
      </c>
      <c r="J2716" s="442">
        <v>1</v>
      </c>
      <c r="K2716" s="280">
        <v>642.87741935483871</v>
      </c>
      <c r="L2716" s="358">
        <v>806.19</v>
      </c>
      <c r="M2716" s="579">
        <v>1</v>
      </c>
      <c r="N2716" s="469">
        <v>806.19</v>
      </c>
      <c r="O2716" s="469">
        <v>-163.31258064516135</v>
      </c>
    </row>
    <row r="2717" spans="3:15" ht="17.25">
      <c r="F2717" s="12"/>
      <c r="H2717" s="409"/>
      <c r="I2717" s="358"/>
      <c r="J2717" s="442"/>
      <c r="K2717" s="280"/>
      <c r="L2717" s="358"/>
      <c r="M2717" s="579"/>
      <c r="N2717" s="469"/>
      <c r="O2717" s="469"/>
    </row>
    <row r="2718" spans="3:15" ht="17.25">
      <c r="F2718" s="361">
        <v>44638</v>
      </c>
      <c r="G2718" s="361"/>
      <c r="H2718" s="409"/>
      <c r="I2718" s="358"/>
      <c r="J2718" s="442"/>
      <c r="K2718" s="280"/>
      <c r="L2718" s="358"/>
      <c r="M2718" s="579"/>
      <c r="N2718" s="469"/>
      <c r="O2718" s="469"/>
    </row>
    <row r="2719" spans="3:15" ht="17.25">
      <c r="F2719" s="12"/>
      <c r="G2719" s="112" t="s">
        <v>33</v>
      </c>
      <c r="H2719" s="409">
        <v>4</v>
      </c>
      <c r="I2719" s="358">
        <v>642.87741935483871</v>
      </c>
      <c r="J2719" s="442">
        <v>1</v>
      </c>
      <c r="K2719" s="280">
        <v>642.87741935483871</v>
      </c>
      <c r="L2719" s="358">
        <v>884.84</v>
      </c>
      <c r="M2719" s="579">
        <v>1</v>
      </c>
      <c r="N2719" s="469">
        <v>884.84</v>
      </c>
      <c r="O2719" s="469">
        <v>-241.96258064516132</v>
      </c>
    </row>
    <row r="2720" spans="3:15" ht="17.25">
      <c r="F2720" s="12"/>
      <c r="H2720" s="409"/>
      <c r="I2720" s="358"/>
      <c r="J2720" s="442"/>
      <c r="K2720" s="280"/>
      <c r="L2720" s="358"/>
      <c r="M2720" s="579"/>
      <c r="N2720" s="469"/>
      <c r="O2720" s="469"/>
    </row>
    <row r="2721" spans="3:15" ht="17.25">
      <c r="F2721" s="361">
        <v>44679</v>
      </c>
      <c r="G2721" s="361"/>
      <c r="H2721" s="409"/>
      <c r="I2721" s="358"/>
      <c r="J2721" s="442"/>
      <c r="K2721" s="280"/>
      <c r="L2721" s="358"/>
      <c r="M2721" s="579"/>
      <c r="N2721" s="469"/>
      <c r="O2721" s="469"/>
    </row>
    <row r="2722" spans="3:15" ht="17.25">
      <c r="F2722" s="12"/>
      <c r="G2722" s="112" t="s">
        <v>33</v>
      </c>
      <c r="H2722" s="409">
        <v>5</v>
      </c>
      <c r="I2722" s="358">
        <v>803.59677419354841</v>
      </c>
      <c r="J2722" s="442">
        <v>1</v>
      </c>
      <c r="K2722" s="280">
        <v>803.59677419354841</v>
      </c>
      <c r="L2722" s="358">
        <v>879.91</v>
      </c>
      <c r="M2722" s="579">
        <v>1</v>
      </c>
      <c r="N2722" s="469">
        <v>879.91</v>
      </c>
      <c r="O2722" s="469">
        <v>-76.313225806451555</v>
      </c>
    </row>
    <row r="2723" spans="3:15" ht="17.25">
      <c r="F2723" s="12"/>
      <c r="H2723" s="409"/>
      <c r="I2723" s="358"/>
      <c r="J2723" s="442"/>
      <c r="K2723" s="280"/>
      <c r="L2723" s="358"/>
      <c r="M2723" s="579"/>
      <c r="N2723" s="469"/>
      <c r="O2723" s="469"/>
    </row>
    <row r="2724" spans="3:15" ht="17.25">
      <c r="C2724" s="342" t="s">
        <v>434</v>
      </c>
      <c r="D2724" s="342"/>
      <c r="E2724" s="342"/>
      <c r="F2724" s="342"/>
      <c r="G2724" s="342"/>
      <c r="H2724" s="410">
        <v>31</v>
      </c>
      <c r="I2724" s="407">
        <v>4982.3</v>
      </c>
      <c r="J2724" s="460">
        <v>1</v>
      </c>
      <c r="K2724" s="413">
        <v>4982.3</v>
      </c>
      <c r="L2724" s="407">
        <v>7614.5300000000007</v>
      </c>
      <c r="M2724" s="580">
        <v>1</v>
      </c>
      <c r="N2724" s="470">
        <v>7614.5300000000007</v>
      </c>
      <c r="O2724" s="470">
        <v>-2632.23</v>
      </c>
    </row>
    <row r="2725" spans="3:15" ht="17.25">
      <c r="F2725" s="12"/>
      <c r="H2725" s="409"/>
      <c r="I2725" s="358"/>
      <c r="J2725" s="442"/>
      <c r="K2725" s="280"/>
      <c r="L2725" s="358"/>
      <c r="M2725" s="579"/>
      <c r="N2725" s="469"/>
      <c r="O2725" s="469"/>
    </row>
    <row r="2726" spans="3:15" ht="17.25">
      <c r="C2726" s="12" t="s">
        <v>272</v>
      </c>
      <c r="F2726" s="12"/>
      <c r="H2726" s="409"/>
      <c r="I2726" s="358"/>
      <c r="J2726" s="442"/>
      <c r="K2726" s="280"/>
      <c r="L2726" s="358"/>
      <c r="M2726" s="579"/>
      <c r="N2726" s="469"/>
      <c r="O2726" s="469"/>
    </row>
    <row r="2727" spans="3:15" ht="17.25">
      <c r="D2727" s="361">
        <v>44627</v>
      </c>
      <c r="E2727" s="361"/>
      <c r="F2727" s="361"/>
      <c r="G2727" s="361"/>
      <c r="H2727" s="409"/>
      <c r="I2727" s="358"/>
      <c r="J2727" s="442"/>
      <c r="K2727" s="280"/>
      <c r="L2727" s="358"/>
      <c r="M2727" s="579"/>
      <c r="N2727" s="469"/>
      <c r="O2727" s="469"/>
    </row>
    <row r="2728" spans="3:15" ht="17.25">
      <c r="E2728" s="12" t="s">
        <v>33</v>
      </c>
      <c r="F2728" s="12"/>
      <c r="H2728" s="409"/>
      <c r="I2728" s="358"/>
      <c r="J2728" s="442"/>
      <c r="K2728" s="280"/>
      <c r="L2728" s="358"/>
      <c r="M2728" s="579"/>
      <c r="N2728" s="469"/>
      <c r="O2728" s="469"/>
    </row>
    <row r="2729" spans="3:15" ht="17.25">
      <c r="F2729" s="361">
        <v>44503</v>
      </c>
      <c r="G2729" s="361"/>
      <c r="H2729" s="409"/>
      <c r="I2729" s="358"/>
      <c r="J2729" s="442"/>
      <c r="K2729" s="280"/>
      <c r="L2729" s="358"/>
      <c r="M2729" s="579"/>
      <c r="N2729" s="469"/>
      <c r="O2729" s="469"/>
    </row>
    <row r="2730" spans="3:15" ht="17.25">
      <c r="F2730" s="12"/>
      <c r="G2730" s="112" t="s">
        <v>33</v>
      </c>
      <c r="H2730" s="409">
        <v>7</v>
      </c>
      <c r="I2730" s="358">
        <v>2129.61</v>
      </c>
      <c r="J2730" s="442">
        <v>1</v>
      </c>
      <c r="K2730" s="280">
        <v>2129.61</v>
      </c>
      <c r="L2730" s="358">
        <v>2444.1228000000001</v>
      </c>
      <c r="M2730" s="579">
        <v>1</v>
      </c>
      <c r="N2730" s="469">
        <v>2444.1228000000001</v>
      </c>
      <c r="O2730" s="469">
        <v>-314.51279999999997</v>
      </c>
    </row>
    <row r="2731" spans="3:15" ht="17.25">
      <c r="F2731" s="12"/>
      <c r="H2731" s="409"/>
      <c r="I2731" s="358"/>
      <c r="J2731" s="442"/>
      <c r="K2731" s="280"/>
      <c r="L2731" s="358"/>
      <c r="M2731" s="579"/>
      <c r="N2731" s="469"/>
      <c r="O2731" s="469"/>
    </row>
    <row r="2732" spans="3:15" ht="17.25">
      <c r="D2732" s="361">
        <v>44837</v>
      </c>
      <c r="E2732" s="361"/>
      <c r="F2732" s="361"/>
      <c r="G2732" s="361"/>
      <c r="H2732" s="409"/>
      <c r="I2732" s="358"/>
      <c r="J2732" s="442"/>
      <c r="K2732" s="280"/>
      <c r="L2732" s="358"/>
      <c r="M2732" s="579"/>
      <c r="N2732" s="469"/>
      <c r="O2732" s="469"/>
    </row>
    <row r="2733" spans="3:15" ht="17.25">
      <c r="E2733" s="12" t="s">
        <v>33</v>
      </c>
      <c r="F2733" s="12"/>
      <c r="H2733" s="409"/>
      <c r="I2733" s="358"/>
      <c r="J2733" s="442"/>
      <c r="K2733" s="280"/>
      <c r="L2733" s="358"/>
      <c r="M2733" s="579"/>
      <c r="N2733" s="469"/>
      <c r="O2733" s="469"/>
    </row>
    <row r="2734" spans="3:15" ht="17.25">
      <c r="F2734" s="361">
        <v>44503</v>
      </c>
      <c r="G2734" s="361"/>
      <c r="H2734" s="409"/>
      <c r="I2734" s="358"/>
      <c r="J2734" s="442"/>
      <c r="K2734" s="280"/>
      <c r="L2734" s="358"/>
      <c r="M2734" s="579"/>
      <c r="N2734" s="469"/>
      <c r="O2734" s="469"/>
    </row>
    <row r="2735" spans="3:15" ht="17.25">
      <c r="F2735" s="12"/>
      <c r="G2735" s="112" t="s">
        <v>33</v>
      </c>
      <c r="H2735" s="409">
        <v>8</v>
      </c>
      <c r="I2735" s="358">
        <v>1849.75</v>
      </c>
      <c r="J2735" s="442">
        <v>1</v>
      </c>
      <c r="K2735" s="280">
        <v>1849.75</v>
      </c>
      <c r="L2735" s="358">
        <v>2793.2831999999999</v>
      </c>
      <c r="M2735" s="579">
        <v>1</v>
      </c>
      <c r="N2735" s="469">
        <v>2793.2831999999999</v>
      </c>
      <c r="O2735" s="469">
        <v>-943.53319999999985</v>
      </c>
    </row>
    <row r="2736" spans="3:15" ht="17.25">
      <c r="F2736" s="12"/>
      <c r="H2736" s="409"/>
      <c r="I2736" s="358"/>
      <c r="J2736" s="442"/>
      <c r="K2736" s="280"/>
      <c r="L2736" s="358"/>
      <c r="M2736" s="579"/>
      <c r="N2736" s="469"/>
      <c r="O2736" s="469"/>
    </row>
    <row r="2737" spans="3:15" ht="17.25">
      <c r="D2737" s="361">
        <v>44915</v>
      </c>
      <c r="E2737" s="361"/>
      <c r="F2737" s="361"/>
      <c r="G2737" s="361"/>
      <c r="H2737" s="409"/>
      <c r="I2737" s="358"/>
      <c r="J2737" s="442"/>
      <c r="K2737" s="280"/>
      <c r="L2737" s="358"/>
      <c r="M2737" s="579"/>
      <c r="N2737" s="469"/>
      <c r="O2737" s="469"/>
    </row>
    <row r="2738" spans="3:15" ht="17.25">
      <c r="E2738" s="12" t="s">
        <v>33</v>
      </c>
      <c r="F2738" s="12"/>
      <c r="H2738" s="409"/>
      <c r="I2738" s="358"/>
      <c r="J2738" s="442"/>
      <c r="K2738" s="280"/>
      <c r="L2738" s="358"/>
      <c r="M2738" s="579"/>
      <c r="N2738" s="469"/>
      <c r="O2738" s="469"/>
    </row>
    <row r="2739" spans="3:15" ht="17.25">
      <c r="F2739" s="361">
        <v>44503</v>
      </c>
      <c r="G2739" s="361"/>
      <c r="H2739" s="409"/>
      <c r="I2739" s="358"/>
      <c r="J2739" s="442"/>
      <c r="K2739" s="280"/>
      <c r="L2739" s="358"/>
      <c r="M2739" s="579"/>
      <c r="N2739" s="469"/>
      <c r="O2739" s="469"/>
    </row>
    <row r="2740" spans="3:15" ht="17.25">
      <c r="F2740" s="12"/>
      <c r="G2740" s="112" t="s">
        <v>33</v>
      </c>
      <c r="H2740" s="409">
        <v>3</v>
      </c>
      <c r="I2740" s="358">
        <v>941.06</v>
      </c>
      <c r="J2740" s="442">
        <v>1</v>
      </c>
      <c r="K2740" s="280">
        <v>941.06</v>
      </c>
      <c r="L2740" s="358">
        <v>1047.4811999999999</v>
      </c>
      <c r="M2740" s="579">
        <v>1</v>
      </c>
      <c r="N2740" s="469">
        <v>1047.4811999999999</v>
      </c>
      <c r="O2740" s="469">
        <v>-106.4212</v>
      </c>
    </row>
    <row r="2741" spans="3:15" ht="17.25">
      <c r="F2741" s="12"/>
      <c r="H2741" s="409"/>
      <c r="I2741" s="358"/>
      <c r="J2741" s="442"/>
      <c r="K2741" s="280"/>
      <c r="L2741" s="358"/>
      <c r="M2741" s="579"/>
      <c r="N2741" s="469"/>
      <c r="O2741" s="469"/>
    </row>
    <row r="2742" spans="3:15" ht="17.25">
      <c r="F2742" s="361">
        <v>44601</v>
      </c>
      <c r="G2742" s="361"/>
      <c r="H2742" s="409"/>
      <c r="I2742" s="358"/>
      <c r="J2742" s="442"/>
      <c r="K2742" s="280"/>
      <c r="L2742" s="358"/>
      <c r="M2742" s="579"/>
      <c r="N2742" s="469"/>
      <c r="O2742" s="469"/>
    </row>
    <row r="2743" spans="3:15" ht="17.25">
      <c r="F2743" s="12"/>
      <c r="G2743" s="112" t="s">
        <v>33</v>
      </c>
      <c r="H2743" s="409">
        <v>1</v>
      </c>
      <c r="I2743" s="358">
        <v>313.16000000000003</v>
      </c>
      <c r="J2743" s="442">
        <v>1</v>
      </c>
      <c r="K2743" s="280">
        <v>313.16000000000003</v>
      </c>
      <c r="L2743" s="358">
        <v>266.93</v>
      </c>
      <c r="M2743" s="579">
        <v>1</v>
      </c>
      <c r="N2743" s="469">
        <v>266.93</v>
      </c>
      <c r="O2743" s="469">
        <v>46.230000000000018</v>
      </c>
    </row>
    <row r="2744" spans="3:15" ht="17.25">
      <c r="F2744" s="12"/>
      <c r="H2744" s="409"/>
      <c r="I2744" s="358"/>
      <c r="J2744" s="442"/>
      <c r="K2744" s="280"/>
      <c r="L2744" s="358"/>
      <c r="M2744" s="579"/>
      <c r="N2744" s="469"/>
      <c r="O2744" s="469"/>
    </row>
    <row r="2745" spans="3:15" ht="17.25">
      <c r="C2745" s="342" t="s">
        <v>435</v>
      </c>
      <c r="D2745" s="342"/>
      <c r="E2745" s="342"/>
      <c r="F2745" s="342"/>
      <c r="G2745" s="342"/>
      <c r="H2745" s="410">
        <v>19</v>
      </c>
      <c r="I2745" s="407">
        <v>5233.58</v>
      </c>
      <c r="J2745" s="460">
        <v>1</v>
      </c>
      <c r="K2745" s="413">
        <v>5233.58</v>
      </c>
      <c r="L2745" s="407">
        <v>6551.8172000000004</v>
      </c>
      <c r="M2745" s="580">
        <v>1</v>
      </c>
      <c r="N2745" s="470">
        <v>6551.8172000000004</v>
      </c>
      <c r="O2745" s="470">
        <v>-1318.2371999999998</v>
      </c>
    </row>
    <row r="2746" spans="3:15" ht="17.25">
      <c r="F2746" s="12"/>
      <c r="H2746" s="409"/>
      <c r="I2746" s="358"/>
      <c r="J2746" s="442"/>
      <c r="K2746" s="280"/>
      <c r="L2746" s="358"/>
      <c r="M2746" s="579"/>
      <c r="N2746" s="469"/>
      <c r="O2746" s="469"/>
    </row>
    <row r="2747" spans="3:15" ht="17.25">
      <c r="C2747" s="12" t="s">
        <v>203</v>
      </c>
      <c r="F2747" s="12"/>
      <c r="H2747" s="409"/>
      <c r="I2747" s="358"/>
      <c r="J2747" s="442"/>
      <c r="K2747" s="280"/>
      <c r="L2747" s="358"/>
      <c r="M2747" s="579"/>
      <c r="N2747" s="469"/>
      <c r="O2747" s="469"/>
    </row>
    <row r="2748" spans="3:15" ht="17.25">
      <c r="D2748" s="361">
        <v>44588</v>
      </c>
      <c r="E2748" s="361"/>
      <c r="F2748" s="361"/>
      <c r="G2748" s="361"/>
      <c r="H2748" s="409"/>
      <c r="I2748" s="358"/>
      <c r="J2748" s="442"/>
      <c r="K2748" s="280"/>
      <c r="L2748" s="358"/>
      <c r="M2748" s="579"/>
      <c r="N2748" s="469"/>
      <c r="O2748" s="469"/>
    </row>
    <row r="2749" spans="3:15" ht="17.25">
      <c r="E2749" s="12" t="s">
        <v>33</v>
      </c>
      <c r="F2749" s="12"/>
      <c r="H2749" s="409"/>
      <c r="I2749" s="358"/>
      <c r="J2749" s="442"/>
      <c r="K2749" s="280"/>
      <c r="L2749" s="358"/>
      <c r="M2749" s="579"/>
      <c r="N2749" s="469"/>
      <c r="O2749" s="469"/>
    </row>
    <row r="2750" spans="3:15" ht="17.25">
      <c r="F2750" s="361">
        <v>44503</v>
      </c>
      <c r="G2750" s="361"/>
      <c r="H2750" s="409"/>
      <c r="I2750" s="358"/>
      <c r="J2750" s="442"/>
      <c r="K2750" s="280"/>
      <c r="L2750" s="358"/>
      <c r="M2750" s="579"/>
      <c r="N2750" s="469"/>
      <c r="O2750" s="469"/>
    </row>
    <row r="2751" spans="3:15" ht="17.25">
      <c r="F2751" s="12"/>
      <c r="G2751" s="112" t="s">
        <v>33</v>
      </c>
      <c r="H2751" s="409">
        <v>58</v>
      </c>
      <c r="I2751" s="358">
        <v>6090.0519402985074</v>
      </c>
      <c r="J2751" s="442">
        <v>1</v>
      </c>
      <c r="K2751" s="280">
        <v>6090.0519402985074</v>
      </c>
      <c r="L2751" s="358">
        <v>8124.0500000000011</v>
      </c>
      <c r="M2751" s="579">
        <v>1</v>
      </c>
      <c r="N2751" s="469">
        <v>8124.0500000000011</v>
      </c>
      <c r="O2751" s="469">
        <v>-2033.9980597014937</v>
      </c>
    </row>
    <row r="2752" spans="3:15" ht="17.25">
      <c r="F2752" s="12"/>
      <c r="H2752" s="409"/>
      <c r="I2752" s="358"/>
      <c r="J2752" s="442"/>
      <c r="K2752" s="280"/>
      <c r="L2752" s="358"/>
      <c r="M2752" s="579"/>
      <c r="N2752" s="469"/>
      <c r="O2752" s="469"/>
    </row>
    <row r="2753" spans="3:15" ht="17.25">
      <c r="F2753" s="361">
        <v>44508</v>
      </c>
      <c r="G2753" s="361"/>
      <c r="H2753" s="409"/>
      <c r="I2753" s="358"/>
      <c r="J2753" s="442"/>
      <c r="K2753" s="280"/>
      <c r="L2753" s="358"/>
      <c r="M2753" s="579"/>
      <c r="N2753" s="469"/>
      <c r="O2753" s="469"/>
    </row>
    <row r="2754" spans="3:15" ht="17.25">
      <c r="F2754" s="12"/>
      <c r="G2754" s="112" t="s">
        <v>33</v>
      </c>
      <c r="H2754" s="409">
        <v>9</v>
      </c>
      <c r="I2754" s="358">
        <v>945.00805970149258</v>
      </c>
      <c r="J2754" s="442">
        <v>1</v>
      </c>
      <c r="K2754" s="280">
        <v>945.00805970149258</v>
      </c>
      <c r="L2754" s="358">
        <v>1300.6400000000001</v>
      </c>
      <c r="M2754" s="579">
        <v>1</v>
      </c>
      <c r="N2754" s="469">
        <v>1300.6400000000001</v>
      </c>
      <c r="O2754" s="469">
        <v>-355.63194029850752</v>
      </c>
    </row>
    <row r="2755" spans="3:15" ht="17.25">
      <c r="F2755" s="12"/>
      <c r="H2755" s="409"/>
      <c r="I2755" s="358"/>
      <c r="J2755" s="442"/>
      <c r="K2755" s="280"/>
      <c r="L2755" s="358"/>
      <c r="M2755" s="579"/>
      <c r="N2755" s="469"/>
      <c r="O2755" s="469"/>
    </row>
    <row r="2756" spans="3:15" ht="17.25">
      <c r="C2756" s="342" t="s">
        <v>436</v>
      </c>
      <c r="D2756" s="342"/>
      <c r="E2756" s="342"/>
      <c r="F2756" s="342"/>
      <c r="G2756" s="342"/>
      <c r="H2756" s="410">
        <v>67</v>
      </c>
      <c r="I2756" s="407">
        <v>7035.06</v>
      </c>
      <c r="J2756" s="460">
        <v>1</v>
      </c>
      <c r="K2756" s="413">
        <v>7035.06</v>
      </c>
      <c r="L2756" s="407">
        <v>9424.69</v>
      </c>
      <c r="M2756" s="580">
        <v>1</v>
      </c>
      <c r="N2756" s="470">
        <v>9424.69</v>
      </c>
      <c r="O2756" s="470">
        <v>-2389.630000000001</v>
      </c>
    </row>
    <row r="2757" spans="3:15" ht="17.25">
      <c r="F2757" s="12"/>
      <c r="H2757" s="409"/>
      <c r="I2757" s="358"/>
      <c r="J2757" s="442"/>
      <c r="K2757" s="280"/>
      <c r="L2757" s="358"/>
      <c r="M2757" s="579"/>
      <c r="N2757" s="469"/>
      <c r="O2757" s="469"/>
    </row>
    <row r="2758" spans="3:15" ht="17.25">
      <c r="C2758" s="12" t="s">
        <v>437</v>
      </c>
      <c r="F2758" s="12"/>
      <c r="H2758" s="409"/>
      <c r="I2758" s="358"/>
      <c r="J2758" s="442"/>
      <c r="K2758" s="280"/>
      <c r="L2758" s="358"/>
      <c r="M2758" s="579"/>
      <c r="N2758" s="469"/>
      <c r="O2758" s="469"/>
    </row>
    <row r="2759" spans="3:15" ht="17.25">
      <c r="D2759" s="361">
        <v>44589</v>
      </c>
      <c r="E2759" s="361"/>
      <c r="F2759" s="361"/>
      <c r="G2759" s="361"/>
      <c r="H2759" s="409"/>
      <c r="I2759" s="358"/>
      <c r="J2759" s="442"/>
      <c r="K2759" s="280"/>
      <c r="L2759" s="358"/>
      <c r="M2759" s="579"/>
      <c r="N2759" s="469"/>
      <c r="O2759" s="469"/>
    </row>
    <row r="2760" spans="3:15" ht="17.25">
      <c r="E2760" s="12" t="s">
        <v>33</v>
      </c>
      <c r="F2760" s="12"/>
      <c r="H2760" s="409"/>
      <c r="I2760" s="358"/>
      <c r="J2760" s="442"/>
      <c r="K2760" s="280"/>
      <c r="L2760" s="358"/>
      <c r="M2760" s="579"/>
      <c r="N2760" s="469"/>
      <c r="O2760" s="469"/>
    </row>
    <row r="2761" spans="3:15" ht="17.25">
      <c r="F2761" s="361">
        <v>44511</v>
      </c>
      <c r="G2761" s="361"/>
      <c r="H2761" s="409"/>
      <c r="I2761" s="358"/>
      <c r="J2761" s="442"/>
      <c r="K2761" s="280"/>
      <c r="L2761" s="358"/>
      <c r="M2761" s="579"/>
      <c r="N2761" s="469"/>
      <c r="O2761" s="469"/>
    </row>
    <row r="2762" spans="3:15" ht="17.25">
      <c r="F2762" s="12"/>
      <c r="G2762" s="112" t="s">
        <v>33</v>
      </c>
      <c r="H2762" s="409">
        <v>56</v>
      </c>
      <c r="I2762" s="358">
        <v>1130.6358208955223</v>
      </c>
      <c r="J2762" s="442">
        <v>1</v>
      </c>
      <c r="K2762" s="280">
        <v>1130.6358208955223</v>
      </c>
      <c r="L2762" s="358">
        <v>2733.5699999999997</v>
      </c>
      <c r="M2762" s="579">
        <v>1</v>
      </c>
      <c r="N2762" s="469">
        <v>2733.5699999999997</v>
      </c>
      <c r="O2762" s="469">
        <v>-1602.9341791044776</v>
      </c>
    </row>
    <row r="2763" spans="3:15" ht="17.25">
      <c r="F2763" s="12"/>
      <c r="H2763" s="409"/>
      <c r="I2763" s="358"/>
      <c r="J2763" s="442"/>
      <c r="K2763" s="280"/>
      <c r="L2763" s="358"/>
      <c r="M2763" s="579"/>
      <c r="N2763" s="469"/>
      <c r="O2763" s="469"/>
    </row>
    <row r="2764" spans="3:15" ht="17.25">
      <c r="F2764" s="361">
        <v>44512</v>
      </c>
      <c r="G2764" s="361"/>
      <c r="H2764" s="409"/>
      <c r="I2764" s="358"/>
      <c r="J2764" s="442"/>
      <c r="K2764" s="280"/>
      <c r="L2764" s="358"/>
      <c r="M2764" s="579"/>
      <c r="N2764" s="469"/>
      <c r="O2764" s="469"/>
    </row>
    <row r="2765" spans="3:15" ht="17.25">
      <c r="F2765" s="12"/>
      <c r="G2765" s="112" t="s">
        <v>33</v>
      </c>
      <c r="H2765" s="409">
        <v>21</v>
      </c>
      <c r="I2765" s="358">
        <v>423.73667910447767</v>
      </c>
      <c r="J2765" s="442">
        <v>1</v>
      </c>
      <c r="K2765" s="280">
        <v>423.73667910447767</v>
      </c>
      <c r="L2765" s="358">
        <v>1031.55</v>
      </c>
      <c r="M2765" s="579">
        <v>1</v>
      </c>
      <c r="N2765" s="469">
        <v>1031.55</v>
      </c>
      <c r="O2765" s="469">
        <v>-607.81332089552245</v>
      </c>
    </row>
    <row r="2766" spans="3:15" ht="17.25">
      <c r="F2766" s="12"/>
      <c r="H2766" s="409"/>
      <c r="I2766" s="358"/>
      <c r="J2766" s="442"/>
      <c r="K2766" s="280"/>
      <c r="L2766" s="358"/>
      <c r="M2766" s="579"/>
      <c r="N2766" s="469"/>
      <c r="O2766" s="469"/>
    </row>
    <row r="2767" spans="3:15" ht="17.25">
      <c r="F2767" s="361">
        <v>44516</v>
      </c>
      <c r="G2767" s="361"/>
      <c r="H2767" s="409"/>
      <c r="I2767" s="358"/>
      <c r="J2767" s="442"/>
      <c r="K2767" s="280"/>
      <c r="L2767" s="358"/>
      <c r="M2767" s="579"/>
      <c r="N2767" s="469"/>
      <c r="O2767" s="469"/>
    </row>
    <row r="2768" spans="3:15" ht="17.25">
      <c r="F2768" s="12"/>
      <c r="G2768" s="112" t="s">
        <v>33</v>
      </c>
      <c r="H2768" s="409">
        <v>6</v>
      </c>
      <c r="I2768" s="358">
        <v>121.62749999999998</v>
      </c>
      <c r="J2768" s="442">
        <v>1</v>
      </c>
      <c r="K2768" s="280">
        <v>121.62749999999998</v>
      </c>
      <c r="L2768" s="358">
        <v>287.91153846153844</v>
      </c>
      <c r="M2768" s="579">
        <v>1</v>
      </c>
      <c r="N2768" s="469">
        <v>287.91153846153844</v>
      </c>
      <c r="O2768" s="469">
        <v>-166.28403846153847</v>
      </c>
    </row>
    <row r="2769" spans="4:15" ht="17.25">
      <c r="F2769" s="12"/>
      <c r="H2769" s="409"/>
      <c r="I2769" s="358"/>
      <c r="J2769" s="442"/>
      <c r="K2769" s="280"/>
      <c r="L2769" s="358"/>
      <c r="M2769" s="579"/>
      <c r="N2769" s="469"/>
      <c r="O2769" s="469"/>
    </row>
    <row r="2770" spans="4:15" ht="17.25">
      <c r="D2770" s="361">
        <v>44592</v>
      </c>
      <c r="E2770" s="361"/>
      <c r="F2770" s="361"/>
      <c r="G2770" s="361"/>
      <c r="H2770" s="409"/>
      <c r="I2770" s="358"/>
      <c r="J2770" s="442"/>
      <c r="K2770" s="280"/>
      <c r="L2770" s="358"/>
      <c r="M2770" s="579"/>
      <c r="N2770" s="469"/>
      <c r="O2770" s="469"/>
    </row>
    <row r="2771" spans="4:15" ht="17.25">
      <c r="E2771" s="12" t="s">
        <v>33</v>
      </c>
      <c r="F2771" s="12"/>
      <c r="H2771" s="409"/>
      <c r="I2771" s="358"/>
      <c r="J2771" s="442"/>
      <c r="K2771" s="280"/>
      <c r="L2771" s="358"/>
      <c r="M2771" s="579"/>
      <c r="N2771" s="469"/>
      <c r="O2771" s="469"/>
    </row>
    <row r="2772" spans="4:15" ht="17.25">
      <c r="F2772" s="361">
        <v>44516</v>
      </c>
      <c r="G2772" s="361"/>
      <c r="H2772" s="409"/>
      <c r="I2772" s="358"/>
      <c r="J2772" s="442"/>
      <c r="K2772" s="280"/>
      <c r="L2772" s="358"/>
      <c r="M2772" s="579"/>
      <c r="N2772" s="469"/>
      <c r="O2772" s="469"/>
    </row>
    <row r="2773" spans="4:15" ht="17.25">
      <c r="F2773" s="12"/>
      <c r="G2773" s="112" t="s">
        <v>33</v>
      </c>
      <c r="H2773" s="409">
        <v>9</v>
      </c>
      <c r="I2773" s="358">
        <v>196.74333333333331</v>
      </c>
      <c r="J2773" s="442">
        <v>1</v>
      </c>
      <c r="K2773" s="280">
        <v>196.74333333333331</v>
      </c>
      <c r="L2773" s="358">
        <v>432.05846153846153</v>
      </c>
      <c r="M2773" s="579">
        <v>1</v>
      </c>
      <c r="N2773" s="469">
        <v>432.05846153846153</v>
      </c>
      <c r="O2773" s="469">
        <v>-235.31512820512822</v>
      </c>
    </row>
    <row r="2774" spans="4:15" ht="17.25">
      <c r="F2774" s="12"/>
      <c r="H2774" s="409"/>
      <c r="I2774" s="358"/>
      <c r="J2774" s="442"/>
      <c r="K2774" s="280"/>
      <c r="L2774" s="358"/>
      <c r="M2774" s="579"/>
      <c r="N2774" s="469"/>
      <c r="O2774" s="469"/>
    </row>
    <row r="2775" spans="4:15" ht="17.25">
      <c r="F2775" s="361">
        <v>44559</v>
      </c>
      <c r="G2775" s="361"/>
      <c r="H2775" s="409"/>
      <c r="I2775" s="358"/>
      <c r="J2775" s="442"/>
      <c r="K2775" s="280"/>
      <c r="L2775" s="358"/>
      <c r="M2775" s="579"/>
      <c r="N2775" s="469"/>
      <c r="O2775" s="469"/>
    </row>
    <row r="2776" spans="4:15" ht="17.25">
      <c r="F2776" s="12"/>
      <c r="G2776" s="112" t="s">
        <v>33</v>
      </c>
      <c r="H2776" s="409">
        <v>15</v>
      </c>
      <c r="I2776" s="358">
        <v>337.15</v>
      </c>
      <c r="J2776" s="442">
        <v>1</v>
      </c>
      <c r="K2776" s="280">
        <v>337.15</v>
      </c>
      <c r="L2776" s="358">
        <v>539.88294117647069</v>
      </c>
      <c r="M2776" s="579">
        <v>1</v>
      </c>
      <c r="N2776" s="469">
        <v>539.88294117647069</v>
      </c>
      <c r="O2776" s="469">
        <v>-202.73294117647066</v>
      </c>
    </row>
    <row r="2777" spans="4:15" ht="17.25">
      <c r="F2777" s="12"/>
      <c r="H2777" s="409"/>
      <c r="I2777" s="358"/>
      <c r="J2777" s="442"/>
      <c r="K2777" s="280"/>
      <c r="L2777" s="358"/>
      <c r="M2777" s="579"/>
      <c r="N2777" s="469"/>
      <c r="O2777" s="469"/>
    </row>
    <row r="2778" spans="4:15" ht="17.25">
      <c r="F2778" s="361">
        <v>44519</v>
      </c>
      <c r="G2778" s="361"/>
      <c r="H2778" s="409"/>
      <c r="I2778" s="358"/>
      <c r="J2778" s="442"/>
      <c r="K2778" s="280"/>
      <c r="L2778" s="358"/>
      <c r="M2778" s="579"/>
      <c r="N2778" s="469"/>
      <c r="O2778" s="469"/>
    </row>
    <row r="2779" spans="4:15" ht="17.25">
      <c r="F2779" s="12"/>
      <c r="G2779" s="112" t="s">
        <v>33</v>
      </c>
      <c r="H2779" s="409">
        <v>24</v>
      </c>
      <c r="I2779" s="358">
        <v>539.63666666666666</v>
      </c>
      <c r="J2779" s="442">
        <v>1</v>
      </c>
      <c r="K2779" s="280">
        <v>539.63666666666666</v>
      </c>
      <c r="L2779" s="358">
        <v>1078.7999999999997</v>
      </c>
      <c r="M2779" s="579">
        <v>1</v>
      </c>
      <c r="N2779" s="469">
        <v>1078.7999999999997</v>
      </c>
      <c r="O2779" s="469">
        <v>-539.16333333333341</v>
      </c>
    </row>
    <row r="2780" spans="4:15" ht="17.25">
      <c r="F2780" s="12"/>
      <c r="H2780" s="409"/>
      <c r="I2780" s="358"/>
      <c r="J2780" s="442"/>
      <c r="K2780" s="280"/>
      <c r="L2780" s="358"/>
      <c r="M2780" s="579"/>
      <c r="N2780" s="469"/>
      <c r="O2780" s="469"/>
    </row>
    <row r="2781" spans="4:15" ht="17.25">
      <c r="D2781" s="361">
        <v>44593</v>
      </c>
      <c r="E2781" s="361"/>
      <c r="F2781" s="361"/>
      <c r="G2781" s="361"/>
      <c r="H2781" s="409"/>
      <c r="I2781" s="358"/>
      <c r="J2781" s="442"/>
      <c r="K2781" s="280"/>
      <c r="L2781" s="358"/>
      <c r="M2781" s="579"/>
      <c r="N2781" s="469"/>
      <c r="O2781" s="469"/>
    </row>
    <row r="2782" spans="4:15" ht="17.25">
      <c r="E2782" s="12" t="s">
        <v>33</v>
      </c>
      <c r="F2782" s="12"/>
      <c r="H2782" s="409"/>
      <c r="I2782" s="358"/>
      <c r="J2782" s="442"/>
      <c r="K2782" s="280"/>
      <c r="L2782" s="358"/>
      <c r="M2782" s="579"/>
      <c r="N2782" s="469"/>
      <c r="O2782" s="469"/>
    </row>
    <row r="2783" spans="4:15" ht="17.25">
      <c r="F2783" s="361">
        <v>44559</v>
      </c>
      <c r="G2783" s="361"/>
      <c r="H2783" s="409"/>
      <c r="I2783" s="358"/>
      <c r="J2783" s="442"/>
      <c r="K2783" s="280"/>
      <c r="L2783" s="358"/>
      <c r="M2783" s="579"/>
      <c r="N2783" s="469"/>
      <c r="O2783" s="469"/>
    </row>
    <row r="2784" spans="4:15" ht="17.25">
      <c r="F2784" s="12"/>
      <c r="G2784" s="112" t="s">
        <v>33</v>
      </c>
      <c r="H2784" s="409">
        <v>4</v>
      </c>
      <c r="I2784" s="358">
        <v>98.237073170731719</v>
      </c>
      <c r="J2784" s="442">
        <v>1</v>
      </c>
      <c r="K2784" s="280">
        <v>98.237073170731719</v>
      </c>
      <c r="L2784" s="358">
        <v>144.16705882352943</v>
      </c>
      <c r="M2784" s="579">
        <v>1</v>
      </c>
      <c r="N2784" s="469">
        <v>144.16705882352943</v>
      </c>
      <c r="O2784" s="469">
        <v>-45.929985652797711</v>
      </c>
    </row>
    <row r="2785" spans="4:15" ht="17.25">
      <c r="F2785" s="12"/>
      <c r="H2785" s="409"/>
      <c r="I2785" s="358"/>
      <c r="J2785" s="442"/>
      <c r="K2785" s="280"/>
      <c r="L2785" s="358"/>
      <c r="M2785" s="579"/>
      <c r="N2785" s="469"/>
      <c r="O2785" s="469"/>
    </row>
    <row r="2786" spans="4:15" ht="17.25">
      <c r="F2786" s="361">
        <v>44564</v>
      </c>
      <c r="G2786" s="361"/>
      <c r="H2786" s="409"/>
      <c r="I2786" s="358"/>
      <c r="J2786" s="442"/>
      <c r="K2786" s="280"/>
      <c r="L2786" s="358"/>
      <c r="M2786" s="579"/>
      <c r="N2786" s="469"/>
      <c r="O2786" s="469"/>
    </row>
    <row r="2787" spans="4:15" ht="17.25">
      <c r="F2787" s="12"/>
      <c r="G2787" s="112" t="s">
        <v>33</v>
      </c>
      <c r="H2787" s="409">
        <v>20</v>
      </c>
      <c r="I2787" s="358">
        <v>501.17073170731715</v>
      </c>
      <c r="J2787" s="442">
        <v>1</v>
      </c>
      <c r="K2787" s="280">
        <v>501.17073170731715</v>
      </c>
      <c r="L2787" s="358">
        <v>659.37000000000012</v>
      </c>
      <c r="M2787" s="579">
        <v>1</v>
      </c>
      <c r="N2787" s="469">
        <v>659.37000000000012</v>
      </c>
      <c r="O2787" s="469">
        <v>-158.19926829268283</v>
      </c>
    </row>
    <row r="2788" spans="4:15" ht="17.25">
      <c r="F2788" s="12"/>
      <c r="H2788" s="409"/>
      <c r="I2788" s="358"/>
      <c r="J2788" s="442"/>
      <c r="K2788" s="280"/>
      <c r="L2788" s="358"/>
      <c r="M2788" s="579"/>
      <c r="N2788" s="469"/>
      <c r="O2788" s="469"/>
    </row>
    <row r="2789" spans="4:15" ht="17.25">
      <c r="F2789" s="361">
        <v>44573</v>
      </c>
      <c r="G2789" s="361"/>
      <c r="H2789" s="409"/>
      <c r="I2789" s="358"/>
      <c r="J2789" s="442"/>
      <c r="K2789" s="280"/>
      <c r="L2789" s="358"/>
      <c r="M2789" s="579"/>
      <c r="N2789" s="469"/>
      <c r="O2789" s="469"/>
    </row>
    <row r="2790" spans="4:15" ht="17.25">
      <c r="F2790" s="12"/>
      <c r="G2790" s="112" t="s">
        <v>33</v>
      </c>
      <c r="H2790" s="409">
        <v>14</v>
      </c>
      <c r="I2790" s="358">
        <v>350.819512195122</v>
      </c>
      <c r="J2790" s="442">
        <v>1</v>
      </c>
      <c r="K2790" s="280">
        <v>350.819512195122</v>
      </c>
      <c r="L2790" s="358">
        <v>403.48</v>
      </c>
      <c r="M2790" s="579">
        <v>1</v>
      </c>
      <c r="N2790" s="469">
        <v>403.48</v>
      </c>
      <c r="O2790" s="469">
        <v>-52.660487804878017</v>
      </c>
    </row>
    <row r="2791" spans="4:15" ht="17.25">
      <c r="F2791" s="12"/>
      <c r="H2791" s="409"/>
      <c r="I2791" s="358"/>
      <c r="J2791" s="442"/>
      <c r="K2791" s="280"/>
      <c r="L2791" s="358"/>
      <c r="M2791" s="579"/>
      <c r="N2791" s="469"/>
      <c r="O2791" s="469"/>
    </row>
    <row r="2792" spans="4:15" ht="17.25">
      <c r="F2792" s="361">
        <v>44574</v>
      </c>
      <c r="G2792" s="361"/>
      <c r="H2792" s="409"/>
      <c r="I2792" s="358"/>
      <c r="J2792" s="442"/>
      <c r="K2792" s="280"/>
      <c r="L2792" s="358"/>
      <c r="M2792" s="579"/>
      <c r="N2792" s="469"/>
      <c r="O2792" s="469"/>
    </row>
    <row r="2793" spans="4:15" ht="17.25">
      <c r="F2793" s="12"/>
      <c r="G2793" s="112" t="s">
        <v>33</v>
      </c>
      <c r="H2793" s="409">
        <v>10</v>
      </c>
      <c r="I2793" s="358">
        <v>248.2426829268293</v>
      </c>
      <c r="J2793" s="442">
        <v>1</v>
      </c>
      <c r="K2793" s="280">
        <v>248.2426829268293</v>
      </c>
      <c r="L2793" s="358">
        <v>281.97000000000003</v>
      </c>
      <c r="M2793" s="579">
        <v>1</v>
      </c>
      <c r="N2793" s="469">
        <v>281.97000000000003</v>
      </c>
      <c r="O2793" s="469">
        <v>-33.727317073170724</v>
      </c>
    </row>
    <row r="2794" spans="4:15" ht="17.25">
      <c r="F2794" s="12"/>
      <c r="H2794" s="409"/>
      <c r="I2794" s="358"/>
      <c r="J2794" s="442"/>
      <c r="K2794" s="280"/>
      <c r="L2794" s="358"/>
      <c r="M2794" s="579"/>
      <c r="N2794" s="469"/>
      <c r="O2794" s="469"/>
    </row>
    <row r="2795" spans="4:15" ht="17.25">
      <c r="D2795" s="361">
        <v>44868</v>
      </c>
      <c r="E2795" s="361"/>
      <c r="F2795" s="361"/>
      <c r="G2795" s="361"/>
      <c r="H2795" s="409"/>
      <c r="I2795" s="358"/>
      <c r="J2795" s="442"/>
      <c r="K2795" s="280"/>
      <c r="L2795" s="358"/>
      <c r="M2795" s="579"/>
      <c r="N2795" s="469"/>
      <c r="O2795" s="469"/>
    </row>
    <row r="2796" spans="4:15" ht="17.25">
      <c r="E2796" s="12" t="s">
        <v>33</v>
      </c>
      <c r="F2796" s="12"/>
      <c r="H2796" s="409"/>
      <c r="I2796" s="358"/>
      <c r="J2796" s="442"/>
      <c r="K2796" s="280"/>
      <c r="L2796" s="358"/>
      <c r="M2796" s="579"/>
      <c r="N2796" s="469"/>
      <c r="O2796" s="469"/>
    </row>
    <row r="2797" spans="4:15" ht="17.25">
      <c r="F2797" s="361">
        <v>44781</v>
      </c>
      <c r="G2797" s="361"/>
      <c r="H2797" s="409"/>
      <c r="I2797" s="358"/>
      <c r="J2797" s="442"/>
      <c r="K2797" s="280"/>
      <c r="L2797" s="358"/>
      <c r="M2797" s="579"/>
      <c r="N2797" s="469"/>
      <c r="O2797" s="469"/>
    </row>
    <row r="2798" spans="4:15" ht="17.25">
      <c r="F2798" s="12"/>
      <c r="G2798" s="112" t="s">
        <v>33</v>
      </c>
      <c r="H2798" s="409">
        <v>34</v>
      </c>
      <c r="I2798" s="358">
        <v>672.93</v>
      </c>
      <c r="J2798" s="442">
        <v>1</v>
      </c>
      <c r="K2798" s="280">
        <v>672.93</v>
      </c>
      <c r="L2798" s="358">
        <v>601.84999999999991</v>
      </c>
      <c r="M2798" s="579">
        <v>1</v>
      </c>
      <c r="N2798" s="469">
        <v>601.84999999999991</v>
      </c>
      <c r="O2798" s="469">
        <v>71.079999999999956</v>
      </c>
    </row>
    <row r="2799" spans="4:15" ht="17.25">
      <c r="F2799" s="12"/>
      <c r="H2799" s="409"/>
      <c r="I2799" s="358"/>
      <c r="J2799" s="442"/>
      <c r="K2799" s="280"/>
      <c r="L2799" s="358"/>
      <c r="M2799" s="579"/>
      <c r="N2799" s="469"/>
      <c r="O2799" s="469"/>
    </row>
    <row r="2800" spans="4:15" ht="17.25">
      <c r="D2800" s="361">
        <v>44914</v>
      </c>
      <c r="E2800" s="361"/>
      <c r="F2800" s="361"/>
      <c r="G2800" s="361"/>
      <c r="H2800" s="409"/>
      <c r="I2800" s="358"/>
      <c r="J2800" s="442"/>
      <c r="K2800" s="280"/>
      <c r="L2800" s="358"/>
      <c r="M2800" s="579"/>
      <c r="N2800" s="469"/>
      <c r="O2800" s="469"/>
    </row>
    <row r="2801" spans="4:15" ht="17.25">
      <c r="E2801" s="12" t="s">
        <v>33</v>
      </c>
      <c r="F2801" s="12"/>
      <c r="H2801" s="409"/>
      <c r="I2801" s="358"/>
      <c r="J2801" s="442"/>
      <c r="K2801" s="280"/>
      <c r="L2801" s="358"/>
      <c r="M2801" s="579"/>
      <c r="N2801" s="469"/>
      <c r="O2801" s="469"/>
    </row>
    <row r="2802" spans="4:15" ht="17.25">
      <c r="F2802" s="361">
        <v>44781</v>
      </c>
      <c r="G2802" s="361"/>
      <c r="H2802" s="409"/>
      <c r="I2802" s="358"/>
      <c r="J2802" s="442"/>
      <c r="K2802" s="280"/>
      <c r="L2802" s="358"/>
      <c r="M2802" s="579"/>
      <c r="N2802" s="469"/>
      <c r="O2802" s="469"/>
    </row>
    <row r="2803" spans="4:15" ht="17.25">
      <c r="F2803" s="12"/>
      <c r="G2803" s="112" t="s">
        <v>33</v>
      </c>
      <c r="H2803" s="409">
        <v>18</v>
      </c>
      <c r="I2803" s="358">
        <v>320.88272727272727</v>
      </c>
      <c r="J2803" s="442">
        <v>1</v>
      </c>
      <c r="K2803" s="280">
        <v>320.88272727272727</v>
      </c>
      <c r="L2803" s="358">
        <v>318.58</v>
      </c>
      <c r="M2803" s="579">
        <v>1</v>
      </c>
      <c r="N2803" s="469">
        <v>318.58</v>
      </c>
      <c r="O2803" s="469">
        <v>2.3027272727272816</v>
      </c>
    </row>
    <row r="2804" spans="4:15" ht="17.25">
      <c r="F2804" s="12"/>
      <c r="H2804" s="409"/>
      <c r="I2804" s="358"/>
      <c r="J2804" s="442"/>
      <c r="K2804" s="280"/>
      <c r="L2804" s="358"/>
      <c r="M2804" s="579"/>
      <c r="N2804" s="469"/>
      <c r="O2804" s="469"/>
    </row>
    <row r="2805" spans="4:15" ht="17.25">
      <c r="F2805" s="361">
        <v>44782</v>
      </c>
      <c r="G2805" s="361"/>
      <c r="H2805" s="409"/>
      <c r="I2805" s="358"/>
      <c r="J2805" s="442"/>
      <c r="K2805" s="280"/>
      <c r="L2805" s="358"/>
      <c r="M2805" s="579"/>
      <c r="N2805" s="469"/>
      <c r="O2805" s="469"/>
    </row>
    <row r="2806" spans="4:15" ht="17.25">
      <c r="F2806" s="12"/>
      <c r="G2806" s="112" t="s">
        <v>33</v>
      </c>
      <c r="H2806" s="409">
        <v>18</v>
      </c>
      <c r="I2806" s="358">
        <v>320.26727272727271</v>
      </c>
      <c r="J2806" s="442">
        <v>1</v>
      </c>
      <c r="K2806" s="280">
        <v>320.26727272727271</v>
      </c>
      <c r="L2806" s="358">
        <v>303.33571428571429</v>
      </c>
      <c r="M2806" s="579">
        <v>1</v>
      </c>
      <c r="N2806" s="469">
        <v>303.33571428571429</v>
      </c>
      <c r="O2806" s="469">
        <v>16.931558441558437</v>
      </c>
    </row>
    <row r="2807" spans="4:15" ht="17.25">
      <c r="F2807" s="12"/>
      <c r="H2807" s="409"/>
      <c r="I2807" s="358"/>
      <c r="J2807" s="442"/>
      <c r="K2807" s="280"/>
      <c r="L2807" s="358"/>
      <c r="M2807" s="579"/>
      <c r="N2807" s="469"/>
      <c r="O2807" s="469"/>
    </row>
    <row r="2808" spans="4:15" ht="17.25">
      <c r="D2808" s="361">
        <v>44915</v>
      </c>
      <c r="E2808" s="361"/>
      <c r="F2808" s="361"/>
      <c r="G2808" s="361"/>
      <c r="H2808" s="409"/>
      <c r="I2808" s="358"/>
      <c r="J2808" s="442"/>
      <c r="K2808" s="280"/>
      <c r="L2808" s="358"/>
      <c r="M2808" s="579"/>
      <c r="N2808" s="469"/>
      <c r="O2808" s="469"/>
    </row>
    <row r="2809" spans="4:15" ht="17.25">
      <c r="E2809" s="12" t="s">
        <v>33</v>
      </c>
      <c r="F2809" s="12"/>
      <c r="H2809" s="409"/>
      <c r="I2809" s="358"/>
      <c r="J2809" s="442"/>
      <c r="K2809" s="280"/>
      <c r="L2809" s="358"/>
      <c r="M2809" s="579"/>
      <c r="N2809" s="469"/>
      <c r="O2809" s="469"/>
    </row>
    <row r="2810" spans="4:15" ht="17.25">
      <c r="F2810" s="361">
        <v>44783</v>
      </c>
      <c r="G2810" s="361"/>
      <c r="H2810" s="409"/>
      <c r="I2810" s="358"/>
      <c r="J2810" s="442"/>
      <c r="K2810" s="280"/>
      <c r="L2810" s="358"/>
      <c r="M2810" s="579"/>
      <c r="N2810" s="469"/>
      <c r="O2810" s="469"/>
    </row>
    <row r="2811" spans="4:15" ht="17.25">
      <c r="F2811" s="12"/>
      <c r="G2811" s="112" t="s">
        <v>33</v>
      </c>
      <c r="H2811" s="409">
        <v>34</v>
      </c>
      <c r="I2811" s="358">
        <v>602.99888888888881</v>
      </c>
      <c r="J2811" s="442">
        <v>1</v>
      </c>
      <c r="K2811" s="280">
        <v>602.99888888888881</v>
      </c>
      <c r="L2811" s="358">
        <v>630.20291666666662</v>
      </c>
      <c r="M2811" s="579">
        <v>1</v>
      </c>
      <c r="N2811" s="469">
        <v>630.20291666666662</v>
      </c>
      <c r="O2811" s="469">
        <v>-27.204027777777785</v>
      </c>
    </row>
    <row r="2812" spans="4:15" ht="17.25">
      <c r="F2812" s="12"/>
      <c r="H2812" s="409"/>
      <c r="I2812" s="358"/>
      <c r="J2812" s="442"/>
      <c r="K2812" s="280"/>
      <c r="L2812" s="358"/>
      <c r="M2812" s="579"/>
      <c r="N2812" s="469"/>
      <c r="O2812" s="469"/>
    </row>
    <row r="2813" spans="4:15" ht="17.25">
      <c r="F2813" s="361">
        <v>44782</v>
      </c>
      <c r="G2813" s="361"/>
      <c r="H2813" s="409"/>
      <c r="I2813" s="358"/>
      <c r="J2813" s="442"/>
      <c r="K2813" s="280"/>
      <c r="L2813" s="358"/>
      <c r="M2813" s="579"/>
      <c r="N2813" s="469"/>
      <c r="O2813" s="469"/>
    </row>
    <row r="2814" spans="4:15" ht="17.25">
      <c r="F2814" s="12"/>
      <c r="G2814" s="112" t="s">
        <v>33</v>
      </c>
      <c r="H2814" s="409">
        <v>4</v>
      </c>
      <c r="I2814" s="358">
        <v>71.351111111111109</v>
      </c>
      <c r="J2814" s="442">
        <v>1</v>
      </c>
      <c r="K2814" s="280">
        <v>71.351111111111109</v>
      </c>
      <c r="L2814" s="358">
        <v>67.114285714285714</v>
      </c>
      <c r="M2814" s="579">
        <v>1</v>
      </c>
      <c r="N2814" s="469">
        <v>67.114285714285714</v>
      </c>
      <c r="O2814" s="469">
        <v>4.2368253968253953</v>
      </c>
    </row>
    <row r="2815" spans="4:15" ht="17.25">
      <c r="F2815" s="12"/>
      <c r="H2815" s="409"/>
      <c r="I2815" s="358"/>
      <c r="J2815" s="442"/>
      <c r="K2815" s="280"/>
      <c r="L2815" s="358"/>
      <c r="M2815" s="579"/>
      <c r="N2815" s="469"/>
      <c r="O2815" s="469"/>
    </row>
    <row r="2816" spans="4:15" ht="17.25">
      <c r="D2816" s="361">
        <v>44916</v>
      </c>
      <c r="E2816" s="361"/>
      <c r="F2816" s="361"/>
      <c r="G2816" s="361"/>
      <c r="H2816" s="409"/>
      <c r="I2816" s="358"/>
      <c r="J2816" s="442"/>
      <c r="K2816" s="280"/>
      <c r="L2816" s="358"/>
      <c r="M2816" s="579"/>
      <c r="N2816" s="469"/>
      <c r="O2816" s="469"/>
    </row>
    <row r="2817" spans="4:15" ht="17.25">
      <c r="E2817" s="12" t="s">
        <v>33</v>
      </c>
      <c r="F2817" s="12"/>
      <c r="H2817" s="409"/>
      <c r="I2817" s="358"/>
      <c r="J2817" s="442"/>
      <c r="K2817" s="280"/>
      <c r="L2817" s="358"/>
      <c r="M2817" s="579"/>
      <c r="N2817" s="469"/>
      <c r="O2817" s="469"/>
    </row>
    <row r="2818" spans="4:15" ht="17.25">
      <c r="F2818" s="361">
        <v>44783</v>
      </c>
      <c r="G2818" s="361"/>
      <c r="H2818" s="409"/>
      <c r="I2818" s="358"/>
      <c r="J2818" s="442"/>
      <c r="K2818" s="280"/>
      <c r="L2818" s="358"/>
      <c r="M2818" s="579"/>
      <c r="N2818" s="469"/>
      <c r="O2818" s="469"/>
    </row>
    <row r="2819" spans="4:15" ht="17.25">
      <c r="F2819" s="12"/>
      <c r="G2819" s="112" t="s">
        <v>33</v>
      </c>
      <c r="H2819" s="409">
        <v>31</v>
      </c>
      <c r="I2819" s="358">
        <v>551.77333333333331</v>
      </c>
      <c r="J2819" s="442">
        <v>1</v>
      </c>
      <c r="K2819" s="280">
        <v>551.77333333333331</v>
      </c>
      <c r="L2819" s="358">
        <v>567.17708333333337</v>
      </c>
      <c r="M2819" s="579">
        <v>1</v>
      </c>
      <c r="N2819" s="469">
        <v>567.17708333333337</v>
      </c>
      <c r="O2819" s="469">
        <v>-15.403749999999949</v>
      </c>
    </row>
    <row r="2820" spans="4:15" ht="17.25">
      <c r="F2820" s="12"/>
      <c r="H2820" s="409"/>
      <c r="I2820" s="358"/>
      <c r="J2820" s="442"/>
      <c r="K2820" s="280"/>
      <c r="L2820" s="358"/>
      <c r="M2820" s="579"/>
      <c r="N2820" s="469"/>
      <c r="O2820" s="469"/>
    </row>
    <row r="2821" spans="4:15" ht="17.25">
      <c r="F2821" s="361">
        <v>44784</v>
      </c>
      <c r="G2821" s="361"/>
      <c r="H2821" s="409"/>
      <c r="I2821" s="358"/>
      <c r="J2821" s="442"/>
      <c r="K2821" s="280"/>
      <c r="L2821" s="358"/>
      <c r="M2821" s="579"/>
      <c r="N2821" s="469"/>
      <c r="O2821" s="469"/>
    </row>
    <row r="2822" spans="4:15" ht="17.25">
      <c r="F2822" s="12"/>
      <c r="G2822" s="112" t="s">
        <v>33</v>
      </c>
      <c r="H2822" s="409">
        <v>12</v>
      </c>
      <c r="I2822" s="358">
        <v>213.08</v>
      </c>
      <c r="J2822" s="442">
        <v>1</v>
      </c>
      <c r="K2822" s="280">
        <v>213.08</v>
      </c>
      <c r="L2822" s="358">
        <v>224.04000000000002</v>
      </c>
      <c r="M2822" s="579">
        <v>1</v>
      </c>
      <c r="N2822" s="469">
        <v>224.04000000000002</v>
      </c>
      <c r="O2822" s="469">
        <v>-10.95999999999999</v>
      </c>
    </row>
    <row r="2823" spans="4:15" ht="17.25">
      <c r="F2823" s="12"/>
      <c r="H2823" s="409"/>
      <c r="I2823" s="358"/>
      <c r="J2823" s="442"/>
      <c r="K2823" s="280"/>
      <c r="L2823" s="358"/>
      <c r="M2823" s="579"/>
      <c r="N2823" s="469"/>
      <c r="O2823" s="469"/>
    </row>
    <row r="2824" spans="4:15" ht="17.25">
      <c r="F2824" s="361">
        <v>44817</v>
      </c>
      <c r="G2824" s="361"/>
      <c r="H2824" s="409"/>
      <c r="I2824" s="358"/>
      <c r="J2824" s="442"/>
      <c r="K2824" s="280"/>
      <c r="L2824" s="358"/>
      <c r="M2824" s="579"/>
      <c r="N2824" s="469"/>
      <c r="O2824" s="469"/>
    </row>
    <row r="2825" spans="4:15" ht="17.25">
      <c r="F2825" s="12"/>
      <c r="G2825" s="112" t="s">
        <v>33</v>
      </c>
      <c r="H2825" s="409">
        <v>23</v>
      </c>
      <c r="I2825" s="358">
        <v>408.4354166666667</v>
      </c>
      <c r="J2825" s="442">
        <v>1</v>
      </c>
      <c r="K2825" s="280">
        <v>408.4354166666667</v>
      </c>
      <c r="L2825" s="358">
        <v>484.15</v>
      </c>
      <c r="M2825" s="579">
        <v>1</v>
      </c>
      <c r="N2825" s="469">
        <v>484.15</v>
      </c>
      <c r="O2825" s="469">
        <v>-75.714583333333323</v>
      </c>
    </row>
    <row r="2826" spans="4:15" ht="17.25">
      <c r="F2826" s="12"/>
      <c r="H2826" s="409"/>
      <c r="I2826" s="358"/>
      <c r="J2826" s="442"/>
      <c r="K2826" s="280"/>
      <c r="L2826" s="358"/>
      <c r="M2826" s="579"/>
      <c r="N2826" s="469"/>
      <c r="O2826" s="469"/>
    </row>
    <row r="2827" spans="4:15" ht="17.25">
      <c r="F2827" s="361">
        <v>44831</v>
      </c>
      <c r="G2827" s="361"/>
      <c r="H2827" s="409"/>
      <c r="I2827" s="358"/>
      <c r="J2827" s="442"/>
      <c r="K2827" s="280"/>
      <c r="L2827" s="358"/>
      <c r="M2827" s="579"/>
      <c r="N2827" s="469"/>
      <c r="O2827" s="469"/>
    </row>
    <row r="2828" spans="4:15" ht="17.25">
      <c r="F2828" s="12"/>
      <c r="G2828" s="112" t="s">
        <v>33</v>
      </c>
      <c r="H2828" s="409">
        <v>1</v>
      </c>
      <c r="I2828" s="358">
        <v>17.76125</v>
      </c>
      <c r="J2828" s="442">
        <v>1</v>
      </c>
      <c r="K2828" s="280">
        <v>17.76125</v>
      </c>
      <c r="L2828" s="358">
        <v>17.77</v>
      </c>
      <c r="M2828" s="579">
        <v>1</v>
      </c>
      <c r="N2828" s="469">
        <v>17.77</v>
      </c>
      <c r="O2828" s="469">
        <v>-8.7499999999991473E-3</v>
      </c>
    </row>
    <row r="2829" spans="4:15" ht="17.25">
      <c r="F2829" s="12"/>
      <c r="H2829" s="409"/>
      <c r="I2829" s="358"/>
      <c r="J2829" s="442"/>
      <c r="K2829" s="280"/>
      <c r="L2829" s="358"/>
      <c r="M2829" s="579"/>
      <c r="N2829" s="469"/>
      <c r="O2829" s="469"/>
    </row>
    <row r="2830" spans="4:15" ht="17.25">
      <c r="D2830" s="361">
        <v>44917</v>
      </c>
      <c r="E2830" s="361"/>
      <c r="F2830" s="361"/>
      <c r="G2830" s="361"/>
      <c r="H2830" s="409"/>
      <c r="I2830" s="358"/>
      <c r="J2830" s="442"/>
      <c r="K2830" s="280"/>
      <c r="L2830" s="358"/>
      <c r="M2830" s="579"/>
      <c r="N2830" s="469"/>
      <c r="O2830" s="469"/>
    </row>
    <row r="2831" spans="4:15" ht="17.25">
      <c r="E2831" s="12" t="s">
        <v>33</v>
      </c>
      <c r="F2831" s="12"/>
      <c r="H2831" s="409"/>
      <c r="I2831" s="358"/>
      <c r="J2831" s="442"/>
      <c r="K2831" s="280"/>
      <c r="L2831" s="358"/>
      <c r="M2831" s="579"/>
      <c r="N2831" s="469"/>
      <c r="O2831" s="469"/>
    </row>
    <row r="2832" spans="4:15" ht="17.25">
      <c r="F2832" s="361">
        <v>44847</v>
      </c>
      <c r="G2832" s="361"/>
      <c r="H2832" s="409"/>
      <c r="I2832" s="358"/>
      <c r="J2832" s="442"/>
      <c r="K2832" s="280"/>
      <c r="L2832" s="358"/>
      <c r="M2832" s="579"/>
      <c r="N2832" s="469"/>
      <c r="O2832" s="469"/>
    </row>
    <row r="2833" spans="3:15" ht="17.25">
      <c r="F2833" s="12"/>
      <c r="G2833" s="112" t="s">
        <v>33</v>
      </c>
      <c r="H2833" s="409">
        <v>2</v>
      </c>
      <c r="I2833" s="358">
        <v>34.353157894736846</v>
      </c>
      <c r="J2833" s="442">
        <v>1</v>
      </c>
      <c r="K2833" s="280">
        <v>34.353157894736846</v>
      </c>
      <c r="L2833" s="358">
        <v>35.19</v>
      </c>
      <c r="M2833" s="579">
        <v>1</v>
      </c>
      <c r="N2833" s="469">
        <v>35.19</v>
      </c>
      <c r="O2833" s="469">
        <v>-0.83684210526315184</v>
      </c>
    </row>
    <row r="2834" spans="3:15" ht="17.25">
      <c r="F2834" s="12"/>
      <c r="H2834" s="409"/>
      <c r="I2834" s="358"/>
      <c r="J2834" s="442"/>
      <c r="K2834" s="280"/>
      <c r="L2834" s="358"/>
      <c r="M2834" s="579"/>
      <c r="N2834" s="469"/>
      <c r="O2834" s="469"/>
    </row>
    <row r="2835" spans="3:15" ht="17.25">
      <c r="F2835" s="361">
        <v>44848</v>
      </c>
      <c r="G2835" s="361"/>
      <c r="H2835" s="409"/>
      <c r="I2835" s="358"/>
      <c r="J2835" s="442"/>
      <c r="K2835" s="280"/>
      <c r="L2835" s="358"/>
      <c r="M2835" s="579"/>
      <c r="N2835" s="469"/>
      <c r="O2835" s="469"/>
    </row>
    <row r="2836" spans="3:15" ht="17.25">
      <c r="F2836" s="12"/>
      <c r="G2836" s="112" t="s">
        <v>33</v>
      </c>
      <c r="H2836" s="409">
        <v>14</v>
      </c>
      <c r="I2836" s="358">
        <v>240.47210526315791</v>
      </c>
      <c r="J2836" s="442">
        <v>1</v>
      </c>
      <c r="K2836" s="280">
        <v>240.47210526315791</v>
      </c>
      <c r="L2836" s="358">
        <v>249.89999999999998</v>
      </c>
      <c r="M2836" s="579">
        <v>1</v>
      </c>
      <c r="N2836" s="469">
        <v>249.89999999999998</v>
      </c>
      <c r="O2836" s="469">
        <v>-9.4278947368420631</v>
      </c>
    </row>
    <row r="2837" spans="3:15" ht="17.25">
      <c r="F2837" s="12"/>
      <c r="H2837" s="409"/>
      <c r="I2837" s="358"/>
      <c r="J2837" s="442"/>
      <c r="K2837" s="280"/>
      <c r="L2837" s="358"/>
      <c r="M2837" s="579"/>
      <c r="N2837" s="469"/>
      <c r="O2837" s="469"/>
    </row>
    <row r="2838" spans="3:15" ht="17.25">
      <c r="F2838" s="361">
        <v>44831</v>
      </c>
      <c r="G2838" s="361"/>
      <c r="H2838" s="409"/>
      <c r="I2838" s="358"/>
      <c r="J2838" s="442"/>
      <c r="K2838" s="280"/>
      <c r="L2838" s="358"/>
      <c r="M2838" s="579"/>
      <c r="N2838" s="469"/>
      <c r="O2838" s="469"/>
    </row>
    <row r="2839" spans="3:15" ht="17.25">
      <c r="F2839" s="12"/>
      <c r="G2839" s="112" t="s">
        <v>33</v>
      </c>
      <c r="H2839" s="409">
        <v>22</v>
      </c>
      <c r="I2839" s="358">
        <v>377.88473684210527</v>
      </c>
      <c r="J2839" s="442">
        <v>1</v>
      </c>
      <c r="K2839" s="280">
        <v>377.88473684210527</v>
      </c>
      <c r="L2839" s="358">
        <v>392.89</v>
      </c>
      <c r="M2839" s="579">
        <v>1</v>
      </c>
      <c r="N2839" s="469">
        <v>392.89</v>
      </c>
      <c r="O2839" s="469">
        <v>-15.005263157894714</v>
      </c>
    </row>
    <row r="2840" spans="3:15" ht="17.25">
      <c r="F2840" s="12"/>
      <c r="H2840" s="409"/>
      <c r="I2840" s="358"/>
      <c r="J2840" s="442"/>
      <c r="K2840" s="280"/>
      <c r="L2840" s="358"/>
      <c r="M2840" s="579"/>
      <c r="N2840" s="469"/>
      <c r="O2840" s="469"/>
    </row>
    <row r="2841" spans="3:15" ht="17.25">
      <c r="D2841" s="361">
        <v>44918</v>
      </c>
      <c r="E2841" s="361"/>
      <c r="F2841" s="361"/>
      <c r="G2841" s="361"/>
      <c r="H2841" s="409"/>
      <c r="I2841" s="358"/>
      <c r="J2841" s="442"/>
      <c r="K2841" s="280"/>
      <c r="L2841" s="358"/>
      <c r="M2841" s="579"/>
      <c r="N2841" s="469"/>
      <c r="O2841" s="469"/>
    </row>
    <row r="2842" spans="3:15" ht="17.25">
      <c r="E2842" s="12" t="s">
        <v>33</v>
      </c>
      <c r="F2842" s="12"/>
      <c r="H2842" s="409"/>
      <c r="I2842" s="358"/>
      <c r="J2842" s="442"/>
      <c r="K2842" s="280"/>
      <c r="L2842" s="358"/>
      <c r="M2842" s="579"/>
      <c r="N2842" s="469"/>
      <c r="O2842" s="469"/>
    </row>
    <row r="2843" spans="3:15" ht="17.25">
      <c r="F2843" s="361">
        <v>44848</v>
      </c>
      <c r="G2843" s="361"/>
      <c r="H2843" s="409"/>
      <c r="I2843" s="358"/>
      <c r="J2843" s="442"/>
      <c r="K2843" s="280"/>
      <c r="L2843" s="358"/>
      <c r="M2843" s="579"/>
      <c r="N2843" s="469"/>
      <c r="O2843" s="469"/>
    </row>
    <row r="2844" spans="3:15" ht="17.25">
      <c r="F2844" s="12"/>
      <c r="G2844" s="112" t="s">
        <v>33</v>
      </c>
      <c r="H2844" s="409">
        <v>8</v>
      </c>
      <c r="I2844" s="358">
        <v>139.72999999999999</v>
      </c>
      <c r="J2844" s="442">
        <v>1</v>
      </c>
      <c r="K2844" s="280">
        <v>139.72999999999999</v>
      </c>
      <c r="L2844" s="358">
        <v>142.79999999999998</v>
      </c>
      <c r="M2844" s="579">
        <v>1</v>
      </c>
      <c r="N2844" s="469">
        <v>142.79999999999998</v>
      </c>
      <c r="O2844" s="469">
        <v>-3.0699999999999932</v>
      </c>
    </row>
    <row r="2845" spans="3:15" ht="17.25">
      <c r="F2845" s="12"/>
      <c r="H2845" s="409"/>
      <c r="I2845" s="358"/>
      <c r="J2845" s="442"/>
      <c r="K2845" s="280"/>
      <c r="L2845" s="358"/>
      <c r="M2845" s="579"/>
      <c r="N2845" s="469"/>
      <c r="O2845" s="469"/>
    </row>
    <row r="2846" spans="3:15" ht="17.25">
      <c r="C2846" s="342" t="s">
        <v>438</v>
      </c>
      <c r="D2846" s="342"/>
      <c r="E2846" s="342"/>
      <c r="F2846" s="342"/>
      <c r="G2846" s="342"/>
      <c r="H2846" s="410">
        <v>400</v>
      </c>
      <c r="I2846" s="407">
        <v>7919.9200000000028</v>
      </c>
      <c r="J2846" s="460">
        <v>1</v>
      </c>
      <c r="K2846" s="413">
        <v>7919.9200000000028</v>
      </c>
      <c r="L2846" s="407">
        <v>11627.760000000004</v>
      </c>
      <c r="M2846" s="580">
        <v>1</v>
      </c>
      <c r="N2846" s="470">
        <v>11627.760000000004</v>
      </c>
      <c r="O2846" s="470">
        <v>-3707.8399999999988</v>
      </c>
    </row>
    <row r="2847" spans="3:15" ht="17.25">
      <c r="F2847" s="12"/>
      <c r="H2847" s="409"/>
      <c r="I2847" s="358"/>
      <c r="J2847" s="442"/>
      <c r="K2847" s="280"/>
      <c r="L2847" s="358"/>
      <c r="M2847" s="579"/>
      <c r="N2847" s="469"/>
      <c r="O2847" s="469"/>
    </row>
    <row r="2848" spans="3:15" ht="17.25">
      <c r="C2848" s="12" t="s">
        <v>282</v>
      </c>
      <c r="F2848" s="12"/>
      <c r="H2848" s="409"/>
      <c r="I2848" s="358"/>
      <c r="J2848" s="442"/>
      <c r="K2848" s="280"/>
      <c r="L2848" s="358"/>
      <c r="M2848" s="579"/>
      <c r="N2848" s="469"/>
      <c r="O2848" s="469"/>
    </row>
    <row r="2849" spans="4:15" ht="17.25">
      <c r="D2849" s="361">
        <v>44790</v>
      </c>
      <c r="E2849" s="361"/>
      <c r="F2849" s="361"/>
      <c r="G2849" s="361"/>
      <c r="H2849" s="409"/>
      <c r="I2849" s="358"/>
      <c r="J2849" s="442"/>
      <c r="K2849" s="280"/>
      <c r="L2849" s="358"/>
      <c r="M2849" s="579"/>
      <c r="N2849" s="469"/>
      <c r="O2849" s="469"/>
    </row>
    <row r="2850" spans="4:15" ht="17.25">
      <c r="E2850" s="12" t="s">
        <v>33</v>
      </c>
      <c r="F2850" s="12"/>
      <c r="H2850" s="409"/>
      <c r="I2850" s="358"/>
      <c r="J2850" s="442"/>
      <c r="K2850" s="280"/>
      <c r="L2850" s="358"/>
      <c r="M2850" s="579"/>
      <c r="N2850" s="469"/>
      <c r="O2850" s="469"/>
    </row>
    <row r="2851" spans="4:15" ht="17.25">
      <c r="F2851" s="361">
        <v>44636</v>
      </c>
      <c r="G2851" s="361"/>
      <c r="H2851" s="409"/>
      <c r="I2851" s="358"/>
      <c r="J2851" s="442"/>
      <c r="K2851" s="280"/>
      <c r="L2851" s="358"/>
      <c r="M2851" s="579"/>
      <c r="N2851" s="469"/>
      <c r="O2851" s="469"/>
    </row>
    <row r="2852" spans="4:15" ht="17.25">
      <c r="F2852" s="12"/>
      <c r="G2852" s="112" t="s">
        <v>33</v>
      </c>
      <c r="H2852" s="409">
        <v>24</v>
      </c>
      <c r="I2852" s="358">
        <v>1690.31</v>
      </c>
      <c r="J2852" s="442">
        <v>1</v>
      </c>
      <c r="K2852" s="280">
        <v>1690.31</v>
      </c>
      <c r="L2852" s="358">
        <v>1419.9085714285711</v>
      </c>
      <c r="M2852" s="579">
        <v>1</v>
      </c>
      <c r="N2852" s="469">
        <v>1419.9085714285711</v>
      </c>
      <c r="O2852" s="469">
        <v>270.40142857142882</v>
      </c>
    </row>
    <row r="2853" spans="4:15" ht="17.25">
      <c r="F2853" s="12"/>
      <c r="H2853" s="409"/>
      <c r="I2853" s="358"/>
      <c r="J2853" s="442"/>
      <c r="K2853" s="280"/>
      <c r="L2853" s="358"/>
      <c r="M2853" s="579"/>
      <c r="N2853" s="469"/>
      <c r="O2853" s="469"/>
    </row>
    <row r="2854" spans="4:15" ht="17.25">
      <c r="D2854" s="361">
        <v>44875</v>
      </c>
      <c r="E2854" s="361"/>
      <c r="F2854" s="361"/>
      <c r="G2854" s="361"/>
      <c r="H2854" s="409"/>
      <c r="I2854" s="358"/>
      <c r="J2854" s="442"/>
      <c r="K2854" s="280"/>
      <c r="L2854" s="358"/>
      <c r="M2854" s="579"/>
      <c r="N2854" s="469"/>
      <c r="O2854" s="469"/>
    </row>
    <row r="2855" spans="4:15" ht="17.25">
      <c r="E2855" s="12" t="s">
        <v>33</v>
      </c>
      <c r="F2855" s="12"/>
      <c r="H2855" s="409"/>
      <c r="I2855" s="358"/>
      <c r="J2855" s="442"/>
      <c r="K2855" s="280"/>
      <c r="L2855" s="358"/>
      <c r="M2855" s="579"/>
      <c r="N2855" s="469"/>
      <c r="O2855" s="469"/>
    </row>
    <row r="2856" spans="4:15" ht="17.25">
      <c r="F2856" s="361">
        <v>44636</v>
      </c>
      <c r="G2856" s="361"/>
      <c r="H2856" s="409"/>
      <c r="I2856" s="358"/>
      <c r="J2856" s="442"/>
      <c r="K2856" s="280"/>
      <c r="L2856" s="358"/>
      <c r="M2856" s="579"/>
      <c r="N2856" s="469"/>
      <c r="O2856" s="469"/>
    </row>
    <row r="2857" spans="4:15" ht="17.25">
      <c r="F2857" s="12"/>
      <c r="G2857" s="112" t="s">
        <v>33</v>
      </c>
      <c r="H2857" s="409">
        <v>11</v>
      </c>
      <c r="I2857" s="358">
        <v>526.35578947368424</v>
      </c>
      <c r="J2857" s="442">
        <v>1</v>
      </c>
      <c r="K2857" s="280">
        <v>526.35578947368424</v>
      </c>
      <c r="L2857" s="358">
        <v>650.79142857142847</v>
      </c>
      <c r="M2857" s="579">
        <v>1</v>
      </c>
      <c r="N2857" s="469">
        <v>650.79142857142847</v>
      </c>
      <c r="O2857" s="469">
        <v>-124.43563909774423</v>
      </c>
    </row>
    <row r="2858" spans="4:15" ht="17.25">
      <c r="F2858" s="12"/>
      <c r="H2858" s="409"/>
      <c r="I2858" s="358"/>
      <c r="J2858" s="442"/>
      <c r="K2858" s="280"/>
      <c r="L2858" s="358"/>
      <c r="M2858" s="579"/>
      <c r="N2858" s="469"/>
      <c r="O2858" s="469"/>
    </row>
    <row r="2859" spans="4:15" ht="17.25">
      <c r="F2859" s="361">
        <v>44637</v>
      </c>
      <c r="G2859" s="361"/>
      <c r="H2859" s="409"/>
      <c r="I2859" s="358"/>
      <c r="J2859" s="442"/>
      <c r="K2859" s="280"/>
      <c r="L2859" s="358"/>
      <c r="M2859" s="579"/>
      <c r="N2859" s="469"/>
      <c r="O2859" s="469"/>
    </row>
    <row r="2860" spans="4:15" ht="17.25">
      <c r="F2860" s="12"/>
      <c r="G2860" s="112" t="s">
        <v>33</v>
      </c>
      <c r="H2860" s="409">
        <v>8</v>
      </c>
      <c r="I2860" s="358">
        <v>382.80421052631579</v>
      </c>
      <c r="J2860" s="442">
        <v>1</v>
      </c>
      <c r="K2860" s="280">
        <v>382.80421052631579</v>
      </c>
      <c r="L2860" s="358">
        <v>508.37538461538463</v>
      </c>
      <c r="M2860" s="579">
        <v>1</v>
      </c>
      <c r="N2860" s="469">
        <v>508.37538461538463</v>
      </c>
      <c r="O2860" s="469">
        <v>-125.57117408906885</v>
      </c>
    </row>
    <row r="2861" spans="4:15" ht="17.25">
      <c r="F2861" s="12"/>
      <c r="H2861" s="409"/>
      <c r="I2861" s="358"/>
      <c r="J2861" s="442"/>
      <c r="K2861" s="280"/>
      <c r="L2861" s="358"/>
      <c r="M2861" s="579"/>
      <c r="N2861" s="469"/>
      <c r="O2861" s="469"/>
    </row>
    <row r="2862" spans="4:15" ht="17.25">
      <c r="D2862" s="361">
        <v>44876</v>
      </c>
      <c r="E2862" s="361"/>
      <c r="F2862" s="361"/>
      <c r="G2862" s="361"/>
      <c r="H2862" s="409"/>
      <c r="I2862" s="358"/>
      <c r="J2862" s="442"/>
      <c r="K2862" s="280"/>
      <c r="L2862" s="358"/>
      <c r="M2862" s="579"/>
      <c r="N2862" s="469"/>
      <c r="O2862" s="469"/>
    </row>
    <row r="2863" spans="4:15" ht="17.25">
      <c r="E2863" s="12" t="s">
        <v>33</v>
      </c>
      <c r="F2863" s="12"/>
      <c r="H2863" s="409"/>
      <c r="I2863" s="358"/>
      <c r="J2863" s="442"/>
      <c r="K2863" s="280"/>
      <c r="L2863" s="358"/>
      <c r="M2863" s="579"/>
      <c r="N2863" s="469"/>
      <c r="O2863" s="469"/>
    </row>
    <row r="2864" spans="4:15" ht="17.25">
      <c r="F2864" s="361">
        <v>44637</v>
      </c>
      <c r="G2864" s="361"/>
      <c r="H2864" s="409"/>
      <c r="I2864" s="358"/>
      <c r="J2864" s="442"/>
      <c r="K2864" s="280"/>
      <c r="L2864" s="358"/>
      <c r="M2864" s="579"/>
      <c r="N2864" s="469"/>
      <c r="O2864" s="469"/>
    </row>
    <row r="2865" spans="4:15" ht="17.25">
      <c r="F2865" s="12"/>
      <c r="G2865" s="112" t="s">
        <v>33</v>
      </c>
      <c r="H2865" s="409">
        <v>5</v>
      </c>
      <c r="I2865" s="358">
        <v>243.495</v>
      </c>
      <c r="J2865" s="442">
        <v>1</v>
      </c>
      <c r="K2865" s="280">
        <v>243.495</v>
      </c>
      <c r="L2865" s="358">
        <v>317.73461538461538</v>
      </c>
      <c r="M2865" s="579">
        <v>1</v>
      </c>
      <c r="N2865" s="469">
        <v>317.73461538461538</v>
      </c>
      <c r="O2865" s="469">
        <v>-74.239615384615377</v>
      </c>
    </row>
    <row r="2866" spans="4:15" ht="17.25">
      <c r="F2866" s="12"/>
      <c r="H2866" s="409"/>
      <c r="I2866" s="358"/>
      <c r="J2866" s="442"/>
      <c r="K2866" s="280"/>
      <c r="L2866" s="358"/>
      <c r="M2866" s="579"/>
      <c r="N2866" s="469"/>
      <c r="O2866" s="469"/>
    </row>
    <row r="2867" spans="4:15" ht="17.25">
      <c r="F2867" s="361">
        <v>44641</v>
      </c>
      <c r="G2867" s="361"/>
      <c r="H2867" s="409"/>
      <c r="I2867" s="358"/>
      <c r="J2867" s="442"/>
      <c r="K2867" s="280"/>
      <c r="L2867" s="358"/>
      <c r="M2867" s="579"/>
      <c r="N2867" s="469"/>
      <c r="O2867" s="469"/>
    </row>
    <row r="2868" spans="4:15" ht="17.25">
      <c r="F2868" s="12"/>
      <c r="G2868" s="112" t="s">
        <v>33</v>
      </c>
      <c r="H2868" s="409">
        <v>12</v>
      </c>
      <c r="I2868" s="358">
        <v>584.38799999999992</v>
      </c>
      <c r="J2868" s="442">
        <v>1</v>
      </c>
      <c r="K2868" s="280">
        <v>584.38799999999992</v>
      </c>
      <c r="L2868" s="358">
        <v>804.61999999999989</v>
      </c>
      <c r="M2868" s="579">
        <v>1</v>
      </c>
      <c r="N2868" s="469">
        <v>804.61999999999989</v>
      </c>
      <c r="O2868" s="469">
        <v>-220.23199999999997</v>
      </c>
    </row>
    <row r="2869" spans="4:15" ht="17.25">
      <c r="F2869" s="12"/>
      <c r="H2869" s="409"/>
      <c r="I2869" s="358"/>
      <c r="J2869" s="442"/>
      <c r="K2869" s="280"/>
      <c r="L2869" s="358"/>
      <c r="M2869" s="579"/>
      <c r="N2869" s="469"/>
      <c r="O2869" s="469"/>
    </row>
    <row r="2870" spans="4:15" ht="17.25">
      <c r="F2870" s="361">
        <v>44642</v>
      </c>
      <c r="G2870" s="361"/>
      <c r="H2870" s="409"/>
      <c r="I2870" s="358"/>
      <c r="J2870" s="442"/>
      <c r="K2870" s="280"/>
      <c r="L2870" s="358"/>
      <c r="M2870" s="579"/>
      <c r="N2870" s="469"/>
      <c r="O2870" s="469"/>
    </row>
    <row r="2871" spans="4:15" ht="17.25">
      <c r="F2871" s="12"/>
      <c r="G2871" s="112" t="s">
        <v>33</v>
      </c>
      <c r="H2871" s="409">
        <v>3</v>
      </c>
      <c r="I2871" s="358">
        <v>146.09699999999998</v>
      </c>
      <c r="J2871" s="442">
        <v>1</v>
      </c>
      <c r="K2871" s="280">
        <v>146.09699999999998</v>
      </c>
      <c r="L2871" s="358">
        <v>205.05250000000001</v>
      </c>
      <c r="M2871" s="579">
        <v>1</v>
      </c>
      <c r="N2871" s="469">
        <v>205.05250000000001</v>
      </c>
      <c r="O2871" s="469">
        <v>-58.955500000000029</v>
      </c>
    </row>
    <row r="2872" spans="4:15" ht="17.25">
      <c r="F2872" s="12"/>
      <c r="H2872" s="409"/>
      <c r="I2872" s="358"/>
      <c r="J2872" s="442"/>
      <c r="K2872" s="280"/>
      <c r="L2872" s="358"/>
      <c r="M2872" s="579"/>
      <c r="N2872" s="469"/>
      <c r="O2872" s="469"/>
    </row>
    <row r="2873" spans="4:15" ht="17.25">
      <c r="D2873" s="361">
        <v>44914</v>
      </c>
      <c r="E2873" s="361"/>
      <c r="F2873" s="361"/>
      <c r="G2873" s="361"/>
      <c r="H2873" s="409"/>
      <c r="I2873" s="358"/>
      <c r="J2873" s="442"/>
      <c r="K2873" s="280"/>
      <c r="L2873" s="358"/>
      <c r="M2873" s="579"/>
      <c r="N2873" s="469"/>
      <c r="O2873" s="469"/>
    </row>
    <row r="2874" spans="4:15" ht="17.25">
      <c r="E2874" s="12" t="s">
        <v>33</v>
      </c>
      <c r="F2874" s="12"/>
      <c r="H2874" s="409"/>
      <c r="I2874" s="358"/>
      <c r="J2874" s="442"/>
      <c r="K2874" s="280"/>
      <c r="L2874" s="358"/>
      <c r="M2874" s="579"/>
      <c r="N2874" s="469"/>
      <c r="O2874" s="469"/>
    </row>
    <row r="2875" spans="4:15" ht="17.25">
      <c r="F2875" s="361">
        <v>44649</v>
      </c>
      <c r="G2875" s="361"/>
      <c r="H2875" s="409"/>
      <c r="I2875" s="358"/>
      <c r="J2875" s="442"/>
      <c r="K2875" s="280"/>
      <c r="L2875" s="358"/>
      <c r="M2875" s="579"/>
      <c r="N2875" s="469"/>
      <c r="O2875" s="469"/>
    </row>
    <row r="2876" spans="4:15" ht="17.25">
      <c r="F2876" s="12"/>
      <c r="G2876" s="112" t="s">
        <v>33</v>
      </c>
      <c r="H2876" s="409">
        <v>12</v>
      </c>
      <c r="I2876" s="358">
        <v>540.50307692307695</v>
      </c>
      <c r="J2876" s="442">
        <v>1</v>
      </c>
      <c r="K2876" s="280">
        <v>540.50307692307695</v>
      </c>
      <c r="L2876" s="358">
        <v>860.3</v>
      </c>
      <c r="M2876" s="579">
        <v>1</v>
      </c>
      <c r="N2876" s="469">
        <v>860.3</v>
      </c>
      <c r="O2876" s="469">
        <v>-319.79692307692301</v>
      </c>
    </row>
    <row r="2877" spans="4:15" ht="17.25">
      <c r="F2877" s="12"/>
      <c r="H2877" s="409"/>
      <c r="I2877" s="358"/>
      <c r="J2877" s="442"/>
      <c r="K2877" s="280"/>
      <c r="L2877" s="358"/>
      <c r="M2877" s="579"/>
      <c r="N2877" s="469"/>
      <c r="O2877" s="469"/>
    </row>
    <row r="2878" spans="4:15" ht="17.25">
      <c r="F2878" s="361">
        <v>44658</v>
      </c>
      <c r="G2878" s="361"/>
      <c r="H2878" s="409"/>
      <c r="I2878" s="358"/>
      <c r="J2878" s="442"/>
      <c r="K2878" s="280"/>
      <c r="L2878" s="358"/>
      <c r="M2878" s="579"/>
      <c r="N2878" s="469"/>
      <c r="O2878" s="469"/>
    </row>
    <row r="2879" spans="4:15" ht="17.25">
      <c r="F2879" s="12"/>
      <c r="G2879" s="112" t="s">
        <v>33</v>
      </c>
      <c r="H2879" s="409">
        <v>12</v>
      </c>
      <c r="I2879" s="358">
        <v>535.79961538461532</v>
      </c>
      <c r="J2879" s="442">
        <v>1</v>
      </c>
      <c r="K2879" s="280">
        <v>535.79961538461532</v>
      </c>
      <c r="L2879" s="358">
        <v>805.55</v>
      </c>
      <c r="M2879" s="579">
        <v>1</v>
      </c>
      <c r="N2879" s="469">
        <v>805.55</v>
      </c>
      <c r="O2879" s="469">
        <v>-269.75038461538463</v>
      </c>
    </row>
    <row r="2880" spans="4:15" ht="17.25">
      <c r="F2880" s="12"/>
      <c r="H2880" s="409"/>
      <c r="I2880" s="358"/>
      <c r="J2880" s="442"/>
      <c r="K2880" s="280"/>
      <c r="L2880" s="358"/>
      <c r="M2880" s="579"/>
      <c r="N2880" s="469"/>
      <c r="O2880" s="469"/>
    </row>
    <row r="2881" spans="3:15" ht="17.25">
      <c r="F2881" s="361">
        <v>44642</v>
      </c>
      <c r="G2881" s="361"/>
      <c r="H2881" s="409"/>
      <c r="I2881" s="358"/>
      <c r="J2881" s="442"/>
      <c r="K2881" s="280"/>
      <c r="L2881" s="358"/>
      <c r="M2881" s="579"/>
      <c r="N2881" s="469"/>
      <c r="O2881" s="469"/>
    </row>
    <row r="2882" spans="3:15" ht="17.25">
      <c r="F2882" s="12"/>
      <c r="G2882" s="112" t="s">
        <v>33</v>
      </c>
      <c r="H2882" s="409">
        <v>9</v>
      </c>
      <c r="I2882" s="358">
        <v>405.37730769230768</v>
      </c>
      <c r="J2882" s="442">
        <v>1</v>
      </c>
      <c r="K2882" s="280">
        <v>405.37730769230768</v>
      </c>
      <c r="L2882" s="358">
        <v>615.15750000000003</v>
      </c>
      <c r="M2882" s="579">
        <v>1</v>
      </c>
      <c r="N2882" s="469">
        <v>615.15750000000003</v>
      </c>
      <c r="O2882" s="469">
        <v>-209.78019230769235</v>
      </c>
    </row>
    <row r="2883" spans="3:15" ht="17.25">
      <c r="F2883" s="12"/>
      <c r="H2883" s="409"/>
      <c r="I2883" s="358"/>
      <c r="J2883" s="442"/>
      <c r="K2883" s="280"/>
      <c r="L2883" s="358"/>
      <c r="M2883" s="579"/>
      <c r="N2883" s="469"/>
      <c r="O2883" s="469"/>
    </row>
    <row r="2884" spans="3:15" ht="17.25">
      <c r="F2884" s="361">
        <v>44705</v>
      </c>
      <c r="G2884" s="361"/>
      <c r="H2884" s="409"/>
      <c r="I2884" s="358"/>
      <c r="J2884" s="442"/>
      <c r="K2884" s="280"/>
      <c r="L2884" s="358"/>
      <c r="M2884" s="579"/>
      <c r="N2884" s="469"/>
      <c r="O2884" s="469"/>
    </row>
    <row r="2885" spans="3:15" ht="17.25">
      <c r="F2885" s="12"/>
      <c r="G2885" s="112" t="s">
        <v>33</v>
      </c>
      <c r="H2885" s="409">
        <v>11</v>
      </c>
      <c r="I2885" s="358">
        <v>488.07</v>
      </c>
      <c r="J2885" s="442">
        <v>1</v>
      </c>
      <c r="K2885" s="280">
        <v>488.07</v>
      </c>
      <c r="L2885" s="358">
        <v>468.65</v>
      </c>
      <c r="M2885" s="579">
        <v>1</v>
      </c>
      <c r="N2885" s="469">
        <v>468.65</v>
      </c>
      <c r="O2885" s="469">
        <v>19.420000000000016</v>
      </c>
    </row>
    <row r="2886" spans="3:15" ht="17.25">
      <c r="F2886" s="12"/>
      <c r="H2886" s="409"/>
      <c r="I2886" s="358"/>
      <c r="J2886" s="442"/>
      <c r="K2886" s="280"/>
      <c r="L2886" s="358"/>
      <c r="M2886" s="579"/>
      <c r="N2886" s="469"/>
      <c r="O2886" s="469"/>
    </row>
    <row r="2887" spans="3:15" ht="17.25">
      <c r="C2887" s="342" t="s">
        <v>439</v>
      </c>
      <c r="D2887" s="342"/>
      <c r="E2887" s="342"/>
      <c r="F2887" s="342"/>
      <c r="G2887" s="342"/>
      <c r="H2887" s="410">
        <v>107</v>
      </c>
      <c r="I2887" s="407">
        <v>5543.2</v>
      </c>
      <c r="J2887" s="460">
        <v>1</v>
      </c>
      <c r="K2887" s="413">
        <v>5543.2</v>
      </c>
      <c r="L2887" s="407">
        <v>6656.1399999999985</v>
      </c>
      <c r="M2887" s="580">
        <v>1</v>
      </c>
      <c r="N2887" s="470">
        <v>6656.1399999999985</v>
      </c>
      <c r="O2887" s="470">
        <v>-1112.9399999999996</v>
      </c>
    </row>
    <row r="2888" spans="3:15" ht="17.25">
      <c r="F2888" s="12"/>
      <c r="H2888" s="409"/>
      <c r="I2888" s="358"/>
      <c r="J2888" s="442"/>
      <c r="K2888" s="280"/>
      <c r="L2888" s="358"/>
      <c r="M2888" s="579"/>
      <c r="N2888" s="469"/>
      <c r="O2888" s="469"/>
    </row>
    <row r="2889" spans="3:15" ht="17.25">
      <c r="C2889" s="12" t="s">
        <v>280</v>
      </c>
      <c r="F2889" s="12"/>
      <c r="H2889" s="409"/>
      <c r="I2889" s="358"/>
      <c r="J2889" s="442"/>
      <c r="K2889" s="280"/>
      <c r="L2889" s="358"/>
      <c r="M2889" s="579"/>
      <c r="N2889" s="469"/>
      <c r="O2889" s="469"/>
    </row>
    <row r="2890" spans="3:15" ht="17.25">
      <c r="D2890" s="361">
        <v>44783</v>
      </c>
      <c r="E2890" s="361"/>
      <c r="F2890" s="361"/>
      <c r="G2890" s="361"/>
      <c r="H2890" s="409"/>
      <c r="I2890" s="358"/>
      <c r="J2890" s="442"/>
      <c r="K2890" s="280"/>
      <c r="L2890" s="358"/>
      <c r="M2890" s="579"/>
      <c r="N2890" s="469"/>
      <c r="O2890" s="469"/>
    </row>
    <row r="2891" spans="3:15" ht="17.25">
      <c r="E2891" s="12" t="s">
        <v>33</v>
      </c>
      <c r="F2891" s="12"/>
      <c r="H2891" s="409"/>
      <c r="I2891" s="358"/>
      <c r="J2891" s="442"/>
      <c r="K2891" s="280"/>
      <c r="L2891" s="358"/>
      <c r="M2891" s="579"/>
      <c r="N2891" s="469"/>
      <c r="O2891" s="469"/>
    </row>
    <row r="2892" spans="3:15" ht="17.25">
      <c r="F2892" s="361">
        <v>44503</v>
      </c>
      <c r="G2892" s="361"/>
      <c r="H2892" s="409"/>
      <c r="I2892" s="358"/>
      <c r="J2892" s="442"/>
      <c r="K2892" s="280"/>
      <c r="L2892" s="358"/>
      <c r="M2892" s="579"/>
      <c r="N2892" s="469"/>
      <c r="O2892" s="469"/>
    </row>
    <row r="2893" spans="3:15" ht="17.25">
      <c r="F2893" s="12"/>
      <c r="G2893" s="112" t="s">
        <v>33</v>
      </c>
      <c r="H2893" s="409">
        <v>15</v>
      </c>
      <c r="I2893" s="358">
        <v>1311.27</v>
      </c>
      <c r="J2893" s="442">
        <v>1</v>
      </c>
      <c r="K2893" s="280">
        <v>1311.27</v>
      </c>
      <c r="L2893" s="358">
        <v>4501.8</v>
      </c>
      <c r="M2893" s="579">
        <v>1</v>
      </c>
      <c r="N2893" s="469">
        <v>4501.8</v>
      </c>
      <c r="O2893" s="469">
        <v>-3190.53</v>
      </c>
    </row>
    <row r="2894" spans="3:15" ht="17.25">
      <c r="F2894" s="12"/>
      <c r="H2894" s="409"/>
      <c r="I2894" s="358"/>
      <c r="J2894" s="442"/>
      <c r="K2894" s="280"/>
      <c r="L2894" s="358"/>
      <c r="M2894" s="579"/>
      <c r="N2894" s="469"/>
      <c r="O2894" s="469"/>
    </row>
    <row r="2895" spans="3:15" ht="17.25">
      <c r="D2895" s="361">
        <v>44784</v>
      </c>
      <c r="E2895" s="361"/>
      <c r="F2895" s="361"/>
      <c r="G2895" s="361"/>
      <c r="H2895" s="409"/>
      <c r="I2895" s="358"/>
      <c r="J2895" s="442"/>
      <c r="K2895" s="280"/>
      <c r="L2895" s="358"/>
      <c r="M2895" s="579"/>
      <c r="N2895" s="469"/>
      <c r="O2895" s="469"/>
    </row>
    <row r="2896" spans="3:15" ht="17.25">
      <c r="E2896" s="12" t="s">
        <v>33</v>
      </c>
      <c r="F2896" s="12"/>
      <c r="H2896" s="409"/>
      <c r="I2896" s="358"/>
      <c r="J2896" s="442"/>
      <c r="K2896" s="280"/>
      <c r="L2896" s="358"/>
      <c r="M2896" s="579"/>
      <c r="N2896" s="469"/>
      <c r="O2896" s="469"/>
    </row>
    <row r="2897" spans="3:15" ht="17.25">
      <c r="F2897" s="361">
        <v>44503</v>
      </c>
      <c r="G2897" s="361"/>
      <c r="H2897" s="409"/>
      <c r="I2897" s="358"/>
      <c r="J2897" s="442"/>
      <c r="K2897" s="280"/>
      <c r="L2897" s="358"/>
      <c r="M2897" s="579"/>
      <c r="N2897" s="469"/>
      <c r="O2897" s="469"/>
    </row>
    <row r="2898" spans="3:15" ht="17.25">
      <c r="F2898" s="12"/>
      <c r="G2898" s="112" t="s">
        <v>33</v>
      </c>
      <c r="H2898" s="409">
        <v>10</v>
      </c>
      <c r="I2898" s="358">
        <v>853.35000000000014</v>
      </c>
      <c r="J2898" s="442">
        <v>1</v>
      </c>
      <c r="K2898" s="280">
        <v>853.35000000000014</v>
      </c>
      <c r="L2898" s="358">
        <v>3001.2</v>
      </c>
      <c r="M2898" s="579">
        <v>1</v>
      </c>
      <c r="N2898" s="469">
        <v>3001.2</v>
      </c>
      <c r="O2898" s="469">
        <v>-2147.8499999999995</v>
      </c>
    </row>
    <row r="2899" spans="3:15" ht="17.25">
      <c r="F2899" s="12"/>
      <c r="H2899" s="409"/>
      <c r="I2899" s="358"/>
      <c r="J2899" s="442"/>
      <c r="K2899" s="280"/>
      <c r="L2899" s="358"/>
      <c r="M2899" s="579"/>
      <c r="N2899" s="469"/>
      <c r="O2899" s="469"/>
    </row>
    <row r="2900" spans="3:15" ht="17.25">
      <c r="D2900" s="361">
        <v>44785</v>
      </c>
      <c r="E2900" s="361"/>
      <c r="F2900" s="361"/>
      <c r="G2900" s="361"/>
      <c r="H2900" s="409"/>
      <c r="I2900" s="358"/>
      <c r="J2900" s="442"/>
      <c r="K2900" s="280"/>
      <c r="L2900" s="358"/>
      <c r="M2900" s="579"/>
      <c r="N2900" s="469"/>
      <c r="O2900" s="469"/>
    </row>
    <row r="2901" spans="3:15" ht="17.25">
      <c r="E2901" s="12" t="s">
        <v>33</v>
      </c>
      <c r="F2901" s="12"/>
      <c r="H2901" s="409"/>
      <c r="I2901" s="358"/>
      <c r="J2901" s="442"/>
      <c r="K2901" s="280"/>
      <c r="L2901" s="358"/>
      <c r="M2901" s="579"/>
      <c r="N2901" s="469"/>
      <c r="O2901" s="469"/>
    </row>
    <row r="2902" spans="3:15" ht="17.25">
      <c r="F2902" s="361">
        <v>44503</v>
      </c>
      <c r="G2902" s="361"/>
      <c r="H2902" s="409"/>
      <c r="I2902" s="358"/>
      <c r="J2902" s="442"/>
      <c r="K2902" s="280"/>
      <c r="L2902" s="358"/>
      <c r="M2902" s="579"/>
      <c r="N2902" s="469"/>
      <c r="O2902" s="469"/>
    </row>
    <row r="2903" spans="3:15" ht="17.25">
      <c r="F2903" s="12"/>
      <c r="G2903" s="112" t="s">
        <v>33</v>
      </c>
      <c r="H2903" s="409">
        <v>16</v>
      </c>
      <c r="I2903" s="358">
        <v>1379.3600000000001</v>
      </c>
      <c r="J2903" s="442">
        <v>1</v>
      </c>
      <c r="K2903" s="280">
        <v>1379.3600000000001</v>
      </c>
      <c r="L2903" s="358">
        <v>4801.92</v>
      </c>
      <c r="M2903" s="579">
        <v>1</v>
      </c>
      <c r="N2903" s="469">
        <v>4801.92</v>
      </c>
      <c r="O2903" s="469">
        <v>-3422.56</v>
      </c>
    </row>
    <row r="2904" spans="3:15" ht="17.25">
      <c r="F2904" s="12"/>
      <c r="H2904" s="409"/>
      <c r="I2904" s="358"/>
      <c r="J2904" s="442"/>
      <c r="K2904" s="280"/>
      <c r="L2904" s="358"/>
      <c r="M2904" s="579"/>
      <c r="N2904" s="469"/>
      <c r="O2904" s="469"/>
    </row>
    <row r="2905" spans="3:15" ht="17.25">
      <c r="F2905" s="361">
        <v>44694</v>
      </c>
      <c r="G2905" s="361"/>
      <c r="H2905" s="409"/>
      <c r="I2905" s="358"/>
      <c r="J2905" s="442"/>
      <c r="K2905" s="280"/>
      <c r="L2905" s="358"/>
      <c r="M2905" s="579"/>
      <c r="N2905" s="469"/>
      <c r="O2905" s="469"/>
    </row>
    <row r="2906" spans="3:15" ht="17.25">
      <c r="F2906" s="12"/>
      <c r="G2906" s="112" t="s">
        <v>33</v>
      </c>
      <c r="H2906" s="409">
        <v>4</v>
      </c>
      <c r="I2906" s="358">
        <v>344.84000000000003</v>
      </c>
      <c r="J2906" s="442">
        <v>1</v>
      </c>
      <c r="K2906" s="280">
        <v>344.84000000000003</v>
      </c>
      <c r="L2906" s="358">
        <v>442.59</v>
      </c>
      <c r="M2906" s="579">
        <v>1</v>
      </c>
      <c r="N2906" s="469">
        <v>442.59</v>
      </c>
      <c r="O2906" s="469">
        <v>-97.749999999999943</v>
      </c>
    </row>
    <row r="2907" spans="3:15" ht="17.25">
      <c r="F2907" s="12"/>
      <c r="H2907" s="409"/>
      <c r="I2907" s="358"/>
      <c r="J2907" s="442"/>
      <c r="K2907" s="280"/>
      <c r="L2907" s="358"/>
      <c r="M2907" s="579"/>
      <c r="N2907" s="469"/>
      <c r="O2907" s="469"/>
    </row>
    <row r="2908" spans="3:15" ht="17.25">
      <c r="C2908" s="342" t="s">
        <v>440</v>
      </c>
      <c r="D2908" s="342"/>
      <c r="E2908" s="342"/>
      <c r="F2908" s="342"/>
      <c r="G2908" s="342"/>
      <c r="H2908" s="410">
        <v>45</v>
      </c>
      <c r="I2908" s="407">
        <v>3888.82</v>
      </c>
      <c r="J2908" s="460">
        <v>1</v>
      </c>
      <c r="K2908" s="413">
        <v>3888.82</v>
      </c>
      <c r="L2908" s="407">
        <v>12747.51</v>
      </c>
      <c r="M2908" s="580">
        <v>1</v>
      </c>
      <c r="N2908" s="470">
        <v>12747.51</v>
      </c>
      <c r="O2908" s="470">
        <v>-8858.6899999999987</v>
      </c>
    </row>
    <row r="2909" spans="3:15" ht="17.25">
      <c r="F2909" s="12"/>
      <c r="H2909" s="409"/>
      <c r="I2909" s="358"/>
      <c r="J2909" s="442"/>
      <c r="K2909" s="280"/>
      <c r="L2909" s="358"/>
      <c r="M2909" s="579"/>
      <c r="N2909" s="469"/>
      <c r="O2909" s="469"/>
    </row>
    <row r="2910" spans="3:15" ht="17.25">
      <c r="C2910" s="12" t="s">
        <v>273</v>
      </c>
      <c r="F2910" s="12"/>
      <c r="H2910" s="409"/>
      <c r="I2910" s="358"/>
      <c r="J2910" s="442"/>
      <c r="K2910" s="280"/>
      <c r="L2910" s="358"/>
      <c r="M2910" s="579"/>
      <c r="N2910" s="469"/>
      <c r="O2910" s="469"/>
    </row>
    <row r="2911" spans="3:15" ht="17.25">
      <c r="D2911" s="361">
        <v>44581</v>
      </c>
      <c r="E2911" s="361"/>
      <c r="F2911" s="361"/>
      <c r="G2911" s="361"/>
      <c r="H2911" s="409"/>
      <c r="I2911" s="358"/>
      <c r="J2911" s="442"/>
      <c r="K2911" s="280"/>
      <c r="L2911" s="358"/>
      <c r="M2911" s="579"/>
      <c r="N2911" s="469"/>
      <c r="O2911" s="469"/>
    </row>
    <row r="2912" spans="3:15" ht="17.25">
      <c r="E2912" s="12" t="s">
        <v>33</v>
      </c>
      <c r="F2912" s="12"/>
      <c r="H2912" s="409"/>
      <c r="I2912" s="358"/>
      <c r="J2912" s="442"/>
      <c r="K2912" s="280"/>
      <c r="L2912" s="358"/>
      <c r="M2912" s="579"/>
      <c r="N2912" s="469"/>
      <c r="O2912" s="469"/>
    </row>
    <row r="2913" spans="3:15" ht="17.25">
      <c r="F2913" s="361">
        <v>44503</v>
      </c>
      <c r="G2913" s="361"/>
      <c r="H2913" s="409"/>
      <c r="I2913" s="358"/>
      <c r="J2913" s="442"/>
      <c r="K2913" s="280"/>
      <c r="L2913" s="358"/>
      <c r="M2913" s="579"/>
      <c r="N2913" s="469"/>
      <c r="O2913" s="469"/>
    </row>
    <row r="2914" spans="3:15" ht="17.25">
      <c r="F2914" s="12"/>
      <c r="G2914" s="112" t="s">
        <v>33</v>
      </c>
      <c r="H2914" s="409">
        <v>21</v>
      </c>
      <c r="I2914" s="358">
        <v>4532.26</v>
      </c>
      <c r="J2914" s="442">
        <v>1</v>
      </c>
      <c r="K2914" s="280">
        <v>4532.26</v>
      </c>
      <c r="L2914" s="358">
        <v>4348.47</v>
      </c>
      <c r="M2914" s="579">
        <v>1</v>
      </c>
      <c r="N2914" s="469">
        <v>4348.47</v>
      </c>
      <c r="O2914" s="469">
        <v>183.78999999999996</v>
      </c>
    </row>
    <row r="2915" spans="3:15" ht="17.25">
      <c r="F2915" s="12"/>
      <c r="H2915" s="409"/>
      <c r="I2915" s="358"/>
      <c r="J2915" s="442"/>
      <c r="K2915" s="280"/>
      <c r="L2915" s="358"/>
      <c r="M2915" s="579"/>
      <c r="N2915" s="469"/>
      <c r="O2915" s="469"/>
    </row>
    <row r="2916" spans="3:15" ht="17.25">
      <c r="D2916" s="361">
        <v>44722</v>
      </c>
      <c r="E2916" s="361"/>
      <c r="F2916" s="361"/>
      <c r="G2916" s="361"/>
      <c r="H2916" s="409"/>
      <c r="I2916" s="358"/>
      <c r="J2916" s="442"/>
      <c r="K2916" s="280"/>
      <c r="L2916" s="358"/>
      <c r="M2916" s="579"/>
      <c r="N2916" s="469"/>
      <c r="O2916" s="469"/>
    </row>
    <row r="2917" spans="3:15" ht="17.25">
      <c r="E2917" s="12" t="s">
        <v>33</v>
      </c>
      <c r="F2917" s="12"/>
      <c r="H2917" s="409"/>
      <c r="I2917" s="358"/>
      <c r="J2917" s="442"/>
      <c r="K2917" s="280"/>
      <c r="L2917" s="358"/>
      <c r="M2917" s="579"/>
      <c r="N2917" s="469"/>
      <c r="O2917" s="469"/>
    </row>
    <row r="2918" spans="3:15" ht="17.25">
      <c r="F2918" s="361">
        <v>44503</v>
      </c>
      <c r="G2918" s="361"/>
      <c r="H2918" s="409"/>
      <c r="I2918" s="358"/>
      <c r="J2918" s="442"/>
      <c r="K2918" s="280"/>
      <c r="L2918" s="358"/>
      <c r="M2918" s="579"/>
      <c r="N2918" s="469"/>
      <c r="O2918" s="469"/>
    </row>
    <row r="2919" spans="3:15" ht="17.25">
      <c r="F2919" s="12"/>
      <c r="G2919" s="112" t="s">
        <v>33</v>
      </c>
      <c r="H2919" s="409">
        <v>11</v>
      </c>
      <c r="I2919" s="358">
        <v>2202.73</v>
      </c>
      <c r="J2919" s="442">
        <v>1</v>
      </c>
      <c r="K2919" s="280">
        <v>2202.73</v>
      </c>
      <c r="L2919" s="358">
        <v>2277.77</v>
      </c>
      <c r="M2919" s="579">
        <v>1</v>
      </c>
      <c r="N2919" s="469">
        <v>2277.77</v>
      </c>
      <c r="O2919" s="469">
        <v>-75.039999999999964</v>
      </c>
    </row>
    <row r="2920" spans="3:15" ht="17.25">
      <c r="F2920" s="12"/>
      <c r="H2920" s="409"/>
      <c r="I2920" s="358"/>
      <c r="J2920" s="442"/>
      <c r="K2920" s="280"/>
      <c r="L2920" s="358"/>
      <c r="M2920" s="579"/>
      <c r="N2920" s="469"/>
      <c r="O2920" s="469"/>
    </row>
    <row r="2921" spans="3:15" ht="17.25">
      <c r="D2921" s="361">
        <v>44736</v>
      </c>
      <c r="E2921" s="361"/>
      <c r="F2921" s="361"/>
      <c r="G2921" s="361"/>
      <c r="H2921" s="409"/>
      <c r="I2921" s="358"/>
      <c r="J2921" s="442"/>
      <c r="K2921" s="280"/>
      <c r="L2921" s="358"/>
      <c r="M2921" s="579"/>
      <c r="N2921" s="469"/>
      <c r="O2921" s="469"/>
    </row>
    <row r="2922" spans="3:15" ht="17.25">
      <c r="E2922" s="12" t="s">
        <v>33</v>
      </c>
      <c r="F2922" s="12"/>
      <c r="H2922" s="409"/>
      <c r="I2922" s="358"/>
      <c r="J2922" s="442"/>
      <c r="K2922" s="280"/>
      <c r="L2922" s="358"/>
      <c r="M2922" s="579"/>
      <c r="N2922" s="469"/>
      <c r="O2922" s="469"/>
    </row>
    <row r="2923" spans="3:15" ht="17.25">
      <c r="F2923" s="361">
        <v>44503</v>
      </c>
      <c r="G2923" s="361"/>
      <c r="H2923" s="409"/>
      <c r="I2923" s="358"/>
      <c r="J2923" s="442"/>
      <c r="K2923" s="280"/>
      <c r="L2923" s="358"/>
      <c r="M2923" s="579"/>
      <c r="N2923" s="469"/>
      <c r="O2923" s="469"/>
    </row>
    <row r="2924" spans="3:15" ht="17.25">
      <c r="F2924" s="12"/>
      <c r="G2924" s="112" t="s">
        <v>33</v>
      </c>
      <c r="H2924" s="409">
        <v>8</v>
      </c>
      <c r="I2924" s="358">
        <v>1618.37</v>
      </c>
      <c r="J2924" s="442">
        <v>1</v>
      </c>
      <c r="K2924" s="280">
        <v>1618.37</v>
      </c>
      <c r="L2924" s="358">
        <v>1656.56</v>
      </c>
      <c r="M2924" s="579">
        <v>1</v>
      </c>
      <c r="N2924" s="469">
        <v>1656.56</v>
      </c>
      <c r="O2924" s="469">
        <v>-38.190000000000055</v>
      </c>
    </row>
    <row r="2925" spans="3:15" ht="17.25">
      <c r="F2925" s="12"/>
      <c r="H2925" s="409"/>
      <c r="I2925" s="358"/>
      <c r="J2925" s="442"/>
      <c r="K2925" s="280"/>
      <c r="L2925" s="358"/>
      <c r="M2925" s="579"/>
      <c r="N2925" s="469"/>
      <c r="O2925" s="469"/>
    </row>
    <row r="2926" spans="3:15" ht="17.25">
      <c r="C2926" s="342" t="s">
        <v>441</v>
      </c>
      <c r="D2926" s="342"/>
      <c r="E2926" s="342"/>
      <c r="F2926" s="342"/>
      <c r="G2926" s="342"/>
      <c r="H2926" s="410">
        <v>40</v>
      </c>
      <c r="I2926" s="407">
        <v>8353.36</v>
      </c>
      <c r="J2926" s="460">
        <v>1</v>
      </c>
      <c r="K2926" s="413">
        <v>8353.36</v>
      </c>
      <c r="L2926" s="407">
        <v>8282.7999999999993</v>
      </c>
      <c r="M2926" s="580">
        <v>1</v>
      </c>
      <c r="N2926" s="470">
        <v>8282.7999999999993</v>
      </c>
      <c r="O2926" s="470">
        <v>70.559999999999945</v>
      </c>
    </row>
    <row r="2927" spans="3:15" ht="17.25">
      <c r="F2927" s="12"/>
      <c r="H2927" s="409"/>
      <c r="I2927" s="358"/>
      <c r="J2927" s="442"/>
      <c r="K2927" s="280"/>
      <c r="L2927" s="358"/>
      <c r="M2927" s="579"/>
      <c r="N2927" s="469"/>
      <c r="O2927" s="469"/>
    </row>
    <row r="2928" spans="3:15" ht="17.25">
      <c r="C2928" s="12" t="s">
        <v>442</v>
      </c>
      <c r="F2928" s="12"/>
      <c r="H2928" s="409"/>
      <c r="I2928" s="358"/>
      <c r="J2928" s="442"/>
      <c r="K2928" s="280"/>
      <c r="L2928" s="358"/>
      <c r="M2928" s="579"/>
      <c r="N2928" s="469"/>
      <c r="O2928" s="469"/>
    </row>
    <row r="2929" spans="3:15" ht="17.25">
      <c r="D2929" s="361">
        <v>44861</v>
      </c>
      <c r="E2929" s="361"/>
      <c r="F2929" s="361"/>
      <c r="G2929" s="361"/>
      <c r="H2929" s="409"/>
      <c r="I2929" s="358"/>
      <c r="J2929" s="442"/>
      <c r="K2929" s="280"/>
      <c r="L2929" s="358"/>
      <c r="M2929" s="579"/>
      <c r="N2929" s="469"/>
      <c r="O2929" s="469"/>
    </row>
    <row r="2930" spans="3:15" ht="17.25">
      <c r="E2930" s="12" t="s">
        <v>33</v>
      </c>
      <c r="F2930" s="12"/>
      <c r="H2930" s="409"/>
      <c r="I2930" s="358"/>
      <c r="J2930" s="442"/>
      <c r="K2930" s="280"/>
      <c r="L2930" s="358"/>
      <c r="M2930" s="579"/>
      <c r="N2930" s="469"/>
      <c r="O2930" s="469"/>
    </row>
    <row r="2931" spans="3:15" ht="17.25">
      <c r="F2931" s="361">
        <v>44582</v>
      </c>
      <c r="G2931" s="361"/>
      <c r="H2931" s="409"/>
      <c r="I2931" s="358"/>
      <c r="J2931" s="442"/>
      <c r="K2931" s="280"/>
      <c r="L2931" s="358"/>
      <c r="M2931" s="579"/>
      <c r="N2931" s="469"/>
      <c r="O2931" s="469"/>
    </row>
    <row r="2932" spans="3:15" ht="17.25">
      <c r="F2932" s="12"/>
      <c r="G2932" s="112" t="s">
        <v>33</v>
      </c>
      <c r="H2932" s="409">
        <v>3</v>
      </c>
      <c r="I2932" s="358">
        <v>264.58071428571429</v>
      </c>
      <c r="J2932" s="442">
        <v>1</v>
      </c>
      <c r="K2932" s="280">
        <v>264.58071428571429</v>
      </c>
      <c r="L2932" s="358">
        <v>273.64999999999998</v>
      </c>
      <c r="M2932" s="579">
        <v>1</v>
      </c>
      <c r="N2932" s="469">
        <v>273.64999999999998</v>
      </c>
      <c r="O2932" s="469">
        <v>-9.0692857142857122</v>
      </c>
    </row>
    <row r="2933" spans="3:15" ht="17.25">
      <c r="F2933" s="12"/>
      <c r="H2933" s="409"/>
      <c r="I2933" s="358"/>
      <c r="J2933" s="442"/>
      <c r="K2933" s="280"/>
      <c r="L2933" s="358"/>
      <c r="M2933" s="579"/>
      <c r="N2933" s="469"/>
      <c r="O2933" s="469"/>
    </row>
    <row r="2934" spans="3:15" ht="17.25">
      <c r="F2934" s="361">
        <v>44581</v>
      </c>
      <c r="G2934" s="361"/>
      <c r="H2934" s="409"/>
      <c r="I2934" s="358"/>
      <c r="J2934" s="442"/>
      <c r="K2934" s="280"/>
      <c r="L2934" s="358"/>
      <c r="M2934" s="579"/>
      <c r="N2934" s="469"/>
      <c r="O2934" s="469"/>
    </row>
    <row r="2935" spans="3:15" ht="17.25">
      <c r="F2935" s="12"/>
      <c r="G2935" s="112" t="s">
        <v>33</v>
      </c>
      <c r="H2935" s="409">
        <v>11</v>
      </c>
      <c r="I2935" s="358">
        <v>970.12928571428574</v>
      </c>
      <c r="J2935" s="442">
        <v>1</v>
      </c>
      <c r="K2935" s="280">
        <v>970.12928571428574</v>
      </c>
      <c r="L2935" s="358">
        <v>1037.68</v>
      </c>
      <c r="M2935" s="579">
        <v>1</v>
      </c>
      <c r="N2935" s="469">
        <v>1037.68</v>
      </c>
      <c r="O2935" s="469">
        <v>-67.550714285714264</v>
      </c>
    </row>
    <row r="2936" spans="3:15" ht="17.25">
      <c r="F2936" s="12"/>
      <c r="H2936" s="409"/>
      <c r="I2936" s="358"/>
      <c r="J2936" s="442"/>
      <c r="K2936" s="280"/>
      <c r="L2936" s="358"/>
      <c r="M2936" s="579"/>
      <c r="N2936" s="469"/>
      <c r="O2936" s="469"/>
    </row>
    <row r="2937" spans="3:15" ht="17.25">
      <c r="C2937" s="342" t="s">
        <v>443</v>
      </c>
      <c r="D2937" s="342"/>
      <c r="E2937" s="342"/>
      <c r="F2937" s="342"/>
      <c r="G2937" s="342"/>
      <c r="H2937" s="410">
        <v>14</v>
      </c>
      <c r="I2937" s="407">
        <v>1234.71</v>
      </c>
      <c r="J2937" s="460">
        <v>1</v>
      </c>
      <c r="K2937" s="413">
        <v>1234.71</v>
      </c>
      <c r="L2937" s="407">
        <v>1311.33</v>
      </c>
      <c r="M2937" s="580">
        <v>1</v>
      </c>
      <c r="N2937" s="470">
        <v>1311.33</v>
      </c>
      <c r="O2937" s="470">
        <v>-76.619999999999976</v>
      </c>
    </row>
    <row r="2938" spans="3:15" ht="17.25">
      <c r="F2938" s="12"/>
      <c r="H2938" s="409"/>
      <c r="I2938" s="358"/>
      <c r="J2938" s="442"/>
      <c r="K2938" s="280"/>
      <c r="L2938" s="358"/>
      <c r="M2938" s="579"/>
      <c r="N2938" s="469"/>
      <c r="O2938" s="469"/>
    </row>
    <row r="2939" spans="3:15" ht="17.25">
      <c r="C2939" s="12" t="s">
        <v>444</v>
      </c>
      <c r="F2939" s="12"/>
      <c r="H2939" s="409"/>
      <c r="I2939" s="358"/>
      <c r="J2939" s="442"/>
      <c r="K2939" s="280"/>
      <c r="L2939" s="358"/>
      <c r="M2939" s="579"/>
      <c r="N2939" s="469"/>
      <c r="O2939" s="469"/>
    </row>
    <row r="2940" spans="3:15" ht="17.25">
      <c r="D2940" s="361">
        <v>44909</v>
      </c>
      <c r="E2940" s="361"/>
      <c r="F2940" s="361"/>
      <c r="G2940" s="361"/>
      <c r="H2940" s="409"/>
      <c r="I2940" s="358"/>
      <c r="J2940" s="442"/>
      <c r="K2940" s="280"/>
      <c r="L2940" s="358"/>
      <c r="M2940" s="579"/>
      <c r="N2940" s="469"/>
      <c r="O2940" s="469"/>
    </row>
    <row r="2941" spans="3:15" ht="17.25">
      <c r="E2941" s="12" t="s">
        <v>33</v>
      </c>
      <c r="F2941" s="12"/>
      <c r="H2941" s="409"/>
      <c r="I2941" s="358"/>
      <c r="J2941" s="442"/>
      <c r="K2941" s="280"/>
      <c r="L2941" s="358"/>
      <c r="M2941" s="579"/>
      <c r="N2941" s="469"/>
      <c r="O2941" s="469"/>
    </row>
    <row r="2942" spans="3:15" ht="17.25">
      <c r="F2942" s="361">
        <v>44503</v>
      </c>
      <c r="G2942" s="361"/>
      <c r="H2942" s="409"/>
      <c r="I2942" s="358"/>
      <c r="J2942" s="442"/>
      <c r="K2942" s="280"/>
      <c r="L2942" s="358"/>
      <c r="M2942" s="579"/>
      <c r="N2942" s="469"/>
      <c r="O2942" s="469"/>
    </row>
    <row r="2943" spans="3:15" ht="17.25">
      <c r="F2943" s="12"/>
      <c r="G2943" s="112" t="s">
        <v>33</v>
      </c>
      <c r="H2943" s="409">
        <v>5</v>
      </c>
      <c r="I2943" s="358">
        <v>899.67</v>
      </c>
      <c r="J2943" s="442">
        <v>1</v>
      </c>
      <c r="K2943" s="280">
        <v>899.67</v>
      </c>
      <c r="L2943" s="358">
        <v>1444.4499999999998</v>
      </c>
      <c r="M2943" s="579">
        <v>1</v>
      </c>
      <c r="N2943" s="469">
        <v>1444.4499999999998</v>
      </c>
      <c r="O2943" s="469">
        <v>-544.77999999999986</v>
      </c>
    </row>
    <row r="2944" spans="3:15" ht="17.25">
      <c r="F2944" s="12"/>
      <c r="H2944" s="409"/>
      <c r="I2944" s="358"/>
      <c r="J2944" s="442"/>
      <c r="K2944" s="280"/>
      <c r="L2944" s="358"/>
      <c r="M2944" s="579"/>
      <c r="N2944" s="469"/>
      <c r="O2944" s="469"/>
    </row>
    <row r="2945" spans="3:15" ht="17.25">
      <c r="D2945" s="361">
        <v>44915</v>
      </c>
      <c r="E2945" s="361"/>
      <c r="F2945" s="361"/>
      <c r="G2945" s="361"/>
      <c r="H2945" s="409"/>
      <c r="I2945" s="358"/>
      <c r="J2945" s="442"/>
      <c r="K2945" s="280"/>
      <c r="L2945" s="358"/>
      <c r="M2945" s="579"/>
      <c r="N2945" s="469"/>
      <c r="O2945" s="469"/>
    </row>
    <row r="2946" spans="3:15" ht="17.25">
      <c r="E2946" s="12" t="s">
        <v>33</v>
      </c>
      <c r="F2946" s="12"/>
      <c r="H2946" s="409"/>
      <c r="I2946" s="358"/>
      <c r="J2946" s="442"/>
      <c r="K2946" s="280"/>
      <c r="L2946" s="358"/>
      <c r="M2946" s="579"/>
      <c r="N2946" s="469"/>
      <c r="O2946" s="469"/>
    </row>
    <row r="2947" spans="3:15" ht="17.25">
      <c r="F2947" s="361">
        <v>44503</v>
      </c>
      <c r="G2947" s="361"/>
      <c r="H2947" s="409"/>
      <c r="I2947" s="358"/>
      <c r="J2947" s="442"/>
      <c r="K2947" s="280"/>
      <c r="L2947" s="358"/>
      <c r="M2947" s="579"/>
      <c r="N2947" s="469"/>
      <c r="O2947" s="469"/>
    </row>
    <row r="2948" spans="3:15" ht="17.25">
      <c r="F2948" s="12"/>
      <c r="G2948" s="112" t="s">
        <v>33</v>
      </c>
      <c r="H2948" s="409">
        <v>8</v>
      </c>
      <c r="I2948" s="358">
        <v>1373.4</v>
      </c>
      <c r="J2948" s="442">
        <v>1</v>
      </c>
      <c r="K2948" s="280">
        <v>1373.4</v>
      </c>
      <c r="L2948" s="358">
        <v>2311.12</v>
      </c>
      <c r="M2948" s="579">
        <v>1</v>
      </c>
      <c r="N2948" s="469">
        <v>2311.12</v>
      </c>
      <c r="O2948" s="469">
        <v>-937.71999999999991</v>
      </c>
    </row>
    <row r="2949" spans="3:15" ht="17.25">
      <c r="F2949" s="12"/>
      <c r="H2949" s="409"/>
      <c r="I2949" s="358"/>
      <c r="J2949" s="442"/>
      <c r="K2949" s="280"/>
      <c r="L2949" s="358"/>
      <c r="M2949" s="579"/>
      <c r="N2949" s="469"/>
      <c r="O2949" s="469"/>
    </row>
    <row r="2950" spans="3:15" ht="17.25">
      <c r="C2950" s="342" t="s">
        <v>445</v>
      </c>
      <c r="D2950" s="342"/>
      <c r="E2950" s="342"/>
      <c r="F2950" s="342"/>
      <c r="G2950" s="342"/>
      <c r="H2950" s="410">
        <v>13</v>
      </c>
      <c r="I2950" s="407">
        <v>2273.0699999999997</v>
      </c>
      <c r="J2950" s="460">
        <v>1</v>
      </c>
      <c r="K2950" s="413">
        <v>2273.0699999999997</v>
      </c>
      <c r="L2950" s="407">
        <v>3755.5699999999997</v>
      </c>
      <c r="M2950" s="580">
        <v>1</v>
      </c>
      <c r="N2950" s="470">
        <v>3755.5699999999997</v>
      </c>
      <c r="O2950" s="470">
        <v>-1482.4999999999998</v>
      </c>
    </row>
    <row r="2951" spans="3:15" ht="17.25">
      <c r="F2951" s="12"/>
      <c r="H2951" s="409"/>
      <c r="I2951" s="358"/>
      <c r="J2951" s="442"/>
      <c r="K2951" s="280"/>
      <c r="L2951" s="358"/>
      <c r="M2951" s="579"/>
      <c r="N2951" s="469"/>
      <c r="O2951" s="469"/>
    </row>
    <row r="2952" spans="3:15" ht="17.25">
      <c r="C2952" s="12" t="s">
        <v>446</v>
      </c>
      <c r="F2952" s="12"/>
      <c r="H2952" s="409"/>
      <c r="I2952" s="358"/>
      <c r="J2952" s="442"/>
      <c r="K2952" s="280"/>
      <c r="L2952" s="358"/>
      <c r="M2952" s="579"/>
      <c r="N2952" s="469"/>
      <c r="O2952" s="469"/>
    </row>
    <row r="2953" spans="3:15" ht="17.25">
      <c r="D2953" s="361">
        <v>44868</v>
      </c>
      <c r="E2953" s="361"/>
      <c r="F2953" s="361"/>
      <c r="G2953" s="361"/>
      <c r="H2953" s="409"/>
      <c r="I2953" s="358"/>
      <c r="J2953" s="442"/>
      <c r="K2953" s="280"/>
      <c r="L2953" s="358"/>
      <c r="M2953" s="579"/>
      <c r="N2953" s="469"/>
      <c r="O2953" s="469"/>
    </row>
    <row r="2954" spans="3:15" ht="17.25">
      <c r="E2954" s="12" t="s">
        <v>33</v>
      </c>
      <c r="F2954" s="12"/>
      <c r="H2954" s="409"/>
      <c r="I2954" s="358"/>
      <c r="J2954" s="442"/>
      <c r="K2954" s="280"/>
      <c r="L2954" s="358"/>
      <c r="M2954" s="579"/>
      <c r="N2954" s="469"/>
      <c r="O2954" s="469"/>
    </row>
    <row r="2955" spans="3:15" ht="17.25">
      <c r="F2955" s="361">
        <v>44707</v>
      </c>
      <c r="G2955" s="361"/>
      <c r="H2955" s="409"/>
      <c r="I2955" s="358"/>
      <c r="J2955" s="442"/>
      <c r="K2955" s="280"/>
      <c r="L2955" s="358"/>
      <c r="M2955" s="579"/>
      <c r="N2955" s="469"/>
      <c r="O2955" s="469"/>
    </row>
    <row r="2956" spans="3:15" ht="17.25">
      <c r="F2956" s="12"/>
      <c r="G2956" s="112" t="s">
        <v>33</v>
      </c>
      <c r="H2956" s="409">
        <v>15</v>
      </c>
      <c r="I2956" s="358">
        <v>1181.92</v>
      </c>
      <c r="J2956" s="442">
        <v>1</v>
      </c>
      <c r="K2956" s="280">
        <v>1181.92</v>
      </c>
      <c r="L2956" s="358">
        <v>1604.27</v>
      </c>
      <c r="M2956" s="579">
        <v>1</v>
      </c>
      <c r="N2956" s="469">
        <v>1604.27</v>
      </c>
      <c r="O2956" s="469">
        <v>-422.34999999999991</v>
      </c>
    </row>
    <row r="2957" spans="3:15" ht="17.25">
      <c r="F2957" s="12"/>
      <c r="H2957" s="409"/>
      <c r="I2957" s="358"/>
      <c r="J2957" s="442"/>
      <c r="K2957" s="280"/>
      <c r="L2957" s="358"/>
      <c r="M2957" s="579"/>
      <c r="N2957" s="469"/>
      <c r="O2957" s="469"/>
    </row>
    <row r="2958" spans="3:15" ht="17.25">
      <c r="F2958" s="361">
        <v>44708</v>
      </c>
      <c r="G2958" s="361"/>
      <c r="H2958" s="409"/>
      <c r="I2958" s="358"/>
      <c r="J2958" s="442"/>
      <c r="K2958" s="280"/>
      <c r="L2958" s="358"/>
      <c r="M2958" s="579"/>
      <c r="N2958" s="469"/>
      <c r="O2958" s="469"/>
    </row>
    <row r="2959" spans="3:15" ht="17.25">
      <c r="F2959" s="12"/>
      <c r="G2959" s="112" t="s">
        <v>33</v>
      </c>
      <c r="H2959" s="409">
        <v>12</v>
      </c>
      <c r="I2959" s="358">
        <v>945.33</v>
      </c>
      <c r="J2959" s="442">
        <v>1</v>
      </c>
      <c r="K2959" s="280">
        <v>945.33</v>
      </c>
      <c r="L2959" s="358">
        <v>1321.49</v>
      </c>
      <c r="M2959" s="579">
        <v>1</v>
      </c>
      <c r="N2959" s="469">
        <v>1321.49</v>
      </c>
      <c r="O2959" s="469">
        <v>-376.15999999999997</v>
      </c>
    </row>
    <row r="2960" spans="3:15" ht="17.25">
      <c r="F2960" s="12"/>
      <c r="H2960" s="409"/>
      <c r="I2960" s="358"/>
      <c r="J2960" s="442"/>
      <c r="K2960" s="280"/>
      <c r="L2960" s="358"/>
      <c r="M2960" s="579"/>
      <c r="N2960" s="469"/>
      <c r="O2960" s="469"/>
    </row>
    <row r="2961" spans="3:15" ht="17.25">
      <c r="F2961" s="361">
        <v>44722</v>
      </c>
      <c r="G2961" s="361"/>
      <c r="H2961" s="409"/>
      <c r="I2961" s="358"/>
      <c r="J2961" s="442"/>
      <c r="K2961" s="280"/>
      <c r="L2961" s="358"/>
      <c r="M2961" s="579"/>
      <c r="N2961" s="469"/>
      <c r="O2961" s="469"/>
    </row>
    <row r="2962" spans="3:15" ht="17.25">
      <c r="F2962" s="12"/>
      <c r="G2962" s="112" t="s">
        <v>33</v>
      </c>
      <c r="H2962" s="409">
        <v>4</v>
      </c>
      <c r="I2962" s="358">
        <v>315.11</v>
      </c>
      <c r="J2962" s="442">
        <v>1</v>
      </c>
      <c r="K2962" s="280">
        <v>315.11</v>
      </c>
      <c r="L2962" s="358">
        <v>436.38285714285712</v>
      </c>
      <c r="M2962" s="579">
        <v>1</v>
      </c>
      <c r="N2962" s="469">
        <v>436.38285714285712</v>
      </c>
      <c r="O2962" s="469">
        <v>-121.27285714285711</v>
      </c>
    </row>
    <row r="2963" spans="3:15" ht="17.25">
      <c r="F2963" s="12"/>
      <c r="H2963" s="409"/>
      <c r="I2963" s="358"/>
      <c r="J2963" s="442"/>
      <c r="K2963" s="280"/>
      <c r="L2963" s="358"/>
      <c r="M2963" s="579"/>
      <c r="N2963" s="469"/>
      <c r="O2963" s="469"/>
    </row>
    <row r="2964" spans="3:15" ht="17.25">
      <c r="D2964" s="361">
        <v>44869</v>
      </c>
      <c r="E2964" s="361"/>
      <c r="F2964" s="361"/>
      <c r="G2964" s="361"/>
      <c r="H2964" s="409"/>
      <c r="I2964" s="358"/>
      <c r="J2964" s="442"/>
      <c r="K2964" s="280"/>
      <c r="L2964" s="358"/>
      <c r="M2964" s="579"/>
      <c r="N2964" s="469"/>
      <c r="O2964" s="469"/>
    </row>
    <row r="2965" spans="3:15" ht="17.25">
      <c r="E2965" s="12" t="s">
        <v>33</v>
      </c>
      <c r="F2965" s="12"/>
      <c r="H2965" s="409"/>
      <c r="I2965" s="358"/>
      <c r="J2965" s="442"/>
      <c r="K2965" s="280"/>
      <c r="L2965" s="358"/>
      <c r="M2965" s="579"/>
      <c r="N2965" s="469"/>
      <c r="O2965" s="469"/>
    </row>
    <row r="2966" spans="3:15" ht="17.25">
      <c r="F2966" s="361">
        <v>44722</v>
      </c>
      <c r="G2966" s="361"/>
      <c r="H2966" s="409"/>
      <c r="I2966" s="358"/>
      <c r="J2966" s="442"/>
      <c r="K2966" s="280"/>
      <c r="L2966" s="358"/>
      <c r="M2966" s="579"/>
      <c r="N2966" s="469"/>
      <c r="O2966" s="469"/>
    </row>
    <row r="2967" spans="3:15" ht="17.25">
      <c r="F2967" s="12"/>
      <c r="G2967" s="112" t="s">
        <v>33</v>
      </c>
      <c r="H2967" s="409">
        <v>3</v>
      </c>
      <c r="I2967" s="358">
        <v>231.23000000000002</v>
      </c>
      <c r="J2967" s="442">
        <v>1</v>
      </c>
      <c r="K2967" s="280">
        <v>231.23000000000002</v>
      </c>
      <c r="L2967" s="358">
        <v>327.28714285714284</v>
      </c>
      <c r="M2967" s="579">
        <v>1</v>
      </c>
      <c r="N2967" s="469">
        <v>327.28714285714284</v>
      </c>
      <c r="O2967" s="469">
        <v>-96.057142857142821</v>
      </c>
    </row>
    <row r="2968" spans="3:15" ht="17.25">
      <c r="F2968" s="12"/>
      <c r="H2968" s="409"/>
      <c r="I2968" s="358"/>
      <c r="J2968" s="442"/>
      <c r="K2968" s="280"/>
      <c r="L2968" s="358"/>
      <c r="M2968" s="579"/>
      <c r="N2968" s="469"/>
      <c r="O2968" s="469"/>
    </row>
    <row r="2969" spans="3:15" ht="17.25">
      <c r="C2969" s="342" t="s">
        <v>447</v>
      </c>
      <c r="D2969" s="342"/>
      <c r="E2969" s="342"/>
      <c r="F2969" s="342"/>
      <c r="G2969" s="342"/>
      <c r="H2969" s="410">
        <v>34</v>
      </c>
      <c r="I2969" s="407">
        <v>2673.59</v>
      </c>
      <c r="J2969" s="460">
        <v>1</v>
      </c>
      <c r="K2969" s="413">
        <v>2673.59</v>
      </c>
      <c r="L2969" s="407">
        <v>3689.4300000000003</v>
      </c>
      <c r="M2969" s="580">
        <v>1</v>
      </c>
      <c r="N2969" s="470">
        <v>3689.4300000000003</v>
      </c>
      <c r="O2969" s="470">
        <v>-1015.8399999999998</v>
      </c>
    </row>
    <row r="2970" spans="3:15" ht="17.25">
      <c r="F2970" s="12"/>
      <c r="H2970" s="409"/>
      <c r="I2970" s="358"/>
      <c r="J2970" s="442"/>
      <c r="K2970" s="280"/>
      <c r="L2970" s="358"/>
      <c r="M2970" s="579"/>
      <c r="N2970" s="469"/>
      <c r="O2970" s="469"/>
    </row>
    <row r="2971" spans="3:15" ht="17.25">
      <c r="C2971" s="12" t="s">
        <v>448</v>
      </c>
      <c r="F2971" s="12"/>
      <c r="H2971" s="409"/>
      <c r="I2971" s="358"/>
      <c r="J2971" s="442"/>
      <c r="K2971" s="280"/>
      <c r="L2971" s="358"/>
      <c r="M2971" s="579"/>
      <c r="N2971" s="469"/>
      <c r="O2971" s="469"/>
    </row>
    <row r="2972" spans="3:15" ht="17.25">
      <c r="D2972" s="361">
        <v>44634</v>
      </c>
      <c r="E2972" s="361"/>
      <c r="F2972" s="361"/>
      <c r="G2972" s="361"/>
      <c r="H2972" s="409"/>
      <c r="I2972" s="358"/>
      <c r="J2972" s="442"/>
      <c r="K2972" s="280"/>
      <c r="L2972" s="358"/>
      <c r="M2972" s="579"/>
      <c r="N2972" s="469"/>
      <c r="O2972" s="469"/>
    </row>
    <row r="2973" spans="3:15" ht="17.25">
      <c r="E2973" s="12" t="s">
        <v>33</v>
      </c>
      <c r="F2973" s="12"/>
      <c r="H2973" s="409"/>
      <c r="I2973" s="358"/>
      <c r="J2973" s="442"/>
      <c r="K2973" s="280"/>
      <c r="L2973" s="358"/>
      <c r="M2973" s="579"/>
      <c r="N2973" s="469"/>
      <c r="O2973" s="469"/>
    </row>
    <row r="2974" spans="3:15" ht="17.25">
      <c r="F2974" s="361">
        <v>44592</v>
      </c>
      <c r="G2974" s="361"/>
      <c r="H2974" s="409"/>
      <c r="I2974" s="358"/>
      <c r="J2974" s="442"/>
      <c r="K2974" s="280"/>
      <c r="L2974" s="358"/>
      <c r="M2974" s="579"/>
      <c r="N2974" s="469"/>
      <c r="O2974" s="469"/>
    </row>
    <row r="2975" spans="3:15" ht="17.25">
      <c r="F2975" s="12"/>
      <c r="G2975" s="112" t="s">
        <v>33</v>
      </c>
      <c r="H2975" s="409">
        <v>13</v>
      </c>
      <c r="I2975" s="358">
        <v>633.24</v>
      </c>
      <c r="J2975" s="442">
        <v>1</v>
      </c>
      <c r="K2975" s="280">
        <v>633.24</v>
      </c>
      <c r="L2975" s="358">
        <v>676.15970588235291</v>
      </c>
      <c r="M2975" s="579">
        <v>1</v>
      </c>
      <c r="N2975" s="469">
        <v>676.15970588235291</v>
      </c>
      <c r="O2975" s="469">
        <v>-42.919705882352979</v>
      </c>
    </row>
    <row r="2976" spans="3:15" ht="17.25">
      <c r="F2976" s="12"/>
      <c r="H2976" s="409"/>
      <c r="I2976" s="358"/>
      <c r="J2976" s="442"/>
      <c r="K2976" s="280"/>
      <c r="L2976" s="358"/>
      <c r="M2976" s="579"/>
      <c r="N2976" s="469"/>
      <c r="O2976" s="469"/>
    </row>
    <row r="2977" spans="4:15" ht="17.25">
      <c r="D2977" s="361">
        <v>44635</v>
      </c>
      <c r="E2977" s="361"/>
      <c r="F2977" s="361"/>
      <c r="G2977" s="361"/>
      <c r="H2977" s="409"/>
      <c r="I2977" s="358"/>
      <c r="J2977" s="442"/>
      <c r="K2977" s="280"/>
      <c r="L2977" s="358"/>
      <c r="M2977" s="579"/>
      <c r="N2977" s="469"/>
      <c r="O2977" s="469"/>
    </row>
    <row r="2978" spans="4:15" ht="17.25">
      <c r="E2978" s="12" t="s">
        <v>33</v>
      </c>
      <c r="F2978" s="12"/>
      <c r="H2978" s="409"/>
      <c r="I2978" s="358"/>
      <c r="J2978" s="442"/>
      <c r="K2978" s="280"/>
      <c r="L2978" s="358"/>
      <c r="M2978" s="579"/>
      <c r="N2978" s="469"/>
      <c r="O2978" s="469"/>
    </row>
    <row r="2979" spans="4:15" ht="17.25">
      <c r="F2979" s="361">
        <v>44592</v>
      </c>
      <c r="G2979" s="361"/>
      <c r="H2979" s="409"/>
      <c r="I2979" s="358"/>
      <c r="J2979" s="442"/>
      <c r="K2979" s="280"/>
      <c r="L2979" s="358"/>
      <c r="M2979" s="579"/>
      <c r="N2979" s="469"/>
      <c r="O2979" s="469"/>
    </row>
    <row r="2980" spans="4:15" ht="17.25">
      <c r="F2980" s="12"/>
      <c r="G2980" s="112" t="s">
        <v>33</v>
      </c>
      <c r="H2980" s="409">
        <v>6</v>
      </c>
      <c r="I2980" s="358">
        <v>302.57</v>
      </c>
      <c r="J2980" s="442">
        <v>1</v>
      </c>
      <c r="K2980" s="280">
        <v>302.57</v>
      </c>
      <c r="L2980" s="358">
        <v>312.00529411764705</v>
      </c>
      <c r="M2980" s="579">
        <v>1</v>
      </c>
      <c r="N2980" s="469">
        <v>312.00529411764705</v>
      </c>
      <c r="O2980" s="469">
        <v>-9.4352941176470466</v>
      </c>
    </row>
    <row r="2981" spans="4:15" ht="17.25">
      <c r="F2981" s="12"/>
      <c r="H2981" s="409"/>
      <c r="I2981" s="358"/>
      <c r="J2981" s="442"/>
      <c r="K2981" s="280"/>
      <c r="L2981" s="358"/>
      <c r="M2981" s="579"/>
      <c r="N2981" s="469"/>
      <c r="O2981" s="469"/>
    </row>
    <row r="2982" spans="4:15" ht="17.25">
      <c r="D2982" s="361">
        <v>44866</v>
      </c>
      <c r="E2982" s="361"/>
      <c r="F2982" s="361"/>
      <c r="G2982" s="361"/>
      <c r="H2982" s="409"/>
      <c r="I2982" s="358"/>
      <c r="J2982" s="442"/>
      <c r="K2982" s="280"/>
      <c r="L2982" s="358"/>
      <c r="M2982" s="579"/>
      <c r="N2982" s="469"/>
      <c r="O2982" s="469"/>
    </row>
    <row r="2983" spans="4:15" ht="17.25">
      <c r="E2983" s="12" t="s">
        <v>33</v>
      </c>
      <c r="F2983" s="12"/>
      <c r="H2983" s="409"/>
      <c r="I2983" s="358"/>
      <c r="J2983" s="442"/>
      <c r="K2983" s="280"/>
      <c r="L2983" s="358"/>
      <c r="M2983" s="579"/>
      <c r="N2983" s="469"/>
      <c r="O2983" s="469"/>
    </row>
    <row r="2984" spans="4:15" ht="17.25">
      <c r="F2984" s="361">
        <v>44593</v>
      </c>
      <c r="G2984" s="361"/>
      <c r="H2984" s="409"/>
      <c r="I2984" s="358"/>
      <c r="J2984" s="442"/>
      <c r="K2984" s="280"/>
      <c r="L2984" s="358"/>
      <c r="M2984" s="579"/>
      <c r="N2984" s="469"/>
      <c r="O2984" s="469"/>
    </row>
    <row r="2985" spans="4:15" ht="17.25">
      <c r="F2985" s="12"/>
      <c r="G2985" s="112" t="s">
        <v>33</v>
      </c>
      <c r="H2985" s="409">
        <v>6</v>
      </c>
      <c r="I2985" s="358">
        <v>262.536</v>
      </c>
      <c r="J2985" s="442">
        <v>1</v>
      </c>
      <c r="K2985" s="280">
        <v>262.536</v>
      </c>
      <c r="L2985" s="358">
        <v>324.51571428571424</v>
      </c>
      <c r="M2985" s="579">
        <v>1</v>
      </c>
      <c r="N2985" s="469">
        <v>324.51571428571424</v>
      </c>
      <c r="O2985" s="469">
        <v>-61.979714285714252</v>
      </c>
    </row>
    <row r="2986" spans="4:15" ht="17.25">
      <c r="F2986" s="12"/>
      <c r="H2986" s="409"/>
      <c r="I2986" s="358"/>
      <c r="J2986" s="442"/>
      <c r="K2986" s="280"/>
      <c r="L2986" s="358"/>
      <c r="M2986" s="579"/>
      <c r="N2986" s="469"/>
      <c r="O2986" s="469"/>
    </row>
    <row r="2987" spans="4:15" ht="17.25">
      <c r="F2987" s="361">
        <v>44592</v>
      </c>
      <c r="G2987" s="361"/>
      <c r="H2987" s="409"/>
      <c r="I2987" s="358"/>
      <c r="J2987" s="442"/>
      <c r="K2987" s="280"/>
      <c r="L2987" s="358"/>
      <c r="M2987" s="579"/>
      <c r="N2987" s="469"/>
      <c r="O2987" s="469"/>
    </row>
    <row r="2988" spans="4:15" ht="17.25">
      <c r="F2988" s="12"/>
      <c r="G2988" s="112" t="s">
        <v>33</v>
      </c>
      <c r="H2988" s="409">
        <v>17</v>
      </c>
      <c r="I2988" s="358">
        <v>744.06400000000008</v>
      </c>
      <c r="J2988" s="442">
        <v>1</v>
      </c>
      <c r="K2988" s="280">
        <v>744.06400000000008</v>
      </c>
      <c r="L2988" s="358">
        <v>884.01499999999999</v>
      </c>
      <c r="M2988" s="579">
        <v>1</v>
      </c>
      <c r="N2988" s="469">
        <v>884.01499999999999</v>
      </c>
      <c r="O2988" s="469">
        <v>-139.95099999999994</v>
      </c>
    </row>
    <row r="2989" spans="4:15" ht="17.25">
      <c r="F2989" s="12"/>
      <c r="H2989" s="409"/>
      <c r="I2989" s="358"/>
      <c r="J2989" s="442"/>
      <c r="K2989" s="280"/>
      <c r="L2989" s="358"/>
      <c r="M2989" s="579"/>
      <c r="N2989" s="469"/>
      <c r="O2989" s="469"/>
    </row>
    <row r="2990" spans="4:15" ht="17.25">
      <c r="D2990" s="361">
        <v>44914</v>
      </c>
      <c r="E2990" s="361"/>
      <c r="F2990" s="361"/>
      <c r="G2990" s="361"/>
      <c r="H2990" s="409"/>
      <c r="I2990" s="358"/>
      <c r="J2990" s="442"/>
      <c r="K2990" s="280"/>
      <c r="L2990" s="358"/>
      <c r="M2990" s="579"/>
      <c r="N2990" s="469"/>
      <c r="O2990" s="469"/>
    </row>
    <row r="2991" spans="4:15" ht="17.25">
      <c r="E2991" s="12" t="s">
        <v>33</v>
      </c>
      <c r="F2991" s="12"/>
      <c r="H2991" s="409"/>
      <c r="I2991" s="358"/>
      <c r="J2991" s="442"/>
      <c r="K2991" s="280"/>
      <c r="L2991" s="358"/>
      <c r="M2991" s="579"/>
      <c r="N2991" s="469"/>
      <c r="O2991" s="469"/>
    </row>
    <row r="2992" spans="4:15" ht="17.25">
      <c r="F2992" s="361">
        <v>44593</v>
      </c>
      <c r="G2992" s="361"/>
      <c r="H2992" s="409"/>
      <c r="I2992" s="358"/>
      <c r="J2992" s="442"/>
      <c r="K2992" s="280"/>
      <c r="L2992" s="358"/>
      <c r="M2992" s="579"/>
      <c r="N2992" s="469"/>
      <c r="O2992" s="469"/>
    </row>
    <row r="2993" spans="2:15" ht="17.25">
      <c r="F2993" s="12"/>
      <c r="G2993" s="112" t="s">
        <v>33</v>
      </c>
      <c r="H2993" s="409">
        <v>21</v>
      </c>
      <c r="I2993" s="358">
        <v>590.226</v>
      </c>
      <c r="J2993" s="442">
        <v>1</v>
      </c>
      <c r="K2993" s="280">
        <v>590.226</v>
      </c>
      <c r="L2993" s="358">
        <v>1121.1942857142856</v>
      </c>
      <c r="M2993" s="579">
        <v>1</v>
      </c>
      <c r="N2993" s="469">
        <v>1121.1942857142856</v>
      </c>
      <c r="O2993" s="469">
        <v>-530.9682857142858</v>
      </c>
    </row>
    <row r="2994" spans="2:15" ht="17.25">
      <c r="F2994" s="12"/>
      <c r="H2994" s="409"/>
      <c r="I2994" s="358"/>
      <c r="J2994" s="442"/>
      <c r="K2994" s="280"/>
      <c r="L2994" s="358"/>
      <c r="M2994" s="579"/>
      <c r="N2994" s="469"/>
      <c r="O2994" s="469"/>
    </row>
    <row r="2995" spans="2:15" ht="17.25">
      <c r="F2995" s="361">
        <v>44596</v>
      </c>
      <c r="G2995" s="361"/>
      <c r="H2995" s="409"/>
      <c r="I2995" s="358"/>
      <c r="J2995" s="442"/>
      <c r="K2995" s="280"/>
      <c r="L2995" s="358"/>
      <c r="M2995" s="579"/>
      <c r="N2995" s="469"/>
      <c r="O2995" s="469"/>
    </row>
    <row r="2996" spans="2:15" ht="17.25">
      <c r="F2996" s="12"/>
      <c r="G2996" s="112" t="s">
        <v>33</v>
      </c>
      <c r="H2996" s="409">
        <v>20</v>
      </c>
      <c r="I2996" s="358">
        <v>562.12</v>
      </c>
      <c r="J2996" s="442">
        <v>1</v>
      </c>
      <c r="K2996" s="280">
        <v>562.12</v>
      </c>
      <c r="L2996" s="358">
        <v>1035.8800000000001</v>
      </c>
      <c r="M2996" s="579">
        <v>1</v>
      </c>
      <c r="N2996" s="469">
        <v>1035.8800000000001</v>
      </c>
      <c r="O2996" s="469">
        <v>-473.76</v>
      </c>
    </row>
    <row r="2997" spans="2:15" ht="17.25">
      <c r="F2997" s="12"/>
      <c r="H2997" s="409"/>
      <c r="I2997" s="358"/>
      <c r="J2997" s="442"/>
      <c r="K2997" s="280"/>
      <c r="L2997" s="358"/>
      <c r="M2997" s="579"/>
      <c r="N2997" s="469"/>
      <c r="O2997" s="469"/>
    </row>
    <row r="2998" spans="2:15" ht="17.25">
      <c r="F2998" s="361">
        <v>44599</v>
      </c>
      <c r="G2998" s="361"/>
      <c r="H2998" s="409"/>
      <c r="I2998" s="358"/>
      <c r="J2998" s="442"/>
      <c r="K2998" s="280"/>
      <c r="L2998" s="358"/>
      <c r="M2998" s="579"/>
      <c r="N2998" s="469"/>
      <c r="O2998" s="469"/>
    </row>
    <row r="2999" spans="2:15" ht="17.25">
      <c r="F2999" s="12"/>
      <c r="G2999" s="112" t="s">
        <v>33</v>
      </c>
      <c r="H2999" s="409">
        <v>21</v>
      </c>
      <c r="I2999" s="358">
        <v>588.15844444444451</v>
      </c>
      <c r="J2999" s="442">
        <v>1</v>
      </c>
      <c r="K2999" s="280">
        <v>588.15844444444451</v>
      </c>
      <c r="L2999" s="358">
        <v>1109.9000000000001</v>
      </c>
      <c r="M2999" s="579">
        <v>1</v>
      </c>
      <c r="N2999" s="469">
        <v>1109.9000000000001</v>
      </c>
      <c r="O2999" s="469">
        <v>-521.74155555555546</v>
      </c>
    </row>
    <row r="3000" spans="2:15" ht="17.25">
      <c r="F3000" s="12"/>
      <c r="H3000" s="409"/>
      <c r="I3000" s="358"/>
      <c r="J3000" s="442"/>
      <c r="K3000" s="280"/>
      <c r="L3000" s="358"/>
      <c r="M3000" s="579"/>
      <c r="N3000" s="469"/>
      <c r="O3000" s="469"/>
    </row>
    <row r="3001" spans="2:15" ht="17.25">
      <c r="F3001" s="361">
        <v>44679</v>
      </c>
      <c r="G3001" s="361"/>
      <c r="H3001" s="409"/>
      <c r="I3001" s="358"/>
      <c r="J3001" s="442"/>
      <c r="K3001" s="280"/>
      <c r="L3001" s="358"/>
      <c r="M3001" s="579"/>
      <c r="N3001" s="469"/>
      <c r="O3001" s="469"/>
    </row>
    <row r="3002" spans="2:15" ht="17.25">
      <c r="F3002" s="12"/>
      <c r="G3002" s="112" t="s">
        <v>33</v>
      </c>
      <c r="H3002" s="409">
        <v>15</v>
      </c>
      <c r="I3002" s="358">
        <v>419.00555555555559</v>
      </c>
      <c r="J3002" s="442">
        <v>1</v>
      </c>
      <c r="K3002" s="280">
        <v>419.00555555555559</v>
      </c>
      <c r="L3002" s="358">
        <v>734.54</v>
      </c>
      <c r="M3002" s="579">
        <v>1</v>
      </c>
      <c r="N3002" s="469">
        <v>734.54</v>
      </c>
      <c r="O3002" s="469">
        <v>-315.53444444444438</v>
      </c>
    </row>
    <row r="3003" spans="2:15" ht="17.25">
      <c r="F3003" s="12"/>
      <c r="H3003" s="409"/>
      <c r="I3003" s="358"/>
      <c r="J3003" s="442"/>
      <c r="K3003" s="280"/>
      <c r="L3003" s="358"/>
      <c r="M3003" s="579"/>
      <c r="N3003" s="469"/>
      <c r="O3003" s="469"/>
    </row>
    <row r="3004" spans="2:15" ht="17.25">
      <c r="C3004" s="342" t="s">
        <v>449</v>
      </c>
      <c r="D3004" s="342"/>
      <c r="E3004" s="342"/>
      <c r="F3004" s="342"/>
      <c r="G3004" s="342"/>
      <c r="H3004" s="410">
        <v>119</v>
      </c>
      <c r="I3004" s="407">
        <v>4101.92</v>
      </c>
      <c r="J3004" s="460">
        <v>1</v>
      </c>
      <c r="K3004" s="413">
        <v>4101.92</v>
      </c>
      <c r="L3004" s="407">
        <v>6198.2100000000009</v>
      </c>
      <c r="M3004" s="580">
        <v>1</v>
      </c>
      <c r="N3004" s="470">
        <v>6198.2100000000009</v>
      </c>
      <c r="O3004" s="470">
        <v>-2096.2899999999995</v>
      </c>
    </row>
    <row r="3005" spans="2:15" ht="17.25">
      <c r="F3005" s="12"/>
      <c r="H3005" s="409"/>
      <c r="I3005" s="358"/>
      <c r="J3005" s="442"/>
      <c r="K3005" s="280"/>
      <c r="L3005" s="358"/>
      <c r="M3005" s="579"/>
      <c r="N3005" s="469"/>
      <c r="O3005" s="469"/>
    </row>
    <row r="3006" spans="2:15" ht="17.25">
      <c r="B3006" s="404" t="s">
        <v>283</v>
      </c>
      <c r="C3006" s="404"/>
      <c r="D3006" s="404"/>
      <c r="E3006" s="404"/>
      <c r="F3006" s="404"/>
      <c r="G3006" s="404"/>
      <c r="H3006" s="411">
        <v>4195</v>
      </c>
      <c r="I3006" s="362">
        <v>287822.31000000011</v>
      </c>
      <c r="J3006" s="443">
        <v>1</v>
      </c>
      <c r="K3006" s="414">
        <v>287822.31000000011</v>
      </c>
      <c r="L3006" s="362">
        <v>448468.78817036218</v>
      </c>
      <c r="M3006" s="581">
        <v>1</v>
      </c>
      <c r="N3006" s="472">
        <v>448468.78817036218</v>
      </c>
      <c r="O3006" s="472">
        <v>-160646.47817036186</v>
      </c>
    </row>
    <row r="3007" spans="2:15" ht="17.25">
      <c r="F3007" s="12"/>
      <c r="H3007" s="409"/>
      <c r="I3007" s="358"/>
      <c r="J3007" s="442"/>
      <c r="K3007" s="280"/>
      <c r="L3007" s="358"/>
      <c r="M3007" s="579"/>
      <c r="N3007" s="469"/>
      <c r="O3007" s="469"/>
    </row>
    <row r="3008" spans="2:15" ht="17.25">
      <c r="B3008" s="12" t="s">
        <v>11</v>
      </c>
      <c r="F3008" s="12"/>
      <c r="H3008" s="409"/>
      <c r="I3008" s="358"/>
      <c r="J3008" s="442"/>
      <c r="K3008" s="280"/>
      <c r="L3008" s="358"/>
      <c r="M3008" s="579"/>
      <c r="N3008" s="469"/>
      <c r="O3008" s="469"/>
    </row>
    <row r="3009" spans="2:15" ht="17.25">
      <c r="C3009" s="12" t="s">
        <v>284</v>
      </c>
      <c r="F3009" s="12"/>
      <c r="H3009" s="409"/>
      <c r="I3009" s="358"/>
      <c r="J3009" s="442"/>
      <c r="K3009" s="280"/>
      <c r="L3009" s="358"/>
      <c r="M3009" s="579"/>
      <c r="N3009" s="469"/>
      <c r="O3009" s="469"/>
    </row>
    <row r="3010" spans="2:15" ht="17.25">
      <c r="D3010" s="361">
        <v>44678</v>
      </c>
      <c r="E3010" s="361"/>
      <c r="F3010" s="361"/>
      <c r="G3010" s="361"/>
      <c r="H3010" s="409"/>
      <c r="I3010" s="358"/>
      <c r="J3010" s="442"/>
      <c r="K3010" s="280"/>
      <c r="L3010" s="358"/>
      <c r="M3010" s="579"/>
      <c r="N3010" s="469"/>
      <c r="O3010" s="469"/>
    </row>
    <row r="3011" spans="2:15" ht="17.25">
      <c r="E3011" s="12" t="s">
        <v>33</v>
      </c>
      <c r="F3011" s="12"/>
      <c r="H3011" s="409"/>
      <c r="I3011" s="358"/>
      <c r="J3011" s="442"/>
      <c r="K3011" s="280"/>
      <c r="L3011" s="358"/>
      <c r="M3011" s="579"/>
      <c r="N3011" s="469"/>
      <c r="O3011" s="469"/>
    </row>
    <row r="3012" spans="2:15" ht="17.25">
      <c r="F3012" s="361">
        <v>44350</v>
      </c>
      <c r="G3012" s="361"/>
      <c r="H3012" s="409"/>
      <c r="I3012" s="358"/>
      <c r="J3012" s="442"/>
      <c r="K3012" s="280"/>
      <c r="L3012" s="358"/>
      <c r="M3012" s="579"/>
      <c r="N3012" s="469"/>
      <c r="O3012" s="469"/>
    </row>
    <row r="3013" spans="2:15" ht="17.25">
      <c r="F3013" s="12"/>
      <c r="G3013" s="112" t="s">
        <v>33</v>
      </c>
      <c r="H3013" s="409">
        <v>1503.31</v>
      </c>
      <c r="I3013" s="358">
        <v>200000</v>
      </c>
      <c r="J3013" s="442">
        <v>1</v>
      </c>
      <c r="K3013" s="280">
        <v>200000</v>
      </c>
      <c r="L3013" s="358">
        <v>208734.1498406523</v>
      </c>
      <c r="M3013" s="579">
        <v>1</v>
      </c>
      <c r="N3013" s="469">
        <v>208734.14984065227</v>
      </c>
      <c r="O3013" s="469">
        <v>-8734.1498406522733</v>
      </c>
    </row>
    <row r="3014" spans="2:15" ht="17.25">
      <c r="F3014" s="12"/>
      <c r="H3014" s="409"/>
      <c r="I3014" s="358"/>
      <c r="J3014" s="442"/>
      <c r="K3014" s="280"/>
      <c r="L3014" s="358"/>
      <c r="M3014" s="579"/>
      <c r="N3014" s="469"/>
      <c r="O3014" s="469"/>
    </row>
    <row r="3015" spans="2:15" ht="17.25">
      <c r="C3015" s="342" t="s">
        <v>450</v>
      </c>
      <c r="D3015" s="342"/>
      <c r="E3015" s="342"/>
      <c r="F3015" s="342"/>
      <c r="G3015" s="342"/>
      <c r="H3015" s="410">
        <v>1503.31</v>
      </c>
      <c r="I3015" s="407">
        <v>200000</v>
      </c>
      <c r="J3015" s="460">
        <v>1</v>
      </c>
      <c r="K3015" s="413">
        <v>200000</v>
      </c>
      <c r="L3015" s="407">
        <v>208734.1498406523</v>
      </c>
      <c r="M3015" s="580">
        <v>1</v>
      </c>
      <c r="N3015" s="470">
        <v>208734.14984065227</v>
      </c>
      <c r="O3015" s="470">
        <v>-8734.1498406522733</v>
      </c>
    </row>
    <row r="3016" spans="2:15" ht="17.25">
      <c r="F3016" s="12"/>
      <c r="H3016" s="409"/>
      <c r="I3016" s="358"/>
      <c r="J3016" s="442"/>
      <c r="K3016" s="280"/>
      <c r="L3016" s="358"/>
      <c r="M3016" s="579"/>
      <c r="N3016" s="469"/>
      <c r="O3016" s="469"/>
    </row>
    <row r="3017" spans="2:15" ht="17.25">
      <c r="B3017" s="404" t="s">
        <v>285</v>
      </c>
      <c r="C3017" s="404"/>
      <c r="D3017" s="404"/>
      <c r="E3017" s="404"/>
      <c r="F3017" s="404"/>
      <c r="G3017" s="404"/>
      <c r="H3017" s="411">
        <v>1503.31</v>
      </c>
      <c r="I3017" s="362">
        <v>200000</v>
      </c>
      <c r="J3017" s="443">
        <v>1</v>
      </c>
      <c r="K3017" s="414">
        <v>200000</v>
      </c>
      <c r="L3017" s="362">
        <v>208734.1498406523</v>
      </c>
      <c r="M3017" s="581">
        <v>1</v>
      </c>
      <c r="N3017" s="472">
        <v>208734.14984065227</v>
      </c>
      <c r="O3017" s="472">
        <v>-8734.1498406522733</v>
      </c>
    </row>
    <row r="3018" spans="2:15" ht="17.25">
      <c r="F3018" s="12"/>
      <c r="H3018" s="409"/>
      <c r="I3018" s="358"/>
      <c r="J3018" s="442"/>
      <c r="K3018" s="280"/>
      <c r="L3018" s="358"/>
      <c r="M3018" s="579"/>
      <c r="N3018" s="469"/>
      <c r="O3018" s="469"/>
    </row>
    <row r="3019" spans="2:15" ht="17.25">
      <c r="B3019" s="12" t="s">
        <v>451</v>
      </c>
      <c r="F3019" s="12"/>
      <c r="H3019" s="409"/>
      <c r="I3019" s="358"/>
      <c r="J3019" s="442"/>
      <c r="K3019" s="280"/>
      <c r="L3019" s="358"/>
      <c r="M3019" s="579"/>
      <c r="N3019" s="469"/>
      <c r="O3019" s="469"/>
    </row>
    <row r="3020" spans="2:15" ht="17.25">
      <c r="C3020" s="12" t="s">
        <v>451</v>
      </c>
      <c r="F3020" s="12"/>
      <c r="H3020" s="409"/>
      <c r="I3020" s="358"/>
      <c r="J3020" s="442"/>
      <c r="K3020" s="280"/>
      <c r="L3020" s="358"/>
      <c r="M3020" s="579"/>
      <c r="N3020" s="469"/>
      <c r="O3020" s="469"/>
    </row>
    <row r="3021" spans="2:15" ht="17.25">
      <c r="D3021" s="361" t="s">
        <v>451</v>
      </c>
      <c r="E3021" s="361"/>
      <c r="F3021" s="361"/>
      <c r="G3021" s="361"/>
      <c r="H3021" s="409"/>
      <c r="I3021" s="358"/>
      <c r="J3021" s="442"/>
      <c r="K3021" s="280"/>
      <c r="L3021" s="358"/>
      <c r="M3021" s="579"/>
      <c r="N3021" s="469"/>
      <c r="O3021" s="469"/>
    </row>
    <row r="3022" spans="2:15" ht="17.25">
      <c r="E3022" s="12" t="s">
        <v>451</v>
      </c>
      <c r="F3022" s="12"/>
      <c r="H3022" s="409"/>
      <c r="I3022" s="358"/>
      <c r="J3022" s="442"/>
      <c r="K3022" s="280"/>
      <c r="L3022" s="358"/>
      <c r="M3022" s="579"/>
      <c r="N3022" s="469"/>
      <c r="O3022" s="469"/>
    </row>
    <row r="3023" spans="2:15" ht="17.25">
      <c r="F3023" s="361" t="s">
        <v>451</v>
      </c>
      <c r="G3023" s="361"/>
      <c r="H3023" s="409"/>
      <c r="I3023" s="358"/>
      <c r="J3023" s="442"/>
      <c r="K3023" s="280"/>
      <c r="L3023" s="358"/>
      <c r="M3023" s="579"/>
      <c r="N3023" s="469"/>
      <c r="O3023" s="469"/>
    </row>
    <row r="3024" spans="2:15" ht="17.25">
      <c r="F3024" s="12"/>
      <c r="G3024" s="112" t="s">
        <v>451</v>
      </c>
      <c r="H3024" s="409">
        <v>0</v>
      </c>
      <c r="I3024" s="358"/>
      <c r="J3024" s="442">
        <v>0</v>
      </c>
      <c r="K3024" s="280">
        <v>0</v>
      </c>
      <c r="L3024" s="358"/>
      <c r="M3024" s="579">
        <v>0</v>
      </c>
      <c r="N3024" s="469">
        <v>0</v>
      </c>
      <c r="O3024" s="469">
        <v>0</v>
      </c>
    </row>
    <row r="3025" spans="2:15" ht="17.25">
      <c r="F3025" s="12"/>
      <c r="H3025" s="409"/>
      <c r="I3025" s="358"/>
      <c r="J3025" s="442"/>
      <c r="K3025" s="280"/>
      <c r="L3025" s="358"/>
      <c r="M3025" s="579"/>
      <c r="N3025" s="469"/>
      <c r="O3025" s="469"/>
    </row>
    <row r="3026" spans="2:15" ht="17.25">
      <c r="C3026" s="342" t="s">
        <v>452</v>
      </c>
      <c r="D3026" s="342"/>
      <c r="E3026" s="342"/>
      <c r="F3026" s="342"/>
      <c r="G3026" s="342"/>
      <c r="H3026" s="410">
        <v>0</v>
      </c>
      <c r="I3026" s="407"/>
      <c r="J3026" s="460">
        <v>0</v>
      </c>
      <c r="K3026" s="413">
        <v>0</v>
      </c>
      <c r="L3026" s="407"/>
      <c r="M3026" s="580">
        <v>0</v>
      </c>
      <c r="N3026" s="470">
        <v>0</v>
      </c>
      <c r="O3026" s="470">
        <v>0</v>
      </c>
    </row>
    <row r="3027" spans="2:15" ht="17.25">
      <c r="F3027" s="12"/>
      <c r="H3027" s="409"/>
      <c r="I3027" s="358"/>
      <c r="J3027" s="442"/>
      <c r="K3027" s="280"/>
      <c r="L3027" s="358"/>
      <c r="M3027" s="579"/>
      <c r="N3027" s="469"/>
      <c r="O3027" s="469"/>
    </row>
    <row r="3028" spans="2:15" ht="17.25">
      <c r="B3028" s="404" t="s">
        <v>452</v>
      </c>
      <c r="C3028" s="404"/>
      <c r="D3028" s="404"/>
      <c r="E3028" s="404"/>
      <c r="F3028" s="404"/>
      <c r="G3028" s="404"/>
      <c r="H3028" s="411">
        <v>0</v>
      </c>
      <c r="I3028" s="362"/>
      <c r="J3028" s="443">
        <v>0</v>
      </c>
      <c r="K3028" s="414">
        <v>0</v>
      </c>
      <c r="L3028" s="362"/>
      <c r="M3028" s="581">
        <v>0</v>
      </c>
      <c r="N3028" s="472">
        <v>0</v>
      </c>
      <c r="O3028" s="472">
        <v>0</v>
      </c>
    </row>
    <row r="3029" spans="2:15" ht="17.25">
      <c r="F3029" s="12"/>
      <c r="H3029" s="409"/>
      <c r="I3029" s="358"/>
      <c r="J3029" s="442"/>
      <c r="K3029" s="280"/>
      <c r="L3029" s="358"/>
      <c r="M3029" s="579"/>
      <c r="N3029" s="469"/>
      <c r="O3029" s="469"/>
    </row>
    <row r="3030" spans="2:15" ht="17.25">
      <c r="B3030" s="364" t="s">
        <v>287</v>
      </c>
      <c r="C3030" s="364"/>
      <c r="D3030" s="364"/>
      <c r="E3030" s="364"/>
      <c r="F3030" s="364"/>
      <c r="G3030" s="364"/>
      <c r="H3030" s="412">
        <v>431036.23895999993</v>
      </c>
      <c r="I3030" s="344">
        <v>28533143.924865324</v>
      </c>
      <c r="J3030" s="461">
        <v>0.34331620183942319</v>
      </c>
      <c r="K3030" s="415">
        <v>7620599.7674943674</v>
      </c>
      <c r="L3030" s="344">
        <v>24360181.908765431</v>
      </c>
      <c r="M3030" s="582">
        <v>0.34380444195873727</v>
      </c>
      <c r="N3030" s="471">
        <v>7646768.8736240258</v>
      </c>
      <c r="O3030" s="471">
        <v>-26169.106129646065</v>
      </c>
    </row>
    <row r="3031" spans="2:15">
      <c r="B3031"/>
      <c r="C3031"/>
      <c r="D3031"/>
      <c r="E3031"/>
      <c r="F3031"/>
      <c r="G3031"/>
      <c r="H3031"/>
      <c r="I3031"/>
      <c r="J3031"/>
      <c r="K3031"/>
      <c r="L3031"/>
      <c r="M3031"/>
      <c r="N3031"/>
      <c r="O3031"/>
    </row>
    <row r="3032" spans="2:15">
      <c r="B3032"/>
      <c r="C3032"/>
      <c r="D3032"/>
      <c r="E3032"/>
      <c r="F3032"/>
      <c r="G3032"/>
      <c r="H3032"/>
      <c r="I3032"/>
      <c r="J3032"/>
      <c r="K3032"/>
      <c r="L3032"/>
      <c r="M3032"/>
      <c r="N3032"/>
      <c r="O3032"/>
    </row>
    <row r="3033" spans="2:15">
      <c r="B3033"/>
      <c r="C3033"/>
      <c r="D3033"/>
      <c r="E3033"/>
      <c r="F3033"/>
      <c r="G3033"/>
      <c r="H3033"/>
      <c r="I3033"/>
      <c r="J3033"/>
      <c r="K3033"/>
      <c r="L3033"/>
      <c r="M3033"/>
      <c r="N3033"/>
      <c r="O3033"/>
    </row>
  </sheetData>
  <pageMargins left="0" right="0" top="0" bottom="0" header="0" footer="0"/>
  <pageSetup scale="54" fitToHeight="10" orientation="landscape" horizontalDpi="1200" verticalDpi="1200"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2:P82"/>
  <sheetViews>
    <sheetView view="pageBreakPreview" topLeftCell="A2" zoomScaleNormal="100" zoomScaleSheetLayoutView="100" workbookViewId="0">
      <pane ySplit="5" topLeftCell="A7" activePane="bottomLeft" state="frozen"/>
      <selection pane="bottomLeft" activeCell="C4" sqref="C4"/>
      <selection activeCell="A2" sqref="A2"/>
    </sheetView>
  </sheetViews>
  <sheetFormatPr defaultColWidth="10.6640625" defaultRowHeight="23.1" customHeight="1"/>
  <cols>
    <col min="1" max="1" width="9.6640625" style="12" customWidth="1"/>
    <col min="2" max="2" width="21.33203125" style="12" customWidth="1"/>
    <col min="3" max="3" width="15.5546875" style="12" customWidth="1"/>
    <col min="4" max="4" width="20.33203125" style="12" customWidth="1"/>
    <col min="5" max="5" width="41.44140625" style="12" customWidth="1"/>
    <col min="6" max="6" width="16.109375" style="12" customWidth="1"/>
    <col min="7" max="7" width="16.33203125" style="12" customWidth="1"/>
    <col min="8" max="8" width="13.6640625" style="12" customWidth="1"/>
    <col min="9" max="9" width="16.33203125" style="12" customWidth="1"/>
    <col min="10" max="15" width="10.6640625" style="12"/>
    <col min="16" max="16" width="22" style="12" customWidth="1"/>
    <col min="17" max="16384" width="10.6640625" style="12"/>
  </cols>
  <sheetData>
    <row r="2" spans="2:16" ht="30.95" customHeight="1">
      <c r="B2" s="589" t="s">
        <v>453</v>
      </c>
      <c r="C2" s="589"/>
      <c r="D2" s="589"/>
      <c r="E2" s="589"/>
      <c r="F2" s="589"/>
      <c r="G2" s="589"/>
      <c r="H2" s="589"/>
      <c r="I2" s="589"/>
      <c r="P2" s="129" t="s">
        <v>454</v>
      </c>
    </row>
    <row r="3" spans="2:16" ht="23.1" customHeight="1">
      <c r="B3" s="588" t="s">
        <v>455</v>
      </c>
      <c r="C3" s="588"/>
      <c r="D3" s="588"/>
      <c r="E3" s="588"/>
      <c r="F3" s="588"/>
      <c r="G3" s="588"/>
      <c r="H3" s="588"/>
      <c r="I3" s="588"/>
      <c r="P3" s="53" t="s">
        <v>456</v>
      </c>
    </row>
    <row r="4" spans="2:16" ht="14.1" customHeight="1">
      <c r="B4" s="79" t="s">
        <v>41</v>
      </c>
      <c r="C4" s="79" t="s">
        <v>42</v>
      </c>
      <c r="D4" s="79"/>
      <c r="E4" s="80"/>
      <c r="F4" s="80"/>
      <c r="G4" s="80"/>
      <c r="H4" s="80"/>
      <c r="I4" s="80"/>
      <c r="P4" s="130"/>
    </row>
    <row r="5" spans="2:16" s="122" customFormat="1" ht="23.1" customHeight="1">
      <c r="B5" s="141"/>
      <c r="C5" s="141"/>
      <c r="D5" s="141"/>
      <c r="E5" s="142"/>
      <c r="F5" s="142"/>
      <c r="G5" s="142"/>
      <c r="H5" s="142"/>
      <c r="I5" s="142"/>
      <c r="P5" s="137"/>
    </row>
    <row r="6" spans="2:16" s="13" customFormat="1" ht="30.95" customHeight="1">
      <c r="B6" s="62" t="s">
        <v>103</v>
      </c>
      <c r="C6" s="62" t="s">
        <v>29</v>
      </c>
      <c r="D6" s="62" t="s">
        <v>457</v>
      </c>
      <c r="E6" s="62" t="s">
        <v>124</v>
      </c>
      <c r="F6" s="62" t="s">
        <v>106</v>
      </c>
      <c r="G6" s="62" t="s">
        <v>107</v>
      </c>
      <c r="H6" s="62" t="s">
        <v>108</v>
      </c>
      <c r="I6" s="62" t="s">
        <v>109</v>
      </c>
      <c r="P6" s="130"/>
    </row>
    <row r="7" spans="2:16" s="13" customFormat="1" ht="23.1" customHeight="1">
      <c r="B7" s="12"/>
      <c r="C7" s="12"/>
      <c r="D7" s="12"/>
      <c r="E7" s="12"/>
      <c r="F7" s="12"/>
      <c r="G7" s="12"/>
      <c r="H7" s="12"/>
      <c r="I7" s="12"/>
      <c r="P7" s="130"/>
    </row>
    <row r="8" spans="2:16" s="13" customFormat="1" ht="23.1" customHeight="1">
      <c r="B8" s="64" t="s">
        <v>125</v>
      </c>
      <c r="C8" s="65"/>
      <c r="D8" s="64"/>
      <c r="E8" s="66"/>
      <c r="F8" s="64"/>
      <c r="G8" s="67"/>
      <c r="H8" s="393">
        <f>+IF(F8=0,0,IF(F8="MXN",1/HLOOKUP(YEAR(C8)+(MONTH(C8)/100),TC!$5:$37,DAY(C8)+2,FALSE),VLOOKUP(F8,Equivalencia!$3:$23,((MAX(Equivalencia!$3:$3)-YEAR(C8))*14)+MONTH(C8)+2,FALSE)))</f>
        <v>0</v>
      </c>
      <c r="I8" s="143">
        <f t="shared" ref="I8:I23" si="0">+H8*G8</f>
        <v>0</v>
      </c>
    </row>
    <row r="9" spans="2:16" s="13" customFormat="1" ht="23.1" customHeight="1">
      <c r="B9" s="64" t="s">
        <v>126</v>
      </c>
      <c r="C9" s="65"/>
      <c r="D9" s="64"/>
      <c r="E9" s="66"/>
      <c r="F9" s="64"/>
      <c r="G9" s="67"/>
      <c r="H9" s="393">
        <f>+IF(F9=0,0,IF(F9="MXN",1/HLOOKUP(YEAR(C9)+(MONTH(C9)/100),TC!$5:$37,DAY(C9)+2,FALSE),VLOOKUP(F9,Equivalencia!$3:$23,((MAX(Equivalencia!$3:$3)-YEAR(C9))*14)+MONTH(C9)+2,FALSE)))</f>
        <v>0</v>
      </c>
      <c r="I9" s="143">
        <f t="shared" si="0"/>
        <v>0</v>
      </c>
    </row>
    <row r="10" spans="2:16" s="13" customFormat="1" ht="23.1" customHeight="1">
      <c r="B10" s="64" t="s">
        <v>127</v>
      </c>
      <c r="C10" s="65"/>
      <c r="D10" s="64"/>
      <c r="E10" s="66"/>
      <c r="F10" s="64"/>
      <c r="G10" s="67"/>
      <c r="H10" s="393">
        <f>+IF(F10=0,0,IF(F10="MXN",1/HLOOKUP(YEAR(C10)+(MONTH(C10)/100),TC!$5:$37,DAY(C10)+2,FALSE),VLOOKUP(F10,Equivalencia!$3:$23,((MAX(Equivalencia!$3:$3)-YEAR(C10))*14)+MONTH(C10)+2,FALSE)))</f>
        <v>0</v>
      </c>
      <c r="I10" s="143">
        <f t="shared" si="0"/>
        <v>0</v>
      </c>
    </row>
    <row r="11" spans="2:16" s="13" customFormat="1" ht="23.1" customHeight="1">
      <c r="B11" s="64" t="s">
        <v>128</v>
      </c>
      <c r="C11" s="65"/>
      <c r="D11" s="64"/>
      <c r="E11" s="66"/>
      <c r="F11" s="64"/>
      <c r="G11" s="67"/>
      <c r="H11" s="393">
        <f>+IF(F11=0,0,IF(F11="MXN",1/HLOOKUP(YEAR(C11)+(MONTH(C11)/100),TC!$5:$37,DAY(C11)+2,FALSE),VLOOKUP(F11,Equivalencia!$3:$23,((MAX(Equivalencia!$3:$3)-YEAR(C11))*14)+MONTH(C11)+2,FALSE)))</f>
        <v>0</v>
      </c>
      <c r="I11" s="143">
        <f t="shared" si="0"/>
        <v>0</v>
      </c>
    </row>
    <row r="12" spans="2:16" s="13" customFormat="1" ht="23.1" customHeight="1">
      <c r="B12" s="64" t="s">
        <v>129</v>
      </c>
      <c r="C12" s="65"/>
      <c r="D12" s="64"/>
      <c r="E12" s="66"/>
      <c r="F12" s="64"/>
      <c r="G12" s="67"/>
      <c r="H12" s="393">
        <f>+IF(F12=0,0,IF(F12="MXN",1/HLOOKUP(YEAR(C12)+(MONTH(C12)/100),TC!$5:$37,DAY(C12)+2,FALSE),VLOOKUP(F12,Equivalencia!$3:$23,((MAX(Equivalencia!$3:$3)-YEAR(C12))*14)+MONTH(C12)+2,FALSE)))</f>
        <v>0</v>
      </c>
      <c r="I12" s="143">
        <f t="shared" si="0"/>
        <v>0</v>
      </c>
    </row>
    <row r="13" spans="2:16" s="13" customFormat="1" ht="23.1" customHeight="1">
      <c r="B13" s="64" t="s">
        <v>13</v>
      </c>
      <c r="C13" s="65"/>
      <c r="D13" s="64"/>
      <c r="E13" s="66"/>
      <c r="F13" s="64"/>
      <c r="G13" s="67"/>
      <c r="H13" s="393">
        <f>+IF(F13=0,0,IF(F13="MXN",1/HLOOKUP(YEAR(C13)+(MONTH(C13)/100),TC!$5:$37,DAY(C13)+2,FALSE),VLOOKUP(F13,Equivalencia!$3:$23,((MAX(Equivalencia!$3:$3)-YEAR(C13))*14)+MONTH(C13)+2,FALSE)))</f>
        <v>0</v>
      </c>
      <c r="I13" s="143">
        <f t="shared" si="0"/>
        <v>0</v>
      </c>
    </row>
    <row r="14" spans="2:16" s="13" customFormat="1" ht="23.1" customHeight="1">
      <c r="B14" s="64" t="s">
        <v>14</v>
      </c>
      <c r="C14" s="65"/>
      <c r="D14" s="64"/>
      <c r="E14" s="66"/>
      <c r="F14" s="64"/>
      <c r="G14" s="67"/>
      <c r="H14" s="393">
        <f>+IF(F14=0,0,IF(F14="MXN",1/HLOOKUP(YEAR(C14)+(MONTH(C14)/100),TC!$5:$37,DAY(C14)+2,FALSE),VLOOKUP(F14,Equivalencia!$3:$23,((MAX(Equivalencia!$3:$3)-YEAR(C14))*14)+MONTH(C14)+2,FALSE)))</f>
        <v>0</v>
      </c>
      <c r="I14" s="143">
        <f t="shared" si="0"/>
        <v>0</v>
      </c>
    </row>
    <row r="15" spans="2:16" s="13" customFormat="1" ht="23.1" customHeight="1">
      <c r="B15" s="64" t="s">
        <v>15</v>
      </c>
      <c r="C15" s="65"/>
      <c r="D15" s="64"/>
      <c r="E15" s="66"/>
      <c r="F15" s="64"/>
      <c r="G15" s="67"/>
      <c r="H15" s="393">
        <f>+IF(F15=0,0,IF(F15="MXN",1/HLOOKUP(YEAR(C15)+(MONTH(C15)/100),TC!$5:$37,DAY(C15)+2,FALSE),VLOOKUP(F15,Equivalencia!$3:$23,((MAX(Equivalencia!$3:$3)-YEAR(C15))*14)+MONTH(C15)+2,FALSE)))</f>
        <v>0</v>
      </c>
      <c r="I15" s="143">
        <f t="shared" si="0"/>
        <v>0</v>
      </c>
    </row>
    <row r="16" spans="2:16" s="13" customFormat="1" ht="23.1" customHeight="1">
      <c r="B16" s="64" t="s">
        <v>16</v>
      </c>
      <c r="C16" s="65"/>
      <c r="D16" s="64"/>
      <c r="E16" s="66"/>
      <c r="F16" s="64"/>
      <c r="G16" s="67"/>
      <c r="H16" s="393">
        <f>+IF(F16=0,0,IF(F16="MXN",1/HLOOKUP(YEAR(C16)+(MONTH(C16)/100),TC!$5:$37,DAY(C16)+2,FALSE),VLOOKUP(F16,Equivalencia!$3:$23,((MAX(Equivalencia!$3:$3)-YEAR(C16))*14)+MONTH(C16)+2,FALSE)))</f>
        <v>0</v>
      </c>
      <c r="I16" s="143">
        <f t="shared" si="0"/>
        <v>0</v>
      </c>
    </row>
    <row r="17" spans="2:9" s="13" customFormat="1" ht="23.1" customHeight="1">
      <c r="B17" s="64" t="s">
        <v>17</v>
      </c>
      <c r="C17" s="65"/>
      <c r="D17" s="64"/>
      <c r="E17" s="66"/>
      <c r="F17" s="64"/>
      <c r="G17" s="67"/>
      <c r="H17" s="393">
        <f>+IF(F17=0,0,IF(F17="MXN",1/HLOOKUP(YEAR(C17)+(MONTH(C17)/100),TC!$5:$37,DAY(C17)+2,FALSE),VLOOKUP(F17,Equivalencia!$3:$23,((MAX(Equivalencia!$3:$3)-YEAR(C17))*14)+MONTH(C17)+2,FALSE)))</f>
        <v>0</v>
      </c>
      <c r="I17" s="143">
        <f t="shared" si="0"/>
        <v>0</v>
      </c>
    </row>
    <row r="18" spans="2:9" s="13" customFormat="1" ht="23.1" customHeight="1">
      <c r="B18" s="64" t="s">
        <v>18</v>
      </c>
      <c r="C18" s="65"/>
      <c r="D18" s="64"/>
      <c r="E18" s="66"/>
      <c r="F18" s="64"/>
      <c r="G18" s="67"/>
      <c r="H18" s="393">
        <f>+IF(F18=0,0,IF(F18="MXN",1/HLOOKUP(YEAR(C18)+(MONTH(C18)/100),TC!$5:$37,DAY(C18)+2,FALSE),VLOOKUP(F18,Equivalencia!$3:$23,((MAX(Equivalencia!$3:$3)-YEAR(C18))*14)+MONTH(C18)+2,FALSE)))</f>
        <v>0</v>
      </c>
      <c r="I18" s="143">
        <f t="shared" si="0"/>
        <v>0</v>
      </c>
    </row>
    <row r="19" spans="2:9" s="13" customFormat="1" ht="23.1" customHeight="1">
      <c r="B19" s="64" t="s">
        <v>19</v>
      </c>
      <c r="C19" s="65"/>
      <c r="D19" s="64"/>
      <c r="E19" s="66"/>
      <c r="F19" s="64"/>
      <c r="G19" s="67"/>
      <c r="H19" s="393">
        <f>+IF(F19=0,0,IF(F19="MXN",1/HLOOKUP(YEAR(C19)+(MONTH(C19)/100),TC!$5:$37,DAY(C19)+2,FALSE),VLOOKUP(F19,Equivalencia!$3:$23,((MAX(Equivalencia!$3:$3)-YEAR(C19))*14)+MONTH(C19)+2,FALSE)))</f>
        <v>0</v>
      </c>
      <c r="I19" s="143">
        <f t="shared" si="0"/>
        <v>0</v>
      </c>
    </row>
    <row r="20" spans="2:9" s="13" customFormat="1" ht="23.1" customHeight="1">
      <c r="B20" s="64" t="s">
        <v>20</v>
      </c>
      <c r="C20" s="65"/>
      <c r="D20" s="64"/>
      <c r="E20" s="66"/>
      <c r="F20" s="64"/>
      <c r="G20" s="67"/>
      <c r="H20" s="393">
        <f>+IF(F20=0,0,IF(F20="MXN",1/HLOOKUP(YEAR(C20)+(MONTH(C20)/100),TC!$5:$37,DAY(C20)+2,FALSE),VLOOKUP(F20,Equivalencia!$3:$23,((MAX(Equivalencia!$3:$3)-YEAR(C20))*14)+MONTH(C20)+2,FALSE)))</f>
        <v>0</v>
      </c>
      <c r="I20" s="143">
        <f t="shared" si="0"/>
        <v>0</v>
      </c>
    </row>
    <row r="21" spans="2:9" s="13" customFormat="1" ht="23.1" customHeight="1">
      <c r="B21" s="64" t="s">
        <v>21</v>
      </c>
      <c r="C21" s="65"/>
      <c r="D21" s="64"/>
      <c r="E21" s="66"/>
      <c r="F21" s="64"/>
      <c r="G21" s="67"/>
      <c r="H21" s="393">
        <f>+IF(F21=0,0,IF(F21="MXN",1/HLOOKUP(YEAR(C21)+(MONTH(C21)/100),TC!$5:$37,DAY(C21)+2,FALSE),VLOOKUP(F21,Equivalencia!$3:$23,((MAX(Equivalencia!$3:$3)-YEAR(C21))*14)+MONTH(C21)+2,FALSE)))</f>
        <v>0</v>
      </c>
      <c r="I21" s="143">
        <f t="shared" si="0"/>
        <v>0</v>
      </c>
    </row>
    <row r="22" spans="2:9" ht="23.1" customHeight="1">
      <c r="B22" s="64" t="s">
        <v>22</v>
      </c>
      <c r="C22" s="65"/>
      <c r="D22" s="64"/>
      <c r="E22" s="66"/>
      <c r="F22" s="64"/>
      <c r="G22" s="67"/>
      <c r="H22" s="393">
        <f>+IF(F22=0,0,IF(F22="MXN",1/HLOOKUP(YEAR(C22)+(MONTH(C22)/100),TC!$5:$37,DAY(C22)+2,FALSE),VLOOKUP(F22,Equivalencia!$3:$23,((MAX(Equivalencia!$3:$3)-YEAR(C22))*14)+MONTH(C22)+2,FALSE)))</f>
        <v>0</v>
      </c>
      <c r="I22" s="143">
        <f t="shared" si="0"/>
        <v>0</v>
      </c>
    </row>
    <row r="23" spans="2:9" ht="23.1" customHeight="1">
      <c r="B23" s="64" t="s">
        <v>23</v>
      </c>
      <c r="C23" s="65"/>
      <c r="D23" s="64"/>
      <c r="E23" s="66"/>
      <c r="F23" s="64"/>
      <c r="G23" s="67"/>
      <c r="H23" s="393">
        <f>+IF(F23=0,0,IF(F23="MXN",1/HLOOKUP(YEAR(C23)+(MONTH(C23)/100),TC!$5:$37,DAY(C23)+2,FALSE),VLOOKUP(F23,Equivalencia!$3:$23,((MAX(Equivalencia!$3:$3)-YEAR(C23))*14)+MONTH(C23)+2,FALSE)))</f>
        <v>0</v>
      </c>
      <c r="I23" s="143">
        <f t="shared" si="0"/>
        <v>0</v>
      </c>
    </row>
    <row r="24" spans="2:9" ht="23.1" customHeight="1">
      <c r="B24" s="54"/>
      <c r="C24" s="55"/>
      <c r="D24" s="54"/>
      <c r="E24" s="13"/>
      <c r="F24" s="54"/>
      <c r="G24" s="56"/>
      <c r="H24" s="393"/>
      <c r="I24" s="131"/>
    </row>
    <row r="25" spans="2:9" ht="23.1" customHeight="1">
      <c r="B25" s="97" t="s">
        <v>458</v>
      </c>
      <c r="C25" s="97"/>
      <c r="D25" s="97"/>
      <c r="E25" s="105"/>
      <c r="F25" s="105"/>
      <c r="G25" s="144">
        <f>SUM(G7:G24)</f>
        <v>0</v>
      </c>
      <c r="H25" s="105"/>
      <c r="I25" s="144">
        <f>SUM(I7:I24)</f>
        <v>0</v>
      </c>
    </row>
    <row r="27" spans="2:9" s="122" customFormat="1" ht="15.95">
      <c r="B27" s="12"/>
      <c r="C27" s="12"/>
      <c r="D27" s="12"/>
      <c r="E27" s="12"/>
      <c r="F27" s="12"/>
      <c r="G27" s="12"/>
      <c r="H27" s="12"/>
      <c r="I27" s="12"/>
    </row>
    <row r="29" spans="2:9" ht="30">
      <c r="B29" s="122"/>
      <c r="C29" s="122"/>
      <c r="D29" s="122"/>
      <c r="E29" s="122"/>
      <c r="F29" s="138"/>
      <c r="G29" s="139" t="s">
        <v>116</v>
      </c>
      <c r="H29" s="140"/>
      <c r="I29" s="139" t="s">
        <v>117</v>
      </c>
    </row>
    <row r="30" spans="2:9" ht="23.1" customHeight="1">
      <c r="F30" s="133"/>
      <c r="G30" s="135"/>
      <c r="H30" s="134"/>
      <c r="I30" s="136"/>
    </row>
    <row r="31" spans="2:9" ht="23.1" customHeight="1">
      <c r="D31" s="83"/>
      <c r="E31" s="145" t="s">
        <v>459</v>
      </c>
      <c r="F31" s="85">
        <f>+Cuentas!B7</f>
        <v>1175000</v>
      </c>
      <c r="G31" s="146">
        <f>SUMIF($B$7:$B$535,F31,$G$7:$G$535)</f>
        <v>0</v>
      </c>
      <c r="H31" s="147"/>
      <c r="I31" s="146">
        <f>SUMIF($B$7:$B$535,F31,$I$7:$I$535)</f>
        <v>0</v>
      </c>
    </row>
    <row r="32" spans="2:9" ht="23.1" customHeight="1">
      <c r="D32" s="83"/>
      <c r="E32" s="145" t="s">
        <v>459</v>
      </c>
      <c r="F32" s="85">
        <f>+Cuentas!B8</f>
        <v>1179000</v>
      </c>
      <c r="G32" s="146">
        <f t="shared" ref="G32:G38" si="1">SUMIF($B$7:$B$535,F32,$G$7:$G$535)</f>
        <v>0</v>
      </c>
      <c r="H32" s="147"/>
      <c r="I32" s="146">
        <f t="shared" ref="I32:I38" si="2">SUMIF($B$7:$B$535,F32,$I$7:$I$535)</f>
        <v>0</v>
      </c>
    </row>
    <row r="33" spans="4:9" ht="23.1" customHeight="1">
      <c r="D33" s="83"/>
      <c r="E33" s="145" t="s">
        <v>459</v>
      </c>
      <c r="F33" s="85">
        <f>+Cuentas!B9</f>
        <v>1427200</v>
      </c>
      <c r="G33" s="146">
        <f t="shared" si="1"/>
        <v>0</v>
      </c>
      <c r="H33" s="147"/>
      <c r="I33" s="146">
        <f t="shared" si="2"/>
        <v>0</v>
      </c>
    </row>
    <row r="34" spans="4:9" ht="23.1" customHeight="1">
      <c r="D34" s="83"/>
      <c r="E34" s="145" t="s">
        <v>459</v>
      </c>
      <c r="F34" s="85" t="str">
        <f>+Cuentas!B10</f>
        <v>B22235000</v>
      </c>
      <c r="G34" s="146">
        <f t="shared" si="1"/>
        <v>0</v>
      </c>
      <c r="H34" s="147"/>
      <c r="I34" s="146">
        <f t="shared" si="2"/>
        <v>0</v>
      </c>
    </row>
    <row r="35" spans="4:9" ht="23.1" customHeight="1">
      <c r="D35" s="83"/>
      <c r="E35" s="145" t="s">
        <v>459</v>
      </c>
      <c r="F35" s="85">
        <f>+Cuentas!B11</f>
        <v>700833580</v>
      </c>
      <c r="G35" s="146">
        <f t="shared" si="1"/>
        <v>0</v>
      </c>
      <c r="H35" s="147"/>
      <c r="I35" s="146">
        <f t="shared" si="2"/>
        <v>0</v>
      </c>
    </row>
    <row r="36" spans="4:9" ht="23.1" customHeight="1">
      <c r="D36" s="83"/>
      <c r="E36" s="145" t="s">
        <v>459</v>
      </c>
      <c r="F36" s="85" t="str">
        <f>+Cuentas!B12</f>
        <v>F</v>
      </c>
      <c r="G36" s="146">
        <f t="shared" si="1"/>
        <v>0</v>
      </c>
      <c r="H36" s="147"/>
      <c r="I36" s="146">
        <f t="shared" si="2"/>
        <v>0</v>
      </c>
    </row>
    <row r="37" spans="4:9" ht="23.1" customHeight="1">
      <c r="D37" s="83"/>
      <c r="E37" s="145" t="s">
        <v>459</v>
      </c>
      <c r="F37" s="85" t="str">
        <f>+Cuentas!B13</f>
        <v>G</v>
      </c>
      <c r="G37" s="146">
        <f t="shared" si="1"/>
        <v>0</v>
      </c>
      <c r="H37" s="147"/>
      <c r="I37" s="146">
        <f t="shared" si="2"/>
        <v>0</v>
      </c>
    </row>
    <row r="38" spans="4:9" ht="23.1" customHeight="1">
      <c r="D38" s="83"/>
      <c r="E38" s="145" t="s">
        <v>459</v>
      </c>
      <c r="F38" s="85" t="str">
        <f>+Cuentas!B14</f>
        <v>H</v>
      </c>
      <c r="G38" s="146">
        <f t="shared" si="1"/>
        <v>0</v>
      </c>
      <c r="H38" s="147"/>
      <c r="I38" s="146">
        <f t="shared" si="2"/>
        <v>0</v>
      </c>
    </row>
    <row r="39" spans="4:9" ht="23.1" customHeight="1">
      <c r="D39" s="83"/>
      <c r="E39" s="145" t="s">
        <v>459</v>
      </c>
      <c r="F39" s="85" t="str">
        <f>+Cuentas!B15</f>
        <v>I</v>
      </c>
      <c r="G39" s="146">
        <f t="shared" ref="G39:G48" si="3">SUMIF($B$7:$B$535,F39,$G$7:$G$535)</f>
        <v>0</v>
      </c>
      <c r="H39" s="147"/>
      <c r="I39" s="146">
        <f t="shared" ref="I39:I48" si="4">SUMIF($B$7:$B$535,F39,$I$7:$I$535)</f>
        <v>0</v>
      </c>
    </row>
    <row r="40" spans="4:9" ht="23.1" customHeight="1">
      <c r="D40" s="83"/>
      <c r="E40" s="145" t="s">
        <v>459</v>
      </c>
      <c r="F40" s="85" t="str">
        <f>+Cuentas!B16</f>
        <v>J</v>
      </c>
      <c r="G40" s="146">
        <f t="shared" si="3"/>
        <v>0</v>
      </c>
      <c r="H40" s="147"/>
      <c r="I40" s="146">
        <f t="shared" si="4"/>
        <v>0</v>
      </c>
    </row>
    <row r="41" spans="4:9" ht="23.1" customHeight="1">
      <c r="D41" s="83"/>
      <c r="E41" s="145" t="s">
        <v>459</v>
      </c>
      <c r="F41" s="85" t="str">
        <f>+Cuentas!B17</f>
        <v>K</v>
      </c>
      <c r="G41" s="146">
        <f t="shared" si="3"/>
        <v>0</v>
      </c>
      <c r="H41" s="147"/>
      <c r="I41" s="146">
        <f t="shared" si="4"/>
        <v>0</v>
      </c>
    </row>
    <row r="42" spans="4:9" ht="23.1" customHeight="1">
      <c r="D42" s="83"/>
      <c r="E42" s="145" t="s">
        <v>459</v>
      </c>
      <c r="F42" s="85" t="str">
        <f>+Cuentas!B18</f>
        <v>L</v>
      </c>
      <c r="G42" s="146">
        <f t="shared" si="3"/>
        <v>0</v>
      </c>
      <c r="H42" s="147"/>
      <c r="I42" s="146">
        <f t="shared" si="4"/>
        <v>0</v>
      </c>
    </row>
    <row r="43" spans="4:9" ht="23.1" customHeight="1">
      <c r="D43" s="83"/>
      <c r="E43" s="145" t="s">
        <v>459</v>
      </c>
      <c r="F43" s="85" t="str">
        <f>+Cuentas!B19</f>
        <v>M</v>
      </c>
      <c r="G43" s="146">
        <f t="shared" si="3"/>
        <v>0</v>
      </c>
      <c r="H43" s="147"/>
      <c r="I43" s="146">
        <f t="shared" si="4"/>
        <v>0</v>
      </c>
    </row>
    <row r="44" spans="4:9" ht="23.1" customHeight="1">
      <c r="D44" s="83"/>
      <c r="E44" s="145" t="s">
        <v>459</v>
      </c>
      <c r="F44" s="85" t="str">
        <f>+Cuentas!B20</f>
        <v>N</v>
      </c>
      <c r="G44" s="146">
        <f>SUMIF($B$7:$B$535,F44,$G$7:$G$535)</f>
        <v>0</v>
      </c>
      <c r="H44" s="147"/>
      <c r="I44" s="146">
        <f t="shared" si="4"/>
        <v>0</v>
      </c>
    </row>
    <row r="45" spans="4:9" ht="23.1" customHeight="1">
      <c r="D45" s="83"/>
      <c r="E45" s="145" t="s">
        <v>459</v>
      </c>
      <c r="F45" s="85" t="str">
        <f>+Cuentas!B21</f>
        <v>O</v>
      </c>
      <c r="G45" s="146">
        <f t="shared" si="3"/>
        <v>0</v>
      </c>
      <c r="H45" s="147"/>
      <c r="I45" s="146">
        <f t="shared" si="4"/>
        <v>0</v>
      </c>
    </row>
    <row r="46" spans="4:9" ht="23.1" customHeight="1">
      <c r="D46" s="83"/>
      <c r="E46" s="145" t="s">
        <v>459</v>
      </c>
      <c r="F46" s="85" t="str">
        <f>+Cuentas!B22</f>
        <v>P</v>
      </c>
      <c r="G46" s="146">
        <f t="shared" si="3"/>
        <v>0</v>
      </c>
      <c r="H46" s="147"/>
      <c r="I46" s="146">
        <f t="shared" si="4"/>
        <v>0</v>
      </c>
    </row>
    <row r="47" spans="4:9" ht="23.1" customHeight="1">
      <c r="D47" s="83"/>
      <c r="E47" s="145" t="s">
        <v>459</v>
      </c>
      <c r="F47" s="85" t="str">
        <f>+Cuentas!B23</f>
        <v>Q</v>
      </c>
      <c r="G47" s="146">
        <f t="shared" si="3"/>
        <v>0</v>
      </c>
      <c r="H47" s="147"/>
      <c r="I47" s="146">
        <f t="shared" si="4"/>
        <v>0</v>
      </c>
    </row>
    <row r="48" spans="4:9" ht="23.1" customHeight="1">
      <c r="D48" s="83"/>
      <c r="E48" s="145" t="s">
        <v>459</v>
      </c>
      <c r="F48" s="85" t="str">
        <f>+Cuentas!B24</f>
        <v>R</v>
      </c>
      <c r="G48" s="146">
        <f t="shared" si="3"/>
        <v>0</v>
      </c>
      <c r="H48" s="147"/>
      <c r="I48" s="146">
        <f t="shared" si="4"/>
        <v>0</v>
      </c>
    </row>
    <row r="50" spans="2:9" ht="23.1" customHeight="1">
      <c r="F50" s="149" t="s">
        <v>119</v>
      </c>
      <c r="G50" s="150">
        <f>SUM(G31:G49)</f>
        <v>0</v>
      </c>
      <c r="H50" s="87"/>
      <c r="I50" s="150">
        <f>SUM(I31:I49)</f>
        <v>0</v>
      </c>
    </row>
    <row r="53" spans="2:9" ht="23.1" customHeight="1">
      <c r="B53" s="94" t="s">
        <v>26</v>
      </c>
    </row>
    <row r="54" spans="2:9" ht="23.1" customHeight="1">
      <c r="B54" s="13"/>
      <c r="C54" s="13"/>
      <c r="D54" s="13"/>
      <c r="E54" s="13"/>
      <c r="F54" s="13"/>
      <c r="G54" s="13"/>
      <c r="H54" s="13"/>
      <c r="I54" s="13"/>
    </row>
    <row r="55" spans="2:9" ht="23.1" customHeight="1">
      <c r="B55" s="13"/>
      <c r="C55" s="13"/>
      <c r="D55" s="13"/>
      <c r="E55" s="13"/>
      <c r="F55" s="13"/>
      <c r="G55" s="13"/>
      <c r="H55" s="13"/>
      <c r="I55" s="13"/>
    </row>
    <row r="56" spans="2:9" ht="23.1" customHeight="1">
      <c r="B56" s="13"/>
      <c r="C56" s="13"/>
      <c r="D56" s="13"/>
      <c r="E56" s="13"/>
      <c r="F56" s="13"/>
      <c r="G56" s="13"/>
      <c r="H56" s="13"/>
      <c r="I56" s="13"/>
    </row>
    <row r="57" spans="2:9" ht="23.1" customHeight="1">
      <c r="B57" s="13"/>
      <c r="C57" s="13"/>
      <c r="D57" s="13"/>
      <c r="E57" s="13"/>
      <c r="F57" s="13"/>
      <c r="G57" s="13"/>
      <c r="H57" s="13"/>
      <c r="I57" s="13"/>
    </row>
    <row r="58" spans="2:9" ht="23.1" customHeight="1">
      <c r="B58" s="13"/>
      <c r="C58" s="13"/>
      <c r="D58" s="13"/>
      <c r="E58" s="13"/>
      <c r="F58" s="13"/>
      <c r="G58" s="13"/>
      <c r="H58" s="13"/>
      <c r="I58" s="13"/>
    </row>
    <row r="59" spans="2:9" ht="23.1" customHeight="1">
      <c r="B59" s="13"/>
      <c r="C59" s="13"/>
      <c r="D59" s="13"/>
      <c r="E59" s="13"/>
      <c r="F59" s="13"/>
      <c r="G59" s="13"/>
      <c r="H59" s="13"/>
      <c r="I59" s="13"/>
    </row>
    <row r="60" spans="2:9" ht="23.1" customHeight="1">
      <c r="B60" s="13"/>
      <c r="C60" s="13"/>
      <c r="D60" s="13"/>
      <c r="E60" s="13"/>
      <c r="F60" s="13"/>
      <c r="G60" s="13"/>
      <c r="H60" s="13"/>
      <c r="I60" s="13"/>
    </row>
    <row r="61" spans="2:9" ht="23.1" customHeight="1">
      <c r="B61" s="13"/>
      <c r="C61" s="13"/>
      <c r="D61" s="13"/>
      <c r="E61" s="13"/>
      <c r="F61" s="13"/>
      <c r="G61" s="13"/>
      <c r="H61" s="13"/>
      <c r="I61" s="13"/>
    </row>
    <row r="62" spans="2:9" ht="23.1" customHeight="1">
      <c r="B62" s="13"/>
      <c r="C62" s="13"/>
      <c r="D62" s="13"/>
      <c r="E62" s="13"/>
      <c r="F62" s="13"/>
      <c r="G62" s="13"/>
      <c r="H62" s="13"/>
      <c r="I62" s="13"/>
    </row>
    <row r="63" spans="2:9" ht="23.1" customHeight="1">
      <c r="B63" s="13"/>
      <c r="C63" s="13"/>
      <c r="D63" s="13"/>
      <c r="E63" s="13"/>
      <c r="F63" s="13"/>
      <c r="G63" s="13"/>
      <c r="H63" s="13"/>
      <c r="I63" s="13"/>
    </row>
    <row r="64" spans="2:9" ht="23.1" customHeight="1">
      <c r="B64" s="13"/>
      <c r="C64" s="13"/>
      <c r="D64" s="13"/>
      <c r="E64" s="13"/>
      <c r="F64" s="13"/>
      <c r="G64" s="13"/>
      <c r="H64" s="13"/>
      <c r="I64" s="13"/>
    </row>
    <row r="65" spans="2:9" ht="23.1" customHeight="1">
      <c r="B65" s="13"/>
      <c r="C65" s="13"/>
      <c r="D65" s="13"/>
      <c r="E65" s="13"/>
      <c r="F65" s="13"/>
      <c r="G65" s="13"/>
      <c r="H65" s="13"/>
      <c r="I65" s="13"/>
    </row>
    <row r="66" spans="2:9" ht="23.1" customHeight="1">
      <c r="B66" s="13"/>
      <c r="C66" s="13"/>
      <c r="D66" s="13"/>
      <c r="E66" s="13"/>
      <c r="F66" s="13"/>
      <c r="G66" s="13"/>
      <c r="H66" s="13"/>
      <c r="I66" s="13"/>
    </row>
    <row r="67" spans="2:9" ht="23.1" customHeight="1">
      <c r="B67" s="13"/>
      <c r="C67" s="13"/>
      <c r="D67" s="13"/>
      <c r="E67" s="13"/>
      <c r="F67" s="13"/>
      <c r="G67" s="13"/>
      <c r="H67" s="13"/>
      <c r="I67" s="13"/>
    </row>
    <row r="68" spans="2:9" ht="23.1" customHeight="1">
      <c r="B68" s="13"/>
      <c r="C68" s="13"/>
      <c r="D68" s="13"/>
      <c r="E68" s="13"/>
      <c r="F68" s="13"/>
      <c r="G68" s="13"/>
      <c r="H68" s="13"/>
      <c r="I68" s="13"/>
    </row>
    <row r="69" spans="2:9" ht="23.1" customHeight="1">
      <c r="B69" s="13"/>
      <c r="C69" s="13"/>
      <c r="D69" s="13"/>
      <c r="E69" s="13"/>
      <c r="F69" s="13"/>
      <c r="G69" s="13"/>
      <c r="H69" s="13"/>
      <c r="I69" s="13"/>
    </row>
    <row r="70" spans="2:9" ht="23.1" customHeight="1">
      <c r="B70" s="13"/>
      <c r="C70" s="13"/>
      <c r="D70" s="13"/>
      <c r="E70" s="13"/>
      <c r="F70" s="13"/>
      <c r="G70" s="13"/>
      <c r="H70" s="13"/>
      <c r="I70" s="13"/>
    </row>
    <row r="71" spans="2:9" ht="23.1" customHeight="1">
      <c r="B71" s="13"/>
      <c r="C71" s="13"/>
      <c r="D71" s="13"/>
      <c r="E71" s="13"/>
      <c r="F71" s="13"/>
      <c r="G71" s="13"/>
      <c r="H71" s="13"/>
      <c r="I71" s="13"/>
    </row>
    <row r="72" spans="2:9" ht="23.1" customHeight="1">
      <c r="B72" s="13"/>
      <c r="C72" s="13"/>
      <c r="D72" s="13"/>
      <c r="E72" s="13"/>
      <c r="F72" s="13"/>
      <c r="G72" s="13"/>
      <c r="H72" s="13"/>
      <c r="I72" s="13"/>
    </row>
    <row r="73" spans="2:9" ht="23.1" customHeight="1">
      <c r="B73" s="13"/>
      <c r="C73" s="13"/>
      <c r="D73" s="13"/>
      <c r="E73" s="13"/>
      <c r="F73" s="13"/>
      <c r="G73" s="13"/>
      <c r="H73" s="13"/>
      <c r="I73" s="13"/>
    </row>
    <row r="74" spans="2:9" ht="23.1" customHeight="1">
      <c r="B74" s="13"/>
      <c r="C74" s="13"/>
      <c r="D74" s="13"/>
      <c r="E74" s="13"/>
      <c r="F74" s="13"/>
      <c r="G74" s="13"/>
      <c r="H74" s="13"/>
      <c r="I74" s="13"/>
    </row>
    <row r="75" spans="2:9" ht="23.1" customHeight="1">
      <c r="B75" s="13"/>
      <c r="C75" s="13"/>
      <c r="D75" s="13"/>
      <c r="E75" s="13"/>
      <c r="F75" s="13"/>
      <c r="G75" s="13"/>
      <c r="H75" s="13"/>
      <c r="I75" s="13"/>
    </row>
    <row r="76" spans="2:9" ht="23.1" customHeight="1">
      <c r="B76" s="13"/>
      <c r="C76" s="13"/>
      <c r="D76" s="13"/>
      <c r="E76" s="13"/>
      <c r="F76" s="13"/>
      <c r="G76" s="13"/>
      <c r="H76" s="13"/>
      <c r="I76" s="13"/>
    </row>
    <row r="77" spans="2:9" ht="23.1" customHeight="1">
      <c r="B77" s="13"/>
      <c r="C77" s="13"/>
      <c r="D77" s="13"/>
      <c r="E77" s="13"/>
      <c r="F77" s="13"/>
      <c r="G77" s="13"/>
      <c r="H77" s="13"/>
      <c r="I77" s="13"/>
    </row>
    <row r="78" spans="2:9" ht="23.1" customHeight="1">
      <c r="B78" s="13"/>
      <c r="C78" s="13"/>
      <c r="D78" s="13"/>
      <c r="E78" s="13"/>
      <c r="F78" s="13"/>
      <c r="G78" s="13"/>
      <c r="H78" s="13"/>
      <c r="I78" s="13"/>
    </row>
    <row r="79" spans="2:9" ht="23.1" customHeight="1">
      <c r="B79" s="13"/>
      <c r="C79" s="13"/>
      <c r="D79" s="13"/>
      <c r="E79" s="13"/>
      <c r="F79" s="13"/>
      <c r="G79" s="13"/>
      <c r="H79" s="13"/>
      <c r="I79" s="13"/>
    </row>
    <row r="80" spans="2:9" ht="23.1" customHeight="1">
      <c r="B80" s="13"/>
      <c r="C80" s="13"/>
      <c r="D80" s="13"/>
      <c r="E80" s="13"/>
      <c r="F80" s="13"/>
      <c r="G80" s="13"/>
      <c r="H80" s="13"/>
      <c r="I80" s="13"/>
    </row>
    <row r="81" spans="2:9" ht="23.1" customHeight="1">
      <c r="B81" s="13"/>
      <c r="C81" s="13"/>
      <c r="D81" s="13"/>
      <c r="E81" s="13"/>
      <c r="F81" s="13"/>
      <c r="G81" s="13"/>
      <c r="H81" s="13"/>
      <c r="I81" s="13"/>
    </row>
    <row r="82" spans="2:9" ht="23.1" customHeight="1">
      <c r="B82" s="13"/>
      <c r="C82" s="13"/>
      <c r="D82" s="13"/>
      <c r="E82" s="13"/>
      <c r="F82" s="13"/>
      <c r="G82" s="13"/>
      <c r="H82" s="13"/>
      <c r="I82" s="13"/>
    </row>
  </sheetData>
  <sheetProtection algorithmName="SHA-512" hashValue="OyNIfUgXAfhS1ZCkkJ1GuBZVkF2SftiV00YOagloMkoGdzOOqlF9oam2rrI1QOttuUIYuCzwuvPVgIi01u3GOA==" saltValue="q5RRcG3Pj/8bZmHi+R4ALw==" spinCount="100000" sheet="1" formatCells="0" formatColumns="0" formatRows="0" insertColumns="0" insertRows="0" deleteColumns="0" deleteRows="0" autoFilter="0"/>
  <autoFilter ref="B6:I25" xr:uid="{5CCE8C1D-7BCE-6E4A-A1D7-868BEDD0DE80}"/>
  <mergeCells count="2">
    <mergeCell ref="B2:I2"/>
    <mergeCell ref="B3:I3"/>
  </mergeCells>
  <phoneticPr fontId="9" type="noConversion"/>
  <dataValidations count="1">
    <dataValidation type="list" allowBlank="1" showInputMessage="1" showErrorMessage="1" promptTitle="OJO:" prompt="Selecciona una opción" sqref="D8:D23" xr:uid="{00000000-0002-0000-0800-000000000000}">
      <formula1>$P$2:$P$5</formula1>
    </dataValidation>
  </dataValidations>
  <pageMargins left="0.7" right="0.7" top="0.75" bottom="0.75" header="0.3" footer="0.3"/>
  <pageSetup scale="45" fitToHeight="3"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Selecciona una moneda" xr:uid="{00000000-0002-0000-0800-000001000000}">
          <x14:formula1>
            <xm:f>Equivalencia!$A$4:$A$23</xm:f>
          </x14:formula1>
          <xm:sqref>F8:F23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2:O98"/>
  <sheetViews>
    <sheetView view="pageBreakPreview" zoomScale="110" zoomScaleNormal="100" zoomScaleSheetLayoutView="110" workbookViewId="0">
      <pane ySplit="6" topLeftCell="A7" activePane="bottomLeft" state="frozen"/>
      <selection pane="bottomLeft" activeCell="C5" sqref="C5"/>
      <selection activeCell="C5" sqref="C5"/>
    </sheetView>
  </sheetViews>
  <sheetFormatPr defaultColWidth="10.6640625" defaultRowHeight="23.1" customHeight="1"/>
  <cols>
    <col min="1" max="1" width="9.5546875" style="12" customWidth="1"/>
    <col min="2" max="2" width="18.33203125" style="12" customWidth="1"/>
    <col min="3" max="3" width="12.5546875" style="12" customWidth="1"/>
    <col min="4" max="4" width="30.6640625" style="12" customWidth="1"/>
    <col min="5" max="5" width="45.6640625" style="12" customWidth="1"/>
    <col min="6" max="6" width="16.88671875" style="12" customWidth="1"/>
    <col min="7" max="7" width="20.6640625" style="12" customWidth="1"/>
    <col min="8" max="8" width="13.44140625" style="12" customWidth="1"/>
    <col min="9" max="9" width="19.88671875" style="12" customWidth="1"/>
    <col min="10" max="14" width="10.6640625" style="12"/>
    <col min="15" max="15" width="31.5546875" style="12" customWidth="1"/>
    <col min="16" max="16384" width="10.6640625" style="12"/>
  </cols>
  <sheetData>
    <row r="2" spans="2:15" ht="23.1" customHeight="1">
      <c r="B2" s="587" t="s">
        <v>460</v>
      </c>
      <c r="C2" s="587"/>
      <c r="D2" s="587"/>
      <c r="E2" s="587"/>
      <c r="F2" s="587"/>
      <c r="G2" s="587"/>
      <c r="H2" s="587"/>
      <c r="I2" s="587"/>
      <c r="O2" s="53" t="s">
        <v>461</v>
      </c>
    </row>
    <row r="3" spans="2:15" ht="23.1" customHeight="1">
      <c r="B3" s="588" t="s">
        <v>224</v>
      </c>
      <c r="C3" s="588"/>
      <c r="D3" s="588"/>
      <c r="E3" s="588"/>
      <c r="F3" s="588"/>
      <c r="G3" s="588"/>
      <c r="H3" s="588"/>
      <c r="I3" s="588"/>
      <c r="O3" s="53" t="s">
        <v>462</v>
      </c>
    </row>
    <row r="4" spans="2:15" ht="14.1" customHeight="1">
      <c r="B4" s="79" t="s">
        <v>41</v>
      </c>
      <c r="C4" s="79" t="s">
        <v>42</v>
      </c>
      <c r="D4" s="79"/>
      <c r="E4" s="80"/>
      <c r="F4" s="80"/>
      <c r="G4" s="80"/>
      <c r="H4" s="80"/>
      <c r="I4" s="80"/>
      <c r="O4" s="53" t="s">
        <v>463</v>
      </c>
    </row>
    <row r="5" spans="2:15" ht="23.1" customHeight="1">
      <c r="B5" s="141"/>
      <c r="C5" s="141"/>
      <c r="D5" s="141"/>
      <c r="E5" s="142"/>
      <c r="F5" s="142"/>
      <c r="G5" s="142"/>
      <c r="H5" s="142"/>
      <c r="I5" s="142"/>
      <c r="O5" s="53"/>
    </row>
    <row r="6" spans="2:15" ht="23.1" customHeight="1">
      <c r="B6" s="62" t="s">
        <v>103</v>
      </c>
      <c r="C6" s="62" t="s">
        <v>29</v>
      </c>
      <c r="D6" s="62" t="s">
        <v>457</v>
      </c>
      <c r="E6" s="62" t="s">
        <v>124</v>
      </c>
      <c r="F6" s="62" t="s">
        <v>106</v>
      </c>
      <c r="G6" s="62" t="s">
        <v>107</v>
      </c>
      <c r="H6" s="62" t="s">
        <v>108</v>
      </c>
      <c r="I6" s="62" t="s">
        <v>109</v>
      </c>
      <c r="O6" s="53"/>
    </row>
    <row r="7" spans="2:15" s="13" customFormat="1" ht="23.1" customHeight="1">
      <c r="B7" s="12"/>
      <c r="C7" s="12"/>
      <c r="D7" s="12"/>
      <c r="E7" s="12"/>
      <c r="F7" s="12"/>
      <c r="G7" s="12"/>
      <c r="H7" s="12"/>
      <c r="I7" s="12"/>
      <c r="O7" s="53"/>
    </row>
    <row r="8" spans="2:15" s="13" customFormat="1" ht="23.1" customHeight="1">
      <c r="B8" s="64" t="s">
        <v>125</v>
      </c>
      <c r="C8" s="65"/>
      <c r="D8" s="64"/>
      <c r="E8" s="66"/>
      <c r="F8" s="64"/>
      <c r="G8" s="67"/>
      <c r="H8" s="393">
        <f>+IF(F8=0,0,IF(F8="MXN",1/HLOOKUP(YEAR(C8)+(MONTH(C8)/100),TC!$5:$37,DAY(C8)+2,FALSE),VLOOKUP(F8,Equivalencia!$3:$23,((MAX(Equivalencia!$3:$3)-YEAR(C8))*14)+MONTH(C8)+2,FALSE)))</f>
        <v>0</v>
      </c>
      <c r="I8" s="143">
        <f t="shared" ref="I8:I11" si="0">+H8*G8</f>
        <v>0</v>
      </c>
    </row>
    <row r="9" spans="2:15" s="13" customFormat="1" ht="23.1" customHeight="1">
      <c r="B9" s="64" t="s">
        <v>126</v>
      </c>
      <c r="C9" s="65"/>
      <c r="D9" s="64"/>
      <c r="E9" s="66"/>
      <c r="F9" s="64"/>
      <c r="G9" s="67"/>
      <c r="H9" s="393">
        <f>+IF(F9=0,0,IF(F9="MXN",1/HLOOKUP(YEAR(C9)+(MONTH(C9)/100),TC!$5:$37,DAY(C9)+2,FALSE),VLOOKUP(F9,Equivalencia!$3:$23,((MAX(Equivalencia!$3:$3)-YEAR(C9))*14)+MONTH(C9)+2,FALSE)))</f>
        <v>0</v>
      </c>
      <c r="I9" s="143">
        <f t="shared" si="0"/>
        <v>0</v>
      </c>
    </row>
    <row r="10" spans="2:15" s="13" customFormat="1" ht="23.1" customHeight="1">
      <c r="B10" s="64" t="s">
        <v>127</v>
      </c>
      <c r="C10" s="65"/>
      <c r="D10" s="64"/>
      <c r="E10" s="66"/>
      <c r="F10" s="64"/>
      <c r="G10" s="67"/>
      <c r="H10" s="393">
        <f>+IF(F10=0,0,IF(F10="MXN",1/HLOOKUP(YEAR(C10)+(MONTH(C10)/100),TC!$5:$37,DAY(C10)+2,FALSE),VLOOKUP(F10,Equivalencia!$3:$23,((MAX(Equivalencia!$3:$3)-YEAR(C10))*14)+MONTH(C10)+2,FALSE)))</f>
        <v>0</v>
      </c>
      <c r="I10" s="143">
        <f t="shared" si="0"/>
        <v>0</v>
      </c>
    </row>
    <row r="11" spans="2:15" s="13" customFormat="1" ht="23.1" customHeight="1">
      <c r="B11" s="64" t="s">
        <v>128</v>
      </c>
      <c r="C11" s="65"/>
      <c r="D11" s="64"/>
      <c r="E11" s="66"/>
      <c r="F11" s="64"/>
      <c r="G11" s="67"/>
      <c r="H11" s="393">
        <f>+IF(F11=0,0,IF(F11="MXN",1/HLOOKUP(YEAR(C11)+(MONTH(C11)/100),TC!$5:$37,DAY(C11)+2,FALSE),VLOOKUP(F11,Equivalencia!$3:$23,((MAX(Equivalencia!$3:$3)-YEAR(C11))*14)+MONTH(C11)+2,FALSE)))</f>
        <v>0</v>
      </c>
      <c r="I11" s="143">
        <f t="shared" si="0"/>
        <v>0</v>
      </c>
    </row>
    <row r="12" spans="2:15" s="13" customFormat="1" ht="23.1" customHeight="1">
      <c r="B12" s="64" t="s">
        <v>129</v>
      </c>
      <c r="C12" s="65"/>
      <c r="D12" s="64"/>
      <c r="E12" s="66"/>
      <c r="F12" s="64"/>
      <c r="G12" s="67"/>
      <c r="H12" s="393">
        <f>+IF(F12=0,0,IF(F12="MXN",1/HLOOKUP(YEAR(C12)+(MONTH(C12)/100),TC!$5:$37,DAY(C12)+2,FALSE),VLOOKUP(F12,Equivalencia!$3:$23,((MAX(Equivalencia!$3:$3)-YEAR(C12))*14)+MONTH(C12)+2,FALSE)))</f>
        <v>0</v>
      </c>
      <c r="I12" s="143">
        <f t="shared" ref="I12:I25" si="1">+H12*G12</f>
        <v>0</v>
      </c>
    </row>
    <row r="13" spans="2:15" s="13" customFormat="1" ht="23.1" customHeight="1">
      <c r="B13" s="64" t="s">
        <v>13</v>
      </c>
      <c r="C13" s="65"/>
      <c r="D13" s="64"/>
      <c r="E13" s="66"/>
      <c r="F13" s="64"/>
      <c r="G13" s="67"/>
      <c r="H13" s="393">
        <f>+IF(F13=0,0,IF(F13="MXN",1/HLOOKUP(YEAR(C13)+(MONTH(C13)/100),TC!$5:$37,DAY(C13)+2,FALSE),VLOOKUP(F13,Equivalencia!$3:$23,((MAX(Equivalencia!$3:$3)-YEAR(C13))*14)+MONTH(C13)+2,FALSE)))</f>
        <v>0</v>
      </c>
      <c r="I13" s="143">
        <f t="shared" si="1"/>
        <v>0</v>
      </c>
    </row>
    <row r="14" spans="2:15" s="13" customFormat="1" ht="23.1" customHeight="1">
      <c r="B14" s="64" t="s">
        <v>14</v>
      </c>
      <c r="C14" s="65"/>
      <c r="D14" s="64"/>
      <c r="E14" s="66"/>
      <c r="F14" s="64"/>
      <c r="G14" s="67"/>
      <c r="H14" s="393">
        <f>+IF(F14=0,0,IF(F14="MXN",1/HLOOKUP(YEAR(C14)+(MONTH(C14)/100),TC!$5:$37,DAY(C14)+2,FALSE),VLOOKUP(F14,Equivalencia!$3:$23,((MAX(Equivalencia!$3:$3)-YEAR(C14))*14)+MONTH(C14)+2,FALSE)))</f>
        <v>0</v>
      </c>
      <c r="I14" s="143">
        <f t="shared" si="1"/>
        <v>0</v>
      </c>
    </row>
    <row r="15" spans="2:15" s="13" customFormat="1" ht="23.1" customHeight="1">
      <c r="B15" s="64" t="s">
        <v>15</v>
      </c>
      <c r="C15" s="65"/>
      <c r="D15" s="64"/>
      <c r="E15" s="66"/>
      <c r="F15" s="64"/>
      <c r="G15" s="67"/>
      <c r="H15" s="393">
        <f>+IF(F15=0,0,IF(F15="MXN",1/HLOOKUP(YEAR(C15)+(MONTH(C15)/100),TC!$5:$37,DAY(C15)+2,FALSE),VLOOKUP(F15,Equivalencia!$3:$23,((MAX(Equivalencia!$3:$3)-YEAR(C15))*14)+MONTH(C15)+2,FALSE)))</f>
        <v>0</v>
      </c>
      <c r="I15" s="143">
        <f t="shared" si="1"/>
        <v>0</v>
      </c>
    </row>
    <row r="16" spans="2:15" s="13" customFormat="1" ht="23.1" customHeight="1">
      <c r="B16" s="64" t="s">
        <v>16</v>
      </c>
      <c r="C16" s="65"/>
      <c r="D16" s="64"/>
      <c r="E16" s="66"/>
      <c r="F16" s="64"/>
      <c r="G16" s="67"/>
      <c r="H16" s="393">
        <f>+IF(F16=0,0,IF(F16="MXN",1/HLOOKUP(YEAR(C16)+(MONTH(C16)/100),TC!$5:$37,DAY(C16)+2,FALSE),VLOOKUP(F16,Equivalencia!$3:$23,((MAX(Equivalencia!$3:$3)-YEAR(C16))*14)+MONTH(C16)+2,FALSE)))</f>
        <v>0</v>
      </c>
      <c r="I16" s="143">
        <f t="shared" si="1"/>
        <v>0</v>
      </c>
    </row>
    <row r="17" spans="2:9" s="13" customFormat="1" ht="23.1" customHeight="1">
      <c r="B17" s="64" t="s">
        <v>17</v>
      </c>
      <c r="C17" s="65"/>
      <c r="D17" s="64"/>
      <c r="E17" s="66"/>
      <c r="F17" s="64"/>
      <c r="G17" s="67"/>
      <c r="H17" s="393">
        <f>+IF(F17=0,0,IF(F17="MXN",1/HLOOKUP(YEAR(C17)+(MONTH(C17)/100),TC!$5:$37,DAY(C17)+2,FALSE),VLOOKUP(F17,Equivalencia!$3:$23,((MAX(Equivalencia!$3:$3)-YEAR(C17))*14)+MONTH(C17)+2,FALSE)))</f>
        <v>0</v>
      </c>
      <c r="I17" s="143">
        <f t="shared" si="1"/>
        <v>0</v>
      </c>
    </row>
    <row r="18" spans="2:9" s="13" customFormat="1" ht="23.1" customHeight="1">
      <c r="B18" s="64" t="s">
        <v>18</v>
      </c>
      <c r="C18" s="65"/>
      <c r="D18" s="64"/>
      <c r="E18" s="66"/>
      <c r="F18" s="64"/>
      <c r="G18" s="67"/>
      <c r="H18" s="393">
        <f>+IF(F18=0,0,IF(F18="MXN",1/HLOOKUP(YEAR(C18)+(MONTH(C18)/100),TC!$5:$37,DAY(C18)+2,FALSE),VLOOKUP(F18,Equivalencia!$3:$23,((MAX(Equivalencia!$3:$3)-YEAR(C18))*14)+MONTH(C18)+2,FALSE)))</f>
        <v>0</v>
      </c>
      <c r="I18" s="143">
        <f t="shared" si="1"/>
        <v>0</v>
      </c>
    </row>
    <row r="19" spans="2:9" s="13" customFormat="1" ht="23.1" customHeight="1">
      <c r="B19" s="64" t="s">
        <v>19</v>
      </c>
      <c r="C19" s="65"/>
      <c r="D19" s="64"/>
      <c r="E19" s="66"/>
      <c r="F19" s="64"/>
      <c r="G19" s="67"/>
      <c r="H19" s="393">
        <f>+IF(F19=0,0,IF(F19="MXN",1/HLOOKUP(YEAR(C19)+(MONTH(C19)/100),TC!$5:$37,DAY(C19)+2,FALSE),VLOOKUP(F19,Equivalencia!$3:$23,((MAX(Equivalencia!$3:$3)-YEAR(C19))*14)+MONTH(C19)+2,FALSE)))</f>
        <v>0</v>
      </c>
      <c r="I19" s="143">
        <f t="shared" si="1"/>
        <v>0</v>
      </c>
    </row>
    <row r="20" spans="2:9" s="13" customFormat="1" ht="23.1" customHeight="1">
      <c r="B20" s="64" t="s">
        <v>20</v>
      </c>
      <c r="C20" s="65"/>
      <c r="D20" s="64"/>
      <c r="E20" s="66"/>
      <c r="F20" s="64"/>
      <c r="G20" s="67"/>
      <c r="H20" s="393">
        <f>+IF(F20=0,0,IF(F20="MXN",1/HLOOKUP(YEAR(C20)+(MONTH(C20)/100),TC!$5:$37,DAY(C20)+2,FALSE),VLOOKUP(F20,Equivalencia!$3:$23,((MAX(Equivalencia!$3:$3)-YEAR(C20))*14)+MONTH(C20)+2,FALSE)))</f>
        <v>0</v>
      </c>
      <c r="I20" s="143">
        <f t="shared" si="1"/>
        <v>0</v>
      </c>
    </row>
    <row r="21" spans="2:9" s="13" customFormat="1" ht="23.1" customHeight="1">
      <c r="B21" s="64" t="s">
        <v>21</v>
      </c>
      <c r="C21" s="65"/>
      <c r="D21" s="64"/>
      <c r="E21" s="66"/>
      <c r="F21" s="64"/>
      <c r="G21" s="67"/>
      <c r="H21" s="393">
        <f>+IF(F21=0,0,IF(F21="MXN",1/HLOOKUP(YEAR(C21)+(MONTH(C21)/100),TC!$5:$37,DAY(C21)+2,FALSE),VLOOKUP(F21,Equivalencia!$3:$23,((MAX(Equivalencia!$3:$3)-YEAR(C21))*14)+MONTH(C21)+2,FALSE)))</f>
        <v>0</v>
      </c>
      <c r="I21" s="143">
        <f t="shared" si="1"/>
        <v>0</v>
      </c>
    </row>
    <row r="22" spans="2:9" s="13" customFormat="1" ht="23.1" customHeight="1">
      <c r="B22" s="64" t="s">
        <v>22</v>
      </c>
      <c r="C22" s="65"/>
      <c r="D22" s="64"/>
      <c r="E22" s="66"/>
      <c r="F22" s="64"/>
      <c r="G22" s="67"/>
      <c r="H22" s="393">
        <f>+IF(F22=0,0,IF(F22="MXN",1/HLOOKUP(YEAR(C22)+(MONTH(C22)/100),TC!$5:$37,DAY(C22)+2,FALSE),VLOOKUP(F22,Equivalencia!$3:$23,((MAX(Equivalencia!$3:$3)-YEAR(C22))*14)+MONTH(C22)+2,FALSE)))</f>
        <v>0</v>
      </c>
      <c r="I22" s="143">
        <f t="shared" si="1"/>
        <v>0</v>
      </c>
    </row>
    <row r="23" spans="2:9" s="13" customFormat="1" ht="23.1" customHeight="1">
      <c r="B23" s="64" t="s">
        <v>23</v>
      </c>
      <c r="C23" s="65"/>
      <c r="D23" s="64"/>
      <c r="E23" s="66"/>
      <c r="F23" s="64"/>
      <c r="G23" s="67"/>
      <c r="H23" s="393">
        <f>+IF(F23=0,0,IF(F23="MXN",1/HLOOKUP(YEAR(C23)+(MONTH(C23)/100),TC!$5:$37,DAY(C23)+2,FALSE),VLOOKUP(F23,Equivalencia!$3:$23,((MAX(Equivalencia!$3:$3)-YEAR(C23))*14)+MONTH(C23)+2,FALSE)))</f>
        <v>0</v>
      </c>
      <c r="I23" s="143">
        <f t="shared" si="1"/>
        <v>0</v>
      </c>
    </row>
    <row r="24" spans="2:9" s="13" customFormat="1" ht="23.1" customHeight="1">
      <c r="B24" s="64" t="s">
        <v>24</v>
      </c>
      <c r="C24" s="65"/>
      <c r="D24" s="64"/>
      <c r="E24" s="66"/>
      <c r="F24" s="64"/>
      <c r="G24" s="67"/>
      <c r="H24" s="393">
        <f>+IF(F24=0,0,IF(F24="MXN",1/HLOOKUP(YEAR(C24)+(MONTH(C24)/100),TC!$5:$37,DAY(C24)+2,FALSE),VLOOKUP(F24,Equivalencia!$3:$23,((MAX(Equivalencia!$3:$3)-YEAR(C24))*14)+MONTH(C24)+2,FALSE)))</f>
        <v>0</v>
      </c>
      <c r="I24" s="143">
        <f t="shared" si="1"/>
        <v>0</v>
      </c>
    </row>
    <row r="25" spans="2:9" ht="23.1" customHeight="1">
      <c r="B25" s="64" t="s">
        <v>25</v>
      </c>
      <c r="C25" s="65"/>
      <c r="D25" s="64"/>
      <c r="E25" s="66"/>
      <c r="F25" s="64"/>
      <c r="G25" s="67"/>
      <c r="H25" s="393">
        <f>+IF(F25=0,0,IF(F25="MXN",1/HLOOKUP(YEAR(C25)+(MONTH(C25)/100),TC!$5:$37,DAY(C25)+2,FALSE),VLOOKUP(F25,Equivalencia!$3:$23,((MAX(Equivalencia!$3:$3)-YEAR(C25))*14)+MONTH(C25)+2,FALSE)))</f>
        <v>0</v>
      </c>
      <c r="I25" s="143">
        <f t="shared" si="1"/>
        <v>0</v>
      </c>
    </row>
    <row r="26" spans="2:9" ht="23.1" customHeight="1">
      <c r="H26" s="393"/>
    </row>
    <row r="27" spans="2:9" ht="23.1" customHeight="1">
      <c r="B27" s="97" t="s">
        <v>464</v>
      </c>
      <c r="C27" s="105"/>
      <c r="D27" s="105"/>
      <c r="E27" s="105"/>
      <c r="F27" s="105"/>
      <c r="G27" s="148">
        <f>SUM(G7:G26)</f>
        <v>0</v>
      </c>
      <c r="H27" s="105"/>
      <c r="I27" s="148">
        <f>SUM(I7:I26)</f>
        <v>0</v>
      </c>
    </row>
    <row r="29" spans="2:9" ht="45.95" customHeight="1"/>
    <row r="30" spans="2:9" ht="30">
      <c r="G30" s="139" t="s">
        <v>116</v>
      </c>
      <c r="H30" s="140"/>
      <c r="I30" s="139" t="s">
        <v>117</v>
      </c>
    </row>
    <row r="31" spans="2:9" ht="23.1" customHeight="1">
      <c r="F31" s="133"/>
    </row>
    <row r="32" spans="2:9" ht="23.1" customHeight="1">
      <c r="E32" s="145" t="s">
        <v>465</v>
      </c>
      <c r="F32" s="85">
        <f>+Cuentas!B7</f>
        <v>1175000</v>
      </c>
      <c r="G32" s="146">
        <f t="shared" ref="G32:G49" si="2">SUMIF($B$7:$B$536,F32,$G$7:$G$536)</f>
        <v>0</v>
      </c>
      <c r="H32" s="147"/>
      <c r="I32" s="146">
        <f t="shared" ref="I32:I49" si="3">SUMIF($B$7:$B$536,F32,$I$7:$I$536)</f>
        <v>0</v>
      </c>
    </row>
    <row r="33" spans="5:9" ht="23.1" customHeight="1">
      <c r="E33" s="145" t="s">
        <v>465</v>
      </c>
      <c r="F33" s="85">
        <f>+Cuentas!B8</f>
        <v>1179000</v>
      </c>
      <c r="G33" s="146">
        <f t="shared" si="2"/>
        <v>0</v>
      </c>
      <c r="H33" s="147"/>
      <c r="I33" s="146">
        <f t="shared" si="3"/>
        <v>0</v>
      </c>
    </row>
    <row r="34" spans="5:9" ht="23.1" customHeight="1">
      <c r="E34" s="145" t="s">
        <v>465</v>
      </c>
      <c r="F34" s="85">
        <f>+Cuentas!B9</f>
        <v>1427200</v>
      </c>
      <c r="G34" s="146">
        <f t="shared" si="2"/>
        <v>0</v>
      </c>
      <c r="H34" s="147"/>
      <c r="I34" s="146">
        <f t="shared" si="3"/>
        <v>0</v>
      </c>
    </row>
    <row r="35" spans="5:9" ht="23.1" customHeight="1">
      <c r="E35" s="145" t="s">
        <v>465</v>
      </c>
      <c r="F35" s="85" t="str">
        <f>+Cuentas!B10</f>
        <v>B22235000</v>
      </c>
      <c r="G35" s="146">
        <f t="shared" si="2"/>
        <v>0</v>
      </c>
      <c r="H35" s="147"/>
      <c r="I35" s="146">
        <f t="shared" si="3"/>
        <v>0</v>
      </c>
    </row>
    <row r="36" spans="5:9" ht="23.1" customHeight="1">
      <c r="E36" s="145" t="s">
        <v>465</v>
      </c>
      <c r="F36" s="85">
        <f>+Cuentas!B11</f>
        <v>700833580</v>
      </c>
      <c r="G36" s="146">
        <f t="shared" si="2"/>
        <v>0</v>
      </c>
      <c r="H36" s="147"/>
      <c r="I36" s="146">
        <f t="shared" si="3"/>
        <v>0</v>
      </c>
    </row>
    <row r="37" spans="5:9" ht="23.1" customHeight="1">
      <c r="E37" s="145" t="s">
        <v>465</v>
      </c>
      <c r="F37" s="85" t="str">
        <f>+Cuentas!B12</f>
        <v>F</v>
      </c>
      <c r="G37" s="146">
        <f t="shared" si="2"/>
        <v>0</v>
      </c>
      <c r="H37" s="147"/>
      <c r="I37" s="146">
        <f t="shared" si="3"/>
        <v>0</v>
      </c>
    </row>
    <row r="38" spans="5:9" ht="23.1" customHeight="1">
      <c r="E38" s="145" t="s">
        <v>465</v>
      </c>
      <c r="F38" s="85" t="str">
        <f>+Cuentas!B13</f>
        <v>G</v>
      </c>
      <c r="G38" s="146">
        <f t="shared" si="2"/>
        <v>0</v>
      </c>
      <c r="H38" s="147"/>
      <c r="I38" s="146">
        <f t="shared" si="3"/>
        <v>0</v>
      </c>
    </row>
    <row r="39" spans="5:9" ht="23.1" customHeight="1">
      <c r="E39" s="145" t="s">
        <v>465</v>
      </c>
      <c r="F39" s="85" t="str">
        <f>+Cuentas!B14</f>
        <v>H</v>
      </c>
      <c r="G39" s="146">
        <f t="shared" si="2"/>
        <v>0</v>
      </c>
      <c r="H39" s="147"/>
      <c r="I39" s="146">
        <f t="shared" si="3"/>
        <v>0</v>
      </c>
    </row>
    <row r="40" spans="5:9" ht="23.1" customHeight="1">
      <c r="E40" s="145" t="s">
        <v>465</v>
      </c>
      <c r="F40" s="85" t="str">
        <f>+Cuentas!B15</f>
        <v>I</v>
      </c>
      <c r="G40" s="146">
        <f t="shared" si="2"/>
        <v>0</v>
      </c>
      <c r="H40" s="147"/>
      <c r="I40" s="146">
        <f t="shared" si="3"/>
        <v>0</v>
      </c>
    </row>
    <row r="41" spans="5:9" ht="23.1" customHeight="1">
      <c r="E41" s="145" t="s">
        <v>465</v>
      </c>
      <c r="F41" s="85" t="str">
        <f>+Cuentas!B16</f>
        <v>J</v>
      </c>
      <c r="G41" s="146">
        <f t="shared" si="2"/>
        <v>0</v>
      </c>
      <c r="H41" s="147"/>
      <c r="I41" s="146">
        <f t="shared" si="3"/>
        <v>0</v>
      </c>
    </row>
    <row r="42" spans="5:9" ht="23.1" customHeight="1">
      <c r="E42" s="145" t="s">
        <v>465</v>
      </c>
      <c r="F42" s="85" t="str">
        <f>+Cuentas!B17</f>
        <v>K</v>
      </c>
      <c r="G42" s="146">
        <f t="shared" si="2"/>
        <v>0</v>
      </c>
      <c r="H42" s="147"/>
      <c r="I42" s="146">
        <f t="shared" si="3"/>
        <v>0</v>
      </c>
    </row>
    <row r="43" spans="5:9" ht="23.1" customHeight="1">
      <c r="E43" s="145" t="s">
        <v>465</v>
      </c>
      <c r="F43" s="85" t="str">
        <f>+Cuentas!B18</f>
        <v>L</v>
      </c>
      <c r="G43" s="146">
        <f t="shared" si="2"/>
        <v>0</v>
      </c>
      <c r="H43" s="147"/>
      <c r="I43" s="146">
        <f t="shared" si="3"/>
        <v>0</v>
      </c>
    </row>
    <row r="44" spans="5:9" ht="23.1" customHeight="1">
      <c r="E44" s="145" t="s">
        <v>465</v>
      </c>
      <c r="F44" s="85" t="str">
        <f>+Cuentas!B19</f>
        <v>M</v>
      </c>
      <c r="G44" s="146">
        <f t="shared" si="2"/>
        <v>0</v>
      </c>
      <c r="H44" s="147"/>
      <c r="I44" s="146">
        <f t="shared" si="3"/>
        <v>0</v>
      </c>
    </row>
    <row r="45" spans="5:9" ht="23.1" customHeight="1">
      <c r="E45" s="145" t="s">
        <v>465</v>
      </c>
      <c r="F45" s="85" t="str">
        <f>+Cuentas!B20</f>
        <v>N</v>
      </c>
      <c r="G45" s="146">
        <f t="shared" si="2"/>
        <v>0</v>
      </c>
      <c r="H45" s="147"/>
      <c r="I45" s="146">
        <f t="shared" si="3"/>
        <v>0</v>
      </c>
    </row>
    <row r="46" spans="5:9" ht="23.1" customHeight="1">
      <c r="E46" s="145" t="s">
        <v>465</v>
      </c>
      <c r="F46" s="85" t="str">
        <f>+Cuentas!B21</f>
        <v>O</v>
      </c>
      <c r="G46" s="146">
        <f t="shared" si="2"/>
        <v>0</v>
      </c>
      <c r="H46" s="147"/>
      <c r="I46" s="146">
        <f t="shared" si="3"/>
        <v>0</v>
      </c>
    </row>
    <row r="47" spans="5:9" ht="23.1" customHeight="1">
      <c r="E47" s="145" t="s">
        <v>465</v>
      </c>
      <c r="F47" s="85" t="str">
        <f>+Cuentas!B22</f>
        <v>P</v>
      </c>
      <c r="G47" s="146">
        <f t="shared" si="2"/>
        <v>0</v>
      </c>
      <c r="H47" s="147"/>
      <c r="I47" s="146">
        <f t="shared" si="3"/>
        <v>0</v>
      </c>
    </row>
    <row r="48" spans="5:9" ht="23.1" customHeight="1">
      <c r="E48" s="145" t="s">
        <v>465</v>
      </c>
      <c r="F48" s="85" t="str">
        <f>+Cuentas!B23</f>
        <v>Q</v>
      </c>
      <c r="G48" s="146">
        <f t="shared" si="2"/>
        <v>0</v>
      </c>
      <c r="H48" s="147"/>
      <c r="I48" s="146">
        <f t="shared" si="3"/>
        <v>0</v>
      </c>
    </row>
    <row r="49" spans="2:9" ht="23.1" customHeight="1">
      <c r="E49" s="145" t="s">
        <v>465</v>
      </c>
      <c r="F49" s="85" t="str">
        <f>+Cuentas!B24</f>
        <v>R</v>
      </c>
      <c r="G49" s="146">
        <f t="shared" si="2"/>
        <v>0</v>
      </c>
      <c r="H49" s="147"/>
      <c r="I49" s="146">
        <f t="shared" si="3"/>
        <v>0</v>
      </c>
    </row>
    <row r="51" spans="2:9" ht="23.1" customHeight="1">
      <c r="F51" s="149" t="s">
        <v>119</v>
      </c>
      <c r="G51" s="150">
        <f>SUM(G32:G50)</f>
        <v>0</v>
      </c>
      <c r="H51" s="87"/>
      <c r="I51" s="150">
        <f>SUM(I32:I50)</f>
        <v>0</v>
      </c>
    </row>
    <row r="54" spans="2:9" ht="23.1" customHeight="1">
      <c r="B54" s="94" t="s">
        <v>26</v>
      </c>
    </row>
    <row r="55" spans="2:9" ht="23.1" customHeight="1">
      <c r="B55" s="13"/>
      <c r="C55" s="13"/>
      <c r="D55" s="13"/>
      <c r="E55" s="13"/>
      <c r="F55" s="13"/>
      <c r="G55" s="13"/>
      <c r="H55" s="13"/>
      <c r="I55" s="13"/>
    </row>
    <row r="56" spans="2:9" ht="23.1" customHeight="1">
      <c r="B56" s="13"/>
      <c r="C56" s="13"/>
      <c r="D56" s="13"/>
      <c r="E56" s="13"/>
      <c r="F56" s="13"/>
      <c r="G56" s="13"/>
      <c r="H56" s="13"/>
      <c r="I56" s="13"/>
    </row>
    <row r="57" spans="2:9" ht="23.1" customHeight="1">
      <c r="B57" s="13"/>
      <c r="C57" s="13"/>
      <c r="D57" s="13"/>
      <c r="E57" s="13"/>
      <c r="F57" s="13"/>
      <c r="G57" s="13"/>
      <c r="H57" s="13"/>
      <c r="I57" s="13"/>
    </row>
    <row r="58" spans="2:9" ht="23.1" customHeight="1">
      <c r="B58" s="13"/>
      <c r="C58" s="13"/>
      <c r="D58" s="13"/>
      <c r="E58" s="13"/>
      <c r="F58" s="13"/>
      <c r="G58" s="13"/>
      <c r="H58" s="13"/>
      <c r="I58" s="13"/>
    </row>
    <row r="59" spans="2:9" ht="23.1" customHeight="1">
      <c r="B59" s="13"/>
      <c r="C59" s="13"/>
      <c r="D59" s="13"/>
      <c r="E59" s="13"/>
      <c r="F59" s="13"/>
      <c r="G59" s="13"/>
      <c r="H59" s="13"/>
      <c r="I59" s="13"/>
    </row>
    <row r="60" spans="2:9" ht="23.1" customHeight="1">
      <c r="B60" s="13"/>
      <c r="C60" s="13"/>
      <c r="D60" s="13"/>
      <c r="E60" s="13"/>
      <c r="F60" s="13"/>
      <c r="G60" s="13"/>
      <c r="H60" s="13"/>
      <c r="I60" s="13"/>
    </row>
    <row r="61" spans="2:9" ht="23.1" customHeight="1">
      <c r="B61" s="13"/>
      <c r="C61" s="13"/>
      <c r="D61" s="13"/>
      <c r="E61" s="13"/>
      <c r="F61" s="13"/>
      <c r="G61" s="13"/>
      <c r="H61" s="13"/>
      <c r="I61" s="13"/>
    </row>
    <row r="62" spans="2:9" ht="23.1" customHeight="1">
      <c r="B62" s="13"/>
      <c r="C62" s="13"/>
      <c r="D62" s="13"/>
      <c r="E62" s="13"/>
      <c r="F62" s="13"/>
      <c r="G62" s="13"/>
      <c r="H62" s="13"/>
      <c r="I62" s="13"/>
    </row>
    <row r="63" spans="2:9" ht="23.1" customHeight="1">
      <c r="B63" s="13"/>
      <c r="C63" s="13"/>
      <c r="D63" s="13"/>
      <c r="E63" s="13"/>
      <c r="F63" s="13"/>
      <c r="G63" s="13"/>
      <c r="H63" s="13"/>
      <c r="I63" s="13"/>
    </row>
    <row r="64" spans="2:9" ht="23.1" customHeight="1">
      <c r="B64" s="13"/>
      <c r="C64" s="13"/>
      <c r="D64" s="13"/>
      <c r="E64" s="13"/>
      <c r="F64" s="13"/>
      <c r="G64" s="13"/>
      <c r="H64" s="13"/>
      <c r="I64" s="13"/>
    </row>
    <row r="65" spans="2:9" ht="23.1" customHeight="1">
      <c r="B65" s="13"/>
      <c r="C65" s="13"/>
      <c r="D65" s="13"/>
      <c r="E65" s="13"/>
      <c r="F65" s="13"/>
      <c r="G65" s="13"/>
      <c r="H65" s="13"/>
      <c r="I65" s="13"/>
    </row>
    <row r="66" spans="2:9" ht="23.1" customHeight="1">
      <c r="B66" s="13"/>
      <c r="C66" s="13"/>
      <c r="D66" s="13"/>
      <c r="E66" s="13"/>
      <c r="F66" s="13"/>
      <c r="G66" s="13"/>
      <c r="H66" s="13"/>
      <c r="I66" s="13"/>
    </row>
    <row r="67" spans="2:9" ht="23.1" customHeight="1">
      <c r="B67" s="13"/>
      <c r="C67" s="13"/>
      <c r="D67" s="13"/>
      <c r="E67" s="13"/>
      <c r="F67" s="13"/>
      <c r="G67" s="13"/>
      <c r="H67" s="13"/>
      <c r="I67" s="13"/>
    </row>
    <row r="68" spans="2:9" ht="23.1" customHeight="1">
      <c r="B68" s="13"/>
      <c r="C68" s="13"/>
      <c r="D68" s="13"/>
      <c r="E68" s="13"/>
      <c r="F68" s="13"/>
      <c r="G68" s="13"/>
      <c r="H68" s="13"/>
      <c r="I68" s="13"/>
    </row>
    <row r="69" spans="2:9" ht="23.1" customHeight="1">
      <c r="B69" s="13"/>
      <c r="C69" s="13"/>
      <c r="D69" s="13"/>
      <c r="E69" s="13"/>
      <c r="F69" s="13"/>
      <c r="G69" s="13"/>
      <c r="H69" s="13"/>
      <c r="I69" s="13"/>
    </row>
    <row r="70" spans="2:9" ht="23.1" customHeight="1">
      <c r="B70" s="13"/>
      <c r="C70" s="13"/>
      <c r="D70" s="13"/>
      <c r="E70" s="13"/>
      <c r="F70" s="13"/>
      <c r="G70" s="13"/>
      <c r="H70" s="13"/>
      <c r="I70" s="13"/>
    </row>
    <row r="71" spans="2:9" ht="23.1" customHeight="1">
      <c r="B71" s="13"/>
      <c r="C71" s="13"/>
      <c r="D71" s="13"/>
      <c r="E71" s="13"/>
      <c r="F71" s="13"/>
      <c r="G71" s="13"/>
      <c r="H71" s="13"/>
      <c r="I71" s="13"/>
    </row>
    <row r="72" spans="2:9" ht="23.1" customHeight="1">
      <c r="B72" s="13"/>
      <c r="C72" s="13"/>
      <c r="D72" s="13"/>
      <c r="E72" s="13"/>
      <c r="F72" s="13"/>
      <c r="G72" s="13"/>
      <c r="H72" s="13"/>
      <c r="I72" s="13"/>
    </row>
    <row r="73" spans="2:9" ht="23.1" customHeight="1">
      <c r="B73" s="13"/>
      <c r="C73" s="13"/>
      <c r="D73" s="13"/>
      <c r="E73" s="13"/>
      <c r="F73" s="13"/>
      <c r="G73" s="13"/>
      <c r="H73" s="13"/>
      <c r="I73" s="13"/>
    </row>
    <row r="74" spans="2:9" ht="23.1" customHeight="1">
      <c r="B74" s="13"/>
      <c r="C74" s="13"/>
      <c r="D74" s="13"/>
      <c r="E74" s="13"/>
      <c r="F74" s="13"/>
      <c r="G74" s="13"/>
      <c r="H74" s="13"/>
      <c r="I74" s="13"/>
    </row>
    <row r="75" spans="2:9" ht="23.1" customHeight="1">
      <c r="B75" s="13"/>
      <c r="C75" s="13"/>
      <c r="D75" s="13"/>
      <c r="E75" s="13"/>
      <c r="F75" s="13"/>
      <c r="G75" s="13"/>
      <c r="H75" s="13"/>
      <c r="I75" s="13"/>
    </row>
    <row r="76" spans="2:9" ht="23.1" customHeight="1">
      <c r="B76" s="13"/>
      <c r="C76" s="13"/>
      <c r="D76" s="13"/>
      <c r="E76" s="13"/>
      <c r="F76" s="13"/>
      <c r="G76" s="13"/>
      <c r="H76" s="13"/>
      <c r="I76" s="13"/>
    </row>
    <row r="77" spans="2:9" ht="23.1" customHeight="1">
      <c r="B77" s="13"/>
      <c r="C77" s="13"/>
      <c r="D77" s="13"/>
      <c r="E77" s="13"/>
      <c r="F77" s="13"/>
      <c r="G77" s="13"/>
      <c r="H77" s="13"/>
      <c r="I77" s="13"/>
    </row>
    <row r="78" spans="2:9" ht="23.1" customHeight="1">
      <c r="B78" s="13"/>
      <c r="C78" s="13"/>
      <c r="D78" s="13"/>
      <c r="E78" s="13"/>
      <c r="F78" s="13"/>
      <c r="G78" s="13"/>
      <c r="H78" s="13"/>
      <c r="I78" s="13"/>
    </row>
    <row r="79" spans="2:9" ht="23.1" customHeight="1">
      <c r="B79" s="13"/>
      <c r="C79" s="13"/>
      <c r="D79" s="13"/>
      <c r="E79" s="13"/>
      <c r="F79" s="13"/>
      <c r="G79" s="13"/>
      <c r="H79" s="13"/>
      <c r="I79" s="13"/>
    </row>
    <row r="80" spans="2:9" ht="23.1" customHeight="1">
      <c r="B80" s="13"/>
      <c r="C80" s="13"/>
      <c r="D80" s="13"/>
      <c r="E80" s="13"/>
      <c r="F80" s="13"/>
      <c r="G80" s="13"/>
      <c r="H80" s="13"/>
      <c r="I80" s="13"/>
    </row>
    <row r="81" spans="2:9" ht="23.1" customHeight="1">
      <c r="B81" s="13"/>
      <c r="C81" s="13"/>
      <c r="D81" s="13"/>
      <c r="E81" s="13"/>
      <c r="F81" s="13"/>
      <c r="G81" s="13"/>
      <c r="H81" s="13"/>
      <c r="I81" s="13"/>
    </row>
    <row r="82" spans="2:9" ht="23.1" customHeight="1">
      <c r="B82" s="13"/>
      <c r="C82" s="13"/>
      <c r="D82" s="13"/>
      <c r="E82" s="13"/>
      <c r="F82" s="13"/>
      <c r="G82" s="13"/>
      <c r="H82" s="13"/>
      <c r="I82" s="13"/>
    </row>
    <row r="83" spans="2:9" ht="23.1" customHeight="1">
      <c r="B83" s="13"/>
      <c r="C83" s="13"/>
      <c r="D83" s="13"/>
      <c r="E83" s="13"/>
      <c r="F83" s="13"/>
      <c r="G83" s="13"/>
      <c r="H83" s="13"/>
      <c r="I83" s="13"/>
    </row>
    <row r="84" spans="2:9" ht="23.1" customHeight="1">
      <c r="B84" s="13"/>
      <c r="C84" s="13"/>
      <c r="D84" s="13"/>
      <c r="E84" s="13"/>
      <c r="F84" s="13"/>
      <c r="G84" s="13"/>
      <c r="H84" s="13"/>
      <c r="I84" s="13"/>
    </row>
    <row r="85" spans="2:9" ht="23.1" customHeight="1">
      <c r="B85" s="13"/>
      <c r="C85" s="13"/>
      <c r="D85" s="13"/>
      <c r="E85" s="13"/>
      <c r="F85" s="13"/>
      <c r="G85" s="13"/>
      <c r="H85" s="13"/>
      <c r="I85" s="13"/>
    </row>
    <row r="86" spans="2:9" ht="23.1" customHeight="1">
      <c r="B86" s="13"/>
      <c r="C86" s="13"/>
      <c r="D86" s="13"/>
      <c r="E86" s="13"/>
      <c r="F86" s="13"/>
      <c r="G86" s="13"/>
      <c r="H86" s="13"/>
      <c r="I86" s="13"/>
    </row>
    <row r="87" spans="2:9" ht="23.1" customHeight="1">
      <c r="B87" s="13"/>
      <c r="C87" s="13"/>
      <c r="D87" s="13"/>
      <c r="E87" s="13"/>
      <c r="F87" s="13"/>
      <c r="G87" s="13"/>
      <c r="H87" s="13"/>
      <c r="I87" s="13"/>
    </row>
    <row r="88" spans="2:9" ht="23.1" customHeight="1">
      <c r="B88" s="13"/>
      <c r="C88" s="13"/>
      <c r="D88" s="13"/>
      <c r="E88" s="13"/>
      <c r="F88" s="13"/>
      <c r="G88" s="13"/>
      <c r="H88" s="13"/>
      <c r="I88" s="13"/>
    </row>
    <row r="89" spans="2:9" ht="23.1" customHeight="1">
      <c r="B89" s="13"/>
      <c r="C89" s="13"/>
      <c r="D89" s="13"/>
      <c r="E89" s="13"/>
      <c r="F89" s="13"/>
      <c r="G89" s="13"/>
      <c r="H89" s="13"/>
      <c r="I89" s="13"/>
    </row>
    <row r="90" spans="2:9" ht="23.1" customHeight="1">
      <c r="B90" s="13"/>
      <c r="C90" s="13"/>
      <c r="D90" s="13"/>
      <c r="E90" s="13"/>
      <c r="F90" s="13"/>
      <c r="G90" s="13"/>
      <c r="H90" s="13"/>
      <c r="I90" s="13"/>
    </row>
    <row r="91" spans="2:9" ht="23.1" customHeight="1">
      <c r="B91" s="13"/>
      <c r="C91" s="13"/>
      <c r="D91" s="13"/>
      <c r="E91" s="13"/>
      <c r="F91" s="13"/>
      <c r="G91" s="13"/>
      <c r="H91" s="13"/>
      <c r="I91" s="13"/>
    </row>
    <row r="92" spans="2:9" ht="23.1" customHeight="1">
      <c r="B92" s="13"/>
      <c r="C92" s="13"/>
      <c r="D92" s="13"/>
      <c r="E92" s="13"/>
      <c r="F92" s="13"/>
      <c r="G92" s="13"/>
      <c r="H92" s="13"/>
      <c r="I92" s="13"/>
    </row>
    <row r="93" spans="2:9" ht="23.1" customHeight="1">
      <c r="B93" s="13"/>
      <c r="C93" s="13"/>
      <c r="D93" s="13"/>
      <c r="E93" s="13"/>
      <c r="F93" s="13"/>
      <c r="G93" s="13"/>
      <c r="H93" s="13"/>
      <c r="I93" s="13"/>
    </row>
    <row r="94" spans="2:9" ht="23.1" customHeight="1">
      <c r="B94" s="13"/>
      <c r="C94" s="13"/>
      <c r="D94" s="13"/>
      <c r="E94" s="13"/>
      <c r="F94" s="13"/>
      <c r="G94" s="13"/>
      <c r="H94" s="13"/>
      <c r="I94" s="13"/>
    </row>
    <row r="95" spans="2:9" ht="23.1" customHeight="1">
      <c r="B95" s="13"/>
      <c r="C95" s="13"/>
      <c r="D95" s="13"/>
      <c r="E95" s="13"/>
      <c r="F95" s="13"/>
      <c r="G95" s="13"/>
      <c r="H95" s="13"/>
      <c r="I95" s="13"/>
    </row>
    <row r="96" spans="2:9" ht="23.1" customHeight="1">
      <c r="B96" s="13"/>
      <c r="C96" s="13"/>
      <c r="D96" s="13"/>
      <c r="E96" s="13"/>
      <c r="F96" s="13"/>
      <c r="G96" s="13"/>
      <c r="H96" s="13"/>
      <c r="I96" s="13"/>
    </row>
    <row r="97" spans="2:9" ht="23.1" customHeight="1">
      <c r="B97" s="13"/>
      <c r="C97" s="13"/>
      <c r="D97" s="13"/>
      <c r="E97" s="13"/>
      <c r="F97" s="13"/>
      <c r="G97" s="13"/>
      <c r="H97" s="13"/>
      <c r="I97" s="13"/>
    </row>
    <row r="98" spans="2:9" ht="23.1" customHeight="1">
      <c r="B98" s="13"/>
      <c r="C98" s="13"/>
      <c r="D98" s="13"/>
      <c r="E98" s="13"/>
      <c r="F98" s="13"/>
      <c r="G98" s="13"/>
      <c r="H98" s="13"/>
      <c r="I98" s="13"/>
    </row>
  </sheetData>
  <sheetProtection algorithmName="SHA-512" hashValue="fXEHxrlDSHyPu1ELzVj/jBgaYhLEMwq7WsRaqJOd+ekvgnUFkuHF0m/Misq2YZABwlW1kBCJgKCHdH//GH8J8A==" saltValue="cST0SoZRBzZfrsnq4WCE1g==" spinCount="100000" sheet="1" formatCells="0" formatColumns="0" formatRows="0" insertColumns="0" insertRows="0" deleteColumns="0" deleteRows="0" sort="0" autoFilter="0"/>
  <autoFilter ref="B6:I27" xr:uid="{729C610A-F638-A947-80E3-33F8CFDBAA7B}"/>
  <mergeCells count="2">
    <mergeCell ref="B2:I2"/>
    <mergeCell ref="B3:I3"/>
  </mergeCells>
  <phoneticPr fontId="9" type="noConversion"/>
  <dataValidations count="1">
    <dataValidation type="list" showInputMessage="1" showErrorMessage="1" promptTitle="OJO:" prompt="Selecciona una operación" sqref="D8:D25" xr:uid="{CF8DD36B-E362-D349-8063-A66DD1471E1B}">
      <formula1>$O$2:$O$13</formula1>
    </dataValidation>
  </dataValidations>
  <printOptions horizontalCentered="1"/>
  <pageMargins left="0.7" right="0.7" top="0.75" bottom="0.75" header="0.3" footer="0.3"/>
  <pageSetup scale="42"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promptTitle="OJO:" prompt="Selecciona una moneda" xr:uid="{00000000-0002-0000-0900-000001000000}">
          <x14:formula1>
            <xm:f>Equivalencia!$A$4:$A$23</xm:f>
          </x14:formula1>
          <xm:sqref>F8:F25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62CE6-A5A3-E242-9365-32FDFBD52E68}">
  <sheetPr>
    <pageSetUpPr fitToPage="1"/>
  </sheetPr>
  <dimension ref="B2:I63"/>
  <sheetViews>
    <sheetView view="pageBreakPreview" zoomScale="130" zoomScaleNormal="100" zoomScaleSheetLayoutView="130" workbookViewId="0">
      <pane ySplit="6" topLeftCell="A7" activePane="bottomLeft" state="frozen"/>
      <selection pane="bottomLeft" activeCell="C5" sqref="C5"/>
      <selection activeCell="C5" sqref="C5"/>
    </sheetView>
  </sheetViews>
  <sheetFormatPr defaultColWidth="10.6640625" defaultRowHeight="20.100000000000001" customHeight="1"/>
  <cols>
    <col min="1" max="1" width="10.6640625" style="12"/>
    <col min="2" max="2" width="23.88671875" style="12" customWidth="1"/>
    <col min="3" max="3" width="16" style="12" customWidth="1"/>
    <col min="4" max="4" width="20" style="12" customWidth="1"/>
    <col min="5" max="5" width="43.5546875" style="12" customWidth="1"/>
    <col min="6" max="6" width="23.6640625" style="12" customWidth="1"/>
    <col min="7" max="7" width="17.6640625" style="12" customWidth="1"/>
    <col min="8" max="8" width="14.44140625" style="12" customWidth="1"/>
    <col min="9" max="9" width="17.6640625" style="12" customWidth="1"/>
    <col min="10" max="16384" width="10.6640625" style="12"/>
  </cols>
  <sheetData>
    <row r="2" spans="2:9" ht="20.100000000000001" customHeight="1">
      <c r="B2" s="587" t="s">
        <v>466</v>
      </c>
      <c r="C2" s="587"/>
      <c r="D2" s="587"/>
      <c r="E2" s="587"/>
      <c r="F2" s="587"/>
      <c r="G2" s="587"/>
      <c r="H2" s="587"/>
      <c r="I2" s="587"/>
    </row>
    <row r="3" spans="2:9" ht="20.100000000000001" customHeight="1">
      <c r="B3" s="588" t="s">
        <v>467</v>
      </c>
      <c r="C3" s="588"/>
      <c r="D3" s="588"/>
      <c r="E3" s="588"/>
      <c r="F3" s="588"/>
      <c r="G3" s="588"/>
      <c r="H3" s="588"/>
      <c r="I3" s="588"/>
    </row>
    <row r="4" spans="2:9" ht="14.1" customHeight="1">
      <c r="B4" s="79" t="s">
        <v>41</v>
      </c>
      <c r="C4" s="79" t="s">
        <v>42</v>
      </c>
      <c r="D4" s="79"/>
      <c r="E4" s="80"/>
      <c r="F4" s="80"/>
      <c r="G4" s="80"/>
      <c r="H4" s="80"/>
      <c r="I4" s="80"/>
    </row>
    <row r="5" spans="2:9" ht="23.1" customHeight="1">
      <c r="B5" s="141"/>
      <c r="C5" s="141"/>
      <c r="D5" s="141"/>
      <c r="E5" s="142"/>
      <c r="F5" s="142"/>
      <c r="G5" s="142"/>
      <c r="H5" s="142"/>
      <c r="I5" s="142"/>
    </row>
    <row r="6" spans="2:9" s="122" customFormat="1" ht="15">
      <c r="B6" s="62" t="s">
        <v>103</v>
      </c>
      <c r="C6" s="62" t="s">
        <v>29</v>
      </c>
      <c r="D6" s="62" t="s">
        <v>457</v>
      </c>
      <c r="E6" s="62" t="s">
        <v>124</v>
      </c>
      <c r="F6" s="62" t="s">
        <v>106</v>
      </c>
      <c r="G6" s="62" t="s">
        <v>107</v>
      </c>
      <c r="H6" s="62" t="s">
        <v>108</v>
      </c>
      <c r="I6" s="62" t="s">
        <v>109</v>
      </c>
    </row>
    <row r="8" spans="2:9" ht="20.100000000000001" customHeight="1">
      <c r="B8" s="64" t="s">
        <v>125</v>
      </c>
      <c r="C8" s="65"/>
      <c r="D8" s="64"/>
      <c r="E8" s="340"/>
      <c r="F8" s="64"/>
      <c r="G8" s="67"/>
      <c r="H8" s="393">
        <f>+IF(F8=0,0,IF(F8="MXN",1/HLOOKUP(YEAR(C8)+(MONTH(C8)/100),TC!$5:$37,DAY(C8)+2,FALSE),VLOOKUP(F8,Equivalencia!$3:$23,((MAX(Equivalencia!$3:$3)-YEAR(C8))*14)+MONTH(C8)+2,FALSE)))</f>
        <v>0</v>
      </c>
      <c r="I8" s="143">
        <f t="shared" ref="I8:I14" si="0">+H8*G8</f>
        <v>0</v>
      </c>
    </row>
    <row r="9" spans="2:9" ht="20.100000000000001" customHeight="1">
      <c r="B9" s="366" t="s">
        <v>126</v>
      </c>
      <c r="C9" s="65"/>
      <c r="D9" s="366"/>
      <c r="E9" s="367"/>
      <c r="F9" s="64"/>
      <c r="G9" s="67"/>
      <c r="H9" s="393">
        <f>+IF(F9=0,0,IF(F9="MXN",1/HLOOKUP(YEAR(C9)+(MONTH(C9)/100),TC!$5:$37,DAY(C9)+2,FALSE),VLOOKUP(F9,Equivalencia!$3:$23,((MAX(Equivalencia!$3:$3)-YEAR(C9))*14)+MONTH(C9)+2,FALSE)))</f>
        <v>0</v>
      </c>
      <c r="I9" s="143">
        <f t="shared" si="0"/>
        <v>0</v>
      </c>
    </row>
    <row r="10" spans="2:9" ht="20.100000000000001" customHeight="1">
      <c r="B10" s="368" t="s">
        <v>127</v>
      </c>
      <c r="C10" s="65"/>
      <c r="D10" s="368"/>
      <c r="E10" s="341"/>
      <c r="F10" s="64"/>
      <c r="G10" s="67"/>
      <c r="H10" s="393">
        <f>+IF(F10=0,0,IF(F10="MXN",1/HLOOKUP(YEAR(C10)+(MONTH(C10)/100),TC!$5:$37,DAY(C10)+2,FALSE),VLOOKUP(F10,Equivalencia!$3:$23,((MAX(Equivalencia!$3:$3)-YEAR(C10))*14)+MONTH(C10)+2,FALSE)))</f>
        <v>0</v>
      </c>
      <c r="I10" s="143">
        <f t="shared" si="0"/>
        <v>0</v>
      </c>
    </row>
    <row r="11" spans="2:9" ht="20.100000000000001" customHeight="1">
      <c r="B11" s="368" t="s">
        <v>128</v>
      </c>
      <c r="C11" s="65"/>
      <c r="D11" s="368"/>
      <c r="E11" s="341"/>
      <c r="F11" s="64"/>
      <c r="G11" s="67"/>
      <c r="H11" s="393">
        <f>+IF(F11=0,0,IF(F11="MXN",1/HLOOKUP(YEAR(C11)+(MONTH(C11)/100),TC!$5:$37,DAY(C11)+2,FALSE),VLOOKUP(F11,Equivalencia!$3:$23,((MAX(Equivalencia!$3:$3)-YEAR(C11))*14)+MONTH(C11)+2,FALSE)))</f>
        <v>0</v>
      </c>
      <c r="I11" s="143">
        <f t="shared" si="0"/>
        <v>0</v>
      </c>
    </row>
    <row r="12" spans="2:9" ht="20.100000000000001" customHeight="1">
      <c r="B12" s="369" t="s">
        <v>129</v>
      </c>
      <c r="C12" s="65"/>
      <c r="D12" s="369"/>
      <c r="E12" s="367"/>
      <c r="F12" s="64"/>
      <c r="G12" s="67"/>
      <c r="H12" s="393">
        <f>+IF(F12=0,0,IF(F12="MXN",1/HLOOKUP(YEAR(C12)+(MONTH(C12)/100),TC!$5:$37,DAY(C12)+2,FALSE),VLOOKUP(F12,Equivalencia!$3:$23,((MAX(Equivalencia!$3:$3)-YEAR(C12))*14)+MONTH(C12)+2,FALSE)))</f>
        <v>0</v>
      </c>
      <c r="I12" s="143">
        <f t="shared" si="0"/>
        <v>0</v>
      </c>
    </row>
    <row r="13" spans="2:9" ht="20.100000000000001" customHeight="1">
      <c r="B13" s="368" t="s">
        <v>13</v>
      </c>
      <c r="C13" s="65"/>
      <c r="D13" s="368"/>
      <c r="E13" s="341"/>
      <c r="F13" s="64"/>
      <c r="G13" s="67"/>
      <c r="H13" s="393">
        <f>+IF(F13=0,0,IF(F13="MXN",1/HLOOKUP(YEAR(C13)+(MONTH(C13)/100),TC!$5:$37,DAY(C13)+2,FALSE),VLOOKUP(F13,Equivalencia!$3:$23,((MAX(Equivalencia!$3:$3)-YEAR(C13))*14)+MONTH(C13)+2,FALSE)))</f>
        <v>0</v>
      </c>
      <c r="I13" s="143">
        <f t="shared" si="0"/>
        <v>0</v>
      </c>
    </row>
    <row r="14" spans="2:9" ht="20.100000000000001" customHeight="1">
      <c r="B14" s="368" t="s">
        <v>14</v>
      </c>
      <c r="C14" s="65"/>
      <c r="D14" s="368"/>
      <c r="E14" s="341"/>
      <c r="F14" s="64"/>
      <c r="G14" s="67"/>
      <c r="H14" s="393">
        <f>+IF(F14=0,0,IF(F14="MXN",1/HLOOKUP(YEAR(C14)+(MONTH(C14)/100),TC!$5:$37,DAY(C14)+2,FALSE),VLOOKUP(F14,Equivalencia!$3:$23,((MAX(Equivalencia!$3:$3)-YEAR(C14))*14)+MONTH(C14)+2,FALSE)))</f>
        <v>0</v>
      </c>
      <c r="I14" s="143">
        <f t="shared" si="0"/>
        <v>0</v>
      </c>
    </row>
    <row r="15" spans="2:9" ht="20.100000000000001" customHeight="1">
      <c r="B15" s="13"/>
      <c r="C15" s="13"/>
      <c r="D15" s="13"/>
      <c r="E15" s="13"/>
      <c r="F15" s="13"/>
      <c r="G15" s="13"/>
      <c r="H15" s="13"/>
      <c r="I15" s="13"/>
    </row>
    <row r="16" spans="2:9" ht="20.100000000000001" customHeight="1">
      <c r="B16" s="97" t="s">
        <v>464</v>
      </c>
      <c r="C16" s="105"/>
      <c r="D16" s="105"/>
      <c r="E16" s="105"/>
      <c r="F16" s="105"/>
      <c r="G16" s="148">
        <f>SUM(G7:G15)</f>
        <v>0</v>
      </c>
      <c r="H16" s="105"/>
      <c r="I16" s="148">
        <f>SUM(I7:I15)</f>
        <v>0</v>
      </c>
    </row>
    <row r="18" spans="4:9" ht="20.100000000000001" customHeight="1">
      <c r="G18" s="122"/>
      <c r="H18" s="122"/>
      <c r="I18" s="122"/>
    </row>
    <row r="19" spans="4:9" ht="32.1" customHeight="1">
      <c r="G19" s="139" t="s">
        <v>116</v>
      </c>
      <c r="H19" s="140"/>
      <c r="I19" s="139" t="s">
        <v>117</v>
      </c>
    </row>
    <row r="20" spans="4:9" ht="20.100000000000001" customHeight="1">
      <c r="F20" s="133"/>
    </row>
    <row r="21" spans="4:9" ht="20.100000000000001" customHeight="1">
      <c r="D21" s="83"/>
      <c r="E21" s="145" t="s">
        <v>468</v>
      </c>
      <c r="F21" s="85">
        <f>+Cuentas!B7</f>
        <v>1175000</v>
      </c>
      <c r="G21" s="146">
        <f t="shared" ref="G21:G38" si="1">SUMIF($B$7:$B$537,F21,$G$7:$G$537)</f>
        <v>0</v>
      </c>
      <c r="H21" s="147"/>
      <c r="I21" s="146">
        <f t="shared" ref="I21:I38" si="2">SUMIF($B$7:$B$537,F21,$I$7:$I$537)</f>
        <v>0</v>
      </c>
    </row>
    <row r="22" spans="4:9" ht="20.100000000000001" customHeight="1">
      <c r="D22" s="83"/>
      <c r="E22" s="145" t="s">
        <v>468</v>
      </c>
      <c r="F22" s="85">
        <f>+Cuentas!B8</f>
        <v>1179000</v>
      </c>
      <c r="G22" s="146">
        <f t="shared" si="1"/>
        <v>0</v>
      </c>
      <c r="H22" s="147"/>
      <c r="I22" s="146">
        <f t="shared" si="2"/>
        <v>0</v>
      </c>
    </row>
    <row r="23" spans="4:9" ht="20.100000000000001" customHeight="1">
      <c r="D23" s="83"/>
      <c r="E23" s="145" t="s">
        <v>468</v>
      </c>
      <c r="F23" s="85">
        <f>+Cuentas!B9</f>
        <v>1427200</v>
      </c>
      <c r="G23" s="146">
        <f t="shared" si="1"/>
        <v>0</v>
      </c>
      <c r="H23" s="147"/>
      <c r="I23" s="146">
        <f t="shared" si="2"/>
        <v>0</v>
      </c>
    </row>
    <row r="24" spans="4:9" ht="20.100000000000001" customHeight="1">
      <c r="D24" s="83"/>
      <c r="E24" s="145" t="s">
        <v>468</v>
      </c>
      <c r="F24" s="85" t="str">
        <f>+Cuentas!B10</f>
        <v>B22235000</v>
      </c>
      <c r="G24" s="146">
        <f t="shared" si="1"/>
        <v>0</v>
      </c>
      <c r="H24" s="147"/>
      <c r="I24" s="146">
        <f t="shared" si="2"/>
        <v>0</v>
      </c>
    </row>
    <row r="25" spans="4:9" ht="20.100000000000001" customHeight="1">
      <c r="D25" s="83"/>
      <c r="E25" s="145" t="s">
        <v>468</v>
      </c>
      <c r="F25" s="85">
        <f>+Cuentas!B11</f>
        <v>700833580</v>
      </c>
      <c r="G25" s="146">
        <f t="shared" si="1"/>
        <v>0</v>
      </c>
      <c r="H25" s="147"/>
      <c r="I25" s="146">
        <f t="shared" si="2"/>
        <v>0</v>
      </c>
    </row>
    <row r="26" spans="4:9" ht="20.100000000000001" customHeight="1">
      <c r="D26" s="83"/>
      <c r="E26" s="145" t="s">
        <v>468</v>
      </c>
      <c r="F26" s="85" t="str">
        <f>+Cuentas!B12</f>
        <v>F</v>
      </c>
      <c r="G26" s="146">
        <f t="shared" si="1"/>
        <v>0</v>
      </c>
      <c r="H26" s="147"/>
      <c r="I26" s="146">
        <f t="shared" si="2"/>
        <v>0</v>
      </c>
    </row>
    <row r="27" spans="4:9" ht="20.100000000000001" customHeight="1">
      <c r="D27" s="83"/>
      <c r="E27" s="145" t="s">
        <v>468</v>
      </c>
      <c r="F27" s="85" t="str">
        <f>+Cuentas!B13</f>
        <v>G</v>
      </c>
      <c r="G27" s="146">
        <f t="shared" si="1"/>
        <v>0</v>
      </c>
      <c r="H27" s="147"/>
      <c r="I27" s="146">
        <f t="shared" si="2"/>
        <v>0</v>
      </c>
    </row>
    <row r="28" spans="4:9" ht="20.100000000000001" customHeight="1">
      <c r="D28" s="83"/>
      <c r="E28" s="145" t="s">
        <v>468</v>
      </c>
      <c r="F28" s="85" t="str">
        <f>+Cuentas!B14</f>
        <v>H</v>
      </c>
      <c r="G28" s="146">
        <f t="shared" si="1"/>
        <v>0</v>
      </c>
      <c r="H28" s="147"/>
      <c r="I28" s="146">
        <f t="shared" si="2"/>
        <v>0</v>
      </c>
    </row>
    <row r="29" spans="4:9" ht="20.100000000000001" customHeight="1">
      <c r="D29" s="83"/>
      <c r="E29" s="145" t="s">
        <v>468</v>
      </c>
      <c r="F29" s="85" t="str">
        <f>+Cuentas!B15</f>
        <v>I</v>
      </c>
      <c r="G29" s="146">
        <f t="shared" si="1"/>
        <v>0</v>
      </c>
      <c r="H29" s="147"/>
      <c r="I29" s="146">
        <f t="shared" si="2"/>
        <v>0</v>
      </c>
    </row>
    <row r="30" spans="4:9" ht="20.100000000000001" customHeight="1">
      <c r="D30" s="83"/>
      <c r="E30" s="145" t="s">
        <v>468</v>
      </c>
      <c r="F30" s="85" t="str">
        <f>+Cuentas!B16</f>
        <v>J</v>
      </c>
      <c r="G30" s="146">
        <f t="shared" si="1"/>
        <v>0</v>
      </c>
      <c r="H30" s="147"/>
      <c r="I30" s="146">
        <f t="shared" si="2"/>
        <v>0</v>
      </c>
    </row>
    <row r="31" spans="4:9" ht="20.100000000000001" customHeight="1">
      <c r="D31" s="83"/>
      <c r="E31" s="145" t="s">
        <v>468</v>
      </c>
      <c r="F31" s="85" t="str">
        <f>+Cuentas!B17</f>
        <v>K</v>
      </c>
      <c r="G31" s="146">
        <f t="shared" si="1"/>
        <v>0</v>
      </c>
      <c r="H31" s="147"/>
      <c r="I31" s="146">
        <f t="shared" si="2"/>
        <v>0</v>
      </c>
    </row>
    <row r="32" spans="4:9" ht="20.100000000000001" customHeight="1">
      <c r="D32" s="83"/>
      <c r="E32" s="145" t="s">
        <v>468</v>
      </c>
      <c r="F32" s="85" t="str">
        <f>+Cuentas!B18</f>
        <v>L</v>
      </c>
      <c r="G32" s="146">
        <f t="shared" si="1"/>
        <v>0</v>
      </c>
      <c r="H32" s="147"/>
      <c r="I32" s="146">
        <f t="shared" si="2"/>
        <v>0</v>
      </c>
    </row>
    <row r="33" spans="2:9" ht="20.100000000000001" customHeight="1">
      <c r="D33" s="83"/>
      <c r="E33" s="145" t="s">
        <v>468</v>
      </c>
      <c r="F33" s="85" t="str">
        <f>+Cuentas!B19</f>
        <v>M</v>
      </c>
      <c r="G33" s="146">
        <f t="shared" si="1"/>
        <v>0</v>
      </c>
      <c r="H33" s="147"/>
      <c r="I33" s="146">
        <f t="shared" si="2"/>
        <v>0</v>
      </c>
    </row>
    <row r="34" spans="2:9" ht="20.100000000000001" customHeight="1">
      <c r="D34" s="83"/>
      <c r="E34" s="145" t="s">
        <v>468</v>
      </c>
      <c r="F34" s="85" t="str">
        <f>+Cuentas!B20</f>
        <v>N</v>
      </c>
      <c r="G34" s="146">
        <f t="shared" si="1"/>
        <v>0</v>
      </c>
      <c r="H34" s="147"/>
      <c r="I34" s="146">
        <f t="shared" si="2"/>
        <v>0</v>
      </c>
    </row>
    <row r="35" spans="2:9" ht="20.100000000000001" customHeight="1">
      <c r="D35" s="83"/>
      <c r="E35" s="145" t="s">
        <v>468</v>
      </c>
      <c r="F35" s="85" t="str">
        <f>+Cuentas!B21</f>
        <v>O</v>
      </c>
      <c r="G35" s="146">
        <f t="shared" si="1"/>
        <v>0</v>
      </c>
      <c r="H35" s="147"/>
      <c r="I35" s="146">
        <f t="shared" si="2"/>
        <v>0</v>
      </c>
    </row>
    <row r="36" spans="2:9" ht="20.100000000000001" customHeight="1">
      <c r="D36" s="83"/>
      <c r="E36" s="145" t="s">
        <v>468</v>
      </c>
      <c r="F36" s="85" t="str">
        <f>+Cuentas!B22</f>
        <v>P</v>
      </c>
      <c r="G36" s="146">
        <f t="shared" si="1"/>
        <v>0</v>
      </c>
      <c r="H36" s="147"/>
      <c r="I36" s="146">
        <f t="shared" si="2"/>
        <v>0</v>
      </c>
    </row>
    <row r="37" spans="2:9" ht="20.100000000000001" customHeight="1">
      <c r="D37" s="83"/>
      <c r="E37" s="145" t="s">
        <v>468</v>
      </c>
      <c r="F37" s="85" t="str">
        <f>+Cuentas!B23</f>
        <v>Q</v>
      </c>
      <c r="G37" s="146">
        <f t="shared" si="1"/>
        <v>0</v>
      </c>
      <c r="H37" s="147"/>
      <c r="I37" s="146">
        <f t="shared" si="2"/>
        <v>0</v>
      </c>
    </row>
    <row r="38" spans="2:9" ht="20.100000000000001" customHeight="1">
      <c r="D38" s="83"/>
      <c r="E38" s="145" t="s">
        <v>468</v>
      </c>
      <c r="F38" s="85" t="str">
        <f>+Cuentas!B24</f>
        <v>R</v>
      </c>
      <c r="G38" s="146">
        <f t="shared" si="1"/>
        <v>0</v>
      </c>
      <c r="H38" s="147"/>
      <c r="I38" s="146">
        <f t="shared" si="2"/>
        <v>0</v>
      </c>
    </row>
    <row r="40" spans="2:9" ht="20.100000000000001" customHeight="1">
      <c r="F40" s="149" t="s">
        <v>119</v>
      </c>
      <c r="G40" s="150">
        <f>SUM(G21:G39)</f>
        <v>0</v>
      </c>
      <c r="H40" s="87"/>
      <c r="I40" s="150">
        <f>SUM(I21:I39)</f>
        <v>0</v>
      </c>
    </row>
    <row r="43" spans="2:9" ht="20.100000000000001" customHeight="1">
      <c r="B43" s="91" t="s">
        <v>92</v>
      </c>
    </row>
    <row r="44" spans="2:9" ht="20.100000000000001" customHeight="1">
      <c r="B44" s="13"/>
      <c r="C44" s="13"/>
      <c r="D44" s="13"/>
      <c r="E44" s="13"/>
      <c r="F44" s="13"/>
      <c r="G44" s="13"/>
      <c r="H44" s="13"/>
      <c r="I44" s="13"/>
    </row>
    <row r="45" spans="2:9" ht="20.100000000000001" customHeight="1">
      <c r="B45" s="13"/>
      <c r="C45" s="13"/>
      <c r="D45" s="13"/>
      <c r="E45" s="13"/>
      <c r="F45" s="13"/>
      <c r="G45" s="13"/>
      <c r="H45" s="13"/>
      <c r="I45" s="13"/>
    </row>
    <row r="46" spans="2:9" ht="20.100000000000001" customHeight="1">
      <c r="B46" s="13"/>
      <c r="C46" s="13"/>
      <c r="D46" s="13"/>
      <c r="E46" s="13"/>
      <c r="F46" s="13"/>
      <c r="G46" s="13"/>
      <c r="H46" s="13"/>
      <c r="I46" s="13"/>
    </row>
    <row r="47" spans="2:9" ht="20.100000000000001" customHeight="1">
      <c r="B47" s="13"/>
      <c r="C47" s="13"/>
      <c r="D47" s="13"/>
      <c r="E47" s="13"/>
      <c r="F47" s="13"/>
      <c r="G47" s="13"/>
      <c r="H47" s="13"/>
      <c r="I47" s="13"/>
    </row>
    <row r="48" spans="2:9" ht="20.100000000000001" customHeight="1">
      <c r="B48" s="13"/>
      <c r="C48" s="13"/>
      <c r="D48" s="13"/>
      <c r="E48" s="13"/>
      <c r="F48" s="13"/>
      <c r="G48" s="13"/>
      <c r="H48" s="13"/>
      <c r="I48" s="13"/>
    </row>
    <row r="49" spans="2:9" ht="20.100000000000001" customHeight="1">
      <c r="B49" s="13"/>
      <c r="C49" s="13"/>
      <c r="D49" s="13"/>
      <c r="E49" s="13"/>
      <c r="F49" s="13"/>
      <c r="G49" s="13"/>
      <c r="H49" s="13"/>
      <c r="I49" s="13"/>
    </row>
    <row r="50" spans="2:9" ht="20.100000000000001" customHeight="1">
      <c r="B50" s="13"/>
      <c r="C50" s="13"/>
      <c r="D50" s="13"/>
      <c r="E50" s="13"/>
      <c r="F50" s="13"/>
      <c r="G50" s="13"/>
      <c r="H50" s="13"/>
      <c r="I50" s="13"/>
    </row>
    <row r="51" spans="2:9" ht="20.100000000000001" customHeight="1">
      <c r="B51" s="13"/>
      <c r="C51" s="13"/>
      <c r="D51" s="13"/>
      <c r="E51" s="13"/>
      <c r="F51" s="13"/>
      <c r="G51" s="13"/>
      <c r="H51" s="13"/>
      <c r="I51" s="13"/>
    </row>
    <row r="52" spans="2:9" ht="20.100000000000001" customHeight="1">
      <c r="B52" s="13"/>
      <c r="C52" s="13"/>
      <c r="D52" s="13"/>
      <c r="E52" s="13"/>
      <c r="F52" s="13"/>
      <c r="G52" s="13"/>
      <c r="H52" s="13"/>
      <c r="I52" s="13"/>
    </row>
    <row r="53" spans="2:9" ht="20.100000000000001" customHeight="1">
      <c r="B53" s="13"/>
      <c r="C53" s="13"/>
      <c r="D53" s="13"/>
      <c r="E53" s="13"/>
      <c r="F53" s="13"/>
      <c r="G53" s="13"/>
      <c r="H53" s="13"/>
      <c r="I53" s="13"/>
    </row>
    <row r="54" spans="2:9" ht="20.100000000000001" customHeight="1">
      <c r="B54" s="13"/>
      <c r="C54" s="13"/>
      <c r="D54" s="13"/>
      <c r="E54" s="13"/>
      <c r="F54" s="13"/>
      <c r="G54" s="13"/>
      <c r="H54" s="13"/>
      <c r="I54" s="13"/>
    </row>
    <row r="55" spans="2:9" ht="20.100000000000001" customHeight="1">
      <c r="B55" s="13"/>
      <c r="C55" s="13"/>
      <c r="D55" s="13"/>
      <c r="E55" s="13"/>
      <c r="F55" s="13"/>
      <c r="G55" s="13"/>
      <c r="H55" s="13"/>
      <c r="I55" s="13"/>
    </row>
    <row r="56" spans="2:9" ht="20.100000000000001" customHeight="1">
      <c r="B56" s="13"/>
      <c r="C56" s="13"/>
      <c r="D56" s="13"/>
      <c r="E56" s="13"/>
      <c r="F56" s="13"/>
      <c r="G56" s="13"/>
      <c r="H56" s="13"/>
      <c r="I56" s="13"/>
    </row>
    <row r="57" spans="2:9" ht="20.100000000000001" customHeight="1">
      <c r="B57" s="13"/>
      <c r="C57" s="13"/>
      <c r="D57" s="13"/>
      <c r="E57" s="13"/>
      <c r="F57" s="13"/>
      <c r="G57" s="13"/>
      <c r="H57" s="13"/>
      <c r="I57" s="13"/>
    </row>
    <row r="58" spans="2:9" ht="20.100000000000001" customHeight="1">
      <c r="B58" s="13"/>
      <c r="C58" s="13"/>
      <c r="D58" s="13"/>
      <c r="E58" s="13"/>
      <c r="F58" s="13"/>
      <c r="G58" s="13"/>
      <c r="H58" s="13"/>
      <c r="I58" s="13"/>
    </row>
    <row r="59" spans="2:9" ht="20.100000000000001" customHeight="1">
      <c r="B59" s="13"/>
      <c r="C59" s="13"/>
      <c r="D59" s="13"/>
      <c r="E59" s="13"/>
      <c r="F59" s="13"/>
      <c r="G59" s="13"/>
      <c r="H59" s="13"/>
      <c r="I59" s="13"/>
    </row>
    <row r="60" spans="2:9" ht="20.100000000000001" customHeight="1">
      <c r="B60" s="13"/>
      <c r="C60" s="13"/>
      <c r="D60" s="13"/>
      <c r="E60" s="13"/>
      <c r="F60" s="13"/>
      <c r="G60" s="13"/>
      <c r="H60" s="13"/>
      <c r="I60" s="13"/>
    </row>
    <row r="61" spans="2:9" ht="20.100000000000001" customHeight="1">
      <c r="B61" s="13"/>
      <c r="C61" s="13"/>
      <c r="D61" s="13"/>
      <c r="E61" s="13"/>
      <c r="F61" s="13"/>
      <c r="G61" s="13"/>
      <c r="H61" s="13"/>
      <c r="I61" s="13"/>
    </row>
    <row r="62" spans="2:9" ht="20.100000000000001" customHeight="1">
      <c r="B62" s="13"/>
      <c r="C62" s="13"/>
      <c r="D62" s="13"/>
      <c r="E62" s="13"/>
      <c r="F62" s="13"/>
      <c r="G62" s="13"/>
      <c r="H62" s="13"/>
      <c r="I62" s="13"/>
    </row>
    <row r="63" spans="2:9" ht="20.100000000000001" customHeight="1">
      <c r="B63" s="13"/>
      <c r="C63" s="13"/>
      <c r="D63" s="13"/>
      <c r="E63" s="13"/>
      <c r="F63" s="13"/>
      <c r="G63" s="13"/>
      <c r="H63" s="13"/>
      <c r="I63" s="13"/>
    </row>
  </sheetData>
  <sheetProtection algorithmName="SHA-512" hashValue="mY4sTIJNTsdGiOYiKH8Qc5AdXbsnBz77rxyGQZQI5baB431X42la4uDL9ymQAkIIBcgNddfpHxH0Wi40rVexpg==" saltValue="8CDj5xBvaB1fw8Jjj64AhQ==" spinCount="100000" sheet="1" formatCells="0" formatColumns="0" formatRows="0" insertColumns="0" insertRows="0" deleteColumns="0" deleteRows="0" sort="0" autoFilter="0"/>
  <autoFilter ref="B6:I16" xr:uid="{B1190D58-1A93-8E40-B2AE-426F3F44CA09}"/>
  <mergeCells count="2">
    <mergeCell ref="B2:I2"/>
    <mergeCell ref="B3:I3"/>
  </mergeCells>
  <printOptions horizontalCentered="1"/>
  <pageMargins left="0.7" right="0.7" top="0.75" bottom="0.75" header="0.3" footer="0.3"/>
  <pageSetup scale="55"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B797343E-8858-EF4E-9F7F-F16974AF54DD}">
          <x14:formula1>
            <xm:f>Equivalencia!$A$4:$A$23</xm:f>
          </x14:formula1>
          <xm:sqref>F8:F14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1B79-0ED4-4D4E-9E48-D3FCB363D4FE}">
  <sheetPr>
    <pageSetUpPr fitToPage="1"/>
  </sheetPr>
  <dimension ref="B2:L15"/>
  <sheetViews>
    <sheetView view="pageBreakPreview" zoomScale="140" zoomScaleNormal="110" zoomScaleSheetLayoutView="140" workbookViewId="0">
      <selection activeCell="C5" sqref="C5"/>
    </sheetView>
  </sheetViews>
  <sheetFormatPr defaultColWidth="10.6640625" defaultRowHeight="23.1" customHeight="1"/>
  <cols>
    <col min="1" max="1" width="10.6640625" style="12"/>
    <col min="2" max="2" width="7.109375" style="112" customWidth="1"/>
    <col min="3" max="3" width="76" style="12" customWidth="1"/>
    <col min="4" max="4" width="3.5546875" style="12" customWidth="1"/>
    <col min="5" max="5" width="16.109375" style="12" customWidth="1"/>
    <col min="6" max="16384" width="10.6640625" style="12"/>
  </cols>
  <sheetData>
    <row r="2" spans="2:12" ht="23.1" customHeight="1">
      <c r="B2" s="205" t="s">
        <v>469</v>
      </c>
      <c r="C2" s="205"/>
      <c r="D2" s="205"/>
      <c r="E2" s="205"/>
      <c r="H2" s="590"/>
      <c r="I2" s="590"/>
      <c r="J2" s="590"/>
      <c r="K2" s="590"/>
      <c r="L2" s="590"/>
    </row>
    <row r="3" spans="2:12" ht="23.1" customHeight="1">
      <c r="B3" s="576" t="s">
        <v>217</v>
      </c>
      <c r="C3" s="577"/>
      <c r="D3" s="577"/>
      <c r="E3" s="577"/>
      <c r="H3" s="577"/>
      <c r="I3" s="577"/>
      <c r="J3" s="577"/>
      <c r="K3" s="577"/>
      <c r="L3" s="577"/>
    </row>
    <row r="4" spans="2:12" ht="14.1" customHeight="1">
      <c r="B4" s="79" t="s">
        <v>41</v>
      </c>
      <c r="C4" s="79" t="s">
        <v>42</v>
      </c>
      <c r="D4" s="79"/>
      <c r="E4" s="80"/>
    </row>
    <row r="5" spans="2:12" ht="23.1" customHeight="1">
      <c r="B5" s="216"/>
      <c r="C5" s="88"/>
      <c r="D5" s="88"/>
      <c r="E5" s="88"/>
    </row>
    <row r="7" spans="2:12" ht="21" customHeight="1">
      <c r="B7" s="321" t="s">
        <v>43</v>
      </c>
      <c r="C7" s="347" t="s">
        <v>470</v>
      </c>
      <c r="D7" s="322"/>
      <c r="E7" s="348">
        <f>+IF(SUM('Ventas OFD'!Z:Z)&lt;0,SUM('Ventas OFD'!Z:Z),0)</f>
        <v>0</v>
      </c>
      <c r="F7" s="113" t="s">
        <v>219</v>
      </c>
    </row>
    <row r="8" spans="2:12" ht="21" customHeight="1">
      <c r="B8" s="321" t="s">
        <v>43</v>
      </c>
      <c r="C8" s="347" t="s">
        <v>471</v>
      </c>
      <c r="D8" s="322"/>
      <c r="E8" s="348">
        <f>+IF(SUM('Ventas OFD'!Z:Z)&gt;0,SUM('Ventas OFD'!Z:Z),0)</f>
        <v>0</v>
      </c>
    </row>
    <row r="9" spans="2:12" ht="21" customHeight="1">
      <c r="B9" s="321" t="s">
        <v>43</v>
      </c>
      <c r="C9" s="347" t="s">
        <v>472</v>
      </c>
      <c r="D9" s="322"/>
      <c r="E9" s="348">
        <f>+IF('Fwd - TC'!$I$40&lt;0,'Fwd - TC'!$I$40,0)</f>
        <v>0</v>
      </c>
    </row>
    <row r="10" spans="2:12" ht="21" customHeight="1">
      <c r="B10" s="321" t="s">
        <v>43</v>
      </c>
      <c r="C10" s="347" t="s">
        <v>473</v>
      </c>
      <c r="D10" s="322"/>
      <c r="E10" s="348">
        <f>+IF('Fwd - TC'!$I$40&gt;0,'Fwd - TC'!$I$40,0)</f>
        <v>0</v>
      </c>
    </row>
    <row r="11" spans="2:12" ht="21" customHeight="1">
      <c r="B11" s="363" t="s">
        <v>47</v>
      </c>
      <c r="C11" s="374" t="s">
        <v>474</v>
      </c>
      <c r="D11" s="342"/>
      <c r="E11" s="375">
        <f>SUM(E7:E10)</f>
        <v>0</v>
      </c>
    </row>
    <row r="12" spans="2:12" ht="21" customHeight="1">
      <c r="B12" s="57"/>
      <c r="C12" s="82"/>
      <c r="E12" s="551"/>
    </row>
    <row r="13" spans="2:12" ht="21" customHeight="1">
      <c r="B13" s="321" t="s">
        <v>43</v>
      </c>
      <c r="C13" s="350" t="s">
        <v>475</v>
      </c>
      <c r="D13" s="322"/>
      <c r="E13" s="351">
        <f>-'Pérdidas o Acreditamientos'!H363</f>
        <v>1.0000000000000001E-5</v>
      </c>
      <c r="F13" s="113" t="s">
        <v>222</v>
      </c>
    </row>
    <row r="14" spans="2:12" ht="21" customHeight="1">
      <c r="B14" s="57"/>
      <c r="C14" s="114"/>
      <c r="E14" s="115"/>
      <c r="F14" s="113"/>
    </row>
    <row r="15" spans="2:12" ht="21" customHeight="1">
      <c r="B15" s="355" t="s">
        <v>47</v>
      </c>
      <c r="C15" s="356" t="str">
        <f>+IF(AND(E7+E8+E9+E10&lt;=0,E13&lt;=0),"(Pérdida) por OFD de Capital del ejercicio",IF((E7+E8+E9+E10+E13&lt;=0),"(Pérdida) de ejercicios anteriores remanente","Ganancia en OFD de Capital"))</f>
        <v>Ganancia en OFD de Capital</v>
      </c>
      <c r="D15" s="343"/>
      <c r="E15" s="357">
        <f>IF(AND(E7+E8+E9+E10&lt;=0,E13&lt;=0),E7+E8+E9+E10,IF((E7+E8+E9+E10)&gt;0,E7+E8+E9+E10+E13,0))</f>
        <v>0</v>
      </c>
    </row>
  </sheetData>
  <sheetProtection algorithmName="SHA-512" hashValue="Z9O77c926HCQDDjPnfqSd8zHGfIvTaX+9MUg+OWHzEHuZIBiT+OFNGw2JSjqsa9M6QZbFXwjQnpqNXXcqw6Mkg==" saltValue="x7vfoCwR2hLZedb5Xv8VZQ==" spinCount="100000" sheet="1" objects="1" scenarios="1"/>
  <mergeCells count="1">
    <mergeCell ref="H2:L2"/>
  </mergeCells>
  <pageMargins left="0.7" right="0.7" top="0.75" bottom="0.75" header="0.3" footer="0.3"/>
  <pageSetup scale="95" orientation="landscape"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F8BE2-9626-F048-8C3D-231CD84B0D50}">
  <sheetPr>
    <pageSetUpPr fitToPage="1"/>
  </sheetPr>
  <dimension ref="B2:I63"/>
  <sheetViews>
    <sheetView view="pageBreakPreview" zoomScale="120" zoomScaleNormal="100" zoomScaleSheetLayoutView="120" workbookViewId="0">
      <pane ySplit="6" topLeftCell="A7" activePane="bottomLeft" state="frozen"/>
      <selection pane="bottomLeft" activeCell="C5" sqref="C5"/>
      <selection activeCell="C5" sqref="C5"/>
    </sheetView>
  </sheetViews>
  <sheetFormatPr defaultColWidth="10.6640625" defaultRowHeight="20.100000000000001" customHeight="1"/>
  <cols>
    <col min="1" max="1" width="10.6640625" style="12"/>
    <col min="2" max="2" width="23.88671875" style="12" customWidth="1"/>
    <col min="3" max="3" width="16" style="12" customWidth="1"/>
    <col min="4" max="4" width="20" style="12" customWidth="1"/>
    <col min="5" max="5" width="43.5546875" style="12" customWidth="1"/>
    <col min="6" max="6" width="23.6640625" style="12" customWidth="1"/>
    <col min="7" max="7" width="17.6640625" style="12" customWidth="1"/>
    <col min="8" max="8" width="14.44140625" style="12" customWidth="1"/>
    <col min="9" max="9" width="17.6640625" style="12" customWidth="1"/>
    <col min="10" max="16384" width="10.6640625" style="12"/>
  </cols>
  <sheetData>
    <row r="2" spans="2:9" ht="20.100000000000001" customHeight="1">
      <c r="B2" s="587" t="s">
        <v>466</v>
      </c>
      <c r="C2" s="587"/>
      <c r="D2" s="587"/>
      <c r="E2" s="587"/>
      <c r="F2" s="587"/>
      <c r="G2" s="587"/>
      <c r="H2" s="587"/>
      <c r="I2" s="587"/>
    </row>
    <row r="3" spans="2:9" ht="20.100000000000001" customHeight="1">
      <c r="B3" s="588" t="s">
        <v>476</v>
      </c>
      <c r="C3" s="588"/>
      <c r="D3" s="588"/>
      <c r="E3" s="588"/>
      <c r="F3" s="588"/>
      <c r="G3" s="588"/>
      <c r="H3" s="588"/>
      <c r="I3" s="588"/>
    </row>
    <row r="4" spans="2:9" ht="14.1" customHeight="1">
      <c r="B4" s="79" t="s">
        <v>41</v>
      </c>
      <c r="C4" s="79" t="s">
        <v>42</v>
      </c>
      <c r="D4" s="79"/>
      <c r="E4" s="80"/>
      <c r="F4" s="80"/>
      <c r="G4" s="80"/>
      <c r="H4" s="80"/>
      <c r="I4" s="80"/>
    </row>
    <row r="5" spans="2:9" ht="23.1" customHeight="1">
      <c r="B5" s="141"/>
      <c r="C5" s="141"/>
      <c r="D5" s="141"/>
      <c r="E5" s="142"/>
      <c r="F5" s="142"/>
      <c r="G5" s="142"/>
      <c r="H5" s="142"/>
      <c r="I5" s="142"/>
    </row>
    <row r="6" spans="2:9" s="122" customFormat="1" ht="15">
      <c r="B6" s="62" t="s">
        <v>103</v>
      </c>
      <c r="C6" s="62" t="s">
        <v>29</v>
      </c>
      <c r="D6" s="62" t="s">
        <v>457</v>
      </c>
      <c r="E6" s="62" t="s">
        <v>124</v>
      </c>
      <c r="F6" s="62" t="s">
        <v>106</v>
      </c>
      <c r="G6" s="62" t="s">
        <v>107</v>
      </c>
      <c r="H6" s="62" t="s">
        <v>108</v>
      </c>
      <c r="I6" s="62" t="s">
        <v>109</v>
      </c>
    </row>
    <row r="8" spans="2:9" ht="20.100000000000001" customHeight="1">
      <c r="B8" s="64" t="s">
        <v>125</v>
      </c>
      <c r="C8" s="65"/>
      <c r="D8" s="64"/>
      <c r="E8" s="66"/>
      <c r="F8" s="64"/>
      <c r="G8" s="67"/>
      <c r="H8" s="393">
        <f>+IF(F8=0,0,IF(F8="MXN",1/HLOOKUP(YEAR(C8)+(MONTH(C8)/100),TC!$5:$37,DAY(C8)+2,FALSE),VLOOKUP(F8,Equivalencia!$3:$23,((MAX(Equivalencia!$3:$3)-YEAR(C8))*14)+MONTH(C8)+2,FALSE)))</f>
        <v>0</v>
      </c>
      <c r="I8" s="143">
        <f t="shared" ref="I8:I14" si="0">+H8*G8</f>
        <v>0</v>
      </c>
    </row>
    <row r="9" spans="2:9" ht="20.100000000000001" customHeight="1">
      <c r="B9" s="64" t="s">
        <v>126</v>
      </c>
      <c r="C9" s="65"/>
      <c r="D9" s="64"/>
      <c r="E9" s="66"/>
      <c r="F9" s="64"/>
      <c r="G9" s="67"/>
      <c r="H9" s="393">
        <f>+IF(F9=0,0,IF(F9="MXN",1/HLOOKUP(YEAR(C9)+(MONTH(C9)/100),TC!$5:$37,DAY(C9)+2,FALSE),VLOOKUP(F9,Equivalencia!$3:$23,((MAX(Equivalencia!$3:$3)-YEAR(C9))*14)+MONTH(C9)+2,FALSE)))</f>
        <v>0</v>
      </c>
      <c r="I9" s="143">
        <f t="shared" si="0"/>
        <v>0</v>
      </c>
    </row>
    <row r="10" spans="2:9" ht="20.100000000000001" customHeight="1">
      <c r="B10" s="64" t="s">
        <v>127</v>
      </c>
      <c r="C10" s="65"/>
      <c r="D10" s="64"/>
      <c r="E10" s="66"/>
      <c r="F10" s="64"/>
      <c r="G10" s="67"/>
      <c r="H10" s="393">
        <f>+IF(F10=0,0,IF(F10="MXN",1/HLOOKUP(YEAR(C10)+(MONTH(C10)/100),TC!$5:$37,DAY(C10)+2,FALSE),VLOOKUP(F10,Equivalencia!$3:$23,((MAX(Equivalencia!$3:$3)-YEAR(C10))*14)+MONTH(C10)+2,FALSE)))</f>
        <v>0</v>
      </c>
      <c r="I10" s="143">
        <f t="shared" si="0"/>
        <v>0</v>
      </c>
    </row>
    <row r="11" spans="2:9" ht="20.100000000000001" customHeight="1">
      <c r="B11" s="64" t="s">
        <v>128</v>
      </c>
      <c r="C11" s="65"/>
      <c r="D11" s="64"/>
      <c r="E11" s="66"/>
      <c r="F11" s="64"/>
      <c r="G11" s="67"/>
      <c r="H11" s="393">
        <f>+IF(F11=0,0,IF(F11="MXN",1/HLOOKUP(YEAR(C11)+(MONTH(C11)/100),TC!$5:$37,DAY(C11)+2,FALSE),VLOOKUP(F11,Equivalencia!$3:$23,((MAX(Equivalencia!$3:$3)-YEAR(C11))*14)+MONTH(C11)+2,FALSE)))</f>
        <v>0</v>
      </c>
      <c r="I11" s="143">
        <f t="shared" si="0"/>
        <v>0</v>
      </c>
    </row>
    <row r="12" spans="2:9" ht="20.100000000000001" customHeight="1">
      <c r="B12" s="64" t="s">
        <v>129</v>
      </c>
      <c r="C12" s="65"/>
      <c r="D12" s="64"/>
      <c r="E12" s="66"/>
      <c r="F12" s="64"/>
      <c r="G12" s="67"/>
      <c r="H12" s="393">
        <f>+IF(F12=0,0,IF(F12="MXN",1/HLOOKUP(YEAR(C12)+(MONTH(C12)/100),TC!$5:$37,DAY(C12)+2,FALSE),VLOOKUP(F12,Equivalencia!$3:$23,((MAX(Equivalencia!$3:$3)-YEAR(C12))*14)+MONTH(C12)+2,FALSE)))</f>
        <v>0</v>
      </c>
      <c r="I12" s="143">
        <f t="shared" si="0"/>
        <v>0</v>
      </c>
    </row>
    <row r="13" spans="2:9" ht="20.100000000000001" customHeight="1">
      <c r="B13" s="64" t="s">
        <v>13</v>
      </c>
      <c r="C13" s="65"/>
      <c r="D13" s="64"/>
      <c r="E13" s="66"/>
      <c r="F13" s="64"/>
      <c r="G13" s="67"/>
      <c r="H13" s="393">
        <f>+IF(F13=0,0,IF(F13="MXN",1/HLOOKUP(YEAR(C13)+(MONTH(C13)/100),TC!$5:$37,DAY(C13)+2,FALSE),VLOOKUP(F13,Equivalencia!$3:$23,((MAX(Equivalencia!$3:$3)-YEAR(C13))*14)+MONTH(C13)+2,FALSE)))</f>
        <v>0</v>
      </c>
      <c r="I13" s="143">
        <f t="shared" si="0"/>
        <v>0</v>
      </c>
    </row>
    <row r="14" spans="2:9" ht="20.100000000000001" customHeight="1">
      <c r="B14" s="64" t="s">
        <v>14</v>
      </c>
      <c r="C14" s="65"/>
      <c r="D14" s="64"/>
      <c r="E14" s="66"/>
      <c r="F14" s="64"/>
      <c r="G14" s="67"/>
      <c r="H14" s="393">
        <f>+IF(F14=0,0,IF(F14="MXN",1/HLOOKUP(YEAR(C14)+(MONTH(C14)/100),TC!$5:$37,DAY(C14)+2,FALSE),VLOOKUP(F14,Equivalencia!$3:$23,((MAX(Equivalencia!$3:$3)-YEAR(C14))*14)+MONTH(C14)+2,FALSE)))</f>
        <v>0</v>
      </c>
      <c r="I14" s="143">
        <f t="shared" si="0"/>
        <v>0</v>
      </c>
    </row>
    <row r="15" spans="2:9" ht="20.100000000000001" customHeight="1">
      <c r="B15" s="13"/>
      <c r="C15" s="13"/>
      <c r="D15" s="13"/>
      <c r="E15" s="13"/>
      <c r="F15" s="13"/>
      <c r="G15" s="67"/>
      <c r="H15" s="393"/>
      <c r="I15" s="143"/>
    </row>
    <row r="16" spans="2:9" ht="20.100000000000001" customHeight="1">
      <c r="B16" s="97" t="s">
        <v>464</v>
      </c>
      <c r="C16" s="105"/>
      <c r="D16" s="105"/>
      <c r="E16" s="105"/>
      <c r="F16" s="105"/>
      <c r="G16" s="148">
        <f>SUM(G7:G15)</f>
        <v>0</v>
      </c>
      <c r="H16" s="105"/>
      <c r="I16" s="148">
        <f>SUM(I7:I15)</f>
        <v>0</v>
      </c>
    </row>
    <row r="18" spans="4:9" ht="20.100000000000001" customHeight="1">
      <c r="G18" s="122"/>
      <c r="H18" s="122"/>
      <c r="I18" s="122"/>
    </row>
    <row r="19" spans="4:9" ht="20.100000000000001" customHeight="1">
      <c r="G19" s="152" t="s">
        <v>106</v>
      </c>
      <c r="H19" s="140"/>
      <c r="I19" s="153" t="s">
        <v>33</v>
      </c>
    </row>
    <row r="20" spans="4:9" ht="20.100000000000001" customHeight="1">
      <c r="F20" s="133"/>
    </row>
    <row r="21" spans="4:9" ht="20.100000000000001" customHeight="1">
      <c r="D21" s="83"/>
      <c r="E21" s="145" t="s">
        <v>468</v>
      </c>
      <c r="F21" s="85">
        <f>+Cuentas!B7</f>
        <v>1175000</v>
      </c>
      <c r="G21" s="146">
        <f>SUMIF($B$7:$B$537,F21,$G$7:$G$537)</f>
        <v>0</v>
      </c>
      <c r="H21" s="147"/>
      <c r="I21" s="146">
        <f>SUMIF($B$7:$B$537,F21,$I$7:$I$537)</f>
        <v>0</v>
      </c>
    </row>
    <row r="22" spans="4:9" ht="20.100000000000001" customHeight="1">
      <c r="D22" s="83"/>
      <c r="E22" s="145" t="s">
        <v>468</v>
      </c>
      <c r="F22" s="85">
        <f>+Cuentas!B8</f>
        <v>1179000</v>
      </c>
      <c r="G22" s="146">
        <f t="shared" ref="G22:G38" si="1">SUMIF($B$7:$B$537,F22,$G$7:$G$537)</f>
        <v>0</v>
      </c>
      <c r="H22" s="147"/>
      <c r="I22" s="146">
        <f t="shared" ref="I22:I38" si="2">SUMIF($B$7:$B$537,F22,$I$7:$I$537)</f>
        <v>0</v>
      </c>
    </row>
    <row r="23" spans="4:9" ht="20.100000000000001" customHeight="1">
      <c r="D23" s="83"/>
      <c r="E23" s="145" t="s">
        <v>468</v>
      </c>
      <c r="F23" s="85">
        <f>+Cuentas!B9</f>
        <v>1427200</v>
      </c>
      <c r="G23" s="146">
        <f t="shared" si="1"/>
        <v>0</v>
      </c>
      <c r="H23" s="147"/>
      <c r="I23" s="146">
        <f t="shared" si="2"/>
        <v>0</v>
      </c>
    </row>
    <row r="24" spans="4:9" ht="20.100000000000001" customHeight="1">
      <c r="D24" s="83"/>
      <c r="E24" s="145" t="s">
        <v>468</v>
      </c>
      <c r="F24" s="85" t="str">
        <f>+Cuentas!B10</f>
        <v>B22235000</v>
      </c>
      <c r="G24" s="146">
        <f t="shared" si="1"/>
        <v>0</v>
      </c>
      <c r="H24" s="147"/>
      <c r="I24" s="146">
        <f t="shared" si="2"/>
        <v>0</v>
      </c>
    </row>
    <row r="25" spans="4:9" ht="20.100000000000001" customHeight="1">
      <c r="D25" s="83"/>
      <c r="E25" s="145" t="s">
        <v>468</v>
      </c>
      <c r="F25" s="85">
        <f>+Cuentas!B11</f>
        <v>700833580</v>
      </c>
      <c r="G25" s="146">
        <f t="shared" si="1"/>
        <v>0</v>
      </c>
      <c r="H25" s="147"/>
      <c r="I25" s="146">
        <f t="shared" si="2"/>
        <v>0</v>
      </c>
    </row>
    <row r="26" spans="4:9" ht="20.100000000000001" customHeight="1">
      <c r="D26" s="83"/>
      <c r="E26" s="145" t="s">
        <v>468</v>
      </c>
      <c r="F26" s="85" t="str">
        <f>+Cuentas!B12</f>
        <v>F</v>
      </c>
      <c r="G26" s="146">
        <f t="shared" si="1"/>
        <v>0</v>
      </c>
      <c r="H26" s="147"/>
      <c r="I26" s="146">
        <f t="shared" si="2"/>
        <v>0</v>
      </c>
    </row>
    <row r="27" spans="4:9" ht="20.100000000000001" customHeight="1">
      <c r="D27" s="83"/>
      <c r="E27" s="145" t="s">
        <v>468</v>
      </c>
      <c r="F27" s="85" t="str">
        <f>+Cuentas!B13</f>
        <v>G</v>
      </c>
      <c r="G27" s="146">
        <f t="shared" si="1"/>
        <v>0</v>
      </c>
      <c r="H27" s="147"/>
      <c r="I27" s="146">
        <f t="shared" si="2"/>
        <v>0</v>
      </c>
    </row>
    <row r="28" spans="4:9" ht="20.100000000000001" customHeight="1">
      <c r="D28" s="83"/>
      <c r="E28" s="145" t="s">
        <v>468</v>
      </c>
      <c r="F28" s="85" t="str">
        <f>+Cuentas!B14</f>
        <v>H</v>
      </c>
      <c r="G28" s="146">
        <f t="shared" si="1"/>
        <v>0</v>
      </c>
      <c r="H28" s="147"/>
      <c r="I28" s="146">
        <f t="shared" si="2"/>
        <v>0</v>
      </c>
    </row>
    <row r="29" spans="4:9" ht="20.100000000000001" customHeight="1">
      <c r="D29" s="83"/>
      <c r="E29" s="145" t="s">
        <v>468</v>
      </c>
      <c r="F29" s="85" t="str">
        <f>+Cuentas!B15</f>
        <v>I</v>
      </c>
      <c r="G29" s="146">
        <f t="shared" si="1"/>
        <v>0</v>
      </c>
      <c r="H29" s="147"/>
      <c r="I29" s="146">
        <f t="shared" si="2"/>
        <v>0</v>
      </c>
    </row>
    <row r="30" spans="4:9" ht="20.100000000000001" customHeight="1">
      <c r="D30" s="83"/>
      <c r="E30" s="145" t="s">
        <v>468</v>
      </c>
      <c r="F30" s="85" t="str">
        <f>+Cuentas!B16</f>
        <v>J</v>
      </c>
      <c r="G30" s="146">
        <f t="shared" si="1"/>
        <v>0</v>
      </c>
      <c r="H30" s="147"/>
      <c r="I30" s="146">
        <f t="shared" si="2"/>
        <v>0</v>
      </c>
    </row>
    <row r="31" spans="4:9" ht="20.100000000000001" customHeight="1">
      <c r="D31" s="83"/>
      <c r="E31" s="145" t="s">
        <v>468</v>
      </c>
      <c r="F31" s="85" t="str">
        <f>+Cuentas!B17</f>
        <v>K</v>
      </c>
      <c r="G31" s="146">
        <f t="shared" si="1"/>
        <v>0</v>
      </c>
      <c r="H31" s="147"/>
      <c r="I31" s="146">
        <f t="shared" si="2"/>
        <v>0</v>
      </c>
    </row>
    <row r="32" spans="4:9" ht="20.100000000000001" customHeight="1">
      <c r="D32" s="83"/>
      <c r="E32" s="145" t="s">
        <v>468</v>
      </c>
      <c r="F32" s="85" t="str">
        <f>+Cuentas!B18</f>
        <v>L</v>
      </c>
      <c r="G32" s="146">
        <f t="shared" si="1"/>
        <v>0</v>
      </c>
      <c r="H32" s="147"/>
      <c r="I32" s="146">
        <f t="shared" si="2"/>
        <v>0</v>
      </c>
    </row>
    <row r="33" spans="2:9" ht="20.100000000000001" customHeight="1">
      <c r="D33" s="83"/>
      <c r="E33" s="145" t="s">
        <v>468</v>
      </c>
      <c r="F33" s="85" t="str">
        <f>+Cuentas!B19</f>
        <v>M</v>
      </c>
      <c r="G33" s="146">
        <f t="shared" si="1"/>
        <v>0</v>
      </c>
      <c r="H33" s="147"/>
      <c r="I33" s="146">
        <f t="shared" si="2"/>
        <v>0</v>
      </c>
    </row>
    <row r="34" spans="2:9" ht="20.100000000000001" customHeight="1">
      <c r="D34" s="83"/>
      <c r="E34" s="145" t="s">
        <v>468</v>
      </c>
      <c r="F34" s="85" t="str">
        <f>+Cuentas!B20</f>
        <v>N</v>
      </c>
      <c r="G34" s="146">
        <f t="shared" si="1"/>
        <v>0</v>
      </c>
      <c r="H34" s="147"/>
      <c r="I34" s="146">
        <f t="shared" si="2"/>
        <v>0</v>
      </c>
    </row>
    <row r="35" spans="2:9" ht="20.100000000000001" customHeight="1">
      <c r="D35" s="83"/>
      <c r="E35" s="145" t="s">
        <v>468</v>
      </c>
      <c r="F35" s="85" t="str">
        <f>+Cuentas!B21</f>
        <v>O</v>
      </c>
      <c r="G35" s="146">
        <f t="shared" si="1"/>
        <v>0</v>
      </c>
      <c r="H35" s="147"/>
      <c r="I35" s="146">
        <f t="shared" si="2"/>
        <v>0</v>
      </c>
    </row>
    <row r="36" spans="2:9" ht="20.100000000000001" customHeight="1">
      <c r="D36" s="83"/>
      <c r="E36" s="145" t="s">
        <v>468</v>
      </c>
      <c r="F36" s="85" t="str">
        <f>+Cuentas!B22</f>
        <v>P</v>
      </c>
      <c r="G36" s="146">
        <f t="shared" si="1"/>
        <v>0</v>
      </c>
      <c r="H36" s="147"/>
      <c r="I36" s="146">
        <f t="shared" si="2"/>
        <v>0</v>
      </c>
    </row>
    <row r="37" spans="2:9" ht="20.100000000000001" customHeight="1">
      <c r="D37" s="83"/>
      <c r="E37" s="145" t="s">
        <v>468</v>
      </c>
      <c r="F37" s="85" t="str">
        <f>+Cuentas!B23</f>
        <v>Q</v>
      </c>
      <c r="G37" s="146">
        <f t="shared" si="1"/>
        <v>0</v>
      </c>
      <c r="H37" s="147"/>
      <c r="I37" s="146">
        <f t="shared" si="2"/>
        <v>0</v>
      </c>
    </row>
    <row r="38" spans="2:9" ht="20.100000000000001" customHeight="1">
      <c r="D38" s="83"/>
      <c r="E38" s="145" t="s">
        <v>468</v>
      </c>
      <c r="F38" s="85" t="str">
        <f>+Cuentas!B24</f>
        <v>R</v>
      </c>
      <c r="G38" s="146">
        <f t="shared" si="1"/>
        <v>0</v>
      </c>
      <c r="H38" s="147"/>
      <c r="I38" s="146">
        <f t="shared" si="2"/>
        <v>0</v>
      </c>
    </row>
    <row r="40" spans="2:9" ht="20.100000000000001" customHeight="1">
      <c r="F40" s="149" t="s">
        <v>119</v>
      </c>
      <c r="G40" s="150">
        <f>SUM(G21:G39)</f>
        <v>0</v>
      </c>
      <c r="H40" s="87"/>
      <c r="I40" s="150">
        <f>SUM(I21:I39)</f>
        <v>0</v>
      </c>
    </row>
    <row r="43" spans="2:9" ht="20.100000000000001" customHeight="1">
      <c r="B43" s="91" t="s">
        <v>92</v>
      </c>
    </row>
    <row r="44" spans="2:9" ht="20.100000000000001" customHeight="1">
      <c r="B44" s="13"/>
      <c r="C44" s="13"/>
      <c r="D44" s="13"/>
      <c r="E44" s="13"/>
      <c r="F44" s="13"/>
      <c r="G44" s="13"/>
      <c r="H44" s="13"/>
      <c r="I44" s="13"/>
    </row>
    <row r="45" spans="2:9" ht="20.100000000000001" customHeight="1">
      <c r="B45" s="13"/>
      <c r="C45" s="13"/>
      <c r="D45" s="13"/>
      <c r="E45" s="13"/>
      <c r="F45" s="13"/>
      <c r="G45" s="13"/>
      <c r="H45" s="13"/>
      <c r="I45" s="13"/>
    </row>
    <row r="46" spans="2:9" ht="20.100000000000001" customHeight="1">
      <c r="B46" s="13"/>
      <c r="C46" s="13"/>
      <c r="D46" s="13"/>
      <c r="E46" s="13"/>
      <c r="F46" s="13"/>
      <c r="G46" s="13"/>
      <c r="H46" s="13"/>
      <c r="I46" s="13"/>
    </row>
    <row r="47" spans="2:9" ht="20.100000000000001" customHeight="1">
      <c r="B47" s="13"/>
      <c r="C47" s="13"/>
      <c r="D47" s="13"/>
      <c r="E47" s="13"/>
      <c r="F47" s="13"/>
      <c r="G47" s="13"/>
      <c r="H47" s="13"/>
      <c r="I47" s="13"/>
    </row>
    <row r="48" spans="2:9" ht="20.100000000000001" customHeight="1">
      <c r="B48" s="13"/>
      <c r="C48" s="13"/>
      <c r="D48" s="13"/>
      <c r="E48" s="13"/>
      <c r="F48" s="13"/>
      <c r="G48" s="13"/>
      <c r="H48" s="13"/>
      <c r="I48" s="13"/>
    </row>
    <row r="49" spans="2:9" ht="20.100000000000001" customHeight="1">
      <c r="B49" s="13"/>
      <c r="C49" s="13"/>
      <c r="D49" s="13"/>
      <c r="E49" s="13"/>
      <c r="F49" s="13"/>
      <c r="G49" s="13"/>
      <c r="H49" s="13"/>
      <c r="I49" s="13"/>
    </row>
    <row r="50" spans="2:9" ht="20.100000000000001" customHeight="1">
      <c r="B50" s="13"/>
      <c r="C50" s="13"/>
      <c r="D50" s="13"/>
      <c r="E50" s="13"/>
      <c r="F50" s="13"/>
      <c r="G50" s="13"/>
      <c r="H50" s="13"/>
      <c r="I50" s="13"/>
    </row>
    <row r="51" spans="2:9" ht="20.100000000000001" customHeight="1">
      <c r="B51" s="13"/>
      <c r="C51" s="13"/>
      <c r="D51" s="13"/>
      <c r="E51" s="13"/>
      <c r="F51" s="13"/>
      <c r="G51" s="13"/>
      <c r="H51" s="13"/>
      <c r="I51" s="13"/>
    </row>
    <row r="52" spans="2:9" ht="20.100000000000001" customHeight="1">
      <c r="B52" s="13"/>
      <c r="C52" s="13"/>
      <c r="D52" s="13"/>
      <c r="E52" s="13"/>
      <c r="F52" s="13"/>
      <c r="G52" s="13"/>
      <c r="H52" s="13"/>
      <c r="I52" s="13"/>
    </row>
    <row r="53" spans="2:9" ht="20.100000000000001" customHeight="1">
      <c r="B53" s="13"/>
      <c r="C53" s="13"/>
      <c r="D53" s="13"/>
      <c r="E53" s="13"/>
      <c r="F53" s="13"/>
      <c r="G53" s="13"/>
      <c r="H53" s="13"/>
      <c r="I53" s="13"/>
    </row>
    <row r="54" spans="2:9" ht="20.100000000000001" customHeight="1">
      <c r="B54" s="13"/>
      <c r="C54" s="13"/>
      <c r="D54" s="13"/>
      <c r="E54" s="13"/>
      <c r="F54" s="13"/>
      <c r="G54" s="13"/>
      <c r="H54" s="13"/>
      <c r="I54" s="13"/>
    </row>
    <row r="55" spans="2:9" ht="20.100000000000001" customHeight="1">
      <c r="B55" s="13"/>
      <c r="C55" s="13"/>
      <c r="D55" s="13"/>
      <c r="E55" s="13"/>
      <c r="F55" s="13"/>
      <c r="G55" s="13"/>
      <c r="H55" s="13"/>
      <c r="I55" s="13"/>
    </row>
    <row r="56" spans="2:9" ht="20.100000000000001" customHeight="1">
      <c r="B56" s="13"/>
      <c r="C56" s="13"/>
      <c r="D56" s="13"/>
      <c r="E56" s="13"/>
      <c r="F56" s="13"/>
      <c r="G56" s="13"/>
      <c r="H56" s="13"/>
      <c r="I56" s="13"/>
    </row>
    <row r="57" spans="2:9" ht="20.100000000000001" customHeight="1">
      <c r="B57" s="13"/>
      <c r="C57" s="13"/>
      <c r="D57" s="13"/>
      <c r="E57" s="13"/>
      <c r="F57" s="13"/>
      <c r="G57" s="13"/>
      <c r="H57" s="13"/>
      <c r="I57" s="13"/>
    </row>
    <row r="58" spans="2:9" ht="20.100000000000001" customHeight="1">
      <c r="B58" s="13"/>
      <c r="C58" s="13"/>
      <c r="D58" s="13"/>
      <c r="E58" s="13"/>
      <c r="F58" s="13"/>
      <c r="G58" s="13"/>
      <c r="H58" s="13"/>
      <c r="I58" s="13"/>
    </row>
    <row r="59" spans="2:9" ht="20.100000000000001" customHeight="1">
      <c r="B59" s="13"/>
      <c r="C59" s="13"/>
      <c r="D59" s="13"/>
      <c r="E59" s="13"/>
      <c r="F59" s="13"/>
      <c r="G59" s="13"/>
      <c r="H59" s="13"/>
      <c r="I59" s="13"/>
    </row>
    <row r="60" spans="2:9" ht="20.100000000000001" customHeight="1">
      <c r="B60" s="13"/>
      <c r="C60" s="13"/>
      <c r="D60" s="13"/>
      <c r="E60" s="13"/>
      <c r="F60" s="13"/>
      <c r="G60" s="13"/>
      <c r="H60" s="13"/>
      <c r="I60" s="13"/>
    </row>
    <row r="61" spans="2:9" ht="20.100000000000001" customHeight="1">
      <c r="B61" s="13"/>
      <c r="C61" s="13"/>
      <c r="D61" s="13"/>
      <c r="E61" s="13"/>
      <c r="F61" s="13"/>
      <c r="G61" s="13"/>
      <c r="H61" s="13"/>
      <c r="I61" s="13"/>
    </row>
    <row r="62" spans="2:9" ht="20.100000000000001" customHeight="1">
      <c r="B62" s="13"/>
      <c r="C62" s="13"/>
      <c r="D62" s="13"/>
      <c r="E62" s="13"/>
      <c r="F62" s="13"/>
      <c r="G62" s="13"/>
      <c r="H62" s="13"/>
      <c r="I62" s="13"/>
    </row>
    <row r="63" spans="2:9" ht="20.100000000000001" customHeight="1">
      <c r="B63" s="13"/>
      <c r="C63" s="13"/>
      <c r="D63" s="13"/>
      <c r="E63" s="13"/>
      <c r="F63" s="13"/>
      <c r="G63" s="13"/>
      <c r="H63" s="13"/>
      <c r="I63" s="13"/>
    </row>
  </sheetData>
  <sheetProtection algorithmName="SHA-512" hashValue="0u04pbYLFbof23iY+VJTF9xJcueWQgQ+NvyKA93e2i1L3cNolJHQrsgAuNpE6YaGj5i3FbRuuGgDZoFvb+4PQQ==" saltValue="rE5l/Mfwi1H+p8SfnBXcXQ==" spinCount="100000" sheet="1" formatCells="0" formatColumns="0" formatRows="0" insertColumns="0" insertRows="0" deleteColumns="0" deleteRows="0" sort="0" autoFilter="0"/>
  <autoFilter ref="B6:I16" xr:uid="{B1190D58-1A93-8E40-B2AE-426F3F44CA09}"/>
  <mergeCells count="2">
    <mergeCell ref="B2:I2"/>
    <mergeCell ref="B3:I3"/>
  </mergeCells>
  <printOptions horizontalCentered="1"/>
  <pageMargins left="0.7" right="0.7" top="0.75" bottom="0.75" header="0.3" footer="0.3"/>
  <pageSetup scale="55"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7036F44D-1696-0642-87C7-0F6FC5D1A4F3}">
          <x14:formula1>
            <xm:f>Equivalencia!$A$4:$A$23</xm:f>
          </x14:formula1>
          <xm:sqref>F8:F14</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E8925-88EA-A74B-BAB6-ECD8FA1662C8}">
  <sheetPr>
    <pageSetUpPr fitToPage="1"/>
  </sheetPr>
  <dimension ref="B1:V44"/>
  <sheetViews>
    <sheetView view="pageBreakPreview" zoomScale="130" zoomScaleNormal="90" zoomScaleSheetLayoutView="130" workbookViewId="0">
      <pane ySplit="4" topLeftCell="A5" activePane="bottomLeft" state="frozen"/>
      <selection pane="bottomLeft" activeCell="C5" sqref="C5"/>
      <selection activeCell="C5" sqref="C5"/>
    </sheetView>
  </sheetViews>
  <sheetFormatPr defaultColWidth="10.6640625" defaultRowHeight="15.95"/>
  <cols>
    <col min="1" max="1" width="10.6640625" style="12"/>
    <col min="2" max="2" width="7" style="12" customWidth="1"/>
    <col min="3" max="3" width="16.33203125" style="12" customWidth="1"/>
    <col min="4" max="4" width="31.6640625" style="12" customWidth="1"/>
    <col min="5" max="5" width="20.44140625" style="280" bestFit="1" customWidth="1"/>
    <col min="6" max="6" width="19.44140625" style="12" bestFit="1" customWidth="1"/>
    <col min="7" max="7" width="17.88671875" style="12" bestFit="1" customWidth="1"/>
    <col min="8" max="8" width="17" style="12" bestFit="1" customWidth="1"/>
    <col min="9" max="11" width="16.88671875" style="12" bestFit="1" customWidth="1"/>
    <col min="12" max="17" width="6.5546875" style="12" bestFit="1" customWidth="1"/>
    <col min="18" max="20" width="10" style="12" bestFit="1" customWidth="1"/>
    <col min="21" max="21" width="16.88671875" style="12" bestFit="1" customWidth="1"/>
    <col min="22" max="22" width="17.109375" style="12" bestFit="1" customWidth="1"/>
    <col min="23" max="16384" width="10.6640625" style="12"/>
  </cols>
  <sheetData>
    <row r="1" spans="2:22" ht="39" customHeight="1">
      <c r="B1" s="589" t="s">
        <v>466</v>
      </c>
      <c r="C1" s="589"/>
      <c r="D1" s="589"/>
      <c r="E1" s="589"/>
      <c r="F1" s="589"/>
      <c r="G1" s="589"/>
      <c r="H1" s="589"/>
      <c r="I1" s="575"/>
      <c r="J1" s="575"/>
      <c r="K1" s="575"/>
      <c r="L1" s="575"/>
      <c r="M1" s="575"/>
      <c r="N1" s="575"/>
      <c r="O1" s="575"/>
      <c r="P1" s="575"/>
      <c r="Q1" s="575"/>
    </row>
    <row r="2" spans="2:22" ht="18" customHeight="1">
      <c r="B2" s="576" t="s">
        <v>477</v>
      </c>
      <c r="C2" s="215"/>
      <c r="D2" s="215"/>
      <c r="E2" s="441"/>
      <c r="F2" s="215"/>
      <c r="G2" s="215"/>
      <c r="H2" s="215"/>
      <c r="I2" s="215"/>
      <c r="J2" s="215"/>
      <c r="K2" s="215"/>
      <c r="L2" s="215"/>
      <c r="M2" s="215"/>
      <c r="N2" s="215"/>
      <c r="O2" s="215"/>
      <c r="P2" s="215"/>
      <c r="Q2" s="215"/>
    </row>
    <row r="3" spans="2:22"/>
    <row r="4" spans="2:22" ht="33.950000000000003">
      <c r="B4" s="371" t="s">
        <v>478</v>
      </c>
      <c r="C4" s="599" t="s">
        <v>103</v>
      </c>
      <c r="D4" s="599" t="s">
        <v>479</v>
      </c>
      <c r="E4" s="600" t="s">
        <v>480</v>
      </c>
      <c r="F4" s="600" t="s">
        <v>481</v>
      </c>
      <c r="G4" s="599" t="s">
        <v>482</v>
      </c>
      <c r="H4" s="599" t="s">
        <v>483</v>
      </c>
      <c r="I4"/>
      <c r="J4"/>
      <c r="K4"/>
      <c r="L4"/>
      <c r="M4"/>
      <c r="N4"/>
      <c r="O4"/>
      <c r="P4"/>
      <c r="Q4"/>
      <c r="R4"/>
      <c r="S4"/>
      <c r="T4"/>
      <c r="U4"/>
      <c r="V4"/>
    </row>
    <row r="5" spans="2:22">
      <c r="B5" s="415" t="s">
        <v>287</v>
      </c>
      <c r="C5" s="415"/>
      <c r="D5" s="415"/>
      <c r="E5" s="415"/>
      <c r="F5" s="601"/>
      <c r="G5" s="415"/>
      <c r="H5" s="346"/>
      <c r="I5"/>
      <c r="J5"/>
      <c r="K5"/>
      <c r="L5"/>
      <c r="M5"/>
      <c r="N5"/>
      <c r="O5"/>
      <c r="P5"/>
      <c r="Q5"/>
      <c r="R5"/>
      <c r="S5"/>
      <c r="T5"/>
      <c r="U5"/>
      <c r="V5"/>
    </row>
    <row r="6" spans="2:22">
      <c r="B6"/>
      <c r="C6"/>
      <c r="D6"/>
      <c r="E6"/>
      <c r="F6"/>
      <c r="G6"/>
      <c r="H6"/>
      <c r="I6"/>
      <c r="J6"/>
      <c r="K6"/>
      <c r="L6"/>
      <c r="M6"/>
      <c r="N6"/>
      <c r="O6"/>
      <c r="P6"/>
      <c r="Q6"/>
      <c r="R6"/>
      <c r="S6"/>
      <c r="T6"/>
      <c r="U6"/>
      <c r="V6"/>
    </row>
    <row r="7" spans="2:22">
      <c r="B7"/>
      <c r="C7"/>
      <c r="D7"/>
      <c r="E7"/>
      <c r="F7"/>
      <c r="G7"/>
      <c r="H7"/>
      <c r="I7"/>
      <c r="J7"/>
      <c r="K7"/>
      <c r="L7"/>
      <c r="M7"/>
      <c r="N7"/>
      <c r="O7"/>
      <c r="P7"/>
      <c r="Q7"/>
      <c r="R7"/>
      <c r="S7"/>
      <c r="T7"/>
      <c r="U7"/>
      <c r="V7"/>
    </row>
    <row r="8" spans="2:22">
      <c r="B8"/>
      <c r="C8"/>
      <c r="D8"/>
      <c r="E8"/>
      <c r="F8"/>
      <c r="G8"/>
      <c r="H8"/>
      <c r="I8"/>
      <c r="J8"/>
      <c r="K8"/>
      <c r="L8"/>
      <c r="M8"/>
      <c r="N8"/>
      <c r="O8"/>
      <c r="P8"/>
      <c r="Q8"/>
      <c r="R8"/>
      <c r="S8"/>
      <c r="T8"/>
      <c r="U8"/>
      <c r="V8"/>
    </row>
    <row r="9" spans="2:22">
      <c r="B9"/>
      <c r="C9"/>
      <c r="D9"/>
      <c r="E9"/>
      <c r="F9"/>
      <c r="G9"/>
      <c r="H9"/>
      <c r="I9"/>
      <c r="J9"/>
      <c r="K9"/>
      <c r="L9"/>
      <c r="M9"/>
      <c r="N9"/>
      <c r="O9"/>
      <c r="P9"/>
      <c r="Q9"/>
      <c r="R9"/>
      <c r="S9"/>
      <c r="T9"/>
      <c r="U9"/>
      <c r="V9"/>
    </row>
    <row r="10" spans="2:22">
      <c r="B10"/>
      <c r="C10"/>
      <c r="D10"/>
      <c r="E10"/>
      <c r="F10"/>
      <c r="G10"/>
      <c r="H10"/>
      <c r="I10"/>
      <c r="J10"/>
      <c r="K10"/>
      <c r="L10"/>
      <c r="M10"/>
      <c r="N10"/>
      <c r="O10"/>
      <c r="P10"/>
      <c r="Q10"/>
      <c r="R10"/>
      <c r="S10"/>
      <c r="T10"/>
      <c r="U10"/>
      <c r="V10"/>
    </row>
    <row r="11" spans="2:22">
      <c r="B11"/>
      <c r="C11"/>
      <c r="D11"/>
      <c r="E11"/>
      <c r="F11"/>
      <c r="G11"/>
      <c r="H11"/>
      <c r="I11"/>
      <c r="J11"/>
      <c r="K11"/>
      <c r="L11"/>
      <c r="M11"/>
      <c r="N11"/>
      <c r="O11"/>
      <c r="P11"/>
      <c r="Q11"/>
      <c r="R11"/>
      <c r="S11"/>
      <c r="T11"/>
      <c r="U11"/>
      <c r="V11"/>
    </row>
    <row r="12" spans="2:22">
      <c r="B12"/>
      <c r="C12"/>
      <c r="D12"/>
      <c r="E12"/>
      <c r="F12"/>
      <c r="G12"/>
      <c r="H12"/>
      <c r="I12"/>
      <c r="J12"/>
      <c r="K12"/>
      <c r="L12"/>
      <c r="M12"/>
      <c r="N12"/>
      <c r="O12"/>
      <c r="P12"/>
      <c r="Q12"/>
      <c r="R12"/>
      <c r="S12"/>
      <c r="T12"/>
      <c r="U12"/>
      <c r="V12"/>
    </row>
    <row r="13" spans="2:22">
      <c r="B13"/>
      <c r="C13"/>
      <c r="D13"/>
      <c r="E13"/>
      <c r="F13"/>
      <c r="G13"/>
      <c r="H13"/>
      <c r="I13"/>
      <c r="J13"/>
      <c r="K13"/>
      <c r="L13"/>
      <c r="M13"/>
      <c r="N13"/>
      <c r="O13"/>
      <c r="P13"/>
      <c r="Q13"/>
      <c r="R13"/>
      <c r="S13"/>
      <c r="T13"/>
      <c r="U13"/>
      <c r="V13"/>
    </row>
    <row r="14" spans="2:22">
      <c r="B14"/>
      <c r="C14"/>
      <c r="D14"/>
      <c r="E14"/>
      <c r="F14"/>
      <c r="G14"/>
      <c r="H14"/>
      <c r="I14"/>
      <c r="J14"/>
      <c r="K14"/>
      <c r="L14"/>
      <c r="M14"/>
      <c r="N14"/>
      <c r="O14"/>
      <c r="P14"/>
      <c r="Q14"/>
      <c r="R14"/>
      <c r="S14"/>
      <c r="T14"/>
      <c r="U14"/>
      <c r="V14"/>
    </row>
    <row r="15" spans="2:22">
      <c r="B15"/>
      <c r="C15"/>
      <c r="D15"/>
      <c r="E15"/>
      <c r="F15"/>
      <c r="G15"/>
      <c r="H15"/>
      <c r="I15"/>
      <c r="J15"/>
      <c r="K15"/>
      <c r="L15"/>
      <c r="M15"/>
      <c r="N15"/>
      <c r="O15"/>
      <c r="P15"/>
      <c r="Q15"/>
      <c r="R15"/>
      <c r="S15"/>
      <c r="T15"/>
      <c r="U15"/>
      <c r="V15"/>
    </row>
    <row r="16" spans="2:22">
      <c r="B16"/>
      <c r="C16"/>
      <c r="D16"/>
      <c r="E16"/>
      <c r="F16"/>
      <c r="G16"/>
      <c r="H16"/>
      <c r="I16"/>
      <c r="J16"/>
      <c r="K16"/>
      <c r="L16"/>
      <c r="M16"/>
      <c r="N16"/>
      <c r="O16"/>
      <c r="P16"/>
      <c r="Q16"/>
      <c r="R16"/>
      <c r="S16"/>
      <c r="T16"/>
      <c r="U16"/>
      <c r="V16"/>
    </row>
    <row r="17" spans="2:22">
      <c r="B17"/>
      <c r="C17"/>
      <c r="D17"/>
      <c r="E17"/>
      <c r="F17"/>
      <c r="G17"/>
      <c r="H17"/>
      <c r="I17"/>
      <c r="J17"/>
      <c r="K17"/>
      <c r="L17"/>
      <c r="M17"/>
      <c r="N17"/>
      <c r="O17"/>
      <c r="P17"/>
      <c r="Q17"/>
      <c r="R17"/>
      <c r="S17"/>
      <c r="T17"/>
      <c r="U17"/>
      <c r="V17"/>
    </row>
    <row r="18" spans="2:22">
      <c r="B18"/>
      <c r="C18"/>
      <c r="D18"/>
      <c r="E18" s="440"/>
      <c r="F18"/>
      <c r="G18"/>
      <c r="H18"/>
      <c r="I18"/>
      <c r="J18"/>
      <c r="K18"/>
      <c r="L18"/>
      <c r="M18"/>
      <c r="N18"/>
      <c r="O18"/>
      <c r="P18"/>
      <c r="Q18"/>
      <c r="R18"/>
      <c r="S18"/>
      <c r="T18"/>
      <c r="U18"/>
      <c r="V18"/>
    </row>
    <row r="19" spans="2:22">
      <c r="B19"/>
      <c r="C19"/>
      <c r="D19"/>
      <c r="E19" s="440"/>
      <c r="F19"/>
      <c r="G19"/>
      <c r="H19"/>
      <c r="I19"/>
      <c r="J19"/>
      <c r="K19"/>
      <c r="L19"/>
      <c r="M19"/>
      <c r="N19"/>
      <c r="O19"/>
      <c r="P19"/>
      <c r="Q19"/>
      <c r="R19"/>
      <c r="S19"/>
      <c r="T19"/>
      <c r="U19"/>
      <c r="V19"/>
    </row>
    <row r="20" spans="2:22">
      <c r="B20"/>
      <c r="C20"/>
      <c r="D20"/>
      <c r="E20" s="440"/>
      <c r="F20"/>
      <c r="G20"/>
      <c r="H20"/>
      <c r="I20"/>
      <c r="J20"/>
      <c r="K20"/>
      <c r="L20"/>
      <c r="M20"/>
      <c r="N20"/>
      <c r="O20"/>
      <c r="P20"/>
      <c r="Q20"/>
      <c r="R20"/>
      <c r="S20"/>
      <c r="T20"/>
      <c r="U20"/>
      <c r="V20"/>
    </row>
    <row r="21" spans="2:22">
      <c r="B21"/>
      <c r="C21"/>
      <c r="D21"/>
      <c r="E21" s="440"/>
      <c r="F21"/>
      <c r="G21"/>
      <c r="H21"/>
      <c r="I21"/>
      <c r="J21"/>
      <c r="K21"/>
      <c r="L21"/>
      <c r="M21"/>
      <c r="N21"/>
      <c r="O21"/>
      <c r="P21"/>
      <c r="Q21"/>
      <c r="R21"/>
      <c r="S21"/>
      <c r="T21"/>
      <c r="U21"/>
      <c r="V21"/>
    </row>
    <row r="22" spans="2:22">
      <c r="B22"/>
      <c r="C22"/>
      <c r="D22"/>
      <c r="E22" s="440"/>
      <c r="F22"/>
      <c r="G22"/>
      <c r="H22"/>
      <c r="I22"/>
      <c r="J22"/>
      <c r="K22"/>
      <c r="L22"/>
      <c r="M22"/>
      <c r="N22"/>
      <c r="O22"/>
      <c r="P22"/>
      <c r="Q22"/>
      <c r="R22"/>
      <c r="S22"/>
      <c r="T22"/>
      <c r="U22"/>
      <c r="V22"/>
    </row>
    <row r="23" spans="2:22">
      <c r="B23"/>
      <c r="C23"/>
      <c r="D23"/>
      <c r="E23" s="440"/>
      <c r="F23"/>
      <c r="G23"/>
      <c r="H23"/>
      <c r="I23"/>
      <c r="J23"/>
      <c r="K23"/>
      <c r="L23"/>
      <c r="M23"/>
      <c r="N23"/>
      <c r="O23"/>
      <c r="P23"/>
      <c r="Q23"/>
      <c r="R23"/>
      <c r="S23"/>
      <c r="T23"/>
      <c r="U23"/>
      <c r="V23"/>
    </row>
    <row r="24" spans="2:22">
      <c r="B24"/>
      <c r="C24"/>
      <c r="D24"/>
      <c r="E24" s="440"/>
      <c r="F24"/>
      <c r="G24"/>
      <c r="H24"/>
      <c r="I24"/>
      <c r="J24"/>
      <c r="K24"/>
      <c r="L24"/>
      <c r="M24"/>
      <c r="N24"/>
      <c r="O24"/>
      <c r="P24"/>
      <c r="Q24"/>
      <c r="R24"/>
      <c r="S24"/>
      <c r="T24"/>
      <c r="U24"/>
      <c r="V24"/>
    </row>
    <row r="25" spans="2:22">
      <c r="B25"/>
      <c r="C25"/>
      <c r="D25"/>
      <c r="E25" s="440"/>
      <c r="F25"/>
      <c r="G25"/>
      <c r="H25"/>
      <c r="I25"/>
      <c r="J25"/>
      <c r="K25"/>
      <c r="L25"/>
      <c r="M25"/>
      <c r="N25"/>
      <c r="O25"/>
      <c r="P25"/>
      <c r="Q25"/>
      <c r="R25"/>
      <c r="S25"/>
      <c r="T25"/>
      <c r="U25"/>
      <c r="V25"/>
    </row>
    <row r="26" spans="2:22">
      <c r="B26"/>
      <c r="C26"/>
      <c r="D26"/>
      <c r="E26" s="440"/>
      <c r="F26"/>
      <c r="G26"/>
      <c r="H26"/>
      <c r="I26"/>
      <c r="J26"/>
      <c r="K26"/>
      <c r="L26"/>
      <c r="M26"/>
      <c r="N26"/>
      <c r="O26"/>
      <c r="P26"/>
      <c r="Q26"/>
      <c r="R26"/>
      <c r="S26"/>
      <c r="T26"/>
      <c r="U26"/>
      <c r="V26"/>
    </row>
    <row r="27" spans="2:22">
      <c r="B27"/>
      <c r="C27"/>
      <c r="D27"/>
      <c r="E27" s="440"/>
      <c r="F27"/>
      <c r="G27"/>
      <c r="H27"/>
      <c r="I27"/>
      <c r="J27"/>
      <c r="K27"/>
      <c r="L27"/>
      <c r="M27"/>
      <c r="N27"/>
      <c r="O27"/>
      <c r="P27"/>
      <c r="Q27"/>
      <c r="R27"/>
      <c r="S27"/>
      <c r="T27"/>
      <c r="U27"/>
      <c r="V27"/>
    </row>
    <row r="28" spans="2:22">
      <c r="B28"/>
      <c r="C28"/>
      <c r="D28"/>
      <c r="E28" s="440"/>
      <c r="F28"/>
      <c r="G28"/>
      <c r="H28"/>
      <c r="I28"/>
      <c r="J28"/>
      <c r="K28"/>
      <c r="L28"/>
      <c r="M28"/>
      <c r="N28"/>
      <c r="O28"/>
      <c r="P28"/>
      <c r="Q28"/>
      <c r="R28"/>
      <c r="S28"/>
      <c r="T28"/>
      <c r="U28"/>
      <c r="V28"/>
    </row>
    <row r="29" spans="2:22">
      <c r="B29"/>
      <c r="C29"/>
      <c r="D29"/>
      <c r="E29" s="440"/>
      <c r="F29"/>
      <c r="G29"/>
      <c r="H29"/>
      <c r="I29"/>
      <c r="J29"/>
      <c r="K29"/>
      <c r="L29"/>
      <c r="M29"/>
      <c r="N29"/>
      <c r="O29"/>
      <c r="P29"/>
      <c r="Q29"/>
      <c r="R29"/>
      <c r="S29"/>
      <c r="T29"/>
      <c r="U29"/>
      <c r="V29"/>
    </row>
    <row r="30" spans="2:22">
      <c r="B30"/>
      <c r="C30"/>
      <c r="D30"/>
      <c r="E30" s="440"/>
      <c r="F30"/>
      <c r="G30"/>
      <c r="H30"/>
      <c r="I30"/>
      <c r="J30"/>
      <c r="K30"/>
      <c r="L30"/>
      <c r="M30"/>
      <c r="N30"/>
      <c r="O30"/>
      <c r="P30"/>
      <c r="Q30"/>
      <c r="R30"/>
      <c r="S30"/>
      <c r="T30"/>
      <c r="U30"/>
      <c r="V30"/>
    </row>
    <row r="31" spans="2:22">
      <c r="B31"/>
      <c r="C31"/>
      <c r="D31"/>
      <c r="E31" s="440"/>
      <c r="F31"/>
      <c r="G31"/>
      <c r="H31"/>
      <c r="I31"/>
      <c r="J31"/>
      <c r="K31"/>
      <c r="L31"/>
      <c r="M31"/>
      <c r="N31"/>
      <c r="O31"/>
      <c r="P31"/>
      <c r="Q31"/>
      <c r="R31"/>
      <c r="S31"/>
      <c r="T31"/>
      <c r="U31"/>
      <c r="V31"/>
    </row>
    <row r="32" spans="2:22">
      <c r="B32"/>
      <c r="C32"/>
      <c r="D32"/>
      <c r="E32" s="440"/>
      <c r="F32"/>
      <c r="G32"/>
      <c r="H32"/>
      <c r="I32"/>
      <c r="J32"/>
      <c r="K32"/>
      <c r="L32"/>
      <c r="M32"/>
      <c r="N32"/>
      <c r="O32"/>
      <c r="P32"/>
      <c r="Q32"/>
      <c r="R32"/>
      <c r="S32"/>
      <c r="T32"/>
      <c r="U32"/>
      <c r="V32"/>
    </row>
    <row r="33" spans="2:22">
      <c r="B33"/>
      <c r="C33"/>
      <c r="D33"/>
      <c r="E33" s="440"/>
      <c r="F33"/>
      <c r="G33"/>
      <c r="H33"/>
      <c r="I33"/>
      <c r="J33"/>
      <c r="K33"/>
      <c r="L33"/>
      <c r="M33"/>
      <c r="N33"/>
      <c r="O33"/>
      <c r="P33"/>
      <c r="Q33"/>
      <c r="R33"/>
      <c r="S33"/>
      <c r="T33"/>
      <c r="U33"/>
      <c r="V33"/>
    </row>
    <row r="34" spans="2:22">
      <c r="B34"/>
      <c r="C34"/>
      <c r="D34"/>
      <c r="E34" s="440"/>
      <c r="F34"/>
      <c r="G34"/>
      <c r="H34"/>
      <c r="I34"/>
      <c r="J34"/>
      <c r="K34"/>
      <c r="L34"/>
      <c r="M34"/>
      <c r="N34"/>
      <c r="O34"/>
      <c r="P34"/>
      <c r="Q34"/>
      <c r="R34"/>
      <c r="S34"/>
      <c r="T34"/>
      <c r="U34"/>
      <c r="V34"/>
    </row>
    <row r="35" spans="2:22">
      <c r="B35"/>
      <c r="C35"/>
      <c r="D35"/>
      <c r="E35" s="440"/>
      <c r="F35"/>
      <c r="G35"/>
      <c r="H35"/>
      <c r="I35"/>
      <c r="J35"/>
      <c r="K35"/>
      <c r="L35"/>
      <c r="M35"/>
      <c r="N35"/>
      <c r="O35"/>
      <c r="P35"/>
      <c r="Q35"/>
      <c r="R35"/>
      <c r="S35"/>
      <c r="T35"/>
      <c r="U35"/>
      <c r="V35"/>
    </row>
    <row r="36" spans="2:22">
      <c r="B36"/>
      <c r="C36"/>
      <c r="D36"/>
      <c r="E36" s="440"/>
      <c r="F36"/>
      <c r="G36"/>
      <c r="H36"/>
      <c r="I36"/>
      <c r="J36"/>
      <c r="K36"/>
      <c r="L36"/>
      <c r="M36"/>
      <c r="N36"/>
      <c r="O36"/>
      <c r="P36"/>
      <c r="Q36"/>
      <c r="R36"/>
      <c r="S36"/>
      <c r="T36"/>
      <c r="U36"/>
      <c r="V36"/>
    </row>
    <row r="37" spans="2:22">
      <c r="B37"/>
      <c r="C37"/>
      <c r="D37"/>
      <c r="E37" s="440"/>
      <c r="F37"/>
      <c r="G37"/>
      <c r="H37"/>
      <c r="I37"/>
      <c r="J37"/>
      <c r="K37"/>
      <c r="L37"/>
      <c r="M37"/>
      <c r="N37"/>
      <c r="O37"/>
      <c r="P37"/>
      <c r="Q37"/>
      <c r="R37"/>
      <c r="S37"/>
      <c r="T37"/>
      <c r="U37"/>
      <c r="V37"/>
    </row>
    <row r="38" spans="2:22">
      <c r="B38"/>
      <c r="C38"/>
      <c r="D38"/>
      <c r="E38" s="440"/>
      <c r="F38"/>
      <c r="G38"/>
      <c r="H38"/>
      <c r="I38"/>
      <c r="J38"/>
      <c r="K38"/>
      <c r="L38"/>
      <c r="M38"/>
      <c r="N38"/>
      <c r="O38"/>
      <c r="P38"/>
      <c r="Q38"/>
      <c r="R38"/>
      <c r="S38"/>
      <c r="T38"/>
      <c r="U38"/>
      <c r="V38"/>
    </row>
    <row r="39" spans="2:22">
      <c r="B39"/>
      <c r="C39"/>
      <c r="D39"/>
      <c r="E39" s="440"/>
      <c r="F39"/>
      <c r="G39"/>
      <c r="H39"/>
      <c r="I39"/>
      <c r="J39"/>
      <c r="K39"/>
      <c r="L39"/>
      <c r="M39"/>
      <c r="N39"/>
      <c r="O39"/>
      <c r="P39"/>
      <c r="Q39"/>
      <c r="R39"/>
      <c r="S39"/>
      <c r="T39"/>
      <c r="U39"/>
      <c r="V39"/>
    </row>
    <row r="40" spans="2:22">
      <c r="B40"/>
      <c r="C40"/>
      <c r="D40"/>
      <c r="E40" s="440"/>
      <c r="F40"/>
      <c r="G40"/>
      <c r="H40"/>
      <c r="I40"/>
      <c r="J40"/>
      <c r="K40"/>
      <c r="L40"/>
      <c r="M40"/>
      <c r="N40"/>
      <c r="O40"/>
      <c r="P40"/>
      <c r="Q40"/>
      <c r="R40"/>
      <c r="S40"/>
      <c r="T40"/>
      <c r="U40"/>
      <c r="V40"/>
    </row>
    <row r="41" spans="2:22">
      <c r="B41"/>
      <c r="C41"/>
      <c r="D41"/>
      <c r="E41" s="440"/>
      <c r="F41"/>
      <c r="G41"/>
      <c r="H41"/>
      <c r="I41"/>
      <c r="J41"/>
      <c r="K41"/>
      <c r="L41"/>
      <c r="M41"/>
      <c r="N41"/>
      <c r="O41"/>
      <c r="P41"/>
      <c r="Q41"/>
      <c r="R41"/>
      <c r="S41"/>
      <c r="T41"/>
      <c r="U41"/>
      <c r="V41"/>
    </row>
    <row r="42" spans="2:22" s="212" customFormat="1">
      <c r="B42"/>
      <c r="C42"/>
      <c r="D42"/>
      <c r="E42" s="440"/>
      <c r="F42"/>
      <c r="G42"/>
      <c r="H42"/>
      <c r="I42"/>
      <c r="J42"/>
      <c r="K42"/>
      <c r="L42"/>
      <c r="M42"/>
      <c r="N42"/>
      <c r="O42"/>
      <c r="P42"/>
      <c r="Q42"/>
      <c r="R42"/>
      <c r="S42"/>
      <c r="T42"/>
      <c r="U42"/>
      <c r="V42"/>
    </row>
    <row r="43" spans="2:22">
      <c r="B43"/>
      <c r="C43"/>
      <c r="D43"/>
      <c r="E43" s="440"/>
      <c r="F43"/>
      <c r="G43"/>
      <c r="H43"/>
      <c r="I43"/>
      <c r="J43"/>
      <c r="K43"/>
      <c r="L43"/>
      <c r="M43"/>
      <c r="N43"/>
      <c r="O43"/>
      <c r="P43"/>
      <c r="Q43"/>
      <c r="R43"/>
      <c r="S43"/>
      <c r="T43"/>
      <c r="U43"/>
      <c r="V43"/>
    </row>
    <row r="44" spans="2:22" s="106" customFormat="1">
      <c r="B44"/>
      <c r="C44"/>
      <c r="D44"/>
      <c r="E44" s="440"/>
      <c r="F44"/>
      <c r="G44"/>
      <c r="H44"/>
      <c r="I44"/>
      <c r="J44"/>
      <c r="K44"/>
      <c r="L44"/>
      <c r="M44"/>
      <c r="N44"/>
      <c r="O44"/>
      <c r="P44"/>
      <c r="Q44"/>
      <c r="R44"/>
      <c r="S44"/>
      <c r="T44"/>
      <c r="U44"/>
      <c r="V44"/>
    </row>
  </sheetData>
  <mergeCells count="1">
    <mergeCell ref="B1:H1"/>
  </mergeCells>
  <pageMargins left="0.7" right="0.7" top="0.75" bottom="0.75" header="0.3" footer="0.3"/>
  <pageSetup scale="76" orientation="landscape" horizontalDpi="1200" verticalDpi="1200"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5C99B-2BA6-E740-951A-F00A6B3E89A2}">
  <sheetPr>
    <pageSetUpPr fitToPage="1"/>
  </sheetPr>
  <dimension ref="A1:W44"/>
  <sheetViews>
    <sheetView zoomScale="90" zoomScaleNormal="90" zoomScaleSheetLayoutView="90" workbookViewId="0">
      <pane ySplit="4" topLeftCell="A5" activePane="bottomLeft" state="frozen"/>
      <selection pane="bottomLeft" activeCell="C5" sqref="C5"/>
      <selection activeCell="C5" sqref="C5"/>
    </sheetView>
  </sheetViews>
  <sheetFormatPr defaultColWidth="10.6640625" defaultRowHeight="15.95"/>
  <cols>
    <col min="1" max="1" width="10.6640625" style="12"/>
    <col min="2" max="2" width="9.5546875" style="12" customWidth="1"/>
    <col min="3" max="3" width="18.5546875" style="12" customWidth="1"/>
    <col min="4" max="4" width="38.109375" style="12" customWidth="1"/>
    <col min="5" max="5" width="16.6640625" style="112" customWidth="1"/>
    <col min="6" max="6" width="16.6640625" style="446" customWidth="1"/>
    <col min="7" max="9" width="16.6640625" style="112" customWidth="1"/>
    <col min="10" max="10" width="19.44140625" style="446" customWidth="1"/>
    <col min="11" max="11" width="18" style="112" customWidth="1"/>
    <col min="12" max="12" width="19.88671875" style="112" bestFit="1" customWidth="1"/>
    <col min="13" max="13" width="15" style="112" bestFit="1" customWidth="1"/>
    <col min="14" max="14" width="16.6640625" style="12" bestFit="1" customWidth="1"/>
    <col min="15" max="15" width="17.6640625" style="12" bestFit="1" customWidth="1"/>
    <col min="16" max="16" width="19.44140625" style="12" bestFit="1" customWidth="1"/>
    <col min="17" max="17" width="11.44140625" style="12" bestFit="1" customWidth="1"/>
    <col min="18" max="18" width="17.88671875" style="12" bestFit="1" customWidth="1"/>
    <col min="19" max="19" width="17" style="12" bestFit="1" customWidth="1"/>
    <col min="20" max="21" width="11.33203125" style="12" bestFit="1" customWidth="1"/>
    <col min="22" max="22" width="17.88671875" style="12" bestFit="1" customWidth="1"/>
    <col min="23" max="23" width="18.33203125" style="12" bestFit="1" customWidth="1"/>
    <col min="24" max="16384" width="10.6640625" style="12"/>
  </cols>
  <sheetData>
    <row r="1" spans="2:23" ht="23.1">
      <c r="B1" s="575" t="s">
        <v>466</v>
      </c>
      <c r="C1" s="575"/>
      <c r="D1" s="575"/>
      <c r="E1" s="372"/>
      <c r="F1" s="444"/>
      <c r="G1" s="372"/>
      <c r="H1" s="372"/>
      <c r="I1" s="372"/>
      <c r="J1" s="444"/>
      <c r="K1" s="372"/>
      <c r="L1" s="372"/>
      <c r="M1" s="372"/>
      <c r="N1" s="575"/>
      <c r="O1" s="575"/>
      <c r="P1" s="575"/>
      <c r="Q1" s="575"/>
    </row>
    <row r="2" spans="2:23" ht="18" customHeight="1">
      <c r="B2" s="576" t="s">
        <v>477</v>
      </c>
      <c r="C2" s="215"/>
      <c r="D2" s="215"/>
      <c r="E2" s="373"/>
      <c r="F2" s="445"/>
      <c r="G2" s="373"/>
      <c r="H2" s="373"/>
      <c r="I2" s="373"/>
      <c r="J2" s="445"/>
      <c r="K2" s="373"/>
      <c r="L2" s="373"/>
      <c r="M2" s="373"/>
      <c r="N2" s="215"/>
      <c r="O2" s="215"/>
      <c r="P2" s="215"/>
      <c r="Q2" s="215"/>
    </row>
    <row r="3" spans="2:23"/>
    <row r="4" spans="2:23" ht="33.950000000000003">
      <c r="B4" s="371" t="s">
        <v>478</v>
      </c>
      <c r="C4" s="599" t="s">
        <v>103</v>
      </c>
      <c r="D4" s="599" t="s">
        <v>479</v>
      </c>
      <c r="E4" s="599" t="s">
        <v>484</v>
      </c>
      <c r="F4" s="602" t="s">
        <v>480</v>
      </c>
      <c r="G4" s="599" t="s">
        <v>485</v>
      </c>
      <c r="H4" s="599" t="s">
        <v>486</v>
      </c>
      <c r="I4" s="599" t="s">
        <v>487</v>
      </c>
      <c r="J4" s="602" t="s">
        <v>488</v>
      </c>
      <c r="K4" s="599" t="s">
        <v>489</v>
      </c>
      <c r="L4" s="599" t="s">
        <v>490</v>
      </c>
      <c r="M4" s="599" t="s">
        <v>491</v>
      </c>
      <c r="N4" s="599" t="s">
        <v>492</v>
      </c>
      <c r="O4" s="599" t="s">
        <v>481</v>
      </c>
      <c r="P4" s="599" t="s">
        <v>493</v>
      </c>
      <c r="Q4" s="599" t="s">
        <v>296</v>
      </c>
      <c r="R4" s="599" t="s">
        <v>482</v>
      </c>
      <c r="S4" s="599" t="s">
        <v>483</v>
      </c>
      <c r="T4"/>
      <c r="U4"/>
      <c r="V4"/>
      <c r="W4"/>
    </row>
    <row r="5" spans="2:23">
      <c r="B5" s="343" t="s">
        <v>287</v>
      </c>
      <c r="C5" s="343"/>
      <c r="D5" s="343"/>
      <c r="E5" s="343"/>
      <c r="F5" s="343"/>
      <c r="G5" s="343"/>
      <c r="H5" s="343"/>
      <c r="I5" s="343"/>
      <c r="J5" s="343"/>
      <c r="K5" s="343"/>
      <c r="L5" s="343"/>
      <c r="M5" s="603"/>
      <c r="N5" s="604"/>
      <c r="O5" s="415"/>
      <c r="P5" s="415"/>
      <c r="Q5" s="604"/>
      <c r="R5" s="415"/>
      <c r="S5" s="601"/>
      <c r="T5"/>
      <c r="U5"/>
      <c r="V5"/>
      <c r="W5"/>
    </row>
    <row r="6" spans="2:23">
      <c r="B6"/>
      <c r="C6"/>
      <c r="D6"/>
      <c r="E6"/>
      <c r="F6"/>
      <c r="G6"/>
      <c r="H6"/>
      <c r="I6"/>
      <c r="J6"/>
      <c r="K6"/>
      <c r="L6"/>
      <c r="M6"/>
      <c r="N6"/>
      <c r="O6"/>
      <c r="P6"/>
      <c r="Q6"/>
      <c r="R6"/>
      <c r="S6"/>
      <c r="T6"/>
      <c r="U6"/>
      <c r="V6"/>
      <c r="W6"/>
    </row>
    <row r="7" spans="2:23">
      <c r="B7"/>
      <c r="C7"/>
      <c r="D7"/>
      <c r="E7"/>
      <c r="F7"/>
      <c r="G7"/>
      <c r="H7"/>
      <c r="I7"/>
      <c r="J7"/>
      <c r="K7"/>
      <c r="L7"/>
      <c r="M7"/>
      <c r="N7"/>
      <c r="O7"/>
      <c r="P7"/>
      <c r="Q7"/>
      <c r="R7"/>
      <c r="S7"/>
      <c r="T7"/>
      <c r="U7"/>
      <c r="V7"/>
      <c r="W7"/>
    </row>
    <row r="8" spans="2:23">
      <c r="B8"/>
      <c r="C8"/>
      <c r="D8"/>
      <c r="E8"/>
      <c r="F8"/>
      <c r="G8"/>
      <c r="H8"/>
      <c r="I8"/>
      <c r="J8"/>
      <c r="K8"/>
      <c r="L8"/>
      <c r="M8"/>
      <c r="N8"/>
      <c r="O8"/>
      <c r="P8"/>
      <c r="Q8"/>
      <c r="R8"/>
      <c r="S8"/>
      <c r="T8"/>
      <c r="U8"/>
      <c r="V8"/>
      <c r="W8"/>
    </row>
    <row r="9" spans="2:23">
      <c r="B9"/>
      <c r="C9"/>
      <c r="D9"/>
      <c r="E9"/>
      <c r="F9"/>
      <c r="G9"/>
      <c r="H9"/>
      <c r="I9"/>
      <c r="J9"/>
      <c r="K9"/>
      <c r="L9"/>
      <c r="M9"/>
      <c r="N9"/>
      <c r="O9"/>
      <c r="P9"/>
      <c r="Q9"/>
      <c r="R9"/>
      <c r="S9"/>
      <c r="T9"/>
      <c r="U9"/>
      <c r="V9"/>
      <c r="W9"/>
    </row>
    <row r="10" spans="2:23">
      <c r="B10"/>
      <c r="C10"/>
      <c r="D10"/>
      <c r="E10"/>
      <c r="F10"/>
      <c r="G10"/>
      <c r="H10"/>
      <c r="I10"/>
      <c r="J10"/>
      <c r="K10"/>
      <c r="L10"/>
      <c r="M10"/>
      <c r="N10"/>
      <c r="O10"/>
      <c r="P10"/>
      <c r="Q10"/>
      <c r="R10"/>
      <c r="S10"/>
      <c r="T10"/>
      <c r="U10"/>
      <c r="V10"/>
      <c r="W10"/>
    </row>
    <row r="11" spans="2:23">
      <c r="B11"/>
      <c r="C11"/>
      <c r="D11"/>
      <c r="E11"/>
      <c r="F11"/>
      <c r="G11"/>
      <c r="H11"/>
      <c r="I11"/>
      <c r="J11"/>
      <c r="K11"/>
      <c r="L11"/>
      <c r="M11"/>
      <c r="N11"/>
      <c r="O11"/>
      <c r="P11"/>
      <c r="Q11"/>
      <c r="R11"/>
      <c r="S11"/>
      <c r="T11"/>
      <c r="U11"/>
      <c r="V11"/>
      <c r="W11"/>
    </row>
    <row r="12" spans="2:23">
      <c r="B12"/>
      <c r="C12"/>
      <c r="D12"/>
      <c r="E12"/>
      <c r="F12"/>
      <c r="G12"/>
      <c r="H12"/>
      <c r="I12"/>
      <c r="J12"/>
      <c r="K12"/>
      <c r="L12"/>
      <c r="M12"/>
      <c r="N12"/>
      <c r="O12"/>
      <c r="P12"/>
      <c r="Q12"/>
      <c r="R12"/>
      <c r="S12"/>
      <c r="T12"/>
      <c r="U12"/>
      <c r="V12"/>
      <c r="W12"/>
    </row>
    <row r="13" spans="2:23">
      <c r="B13"/>
      <c r="C13"/>
      <c r="D13"/>
      <c r="E13"/>
      <c r="F13"/>
      <c r="G13"/>
      <c r="H13"/>
      <c r="I13"/>
      <c r="J13"/>
      <c r="K13"/>
      <c r="L13"/>
      <c r="M13"/>
      <c r="N13"/>
      <c r="O13"/>
      <c r="P13"/>
      <c r="Q13"/>
      <c r="R13"/>
      <c r="S13"/>
      <c r="T13"/>
      <c r="U13"/>
      <c r="V13"/>
      <c r="W13"/>
    </row>
    <row r="14" spans="2:23">
      <c r="B14"/>
      <c r="C14"/>
      <c r="D14"/>
      <c r="E14"/>
      <c r="F14"/>
      <c r="G14"/>
      <c r="H14"/>
      <c r="I14"/>
      <c r="J14"/>
      <c r="K14"/>
      <c r="L14"/>
      <c r="M14"/>
      <c r="N14"/>
      <c r="O14"/>
      <c r="P14"/>
      <c r="Q14"/>
      <c r="R14"/>
      <c r="S14"/>
      <c r="T14"/>
      <c r="U14"/>
      <c r="V14"/>
      <c r="W14"/>
    </row>
    <row r="15" spans="2:23">
      <c r="B15"/>
      <c r="C15"/>
      <c r="D15"/>
      <c r="E15"/>
      <c r="F15"/>
      <c r="G15"/>
      <c r="H15"/>
      <c r="I15"/>
      <c r="J15"/>
      <c r="K15"/>
      <c r="L15"/>
      <c r="M15"/>
      <c r="N15"/>
      <c r="O15"/>
      <c r="P15"/>
      <c r="Q15"/>
      <c r="R15"/>
      <c r="S15"/>
      <c r="T15"/>
      <c r="U15"/>
      <c r="V15"/>
      <c r="W15"/>
    </row>
    <row r="16" spans="2:23">
      <c r="B16"/>
      <c r="C16"/>
      <c r="D16"/>
      <c r="E16"/>
      <c r="F16"/>
      <c r="G16"/>
      <c r="H16"/>
      <c r="I16"/>
      <c r="J16"/>
      <c r="K16"/>
      <c r="L16"/>
      <c r="M16"/>
      <c r="N16"/>
      <c r="O16"/>
      <c r="P16"/>
      <c r="Q16"/>
      <c r="R16"/>
      <c r="S16"/>
      <c r="T16"/>
      <c r="U16"/>
      <c r="V16"/>
      <c r="W16"/>
    </row>
    <row r="17" spans="2:23">
      <c r="B17"/>
      <c r="C17"/>
      <c r="D17"/>
      <c r="E17"/>
      <c r="F17"/>
      <c r="G17"/>
      <c r="H17"/>
      <c r="I17"/>
      <c r="J17"/>
      <c r="K17"/>
      <c r="L17"/>
      <c r="M17"/>
      <c r="N17"/>
      <c r="O17"/>
      <c r="P17"/>
      <c r="Q17"/>
      <c r="R17"/>
      <c r="S17"/>
      <c r="T17"/>
      <c r="U17"/>
      <c r="V17"/>
      <c r="W17"/>
    </row>
    <row r="18" spans="2:23">
      <c r="B18"/>
      <c r="C18"/>
      <c r="D18"/>
      <c r="E18"/>
      <c r="F18"/>
      <c r="G18"/>
      <c r="H18"/>
      <c r="I18"/>
      <c r="J18"/>
      <c r="K18"/>
      <c r="L18"/>
      <c r="M18"/>
      <c r="N18"/>
      <c r="O18"/>
      <c r="P18"/>
      <c r="Q18"/>
      <c r="R18"/>
      <c r="S18"/>
      <c r="T18"/>
      <c r="U18"/>
      <c r="V18"/>
      <c r="W18"/>
    </row>
    <row r="19" spans="2:23">
      <c r="B19"/>
      <c r="C19"/>
      <c r="D19"/>
      <c r="E19"/>
      <c r="F19"/>
      <c r="G19"/>
      <c r="H19"/>
      <c r="I19"/>
      <c r="J19"/>
      <c r="K19"/>
      <c r="L19"/>
      <c r="M19"/>
      <c r="N19"/>
      <c r="O19"/>
      <c r="P19"/>
      <c r="Q19"/>
      <c r="R19"/>
      <c r="S19"/>
      <c r="T19"/>
      <c r="U19"/>
      <c r="V19"/>
      <c r="W19"/>
    </row>
    <row r="20" spans="2:23">
      <c r="B20"/>
      <c r="C20"/>
      <c r="D20"/>
      <c r="E20"/>
      <c r="F20"/>
      <c r="G20"/>
      <c r="H20"/>
      <c r="I20"/>
      <c r="J20"/>
      <c r="K20"/>
      <c r="L20"/>
      <c r="M20"/>
      <c r="N20"/>
      <c r="O20"/>
      <c r="P20"/>
      <c r="Q20"/>
      <c r="R20"/>
      <c r="S20"/>
      <c r="T20"/>
      <c r="U20"/>
      <c r="V20"/>
      <c r="W20"/>
    </row>
    <row r="21" spans="2:23">
      <c r="B21"/>
      <c r="C21"/>
      <c r="D21"/>
      <c r="E21"/>
      <c r="F21"/>
      <c r="G21"/>
      <c r="H21"/>
      <c r="I21"/>
      <c r="J21"/>
      <c r="K21"/>
      <c r="L21"/>
      <c r="M21"/>
      <c r="N21"/>
      <c r="O21"/>
      <c r="P21"/>
      <c r="Q21"/>
      <c r="R21"/>
      <c r="S21"/>
      <c r="T21"/>
      <c r="U21"/>
      <c r="V21"/>
      <c r="W21"/>
    </row>
    <row r="22" spans="2:23">
      <c r="B22"/>
      <c r="C22"/>
      <c r="D22"/>
      <c r="E22"/>
      <c r="F22"/>
      <c r="G22"/>
      <c r="H22"/>
      <c r="I22"/>
      <c r="J22"/>
      <c r="K22"/>
      <c r="L22"/>
      <c r="M22"/>
      <c r="N22"/>
      <c r="O22"/>
      <c r="P22"/>
      <c r="Q22"/>
      <c r="R22"/>
      <c r="S22"/>
      <c r="T22"/>
      <c r="U22"/>
      <c r="V22"/>
      <c r="W22"/>
    </row>
    <row r="23" spans="2:23">
      <c r="B23"/>
      <c r="C23"/>
      <c r="D23"/>
      <c r="E23"/>
      <c r="F23"/>
      <c r="G23"/>
      <c r="H23"/>
      <c r="I23"/>
      <c r="J23"/>
      <c r="K23"/>
      <c r="L23"/>
      <c r="M23"/>
      <c r="N23"/>
      <c r="O23"/>
      <c r="P23"/>
      <c r="Q23"/>
      <c r="R23"/>
      <c r="S23"/>
      <c r="T23"/>
      <c r="U23"/>
      <c r="V23"/>
      <c r="W23"/>
    </row>
    <row r="24" spans="2:23">
      <c r="B24"/>
      <c r="C24"/>
      <c r="D24"/>
      <c r="E24"/>
      <c r="F24"/>
      <c r="G24"/>
      <c r="H24"/>
      <c r="I24"/>
      <c r="J24"/>
      <c r="K24"/>
      <c r="L24"/>
      <c r="M24"/>
      <c r="N24"/>
      <c r="O24"/>
      <c r="P24"/>
      <c r="Q24"/>
      <c r="R24"/>
      <c r="S24"/>
      <c r="T24"/>
      <c r="U24"/>
      <c r="V24"/>
      <c r="W24"/>
    </row>
    <row r="25" spans="2:23">
      <c r="B25"/>
      <c r="C25"/>
      <c r="D25"/>
      <c r="E25"/>
      <c r="F25"/>
      <c r="G25"/>
      <c r="H25"/>
      <c r="I25"/>
      <c r="J25"/>
      <c r="K25"/>
      <c r="L25"/>
      <c r="M25"/>
      <c r="N25"/>
      <c r="O25"/>
      <c r="P25"/>
      <c r="Q25"/>
      <c r="R25"/>
      <c r="S25"/>
      <c r="T25"/>
      <c r="U25"/>
      <c r="V25"/>
      <c r="W25"/>
    </row>
    <row r="26" spans="2:23">
      <c r="B26"/>
      <c r="C26"/>
      <c r="D26"/>
      <c r="E26"/>
      <c r="F26"/>
      <c r="G26"/>
      <c r="H26"/>
      <c r="I26"/>
      <c r="J26"/>
      <c r="K26"/>
      <c r="L26"/>
      <c r="M26"/>
      <c r="N26"/>
      <c r="O26"/>
      <c r="P26"/>
      <c r="Q26"/>
      <c r="R26"/>
      <c r="S26"/>
      <c r="T26"/>
      <c r="U26"/>
      <c r="V26"/>
      <c r="W26"/>
    </row>
    <row r="27" spans="2:23">
      <c r="B27"/>
      <c r="C27"/>
      <c r="D27"/>
      <c r="E27"/>
      <c r="F27"/>
      <c r="G27"/>
      <c r="H27"/>
      <c r="I27"/>
      <c r="J27"/>
      <c r="K27"/>
      <c r="L27"/>
      <c r="M27"/>
      <c r="N27"/>
      <c r="O27"/>
      <c r="P27"/>
      <c r="Q27"/>
      <c r="R27"/>
      <c r="S27"/>
      <c r="T27"/>
      <c r="U27"/>
      <c r="V27"/>
      <c r="W27"/>
    </row>
    <row r="28" spans="2:23">
      <c r="B28"/>
      <c r="C28"/>
      <c r="D28"/>
      <c r="E28"/>
      <c r="F28"/>
      <c r="G28"/>
      <c r="H28"/>
      <c r="I28"/>
      <c r="J28"/>
      <c r="K28"/>
      <c r="L28"/>
      <c r="M28"/>
      <c r="N28"/>
      <c r="O28"/>
      <c r="P28"/>
      <c r="Q28"/>
      <c r="R28"/>
      <c r="S28"/>
      <c r="T28"/>
      <c r="U28"/>
      <c r="V28"/>
      <c r="W28"/>
    </row>
    <row r="29" spans="2:23">
      <c r="B29"/>
      <c r="C29"/>
      <c r="D29"/>
      <c r="E29"/>
      <c r="F29"/>
      <c r="G29"/>
      <c r="H29"/>
      <c r="I29"/>
      <c r="J29"/>
      <c r="K29"/>
      <c r="L29"/>
      <c r="M29"/>
      <c r="N29"/>
      <c r="O29"/>
      <c r="P29"/>
      <c r="Q29"/>
      <c r="R29"/>
      <c r="S29"/>
      <c r="T29"/>
      <c r="U29"/>
      <c r="V29"/>
      <c r="W29"/>
    </row>
    <row r="30" spans="2:23">
      <c r="B30"/>
      <c r="C30"/>
      <c r="D30"/>
      <c r="E30"/>
      <c r="F30"/>
      <c r="G30"/>
      <c r="H30"/>
      <c r="I30"/>
      <c r="J30"/>
      <c r="K30"/>
      <c r="L30"/>
      <c r="M30"/>
      <c r="N30"/>
      <c r="O30"/>
      <c r="P30"/>
      <c r="Q30"/>
      <c r="R30"/>
      <c r="S30"/>
      <c r="T30"/>
      <c r="U30"/>
      <c r="V30"/>
      <c r="W30"/>
    </row>
    <row r="31" spans="2:23">
      <c r="B31"/>
      <c r="C31"/>
      <c r="D31"/>
      <c r="E31"/>
      <c r="F31"/>
      <c r="G31"/>
      <c r="H31"/>
      <c r="I31"/>
      <c r="J31"/>
      <c r="K31"/>
      <c r="L31"/>
      <c r="M31"/>
      <c r="N31"/>
      <c r="O31"/>
      <c r="P31"/>
      <c r="Q31"/>
      <c r="R31"/>
      <c r="S31"/>
      <c r="T31"/>
      <c r="U31"/>
      <c r="V31"/>
      <c r="W31"/>
    </row>
    <row r="32" spans="2:23">
      <c r="B32"/>
      <c r="C32"/>
      <c r="D32"/>
      <c r="E32"/>
      <c r="F32"/>
      <c r="G32"/>
      <c r="H32"/>
      <c r="I32"/>
      <c r="J32"/>
      <c r="K32"/>
      <c r="L32"/>
      <c r="M32"/>
      <c r="N32"/>
      <c r="O32"/>
      <c r="P32"/>
      <c r="Q32"/>
      <c r="R32"/>
      <c r="S32"/>
      <c r="T32"/>
      <c r="U32"/>
      <c r="V32"/>
      <c r="W32"/>
    </row>
    <row r="33" spans="1:23">
      <c r="B33"/>
      <c r="C33"/>
      <c r="D33"/>
      <c r="E33"/>
      <c r="F33"/>
      <c r="G33"/>
      <c r="H33"/>
      <c r="I33"/>
      <c r="J33"/>
      <c r="K33"/>
      <c r="L33"/>
      <c r="M33"/>
      <c r="N33"/>
      <c r="O33"/>
      <c r="P33"/>
      <c r="Q33"/>
      <c r="R33"/>
      <c r="S33"/>
      <c r="T33"/>
      <c r="U33"/>
      <c r="V33"/>
      <c r="W33"/>
    </row>
    <row r="34" spans="1:23">
      <c r="B34"/>
      <c r="C34"/>
      <c r="D34"/>
      <c r="E34"/>
      <c r="F34"/>
      <c r="G34"/>
      <c r="H34"/>
      <c r="I34"/>
      <c r="J34"/>
      <c r="K34"/>
      <c r="L34"/>
      <c r="M34"/>
      <c r="N34"/>
      <c r="O34"/>
      <c r="P34"/>
      <c r="Q34"/>
      <c r="R34"/>
      <c r="S34"/>
      <c r="T34"/>
      <c r="U34"/>
      <c r="V34"/>
      <c r="W34"/>
    </row>
    <row r="35" spans="1:23">
      <c r="B35"/>
      <c r="C35"/>
      <c r="D35"/>
      <c r="E35"/>
      <c r="F35"/>
      <c r="G35"/>
      <c r="H35"/>
      <c r="I35"/>
      <c r="J35"/>
      <c r="K35"/>
      <c r="L35"/>
      <c r="M35"/>
      <c r="N35"/>
      <c r="O35"/>
      <c r="P35"/>
      <c r="Q35"/>
      <c r="R35"/>
      <c r="S35"/>
      <c r="T35"/>
      <c r="U35"/>
      <c r="V35"/>
      <c r="W35"/>
    </row>
    <row r="36" spans="1:23">
      <c r="B36"/>
      <c r="C36"/>
      <c r="D36"/>
      <c r="E36"/>
      <c r="F36"/>
      <c r="G36"/>
      <c r="H36"/>
      <c r="I36"/>
      <c r="J36"/>
      <c r="K36"/>
      <c r="L36"/>
      <c r="M36"/>
      <c r="N36"/>
      <c r="O36"/>
      <c r="P36"/>
      <c r="Q36"/>
      <c r="R36"/>
      <c r="S36"/>
      <c r="T36"/>
      <c r="U36"/>
      <c r="V36"/>
      <c r="W36"/>
    </row>
    <row r="37" spans="1:23">
      <c r="B37"/>
      <c r="C37"/>
      <c r="D37"/>
      <c r="E37"/>
      <c r="F37"/>
      <c r="G37"/>
      <c r="H37"/>
      <c r="I37"/>
      <c r="J37"/>
      <c r="K37"/>
      <c r="L37"/>
      <c r="M37"/>
      <c r="N37"/>
      <c r="O37"/>
      <c r="P37"/>
      <c r="Q37"/>
      <c r="R37"/>
      <c r="S37"/>
      <c r="T37"/>
      <c r="U37"/>
      <c r="V37"/>
      <c r="W37"/>
    </row>
    <row r="38" spans="1:23">
      <c r="B38"/>
      <c r="C38"/>
      <c r="D38"/>
      <c r="E38" s="365"/>
      <c r="F38" s="447"/>
      <c r="G38" s="365"/>
      <c r="H38" s="365"/>
      <c r="I38" s="365"/>
      <c r="J38" s="447"/>
      <c r="K38" s="365"/>
      <c r="L38" s="365"/>
      <c r="M38" s="365"/>
      <c r="N38"/>
      <c r="O38"/>
      <c r="P38"/>
      <c r="Q38"/>
      <c r="R38"/>
      <c r="S38"/>
      <c r="T38"/>
      <c r="U38"/>
      <c r="V38"/>
      <c r="W38"/>
    </row>
    <row r="39" spans="1:23">
      <c r="B39"/>
      <c r="C39"/>
      <c r="D39"/>
      <c r="E39" s="365"/>
      <c r="F39" s="447"/>
      <c r="G39" s="365"/>
      <c r="H39" s="365"/>
      <c r="I39" s="365"/>
      <c r="J39" s="447"/>
      <c r="K39" s="365"/>
      <c r="L39" s="365"/>
      <c r="M39" s="365"/>
      <c r="N39"/>
      <c r="O39"/>
      <c r="P39"/>
      <c r="Q39"/>
      <c r="R39"/>
      <c r="S39"/>
      <c r="T39"/>
      <c r="U39"/>
      <c r="V39"/>
      <c r="W39"/>
    </row>
    <row r="40" spans="1:23">
      <c r="B40"/>
      <c r="C40"/>
      <c r="D40"/>
      <c r="E40" s="365"/>
      <c r="F40" s="447"/>
      <c r="G40" s="365"/>
      <c r="H40" s="365"/>
      <c r="I40" s="365"/>
      <c r="J40" s="447"/>
      <c r="K40" s="365"/>
      <c r="L40" s="365"/>
      <c r="M40" s="365"/>
      <c r="N40"/>
      <c r="O40"/>
      <c r="P40"/>
      <c r="Q40"/>
      <c r="R40"/>
      <c r="S40"/>
      <c r="T40"/>
      <c r="U40"/>
      <c r="V40"/>
      <c r="W40"/>
    </row>
    <row r="41" spans="1:23">
      <c r="B41"/>
      <c r="C41"/>
      <c r="D41"/>
      <c r="E41" s="365"/>
      <c r="F41" s="447"/>
      <c r="G41" s="365"/>
      <c r="H41" s="365"/>
      <c r="I41" s="365"/>
      <c r="J41" s="447"/>
      <c r="K41" s="365"/>
      <c r="L41" s="365"/>
      <c r="M41" s="365"/>
      <c r="N41"/>
      <c r="O41"/>
      <c r="P41"/>
      <c r="Q41"/>
      <c r="R41"/>
      <c r="S41"/>
      <c r="T41"/>
      <c r="U41"/>
      <c r="V41"/>
      <c r="W41"/>
    </row>
    <row r="42" spans="1:23">
      <c r="B42"/>
      <c r="C42"/>
      <c r="D42"/>
      <c r="E42" s="365"/>
      <c r="F42" s="447"/>
      <c r="G42" s="365"/>
      <c r="H42" s="365"/>
      <c r="I42" s="365"/>
      <c r="J42" s="447"/>
      <c r="K42" s="365"/>
      <c r="L42" s="365"/>
      <c r="M42" s="365"/>
      <c r="N42"/>
      <c r="O42"/>
      <c r="P42"/>
      <c r="Q42"/>
      <c r="R42"/>
      <c r="S42"/>
      <c r="T42"/>
      <c r="U42"/>
      <c r="V42"/>
    </row>
    <row r="43" spans="1:23">
      <c r="B43"/>
      <c r="C43"/>
      <c r="D43"/>
      <c r="E43" s="365"/>
      <c r="F43" s="447"/>
      <c r="G43" s="365"/>
      <c r="H43" s="365"/>
      <c r="I43" s="365"/>
      <c r="J43" s="447"/>
      <c r="K43" s="365"/>
      <c r="L43" s="365"/>
      <c r="M43" s="365"/>
      <c r="N43"/>
      <c r="O43"/>
      <c r="P43"/>
      <c r="Q43"/>
      <c r="R43"/>
      <c r="S43"/>
      <c r="T43"/>
      <c r="U43"/>
      <c r="V43"/>
    </row>
    <row r="44" spans="1:23" s="241" customFormat="1">
      <c r="A44" s="12"/>
      <c r="B44"/>
      <c r="C44"/>
      <c r="D44"/>
      <c r="E44" s="365"/>
      <c r="F44" s="447"/>
      <c r="G44" s="365"/>
      <c r="H44" s="365"/>
      <c r="I44" s="365"/>
      <c r="J44" s="447"/>
      <c r="K44" s="365"/>
      <c r="L44" s="365"/>
      <c r="M44" s="365"/>
      <c r="N44"/>
      <c r="O44"/>
      <c r="P44"/>
      <c r="Q44"/>
      <c r="R44"/>
      <c r="S44"/>
      <c r="T44"/>
      <c r="U44"/>
      <c r="V44"/>
    </row>
  </sheetData>
  <pageMargins left="0.7" right="0.7" top="0.75" bottom="0.75" header="0.3" footer="0.3"/>
  <pageSetup scale="26" orientation="landscape" horizontalDpi="0" verticalDpi="0"/>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8E62F-B7B6-C94C-ADC9-EB20B373A5ED}">
  <sheetPr>
    <pageSetUpPr fitToPage="1"/>
  </sheetPr>
  <dimension ref="B2:AE166"/>
  <sheetViews>
    <sheetView showGridLines="0" view="pageBreakPreview" zoomScale="70" zoomScaleNormal="90" zoomScaleSheetLayoutView="70" workbookViewId="0">
      <pane ySplit="5" topLeftCell="A6" activePane="bottomLeft" state="frozen"/>
      <selection pane="bottomLeft" activeCell="B20" sqref="B20"/>
    </sheetView>
  </sheetViews>
  <sheetFormatPr defaultColWidth="10.6640625" defaultRowHeight="15.95"/>
  <cols>
    <col min="1" max="1" width="4.44140625" style="12" customWidth="1"/>
    <col min="2" max="2" width="33.109375" style="12" customWidth="1"/>
    <col min="3" max="3" width="44.6640625" style="12" customWidth="1"/>
    <col min="4" max="6" width="15.6640625" style="12" customWidth="1"/>
    <col min="7" max="7" width="15.5546875" style="112" customWidth="1"/>
    <col min="8" max="8" width="15.88671875" style="12" customWidth="1"/>
    <col min="9" max="10" width="15.6640625" style="247" customWidth="1"/>
    <col min="11" max="11" width="14.5546875" style="247" customWidth="1"/>
    <col min="12" max="15" width="15.6640625" style="247" customWidth="1"/>
    <col min="16" max="16" width="13.109375" style="12" customWidth="1"/>
    <col min="17" max="17" width="12.109375" style="12" customWidth="1"/>
    <col min="18" max="20" width="13.6640625" style="12" customWidth="1"/>
    <col min="21" max="22" width="10.6640625" style="12"/>
    <col min="23" max="23" width="39.109375" style="12" customWidth="1"/>
    <col min="24" max="16384" width="10.6640625" style="12"/>
  </cols>
  <sheetData>
    <row r="2" spans="2:31" ht="23.1" customHeight="1">
      <c r="B2" s="593" t="s">
        <v>494</v>
      </c>
      <c r="C2" s="593"/>
      <c r="D2" s="593"/>
      <c r="E2" s="593"/>
      <c r="F2" s="593"/>
      <c r="G2" s="593"/>
      <c r="H2" s="593"/>
      <c r="I2" s="593"/>
      <c r="J2" s="593"/>
      <c r="K2" s="593"/>
      <c r="L2" s="593"/>
      <c r="M2" s="593"/>
      <c r="N2" s="593"/>
      <c r="O2" s="593"/>
      <c r="P2" s="593"/>
      <c r="R2" s="205"/>
      <c r="S2" s="205"/>
      <c r="T2" s="205"/>
      <c r="U2" s="205"/>
      <c r="V2" s="205"/>
      <c r="W2" s="205"/>
      <c r="X2" s="205"/>
      <c r="Y2" s="205"/>
      <c r="Z2" s="205"/>
      <c r="AA2" s="205"/>
      <c r="AB2" s="205"/>
      <c r="AC2" s="205"/>
      <c r="AD2" s="205"/>
      <c r="AE2" s="205"/>
    </row>
    <row r="3" spans="2:31">
      <c r="B3" s="206" t="s">
        <v>224</v>
      </c>
      <c r="C3" s="206"/>
      <c r="E3" s="206"/>
      <c r="F3" s="206"/>
      <c r="G3" s="233"/>
      <c r="H3" s="206"/>
      <c r="I3" s="242"/>
      <c r="J3" s="242"/>
      <c r="K3" s="242"/>
      <c r="L3" s="242"/>
      <c r="M3" s="242"/>
      <c r="N3" s="242"/>
      <c r="O3" s="242"/>
      <c r="P3" s="206"/>
      <c r="R3" s="206"/>
      <c r="S3" s="206"/>
      <c r="T3" s="206"/>
      <c r="U3" s="206"/>
      <c r="V3" s="206"/>
      <c r="W3" s="206"/>
      <c r="X3" s="206"/>
      <c r="Y3" s="206"/>
      <c r="Z3" s="206"/>
      <c r="AA3" s="206"/>
      <c r="AB3" s="206"/>
      <c r="AC3" s="206"/>
      <c r="AD3" s="206"/>
      <c r="AE3" s="206"/>
    </row>
    <row r="4" spans="2:31">
      <c r="B4" s="79" t="s">
        <v>41</v>
      </c>
      <c r="C4" s="79" t="s">
        <v>42</v>
      </c>
      <c r="D4" s="79"/>
      <c r="E4" s="79"/>
      <c r="F4" s="80"/>
      <c r="G4" s="80"/>
      <c r="H4" s="80"/>
      <c r="I4" s="243"/>
      <c r="J4" s="243"/>
      <c r="K4" s="243"/>
      <c r="L4" s="243"/>
      <c r="M4" s="243"/>
      <c r="N4" s="243"/>
      <c r="O4" s="243"/>
      <c r="P4" s="243"/>
      <c r="R4" s="206"/>
      <c r="S4" s="206"/>
      <c r="T4" s="206"/>
      <c r="U4" s="206"/>
      <c r="V4" s="206"/>
      <c r="W4" s="206"/>
      <c r="X4" s="206"/>
      <c r="Y4" s="206"/>
      <c r="Z4" s="206"/>
      <c r="AA4" s="206"/>
      <c r="AB4" s="206"/>
      <c r="AC4" s="206"/>
      <c r="AD4" s="206"/>
      <c r="AE4" s="206"/>
    </row>
    <row r="5" spans="2:31" ht="35.1" customHeight="1">
      <c r="B5" s="62" t="s">
        <v>495</v>
      </c>
      <c r="C5" s="62" t="s">
        <v>105</v>
      </c>
      <c r="D5" s="62" t="s">
        <v>29</v>
      </c>
      <c r="E5" s="62" t="s">
        <v>30</v>
      </c>
      <c r="F5" s="62" t="s">
        <v>496</v>
      </c>
      <c r="G5" s="62" t="s">
        <v>108</v>
      </c>
      <c r="H5" s="259" t="s">
        <v>109</v>
      </c>
      <c r="I5" s="244" t="s">
        <v>497</v>
      </c>
      <c r="J5" s="244" t="s">
        <v>498</v>
      </c>
      <c r="K5" s="265" t="s">
        <v>499</v>
      </c>
      <c r="L5" s="265" t="s">
        <v>500</v>
      </c>
      <c r="M5" s="244" t="s">
        <v>501</v>
      </c>
      <c r="N5" s="244" t="s">
        <v>502</v>
      </c>
      <c r="O5" s="244" t="s">
        <v>503</v>
      </c>
      <c r="P5" s="244" t="s">
        <v>504</v>
      </c>
      <c r="R5" s="206"/>
      <c r="S5" s="206"/>
      <c r="T5" s="206"/>
      <c r="U5" s="206"/>
      <c r="V5" s="206"/>
      <c r="W5" s="244" t="s">
        <v>505</v>
      </c>
      <c r="X5" s="206"/>
      <c r="Y5" s="206"/>
      <c r="Z5" s="206"/>
      <c r="AA5" s="206"/>
      <c r="AB5" s="206"/>
      <c r="AC5" s="206"/>
      <c r="AD5" s="206"/>
      <c r="AE5" s="206"/>
    </row>
    <row r="6" spans="2:31">
      <c r="B6" s="62"/>
      <c r="C6" s="62"/>
      <c r="D6" s="62"/>
      <c r="E6" s="62"/>
      <c r="F6" s="62"/>
      <c r="G6" s="62"/>
      <c r="H6" s="259"/>
      <c r="I6" s="244"/>
      <c r="J6" s="244"/>
      <c r="K6" s="265"/>
      <c r="L6" s="266"/>
      <c r="M6" s="242"/>
      <c r="N6" s="242"/>
      <c r="O6" s="242"/>
      <c r="P6" s="206"/>
      <c r="Q6" s="206"/>
      <c r="R6" s="206"/>
      <c r="S6" s="206"/>
      <c r="T6" s="206"/>
      <c r="U6" s="206"/>
      <c r="V6" s="206"/>
      <c r="W6" s="53" t="s">
        <v>506</v>
      </c>
      <c r="X6" s="206"/>
      <c r="Y6" s="206"/>
      <c r="Z6" s="206"/>
      <c r="AA6" s="206"/>
      <c r="AB6" s="206"/>
      <c r="AC6" s="206"/>
      <c r="AD6" s="206"/>
    </row>
    <row r="7" spans="2:31" ht="17.100000000000001" customHeight="1">
      <c r="B7" s="503" t="s">
        <v>507</v>
      </c>
      <c r="C7" s="232"/>
      <c r="D7" s="232"/>
      <c r="E7" s="232"/>
      <c r="F7" s="232"/>
      <c r="G7" s="232"/>
      <c r="H7" s="260"/>
      <c r="I7" s="245"/>
      <c r="J7" s="245"/>
      <c r="K7" s="267"/>
      <c r="L7" s="267"/>
      <c r="M7" s="245"/>
      <c r="N7" s="245"/>
      <c r="O7" s="245"/>
      <c r="W7" s="53" t="s">
        <v>508</v>
      </c>
    </row>
    <row r="8" spans="2:31">
      <c r="B8" s="229"/>
      <c r="C8" s="229"/>
      <c r="D8" s="229"/>
      <c r="E8" s="229"/>
      <c r="F8" s="229"/>
      <c r="G8" s="229"/>
      <c r="H8" s="261"/>
      <c r="I8" s="246"/>
      <c r="J8" s="246"/>
      <c r="K8" s="268"/>
      <c r="L8" s="268"/>
      <c r="W8" s="53"/>
    </row>
    <row r="9" spans="2:31">
      <c r="B9" s="230" t="s">
        <v>509</v>
      </c>
      <c r="C9" s="230"/>
      <c r="D9" s="504">
        <v>44524</v>
      </c>
      <c r="E9" s="230" t="s">
        <v>33</v>
      </c>
      <c r="F9" s="230"/>
      <c r="G9" s="231"/>
      <c r="H9" s="273">
        <v>500000</v>
      </c>
      <c r="I9" s="248"/>
      <c r="J9" s="248"/>
      <c r="K9" s="268"/>
      <c r="L9" s="268"/>
      <c r="W9" s="53"/>
    </row>
    <row r="10" spans="2:31">
      <c r="B10" s="230" t="s">
        <v>510</v>
      </c>
      <c r="C10" s="230"/>
      <c r="D10" s="504">
        <v>44524</v>
      </c>
      <c r="E10" s="230" t="s">
        <v>33</v>
      </c>
      <c r="F10" s="230"/>
      <c r="G10" s="231"/>
      <c r="H10" s="273">
        <v>335000</v>
      </c>
      <c r="K10" s="268"/>
      <c r="L10" s="268"/>
      <c r="W10" s="53"/>
    </row>
    <row r="11" spans="2:31">
      <c r="B11" s="230" t="s">
        <v>511</v>
      </c>
      <c r="C11" s="230"/>
      <c r="D11" s="504">
        <v>44524</v>
      </c>
      <c r="E11" s="230" t="s">
        <v>33</v>
      </c>
      <c r="F11" s="230"/>
      <c r="G11" s="231"/>
      <c r="H11" s="275">
        <v>0</v>
      </c>
      <c r="K11" s="268"/>
      <c r="L11" s="268"/>
    </row>
    <row r="12" spans="2:31">
      <c r="B12" s="230" t="s">
        <v>512</v>
      </c>
      <c r="C12" s="230"/>
      <c r="D12" s="504">
        <v>44524</v>
      </c>
      <c r="E12" s="230" t="s">
        <v>33</v>
      </c>
      <c r="F12" s="230"/>
      <c r="G12" s="231"/>
      <c r="H12" s="276">
        <v>0</v>
      </c>
      <c r="K12" s="268"/>
      <c r="L12" s="268"/>
    </row>
    <row r="13" spans="2:31">
      <c r="B13" s="230"/>
      <c r="C13" s="230"/>
      <c r="E13" s="231"/>
      <c r="F13" s="231"/>
      <c r="G13" s="231"/>
      <c r="H13" s="262"/>
      <c r="K13" s="268"/>
      <c r="L13" s="268"/>
    </row>
    <row r="14" spans="2:31">
      <c r="B14" s="234" t="s">
        <v>513</v>
      </c>
      <c r="C14" s="234"/>
      <c r="D14" s="235"/>
      <c r="E14" s="235"/>
      <c r="F14" s="235"/>
      <c r="G14" s="235"/>
      <c r="H14" s="277">
        <v>0</v>
      </c>
      <c r="I14" s="249"/>
      <c r="J14" s="249"/>
      <c r="K14" s="269"/>
      <c r="L14" s="269"/>
      <c r="M14" s="249"/>
      <c r="N14" s="249"/>
      <c r="O14" s="249"/>
    </row>
    <row r="15" spans="2:31">
      <c r="B15" s="194"/>
      <c r="C15" s="166"/>
      <c r="D15" s="166"/>
      <c r="E15" s="166"/>
      <c r="F15" s="166"/>
      <c r="G15" s="194"/>
      <c r="H15" s="263"/>
      <c r="I15" s="250"/>
      <c r="J15" s="250"/>
      <c r="K15" s="268"/>
      <c r="L15" s="268"/>
    </row>
    <row r="16" spans="2:31" s="82" customFormat="1" ht="15.95" customHeight="1">
      <c r="B16" s="308" t="s">
        <v>506</v>
      </c>
      <c r="C16" s="307" t="s">
        <v>507</v>
      </c>
      <c r="D16" s="300">
        <v>44536</v>
      </c>
      <c r="E16" s="301" t="s">
        <v>33</v>
      </c>
      <c r="F16" s="302">
        <v>-165000</v>
      </c>
      <c r="G16" s="393">
        <f>+IF(F16=0,0,IF(E16="MXN",1/HLOOKUP(YEAR(D16)+(MONTH(D16)/100),TC!$5:$37,DAY(D16)+2,FALSE),VLOOKUP(E16,Equivalencia!$3:$23,((MAX(Equivalencia!$3:$3)-YEAR(D16))*14)+MONTH(D16)+2,FALSE)))</f>
        <v>1</v>
      </c>
      <c r="H16" s="303">
        <f>+G16*F16</f>
        <v>-165000</v>
      </c>
      <c r="I16" s="304">
        <f>H14+H16</f>
        <v>-165000</v>
      </c>
      <c r="J16" s="304">
        <f>+IF(H16&lt;0,0,IF(AND(H14&lt;0,I16&lt;0),0,IF(H14&lt;0,H16+H14,H16)))</f>
        <v>0</v>
      </c>
      <c r="K16" s="305"/>
      <c r="L16" s="305"/>
      <c r="M16" s="304">
        <f>IF(F16="",0,+I16+K16+L16)</f>
        <v>-165000</v>
      </c>
      <c r="N16" s="306">
        <v>-165000</v>
      </c>
      <c r="O16" s="304">
        <f>IF(M16=N16,0,IF(N16="",0,N16-M16))</f>
        <v>0</v>
      </c>
    </row>
    <row r="17" spans="2:20" s="82" customFormat="1" ht="17.100000000000001">
      <c r="B17" s="308" t="s">
        <v>506</v>
      </c>
      <c r="C17" s="307" t="s">
        <v>507</v>
      </c>
      <c r="D17" s="300">
        <v>44575</v>
      </c>
      <c r="E17" s="301" t="s">
        <v>33</v>
      </c>
      <c r="F17" s="302">
        <f>-80750</f>
        <v>-80750</v>
      </c>
      <c r="G17" s="393">
        <f>+IF(F17=0,0,IF(E17="MXN",1/HLOOKUP(YEAR(D17)+(MONTH(D17)/100),TC!$5:$37,DAY(D17)+2,FALSE),VLOOKUP(E17,Equivalencia!$3:$23,((MAX(Equivalencia!$3:$3)-YEAR(D17))*14)+MONTH(D17)+2,FALSE)))</f>
        <v>1</v>
      </c>
      <c r="H17" s="303">
        <f t="shared" ref="H17:H27" si="0">+G17*F17</f>
        <v>-80750</v>
      </c>
      <c r="I17" s="304">
        <f>IF(AND(I16&gt;0,F17&lt;0),F17,I16+H17+O16)</f>
        <v>-245750</v>
      </c>
      <c r="J17" s="304">
        <f t="shared" ref="J17:J23" si="1">+IF(H17&lt;0,0,IF(AND(I16&lt;0,I17&lt;0),0,IF(I16&lt;0,H17+I16,H17)))</f>
        <v>0</v>
      </c>
      <c r="K17" s="305"/>
      <c r="L17" s="305">
        <v>-4250</v>
      </c>
      <c r="M17" s="304">
        <f>IF(F17="",0,+M16+K17+L17+H17+O16)</f>
        <v>-250000</v>
      </c>
      <c r="N17" s="306">
        <v>-250000</v>
      </c>
      <c r="O17" s="304">
        <f t="shared" ref="O17:O27" si="2">IF(M17=N17,0,IF(N17="",0,N17-M17))</f>
        <v>0</v>
      </c>
    </row>
    <row r="18" spans="2:20" s="82" customFormat="1" ht="17.100000000000001">
      <c r="B18" s="308" t="s">
        <v>506</v>
      </c>
      <c r="C18" s="307" t="s">
        <v>507</v>
      </c>
      <c r="D18" s="300">
        <v>44636</v>
      </c>
      <c r="E18" s="301" t="s">
        <v>33</v>
      </c>
      <c r="F18" s="405">
        <f>-69750</f>
        <v>-69750</v>
      </c>
      <c r="G18" s="393">
        <f>+IF(F18=0,0,IF(E18="MXN",1/HLOOKUP(YEAR(D18)+(MONTH(D18)/100),TC!$5:$37,DAY(D18)+2,FALSE),VLOOKUP(E18,Equivalencia!$3:$23,((MAX(Equivalencia!$3:$3)-YEAR(D18))*14)+MONTH(D18)+2,FALSE)))</f>
        <v>1</v>
      </c>
      <c r="H18" s="303">
        <f t="shared" si="0"/>
        <v>-69750</v>
      </c>
      <c r="I18" s="304">
        <f t="shared" ref="I18:I27" si="3">IF(AND(I17&gt;0,F18&lt;0),F18,I17+H18+O17)</f>
        <v>-315500</v>
      </c>
      <c r="J18" s="304">
        <f t="shared" si="1"/>
        <v>0</v>
      </c>
      <c r="K18" s="305"/>
      <c r="L18" s="305">
        <v>-5250</v>
      </c>
      <c r="M18" s="304">
        <f t="shared" ref="M18:M27" si="4">IF(F18="",0,+M17+K18+L18+H18+O17)</f>
        <v>-325000</v>
      </c>
      <c r="N18" s="306">
        <v>-325000</v>
      </c>
      <c r="O18" s="304">
        <f t="shared" si="2"/>
        <v>0</v>
      </c>
    </row>
    <row r="19" spans="2:20" s="82" customFormat="1" ht="17.100000000000001">
      <c r="B19" s="308" t="s">
        <v>506</v>
      </c>
      <c r="C19" s="307" t="s">
        <v>507</v>
      </c>
      <c r="D19" s="300">
        <v>44736</v>
      </c>
      <c r="E19" s="301" t="s">
        <v>33</v>
      </c>
      <c r="F19" s="302">
        <f>-(440.37+82250)</f>
        <v>-82690.37</v>
      </c>
      <c r="G19" s="393">
        <f>+IF(F19=0,0,IF(E19="MXN",1/HLOOKUP(YEAR(D19)+(MONTH(D19)/100),TC!$5:$37,DAY(D19)+2,FALSE),VLOOKUP(E19,Equivalencia!$3:$23,((MAX(Equivalencia!$3:$3)-YEAR(D19))*14)+MONTH(D19)+2,FALSE)))</f>
        <v>1</v>
      </c>
      <c r="H19" s="303">
        <f t="shared" si="0"/>
        <v>-82690.37</v>
      </c>
      <c r="I19" s="304">
        <f t="shared" si="3"/>
        <v>-398190.37</v>
      </c>
      <c r="J19" s="304">
        <f t="shared" si="1"/>
        <v>0</v>
      </c>
      <c r="K19" s="305"/>
      <c r="L19" s="305">
        <f>-5250</f>
        <v>-5250</v>
      </c>
      <c r="M19" s="304">
        <f t="shared" si="4"/>
        <v>-412940.37</v>
      </c>
      <c r="N19" s="306"/>
      <c r="O19" s="304">
        <f t="shared" si="2"/>
        <v>0</v>
      </c>
    </row>
    <row r="20" spans="2:20" s="82" customFormat="1" ht="17.100000000000001">
      <c r="B20" s="308" t="s">
        <v>508</v>
      </c>
      <c r="C20" s="307" t="s">
        <v>507</v>
      </c>
      <c r="D20" s="300">
        <v>44736</v>
      </c>
      <c r="E20" s="301" t="s">
        <v>33</v>
      </c>
      <c r="F20" s="302">
        <v>440.37</v>
      </c>
      <c r="G20" s="393">
        <f>+IF(F20=0,0,IF(E20="MXN",1/HLOOKUP(YEAR(D20)+(MONTH(D20)/100),TC!$5:$37,DAY(D20)+2,FALSE),VLOOKUP(E20,Equivalencia!$3:$23,((MAX(Equivalencia!$3:$3)-YEAR(D20))*14)+MONTH(D20)+2,FALSE)))</f>
        <v>1</v>
      </c>
      <c r="H20" s="303">
        <f t="shared" si="0"/>
        <v>440.37</v>
      </c>
      <c r="I20" s="304">
        <f t="shared" si="3"/>
        <v>-397750</v>
      </c>
      <c r="J20" s="304">
        <f t="shared" si="1"/>
        <v>0</v>
      </c>
      <c r="K20" s="305"/>
      <c r="L20" s="305"/>
      <c r="M20" s="304">
        <f t="shared" si="4"/>
        <v>-412500</v>
      </c>
      <c r="N20" s="306">
        <v>-412500</v>
      </c>
      <c r="O20" s="304">
        <f t="shared" si="2"/>
        <v>0</v>
      </c>
    </row>
    <row r="21" spans="2:20" s="82" customFormat="1">
      <c r="B21" s="308"/>
      <c r="C21" s="307" t="s">
        <v>514</v>
      </c>
      <c r="D21" s="300">
        <v>44926</v>
      </c>
      <c r="E21" s="301" t="s">
        <v>33</v>
      </c>
      <c r="F21" s="302">
        <v>0</v>
      </c>
      <c r="G21" s="393">
        <f>+IF(F21=0,0,IF(E21="MXN",1/HLOOKUP(YEAR(D21)+(MONTH(D21)/100),TC!$5:$37,DAY(D21)+2,FALSE),VLOOKUP(E21,Equivalencia!$3:$23,((MAX(Equivalencia!$3:$3)-YEAR(D21))*14)+MONTH(D21)+2,FALSE)))</f>
        <v>0</v>
      </c>
      <c r="H21" s="303">
        <f t="shared" si="0"/>
        <v>0</v>
      </c>
      <c r="I21" s="304">
        <f t="shared" si="3"/>
        <v>-397750</v>
      </c>
      <c r="J21" s="304">
        <f t="shared" si="1"/>
        <v>0</v>
      </c>
      <c r="K21" s="305"/>
      <c r="L21" s="305"/>
      <c r="M21" s="304">
        <f t="shared" si="4"/>
        <v>-412500</v>
      </c>
      <c r="N21" s="306">
        <v>-412500</v>
      </c>
      <c r="O21" s="304">
        <f t="shared" si="2"/>
        <v>0</v>
      </c>
    </row>
    <row r="22" spans="2:20" s="82" customFormat="1" hidden="1">
      <c r="B22" s="308"/>
      <c r="C22" s="307"/>
      <c r="D22" s="300"/>
      <c r="E22" s="301"/>
      <c r="F22" s="302"/>
      <c r="G22" s="393">
        <f>+IF(F22=0,0,IF(E22="MXN",1/HLOOKUP(YEAR(D22)+(MONTH(D22)/100),TC!$5:$37,DAY(D22)+2,FALSE),VLOOKUP(E22,Equivalencia!$3:$23,((MAX(Equivalencia!$3:$3)-YEAR(D22))*14)+MONTH(D22)+2,FALSE)))</f>
        <v>0</v>
      </c>
      <c r="H22" s="303">
        <f t="shared" si="0"/>
        <v>0</v>
      </c>
      <c r="I22" s="304">
        <f t="shared" si="3"/>
        <v>-397750</v>
      </c>
      <c r="J22" s="304">
        <f t="shared" si="1"/>
        <v>0</v>
      </c>
      <c r="K22" s="305"/>
      <c r="L22" s="305"/>
      <c r="M22" s="304">
        <f t="shared" si="4"/>
        <v>0</v>
      </c>
      <c r="N22" s="306"/>
      <c r="O22" s="304">
        <f t="shared" si="2"/>
        <v>0</v>
      </c>
    </row>
    <row r="23" spans="2:20" s="82" customFormat="1" hidden="1">
      <c r="B23" s="308"/>
      <c r="C23" s="307"/>
      <c r="D23" s="300"/>
      <c r="E23" s="301"/>
      <c r="F23" s="302"/>
      <c r="G23" s="393">
        <f>+IF(F23=0,0,IF(E23="MXN",1/HLOOKUP(YEAR(D23)+(MONTH(D23)/100),TC!$5:$37,DAY(D23)+2,FALSE),VLOOKUP(E23,Equivalencia!$3:$23,((MAX(Equivalencia!$3:$3)-YEAR(D23))*14)+MONTH(D23)+2,FALSE)))</f>
        <v>0</v>
      </c>
      <c r="H23" s="303">
        <f t="shared" si="0"/>
        <v>0</v>
      </c>
      <c r="I23" s="304">
        <f t="shared" si="3"/>
        <v>-397750</v>
      </c>
      <c r="J23" s="304">
        <f t="shared" si="1"/>
        <v>0</v>
      </c>
      <c r="K23" s="305"/>
      <c r="L23" s="305"/>
      <c r="M23" s="304">
        <f t="shared" si="4"/>
        <v>0</v>
      </c>
      <c r="N23" s="306"/>
      <c r="O23" s="304">
        <f t="shared" si="2"/>
        <v>0</v>
      </c>
    </row>
    <row r="24" spans="2:20" s="82" customFormat="1" hidden="1">
      <c r="B24" s="308"/>
      <c r="C24" s="307"/>
      <c r="D24" s="300"/>
      <c r="E24" s="301"/>
      <c r="F24" s="302"/>
      <c r="G24" s="393">
        <f>+IF(F24=0,0,IF(E24="MXN",1/HLOOKUP(YEAR(D24)+(MONTH(D24)/100),TC!$5:$37,DAY(D24)+2,FALSE),VLOOKUP(E24,Equivalencia!$3:$23,((MAX(Equivalencia!$3:$3)-YEAR(D24))*14)+MONTH(D24)+2,FALSE)))</f>
        <v>0</v>
      </c>
      <c r="H24" s="303">
        <f t="shared" si="0"/>
        <v>0</v>
      </c>
      <c r="I24" s="304">
        <f t="shared" si="3"/>
        <v>-397750</v>
      </c>
      <c r="J24" s="304">
        <f t="shared" ref="J24:J27" si="5">+IF(H24&lt;0,0,IF(AND(I23&lt;0,I24&lt;0),0,IF(I23&lt;0,H24+I23,H24)))</f>
        <v>0</v>
      </c>
      <c r="K24" s="305"/>
      <c r="L24" s="305"/>
      <c r="M24" s="304">
        <f t="shared" si="4"/>
        <v>0</v>
      </c>
      <c r="N24" s="306"/>
      <c r="O24" s="304">
        <f t="shared" si="2"/>
        <v>0</v>
      </c>
    </row>
    <row r="25" spans="2:20" s="82" customFormat="1" hidden="1">
      <c r="B25" s="308"/>
      <c r="C25" s="307"/>
      <c r="D25" s="300"/>
      <c r="E25" s="301"/>
      <c r="F25" s="302"/>
      <c r="G25" s="393">
        <f>+IF(F25=0,0,IF(E25="MXN",1/HLOOKUP(YEAR(D25)+(MONTH(D25)/100),TC!$5:$37,DAY(D25)+2,FALSE),VLOOKUP(E25,Equivalencia!$3:$23,((MAX(Equivalencia!$3:$3)-YEAR(D25))*14)+MONTH(D25)+2,FALSE)))</f>
        <v>0</v>
      </c>
      <c r="H25" s="303">
        <f t="shared" si="0"/>
        <v>0</v>
      </c>
      <c r="I25" s="304">
        <f t="shared" si="3"/>
        <v>-397750</v>
      </c>
      <c r="J25" s="304">
        <f t="shared" si="5"/>
        <v>0</v>
      </c>
      <c r="K25" s="305"/>
      <c r="L25" s="305"/>
      <c r="M25" s="304">
        <f t="shared" si="4"/>
        <v>0</v>
      </c>
      <c r="N25" s="306"/>
      <c r="O25" s="304">
        <f t="shared" si="2"/>
        <v>0</v>
      </c>
    </row>
    <row r="26" spans="2:20" s="82" customFormat="1" hidden="1">
      <c r="B26" s="308"/>
      <c r="C26" s="307"/>
      <c r="D26" s="300"/>
      <c r="E26" s="301"/>
      <c r="F26" s="302"/>
      <c r="G26" s="393">
        <f>+IF(F26=0,0,IF(E26="MXN",1/HLOOKUP(YEAR(D26)+(MONTH(D26)/100),TC!$5:$37,DAY(D26)+2,FALSE),VLOOKUP(E26,Equivalencia!$3:$23,((MAX(Equivalencia!$3:$3)-YEAR(D26))*14)+MONTH(D26)+2,FALSE)))</f>
        <v>0</v>
      </c>
      <c r="H26" s="303">
        <f t="shared" si="0"/>
        <v>0</v>
      </c>
      <c r="I26" s="304">
        <f t="shared" si="3"/>
        <v>-397750</v>
      </c>
      <c r="J26" s="304">
        <f t="shared" si="5"/>
        <v>0</v>
      </c>
      <c r="K26" s="305"/>
      <c r="L26" s="305"/>
      <c r="M26" s="304">
        <f t="shared" si="4"/>
        <v>0</v>
      </c>
      <c r="N26" s="306"/>
      <c r="O26" s="304">
        <f t="shared" si="2"/>
        <v>0</v>
      </c>
    </row>
    <row r="27" spans="2:20" s="82" customFormat="1" hidden="1">
      <c r="B27" s="309"/>
      <c r="C27" s="307"/>
      <c r="D27" s="300"/>
      <c r="E27" s="301"/>
      <c r="F27" s="302"/>
      <c r="G27" s="393">
        <f>+IF(F27=0,0,IF(E27="MXN",1/HLOOKUP(YEAR(D27)+(MONTH(D27)/100),TC!$5:$37,DAY(D27)+2,FALSE),VLOOKUP(E27,Equivalencia!$3:$23,((MAX(Equivalencia!$3:$3)-YEAR(D27))*14)+MONTH(D27)+2,FALSE)))</f>
        <v>0</v>
      </c>
      <c r="H27" s="303">
        <f t="shared" si="0"/>
        <v>0</v>
      </c>
      <c r="I27" s="304">
        <f t="shared" si="3"/>
        <v>-397750</v>
      </c>
      <c r="J27" s="304">
        <f t="shared" si="5"/>
        <v>0</v>
      </c>
      <c r="K27" s="305"/>
      <c r="L27" s="305"/>
      <c r="M27" s="304">
        <f t="shared" si="4"/>
        <v>0</v>
      </c>
      <c r="N27" s="306"/>
      <c r="O27" s="304">
        <f t="shared" si="2"/>
        <v>0</v>
      </c>
    </row>
    <row r="28" spans="2:20">
      <c r="B28" s="308"/>
      <c r="H28" s="101"/>
      <c r="K28" s="268"/>
      <c r="L28" s="268"/>
    </row>
    <row r="29" spans="2:20">
      <c r="B29" s="112"/>
      <c r="H29" s="264"/>
      <c r="I29" s="236"/>
      <c r="J29" s="256">
        <f>SUM(J17:J28)</f>
        <v>0</v>
      </c>
      <c r="K29" s="270"/>
      <c r="L29" s="270"/>
      <c r="M29" s="236"/>
      <c r="N29" s="236"/>
      <c r="O29" s="256">
        <f>+SUMIF(O17:O28,"&gt;0",O17:O28)</f>
        <v>0</v>
      </c>
      <c r="R29" s="256">
        <f>+J29</f>
        <v>0</v>
      </c>
      <c r="S29" s="256">
        <f>+O29</f>
        <v>0</v>
      </c>
      <c r="T29" s="256">
        <f>+R29+S29</f>
        <v>0</v>
      </c>
    </row>
    <row r="30" spans="2:20">
      <c r="B30" s="112"/>
      <c r="H30" s="13"/>
      <c r="K30" s="268"/>
      <c r="L30" s="268"/>
    </row>
    <row r="31" spans="2:20">
      <c r="H31" s="13"/>
      <c r="K31" s="268"/>
      <c r="L31" s="268"/>
      <c r="N31" s="252"/>
      <c r="O31" s="253" t="s">
        <v>515</v>
      </c>
      <c r="P31" s="257">
        <f>+O29+J29</f>
        <v>0</v>
      </c>
    </row>
    <row r="32" spans="2:20" hidden="1">
      <c r="C32" s="241"/>
      <c r="H32" s="13"/>
      <c r="K32" s="268"/>
      <c r="L32" s="268"/>
    </row>
    <row r="33" spans="2:15" ht="17.100000000000001" hidden="1" customHeight="1">
      <c r="B33" s="232"/>
      <c r="C33" s="232"/>
      <c r="D33" s="232"/>
      <c r="E33" s="232"/>
      <c r="F33" s="232"/>
      <c r="G33" s="232"/>
      <c r="H33" s="260"/>
      <c r="I33" s="245"/>
      <c r="J33" s="245"/>
      <c r="K33" s="267"/>
      <c r="L33" s="267"/>
      <c r="M33" s="245"/>
      <c r="N33" s="245"/>
      <c r="O33" s="245"/>
    </row>
    <row r="34" spans="2:15" hidden="1">
      <c r="B34" s="229"/>
      <c r="C34" s="229"/>
      <c r="D34" s="229"/>
      <c r="E34" s="229"/>
      <c r="F34" s="229"/>
      <c r="G34" s="229"/>
      <c r="H34" s="261"/>
      <c r="I34" s="246"/>
      <c r="J34" s="246"/>
      <c r="K34" s="268"/>
      <c r="L34" s="268"/>
    </row>
    <row r="35" spans="2:15" hidden="1">
      <c r="B35" s="230" t="s">
        <v>509</v>
      </c>
      <c r="C35" s="230"/>
      <c r="E35" s="230"/>
      <c r="F35" s="230"/>
      <c r="G35" s="231"/>
      <c r="H35" s="273"/>
      <c r="I35" s="248"/>
      <c r="J35" s="248"/>
      <c r="K35" s="268"/>
      <c r="L35" s="268"/>
    </row>
    <row r="36" spans="2:15" hidden="1">
      <c r="B36" s="230" t="s">
        <v>510</v>
      </c>
      <c r="C36" s="230"/>
      <c r="E36" s="230"/>
      <c r="F36" s="230"/>
      <c r="G36" s="231"/>
      <c r="H36" s="274"/>
      <c r="K36" s="268"/>
      <c r="L36" s="268"/>
    </row>
    <row r="37" spans="2:15" hidden="1">
      <c r="B37" s="230" t="s">
        <v>511</v>
      </c>
      <c r="C37" s="230"/>
      <c r="E37" s="230"/>
      <c r="F37" s="230"/>
      <c r="G37" s="231"/>
      <c r="H37" s="275"/>
      <c r="K37" s="268"/>
      <c r="L37" s="268"/>
    </row>
    <row r="38" spans="2:15" hidden="1">
      <c r="B38" s="230" t="s">
        <v>512</v>
      </c>
      <c r="C38" s="230"/>
      <c r="E38" s="230"/>
      <c r="F38" s="230"/>
      <c r="G38" s="231"/>
      <c r="H38" s="275"/>
      <c r="K38" s="268"/>
      <c r="L38" s="268"/>
    </row>
    <row r="39" spans="2:15" hidden="1">
      <c r="B39" s="230"/>
      <c r="C39" s="230"/>
      <c r="E39" s="231"/>
      <c r="F39" s="231"/>
      <c r="G39" s="231"/>
      <c r="H39" s="262"/>
      <c r="K39" s="268"/>
      <c r="L39" s="268"/>
    </row>
    <row r="40" spans="2:15" hidden="1">
      <c r="B40" s="234" t="s">
        <v>513</v>
      </c>
      <c r="C40" s="234"/>
      <c r="D40" s="235"/>
      <c r="E40" s="235"/>
      <c r="F40" s="235"/>
      <c r="G40" s="235"/>
      <c r="H40" s="277"/>
      <c r="I40" s="249"/>
      <c r="J40" s="249"/>
      <c r="K40" s="269"/>
      <c r="L40" s="269"/>
      <c r="M40" s="249"/>
      <c r="N40" s="249"/>
      <c r="O40" s="249"/>
    </row>
    <row r="41" spans="2:15" hidden="1">
      <c r="B41" s="194"/>
      <c r="C41" s="166"/>
      <c r="D41" s="166"/>
      <c r="E41" s="166"/>
      <c r="F41" s="166"/>
      <c r="G41" s="194"/>
      <c r="H41" s="263"/>
      <c r="I41" s="250"/>
      <c r="J41" s="250"/>
      <c r="K41" s="268"/>
      <c r="L41" s="268"/>
    </row>
    <row r="42" spans="2:15" hidden="1">
      <c r="B42" s="308"/>
      <c r="C42" s="238"/>
      <c r="D42" s="237"/>
      <c r="E42" s="185"/>
      <c r="F42" s="272"/>
      <c r="G42" s="393">
        <f>+IF(F42=0,0,IF(E42="MXN",1/HLOOKUP(YEAR(D42)+(MONTH(D42)/100),TC!$5:$37,DAY(D42)+2,FALSE),VLOOKUP(E42,Equivalencia!$3:$23,((MAX(Equivalencia!$3:$3)-YEAR(D42))*14)+MONTH(D42)+2,FALSE)))</f>
        <v>0</v>
      </c>
      <c r="H42" s="271">
        <f>+G42*F42</f>
        <v>0</v>
      </c>
      <c r="I42" s="255">
        <f>H40+H42</f>
        <v>0</v>
      </c>
      <c r="J42" s="255">
        <f>+IF(H42&lt;0,0,IF(AND(H40&lt;0,I42&lt;0),0,IF(H40&lt;0,H42+H40,H42)))</f>
        <v>0</v>
      </c>
      <c r="K42" s="278"/>
      <c r="L42" s="278"/>
      <c r="M42" s="255">
        <f>IF(F42="",0,+I42+K42+L42)</f>
        <v>0</v>
      </c>
      <c r="N42" s="279"/>
      <c r="O42" s="255">
        <f>IF(M42=N42,0,IF(N42="",0,N42-M42))</f>
        <v>0</v>
      </c>
    </row>
    <row r="43" spans="2:15" hidden="1">
      <c r="B43" s="308"/>
      <c r="C43" s="239"/>
      <c r="D43" s="237"/>
      <c r="E43" s="185"/>
      <c r="F43" s="272"/>
      <c r="G43" s="393">
        <f>+IF(F43=0,0,IF(E43="MXN",1/HLOOKUP(YEAR(D43)+(MONTH(D43)/100),TC!$5:$37,DAY(D43)+2,FALSE),VLOOKUP(E43,Equivalencia!$3:$23,((MAX(Equivalencia!$3:$3)-YEAR(D43))*14)+MONTH(D43)+2,FALSE)))</f>
        <v>0</v>
      </c>
      <c r="H43" s="271">
        <f t="shared" ref="H43:H53" si="6">+G43*F43</f>
        <v>0</v>
      </c>
      <c r="I43" s="304">
        <f>IF(AND(I42&gt;0,F43&lt;0),F43,I42+H43+O42)</f>
        <v>0</v>
      </c>
      <c r="J43" s="255">
        <f t="shared" ref="J43:J53" si="7">+IF(H43&lt;0,0,IF(AND(I42&lt;0,I43&lt;0),0,IF(I42&lt;0,H43+I42,H43)))</f>
        <v>0</v>
      </c>
      <c r="K43" s="278"/>
      <c r="L43" s="278"/>
      <c r="M43" s="255">
        <f>IF(F43="",0,+M42+K43+L43+H43+O42)</f>
        <v>0</v>
      </c>
      <c r="N43" s="279"/>
      <c r="O43" s="255">
        <f t="shared" ref="O43:O53" si="8">IF(M43=N43,0,IF(N43="",0,N43-M43))</f>
        <v>0</v>
      </c>
    </row>
    <row r="44" spans="2:15" hidden="1">
      <c r="B44" s="308"/>
      <c r="C44" s="239"/>
      <c r="D44" s="237"/>
      <c r="E44" s="185"/>
      <c r="F44" s="272"/>
      <c r="G44" s="393">
        <f>+IF(F44=0,0,IF(E44="MXN",1/HLOOKUP(YEAR(D44)+(MONTH(D44)/100),TC!$5:$37,DAY(D44)+2,FALSE),VLOOKUP(E44,Equivalencia!$3:$23,((MAX(Equivalencia!$3:$3)-YEAR(D44))*14)+MONTH(D44)+2,FALSE)))</f>
        <v>0</v>
      </c>
      <c r="H44" s="271">
        <f t="shared" si="6"/>
        <v>0</v>
      </c>
      <c r="I44" s="304">
        <f t="shared" ref="I44:I53" si="9">IF(AND(I43&gt;0,F44&lt;0),F44,I43+H44+O43)</f>
        <v>0</v>
      </c>
      <c r="J44" s="255">
        <f t="shared" si="7"/>
        <v>0</v>
      </c>
      <c r="K44" s="278"/>
      <c r="L44" s="278"/>
      <c r="M44" s="255">
        <f t="shared" ref="M44:M53" si="10">IF(F44="",0,+M43+K44+L44+H44+O43)</f>
        <v>0</v>
      </c>
      <c r="N44" s="279"/>
      <c r="O44" s="255">
        <f t="shared" si="8"/>
        <v>0</v>
      </c>
    </row>
    <row r="45" spans="2:15" hidden="1">
      <c r="B45" s="308"/>
      <c r="C45" s="239"/>
      <c r="D45" s="237"/>
      <c r="E45" s="185"/>
      <c r="F45" s="272"/>
      <c r="G45" s="393">
        <f>+IF(F45=0,0,IF(E45="MXN",1/HLOOKUP(YEAR(D45)+(MONTH(D45)/100),TC!$5:$37,DAY(D45)+2,FALSE),VLOOKUP(E45,Equivalencia!$3:$23,((MAX(Equivalencia!$3:$3)-YEAR(D45))*14)+MONTH(D45)+2,FALSE)))</f>
        <v>0</v>
      </c>
      <c r="H45" s="271">
        <f t="shared" si="6"/>
        <v>0</v>
      </c>
      <c r="I45" s="304">
        <f t="shared" si="9"/>
        <v>0</v>
      </c>
      <c r="J45" s="255">
        <f t="shared" si="7"/>
        <v>0</v>
      </c>
      <c r="K45" s="278"/>
      <c r="L45" s="278"/>
      <c r="M45" s="255">
        <f t="shared" si="10"/>
        <v>0</v>
      </c>
      <c r="N45" s="279"/>
      <c r="O45" s="255">
        <f t="shared" si="8"/>
        <v>0</v>
      </c>
    </row>
    <row r="46" spans="2:15" hidden="1">
      <c r="B46" s="308"/>
      <c r="C46" s="240"/>
      <c r="D46" s="237"/>
      <c r="E46" s="185"/>
      <c r="F46" s="272"/>
      <c r="G46" s="393">
        <f>+IF(F46=0,0,IF(E46="MXN",1/HLOOKUP(YEAR(D46)+(MONTH(D46)/100),TC!$5:$37,DAY(D46)+2,FALSE),VLOOKUP(E46,Equivalencia!$3:$23,((MAX(Equivalencia!$3:$3)-YEAR(D46))*14)+MONTH(D46)+2,FALSE)))</f>
        <v>0</v>
      </c>
      <c r="H46" s="271">
        <f t="shared" si="6"/>
        <v>0</v>
      </c>
      <c r="I46" s="304">
        <f t="shared" si="9"/>
        <v>0</v>
      </c>
      <c r="J46" s="255">
        <f t="shared" si="7"/>
        <v>0</v>
      </c>
      <c r="K46" s="278"/>
      <c r="L46" s="278"/>
      <c r="M46" s="255">
        <f t="shared" si="10"/>
        <v>0</v>
      </c>
      <c r="N46" s="279"/>
      <c r="O46" s="255">
        <f t="shared" si="8"/>
        <v>0</v>
      </c>
    </row>
    <row r="47" spans="2:15" hidden="1">
      <c r="B47" s="308"/>
      <c r="C47" s="240"/>
      <c r="D47" s="237"/>
      <c r="E47" s="185"/>
      <c r="F47" s="272"/>
      <c r="G47" s="393">
        <f>+IF(F47=0,0,IF(E47="MXN",1/HLOOKUP(YEAR(D47)+(MONTH(D47)/100),TC!$5:$37,DAY(D47)+2,FALSE),VLOOKUP(E47,Equivalencia!$3:$23,((MAX(Equivalencia!$3:$3)-YEAR(D47))*14)+MONTH(D47)+2,FALSE)))</f>
        <v>0</v>
      </c>
      <c r="H47" s="271">
        <f t="shared" si="6"/>
        <v>0</v>
      </c>
      <c r="I47" s="304">
        <f t="shared" si="9"/>
        <v>0</v>
      </c>
      <c r="J47" s="255">
        <f t="shared" si="7"/>
        <v>0</v>
      </c>
      <c r="K47" s="278"/>
      <c r="L47" s="278"/>
      <c r="M47" s="255">
        <f t="shared" si="10"/>
        <v>0</v>
      </c>
      <c r="N47" s="279"/>
      <c r="O47" s="255">
        <f t="shared" si="8"/>
        <v>0</v>
      </c>
    </row>
    <row r="48" spans="2:15" hidden="1">
      <c r="B48" s="308"/>
      <c r="C48" s="240"/>
      <c r="D48" s="237"/>
      <c r="E48" s="185"/>
      <c r="F48" s="272"/>
      <c r="G48" s="393">
        <f>+IF(F48=0,0,IF(E48="MXN",1/HLOOKUP(YEAR(D48)+(MONTH(D48)/100),TC!$5:$37,DAY(D48)+2,FALSE),VLOOKUP(E48,Equivalencia!$3:$23,((MAX(Equivalencia!$3:$3)-YEAR(D48))*14)+MONTH(D48)+2,FALSE)))</f>
        <v>0</v>
      </c>
      <c r="H48" s="271">
        <f t="shared" si="6"/>
        <v>0</v>
      </c>
      <c r="I48" s="304">
        <f t="shared" si="9"/>
        <v>0</v>
      </c>
      <c r="J48" s="255">
        <f t="shared" si="7"/>
        <v>0</v>
      </c>
      <c r="K48" s="278"/>
      <c r="L48" s="278"/>
      <c r="M48" s="255">
        <f t="shared" si="10"/>
        <v>0</v>
      </c>
      <c r="N48" s="279"/>
      <c r="O48" s="255">
        <f t="shared" si="8"/>
        <v>0</v>
      </c>
    </row>
    <row r="49" spans="2:20" hidden="1">
      <c r="B49" s="308"/>
      <c r="C49" s="240"/>
      <c r="D49" s="237"/>
      <c r="E49" s="185"/>
      <c r="F49" s="272"/>
      <c r="G49" s="393">
        <f>+IF(F49=0,0,IF(E49="MXN",1/HLOOKUP(YEAR(D49)+(MONTH(D49)/100),TC!$5:$37,DAY(D49)+2,FALSE),VLOOKUP(E49,Equivalencia!$3:$23,((MAX(Equivalencia!$3:$3)-YEAR(D49))*14)+MONTH(D49)+2,FALSE)))</f>
        <v>0</v>
      </c>
      <c r="H49" s="271">
        <f t="shared" si="6"/>
        <v>0</v>
      </c>
      <c r="I49" s="304">
        <f t="shared" si="9"/>
        <v>0</v>
      </c>
      <c r="J49" s="255">
        <f t="shared" si="7"/>
        <v>0</v>
      </c>
      <c r="K49" s="278"/>
      <c r="L49" s="278"/>
      <c r="M49" s="255">
        <f t="shared" si="10"/>
        <v>0</v>
      </c>
      <c r="N49" s="279"/>
      <c r="O49" s="255">
        <f t="shared" si="8"/>
        <v>0</v>
      </c>
    </row>
    <row r="50" spans="2:20" hidden="1">
      <c r="B50" s="308"/>
      <c r="C50" s="240"/>
      <c r="D50" s="237"/>
      <c r="E50" s="185"/>
      <c r="F50" s="272"/>
      <c r="G50" s="393">
        <f>+IF(F50=0,0,IF(E50="MXN",1/HLOOKUP(YEAR(D50)+(MONTH(D50)/100),TC!$5:$37,DAY(D50)+2,FALSE),VLOOKUP(E50,Equivalencia!$3:$23,((MAX(Equivalencia!$3:$3)-YEAR(D50))*14)+MONTH(D50)+2,FALSE)))</f>
        <v>0</v>
      </c>
      <c r="H50" s="271">
        <f t="shared" si="6"/>
        <v>0</v>
      </c>
      <c r="I50" s="304">
        <f t="shared" si="9"/>
        <v>0</v>
      </c>
      <c r="J50" s="255">
        <f t="shared" si="7"/>
        <v>0</v>
      </c>
      <c r="K50" s="278"/>
      <c r="L50" s="278"/>
      <c r="M50" s="255">
        <f t="shared" si="10"/>
        <v>0</v>
      </c>
      <c r="N50" s="279"/>
      <c r="O50" s="255">
        <f t="shared" si="8"/>
        <v>0</v>
      </c>
    </row>
    <row r="51" spans="2:20" hidden="1">
      <c r="B51" s="308"/>
      <c r="C51" s="240"/>
      <c r="D51" s="237"/>
      <c r="E51" s="185"/>
      <c r="F51" s="272"/>
      <c r="G51" s="393">
        <f>+IF(F51=0,0,IF(E51="MXN",1/HLOOKUP(YEAR(D51)+(MONTH(D51)/100),TC!$5:$37,DAY(D51)+2,FALSE),VLOOKUP(E51,Equivalencia!$3:$23,((MAX(Equivalencia!$3:$3)-YEAR(D51))*14)+MONTH(D51)+2,FALSE)))</f>
        <v>0</v>
      </c>
      <c r="H51" s="271">
        <f t="shared" si="6"/>
        <v>0</v>
      </c>
      <c r="I51" s="304">
        <f t="shared" si="9"/>
        <v>0</v>
      </c>
      <c r="J51" s="255">
        <f t="shared" si="7"/>
        <v>0</v>
      </c>
      <c r="K51" s="278"/>
      <c r="L51" s="278"/>
      <c r="M51" s="255">
        <f t="shared" si="10"/>
        <v>0</v>
      </c>
      <c r="N51" s="279"/>
      <c r="O51" s="255">
        <f t="shared" si="8"/>
        <v>0</v>
      </c>
    </row>
    <row r="52" spans="2:20" hidden="1">
      <c r="B52" s="308"/>
      <c r="C52" s="240"/>
      <c r="D52" s="237"/>
      <c r="E52" s="185"/>
      <c r="F52" s="272"/>
      <c r="G52" s="393">
        <f>+IF(F52=0,0,IF(E52="MXN",1/HLOOKUP(YEAR(D52)+(MONTH(D52)/100),TC!$5:$37,DAY(D52)+2,FALSE),VLOOKUP(E52,Equivalencia!$3:$23,((MAX(Equivalencia!$3:$3)-YEAR(D52))*14)+MONTH(D52)+2,FALSE)))</f>
        <v>0</v>
      </c>
      <c r="H52" s="271">
        <f t="shared" si="6"/>
        <v>0</v>
      </c>
      <c r="I52" s="304">
        <f t="shared" si="9"/>
        <v>0</v>
      </c>
      <c r="J52" s="255">
        <f t="shared" si="7"/>
        <v>0</v>
      </c>
      <c r="K52" s="278"/>
      <c r="L52" s="278"/>
      <c r="M52" s="255">
        <f t="shared" si="10"/>
        <v>0</v>
      </c>
      <c r="N52" s="279"/>
      <c r="O52" s="255">
        <f t="shared" si="8"/>
        <v>0</v>
      </c>
    </row>
    <row r="53" spans="2:20" hidden="1">
      <c r="B53" s="309"/>
      <c r="C53" s="240"/>
      <c r="D53" s="237"/>
      <c r="E53" s="185"/>
      <c r="F53" s="272"/>
      <c r="G53" s="393">
        <f>+IF(F53=0,0,IF(E53="MXN",1/HLOOKUP(YEAR(D53)+(MONTH(D53)/100),TC!$5:$37,DAY(D53)+2,FALSE),VLOOKUP(E53,Equivalencia!$3:$23,((MAX(Equivalencia!$3:$3)-YEAR(D53))*14)+MONTH(D53)+2,FALSE)))</f>
        <v>0</v>
      </c>
      <c r="H53" s="271">
        <f t="shared" si="6"/>
        <v>0</v>
      </c>
      <c r="I53" s="304">
        <f t="shared" si="9"/>
        <v>0</v>
      </c>
      <c r="J53" s="255">
        <f t="shared" si="7"/>
        <v>0</v>
      </c>
      <c r="K53" s="278"/>
      <c r="L53" s="278"/>
      <c r="M53" s="255">
        <f t="shared" si="10"/>
        <v>0</v>
      </c>
      <c r="N53" s="279"/>
      <c r="O53" s="255">
        <f t="shared" si="8"/>
        <v>0</v>
      </c>
    </row>
    <row r="54" spans="2:20" hidden="1">
      <c r="B54" s="112"/>
      <c r="H54" s="101"/>
      <c r="K54" s="268"/>
      <c r="L54" s="268"/>
    </row>
    <row r="55" spans="2:20" hidden="1">
      <c r="B55" s="112"/>
      <c r="H55" s="264"/>
      <c r="I55" s="236"/>
      <c r="J55" s="256">
        <f>SUM(J42:J54)</f>
        <v>0</v>
      </c>
      <c r="K55" s="270"/>
      <c r="L55" s="270"/>
      <c r="M55" s="236"/>
      <c r="N55" s="236"/>
      <c r="O55" s="256">
        <f>+SUMIF(O42:O54,"&gt;0",O42:O54)</f>
        <v>0</v>
      </c>
      <c r="R55" s="256">
        <f>+J55</f>
        <v>0</v>
      </c>
      <c r="S55" s="256">
        <f>+O55</f>
        <v>0</v>
      </c>
      <c r="T55" s="256">
        <f>+R55+S55</f>
        <v>0</v>
      </c>
    </row>
    <row r="56" spans="2:20" hidden="1">
      <c r="B56" s="112"/>
      <c r="H56" s="13"/>
      <c r="K56" s="268"/>
      <c r="L56" s="268"/>
    </row>
    <row r="57" spans="2:20" hidden="1">
      <c r="H57" s="13"/>
      <c r="K57" s="268"/>
      <c r="L57" s="268"/>
      <c r="N57" s="252"/>
      <c r="O57" s="253" t="s">
        <v>515</v>
      </c>
      <c r="P57" s="257">
        <f>+O55+J55</f>
        <v>0</v>
      </c>
    </row>
    <row r="58" spans="2:20" hidden="1">
      <c r="H58" s="13"/>
      <c r="K58" s="268"/>
      <c r="L58" s="268"/>
    </row>
    <row r="59" spans="2:20" ht="17.100000000000001" hidden="1" customHeight="1">
      <c r="B59" s="232"/>
      <c r="C59" s="232"/>
      <c r="D59" s="232"/>
      <c r="E59" s="232"/>
      <c r="F59" s="232"/>
      <c r="G59" s="232"/>
      <c r="H59" s="260"/>
      <c r="I59" s="245"/>
      <c r="J59" s="245"/>
      <c r="K59" s="267"/>
      <c r="L59" s="267"/>
      <c r="M59" s="245"/>
      <c r="N59" s="245"/>
      <c r="O59" s="245"/>
    </row>
    <row r="60" spans="2:20" hidden="1">
      <c r="B60" s="229"/>
      <c r="C60" s="229"/>
      <c r="D60" s="229"/>
      <c r="E60" s="229"/>
      <c r="F60" s="229"/>
      <c r="G60" s="229"/>
      <c r="H60" s="261"/>
      <c r="I60" s="246"/>
      <c r="J60" s="246"/>
      <c r="K60" s="268"/>
      <c r="L60" s="268"/>
    </row>
    <row r="61" spans="2:20" hidden="1">
      <c r="B61" s="230" t="s">
        <v>509</v>
      </c>
      <c r="C61" s="230"/>
      <c r="E61" s="230"/>
      <c r="F61" s="230"/>
      <c r="G61" s="231"/>
      <c r="H61" s="273"/>
      <c r="I61" s="248"/>
      <c r="J61" s="248"/>
      <c r="K61" s="268"/>
      <c r="L61" s="268"/>
    </row>
    <row r="62" spans="2:20" hidden="1">
      <c r="B62" s="230" t="s">
        <v>510</v>
      </c>
      <c r="C62" s="230"/>
      <c r="E62" s="230"/>
      <c r="F62" s="230"/>
      <c r="G62" s="231"/>
      <c r="H62" s="274"/>
      <c r="K62" s="268"/>
      <c r="L62" s="268"/>
    </row>
    <row r="63" spans="2:20" hidden="1">
      <c r="B63" s="230" t="s">
        <v>511</v>
      </c>
      <c r="C63" s="230"/>
      <c r="E63" s="230"/>
      <c r="F63" s="230"/>
      <c r="G63" s="231"/>
      <c r="H63" s="275"/>
      <c r="K63" s="268"/>
      <c r="L63" s="268"/>
    </row>
    <row r="64" spans="2:20" hidden="1">
      <c r="B64" s="230" t="s">
        <v>512</v>
      </c>
      <c r="C64" s="230"/>
      <c r="E64" s="230"/>
      <c r="F64" s="230"/>
      <c r="G64" s="231"/>
      <c r="H64" s="275"/>
      <c r="K64" s="268"/>
      <c r="L64" s="268"/>
    </row>
    <row r="65" spans="2:15" hidden="1">
      <c r="B65" s="230"/>
      <c r="C65" s="230"/>
      <c r="E65" s="231"/>
      <c r="F65" s="231"/>
      <c r="G65" s="231"/>
      <c r="H65" s="262"/>
      <c r="K65" s="268"/>
      <c r="L65" s="268"/>
    </row>
    <row r="66" spans="2:15" hidden="1">
      <c r="B66" s="234" t="s">
        <v>513</v>
      </c>
      <c r="C66" s="234"/>
      <c r="D66" s="235"/>
      <c r="E66" s="235"/>
      <c r="F66" s="235"/>
      <c r="G66" s="235"/>
      <c r="H66" s="277"/>
      <c r="I66" s="249"/>
      <c r="J66" s="249"/>
      <c r="K66" s="269"/>
      <c r="L66" s="269"/>
      <c r="M66" s="249"/>
      <c r="N66" s="249"/>
      <c r="O66" s="249"/>
    </row>
    <row r="67" spans="2:15" hidden="1">
      <c r="B67" s="194"/>
      <c r="C67" s="166"/>
      <c r="D67" s="166"/>
      <c r="E67" s="166"/>
      <c r="F67" s="166"/>
      <c r="G67" s="194"/>
      <c r="H67" s="263"/>
      <c r="I67" s="250"/>
      <c r="J67" s="250"/>
      <c r="K67" s="268"/>
      <c r="L67" s="268"/>
    </row>
    <row r="68" spans="2:15" hidden="1">
      <c r="B68" s="308"/>
      <c r="C68" s="238"/>
      <c r="D68" s="237"/>
      <c r="E68" s="185"/>
      <c r="F68" s="272"/>
      <c r="G68" s="393">
        <f>+IF(F68=0,0,IF(E68="MXN",1/HLOOKUP(YEAR(D68)+(MONTH(D68)/100),TC!$5:$37,DAY(D68)+2,FALSE),VLOOKUP(E68,Equivalencia!$3:$23,((MAX(Equivalencia!$3:$3)-YEAR(D68))*14)+MONTH(D68)+2,FALSE)))</f>
        <v>0</v>
      </c>
      <c r="H68" s="271">
        <f>+G68*F68</f>
        <v>0</v>
      </c>
      <c r="I68" s="255">
        <f>H66+H68</f>
        <v>0</v>
      </c>
      <c r="J68" s="255">
        <f>+IF(H68&lt;0,0,IF(AND(H66&lt;0,I68&lt;0),0,IF(H66&lt;0,H68+H66,H68)))</f>
        <v>0</v>
      </c>
      <c r="K68" s="278"/>
      <c r="L68" s="278"/>
      <c r="M68" s="255">
        <f>IF(F68="",0,+I68+K68+L68)</f>
        <v>0</v>
      </c>
      <c r="N68" s="279"/>
      <c r="O68" s="255">
        <f>IF(M68=N68,0,IF(N68="",0,N68-M68))</f>
        <v>0</v>
      </c>
    </row>
    <row r="69" spans="2:15" hidden="1">
      <c r="B69" s="308"/>
      <c r="C69" s="239"/>
      <c r="D69" s="237"/>
      <c r="E69" s="185"/>
      <c r="F69" s="272"/>
      <c r="G69" s="393">
        <f>+IF(F69=0,0,IF(E69="MXN",1/HLOOKUP(YEAR(D69)+(MONTH(D69)/100),TC!$5:$37,DAY(D69)+2,FALSE),VLOOKUP(E69,Equivalencia!$3:$23,((MAX(Equivalencia!$3:$3)-YEAR(D69))*14)+MONTH(D69)+2,FALSE)))</f>
        <v>0</v>
      </c>
      <c r="H69" s="271">
        <f t="shared" ref="H69:H79" si="11">+G69*F69</f>
        <v>0</v>
      </c>
      <c r="I69" s="304">
        <f>IF(AND(I68&gt;0,F69&lt;0),F69,I68+H69+O68)</f>
        <v>0</v>
      </c>
      <c r="J69" s="255">
        <f t="shared" ref="J69:J79" si="12">+IF(H69&lt;0,0,IF(AND(I68&lt;0,I69&lt;0),0,IF(I68&lt;0,H69+I68,H69)))</f>
        <v>0</v>
      </c>
      <c r="K69" s="278"/>
      <c r="L69" s="278"/>
      <c r="M69" s="255">
        <f>IF(F69="",0,+M68+K69+L69+H69+O68)</f>
        <v>0</v>
      </c>
      <c r="N69" s="279"/>
      <c r="O69" s="255">
        <f t="shared" ref="O69:O79" si="13">IF(M69=N69,0,IF(N69="",0,N69-M69))</f>
        <v>0</v>
      </c>
    </row>
    <row r="70" spans="2:15" hidden="1">
      <c r="B70" s="308"/>
      <c r="C70" s="239"/>
      <c r="D70" s="237"/>
      <c r="E70" s="185"/>
      <c r="F70" s="272"/>
      <c r="G70" s="393">
        <f>+IF(F70=0,0,IF(E70="MXN",1/HLOOKUP(YEAR(D70)+(MONTH(D70)/100),TC!$5:$37,DAY(D70)+2,FALSE),VLOOKUP(E70,Equivalencia!$3:$23,((MAX(Equivalencia!$3:$3)-YEAR(D70))*14)+MONTH(D70)+2,FALSE)))</f>
        <v>0</v>
      </c>
      <c r="H70" s="271">
        <f t="shared" si="11"/>
        <v>0</v>
      </c>
      <c r="I70" s="304">
        <f t="shared" ref="I70:I79" si="14">IF(AND(I69&gt;0,F70&lt;0),F70,I69+H70+O69)</f>
        <v>0</v>
      </c>
      <c r="J70" s="255">
        <f t="shared" si="12"/>
        <v>0</v>
      </c>
      <c r="K70" s="278"/>
      <c r="L70" s="278"/>
      <c r="M70" s="255">
        <f t="shared" ref="M70:M79" si="15">IF(F70="",0,+M69+K70+L70+H70+O69)</f>
        <v>0</v>
      </c>
      <c r="N70" s="279"/>
      <c r="O70" s="255">
        <f t="shared" si="13"/>
        <v>0</v>
      </c>
    </row>
    <row r="71" spans="2:15" hidden="1">
      <c r="B71" s="308"/>
      <c r="C71" s="239"/>
      <c r="D71" s="237"/>
      <c r="E71" s="185"/>
      <c r="F71" s="272"/>
      <c r="G71" s="393">
        <f>+IF(F71=0,0,IF(E71="MXN",1/HLOOKUP(YEAR(D71)+(MONTH(D71)/100),TC!$5:$37,DAY(D71)+2,FALSE),VLOOKUP(E71,Equivalencia!$3:$23,((MAX(Equivalencia!$3:$3)-YEAR(D71))*14)+MONTH(D71)+2,FALSE)))</f>
        <v>0</v>
      </c>
      <c r="H71" s="271">
        <f t="shared" si="11"/>
        <v>0</v>
      </c>
      <c r="I71" s="304">
        <f t="shared" si="14"/>
        <v>0</v>
      </c>
      <c r="J71" s="255">
        <f t="shared" si="12"/>
        <v>0</v>
      </c>
      <c r="K71" s="278"/>
      <c r="L71" s="278"/>
      <c r="M71" s="255">
        <f t="shared" si="15"/>
        <v>0</v>
      </c>
      <c r="N71" s="279"/>
      <c r="O71" s="255">
        <f t="shared" si="13"/>
        <v>0</v>
      </c>
    </row>
    <row r="72" spans="2:15" hidden="1">
      <c r="B72" s="308"/>
      <c r="C72" s="240"/>
      <c r="D72" s="237"/>
      <c r="E72" s="185"/>
      <c r="F72" s="272"/>
      <c r="G72" s="393">
        <f>+IF(F72=0,0,IF(E72="MXN",1/HLOOKUP(YEAR(D72)+(MONTH(D72)/100),TC!$5:$37,DAY(D72)+2,FALSE),VLOOKUP(E72,Equivalencia!$3:$23,((MAX(Equivalencia!$3:$3)-YEAR(D72))*14)+MONTH(D72)+2,FALSE)))</f>
        <v>0</v>
      </c>
      <c r="H72" s="271">
        <f t="shared" si="11"/>
        <v>0</v>
      </c>
      <c r="I72" s="304">
        <f t="shared" si="14"/>
        <v>0</v>
      </c>
      <c r="J72" s="255">
        <f t="shared" si="12"/>
        <v>0</v>
      </c>
      <c r="K72" s="278"/>
      <c r="L72" s="278"/>
      <c r="M72" s="255">
        <f t="shared" si="15"/>
        <v>0</v>
      </c>
      <c r="N72" s="279"/>
      <c r="O72" s="255">
        <f t="shared" si="13"/>
        <v>0</v>
      </c>
    </row>
    <row r="73" spans="2:15" hidden="1">
      <c r="B73" s="308"/>
      <c r="C73" s="240"/>
      <c r="D73" s="237"/>
      <c r="E73" s="185"/>
      <c r="F73" s="272"/>
      <c r="G73" s="393">
        <f>+IF(F73=0,0,IF(E73="MXN",1/HLOOKUP(YEAR(D73)+(MONTH(D73)/100),TC!$5:$37,DAY(D73)+2,FALSE),VLOOKUP(E73,Equivalencia!$3:$23,((MAX(Equivalencia!$3:$3)-YEAR(D73))*14)+MONTH(D73)+2,FALSE)))</f>
        <v>0</v>
      </c>
      <c r="H73" s="271">
        <f t="shared" si="11"/>
        <v>0</v>
      </c>
      <c r="I73" s="304">
        <f t="shared" si="14"/>
        <v>0</v>
      </c>
      <c r="J73" s="255">
        <f t="shared" si="12"/>
        <v>0</v>
      </c>
      <c r="K73" s="278"/>
      <c r="L73" s="278"/>
      <c r="M73" s="255">
        <f t="shared" si="15"/>
        <v>0</v>
      </c>
      <c r="N73" s="279"/>
      <c r="O73" s="255">
        <f t="shared" si="13"/>
        <v>0</v>
      </c>
    </row>
    <row r="74" spans="2:15" hidden="1">
      <c r="B74" s="308"/>
      <c r="C74" s="240"/>
      <c r="D74" s="237"/>
      <c r="E74" s="185"/>
      <c r="F74" s="272"/>
      <c r="G74" s="393">
        <f>+IF(F74=0,0,IF(E74="MXN",1/HLOOKUP(YEAR(D74)+(MONTH(D74)/100),TC!$5:$37,DAY(D74)+2,FALSE),VLOOKUP(E74,Equivalencia!$3:$23,((MAX(Equivalencia!$3:$3)-YEAR(D74))*14)+MONTH(D74)+2,FALSE)))</f>
        <v>0</v>
      </c>
      <c r="H74" s="271">
        <f t="shared" si="11"/>
        <v>0</v>
      </c>
      <c r="I74" s="304">
        <f t="shared" si="14"/>
        <v>0</v>
      </c>
      <c r="J74" s="255">
        <f t="shared" si="12"/>
        <v>0</v>
      </c>
      <c r="K74" s="278"/>
      <c r="L74" s="278"/>
      <c r="M74" s="255">
        <f t="shared" si="15"/>
        <v>0</v>
      </c>
      <c r="N74" s="279"/>
      <c r="O74" s="255">
        <f t="shared" si="13"/>
        <v>0</v>
      </c>
    </row>
    <row r="75" spans="2:15" hidden="1">
      <c r="B75" s="308"/>
      <c r="C75" s="240"/>
      <c r="D75" s="237"/>
      <c r="E75" s="185"/>
      <c r="F75" s="272"/>
      <c r="G75" s="393">
        <f>+IF(F75=0,0,IF(E75="MXN",1/HLOOKUP(YEAR(D75)+(MONTH(D75)/100),TC!$5:$37,DAY(D75)+2,FALSE),VLOOKUP(E75,Equivalencia!$3:$23,((MAX(Equivalencia!$3:$3)-YEAR(D75))*14)+MONTH(D75)+2,FALSE)))</f>
        <v>0</v>
      </c>
      <c r="H75" s="271">
        <f t="shared" si="11"/>
        <v>0</v>
      </c>
      <c r="I75" s="304">
        <f t="shared" si="14"/>
        <v>0</v>
      </c>
      <c r="J75" s="255">
        <f t="shared" si="12"/>
        <v>0</v>
      </c>
      <c r="K75" s="278"/>
      <c r="L75" s="278"/>
      <c r="M75" s="255">
        <f t="shared" si="15"/>
        <v>0</v>
      </c>
      <c r="N75" s="279"/>
      <c r="O75" s="255">
        <f t="shared" si="13"/>
        <v>0</v>
      </c>
    </row>
    <row r="76" spans="2:15" hidden="1">
      <c r="B76" s="308"/>
      <c r="C76" s="240"/>
      <c r="D76" s="237"/>
      <c r="E76" s="185"/>
      <c r="F76" s="272"/>
      <c r="G76" s="393">
        <f>+IF(F76=0,0,IF(E76="MXN",1/HLOOKUP(YEAR(D76)+(MONTH(D76)/100),TC!$5:$37,DAY(D76)+2,FALSE),VLOOKUP(E76,Equivalencia!$3:$23,((MAX(Equivalencia!$3:$3)-YEAR(D76))*14)+MONTH(D76)+2,FALSE)))</f>
        <v>0</v>
      </c>
      <c r="H76" s="271">
        <f t="shared" si="11"/>
        <v>0</v>
      </c>
      <c r="I76" s="304">
        <f t="shared" si="14"/>
        <v>0</v>
      </c>
      <c r="J76" s="255">
        <f t="shared" si="12"/>
        <v>0</v>
      </c>
      <c r="K76" s="278"/>
      <c r="L76" s="278"/>
      <c r="M76" s="255">
        <f t="shared" si="15"/>
        <v>0</v>
      </c>
      <c r="N76" s="279"/>
      <c r="O76" s="255">
        <f t="shared" si="13"/>
        <v>0</v>
      </c>
    </row>
    <row r="77" spans="2:15" hidden="1">
      <c r="B77" s="308"/>
      <c r="C77" s="240"/>
      <c r="D77" s="237"/>
      <c r="E77" s="185"/>
      <c r="F77" s="272"/>
      <c r="G77" s="393">
        <f>+IF(F77=0,0,IF(E77="MXN",1/HLOOKUP(YEAR(D77)+(MONTH(D77)/100),TC!$5:$37,DAY(D77)+2,FALSE),VLOOKUP(E77,Equivalencia!$3:$23,((MAX(Equivalencia!$3:$3)-YEAR(D77))*14)+MONTH(D77)+2,FALSE)))</f>
        <v>0</v>
      </c>
      <c r="H77" s="271">
        <f t="shared" si="11"/>
        <v>0</v>
      </c>
      <c r="I77" s="304">
        <f t="shared" si="14"/>
        <v>0</v>
      </c>
      <c r="J77" s="255">
        <f t="shared" si="12"/>
        <v>0</v>
      </c>
      <c r="K77" s="278"/>
      <c r="L77" s="278"/>
      <c r="M77" s="255">
        <f t="shared" si="15"/>
        <v>0</v>
      </c>
      <c r="N77" s="279"/>
      <c r="O77" s="255">
        <f t="shared" si="13"/>
        <v>0</v>
      </c>
    </row>
    <row r="78" spans="2:15" hidden="1">
      <c r="B78" s="308"/>
      <c r="C78" s="240"/>
      <c r="D78" s="237"/>
      <c r="E78" s="185"/>
      <c r="F78" s="272"/>
      <c r="G78" s="393">
        <f>+IF(F78=0,0,IF(E78="MXN",1/HLOOKUP(YEAR(D78)+(MONTH(D78)/100),TC!$5:$37,DAY(D78)+2,FALSE),VLOOKUP(E78,Equivalencia!$3:$23,((MAX(Equivalencia!$3:$3)-YEAR(D78))*14)+MONTH(D78)+2,FALSE)))</f>
        <v>0</v>
      </c>
      <c r="H78" s="271">
        <f t="shared" si="11"/>
        <v>0</v>
      </c>
      <c r="I78" s="304">
        <f t="shared" si="14"/>
        <v>0</v>
      </c>
      <c r="J78" s="255">
        <f t="shared" si="12"/>
        <v>0</v>
      </c>
      <c r="K78" s="278"/>
      <c r="L78" s="278"/>
      <c r="M78" s="255">
        <f t="shared" si="15"/>
        <v>0</v>
      </c>
      <c r="N78" s="279"/>
      <c r="O78" s="255">
        <f t="shared" si="13"/>
        <v>0</v>
      </c>
    </row>
    <row r="79" spans="2:15" hidden="1">
      <c r="B79" s="309"/>
      <c r="C79" s="240"/>
      <c r="D79" s="237"/>
      <c r="E79" s="185"/>
      <c r="F79" s="272"/>
      <c r="G79" s="393">
        <f>+IF(F79=0,0,IF(E79="MXN",1/HLOOKUP(YEAR(D79)+(MONTH(D79)/100),TC!$5:$37,DAY(D79)+2,FALSE),VLOOKUP(E79,Equivalencia!$3:$23,((MAX(Equivalencia!$3:$3)-YEAR(D79))*14)+MONTH(D79)+2,FALSE)))</f>
        <v>0</v>
      </c>
      <c r="H79" s="271">
        <f t="shared" si="11"/>
        <v>0</v>
      </c>
      <c r="I79" s="304">
        <f t="shared" si="14"/>
        <v>0</v>
      </c>
      <c r="J79" s="255">
        <f t="shared" si="12"/>
        <v>0</v>
      </c>
      <c r="K79" s="278"/>
      <c r="L79" s="278"/>
      <c r="M79" s="255">
        <f t="shared" si="15"/>
        <v>0</v>
      </c>
      <c r="N79" s="279"/>
      <c r="O79" s="255">
        <f t="shared" si="13"/>
        <v>0</v>
      </c>
    </row>
    <row r="80" spans="2:15" hidden="1">
      <c r="B80" s="112"/>
      <c r="H80" s="101"/>
      <c r="K80" s="268"/>
      <c r="L80" s="268"/>
    </row>
    <row r="81" spans="2:20" hidden="1">
      <c r="B81" s="112"/>
      <c r="H81" s="264"/>
      <c r="I81" s="236"/>
      <c r="J81" s="256">
        <f>SUM(J68:J80)</f>
        <v>0</v>
      </c>
      <c r="K81" s="270"/>
      <c r="L81" s="270"/>
      <c r="M81" s="236"/>
      <c r="N81" s="236"/>
      <c r="O81" s="256">
        <f>+SUMIF(O68:O80,"&gt;0",O68:O80)</f>
        <v>0</v>
      </c>
      <c r="R81" s="256">
        <f>+J81</f>
        <v>0</v>
      </c>
      <c r="S81" s="256">
        <f>+O81</f>
        <v>0</v>
      </c>
      <c r="T81" s="256">
        <f>+R81+S81</f>
        <v>0</v>
      </c>
    </row>
    <row r="82" spans="2:20" hidden="1">
      <c r="B82" s="112"/>
      <c r="H82" s="13"/>
      <c r="K82" s="268"/>
      <c r="L82" s="268"/>
    </row>
    <row r="83" spans="2:20" hidden="1">
      <c r="H83" s="13"/>
      <c r="K83" s="268"/>
      <c r="L83" s="268"/>
      <c r="N83" s="252"/>
      <c r="O83" s="253" t="s">
        <v>515</v>
      </c>
      <c r="P83" s="257">
        <f>+O81+J81</f>
        <v>0</v>
      </c>
    </row>
    <row r="84" spans="2:20" hidden="1">
      <c r="H84" s="13"/>
      <c r="K84" s="268"/>
      <c r="L84" s="268"/>
    </row>
    <row r="85" spans="2:20" ht="17.100000000000001" hidden="1" customHeight="1">
      <c r="B85" s="232"/>
      <c r="C85" s="232"/>
      <c r="D85" s="232"/>
      <c r="E85" s="232"/>
      <c r="F85" s="232"/>
      <c r="G85" s="232"/>
      <c r="H85" s="260"/>
      <c r="I85" s="245"/>
      <c r="J85" s="245"/>
      <c r="K85" s="267"/>
      <c r="L85" s="267"/>
      <c r="M85" s="245"/>
      <c r="N85" s="245"/>
      <c r="O85" s="245"/>
    </row>
    <row r="86" spans="2:20" hidden="1">
      <c r="B86" s="229"/>
      <c r="C86" s="229"/>
      <c r="D86" s="229"/>
      <c r="E86" s="229"/>
      <c r="F86" s="229"/>
      <c r="G86" s="229"/>
      <c r="H86" s="261"/>
      <c r="I86" s="246"/>
      <c r="J86" s="246"/>
      <c r="K86" s="268"/>
      <c r="L86" s="268"/>
    </row>
    <row r="87" spans="2:20" hidden="1">
      <c r="B87" s="230" t="s">
        <v>509</v>
      </c>
      <c r="C87" s="230"/>
      <c r="E87" s="230"/>
      <c r="F87" s="230"/>
      <c r="G87" s="231"/>
      <c r="H87" s="273"/>
      <c r="I87" s="248"/>
      <c r="J87" s="248"/>
      <c r="K87" s="268"/>
      <c r="L87" s="268"/>
    </row>
    <row r="88" spans="2:20" hidden="1">
      <c r="B88" s="230" t="s">
        <v>510</v>
      </c>
      <c r="C88" s="230"/>
      <c r="E88" s="230"/>
      <c r="F88" s="230"/>
      <c r="G88" s="231"/>
      <c r="H88" s="274"/>
      <c r="K88" s="268"/>
      <c r="L88" s="268"/>
    </row>
    <row r="89" spans="2:20" hidden="1">
      <c r="B89" s="230" t="s">
        <v>511</v>
      </c>
      <c r="C89" s="230"/>
      <c r="E89" s="230"/>
      <c r="F89" s="230"/>
      <c r="G89" s="231"/>
      <c r="H89" s="275"/>
      <c r="K89" s="268"/>
      <c r="L89" s="268"/>
    </row>
    <row r="90" spans="2:20" hidden="1">
      <c r="B90" s="230" t="s">
        <v>512</v>
      </c>
      <c r="C90" s="230"/>
      <c r="E90" s="230"/>
      <c r="F90" s="230"/>
      <c r="G90" s="231"/>
      <c r="H90" s="275"/>
      <c r="K90" s="268"/>
      <c r="L90" s="268"/>
    </row>
    <row r="91" spans="2:20" hidden="1">
      <c r="B91" s="230"/>
      <c r="C91" s="230"/>
      <c r="E91" s="231"/>
      <c r="F91" s="231"/>
      <c r="G91" s="231"/>
      <c r="H91" s="262"/>
      <c r="K91" s="268"/>
      <c r="L91" s="268"/>
    </row>
    <row r="92" spans="2:20" hidden="1">
      <c r="B92" s="234" t="s">
        <v>513</v>
      </c>
      <c r="C92" s="234"/>
      <c r="D92" s="235"/>
      <c r="E92" s="235"/>
      <c r="F92" s="235"/>
      <c r="G92" s="235"/>
      <c r="H92" s="277"/>
      <c r="I92" s="249"/>
      <c r="J92" s="249"/>
      <c r="K92" s="269"/>
      <c r="L92" s="269"/>
      <c r="M92" s="249"/>
      <c r="N92" s="249"/>
      <c r="O92" s="249"/>
    </row>
    <row r="93" spans="2:20" hidden="1">
      <c r="B93" s="194"/>
      <c r="C93" s="166"/>
      <c r="D93" s="166"/>
      <c r="E93" s="166"/>
      <c r="F93" s="166"/>
      <c r="G93" s="194"/>
      <c r="H93" s="263"/>
      <c r="I93" s="250"/>
      <c r="J93" s="250"/>
      <c r="K93" s="268"/>
      <c r="L93" s="268"/>
    </row>
    <row r="94" spans="2:20" hidden="1">
      <c r="B94" s="308"/>
      <c r="C94" s="238"/>
      <c r="D94" s="237"/>
      <c r="E94" s="185"/>
      <c r="F94" s="272"/>
      <c r="G94" s="393">
        <f>+IF(F94=0,0,IF(E94="MXN",1/HLOOKUP(YEAR(D94)+(MONTH(D94)/100),TC!$5:$37,DAY(D94)+2,FALSE),VLOOKUP(E94,Equivalencia!$3:$23,((MAX(Equivalencia!$3:$3)-YEAR(D94))*14)+MONTH(D94)+2,FALSE)))</f>
        <v>0</v>
      </c>
      <c r="H94" s="271">
        <f>+G94*F94</f>
        <v>0</v>
      </c>
      <c r="I94" s="255">
        <f>H92+H94</f>
        <v>0</v>
      </c>
      <c r="J94" s="255">
        <f>+IF(H94&lt;0,0,IF(AND(H92&lt;0,I94&lt;0),0,IF(H92&lt;0,H94+H92,H94)))</f>
        <v>0</v>
      </c>
      <c r="K94" s="278"/>
      <c r="L94" s="278"/>
      <c r="M94" s="255">
        <f>IF(F94="",0,+I94+K94+L94)</f>
        <v>0</v>
      </c>
      <c r="N94" s="279"/>
      <c r="O94" s="255">
        <f>IF(M94=N94,0,IF(N94="",0,N94-M94))</f>
        <v>0</v>
      </c>
    </row>
    <row r="95" spans="2:20" hidden="1">
      <c r="B95" s="308"/>
      <c r="C95" s="239"/>
      <c r="D95" s="237"/>
      <c r="E95" s="185"/>
      <c r="F95" s="272"/>
      <c r="G95" s="393">
        <f>+IF(F95=0,0,IF(E95="MXN",1/HLOOKUP(YEAR(D95)+(MONTH(D95)/100),TC!$5:$37,DAY(D95)+2,FALSE),VLOOKUP(E95,Equivalencia!$3:$23,((MAX(Equivalencia!$3:$3)-YEAR(D95))*14)+MONTH(D95)+2,FALSE)))</f>
        <v>0</v>
      </c>
      <c r="H95" s="271">
        <f t="shared" ref="H95:H105" si="16">+G95*F95</f>
        <v>0</v>
      </c>
      <c r="I95" s="304">
        <f>IF(AND(I94&gt;0,F95&lt;0),F95,I94+H95+O94)</f>
        <v>0</v>
      </c>
      <c r="J95" s="255">
        <f t="shared" ref="J95:J105" si="17">+IF(H95&lt;0,0,IF(AND(I94&lt;0,I95&lt;0),0,IF(I94&lt;0,H95+I94,H95)))</f>
        <v>0</v>
      </c>
      <c r="K95" s="278"/>
      <c r="L95" s="278"/>
      <c r="M95" s="255">
        <f>IF(F95="",0,+M94+K95+L95+H95+O94)</f>
        <v>0</v>
      </c>
      <c r="N95" s="279"/>
      <c r="O95" s="255">
        <f t="shared" ref="O95:O105" si="18">IF(M95=N95,0,IF(N95="",0,N95-M95))</f>
        <v>0</v>
      </c>
    </row>
    <row r="96" spans="2:20" hidden="1">
      <c r="B96" s="308"/>
      <c r="C96" s="239"/>
      <c r="D96" s="237"/>
      <c r="E96" s="185"/>
      <c r="F96" s="272"/>
      <c r="G96" s="393">
        <f>+IF(F96=0,0,IF(E96="MXN",1/HLOOKUP(YEAR(D96)+(MONTH(D96)/100),TC!$5:$37,DAY(D96)+2,FALSE),VLOOKUP(E96,Equivalencia!$3:$23,((MAX(Equivalencia!$3:$3)-YEAR(D96))*14)+MONTH(D96)+2,FALSE)))</f>
        <v>0</v>
      </c>
      <c r="H96" s="271">
        <f t="shared" si="16"/>
        <v>0</v>
      </c>
      <c r="I96" s="304">
        <f t="shared" ref="I96:I105" si="19">IF(AND(I95&gt;0,F96&lt;0),F96,I95+H96+O95)</f>
        <v>0</v>
      </c>
      <c r="J96" s="255">
        <f t="shared" si="17"/>
        <v>0</v>
      </c>
      <c r="K96" s="278"/>
      <c r="L96" s="278"/>
      <c r="M96" s="255">
        <f t="shared" ref="M96:M105" si="20">IF(F96="",0,+M95+K96+L96+H96+O95)</f>
        <v>0</v>
      </c>
      <c r="N96" s="279"/>
      <c r="O96" s="255">
        <f t="shared" si="18"/>
        <v>0</v>
      </c>
    </row>
    <row r="97" spans="2:20" hidden="1">
      <c r="B97" s="308"/>
      <c r="C97" s="239"/>
      <c r="D97" s="237"/>
      <c r="E97" s="185"/>
      <c r="F97" s="272"/>
      <c r="G97" s="393">
        <f>+IF(F97=0,0,IF(E97="MXN",1/HLOOKUP(YEAR(D97)+(MONTH(D97)/100),TC!$5:$37,DAY(D97)+2,FALSE),VLOOKUP(E97,Equivalencia!$3:$23,((MAX(Equivalencia!$3:$3)-YEAR(D97))*14)+MONTH(D97)+2,FALSE)))</f>
        <v>0</v>
      </c>
      <c r="H97" s="271">
        <f t="shared" si="16"/>
        <v>0</v>
      </c>
      <c r="I97" s="304">
        <f t="shared" si="19"/>
        <v>0</v>
      </c>
      <c r="J97" s="255">
        <f t="shared" si="17"/>
        <v>0</v>
      </c>
      <c r="K97" s="278"/>
      <c r="L97" s="278"/>
      <c r="M97" s="255">
        <f t="shared" si="20"/>
        <v>0</v>
      </c>
      <c r="N97" s="279"/>
      <c r="O97" s="255">
        <f t="shared" si="18"/>
        <v>0</v>
      </c>
    </row>
    <row r="98" spans="2:20" hidden="1">
      <c r="B98" s="308"/>
      <c r="C98" s="240"/>
      <c r="D98" s="237"/>
      <c r="E98" s="185"/>
      <c r="F98" s="272"/>
      <c r="G98" s="393">
        <f>+IF(F98=0,0,IF(E98="MXN",1/HLOOKUP(YEAR(D98)+(MONTH(D98)/100),TC!$5:$37,DAY(D98)+2,FALSE),VLOOKUP(E98,Equivalencia!$3:$23,((MAX(Equivalencia!$3:$3)-YEAR(D98))*14)+MONTH(D98)+2,FALSE)))</f>
        <v>0</v>
      </c>
      <c r="H98" s="271">
        <f t="shared" si="16"/>
        <v>0</v>
      </c>
      <c r="I98" s="304">
        <f t="shared" si="19"/>
        <v>0</v>
      </c>
      <c r="J98" s="255">
        <f t="shared" si="17"/>
        <v>0</v>
      </c>
      <c r="K98" s="278"/>
      <c r="L98" s="278"/>
      <c r="M98" s="255">
        <f t="shared" si="20"/>
        <v>0</v>
      </c>
      <c r="N98" s="279"/>
      <c r="O98" s="255">
        <f t="shared" si="18"/>
        <v>0</v>
      </c>
    </row>
    <row r="99" spans="2:20" hidden="1">
      <c r="B99" s="308"/>
      <c r="C99" s="240"/>
      <c r="D99" s="237"/>
      <c r="E99" s="185"/>
      <c r="F99" s="272"/>
      <c r="G99" s="393">
        <f>+IF(F99=0,0,IF(E99="MXN",1/HLOOKUP(YEAR(D99)+(MONTH(D99)/100),TC!$5:$37,DAY(D99)+2,FALSE),VLOOKUP(E99,Equivalencia!$3:$23,((MAX(Equivalencia!$3:$3)-YEAR(D99))*14)+MONTH(D99)+2,FALSE)))</f>
        <v>0</v>
      </c>
      <c r="H99" s="271">
        <f t="shared" si="16"/>
        <v>0</v>
      </c>
      <c r="I99" s="304">
        <f t="shared" si="19"/>
        <v>0</v>
      </c>
      <c r="J99" s="255">
        <f t="shared" si="17"/>
        <v>0</v>
      </c>
      <c r="K99" s="278"/>
      <c r="L99" s="278"/>
      <c r="M99" s="255">
        <f t="shared" si="20"/>
        <v>0</v>
      </c>
      <c r="N99" s="279"/>
      <c r="O99" s="255">
        <f t="shared" si="18"/>
        <v>0</v>
      </c>
    </row>
    <row r="100" spans="2:20" hidden="1">
      <c r="B100" s="308"/>
      <c r="C100" s="240"/>
      <c r="D100" s="237"/>
      <c r="E100" s="185"/>
      <c r="F100" s="272"/>
      <c r="G100" s="393">
        <f>+IF(F100=0,0,IF(E100="MXN",1/HLOOKUP(YEAR(D100)+(MONTH(D100)/100),TC!$5:$37,DAY(D100)+2,FALSE),VLOOKUP(E100,Equivalencia!$3:$23,((MAX(Equivalencia!$3:$3)-YEAR(D100))*14)+MONTH(D100)+2,FALSE)))</f>
        <v>0</v>
      </c>
      <c r="H100" s="271">
        <f t="shared" si="16"/>
        <v>0</v>
      </c>
      <c r="I100" s="304">
        <f t="shared" si="19"/>
        <v>0</v>
      </c>
      <c r="J100" s="255">
        <f t="shared" si="17"/>
        <v>0</v>
      </c>
      <c r="K100" s="278"/>
      <c r="L100" s="278"/>
      <c r="M100" s="255">
        <f t="shared" si="20"/>
        <v>0</v>
      </c>
      <c r="N100" s="279"/>
      <c r="O100" s="255">
        <f t="shared" si="18"/>
        <v>0</v>
      </c>
    </row>
    <row r="101" spans="2:20" hidden="1">
      <c r="B101" s="308"/>
      <c r="C101" s="240"/>
      <c r="D101" s="237"/>
      <c r="E101" s="185"/>
      <c r="F101" s="272"/>
      <c r="G101" s="393">
        <f>+IF(F101=0,0,IF(E101="MXN",1/HLOOKUP(YEAR(D101)+(MONTH(D101)/100),TC!$5:$37,DAY(D101)+2,FALSE),VLOOKUP(E101,Equivalencia!$3:$23,((MAX(Equivalencia!$3:$3)-YEAR(D101))*14)+MONTH(D101)+2,FALSE)))</f>
        <v>0</v>
      </c>
      <c r="H101" s="271">
        <f t="shared" si="16"/>
        <v>0</v>
      </c>
      <c r="I101" s="304">
        <f t="shared" si="19"/>
        <v>0</v>
      </c>
      <c r="J101" s="255">
        <f t="shared" si="17"/>
        <v>0</v>
      </c>
      <c r="K101" s="278"/>
      <c r="L101" s="278"/>
      <c r="M101" s="255">
        <f t="shared" si="20"/>
        <v>0</v>
      </c>
      <c r="N101" s="279"/>
      <c r="O101" s="255">
        <f t="shared" si="18"/>
        <v>0</v>
      </c>
    </row>
    <row r="102" spans="2:20" hidden="1">
      <c r="B102" s="308"/>
      <c r="C102" s="240"/>
      <c r="D102" s="237"/>
      <c r="E102" s="185"/>
      <c r="F102" s="272"/>
      <c r="G102" s="393">
        <f>+IF(F102=0,0,IF(E102="MXN",1/HLOOKUP(YEAR(D102)+(MONTH(D102)/100),TC!$5:$37,DAY(D102)+2,FALSE),VLOOKUP(E102,Equivalencia!$3:$23,((MAX(Equivalencia!$3:$3)-YEAR(D102))*14)+MONTH(D102)+2,FALSE)))</f>
        <v>0</v>
      </c>
      <c r="H102" s="271">
        <f t="shared" si="16"/>
        <v>0</v>
      </c>
      <c r="I102" s="304">
        <f t="shared" si="19"/>
        <v>0</v>
      </c>
      <c r="J102" s="255">
        <f t="shared" si="17"/>
        <v>0</v>
      </c>
      <c r="K102" s="278"/>
      <c r="L102" s="278"/>
      <c r="M102" s="255">
        <f t="shared" si="20"/>
        <v>0</v>
      </c>
      <c r="N102" s="279"/>
      <c r="O102" s="255">
        <f t="shared" si="18"/>
        <v>0</v>
      </c>
    </row>
    <row r="103" spans="2:20" hidden="1">
      <c r="B103" s="308"/>
      <c r="C103" s="240"/>
      <c r="D103" s="237"/>
      <c r="E103" s="185"/>
      <c r="F103" s="272"/>
      <c r="G103" s="393">
        <f>+IF(F103=0,0,IF(E103="MXN",1/HLOOKUP(YEAR(D103)+(MONTH(D103)/100),TC!$5:$37,DAY(D103)+2,FALSE),VLOOKUP(E103,Equivalencia!$3:$23,((MAX(Equivalencia!$3:$3)-YEAR(D103))*14)+MONTH(D103)+2,FALSE)))</f>
        <v>0</v>
      </c>
      <c r="H103" s="271">
        <f t="shared" si="16"/>
        <v>0</v>
      </c>
      <c r="I103" s="304">
        <f t="shared" si="19"/>
        <v>0</v>
      </c>
      <c r="J103" s="255">
        <f t="shared" si="17"/>
        <v>0</v>
      </c>
      <c r="K103" s="278"/>
      <c r="L103" s="278"/>
      <c r="M103" s="255">
        <f t="shared" si="20"/>
        <v>0</v>
      </c>
      <c r="N103" s="279"/>
      <c r="O103" s="255">
        <f t="shared" si="18"/>
        <v>0</v>
      </c>
    </row>
    <row r="104" spans="2:20" hidden="1">
      <c r="B104" s="308"/>
      <c r="C104" s="240"/>
      <c r="D104" s="237"/>
      <c r="E104" s="185"/>
      <c r="F104" s="272"/>
      <c r="G104" s="393">
        <f>+IF(F104=0,0,IF(E104="MXN",1/HLOOKUP(YEAR(D104)+(MONTH(D104)/100),TC!$5:$37,DAY(D104)+2,FALSE),VLOOKUP(E104,Equivalencia!$3:$23,((MAX(Equivalencia!$3:$3)-YEAR(D104))*14)+MONTH(D104)+2,FALSE)))</f>
        <v>0</v>
      </c>
      <c r="H104" s="271">
        <f t="shared" si="16"/>
        <v>0</v>
      </c>
      <c r="I104" s="304">
        <f t="shared" si="19"/>
        <v>0</v>
      </c>
      <c r="J104" s="255">
        <f t="shared" si="17"/>
        <v>0</v>
      </c>
      <c r="K104" s="278"/>
      <c r="L104" s="278"/>
      <c r="M104" s="255">
        <f t="shared" si="20"/>
        <v>0</v>
      </c>
      <c r="N104" s="279"/>
      <c r="O104" s="255">
        <f t="shared" si="18"/>
        <v>0</v>
      </c>
    </row>
    <row r="105" spans="2:20" hidden="1">
      <c r="B105" s="309"/>
      <c r="C105" s="240"/>
      <c r="D105" s="237"/>
      <c r="E105" s="185"/>
      <c r="F105" s="272"/>
      <c r="G105" s="393">
        <f>+IF(F105=0,0,IF(E105="MXN",1/HLOOKUP(YEAR(D105)+(MONTH(D105)/100),TC!$5:$37,DAY(D105)+2,FALSE),VLOOKUP(E105,Equivalencia!$3:$23,((MAX(Equivalencia!$3:$3)-YEAR(D105))*14)+MONTH(D105)+2,FALSE)))</f>
        <v>0</v>
      </c>
      <c r="H105" s="271">
        <f t="shared" si="16"/>
        <v>0</v>
      </c>
      <c r="I105" s="304">
        <f t="shared" si="19"/>
        <v>0</v>
      </c>
      <c r="J105" s="255">
        <f t="shared" si="17"/>
        <v>0</v>
      </c>
      <c r="K105" s="278"/>
      <c r="L105" s="278"/>
      <c r="M105" s="255">
        <f t="shared" si="20"/>
        <v>0</v>
      </c>
      <c r="N105" s="279"/>
      <c r="O105" s="255">
        <f t="shared" si="18"/>
        <v>0</v>
      </c>
    </row>
    <row r="106" spans="2:20" hidden="1">
      <c r="B106" s="112"/>
      <c r="H106" s="101"/>
      <c r="K106" s="268"/>
      <c r="L106" s="268"/>
    </row>
    <row r="107" spans="2:20" hidden="1">
      <c r="B107" s="112"/>
      <c r="H107" s="264"/>
      <c r="I107" s="236"/>
      <c r="J107" s="256">
        <f>SUM(J94:J106)</f>
        <v>0</v>
      </c>
      <c r="K107" s="270"/>
      <c r="L107" s="270"/>
      <c r="M107" s="236"/>
      <c r="N107" s="236"/>
      <c r="O107" s="256">
        <f>+SUMIF(O94:O106,"&gt;0",O94:O106)</f>
        <v>0</v>
      </c>
      <c r="R107" s="256">
        <f>+J107</f>
        <v>0</v>
      </c>
      <c r="S107" s="256">
        <f>+O107</f>
        <v>0</v>
      </c>
      <c r="T107" s="256">
        <f>+R107+S107</f>
        <v>0</v>
      </c>
    </row>
    <row r="108" spans="2:20" hidden="1">
      <c r="B108" s="112"/>
      <c r="H108" s="13"/>
      <c r="K108" s="268"/>
      <c r="L108" s="268"/>
    </row>
    <row r="109" spans="2:20" hidden="1">
      <c r="H109" s="13"/>
      <c r="K109" s="268"/>
      <c r="L109" s="268"/>
      <c r="N109" s="252"/>
      <c r="O109" s="253" t="s">
        <v>515</v>
      </c>
      <c r="P109" s="257">
        <f>+O107+J107</f>
        <v>0</v>
      </c>
    </row>
    <row r="110" spans="2:20" hidden="1">
      <c r="H110" s="13"/>
      <c r="K110" s="268"/>
      <c r="L110" s="268"/>
    </row>
    <row r="111" spans="2:20" ht="17.100000000000001" hidden="1" customHeight="1">
      <c r="B111" s="232"/>
      <c r="C111" s="232"/>
      <c r="D111" s="232"/>
      <c r="E111" s="232"/>
      <c r="F111" s="232"/>
      <c r="G111" s="232"/>
      <c r="H111" s="260"/>
      <c r="I111" s="245"/>
      <c r="J111" s="245"/>
      <c r="K111" s="267"/>
      <c r="L111" s="267"/>
      <c r="M111" s="245"/>
      <c r="N111" s="245"/>
      <c r="O111" s="245"/>
    </row>
    <row r="112" spans="2:20" hidden="1">
      <c r="B112" s="229"/>
      <c r="C112" s="229"/>
      <c r="D112" s="229"/>
      <c r="E112" s="229"/>
      <c r="F112" s="229"/>
      <c r="G112" s="229"/>
      <c r="H112" s="261"/>
      <c r="I112" s="246"/>
      <c r="J112" s="246"/>
      <c r="K112" s="268"/>
      <c r="L112" s="268"/>
    </row>
    <row r="113" spans="2:15" hidden="1">
      <c r="B113" s="230" t="s">
        <v>509</v>
      </c>
      <c r="C113" s="230"/>
      <c r="E113" s="230"/>
      <c r="F113" s="230"/>
      <c r="G113" s="231"/>
      <c r="H113" s="273"/>
      <c r="I113" s="248"/>
      <c r="J113" s="248"/>
      <c r="K113" s="268"/>
      <c r="L113" s="268"/>
    </row>
    <row r="114" spans="2:15" hidden="1">
      <c r="B114" s="230" t="s">
        <v>510</v>
      </c>
      <c r="C114" s="230"/>
      <c r="E114" s="230"/>
      <c r="F114" s="230"/>
      <c r="G114" s="231"/>
      <c r="H114" s="274"/>
      <c r="K114" s="268"/>
      <c r="L114" s="268"/>
    </row>
    <row r="115" spans="2:15" hidden="1">
      <c r="B115" s="230" t="s">
        <v>511</v>
      </c>
      <c r="C115" s="230"/>
      <c r="E115" s="230"/>
      <c r="F115" s="230"/>
      <c r="G115" s="231"/>
      <c r="H115" s="275"/>
      <c r="K115" s="268"/>
      <c r="L115" s="268"/>
    </row>
    <row r="116" spans="2:15" hidden="1">
      <c r="B116" s="230" t="s">
        <v>512</v>
      </c>
      <c r="C116" s="230"/>
      <c r="E116" s="230"/>
      <c r="F116" s="230"/>
      <c r="G116" s="231"/>
      <c r="H116" s="275"/>
      <c r="K116" s="268"/>
      <c r="L116" s="268"/>
    </row>
    <row r="117" spans="2:15" hidden="1">
      <c r="B117" s="230"/>
      <c r="C117" s="230"/>
      <c r="E117" s="231"/>
      <c r="F117" s="231"/>
      <c r="G117" s="231"/>
      <c r="H117" s="262"/>
      <c r="K117" s="268"/>
      <c r="L117" s="268"/>
    </row>
    <row r="118" spans="2:15" hidden="1">
      <c r="B118" s="234" t="s">
        <v>513</v>
      </c>
      <c r="C118" s="234"/>
      <c r="D118" s="235"/>
      <c r="E118" s="235"/>
      <c r="F118" s="235"/>
      <c r="G118" s="235"/>
      <c r="H118" s="277"/>
      <c r="I118" s="249"/>
      <c r="J118" s="249"/>
      <c r="K118" s="269"/>
      <c r="L118" s="269"/>
      <c r="M118" s="249"/>
      <c r="N118" s="249"/>
      <c r="O118" s="249"/>
    </row>
    <row r="119" spans="2:15" hidden="1">
      <c r="B119" s="194"/>
      <c r="C119" s="166"/>
      <c r="D119" s="166"/>
      <c r="E119" s="166"/>
      <c r="F119" s="166"/>
      <c r="G119" s="194"/>
      <c r="H119" s="263"/>
      <c r="I119" s="250"/>
      <c r="J119" s="250"/>
      <c r="K119" s="268"/>
      <c r="L119" s="268"/>
    </row>
    <row r="120" spans="2:15" hidden="1">
      <c r="B120" s="308"/>
      <c r="C120" s="238"/>
      <c r="D120" s="237"/>
      <c r="E120" s="185"/>
      <c r="F120" s="272"/>
      <c r="G120" s="393">
        <f>+IF(F120=0,0,IF(E120="MXN",1/HLOOKUP(YEAR(D120)+(MONTH(D120)/100),TC!$5:$37,DAY(D120)+2,FALSE),VLOOKUP(E120,Equivalencia!$3:$23,((MAX(Equivalencia!$3:$3)-YEAR(D120))*14)+MONTH(D120)+2,FALSE)))</f>
        <v>0</v>
      </c>
      <c r="H120" s="271">
        <f>+G120*F120</f>
        <v>0</v>
      </c>
      <c r="I120" s="255">
        <f>H118+H120</f>
        <v>0</v>
      </c>
      <c r="J120" s="255">
        <f>+IF(H120&lt;0,0,IF(AND(H118&lt;0,I120&lt;0),0,IF(H118&lt;0,H120+H118,H120)))</f>
        <v>0</v>
      </c>
      <c r="K120" s="278"/>
      <c r="L120" s="278"/>
      <c r="M120" s="255">
        <f>IF(F120="",0,+I120+K120+L120)</f>
        <v>0</v>
      </c>
      <c r="N120" s="279"/>
      <c r="O120" s="255">
        <f>IF(M120=N120,0,IF(N120="",0,N120-M120))</f>
        <v>0</v>
      </c>
    </row>
    <row r="121" spans="2:15" hidden="1">
      <c r="B121" s="308"/>
      <c r="C121" s="239"/>
      <c r="D121" s="237"/>
      <c r="E121" s="185"/>
      <c r="F121" s="272"/>
      <c r="G121" s="393">
        <f>+IF(F121=0,0,IF(E121="MXN",1/HLOOKUP(YEAR(D121)+(MONTH(D121)/100),TC!$5:$37,DAY(D121)+2,FALSE),VLOOKUP(E121,Equivalencia!$3:$23,((MAX(Equivalencia!$3:$3)-YEAR(D121))*14)+MONTH(D121)+2,FALSE)))</f>
        <v>0</v>
      </c>
      <c r="H121" s="271">
        <f t="shared" ref="H121:H131" si="21">+G121*F121</f>
        <v>0</v>
      </c>
      <c r="I121" s="304">
        <f>IF(AND(I120&gt;0,F121&lt;0),F121,I120+H121+O120)</f>
        <v>0</v>
      </c>
      <c r="J121" s="255">
        <f t="shared" ref="J121:J131" si="22">+IF(H121&lt;0,0,IF(AND(I120&lt;0,I121&lt;0),0,IF(I120&lt;0,H121+I120,H121)))</f>
        <v>0</v>
      </c>
      <c r="K121" s="278"/>
      <c r="L121" s="278"/>
      <c r="M121" s="255">
        <f>IF(F121="",0,+M120+K121+L121+H121+O120)</f>
        <v>0</v>
      </c>
      <c r="N121" s="279"/>
      <c r="O121" s="255">
        <f t="shared" ref="O121:O131" si="23">IF(M121=N121,0,IF(N121="",0,N121-M121))</f>
        <v>0</v>
      </c>
    </row>
    <row r="122" spans="2:15" hidden="1">
      <c r="B122" s="308"/>
      <c r="C122" s="239"/>
      <c r="D122" s="237"/>
      <c r="E122" s="185"/>
      <c r="F122" s="272"/>
      <c r="G122" s="393">
        <f>+IF(F122=0,0,IF(E122="MXN",1/HLOOKUP(YEAR(D122)+(MONTH(D122)/100),TC!$5:$37,DAY(D122)+2,FALSE),VLOOKUP(E122,Equivalencia!$3:$23,((MAX(Equivalencia!$3:$3)-YEAR(D122))*14)+MONTH(D122)+2,FALSE)))</f>
        <v>0</v>
      </c>
      <c r="H122" s="271">
        <f t="shared" si="21"/>
        <v>0</v>
      </c>
      <c r="I122" s="304">
        <f t="shared" ref="I122:I131" si="24">IF(AND(I121&gt;0,F122&lt;0),F122,I121+H122+O121)</f>
        <v>0</v>
      </c>
      <c r="J122" s="255">
        <f t="shared" si="22"/>
        <v>0</v>
      </c>
      <c r="K122" s="278"/>
      <c r="L122" s="278"/>
      <c r="M122" s="255">
        <f t="shared" ref="M122:M131" si="25">IF(F122="",0,+M121+K122+L122+H122+O121)</f>
        <v>0</v>
      </c>
      <c r="N122" s="279"/>
      <c r="O122" s="255">
        <f t="shared" si="23"/>
        <v>0</v>
      </c>
    </row>
    <row r="123" spans="2:15" hidden="1">
      <c r="B123" s="308"/>
      <c r="C123" s="239"/>
      <c r="D123" s="237"/>
      <c r="E123" s="185"/>
      <c r="F123" s="272"/>
      <c r="G123" s="393">
        <f>+IF(F123=0,0,IF(E123="MXN",1/HLOOKUP(YEAR(D123)+(MONTH(D123)/100),TC!$5:$37,DAY(D123)+2,FALSE),VLOOKUP(E123,Equivalencia!$3:$23,((MAX(Equivalencia!$3:$3)-YEAR(D123))*14)+MONTH(D123)+2,FALSE)))</f>
        <v>0</v>
      </c>
      <c r="H123" s="271">
        <f t="shared" si="21"/>
        <v>0</v>
      </c>
      <c r="I123" s="304">
        <f t="shared" si="24"/>
        <v>0</v>
      </c>
      <c r="J123" s="255">
        <f t="shared" si="22"/>
        <v>0</v>
      </c>
      <c r="K123" s="278"/>
      <c r="L123" s="278"/>
      <c r="M123" s="255">
        <f t="shared" si="25"/>
        <v>0</v>
      </c>
      <c r="N123" s="279"/>
      <c r="O123" s="255">
        <f t="shared" si="23"/>
        <v>0</v>
      </c>
    </row>
    <row r="124" spans="2:15" hidden="1">
      <c r="B124" s="308"/>
      <c r="C124" s="240"/>
      <c r="D124" s="237"/>
      <c r="E124" s="185"/>
      <c r="F124" s="272"/>
      <c r="G124" s="393">
        <f>+IF(F124=0,0,IF(E124="MXN",1/HLOOKUP(YEAR(D124)+(MONTH(D124)/100),TC!$5:$37,DAY(D124)+2,FALSE),VLOOKUP(E124,Equivalencia!$3:$23,((MAX(Equivalencia!$3:$3)-YEAR(D124))*14)+MONTH(D124)+2,FALSE)))</f>
        <v>0</v>
      </c>
      <c r="H124" s="271">
        <f t="shared" si="21"/>
        <v>0</v>
      </c>
      <c r="I124" s="304">
        <f t="shared" si="24"/>
        <v>0</v>
      </c>
      <c r="J124" s="255">
        <f t="shared" si="22"/>
        <v>0</v>
      </c>
      <c r="K124" s="278"/>
      <c r="L124" s="278"/>
      <c r="M124" s="255">
        <f t="shared" si="25"/>
        <v>0</v>
      </c>
      <c r="N124" s="279"/>
      <c r="O124" s="255">
        <f t="shared" si="23"/>
        <v>0</v>
      </c>
    </row>
    <row r="125" spans="2:15" hidden="1">
      <c r="B125" s="308"/>
      <c r="C125" s="240"/>
      <c r="D125" s="237"/>
      <c r="E125" s="185"/>
      <c r="F125" s="272"/>
      <c r="G125" s="393">
        <f>+IF(F125=0,0,IF(E125="MXN",1/HLOOKUP(YEAR(D125)+(MONTH(D125)/100),TC!$5:$37,DAY(D125)+2,FALSE),VLOOKUP(E125,Equivalencia!$3:$23,((MAX(Equivalencia!$3:$3)-YEAR(D125))*14)+MONTH(D125)+2,FALSE)))</f>
        <v>0</v>
      </c>
      <c r="H125" s="271">
        <f t="shared" si="21"/>
        <v>0</v>
      </c>
      <c r="I125" s="304">
        <f t="shared" si="24"/>
        <v>0</v>
      </c>
      <c r="J125" s="255">
        <f t="shared" si="22"/>
        <v>0</v>
      </c>
      <c r="K125" s="278"/>
      <c r="L125" s="278"/>
      <c r="M125" s="255">
        <f t="shared" si="25"/>
        <v>0</v>
      </c>
      <c r="N125" s="279"/>
      <c r="O125" s="255">
        <f t="shared" si="23"/>
        <v>0</v>
      </c>
    </row>
    <row r="126" spans="2:15" hidden="1">
      <c r="B126" s="308"/>
      <c r="C126" s="240"/>
      <c r="D126" s="237"/>
      <c r="E126" s="185"/>
      <c r="F126" s="272"/>
      <c r="G126" s="393">
        <f>+IF(F126=0,0,IF(E126="MXN",1/HLOOKUP(YEAR(D126)+(MONTH(D126)/100),TC!$5:$37,DAY(D126)+2,FALSE),VLOOKUP(E126,Equivalencia!$3:$23,((MAX(Equivalencia!$3:$3)-YEAR(D126))*14)+MONTH(D126)+2,FALSE)))</f>
        <v>0</v>
      </c>
      <c r="H126" s="271">
        <f t="shared" si="21"/>
        <v>0</v>
      </c>
      <c r="I126" s="304">
        <f t="shared" si="24"/>
        <v>0</v>
      </c>
      <c r="J126" s="255">
        <f t="shared" si="22"/>
        <v>0</v>
      </c>
      <c r="K126" s="278"/>
      <c r="L126" s="278"/>
      <c r="M126" s="255">
        <f t="shared" si="25"/>
        <v>0</v>
      </c>
      <c r="N126" s="279"/>
      <c r="O126" s="255">
        <f t="shared" si="23"/>
        <v>0</v>
      </c>
    </row>
    <row r="127" spans="2:15" hidden="1">
      <c r="B127" s="308"/>
      <c r="C127" s="240"/>
      <c r="D127" s="237"/>
      <c r="E127" s="185"/>
      <c r="F127" s="272"/>
      <c r="G127" s="393">
        <f>+IF(F127=0,0,IF(E127="MXN",1/HLOOKUP(YEAR(D127)+(MONTH(D127)/100),TC!$5:$37,DAY(D127)+2,FALSE),VLOOKUP(E127,Equivalencia!$3:$23,((MAX(Equivalencia!$3:$3)-YEAR(D127))*14)+MONTH(D127)+2,FALSE)))</f>
        <v>0</v>
      </c>
      <c r="H127" s="271">
        <f t="shared" si="21"/>
        <v>0</v>
      </c>
      <c r="I127" s="304">
        <f t="shared" si="24"/>
        <v>0</v>
      </c>
      <c r="J127" s="255">
        <f t="shared" si="22"/>
        <v>0</v>
      </c>
      <c r="K127" s="278"/>
      <c r="L127" s="278"/>
      <c r="M127" s="255">
        <f t="shared" si="25"/>
        <v>0</v>
      </c>
      <c r="N127" s="279"/>
      <c r="O127" s="255">
        <f t="shared" si="23"/>
        <v>0</v>
      </c>
    </row>
    <row r="128" spans="2:15" hidden="1">
      <c r="B128" s="308"/>
      <c r="C128" s="240"/>
      <c r="D128" s="237"/>
      <c r="E128" s="185"/>
      <c r="F128" s="272"/>
      <c r="G128" s="393">
        <f>+IF(F128=0,0,IF(E128="MXN",1/HLOOKUP(YEAR(D128)+(MONTH(D128)/100),TC!$5:$37,DAY(D128)+2,FALSE),VLOOKUP(E128,Equivalencia!$3:$23,((MAX(Equivalencia!$3:$3)-YEAR(D128))*14)+MONTH(D128)+2,FALSE)))</f>
        <v>0</v>
      </c>
      <c r="H128" s="271">
        <f t="shared" si="21"/>
        <v>0</v>
      </c>
      <c r="I128" s="304">
        <f t="shared" si="24"/>
        <v>0</v>
      </c>
      <c r="J128" s="255">
        <f t="shared" si="22"/>
        <v>0</v>
      </c>
      <c r="K128" s="278"/>
      <c r="L128" s="278"/>
      <c r="M128" s="255">
        <f t="shared" si="25"/>
        <v>0</v>
      </c>
      <c r="N128" s="279"/>
      <c r="O128" s="255">
        <f t="shared" si="23"/>
        <v>0</v>
      </c>
    </row>
    <row r="129" spans="2:20" hidden="1">
      <c r="B129" s="308"/>
      <c r="C129" s="240"/>
      <c r="D129" s="237"/>
      <c r="E129" s="185"/>
      <c r="F129" s="272"/>
      <c r="G129" s="393">
        <f>+IF(F129=0,0,IF(E129="MXN",1/HLOOKUP(YEAR(D129)+(MONTH(D129)/100),TC!$5:$37,DAY(D129)+2,FALSE),VLOOKUP(E129,Equivalencia!$3:$23,((MAX(Equivalencia!$3:$3)-YEAR(D129))*14)+MONTH(D129)+2,FALSE)))</f>
        <v>0</v>
      </c>
      <c r="H129" s="271">
        <f t="shared" si="21"/>
        <v>0</v>
      </c>
      <c r="I129" s="304">
        <f t="shared" si="24"/>
        <v>0</v>
      </c>
      <c r="J129" s="255">
        <f t="shared" si="22"/>
        <v>0</v>
      </c>
      <c r="K129" s="278"/>
      <c r="L129" s="278"/>
      <c r="M129" s="255">
        <f t="shared" si="25"/>
        <v>0</v>
      </c>
      <c r="N129" s="279"/>
      <c r="O129" s="255">
        <f t="shared" si="23"/>
        <v>0</v>
      </c>
    </row>
    <row r="130" spans="2:20" hidden="1">
      <c r="B130" s="308"/>
      <c r="C130" s="240"/>
      <c r="D130" s="237"/>
      <c r="E130" s="185"/>
      <c r="F130" s="272"/>
      <c r="G130" s="393">
        <f>+IF(F130=0,0,IF(E130="MXN",1/HLOOKUP(YEAR(D130)+(MONTH(D130)/100),TC!$5:$37,DAY(D130)+2,FALSE),VLOOKUP(E130,Equivalencia!$3:$23,((MAX(Equivalencia!$3:$3)-YEAR(D130))*14)+MONTH(D130)+2,FALSE)))</f>
        <v>0</v>
      </c>
      <c r="H130" s="271">
        <f t="shared" si="21"/>
        <v>0</v>
      </c>
      <c r="I130" s="304">
        <f t="shared" si="24"/>
        <v>0</v>
      </c>
      <c r="J130" s="255">
        <f t="shared" si="22"/>
        <v>0</v>
      </c>
      <c r="K130" s="278"/>
      <c r="L130" s="278"/>
      <c r="M130" s="255">
        <f t="shared" si="25"/>
        <v>0</v>
      </c>
      <c r="N130" s="279"/>
      <c r="O130" s="255">
        <f t="shared" si="23"/>
        <v>0</v>
      </c>
    </row>
    <row r="131" spans="2:20" hidden="1">
      <c r="B131" s="309"/>
      <c r="C131" s="240"/>
      <c r="D131" s="237"/>
      <c r="E131" s="185"/>
      <c r="F131" s="272"/>
      <c r="G131" s="393">
        <f>+IF(F131=0,0,IF(E131="MXN",1/HLOOKUP(YEAR(D131)+(MONTH(D131)/100),TC!$5:$37,DAY(D131)+2,FALSE),VLOOKUP(E131,Equivalencia!$3:$23,((MAX(Equivalencia!$3:$3)-YEAR(D131))*14)+MONTH(D131)+2,FALSE)))</f>
        <v>0</v>
      </c>
      <c r="H131" s="271">
        <f t="shared" si="21"/>
        <v>0</v>
      </c>
      <c r="I131" s="304">
        <f t="shared" si="24"/>
        <v>0</v>
      </c>
      <c r="J131" s="255">
        <f t="shared" si="22"/>
        <v>0</v>
      </c>
      <c r="K131" s="278"/>
      <c r="L131" s="278"/>
      <c r="M131" s="255">
        <f t="shared" si="25"/>
        <v>0</v>
      </c>
      <c r="N131" s="279"/>
      <c r="O131" s="255">
        <f t="shared" si="23"/>
        <v>0</v>
      </c>
    </row>
    <row r="132" spans="2:20" hidden="1">
      <c r="B132" s="112"/>
      <c r="H132" s="101"/>
      <c r="K132" s="268"/>
      <c r="L132" s="268"/>
    </row>
    <row r="133" spans="2:20" hidden="1">
      <c r="B133" s="112"/>
      <c r="H133" s="264"/>
      <c r="I133" s="236"/>
      <c r="J133" s="256">
        <f>SUM(J120:J132)</f>
        <v>0</v>
      </c>
      <c r="K133" s="270"/>
      <c r="L133" s="270"/>
      <c r="M133" s="236"/>
      <c r="N133" s="236"/>
      <c r="O133" s="256">
        <f>+SUMIF(O120:O132,"&gt;0",O120:O132)</f>
        <v>0</v>
      </c>
      <c r="R133" s="256">
        <f>+J133</f>
        <v>0</v>
      </c>
      <c r="S133" s="256">
        <f>+O133</f>
        <v>0</v>
      </c>
      <c r="T133" s="256">
        <f>+R133+S133</f>
        <v>0</v>
      </c>
    </row>
    <row r="134" spans="2:20" hidden="1">
      <c r="B134" s="112"/>
      <c r="H134" s="13"/>
      <c r="K134" s="268"/>
      <c r="L134" s="268"/>
    </row>
    <row r="135" spans="2:20" hidden="1">
      <c r="H135" s="13"/>
      <c r="K135" s="268"/>
      <c r="L135" s="281"/>
      <c r="M135" s="250"/>
      <c r="N135" s="252"/>
      <c r="O135" s="253" t="s">
        <v>515</v>
      </c>
      <c r="P135" s="257">
        <f>+O133+J133</f>
        <v>0</v>
      </c>
      <c r="Q135" s="280"/>
    </row>
    <row r="136" spans="2:20" hidden="1">
      <c r="H136" s="13"/>
      <c r="K136" s="268"/>
      <c r="L136" s="282"/>
      <c r="M136" s="283"/>
      <c r="N136" s="251"/>
      <c r="O136" s="254"/>
    </row>
    <row r="137" spans="2:20" ht="17.100000000000001" hidden="1" customHeight="1">
      <c r="B137" s="232"/>
      <c r="C137" s="232"/>
      <c r="D137" s="232"/>
      <c r="E137" s="232"/>
      <c r="F137" s="232"/>
      <c r="G137" s="232"/>
      <c r="H137" s="260"/>
      <c r="I137" s="245"/>
      <c r="J137" s="245"/>
      <c r="K137" s="267"/>
      <c r="L137" s="267"/>
      <c r="M137" s="245"/>
      <c r="N137" s="245"/>
      <c r="O137" s="245"/>
    </row>
    <row r="138" spans="2:20" hidden="1">
      <c r="B138" s="229"/>
      <c r="C138" s="229"/>
      <c r="D138" s="229"/>
      <c r="E138" s="229"/>
      <c r="F138" s="229"/>
      <c r="G138" s="229"/>
      <c r="H138" s="261"/>
      <c r="I138" s="246"/>
      <c r="J138" s="246"/>
      <c r="K138" s="268"/>
      <c r="L138" s="268"/>
    </row>
    <row r="139" spans="2:20" hidden="1">
      <c r="B139" s="230" t="s">
        <v>509</v>
      </c>
      <c r="C139" s="230"/>
      <c r="E139" s="230"/>
      <c r="F139" s="230"/>
      <c r="G139" s="231"/>
      <c r="H139" s="273"/>
      <c r="I139" s="248"/>
      <c r="J139" s="248"/>
      <c r="K139" s="268"/>
      <c r="L139" s="268"/>
    </row>
    <row r="140" spans="2:20" hidden="1">
      <c r="B140" s="230" t="s">
        <v>510</v>
      </c>
      <c r="C140" s="230"/>
      <c r="E140" s="230"/>
      <c r="F140" s="230"/>
      <c r="G140" s="231"/>
      <c r="H140" s="274"/>
      <c r="K140" s="268"/>
      <c r="L140" s="268"/>
    </row>
    <row r="141" spans="2:20" hidden="1">
      <c r="B141" s="230" t="s">
        <v>511</v>
      </c>
      <c r="C141" s="230"/>
      <c r="E141" s="230"/>
      <c r="F141" s="230"/>
      <c r="G141" s="231"/>
      <c r="H141" s="275"/>
      <c r="K141" s="268"/>
      <c r="L141" s="268"/>
    </row>
    <row r="142" spans="2:20" hidden="1">
      <c r="B142" s="230" t="s">
        <v>512</v>
      </c>
      <c r="C142" s="230"/>
      <c r="E142" s="230"/>
      <c r="F142" s="230"/>
      <c r="G142" s="231"/>
      <c r="H142" s="275"/>
      <c r="K142" s="268"/>
      <c r="L142" s="268"/>
    </row>
    <row r="143" spans="2:20" hidden="1">
      <c r="B143" s="230"/>
      <c r="C143" s="230"/>
      <c r="E143" s="231"/>
      <c r="F143" s="231"/>
      <c r="G143" s="231"/>
      <c r="H143" s="262"/>
      <c r="K143" s="268"/>
      <c r="L143" s="268"/>
    </row>
    <row r="144" spans="2:20" hidden="1">
      <c r="B144" s="234" t="s">
        <v>513</v>
      </c>
      <c r="C144" s="234"/>
      <c r="D144" s="235"/>
      <c r="E144" s="235"/>
      <c r="F144" s="235"/>
      <c r="G144" s="235"/>
      <c r="H144" s="277"/>
      <c r="I144" s="249"/>
      <c r="J144" s="249"/>
      <c r="K144" s="269"/>
      <c r="L144" s="269"/>
      <c r="M144" s="249"/>
      <c r="N144" s="249"/>
      <c r="O144" s="249"/>
    </row>
    <row r="145" spans="2:20" hidden="1">
      <c r="B145" s="194"/>
      <c r="C145" s="166"/>
      <c r="D145" s="166"/>
      <c r="E145" s="166"/>
      <c r="F145" s="166"/>
      <c r="G145" s="194"/>
      <c r="H145" s="263"/>
      <c r="I145" s="250"/>
      <c r="J145" s="250"/>
      <c r="K145" s="268"/>
      <c r="L145" s="268"/>
    </row>
    <row r="146" spans="2:20" hidden="1">
      <c r="B146" s="308"/>
      <c r="C146" s="238"/>
      <c r="D146" s="237"/>
      <c r="E146" s="185"/>
      <c r="F146" s="272"/>
      <c r="G146" s="393">
        <f>+IF(F146=0,0,IF(E146="MXN",1/HLOOKUP(YEAR(D146)+(MONTH(D146)/100),TC!$5:$37,DAY(D146)+2,FALSE),VLOOKUP(E146,Equivalencia!$3:$23,((MAX(Equivalencia!$3:$3)-YEAR(D146))*14)+MONTH(D146)+2,FALSE)))</f>
        <v>0</v>
      </c>
      <c r="H146" s="271">
        <f>+G146*F146</f>
        <v>0</v>
      </c>
      <c r="I146" s="255">
        <f>H144+H146</f>
        <v>0</v>
      </c>
      <c r="J146" s="255">
        <f>+IF(H146&lt;0,0,IF(AND(H144&lt;0,I146&lt;0),0,IF(H144&lt;0,H146+H144,H146)))</f>
        <v>0</v>
      </c>
      <c r="K146" s="278"/>
      <c r="L146" s="278"/>
      <c r="M146" s="255">
        <f>IF(F146="",0,+I146+K146+L146)</f>
        <v>0</v>
      </c>
      <c r="N146" s="279"/>
      <c r="O146" s="255">
        <f>IF(M146=N146,0,IF(N146="",0,N146-M146))</f>
        <v>0</v>
      </c>
    </row>
    <row r="147" spans="2:20" hidden="1">
      <c r="B147" s="308"/>
      <c r="C147" s="239"/>
      <c r="D147" s="237"/>
      <c r="E147" s="185"/>
      <c r="F147" s="272"/>
      <c r="G147" s="393">
        <f>+IF(F147=0,0,IF(E147="MXN",1/HLOOKUP(YEAR(D147)+(MONTH(D147)/100),TC!$5:$37,DAY(D147)+2,FALSE),VLOOKUP(E147,Equivalencia!$3:$23,((MAX(Equivalencia!$3:$3)-YEAR(D147))*14)+MONTH(D147)+2,FALSE)))</f>
        <v>0</v>
      </c>
      <c r="H147" s="271">
        <f t="shared" ref="H147:H157" si="26">+G147*F147</f>
        <v>0</v>
      </c>
      <c r="I147" s="304">
        <f>IF(AND(I146&gt;0,F147&lt;0),F147,I146+H147+O146)</f>
        <v>0</v>
      </c>
      <c r="J147" s="255">
        <f t="shared" ref="J147:J157" si="27">+IF(H147&lt;0,0,IF(AND(I146&lt;0,I147&lt;0),0,IF(I146&lt;0,H147+I146,H147)))</f>
        <v>0</v>
      </c>
      <c r="K147" s="278"/>
      <c r="L147" s="278"/>
      <c r="M147" s="255">
        <f>IF(F147="",0,+M146+K147+L147+H147+O146)</f>
        <v>0</v>
      </c>
      <c r="N147" s="279"/>
      <c r="O147" s="255">
        <f t="shared" ref="O147:O157" si="28">IF(M147=N147,0,IF(N147="",0,N147-M147))</f>
        <v>0</v>
      </c>
    </row>
    <row r="148" spans="2:20" hidden="1">
      <c r="B148" s="308"/>
      <c r="C148" s="239"/>
      <c r="D148" s="237"/>
      <c r="E148" s="185"/>
      <c r="F148" s="272"/>
      <c r="G148" s="393">
        <f>+IF(F148=0,0,IF(E148="MXN",1/HLOOKUP(YEAR(D148)+(MONTH(D148)/100),TC!$5:$37,DAY(D148)+2,FALSE),VLOOKUP(E148,Equivalencia!$3:$23,((MAX(Equivalencia!$3:$3)-YEAR(D148))*14)+MONTH(D148)+2,FALSE)))</f>
        <v>0</v>
      </c>
      <c r="H148" s="271">
        <f t="shared" si="26"/>
        <v>0</v>
      </c>
      <c r="I148" s="304">
        <f t="shared" ref="I148:I157" si="29">IF(AND(I147&gt;0,F148&lt;0),F148,I147+H148+O147)</f>
        <v>0</v>
      </c>
      <c r="J148" s="255">
        <f t="shared" si="27"/>
        <v>0</v>
      </c>
      <c r="K148" s="278"/>
      <c r="L148" s="278"/>
      <c r="M148" s="255">
        <f t="shared" ref="M148:M157" si="30">IF(F148="",0,+M147+K148+L148+H148+O147)</f>
        <v>0</v>
      </c>
      <c r="N148" s="279"/>
      <c r="O148" s="255">
        <f t="shared" si="28"/>
        <v>0</v>
      </c>
    </row>
    <row r="149" spans="2:20" hidden="1">
      <c r="B149" s="308"/>
      <c r="C149" s="239"/>
      <c r="D149" s="237"/>
      <c r="E149" s="185"/>
      <c r="F149" s="272"/>
      <c r="G149" s="393">
        <f>+IF(F149=0,0,IF(E149="MXN",1/HLOOKUP(YEAR(D149)+(MONTH(D149)/100),TC!$5:$37,DAY(D149)+2,FALSE),VLOOKUP(E149,Equivalencia!$3:$23,((MAX(Equivalencia!$3:$3)-YEAR(D149))*14)+MONTH(D149)+2,FALSE)))</f>
        <v>0</v>
      </c>
      <c r="H149" s="271">
        <f t="shared" si="26"/>
        <v>0</v>
      </c>
      <c r="I149" s="304">
        <f t="shared" si="29"/>
        <v>0</v>
      </c>
      <c r="J149" s="255">
        <f t="shared" si="27"/>
        <v>0</v>
      </c>
      <c r="K149" s="278"/>
      <c r="L149" s="278"/>
      <c r="M149" s="255">
        <f t="shared" si="30"/>
        <v>0</v>
      </c>
      <c r="N149" s="279"/>
      <c r="O149" s="255">
        <f t="shared" si="28"/>
        <v>0</v>
      </c>
    </row>
    <row r="150" spans="2:20" hidden="1">
      <c r="B150" s="308"/>
      <c r="C150" s="240"/>
      <c r="D150" s="237"/>
      <c r="E150" s="185"/>
      <c r="F150" s="272"/>
      <c r="G150" s="393">
        <f>+IF(F150=0,0,IF(E150="MXN",1/HLOOKUP(YEAR(D150)+(MONTH(D150)/100),TC!$5:$37,DAY(D150)+2,FALSE),VLOOKUP(E150,Equivalencia!$3:$23,((MAX(Equivalencia!$3:$3)-YEAR(D150))*14)+MONTH(D150)+2,FALSE)))</f>
        <v>0</v>
      </c>
      <c r="H150" s="271">
        <f t="shared" si="26"/>
        <v>0</v>
      </c>
      <c r="I150" s="304">
        <f t="shared" si="29"/>
        <v>0</v>
      </c>
      <c r="J150" s="255">
        <f t="shared" si="27"/>
        <v>0</v>
      </c>
      <c r="K150" s="278"/>
      <c r="L150" s="278"/>
      <c r="M150" s="255">
        <f t="shared" si="30"/>
        <v>0</v>
      </c>
      <c r="N150" s="279"/>
      <c r="O150" s="255">
        <f t="shared" si="28"/>
        <v>0</v>
      </c>
    </row>
    <row r="151" spans="2:20" hidden="1">
      <c r="B151" s="308"/>
      <c r="C151" s="240"/>
      <c r="D151" s="237"/>
      <c r="E151" s="185"/>
      <c r="F151" s="272"/>
      <c r="G151" s="393">
        <f>+IF(F151=0,0,IF(E151="MXN",1/HLOOKUP(YEAR(D151)+(MONTH(D151)/100),TC!$5:$37,DAY(D151)+2,FALSE),VLOOKUP(E151,Equivalencia!$3:$23,((MAX(Equivalencia!$3:$3)-YEAR(D151))*14)+MONTH(D151)+2,FALSE)))</f>
        <v>0</v>
      </c>
      <c r="H151" s="271">
        <f t="shared" si="26"/>
        <v>0</v>
      </c>
      <c r="I151" s="304">
        <f t="shared" si="29"/>
        <v>0</v>
      </c>
      <c r="J151" s="255">
        <f t="shared" si="27"/>
        <v>0</v>
      </c>
      <c r="K151" s="278"/>
      <c r="L151" s="278"/>
      <c r="M151" s="255">
        <f t="shared" si="30"/>
        <v>0</v>
      </c>
      <c r="N151" s="279"/>
      <c r="O151" s="255">
        <f t="shared" si="28"/>
        <v>0</v>
      </c>
    </row>
    <row r="152" spans="2:20" hidden="1">
      <c r="B152" s="308"/>
      <c r="C152" s="240"/>
      <c r="D152" s="237"/>
      <c r="E152" s="185"/>
      <c r="F152" s="272"/>
      <c r="G152" s="393">
        <f>+IF(F152=0,0,IF(E152="MXN",1/HLOOKUP(YEAR(D152)+(MONTH(D152)/100),TC!$5:$37,DAY(D152)+2,FALSE),VLOOKUP(E152,Equivalencia!$3:$23,((MAX(Equivalencia!$3:$3)-YEAR(D152))*14)+MONTH(D152)+2,FALSE)))</f>
        <v>0</v>
      </c>
      <c r="H152" s="271">
        <f t="shared" si="26"/>
        <v>0</v>
      </c>
      <c r="I152" s="304">
        <f t="shared" si="29"/>
        <v>0</v>
      </c>
      <c r="J152" s="255">
        <f t="shared" si="27"/>
        <v>0</v>
      </c>
      <c r="K152" s="278"/>
      <c r="L152" s="278"/>
      <c r="M152" s="255">
        <f t="shared" si="30"/>
        <v>0</v>
      </c>
      <c r="N152" s="279"/>
      <c r="O152" s="255">
        <f t="shared" si="28"/>
        <v>0</v>
      </c>
    </row>
    <row r="153" spans="2:20" hidden="1">
      <c r="B153" s="308"/>
      <c r="C153" s="240"/>
      <c r="D153" s="237"/>
      <c r="E153" s="185"/>
      <c r="F153" s="272"/>
      <c r="G153" s="393">
        <f>+IF(F153=0,0,IF(E153="MXN",1/HLOOKUP(YEAR(D153)+(MONTH(D153)/100),TC!$5:$37,DAY(D153)+2,FALSE),VLOOKUP(E153,Equivalencia!$3:$23,((MAX(Equivalencia!$3:$3)-YEAR(D153))*14)+MONTH(D153)+2,FALSE)))</f>
        <v>0</v>
      </c>
      <c r="H153" s="271">
        <f t="shared" si="26"/>
        <v>0</v>
      </c>
      <c r="I153" s="304">
        <f t="shared" si="29"/>
        <v>0</v>
      </c>
      <c r="J153" s="255">
        <f t="shared" si="27"/>
        <v>0</v>
      </c>
      <c r="K153" s="278"/>
      <c r="L153" s="278"/>
      <c r="M153" s="255">
        <f t="shared" si="30"/>
        <v>0</v>
      </c>
      <c r="N153" s="279"/>
      <c r="O153" s="255">
        <f t="shared" si="28"/>
        <v>0</v>
      </c>
    </row>
    <row r="154" spans="2:20" hidden="1">
      <c r="B154" s="308"/>
      <c r="C154" s="240"/>
      <c r="D154" s="237"/>
      <c r="E154" s="185"/>
      <c r="F154" s="272"/>
      <c r="G154" s="393">
        <f>+IF(F154=0,0,IF(E154="MXN",1/HLOOKUP(YEAR(D154)+(MONTH(D154)/100),TC!$5:$37,DAY(D154)+2,FALSE),VLOOKUP(E154,Equivalencia!$3:$23,((MAX(Equivalencia!$3:$3)-YEAR(D154))*14)+MONTH(D154)+2,FALSE)))</f>
        <v>0</v>
      </c>
      <c r="H154" s="271">
        <f t="shared" si="26"/>
        <v>0</v>
      </c>
      <c r="I154" s="304">
        <f t="shared" si="29"/>
        <v>0</v>
      </c>
      <c r="J154" s="255">
        <f t="shared" si="27"/>
        <v>0</v>
      </c>
      <c r="K154" s="278"/>
      <c r="L154" s="278"/>
      <c r="M154" s="255">
        <f t="shared" si="30"/>
        <v>0</v>
      </c>
      <c r="N154" s="279"/>
      <c r="O154" s="255">
        <f t="shared" si="28"/>
        <v>0</v>
      </c>
    </row>
    <row r="155" spans="2:20" hidden="1">
      <c r="B155" s="308"/>
      <c r="C155" s="240"/>
      <c r="D155" s="237"/>
      <c r="E155" s="185"/>
      <c r="F155" s="272"/>
      <c r="G155" s="393">
        <f>+IF(F155=0,0,IF(E155="MXN",1/HLOOKUP(YEAR(D155)+(MONTH(D155)/100),TC!$5:$37,DAY(D155)+2,FALSE),VLOOKUP(E155,Equivalencia!$3:$23,((MAX(Equivalencia!$3:$3)-YEAR(D155))*14)+MONTH(D155)+2,FALSE)))</f>
        <v>0</v>
      </c>
      <c r="H155" s="271">
        <f t="shared" si="26"/>
        <v>0</v>
      </c>
      <c r="I155" s="304">
        <f t="shared" si="29"/>
        <v>0</v>
      </c>
      <c r="J155" s="255">
        <f t="shared" si="27"/>
        <v>0</v>
      </c>
      <c r="K155" s="278"/>
      <c r="L155" s="278"/>
      <c r="M155" s="255">
        <f t="shared" si="30"/>
        <v>0</v>
      </c>
      <c r="N155" s="279"/>
      <c r="O155" s="255">
        <f t="shared" si="28"/>
        <v>0</v>
      </c>
    </row>
    <row r="156" spans="2:20" hidden="1">
      <c r="B156" s="308"/>
      <c r="C156" s="240"/>
      <c r="D156" s="237"/>
      <c r="E156" s="185"/>
      <c r="F156" s="272"/>
      <c r="G156" s="393">
        <f>+IF(F156=0,0,IF(E156="MXN",1/HLOOKUP(YEAR(D156)+(MONTH(D156)/100),TC!$5:$37,DAY(D156)+2,FALSE),VLOOKUP(E156,Equivalencia!$3:$23,((MAX(Equivalencia!$3:$3)-YEAR(D156))*14)+MONTH(D156)+2,FALSE)))</f>
        <v>0</v>
      </c>
      <c r="H156" s="271">
        <f t="shared" si="26"/>
        <v>0</v>
      </c>
      <c r="I156" s="304">
        <f t="shared" si="29"/>
        <v>0</v>
      </c>
      <c r="J156" s="255">
        <f t="shared" si="27"/>
        <v>0</v>
      </c>
      <c r="K156" s="278"/>
      <c r="L156" s="278"/>
      <c r="M156" s="255">
        <f t="shared" si="30"/>
        <v>0</v>
      </c>
      <c r="N156" s="279"/>
      <c r="O156" s="255">
        <f t="shared" si="28"/>
        <v>0</v>
      </c>
    </row>
    <row r="157" spans="2:20" hidden="1">
      <c r="B157" s="309"/>
      <c r="C157" s="240"/>
      <c r="D157" s="237"/>
      <c r="E157" s="185"/>
      <c r="F157" s="272"/>
      <c r="G157" s="393">
        <f>+IF(F157=0,0,IF(E157="MXN",1/HLOOKUP(YEAR(D157)+(MONTH(D157)/100),TC!$5:$37,DAY(D157)+2,FALSE),VLOOKUP(E157,Equivalencia!$3:$23,((MAX(Equivalencia!$3:$3)-YEAR(D157))*14)+MONTH(D157)+2,FALSE)))</f>
        <v>0</v>
      </c>
      <c r="H157" s="271">
        <f t="shared" si="26"/>
        <v>0</v>
      </c>
      <c r="I157" s="304">
        <f t="shared" si="29"/>
        <v>0</v>
      </c>
      <c r="J157" s="255">
        <f t="shared" si="27"/>
        <v>0</v>
      </c>
      <c r="K157" s="278"/>
      <c r="L157" s="278"/>
      <c r="M157" s="255">
        <f t="shared" si="30"/>
        <v>0</v>
      </c>
      <c r="N157" s="279"/>
      <c r="O157" s="255">
        <f t="shared" si="28"/>
        <v>0</v>
      </c>
    </row>
    <row r="158" spans="2:20" hidden="1">
      <c r="B158" s="112"/>
      <c r="H158" s="101"/>
      <c r="K158" s="268"/>
      <c r="L158" s="268"/>
    </row>
    <row r="159" spans="2:20" hidden="1">
      <c r="B159" s="112"/>
      <c r="H159" s="264"/>
      <c r="I159" s="236"/>
      <c r="J159" s="256">
        <f>SUM(J146:J158)</f>
        <v>0</v>
      </c>
      <c r="K159" s="270"/>
      <c r="L159" s="270"/>
      <c r="M159" s="236"/>
      <c r="N159" s="236"/>
      <c r="O159" s="256">
        <f>+SUMIF(O146:O158,"&gt;0",O146:O158)</f>
        <v>0</v>
      </c>
      <c r="R159" s="256">
        <f>+J159</f>
        <v>0</v>
      </c>
      <c r="S159" s="256">
        <f>+O159</f>
        <v>0</v>
      </c>
      <c r="T159" s="256">
        <f>+R159+S159</f>
        <v>0</v>
      </c>
    </row>
    <row r="160" spans="2:20" hidden="1">
      <c r="B160" s="112"/>
      <c r="H160" s="13"/>
      <c r="K160" s="268"/>
      <c r="L160" s="268"/>
    </row>
    <row r="161" spans="8:20" hidden="1">
      <c r="H161" s="13"/>
      <c r="K161" s="268"/>
      <c r="L161" s="268"/>
      <c r="N161" s="252"/>
      <c r="O161" s="253" t="s">
        <v>515</v>
      </c>
      <c r="P161" s="257">
        <f>+O159+J159</f>
        <v>0</v>
      </c>
      <c r="Q161" s="280"/>
    </row>
    <row r="162" spans="8:20" hidden="1">
      <c r="H162" s="13"/>
      <c r="K162" s="268"/>
      <c r="L162" s="268"/>
    </row>
    <row r="163" spans="8:20" hidden="1">
      <c r="H163" s="13"/>
      <c r="K163" s="268"/>
      <c r="L163" s="268"/>
    </row>
    <row r="164" spans="8:20" hidden="1">
      <c r="H164" s="13"/>
      <c r="K164" s="268"/>
      <c r="L164" s="268"/>
    </row>
    <row r="165" spans="8:20" hidden="1">
      <c r="H165" s="13"/>
      <c r="M165" s="107"/>
      <c r="N165" s="167"/>
      <c r="O165" s="107" t="s">
        <v>516</v>
      </c>
      <c r="P165" s="258">
        <f>SUM(P7:P164)</f>
        <v>0</v>
      </c>
      <c r="R165" s="258">
        <f>SUM(R15:R164)</f>
        <v>0</v>
      </c>
      <c r="S165" s="258">
        <f>SUM(S15:S164)</f>
        <v>0</v>
      </c>
      <c r="T165" s="258">
        <f>SUM(T15:T164)</f>
        <v>0</v>
      </c>
    </row>
    <row r="166" spans="8:20" hidden="1"/>
  </sheetData>
  <autoFilter ref="B5:O165" xr:uid="{DF905219-0560-EA42-A258-48723B815984}"/>
  <mergeCells count="1">
    <mergeCell ref="B2:P2"/>
  </mergeCells>
  <dataValidations count="1">
    <dataValidation type="list" allowBlank="1" showInputMessage="1" showErrorMessage="1" sqref="B120:B131 B146:B157 B42:B53 B68:B79 B94:B105 B16:B27" xr:uid="{C3F03BF6-C937-A545-95FC-A8C8C0F7D122}">
      <formula1>Contribution</formula1>
    </dataValidation>
  </dataValidations>
  <printOptions horizontalCentered="1"/>
  <pageMargins left="0.7" right="0.7" top="0.75" bottom="0.75" header="0.3" footer="0.3"/>
  <pageSetup scale="35" fitToHeight="4" orientation="landscape"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2DFA3931-B835-F941-9E14-907C7D64F50C}">
          <x14:formula1>
            <xm:f>Equivalencia!$A$4:$A$23</xm:f>
          </x14:formula1>
          <xm:sqref>E146:E157 E42:E53 E68:E79 E94:E105 E120:E131 E16:E27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AD96B-3F40-6941-86F0-1342D537F226}">
  <sheetPr>
    <pageSetUpPr fitToPage="1"/>
  </sheetPr>
  <dimension ref="B2:P105"/>
  <sheetViews>
    <sheetView view="pageBreakPreview" zoomScale="70" zoomScaleNormal="90" zoomScaleSheetLayoutView="70" workbookViewId="0">
      <pane ySplit="6" topLeftCell="A7" activePane="bottomLeft" state="frozen"/>
      <selection pane="bottomLeft" activeCell="D18" sqref="D18"/>
    </sheetView>
  </sheetViews>
  <sheetFormatPr defaultColWidth="10.6640625" defaultRowHeight="20.100000000000001" customHeight="1"/>
  <cols>
    <col min="1" max="1" width="10.109375" style="12" customWidth="1"/>
    <col min="2" max="2" width="17.33203125" style="12" customWidth="1"/>
    <col min="3" max="3" width="14.44140625" style="12" customWidth="1"/>
    <col min="4" max="4" width="21.109375" style="12" customWidth="1"/>
    <col min="5" max="5" width="44.44140625" style="12" customWidth="1"/>
    <col min="6" max="6" width="16.88671875" style="12" customWidth="1"/>
    <col min="7" max="8" width="14.88671875" style="12" customWidth="1"/>
    <col min="9" max="9" width="17.5546875" style="12" customWidth="1"/>
    <col min="10" max="15" width="10.6640625" style="12"/>
    <col min="16" max="16" width="27.6640625" style="12" customWidth="1"/>
    <col min="17" max="16384" width="10.6640625" style="12"/>
  </cols>
  <sheetData>
    <row r="2" spans="2:16" ht="20.100000000000001" customHeight="1">
      <c r="B2" s="587" t="s">
        <v>517</v>
      </c>
      <c r="C2" s="587"/>
      <c r="D2" s="587"/>
      <c r="E2" s="587"/>
      <c r="F2" s="587"/>
      <c r="G2" s="587"/>
      <c r="H2" s="587"/>
      <c r="I2" s="587"/>
      <c r="P2" s="53" t="s">
        <v>518</v>
      </c>
    </row>
    <row r="3" spans="2:16" ht="20.100000000000001" customHeight="1">
      <c r="B3" s="588" t="s">
        <v>519</v>
      </c>
      <c r="C3" s="588"/>
      <c r="D3" s="588"/>
      <c r="E3" s="588"/>
      <c r="F3" s="588"/>
      <c r="G3" s="588"/>
      <c r="H3" s="588"/>
      <c r="I3" s="588"/>
      <c r="P3" s="53" t="s">
        <v>520</v>
      </c>
    </row>
    <row r="4" spans="2:16" ht="15.95">
      <c r="B4" s="79" t="s">
        <v>41</v>
      </c>
      <c r="C4" s="79" t="s">
        <v>42</v>
      </c>
      <c r="D4" s="79"/>
      <c r="E4" s="80"/>
      <c r="F4" s="80"/>
      <c r="G4" s="80"/>
      <c r="H4" s="80"/>
      <c r="I4" s="80"/>
      <c r="P4" s="53" t="s">
        <v>521</v>
      </c>
    </row>
    <row r="5" spans="2:16" ht="24" customHeight="1">
      <c r="B5" s="141"/>
      <c r="C5" s="141"/>
      <c r="D5" s="141"/>
      <c r="E5" s="142"/>
      <c r="F5" s="142"/>
      <c r="G5" s="142"/>
      <c r="H5" s="142"/>
      <c r="I5" s="142"/>
      <c r="P5" s="53" t="s">
        <v>522</v>
      </c>
    </row>
    <row r="6" spans="2:16" ht="29.1" customHeight="1">
      <c r="B6" s="62" t="s">
        <v>103</v>
      </c>
      <c r="C6" s="62" t="s">
        <v>29</v>
      </c>
      <c r="D6" s="62" t="s">
        <v>457</v>
      </c>
      <c r="E6" s="62" t="s">
        <v>124</v>
      </c>
      <c r="F6" s="62" t="s">
        <v>106</v>
      </c>
      <c r="G6" s="62" t="s">
        <v>107</v>
      </c>
      <c r="H6" s="62" t="s">
        <v>108</v>
      </c>
      <c r="I6" s="62" t="s">
        <v>109</v>
      </c>
      <c r="P6" s="53" t="s">
        <v>523</v>
      </c>
    </row>
    <row r="7" spans="2:16" s="13" customFormat="1" ht="20.100000000000001" customHeight="1">
      <c r="B7" s="12"/>
      <c r="C7" s="12"/>
      <c r="D7" s="12"/>
      <c r="E7" s="12"/>
      <c r="F7" s="12"/>
      <c r="G7" s="12"/>
      <c r="H7" s="12"/>
      <c r="I7" s="12"/>
      <c r="P7" s="53" t="s">
        <v>524</v>
      </c>
    </row>
    <row r="8" spans="2:16" s="13" customFormat="1" ht="20.100000000000001" customHeight="1">
      <c r="B8" s="64">
        <v>1175000</v>
      </c>
      <c r="C8" s="65">
        <v>44586</v>
      </c>
      <c r="D8" s="64" t="s">
        <v>523</v>
      </c>
      <c r="E8" s="154" t="s">
        <v>525</v>
      </c>
      <c r="F8" s="64" t="s">
        <v>33</v>
      </c>
      <c r="G8" s="67">
        <v>3149.18</v>
      </c>
      <c r="H8" s="393">
        <f>+IF(F8=0,0,IF(F8="MXN",1/HLOOKUP(YEAR(C8)+(MONTH(C8)/100),TC!$5:$37,DAY(C8)+2,FALSE),VLOOKUP(F8,Equivalencia!$3:$23,((MAX(Equivalencia!$3:$3)-YEAR(C8))*14)+MONTH(C8)+2,FALSE)))</f>
        <v>1</v>
      </c>
      <c r="I8" s="143">
        <f t="shared" ref="I8:I40" si="0">+H8*G8</f>
        <v>3149.18</v>
      </c>
      <c r="P8" s="53" t="s">
        <v>526</v>
      </c>
    </row>
    <row r="9" spans="2:16" s="13" customFormat="1" ht="20.100000000000001" customHeight="1">
      <c r="B9" s="64">
        <v>1175000</v>
      </c>
      <c r="C9" s="65">
        <v>44586</v>
      </c>
      <c r="D9" s="64" t="s">
        <v>523</v>
      </c>
      <c r="E9" s="154" t="s">
        <v>527</v>
      </c>
      <c r="F9" s="64" t="s">
        <v>33</v>
      </c>
      <c r="G9" s="67">
        <v>2656.84</v>
      </c>
      <c r="H9" s="393">
        <f>+IF(F9=0,0,IF(F9="MXN",1/HLOOKUP(YEAR(C9)+(MONTH(C9)/100),TC!$5:$37,DAY(C9)+2,FALSE),VLOOKUP(F9,Equivalencia!$3:$23,((MAX(Equivalencia!$3:$3)-YEAR(C9))*14)+MONTH(C9)+2,FALSE)))</f>
        <v>1</v>
      </c>
      <c r="I9" s="143">
        <f t="shared" si="0"/>
        <v>2656.84</v>
      </c>
      <c r="P9" s="53" t="s">
        <v>528</v>
      </c>
    </row>
    <row r="10" spans="2:16" s="13" customFormat="1" ht="20.100000000000001" customHeight="1">
      <c r="B10" s="64">
        <v>1175000</v>
      </c>
      <c r="C10" s="65">
        <v>44673</v>
      </c>
      <c r="D10" s="64" t="s">
        <v>523</v>
      </c>
      <c r="E10" s="154" t="s">
        <v>525</v>
      </c>
      <c r="F10" s="64" t="s">
        <v>33</v>
      </c>
      <c r="G10" s="67">
        <v>2960.87</v>
      </c>
      <c r="H10" s="393">
        <f>+IF(F10=0,0,IF(F10="MXN",1/HLOOKUP(YEAR(C10)+(MONTH(C10)/100),TC!$5:$37,DAY(C10)+2,FALSE),VLOOKUP(F10,Equivalencia!$3:$23,((MAX(Equivalencia!$3:$3)-YEAR(C10))*14)+MONTH(C10)+2,FALSE)))</f>
        <v>1</v>
      </c>
      <c r="I10" s="143">
        <f t="shared" si="0"/>
        <v>2960.87</v>
      </c>
      <c r="P10" s="53"/>
    </row>
    <row r="11" spans="2:16" s="13" customFormat="1" ht="20.100000000000001" customHeight="1">
      <c r="B11" s="64">
        <v>1175000</v>
      </c>
      <c r="C11" s="65">
        <v>44673</v>
      </c>
      <c r="D11" s="64" t="s">
        <v>523</v>
      </c>
      <c r="E11" s="154" t="s">
        <v>527</v>
      </c>
      <c r="F11" s="64" t="s">
        <v>33</v>
      </c>
      <c r="G11" s="67">
        <v>2495.15</v>
      </c>
      <c r="H11" s="393">
        <f>+IF(F11=0,0,IF(F11="MXN",1/HLOOKUP(YEAR(C11)+(MONTH(C11)/100),TC!$5:$37,DAY(C11)+2,FALSE),VLOOKUP(F11,Equivalencia!$3:$23,((MAX(Equivalencia!$3:$3)-YEAR(C11))*14)+MONTH(C11)+2,FALSE)))</f>
        <v>1</v>
      </c>
      <c r="I11" s="143">
        <f t="shared" si="0"/>
        <v>2495.15</v>
      </c>
      <c r="P11" s="53"/>
    </row>
    <row r="12" spans="2:16" s="13" customFormat="1" ht="20.100000000000001" customHeight="1">
      <c r="B12" s="64">
        <v>1175000</v>
      </c>
      <c r="C12" s="65">
        <v>44764</v>
      </c>
      <c r="D12" s="64" t="s">
        <v>523</v>
      </c>
      <c r="E12" s="154" t="s">
        <v>525</v>
      </c>
      <c r="F12" s="64" t="s">
        <v>33</v>
      </c>
      <c r="G12" s="67">
        <v>2113</v>
      </c>
      <c r="H12" s="393">
        <f>+IF(F12=0,0,IF(F12="MXN",1/HLOOKUP(YEAR(C12)+(MONTH(C12)/100),TC!$5:$37,DAY(C12)+2,FALSE),VLOOKUP(F12,Equivalencia!$3:$23,((MAX(Equivalencia!$3:$3)-YEAR(C12))*14)+MONTH(C12)+2,FALSE)))</f>
        <v>1</v>
      </c>
      <c r="I12" s="143">
        <f t="shared" ref="I12:I15" si="1">+H12*G12</f>
        <v>2113</v>
      </c>
      <c r="P12" s="53"/>
    </row>
    <row r="13" spans="2:16" s="13" customFormat="1" ht="20.100000000000001" customHeight="1">
      <c r="B13" s="64">
        <v>1175000</v>
      </c>
      <c r="C13" s="65">
        <v>44764</v>
      </c>
      <c r="D13" s="64" t="s">
        <v>523</v>
      </c>
      <c r="E13" s="154" t="s">
        <v>527</v>
      </c>
      <c r="F13" s="64" t="s">
        <v>33</v>
      </c>
      <c r="G13" s="67">
        <v>1982.21</v>
      </c>
      <c r="H13" s="393">
        <f>+IF(F13=0,0,IF(F13="MXN",1/HLOOKUP(YEAR(C13)+(MONTH(C13)/100),TC!$5:$37,DAY(C13)+2,FALSE),VLOOKUP(F13,Equivalencia!$3:$23,((MAX(Equivalencia!$3:$3)-YEAR(C13))*14)+MONTH(C13)+2,FALSE)))</f>
        <v>1</v>
      </c>
      <c r="I13" s="143">
        <f t="shared" si="1"/>
        <v>1982.21</v>
      </c>
      <c r="P13" s="53"/>
    </row>
    <row r="14" spans="2:16" s="13" customFormat="1" ht="20.100000000000001" customHeight="1">
      <c r="B14" s="64">
        <v>1175000</v>
      </c>
      <c r="C14" s="65">
        <v>44861</v>
      </c>
      <c r="D14" s="64" t="s">
        <v>523</v>
      </c>
      <c r="E14" s="154" t="s">
        <v>525</v>
      </c>
      <c r="F14" s="64" t="s">
        <v>33</v>
      </c>
      <c r="G14" s="67">
        <v>2090.61</v>
      </c>
      <c r="H14" s="393">
        <f>+IF(F14=0,0,IF(F14="MXN",1/HLOOKUP(YEAR(C14)+(MONTH(C14)/100),TC!$5:$37,DAY(C14)+2,FALSE),VLOOKUP(F14,Equivalencia!$3:$23,((MAX(Equivalencia!$3:$3)-YEAR(C14))*14)+MONTH(C14)+2,FALSE)))</f>
        <v>1</v>
      </c>
      <c r="I14" s="143">
        <f t="shared" si="1"/>
        <v>2090.61</v>
      </c>
      <c r="P14" s="53"/>
    </row>
    <row r="15" spans="2:16" s="13" customFormat="1" ht="20.100000000000001" customHeight="1">
      <c r="B15" s="64">
        <v>1175000</v>
      </c>
      <c r="C15" s="65">
        <v>44861</v>
      </c>
      <c r="D15" s="64" t="s">
        <v>523</v>
      </c>
      <c r="E15" s="154" t="s">
        <v>527</v>
      </c>
      <c r="F15" s="64" t="s">
        <v>33</v>
      </c>
      <c r="G15" s="67">
        <v>1762.96</v>
      </c>
      <c r="H15" s="393">
        <f>+IF(F15=0,0,IF(F15="MXN",1/HLOOKUP(YEAR(C15)+(MONTH(C15)/100),TC!$5:$37,DAY(C15)+2,FALSE),VLOOKUP(F15,Equivalencia!$3:$23,((MAX(Equivalencia!$3:$3)-YEAR(C15))*14)+MONTH(C15)+2,FALSE)))</f>
        <v>1</v>
      </c>
      <c r="I15" s="143">
        <f t="shared" si="1"/>
        <v>1762.96</v>
      </c>
      <c r="P15" s="53"/>
    </row>
    <row r="16" spans="2:16" s="13" customFormat="1" ht="20.100000000000001" customHeight="1">
      <c r="B16" s="64">
        <v>1179000</v>
      </c>
      <c r="C16" s="65">
        <v>44586</v>
      </c>
      <c r="D16" s="64" t="s">
        <v>521</v>
      </c>
      <c r="E16" s="154" t="s">
        <v>529</v>
      </c>
      <c r="F16" s="64" t="s">
        <v>33</v>
      </c>
      <c r="G16" s="67">
        <v>24978.6</v>
      </c>
      <c r="H16" s="393">
        <f>+IF(F16=0,0,IF(F16="MXN",1/HLOOKUP(YEAR(C16)+(MONTH(C16)/100),TC!$5:$37,DAY(C16)+2,FALSE),VLOOKUP(F16,Equivalencia!$3:$23,((MAX(Equivalencia!$3:$3)-YEAR(C16))*14)+MONTH(C16)+2,FALSE)))</f>
        <v>1</v>
      </c>
      <c r="I16" s="143">
        <f t="shared" si="0"/>
        <v>24978.6</v>
      </c>
      <c r="P16" s="53" t="s">
        <v>530</v>
      </c>
    </row>
    <row r="17" spans="2:16" s="13" customFormat="1" ht="20.100000000000001" customHeight="1">
      <c r="B17" s="64">
        <v>1179000</v>
      </c>
      <c r="C17" s="65">
        <v>44673</v>
      </c>
      <c r="D17" s="64" t="s">
        <v>521</v>
      </c>
      <c r="E17" s="154" t="s">
        <v>529</v>
      </c>
      <c r="F17" s="64" t="s">
        <v>33</v>
      </c>
      <c r="G17" s="67">
        <v>23900.87</v>
      </c>
      <c r="H17" s="393">
        <f>+IF(F17=0,0,IF(F17="MXN",1/HLOOKUP(YEAR(C17)+(MONTH(C17)/100),TC!$5:$37,DAY(C17)+2,FALSE),VLOOKUP(F17,Equivalencia!$3:$23,((MAX(Equivalencia!$3:$3)-YEAR(C17))*14)+MONTH(C17)+2,FALSE)))</f>
        <v>1</v>
      </c>
      <c r="I17" s="143">
        <f t="shared" si="0"/>
        <v>23900.87</v>
      </c>
      <c r="P17" s="53"/>
    </row>
    <row r="18" spans="2:16" s="13" customFormat="1" ht="20.100000000000001" customHeight="1">
      <c r="B18" s="64">
        <v>1179000</v>
      </c>
      <c r="C18" s="65">
        <v>44764</v>
      </c>
      <c r="D18" s="64" t="s">
        <v>521</v>
      </c>
      <c r="E18" s="154" t="s">
        <v>529</v>
      </c>
      <c r="F18" s="64" t="s">
        <v>33</v>
      </c>
      <c r="G18" s="67">
        <v>22608.9</v>
      </c>
      <c r="H18" s="393">
        <f>+IF(F18=0,0,IF(F18="MXN",1/HLOOKUP(YEAR(C18)+(MONTH(C18)/100),TC!$5:$37,DAY(C18)+2,FALSE),VLOOKUP(F18,Equivalencia!$3:$23,((MAX(Equivalencia!$3:$3)-YEAR(C18))*14)+MONTH(C18)+2,FALSE)))</f>
        <v>1</v>
      </c>
      <c r="I18" s="143">
        <f t="shared" ref="I18:I19" si="2">+H18*G18</f>
        <v>22608.9</v>
      </c>
      <c r="P18" s="53"/>
    </row>
    <row r="19" spans="2:16" s="13" customFormat="1" ht="20.100000000000001" customHeight="1">
      <c r="B19" s="64">
        <v>1179000</v>
      </c>
      <c r="C19" s="65">
        <v>44861</v>
      </c>
      <c r="D19" s="64" t="s">
        <v>521</v>
      </c>
      <c r="E19" s="154" t="s">
        <v>529</v>
      </c>
      <c r="F19" s="64" t="s">
        <v>33</v>
      </c>
      <c r="G19" s="67">
        <v>22117.51</v>
      </c>
      <c r="H19" s="393">
        <f>+IF(F19=0,0,IF(F19="MXN",1/HLOOKUP(YEAR(C19)+(MONTH(C19)/100),TC!$5:$37,DAY(C19)+2,FALSE),VLOOKUP(F19,Equivalencia!$3:$23,((MAX(Equivalencia!$3:$3)-YEAR(C19))*14)+MONTH(C19)+2,FALSE)))</f>
        <v>1</v>
      </c>
      <c r="I19" s="143">
        <f t="shared" si="2"/>
        <v>22117.51</v>
      </c>
      <c r="P19" s="53"/>
    </row>
    <row r="20" spans="2:16" s="13" customFormat="1" ht="20.100000000000001" customHeight="1">
      <c r="B20" s="64">
        <v>1427200</v>
      </c>
      <c r="C20" s="65">
        <v>44586</v>
      </c>
      <c r="D20" s="64" t="s">
        <v>521</v>
      </c>
      <c r="E20" s="154" t="s">
        <v>529</v>
      </c>
      <c r="F20" s="64" t="s">
        <v>33</v>
      </c>
      <c r="G20" s="67">
        <v>343.95</v>
      </c>
      <c r="H20" s="393">
        <f>+IF(F20=0,0,IF(F20="MXN",1/HLOOKUP(YEAR(C20)+(MONTH(C20)/100),TC!$5:$37,DAY(C20)+2,FALSE),VLOOKUP(F20,Equivalencia!$3:$23,((MAX(Equivalencia!$3:$3)-YEAR(C20))*14)+MONTH(C20)+2,FALSE)))</f>
        <v>1</v>
      </c>
      <c r="I20" s="143">
        <f t="shared" si="0"/>
        <v>343.95</v>
      </c>
      <c r="P20" s="53"/>
    </row>
    <row r="21" spans="2:16" s="13" customFormat="1" ht="20.100000000000001" customHeight="1">
      <c r="B21" s="64">
        <v>1427200</v>
      </c>
      <c r="C21" s="65">
        <v>44586</v>
      </c>
      <c r="D21" s="64" t="s">
        <v>523</v>
      </c>
      <c r="E21" s="154" t="s">
        <v>527</v>
      </c>
      <c r="F21" s="64" t="s">
        <v>33</v>
      </c>
      <c r="G21" s="67">
        <v>292.22000000000003</v>
      </c>
      <c r="H21" s="393">
        <f>+IF(F21=0,0,IF(F21="MXN",1/HLOOKUP(YEAR(C21)+(MONTH(C21)/100),TC!$5:$37,DAY(C21)+2,FALSE),VLOOKUP(F21,Equivalencia!$3:$23,((MAX(Equivalencia!$3:$3)-YEAR(C21))*14)+MONTH(C21)+2,FALSE)))</f>
        <v>1</v>
      </c>
      <c r="I21" s="143">
        <f t="shared" si="0"/>
        <v>292.22000000000003</v>
      </c>
      <c r="P21" s="54"/>
    </row>
    <row r="22" spans="2:16" s="13" customFormat="1" ht="20.100000000000001" customHeight="1">
      <c r="B22" s="64">
        <v>1427200</v>
      </c>
      <c r="C22" s="65">
        <v>44673</v>
      </c>
      <c r="D22" s="64" t="s">
        <v>521</v>
      </c>
      <c r="E22" s="154" t="s">
        <v>529</v>
      </c>
      <c r="F22" s="64" t="s">
        <v>33</v>
      </c>
      <c r="G22" s="67">
        <v>450.1</v>
      </c>
      <c r="H22" s="393">
        <f>+IF(F22=0,0,IF(F22="MXN",1/HLOOKUP(YEAR(C22)+(MONTH(C22)/100),TC!$5:$37,DAY(C22)+2,FALSE),VLOOKUP(F22,Equivalencia!$3:$23,((MAX(Equivalencia!$3:$3)-YEAR(C22))*14)+MONTH(C22)+2,FALSE)))</f>
        <v>1</v>
      </c>
      <c r="I22" s="143">
        <f t="shared" ref="I22:I23" si="3">+H22*G22</f>
        <v>450.1</v>
      </c>
      <c r="P22" s="54"/>
    </row>
    <row r="23" spans="2:16" s="13" customFormat="1" ht="20.100000000000001" customHeight="1">
      <c r="B23" s="64">
        <v>1427200</v>
      </c>
      <c r="C23" s="65">
        <v>44673</v>
      </c>
      <c r="D23" s="64" t="s">
        <v>523</v>
      </c>
      <c r="E23" s="154" t="s">
        <v>527</v>
      </c>
      <c r="F23" s="64" t="s">
        <v>33</v>
      </c>
      <c r="G23" s="67">
        <v>387.53</v>
      </c>
      <c r="H23" s="393">
        <f>+IF(F23=0,0,IF(F23="MXN",1/HLOOKUP(YEAR(C23)+(MONTH(C23)/100),TC!$5:$37,DAY(C23)+2,FALSE),VLOOKUP(F23,Equivalencia!$3:$23,((MAX(Equivalencia!$3:$3)-YEAR(C23))*14)+MONTH(C23)+2,FALSE)))</f>
        <v>1</v>
      </c>
      <c r="I23" s="143">
        <f t="shared" si="3"/>
        <v>387.53</v>
      </c>
      <c r="P23" s="54"/>
    </row>
    <row r="24" spans="2:16" s="13" customFormat="1" ht="20.100000000000001" customHeight="1">
      <c r="B24" s="64">
        <v>1427200</v>
      </c>
      <c r="C24" s="65">
        <v>44764</v>
      </c>
      <c r="D24" s="64" t="s">
        <v>523</v>
      </c>
      <c r="E24" s="154" t="s">
        <v>527</v>
      </c>
      <c r="F24" s="64" t="s">
        <v>33</v>
      </c>
      <c r="G24" s="67">
        <v>273.39</v>
      </c>
      <c r="H24" s="393">
        <f>+IF(F24=0,0,IF(F24="MXN",1/HLOOKUP(YEAR(C24)+(MONTH(C24)/100),TC!$5:$37,DAY(C24)+2,FALSE),VLOOKUP(F24,Equivalencia!$3:$23,((MAX(Equivalencia!$3:$3)-YEAR(C24))*14)+MONTH(C24)+2,FALSE)))</f>
        <v>1</v>
      </c>
      <c r="I24" s="143">
        <f t="shared" ref="I24:I27" si="4">+H24*G24</f>
        <v>273.39</v>
      </c>
      <c r="P24" s="54"/>
    </row>
    <row r="25" spans="2:16" s="13" customFormat="1" ht="20.100000000000001" customHeight="1">
      <c r="B25" s="64">
        <v>1427200</v>
      </c>
      <c r="C25" s="65">
        <v>44764</v>
      </c>
      <c r="D25" s="64" t="s">
        <v>521</v>
      </c>
      <c r="E25" s="154" t="s">
        <v>529</v>
      </c>
      <c r="F25" s="64" t="s">
        <v>33</v>
      </c>
      <c r="G25" s="67">
        <v>354.43</v>
      </c>
      <c r="H25" s="393">
        <f>+IF(F25=0,0,IF(F25="MXN",1/HLOOKUP(YEAR(C25)+(MONTH(C25)/100),TC!$5:$37,DAY(C25)+2,FALSE),VLOOKUP(F25,Equivalencia!$3:$23,((MAX(Equivalencia!$3:$3)-YEAR(C25))*14)+MONTH(C25)+2,FALSE)))</f>
        <v>1</v>
      </c>
      <c r="I25" s="143">
        <f t="shared" si="4"/>
        <v>354.43</v>
      </c>
      <c r="P25" s="54"/>
    </row>
    <row r="26" spans="2:16" s="13" customFormat="1" ht="20.100000000000001" customHeight="1">
      <c r="B26" s="64">
        <v>1427200</v>
      </c>
      <c r="C26" s="65">
        <v>44861</v>
      </c>
      <c r="D26" s="64" t="s">
        <v>523</v>
      </c>
      <c r="E26" s="154" t="s">
        <v>529</v>
      </c>
      <c r="F26" s="64" t="s">
        <v>33</v>
      </c>
      <c r="G26" s="67">
        <v>335.26</v>
      </c>
      <c r="H26" s="393">
        <f>+IF(F26=0,0,IF(F26="MXN",1/HLOOKUP(YEAR(C26)+(MONTH(C26)/100),TC!$5:$37,DAY(C26)+2,FALSE),VLOOKUP(F26,Equivalencia!$3:$23,((MAX(Equivalencia!$3:$3)-YEAR(C26))*14)+MONTH(C26)+2,FALSE)))</f>
        <v>1</v>
      </c>
      <c r="I26" s="143">
        <f t="shared" si="4"/>
        <v>335.26</v>
      </c>
      <c r="P26" s="54"/>
    </row>
    <row r="27" spans="2:16" s="13" customFormat="1" ht="20.100000000000001" customHeight="1">
      <c r="B27" s="64">
        <v>1427200</v>
      </c>
      <c r="C27" s="65">
        <v>44861</v>
      </c>
      <c r="D27" s="64" t="s">
        <v>521</v>
      </c>
      <c r="E27" s="154" t="s">
        <v>527</v>
      </c>
      <c r="F27" s="64" t="s">
        <v>33</v>
      </c>
      <c r="G27" s="67">
        <v>266.33999999999997</v>
      </c>
      <c r="H27" s="393">
        <f>+IF(F27=0,0,IF(F27="MXN",1/HLOOKUP(YEAR(C27)+(MONTH(C27)/100),TC!$5:$37,DAY(C27)+2,FALSE),VLOOKUP(F27,Equivalencia!$3:$23,((MAX(Equivalencia!$3:$3)-YEAR(C27))*14)+MONTH(C27)+2,FALSE)))</f>
        <v>1</v>
      </c>
      <c r="I27" s="143">
        <f t="shared" si="4"/>
        <v>266.33999999999997</v>
      </c>
      <c r="P27" s="54"/>
    </row>
    <row r="28" spans="2:16" s="13" customFormat="1" ht="20.100000000000001" customHeight="1">
      <c r="B28" s="64" t="s">
        <v>11</v>
      </c>
      <c r="C28" s="65">
        <v>44582</v>
      </c>
      <c r="D28" s="64" t="s">
        <v>523</v>
      </c>
      <c r="E28" s="154" t="s">
        <v>531</v>
      </c>
      <c r="F28" s="64" t="s">
        <v>33</v>
      </c>
      <c r="G28" s="67">
        <v>1091.57</v>
      </c>
      <c r="H28" s="393">
        <f>+IF(F28=0,0,IF(F28="MXN",1/HLOOKUP(YEAR(C28)+(MONTH(C28)/100),TC!$5:$37,DAY(C28)+2,FALSE),VLOOKUP(F28,Equivalencia!$3:$23,((MAX(Equivalencia!$3:$3)-YEAR(C28))*14)+MONTH(C28)+2,FALSE)))</f>
        <v>1</v>
      </c>
      <c r="I28" s="143">
        <f t="shared" si="0"/>
        <v>1091.57</v>
      </c>
      <c r="P28" s="54"/>
    </row>
    <row r="29" spans="2:16" s="13" customFormat="1" ht="20.100000000000001" customHeight="1">
      <c r="B29" s="64" t="s">
        <v>11</v>
      </c>
      <c r="C29" s="65">
        <v>44575</v>
      </c>
      <c r="D29" s="64" t="s">
        <v>530</v>
      </c>
      <c r="E29" s="154" t="s">
        <v>507</v>
      </c>
      <c r="F29" s="64" t="s">
        <v>33</v>
      </c>
      <c r="G29" s="67">
        <v>4250</v>
      </c>
      <c r="H29" s="393">
        <f>+IF(F29=0,0,IF(F29="MXN",1/HLOOKUP(YEAR(C29)+(MONTH(C29)/100),TC!$5:$37,DAY(C29)+2,FALSE),VLOOKUP(F29,Equivalencia!$3:$23,((MAX(Equivalencia!$3:$3)-YEAR(C29))*14)+MONTH(C29)+2,FALSE)))</f>
        <v>1</v>
      </c>
      <c r="I29" s="143">
        <f t="shared" si="0"/>
        <v>4250</v>
      </c>
      <c r="P29" s="54"/>
    </row>
    <row r="30" spans="2:16" s="13" customFormat="1" ht="20.100000000000001" customHeight="1">
      <c r="B30" s="64" t="s">
        <v>11</v>
      </c>
      <c r="C30" s="65">
        <v>44575</v>
      </c>
      <c r="D30" s="64" t="s">
        <v>523</v>
      </c>
      <c r="E30" s="154" t="s">
        <v>507</v>
      </c>
      <c r="F30" s="64" t="s">
        <v>33</v>
      </c>
      <c r="G30" s="67">
        <v>10000</v>
      </c>
      <c r="H30" s="393">
        <f>+IF(F30=0,0,IF(F30="MXN",1/HLOOKUP(YEAR(C30)+(MONTH(C30)/100),TC!$5:$37,DAY(C30)+2,FALSE),VLOOKUP(F30,Equivalencia!$3:$23,((MAX(Equivalencia!$3:$3)-YEAR(C30))*14)+MONTH(C30)+2,FALSE)))</f>
        <v>1</v>
      </c>
      <c r="I30" s="143">
        <f t="shared" si="0"/>
        <v>10000</v>
      </c>
      <c r="P30" s="54"/>
    </row>
    <row r="31" spans="2:16" s="13" customFormat="1" ht="20.100000000000001" customHeight="1">
      <c r="B31" s="64" t="s">
        <v>11</v>
      </c>
      <c r="C31" s="65">
        <v>44575</v>
      </c>
      <c r="D31" s="64" t="s">
        <v>523</v>
      </c>
      <c r="E31" s="154" t="s">
        <v>532</v>
      </c>
      <c r="F31" s="64" t="s">
        <v>33</v>
      </c>
      <c r="G31" s="67">
        <v>284.05</v>
      </c>
      <c r="H31" s="393">
        <f>+IF(F31=0,0,IF(F31="MXN",1/HLOOKUP(YEAR(C31)+(MONTH(C31)/100),TC!$5:$37,DAY(C31)+2,FALSE),VLOOKUP(F31,Equivalencia!$3:$23,((MAX(Equivalencia!$3:$3)-YEAR(C31))*14)+MONTH(C31)+2,FALSE)))</f>
        <v>1</v>
      </c>
      <c r="I31" s="143">
        <f t="shared" ref="I31" si="5">+H31*G31</f>
        <v>284.05</v>
      </c>
      <c r="P31" s="54"/>
    </row>
    <row r="32" spans="2:16" s="13" customFormat="1" ht="20.100000000000001" customHeight="1">
      <c r="B32" s="64" t="s">
        <v>11</v>
      </c>
      <c r="C32" s="65">
        <v>44575</v>
      </c>
      <c r="D32" s="64" t="s">
        <v>523</v>
      </c>
      <c r="E32" s="154" t="s">
        <v>533</v>
      </c>
      <c r="F32" s="64" t="s">
        <v>33</v>
      </c>
      <c r="G32" s="67">
        <v>492.35</v>
      </c>
      <c r="H32" s="393">
        <f>+IF(F32=0,0,IF(F32="MXN",1/HLOOKUP(YEAR(C32)+(MONTH(C32)/100),TC!$5:$37,DAY(C32)+2,FALSE),VLOOKUP(F32,Equivalencia!$3:$23,((MAX(Equivalencia!$3:$3)-YEAR(C32))*14)+MONTH(C32)+2,FALSE)))</f>
        <v>1</v>
      </c>
      <c r="I32" s="143">
        <f t="shared" ref="I32" si="6">+H32*G32</f>
        <v>492.35</v>
      </c>
      <c r="P32" s="54"/>
    </row>
    <row r="33" spans="2:16" s="13" customFormat="1" ht="20.100000000000001" customHeight="1">
      <c r="B33" s="64" t="s">
        <v>11</v>
      </c>
      <c r="C33" s="65">
        <v>44636</v>
      </c>
      <c r="D33" s="64" t="s">
        <v>530</v>
      </c>
      <c r="E33" s="154" t="s">
        <v>507</v>
      </c>
      <c r="F33" s="64" t="s">
        <v>33</v>
      </c>
      <c r="G33" s="67">
        <v>5250</v>
      </c>
      <c r="H33" s="393">
        <f>+IF(F33=0,0,IF(F33="MXN",1/HLOOKUP(YEAR(C33)+(MONTH(C33)/100),TC!$5:$37,DAY(C33)+2,FALSE),VLOOKUP(F33,Equivalencia!$3:$23,((MAX(Equivalencia!$3:$3)-YEAR(C33))*14)+MONTH(C33)+2,FALSE)))</f>
        <v>1</v>
      </c>
      <c r="I33" s="143">
        <f t="shared" ref="I33:I34" si="7">+H33*G33</f>
        <v>5250</v>
      </c>
      <c r="P33" s="54"/>
    </row>
    <row r="34" spans="2:16" s="13" customFormat="1" ht="20.100000000000001" customHeight="1">
      <c r="B34" s="64" t="s">
        <v>11</v>
      </c>
      <c r="C34" s="65">
        <v>44671</v>
      </c>
      <c r="D34" s="64" t="s">
        <v>523</v>
      </c>
      <c r="E34" s="154" t="s">
        <v>531</v>
      </c>
      <c r="F34" s="64" t="s">
        <v>33</v>
      </c>
      <c r="G34" s="67">
        <v>982.26</v>
      </c>
      <c r="H34" s="393">
        <f>+IF(F34=0,0,IF(F34="MXN",1/HLOOKUP(YEAR(C34)+(MONTH(C34)/100),TC!$5:$37,DAY(C34)+2,FALSE),VLOOKUP(F34,Equivalencia!$3:$23,((MAX(Equivalencia!$3:$3)-YEAR(C34))*14)+MONTH(C34)+2,FALSE)))</f>
        <v>1</v>
      </c>
      <c r="I34" s="143">
        <f t="shared" si="7"/>
        <v>982.26</v>
      </c>
      <c r="P34" s="54"/>
    </row>
    <row r="35" spans="2:16" s="13" customFormat="1" ht="20.100000000000001" customHeight="1">
      <c r="B35" s="64" t="s">
        <v>11</v>
      </c>
      <c r="C35" s="65">
        <v>44736</v>
      </c>
      <c r="D35" s="64" t="s">
        <v>530</v>
      </c>
      <c r="E35" s="154" t="s">
        <v>507</v>
      </c>
      <c r="F35" s="64" t="s">
        <v>33</v>
      </c>
      <c r="G35" s="67">
        <v>5250</v>
      </c>
      <c r="H35" s="393">
        <f>+IF(F35=0,0,IF(F35="MXN",1/HLOOKUP(YEAR(C35)+(MONTH(C35)/100),TC!$5:$37,DAY(C35)+2,FALSE),VLOOKUP(F35,Equivalencia!$3:$23,((MAX(Equivalencia!$3:$3)-YEAR(C35))*14)+MONTH(C35)+2,FALSE)))</f>
        <v>1</v>
      </c>
      <c r="I35" s="143">
        <f t="shared" si="0"/>
        <v>5250</v>
      </c>
      <c r="P35" s="54"/>
    </row>
    <row r="36" spans="2:16" s="13" customFormat="1" ht="20.100000000000001" customHeight="1">
      <c r="B36" s="64" t="s">
        <v>11</v>
      </c>
      <c r="C36" s="65">
        <v>44736</v>
      </c>
      <c r="D36" s="64" t="s">
        <v>530</v>
      </c>
      <c r="E36" s="154" t="s">
        <v>507</v>
      </c>
      <c r="F36" s="64" t="s">
        <v>33</v>
      </c>
      <c r="G36" s="67">
        <v>440.37</v>
      </c>
      <c r="H36" s="393">
        <f>+IF(F36=0,0,IF(F36="MXN",1/HLOOKUP(YEAR(C36)+(MONTH(C36)/100),TC!$5:$37,DAY(C36)+2,FALSE),VLOOKUP(F36,Equivalencia!$3:$23,((MAX(Equivalencia!$3:$3)-YEAR(C36))*14)+MONTH(C36)+2,FALSE)))</f>
        <v>1</v>
      </c>
      <c r="I36" s="143">
        <f t="shared" si="0"/>
        <v>440.37</v>
      </c>
      <c r="P36" s="54"/>
    </row>
    <row r="37" spans="2:16" s="13" customFormat="1" ht="20.100000000000001" customHeight="1">
      <c r="B37" s="64" t="s">
        <v>11</v>
      </c>
      <c r="C37" s="65">
        <v>44736</v>
      </c>
      <c r="D37" s="64" t="s">
        <v>522</v>
      </c>
      <c r="E37" s="154" t="s">
        <v>507</v>
      </c>
      <c r="F37" s="64" t="s">
        <v>33</v>
      </c>
      <c r="G37" s="67">
        <v>362.95</v>
      </c>
      <c r="H37" s="393">
        <f>+IF(F37=0,0,IF(F37="MXN",1/HLOOKUP(YEAR(C37)+(MONTH(C37)/100),TC!$5:$37,DAY(C37)+2,FALSE),VLOOKUP(F37,Equivalencia!$3:$23,((MAX(Equivalencia!$3:$3)-YEAR(C37))*14)+MONTH(C37)+2,FALSE)))</f>
        <v>1</v>
      </c>
      <c r="I37" s="143">
        <f t="shared" si="0"/>
        <v>362.95</v>
      </c>
      <c r="P37" s="54"/>
    </row>
    <row r="38" spans="2:16" s="13" customFormat="1" ht="20.100000000000001" customHeight="1">
      <c r="B38" s="64" t="s">
        <v>11</v>
      </c>
      <c r="C38" s="65">
        <v>44763</v>
      </c>
      <c r="D38" s="64" t="s">
        <v>523</v>
      </c>
      <c r="E38" s="154" t="s">
        <v>531</v>
      </c>
      <c r="F38" s="64" t="s">
        <v>33</v>
      </c>
      <c r="G38" s="67">
        <v>871.92</v>
      </c>
      <c r="H38" s="393">
        <f>+IF(F38=0,0,IF(F38="MXN",1/HLOOKUP(YEAR(C38)+(MONTH(C38)/100),TC!$5:$37,DAY(C38)+2,FALSE),VLOOKUP(F38,Equivalencia!$3:$23,((MAX(Equivalencia!$3:$3)-YEAR(C38))*14)+MONTH(C38)+2,FALSE)))</f>
        <v>1</v>
      </c>
      <c r="I38" s="143">
        <f t="shared" si="0"/>
        <v>871.92</v>
      </c>
      <c r="P38" s="54"/>
    </row>
    <row r="39" spans="2:16" s="13" customFormat="1" ht="20.100000000000001" customHeight="1">
      <c r="B39" s="64" t="s">
        <v>11</v>
      </c>
      <c r="C39" s="65">
        <v>44854</v>
      </c>
      <c r="D39" s="64" t="s">
        <v>523</v>
      </c>
      <c r="E39" s="154" t="s">
        <v>531</v>
      </c>
      <c r="F39" s="64" t="s">
        <v>33</v>
      </c>
      <c r="G39" s="67">
        <v>1748.6</v>
      </c>
      <c r="H39" s="393">
        <f>+IF(F39=0,0,IF(F39="MXN",1/HLOOKUP(YEAR(C39)+(MONTH(C39)/100),TC!$5:$37,DAY(C39)+2,FALSE),VLOOKUP(F39,Equivalencia!$3:$23,((MAX(Equivalencia!$3:$3)-YEAR(C39))*14)+MONTH(C39)+2,FALSE)))</f>
        <v>1</v>
      </c>
      <c r="I39" s="143">
        <f t="shared" si="0"/>
        <v>1748.6</v>
      </c>
      <c r="P39" s="54"/>
    </row>
    <row r="40" spans="2:16" s="13" customFormat="1" ht="20.100000000000001" hidden="1" customHeight="1">
      <c r="B40" s="64" t="s">
        <v>25</v>
      </c>
      <c r="C40" s="65"/>
      <c r="D40" s="64"/>
      <c r="E40" s="154"/>
      <c r="F40" s="64"/>
      <c r="G40" s="67"/>
      <c r="H40" s="393">
        <f>+IF(F40=0,0,IF(F40="MXN",1/HLOOKUP(YEAR(C40)+(MONTH(C40)/100),TC!$5:$37,DAY(C40)+2,FALSE),VLOOKUP(F40,Equivalencia!$3:$23,((MAX(Equivalencia!$3:$3)-YEAR(C40))*14)+MONTH(C40)+2,FALSE)))</f>
        <v>0</v>
      </c>
      <c r="I40" s="143">
        <f t="shared" si="0"/>
        <v>0</v>
      </c>
      <c r="P40" s="54"/>
    </row>
    <row r="41" spans="2:16" s="82" customFormat="1" ht="20.100000000000001" customHeight="1">
      <c r="B41" s="54"/>
      <c r="C41" s="55"/>
      <c r="D41" s="54"/>
      <c r="E41" s="151"/>
      <c r="F41" s="54"/>
      <c r="G41" s="56"/>
      <c r="H41" s="132"/>
      <c r="I41" s="131"/>
    </row>
    <row r="42" spans="2:16" ht="20.100000000000001" customHeight="1">
      <c r="B42" s="97" t="s">
        <v>534</v>
      </c>
      <c r="C42" s="105"/>
      <c r="D42" s="105"/>
      <c r="E42" s="105"/>
      <c r="F42" s="105"/>
      <c r="G42" s="148">
        <f>SUM(G8:G41)</f>
        <v>146543.99000000002</v>
      </c>
      <c r="H42" s="105"/>
      <c r="I42" s="148">
        <f>SUM(I8:I41)</f>
        <v>146543.99000000002</v>
      </c>
    </row>
    <row r="46" spans="2:16" ht="36" customHeight="1">
      <c r="F46" s="133"/>
      <c r="G46" s="139" t="s">
        <v>116</v>
      </c>
      <c r="H46" s="140"/>
      <c r="I46" s="139" t="s">
        <v>117</v>
      </c>
    </row>
    <row r="47" spans="2:16" ht="20.100000000000001" customHeight="1">
      <c r="F47" s="133"/>
      <c r="G47" s="135"/>
      <c r="H47" s="134"/>
      <c r="I47" s="136"/>
    </row>
    <row r="48" spans="2:16" ht="20.100000000000001" customHeight="1">
      <c r="E48" s="145" t="s">
        <v>535</v>
      </c>
      <c r="F48" s="85">
        <f>+Cuentas!B7</f>
        <v>1175000</v>
      </c>
      <c r="G48" s="146">
        <f t="shared" ref="G48:G65" si="8">SUMIF($B$7:$B$552,F48,$G$7:$G$552)</f>
        <v>19210.82</v>
      </c>
      <c r="H48" s="147"/>
      <c r="I48" s="146">
        <f t="shared" ref="I48:I65" si="9">SUMIF($B$7:$B$552,F48,$I$7:$I$552)</f>
        <v>19210.82</v>
      </c>
    </row>
    <row r="49" spans="5:9" ht="20.100000000000001" customHeight="1">
      <c r="E49" s="145" t="s">
        <v>535</v>
      </c>
      <c r="F49" s="85">
        <f>+Cuentas!B8</f>
        <v>1179000</v>
      </c>
      <c r="G49" s="146">
        <f t="shared" si="8"/>
        <v>93605.87999999999</v>
      </c>
      <c r="H49" s="147"/>
      <c r="I49" s="146">
        <f t="shared" si="9"/>
        <v>93605.87999999999</v>
      </c>
    </row>
    <row r="50" spans="5:9" ht="20.100000000000001" customHeight="1">
      <c r="E50" s="145" t="s">
        <v>535</v>
      </c>
      <c r="F50" s="85">
        <f>+Cuentas!B9</f>
        <v>1427200</v>
      </c>
      <c r="G50" s="146">
        <f t="shared" si="8"/>
        <v>2703.2200000000003</v>
      </c>
      <c r="H50" s="147"/>
      <c r="I50" s="146">
        <f t="shared" si="9"/>
        <v>2703.2200000000003</v>
      </c>
    </row>
    <row r="51" spans="5:9" ht="20.100000000000001" customHeight="1">
      <c r="E51" s="145" t="s">
        <v>535</v>
      </c>
      <c r="F51" s="85" t="str">
        <f>+Cuentas!B10</f>
        <v>B22235000</v>
      </c>
      <c r="G51" s="146">
        <f t="shared" si="8"/>
        <v>31024.069999999996</v>
      </c>
      <c r="H51" s="147"/>
      <c r="I51" s="146">
        <f t="shared" si="9"/>
        <v>31024.069999999996</v>
      </c>
    </row>
    <row r="52" spans="5:9" ht="20.100000000000001" hidden="1" customHeight="1">
      <c r="E52" s="145" t="s">
        <v>535</v>
      </c>
      <c r="F52" s="85">
        <f>+Cuentas!B11</f>
        <v>700833580</v>
      </c>
      <c r="G52" s="146">
        <f t="shared" si="8"/>
        <v>0</v>
      </c>
      <c r="H52" s="147"/>
      <c r="I52" s="146">
        <f t="shared" si="9"/>
        <v>0</v>
      </c>
    </row>
    <row r="53" spans="5:9" ht="20.100000000000001" hidden="1" customHeight="1">
      <c r="E53" s="145" t="s">
        <v>535</v>
      </c>
      <c r="F53" s="85" t="str">
        <f>+Cuentas!B12</f>
        <v>F</v>
      </c>
      <c r="G53" s="146">
        <f t="shared" si="8"/>
        <v>0</v>
      </c>
      <c r="H53" s="147"/>
      <c r="I53" s="146">
        <f t="shared" si="9"/>
        <v>0</v>
      </c>
    </row>
    <row r="54" spans="5:9" ht="20.100000000000001" hidden="1" customHeight="1">
      <c r="E54" s="145" t="s">
        <v>535</v>
      </c>
      <c r="F54" s="85" t="str">
        <f>+Cuentas!B13</f>
        <v>G</v>
      </c>
      <c r="G54" s="146">
        <f t="shared" si="8"/>
        <v>0</v>
      </c>
      <c r="H54" s="147"/>
      <c r="I54" s="146">
        <f t="shared" si="9"/>
        <v>0</v>
      </c>
    </row>
    <row r="55" spans="5:9" ht="20.100000000000001" hidden="1" customHeight="1">
      <c r="E55" s="145" t="s">
        <v>535</v>
      </c>
      <c r="F55" s="85" t="str">
        <f>+Cuentas!B14</f>
        <v>H</v>
      </c>
      <c r="G55" s="146">
        <f t="shared" si="8"/>
        <v>0</v>
      </c>
      <c r="H55" s="147"/>
      <c r="I55" s="146">
        <f t="shared" si="9"/>
        <v>0</v>
      </c>
    </row>
    <row r="56" spans="5:9" ht="20.100000000000001" hidden="1" customHeight="1">
      <c r="E56" s="145" t="s">
        <v>535</v>
      </c>
      <c r="F56" s="85" t="str">
        <f>+Cuentas!B15</f>
        <v>I</v>
      </c>
      <c r="G56" s="146">
        <f t="shared" si="8"/>
        <v>0</v>
      </c>
      <c r="H56" s="147"/>
      <c r="I56" s="146">
        <f t="shared" si="9"/>
        <v>0</v>
      </c>
    </row>
    <row r="57" spans="5:9" ht="20.100000000000001" hidden="1" customHeight="1">
      <c r="E57" s="145" t="s">
        <v>535</v>
      </c>
      <c r="F57" s="85" t="str">
        <f>+Cuentas!B16</f>
        <v>J</v>
      </c>
      <c r="G57" s="146">
        <f t="shared" si="8"/>
        <v>0</v>
      </c>
      <c r="H57" s="147"/>
      <c r="I57" s="146">
        <f t="shared" si="9"/>
        <v>0</v>
      </c>
    </row>
    <row r="58" spans="5:9" ht="20.100000000000001" hidden="1" customHeight="1">
      <c r="E58" s="145" t="s">
        <v>535</v>
      </c>
      <c r="F58" s="85" t="str">
        <f>+Cuentas!B17</f>
        <v>K</v>
      </c>
      <c r="G58" s="146">
        <f t="shared" si="8"/>
        <v>0</v>
      </c>
      <c r="H58" s="147"/>
      <c r="I58" s="146">
        <f t="shared" si="9"/>
        <v>0</v>
      </c>
    </row>
    <row r="59" spans="5:9" ht="20.100000000000001" hidden="1" customHeight="1">
      <c r="E59" s="145" t="s">
        <v>535</v>
      </c>
      <c r="F59" s="85" t="str">
        <f>+Cuentas!B18</f>
        <v>L</v>
      </c>
      <c r="G59" s="146">
        <f t="shared" si="8"/>
        <v>0</v>
      </c>
      <c r="H59" s="147"/>
      <c r="I59" s="146">
        <f t="shared" si="9"/>
        <v>0</v>
      </c>
    </row>
    <row r="60" spans="5:9" ht="20.100000000000001" hidden="1" customHeight="1">
      <c r="E60" s="145" t="s">
        <v>535</v>
      </c>
      <c r="F60" s="85" t="str">
        <f>+Cuentas!B19</f>
        <v>M</v>
      </c>
      <c r="G60" s="146">
        <f t="shared" si="8"/>
        <v>0</v>
      </c>
      <c r="H60" s="147"/>
      <c r="I60" s="146">
        <f t="shared" si="9"/>
        <v>0</v>
      </c>
    </row>
    <row r="61" spans="5:9" ht="20.100000000000001" hidden="1" customHeight="1">
      <c r="E61" s="145" t="s">
        <v>535</v>
      </c>
      <c r="F61" s="85" t="str">
        <f>+Cuentas!B20</f>
        <v>N</v>
      </c>
      <c r="G61" s="146">
        <f t="shared" si="8"/>
        <v>0</v>
      </c>
      <c r="H61" s="147"/>
      <c r="I61" s="146">
        <f t="shared" si="9"/>
        <v>0</v>
      </c>
    </row>
    <row r="62" spans="5:9" ht="20.100000000000001" hidden="1" customHeight="1">
      <c r="E62" s="145" t="s">
        <v>535</v>
      </c>
      <c r="F62" s="85" t="str">
        <f>+Cuentas!B21</f>
        <v>O</v>
      </c>
      <c r="G62" s="146">
        <f t="shared" si="8"/>
        <v>0</v>
      </c>
      <c r="H62" s="147"/>
      <c r="I62" s="146">
        <f t="shared" si="9"/>
        <v>0</v>
      </c>
    </row>
    <row r="63" spans="5:9" ht="20.100000000000001" hidden="1" customHeight="1">
      <c r="E63" s="145" t="s">
        <v>535</v>
      </c>
      <c r="F63" s="85" t="str">
        <f>+Cuentas!B22</f>
        <v>P</v>
      </c>
      <c r="G63" s="146">
        <f t="shared" si="8"/>
        <v>0</v>
      </c>
      <c r="H63" s="147"/>
      <c r="I63" s="146">
        <f t="shared" si="9"/>
        <v>0</v>
      </c>
    </row>
    <row r="64" spans="5:9" ht="20.100000000000001" hidden="1" customHeight="1">
      <c r="E64" s="145" t="s">
        <v>535</v>
      </c>
      <c r="F64" s="85" t="str">
        <f>+Cuentas!B23</f>
        <v>Q</v>
      </c>
      <c r="G64" s="146">
        <f t="shared" si="8"/>
        <v>0</v>
      </c>
      <c r="H64" s="147"/>
      <c r="I64" s="146">
        <f t="shared" si="9"/>
        <v>0</v>
      </c>
    </row>
    <row r="65" spans="2:9" ht="20.100000000000001" hidden="1" customHeight="1">
      <c r="E65" s="145" t="s">
        <v>535</v>
      </c>
      <c r="F65" s="85" t="str">
        <f>+Cuentas!B24</f>
        <v>R</v>
      </c>
      <c r="G65" s="146">
        <f t="shared" si="8"/>
        <v>0</v>
      </c>
      <c r="H65" s="147"/>
      <c r="I65" s="146">
        <f t="shared" si="9"/>
        <v>0</v>
      </c>
    </row>
    <row r="67" spans="2:9" ht="20.100000000000001" customHeight="1">
      <c r="F67" s="149" t="s">
        <v>119</v>
      </c>
      <c r="G67" s="150">
        <f>SUM(G48:G66)</f>
        <v>146543.99</v>
      </c>
      <c r="H67" s="87"/>
      <c r="I67" s="150">
        <f>SUM(I48:I66)</f>
        <v>146543.99</v>
      </c>
    </row>
    <row r="72" spans="2:9" ht="20.100000000000001" customHeight="1">
      <c r="B72" s="94" t="s">
        <v>26</v>
      </c>
      <c r="C72" s="13"/>
      <c r="D72" s="13"/>
      <c r="E72" s="13"/>
      <c r="F72" s="13"/>
      <c r="G72" s="13"/>
      <c r="H72" s="13"/>
      <c r="I72" s="13"/>
    </row>
    <row r="73" spans="2:9" ht="20.100000000000001" customHeight="1">
      <c r="B73" s="13"/>
      <c r="C73" s="13"/>
      <c r="D73" s="13"/>
      <c r="E73" s="13"/>
      <c r="F73" s="13"/>
      <c r="G73" s="13"/>
      <c r="H73" s="13"/>
      <c r="I73" s="13"/>
    </row>
    <row r="74" spans="2:9" ht="20.100000000000001" customHeight="1">
      <c r="B74" s="13"/>
      <c r="C74" s="13"/>
      <c r="D74" s="13"/>
      <c r="E74" s="13"/>
      <c r="F74" s="13"/>
      <c r="G74" s="13"/>
      <c r="H74" s="13"/>
      <c r="I74" s="13"/>
    </row>
    <row r="75" spans="2:9" ht="20.100000000000001" customHeight="1">
      <c r="B75" s="13"/>
      <c r="C75" s="13"/>
      <c r="D75" s="13"/>
      <c r="E75" s="13"/>
      <c r="F75" s="13"/>
      <c r="G75" s="13"/>
      <c r="H75" s="13"/>
      <c r="I75" s="13"/>
    </row>
    <row r="76" spans="2:9" ht="20.100000000000001" customHeight="1">
      <c r="B76" s="13"/>
      <c r="C76" s="13"/>
      <c r="D76" s="13"/>
      <c r="E76" s="13"/>
      <c r="F76" s="13"/>
      <c r="G76" s="13"/>
      <c r="H76" s="13"/>
      <c r="I76" s="13"/>
    </row>
    <row r="77" spans="2:9" ht="20.100000000000001" customHeight="1">
      <c r="B77" s="13"/>
      <c r="C77" s="13"/>
      <c r="D77" s="13"/>
      <c r="E77" s="13"/>
      <c r="F77" s="13"/>
      <c r="G77" s="13"/>
      <c r="H77" s="13"/>
      <c r="I77" s="13"/>
    </row>
    <row r="78" spans="2:9" ht="20.100000000000001" customHeight="1">
      <c r="B78" s="13"/>
      <c r="C78" s="13"/>
      <c r="D78" s="13"/>
      <c r="E78" s="13"/>
      <c r="F78" s="13"/>
      <c r="G78" s="13"/>
      <c r="H78" s="13"/>
      <c r="I78" s="13"/>
    </row>
    <row r="79" spans="2:9" ht="20.100000000000001" customHeight="1">
      <c r="B79" s="13"/>
      <c r="C79" s="13"/>
      <c r="D79" s="13"/>
      <c r="E79" s="13"/>
      <c r="F79" s="13"/>
      <c r="G79" s="13"/>
      <c r="H79" s="13"/>
      <c r="I79" s="13"/>
    </row>
    <row r="80" spans="2:9" ht="20.100000000000001" customHeight="1">
      <c r="B80" s="13"/>
      <c r="C80" s="13"/>
      <c r="D80" s="13"/>
      <c r="E80" s="13"/>
      <c r="F80" s="13"/>
      <c r="G80" s="13"/>
      <c r="H80" s="13"/>
      <c r="I80" s="13"/>
    </row>
    <row r="81" spans="2:9" ht="20.100000000000001" customHeight="1">
      <c r="B81" s="13"/>
      <c r="C81" s="13"/>
      <c r="D81" s="13"/>
      <c r="E81" s="13"/>
      <c r="F81" s="13"/>
      <c r="G81" s="13"/>
      <c r="H81" s="13"/>
      <c r="I81" s="13"/>
    </row>
    <row r="82" spans="2:9" ht="20.100000000000001" customHeight="1">
      <c r="B82" s="13"/>
      <c r="C82" s="13"/>
      <c r="D82" s="13"/>
      <c r="E82" s="13"/>
      <c r="F82" s="13"/>
      <c r="G82" s="13"/>
      <c r="H82" s="13"/>
      <c r="I82" s="13"/>
    </row>
    <row r="83" spans="2:9" ht="20.100000000000001" customHeight="1">
      <c r="B83" s="13"/>
      <c r="C83" s="13"/>
      <c r="D83" s="13"/>
      <c r="E83" s="13"/>
      <c r="F83" s="13"/>
      <c r="G83" s="13"/>
      <c r="H83" s="13"/>
      <c r="I83" s="13"/>
    </row>
    <row r="84" spans="2:9" ht="20.100000000000001" customHeight="1">
      <c r="B84" s="13"/>
      <c r="C84" s="13"/>
      <c r="D84" s="13"/>
      <c r="E84" s="13"/>
      <c r="F84" s="13"/>
      <c r="G84" s="13"/>
      <c r="H84" s="13"/>
      <c r="I84" s="13"/>
    </row>
    <row r="85" spans="2:9" ht="20.100000000000001" customHeight="1">
      <c r="B85" s="13"/>
      <c r="C85" s="13"/>
      <c r="D85" s="13"/>
      <c r="E85" s="13"/>
      <c r="F85" s="13"/>
      <c r="G85" s="13"/>
      <c r="H85" s="13"/>
      <c r="I85" s="13"/>
    </row>
    <row r="86" spans="2:9" ht="20.100000000000001" customHeight="1">
      <c r="B86" s="13"/>
      <c r="C86" s="13"/>
      <c r="D86" s="13"/>
      <c r="E86" s="13"/>
      <c r="F86" s="13"/>
      <c r="G86" s="13"/>
      <c r="H86" s="13"/>
      <c r="I86" s="13"/>
    </row>
    <row r="87" spans="2:9" ht="20.100000000000001" customHeight="1">
      <c r="B87" s="13"/>
      <c r="C87" s="13"/>
      <c r="D87" s="13"/>
      <c r="E87" s="13"/>
      <c r="F87" s="13"/>
      <c r="G87" s="13"/>
      <c r="H87" s="13"/>
      <c r="I87" s="13"/>
    </row>
    <row r="88" spans="2:9" ht="20.100000000000001" customHeight="1">
      <c r="B88" s="13"/>
      <c r="C88" s="13"/>
      <c r="D88" s="13"/>
      <c r="E88" s="13"/>
      <c r="F88" s="13"/>
      <c r="G88" s="13"/>
      <c r="H88" s="13"/>
      <c r="I88" s="13"/>
    </row>
    <row r="89" spans="2:9" ht="20.100000000000001" customHeight="1">
      <c r="B89" s="13"/>
      <c r="C89" s="13"/>
      <c r="D89" s="13"/>
      <c r="E89" s="13"/>
      <c r="F89" s="13"/>
      <c r="G89" s="13"/>
      <c r="H89" s="13"/>
      <c r="I89" s="13"/>
    </row>
    <row r="90" spans="2:9" ht="20.100000000000001" customHeight="1">
      <c r="B90" s="13"/>
      <c r="C90" s="13"/>
      <c r="D90" s="13"/>
      <c r="E90" s="13"/>
      <c r="F90" s="13"/>
      <c r="G90" s="13"/>
      <c r="H90" s="13"/>
      <c r="I90" s="13"/>
    </row>
    <row r="91" spans="2:9" ht="20.100000000000001" customHeight="1">
      <c r="B91" s="13"/>
      <c r="C91" s="13"/>
      <c r="D91" s="13"/>
      <c r="E91" s="13"/>
      <c r="F91" s="13"/>
      <c r="G91" s="13"/>
      <c r="H91" s="13"/>
      <c r="I91" s="13"/>
    </row>
    <row r="92" spans="2:9" ht="20.100000000000001" customHeight="1">
      <c r="B92" s="13"/>
      <c r="C92" s="13"/>
      <c r="D92" s="13"/>
      <c r="E92" s="13"/>
      <c r="F92" s="13"/>
      <c r="G92" s="13"/>
      <c r="H92" s="13"/>
      <c r="I92" s="13"/>
    </row>
    <row r="93" spans="2:9" ht="20.100000000000001" customHeight="1">
      <c r="B93" s="13"/>
      <c r="C93" s="13"/>
      <c r="D93" s="13"/>
      <c r="E93" s="13"/>
      <c r="F93" s="13"/>
      <c r="G93" s="13"/>
      <c r="H93" s="13"/>
      <c r="I93" s="13"/>
    </row>
    <row r="94" spans="2:9" ht="20.100000000000001" customHeight="1">
      <c r="B94" s="13"/>
      <c r="C94" s="13"/>
      <c r="D94" s="13"/>
      <c r="E94" s="13"/>
      <c r="F94" s="13"/>
      <c r="G94" s="13"/>
      <c r="H94" s="13"/>
      <c r="I94" s="13"/>
    </row>
    <row r="95" spans="2:9" ht="20.100000000000001" customHeight="1">
      <c r="B95" s="13"/>
      <c r="C95" s="13"/>
      <c r="D95" s="13"/>
      <c r="E95" s="13"/>
      <c r="F95" s="13"/>
      <c r="G95" s="13"/>
      <c r="H95" s="13"/>
      <c r="I95" s="13"/>
    </row>
    <row r="96" spans="2:9" ht="20.100000000000001" customHeight="1">
      <c r="B96" s="13"/>
      <c r="C96" s="13"/>
      <c r="D96" s="13"/>
      <c r="E96" s="13"/>
      <c r="F96" s="13"/>
      <c r="G96" s="13"/>
      <c r="H96" s="13"/>
      <c r="I96" s="13"/>
    </row>
    <row r="97" spans="2:9" ht="20.100000000000001" customHeight="1">
      <c r="B97" s="13"/>
      <c r="C97" s="13"/>
      <c r="D97" s="13"/>
      <c r="E97" s="13"/>
      <c r="F97" s="13"/>
      <c r="G97" s="13"/>
      <c r="H97" s="13"/>
      <c r="I97" s="13"/>
    </row>
    <row r="98" spans="2:9" ht="20.100000000000001" customHeight="1">
      <c r="B98" s="13"/>
      <c r="C98" s="13"/>
      <c r="D98" s="13"/>
      <c r="E98" s="13"/>
      <c r="F98" s="13"/>
      <c r="G98" s="13"/>
      <c r="H98" s="13"/>
      <c r="I98" s="13"/>
    </row>
    <row r="99" spans="2:9" ht="20.100000000000001" customHeight="1">
      <c r="B99" s="13"/>
      <c r="C99" s="13"/>
      <c r="D99" s="13"/>
      <c r="E99" s="13"/>
      <c r="F99" s="13"/>
      <c r="G99" s="13"/>
      <c r="H99" s="13"/>
      <c r="I99" s="13"/>
    </row>
    <row r="100" spans="2:9" ht="20.100000000000001" customHeight="1">
      <c r="B100" s="13"/>
      <c r="C100" s="13"/>
      <c r="D100" s="13"/>
      <c r="E100" s="13"/>
      <c r="F100" s="13"/>
      <c r="G100" s="13"/>
      <c r="H100" s="13"/>
      <c r="I100" s="13"/>
    </row>
    <row r="101" spans="2:9" ht="20.100000000000001" customHeight="1">
      <c r="B101" s="13"/>
      <c r="C101" s="13"/>
      <c r="D101" s="13"/>
      <c r="E101" s="13"/>
      <c r="F101" s="13"/>
      <c r="G101" s="13"/>
      <c r="H101" s="13"/>
      <c r="I101" s="13"/>
    </row>
    <row r="102" spans="2:9" ht="20.100000000000001" customHeight="1">
      <c r="B102" s="13"/>
      <c r="C102" s="13"/>
      <c r="D102" s="13"/>
      <c r="E102" s="13"/>
      <c r="F102" s="13"/>
      <c r="G102" s="13"/>
      <c r="H102" s="13"/>
      <c r="I102" s="13"/>
    </row>
    <row r="103" spans="2:9" ht="20.100000000000001" customHeight="1">
      <c r="B103" s="13"/>
      <c r="C103" s="13"/>
      <c r="D103" s="13"/>
      <c r="E103" s="13"/>
      <c r="F103" s="13"/>
      <c r="G103" s="13"/>
      <c r="H103" s="13"/>
      <c r="I103" s="13"/>
    </row>
    <row r="104" spans="2:9" ht="20.100000000000001" customHeight="1">
      <c r="B104" s="13"/>
      <c r="C104" s="13"/>
      <c r="D104" s="13"/>
      <c r="E104" s="13"/>
      <c r="F104" s="13"/>
      <c r="G104" s="13"/>
      <c r="H104" s="13"/>
      <c r="I104" s="13"/>
    </row>
    <row r="105" spans="2:9" ht="20.100000000000001" customHeight="1">
      <c r="B105" s="13"/>
      <c r="C105" s="13"/>
      <c r="D105" s="13"/>
      <c r="E105" s="13"/>
      <c r="F105" s="13"/>
      <c r="G105" s="13"/>
      <c r="H105" s="13"/>
      <c r="I105" s="13"/>
    </row>
  </sheetData>
  <sheetProtection algorithmName="SHA-512" hashValue="0gKxypJBGvclXhNVXLZ0OMWnt6vn3S/F5AgrG9YcnuP08w45iJRSt4JlKOAfUWsC2xTUeHY52J/5y4764jwoRQ==" saltValue="SIneHP8N+aHgdFxTkEUELg==" spinCount="100000" sheet="1" formatCells="0" formatColumns="0" formatRows="0" insertColumns="0" insertRows="0" deleteColumns="0" deleteRows="0" sort="0" autoFilter="0"/>
  <autoFilter ref="B6:I42" xr:uid="{3AB3A9EC-E6F7-9347-B099-E8162B06B67F}"/>
  <mergeCells count="2">
    <mergeCell ref="B2:I2"/>
    <mergeCell ref="B3:I3"/>
  </mergeCells>
  <dataValidations count="1">
    <dataValidation type="list" allowBlank="1" showInputMessage="1" showErrorMessage="1" sqref="D8:D41" xr:uid="{992D5343-6755-7D4C-8BF4-5D8243B8FAB8}">
      <formula1>$P$2:$P$20</formula1>
    </dataValidation>
  </dataValidations>
  <pageMargins left="0.7" right="0.7" top="0.75" bottom="0.75" header="0.3" footer="0.3"/>
  <pageSetup scale="61" fitToHeight="10"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66AE919B-E709-8F4A-B54E-AED330612040}">
          <x14:formula1>
            <xm:f>Equivalencia!$A$4:$A$23</xm:f>
          </x14:formula1>
          <xm:sqref>F8:F41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2:O85"/>
  <sheetViews>
    <sheetView view="pageBreakPreview" zoomScaleNormal="100" zoomScaleSheetLayoutView="100" workbookViewId="0">
      <pane ySplit="6" topLeftCell="A7" activePane="bottomLeft" state="frozen"/>
      <selection pane="bottomLeft" activeCell="F33" sqref="F33"/>
    </sheetView>
  </sheetViews>
  <sheetFormatPr defaultColWidth="10.6640625" defaultRowHeight="20.100000000000001" customHeight="1"/>
  <cols>
    <col min="1" max="1" width="10" style="12" customWidth="1"/>
    <col min="2" max="2" width="19.6640625" style="12" customWidth="1"/>
    <col min="3" max="3" width="14.6640625" style="12" customWidth="1"/>
    <col min="4" max="4" width="28" style="12" customWidth="1"/>
    <col min="5" max="5" width="51.5546875" style="12" customWidth="1"/>
    <col min="6" max="6" width="17.109375" style="12" customWidth="1"/>
    <col min="7" max="7" width="14.44140625" style="12" customWidth="1"/>
    <col min="8" max="8" width="16.33203125" style="12" customWidth="1"/>
    <col min="9" max="9" width="17.33203125" style="12" customWidth="1"/>
    <col min="10" max="14" width="10.6640625" style="12"/>
    <col min="15" max="15" width="27.109375" style="12" bestFit="1" customWidth="1"/>
    <col min="16" max="16384" width="10.6640625" style="12"/>
  </cols>
  <sheetData>
    <row r="2" spans="2:15" ht="20.100000000000001" customHeight="1">
      <c r="B2" s="587" t="s">
        <v>536</v>
      </c>
      <c r="C2" s="587"/>
      <c r="D2" s="587"/>
      <c r="E2" s="587"/>
      <c r="F2" s="587"/>
      <c r="G2" s="587"/>
      <c r="H2" s="587"/>
      <c r="I2" s="587"/>
      <c r="O2" s="53" t="s">
        <v>537</v>
      </c>
    </row>
    <row r="3" spans="2:15" ht="20.100000000000001" customHeight="1">
      <c r="B3" s="588" t="s">
        <v>519</v>
      </c>
      <c r="C3" s="588"/>
      <c r="D3" s="588"/>
      <c r="E3" s="588"/>
      <c r="F3" s="588"/>
      <c r="G3" s="588"/>
      <c r="H3" s="588"/>
      <c r="I3" s="588"/>
      <c r="O3" s="53" t="s">
        <v>538</v>
      </c>
    </row>
    <row r="4" spans="2:15" ht="14.1" customHeight="1">
      <c r="B4" s="79" t="s">
        <v>41</v>
      </c>
      <c r="C4" s="79" t="s">
        <v>42</v>
      </c>
      <c r="D4" s="79"/>
      <c r="E4" s="80"/>
      <c r="F4" s="80"/>
      <c r="G4" s="80"/>
      <c r="H4" s="80"/>
      <c r="I4" s="80"/>
      <c r="O4" s="130"/>
    </row>
    <row r="5" spans="2:15" s="127" customFormat="1" ht="23.1" customHeight="1">
      <c r="B5" s="141"/>
      <c r="C5" s="141"/>
      <c r="D5" s="141"/>
      <c r="E5" s="142"/>
      <c r="F5" s="142"/>
      <c r="G5" s="142"/>
      <c r="H5" s="142"/>
      <c r="I5" s="142"/>
      <c r="O5" s="130"/>
    </row>
    <row r="6" spans="2:15" ht="41.1" customHeight="1">
      <c r="B6" s="62" t="s">
        <v>103</v>
      </c>
      <c r="C6" s="62" t="s">
        <v>29</v>
      </c>
      <c r="D6" s="62" t="s">
        <v>457</v>
      </c>
      <c r="E6" s="62" t="s">
        <v>124</v>
      </c>
      <c r="F6" s="62" t="s">
        <v>106</v>
      </c>
      <c r="G6" s="62" t="s">
        <v>107</v>
      </c>
      <c r="H6" s="62" t="s">
        <v>108</v>
      </c>
      <c r="I6" s="62" t="s">
        <v>109</v>
      </c>
      <c r="O6" s="155"/>
    </row>
    <row r="7" spans="2:15" s="13" customFormat="1" ht="20.100000000000001" customHeight="1">
      <c r="O7" s="130"/>
    </row>
    <row r="8" spans="2:15" s="13" customFormat="1" ht="20.100000000000001" customHeight="1">
      <c r="B8" s="64" t="s">
        <v>125</v>
      </c>
      <c r="C8" s="65"/>
      <c r="D8" s="64"/>
      <c r="E8" s="66"/>
      <c r="F8" s="64"/>
      <c r="G8" s="67"/>
      <c r="H8" s="393">
        <f>+IF(F8=0,0,IF(F8="MXN",1/HLOOKUP(YEAR(C8)+(MONTH(C8)/100),TC!$5:$37,DAY(C8)+2,FALSE),VLOOKUP(F8,Equivalencia!$3:$23,((MAX(Equivalencia!$3:$3)-YEAR(C8))*14)+MONTH(C8)+2,FALSE)))</f>
        <v>0</v>
      </c>
      <c r="I8" s="143">
        <f t="shared" ref="I8:I25" si="0">+H8*G8</f>
        <v>0</v>
      </c>
      <c r="O8" s="130"/>
    </row>
    <row r="9" spans="2:15" s="13" customFormat="1" ht="20.100000000000001" customHeight="1">
      <c r="B9" s="64" t="s">
        <v>126</v>
      </c>
      <c r="C9" s="65"/>
      <c r="D9" s="64"/>
      <c r="E9" s="66"/>
      <c r="F9" s="64"/>
      <c r="G9" s="67"/>
      <c r="H9" s="393">
        <f>+IF(F9=0,0,IF(F9="MXN",1/HLOOKUP(YEAR(C9)+(MONTH(C9)/100),TC!$5:$37,DAY(C9)+2,FALSE),VLOOKUP(F9,Equivalencia!$3:$23,((MAX(Equivalencia!$3:$3)-YEAR(C9))*14)+MONTH(C9)+2,FALSE)))</f>
        <v>0</v>
      </c>
      <c r="I9" s="143">
        <f t="shared" si="0"/>
        <v>0</v>
      </c>
      <c r="O9" s="130"/>
    </row>
    <row r="10" spans="2:15" s="13" customFormat="1" ht="20.100000000000001" customHeight="1">
      <c r="B10" s="64" t="s">
        <v>127</v>
      </c>
      <c r="C10" s="65"/>
      <c r="D10" s="64"/>
      <c r="E10" s="66"/>
      <c r="F10" s="64"/>
      <c r="G10" s="67"/>
      <c r="H10" s="393">
        <f>+IF(F10=0,0,IF(F10="MXN",1/HLOOKUP(YEAR(C10)+(MONTH(C10)/100),TC!$5:$37,DAY(C10)+2,FALSE),VLOOKUP(F10,Equivalencia!$3:$23,((MAX(Equivalencia!$3:$3)-YEAR(C10))*14)+MONTH(C10)+2,FALSE)))</f>
        <v>0</v>
      </c>
      <c r="I10" s="143">
        <f t="shared" si="0"/>
        <v>0</v>
      </c>
    </row>
    <row r="11" spans="2:15" s="13" customFormat="1" ht="20.100000000000001" customHeight="1">
      <c r="B11" s="64" t="s">
        <v>128</v>
      </c>
      <c r="C11" s="65"/>
      <c r="D11" s="64"/>
      <c r="E11" s="66"/>
      <c r="F11" s="64"/>
      <c r="G11" s="67"/>
      <c r="H11" s="393">
        <f>+IF(F11=0,0,IF(F11="MXN",1/HLOOKUP(YEAR(C11)+(MONTH(C11)/100),TC!$5:$37,DAY(C11)+2,FALSE),VLOOKUP(F11,Equivalencia!$3:$23,((MAX(Equivalencia!$3:$3)-YEAR(C11))*14)+MONTH(C11)+2,FALSE)))</f>
        <v>0</v>
      </c>
      <c r="I11" s="143">
        <f t="shared" si="0"/>
        <v>0</v>
      </c>
    </row>
    <row r="12" spans="2:15" s="13" customFormat="1" ht="20.100000000000001" customHeight="1">
      <c r="B12" s="64" t="s">
        <v>129</v>
      </c>
      <c r="C12" s="65"/>
      <c r="D12" s="64"/>
      <c r="E12" s="66"/>
      <c r="F12" s="64"/>
      <c r="G12" s="67"/>
      <c r="H12" s="393">
        <f>+IF(F12=0,0,IF(F12="MXN",1/HLOOKUP(YEAR(C12)+(MONTH(C12)/100),TC!$5:$37,DAY(C12)+2,FALSE),VLOOKUP(F12,Equivalencia!$3:$23,((MAX(Equivalencia!$3:$3)-YEAR(C12))*14)+MONTH(C12)+2,FALSE)))</f>
        <v>0</v>
      </c>
      <c r="I12" s="143">
        <f t="shared" si="0"/>
        <v>0</v>
      </c>
    </row>
    <row r="13" spans="2:15" s="13" customFormat="1" ht="20.100000000000001" customHeight="1">
      <c r="B13" s="64" t="s">
        <v>13</v>
      </c>
      <c r="C13" s="65"/>
      <c r="D13" s="64"/>
      <c r="E13" s="66"/>
      <c r="F13" s="64"/>
      <c r="G13" s="67"/>
      <c r="H13" s="393">
        <f>+IF(F13=0,0,IF(F13="MXN",1/HLOOKUP(YEAR(C13)+(MONTH(C13)/100),TC!$5:$37,DAY(C13)+2,FALSE),VLOOKUP(F13,Equivalencia!$3:$23,((MAX(Equivalencia!$3:$3)-YEAR(C13))*14)+MONTH(C13)+2,FALSE)))</f>
        <v>0</v>
      </c>
      <c r="I13" s="143">
        <f t="shared" si="0"/>
        <v>0</v>
      </c>
    </row>
    <row r="14" spans="2:15" s="13" customFormat="1" ht="20.100000000000001" customHeight="1">
      <c r="B14" s="64" t="s">
        <v>14</v>
      </c>
      <c r="C14" s="65"/>
      <c r="D14" s="64"/>
      <c r="E14" s="66"/>
      <c r="F14" s="64"/>
      <c r="G14" s="67"/>
      <c r="H14" s="393">
        <f>+IF(F14=0,0,IF(F14="MXN",1/HLOOKUP(YEAR(C14)+(MONTH(C14)/100),TC!$5:$37,DAY(C14)+2,FALSE),VLOOKUP(F14,Equivalencia!$3:$23,((MAX(Equivalencia!$3:$3)-YEAR(C14))*14)+MONTH(C14)+2,FALSE)))</f>
        <v>0</v>
      </c>
      <c r="I14" s="143">
        <f t="shared" si="0"/>
        <v>0</v>
      </c>
    </row>
    <row r="15" spans="2:15" s="13" customFormat="1" ht="20.100000000000001" customHeight="1">
      <c r="B15" s="64" t="s">
        <v>15</v>
      </c>
      <c r="C15" s="65"/>
      <c r="D15" s="64"/>
      <c r="E15" s="66"/>
      <c r="F15" s="64"/>
      <c r="G15" s="67"/>
      <c r="H15" s="393">
        <f>+IF(F15=0,0,IF(F15="MXN",1/HLOOKUP(YEAR(C15)+(MONTH(C15)/100),TC!$5:$37,DAY(C15)+2,FALSE),VLOOKUP(F15,Equivalencia!$3:$23,((MAX(Equivalencia!$3:$3)-YEAR(C15))*14)+MONTH(C15)+2,FALSE)))</f>
        <v>0</v>
      </c>
      <c r="I15" s="143">
        <f t="shared" si="0"/>
        <v>0</v>
      </c>
    </row>
    <row r="16" spans="2:15" s="13" customFormat="1" ht="20.100000000000001" customHeight="1">
      <c r="B16" s="64" t="s">
        <v>16</v>
      </c>
      <c r="C16" s="65"/>
      <c r="D16" s="64"/>
      <c r="E16" s="66"/>
      <c r="F16" s="64"/>
      <c r="G16" s="67"/>
      <c r="H16" s="393">
        <f>+IF(F16=0,0,IF(F16="MXN",1/HLOOKUP(YEAR(C16)+(MONTH(C16)/100),TC!$5:$37,DAY(C16)+2,FALSE),VLOOKUP(F16,Equivalencia!$3:$23,((MAX(Equivalencia!$3:$3)-YEAR(C16))*14)+MONTH(C16)+2,FALSE)))</f>
        <v>0</v>
      </c>
      <c r="I16" s="143">
        <f t="shared" si="0"/>
        <v>0</v>
      </c>
    </row>
    <row r="17" spans="2:9" s="13" customFormat="1" ht="20.100000000000001" customHeight="1">
      <c r="B17" s="64" t="s">
        <v>17</v>
      </c>
      <c r="C17" s="65"/>
      <c r="D17" s="64"/>
      <c r="E17" s="66"/>
      <c r="F17" s="64"/>
      <c r="G17" s="67"/>
      <c r="H17" s="393">
        <f>+IF(F17=0,0,IF(F17="MXN",1/HLOOKUP(YEAR(C17)+(MONTH(C17)/100),TC!$5:$37,DAY(C17)+2,FALSE),VLOOKUP(F17,Equivalencia!$3:$23,((MAX(Equivalencia!$3:$3)-YEAR(C17))*14)+MONTH(C17)+2,FALSE)))</f>
        <v>0</v>
      </c>
      <c r="I17" s="143">
        <f t="shared" si="0"/>
        <v>0</v>
      </c>
    </row>
    <row r="18" spans="2:9" s="13" customFormat="1" ht="20.100000000000001" customHeight="1">
      <c r="B18" s="64" t="s">
        <v>18</v>
      </c>
      <c r="C18" s="65"/>
      <c r="D18" s="64"/>
      <c r="E18" s="66"/>
      <c r="F18" s="64"/>
      <c r="G18" s="67"/>
      <c r="H18" s="393">
        <f>+IF(F18=0,0,IF(F18="MXN",1/HLOOKUP(YEAR(C18)+(MONTH(C18)/100),TC!$5:$37,DAY(C18)+2,FALSE),VLOOKUP(F18,Equivalencia!$3:$23,((MAX(Equivalencia!$3:$3)-YEAR(C18))*14)+MONTH(C18)+2,FALSE)))</f>
        <v>0</v>
      </c>
      <c r="I18" s="143">
        <f t="shared" si="0"/>
        <v>0</v>
      </c>
    </row>
    <row r="19" spans="2:9" s="13" customFormat="1" ht="20.100000000000001" customHeight="1">
      <c r="B19" s="64" t="s">
        <v>19</v>
      </c>
      <c r="C19" s="65"/>
      <c r="D19" s="64"/>
      <c r="E19" s="66"/>
      <c r="F19" s="64"/>
      <c r="G19" s="67"/>
      <c r="H19" s="393">
        <f>+IF(F19=0,0,IF(F19="MXN",1/HLOOKUP(YEAR(C19)+(MONTH(C19)/100),TC!$5:$37,DAY(C19)+2,FALSE),VLOOKUP(F19,Equivalencia!$3:$23,((MAX(Equivalencia!$3:$3)-YEAR(C19))*14)+MONTH(C19)+2,FALSE)))</f>
        <v>0</v>
      </c>
      <c r="I19" s="143">
        <f t="shared" si="0"/>
        <v>0</v>
      </c>
    </row>
    <row r="20" spans="2:9" s="13" customFormat="1" ht="20.100000000000001" customHeight="1">
      <c r="B20" s="64" t="s">
        <v>20</v>
      </c>
      <c r="C20" s="65"/>
      <c r="D20" s="64"/>
      <c r="E20" s="66"/>
      <c r="F20" s="64"/>
      <c r="G20" s="67"/>
      <c r="H20" s="393">
        <f>+IF(F20=0,0,IF(F20="MXN",1/HLOOKUP(YEAR(C20)+(MONTH(C20)/100),TC!$5:$37,DAY(C20)+2,FALSE),VLOOKUP(F20,Equivalencia!$3:$23,((MAX(Equivalencia!$3:$3)-YEAR(C20))*14)+MONTH(C20)+2,FALSE)))</f>
        <v>0</v>
      </c>
      <c r="I20" s="143">
        <f t="shared" si="0"/>
        <v>0</v>
      </c>
    </row>
    <row r="21" spans="2:9" s="13" customFormat="1" ht="20.100000000000001" customHeight="1">
      <c r="B21" s="64" t="s">
        <v>21</v>
      </c>
      <c r="C21" s="65"/>
      <c r="D21" s="64"/>
      <c r="E21" s="66"/>
      <c r="F21" s="64"/>
      <c r="G21" s="67"/>
      <c r="H21" s="393">
        <f>+IF(F21=0,0,IF(F21="MXN",1/HLOOKUP(YEAR(C21)+(MONTH(C21)/100),TC!$5:$37,DAY(C21)+2,FALSE),VLOOKUP(F21,Equivalencia!$3:$23,((MAX(Equivalencia!$3:$3)-YEAR(C21))*14)+MONTH(C21)+2,FALSE)))</f>
        <v>0</v>
      </c>
      <c r="I21" s="143">
        <f t="shared" si="0"/>
        <v>0</v>
      </c>
    </row>
    <row r="22" spans="2:9" s="13" customFormat="1" ht="20.100000000000001" customHeight="1">
      <c r="B22" s="64" t="s">
        <v>22</v>
      </c>
      <c r="C22" s="65"/>
      <c r="D22" s="64"/>
      <c r="E22" s="66"/>
      <c r="F22" s="64"/>
      <c r="G22" s="67"/>
      <c r="H22" s="393">
        <f>+IF(F22=0,0,IF(F22="MXN",1/HLOOKUP(YEAR(C22)+(MONTH(C22)/100),TC!$5:$37,DAY(C22)+2,FALSE),VLOOKUP(F22,Equivalencia!$3:$23,((MAX(Equivalencia!$3:$3)-YEAR(C22))*14)+MONTH(C22)+2,FALSE)))</f>
        <v>0</v>
      </c>
      <c r="I22" s="143">
        <f t="shared" si="0"/>
        <v>0</v>
      </c>
    </row>
    <row r="23" spans="2:9" s="13" customFormat="1" ht="20.100000000000001" customHeight="1">
      <c r="B23" s="64" t="s">
        <v>23</v>
      </c>
      <c r="C23" s="65"/>
      <c r="D23" s="64"/>
      <c r="E23" s="66"/>
      <c r="F23" s="64"/>
      <c r="G23" s="67"/>
      <c r="H23" s="393">
        <f>+IF(F23=0,0,IF(F23="MXN",1/HLOOKUP(YEAR(C23)+(MONTH(C23)/100),TC!$5:$37,DAY(C23)+2,FALSE),VLOOKUP(F23,Equivalencia!$3:$23,((MAX(Equivalencia!$3:$3)-YEAR(C23))*14)+MONTH(C23)+2,FALSE)))</f>
        <v>0</v>
      </c>
      <c r="I23" s="143">
        <f t="shared" si="0"/>
        <v>0</v>
      </c>
    </row>
    <row r="24" spans="2:9" s="13" customFormat="1" ht="20.100000000000001" customHeight="1">
      <c r="B24" s="64" t="s">
        <v>24</v>
      </c>
      <c r="C24" s="65"/>
      <c r="D24" s="64"/>
      <c r="E24" s="66"/>
      <c r="F24" s="64"/>
      <c r="G24" s="67"/>
      <c r="H24" s="393">
        <f>+IF(F24=0,0,IF(F24="MXN",1/HLOOKUP(YEAR(C24)+(MONTH(C24)/100),TC!$5:$37,DAY(C24)+2,FALSE),VLOOKUP(F24,Equivalencia!$3:$23,((MAX(Equivalencia!$3:$3)-YEAR(C24))*14)+MONTH(C24)+2,FALSE)))</f>
        <v>0</v>
      </c>
      <c r="I24" s="143">
        <f t="shared" si="0"/>
        <v>0</v>
      </c>
    </row>
    <row r="25" spans="2:9" ht="20.100000000000001" customHeight="1">
      <c r="B25" s="64" t="s">
        <v>25</v>
      </c>
      <c r="C25" s="65"/>
      <c r="D25" s="64"/>
      <c r="E25" s="66"/>
      <c r="F25" s="64"/>
      <c r="G25" s="67"/>
      <c r="H25" s="393">
        <f>+IF(F25=0,0,IF(F25="MXN",1/HLOOKUP(YEAR(C25)+(MONTH(C25)/100),TC!$5:$37,DAY(C25)+2,FALSE),VLOOKUP(F25,Equivalencia!$3:$23,((MAX(Equivalencia!$3:$3)-YEAR(C25))*14)+MONTH(C25)+2,FALSE)))</f>
        <v>0</v>
      </c>
      <c r="I25" s="143">
        <f t="shared" si="0"/>
        <v>0</v>
      </c>
    </row>
    <row r="26" spans="2:9" ht="20.100000000000001" customHeight="1">
      <c r="B26" s="54"/>
      <c r="C26" s="55"/>
      <c r="D26" s="54"/>
      <c r="E26" s="13"/>
      <c r="F26" s="54"/>
      <c r="G26" s="67"/>
      <c r="H26" s="393"/>
      <c r="I26" s="143"/>
    </row>
    <row r="27" spans="2:9" ht="20.100000000000001" customHeight="1">
      <c r="B27" s="97" t="s">
        <v>539</v>
      </c>
      <c r="C27" s="105"/>
      <c r="D27" s="105"/>
      <c r="E27" s="105"/>
      <c r="F27" s="105"/>
      <c r="G27" s="148">
        <f>SUM(G7:G26)</f>
        <v>0</v>
      </c>
      <c r="H27" s="105"/>
      <c r="I27" s="148">
        <f>SUM(I7:I26)</f>
        <v>0</v>
      </c>
    </row>
    <row r="31" spans="2:9" ht="41.1" customHeight="1">
      <c r="F31" s="133"/>
      <c r="G31" s="152" t="s">
        <v>116</v>
      </c>
      <c r="H31" s="140"/>
      <c r="I31" s="153" t="s">
        <v>117</v>
      </c>
    </row>
    <row r="32" spans="2:9" ht="20.100000000000001" customHeight="1">
      <c r="F32" s="133"/>
      <c r="G32" s="135"/>
      <c r="H32" s="134"/>
      <c r="I32" s="136"/>
    </row>
    <row r="33" spans="5:9" ht="20.100000000000001" customHeight="1">
      <c r="E33" s="145" t="s">
        <v>540</v>
      </c>
      <c r="F33" s="85">
        <f>+Cuentas!B7</f>
        <v>1175000</v>
      </c>
      <c r="G33" s="146">
        <f t="shared" ref="G33:G49" si="1">SUMIF($B$7:$B$537,F33,$G$7:$G$537)</f>
        <v>0</v>
      </c>
      <c r="H33" s="147"/>
      <c r="I33" s="146">
        <f t="shared" ref="I33:I39" si="2">SUMIF($B$7:$B$537,F33,$I$7:$I$537)</f>
        <v>0</v>
      </c>
    </row>
    <row r="34" spans="5:9" ht="20.100000000000001" customHeight="1">
      <c r="E34" s="145" t="s">
        <v>540</v>
      </c>
      <c r="F34" s="85">
        <f>+Cuentas!B8</f>
        <v>1179000</v>
      </c>
      <c r="G34" s="146">
        <f t="shared" si="1"/>
        <v>0</v>
      </c>
      <c r="H34" s="147"/>
      <c r="I34" s="146">
        <f t="shared" si="2"/>
        <v>0</v>
      </c>
    </row>
    <row r="35" spans="5:9" ht="20.100000000000001" customHeight="1">
      <c r="E35" s="145" t="s">
        <v>540</v>
      </c>
      <c r="F35" s="85">
        <f>+Cuentas!B9</f>
        <v>1427200</v>
      </c>
      <c r="G35" s="146">
        <f t="shared" si="1"/>
        <v>0</v>
      </c>
      <c r="H35" s="147"/>
      <c r="I35" s="146">
        <f t="shared" si="2"/>
        <v>0</v>
      </c>
    </row>
    <row r="36" spans="5:9" ht="20.100000000000001" customHeight="1">
      <c r="E36" s="145" t="s">
        <v>540</v>
      </c>
      <c r="F36" s="85" t="str">
        <f>+Cuentas!B10</f>
        <v>B22235000</v>
      </c>
      <c r="G36" s="146">
        <f t="shared" si="1"/>
        <v>0</v>
      </c>
      <c r="H36" s="147"/>
      <c r="I36" s="146">
        <f t="shared" si="2"/>
        <v>0</v>
      </c>
    </row>
    <row r="37" spans="5:9" ht="20.100000000000001" customHeight="1">
      <c r="E37" s="145" t="s">
        <v>540</v>
      </c>
      <c r="F37" s="85">
        <f>+Cuentas!B11</f>
        <v>700833580</v>
      </c>
      <c r="G37" s="146">
        <f t="shared" si="1"/>
        <v>0</v>
      </c>
      <c r="H37" s="147"/>
      <c r="I37" s="146">
        <f t="shared" si="2"/>
        <v>0</v>
      </c>
    </row>
    <row r="38" spans="5:9" ht="20.100000000000001" customHeight="1">
      <c r="E38" s="145" t="s">
        <v>540</v>
      </c>
      <c r="F38" s="85" t="str">
        <f>+Cuentas!B12</f>
        <v>F</v>
      </c>
      <c r="G38" s="146">
        <f t="shared" si="1"/>
        <v>0</v>
      </c>
      <c r="H38" s="147"/>
      <c r="I38" s="146">
        <f t="shared" si="2"/>
        <v>0</v>
      </c>
    </row>
    <row r="39" spans="5:9" ht="20.100000000000001" customHeight="1">
      <c r="E39" s="145" t="s">
        <v>540</v>
      </c>
      <c r="F39" s="85" t="str">
        <f>+Cuentas!B13</f>
        <v>G</v>
      </c>
      <c r="G39" s="146">
        <f t="shared" si="1"/>
        <v>0</v>
      </c>
      <c r="H39" s="147"/>
      <c r="I39" s="146">
        <f t="shared" si="2"/>
        <v>0</v>
      </c>
    </row>
    <row r="40" spans="5:9" ht="20.100000000000001" customHeight="1">
      <c r="E40" s="145" t="s">
        <v>540</v>
      </c>
      <c r="F40" s="85" t="str">
        <f>+Cuentas!B14</f>
        <v>H</v>
      </c>
      <c r="G40" s="146">
        <f t="shared" si="1"/>
        <v>0</v>
      </c>
      <c r="H40" s="147"/>
      <c r="I40" s="146">
        <f t="shared" ref="I40:I50" si="3">SUMIF($B$7:$B$537,F40,$I$7:$I$537)</f>
        <v>0</v>
      </c>
    </row>
    <row r="41" spans="5:9" ht="20.100000000000001" customHeight="1">
      <c r="E41" s="145" t="s">
        <v>540</v>
      </c>
      <c r="F41" s="85" t="str">
        <f>+Cuentas!B15</f>
        <v>I</v>
      </c>
      <c r="G41" s="146">
        <f t="shared" si="1"/>
        <v>0</v>
      </c>
      <c r="H41" s="147"/>
      <c r="I41" s="146">
        <f t="shared" si="3"/>
        <v>0</v>
      </c>
    </row>
    <row r="42" spans="5:9" ht="20.100000000000001" customHeight="1">
      <c r="E42" s="145" t="s">
        <v>540</v>
      </c>
      <c r="F42" s="85" t="str">
        <f>+Cuentas!B16</f>
        <v>J</v>
      </c>
      <c r="G42" s="146">
        <f t="shared" si="1"/>
        <v>0</v>
      </c>
      <c r="H42" s="147"/>
      <c r="I42" s="146">
        <f t="shared" si="3"/>
        <v>0</v>
      </c>
    </row>
    <row r="43" spans="5:9" ht="20.100000000000001" customHeight="1">
      <c r="E43" s="145" t="s">
        <v>540</v>
      </c>
      <c r="F43" s="85" t="str">
        <f>+Cuentas!B17</f>
        <v>K</v>
      </c>
      <c r="G43" s="146">
        <f t="shared" si="1"/>
        <v>0</v>
      </c>
      <c r="H43" s="147"/>
      <c r="I43" s="146">
        <f t="shared" si="3"/>
        <v>0</v>
      </c>
    </row>
    <row r="44" spans="5:9" ht="20.100000000000001" customHeight="1">
      <c r="E44" s="145" t="s">
        <v>540</v>
      </c>
      <c r="F44" s="85" t="str">
        <f>+Cuentas!B18</f>
        <v>L</v>
      </c>
      <c r="G44" s="146">
        <f t="shared" si="1"/>
        <v>0</v>
      </c>
      <c r="H44" s="147"/>
      <c r="I44" s="146">
        <f t="shared" si="3"/>
        <v>0</v>
      </c>
    </row>
    <row r="45" spans="5:9" ht="20.100000000000001" customHeight="1">
      <c r="E45" s="145" t="s">
        <v>540</v>
      </c>
      <c r="F45" s="85" t="str">
        <f>+Cuentas!B19</f>
        <v>M</v>
      </c>
      <c r="G45" s="146">
        <f t="shared" si="1"/>
        <v>0</v>
      </c>
      <c r="H45" s="147"/>
      <c r="I45" s="146">
        <f t="shared" si="3"/>
        <v>0</v>
      </c>
    </row>
    <row r="46" spans="5:9" ht="20.100000000000001" customHeight="1">
      <c r="E46" s="145" t="s">
        <v>540</v>
      </c>
      <c r="F46" s="85" t="str">
        <f>+Cuentas!B20</f>
        <v>N</v>
      </c>
      <c r="G46" s="146">
        <f t="shared" si="1"/>
        <v>0</v>
      </c>
      <c r="H46" s="147"/>
      <c r="I46" s="146">
        <f t="shared" si="3"/>
        <v>0</v>
      </c>
    </row>
    <row r="47" spans="5:9" ht="20.100000000000001" customHeight="1">
      <c r="E47" s="145" t="s">
        <v>540</v>
      </c>
      <c r="F47" s="85" t="str">
        <f>+Cuentas!B21</f>
        <v>O</v>
      </c>
      <c r="G47" s="146">
        <f t="shared" si="1"/>
        <v>0</v>
      </c>
      <c r="H47" s="147"/>
      <c r="I47" s="146">
        <f t="shared" si="3"/>
        <v>0</v>
      </c>
    </row>
    <row r="48" spans="5:9" ht="20.100000000000001" customHeight="1">
      <c r="E48" s="145" t="s">
        <v>540</v>
      </c>
      <c r="F48" s="85" t="str">
        <f>+Cuentas!B22</f>
        <v>P</v>
      </c>
      <c r="G48" s="146">
        <f t="shared" si="1"/>
        <v>0</v>
      </c>
      <c r="H48" s="147"/>
      <c r="I48" s="146">
        <f t="shared" si="3"/>
        <v>0</v>
      </c>
    </row>
    <row r="49" spans="2:9" ht="20.100000000000001" customHeight="1">
      <c r="E49" s="145" t="s">
        <v>540</v>
      </c>
      <c r="F49" s="85" t="str">
        <f>+Cuentas!B23</f>
        <v>Q</v>
      </c>
      <c r="G49" s="146">
        <f t="shared" si="1"/>
        <v>0</v>
      </c>
      <c r="H49" s="147"/>
      <c r="I49" s="146">
        <f t="shared" si="3"/>
        <v>0</v>
      </c>
    </row>
    <row r="50" spans="2:9" ht="20.100000000000001" customHeight="1">
      <c r="E50" s="145" t="s">
        <v>540</v>
      </c>
      <c r="F50" s="85" t="str">
        <f>+Cuentas!B24</f>
        <v>R</v>
      </c>
      <c r="G50" s="146">
        <f t="shared" ref="G50" si="4">SUMIF($B$7:$B$537,F50,$G$7:$G$537)</f>
        <v>0</v>
      </c>
      <c r="H50" s="147"/>
      <c r="I50" s="146">
        <f t="shared" si="3"/>
        <v>0</v>
      </c>
    </row>
    <row r="52" spans="2:9" ht="20.100000000000001" customHeight="1">
      <c r="F52" s="149" t="s">
        <v>119</v>
      </c>
      <c r="G52" s="150">
        <f>SUM(G33:G51)</f>
        <v>0</v>
      </c>
      <c r="H52" s="87"/>
      <c r="I52" s="150">
        <f>SUM(I33:I51)</f>
        <v>0</v>
      </c>
    </row>
    <row r="56" spans="2:9" ht="20.100000000000001" customHeight="1">
      <c r="B56" s="94" t="s">
        <v>26</v>
      </c>
    </row>
    <row r="57" spans="2:9" ht="20.100000000000001" customHeight="1">
      <c r="B57" s="13"/>
      <c r="C57" s="13"/>
      <c r="D57" s="13"/>
      <c r="E57" s="13"/>
      <c r="F57" s="13"/>
      <c r="G57" s="13"/>
      <c r="H57" s="13"/>
      <c r="I57" s="13"/>
    </row>
    <row r="58" spans="2:9" ht="20.100000000000001" customHeight="1">
      <c r="B58" s="13"/>
      <c r="C58" s="13"/>
      <c r="D58" s="13"/>
      <c r="E58" s="13"/>
      <c r="F58" s="13"/>
      <c r="G58" s="13"/>
      <c r="H58" s="13"/>
      <c r="I58" s="13"/>
    </row>
    <row r="59" spans="2:9" ht="20.100000000000001" customHeight="1">
      <c r="B59" s="13"/>
      <c r="C59" s="13"/>
      <c r="D59" s="13"/>
      <c r="E59" s="13"/>
      <c r="F59" s="13"/>
      <c r="G59" s="13"/>
      <c r="H59" s="13"/>
      <c r="I59" s="13"/>
    </row>
    <row r="60" spans="2:9" ht="20.100000000000001" customHeight="1">
      <c r="B60" s="13"/>
      <c r="C60" s="13"/>
      <c r="D60" s="13"/>
      <c r="E60" s="13"/>
      <c r="F60" s="13"/>
      <c r="G60" s="13"/>
      <c r="H60" s="13"/>
      <c r="I60" s="13"/>
    </row>
    <row r="61" spans="2:9" ht="20.100000000000001" customHeight="1">
      <c r="B61" s="13"/>
      <c r="C61" s="13"/>
      <c r="D61" s="13"/>
      <c r="E61" s="13"/>
      <c r="F61" s="13"/>
      <c r="G61" s="13"/>
      <c r="H61" s="13"/>
      <c r="I61" s="13"/>
    </row>
    <row r="62" spans="2:9" ht="20.100000000000001" customHeight="1">
      <c r="B62" s="13"/>
      <c r="C62" s="13"/>
      <c r="D62" s="13"/>
      <c r="E62" s="13"/>
      <c r="F62" s="13"/>
      <c r="G62" s="13"/>
      <c r="H62" s="13"/>
      <c r="I62" s="13"/>
    </row>
    <row r="63" spans="2:9" ht="20.100000000000001" customHeight="1">
      <c r="B63" s="13"/>
      <c r="C63" s="13"/>
      <c r="D63" s="13"/>
      <c r="E63" s="13"/>
      <c r="F63" s="13"/>
      <c r="G63" s="13"/>
      <c r="H63" s="13"/>
      <c r="I63" s="13"/>
    </row>
    <row r="64" spans="2:9" ht="20.100000000000001" customHeight="1">
      <c r="B64" s="13"/>
      <c r="C64" s="13"/>
      <c r="D64" s="13"/>
      <c r="E64" s="13"/>
      <c r="F64" s="13"/>
      <c r="G64" s="13"/>
      <c r="H64" s="13"/>
      <c r="I64" s="13"/>
    </row>
    <row r="65" spans="2:9" ht="20.100000000000001" customHeight="1">
      <c r="B65" s="13"/>
      <c r="C65" s="13"/>
      <c r="D65" s="13"/>
      <c r="E65" s="13"/>
      <c r="F65" s="13"/>
      <c r="G65" s="13"/>
      <c r="H65" s="13"/>
      <c r="I65" s="13"/>
    </row>
    <row r="66" spans="2:9" ht="20.100000000000001" customHeight="1">
      <c r="B66" s="13"/>
      <c r="C66" s="13"/>
      <c r="D66" s="13"/>
      <c r="E66" s="13"/>
      <c r="F66" s="13"/>
      <c r="G66" s="13"/>
      <c r="H66" s="13"/>
      <c r="I66" s="13"/>
    </row>
    <row r="67" spans="2:9" ht="20.100000000000001" customHeight="1">
      <c r="B67" s="13"/>
      <c r="C67" s="13"/>
      <c r="D67" s="13"/>
      <c r="E67" s="13"/>
      <c r="F67" s="13"/>
      <c r="G67" s="13"/>
      <c r="H67" s="13"/>
      <c r="I67" s="13"/>
    </row>
    <row r="68" spans="2:9" ht="20.100000000000001" customHeight="1">
      <c r="B68" s="13"/>
      <c r="C68" s="13"/>
      <c r="D68" s="13"/>
      <c r="E68" s="13"/>
      <c r="F68" s="13"/>
      <c r="G68" s="13"/>
      <c r="H68" s="13"/>
      <c r="I68" s="13"/>
    </row>
    <row r="69" spans="2:9" ht="20.100000000000001" customHeight="1">
      <c r="B69" s="13"/>
      <c r="C69" s="13"/>
      <c r="D69" s="13"/>
      <c r="E69" s="13"/>
      <c r="F69" s="13"/>
      <c r="G69" s="13"/>
      <c r="H69" s="13"/>
      <c r="I69" s="13"/>
    </row>
    <row r="70" spans="2:9" ht="20.100000000000001" customHeight="1">
      <c r="B70" s="13"/>
      <c r="C70" s="13"/>
      <c r="D70" s="13"/>
      <c r="E70" s="13"/>
      <c r="F70" s="13"/>
      <c r="G70" s="13"/>
      <c r="H70" s="13"/>
      <c r="I70" s="13"/>
    </row>
    <row r="71" spans="2:9" ht="20.100000000000001" customHeight="1">
      <c r="B71" s="13"/>
      <c r="C71" s="13"/>
      <c r="D71" s="13"/>
      <c r="E71" s="13"/>
      <c r="F71" s="13"/>
      <c r="G71" s="13"/>
      <c r="H71" s="13"/>
      <c r="I71" s="13"/>
    </row>
    <row r="72" spans="2:9" ht="20.100000000000001" customHeight="1">
      <c r="B72" s="13"/>
      <c r="C72" s="13"/>
      <c r="D72" s="13"/>
      <c r="E72" s="13"/>
      <c r="F72" s="13"/>
      <c r="G72" s="13"/>
      <c r="H72" s="13"/>
      <c r="I72" s="13"/>
    </row>
    <row r="73" spans="2:9" ht="20.100000000000001" customHeight="1">
      <c r="B73" s="13"/>
      <c r="C73" s="13"/>
      <c r="D73" s="13"/>
      <c r="E73" s="13"/>
      <c r="F73" s="13"/>
      <c r="G73" s="13"/>
      <c r="H73" s="13"/>
      <c r="I73" s="13"/>
    </row>
    <row r="74" spans="2:9" ht="20.100000000000001" customHeight="1">
      <c r="B74" s="13"/>
      <c r="C74" s="13"/>
      <c r="D74" s="13"/>
      <c r="E74" s="13"/>
      <c r="F74" s="13"/>
      <c r="G74" s="13"/>
      <c r="H74" s="13"/>
      <c r="I74" s="13"/>
    </row>
    <row r="75" spans="2:9" ht="20.100000000000001" customHeight="1">
      <c r="B75" s="13"/>
      <c r="C75" s="13"/>
      <c r="D75" s="13"/>
      <c r="E75" s="13"/>
      <c r="F75" s="13"/>
      <c r="G75" s="13"/>
      <c r="H75" s="13"/>
      <c r="I75" s="13"/>
    </row>
    <row r="76" spans="2:9" ht="20.100000000000001" customHeight="1">
      <c r="B76" s="13"/>
      <c r="C76" s="13"/>
      <c r="D76" s="13"/>
      <c r="E76" s="13"/>
      <c r="F76" s="13"/>
      <c r="G76" s="13"/>
      <c r="H76" s="13"/>
      <c r="I76" s="13"/>
    </row>
    <row r="77" spans="2:9" ht="20.100000000000001" customHeight="1">
      <c r="B77" s="13"/>
      <c r="C77" s="13"/>
      <c r="D77" s="13"/>
      <c r="E77" s="13"/>
      <c r="F77" s="13"/>
      <c r="G77" s="13"/>
      <c r="H77" s="13"/>
      <c r="I77" s="13"/>
    </row>
    <row r="78" spans="2:9" ht="20.100000000000001" customHeight="1">
      <c r="B78" s="13"/>
      <c r="C78" s="13"/>
      <c r="D78" s="13"/>
      <c r="E78" s="13"/>
      <c r="F78" s="13"/>
      <c r="G78" s="13"/>
      <c r="H78" s="13"/>
      <c r="I78" s="13"/>
    </row>
    <row r="79" spans="2:9" ht="20.100000000000001" customHeight="1">
      <c r="B79" s="13"/>
      <c r="C79" s="13"/>
      <c r="D79" s="13"/>
      <c r="E79" s="13"/>
      <c r="F79" s="13"/>
      <c r="G79" s="13"/>
      <c r="H79" s="13"/>
      <c r="I79" s="13"/>
    </row>
    <row r="80" spans="2:9" ht="20.100000000000001" customHeight="1">
      <c r="B80" s="13"/>
      <c r="C80" s="13"/>
      <c r="D80" s="13"/>
      <c r="E80" s="13"/>
      <c r="F80" s="13"/>
      <c r="G80" s="13"/>
      <c r="H80" s="13"/>
      <c r="I80" s="13"/>
    </row>
    <row r="81" spans="2:9" ht="20.100000000000001" customHeight="1">
      <c r="B81" s="13"/>
      <c r="C81" s="13"/>
      <c r="D81" s="13"/>
      <c r="E81" s="13"/>
      <c r="F81" s="13"/>
      <c r="G81" s="13"/>
      <c r="H81" s="13"/>
      <c r="I81" s="13"/>
    </row>
    <row r="82" spans="2:9" ht="20.100000000000001" customHeight="1">
      <c r="B82" s="13"/>
      <c r="C82" s="13"/>
      <c r="D82" s="13"/>
      <c r="E82" s="13"/>
      <c r="F82" s="13"/>
      <c r="G82" s="13"/>
      <c r="H82" s="13"/>
      <c r="I82" s="13"/>
    </row>
    <row r="83" spans="2:9" ht="20.100000000000001" customHeight="1">
      <c r="B83" s="13"/>
      <c r="C83" s="13"/>
      <c r="D83" s="13"/>
      <c r="E83" s="13"/>
      <c r="F83" s="13"/>
      <c r="G83" s="13"/>
      <c r="H83" s="13"/>
      <c r="I83" s="13"/>
    </row>
    <row r="84" spans="2:9" ht="20.100000000000001" customHeight="1">
      <c r="B84" s="13"/>
      <c r="C84" s="13"/>
      <c r="D84" s="13"/>
      <c r="E84" s="13"/>
      <c r="F84" s="13"/>
      <c r="G84" s="13"/>
      <c r="H84" s="13"/>
      <c r="I84" s="13"/>
    </row>
    <row r="85" spans="2:9" ht="20.100000000000001" customHeight="1">
      <c r="B85" s="13"/>
      <c r="C85" s="13"/>
      <c r="D85" s="13"/>
      <c r="E85" s="13"/>
      <c r="F85" s="13"/>
      <c r="G85" s="13"/>
      <c r="H85" s="13"/>
      <c r="I85" s="13"/>
    </row>
  </sheetData>
  <sheetProtection algorithmName="SHA-512" hashValue="5s+dJnquP8iIikH+pF4xMiCkyaTo5P1ZL7aBJkl2z5lxDDKg/ZYVr8SWavC0wqCOIaZatm3ONTIdeO5HWpb/LA==" saltValue="wjVJjMP9yaSCxNBE2GKu7w==" spinCount="100000" sheet="1" formatCells="0" formatColumns="0" formatRows="0" insertColumns="0" insertRows="0" deleteColumns="0" deleteRows="0" sort="0" autoFilter="0"/>
  <autoFilter ref="B6:I26" xr:uid="{A201E11C-76DD-474E-A45C-DCBBBEFE22E0}"/>
  <mergeCells count="2">
    <mergeCell ref="B2:I2"/>
    <mergeCell ref="B3:I3"/>
  </mergeCells>
  <phoneticPr fontId="9" type="noConversion"/>
  <dataValidations count="1">
    <dataValidation type="list" allowBlank="1" showInputMessage="1" showErrorMessage="1" promptTitle="OJO:" prompt="Selecciona una opción" sqref="D8:D25" xr:uid="{00000000-0002-0000-0B00-000000000000}">
      <formula1>$O$2:$O$9</formula1>
    </dataValidation>
  </dataValidations>
  <pageMargins left="0.7" right="0.7" top="0.75" bottom="0.75" header="0.3" footer="0.3"/>
  <pageSetup scale="45" orientation="landscape"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00000000-0002-0000-0B00-000001000000}">
          <x14:formula1>
            <xm:f>Equivalencia!$A$4:$A$23</xm:f>
          </x14:formula1>
          <xm:sqref>F8:F25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2:K90"/>
  <sheetViews>
    <sheetView view="pageBreakPreview" zoomScale="70" zoomScaleNormal="100" zoomScaleSheetLayoutView="70" workbookViewId="0">
      <pane ySplit="6" topLeftCell="A7" activePane="bottomLeft" state="frozen"/>
      <selection pane="bottomLeft" activeCell="A50" sqref="A50"/>
    </sheetView>
  </sheetViews>
  <sheetFormatPr defaultColWidth="10.6640625" defaultRowHeight="20.100000000000001" customHeight="1"/>
  <cols>
    <col min="1" max="1" width="10.88671875" style="12" customWidth="1"/>
    <col min="2" max="2" width="14.6640625" style="12" customWidth="1"/>
    <col min="3" max="3" width="12.33203125" style="12" customWidth="1"/>
    <col min="4" max="4" width="22.6640625" style="12" customWidth="1"/>
    <col min="5" max="5" width="40.109375" style="12" customWidth="1"/>
    <col min="6" max="6" width="17.5546875" style="12" customWidth="1"/>
    <col min="7" max="7" width="12.6640625" style="12" customWidth="1"/>
    <col min="8" max="8" width="11.6640625" style="12" customWidth="1"/>
    <col min="9" max="9" width="18.6640625" style="12" customWidth="1"/>
    <col min="10" max="10" width="10.6640625" style="12"/>
    <col min="11" max="11" width="25.6640625" style="12" customWidth="1"/>
    <col min="12" max="16384" width="10.6640625" style="12"/>
  </cols>
  <sheetData>
    <row r="2" spans="2:11" ht="45" customHeight="1">
      <c r="B2" s="589" t="s">
        <v>541</v>
      </c>
      <c r="C2" s="589"/>
      <c r="D2" s="589"/>
      <c r="E2" s="589"/>
      <c r="F2" s="589"/>
      <c r="G2" s="589"/>
      <c r="H2" s="589"/>
      <c r="I2" s="589"/>
      <c r="K2" s="53" t="s">
        <v>542</v>
      </c>
    </row>
    <row r="3" spans="2:11" ht="20.100000000000001" customHeight="1">
      <c r="B3" s="588" t="s">
        <v>543</v>
      </c>
      <c r="C3" s="588"/>
      <c r="D3" s="588"/>
      <c r="E3" s="588"/>
      <c r="F3" s="588"/>
      <c r="G3" s="588"/>
      <c r="H3" s="588"/>
      <c r="I3" s="588"/>
      <c r="K3" s="53" t="s">
        <v>544</v>
      </c>
    </row>
    <row r="4" spans="2:11" ht="14.1" customHeight="1">
      <c r="B4" s="79" t="s">
        <v>41</v>
      </c>
      <c r="C4" s="79" t="s">
        <v>42</v>
      </c>
      <c r="D4" s="79"/>
      <c r="E4" s="80"/>
      <c r="F4" s="80"/>
      <c r="G4" s="80"/>
      <c r="H4" s="80"/>
      <c r="I4" s="80"/>
      <c r="K4" s="53" t="s">
        <v>545</v>
      </c>
    </row>
    <row r="5" spans="2:11" ht="23.1" customHeight="1">
      <c r="B5" s="141"/>
      <c r="C5" s="141"/>
      <c r="D5" s="141"/>
      <c r="E5" s="142"/>
      <c r="F5" s="142"/>
      <c r="G5" s="142"/>
      <c r="H5" s="142"/>
      <c r="I5" s="142"/>
      <c r="K5" s="130"/>
    </row>
    <row r="6" spans="2:11" ht="36.950000000000003" customHeight="1">
      <c r="B6" s="62" t="s">
        <v>103</v>
      </c>
      <c r="C6" s="62" t="s">
        <v>29</v>
      </c>
      <c r="D6" s="62" t="s">
        <v>457</v>
      </c>
      <c r="E6" s="62" t="s">
        <v>124</v>
      </c>
      <c r="F6" s="62" t="s">
        <v>106</v>
      </c>
      <c r="G6" s="62" t="s">
        <v>107</v>
      </c>
      <c r="H6" s="62" t="s">
        <v>108</v>
      </c>
      <c r="I6" s="62" t="s">
        <v>109</v>
      </c>
      <c r="K6" s="130"/>
    </row>
    <row r="7" spans="2:11" s="13" customFormat="1" ht="20.100000000000001" customHeight="1">
      <c r="B7" s="203"/>
      <c r="C7" s="203"/>
      <c r="D7" s="203"/>
      <c r="E7" s="203"/>
      <c r="F7" s="203"/>
      <c r="G7" s="203"/>
      <c r="H7" s="203"/>
      <c r="I7" s="203"/>
      <c r="K7" s="130"/>
    </row>
    <row r="8" spans="2:11" s="13" customFormat="1" ht="20.100000000000001" customHeight="1">
      <c r="B8" s="64" t="s">
        <v>11</v>
      </c>
      <c r="C8" s="65">
        <v>44628</v>
      </c>
      <c r="D8" s="64" t="s">
        <v>545</v>
      </c>
      <c r="E8" s="66" t="s">
        <v>546</v>
      </c>
      <c r="F8" s="64" t="s">
        <v>33</v>
      </c>
      <c r="G8" s="67">
        <v>-17.690000000000001</v>
      </c>
      <c r="H8" s="207">
        <f>+IF(F8=0,0,IF(F8="MXN",1/HLOOKUP(YEAR(C8)+(MONTH(C8)/100),TC!$5:$37,DAY(C8)+2,FALSE),VLOOKUP(F8,Equivalencia!$3:$23,((MAX(Equivalencia!$3:$3)-YEAR(C8))*14)+MONTH(C8)+2,FALSE)))</f>
        <v>1</v>
      </c>
      <c r="I8" s="143">
        <f t="shared" ref="I8:I13" si="0">+H8*G8</f>
        <v>-17.690000000000001</v>
      </c>
      <c r="K8" s="130"/>
    </row>
    <row r="9" spans="2:11" s="13" customFormat="1" ht="20.100000000000001" customHeight="1">
      <c r="B9" s="64" t="s">
        <v>11</v>
      </c>
      <c r="C9" s="65">
        <v>44629</v>
      </c>
      <c r="D9" s="64" t="s">
        <v>545</v>
      </c>
      <c r="E9" s="66" t="s">
        <v>547</v>
      </c>
      <c r="F9" s="64" t="s">
        <v>33</v>
      </c>
      <c r="G9" s="67">
        <v>-5.82</v>
      </c>
      <c r="H9" s="207">
        <f>+IF(F9=0,0,IF(F9="MXN",1/HLOOKUP(YEAR(C9)+(MONTH(C9)/100),TC!$5:$37,DAY(C9)+2,FALSE),VLOOKUP(F9,Equivalencia!$1:$23,((MAX(Equivalencia!$3:$3)-YEAR(C9))*14)+MONTH(C9)+2,FALSE)))</f>
        <v>1</v>
      </c>
      <c r="I9" s="143">
        <f t="shared" si="0"/>
        <v>-5.82</v>
      </c>
      <c r="K9" s="130"/>
    </row>
    <row r="10" spans="2:11" s="13" customFormat="1" ht="20.100000000000001" customHeight="1">
      <c r="B10" s="64" t="s">
        <v>11</v>
      </c>
      <c r="C10" s="65">
        <v>44635</v>
      </c>
      <c r="D10" s="64" t="s">
        <v>545</v>
      </c>
      <c r="E10" s="66" t="s">
        <v>548</v>
      </c>
      <c r="F10" s="64" t="s">
        <v>33</v>
      </c>
      <c r="G10" s="67">
        <v>5.82</v>
      </c>
      <c r="H10" s="207">
        <f>+IF(F10=0,0,IF(F10="MXN",1/HLOOKUP(YEAR(C10)+(MONTH(C10)/100),TC!$5:$37,DAY(C10)+2,FALSE),VLOOKUP(F10,Equivalencia!$1:$23,((MAX(Equivalencia!$3:$3)-YEAR(C10))*14)+MONTH(C10)+2,FALSE)))</f>
        <v>1</v>
      </c>
      <c r="I10" s="143">
        <f t="shared" si="0"/>
        <v>5.82</v>
      </c>
      <c r="K10" s="130"/>
    </row>
    <row r="11" spans="2:11" s="13" customFormat="1" ht="20.100000000000001" customHeight="1">
      <c r="B11" s="64" t="s">
        <v>11</v>
      </c>
      <c r="C11" s="65">
        <v>44635</v>
      </c>
      <c r="D11" s="64" t="s">
        <v>545</v>
      </c>
      <c r="E11" s="66" t="s">
        <v>549</v>
      </c>
      <c r="F11" s="64" t="s">
        <v>33</v>
      </c>
      <c r="G11" s="67">
        <v>-5.82</v>
      </c>
      <c r="H11" s="207">
        <f>+IF(F11=0,0,IF(F11="MXN",1/HLOOKUP(YEAR(C11)+(MONTH(C11)/100),TC!$5:$37,DAY(C11)+2,FALSE),VLOOKUP(F11,Equivalencia!$1:$23,((MAX(Equivalencia!$3:$3)-YEAR(C11))*14)+MONTH(C11)+2,FALSE)))</f>
        <v>1</v>
      </c>
      <c r="I11" s="143">
        <f t="shared" si="0"/>
        <v>-5.82</v>
      </c>
      <c r="K11" s="130"/>
    </row>
    <row r="12" spans="2:11" s="13" customFormat="1" ht="20.100000000000001" customHeight="1">
      <c r="B12" s="64" t="s">
        <v>11</v>
      </c>
      <c r="C12" s="65">
        <v>44637</v>
      </c>
      <c r="D12" s="64" t="s">
        <v>542</v>
      </c>
      <c r="E12" s="66" t="s">
        <v>550</v>
      </c>
      <c r="F12" s="64" t="s">
        <v>33</v>
      </c>
      <c r="G12" s="67">
        <v>49.95</v>
      </c>
      <c r="H12" s="207">
        <f>+IF(F12=0,0,IF(F12="MXN",1/HLOOKUP(YEAR(C12)+(MONTH(C12)/100),TC!$5:$37,DAY(C12)+2,FALSE),VLOOKUP(F12,Equivalencia!$1:$23,((MAX(Equivalencia!$3:$3)-YEAR(C12))*14)+MONTH(C12)+2,FALSE)))</f>
        <v>1</v>
      </c>
      <c r="I12" s="143">
        <f t="shared" si="0"/>
        <v>49.95</v>
      </c>
      <c r="K12" s="130"/>
    </row>
    <row r="13" spans="2:11" s="13" customFormat="1" ht="20.100000000000001" customHeight="1">
      <c r="B13" s="64" t="s">
        <v>11</v>
      </c>
      <c r="C13" s="65">
        <v>44637</v>
      </c>
      <c r="D13" s="64" t="s">
        <v>542</v>
      </c>
      <c r="E13" s="66" t="s">
        <v>551</v>
      </c>
      <c r="F13" s="64" t="s">
        <v>33</v>
      </c>
      <c r="G13" s="67">
        <v>18.14</v>
      </c>
      <c r="H13" s="207">
        <f>+IF(F13=0,0,IF(F13="MXN",1/HLOOKUP(YEAR(C13)+(MONTH(C13)/100),TC!$5:$37,DAY(C13)+2,FALSE),VLOOKUP(F13,Equivalencia!$1:$23,((MAX(Equivalencia!$3:$3)-YEAR(C13))*14)+MONTH(C13)+2,FALSE)))</f>
        <v>1</v>
      </c>
      <c r="I13" s="143">
        <f t="shared" si="0"/>
        <v>18.14</v>
      </c>
      <c r="K13" s="130"/>
    </row>
    <row r="14" spans="2:11" s="13" customFormat="1" ht="20.100000000000001" hidden="1" customHeight="1">
      <c r="B14" s="64" t="s">
        <v>14</v>
      </c>
      <c r="C14" s="65"/>
      <c r="D14" s="64"/>
      <c r="E14" s="66"/>
      <c r="F14" s="64"/>
      <c r="G14" s="67"/>
      <c r="H14" s="207">
        <f>+IF(F14=0,0,IF(F14="MXN",1/HLOOKUP(YEAR(C14)+(MONTH(C14)/100),TC!$5:$37,DAY(C14)+2,FALSE),VLOOKUP(F14,Equivalencia!$1:$23,((MAX(Equivalencia!$3:$3)-YEAR(C14))*14)+MONTH(C14)+2,FALSE)))</f>
        <v>0</v>
      </c>
      <c r="I14" s="143">
        <f t="shared" ref="I14:I25" si="1">+H14*G14</f>
        <v>0</v>
      </c>
      <c r="K14" s="130"/>
    </row>
    <row r="15" spans="2:11" s="13" customFormat="1" ht="20.100000000000001" hidden="1" customHeight="1">
      <c r="B15" s="64" t="s">
        <v>15</v>
      </c>
      <c r="C15" s="65"/>
      <c r="D15" s="64"/>
      <c r="E15" s="66"/>
      <c r="F15" s="64"/>
      <c r="G15" s="67"/>
      <c r="H15" s="207">
        <f>+IF(F15=0,0,IF(F15="MXN",1/HLOOKUP(YEAR(C15)+(MONTH(C15)/100),TC!$5:$37,DAY(C15)+2,FALSE),VLOOKUP(F15,Equivalencia!$1:$23,((MAX(Equivalencia!$3:$3)-YEAR(C15))*14)+MONTH(C15)+2,FALSE)))</f>
        <v>0</v>
      </c>
      <c r="I15" s="143">
        <f t="shared" si="1"/>
        <v>0</v>
      </c>
    </row>
    <row r="16" spans="2:11" s="13" customFormat="1" ht="20.100000000000001" hidden="1" customHeight="1">
      <c r="B16" s="64" t="s">
        <v>16</v>
      </c>
      <c r="C16" s="65"/>
      <c r="D16" s="64"/>
      <c r="E16" s="66"/>
      <c r="F16" s="64"/>
      <c r="G16" s="67"/>
      <c r="H16" s="207">
        <f>+IF(F16=0,0,IF(F16="MXN",1/HLOOKUP(YEAR(C16)+(MONTH(C16)/100),TC!$5:$37,DAY(C16)+2,FALSE),VLOOKUP(F16,Equivalencia!$1:$23,((MAX(Equivalencia!$3:$3)-YEAR(C16))*14)+MONTH(C16)+2,FALSE)))</f>
        <v>0</v>
      </c>
      <c r="I16" s="143">
        <f t="shared" si="1"/>
        <v>0</v>
      </c>
    </row>
    <row r="17" spans="2:9" s="13" customFormat="1" ht="20.100000000000001" hidden="1" customHeight="1">
      <c r="B17" s="64" t="s">
        <v>17</v>
      </c>
      <c r="C17" s="65"/>
      <c r="D17" s="64"/>
      <c r="E17" s="66"/>
      <c r="F17" s="64"/>
      <c r="G17" s="67"/>
      <c r="H17" s="207">
        <f>+IF(F17=0,0,IF(F17="MXN",1/HLOOKUP(YEAR(C17)+(MONTH(C17)/100),TC!$5:$37,DAY(C17)+2,FALSE),VLOOKUP(F17,Equivalencia!$1:$23,((MAX(Equivalencia!$3:$3)-YEAR(C17))*14)+MONTH(C17)+2,FALSE)))</f>
        <v>0</v>
      </c>
      <c r="I17" s="143">
        <f t="shared" si="1"/>
        <v>0</v>
      </c>
    </row>
    <row r="18" spans="2:9" s="13" customFormat="1" ht="20.100000000000001" hidden="1" customHeight="1">
      <c r="B18" s="64" t="s">
        <v>18</v>
      </c>
      <c r="C18" s="65"/>
      <c r="D18" s="64"/>
      <c r="E18" s="66"/>
      <c r="F18" s="64"/>
      <c r="G18" s="67"/>
      <c r="H18" s="207">
        <f>+IF(F18=0,0,IF(F18="MXN",1/HLOOKUP(YEAR(C18)+(MONTH(C18)/100),TC!$5:$37,DAY(C18)+2,FALSE),VLOOKUP(F18,Equivalencia!$1:$23,((MAX(Equivalencia!$3:$3)-YEAR(C18))*14)+MONTH(C18)+2,FALSE)))</f>
        <v>0</v>
      </c>
      <c r="I18" s="143">
        <f t="shared" si="1"/>
        <v>0</v>
      </c>
    </row>
    <row r="19" spans="2:9" s="13" customFormat="1" ht="20.100000000000001" hidden="1" customHeight="1">
      <c r="B19" s="64" t="s">
        <v>19</v>
      </c>
      <c r="C19" s="65"/>
      <c r="D19" s="64"/>
      <c r="E19" s="66"/>
      <c r="F19" s="64"/>
      <c r="G19" s="67"/>
      <c r="H19" s="207">
        <f>+IF(F19=0,0,IF(F19="MXN",1/HLOOKUP(YEAR(C19)+(MONTH(C19)/100),TC!$5:$37,DAY(C19)+2,FALSE),VLOOKUP(F19,Equivalencia!$1:$23,((MAX(Equivalencia!$3:$3)-YEAR(C19))*14)+MONTH(C19)+2,FALSE)))</f>
        <v>0</v>
      </c>
      <c r="I19" s="143">
        <f t="shared" si="1"/>
        <v>0</v>
      </c>
    </row>
    <row r="20" spans="2:9" s="13" customFormat="1" ht="20.100000000000001" hidden="1" customHeight="1">
      <c r="B20" s="64" t="s">
        <v>20</v>
      </c>
      <c r="C20" s="65"/>
      <c r="D20" s="64"/>
      <c r="E20" s="66"/>
      <c r="F20" s="64"/>
      <c r="G20" s="67"/>
      <c r="H20" s="207">
        <f>+IF(F20=0,0,IF(F20="MXN",1/HLOOKUP(YEAR(C20)+(MONTH(C20)/100),TC!$5:$37,DAY(C20)+2,FALSE),VLOOKUP(F20,Equivalencia!$1:$23,((MAX(Equivalencia!$3:$3)-YEAR(C20))*14)+MONTH(C20)+2,FALSE)))</f>
        <v>0</v>
      </c>
      <c r="I20" s="143">
        <f t="shared" si="1"/>
        <v>0</v>
      </c>
    </row>
    <row r="21" spans="2:9" s="13" customFormat="1" ht="20.100000000000001" hidden="1" customHeight="1">
      <c r="B21" s="64" t="s">
        <v>21</v>
      </c>
      <c r="C21" s="65"/>
      <c r="D21" s="64"/>
      <c r="E21" s="66"/>
      <c r="F21" s="64"/>
      <c r="G21" s="67"/>
      <c r="H21" s="207">
        <f>+IF(F21=0,0,IF(F21="MXN",1/HLOOKUP(YEAR(C21)+(MONTH(C21)/100),TC!$5:$37,DAY(C21)+2,FALSE),VLOOKUP(F21,Equivalencia!$1:$23,((MAX(Equivalencia!$3:$3)-YEAR(C21))*14)+MONTH(C21)+2,FALSE)))</f>
        <v>0</v>
      </c>
      <c r="I21" s="143">
        <f t="shared" si="1"/>
        <v>0</v>
      </c>
    </row>
    <row r="22" spans="2:9" s="13" customFormat="1" ht="20.100000000000001" hidden="1" customHeight="1">
      <c r="B22" s="64" t="s">
        <v>22</v>
      </c>
      <c r="C22" s="65"/>
      <c r="D22" s="64"/>
      <c r="E22" s="66"/>
      <c r="F22" s="64"/>
      <c r="G22" s="67"/>
      <c r="H22" s="207">
        <f>+IF(F22=0,0,IF(F22="MXN",1/HLOOKUP(YEAR(C22)+(MONTH(C22)/100),TC!$5:$37,DAY(C22)+2,FALSE),VLOOKUP(F22,Equivalencia!$1:$23,((MAX(Equivalencia!$3:$3)-YEAR(C22))*14)+MONTH(C22)+2,FALSE)))</f>
        <v>0</v>
      </c>
      <c r="I22" s="143">
        <f t="shared" si="1"/>
        <v>0</v>
      </c>
    </row>
    <row r="23" spans="2:9" s="13" customFormat="1" ht="20.100000000000001" hidden="1" customHeight="1">
      <c r="B23" s="64" t="s">
        <v>23</v>
      </c>
      <c r="C23" s="65"/>
      <c r="D23" s="64"/>
      <c r="E23" s="66"/>
      <c r="F23" s="64"/>
      <c r="G23" s="67"/>
      <c r="H23" s="207">
        <f>+IF(F23=0,0,IF(F23="MXN",1/HLOOKUP(YEAR(C23)+(MONTH(C23)/100),TC!$5:$37,DAY(C23)+2,FALSE),VLOOKUP(F23,Equivalencia!$1:$23,((MAX(Equivalencia!$3:$3)-YEAR(C23))*14)+MONTH(C23)+2,FALSE)))</f>
        <v>0</v>
      </c>
      <c r="I23" s="143">
        <f t="shared" si="1"/>
        <v>0</v>
      </c>
    </row>
    <row r="24" spans="2:9" s="13" customFormat="1" ht="20.100000000000001" hidden="1" customHeight="1">
      <c r="B24" s="64" t="s">
        <v>24</v>
      </c>
      <c r="C24" s="65"/>
      <c r="D24" s="64"/>
      <c r="E24" s="66"/>
      <c r="F24" s="64"/>
      <c r="G24" s="67"/>
      <c r="H24" s="207">
        <f>+IF(F24=0,0,IF(F24="MXN",1/HLOOKUP(YEAR(C24)+(MONTH(C24)/100),TC!$5:$37,DAY(C24)+2,FALSE),VLOOKUP(F24,Equivalencia!$1:$23,((MAX(Equivalencia!$3:$3)-YEAR(C24))*14)+MONTH(C24)+2,FALSE)))</f>
        <v>0</v>
      </c>
      <c r="I24" s="143">
        <f t="shared" si="1"/>
        <v>0</v>
      </c>
    </row>
    <row r="25" spans="2:9" s="13" customFormat="1" ht="20.100000000000001" hidden="1" customHeight="1">
      <c r="B25" s="64" t="s">
        <v>25</v>
      </c>
      <c r="C25" s="65"/>
      <c r="D25" s="64"/>
      <c r="E25" s="66"/>
      <c r="F25" s="64"/>
      <c r="G25" s="67"/>
      <c r="H25" s="207">
        <f>+IF(F25=0,0,IF(F25="MXN",1/HLOOKUP(YEAR(C25)+(MONTH(C25)/100),TC!$5:$37,DAY(C25)+2,FALSE),VLOOKUP(F25,Equivalencia!$1:$23,((MAX(Equivalencia!$3:$3)-YEAR(C25))*14)+MONTH(C25)+2,FALSE)))</f>
        <v>0</v>
      </c>
      <c r="I25" s="143">
        <f t="shared" si="1"/>
        <v>0</v>
      </c>
    </row>
    <row r="26" spans="2:9" ht="20.100000000000001" customHeight="1">
      <c r="B26" s="13"/>
      <c r="C26" s="13"/>
      <c r="D26" s="13"/>
      <c r="E26" s="13"/>
      <c r="F26" s="13"/>
      <c r="G26" s="13"/>
      <c r="H26" s="13"/>
      <c r="I26" s="13"/>
    </row>
    <row r="27" spans="2:9" ht="20.100000000000001" customHeight="1">
      <c r="B27" s="69" t="s">
        <v>552</v>
      </c>
      <c r="C27" s="70"/>
      <c r="D27" s="70"/>
      <c r="E27" s="70"/>
      <c r="F27" s="70"/>
      <c r="G27" s="160">
        <f>SUM(G7:G26)</f>
        <v>44.58</v>
      </c>
      <c r="H27" s="70"/>
      <c r="I27" s="160">
        <f>SUM(I7:I26)</f>
        <v>44.58</v>
      </c>
    </row>
    <row r="28" spans="2:9" ht="20.100000000000001" customHeight="1">
      <c r="B28" s="2"/>
      <c r="C28" s="2"/>
      <c r="D28" s="2"/>
      <c r="E28" s="2"/>
      <c r="F28" s="2"/>
      <c r="G28" s="2"/>
      <c r="H28" s="2"/>
      <c r="I28" s="2"/>
    </row>
    <row r="29" spans="2:9" ht="20.100000000000001" customHeight="1">
      <c r="B29" s="2"/>
      <c r="C29" s="2"/>
      <c r="D29" s="2"/>
      <c r="E29" s="2"/>
      <c r="F29" s="2"/>
      <c r="G29" s="2"/>
      <c r="H29" s="2"/>
      <c r="I29" s="2"/>
    </row>
    <row r="30" spans="2:9" ht="20.100000000000001" customHeight="1">
      <c r="B30" s="2"/>
      <c r="C30" s="2"/>
      <c r="D30" s="2"/>
      <c r="E30" s="2"/>
      <c r="F30" s="2"/>
      <c r="G30" s="2"/>
      <c r="H30" s="2"/>
      <c r="I30" s="2"/>
    </row>
    <row r="31" spans="2:9" ht="30.95" customHeight="1">
      <c r="B31" s="2"/>
      <c r="C31" s="2"/>
      <c r="D31" s="2"/>
      <c r="E31" s="2"/>
      <c r="F31" s="156"/>
      <c r="G31" s="159" t="s">
        <v>553</v>
      </c>
      <c r="H31" s="120"/>
      <c r="I31" s="159" t="s">
        <v>554</v>
      </c>
    </row>
    <row r="32" spans="2:9" ht="20.100000000000001" customHeight="1">
      <c r="B32" s="2"/>
      <c r="C32" s="2"/>
      <c r="D32" s="2"/>
      <c r="E32" s="2"/>
      <c r="F32" s="156"/>
      <c r="G32" s="157"/>
      <c r="H32" s="58"/>
      <c r="I32" s="158"/>
    </row>
    <row r="33" spans="2:9" ht="20.100000000000001" customHeight="1">
      <c r="B33" s="2"/>
      <c r="C33" s="2"/>
      <c r="D33" s="60"/>
      <c r="E33" s="161" t="s">
        <v>555</v>
      </c>
      <c r="F33" s="75">
        <f>+Cuentas!B7</f>
        <v>1175000</v>
      </c>
      <c r="G33" s="162">
        <f t="shared" ref="G33:G50" si="2">SUMIF($B$7:$B$537,F33,$G$7:$G$537)</f>
        <v>0</v>
      </c>
      <c r="H33" s="163"/>
      <c r="I33" s="162">
        <f t="shared" ref="I33:I50" si="3">SUMIF($B$7:$B$537,F33,$I$7:$I$537)</f>
        <v>0</v>
      </c>
    </row>
    <row r="34" spans="2:9" ht="20.100000000000001" customHeight="1">
      <c r="B34" s="2"/>
      <c r="C34" s="2"/>
      <c r="D34" s="60"/>
      <c r="E34" s="161" t="s">
        <v>555</v>
      </c>
      <c r="F34" s="75">
        <f>+Cuentas!B8</f>
        <v>1179000</v>
      </c>
      <c r="G34" s="162">
        <f t="shared" si="2"/>
        <v>0</v>
      </c>
      <c r="H34" s="163"/>
      <c r="I34" s="162">
        <f t="shared" si="3"/>
        <v>0</v>
      </c>
    </row>
    <row r="35" spans="2:9" ht="20.100000000000001" customHeight="1">
      <c r="B35" s="2"/>
      <c r="C35" s="2"/>
      <c r="D35" s="60"/>
      <c r="E35" s="161" t="s">
        <v>555</v>
      </c>
      <c r="F35" s="75">
        <f>+Cuentas!B9</f>
        <v>1427200</v>
      </c>
      <c r="G35" s="162">
        <f t="shared" si="2"/>
        <v>0</v>
      </c>
      <c r="H35" s="163"/>
      <c r="I35" s="162">
        <f t="shared" si="3"/>
        <v>0</v>
      </c>
    </row>
    <row r="36" spans="2:9" ht="20.100000000000001" customHeight="1">
      <c r="B36" s="2"/>
      <c r="C36" s="2"/>
      <c r="D36" s="60"/>
      <c r="E36" s="161" t="s">
        <v>555</v>
      </c>
      <c r="F36" s="75" t="str">
        <f>+Cuentas!B10</f>
        <v>B22235000</v>
      </c>
      <c r="G36" s="162">
        <f t="shared" si="2"/>
        <v>44.58</v>
      </c>
      <c r="H36" s="163"/>
      <c r="I36" s="162">
        <f t="shared" si="3"/>
        <v>44.58</v>
      </c>
    </row>
    <row r="37" spans="2:9" ht="20.100000000000001" hidden="1" customHeight="1">
      <c r="B37" s="2"/>
      <c r="C37" s="2"/>
      <c r="D37" s="60"/>
      <c r="E37" s="161" t="s">
        <v>555</v>
      </c>
      <c r="F37" s="75">
        <f>+Cuentas!B11</f>
        <v>700833580</v>
      </c>
      <c r="G37" s="162">
        <f t="shared" si="2"/>
        <v>0</v>
      </c>
      <c r="H37" s="163"/>
      <c r="I37" s="162">
        <f t="shared" si="3"/>
        <v>0</v>
      </c>
    </row>
    <row r="38" spans="2:9" ht="20.100000000000001" hidden="1" customHeight="1">
      <c r="B38" s="2"/>
      <c r="C38" s="2"/>
      <c r="D38" s="60"/>
      <c r="E38" s="161" t="s">
        <v>555</v>
      </c>
      <c r="F38" s="75" t="str">
        <f>+Cuentas!B12</f>
        <v>F</v>
      </c>
      <c r="G38" s="162">
        <f t="shared" si="2"/>
        <v>0</v>
      </c>
      <c r="H38" s="163"/>
      <c r="I38" s="162">
        <f t="shared" si="3"/>
        <v>0</v>
      </c>
    </row>
    <row r="39" spans="2:9" ht="20.100000000000001" hidden="1" customHeight="1">
      <c r="B39" s="2"/>
      <c r="C39" s="2"/>
      <c r="D39" s="60"/>
      <c r="E39" s="161" t="s">
        <v>555</v>
      </c>
      <c r="F39" s="75" t="str">
        <f>+Cuentas!B13</f>
        <v>G</v>
      </c>
      <c r="G39" s="162">
        <f t="shared" si="2"/>
        <v>0</v>
      </c>
      <c r="H39" s="163"/>
      <c r="I39" s="162">
        <f t="shared" si="3"/>
        <v>0</v>
      </c>
    </row>
    <row r="40" spans="2:9" ht="20.100000000000001" hidden="1" customHeight="1">
      <c r="B40" s="2"/>
      <c r="C40" s="2"/>
      <c r="D40" s="60"/>
      <c r="E40" s="161" t="s">
        <v>555</v>
      </c>
      <c r="F40" s="75" t="str">
        <f>+Cuentas!B14</f>
        <v>H</v>
      </c>
      <c r="G40" s="162">
        <f t="shared" si="2"/>
        <v>0</v>
      </c>
      <c r="H40" s="163"/>
      <c r="I40" s="162">
        <f t="shared" si="3"/>
        <v>0</v>
      </c>
    </row>
    <row r="41" spans="2:9" ht="20.100000000000001" hidden="1" customHeight="1">
      <c r="B41" s="2"/>
      <c r="C41" s="2"/>
      <c r="D41" s="60"/>
      <c r="E41" s="161" t="s">
        <v>555</v>
      </c>
      <c r="F41" s="75" t="str">
        <f>+Cuentas!B15</f>
        <v>I</v>
      </c>
      <c r="G41" s="162">
        <f t="shared" si="2"/>
        <v>0</v>
      </c>
      <c r="H41" s="163"/>
      <c r="I41" s="162">
        <f t="shared" si="3"/>
        <v>0</v>
      </c>
    </row>
    <row r="42" spans="2:9" ht="20.100000000000001" hidden="1" customHeight="1">
      <c r="B42" s="2"/>
      <c r="C42" s="2"/>
      <c r="D42" s="60"/>
      <c r="E42" s="161" t="s">
        <v>555</v>
      </c>
      <c r="F42" s="75" t="str">
        <f>+Cuentas!B16</f>
        <v>J</v>
      </c>
      <c r="G42" s="162">
        <f t="shared" si="2"/>
        <v>0</v>
      </c>
      <c r="H42" s="163"/>
      <c r="I42" s="162">
        <f t="shared" si="3"/>
        <v>0</v>
      </c>
    </row>
    <row r="43" spans="2:9" ht="20.100000000000001" hidden="1" customHeight="1">
      <c r="B43" s="2"/>
      <c r="C43" s="2"/>
      <c r="D43" s="60"/>
      <c r="E43" s="161" t="s">
        <v>555</v>
      </c>
      <c r="F43" s="75" t="str">
        <f>+Cuentas!B17</f>
        <v>K</v>
      </c>
      <c r="G43" s="162">
        <f t="shared" si="2"/>
        <v>0</v>
      </c>
      <c r="H43" s="163"/>
      <c r="I43" s="162">
        <f t="shared" si="3"/>
        <v>0</v>
      </c>
    </row>
    <row r="44" spans="2:9" ht="20.100000000000001" hidden="1" customHeight="1">
      <c r="B44" s="2"/>
      <c r="C44" s="2"/>
      <c r="D44" s="60"/>
      <c r="E44" s="161" t="s">
        <v>555</v>
      </c>
      <c r="F44" s="75" t="str">
        <f>+Cuentas!B18</f>
        <v>L</v>
      </c>
      <c r="G44" s="162">
        <f t="shared" si="2"/>
        <v>0</v>
      </c>
      <c r="H44" s="163"/>
      <c r="I44" s="162">
        <f t="shared" si="3"/>
        <v>0</v>
      </c>
    </row>
    <row r="45" spans="2:9" ht="20.100000000000001" hidden="1" customHeight="1">
      <c r="B45" s="2"/>
      <c r="C45" s="2"/>
      <c r="D45" s="60"/>
      <c r="E45" s="161" t="s">
        <v>555</v>
      </c>
      <c r="F45" s="75" t="str">
        <f>+Cuentas!B19</f>
        <v>M</v>
      </c>
      <c r="G45" s="162">
        <f t="shared" si="2"/>
        <v>0</v>
      </c>
      <c r="H45" s="163"/>
      <c r="I45" s="162">
        <f t="shared" si="3"/>
        <v>0</v>
      </c>
    </row>
    <row r="46" spans="2:9" ht="20.100000000000001" hidden="1" customHeight="1">
      <c r="B46" s="2"/>
      <c r="C46" s="2"/>
      <c r="D46" s="60"/>
      <c r="E46" s="161" t="s">
        <v>555</v>
      </c>
      <c r="F46" s="75" t="str">
        <f>+Cuentas!B20</f>
        <v>N</v>
      </c>
      <c r="G46" s="162">
        <f t="shared" si="2"/>
        <v>0</v>
      </c>
      <c r="H46" s="163"/>
      <c r="I46" s="162">
        <f t="shared" si="3"/>
        <v>0</v>
      </c>
    </row>
    <row r="47" spans="2:9" ht="20.100000000000001" hidden="1" customHeight="1">
      <c r="B47" s="2"/>
      <c r="C47" s="2"/>
      <c r="D47" s="60"/>
      <c r="E47" s="161" t="s">
        <v>555</v>
      </c>
      <c r="F47" s="75" t="str">
        <f>+Cuentas!B21</f>
        <v>O</v>
      </c>
      <c r="G47" s="162">
        <f t="shared" si="2"/>
        <v>0</v>
      </c>
      <c r="H47" s="163"/>
      <c r="I47" s="162">
        <f t="shared" si="3"/>
        <v>0</v>
      </c>
    </row>
    <row r="48" spans="2:9" ht="20.100000000000001" hidden="1" customHeight="1">
      <c r="B48" s="2"/>
      <c r="C48" s="2"/>
      <c r="D48" s="60"/>
      <c r="E48" s="161" t="s">
        <v>555</v>
      </c>
      <c r="F48" s="75" t="str">
        <f>+Cuentas!B22</f>
        <v>P</v>
      </c>
      <c r="G48" s="162">
        <f t="shared" si="2"/>
        <v>0</v>
      </c>
      <c r="H48" s="163"/>
      <c r="I48" s="162">
        <f t="shared" si="3"/>
        <v>0</v>
      </c>
    </row>
    <row r="49" spans="2:9" ht="20.100000000000001" hidden="1" customHeight="1">
      <c r="B49" s="2"/>
      <c r="C49" s="2"/>
      <c r="D49" s="60"/>
      <c r="E49" s="161" t="s">
        <v>555</v>
      </c>
      <c r="F49" s="75" t="str">
        <f>+Cuentas!B23</f>
        <v>Q</v>
      </c>
      <c r="G49" s="162">
        <f t="shared" si="2"/>
        <v>0</v>
      </c>
      <c r="H49" s="163"/>
      <c r="I49" s="162">
        <f t="shared" si="3"/>
        <v>0</v>
      </c>
    </row>
    <row r="50" spans="2:9" ht="20.100000000000001" hidden="1" customHeight="1">
      <c r="B50" s="2"/>
      <c r="C50" s="2"/>
      <c r="D50" s="60"/>
      <c r="E50" s="161" t="s">
        <v>555</v>
      </c>
      <c r="F50" s="75" t="str">
        <f>+Cuentas!B24</f>
        <v>R</v>
      </c>
      <c r="G50" s="162">
        <f t="shared" si="2"/>
        <v>0</v>
      </c>
      <c r="H50" s="163"/>
      <c r="I50" s="162">
        <f t="shared" si="3"/>
        <v>0</v>
      </c>
    </row>
    <row r="51" spans="2:9" ht="20.100000000000001" customHeight="1">
      <c r="B51" s="2"/>
      <c r="C51" s="2"/>
      <c r="D51" s="2"/>
      <c r="E51" s="2"/>
      <c r="F51" s="2"/>
      <c r="G51" s="2"/>
      <c r="H51" s="2"/>
      <c r="I51" s="2"/>
    </row>
    <row r="52" spans="2:9" ht="20.100000000000001" customHeight="1">
      <c r="B52" s="2"/>
      <c r="C52" s="2"/>
      <c r="D52" s="2"/>
      <c r="E52" s="2"/>
      <c r="F52" s="164" t="s">
        <v>119</v>
      </c>
      <c r="G52" s="165">
        <f>SUM(G33:G51)</f>
        <v>44.58</v>
      </c>
      <c r="H52" s="73"/>
      <c r="I52" s="165">
        <f>SUM(I33:I51)</f>
        <v>44.58</v>
      </c>
    </row>
    <row r="55" spans="2:9" ht="20.100000000000001" customHeight="1">
      <c r="B55" s="94" t="s">
        <v>556</v>
      </c>
    </row>
    <row r="56" spans="2:9" ht="20.100000000000001" customHeight="1">
      <c r="B56" s="13"/>
      <c r="C56" s="13"/>
      <c r="D56" s="13"/>
      <c r="E56" s="13"/>
      <c r="F56" s="13"/>
      <c r="G56" s="13"/>
      <c r="H56" s="13"/>
      <c r="I56" s="13"/>
    </row>
    <row r="57" spans="2:9" ht="20.100000000000001" customHeight="1">
      <c r="B57" s="13"/>
      <c r="C57" s="13"/>
      <c r="D57" s="13"/>
      <c r="E57" s="13"/>
      <c r="F57" s="13"/>
      <c r="G57" s="13"/>
      <c r="H57" s="13"/>
      <c r="I57" s="13"/>
    </row>
    <row r="58" spans="2:9" ht="20.100000000000001" customHeight="1">
      <c r="B58" s="13"/>
      <c r="C58" s="13"/>
      <c r="D58" s="13"/>
      <c r="E58" s="13"/>
      <c r="F58" s="13"/>
      <c r="G58" s="13"/>
      <c r="H58" s="13"/>
      <c r="I58" s="13"/>
    </row>
    <row r="59" spans="2:9" ht="20.100000000000001" customHeight="1">
      <c r="B59" s="13"/>
      <c r="C59" s="13"/>
      <c r="D59" s="13"/>
      <c r="E59" s="13"/>
      <c r="F59" s="13"/>
      <c r="G59" s="13"/>
      <c r="H59" s="13"/>
      <c r="I59" s="13"/>
    </row>
    <row r="60" spans="2:9" ht="20.100000000000001" customHeight="1">
      <c r="B60" s="13"/>
      <c r="C60" s="13"/>
      <c r="D60" s="13"/>
      <c r="E60" s="13"/>
      <c r="F60" s="13"/>
      <c r="G60" s="13"/>
      <c r="H60" s="13"/>
      <c r="I60" s="13"/>
    </row>
    <row r="61" spans="2:9" ht="20.100000000000001" customHeight="1">
      <c r="B61" s="13"/>
      <c r="C61" s="13"/>
      <c r="D61" s="13"/>
      <c r="E61" s="13"/>
      <c r="F61" s="13"/>
      <c r="G61" s="13"/>
      <c r="H61" s="13"/>
      <c r="I61" s="13"/>
    </row>
    <row r="62" spans="2:9" ht="20.100000000000001" customHeight="1">
      <c r="B62" s="13"/>
      <c r="C62" s="13"/>
      <c r="D62" s="13"/>
      <c r="E62" s="13"/>
      <c r="F62" s="13"/>
      <c r="G62" s="13"/>
      <c r="H62" s="13"/>
      <c r="I62" s="13"/>
    </row>
    <row r="63" spans="2:9" ht="20.100000000000001" customHeight="1">
      <c r="B63" s="13"/>
      <c r="C63" s="13"/>
      <c r="D63" s="13"/>
      <c r="E63" s="13"/>
      <c r="F63" s="13"/>
      <c r="G63" s="13"/>
      <c r="H63" s="13"/>
      <c r="I63" s="13"/>
    </row>
    <row r="64" spans="2:9" ht="20.100000000000001" customHeight="1">
      <c r="B64" s="13"/>
      <c r="C64" s="13"/>
      <c r="D64" s="13"/>
      <c r="E64" s="13"/>
      <c r="F64" s="13"/>
      <c r="G64" s="13"/>
      <c r="H64" s="13"/>
      <c r="I64" s="13"/>
    </row>
    <row r="65" spans="2:9" ht="20.100000000000001" customHeight="1">
      <c r="B65" s="13"/>
      <c r="C65" s="13"/>
      <c r="D65" s="13"/>
      <c r="E65" s="13"/>
      <c r="F65" s="13"/>
      <c r="G65" s="13"/>
      <c r="H65" s="13"/>
      <c r="I65" s="13"/>
    </row>
    <row r="66" spans="2:9" ht="20.100000000000001" customHeight="1">
      <c r="B66" s="13"/>
      <c r="C66" s="13"/>
      <c r="D66" s="13"/>
      <c r="E66" s="13"/>
      <c r="F66" s="13"/>
      <c r="G66" s="13"/>
      <c r="H66" s="13"/>
      <c r="I66" s="13"/>
    </row>
    <row r="67" spans="2:9" ht="20.100000000000001" customHeight="1">
      <c r="B67" s="13"/>
      <c r="C67" s="13"/>
      <c r="D67" s="13"/>
      <c r="E67" s="13"/>
      <c r="F67" s="13"/>
      <c r="G67" s="13"/>
      <c r="H67" s="13"/>
      <c r="I67" s="13"/>
    </row>
    <row r="68" spans="2:9" ht="20.100000000000001" customHeight="1">
      <c r="B68" s="13"/>
      <c r="C68" s="13"/>
      <c r="D68" s="13"/>
      <c r="E68" s="13"/>
      <c r="F68" s="13"/>
      <c r="G68" s="13"/>
      <c r="H68" s="13"/>
      <c r="I68" s="13"/>
    </row>
    <row r="69" spans="2:9" ht="20.100000000000001" customHeight="1">
      <c r="B69" s="13"/>
      <c r="C69" s="13"/>
      <c r="D69" s="13"/>
      <c r="E69" s="13"/>
      <c r="F69" s="13"/>
      <c r="G69" s="13"/>
      <c r="H69" s="13"/>
      <c r="I69" s="13"/>
    </row>
    <row r="70" spans="2:9" ht="20.100000000000001" customHeight="1">
      <c r="B70" s="13"/>
      <c r="C70" s="13"/>
      <c r="D70" s="13"/>
      <c r="E70" s="13"/>
      <c r="F70" s="13"/>
      <c r="G70" s="13"/>
      <c r="H70" s="13"/>
      <c r="I70" s="13"/>
    </row>
    <row r="71" spans="2:9" ht="20.100000000000001" customHeight="1">
      <c r="B71" s="13"/>
      <c r="C71" s="13"/>
      <c r="D71" s="13"/>
      <c r="E71" s="13"/>
      <c r="F71" s="13"/>
      <c r="G71" s="13"/>
      <c r="H71" s="13"/>
      <c r="I71" s="13"/>
    </row>
    <row r="72" spans="2:9" ht="20.100000000000001" customHeight="1">
      <c r="B72" s="13"/>
      <c r="C72" s="13"/>
      <c r="D72" s="13"/>
      <c r="E72" s="13"/>
      <c r="F72" s="13"/>
      <c r="G72" s="13"/>
      <c r="H72" s="13"/>
      <c r="I72" s="13"/>
    </row>
    <row r="73" spans="2:9" ht="20.100000000000001" customHeight="1">
      <c r="B73" s="13"/>
      <c r="C73" s="13"/>
      <c r="D73" s="13"/>
      <c r="E73" s="13"/>
      <c r="F73" s="13"/>
      <c r="G73" s="13"/>
      <c r="H73" s="13"/>
      <c r="I73" s="13"/>
    </row>
    <row r="74" spans="2:9" ht="20.100000000000001" customHeight="1">
      <c r="B74" s="13"/>
      <c r="C74" s="13"/>
      <c r="D74" s="13"/>
      <c r="E74" s="13"/>
      <c r="F74" s="13"/>
      <c r="G74" s="13"/>
      <c r="H74" s="13"/>
      <c r="I74" s="13"/>
    </row>
    <row r="75" spans="2:9" ht="20.100000000000001" customHeight="1">
      <c r="B75" s="13"/>
      <c r="C75" s="13"/>
      <c r="D75" s="13"/>
      <c r="E75" s="13"/>
      <c r="F75" s="13"/>
      <c r="G75" s="13"/>
      <c r="H75" s="13"/>
      <c r="I75" s="13"/>
    </row>
    <row r="76" spans="2:9" ht="20.100000000000001" customHeight="1">
      <c r="B76" s="13"/>
      <c r="C76" s="13"/>
      <c r="D76" s="13"/>
      <c r="E76" s="13"/>
      <c r="F76" s="13"/>
      <c r="G76" s="13"/>
      <c r="H76" s="13"/>
      <c r="I76" s="13"/>
    </row>
    <row r="77" spans="2:9" ht="20.100000000000001" customHeight="1">
      <c r="B77" s="13"/>
      <c r="C77" s="13"/>
      <c r="D77" s="13"/>
      <c r="E77" s="13"/>
      <c r="F77" s="13"/>
      <c r="G77" s="13"/>
      <c r="H77" s="13"/>
      <c r="I77" s="13"/>
    </row>
    <row r="78" spans="2:9" ht="20.100000000000001" customHeight="1">
      <c r="B78" s="13"/>
      <c r="C78" s="13"/>
      <c r="D78" s="13"/>
      <c r="E78" s="13"/>
      <c r="F78" s="13"/>
      <c r="G78" s="13"/>
      <c r="H78" s="13"/>
      <c r="I78" s="13"/>
    </row>
    <row r="79" spans="2:9" ht="20.100000000000001" customHeight="1">
      <c r="B79" s="13"/>
      <c r="C79" s="13"/>
      <c r="D79" s="13"/>
      <c r="E79" s="13"/>
      <c r="F79" s="13"/>
      <c r="G79" s="13"/>
      <c r="H79" s="13"/>
      <c r="I79" s="13"/>
    </row>
    <row r="80" spans="2:9" ht="20.100000000000001" customHeight="1">
      <c r="B80" s="13"/>
      <c r="C80" s="13"/>
      <c r="D80" s="13"/>
      <c r="E80" s="13"/>
      <c r="F80" s="13"/>
      <c r="G80" s="13"/>
      <c r="H80" s="13"/>
      <c r="I80" s="13"/>
    </row>
    <row r="81" spans="2:9" ht="20.100000000000001" customHeight="1">
      <c r="B81" s="13"/>
      <c r="C81" s="13"/>
      <c r="D81" s="13"/>
      <c r="E81" s="13"/>
      <c r="F81" s="13"/>
      <c r="G81" s="13"/>
      <c r="H81" s="13"/>
      <c r="I81" s="13"/>
    </row>
    <row r="82" spans="2:9" ht="20.100000000000001" customHeight="1">
      <c r="B82" s="13"/>
      <c r="C82" s="13"/>
      <c r="D82" s="13"/>
      <c r="E82" s="13"/>
      <c r="F82" s="13"/>
      <c r="G82" s="13"/>
      <c r="H82" s="13"/>
      <c r="I82" s="13"/>
    </row>
    <row r="83" spans="2:9" ht="20.100000000000001" customHeight="1">
      <c r="B83" s="13"/>
      <c r="C83" s="13"/>
      <c r="D83" s="13"/>
      <c r="E83" s="13"/>
      <c r="F83" s="13"/>
      <c r="G83" s="13"/>
      <c r="H83" s="13"/>
      <c r="I83" s="13"/>
    </row>
    <row r="84" spans="2:9" ht="20.100000000000001" customHeight="1">
      <c r="B84" s="13"/>
      <c r="C84" s="13"/>
      <c r="D84" s="13"/>
      <c r="E84" s="13"/>
      <c r="F84" s="13"/>
      <c r="G84" s="13"/>
      <c r="H84" s="13"/>
      <c r="I84" s="13"/>
    </row>
    <row r="85" spans="2:9" ht="20.100000000000001" customHeight="1">
      <c r="B85" s="13"/>
      <c r="C85" s="13"/>
      <c r="D85" s="13"/>
      <c r="E85" s="13"/>
      <c r="F85" s="13"/>
      <c r="G85" s="13"/>
      <c r="H85" s="13"/>
      <c r="I85" s="13"/>
    </row>
    <row r="86" spans="2:9" ht="20.100000000000001" customHeight="1">
      <c r="B86" s="13"/>
      <c r="C86" s="13"/>
      <c r="D86" s="13"/>
      <c r="E86" s="13"/>
      <c r="F86" s="13"/>
      <c r="G86" s="13"/>
      <c r="H86" s="13"/>
      <c r="I86" s="13"/>
    </row>
    <row r="87" spans="2:9" ht="20.100000000000001" customHeight="1">
      <c r="B87" s="13"/>
      <c r="C87" s="13"/>
      <c r="D87" s="13"/>
      <c r="E87" s="13"/>
      <c r="F87" s="13"/>
      <c r="G87" s="13"/>
      <c r="H87" s="13"/>
      <c r="I87" s="13"/>
    </row>
    <row r="88" spans="2:9" ht="20.100000000000001" customHeight="1">
      <c r="B88" s="13"/>
      <c r="C88" s="13"/>
      <c r="D88" s="13"/>
      <c r="E88" s="13"/>
      <c r="F88" s="13"/>
      <c r="G88" s="13"/>
      <c r="H88" s="13"/>
      <c r="I88" s="13"/>
    </row>
    <row r="89" spans="2:9" ht="20.100000000000001" customHeight="1">
      <c r="B89" s="13"/>
      <c r="C89" s="13"/>
      <c r="D89" s="13"/>
      <c r="E89" s="13"/>
      <c r="F89" s="13"/>
      <c r="G89" s="13"/>
      <c r="H89" s="13"/>
      <c r="I89" s="13"/>
    </row>
    <row r="90" spans="2:9" ht="20.100000000000001" customHeight="1">
      <c r="B90" s="13"/>
      <c r="C90" s="13"/>
      <c r="D90" s="13"/>
      <c r="E90" s="13"/>
      <c r="F90" s="13"/>
      <c r="G90" s="13"/>
      <c r="H90" s="13"/>
      <c r="I90" s="13"/>
    </row>
  </sheetData>
  <sheetProtection algorithmName="SHA-512" hashValue="Fx7VLWfxiXlVIvI/iHS5hrRwszkUdmSrHnc3gt7kTUXppImqayR8Qeu8r9vQRIhi+LLasKUj64fNxlNPkXpMyw==" saltValue="7EIZGJ//EzOdREcBLbv8rQ==" spinCount="100000" sheet="1" formatCells="0" formatColumns="0" formatRows="0" insertColumns="0" insertRows="0" deleteColumns="0" deleteRows="0" autoFilter="0"/>
  <autoFilter ref="B6:I26" xr:uid="{44CF4DD6-CB9E-BD4D-A5C6-86DEE60DFC31}"/>
  <mergeCells count="2">
    <mergeCell ref="B2:I2"/>
    <mergeCell ref="B3:I3"/>
  </mergeCells>
  <phoneticPr fontId="9" type="noConversion"/>
  <dataValidations count="1">
    <dataValidation type="list" showInputMessage="1" showErrorMessage="1" promptTitle="Selecciona una opción" prompt="Agrega un concepto en las celdas sombreadas en verde de la columna &quot;o&quot;." sqref="D8:D25" xr:uid="{00000000-0002-0000-0D00-000000000000}">
      <formula1>$K$2:$K$11</formula1>
    </dataValidation>
  </dataValidations>
  <printOptions horizontalCentered="1"/>
  <pageMargins left="0.7" right="0.7" top="0.75" bottom="0.75" header="0.3" footer="0.3"/>
  <pageSetup scale="48" fitToHeight="3" orientation="portrait" horizontalDpi="1200" verticalDpi="1200" r:id="rId1"/>
  <extLst>
    <ext xmlns:x14="http://schemas.microsoft.com/office/spreadsheetml/2009/9/main" uri="{CCE6A557-97BC-4b89-ADB6-D9C93CAAB3DF}">
      <x14:dataValidations xmlns:xm="http://schemas.microsoft.com/office/excel/2006/main" count="1">
        <x14:dataValidation type="list" showInputMessage="1" showErrorMessage="1" promptTitle="OJO:" prompt="Selecciona una moneda" xr:uid="{7A64D6AC-095B-DC40-9D92-37A6CAE13CE2}">
          <x14:formula1>
            <xm:f>Equivalencia!$A$4:$A$23</xm:f>
          </x14:formula1>
          <xm:sqref>F8:F25</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4024"/>
  <sheetViews>
    <sheetView topLeftCell="G1" zoomScale="70" zoomScaleNormal="70" zoomScalePageLayoutView="80" workbookViewId="0">
      <pane ySplit="1" topLeftCell="A2" activePane="bottomLeft" state="frozen"/>
      <selection pane="bottomLeft" activeCell="U8" sqref="U8"/>
    </sheetView>
  </sheetViews>
  <sheetFormatPr defaultColWidth="10.6640625" defaultRowHeight="20.100000000000001" customHeight="1"/>
  <cols>
    <col min="1" max="1" width="5.44140625" style="12" bestFit="1" customWidth="1"/>
    <col min="2" max="2" width="22.6640625" style="13" customWidth="1"/>
    <col min="3" max="3" width="22.6640625" style="54" customWidth="1"/>
    <col min="4" max="4" width="38.6640625" style="13" customWidth="1"/>
    <col min="5" max="6" width="22.6640625" style="13" customWidth="1"/>
    <col min="7" max="7" width="22.6640625" style="12" customWidth="1"/>
    <col min="8" max="10" width="22.88671875" style="12" hidden="1" customWidth="1"/>
    <col min="11" max="13" width="15.109375" style="12" hidden="1" customWidth="1"/>
    <col min="14" max="14" width="22.88671875" style="12" hidden="1" customWidth="1"/>
    <col min="15" max="15" width="1.5546875" style="12" bestFit="1" customWidth="1"/>
    <col min="16" max="16" width="14.109375" style="13" customWidth="1"/>
    <col min="17" max="17" width="19.44140625" style="13" customWidth="1"/>
    <col min="18" max="18" width="18.6640625" style="13" customWidth="1"/>
    <col min="19" max="19" width="17.88671875" style="13" customWidth="1"/>
    <col min="20" max="20" width="17.6640625" style="13" customWidth="1"/>
    <col min="21" max="21" width="18.5546875" style="13" customWidth="1"/>
    <col min="22" max="23" width="22.6640625" style="12" hidden="1" customWidth="1"/>
    <col min="24" max="24" width="22.6640625" style="12" customWidth="1"/>
    <col min="25" max="25" width="2" style="12" bestFit="1" customWidth="1"/>
    <col min="26" max="26" width="24.109375" style="12" hidden="1" customWidth="1"/>
    <col min="27" max="27" width="22.6640625" style="12" hidden="1" customWidth="1"/>
    <col min="28" max="31" width="10.6640625" style="12"/>
    <col min="32" max="32" width="17.6640625" style="12" customWidth="1"/>
    <col min="33" max="33" width="21.44140625" style="12" customWidth="1"/>
    <col min="34" max="16384" width="10.6640625" style="12"/>
  </cols>
  <sheetData>
    <row r="1" spans="1:33" ht="51">
      <c r="A1" s="57" t="s">
        <v>92</v>
      </c>
      <c r="B1" s="168" t="s">
        <v>557</v>
      </c>
      <c r="C1" s="168" t="s">
        <v>558</v>
      </c>
      <c r="D1" s="168" t="s">
        <v>559</v>
      </c>
      <c r="E1" s="168" t="s">
        <v>560</v>
      </c>
      <c r="F1" s="169" t="s">
        <v>561</v>
      </c>
      <c r="G1" s="169" t="s">
        <v>562</v>
      </c>
      <c r="H1" s="169" t="s">
        <v>563</v>
      </c>
      <c r="I1" s="168" t="s">
        <v>108</v>
      </c>
      <c r="J1" s="168" t="s">
        <v>564</v>
      </c>
      <c r="K1" s="168" t="s">
        <v>565</v>
      </c>
      <c r="L1" s="168" t="s">
        <v>566</v>
      </c>
      <c r="M1" s="168" t="s">
        <v>567</v>
      </c>
      <c r="N1" s="169" t="s">
        <v>568</v>
      </c>
      <c r="O1" s="106" t="s">
        <v>569</v>
      </c>
      <c r="P1" s="170" t="s">
        <v>570</v>
      </c>
      <c r="Q1" s="168" t="s">
        <v>571</v>
      </c>
      <c r="R1" s="168" t="s">
        <v>572</v>
      </c>
      <c r="S1" s="168" t="s">
        <v>573</v>
      </c>
      <c r="T1" s="168" t="s">
        <v>574</v>
      </c>
      <c r="U1" s="168" t="s">
        <v>575</v>
      </c>
      <c r="V1" s="168" t="s">
        <v>108</v>
      </c>
      <c r="W1" s="168" t="s">
        <v>576</v>
      </c>
      <c r="X1" s="169" t="s">
        <v>577</v>
      </c>
      <c r="Y1" s="106" t="s">
        <v>21</v>
      </c>
      <c r="Z1" s="168" t="s">
        <v>578</v>
      </c>
      <c r="AA1" s="169" t="s">
        <v>579</v>
      </c>
      <c r="AB1" s="169" t="s">
        <v>580</v>
      </c>
      <c r="AF1" s="171" t="s">
        <v>581</v>
      </c>
      <c r="AG1" s="171" t="s">
        <v>582</v>
      </c>
    </row>
    <row r="2" spans="1:33" ht="20.100000000000001" customHeight="1">
      <c r="B2" s="172" t="s">
        <v>11</v>
      </c>
      <c r="C2" s="174">
        <v>44350</v>
      </c>
      <c r="D2" s="181" t="s">
        <v>284</v>
      </c>
      <c r="E2" s="173" t="s">
        <v>33</v>
      </c>
      <c r="F2" s="176">
        <v>208734.1498406523</v>
      </c>
      <c r="G2" s="175">
        <f>+P2</f>
        <v>1503.31</v>
      </c>
      <c r="H2" s="175">
        <f t="shared" ref="H2:H65" si="0">IF(F2=0,0,(F2/G2)*P2)</f>
        <v>208734.14984065227</v>
      </c>
      <c r="I2" s="177">
        <f>IF(G2=0,0,IF(E2="MXN",1/HLOOKUP(YEAR(C2)+(MONTH(C2)/100),TC!$5:$37,DAY(C2)+2,FALSE),VLOOKUP(E2,Equivalencia!$5:$23,((MAX(Equivalencia!$3:$3)-YEAR(C2))*14)+MONTH(C2)+2,FALSE)))</f>
        <v>1</v>
      </c>
      <c r="J2" s="178">
        <f>+H2*I2</f>
        <v>208734.14984065227</v>
      </c>
      <c r="K2" s="462">
        <f>IF(C2=0,0,VLOOKUP(YEAR(C2),INPC!$B$4:$O$29,MONTH(C2)+1))</f>
        <v>113.018</v>
      </c>
      <c r="L2" s="462">
        <f>IF(S2=0,0,VLOOKUP(YEAR(S2),INPC!$B$4:$O$29,MONTH(S2)+1))</f>
        <v>120.809</v>
      </c>
      <c r="M2" s="463">
        <f t="shared" ref="M2:M65" si="1">IF(H2=0,0,IF(R2=$AF$4,1,IF(TRUNC(L2/K2,4)&gt;=1,TRUNC(L2/K2,4),1)))</f>
        <v>1.0689</v>
      </c>
      <c r="N2" s="465">
        <f>+M2*J2</f>
        <v>223115.9327646732</v>
      </c>
      <c r="O2" s="179"/>
      <c r="P2" s="180">
        <v>1503.31</v>
      </c>
      <c r="Q2" s="173" t="s">
        <v>583</v>
      </c>
      <c r="R2" s="173" t="s">
        <v>230</v>
      </c>
      <c r="S2" s="174">
        <v>44678</v>
      </c>
      <c r="T2" s="173" t="s">
        <v>33</v>
      </c>
      <c r="U2" s="182">
        <v>200000</v>
      </c>
      <c r="V2" s="177">
        <f>IF(U2=0,0,IF(T2="MXN",1/HLOOKUP(YEAR(S2)+(MONTH(S2)/100),TC!$5:$37,DAY(S2)+2,FALSE),VLOOKUP(T2,Equivalencia!$1:$23,((MAX(Equivalencia!$3:$3)-YEAR(S2))*14)+MONTH(S2)+2,FALSE)))</f>
        <v>1</v>
      </c>
      <c r="W2" s="178">
        <f>+V2*U2</f>
        <v>200000</v>
      </c>
      <c r="X2" s="481">
        <f t="shared" ref="X2:X65" si="2">+W2-J2</f>
        <v>-8734.1498406522733</v>
      </c>
      <c r="Y2" s="179"/>
      <c r="Z2" s="466">
        <f t="shared" ref="Z2:Z65" si="3">N2</f>
        <v>223115.9327646732</v>
      </c>
      <c r="AA2" s="473">
        <f t="shared" ref="AA2:AA65" si="4">+W2-Z2</f>
        <v>-23115.932764673198</v>
      </c>
      <c r="AB2" s="339">
        <f t="shared" ref="AB2:AB65" si="5">+IF(P2=0,0,(U2/F2)-1)</f>
        <v>-4.1843415882451218E-2</v>
      </c>
    </row>
    <row r="3" spans="1:33" ht="20.100000000000001" customHeight="1">
      <c r="A3" s="484"/>
      <c r="B3" s="172">
        <v>1175000</v>
      </c>
      <c r="C3" s="174">
        <v>43830</v>
      </c>
      <c r="D3" s="181" t="s">
        <v>231</v>
      </c>
      <c r="E3" s="173" t="s">
        <v>33</v>
      </c>
      <c r="F3" s="176">
        <v>2724.9025095057032</v>
      </c>
      <c r="G3" s="175">
        <f t="shared" ref="G3:G5" si="6">+P3</f>
        <v>28</v>
      </c>
      <c r="H3" s="175">
        <f t="shared" si="0"/>
        <v>2724.9025095057032</v>
      </c>
      <c r="I3" s="177">
        <f>IF(G3=0,0,IF(E3="MXN",1/HLOOKUP(YEAR(C3)+(MONTH(C3)/100),TC!$5:$37,DAY(C3)+2,FALSE),VLOOKUP(E3,Equivalencia!$5:$23,((MAX(Equivalencia!$3:$3)-YEAR(C3))*14)+MONTH(C3)+2,FALSE)))</f>
        <v>1</v>
      </c>
      <c r="J3" s="178">
        <f t="shared" ref="J3:J5" si="7">+H3*I3</f>
        <v>2724.9025095057032</v>
      </c>
      <c r="K3" s="462">
        <f>IF(C3=0,0,VLOOKUP(YEAR(C3),INPC!$B$4:$O$29,MONTH(C3)+1))</f>
        <v>105.934</v>
      </c>
      <c r="L3" s="462">
        <f>IF(S3=0,0,VLOOKUP(YEAR(S3),INPC!$B$4:$O$29,MONTH(S3)+1))</f>
        <v>118.002</v>
      </c>
      <c r="M3" s="463">
        <f t="shared" si="1"/>
        <v>1.1138999999999999</v>
      </c>
      <c r="N3" s="465">
        <f t="shared" ref="N3:N5" si="8">+M3*J3</f>
        <v>3035.2689053384024</v>
      </c>
      <c r="O3" s="179"/>
      <c r="P3" s="180">
        <v>28</v>
      </c>
      <c r="Q3" s="173" t="s">
        <v>583</v>
      </c>
      <c r="R3" s="173" t="s">
        <v>230</v>
      </c>
      <c r="S3" s="174">
        <v>44582</v>
      </c>
      <c r="T3" s="173" t="s">
        <v>33</v>
      </c>
      <c r="U3" s="182">
        <v>9568.73</v>
      </c>
      <c r="V3" s="177">
        <f>IF(U3=0,0,IF(T3="MXN",1/HLOOKUP(YEAR(S3)+(MONTH(S3)/100),TC!$5:$37,DAY(S3)+2,FALSE),VLOOKUP(T3,Equivalencia!$1:$23,((MAX(Equivalencia!$3:$3)-YEAR(S3))*14)+MONTH(S3)+2,FALSE)))</f>
        <v>1</v>
      </c>
      <c r="W3" s="178">
        <f t="shared" ref="W3:W66" si="9">+V3*U3</f>
        <v>9568.73</v>
      </c>
      <c r="X3" s="481">
        <f t="shared" si="2"/>
        <v>6843.8274904942964</v>
      </c>
      <c r="Y3" s="179"/>
      <c r="Z3" s="466">
        <f t="shared" si="3"/>
        <v>3035.2689053384024</v>
      </c>
      <c r="AA3" s="473">
        <f t="shared" si="4"/>
        <v>6533.4610946615976</v>
      </c>
      <c r="AB3" s="339">
        <f t="shared" si="5"/>
        <v>2.5115861821184073</v>
      </c>
      <c r="AF3" s="173" t="s">
        <v>230</v>
      </c>
      <c r="AG3" s="173" t="s">
        <v>583</v>
      </c>
    </row>
    <row r="4" spans="1:33" ht="20.100000000000001" customHeight="1">
      <c r="A4" s="484"/>
      <c r="B4" s="172">
        <v>1175000</v>
      </c>
      <c r="C4" s="174">
        <v>43830</v>
      </c>
      <c r="D4" s="181" t="s">
        <v>231</v>
      </c>
      <c r="E4" s="173" t="s">
        <v>33</v>
      </c>
      <c r="F4" s="176">
        <v>9634.4767300380227</v>
      </c>
      <c r="G4" s="175">
        <f t="shared" si="6"/>
        <v>99</v>
      </c>
      <c r="H4" s="175">
        <f t="shared" si="0"/>
        <v>9634.4767300380227</v>
      </c>
      <c r="I4" s="177">
        <f>IF(G4=0,0,IF(E4="MXN",1/HLOOKUP(YEAR(C4)+(MONTH(C4)/100),TC!$5:$37,DAY(C4)+2,FALSE),VLOOKUP(E4,Equivalencia!$5:$23,((MAX(Equivalencia!$3:$3)-YEAR(C4))*14)+MONTH(C4)+2,FALSE)))</f>
        <v>1</v>
      </c>
      <c r="J4" s="178">
        <f t="shared" si="7"/>
        <v>9634.4767300380227</v>
      </c>
      <c r="K4" s="462">
        <f>IF(C4=0,0,VLOOKUP(YEAR(C4),INPC!$B$4:$O$29,MONTH(C4)+1))</f>
        <v>105.934</v>
      </c>
      <c r="L4" s="462">
        <f>IF(S4=0,0,VLOOKUP(YEAR(S4),INPC!$B$4:$O$29,MONTH(S4)+1))</f>
        <v>120.809</v>
      </c>
      <c r="M4" s="463">
        <f t="shared" si="1"/>
        <v>1.1404000000000001</v>
      </c>
      <c r="N4" s="465">
        <f t="shared" si="8"/>
        <v>10987.157262935361</v>
      </c>
      <c r="O4" s="179"/>
      <c r="P4" s="180">
        <v>99</v>
      </c>
      <c r="Q4" s="173" t="s">
        <v>583</v>
      </c>
      <c r="R4" s="173" t="s">
        <v>230</v>
      </c>
      <c r="S4" s="174">
        <v>44678</v>
      </c>
      <c r="T4" s="173" t="s">
        <v>33</v>
      </c>
      <c r="U4" s="182">
        <v>30282.159999999996</v>
      </c>
      <c r="V4" s="177">
        <f>IF(U4=0,0,IF(T4="MXN",1/HLOOKUP(YEAR(S4)+(MONTH(S4)/100),TC!$5:$37,DAY(S4)+2,FALSE),VLOOKUP(T4,Equivalencia!$1:$23,((MAX(Equivalencia!$3:$3)-YEAR(S4))*14)+MONTH(S4)+2,FALSE)))</f>
        <v>1</v>
      </c>
      <c r="W4" s="178">
        <f t="shared" si="9"/>
        <v>30282.159999999996</v>
      </c>
      <c r="X4" s="481">
        <f t="shared" si="2"/>
        <v>20647.683269961974</v>
      </c>
      <c r="Y4" s="179"/>
      <c r="Z4" s="466">
        <f t="shared" si="3"/>
        <v>10987.157262935361</v>
      </c>
      <c r="AA4" s="473">
        <f t="shared" si="4"/>
        <v>19295.002737064635</v>
      </c>
      <c r="AB4" s="339">
        <f t="shared" si="5"/>
        <v>2.1431037562826192</v>
      </c>
      <c r="AF4" s="173" t="s">
        <v>584</v>
      </c>
      <c r="AG4" s="173" t="s">
        <v>585</v>
      </c>
    </row>
    <row r="5" spans="1:33" ht="20.100000000000001" customHeight="1">
      <c r="A5" s="484"/>
      <c r="B5" s="172">
        <v>1175000</v>
      </c>
      <c r="C5" s="174">
        <v>44523</v>
      </c>
      <c r="D5" s="181" t="s">
        <v>183</v>
      </c>
      <c r="E5" s="173" t="s">
        <v>33</v>
      </c>
      <c r="F5" s="176">
        <v>9281.0400000000009</v>
      </c>
      <c r="G5" s="175">
        <f t="shared" si="6"/>
        <v>150</v>
      </c>
      <c r="H5" s="175">
        <f t="shared" si="0"/>
        <v>9281.0400000000009</v>
      </c>
      <c r="I5" s="177">
        <f>IF(G5=0,0,IF(E5="MXN",1/HLOOKUP(YEAR(C5)+(MONTH(C5)/100),TC!$5:$37,DAY(C5)+2,FALSE),VLOOKUP(E5,Equivalencia!$5:$23,((MAX(Equivalencia!$3:$3)-YEAR(C5))*14)+MONTH(C5)+2,FALSE)))</f>
        <v>1</v>
      </c>
      <c r="J5" s="178">
        <f t="shared" si="7"/>
        <v>9281.0400000000009</v>
      </c>
      <c r="K5" s="462">
        <f>IF(C5=0,0,VLOOKUP(YEAR(C5),INPC!$B$4:$O$29,MONTH(C5)+1))</f>
        <v>116.884</v>
      </c>
      <c r="L5" s="462">
        <f>IF(S5=0,0,VLOOKUP(YEAR(S5),INPC!$B$4:$O$29,MONTH(S5)+1))</f>
        <v>118.002</v>
      </c>
      <c r="M5" s="463">
        <f t="shared" si="1"/>
        <v>1.0095000000000001</v>
      </c>
      <c r="N5" s="465">
        <f t="shared" si="8"/>
        <v>9369.2098800000022</v>
      </c>
      <c r="O5" s="179"/>
      <c r="P5" s="516">
        <v>150</v>
      </c>
      <c r="Q5" s="173" t="s">
        <v>583</v>
      </c>
      <c r="R5" s="173" t="s">
        <v>230</v>
      </c>
      <c r="S5" s="174">
        <v>44579</v>
      </c>
      <c r="T5" s="173" t="s">
        <v>33</v>
      </c>
      <c r="U5" s="513">
        <v>12267.0933333333</v>
      </c>
      <c r="V5" s="177">
        <f>IF(U5=0,0,IF(T5="MXN",1/HLOOKUP(YEAR(S5)+(MONTH(S5)/100),TC!$5:$37,DAY(S5)+2,FALSE),VLOOKUP(T5,Equivalencia!$1:$23,((MAX(Equivalencia!$3:$3)-YEAR(S5))*14)+MONTH(S5)+2,FALSE)))</f>
        <v>1</v>
      </c>
      <c r="W5" s="178">
        <f t="shared" si="9"/>
        <v>12267.0933333333</v>
      </c>
      <c r="X5" s="481">
        <f t="shared" si="2"/>
        <v>2986.0533333332987</v>
      </c>
      <c r="Y5" s="179"/>
      <c r="Z5" s="466">
        <f t="shared" si="3"/>
        <v>9369.2098800000022</v>
      </c>
      <c r="AA5" s="473">
        <f t="shared" si="4"/>
        <v>2897.8834533332974</v>
      </c>
      <c r="AB5" s="339">
        <f t="shared" si="5"/>
        <v>0.32173693178063001</v>
      </c>
      <c r="AF5" s="173"/>
      <c r="AG5" s="173" t="s">
        <v>586</v>
      </c>
    </row>
    <row r="6" spans="1:33" ht="20.100000000000001" customHeight="1">
      <c r="A6" s="484"/>
      <c r="B6" s="172">
        <v>1175000</v>
      </c>
      <c r="C6" s="174">
        <v>44523</v>
      </c>
      <c r="D6" s="181" t="s">
        <v>183</v>
      </c>
      <c r="E6" s="173" t="s">
        <v>33</v>
      </c>
      <c r="F6" s="176">
        <v>556.55999999999995</v>
      </c>
      <c r="G6" s="175">
        <f t="shared" ref="G6:G69" si="10">+P6</f>
        <v>9</v>
      </c>
      <c r="H6" s="175">
        <f t="shared" si="0"/>
        <v>556.55999999999995</v>
      </c>
      <c r="I6" s="177">
        <f>IF(G6=0,0,IF(E6="MXN",1/HLOOKUP(YEAR(C6)+(MONTH(C6)/100),TC!$5:$37,DAY(C6)+2,FALSE),VLOOKUP(E6,Equivalencia!$5:$23,((MAX(Equivalencia!$3:$3)-YEAR(C6))*14)+MONTH(C6)+2,FALSE)))</f>
        <v>1</v>
      </c>
      <c r="J6" s="178">
        <f t="shared" ref="J6:J69" si="11">+H6*I6</f>
        <v>556.55999999999995</v>
      </c>
      <c r="K6" s="462">
        <f>IF(C6=0,0,VLOOKUP(YEAR(C6),INPC!$B$4:$O$29,MONTH(C6)+1))</f>
        <v>116.884</v>
      </c>
      <c r="L6" s="462">
        <f>IF(S6=0,0,VLOOKUP(YEAR(S6),INPC!$B$4:$O$29,MONTH(S6)+1))</f>
        <v>118.002</v>
      </c>
      <c r="M6" s="463">
        <f t="shared" si="1"/>
        <v>1.0095000000000001</v>
      </c>
      <c r="N6" s="465">
        <f t="shared" ref="N6:N69" si="12">+M6*J6</f>
        <v>561.84731999999997</v>
      </c>
      <c r="O6" s="179"/>
      <c r="P6" s="517">
        <v>9</v>
      </c>
      <c r="Q6" s="173" t="s">
        <v>583</v>
      </c>
      <c r="R6" s="173" t="s">
        <v>230</v>
      </c>
      <c r="S6" s="174">
        <v>44579</v>
      </c>
      <c r="T6" s="173" t="s">
        <v>33</v>
      </c>
      <c r="U6" s="514">
        <v>736.02559999999994</v>
      </c>
      <c r="V6" s="177">
        <f>IF(U6=0,0,IF(T6="MXN",1/HLOOKUP(YEAR(S6)+(MONTH(S6)/100),TC!$5:$37,DAY(S6)+2,FALSE),VLOOKUP(T6,Equivalencia!$1:$23,((MAX(Equivalencia!$3:$3)-YEAR(S6))*14)+MONTH(S6)+2,FALSE)))</f>
        <v>1</v>
      </c>
      <c r="W6" s="178">
        <f t="shared" si="9"/>
        <v>736.02559999999994</v>
      </c>
      <c r="X6" s="481">
        <f t="shared" si="2"/>
        <v>179.46559999999999</v>
      </c>
      <c r="Y6" s="179"/>
      <c r="Z6" s="466">
        <f t="shared" si="3"/>
        <v>561.84731999999997</v>
      </c>
      <c r="AA6" s="473">
        <f t="shared" si="4"/>
        <v>174.17827999999997</v>
      </c>
      <c r="AB6" s="339">
        <f t="shared" si="5"/>
        <v>0.32245508121316657</v>
      </c>
      <c r="AF6" s="173"/>
      <c r="AG6" s="173" t="s">
        <v>587</v>
      </c>
    </row>
    <row r="7" spans="1:33" ht="20.100000000000001" customHeight="1">
      <c r="A7" s="484"/>
      <c r="B7" s="172">
        <v>1175000</v>
      </c>
      <c r="C7" s="174">
        <v>44523</v>
      </c>
      <c r="D7" s="181" t="s">
        <v>183</v>
      </c>
      <c r="E7" s="173" t="s">
        <v>33</v>
      </c>
      <c r="F7" s="176">
        <v>2355.73</v>
      </c>
      <c r="G7" s="175">
        <f t="shared" si="10"/>
        <v>38</v>
      </c>
      <c r="H7" s="175">
        <f t="shared" si="0"/>
        <v>2355.73</v>
      </c>
      <c r="I7" s="177">
        <f>IF(G7=0,0,IF(E7="MXN",1/HLOOKUP(YEAR(C7)+(MONTH(C7)/100),TC!$5:$37,DAY(C7)+2,FALSE),VLOOKUP(E7,Equivalencia!$5:$23,((MAX(Equivalencia!$3:$3)-YEAR(C7))*14)+MONTH(C7)+2,FALSE)))</f>
        <v>1</v>
      </c>
      <c r="J7" s="178">
        <f t="shared" si="11"/>
        <v>2355.73</v>
      </c>
      <c r="K7" s="462">
        <f>IF(C7=0,0,VLOOKUP(YEAR(C7),INPC!$B$4:$O$29,MONTH(C7)+1))</f>
        <v>116.884</v>
      </c>
      <c r="L7" s="462">
        <f>IF(S7=0,0,VLOOKUP(YEAR(S7),INPC!$B$4:$O$29,MONTH(S7)+1))</f>
        <v>118.002</v>
      </c>
      <c r="M7" s="463">
        <f t="shared" si="1"/>
        <v>1.0095000000000001</v>
      </c>
      <c r="N7" s="465">
        <f t="shared" si="12"/>
        <v>2378.1094350000003</v>
      </c>
      <c r="O7" s="179"/>
      <c r="P7" s="517">
        <v>38</v>
      </c>
      <c r="Q7" s="173" t="s">
        <v>583</v>
      </c>
      <c r="R7" s="173" t="s">
        <v>230</v>
      </c>
      <c r="S7" s="174">
        <v>44579</v>
      </c>
      <c r="T7" s="173" t="s">
        <v>33</v>
      </c>
      <c r="U7" s="514">
        <v>3107.6636444444443</v>
      </c>
      <c r="V7" s="177">
        <f>IF(U7=0,0,IF(T7="MXN",1/HLOOKUP(YEAR(S7)+(MONTH(S7)/100),TC!$5:$37,DAY(S7)+2,FALSE),VLOOKUP(T7,Equivalencia!$1:$23,((MAX(Equivalencia!$3:$3)-YEAR(S7))*14)+MONTH(S7)+2,FALSE)))</f>
        <v>1</v>
      </c>
      <c r="W7" s="178">
        <f t="shared" si="9"/>
        <v>3107.6636444444443</v>
      </c>
      <c r="X7" s="481">
        <f t="shared" si="2"/>
        <v>751.93364444444433</v>
      </c>
      <c r="Y7" s="179"/>
      <c r="Z7" s="466">
        <f t="shared" si="3"/>
        <v>2378.1094350000003</v>
      </c>
      <c r="AA7" s="473">
        <f t="shared" si="4"/>
        <v>729.55420944444404</v>
      </c>
      <c r="AB7" s="339">
        <f t="shared" si="5"/>
        <v>0.31919347482285509</v>
      </c>
      <c r="AF7" s="181"/>
      <c r="AG7" s="173" t="s">
        <v>588</v>
      </c>
    </row>
    <row r="8" spans="1:33" ht="20.100000000000001" customHeight="1">
      <c r="A8" s="484"/>
      <c r="B8" s="172">
        <v>1175000</v>
      </c>
      <c r="C8" s="174">
        <v>44523</v>
      </c>
      <c r="D8" s="181" t="s">
        <v>183</v>
      </c>
      <c r="E8" s="173" t="s">
        <v>33</v>
      </c>
      <c r="F8" s="176">
        <v>123.65</v>
      </c>
      <c r="G8" s="175">
        <f t="shared" si="10"/>
        <v>2</v>
      </c>
      <c r="H8" s="175">
        <f t="shared" si="0"/>
        <v>123.65</v>
      </c>
      <c r="I8" s="177">
        <f>IF(G8=0,0,IF(E8="MXN",1/HLOOKUP(YEAR(C8)+(MONTH(C8)/100),TC!$5:$37,DAY(C8)+2,FALSE),VLOOKUP(E8,Equivalencia!$5:$23,((MAX(Equivalencia!$3:$3)-YEAR(C8))*14)+MONTH(C8)+2,FALSE)))</f>
        <v>1</v>
      </c>
      <c r="J8" s="178">
        <f t="shared" si="11"/>
        <v>123.65</v>
      </c>
      <c r="K8" s="462">
        <f>IF(C8=0,0,VLOOKUP(YEAR(C8),INPC!$B$4:$O$29,MONTH(C8)+1))</f>
        <v>116.884</v>
      </c>
      <c r="L8" s="462">
        <f>IF(S8=0,0,VLOOKUP(YEAR(S8),INPC!$B$4:$O$29,MONTH(S8)+1))</f>
        <v>118.002</v>
      </c>
      <c r="M8" s="463">
        <f t="shared" si="1"/>
        <v>1.0095000000000001</v>
      </c>
      <c r="N8" s="465">
        <f t="shared" si="12"/>
        <v>124.82467500000001</v>
      </c>
      <c r="O8" s="179"/>
      <c r="P8" s="517">
        <v>2</v>
      </c>
      <c r="Q8" s="173" t="s">
        <v>583</v>
      </c>
      <c r="R8" s="173" t="s">
        <v>230</v>
      </c>
      <c r="S8" s="174">
        <v>44579</v>
      </c>
      <c r="T8" s="173" t="s">
        <v>33</v>
      </c>
      <c r="U8" s="514">
        <v>163.56124444444444</v>
      </c>
      <c r="V8" s="177">
        <f>IF(U8=0,0,IF(T8="MXN",1/HLOOKUP(YEAR(S8)+(MONTH(S8)/100),TC!$5:$37,DAY(S8)+2,FALSE),VLOOKUP(T8,Equivalencia!$1:$23,((MAX(Equivalencia!$3:$3)-YEAR(S8))*14)+MONTH(S8)+2,FALSE)))</f>
        <v>1</v>
      </c>
      <c r="W8" s="178">
        <f t="shared" si="9"/>
        <v>163.56124444444444</v>
      </c>
      <c r="X8" s="481">
        <f t="shared" si="2"/>
        <v>39.911244444444435</v>
      </c>
      <c r="Y8" s="179"/>
      <c r="Z8" s="466">
        <f t="shared" si="3"/>
        <v>124.82467500000001</v>
      </c>
      <c r="AA8" s="473">
        <f t="shared" si="4"/>
        <v>38.736569444444427</v>
      </c>
      <c r="AB8" s="339">
        <f t="shared" si="5"/>
        <v>0.32277593566069096</v>
      </c>
      <c r="AF8" s="181"/>
      <c r="AG8" s="173" t="s">
        <v>589</v>
      </c>
    </row>
    <row r="9" spans="1:33" ht="20.100000000000001" customHeight="1">
      <c r="A9" s="484"/>
      <c r="B9" s="172">
        <v>1175000</v>
      </c>
      <c r="C9" s="174">
        <v>44530</v>
      </c>
      <c r="D9" s="181" t="s">
        <v>183</v>
      </c>
      <c r="E9" s="173" t="s">
        <v>33</v>
      </c>
      <c r="F9" s="176">
        <v>178.02</v>
      </c>
      <c r="G9" s="175">
        <f t="shared" si="10"/>
        <v>3</v>
      </c>
      <c r="H9" s="175">
        <f t="shared" si="0"/>
        <v>178.02</v>
      </c>
      <c r="I9" s="177">
        <f>IF(G9=0,0,IF(E9="MXN",1/HLOOKUP(YEAR(C9)+(MONTH(C9)/100),TC!$5:$37,DAY(C9)+2,FALSE),VLOOKUP(E9,Equivalencia!$5:$23,((MAX(Equivalencia!$3:$3)-YEAR(C9))*14)+MONTH(C9)+2,FALSE)))</f>
        <v>1</v>
      </c>
      <c r="J9" s="178">
        <f t="shared" si="11"/>
        <v>178.02</v>
      </c>
      <c r="K9" s="462">
        <f>IF(C9=0,0,VLOOKUP(YEAR(C9),INPC!$B$4:$O$29,MONTH(C9)+1))</f>
        <v>116.884</v>
      </c>
      <c r="L9" s="462">
        <f>IF(S9=0,0,VLOOKUP(YEAR(S9),INPC!$B$4:$O$29,MONTH(S9)+1))</f>
        <v>118.002</v>
      </c>
      <c r="M9" s="463">
        <f t="shared" si="1"/>
        <v>1.0095000000000001</v>
      </c>
      <c r="N9" s="465">
        <f t="shared" si="12"/>
        <v>179.71119000000002</v>
      </c>
      <c r="O9" s="179"/>
      <c r="P9" s="517">
        <v>3</v>
      </c>
      <c r="Q9" s="173" t="s">
        <v>583</v>
      </c>
      <c r="R9" s="173" t="s">
        <v>230</v>
      </c>
      <c r="S9" s="174">
        <v>44579</v>
      </c>
      <c r="T9" s="173" t="s">
        <v>33</v>
      </c>
      <c r="U9" s="514">
        <v>245.34186666666665</v>
      </c>
      <c r="V9" s="177">
        <f>IF(U9=0,0,IF(T9="MXN",1/HLOOKUP(YEAR(S9)+(MONTH(S9)/100),TC!$5:$37,DAY(S9)+2,FALSE),VLOOKUP(T9,Equivalencia!$1:$23,((MAX(Equivalencia!$3:$3)-YEAR(S9))*14)+MONTH(S9)+2,FALSE)))</f>
        <v>1</v>
      </c>
      <c r="W9" s="178">
        <f t="shared" si="9"/>
        <v>245.34186666666665</v>
      </c>
      <c r="X9" s="481">
        <f t="shared" si="2"/>
        <v>67.321866666666637</v>
      </c>
      <c r="Y9" s="179"/>
      <c r="Z9" s="466">
        <f t="shared" si="3"/>
        <v>179.71119000000002</v>
      </c>
      <c r="AA9" s="473">
        <f t="shared" si="4"/>
        <v>65.630676666666631</v>
      </c>
      <c r="AB9" s="339">
        <f t="shared" si="5"/>
        <v>0.37817024304385249</v>
      </c>
      <c r="AG9" s="173"/>
    </row>
    <row r="10" spans="1:33" ht="20.100000000000001" customHeight="1">
      <c r="A10" s="484"/>
      <c r="B10" s="172">
        <v>1175000</v>
      </c>
      <c r="C10" s="174">
        <v>44530</v>
      </c>
      <c r="D10" s="181" t="s">
        <v>183</v>
      </c>
      <c r="E10" s="173" t="s">
        <v>33</v>
      </c>
      <c r="F10" s="176">
        <v>1360.8276842105265</v>
      </c>
      <c r="G10" s="175">
        <f t="shared" si="10"/>
        <v>23</v>
      </c>
      <c r="H10" s="175">
        <f t="shared" si="0"/>
        <v>1360.8276842105265</v>
      </c>
      <c r="I10" s="177">
        <f>IF(G10=0,0,IF(E10="MXN",1/HLOOKUP(YEAR(C10)+(MONTH(C10)/100),TC!$5:$37,DAY(C10)+2,FALSE),VLOOKUP(E10,Equivalencia!$5:$23,((MAX(Equivalencia!$3:$3)-YEAR(C10))*14)+MONTH(C10)+2,FALSE)))</f>
        <v>1</v>
      </c>
      <c r="J10" s="178">
        <f t="shared" si="11"/>
        <v>1360.8276842105265</v>
      </c>
      <c r="K10" s="462">
        <f>IF(C10=0,0,VLOOKUP(YEAR(C10),INPC!$B$4:$O$29,MONTH(C10)+1))</f>
        <v>116.884</v>
      </c>
      <c r="L10" s="462">
        <f>IF(S10=0,0,VLOOKUP(YEAR(S10),INPC!$B$4:$O$29,MONTH(S10)+1))</f>
        <v>118.002</v>
      </c>
      <c r="M10" s="463">
        <f t="shared" si="1"/>
        <v>1.0095000000000001</v>
      </c>
      <c r="N10" s="465">
        <f t="shared" si="12"/>
        <v>1373.7555472105266</v>
      </c>
      <c r="O10" s="179"/>
      <c r="P10" s="518">
        <v>23</v>
      </c>
      <c r="Q10" s="173" t="s">
        <v>583</v>
      </c>
      <c r="R10" s="173" t="s">
        <v>230</v>
      </c>
      <c r="S10" s="174">
        <v>44579</v>
      </c>
      <c r="T10" s="173" t="s">
        <v>33</v>
      </c>
      <c r="U10" s="515">
        <v>1880.9543111111111</v>
      </c>
      <c r="V10" s="177">
        <f>IF(U10=0,0,IF(T10="MXN",1/HLOOKUP(YEAR(S10)+(MONTH(S10)/100),TC!$5:$37,DAY(S10)+2,FALSE),VLOOKUP(T10,Equivalencia!$1:$23,((MAX(Equivalencia!$3:$3)-YEAR(S10))*14)+MONTH(S10)+2,FALSE)))</f>
        <v>1</v>
      </c>
      <c r="W10" s="178">
        <f t="shared" si="9"/>
        <v>1880.9543111111111</v>
      </c>
      <c r="X10" s="481">
        <f t="shared" si="2"/>
        <v>520.1266269005846</v>
      </c>
      <c r="Y10" s="179"/>
      <c r="Z10" s="466">
        <f t="shared" si="3"/>
        <v>1373.7555472105266</v>
      </c>
      <c r="AA10" s="473">
        <f t="shared" si="4"/>
        <v>507.19876390058448</v>
      </c>
      <c r="AB10" s="339">
        <f t="shared" si="5"/>
        <v>0.38221343740690572</v>
      </c>
      <c r="AG10" s="173"/>
    </row>
    <row r="11" spans="1:33" ht="20.100000000000001" customHeight="1">
      <c r="A11" s="484"/>
      <c r="B11" s="172">
        <v>1175000</v>
      </c>
      <c r="C11" s="174">
        <v>44530</v>
      </c>
      <c r="D11" s="181" t="s">
        <v>183</v>
      </c>
      <c r="E11" s="173" t="s">
        <v>33</v>
      </c>
      <c r="F11" s="176">
        <v>6449.1398947368425</v>
      </c>
      <c r="G11" s="175">
        <f t="shared" si="10"/>
        <v>109</v>
      </c>
      <c r="H11" s="175">
        <f t="shared" si="0"/>
        <v>6449.1398947368425</v>
      </c>
      <c r="I11" s="177">
        <f>IF(G11=0,0,IF(E11="MXN",1/HLOOKUP(YEAR(C11)+(MONTH(C11)/100),TC!$5:$37,DAY(C11)+2,FALSE),VLOOKUP(E11,Equivalencia!$5:$23,((MAX(Equivalencia!$3:$3)-YEAR(C11))*14)+MONTH(C11)+2,FALSE)))</f>
        <v>1</v>
      </c>
      <c r="J11" s="178">
        <f t="shared" si="11"/>
        <v>6449.1398947368425</v>
      </c>
      <c r="K11" s="462">
        <f>IF(C11=0,0,VLOOKUP(YEAR(C11),INPC!$B$4:$O$29,MONTH(C11)+1))</f>
        <v>116.884</v>
      </c>
      <c r="L11" s="462">
        <f>IF(S11=0,0,VLOOKUP(YEAR(S11),INPC!$B$4:$O$29,MONTH(S11)+1))</f>
        <v>120.15900000000001</v>
      </c>
      <c r="M11" s="463">
        <f t="shared" si="1"/>
        <v>1.028</v>
      </c>
      <c r="N11" s="465">
        <f t="shared" si="12"/>
        <v>6629.7158117894742</v>
      </c>
      <c r="O11" s="179"/>
      <c r="P11" s="519">
        <v>109</v>
      </c>
      <c r="Q11" s="173" t="s">
        <v>583</v>
      </c>
      <c r="R11" s="173" t="s">
        <v>230</v>
      </c>
      <c r="S11" s="174">
        <v>44622</v>
      </c>
      <c r="T11" s="173" t="s">
        <v>33</v>
      </c>
      <c r="U11" s="515">
        <v>8868.8700000000008</v>
      </c>
      <c r="V11" s="177">
        <f>IF(U11=0,0,IF(T11="MXN",1/HLOOKUP(YEAR(S11)+(MONTH(S11)/100),TC!$5:$37,DAY(S11)+2,FALSE),VLOOKUP(T11,Equivalencia!$1:$23,((MAX(Equivalencia!$3:$3)-YEAR(S11))*14)+MONTH(S11)+2,FALSE)))</f>
        <v>1</v>
      </c>
      <c r="W11" s="178">
        <f t="shared" si="9"/>
        <v>8868.8700000000008</v>
      </c>
      <c r="X11" s="481">
        <f t="shared" si="2"/>
        <v>2419.7301052631583</v>
      </c>
      <c r="Y11" s="179"/>
      <c r="Z11" s="466">
        <f t="shared" si="3"/>
        <v>6629.7158117894742</v>
      </c>
      <c r="AA11" s="473">
        <f t="shared" si="4"/>
        <v>2239.1541882105266</v>
      </c>
      <c r="AB11" s="339">
        <f t="shared" si="5"/>
        <v>0.37520198735926091</v>
      </c>
      <c r="AG11" s="173"/>
    </row>
    <row r="12" spans="1:33" ht="20.100000000000001" customHeight="1">
      <c r="A12" s="484"/>
      <c r="B12" s="172">
        <v>1175000</v>
      </c>
      <c r="C12" s="174">
        <v>44530</v>
      </c>
      <c r="D12" s="181" t="s">
        <v>183</v>
      </c>
      <c r="E12" s="173" t="s">
        <v>33</v>
      </c>
      <c r="F12" s="176">
        <v>591.66421052631586</v>
      </c>
      <c r="G12" s="175">
        <f t="shared" si="10"/>
        <v>10</v>
      </c>
      <c r="H12" s="175">
        <f t="shared" si="0"/>
        <v>591.66421052631586</v>
      </c>
      <c r="I12" s="177">
        <f>IF(G12=0,0,IF(E12="MXN",1/HLOOKUP(YEAR(C12)+(MONTH(C12)/100),TC!$5:$37,DAY(C12)+2,FALSE),VLOOKUP(E12,Equivalencia!$5:$23,((MAX(Equivalencia!$3:$3)-YEAR(C12))*14)+MONTH(C12)+2,FALSE)))</f>
        <v>1</v>
      </c>
      <c r="J12" s="178">
        <f t="shared" si="11"/>
        <v>591.66421052631586</v>
      </c>
      <c r="K12" s="462">
        <f>IF(C12=0,0,VLOOKUP(YEAR(C12),INPC!$B$4:$O$29,MONTH(C12)+1))</f>
        <v>116.884</v>
      </c>
      <c r="L12" s="462">
        <f>IF(S12=0,0,VLOOKUP(YEAR(S12),INPC!$B$4:$O$29,MONTH(S12)+1))</f>
        <v>120.15900000000001</v>
      </c>
      <c r="M12" s="463">
        <f t="shared" si="1"/>
        <v>1.028</v>
      </c>
      <c r="N12" s="465">
        <f t="shared" si="12"/>
        <v>608.23080842105276</v>
      </c>
      <c r="O12" s="179"/>
      <c r="P12" s="180">
        <v>10</v>
      </c>
      <c r="Q12" s="173" t="s">
        <v>583</v>
      </c>
      <c r="R12" s="173" t="s">
        <v>230</v>
      </c>
      <c r="S12" s="174">
        <v>44622</v>
      </c>
      <c r="T12" s="173" t="s">
        <v>33</v>
      </c>
      <c r="U12" s="182">
        <v>814.76</v>
      </c>
      <c r="V12" s="177">
        <f>IF(U12=0,0,IF(T12="MXN",1/HLOOKUP(YEAR(S12)+(MONTH(S12)/100),TC!$5:$37,DAY(S12)+2,FALSE),VLOOKUP(T12,Equivalencia!$1:$23,((MAX(Equivalencia!$3:$3)-YEAR(S12))*14)+MONTH(S12)+2,FALSE)))</f>
        <v>1</v>
      </c>
      <c r="W12" s="178">
        <f t="shared" si="9"/>
        <v>814.76</v>
      </c>
      <c r="X12" s="481">
        <f t="shared" si="2"/>
        <v>223.09578947368414</v>
      </c>
      <c r="Y12" s="179"/>
      <c r="Z12" s="466">
        <f t="shared" si="3"/>
        <v>608.23080842105276</v>
      </c>
      <c r="AA12" s="473">
        <f t="shared" si="4"/>
        <v>206.52919157894723</v>
      </c>
      <c r="AB12" s="339">
        <f t="shared" si="5"/>
        <v>0.37706487143312062</v>
      </c>
    </row>
    <row r="13" spans="1:33" ht="20.100000000000001" customHeight="1">
      <c r="A13" s="484"/>
      <c r="B13" s="172">
        <v>1175000</v>
      </c>
      <c r="C13" s="174">
        <v>44530</v>
      </c>
      <c r="D13" s="181" t="s">
        <v>183</v>
      </c>
      <c r="E13" s="173" t="s">
        <v>33</v>
      </c>
      <c r="F13" s="176">
        <v>354.99852631578949</v>
      </c>
      <c r="G13" s="175">
        <f t="shared" si="10"/>
        <v>6</v>
      </c>
      <c r="H13" s="175">
        <f t="shared" si="0"/>
        <v>354.99852631578949</v>
      </c>
      <c r="I13" s="177">
        <f>IF(G13=0,0,IF(E13="MXN",1/HLOOKUP(YEAR(C13)+(MONTH(C13)/100),TC!$5:$37,DAY(C13)+2,FALSE),VLOOKUP(E13,Equivalencia!$5:$23,((MAX(Equivalencia!$3:$3)-YEAR(C13))*14)+MONTH(C13)+2,FALSE)))</f>
        <v>1</v>
      </c>
      <c r="J13" s="178">
        <f t="shared" si="11"/>
        <v>354.99852631578949</v>
      </c>
      <c r="K13" s="462">
        <f>IF(C13=0,0,VLOOKUP(YEAR(C13),INPC!$B$4:$O$29,MONTH(C13)+1))</f>
        <v>116.884</v>
      </c>
      <c r="L13" s="462">
        <f>IF(S13=0,0,VLOOKUP(YEAR(S13),INPC!$B$4:$O$29,MONTH(S13)+1))</f>
        <v>120.15900000000001</v>
      </c>
      <c r="M13" s="463">
        <f t="shared" si="1"/>
        <v>1.028</v>
      </c>
      <c r="N13" s="465">
        <f t="shared" si="12"/>
        <v>364.93848505263162</v>
      </c>
      <c r="O13" s="179"/>
      <c r="P13" s="180">
        <v>6</v>
      </c>
      <c r="Q13" s="173" t="s">
        <v>583</v>
      </c>
      <c r="R13" s="173" t="s">
        <v>230</v>
      </c>
      <c r="S13" s="174">
        <v>44622</v>
      </c>
      <c r="T13" s="173" t="s">
        <v>33</v>
      </c>
      <c r="U13" s="182">
        <v>488.9</v>
      </c>
      <c r="V13" s="177">
        <f>IF(U13=0,0,IF(T13="MXN",1/HLOOKUP(YEAR(S13)+(MONTH(S13)/100),TC!$5:$37,DAY(S13)+2,FALSE),VLOOKUP(T13,Equivalencia!$1:$23,((MAX(Equivalencia!$3:$3)-YEAR(S13))*14)+MONTH(S13)+2,FALSE)))</f>
        <v>1</v>
      </c>
      <c r="W13" s="178">
        <f t="shared" si="9"/>
        <v>488.9</v>
      </c>
      <c r="X13" s="481">
        <f t="shared" si="2"/>
        <v>133.90147368421049</v>
      </c>
      <c r="Y13" s="179"/>
      <c r="Z13" s="466">
        <f t="shared" si="3"/>
        <v>364.93848505263162</v>
      </c>
      <c r="AA13" s="473">
        <f t="shared" si="4"/>
        <v>123.96151494736836</v>
      </c>
      <c r="AB13" s="339">
        <f t="shared" si="5"/>
        <v>0.37718881560961259</v>
      </c>
    </row>
    <row r="14" spans="1:33" ht="20.100000000000001" customHeight="1">
      <c r="A14" s="484"/>
      <c r="B14" s="172">
        <v>1175000</v>
      </c>
      <c r="C14" s="174">
        <v>44530</v>
      </c>
      <c r="D14" s="181" t="s">
        <v>183</v>
      </c>
      <c r="E14" s="173" t="s">
        <v>33</v>
      </c>
      <c r="F14" s="176">
        <v>59.215000000000003</v>
      </c>
      <c r="G14" s="175">
        <f t="shared" si="10"/>
        <v>1</v>
      </c>
      <c r="H14" s="175">
        <f t="shared" si="0"/>
        <v>59.215000000000003</v>
      </c>
      <c r="I14" s="177">
        <f>IF(G14=0,0,IF(E14="MXN",1/HLOOKUP(YEAR(C14)+(MONTH(C14)/100),TC!$5:$37,DAY(C14)+2,FALSE),VLOOKUP(E14,Equivalencia!$5:$23,((MAX(Equivalencia!$3:$3)-YEAR(C14))*14)+MONTH(C14)+2,FALSE)))</f>
        <v>1</v>
      </c>
      <c r="J14" s="178">
        <f t="shared" si="11"/>
        <v>59.215000000000003</v>
      </c>
      <c r="K14" s="462">
        <f>IF(C14=0,0,VLOOKUP(YEAR(C14),INPC!$B$4:$O$29,MONTH(C14)+1))</f>
        <v>116.884</v>
      </c>
      <c r="L14" s="462">
        <f>IF(S14=0,0,VLOOKUP(YEAR(S14),INPC!$B$4:$O$29,MONTH(S14)+1))</f>
        <v>120.15900000000001</v>
      </c>
      <c r="M14" s="463">
        <f t="shared" si="1"/>
        <v>1.028</v>
      </c>
      <c r="N14" s="465">
        <f t="shared" si="12"/>
        <v>60.873020000000004</v>
      </c>
      <c r="O14" s="179"/>
      <c r="P14" s="180">
        <v>1</v>
      </c>
      <c r="Q14" s="173" t="s">
        <v>583</v>
      </c>
      <c r="R14" s="173" t="s">
        <v>230</v>
      </c>
      <c r="S14" s="174">
        <v>44622</v>
      </c>
      <c r="T14" s="173" t="s">
        <v>33</v>
      </c>
      <c r="U14" s="182">
        <v>81.459999999999994</v>
      </c>
      <c r="V14" s="177">
        <f>IF(U14=0,0,IF(T14="MXN",1/HLOOKUP(YEAR(S14)+(MONTH(S14)/100),TC!$5:$37,DAY(S14)+2,FALSE),VLOOKUP(T14,Equivalencia!$1:$23,((MAX(Equivalencia!$3:$3)-YEAR(S14))*14)+MONTH(S14)+2,FALSE)))</f>
        <v>1</v>
      </c>
      <c r="W14" s="178">
        <f t="shared" si="9"/>
        <v>81.459999999999994</v>
      </c>
      <c r="X14" s="481">
        <f t="shared" si="2"/>
        <v>22.24499999999999</v>
      </c>
      <c r="Y14" s="179"/>
      <c r="Z14" s="466">
        <f t="shared" si="3"/>
        <v>60.873020000000004</v>
      </c>
      <c r="AA14" s="473">
        <f t="shared" si="4"/>
        <v>20.58697999999999</v>
      </c>
      <c r="AB14" s="339">
        <f t="shared" si="5"/>
        <v>0.37566494975935139</v>
      </c>
    </row>
    <row r="15" spans="1:33" ht="20.100000000000001" customHeight="1">
      <c r="A15" s="484"/>
      <c r="B15" s="172">
        <v>1175000</v>
      </c>
      <c r="C15" s="174">
        <v>44530</v>
      </c>
      <c r="D15" s="181" t="s">
        <v>183</v>
      </c>
      <c r="E15" s="173" t="s">
        <v>33</v>
      </c>
      <c r="F15" s="176">
        <v>177.49926315789475</v>
      </c>
      <c r="G15" s="175">
        <f t="shared" si="10"/>
        <v>3</v>
      </c>
      <c r="H15" s="175">
        <f t="shared" si="0"/>
        <v>177.49926315789475</v>
      </c>
      <c r="I15" s="177">
        <f>IF(G15=0,0,IF(E15="MXN",1/HLOOKUP(YEAR(C15)+(MONTH(C15)/100),TC!$5:$37,DAY(C15)+2,FALSE),VLOOKUP(E15,Equivalencia!$5:$23,((MAX(Equivalencia!$3:$3)-YEAR(C15))*14)+MONTH(C15)+2,FALSE)))</f>
        <v>1</v>
      </c>
      <c r="J15" s="178">
        <f t="shared" si="11"/>
        <v>177.49926315789475</v>
      </c>
      <c r="K15" s="462">
        <f>IF(C15=0,0,VLOOKUP(YEAR(C15),INPC!$B$4:$O$29,MONTH(C15)+1))</f>
        <v>116.884</v>
      </c>
      <c r="L15" s="462">
        <f>IF(S15=0,0,VLOOKUP(YEAR(S15),INPC!$B$4:$O$29,MONTH(S15)+1))</f>
        <v>120.15900000000001</v>
      </c>
      <c r="M15" s="463">
        <f t="shared" si="1"/>
        <v>1.028</v>
      </c>
      <c r="N15" s="465">
        <f t="shared" si="12"/>
        <v>182.46924252631581</v>
      </c>
      <c r="O15" s="179"/>
      <c r="P15" s="180">
        <v>3</v>
      </c>
      <c r="Q15" s="512" t="s">
        <v>583</v>
      </c>
      <c r="R15" s="173" t="s">
        <v>230</v>
      </c>
      <c r="S15" s="174">
        <v>44623</v>
      </c>
      <c r="T15" s="173" t="s">
        <v>33</v>
      </c>
      <c r="U15" s="182">
        <v>244.56</v>
      </c>
      <c r="V15" s="177">
        <f>IF(U15=0,0,IF(T15="MXN",1/HLOOKUP(YEAR(S15)+(MONTH(S15)/100),TC!$5:$37,DAY(S15)+2,FALSE),VLOOKUP(T15,Equivalencia!$1:$23,((MAX(Equivalencia!$3:$3)-YEAR(S15))*14)+MONTH(S15)+2,FALSE)))</f>
        <v>1</v>
      </c>
      <c r="W15" s="178">
        <f t="shared" si="9"/>
        <v>244.56</v>
      </c>
      <c r="X15" s="481">
        <f t="shared" si="2"/>
        <v>67.060736842105257</v>
      </c>
      <c r="Y15" s="179"/>
      <c r="Z15" s="466">
        <f t="shared" si="3"/>
        <v>182.46924252631581</v>
      </c>
      <c r="AA15" s="473">
        <f t="shared" si="4"/>
        <v>62.090757473684192</v>
      </c>
      <c r="AB15" s="339">
        <f t="shared" si="5"/>
        <v>0.37780853649207136</v>
      </c>
    </row>
    <row r="16" spans="1:33" ht="20.100000000000001" customHeight="1">
      <c r="A16" s="484"/>
      <c r="B16" s="172">
        <v>1175000</v>
      </c>
      <c r="C16" s="174">
        <v>44530</v>
      </c>
      <c r="D16" s="181" t="s">
        <v>183</v>
      </c>
      <c r="E16" s="173" t="s">
        <v>33</v>
      </c>
      <c r="F16" s="176">
        <v>2248.3240000000001</v>
      </c>
      <c r="G16" s="175">
        <f t="shared" si="10"/>
        <v>38</v>
      </c>
      <c r="H16" s="175">
        <f t="shared" si="0"/>
        <v>2248.3240000000001</v>
      </c>
      <c r="I16" s="177">
        <f>IF(G16=0,0,IF(E16="MXN",1/HLOOKUP(YEAR(C16)+(MONTH(C16)/100),TC!$5:$37,DAY(C16)+2,FALSE),VLOOKUP(E16,Equivalencia!$5:$23,((MAX(Equivalencia!$3:$3)-YEAR(C16))*14)+MONTH(C16)+2,FALSE)))</f>
        <v>1</v>
      </c>
      <c r="J16" s="178">
        <f t="shared" si="11"/>
        <v>2248.3240000000001</v>
      </c>
      <c r="K16" s="462">
        <f>IF(C16=0,0,VLOOKUP(YEAR(C16),INPC!$B$4:$O$29,MONTH(C16)+1))</f>
        <v>116.884</v>
      </c>
      <c r="L16" s="462">
        <f>IF(S16=0,0,VLOOKUP(YEAR(S16),INPC!$B$4:$O$29,MONTH(S16)+1))</f>
        <v>120.15900000000001</v>
      </c>
      <c r="M16" s="463">
        <f t="shared" si="1"/>
        <v>1.028</v>
      </c>
      <c r="N16" s="465">
        <f t="shared" si="12"/>
        <v>2311.2770720000003</v>
      </c>
      <c r="O16" s="179"/>
      <c r="P16" s="516">
        <v>38</v>
      </c>
      <c r="Q16" s="173" t="s">
        <v>583</v>
      </c>
      <c r="R16" s="173" t="s">
        <v>230</v>
      </c>
      <c r="S16" s="174">
        <v>44628</v>
      </c>
      <c r="T16" s="173" t="s">
        <v>33</v>
      </c>
      <c r="U16" s="513">
        <v>3072.6166666666663</v>
      </c>
      <c r="V16" s="177">
        <f>IF(U16=0,0,IF(T16="MXN",1/HLOOKUP(YEAR(S16)+(MONTH(S16)/100),TC!$5:$37,DAY(S16)+2,FALSE),VLOOKUP(T16,Equivalencia!$1:$23,((MAX(Equivalencia!$3:$3)-YEAR(S16))*14)+MONTH(S16)+2,FALSE)))</f>
        <v>1</v>
      </c>
      <c r="W16" s="178">
        <f t="shared" si="9"/>
        <v>3072.6166666666663</v>
      </c>
      <c r="X16" s="481">
        <f t="shared" si="2"/>
        <v>824.29266666666626</v>
      </c>
      <c r="Y16" s="179"/>
      <c r="Z16" s="466">
        <f t="shared" si="3"/>
        <v>2311.2770720000003</v>
      </c>
      <c r="AA16" s="473">
        <f t="shared" si="4"/>
        <v>761.33959466666602</v>
      </c>
      <c r="AB16" s="339">
        <f t="shared" si="5"/>
        <v>0.36662539147679163</v>
      </c>
    </row>
    <row r="17" spans="1:28" ht="20.100000000000001" customHeight="1">
      <c r="A17" s="484"/>
      <c r="B17" s="172">
        <v>1175000</v>
      </c>
      <c r="C17" s="174">
        <v>44530</v>
      </c>
      <c r="D17" s="181" t="s">
        <v>183</v>
      </c>
      <c r="E17" s="173" t="s">
        <v>33</v>
      </c>
      <c r="F17" s="176">
        <v>118.43</v>
      </c>
      <c r="G17" s="175">
        <f t="shared" si="10"/>
        <v>2</v>
      </c>
      <c r="H17" s="175">
        <f t="shared" si="0"/>
        <v>118.43</v>
      </c>
      <c r="I17" s="177">
        <f>IF(G17=0,0,IF(E17="MXN",1/HLOOKUP(YEAR(C17)+(MONTH(C17)/100),TC!$5:$37,DAY(C17)+2,FALSE),VLOOKUP(E17,Equivalencia!$5:$23,((MAX(Equivalencia!$3:$3)-YEAR(C17))*14)+MONTH(C17)+2,FALSE)))</f>
        <v>1</v>
      </c>
      <c r="J17" s="178">
        <f t="shared" si="11"/>
        <v>118.43</v>
      </c>
      <c r="K17" s="462">
        <f>IF(C17=0,0,VLOOKUP(YEAR(C17),INPC!$B$4:$O$29,MONTH(C17)+1))</f>
        <v>116.884</v>
      </c>
      <c r="L17" s="462">
        <f>IF(S17=0,0,VLOOKUP(YEAR(S17),INPC!$B$4:$O$29,MONTH(S17)+1))</f>
        <v>120.15900000000001</v>
      </c>
      <c r="M17" s="463">
        <f t="shared" si="1"/>
        <v>1.028</v>
      </c>
      <c r="N17" s="465">
        <f t="shared" si="12"/>
        <v>121.74604000000001</v>
      </c>
      <c r="O17" s="179"/>
      <c r="P17" s="517">
        <v>2</v>
      </c>
      <c r="Q17" s="173" t="s">
        <v>583</v>
      </c>
      <c r="R17" s="173" t="s">
        <v>230</v>
      </c>
      <c r="S17" s="174">
        <v>44628</v>
      </c>
      <c r="T17" s="173" t="s">
        <v>33</v>
      </c>
      <c r="U17" s="514">
        <v>161.71666666666664</v>
      </c>
      <c r="V17" s="177">
        <f>IF(U17=0,0,IF(T17="MXN",1/HLOOKUP(YEAR(S17)+(MONTH(S17)/100),TC!$5:$37,DAY(S17)+2,FALSE),VLOOKUP(T17,Equivalencia!$1:$23,((MAX(Equivalencia!$3:$3)-YEAR(S17))*14)+MONTH(S17)+2,FALSE)))</f>
        <v>1</v>
      </c>
      <c r="W17" s="178">
        <f t="shared" si="9"/>
        <v>161.71666666666664</v>
      </c>
      <c r="X17" s="481">
        <f t="shared" si="2"/>
        <v>43.286666666666633</v>
      </c>
      <c r="Y17" s="179"/>
      <c r="Z17" s="466">
        <f t="shared" si="3"/>
        <v>121.74604000000001</v>
      </c>
      <c r="AA17" s="473">
        <f t="shared" si="4"/>
        <v>39.970626666666632</v>
      </c>
      <c r="AB17" s="339">
        <f t="shared" si="5"/>
        <v>0.36550423597624437</v>
      </c>
    </row>
    <row r="18" spans="1:28" ht="20.100000000000001" customHeight="1">
      <c r="A18" s="484"/>
      <c r="B18" s="172">
        <v>1175000</v>
      </c>
      <c r="C18" s="174">
        <v>44544</v>
      </c>
      <c r="D18" s="181" t="s">
        <v>183</v>
      </c>
      <c r="E18" s="173" t="s">
        <v>33</v>
      </c>
      <c r="F18" s="176">
        <v>3642.0644303797462</v>
      </c>
      <c r="G18" s="175">
        <f t="shared" si="10"/>
        <v>62</v>
      </c>
      <c r="H18" s="175">
        <f t="shared" si="0"/>
        <v>3642.0644303797462</v>
      </c>
      <c r="I18" s="177">
        <f>IF(G18=0,0,IF(E18="MXN",1/HLOOKUP(YEAR(C18)+(MONTH(C18)/100),TC!$5:$37,DAY(C18)+2,FALSE),VLOOKUP(E18,Equivalencia!$5:$23,((MAX(Equivalencia!$3:$3)-YEAR(C18))*14)+MONTH(C18)+2,FALSE)))</f>
        <v>1</v>
      </c>
      <c r="J18" s="178">
        <f t="shared" si="11"/>
        <v>3642.0644303797462</v>
      </c>
      <c r="K18" s="462">
        <f>IF(C18=0,0,VLOOKUP(YEAR(C18),INPC!$B$4:$O$29,MONTH(C18)+1))</f>
        <v>117.30800000000001</v>
      </c>
      <c r="L18" s="462">
        <f>IF(S18=0,0,VLOOKUP(YEAR(S18),INPC!$B$4:$O$29,MONTH(S18)+1))</f>
        <v>120.15900000000001</v>
      </c>
      <c r="M18" s="463">
        <f t="shared" si="1"/>
        <v>1.0243</v>
      </c>
      <c r="N18" s="465">
        <f t="shared" si="12"/>
        <v>3730.5665960379738</v>
      </c>
      <c r="O18" s="179"/>
      <c r="P18" s="517">
        <v>62</v>
      </c>
      <c r="Q18" s="173" t="s">
        <v>583</v>
      </c>
      <c r="R18" s="173" t="s">
        <v>230</v>
      </c>
      <c r="S18" s="174">
        <v>44628</v>
      </c>
      <c r="T18" s="173" t="s">
        <v>33</v>
      </c>
      <c r="U18" s="515">
        <v>5013.2166666666662</v>
      </c>
      <c r="V18" s="177">
        <f>IF(U18=0,0,IF(T18="MXN",1/HLOOKUP(YEAR(S18)+(MONTH(S18)/100),TC!$5:$37,DAY(S18)+2,FALSE),VLOOKUP(T18,Equivalencia!$1:$23,((MAX(Equivalencia!$3:$3)-YEAR(S18))*14)+MONTH(S18)+2,FALSE)))</f>
        <v>1</v>
      </c>
      <c r="W18" s="178">
        <f t="shared" si="9"/>
        <v>5013.2166666666662</v>
      </c>
      <c r="X18" s="481">
        <f t="shared" si="2"/>
        <v>1371.15223628692</v>
      </c>
      <c r="Y18" s="179"/>
      <c r="Z18" s="466">
        <f t="shared" si="3"/>
        <v>3730.5665960379738</v>
      </c>
      <c r="AA18" s="473">
        <f t="shared" si="4"/>
        <v>1282.6500706286924</v>
      </c>
      <c r="AB18" s="339">
        <f t="shared" si="5"/>
        <v>0.3764766556158794</v>
      </c>
    </row>
    <row r="19" spans="1:28" ht="20.100000000000001" customHeight="1">
      <c r="B19" s="172">
        <v>1175000</v>
      </c>
      <c r="C19" s="174">
        <v>44544</v>
      </c>
      <c r="D19" s="181" t="s">
        <v>183</v>
      </c>
      <c r="E19" s="173" t="s">
        <v>33</v>
      </c>
      <c r="F19" s="176">
        <v>5639.3255696202523</v>
      </c>
      <c r="G19" s="175">
        <f t="shared" si="10"/>
        <v>96</v>
      </c>
      <c r="H19" s="175">
        <f t="shared" si="0"/>
        <v>5639.3255696202523</v>
      </c>
      <c r="I19" s="177">
        <f>IF(G19=0,0,IF(E19="MXN",1/HLOOKUP(YEAR(C19)+(MONTH(C19)/100),TC!$5:$37,DAY(C19)+2,FALSE),VLOOKUP(E19,Equivalencia!$5:$23,((MAX(Equivalencia!$3:$3)-YEAR(C19))*14)+MONTH(C19)+2,FALSE)))</f>
        <v>1</v>
      </c>
      <c r="J19" s="178">
        <f t="shared" si="11"/>
        <v>5639.3255696202523</v>
      </c>
      <c r="K19" s="462">
        <f>IF(C19=0,0,VLOOKUP(YEAR(C19),INPC!$B$4:$O$29,MONTH(C19)+1))</f>
        <v>117.30800000000001</v>
      </c>
      <c r="L19" s="462">
        <f>IF(S19=0,0,VLOOKUP(YEAR(S19),INPC!$B$4:$O$29,MONTH(S19)+1))</f>
        <v>120.809</v>
      </c>
      <c r="M19" s="463">
        <f t="shared" si="1"/>
        <v>1.0298</v>
      </c>
      <c r="N19" s="465">
        <f t="shared" si="12"/>
        <v>5807.3774715949357</v>
      </c>
      <c r="O19" s="179"/>
      <c r="P19" s="569">
        <v>96</v>
      </c>
      <c r="Q19" s="173" t="s">
        <v>583</v>
      </c>
      <c r="R19" s="173" t="s">
        <v>230</v>
      </c>
      <c r="S19" s="174">
        <v>44678</v>
      </c>
      <c r="T19" s="173" t="s">
        <v>33</v>
      </c>
      <c r="U19" s="182">
        <v>7370.8351401869168</v>
      </c>
      <c r="V19" s="177">
        <f>IF(U19=0,0,IF(T19="MXN",1/HLOOKUP(YEAR(S19)+(MONTH(S19)/100),TC!$5:$37,DAY(S19)+2,FALSE),VLOOKUP(T19,Equivalencia!$1:$23,((MAX(Equivalencia!$3:$3)-YEAR(S19))*14)+MONTH(S19)+2,FALSE)))</f>
        <v>1</v>
      </c>
      <c r="W19" s="178">
        <f t="shared" si="9"/>
        <v>7370.8351401869168</v>
      </c>
      <c r="X19" s="481">
        <f t="shared" si="2"/>
        <v>1731.5095705666645</v>
      </c>
      <c r="Y19" s="179"/>
      <c r="Z19" s="466">
        <f t="shared" si="3"/>
        <v>5807.3774715949357</v>
      </c>
      <c r="AA19" s="473">
        <f t="shared" si="4"/>
        <v>1563.457668591981</v>
      </c>
      <c r="AB19" s="339">
        <f t="shared" si="5"/>
        <v>0.30704195904108134</v>
      </c>
    </row>
    <row r="20" spans="1:28" ht="20.100000000000001" customHeight="1">
      <c r="B20" s="172">
        <v>1175000</v>
      </c>
      <c r="C20" s="174">
        <v>44544</v>
      </c>
      <c r="D20" s="181" t="s">
        <v>183</v>
      </c>
      <c r="E20" s="173" t="s">
        <v>33</v>
      </c>
      <c r="F20" s="176">
        <v>117.21</v>
      </c>
      <c r="G20" s="175">
        <f t="shared" si="10"/>
        <v>2</v>
      </c>
      <c r="H20" s="175">
        <f t="shared" si="0"/>
        <v>117.21</v>
      </c>
      <c r="I20" s="177">
        <f>IF(G20=0,0,IF(E20="MXN",1/HLOOKUP(YEAR(C20)+(MONTH(C20)/100),TC!$5:$37,DAY(C20)+2,FALSE),VLOOKUP(E20,Equivalencia!$5:$23,((MAX(Equivalencia!$3:$3)-YEAR(C20))*14)+MONTH(C20)+2,FALSE)))</f>
        <v>1</v>
      </c>
      <c r="J20" s="178">
        <f t="shared" si="11"/>
        <v>117.21</v>
      </c>
      <c r="K20" s="462">
        <f>IF(C20=0,0,VLOOKUP(YEAR(C20),INPC!$B$4:$O$29,MONTH(C20)+1))</f>
        <v>117.30800000000001</v>
      </c>
      <c r="L20" s="462">
        <f>IF(S20=0,0,VLOOKUP(YEAR(S20),INPC!$B$4:$O$29,MONTH(S20)+1))</f>
        <v>120.809</v>
      </c>
      <c r="M20" s="463">
        <f t="shared" si="1"/>
        <v>1.0298</v>
      </c>
      <c r="N20" s="465">
        <f t="shared" si="12"/>
        <v>120.70285800000001</v>
      </c>
      <c r="O20" s="179"/>
      <c r="P20" s="570">
        <v>2</v>
      </c>
      <c r="Q20" s="173" t="s">
        <v>583</v>
      </c>
      <c r="R20" s="173" t="s">
        <v>230</v>
      </c>
      <c r="S20" s="174">
        <v>44678</v>
      </c>
      <c r="T20" s="173" t="s">
        <v>33</v>
      </c>
      <c r="U20" s="182">
        <v>153.55906542056076</v>
      </c>
      <c r="V20" s="177">
        <f>IF(U20=0,0,IF(T20="MXN",1/HLOOKUP(YEAR(S20)+(MONTH(S20)/100),TC!$5:$37,DAY(S20)+2,FALSE),VLOOKUP(T20,Equivalencia!$1:$23,((MAX(Equivalencia!$3:$3)-YEAR(S20))*14)+MONTH(S20)+2,FALSE)))</f>
        <v>1</v>
      </c>
      <c r="W20" s="178">
        <f t="shared" si="9"/>
        <v>153.55906542056076</v>
      </c>
      <c r="X20" s="481">
        <f t="shared" si="2"/>
        <v>36.349065420560763</v>
      </c>
      <c r="Y20" s="179"/>
      <c r="Z20" s="466">
        <f t="shared" si="3"/>
        <v>120.70285800000001</v>
      </c>
      <c r="AA20" s="473">
        <f t="shared" si="4"/>
        <v>32.85620742056075</v>
      </c>
      <c r="AB20" s="339">
        <f t="shared" si="5"/>
        <v>0.31011914871223234</v>
      </c>
    </row>
    <row r="21" spans="1:28" ht="20.100000000000001" customHeight="1">
      <c r="B21" s="172">
        <v>1175000</v>
      </c>
      <c r="C21" s="174">
        <v>44544</v>
      </c>
      <c r="D21" s="181" t="s">
        <v>183</v>
      </c>
      <c r="E21" s="173" t="s">
        <v>33</v>
      </c>
      <c r="F21" s="176">
        <v>534.8004545454545</v>
      </c>
      <c r="G21" s="175">
        <f t="shared" si="10"/>
        <v>9</v>
      </c>
      <c r="H21" s="175">
        <f t="shared" si="0"/>
        <v>534.8004545454545</v>
      </c>
      <c r="I21" s="177">
        <f>IF(G21=0,0,IF(E21="MXN",1/HLOOKUP(YEAR(C21)+(MONTH(C21)/100),TC!$5:$37,DAY(C21)+2,FALSE),VLOOKUP(E21,Equivalencia!$5:$23,((MAX(Equivalencia!$3:$3)-YEAR(C21))*14)+MONTH(C21)+2,FALSE)))</f>
        <v>1</v>
      </c>
      <c r="J21" s="178">
        <f t="shared" si="11"/>
        <v>534.8004545454545</v>
      </c>
      <c r="K21" s="462">
        <f>IF(C21=0,0,VLOOKUP(YEAR(C21),INPC!$B$4:$O$29,MONTH(C21)+1))</f>
        <v>117.30800000000001</v>
      </c>
      <c r="L21" s="462">
        <f>IF(S21=0,0,VLOOKUP(YEAR(S21),INPC!$B$4:$O$29,MONTH(S21)+1))</f>
        <v>120.809</v>
      </c>
      <c r="M21" s="463">
        <f t="shared" si="1"/>
        <v>1.0298</v>
      </c>
      <c r="N21" s="465">
        <f t="shared" si="12"/>
        <v>550.73750809090905</v>
      </c>
      <c r="O21" s="179"/>
      <c r="P21" s="571">
        <v>9</v>
      </c>
      <c r="Q21" s="173" t="s">
        <v>583</v>
      </c>
      <c r="R21" s="173" t="s">
        <v>230</v>
      </c>
      <c r="S21" s="174">
        <v>44678</v>
      </c>
      <c r="T21" s="173" t="s">
        <v>33</v>
      </c>
      <c r="U21" s="182">
        <v>691.01579439252339</v>
      </c>
      <c r="V21" s="177">
        <f>IF(U21=0,0,IF(T21="MXN",1/HLOOKUP(YEAR(S21)+(MONTH(S21)/100),TC!$5:$37,DAY(S21)+2,FALSE),VLOOKUP(T21,Equivalencia!$1:$23,((MAX(Equivalencia!$3:$3)-YEAR(S21))*14)+MONTH(S21)+2,FALSE)))</f>
        <v>1</v>
      </c>
      <c r="W21" s="178">
        <f t="shared" si="9"/>
        <v>691.01579439252339</v>
      </c>
      <c r="X21" s="481">
        <f t="shared" si="2"/>
        <v>156.21533984706889</v>
      </c>
      <c r="Y21" s="179"/>
      <c r="Z21" s="466">
        <f t="shared" si="3"/>
        <v>550.73750809090905</v>
      </c>
      <c r="AA21" s="473">
        <f t="shared" si="4"/>
        <v>140.27828630161434</v>
      </c>
      <c r="AB21" s="339">
        <f t="shared" si="5"/>
        <v>0.29210023761075843</v>
      </c>
    </row>
    <row r="22" spans="1:28" ht="20.100000000000001" customHeight="1">
      <c r="A22" s="484"/>
      <c r="B22" s="172">
        <v>1175000</v>
      </c>
      <c r="C22" s="174">
        <v>44655</v>
      </c>
      <c r="D22" s="568" t="s">
        <v>313</v>
      </c>
      <c r="E22" s="573" t="s">
        <v>33</v>
      </c>
      <c r="F22" s="176">
        <v>176.38</v>
      </c>
      <c r="G22" s="175">
        <f t="shared" si="10"/>
        <v>6</v>
      </c>
      <c r="H22" s="175">
        <f t="shared" si="0"/>
        <v>176.38</v>
      </c>
      <c r="I22" s="177">
        <f>IF(G22=0,0,IF(E22="MXN",1/HLOOKUP(YEAR(C22)+(MONTH(C22)/100),TC!$5:$37,DAY(C22)+2,FALSE),VLOOKUP(E22,Equivalencia!$5:$23,((MAX(Equivalencia!$3:$3)-YEAR(C22))*14)+MONTH(C22)+2,FALSE)))</f>
        <v>1</v>
      </c>
      <c r="J22" s="178">
        <f t="shared" si="11"/>
        <v>176.38</v>
      </c>
      <c r="K22" s="462">
        <f>IF(C22=0,0,VLOOKUP(YEAR(C22),INPC!$B$4:$O$29,MONTH(C22)+1))</f>
        <v>120.809</v>
      </c>
      <c r="L22" s="462">
        <f>IF(S22=0,0,VLOOKUP(YEAR(S22),INPC!$B$4:$O$29,MONTH(S22)+1))</f>
        <v>120.809</v>
      </c>
      <c r="M22" s="463">
        <f t="shared" si="1"/>
        <v>1</v>
      </c>
      <c r="N22" s="465">
        <f t="shared" si="12"/>
        <v>176.38</v>
      </c>
      <c r="O22" s="520"/>
      <c r="P22" s="572">
        <v>6</v>
      </c>
      <c r="Q22" s="173" t="s">
        <v>583</v>
      </c>
      <c r="R22" s="173" t="s">
        <v>230</v>
      </c>
      <c r="S22" s="174">
        <v>44657</v>
      </c>
      <c r="T22" s="173" t="s">
        <v>33</v>
      </c>
      <c r="U22" s="513">
        <v>171.22</v>
      </c>
      <c r="V22" s="177">
        <f>IF(U22=0,0,IF(T22="MXN",1/HLOOKUP(YEAR(S22)+(MONTH(S22)/100),TC!$5:$37,DAY(S22)+2,FALSE),VLOOKUP(T22,Equivalencia!$1:$23,((MAX(Equivalencia!$3:$3)-YEAR(S22))*14)+MONTH(S22)+2,FALSE)))</f>
        <v>1</v>
      </c>
      <c r="W22" s="178">
        <f t="shared" si="9"/>
        <v>171.22</v>
      </c>
      <c r="X22" s="481">
        <f t="shared" si="2"/>
        <v>-5.1599999999999966</v>
      </c>
      <c r="Y22" s="179"/>
      <c r="Z22" s="466">
        <f t="shared" si="3"/>
        <v>176.38</v>
      </c>
      <c r="AA22" s="473">
        <f t="shared" si="4"/>
        <v>-5.1599999999999966</v>
      </c>
      <c r="AB22" s="339">
        <f t="shared" si="5"/>
        <v>-2.9255017575688824E-2</v>
      </c>
    </row>
    <row r="23" spans="1:28" ht="20.100000000000001" customHeight="1">
      <c r="A23" s="484"/>
      <c r="B23" s="172">
        <v>1175000</v>
      </c>
      <c r="C23" s="174">
        <v>44655</v>
      </c>
      <c r="D23" s="568" t="s">
        <v>313</v>
      </c>
      <c r="E23" s="573" t="s">
        <v>33</v>
      </c>
      <c r="F23" s="176">
        <v>587.95000000000005</v>
      </c>
      <c r="G23" s="175">
        <f t="shared" si="10"/>
        <v>20</v>
      </c>
      <c r="H23" s="175">
        <f t="shared" si="0"/>
        <v>587.95000000000005</v>
      </c>
      <c r="I23" s="177">
        <f>IF(G23=0,0,IF(E23="MXN",1/HLOOKUP(YEAR(C23)+(MONTH(C23)/100),TC!$5:$37,DAY(C23)+2,FALSE),VLOOKUP(E23,Equivalencia!$5:$23,((MAX(Equivalencia!$3:$3)-YEAR(C23))*14)+MONTH(C23)+2,FALSE)))</f>
        <v>1</v>
      </c>
      <c r="J23" s="178">
        <f t="shared" si="11"/>
        <v>587.95000000000005</v>
      </c>
      <c r="K23" s="462">
        <f>IF(C23=0,0,VLOOKUP(YEAR(C23),INPC!$B$4:$O$29,MONTH(C23)+1))</f>
        <v>120.809</v>
      </c>
      <c r="L23" s="462">
        <f>IF(S23=0,0,VLOOKUP(YEAR(S23),INPC!$B$4:$O$29,MONTH(S23)+1))</f>
        <v>120.809</v>
      </c>
      <c r="M23" s="463">
        <f t="shared" si="1"/>
        <v>1</v>
      </c>
      <c r="N23" s="465">
        <f t="shared" si="12"/>
        <v>587.95000000000005</v>
      </c>
      <c r="O23" s="521"/>
      <c r="P23" s="522">
        <v>20</v>
      </c>
      <c r="Q23" s="173" t="s">
        <v>583</v>
      </c>
      <c r="R23" s="173" t="s">
        <v>230</v>
      </c>
      <c r="S23" s="174">
        <v>44657</v>
      </c>
      <c r="T23" s="173" t="s">
        <v>33</v>
      </c>
      <c r="U23" s="515">
        <v>568.77</v>
      </c>
      <c r="V23" s="177">
        <f>IF(U23=0,0,IF(T23="MXN",1/HLOOKUP(YEAR(S23)+(MONTH(S23)/100),TC!$5:$37,DAY(S23)+2,FALSE),VLOOKUP(T23,Equivalencia!$1:$23,((MAX(Equivalencia!$3:$3)-YEAR(S23))*14)+MONTH(S23)+2,FALSE)))</f>
        <v>1</v>
      </c>
      <c r="W23" s="178">
        <f t="shared" si="9"/>
        <v>568.77</v>
      </c>
      <c r="X23" s="481">
        <f t="shared" si="2"/>
        <v>-19.180000000000064</v>
      </c>
      <c r="Y23" s="179"/>
      <c r="Z23" s="466">
        <f t="shared" si="3"/>
        <v>587.95000000000005</v>
      </c>
      <c r="AA23" s="473">
        <f t="shared" si="4"/>
        <v>-19.180000000000064</v>
      </c>
      <c r="AB23" s="339">
        <f t="shared" si="5"/>
        <v>-3.2621821583468047E-2</v>
      </c>
    </row>
    <row r="24" spans="1:28" ht="20.100000000000001" customHeight="1">
      <c r="A24" s="484"/>
      <c r="B24" s="172"/>
      <c r="C24" s="174"/>
      <c r="D24" s="181"/>
      <c r="E24" s="173"/>
      <c r="F24" s="176"/>
      <c r="G24" s="175">
        <f t="shared" si="10"/>
        <v>0</v>
      </c>
      <c r="H24" s="175">
        <f t="shared" si="0"/>
        <v>0</v>
      </c>
      <c r="I24" s="177">
        <f>IF(G24=0,0,IF(E24="MXN",1/HLOOKUP(YEAR(C24)+(MONTH(C24)/100),TC!$5:$37,DAY(C24)+2,FALSE),VLOOKUP(E24,Equivalencia!$5:$23,((MAX(Equivalencia!$3:$3)-YEAR(C24))*14)+MONTH(C24)+2,FALSE)))</f>
        <v>0</v>
      </c>
      <c r="J24" s="178">
        <f t="shared" si="11"/>
        <v>0</v>
      </c>
      <c r="K24" s="462">
        <f>IF(C24=0,0,VLOOKUP(YEAR(C24),INPC!$B$4:$O$29,MONTH(C24)+1))</f>
        <v>0</v>
      </c>
      <c r="L24" s="462">
        <f>IF(S24=0,0,VLOOKUP(YEAR(S24),INPC!$B$4:$O$29,MONTH(S24)+1))</f>
        <v>0</v>
      </c>
      <c r="M24" s="463">
        <f t="shared" si="1"/>
        <v>0</v>
      </c>
      <c r="N24" s="465">
        <f t="shared" si="12"/>
        <v>0</v>
      </c>
      <c r="O24" s="179"/>
      <c r="P24" s="516"/>
      <c r="Q24" s="173"/>
      <c r="R24" s="173"/>
      <c r="S24" s="174"/>
      <c r="T24" s="173"/>
      <c r="U24" s="513"/>
      <c r="V24" s="177">
        <f>IF(U24=0,0,IF(T24="MXN",1/HLOOKUP(YEAR(S24)+(MONTH(S24)/100),TC!$5:$37,DAY(S24)+2,FALSE),VLOOKUP(T24,Equivalencia!$1:$23,((MAX(Equivalencia!$3:$3)-YEAR(S24))*14)+MONTH(S24)+2,FALSE)))</f>
        <v>0</v>
      </c>
      <c r="W24" s="178">
        <f t="shared" si="9"/>
        <v>0</v>
      </c>
      <c r="X24" s="481">
        <f t="shared" si="2"/>
        <v>0</v>
      </c>
      <c r="Y24" s="179"/>
      <c r="Z24" s="466">
        <f t="shared" si="3"/>
        <v>0</v>
      </c>
      <c r="AA24" s="473">
        <f t="shared" si="4"/>
        <v>0</v>
      </c>
      <c r="AB24" s="339">
        <f t="shared" si="5"/>
        <v>0</v>
      </c>
    </row>
    <row r="25" spans="1:28" ht="20.100000000000001" customHeight="1">
      <c r="A25" s="484"/>
      <c r="B25" s="172"/>
      <c r="C25" s="174"/>
      <c r="D25" s="181"/>
      <c r="E25" s="173"/>
      <c r="F25" s="176"/>
      <c r="G25" s="175">
        <f t="shared" si="10"/>
        <v>0</v>
      </c>
      <c r="H25" s="175">
        <f t="shared" si="0"/>
        <v>0</v>
      </c>
      <c r="I25" s="177">
        <f>IF(G25=0,0,IF(E25="MXN",1/HLOOKUP(YEAR(C25)+(MONTH(C25)/100),TC!$5:$37,DAY(C25)+2,FALSE),VLOOKUP(E25,Equivalencia!$5:$23,((MAX(Equivalencia!$3:$3)-YEAR(C25))*14)+MONTH(C25)+2,FALSE)))</f>
        <v>0</v>
      </c>
      <c r="J25" s="178">
        <f t="shared" si="11"/>
        <v>0</v>
      </c>
      <c r="K25" s="462">
        <f>IF(C25=0,0,VLOOKUP(YEAR(C25),INPC!$B$4:$O$29,MONTH(C25)+1))</f>
        <v>0</v>
      </c>
      <c r="L25" s="462">
        <f>IF(S25=0,0,VLOOKUP(YEAR(S25),INPC!$B$4:$O$29,MONTH(S25)+1))</f>
        <v>0</v>
      </c>
      <c r="M25" s="463">
        <f t="shared" si="1"/>
        <v>0</v>
      </c>
      <c r="N25" s="465">
        <f t="shared" si="12"/>
        <v>0</v>
      </c>
      <c r="O25" s="179"/>
      <c r="P25" s="518"/>
      <c r="Q25" s="173"/>
      <c r="R25" s="173"/>
      <c r="S25" s="174"/>
      <c r="T25" s="173"/>
      <c r="U25" s="515"/>
      <c r="V25" s="177">
        <f>IF(U25=0,0,IF(T25="MXN",1/HLOOKUP(YEAR(S25)+(MONTH(S25)/100),TC!$5:$37,DAY(S25)+2,FALSE),VLOOKUP(T25,Equivalencia!$1:$23,((MAX(Equivalencia!$3:$3)-YEAR(S25))*14)+MONTH(S25)+2,FALSE)))</f>
        <v>0</v>
      </c>
      <c r="W25" s="178">
        <f t="shared" si="9"/>
        <v>0</v>
      </c>
      <c r="X25" s="481">
        <f t="shared" si="2"/>
        <v>0</v>
      </c>
      <c r="Y25" s="179"/>
      <c r="Z25" s="466">
        <f t="shared" si="3"/>
        <v>0</v>
      </c>
      <c r="AA25" s="473">
        <f t="shared" si="4"/>
        <v>0</v>
      </c>
      <c r="AB25" s="339">
        <f t="shared" si="5"/>
        <v>0</v>
      </c>
    </row>
    <row r="26" spans="1:28" ht="20.100000000000001" customHeight="1">
      <c r="A26" s="484"/>
      <c r="B26" s="172"/>
      <c r="C26" s="174"/>
      <c r="D26" s="181"/>
      <c r="E26" s="173"/>
      <c r="F26" s="176"/>
      <c r="G26" s="175">
        <f t="shared" si="10"/>
        <v>0</v>
      </c>
      <c r="H26" s="175">
        <f t="shared" si="0"/>
        <v>0</v>
      </c>
      <c r="I26" s="177">
        <f>IF(G26=0,0,IF(E26="MXN",1/HLOOKUP(YEAR(C26)+(MONTH(C26)/100),TC!$5:$37,DAY(C26)+2,FALSE),VLOOKUP(E26,Equivalencia!$5:$23,((MAX(Equivalencia!$3:$3)-YEAR(C26))*14)+MONTH(C26)+2,FALSE)))</f>
        <v>0</v>
      </c>
      <c r="J26" s="178">
        <f t="shared" si="11"/>
        <v>0</v>
      </c>
      <c r="K26" s="462">
        <f>IF(C26=0,0,VLOOKUP(YEAR(C26),INPC!$B$4:$O$29,MONTH(C26)+1))</f>
        <v>0</v>
      </c>
      <c r="L26" s="462">
        <f>IF(S26=0,0,VLOOKUP(YEAR(S26),INPC!$B$4:$O$29,MONTH(S26)+1))</f>
        <v>0</v>
      </c>
      <c r="M26" s="463">
        <f t="shared" si="1"/>
        <v>0</v>
      </c>
      <c r="N26" s="465">
        <f t="shared" si="12"/>
        <v>0</v>
      </c>
      <c r="O26" s="179"/>
      <c r="P26" s="180"/>
      <c r="Q26" s="173"/>
      <c r="R26" s="173"/>
      <c r="S26" s="174"/>
      <c r="T26" s="173"/>
      <c r="U26" s="182"/>
      <c r="V26" s="177">
        <f>IF(U26=0,0,IF(T26="MXN",1/HLOOKUP(YEAR(S26)+(MONTH(S26)/100),TC!$5:$37,DAY(S26)+2,FALSE),VLOOKUP(T26,Equivalencia!$1:$23,((MAX(Equivalencia!$3:$3)-YEAR(S26))*14)+MONTH(S26)+2,FALSE)))</f>
        <v>0</v>
      </c>
      <c r="W26" s="178">
        <f t="shared" si="9"/>
        <v>0</v>
      </c>
      <c r="X26" s="481">
        <f t="shared" si="2"/>
        <v>0</v>
      </c>
      <c r="Y26" s="179"/>
      <c r="Z26" s="466">
        <f t="shared" si="3"/>
        <v>0</v>
      </c>
      <c r="AA26" s="473">
        <f t="shared" si="4"/>
        <v>0</v>
      </c>
      <c r="AB26" s="339">
        <f t="shared" si="5"/>
        <v>0</v>
      </c>
    </row>
    <row r="27" spans="1:28" ht="20.100000000000001" customHeight="1">
      <c r="A27" s="484"/>
      <c r="B27" s="172"/>
      <c r="C27" s="174"/>
      <c r="D27" s="523"/>
      <c r="E27" s="524"/>
      <c r="F27" s="525"/>
      <c r="G27" s="473">
        <f t="shared" si="10"/>
        <v>0</v>
      </c>
      <c r="H27" s="175">
        <f t="shared" si="0"/>
        <v>0</v>
      </c>
      <c r="I27" s="177">
        <f>IF(G27=0,0,IF(E27="MXN",1/HLOOKUP(YEAR(C27)+(MONTH(C27)/100),TC!$5:$37,DAY(C27)+2,FALSE),VLOOKUP(E27,Equivalencia!$5:$23,((MAX(Equivalencia!$3:$3)-YEAR(C27))*14)+MONTH(C27)+2,FALSE)))</f>
        <v>0</v>
      </c>
      <c r="J27" s="178">
        <f t="shared" si="11"/>
        <v>0</v>
      </c>
      <c r="K27" s="462">
        <f>IF(C27=0,0,VLOOKUP(YEAR(C27),INPC!$B$4:$O$29,MONTH(C27)+1))</f>
        <v>0</v>
      </c>
      <c r="L27" s="462">
        <f>IF(S27=0,0,VLOOKUP(YEAR(S27),INPC!$B$4:$O$29,MONTH(S27)+1))</f>
        <v>0</v>
      </c>
      <c r="M27" s="463">
        <f t="shared" si="1"/>
        <v>0</v>
      </c>
      <c r="N27" s="465">
        <f t="shared" si="12"/>
        <v>0</v>
      </c>
      <c r="O27" s="526"/>
      <c r="P27" s="527"/>
      <c r="Q27" s="173"/>
      <c r="R27" s="173"/>
      <c r="S27" s="174"/>
      <c r="T27" s="173"/>
      <c r="U27" s="182"/>
      <c r="V27" s="177">
        <f>IF(U27=0,0,IF(T27="MXN",1/HLOOKUP(YEAR(S27)+(MONTH(S27)/100),TC!$5:$37,DAY(S27)+2,FALSE),VLOOKUP(T27,Equivalencia!$1:$23,((MAX(Equivalencia!$3:$3)-YEAR(S27))*14)+MONTH(S27)+2,FALSE)))</f>
        <v>0</v>
      </c>
      <c r="W27" s="178">
        <f t="shared" si="9"/>
        <v>0</v>
      </c>
      <c r="X27" s="481">
        <f t="shared" si="2"/>
        <v>0</v>
      </c>
      <c r="Y27" s="179"/>
      <c r="Z27" s="466">
        <f t="shared" si="3"/>
        <v>0</v>
      </c>
      <c r="AA27" s="473">
        <f t="shared" si="4"/>
        <v>0</v>
      </c>
      <c r="AB27" s="339">
        <f t="shared" si="5"/>
        <v>0</v>
      </c>
    </row>
    <row r="28" spans="1:28" ht="20.100000000000001" customHeight="1">
      <c r="A28" s="484"/>
      <c r="B28" s="172"/>
      <c r="C28" s="174"/>
      <c r="D28" s="523"/>
      <c r="E28" s="524"/>
      <c r="F28" s="525"/>
      <c r="G28" s="473">
        <f t="shared" si="10"/>
        <v>0</v>
      </c>
      <c r="H28" s="175">
        <f t="shared" si="0"/>
        <v>0</v>
      </c>
      <c r="I28" s="177">
        <f>IF(G28=0,0,IF(E28="MXN",1/HLOOKUP(YEAR(C28)+(MONTH(C28)/100),TC!$5:$37,DAY(C28)+2,FALSE),VLOOKUP(E28,Equivalencia!$5:$23,((MAX(Equivalencia!$3:$3)-YEAR(C28))*14)+MONTH(C28)+2,FALSE)))</f>
        <v>0</v>
      </c>
      <c r="J28" s="178">
        <f t="shared" si="11"/>
        <v>0</v>
      </c>
      <c r="K28" s="462">
        <f>IF(C28=0,0,VLOOKUP(YEAR(C28),INPC!$B$4:$O$29,MONTH(C28)+1))</f>
        <v>0</v>
      </c>
      <c r="L28" s="462">
        <f>IF(S28=0,0,VLOOKUP(YEAR(S28),INPC!$B$4:$O$29,MONTH(S28)+1))</f>
        <v>0</v>
      </c>
      <c r="M28" s="463">
        <f t="shared" si="1"/>
        <v>0</v>
      </c>
      <c r="N28" s="465">
        <f t="shared" si="12"/>
        <v>0</v>
      </c>
      <c r="O28" s="526"/>
      <c r="P28" s="527"/>
      <c r="Q28" s="173"/>
      <c r="R28" s="173"/>
      <c r="S28" s="174"/>
      <c r="T28" s="173"/>
      <c r="U28" s="182"/>
      <c r="V28" s="177">
        <f>IF(U28=0,0,IF(T28="MXN",1/HLOOKUP(YEAR(S28)+(MONTH(S28)/100),TC!$5:$37,DAY(S28)+2,FALSE),VLOOKUP(T28,Equivalencia!$1:$23,((MAX(Equivalencia!$3:$3)-YEAR(S28))*14)+MONTH(S28)+2,FALSE)))</f>
        <v>0</v>
      </c>
      <c r="W28" s="178">
        <f t="shared" si="9"/>
        <v>0</v>
      </c>
      <c r="X28" s="481">
        <f t="shared" si="2"/>
        <v>0</v>
      </c>
      <c r="Y28" s="179"/>
      <c r="Z28" s="466">
        <f t="shared" si="3"/>
        <v>0</v>
      </c>
      <c r="AA28" s="473">
        <f t="shared" si="4"/>
        <v>0</v>
      </c>
      <c r="AB28" s="339">
        <f t="shared" si="5"/>
        <v>0</v>
      </c>
    </row>
    <row r="29" spans="1:28" ht="20.100000000000001" customHeight="1">
      <c r="A29" s="484"/>
      <c r="B29" s="172"/>
      <c r="C29" s="174"/>
      <c r="D29" s="523"/>
      <c r="E29" s="524"/>
      <c r="F29" s="525"/>
      <c r="G29" s="473">
        <f t="shared" si="10"/>
        <v>0</v>
      </c>
      <c r="H29" s="175">
        <f t="shared" si="0"/>
        <v>0</v>
      </c>
      <c r="I29" s="177">
        <f>IF(G29=0,0,IF(E29="MXN",1/HLOOKUP(YEAR(C29)+(MONTH(C29)/100),TC!$5:$37,DAY(C29)+2,FALSE),VLOOKUP(E29,Equivalencia!$5:$23,((MAX(Equivalencia!$3:$3)-YEAR(C29))*14)+MONTH(C29)+2,FALSE)))</f>
        <v>0</v>
      </c>
      <c r="J29" s="178">
        <f t="shared" si="11"/>
        <v>0</v>
      </c>
      <c r="K29" s="462">
        <f>IF(C29=0,0,VLOOKUP(YEAR(C29),INPC!$B$4:$O$29,MONTH(C29)+1))</f>
        <v>0</v>
      </c>
      <c r="L29" s="462">
        <f>IF(S29=0,0,VLOOKUP(YEAR(S29),INPC!$B$4:$O$29,MONTH(S29)+1))</f>
        <v>0</v>
      </c>
      <c r="M29" s="463">
        <f t="shared" si="1"/>
        <v>0</v>
      </c>
      <c r="N29" s="465">
        <f t="shared" si="12"/>
        <v>0</v>
      </c>
      <c r="O29" s="526"/>
      <c r="P29" s="527"/>
      <c r="Q29" s="173"/>
      <c r="R29" s="173"/>
      <c r="S29" s="174"/>
      <c r="T29" s="173"/>
      <c r="U29" s="182"/>
      <c r="V29" s="177">
        <f>IF(U29=0,0,IF(T29="MXN",1/HLOOKUP(YEAR(S29)+(MONTH(S29)/100),TC!$5:$37,DAY(S29)+2,FALSE),VLOOKUP(T29,Equivalencia!$1:$23,((MAX(Equivalencia!$3:$3)-YEAR(S29))*14)+MONTH(S29)+2,FALSE)))</f>
        <v>0</v>
      </c>
      <c r="W29" s="178">
        <f t="shared" si="9"/>
        <v>0</v>
      </c>
      <c r="X29" s="481">
        <f t="shared" si="2"/>
        <v>0</v>
      </c>
      <c r="Y29" s="179"/>
      <c r="Z29" s="466">
        <f t="shared" si="3"/>
        <v>0</v>
      </c>
      <c r="AA29" s="473">
        <f t="shared" si="4"/>
        <v>0</v>
      </c>
      <c r="AB29" s="339">
        <f t="shared" si="5"/>
        <v>0</v>
      </c>
    </row>
    <row r="30" spans="1:28" ht="20.100000000000001" customHeight="1">
      <c r="A30" s="484"/>
      <c r="B30" s="172"/>
      <c r="C30" s="174"/>
      <c r="D30" s="523"/>
      <c r="E30" s="524"/>
      <c r="F30" s="525"/>
      <c r="G30" s="473">
        <f t="shared" si="10"/>
        <v>0</v>
      </c>
      <c r="H30" s="175">
        <f t="shared" si="0"/>
        <v>0</v>
      </c>
      <c r="I30" s="177">
        <f>IF(G30=0,0,IF(E30="MXN",1/HLOOKUP(YEAR(C30)+(MONTH(C30)/100),TC!$5:$37,DAY(C30)+2,FALSE),VLOOKUP(E30,Equivalencia!$5:$23,((MAX(Equivalencia!$3:$3)-YEAR(C30))*14)+MONTH(C30)+2,FALSE)))</f>
        <v>0</v>
      </c>
      <c r="J30" s="178">
        <f t="shared" si="11"/>
        <v>0</v>
      </c>
      <c r="K30" s="462">
        <f>IF(C30=0,0,VLOOKUP(YEAR(C30),INPC!$B$4:$O$29,MONTH(C30)+1))</f>
        <v>0</v>
      </c>
      <c r="L30" s="462">
        <f>IF(S30=0,0,VLOOKUP(YEAR(S30),INPC!$B$4:$O$29,MONTH(S30)+1))</f>
        <v>0</v>
      </c>
      <c r="M30" s="463">
        <f t="shared" si="1"/>
        <v>0</v>
      </c>
      <c r="N30" s="465">
        <f t="shared" si="12"/>
        <v>0</v>
      </c>
      <c r="O30" s="526"/>
      <c r="P30" s="527"/>
      <c r="Q30" s="173"/>
      <c r="R30" s="173"/>
      <c r="S30" s="174"/>
      <c r="T30" s="173"/>
      <c r="U30" s="182"/>
      <c r="V30" s="177">
        <f>IF(U30=0,0,IF(T30="MXN",1/HLOOKUP(YEAR(S30)+(MONTH(S30)/100),TC!$5:$37,DAY(S30)+2,FALSE),VLOOKUP(T30,Equivalencia!$1:$23,((MAX(Equivalencia!$3:$3)-YEAR(S30))*14)+MONTH(S30)+2,FALSE)))</f>
        <v>0</v>
      </c>
      <c r="W30" s="178">
        <f t="shared" si="9"/>
        <v>0</v>
      </c>
      <c r="X30" s="481">
        <f t="shared" si="2"/>
        <v>0</v>
      </c>
      <c r="Y30" s="179"/>
      <c r="Z30" s="466">
        <f t="shared" si="3"/>
        <v>0</v>
      </c>
      <c r="AA30" s="473">
        <f t="shared" si="4"/>
        <v>0</v>
      </c>
      <c r="AB30" s="339">
        <f t="shared" si="5"/>
        <v>0</v>
      </c>
    </row>
    <row r="31" spans="1:28" ht="20.100000000000001" customHeight="1">
      <c r="A31" s="484"/>
      <c r="B31" s="172"/>
      <c r="C31" s="174"/>
      <c r="D31" s="181"/>
      <c r="E31" s="173"/>
      <c r="F31" s="176"/>
      <c r="G31" s="175">
        <f t="shared" si="10"/>
        <v>0</v>
      </c>
      <c r="H31" s="175">
        <f t="shared" si="0"/>
        <v>0</v>
      </c>
      <c r="I31" s="177">
        <f>IF(G31=0,0,IF(E31="MXN",1/HLOOKUP(YEAR(C31)+(MONTH(C31)/100),TC!$5:$37,DAY(C31)+2,FALSE),VLOOKUP(E31,Equivalencia!$5:$23,((MAX(Equivalencia!$3:$3)-YEAR(C31))*14)+MONTH(C31)+2,FALSE)))</f>
        <v>0</v>
      </c>
      <c r="J31" s="178">
        <f t="shared" si="11"/>
        <v>0</v>
      </c>
      <c r="K31" s="462">
        <f>IF(C31=0,0,VLOOKUP(YEAR(C31),INPC!$B$4:$O$29,MONTH(C31)+1))</f>
        <v>0</v>
      </c>
      <c r="L31" s="462">
        <f>IF(S31=0,0,VLOOKUP(YEAR(S31),INPC!$B$4:$O$29,MONTH(S31)+1))</f>
        <v>0</v>
      </c>
      <c r="M31" s="463">
        <f t="shared" si="1"/>
        <v>0</v>
      </c>
      <c r="N31" s="465">
        <f t="shared" si="12"/>
        <v>0</v>
      </c>
      <c r="O31" s="179"/>
      <c r="P31" s="180"/>
      <c r="Q31" s="173"/>
      <c r="R31" s="173"/>
      <c r="S31" s="174"/>
      <c r="T31" s="173"/>
      <c r="U31" s="182"/>
      <c r="V31" s="177">
        <f>IF(U31=0,0,IF(T31="MXN",1/HLOOKUP(YEAR(S31)+(MONTH(S31)/100),TC!$5:$37,DAY(S31)+2,FALSE),VLOOKUP(T31,Equivalencia!$1:$23,((MAX(Equivalencia!$3:$3)-YEAR(S31))*14)+MONTH(S31)+2,FALSE)))</f>
        <v>0</v>
      </c>
      <c r="W31" s="178">
        <f t="shared" si="9"/>
        <v>0</v>
      </c>
      <c r="X31" s="481">
        <f t="shared" si="2"/>
        <v>0</v>
      </c>
      <c r="Y31" s="179"/>
      <c r="Z31" s="466">
        <f t="shared" si="3"/>
        <v>0</v>
      </c>
      <c r="AA31" s="473">
        <f t="shared" si="4"/>
        <v>0</v>
      </c>
      <c r="AB31" s="339">
        <f t="shared" si="5"/>
        <v>0</v>
      </c>
    </row>
    <row r="32" spans="1:28" ht="20.100000000000001" customHeight="1">
      <c r="B32" s="172"/>
      <c r="C32" s="174"/>
      <c r="D32" s="181"/>
      <c r="E32" s="173"/>
      <c r="F32" s="176"/>
      <c r="G32" s="175">
        <f t="shared" si="10"/>
        <v>0</v>
      </c>
      <c r="H32" s="175">
        <f t="shared" si="0"/>
        <v>0</v>
      </c>
      <c r="I32" s="177">
        <f>IF(G32=0,0,IF(E32="MXN",1/HLOOKUP(YEAR(C32)+(MONTH(C32)/100),TC!$5:$37,DAY(C32)+2,FALSE),VLOOKUP(E32,Equivalencia!$5:$23,((MAX(Equivalencia!$3:$3)-YEAR(C32))*14)+MONTH(C32)+2,FALSE)))</f>
        <v>0</v>
      </c>
      <c r="J32" s="178">
        <f t="shared" si="11"/>
        <v>0</v>
      </c>
      <c r="K32" s="462">
        <f>IF(C32=0,0,VLOOKUP(YEAR(C32),INPC!$B$4:$O$29,MONTH(C32)+1))</f>
        <v>0</v>
      </c>
      <c r="L32" s="462">
        <f>IF(S32=0,0,VLOOKUP(YEAR(S32),INPC!$B$4:$O$29,MONTH(S32)+1))</f>
        <v>0</v>
      </c>
      <c r="M32" s="463">
        <f t="shared" si="1"/>
        <v>0</v>
      </c>
      <c r="N32" s="465">
        <f t="shared" si="12"/>
        <v>0</v>
      </c>
      <c r="O32" s="179"/>
      <c r="P32" s="180"/>
      <c r="Q32" s="173"/>
      <c r="R32" s="173"/>
      <c r="S32" s="174"/>
      <c r="T32" s="173"/>
      <c r="U32" s="182"/>
      <c r="V32" s="177">
        <f>IF(U32=0,0,IF(T32="MXN",1/HLOOKUP(YEAR(S32)+(MONTH(S32)/100),TC!$5:$37,DAY(S32)+2,FALSE),VLOOKUP(T32,Equivalencia!$1:$23,((MAX(Equivalencia!$3:$3)-YEAR(S32))*14)+MONTH(S32)+2,FALSE)))</f>
        <v>0</v>
      </c>
      <c r="W32" s="178">
        <f t="shared" si="9"/>
        <v>0</v>
      </c>
      <c r="X32" s="481">
        <f t="shared" si="2"/>
        <v>0</v>
      </c>
      <c r="Y32" s="179"/>
      <c r="Z32" s="466">
        <f t="shared" si="3"/>
        <v>0</v>
      </c>
      <c r="AA32" s="473">
        <f t="shared" si="4"/>
        <v>0</v>
      </c>
      <c r="AB32" s="339">
        <f t="shared" si="5"/>
        <v>0</v>
      </c>
    </row>
    <row r="33" spans="2:28" ht="20.100000000000001" customHeight="1">
      <c r="B33" s="172"/>
      <c r="C33" s="174"/>
      <c r="D33" s="181"/>
      <c r="E33" s="173"/>
      <c r="F33" s="176"/>
      <c r="G33" s="175">
        <f t="shared" si="10"/>
        <v>0</v>
      </c>
      <c r="H33" s="175">
        <f t="shared" si="0"/>
        <v>0</v>
      </c>
      <c r="I33" s="177">
        <f>IF(G33=0,0,IF(E33="MXN",1/HLOOKUP(YEAR(C33)+(MONTH(C33)/100),TC!$5:$37,DAY(C33)+2,FALSE),VLOOKUP(E33,Equivalencia!$5:$23,((MAX(Equivalencia!$3:$3)-YEAR(C33))*14)+MONTH(C33)+2,FALSE)))</f>
        <v>0</v>
      </c>
      <c r="J33" s="178">
        <f t="shared" si="11"/>
        <v>0</v>
      </c>
      <c r="K33" s="462">
        <f>IF(C33=0,0,VLOOKUP(YEAR(C33),INPC!$B$4:$O$29,MONTH(C33)+1))</f>
        <v>0</v>
      </c>
      <c r="L33" s="462">
        <f>IF(S33=0,0,VLOOKUP(YEAR(S33),INPC!$B$4:$O$29,MONTH(S33)+1))</f>
        <v>0</v>
      </c>
      <c r="M33" s="463">
        <f t="shared" si="1"/>
        <v>0</v>
      </c>
      <c r="N33" s="465">
        <f t="shared" si="12"/>
        <v>0</v>
      </c>
      <c r="O33" s="179"/>
      <c r="P33" s="180"/>
      <c r="Q33" s="173"/>
      <c r="R33" s="173"/>
      <c r="S33" s="174"/>
      <c r="T33" s="173"/>
      <c r="U33" s="182"/>
      <c r="V33" s="177">
        <f>IF(U33=0,0,IF(T33="MXN",1/HLOOKUP(YEAR(S33)+(MONTH(S33)/100),TC!$5:$37,DAY(S33)+2,FALSE),VLOOKUP(T33,Equivalencia!$1:$23,((MAX(Equivalencia!$3:$3)-YEAR(S33))*14)+MONTH(S33)+2,FALSE)))</f>
        <v>0</v>
      </c>
      <c r="W33" s="178">
        <f t="shared" si="9"/>
        <v>0</v>
      </c>
      <c r="X33" s="481">
        <f t="shared" si="2"/>
        <v>0</v>
      </c>
      <c r="Y33" s="179"/>
      <c r="Z33" s="466">
        <f t="shared" si="3"/>
        <v>0</v>
      </c>
      <c r="AA33" s="473">
        <f t="shared" si="4"/>
        <v>0</v>
      </c>
      <c r="AB33" s="339">
        <f t="shared" si="5"/>
        <v>0</v>
      </c>
    </row>
    <row r="34" spans="2:28" ht="20.100000000000001" customHeight="1">
      <c r="B34" s="172"/>
      <c r="C34" s="174"/>
      <c r="D34" s="181"/>
      <c r="E34" s="173"/>
      <c r="F34" s="176"/>
      <c r="G34" s="175">
        <f t="shared" si="10"/>
        <v>0</v>
      </c>
      <c r="H34" s="175">
        <f t="shared" si="0"/>
        <v>0</v>
      </c>
      <c r="I34" s="177">
        <f>IF(G34=0,0,IF(E34="MXN",1/HLOOKUP(YEAR(C34)+(MONTH(C34)/100),TC!$5:$37,DAY(C34)+2,FALSE),VLOOKUP(E34,Equivalencia!$5:$23,((MAX(Equivalencia!$3:$3)-YEAR(C34))*14)+MONTH(C34)+2,FALSE)))</f>
        <v>0</v>
      </c>
      <c r="J34" s="178">
        <f t="shared" si="11"/>
        <v>0</v>
      </c>
      <c r="K34" s="462">
        <f>IF(C34=0,0,VLOOKUP(YEAR(C34),INPC!$B$4:$O$29,MONTH(C34)+1))</f>
        <v>0</v>
      </c>
      <c r="L34" s="462">
        <f>IF(S34=0,0,VLOOKUP(YEAR(S34),INPC!$B$4:$O$29,MONTH(S34)+1))</f>
        <v>0</v>
      </c>
      <c r="M34" s="463">
        <f t="shared" si="1"/>
        <v>0</v>
      </c>
      <c r="N34" s="465">
        <f t="shared" si="12"/>
        <v>0</v>
      </c>
      <c r="O34" s="179"/>
      <c r="P34" s="180"/>
      <c r="Q34" s="173"/>
      <c r="R34" s="173"/>
      <c r="S34" s="174"/>
      <c r="T34" s="173"/>
      <c r="U34" s="182"/>
      <c r="V34" s="177">
        <f>IF(U34=0,0,IF(T34="MXN",1/HLOOKUP(YEAR(S34)+(MONTH(S34)/100),TC!$5:$37,DAY(S34)+2,FALSE),VLOOKUP(T34,Equivalencia!$1:$23,((MAX(Equivalencia!$3:$3)-YEAR(S34))*14)+MONTH(S34)+2,FALSE)))</f>
        <v>0</v>
      </c>
      <c r="W34" s="178">
        <f t="shared" si="9"/>
        <v>0</v>
      </c>
      <c r="X34" s="481">
        <f t="shared" si="2"/>
        <v>0</v>
      </c>
      <c r="Y34" s="179"/>
      <c r="Z34" s="466">
        <f t="shared" si="3"/>
        <v>0</v>
      </c>
      <c r="AA34" s="473">
        <f t="shared" si="4"/>
        <v>0</v>
      </c>
      <c r="AB34" s="339">
        <f t="shared" si="5"/>
        <v>0</v>
      </c>
    </row>
    <row r="35" spans="2:28" ht="20.100000000000001" customHeight="1">
      <c r="B35" s="172"/>
      <c r="C35" s="174"/>
      <c r="D35" s="181"/>
      <c r="E35" s="173"/>
      <c r="F35" s="176"/>
      <c r="G35" s="175">
        <f t="shared" si="10"/>
        <v>0</v>
      </c>
      <c r="H35" s="175">
        <f t="shared" si="0"/>
        <v>0</v>
      </c>
      <c r="I35" s="177">
        <f>IF(G35=0,0,IF(E35="MXN",1/HLOOKUP(YEAR(C35)+(MONTH(C35)/100),TC!$5:$37,DAY(C35)+2,FALSE),VLOOKUP(E35,Equivalencia!$5:$23,((MAX(Equivalencia!$3:$3)-YEAR(C35))*14)+MONTH(C35)+2,FALSE)))</f>
        <v>0</v>
      </c>
      <c r="J35" s="178">
        <f t="shared" si="11"/>
        <v>0</v>
      </c>
      <c r="K35" s="462">
        <f>IF(C35=0,0,VLOOKUP(YEAR(C35),INPC!$B$4:$O$29,MONTH(C35)+1))</f>
        <v>0</v>
      </c>
      <c r="L35" s="462">
        <f>IF(S35=0,0,VLOOKUP(YEAR(S35),INPC!$B$4:$O$29,MONTH(S35)+1))</f>
        <v>0</v>
      </c>
      <c r="M35" s="463">
        <f t="shared" si="1"/>
        <v>0</v>
      </c>
      <c r="N35" s="465">
        <f t="shared" si="12"/>
        <v>0</v>
      </c>
      <c r="O35" s="179"/>
      <c r="P35" s="180"/>
      <c r="Q35" s="173"/>
      <c r="R35" s="173"/>
      <c r="S35" s="174"/>
      <c r="T35" s="173"/>
      <c r="U35" s="182"/>
      <c r="V35" s="177">
        <f>IF(U35=0,0,IF(T35="MXN",1/HLOOKUP(YEAR(S35)+(MONTH(S35)/100),TC!$5:$37,DAY(S35)+2,FALSE),VLOOKUP(T35,Equivalencia!$1:$23,((MAX(Equivalencia!$3:$3)-YEAR(S35))*14)+MONTH(S35)+2,FALSE)))</f>
        <v>0</v>
      </c>
      <c r="W35" s="178">
        <f t="shared" si="9"/>
        <v>0</v>
      </c>
      <c r="X35" s="481">
        <f t="shared" si="2"/>
        <v>0</v>
      </c>
      <c r="Y35" s="179"/>
      <c r="Z35" s="466">
        <f t="shared" si="3"/>
        <v>0</v>
      </c>
      <c r="AA35" s="473">
        <f t="shared" si="4"/>
        <v>0</v>
      </c>
      <c r="AB35" s="339">
        <f t="shared" si="5"/>
        <v>0</v>
      </c>
    </row>
    <row r="36" spans="2:28" ht="20.100000000000001" customHeight="1">
      <c r="B36" s="172"/>
      <c r="C36" s="174"/>
      <c r="D36" s="181"/>
      <c r="E36" s="173"/>
      <c r="F36" s="176"/>
      <c r="G36" s="175">
        <f t="shared" si="10"/>
        <v>0</v>
      </c>
      <c r="H36" s="175">
        <f t="shared" si="0"/>
        <v>0</v>
      </c>
      <c r="I36" s="177">
        <f>IF(G36=0,0,IF(E36="MXN",1/HLOOKUP(YEAR(C36)+(MONTH(C36)/100),TC!$5:$37,DAY(C36)+2,FALSE),VLOOKUP(E36,Equivalencia!$5:$23,((MAX(Equivalencia!$3:$3)-YEAR(C36))*14)+MONTH(C36)+2,FALSE)))</f>
        <v>0</v>
      </c>
      <c r="J36" s="178">
        <f t="shared" si="11"/>
        <v>0</v>
      </c>
      <c r="K36" s="462">
        <f>IF(C36=0,0,VLOOKUP(YEAR(C36),INPC!$B$4:$O$29,MONTH(C36)+1))</f>
        <v>0</v>
      </c>
      <c r="L36" s="462">
        <f>IF(S36=0,0,VLOOKUP(YEAR(S36),INPC!$B$4:$O$29,MONTH(S36)+1))</f>
        <v>0</v>
      </c>
      <c r="M36" s="463">
        <f t="shared" si="1"/>
        <v>0</v>
      </c>
      <c r="N36" s="465">
        <f t="shared" si="12"/>
        <v>0</v>
      </c>
      <c r="O36" s="179"/>
      <c r="P36" s="180"/>
      <c r="Q36" s="173"/>
      <c r="R36" s="173"/>
      <c r="S36" s="174"/>
      <c r="T36" s="173"/>
      <c r="U36" s="182"/>
      <c r="V36" s="177">
        <f>IF(U36=0,0,IF(T36="MXN",1/HLOOKUP(YEAR(S36)+(MONTH(S36)/100),TC!$5:$37,DAY(S36)+2,FALSE),VLOOKUP(T36,Equivalencia!$1:$23,((MAX(Equivalencia!$3:$3)-YEAR(S36))*14)+MONTH(S36)+2,FALSE)))</f>
        <v>0</v>
      </c>
      <c r="W36" s="178">
        <f t="shared" si="9"/>
        <v>0</v>
      </c>
      <c r="X36" s="481">
        <f t="shared" si="2"/>
        <v>0</v>
      </c>
      <c r="Y36" s="179"/>
      <c r="Z36" s="466">
        <f t="shared" si="3"/>
        <v>0</v>
      </c>
      <c r="AA36" s="473">
        <f t="shared" si="4"/>
        <v>0</v>
      </c>
      <c r="AB36" s="339">
        <f t="shared" si="5"/>
        <v>0</v>
      </c>
    </row>
    <row r="37" spans="2:28" ht="20.100000000000001" customHeight="1">
      <c r="B37" s="172"/>
      <c r="C37" s="174"/>
      <c r="D37" s="181"/>
      <c r="E37" s="173"/>
      <c r="F37" s="176"/>
      <c r="G37" s="175">
        <f t="shared" si="10"/>
        <v>0</v>
      </c>
      <c r="H37" s="175">
        <f t="shared" si="0"/>
        <v>0</v>
      </c>
      <c r="I37" s="177">
        <f>IF(G37=0,0,IF(E37="MXN",1/HLOOKUP(YEAR(C37)+(MONTH(C37)/100),TC!$5:$37,DAY(C37)+2,FALSE),VLOOKUP(E37,Equivalencia!$5:$23,((MAX(Equivalencia!$3:$3)-YEAR(C37))*14)+MONTH(C37)+2,FALSE)))</f>
        <v>0</v>
      </c>
      <c r="J37" s="178">
        <f t="shared" si="11"/>
        <v>0</v>
      </c>
      <c r="K37" s="462">
        <f>IF(C37=0,0,VLOOKUP(YEAR(C37),INPC!$B$4:$O$29,MONTH(C37)+1))</f>
        <v>0</v>
      </c>
      <c r="L37" s="462">
        <f>IF(S37=0,0,VLOOKUP(YEAR(S37),INPC!$B$4:$O$29,MONTH(S37)+1))</f>
        <v>0</v>
      </c>
      <c r="M37" s="463">
        <f t="shared" si="1"/>
        <v>0</v>
      </c>
      <c r="N37" s="465">
        <f t="shared" si="12"/>
        <v>0</v>
      </c>
      <c r="O37" s="179"/>
      <c r="P37" s="180"/>
      <c r="Q37" s="173"/>
      <c r="R37" s="173"/>
      <c r="S37" s="174"/>
      <c r="T37" s="173"/>
      <c r="U37" s="182"/>
      <c r="V37" s="177">
        <f>IF(U37=0,0,IF(T37="MXN",1/HLOOKUP(YEAR(S37)+(MONTH(S37)/100),TC!$5:$37,DAY(S37)+2,FALSE),VLOOKUP(T37,Equivalencia!$1:$23,((MAX(Equivalencia!$3:$3)-YEAR(S37))*14)+MONTH(S37)+2,FALSE)))</f>
        <v>0</v>
      </c>
      <c r="W37" s="178">
        <f t="shared" si="9"/>
        <v>0</v>
      </c>
      <c r="X37" s="481">
        <f t="shared" si="2"/>
        <v>0</v>
      </c>
      <c r="Y37" s="179"/>
      <c r="Z37" s="466">
        <f t="shared" si="3"/>
        <v>0</v>
      </c>
      <c r="AA37" s="473">
        <f t="shared" si="4"/>
        <v>0</v>
      </c>
      <c r="AB37" s="339">
        <f t="shared" si="5"/>
        <v>0</v>
      </c>
    </row>
    <row r="38" spans="2:28" ht="20.100000000000001" customHeight="1">
      <c r="B38" s="172"/>
      <c r="C38" s="174"/>
      <c r="D38" s="181"/>
      <c r="E38" s="173"/>
      <c r="F38" s="176"/>
      <c r="G38" s="175">
        <f t="shared" si="10"/>
        <v>0</v>
      </c>
      <c r="H38" s="175">
        <f t="shared" si="0"/>
        <v>0</v>
      </c>
      <c r="I38" s="177">
        <f>IF(G38=0,0,IF(E38="MXN",1/HLOOKUP(YEAR(C38)+(MONTH(C38)/100),TC!$5:$37,DAY(C38)+2,FALSE),VLOOKUP(E38,Equivalencia!$5:$23,((MAX(Equivalencia!$3:$3)-YEAR(C38))*14)+MONTH(C38)+2,FALSE)))</f>
        <v>0</v>
      </c>
      <c r="J38" s="178">
        <f t="shared" si="11"/>
        <v>0</v>
      </c>
      <c r="K38" s="462">
        <f>IF(C38=0,0,VLOOKUP(YEAR(C38),INPC!$B$4:$O$29,MONTH(C38)+1))</f>
        <v>0</v>
      </c>
      <c r="L38" s="462">
        <f>IF(S38=0,0,VLOOKUP(YEAR(S38),INPC!$B$4:$O$29,MONTH(S38)+1))</f>
        <v>0</v>
      </c>
      <c r="M38" s="463">
        <f t="shared" si="1"/>
        <v>0</v>
      </c>
      <c r="N38" s="465">
        <f t="shared" si="12"/>
        <v>0</v>
      </c>
      <c r="O38" s="179"/>
      <c r="P38" s="180"/>
      <c r="Q38" s="173"/>
      <c r="R38" s="173"/>
      <c r="S38" s="174"/>
      <c r="T38" s="173"/>
      <c r="U38" s="182"/>
      <c r="V38" s="177">
        <f>IF(U38=0,0,IF(T38="MXN",1/HLOOKUP(YEAR(S38)+(MONTH(S38)/100),TC!$5:$37,DAY(S38)+2,FALSE),VLOOKUP(T38,Equivalencia!$1:$23,((MAX(Equivalencia!$3:$3)-YEAR(S38))*14)+MONTH(S38)+2,FALSE)))</f>
        <v>0</v>
      </c>
      <c r="W38" s="178">
        <f t="shared" si="9"/>
        <v>0</v>
      </c>
      <c r="X38" s="481">
        <f t="shared" si="2"/>
        <v>0</v>
      </c>
      <c r="Y38" s="179"/>
      <c r="Z38" s="466">
        <f t="shared" si="3"/>
        <v>0</v>
      </c>
      <c r="AA38" s="473">
        <f t="shared" si="4"/>
        <v>0</v>
      </c>
      <c r="AB38" s="339">
        <f t="shared" si="5"/>
        <v>0</v>
      </c>
    </row>
    <row r="39" spans="2:28" ht="20.100000000000001" customHeight="1">
      <c r="B39" s="172"/>
      <c r="C39" s="174"/>
      <c r="D39" s="181"/>
      <c r="E39" s="173"/>
      <c r="F39" s="176"/>
      <c r="G39" s="175">
        <f t="shared" si="10"/>
        <v>0</v>
      </c>
      <c r="H39" s="175">
        <f t="shared" si="0"/>
        <v>0</v>
      </c>
      <c r="I39" s="177">
        <f>IF(G39=0,0,IF(E39="MXN",1/HLOOKUP(YEAR(C39)+(MONTH(C39)/100),TC!$5:$37,DAY(C39)+2,FALSE),VLOOKUP(E39,Equivalencia!$5:$23,((MAX(Equivalencia!$3:$3)-YEAR(C39))*14)+MONTH(C39)+2,FALSE)))</f>
        <v>0</v>
      </c>
      <c r="J39" s="178">
        <f t="shared" si="11"/>
        <v>0</v>
      </c>
      <c r="K39" s="462">
        <f>IF(C39=0,0,VLOOKUP(YEAR(C39),INPC!$B$4:$O$29,MONTH(C39)+1))</f>
        <v>0</v>
      </c>
      <c r="L39" s="462">
        <f>IF(S39=0,0,VLOOKUP(YEAR(S39),INPC!$B$4:$O$29,MONTH(S39)+1))</f>
        <v>0</v>
      </c>
      <c r="M39" s="463">
        <f t="shared" si="1"/>
        <v>0</v>
      </c>
      <c r="N39" s="465">
        <f t="shared" si="12"/>
        <v>0</v>
      </c>
      <c r="O39" s="179"/>
      <c r="P39" s="180"/>
      <c r="Q39" s="173"/>
      <c r="R39" s="173"/>
      <c r="S39" s="174"/>
      <c r="T39" s="173"/>
      <c r="U39" s="182"/>
      <c r="V39" s="177">
        <f>IF(U39=0,0,IF(T39="MXN",1/HLOOKUP(YEAR(S39)+(MONTH(S39)/100),TC!$5:$37,DAY(S39)+2,FALSE),VLOOKUP(T39,Equivalencia!$1:$23,((MAX(Equivalencia!$3:$3)-YEAR(S39))*14)+MONTH(S39)+2,FALSE)))</f>
        <v>0</v>
      </c>
      <c r="W39" s="178">
        <f t="shared" si="9"/>
        <v>0</v>
      </c>
      <c r="X39" s="481">
        <f t="shared" si="2"/>
        <v>0</v>
      </c>
      <c r="Y39" s="179"/>
      <c r="Z39" s="466">
        <f t="shared" si="3"/>
        <v>0</v>
      </c>
      <c r="AA39" s="473">
        <f t="shared" si="4"/>
        <v>0</v>
      </c>
      <c r="AB39" s="339">
        <f t="shared" si="5"/>
        <v>0</v>
      </c>
    </row>
    <row r="40" spans="2:28" ht="20.100000000000001" customHeight="1">
      <c r="B40" s="172"/>
      <c r="C40" s="174"/>
      <c r="D40" s="181"/>
      <c r="E40" s="173"/>
      <c r="F40" s="176"/>
      <c r="G40" s="175">
        <f t="shared" si="10"/>
        <v>0</v>
      </c>
      <c r="H40" s="175">
        <f t="shared" si="0"/>
        <v>0</v>
      </c>
      <c r="I40" s="177">
        <f>IF(G40=0,0,IF(E40="MXN",1/HLOOKUP(YEAR(C40)+(MONTH(C40)/100),TC!$5:$37,DAY(C40)+2,FALSE),VLOOKUP(E40,Equivalencia!$5:$23,((MAX(Equivalencia!$3:$3)-YEAR(C40))*14)+MONTH(C40)+2,FALSE)))</f>
        <v>0</v>
      </c>
      <c r="J40" s="178">
        <f t="shared" si="11"/>
        <v>0</v>
      </c>
      <c r="K40" s="462">
        <f>IF(C40=0,0,VLOOKUP(YEAR(C40),INPC!$B$4:$O$29,MONTH(C40)+1))</f>
        <v>0</v>
      </c>
      <c r="L40" s="462">
        <f>IF(S40=0,0,VLOOKUP(YEAR(S40),INPC!$B$4:$O$29,MONTH(S40)+1))</f>
        <v>0</v>
      </c>
      <c r="M40" s="463">
        <f t="shared" si="1"/>
        <v>0</v>
      </c>
      <c r="N40" s="465">
        <f t="shared" si="12"/>
        <v>0</v>
      </c>
      <c r="O40" s="179"/>
      <c r="P40" s="180"/>
      <c r="Q40" s="173"/>
      <c r="R40" s="173"/>
      <c r="S40" s="174"/>
      <c r="T40" s="173"/>
      <c r="U40" s="182"/>
      <c r="V40" s="177">
        <f>IF(U40=0,0,IF(T40="MXN",1/HLOOKUP(YEAR(S40)+(MONTH(S40)/100),TC!$5:$37,DAY(S40)+2,FALSE),VLOOKUP(T40,Equivalencia!$1:$23,((MAX(Equivalencia!$3:$3)-YEAR(S40))*14)+MONTH(S40)+2,FALSE)))</f>
        <v>0</v>
      </c>
      <c r="W40" s="178">
        <f t="shared" si="9"/>
        <v>0</v>
      </c>
      <c r="X40" s="481">
        <f t="shared" si="2"/>
        <v>0</v>
      </c>
      <c r="Y40" s="179"/>
      <c r="Z40" s="466">
        <f t="shared" si="3"/>
        <v>0</v>
      </c>
      <c r="AA40" s="473">
        <f t="shared" si="4"/>
        <v>0</v>
      </c>
      <c r="AB40" s="339">
        <f t="shared" si="5"/>
        <v>0</v>
      </c>
    </row>
    <row r="41" spans="2:28" ht="20.100000000000001" customHeight="1">
      <c r="B41" s="172"/>
      <c r="C41" s="174"/>
      <c r="D41" s="181"/>
      <c r="E41" s="173"/>
      <c r="F41" s="176"/>
      <c r="G41" s="175">
        <f t="shared" si="10"/>
        <v>0</v>
      </c>
      <c r="H41" s="175">
        <f t="shared" si="0"/>
        <v>0</v>
      </c>
      <c r="I41" s="177">
        <f>IF(G41=0,0,IF(E41="MXN",1/HLOOKUP(YEAR(C41)+(MONTH(C41)/100),TC!$5:$37,DAY(C41)+2,FALSE),VLOOKUP(E41,Equivalencia!$5:$23,((MAX(Equivalencia!$3:$3)-YEAR(C41))*14)+MONTH(C41)+2,FALSE)))</f>
        <v>0</v>
      </c>
      <c r="J41" s="178">
        <f t="shared" si="11"/>
        <v>0</v>
      </c>
      <c r="K41" s="462">
        <f>IF(C41=0,0,VLOOKUP(YEAR(C41),INPC!$B$4:$O$29,MONTH(C41)+1))</f>
        <v>0</v>
      </c>
      <c r="L41" s="462">
        <f>IF(S41=0,0,VLOOKUP(YEAR(S41),INPC!$B$4:$O$29,MONTH(S41)+1))</f>
        <v>0</v>
      </c>
      <c r="M41" s="463">
        <f t="shared" si="1"/>
        <v>0</v>
      </c>
      <c r="N41" s="465">
        <f t="shared" si="12"/>
        <v>0</v>
      </c>
      <c r="O41" s="179"/>
      <c r="P41" s="180"/>
      <c r="Q41" s="173"/>
      <c r="R41" s="173"/>
      <c r="S41" s="174"/>
      <c r="T41" s="173"/>
      <c r="U41" s="182"/>
      <c r="V41" s="177">
        <f>IF(U41=0,0,IF(T41="MXN",1/HLOOKUP(YEAR(S41)+(MONTH(S41)/100),TC!$5:$37,DAY(S41)+2,FALSE),VLOOKUP(T41,Equivalencia!$1:$23,((MAX(Equivalencia!$3:$3)-YEAR(S41))*14)+MONTH(S41)+2,FALSE)))</f>
        <v>0</v>
      </c>
      <c r="W41" s="178">
        <f t="shared" si="9"/>
        <v>0</v>
      </c>
      <c r="X41" s="481">
        <f t="shared" si="2"/>
        <v>0</v>
      </c>
      <c r="Y41" s="179"/>
      <c r="Z41" s="466">
        <f t="shared" si="3"/>
        <v>0</v>
      </c>
      <c r="AA41" s="473">
        <f t="shared" si="4"/>
        <v>0</v>
      </c>
      <c r="AB41" s="339">
        <f t="shared" si="5"/>
        <v>0</v>
      </c>
    </row>
    <row r="42" spans="2:28" ht="20.100000000000001" customHeight="1">
      <c r="B42" s="172"/>
      <c r="C42" s="174"/>
      <c r="D42" s="181"/>
      <c r="E42" s="173"/>
      <c r="F42" s="176"/>
      <c r="G42" s="175">
        <f t="shared" si="10"/>
        <v>0</v>
      </c>
      <c r="H42" s="175">
        <f t="shared" si="0"/>
        <v>0</v>
      </c>
      <c r="I42" s="177">
        <f>IF(G42=0,0,IF(E42="MXN",1/HLOOKUP(YEAR(C42)+(MONTH(C42)/100),TC!$5:$37,DAY(C42)+2,FALSE),VLOOKUP(E42,Equivalencia!$5:$23,((MAX(Equivalencia!$3:$3)-YEAR(C42))*14)+MONTH(C42)+2,FALSE)))</f>
        <v>0</v>
      </c>
      <c r="J42" s="178">
        <f t="shared" si="11"/>
        <v>0</v>
      </c>
      <c r="K42" s="462">
        <f>IF(C42=0,0,VLOOKUP(YEAR(C42),INPC!$B$4:$O$29,MONTH(C42)+1))</f>
        <v>0</v>
      </c>
      <c r="L42" s="462">
        <f>IF(S42=0,0,VLOOKUP(YEAR(S42),INPC!$B$4:$O$29,MONTH(S42)+1))</f>
        <v>0</v>
      </c>
      <c r="M42" s="463">
        <f t="shared" si="1"/>
        <v>0</v>
      </c>
      <c r="N42" s="465">
        <f t="shared" si="12"/>
        <v>0</v>
      </c>
      <c r="O42" s="179"/>
      <c r="P42" s="180"/>
      <c r="Q42" s="173"/>
      <c r="R42" s="173"/>
      <c r="S42" s="174"/>
      <c r="T42" s="173"/>
      <c r="U42" s="182"/>
      <c r="V42" s="177">
        <f>IF(U42=0,0,IF(T42="MXN",1/HLOOKUP(YEAR(S42)+(MONTH(S42)/100),TC!$5:$37,DAY(S42)+2,FALSE),VLOOKUP(T42,Equivalencia!$1:$23,((MAX(Equivalencia!$3:$3)-YEAR(S42))*14)+MONTH(S42)+2,FALSE)))</f>
        <v>0</v>
      </c>
      <c r="W42" s="178">
        <f t="shared" si="9"/>
        <v>0</v>
      </c>
      <c r="X42" s="481">
        <f t="shared" si="2"/>
        <v>0</v>
      </c>
      <c r="Y42" s="179"/>
      <c r="Z42" s="466">
        <f t="shared" si="3"/>
        <v>0</v>
      </c>
      <c r="AA42" s="473">
        <f t="shared" si="4"/>
        <v>0</v>
      </c>
      <c r="AB42" s="339">
        <f t="shared" si="5"/>
        <v>0</v>
      </c>
    </row>
    <row r="43" spans="2:28" ht="20.100000000000001" customHeight="1">
      <c r="B43" s="172"/>
      <c r="C43" s="174"/>
      <c r="D43" s="181"/>
      <c r="E43" s="173"/>
      <c r="F43" s="176"/>
      <c r="G43" s="175">
        <f t="shared" si="10"/>
        <v>0</v>
      </c>
      <c r="H43" s="175">
        <f t="shared" si="0"/>
        <v>0</v>
      </c>
      <c r="I43" s="177">
        <f>IF(G43=0,0,IF(E43="MXN",1/HLOOKUP(YEAR(C43)+(MONTH(C43)/100),TC!$5:$37,DAY(C43)+2,FALSE),VLOOKUP(E43,Equivalencia!$5:$23,((MAX(Equivalencia!$3:$3)-YEAR(C43))*14)+MONTH(C43)+2,FALSE)))</f>
        <v>0</v>
      </c>
      <c r="J43" s="178">
        <f t="shared" si="11"/>
        <v>0</v>
      </c>
      <c r="K43" s="462">
        <f>IF(C43=0,0,VLOOKUP(YEAR(C43),INPC!$B$4:$O$29,MONTH(C43)+1))</f>
        <v>0</v>
      </c>
      <c r="L43" s="462">
        <f>IF(S43=0,0,VLOOKUP(YEAR(S43),INPC!$B$4:$O$29,MONTH(S43)+1))</f>
        <v>0</v>
      </c>
      <c r="M43" s="463">
        <f t="shared" si="1"/>
        <v>0</v>
      </c>
      <c r="N43" s="465">
        <f t="shared" si="12"/>
        <v>0</v>
      </c>
      <c r="O43" s="179"/>
      <c r="P43" s="180"/>
      <c r="Q43" s="173"/>
      <c r="R43" s="173"/>
      <c r="S43" s="174"/>
      <c r="T43" s="173"/>
      <c r="U43" s="182"/>
      <c r="V43" s="177">
        <f>IF(U43=0,0,IF(T43="MXN",1/HLOOKUP(YEAR(S43)+(MONTH(S43)/100),TC!$5:$37,DAY(S43)+2,FALSE),VLOOKUP(T43,Equivalencia!$1:$23,((MAX(Equivalencia!$3:$3)-YEAR(S43))*14)+MONTH(S43)+2,FALSE)))</f>
        <v>0</v>
      </c>
      <c r="W43" s="178">
        <f t="shared" si="9"/>
        <v>0</v>
      </c>
      <c r="X43" s="481">
        <f t="shared" si="2"/>
        <v>0</v>
      </c>
      <c r="Y43" s="179"/>
      <c r="Z43" s="466">
        <f t="shared" si="3"/>
        <v>0</v>
      </c>
      <c r="AA43" s="473">
        <f t="shared" si="4"/>
        <v>0</v>
      </c>
      <c r="AB43" s="339">
        <f t="shared" si="5"/>
        <v>0</v>
      </c>
    </row>
    <row r="44" spans="2:28" ht="20.100000000000001" customHeight="1">
      <c r="B44" s="172"/>
      <c r="C44" s="174"/>
      <c r="D44" s="181"/>
      <c r="E44" s="173"/>
      <c r="F44" s="176"/>
      <c r="G44" s="175">
        <f t="shared" si="10"/>
        <v>0</v>
      </c>
      <c r="H44" s="175">
        <f t="shared" si="0"/>
        <v>0</v>
      </c>
      <c r="I44" s="177">
        <f>IF(G44=0,0,IF(E44="MXN",1/HLOOKUP(YEAR(C44)+(MONTH(C44)/100),TC!$5:$37,DAY(C44)+2,FALSE),VLOOKUP(E44,Equivalencia!$5:$23,((MAX(Equivalencia!$3:$3)-YEAR(C44))*14)+MONTH(C44)+2,FALSE)))</f>
        <v>0</v>
      </c>
      <c r="J44" s="178">
        <f t="shared" si="11"/>
        <v>0</v>
      </c>
      <c r="K44" s="462">
        <f>IF(C44=0,0,VLOOKUP(YEAR(C44),INPC!$B$4:$O$29,MONTH(C44)+1))</f>
        <v>0</v>
      </c>
      <c r="L44" s="462">
        <f>IF(S44=0,0,VLOOKUP(YEAR(S44),INPC!$B$4:$O$29,MONTH(S44)+1))</f>
        <v>0</v>
      </c>
      <c r="M44" s="463">
        <f t="shared" si="1"/>
        <v>0</v>
      </c>
      <c r="N44" s="465">
        <f t="shared" si="12"/>
        <v>0</v>
      </c>
      <c r="O44" s="179"/>
      <c r="P44" s="180"/>
      <c r="Q44" s="173"/>
      <c r="R44" s="173"/>
      <c r="S44" s="174"/>
      <c r="T44" s="173"/>
      <c r="U44" s="182"/>
      <c r="V44" s="177">
        <f>IF(U44=0,0,IF(T44="MXN",1/HLOOKUP(YEAR(S44)+(MONTH(S44)/100),TC!$5:$37,DAY(S44)+2,FALSE),VLOOKUP(T44,Equivalencia!$1:$23,((MAX(Equivalencia!$3:$3)-YEAR(S44))*14)+MONTH(S44)+2,FALSE)))</f>
        <v>0</v>
      </c>
      <c r="W44" s="178">
        <f t="shared" si="9"/>
        <v>0</v>
      </c>
      <c r="X44" s="481">
        <f t="shared" si="2"/>
        <v>0</v>
      </c>
      <c r="Y44" s="179"/>
      <c r="Z44" s="466">
        <f t="shared" si="3"/>
        <v>0</v>
      </c>
      <c r="AA44" s="473">
        <f t="shared" si="4"/>
        <v>0</v>
      </c>
      <c r="AB44" s="339">
        <f t="shared" si="5"/>
        <v>0</v>
      </c>
    </row>
    <row r="45" spans="2:28" ht="20.100000000000001" customHeight="1">
      <c r="B45" s="172"/>
      <c r="C45" s="174"/>
      <c r="D45" s="181"/>
      <c r="E45" s="173"/>
      <c r="F45" s="176"/>
      <c r="G45" s="175">
        <f t="shared" si="10"/>
        <v>0</v>
      </c>
      <c r="H45" s="175">
        <f t="shared" si="0"/>
        <v>0</v>
      </c>
      <c r="I45" s="177">
        <f>IF(G45=0,0,IF(E45="MXN",1/HLOOKUP(YEAR(C45)+(MONTH(C45)/100),TC!$5:$37,DAY(C45)+2,FALSE),VLOOKUP(E45,Equivalencia!$5:$23,((MAX(Equivalencia!$3:$3)-YEAR(C45))*14)+MONTH(C45)+2,FALSE)))</f>
        <v>0</v>
      </c>
      <c r="J45" s="178">
        <f t="shared" si="11"/>
        <v>0</v>
      </c>
      <c r="K45" s="462">
        <f>IF(C45=0,0,VLOOKUP(YEAR(C45),INPC!$B$4:$O$29,MONTH(C45)+1))</f>
        <v>0</v>
      </c>
      <c r="L45" s="462">
        <f>IF(S45=0,0,VLOOKUP(YEAR(S45),INPC!$B$4:$O$29,MONTH(S45)+1))</f>
        <v>0</v>
      </c>
      <c r="M45" s="463">
        <f t="shared" si="1"/>
        <v>0</v>
      </c>
      <c r="N45" s="465">
        <f t="shared" si="12"/>
        <v>0</v>
      </c>
      <c r="O45" s="179"/>
      <c r="P45" s="180"/>
      <c r="Q45" s="173"/>
      <c r="R45" s="173"/>
      <c r="S45" s="174"/>
      <c r="T45" s="173"/>
      <c r="U45" s="182"/>
      <c r="V45" s="177">
        <f>IF(U45=0,0,IF(T45="MXN",1/HLOOKUP(YEAR(S45)+(MONTH(S45)/100),TC!$5:$37,DAY(S45)+2,FALSE),VLOOKUP(T45,Equivalencia!$1:$23,((MAX(Equivalencia!$3:$3)-YEAR(S45))*14)+MONTH(S45)+2,FALSE)))</f>
        <v>0</v>
      </c>
      <c r="W45" s="178">
        <f t="shared" si="9"/>
        <v>0</v>
      </c>
      <c r="X45" s="481">
        <f t="shared" si="2"/>
        <v>0</v>
      </c>
      <c r="Y45" s="179"/>
      <c r="Z45" s="466">
        <f t="shared" si="3"/>
        <v>0</v>
      </c>
      <c r="AA45" s="473">
        <f t="shared" si="4"/>
        <v>0</v>
      </c>
      <c r="AB45" s="339">
        <f t="shared" si="5"/>
        <v>0</v>
      </c>
    </row>
    <row r="46" spans="2:28" ht="20.100000000000001" customHeight="1">
      <c r="B46" s="172"/>
      <c r="C46" s="174"/>
      <c r="D46" s="181"/>
      <c r="E46" s="173"/>
      <c r="F46" s="176"/>
      <c r="G46" s="175">
        <f t="shared" si="10"/>
        <v>0</v>
      </c>
      <c r="H46" s="175">
        <f t="shared" si="0"/>
        <v>0</v>
      </c>
      <c r="I46" s="177">
        <f>IF(G46=0,0,IF(E46="MXN",1/HLOOKUP(YEAR(C46)+(MONTH(C46)/100),TC!$5:$37,DAY(C46)+2,FALSE),VLOOKUP(E46,Equivalencia!$5:$23,((MAX(Equivalencia!$3:$3)-YEAR(C46))*14)+MONTH(C46)+2,FALSE)))</f>
        <v>0</v>
      </c>
      <c r="J46" s="178">
        <f t="shared" si="11"/>
        <v>0</v>
      </c>
      <c r="K46" s="462">
        <f>IF(C46=0,0,VLOOKUP(YEAR(C46),INPC!$B$4:$O$29,MONTH(C46)+1))</f>
        <v>0</v>
      </c>
      <c r="L46" s="462">
        <f>IF(S46=0,0,VLOOKUP(YEAR(S46),INPC!$B$4:$O$29,MONTH(S46)+1))</f>
        <v>0</v>
      </c>
      <c r="M46" s="463">
        <f t="shared" si="1"/>
        <v>0</v>
      </c>
      <c r="N46" s="465">
        <f t="shared" si="12"/>
        <v>0</v>
      </c>
      <c r="O46" s="179"/>
      <c r="P46" s="180"/>
      <c r="Q46" s="173"/>
      <c r="R46" s="173"/>
      <c r="S46" s="174"/>
      <c r="T46" s="173"/>
      <c r="U46" s="182"/>
      <c r="V46" s="177">
        <f>IF(U46=0,0,IF(T46="MXN",1/HLOOKUP(YEAR(S46)+(MONTH(S46)/100),TC!$5:$37,DAY(S46)+2,FALSE),VLOOKUP(T46,Equivalencia!$1:$23,((MAX(Equivalencia!$3:$3)-YEAR(S46))*14)+MONTH(S46)+2,FALSE)))</f>
        <v>0</v>
      </c>
      <c r="W46" s="178">
        <f t="shared" si="9"/>
        <v>0</v>
      </c>
      <c r="X46" s="481">
        <f t="shared" si="2"/>
        <v>0</v>
      </c>
      <c r="Y46" s="179"/>
      <c r="Z46" s="466">
        <f t="shared" si="3"/>
        <v>0</v>
      </c>
      <c r="AA46" s="473">
        <f t="shared" si="4"/>
        <v>0</v>
      </c>
      <c r="AB46" s="339">
        <f t="shared" si="5"/>
        <v>0</v>
      </c>
    </row>
    <row r="47" spans="2:28" ht="20.100000000000001" customHeight="1">
      <c r="B47" s="172"/>
      <c r="C47" s="174"/>
      <c r="D47" s="181"/>
      <c r="E47" s="173"/>
      <c r="F47" s="176"/>
      <c r="G47" s="175">
        <f t="shared" si="10"/>
        <v>0</v>
      </c>
      <c r="H47" s="175">
        <f t="shared" si="0"/>
        <v>0</v>
      </c>
      <c r="I47" s="177">
        <f>IF(G47=0,0,IF(E47="MXN",1/HLOOKUP(YEAR(C47)+(MONTH(C47)/100),TC!$5:$37,DAY(C47)+2,FALSE),VLOOKUP(E47,Equivalencia!$5:$23,((MAX(Equivalencia!$3:$3)-YEAR(C47))*14)+MONTH(C47)+2,FALSE)))</f>
        <v>0</v>
      </c>
      <c r="J47" s="178">
        <f t="shared" si="11"/>
        <v>0</v>
      </c>
      <c r="K47" s="462">
        <f>IF(C47=0,0,VLOOKUP(YEAR(C47),INPC!$B$4:$O$29,MONTH(C47)+1))</f>
        <v>0</v>
      </c>
      <c r="L47" s="462">
        <f>IF(S47=0,0,VLOOKUP(YEAR(S47),INPC!$B$4:$O$29,MONTH(S47)+1))</f>
        <v>0</v>
      </c>
      <c r="M47" s="463">
        <f t="shared" si="1"/>
        <v>0</v>
      </c>
      <c r="N47" s="465">
        <f t="shared" si="12"/>
        <v>0</v>
      </c>
      <c r="O47" s="179"/>
      <c r="P47" s="180"/>
      <c r="Q47" s="173"/>
      <c r="R47" s="173"/>
      <c r="S47" s="174"/>
      <c r="T47" s="173"/>
      <c r="U47" s="182"/>
      <c r="V47" s="177">
        <f>IF(U47=0,0,IF(T47="MXN",1/HLOOKUP(YEAR(S47)+(MONTH(S47)/100),TC!$5:$37,DAY(S47)+2,FALSE),VLOOKUP(T47,Equivalencia!$1:$23,((MAX(Equivalencia!$3:$3)-YEAR(S47))*14)+MONTH(S47)+2,FALSE)))</f>
        <v>0</v>
      </c>
      <c r="W47" s="178">
        <f t="shared" si="9"/>
        <v>0</v>
      </c>
      <c r="X47" s="481">
        <f t="shared" si="2"/>
        <v>0</v>
      </c>
      <c r="Y47" s="179"/>
      <c r="Z47" s="466">
        <f t="shared" si="3"/>
        <v>0</v>
      </c>
      <c r="AA47" s="473">
        <f t="shared" si="4"/>
        <v>0</v>
      </c>
      <c r="AB47" s="339">
        <f t="shared" si="5"/>
        <v>0</v>
      </c>
    </row>
    <row r="48" spans="2:28" ht="20.100000000000001" customHeight="1">
      <c r="B48" s="172"/>
      <c r="C48" s="174"/>
      <c r="D48" s="181"/>
      <c r="E48" s="173"/>
      <c r="F48" s="176"/>
      <c r="G48" s="175">
        <f t="shared" si="10"/>
        <v>0</v>
      </c>
      <c r="H48" s="175">
        <f t="shared" si="0"/>
        <v>0</v>
      </c>
      <c r="I48" s="177">
        <f>IF(G48=0,0,IF(E48="MXN",1/HLOOKUP(YEAR(C48)+(MONTH(C48)/100),TC!$5:$37,DAY(C48)+2,FALSE),VLOOKUP(E48,Equivalencia!$5:$23,((MAX(Equivalencia!$3:$3)-YEAR(C48))*14)+MONTH(C48)+2,FALSE)))</f>
        <v>0</v>
      </c>
      <c r="J48" s="178">
        <f t="shared" si="11"/>
        <v>0</v>
      </c>
      <c r="K48" s="462">
        <f>IF(C48=0,0,VLOOKUP(YEAR(C48),INPC!$B$4:$O$29,MONTH(C48)+1))</f>
        <v>0</v>
      </c>
      <c r="L48" s="462">
        <f>IF(S48=0,0,VLOOKUP(YEAR(S48),INPC!$B$4:$O$29,MONTH(S48)+1))</f>
        <v>0</v>
      </c>
      <c r="M48" s="463">
        <f t="shared" si="1"/>
        <v>0</v>
      </c>
      <c r="N48" s="465">
        <f t="shared" si="12"/>
        <v>0</v>
      </c>
      <c r="O48" s="179"/>
      <c r="P48" s="180"/>
      <c r="Q48" s="173"/>
      <c r="R48" s="173"/>
      <c r="S48" s="174"/>
      <c r="T48" s="173"/>
      <c r="U48" s="182"/>
      <c r="V48" s="177">
        <f>IF(U48=0,0,IF(T48="MXN",1/HLOOKUP(YEAR(S48)+(MONTH(S48)/100),TC!$5:$37,DAY(S48)+2,FALSE),VLOOKUP(T48,Equivalencia!$1:$23,((MAX(Equivalencia!$3:$3)-YEAR(S48))*14)+MONTH(S48)+2,FALSE)))</f>
        <v>0</v>
      </c>
      <c r="W48" s="178">
        <f t="shared" si="9"/>
        <v>0</v>
      </c>
      <c r="X48" s="481">
        <f t="shared" si="2"/>
        <v>0</v>
      </c>
      <c r="Y48" s="179"/>
      <c r="Z48" s="466">
        <f t="shared" si="3"/>
        <v>0</v>
      </c>
      <c r="AA48" s="473">
        <f t="shared" si="4"/>
        <v>0</v>
      </c>
      <c r="AB48" s="339">
        <f t="shared" si="5"/>
        <v>0</v>
      </c>
    </row>
    <row r="49" spans="1:28" ht="20.100000000000001" customHeight="1">
      <c r="B49" s="172"/>
      <c r="C49" s="174"/>
      <c r="D49" s="181"/>
      <c r="E49" s="173"/>
      <c r="F49" s="176"/>
      <c r="G49" s="175">
        <f t="shared" si="10"/>
        <v>0</v>
      </c>
      <c r="H49" s="175">
        <f t="shared" si="0"/>
        <v>0</v>
      </c>
      <c r="I49" s="177">
        <f>IF(G49=0,0,IF(E49="MXN",1/HLOOKUP(YEAR(C49)+(MONTH(C49)/100),TC!$5:$37,DAY(C49)+2,FALSE),VLOOKUP(E49,Equivalencia!$5:$23,((MAX(Equivalencia!$3:$3)-YEAR(C49))*14)+MONTH(C49)+2,FALSE)))</f>
        <v>0</v>
      </c>
      <c r="J49" s="178">
        <f t="shared" si="11"/>
        <v>0</v>
      </c>
      <c r="K49" s="462">
        <f>IF(C49=0,0,VLOOKUP(YEAR(C49),INPC!$B$4:$O$29,MONTH(C49)+1))</f>
        <v>0</v>
      </c>
      <c r="L49" s="462">
        <f>IF(S49=0,0,VLOOKUP(YEAR(S49),INPC!$B$4:$O$29,MONTH(S49)+1))</f>
        <v>0</v>
      </c>
      <c r="M49" s="463">
        <f t="shared" si="1"/>
        <v>0</v>
      </c>
      <c r="N49" s="465">
        <f t="shared" si="12"/>
        <v>0</v>
      </c>
      <c r="O49" s="179"/>
      <c r="P49" s="180"/>
      <c r="Q49" s="173"/>
      <c r="R49" s="173"/>
      <c r="S49" s="174"/>
      <c r="T49" s="173"/>
      <c r="U49" s="182"/>
      <c r="V49" s="177">
        <f>IF(U49=0,0,IF(T49="MXN",1/HLOOKUP(YEAR(S49)+(MONTH(S49)/100),TC!$5:$37,DAY(S49)+2,FALSE),VLOOKUP(T49,Equivalencia!$1:$23,((MAX(Equivalencia!$3:$3)-YEAR(S49))*14)+MONTH(S49)+2,FALSE)))</f>
        <v>0</v>
      </c>
      <c r="W49" s="178">
        <f t="shared" si="9"/>
        <v>0</v>
      </c>
      <c r="X49" s="481">
        <f t="shared" si="2"/>
        <v>0</v>
      </c>
      <c r="Y49" s="179"/>
      <c r="Z49" s="466">
        <f t="shared" si="3"/>
        <v>0</v>
      </c>
      <c r="AA49" s="473">
        <f t="shared" si="4"/>
        <v>0</v>
      </c>
      <c r="AB49" s="339">
        <f t="shared" si="5"/>
        <v>0</v>
      </c>
    </row>
    <row r="50" spans="1:28" ht="20.100000000000001" customHeight="1">
      <c r="B50" s="172"/>
      <c r="C50" s="174"/>
      <c r="D50" s="181"/>
      <c r="E50" s="173"/>
      <c r="F50" s="176"/>
      <c r="G50" s="175">
        <f t="shared" si="10"/>
        <v>0</v>
      </c>
      <c r="H50" s="175">
        <f t="shared" si="0"/>
        <v>0</v>
      </c>
      <c r="I50" s="177">
        <f>IF(G50=0,0,IF(E50="MXN",1/HLOOKUP(YEAR(C50)+(MONTH(C50)/100),TC!$5:$37,DAY(C50)+2,FALSE),VLOOKUP(E50,Equivalencia!$5:$23,((MAX(Equivalencia!$3:$3)-YEAR(C50))*14)+MONTH(C50)+2,FALSE)))</f>
        <v>0</v>
      </c>
      <c r="J50" s="178">
        <f t="shared" si="11"/>
        <v>0</v>
      </c>
      <c r="K50" s="462">
        <f>IF(C50=0,0,VLOOKUP(YEAR(C50),INPC!$B$4:$O$29,MONTH(C50)+1))</f>
        <v>0</v>
      </c>
      <c r="L50" s="462">
        <f>IF(S50=0,0,VLOOKUP(YEAR(S50),INPC!$B$4:$O$29,MONTH(S50)+1))</f>
        <v>0</v>
      </c>
      <c r="M50" s="463">
        <f t="shared" si="1"/>
        <v>0</v>
      </c>
      <c r="N50" s="465">
        <f t="shared" si="12"/>
        <v>0</v>
      </c>
      <c r="O50" s="179"/>
      <c r="P50" s="180"/>
      <c r="Q50" s="173"/>
      <c r="R50" s="173"/>
      <c r="S50" s="174"/>
      <c r="T50" s="173"/>
      <c r="U50" s="182"/>
      <c r="V50" s="177">
        <f>IF(U50=0,0,IF(T50="MXN",1/HLOOKUP(YEAR(S50)+(MONTH(S50)/100),TC!$5:$37,DAY(S50)+2,FALSE),VLOOKUP(T50,Equivalencia!$1:$23,((MAX(Equivalencia!$3:$3)-YEAR(S50))*14)+MONTH(S50)+2,FALSE)))</f>
        <v>0</v>
      </c>
      <c r="W50" s="178">
        <f t="shared" si="9"/>
        <v>0</v>
      </c>
      <c r="X50" s="481">
        <f t="shared" si="2"/>
        <v>0</v>
      </c>
      <c r="Y50" s="179"/>
      <c r="Z50" s="466">
        <f t="shared" si="3"/>
        <v>0</v>
      </c>
      <c r="AA50" s="473">
        <f t="shared" si="4"/>
        <v>0</v>
      </c>
      <c r="AB50" s="339">
        <f t="shared" si="5"/>
        <v>0</v>
      </c>
    </row>
    <row r="51" spans="1:28" ht="20.100000000000001" customHeight="1">
      <c r="A51" s="484"/>
      <c r="B51" s="172">
        <v>1175000</v>
      </c>
      <c r="C51" s="174">
        <v>44328</v>
      </c>
      <c r="D51" s="181" t="s">
        <v>177</v>
      </c>
      <c r="E51" s="173" t="s">
        <v>33</v>
      </c>
      <c r="F51" s="176">
        <v>1214.0899999999999</v>
      </c>
      <c r="G51" s="175">
        <f t="shared" si="10"/>
        <v>5</v>
      </c>
      <c r="H51" s="175">
        <f t="shared" si="0"/>
        <v>1214.0899999999999</v>
      </c>
      <c r="I51" s="177">
        <f>IF(G51=0,0,IF(E51="MXN",1/HLOOKUP(YEAR(C51)+(MONTH(C51)/100),TC!$5:$37,DAY(C51)+2,FALSE),VLOOKUP(E51,Equivalencia!$5:$23,((MAX(Equivalencia!$3:$3)-YEAR(C51))*14)+MONTH(C51)+2,FALSE)))</f>
        <v>1</v>
      </c>
      <c r="J51" s="178">
        <f t="shared" si="11"/>
        <v>1214.0899999999999</v>
      </c>
      <c r="K51" s="462">
        <f>IF(C51=0,0,VLOOKUP(YEAR(C51),INPC!$B$4:$O$29,MONTH(C51)+1))</f>
        <v>112.419</v>
      </c>
      <c r="L51" s="462">
        <f>IF(S51=0,0,VLOOKUP(YEAR(S51),INPC!$B$4:$O$29,MONTH(S51)+1))</f>
        <v>120.809</v>
      </c>
      <c r="M51" s="463">
        <f t="shared" si="1"/>
        <v>1.0746</v>
      </c>
      <c r="N51" s="465">
        <f t="shared" si="12"/>
        <v>1304.661114</v>
      </c>
      <c r="O51" s="179"/>
      <c r="P51" s="569">
        <v>5</v>
      </c>
      <c r="Q51" s="173" t="s">
        <v>583</v>
      </c>
      <c r="R51" s="173" t="s">
        <v>230</v>
      </c>
      <c r="S51" s="174">
        <v>44678</v>
      </c>
      <c r="T51" s="173" t="s">
        <v>33</v>
      </c>
      <c r="U51" s="182">
        <v>1270.4354838709678</v>
      </c>
      <c r="V51" s="177">
        <f>IF(U51=0,0,IF(T51="MXN",1/HLOOKUP(YEAR(S51)+(MONTH(S51)/100),TC!$5:$37,DAY(S51)+2,FALSE),VLOOKUP(T51,Equivalencia!$1:$23,((MAX(Equivalencia!$3:$3)-YEAR(S51))*14)+MONTH(S51)+2,FALSE)))</f>
        <v>1</v>
      </c>
      <c r="W51" s="178">
        <f t="shared" si="9"/>
        <v>1270.4354838709678</v>
      </c>
      <c r="X51" s="481">
        <f t="shared" si="2"/>
        <v>56.345483870967882</v>
      </c>
      <c r="Y51" s="179"/>
      <c r="Z51" s="466">
        <f t="shared" si="3"/>
        <v>1304.661114</v>
      </c>
      <c r="AA51" s="473">
        <f t="shared" si="4"/>
        <v>-34.225630129032197</v>
      </c>
      <c r="AB51" s="339">
        <f t="shared" si="5"/>
        <v>4.6409643330369121E-2</v>
      </c>
    </row>
    <row r="52" spans="1:28" ht="20.100000000000001" customHeight="1">
      <c r="A52" s="484"/>
      <c r="B52" s="172">
        <v>1175000</v>
      </c>
      <c r="C52" s="174">
        <v>44328</v>
      </c>
      <c r="D52" s="181" t="s">
        <v>177</v>
      </c>
      <c r="E52" s="173" t="s">
        <v>33</v>
      </c>
      <c r="F52" s="176">
        <v>483.5</v>
      </c>
      <c r="G52" s="175">
        <f t="shared" si="10"/>
        <v>2</v>
      </c>
      <c r="H52" s="175">
        <f t="shared" si="0"/>
        <v>483.5</v>
      </c>
      <c r="I52" s="177">
        <f>IF(G52=0,0,IF(E52="MXN",1/HLOOKUP(YEAR(C52)+(MONTH(C52)/100),TC!$5:$37,DAY(C52)+2,FALSE),VLOOKUP(E52,Equivalencia!$5:$23,((MAX(Equivalencia!$3:$3)-YEAR(C52))*14)+MONTH(C52)+2,FALSE)))</f>
        <v>1</v>
      </c>
      <c r="J52" s="178">
        <f t="shared" si="11"/>
        <v>483.5</v>
      </c>
      <c r="K52" s="462">
        <f>IF(C52=0,0,VLOOKUP(YEAR(C52),INPC!$B$4:$O$29,MONTH(C52)+1))</f>
        <v>112.419</v>
      </c>
      <c r="L52" s="462">
        <f>IF(S52=0,0,VLOOKUP(YEAR(S52),INPC!$B$4:$O$29,MONTH(S52)+1))</f>
        <v>120.809</v>
      </c>
      <c r="M52" s="463">
        <f t="shared" si="1"/>
        <v>1.0746</v>
      </c>
      <c r="N52" s="465">
        <f t="shared" si="12"/>
        <v>519.56910000000005</v>
      </c>
      <c r="O52" s="179"/>
      <c r="P52" s="570">
        <v>2</v>
      </c>
      <c r="Q52" s="173" t="s">
        <v>583</v>
      </c>
      <c r="R52" s="173" t="s">
        <v>230</v>
      </c>
      <c r="S52" s="174">
        <v>44678</v>
      </c>
      <c r="T52" s="173" t="s">
        <v>33</v>
      </c>
      <c r="U52" s="182">
        <v>508.17419354838711</v>
      </c>
      <c r="V52" s="177">
        <f>IF(U52=0,0,IF(T52="MXN",1/HLOOKUP(YEAR(S52)+(MONTH(S52)/100),TC!$5:$37,DAY(S52)+2,FALSE),VLOOKUP(T52,Equivalencia!$1:$23,((MAX(Equivalencia!$3:$3)-YEAR(S52))*14)+MONTH(S52)+2,FALSE)))</f>
        <v>1</v>
      </c>
      <c r="W52" s="178">
        <f t="shared" si="9"/>
        <v>508.17419354838711</v>
      </c>
      <c r="X52" s="481">
        <f t="shared" si="2"/>
        <v>24.674193548387109</v>
      </c>
      <c r="Y52" s="179"/>
      <c r="Z52" s="466">
        <f t="shared" si="3"/>
        <v>519.56910000000005</v>
      </c>
      <c r="AA52" s="473">
        <f t="shared" si="4"/>
        <v>-11.39490645161294</v>
      </c>
      <c r="AB52" s="339">
        <f t="shared" si="5"/>
        <v>5.1032458217967092E-2</v>
      </c>
    </row>
    <row r="53" spans="1:28" ht="20.100000000000001" customHeight="1">
      <c r="A53" s="484"/>
      <c r="B53" s="172">
        <v>1175000</v>
      </c>
      <c r="C53" s="174">
        <v>44328</v>
      </c>
      <c r="D53" s="181" t="s">
        <v>177</v>
      </c>
      <c r="E53" s="173" t="s">
        <v>33</v>
      </c>
      <c r="F53" s="176">
        <v>1695.09</v>
      </c>
      <c r="G53" s="175">
        <f t="shared" si="10"/>
        <v>7</v>
      </c>
      <c r="H53" s="175">
        <f t="shared" si="0"/>
        <v>1695.09</v>
      </c>
      <c r="I53" s="177">
        <f>IF(G53=0,0,IF(E53="MXN",1/HLOOKUP(YEAR(C53)+(MONTH(C53)/100),TC!$5:$37,DAY(C53)+2,FALSE),VLOOKUP(E53,Equivalencia!$5:$23,((MAX(Equivalencia!$3:$3)-YEAR(C53))*14)+MONTH(C53)+2,FALSE)))</f>
        <v>1</v>
      </c>
      <c r="J53" s="178">
        <f t="shared" si="11"/>
        <v>1695.09</v>
      </c>
      <c r="K53" s="462">
        <f>IF(C53=0,0,VLOOKUP(YEAR(C53),INPC!$B$4:$O$29,MONTH(C53)+1))</f>
        <v>112.419</v>
      </c>
      <c r="L53" s="462">
        <f>IF(S53=0,0,VLOOKUP(YEAR(S53),INPC!$B$4:$O$29,MONTH(S53)+1))</f>
        <v>120.809</v>
      </c>
      <c r="M53" s="463">
        <f t="shared" si="1"/>
        <v>1.0746</v>
      </c>
      <c r="N53" s="465">
        <f t="shared" si="12"/>
        <v>1821.5437139999999</v>
      </c>
      <c r="O53" s="179"/>
      <c r="P53" s="570">
        <v>7</v>
      </c>
      <c r="Q53" s="173" t="s">
        <v>583</v>
      </c>
      <c r="R53" s="173" t="s">
        <v>230</v>
      </c>
      <c r="S53" s="174">
        <v>44678</v>
      </c>
      <c r="T53" s="173" t="s">
        <v>33</v>
      </c>
      <c r="U53" s="182">
        <v>1778.609677419355</v>
      </c>
      <c r="V53" s="177">
        <f>IF(U53=0,0,IF(T53="MXN",1/HLOOKUP(YEAR(S53)+(MONTH(S53)/100),TC!$5:$37,DAY(S53)+2,FALSE),VLOOKUP(T53,Equivalencia!$1:$23,((MAX(Equivalencia!$3:$3)-YEAR(S53))*14)+MONTH(S53)+2,FALSE)))</f>
        <v>1</v>
      </c>
      <c r="W53" s="178">
        <f t="shared" si="9"/>
        <v>1778.609677419355</v>
      </c>
      <c r="X53" s="481">
        <f t="shared" si="2"/>
        <v>83.519677419355048</v>
      </c>
      <c r="Y53" s="179"/>
      <c r="Z53" s="466">
        <f t="shared" si="3"/>
        <v>1821.5437139999999</v>
      </c>
      <c r="AA53" s="473">
        <f t="shared" si="4"/>
        <v>-42.934036580644943</v>
      </c>
      <c r="AB53" s="339">
        <f t="shared" si="5"/>
        <v>4.9271529782698886E-2</v>
      </c>
    </row>
    <row r="54" spans="1:28" ht="20.100000000000001" customHeight="1">
      <c r="A54" s="484"/>
      <c r="B54" s="172">
        <v>1175000</v>
      </c>
      <c r="C54" s="174">
        <v>44329</v>
      </c>
      <c r="D54" s="181" t="s">
        <v>177</v>
      </c>
      <c r="E54" s="173" t="s">
        <v>33</v>
      </c>
      <c r="F54" s="176">
        <v>1957.32</v>
      </c>
      <c r="G54" s="175">
        <f t="shared" si="10"/>
        <v>8</v>
      </c>
      <c r="H54" s="175">
        <f t="shared" si="0"/>
        <v>1957.32</v>
      </c>
      <c r="I54" s="177">
        <f>IF(G54=0,0,IF(E54="MXN",1/HLOOKUP(YEAR(C54)+(MONTH(C54)/100),TC!$5:$37,DAY(C54)+2,FALSE),VLOOKUP(E54,Equivalencia!$5:$23,((MAX(Equivalencia!$3:$3)-YEAR(C54))*14)+MONTH(C54)+2,FALSE)))</f>
        <v>1</v>
      </c>
      <c r="J54" s="178">
        <f t="shared" si="11"/>
        <v>1957.32</v>
      </c>
      <c r="K54" s="462">
        <f>IF(C54=0,0,VLOOKUP(YEAR(C54),INPC!$B$4:$O$29,MONTH(C54)+1))</f>
        <v>112.419</v>
      </c>
      <c r="L54" s="462">
        <f>IF(S54=0,0,VLOOKUP(YEAR(S54),INPC!$B$4:$O$29,MONTH(S54)+1))</f>
        <v>120.809</v>
      </c>
      <c r="M54" s="463">
        <f t="shared" si="1"/>
        <v>1.0746</v>
      </c>
      <c r="N54" s="465">
        <f t="shared" si="12"/>
        <v>2103.3360720000001</v>
      </c>
      <c r="O54" s="179"/>
      <c r="P54" s="570">
        <v>8</v>
      </c>
      <c r="Q54" s="173" t="s">
        <v>583</v>
      </c>
      <c r="R54" s="173" t="s">
        <v>230</v>
      </c>
      <c r="S54" s="174">
        <v>44678</v>
      </c>
      <c r="T54" s="173" t="s">
        <v>33</v>
      </c>
      <c r="U54" s="182">
        <v>2032.6967741935484</v>
      </c>
      <c r="V54" s="177">
        <f>IF(U54=0,0,IF(T54="MXN",1/HLOOKUP(YEAR(S54)+(MONTH(S54)/100),TC!$5:$37,DAY(S54)+2,FALSE),VLOOKUP(T54,Equivalencia!$1:$23,((MAX(Equivalencia!$3:$3)-YEAR(S54))*14)+MONTH(S54)+2,FALSE)))</f>
        <v>1</v>
      </c>
      <c r="W54" s="178">
        <f t="shared" si="9"/>
        <v>2032.6967741935484</v>
      </c>
      <c r="X54" s="481">
        <f t="shared" si="2"/>
        <v>75.376774193548499</v>
      </c>
      <c r="Y54" s="179"/>
      <c r="Z54" s="466">
        <f t="shared" si="3"/>
        <v>2103.3360720000001</v>
      </c>
      <c r="AA54" s="473">
        <f t="shared" si="4"/>
        <v>-70.639297806451623</v>
      </c>
      <c r="AB54" s="339">
        <f t="shared" si="5"/>
        <v>3.8510194650618557E-2</v>
      </c>
    </row>
    <row r="55" spans="1:28" ht="20.100000000000001" customHeight="1">
      <c r="A55" s="484"/>
      <c r="B55" s="172">
        <v>1175000</v>
      </c>
      <c r="C55" s="174">
        <v>44329</v>
      </c>
      <c r="D55" s="181" t="s">
        <v>177</v>
      </c>
      <c r="E55" s="173" t="s">
        <v>33</v>
      </c>
      <c r="F55" s="176">
        <v>1469.21</v>
      </c>
      <c r="G55" s="175">
        <f t="shared" si="10"/>
        <v>6</v>
      </c>
      <c r="H55" s="175">
        <f t="shared" si="0"/>
        <v>1469.21</v>
      </c>
      <c r="I55" s="177">
        <f>IF(G55=0,0,IF(E55="MXN",1/HLOOKUP(YEAR(C55)+(MONTH(C55)/100),TC!$5:$37,DAY(C55)+2,FALSE),VLOOKUP(E55,Equivalencia!$5:$23,((MAX(Equivalencia!$3:$3)-YEAR(C55))*14)+MONTH(C55)+2,FALSE)))</f>
        <v>1</v>
      </c>
      <c r="J55" s="178">
        <f t="shared" si="11"/>
        <v>1469.21</v>
      </c>
      <c r="K55" s="462">
        <f>IF(C55=0,0,VLOOKUP(YEAR(C55),INPC!$B$4:$O$29,MONTH(C55)+1))</f>
        <v>112.419</v>
      </c>
      <c r="L55" s="462">
        <f>IF(S55=0,0,VLOOKUP(YEAR(S55),INPC!$B$4:$O$29,MONTH(S55)+1))</f>
        <v>120.809</v>
      </c>
      <c r="M55" s="463">
        <f t="shared" si="1"/>
        <v>1.0746</v>
      </c>
      <c r="N55" s="465">
        <f t="shared" si="12"/>
        <v>1578.8130659999999</v>
      </c>
      <c r="O55" s="179"/>
      <c r="P55" s="570">
        <v>6</v>
      </c>
      <c r="Q55" s="173" t="s">
        <v>583</v>
      </c>
      <c r="R55" s="173" t="s">
        <v>230</v>
      </c>
      <c r="S55" s="174">
        <v>44678</v>
      </c>
      <c r="T55" s="173" t="s">
        <v>33</v>
      </c>
      <c r="U55" s="182">
        <v>1524.5225806451613</v>
      </c>
      <c r="V55" s="177">
        <f>IF(U55=0,0,IF(T55="MXN",1/HLOOKUP(YEAR(S55)+(MONTH(S55)/100),TC!$5:$37,DAY(S55)+2,FALSE),VLOOKUP(T55,Equivalencia!$1:$23,((MAX(Equivalencia!$3:$3)-YEAR(S55))*14)+MONTH(S55)+2,FALSE)))</f>
        <v>1</v>
      </c>
      <c r="W55" s="178">
        <f t="shared" si="9"/>
        <v>1524.5225806451613</v>
      </c>
      <c r="X55" s="481">
        <f t="shared" si="2"/>
        <v>55.312580645161233</v>
      </c>
      <c r="Y55" s="179"/>
      <c r="Z55" s="466">
        <f t="shared" si="3"/>
        <v>1578.8130659999999</v>
      </c>
      <c r="AA55" s="473">
        <f t="shared" si="4"/>
        <v>-54.290485354838665</v>
      </c>
      <c r="AB55" s="339">
        <f t="shared" si="5"/>
        <v>3.7647838392851352E-2</v>
      </c>
    </row>
    <row r="56" spans="1:28" ht="20.100000000000001" customHeight="1">
      <c r="A56" s="484"/>
      <c r="B56" s="172">
        <v>1175000</v>
      </c>
      <c r="C56" s="174">
        <v>44363</v>
      </c>
      <c r="D56" s="181" t="s">
        <v>177</v>
      </c>
      <c r="E56" s="173" t="s">
        <v>33</v>
      </c>
      <c r="F56" s="176">
        <v>726.56999999999994</v>
      </c>
      <c r="G56" s="175">
        <f t="shared" si="10"/>
        <v>3</v>
      </c>
      <c r="H56" s="175">
        <f t="shared" si="0"/>
        <v>726.56999999999994</v>
      </c>
      <c r="I56" s="177">
        <f>IF(G56=0,0,IF(E56="MXN",1/HLOOKUP(YEAR(C56)+(MONTH(C56)/100),TC!$5:$37,DAY(C56)+2,FALSE),VLOOKUP(E56,Equivalencia!$5:$23,((MAX(Equivalencia!$3:$3)-YEAR(C56))*14)+MONTH(C56)+2,FALSE)))</f>
        <v>1</v>
      </c>
      <c r="J56" s="178">
        <f t="shared" si="11"/>
        <v>726.56999999999994</v>
      </c>
      <c r="K56" s="462">
        <f>IF(C56=0,0,VLOOKUP(YEAR(C56),INPC!$B$4:$O$29,MONTH(C56)+1))</f>
        <v>113.018</v>
      </c>
      <c r="L56" s="462">
        <f>IF(S56=0,0,VLOOKUP(YEAR(S56),INPC!$B$4:$O$29,MONTH(S56)+1))</f>
        <v>120.809</v>
      </c>
      <c r="M56" s="463">
        <f t="shared" si="1"/>
        <v>1.0689</v>
      </c>
      <c r="N56" s="465">
        <f t="shared" si="12"/>
        <v>776.63067299999989</v>
      </c>
      <c r="O56" s="179"/>
      <c r="P56" s="571">
        <v>3</v>
      </c>
      <c r="Q56" s="173" t="s">
        <v>583</v>
      </c>
      <c r="R56" s="173" t="s">
        <v>230</v>
      </c>
      <c r="S56" s="174">
        <v>44678</v>
      </c>
      <c r="T56" s="173" t="s">
        <v>33</v>
      </c>
      <c r="U56" s="182">
        <v>762.26129032258063</v>
      </c>
      <c r="V56" s="177">
        <f>IF(U56=0,0,IF(T56="MXN",1/HLOOKUP(YEAR(S56)+(MONTH(S56)/100),TC!$5:$37,DAY(S56)+2,FALSE),VLOOKUP(T56,Equivalencia!$1:$23,((MAX(Equivalencia!$3:$3)-YEAR(S56))*14)+MONTH(S56)+2,FALSE)))</f>
        <v>1</v>
      </c>
      <c r="W56" s="178">
        <f t="shared" si="9"/>
        <v>762.26129032258063</v>
      </c>
      <c r="X56" s="481">
        <f t="shared" si="2"/>
        <v>35.691290322580699</v>
      </c>
      <c r="Y56" s="179"/>
      <c r="Z56" s="466">
        <f t="shared" si="3"/>
        <v>776.63067299999989</v>
      </c>
      <c r="AA56" s="473">
        <f t="shared" si="4"/>
        <v>-14.369382677419253</v>
      </c>
      <c r="AB56" s="339">
        <f t="shared" si="5"/>
        <v>4.9122989281942031E-2</v>
      </c>
    </row>
    <row r="57" spans="1:28" ht="20.100000000000001" customHeight="1">
      <c r="A57" s="484"/>
      <c r="B57" s="172">
        <v>1175000</v>
      </c>
      <c r="C57" s="174">
        <v>44631</v>
      </c>
      <c r="D57" s="181" t="s">
        <v>232</v>
      </c>
      <c r="E57" s="173" t="s">
        <v>33</v>
      </c>
      <c r="F57" s="176">
        <v>5521</v>
      </c>
      <c r="G57" s="175">
        <f t="shared" si="10"/>
        <v>8</v>
      </c>
      <c r="H57" s="175">
        <f t="shared" si="0"/>
        <v>5521</v>
      </c>
      <c r="I57" s="177">
        <f>IF(G57=0,0,IF(E57="MXN",1/HLOOKUP(YEAR(C57)+(MONTH(C57)/100),TC!$5:$37,DAY(C57)+2,FALSE),VLOOKUP(E57,Equivalencia!$5:$23,((MAX(Equivalencia!$3:$3)-YEAR(C57))*14)+MONTH(C57)+2,FALSE)))</f>
        <v>1</v>
      </c>
      <c r="J57" s="178">
        <f t="shared" si="11"/>
        <v>5521</v>
      </c>
      <c r="K57" s="462">
        <f>IF(C57=0,0,VLOOKUP(YEAR(C57),INPC!$B$4:$O$29,MONTH(C57)+1))</f>
        <v>120.15900000000001</v>
      </c>
      <c r="L57" s="462">
        <f>IF(S57=0,0,VLOOKUP(YEAR(S57),INPC!$B$4:$O$29,MONTH(S57)+1))</f>
        <v>120.809</v>
      </c>
      <c r="M57" s="463">
        <f t="shared" si="1"/>
        <v>1.0054000000000001</v>
      </c>
      <c r="N57" s="465">
        <f t="shared" si="12"/>
        <v>5550.8134</v>
      </c>
      <c r="O57" s="179"/>
      <c r="P57" s="529">
        <v>8</v>
      </c>
      <c r="Q57" s="173" t="s">
        <v>583</v>
      </c>
      <c r="R57" s="173" t="s">
        <v>230</v>
      </c>
      <c r="S57" s="174">
        <v>44678</v>
      </c>
      <c r="T57" s="173" t="s">
        <v>33</v>
      </c>
      <c r="U57" s="182">
        <v>5195.8112000000001</v>
      </c>
      <c r="V57" s="177">
        <f>IF(U57=0,0,IF(T57="MXN",1/HLOOKUP(YEAR(S57)+(MONTH(S57)/100),TC!$5:$37,DAY(S57)+2,FALSE),VLOOKUP(T57,Equivalencia!$1:$23,((MAX(Equivalencia!$3:$3)-YEAR(S57))*14)+MONTH(S57)+2,FALSE)))</f>
        <v>1</v>
      </c>
      <c r="W57" s="178">
        <f t="shared" si="9"/>
        <v>5195.8112000000001</v>
      </c>
      <c r="X57" s="481">
        <f t="shared" si="2"/>
        <v>-325.1887999999999</v>
      </c>
      <c r="Y57" s="179"/>
      <c r="Z57" s="466">
        <f t="shared" si="3"/>
        <v>5550.8134</v>
      </c>
      <c r="AA57" s="473">
        <f t="shared" si="4"/>
        <v>-355.0021999999999</v>
      </c>
      <c r="AB57" s="339">
        <f t="shared" si="5"/>
        <v>-5.8900344140554228E-2</v>
      </c>
    </row>
    <row r="58" spans="1:28" ht="20.100000000000001" customHeight="1">
      <c r="A58" s="484"/>
      <c r="B58" s="172">
        <v>1175000</v>
      </c>
      <c r="C58" s="174">
        <v>44631</v>
      </c>
      <c r="D58" s="181" t="s">
        <v>232</v>
      </c>
      <c r="E58" s="173" t="s">
        <v>33</v>
      </c>
      <c r="F58" s="176">
        <v>5496.4</v>
      </c>
      <c r="G58" s="175">
        <f t="shared" si="10"/>
        <v>8</v>
      </c>
      <c r="H58" s="175">
        <f t="shared" si="0"/>
        <v>5496.4</v>
      </c>
      <c r="I58" s="177">
        <f>IF(G58=0,0,IF(E58="MXN",1/HLOOKUP(YEAR(C58)+(MONTH(C58)/100),TC!$5:$37,DAY(C58)+2,FALSE),VLOOKUP(E58,Equivalencia!$5:$23,((MAX(Equivalencia!$3:$3)-YEAR(C58))*14)+MONTH(C58)+2,FALSE)))</f>
        <v>1</v>
      </c>
      <c r="J58" s="178">
        <f t="shared" si="11"/>
        <v>5496.4</v>
      </c>
      <c r="K58" s="462">
        <f>IF(C58=0,0,VLOOKUP(YEAR(C58),INPC!$B$4:$O$29,MONTH(C58)+1))</f>
        <v>120.15900000000001</v>
      </c>
      <c r="L58" s="462">
        <f>IF(S58=0,0,VLOOKUP(YEAR(S58),INPC!$B$4:$O$29,MONTH(S58)+1))</f>
        <v>120.809</v>
      </c>
      <c r="M58" s="463">
        <f t="shared" si="1"/>
        <v>1.0054000000000001</v>
      </c>
      <c r="N58" s="465">
        <f t="shared" si="12"/>
        <v>5526.0805600000003</v>
      </c>
      <c r="O58" s="179"/>
      <c r="P58" s="529">
        <v>8</v>
      </c>
      <c r="Q58" s="173" t="s">
        <v>583</v>
      </c>
      <c r="R58" s="173" t="s">
        <v>230</v>
      </c>
      <c r="S58" s="174">
        <v>44678</v>
      </c>
      <c r="T58" s="173" t="s">
        <v>33</v>
      </c>
      <c r="U58" s="182">
        <v>5195.8112000000001</v>
      </c>
      <c r="V58" s="177">
        <f>IF(U58=0,0,IF(T58="MXN",1/HLOOKUP(YEAR(S58)+(MONTH(S58)/100),TC!$5:$37,DAY(S58)+2,FALSE),VLOOKUP(T58,Equivalencia!$1:$23,((MAX(Equivalencia!$3:$3)-YEAR(S58))*14)+MONTH(S58)+2,FALSE)))</f>
        <v>1</v>
      </c>
      <c r="W58" s="178">
        <f t="shared" si="9"/>
        <v>5195.8112000000001</v>
      </c>
      <c r="X58" s="481">
        <f t="shared" si="2"/>
        <v>-300.58879999999954</v>
      </c>
      <c r="Y58" s="179"/>
      <c r="Z58" s="466">
        <f t="shared" si="3"/>
        <v>5526.0805600000003</v>
      </c>
      <c r="AA58" s="473">
        <f t="shared" si="4"/>
        <v>-330.26936000000023</v>
      </c>
      <c r="AB58" s="339">
        <f t="shared" si="5"/>
        <v>-5.4688305072410959E-2</v>
      </c>
    </row>
    <row r="59" spans="1:28" ht="20.100000000000001" customHeight="1">
      <c r="A59" s="484"/>
      <c r="B59" s="172">
        <v>1175000</v>
      </c>
      <c r="C59" s="174">
        <v>44631</v>
      </c>
      <c r="D59" s="181" t="s">
        <v>232</v>
      </c>
      <c r="E59" s="173" t="s">
        <v>33</v>
      </c>
      <c r="F59" s="176">
        <v>6220.36</v>
      </c>
      <c r="G59" s="175">
        <f t="shared" si="10"/>
        <v>9</v>
      </c>
      <c r="H59" s="175">
        <f t="shared" si="0"/>
        <v>6220.36</v>
      </c>
      <c r="I59" s="177">
        <f>IF(G59=0,0,IF(E59="MXN",1/HLOOKUP(YEAR(C59)+(MONTH(C59)/100),TC!$5:$37,DAY(C59)+2,FALSE),VLOOKUP(E59,Equivalencia!$5:$23,((MAX(Equivalencia!$3:$3)-YEAR(C59))*14)+MONTH(C59)+2,FALSE)))</f>
        <v>1</v>
      </c>
      <c r="J59" s="178">
        <f t="shared" si="11"/>
        <v>6220.36</v>
      </c>
      <c r="K59" s="462">
        <f>IF(C59=0,0,VLOOKUP(YEAR(C59),INPC!$B$4:$O$29,MONTH(C59)+1))</f>
        <v>120.15900000000001</v>
      </c>
      <c r="L59" s="462">
        <f>IF(S59=0,0,VLOOKUP(YEAR(S59),INPC!$B$4:$O$29,MONTH(S59)+1))</f>
        <v>120.809</v>
      </c>
      <c r="M59" s="463">
        <f t="shared" si="1"/>
        <v>1.0054000000000001</v>
      </c>
      <c r="N59" s="465">
        <f t="shared" si="12"/>
        <v>6253.949944</v>
      </c>
      <c r="O59" s="179"/>
      <c r="P59" s="530">
        <v>9</v>
      </c>
      <c r="Q59" s="173" t="s">
        <v>583</v>
      </c>
      <c r="R59" s="173" t="s">
        <v>230</v>
      </c>
      <c r="S59" s="174">
        <v>44678</v>
      </c>
      <c r="T59" s="173" t="s">
        <v>33</v>
      </c>
      <c r="U59" s="182">
        <v>5845.2875999999997</v>
      </c>
      <c r="V59" s="177">
        <f>IF(U59=0,0,IF(T59="MXN",1/HLOOKUP(YEAR(S59)+(MONTH(S59)/100),TC!$5:$37,DAY(S59)+2,FALSE),VLOOKUP(T59,Equivalencia!$1:$23,((MAX(Equivalencia!$3:$3)-YEAR(S59))*14)+MONTH(S59)+2,FALSE)))</f>
        <v>1</v>
      </c>
      <c r="W59" s="178">
        <f t="shared" si="9"/>
        <v>5845.2875999999997</v>
      </c>
      <c r="X59" s="481">
        <f t="shared" si="2"/>
        <v>-375.07240000000002</v>
      </c>
      <c r="Y59" s="179"/>
      <c r="Z59" s="466">
        <f t="shared" si="3"/>
        <v>6253.949944</v>
      </c>
      <c r="AA59" s="473">
        <f t="shared" si="4"/>
        <v>-408.6623440000003</v>
      </c>
      <c r="AB59" s="339">
        <f t="shared" si="5"/>
        <v>-6.0297539049186888E-2</v>
      </c>
    </row>
    <row r="60" spans="1:28" ht="20.100000000000001" customHeight="1">
      <c r="B60" s="172">
        <v>1175000</v>
      </c>
      <c r="C60" s="174">
        <v>44631</v>
      </c>
      <c r="D60" s="181" t="s">
        <v>232</v>
      </c>
      <c r="E60" s="173" t="s">
        <v>33</v>
      </c>
      <c r="F60" s="176">
        <v>687.05</v>
      </c>
      <c r="G60" s="175">
        <f t="shared" si="10"/>
        <v>1</v>
      </c>
      <c r="H60" s="175">
        <f t="shared" si="0"/>
        <v>687.05</v>
      </c>
      <c r="I60" s="177">
        <f>IF(G60=0,0,IF(E60="MXN",1/HLOOKUP(YEAR(C60)+(MONTH(C60)/100),TC!$5:$37,DAY(C60)+2,FALSE),VLOOKUP(E60,Equivalencia!$5:$23,((MAX(Equivalencia!$3:$3)-YEAR(C60))*14)+MONTH(C60)+2,FALSE)))</f>
        <v>1</v>
      </c>
      <c r="J60" s="178">
        <f t="shared" si="11"/>
        <v>687.05</v>
      </c>
      <c r="K60" s="462">
        <f>IF(C60=0,0,VLOOKUP(YEAR(C60),INPC!$B$4:$O$29,MONTH(C60)+1))</f>
        <v>120.15900000000001</v>
      </c>
      <c r="L60" s="462">
        <f>IF(S60=0,0,VLOOKUP(YEAR(S60),INPC!$B$4:$O$29,MONTH(S60)+1))</f>
        <v>122.044</v>
      </c>
      <c r="M60" s="463">
        <f t="shared" si="1"/>
        <v>1.0156000000000001</v>
      </c>
      <c r="N60" s="465">
        <f t="shared" si="12"/>
        <v>697.76797999999997</v>
      </c>
      <c r="O60" s="179"/>
      <c r="P60" s="180">
        <v>1</v>
      </c>
      <c r="Q60" s="173" t="s">
        <v>583</v>
      </c>
      <c r="R60" s="173" t="s">
        <v>230</v>
      </c>
      <c r="S60" s="174">
        <v>44742</v>
      </c>
      <c r="T60" s="173" t="s">
        <v>33</v>
      </c>
      <c r="U60" s="182">
        <v>606.27</v>
      </c>
      <c r="V60" s="177">
        <f>IF(U60=0,0,IF(T60="MXN",1/HLOOKUP(YEAR(S60)+(MONTH(S60)/100),TC!$5:$37,DAY(S60)+2,FALSE),VLOOKUP(T60,Equivalencia!$1:$23,((MAX(Equivalencia!$3:$3)-YEAR(S60))*14)+MONTH(S60)+2,FALSE)))</f>
        <v>1</v>
      </c>
      <c r="W60" s="178">
        <f t="shared" si="9"/>
        <v>606.27</v>
      </c>
      <c r="X60" s="481">
        <f t="shared" si="2"/>
        <v>-80.779999999999973</v>
      </c>
      <c r="Y60" s="179"/>
      <c r="Z60" s="466">
        <f t="shared" si="3"/>
        <v>697.76797999999997</v>
      </c>
      <c r="AA60" s="473">
        <f t="shared" si="4"/>
        <v>-91.497979999999984</v>
      </c>
      <c r="AB60" s="339">
        <f t="shared" si="5"/>
        <v>-0.11757514009169634</v>
      </c>
    </row>
    <row r="61" spans="1:28" ht="20.100000000000001" customHeight="1">
      <c r="B61" s="172">
        <v>1175000</v>
      </c>
      <c r="C61" s="174">
        <v>44636</v>
      </c>
      <c r="D61" s="181" t="s">
        <v>232</v>
      </c>
      <c r="E61" s="173" t="s">
        <v>33</v>
      </c>
      <c r="F61" s="176">
        <v>1453.41</v>
      </c>
      <c r="G61" s="175">
        <f t="shared" si="10"/>
        <v>2</v>
      </c>
      <c r="H61" s="175">
        <f t="shared" si="0"/>
        <v>1453.41</v>
      </c>
      <c r="I61" s="177">
        <f>IF(G61=0,0,IF(E61="MXN",1/HLOOKUP(YEAR(C61)+(MONTH(C61)/100),TC!$5:$37,DAY(C61)+2,FALSE),VLOOKUP(E61,Equivalencia!$5:$23,((MAX(Equivalencia!$3:$3)-YEAR(C61))*14)+MONTH(C61)+2,FALSE)))</f>
        <v>1</v>
      </c>
      <c r="J61" s="178">
        <f t="shared" si="11"/>
        <v>1453.41</v>
      </c>
      <c r="K61" s="462">
        <f>IF(C61=0,0,VLOOKUP(YEAR(C61),INPC!$B$4:$O$29,MONTH(C61)+1))</f>
        <v>120.15900000000001</v>
      </c>
      <c r="L61" s="462">
        <f>IF(S61=0,0,VLOOKUP(YEAR(S61),INPC!$B$4:$O$29,MONTH(S61)+1))</f>
        <v>122.044</v>
      </c>
      <c r="M61" s="463">
        <f t="shared" si="1"/>
        <v>1.0156000000000001</v>
      </c>
      <c r="N61" s="465">
        <f t="shared" si="12"/>
        <v>1476.0831960000003</v>
      </c>
      <c r="O61" s="179"/>
      <c r="P61" s="180">
        <v>2</v>
      </c>
      <c r="Q61" s="173" t="s">
        <v>583</v>
      </c>
      <c r="R61" s="173" t="s">
        <v>230</v>
      </c>
      <c r="S61" s="174">
        <v>44742</v>
      </c>
      <c r="T61" s="173" t="s">
        <v>33</v>
      </c>
      <c r="U61" s="182">
        <v>1217.5105882352941</v>
      </c>
      <c r="V61" s="177">
        <f>IF(U61=0,0,IF(T61="MXN",1/HLOOKUP(YEAR(S61)+(MONTH(S61)/100),TC!$5:$37,DAY(S61)+2,FALSE),VLOOKUP(T61,Equivalencia!$1:$23,((MAX(Equivalencia!$3:$3)-YEAR(S61))*14)+MONTH(S61)+2,FALSE)))</f>
        <v>1</v>
      </c>
      <c r="W61" s="178">
        <f t="shared" si="9"/>
        <v>1217.5105882352941</v>
      </c>
      <c r="X61" s="481">
        <f t="shared" si="2"/>
        <v>-235.89941176470597</v>
      </c>
      <c r="Y61" s="179"/>
      <c r="Z61" s="466">
        <f t="shared" si="3"/>
        <v>1476.0831960000003</v>
      </c>
      <c r="AA61" s="473">
        <f t="shared" si="4"/>
        <v>-258.57260776470616</v>
      </c>
      <c r="AB61" s="339">
        <f t="shared" si="5"/>
        <v>-0.16230754691704752</v>
      </c>
    </row>
    <row r="62" spans="1:28" ht="20.100000000000001" customHeight="1">
      <c r="B62" s="172">
        <v>1175000</v>
      </c>
      <c r="C62" s="174">
        <v>44636</v>
      </c>
      <c r="D62" s="181" t="s">
        <v>232</v>
      </c>
      <c r="E62" s="173" t="s">
        <v>33</v>
      </c>
      <c r="F62" s="176">
        <v>10875.0375</v>
      </c>
      <c r="G62" s="175">
        <f t="shared" si="10"/>
        <v>15</v>
      </c>
      <c r="H62" s="175">
        <f t="shared" si="0"/>
        <v>10875.0375</v>
      </c>
      <c r="I62" s="177">
        <f>IF(G62=0,0,IF(E62="MXN",1/HLOOKUP(YEAR(C62)+(MONTH(C62)/100),TC!$5:$37,DAY(C62)+2,FALSE),VLOOKUP(E62,Equivalencia!$5:$23,((MAX(Equivalencia!$3:$3)-YEAR(C62))*14)+MONTH(C62)+2,FALSE)))</f>
        <v>1</v>
      </c>
      <c r="J62" s="178">
        <f t="shared" si="11"/>
        <v>10875.0375</v>
      </c>
      <c r="K62" s="462">
        <f>IF(C62=0,0,VLOOKUP(YEAR(C62),INPC!$B$4:$O$29,MONTH(C62)+1))</f>
        <v>120.15900000000001</v>
      </c>
      <c r="L62" s="462">
        <f>IF(S62=0,0,VLOOKUP(YEAR(S62),INPC!$B$4:$O$29,MONTH(S62)+1))</f>
        <v>122.044</v>
      </c>
      <c r="M62" s="463">
        <f t="shared" si="1"/>
        <v>1.0156000000000001</v>
      </c>
      <c r="N62" s="465">
        <f t="shared" si="12"/>
        <v>11044.688085000002</v>
      </c>
      <c r="O62" s="179"/>
      <c r="P62" s="180">
        <v>15</v>
      </c>
      <c r="Q62" s="173" t="s">
        <v>583</v>
      </c>
      <c r="R62" s="173" t="s">
        <v>230</v>
      </c>
      <c r="S62" s="174">
        <v>44742</v>
      </c>
      <c r="T62" s="173" t="s">
        <v>33</v>
      </c>
      <c r="U62" s="182">
        <v>9131.3294117647056</v>
      </c>
      <c r="V62" s="177">
        <f>IF(U62=0,0,IF(T62="MXN",1/HLOOKUP(YEAR(S62)+(MONTH(S62)/100),TC!$5:$37,DAY(S62)+2,FALSE),VLOOKUP(T62,Equivalencia!$1:$23,((MAX(Equivalencia!$3:$3)-YEAR(S62))*14)+MONTH(S62)+2,FALSE)))</f>
        <v>1</v>
      </c>
      <c r="W62" s="178">
        <f t="shared" si="9"/>
        <v>9131.3294117647056</v>
      </c>
      <c r="X62" s="481">
        <f t="shared" si="2"/>
        <v>-1743.7080882352948</v>
      </c>
      <c r="Y62" s="179"/>
      <c r="Z62" s="466">
        <f t="shared" si="3"/>
        <v>11044.688085000002</v>
      </c>
      <c r="AA62" s="473">
        <f t="shared" si="4"/>
        <v>-1913.358673235296</v>
      </c>
      <c r="AB62" s="339">
        <f t="shared" si="5"/>
        <v>-0.16034042073282917</v>
      </c>
    </row>
    <row r="63" spans="1:28" ht="20.100000000000001" customHeight="1">
      <c r="A63" s="484"/>
      <c r="B63" s="172">
        <v>1175000</v>
      </c>
      <c r="C63" s="174">
        <v>43896</v>
      </c>
      <c r="D63" s="181" t="s">
        <v>233</v>
      </c>
      <c r="E63" s="173" t="s">
        <v>33</v>
      </c>
      <c r="F63" s="176">
        <v>6152.51</v>
      </c>
      <c r="G63" s="175">
        <f t="shared" si="10"/>
        <v>103</v>
      </c>
      <c r="H63" s="175">
        <f t="shared" si="0"/>
        <v>6152.51</v>
      </c>
      <c r="I63" s="177">
        <f>IF(G63=0,0,IF(E63="MXN",1/HLOOKUP(YEAR(C63)+(MONTH(C63)/100),TC!$5:$37,DAY(C63)+2,FALSE),VLOOKUP(E63,Equivalencia!$5:$23,((MAX(Equivalencia!$3:$3)-YEAR(C63))*14)+MONTH(C63)+2,FALSE)))</f>
        <v>1</v>
      </c>
      <c r="J63" s="178">
        <f t="shared" si="11"/>
        <v>6152.51</v>
      </c>
      <c r="K63" s="462">
        <f>IF(C63=0,0,VLOOKUP(YEAR(C63),INPC!$B$4:$O$29,MONTH(C63)+1))</f>
        <v>106.83799999999999</v>
      </c>
      <c r="L63" s="462">
        <f>IF(S63=0,0,VLOOKUP(YEAR(S63),INPC!$B$4:$O$29,MONTH(S63)+1))</f>
        <v>120.809</v>
      </c>
      <c r="M63" s="463">
        <f t="shared" si="1"/>
        <v>1.1307</v>
      </c>
      <c r="N63" s="465">
        <f t="shared" si="12"/>
        <v>6956.6430570000002</v>
      </c>
      <c r="O63" s="179"/>
      <c r="P63" s="569">
        <v>103</v>
      </c>
      <c r="Q63" s="173" t="s">
        <v>583</v>
      </c>
      <c r="R63" s="173" t="s">
        <v>230</v>
      </c>
      <c r="S63" s="174">
        <v>44678</v>
      </c>
      <c r="T63" s="173" t="s">
        <v>33</v>
      </c>
      <c r="U63" s="182">
        <v>7757.528632478633</v>
      </c>
      <c r="V63" s="177">
        <f>IF(U63=0,0,IF(T63="MXN",1/HLOOKUP(YEAR(S63)+(MONTH(S63)/100),TC!$5:$37,DAY(S63)+2,FALSE),VLOOKUP(T63,Equivalencia!$1:$23,((MAX(Equivalencia!$3:$3)-YEAR(S63))*14)+MONTH(S63)+2,FALSE)))</f>
        <v>1</v>
      </c>
      <c r="W63" s="178">
        <f t="shared" si="9"/>
        <v>7757.528632478633</v>
      </c>
      <c r="X63" s="481">
        <f t="shared" si="2"/>
        <v>1605.0186324786328</v>
      </c>
      <c r="Y63" s="179"/>
      <c r="Z63" s="466">
        <f t="shared" si="3"/>
        <v>6956.6430570000002</v>
      </c>
      <c r="AA63" s="473">
        <f t="shared" si="4"/>
        <v>800.88557547863275</v>
      </c>
      <c r="AB63" s="339">
        <f t="shared" si="5"/>
        <v>0.26087216964761262</v>
      </c>
    </row>
    <row r="64" spans="1:28" ht="20.100000000000001" customHeight="1">
      <c r="A64" s="484"/>
      <c r="B64" s="172">
        <v>1175000</v>
      </c>
      <c r="C64" s="174">
        <v>43899</v>
      </c>
      <c r="D64" s="181" t="s">
        <v>233</v>
      </c>
      <c r="E64" s="173" t="s">
        <v>33</v>
      </c>
      <c r="F64" s="176">
        <v>5726.85</v>
      </c>
      <c r="G64" s="175">
        <f t="shared" si="10"/>
        <v>99</v>
      </c>
      <c r="H64" s="175">
        <f t="shared" si="0"/>
        <v>5726.85</v>
      </c>
      <c r="I64" s="177">
        <f>IF(G64=0,0,IF(E64="MXN",1/HLOOKUP(YEAR(C64)+(MONTH(C64)/100),TC!$5:$37,DAY(C64)+2,FALSE),VLOOKUP(E64,Equivalencia!$5:$23,((MAX(Equivalencia!$3:$3)-YEAR(C64))*14)+MONTH(C64)+2,FALSE)))</f>
        <v>1</v>
      </c>
      <c r="J64" s="178">
        <f t="shared" si="11"/>
        <v>5726.85</v>
      </c>
      <c r="K64" s="462">
        <f>IF(C64=0,0,VLOOKUP(YEAR(C64),INPC!$B$4:$O$29,MONTH(C64)+1))</f>
        <v>106.83799999999999</v>
      </c>
      <c r="L64" s="462">
        <f>IF(S64=0,0,VLOOKUP(YEAR(S64),INPC!$B$4:$O$29,MONTH(S64)+1))</f>
        <v>120.809</v>
      </c>
      <c r="M64" s="463">
        <f t="shared" si="1"/>
        <v>1.1307</v>
      </c>
      <c r="N64" s="465">
        <f t="shared" si="12"/>
        <v>6475.3492950000009</v>
      </c>
      <c r="O64" s="179"/>
      <c r="P64" s="570">
        <v>99</v>
      </c>
      <c r="Q64" s="173" t="s">
        <v>583</v>
      </c>
      <c r="R64" s="173" t="s">
        <v>230</v>
      </c>
      <c r="S64" s="174">
        <v>44678</v>
      </c>
      <c r="T64" s="173" t="s">
        <v>33</v>
      </c>
      <c r="U64" s="182">
        <v>7456.2653846153853</v>
      </c>
      <c r="V64" s="177">
        <f>IF(U64=0,0,IF(T64="MXN",1/HLOOKUP(YEAR(S64)+(MONTH(S64)/100),TC!$5:$37,DAY(S64)+2,FALSE),VLOOKUP(T64,Equivalencia!$1:$23,((MAX(Equivalencia!$3:$3)-YEAR(S64))*14)+MONTH(S64)+2,FALSE)))</f>
        <v>1</v>
      </c>
      <c r="W64" s="178">
        <f t="shared" si="9"/>
        <v>7456.2653846153853</v>
      </c>
      <c r="X64" s="481">
        <f t="shared" si="2"/>
        <v>1729.4153846153849</v>
      </c>
      <c r="Y64" s="179"/>
      <c r="Z64" s="466">
        <f t="shared" si="3"/>
        <v>6475.3492950000009</v>
      </c>
      <c r="AA64" s="473">
        <f t="shared" si="4"/>
        <v>980.91608961538441</v>
      </c>
      <c r="AB64" s="339">
        <f t="shared" si="5"/>
        <v>0.30198370563492749</v>
      </c>
    </row>
    <row r="65" spans="1:28" ht="20.100000000000001" customHeight="1">
      <c r="A65" s="484"/>
      <c r="B65" s="172">
        <v>1175000</v>
      </c>
      <c r="C65" s="174">
        <v>43899</v>
      </c>
      <c r="D65" s="181" t="s">
        <v>233</v>
      </c>
      <c r="E65" s="173" t="s">
        <v>33</v>
      </c>
      <c r="F65" s="176">
        <v>228.12</v>
      </c>
      <c r="G65" s="175">
        <f t="shared" si="10"/>
        <v>4</v>
      </c>
      <c r="H65" s="175">
        <f t="shared" si="0"/>
        <v>228.12</v>
      </c>
      <c r="I65" s="177">
        <f>IF(G65=0,0,IF(E65="MXN",1/HLOOKUP(YEAR(C65)+(MONTH(C65)/100),TC!$5:$37,DAY(C65)+2,FALSE),VLOOKUP(E65,Equivalencia!$5:$23,((MAX(Equivalencia!$3:$3)-YEAR(C65))*14)+MONTH(C65)+2,FALSE)))</f>
        <v>1</v>
      </c>
      <c r="J65" s="178">
        <f t="shared" si="11"/>
        <v>228.12</v>
      </c>
      <c r="K65" s="462">
        <f>IF(C65=0,0,VLOOKUP(YEAR(C65),INPC!$B$4:$O$29,MONTH(C65)+1))</f>
        <v>106.83799999999999</v>
      </c>
      <c r="L65" s="462">
        <f>IF(S65=0,0,VLOOKUP(YEAR(S65),INPC!$B$4:$O$29,MONTH(S65)+1))</f>
        <v>120.809</v>
      </c>
      <c r="M65" s="463">
        <f t="shared" si="1"/>
        <v>1.1307</v>
      </c>
      <c r="N65" s="465">
        <f t="shared" si="12"/>
        <v>257.93528400000002</v>
      </c>
      <c r="O65" s="179"/>
      <c r="P65" s="570">
        <v>4</v>
      </c>
      <c r="Q65" s="173" t="s">
        <v>583</v>
      </c>
      <c r="R65" s="173" t="s">
        <v>230</v>
      </c>
      <c r="S65" s="174">
        <v>44678</v>
      </c>
      <c r="T65" s="173" t="s">
        <v>33</v>
      </c>
      <c r="U65" s="182">
        <v>301.2632478632479</v>
      </c>
      <c r="V65" s="177">
        <f>IF(U65=0,0,IF(T65="MXN",1/HLOOKUP(YEAR(S65)+(MONTH(S65)/100),TC!$5:$37,DAY(S65)+2,FALSE),VLOOKUP(T65,Equivalencia!$1:$23,((MAX(Equivalencia!$3:$3)-YEAR(S65))*14)+MONTH(S65)+2,FALSE)))</f>
        <v>1</v>
      </c>
      <c r="W65" s="178">
        <f t="shared" si="9"/>
        <v>301.2632478632479</v>
      </c>
      <c r="X65" s="481">
        <f t="shared" si="2"/>
        <v>73.143247863247893</v>
      </c>
      <c r="Y65" s="179"/>
      <c r="Z65" s="466">
        <f t="shared" si="3"/>
        <v>257.93528400000002</v>
      </c>
      <c r="AA65" s="473">
        <f t="shared" si="4"/>
        <v>43.327963863247874</v>
      </c>
      <c r="AB65" s="339">
        <f t="shared" si="5"/>
        <v>0.32063496345453224</v>
      </c>
    </row>
    <row r="66" spans="1:28" ht="20.100000000000001" customHeight="1">
      <c r="A66" s="484"/>
      <c r="B66" s="172">
        <v>1175000</v>
      </c>
      <c r="C66" s="174">
        <v>43901</v>
      </c>
      <c r="D66" s="181" t="s">
        <v>233</v>
      </c>
      <c r="E66" s="173" t="s">
        <v>33</v>
      </c>
      <c r="F66" s="176">
        <v>6909.2</v>
      </c>
      <c r="G66" s="175">
        <f t="shared" si="10"/>
        <v>121</v>
      </c>
      <c r="H66" s="175">
        <f t="shared" ref="H66:H129" si="13">IF(F66=0,0,(F66/G66)*P66)</f>
        <v>6909.2</v>
      </c>
      <c r="I66" s="177">
        <f>IF(G66=0,0,IF(E66="MXN",1/HLOOKUP(YEAR(C66)+(MONTH(C66)/100),TC!$5:$37,DAY(C66)+2,FALSE),VLOOKUP(E66,Equivalencia!$5:$23,((MAX(Equivalencia!$3:$3)-YEAR(C66))*14)+MONTH(C66)+2,FALSE)))</f>
        <v>1</v>
      </c>
      <c r="J66" s="178">
        <f t="shared" si="11"/>
        <v>6909.2</v>
      </c>
      <c r="K66" s="462">
        <f>IF(C66=0,0,VLOOKUP(YEAR(C66),INPC!$B$4:$O$29,MONTH(C66)+1))</f>
        <v>106.83799999999999</v>
      </c>
      <c r="L66" s="462">
        <f>IF(S66=0,0,VLOOKUP(YEAR(S66),INPC!$B$4:$O$29,MONTH(S66)+1))</f>
        <v>120.809</v>
      </c>
      <c r="M66" s="463">
        <f t="shared" ref="M66:M129" si="14">IF(H66=0,0,IF(R66=$AF$4,1,IF(TRUNC(L66/K66,4)&gt;=1,TRUNC(L66/K66,4),1)))</f>
        <v>1.1307</v>
      </c>
      <c r="N66" s="465">
        <f t="shared" si="12"/>
        <v>7812.2324399999998</v>
      </c>
      <c r="O66" s="179"/>
      <c r="P66" s="570">
        <v>121</v>
      </c>
      <c r="Q66" s="173" t="s">
        <v>583</v>
      </c>
      <c r="R66" s="173" t="s">
        <v>230</v>
      </c>
      <c r="S66" s="174">
        <v>44678</v>
      </c>
      <c r="T66" s="173" t="s">
        <v>33</v>
      </c>
      <c r="U66" s="182">
        <v>9113.2132478632484</v>
      </c>
      <c r="V66" s="177">
        <f>IF(U66=0,0,IF(T66="MXN",1/HLOOKUP(YEAR(S66)+(MONTH(S66)/100),TC!$5:$37,DAY(S66)+2,FALSE),VLOOKUP(T66,Equivalencia!$1:$23,((MAX(Equivalencia!$3:$3)-YEAR(S66))*14)+MONTH(S66)+2,FALSE)))</f>
        <v>1</v>
      </c>
      <c r="W66" s="178">
        <f t="shared" si="9"/>
        <v>9113.2132478632484</v>
      </c>
      <c r="X66" s="481">
        <f t="shared" ref="X66:X129" si="15">+W66-J66</f>
        <v>2204.0132478632486</v>
      </c>
      <c r="Y66" s="179"/>
      <c r="Z66" s="466">
        <f t="shared" ref="Z66:Z129" si="16">N66</f>
        <v>7812.2324399999998</v>
      </c>
      <c r="AA66" s="473">
        <f t="shared" ref="AA66:AA129" si="17">+W66-Z66</f>
        <v>1300.9808078632486</v>
      </c>
      <c r="AB66" s="339">
        <f t="shared" ref="AB66:AB129" si="18">+IF(P66=0,0,(U66/F66)-1)</f>
        <v>0.31899688066103882</v>
      </c>
    </row>
    <row r="67" spans="1:28" ht="20.100000000000001" customHeight="1">
      <c r="A67" s="484"/>
      <c r="B67" s="172">
        <v>1175000</v>
      </c>
      <c r="C67" s="174">
        <v>43902</v>
      </c>
      <c r="D67" s="181" t="s">
        <v>233</v>
      </c>
      <c r="E67" s="173" t="s">
        <v>33</v>
      </c>
      <c r="F67" s="176">
        <v>6401.09</v>
      </c>
      <c r="G67" s="175">
        <f t="shared" si="10"/>
        <v>121</v>
      </c>
      <c r="H67" s="175">
        <f t="shared" si="13"/>
        <v>6401.09</v>
      </c>
      <c r="I67" s="177">
        <f>IF(G67=0,0,IF(E67="MXN",1/HLOOKUP(YEAR(C67)+(MONTH(C67)/100),TC!$5:$37,DAY(C67)+2,FALSE),VLOOKUP(E67,Equivalencia!$5:$23,((MAX(Equivalencia!$3:$3)-YEAR(C67))*14)+MONTH(C67)+2,FALSE)))</f>
        <v>1</v>
      </c>
      <c r="J67" s="178">
        <f t="shared" si="11"/>
        <v>6401.09</v>
      </c>
      <c r="K67" s="462">
        <f>IF(C67=0,0,VLOOKUP(YEAR(C67),INPC!$B$4:$O$29,MONTH(C67)+1))</f>
        <v>106.83799999999999</v>
      </c>
      <c r="L67" s="462">
        <f>IF(S67=0,0,VLOOKUP(YEAR(S67),INPC!$B$4:$O$29,MONTH(S67)+1))</f>
        <v>120.809</v>
      </c>
      <c r="M67" s="463">
        <f t="shared" si="14"/>
        <v>1.1307</v>
      </c>
      <c r="N67" s="465">
        <f t="shared" si="12"/>
        <v>7237.7124630000008</v>
      </c>
      <c r="O67" s="179"/>
      <c r="P67" s="570">
        <v>121</v>
      </c>
      <c r="Q67" s="173" t="s">
        <v>583</v>
      </c>
      <c r="R67" s="173" t="s">
        <v>230</v>
      </c>
      <c r="S67" s="174">
        <v>44678</v>
      </c>
      <c r="T67" s="173" t="s">
        <v>33</v>
      </c>
      <c r="U67" s="182">
        <v>9113.2132478632484</v>
      </c>
      <c r="V67" s="177">
        <f>IF(U67=0,0,IF(T67="MXN",1/HLOOKUP(YEAR(S67)+(MONTH(S67)/100),TC!$5:$37,DAY(S67)+2,FALSE),VLOOKUP(T67,Equivalencia!$1:$23,((MAX(Equivalencia!$3:$3)-YEAR(S67))*14)+MONTH(S67)+2,FALSE)))</f>
        <v>1</v>
      </c>
      <c r="W67" s="178">
        <f t="shared" ref="W67:W130" si="19">+V67*U67</f>
        <v>9113.2132478632484</v>
      </c>
      <c r="X67" s="481">
        <f t="shared" si="15"/>
        <v>2712.1232478632483</v>
      </c>
      <c r="Y67" s="179"/>
      <c r="Z67" s="466">
        <f t="shared" si="16"/>
        <v>7237.7124630000008</v>
      </c>
      <c r="AA67" s="473">
        <f t="shared" si="17"/>
        <v>1875.5007848632476</v>
      </c>
      <c r="AB67" s="339">
        <f t="shared" si="18"/>
        <v>0.42369709656687338</v>
      </c>
    </row>
    <row r="68" spans="1:28" ht="20.100000000000001" customHeight="1">
      <c r="B68" s="172">
        <v>1175000</v>
      </c>
      <c r="C68" s="174">
        <v>43915</v>
      </c>
      <c r="D68" s="181" t="s">
        <v>233</v>
      </c>
      <c r="E68" s="173" t="s">
        <v>33</v>
      </c>
      <c r="F68" s="176">
        <v>1025.3291139240507</v>
      </c>
      <c r="G68" s="175">
        <f t="shared" si="10"/>
        <v>20</v>
      </c>
      <c r="H68" s="175">
        <f t="shared" si="13"/>
        <v>1025.3291139240507</v>
      </c>
      <c r="I68" s="177">
        <f>IF(G68=0,0,IF(E68="MXN",1/HLOOKUP(YEAR(C68)+(MONTH(C68)/100),TC!$5:$37,DAY(C68)+2,FALSE),VLOOKUP(E68,Equivalencia!$5:$23,((MAX(Equivalencia!$3:$3)-YEAR(C68))*14)+MONTH(C68)+2,FALSE)))</f>
        <v>1</v>
      </c>
      <c r="J68" s="178">
        <f t="shared" si="11"/>
        <v>1025.3291139240507</v>
      </c>
      <c r="K68" s="462">
        <f>IF(C68=0,0,VLOOKUP(YEAR(C68),INPC!$B$4:$O$29,MONTH(C68)+1))</f>
        <v>106.83799999999999</v>
      </c>
      <c r="L68" s="462">
        <f>IF(S68=0,0,VLOOKUP(YEAR(S68),INPC!$B$4:$O$29,MONTH(S68)+1))</f>
        <v>120.809</v>
      </c>
      <c r="M68" s="463">
        <f t="shared" si="14"/>
        <v>1.1307</v>
      </c>
      <c r="N68" s="465">
        <f t="shared" si="12"/>
        <v>1159.3396291139243</v>
      </c>
      <c r="O68" s="179"/>
      <c r="P68" s="571">
        <v>20</v>
      </c>
      <c r="Q68" s="173" t="s">
        <v>583</v>
      </c>
      <c r="R68" s="173" t="s">
        <v>230</v>
      </c>
      <c r="S68" s="174">
        <v>44675</v>
      </c>
      <c r="T68" s="173" t="s">
        <v>33</v>
      </c>
      <c r="U68" s="182">
        <v>1506.3162393162395</v>
      </c>
      <c r="V68" s="177">
        <f>IF(U68=0,0,IF(T68="MXN",1/HLOOKUP(YEAR(S68)+(MONTH(S68)/100),TC!$5:$37,DAY(S68)+2,FALSE),VLOOKUP(T68,Equivalencia!$1:$23,((MAX(Equivalencia!$3:$3)-YEAR(S68))*14)+MONTH(S68)+2,FALSE)))</f>
        <v>1</v>
      </c>
      <c r="W68" s="178">
        <f t="shared" si="19"/>
        <v>1506.3162393162395</v>
      </c>
      <c r="X68" s="481">
        <f t="shared" si="15"/>
        <v>480.98712539218877</v>
      </c>
      <c r="Y68" s="179"/>
      <c r="Z68" s="466">
        <f t="shared" si="16"/>
        <v>1159.3396291139243</v>
      </c>
      <c r="AA68" s="473">
        <f t="shared" si="17"/>
        <v>346.97661020231521</v>
      </c>
      <c r="AB68" s="339">
        <f t="shared" si="18"/>
        <v>0.46910510865276867</v>
      </c>
    </row>
    <row r="69" spans="1:28" ht="20.100000000000001" customHeight="1">
      <c r="A69" s="484"/>
      <c r="B69" s="172">
        <v>1175000</v>
      </c>
      <c r="C69" s="174">
        <v>44649</v>
      </c>
      <c r="D69" s="181" t="s">
        <v>181</v>
      </c>
      <c r="E69" s="173" t="s">
        <v>33</v>
      </c>
      <c r="F69" s="176">
        <v>299.54000000000002</v>
      </c>
      <c r="G69" s="175">
        <f t="shared" si="10"/>
        <v>3</v>
      </c>
      <c r="H69" s="175">
        <f t="shared" si="13"/>
        <v>299.54000000000002</v>
      </c>
      <c r="I69" s="177">
        <f>IF(G69=0,0,IF(E69="MXN",1/HLOOKUP(YEAR(C69)+(MONTH(C69)/100),TC!$5:$37,DAY(C69)+2,FALSE),VLOOKUP(E69,Equivalencia!$5:$23,((MAX(Equivalencia!$3:$3)-YEAR(C69))*14)+MONTH(C69)+2,FALSE)))</f>
        <v>1</v>
      </c>
      <c r="J69" s="178">
        <f t="shared" si="11"/>
        <v>299.54000000000002</v>
      </c>
      <c r="K69" s="462">
        <f>IF(C69=0,0,VLOOKUP(YEAR(C69),INPC!$B$4:$O$29,MONTH(C69)+1))</f>
        <v>120.15900000000001</v>
      </c>
      <c r="L69" s="462">
        <f>IF(S69=0,0,VLOOKUP(YEAR(S69),INPC!$B$4:$O$29,MONTH(S69)+1))</f>
        <v>120.809</v>
      </c>
      <c r="M69" s="463">
        <f t="shared" si="14"/>
        <v>1.0054000000000001</v>
      </c>
      <c r="N69" s="465">
        <f t="shared" si="12"/>
        <v>301.15751600000004</v>
      </c>
      <c r="O69" s="179"/>
      <c r="P69" s="180">
        <v>3</v>
      </c>
      <c r="Q69" s="173" t="s">
        <v>583</v>
      </c>
      <c r="R69" s="173" t="s">
        <v>230</v>
      </c>
      <c r="S69" s="174">
        <v>44678</v>
      </c>
      <c r="T69" s="173" t="s">
        <v>33</v>
      </c>
      <c r="U69" s="182">
        <v>271.10851851851851</v>
      </c>
      <c r="V69" s="177">
        <f>IF(U69=0,0,IF(T69="MXN",1/HLOOKUP(YEAR(S69)+(MONTH(S69)/100),TC!$5:$37,DAY(S69)+2,FALSE),VLOOKUP(T69,Equivalencia!$1:$23,((MAX(Equivalencia!$3:$3)-YEAR(S69))*14)+MONTH(S69)+2,FALSE)))</f>
        <v>1</v>
      </c>
      <c r="W69" s="178">
        <f t="shared" si="19"/>
        <v>271.10851851851851</v>
      </c>
      <c r="X69" s="481">
        <f t="shared" si="15"/>
        <v>-28.431481481481512</v>
      </c>
      <c r="Y69" s="179"/>
      <c r="Z69" s="466">
        <f t="shared" si="16"/>
        <v>301.15751600000004</v>
      </c>
      <c r="AA69" s="473">
        <f t="shared" si="17"/>
        <v>-30.048997481481535</v>
      </c>
      <c r="AB69" s="339">
        <f t="shared" si="18"/>
        <v>-9.4917144559930278E-2</v>
      </c>
    </row>
    <row r="70" spans="1:28" ht="20.100000000000001" customHeight="1">
      <c r="A70" s="484"/>
      <c r="B70" s="172">
        <v>1175000</v>
      </c>
      <c r="C70" s="174">
        <v>44649</v>
      </c>
      <c r="D70" s="181" t="s">
        <v>181</v>
      </c>
      <c r="E70" s="173" t="s">
        <v>33</v>
      </c>
      <c r="F70" s="176">
        <v>6776.47</v>
      </c>
      <c r="G70" s="175">
        <f t="shared" ref="G70:G133" si="20">+P70</f>
        <v>68</v>
      </c>
      <c r="H70" s="175">
        <f t="shared" si="13"/>
        <v>6776.47</v>
      </c>
      <c r="I70" s="177">
        <f>IF(G70=0,0,IF(E70="MXN",1/HLOOKUP(YEAR(C70)+(MONTH(C70)/100),TC!$5:$37,DAY(C70)+2,FALSE),VLOOKUP(E70,Equivalencia!$5:$23,((MAX(Equivalencia!$3:$3)-YEAR(C70))*14)+MONTH(C70)+2,FALSE)))</f>
        <v>1</v>
      </c>
      <c r="J70" s="178">
        <f t="shared" ref="J70:J133" si="21">+H70*I70</f>
        <v>6776.47</v>
      </c>
      <c r="K70" s="462">
        <f>IF(C70=0,0,VLOOKUP(YEAR(C70),INPC!$B$4:$O$29,MONTH(C70)+1))</f>
        <v>120.15900000000001</v>
      </c>
      <c r="L70" s="462">
        <f>IF(S70=0,0,VLOOKUP(YEAR(S70),INPC!$B$4:$O$29,MONTH(S70)+1))</f>
        <v>120.809</v>
      </c>
      <c r="M70" s="463">
        <f t="shared" si="14"/>
        <v>1.0054000000000001</v>
      </c>
      <c r="N70" s="465">
        <f t="shared" ref="N70:N133" si="22">+M70*J70</f>
        <v>6813.0629380000009</v>
      </c>
      <c r="O70" s="179"/>
      <c r="P70" s="180">
        <v>68</v>
      </c>
      <c r="Q70" s="173" t="s">
        <v>583</v>
      </c>
      <c r="R70" s="173" t="s">
        <v>230</v>
      </c>
      <c r="S70" s="174">
        <v>44678</v>
      </c>
      <c r="T70" s="173" t="s">
        <v>33</v>
      </c>
      <c r="U70" s="182">
        <v>6145.1264197530863</v>
      </c>
      <c r="V70" s="177">
        <f>IF(U70=0,0,IF(T70="MXN",1/HLOOKUP(YEAR(S70)+(MONTH(S70)/100),TC!$5:$37,DAY(S70)+2,FALSE),VLOOKUP(T70,Equivalencia!$1:$23,((MAX(Equivalencia!$3:$3)-YEAR(S70))*14)+MONTH(S70)+2,FALSE)))</f>
        <v>1</v>
      </c>
      <c r="W70" s="178">
        <f t="shared" si="19"/>
        <v>6145.1264197530863</v>
      </c>
      <c r="X70" s="481">
        <f t="shared" si="15"/>
        <v>-631.34358024691392</v>
      </c>
      <c r="Y70" s="179"/>
      <c r="Z70" s="466">
        <f t="shared" si="16"/>
        <v>6813.0629380000009</v>
      </c>
      <c r="AA70" s="473">
        <f t="shared" si="17"/>
        <v>-667.9365182469146</v>
      </c>
      <c r="AB70" s="339">
        <f t="shared" si="18"/>
        <v>-9.3167029478019359E-2</v>
      </c>
    </row>
    <row r="71" spans="1:28" ht="20.100000000000001" customHeight="1">
      <c r="A71" s="484"/>
      <c r="B71" s="172">
        <v>1175000</v>
      </c>
      <c r="C71" s="174">
        <v>44649</v>
      </c>
      <c r="D71" s="181" t="s">
        <v>181</v>
      </c>
      <c r="E71" s="173" t="s">
        <v>33</v>
      </c>
      <c r="F71" s="176">
        <v>995.66000000000008</v>
      </c>
      <c r="G71" s="175">
        <f t="shared" si="20"/>
        <v>10</v>
      </c>
      <c r="H71" s="175">
        <f t="shared" si="13"/>
        <v>995.66000000000008</v>
      </c>
      <c r="I71" s="177">
        <f>IF(G71=0,0,IF(E71="MXN",1/HLOOKUP(YEAR(C71)+(MONTH(C71)/100),TC!$5:$37,DAY(C71)+2,FALSE),VLOOKUP(E71,Equivalencia!$5:$23,((MAX(Equivalencia!$3:$3)-YEAR(C71))*14)+MONTH(C71)+2,FALSE)))</f>
        <v>1</v>
      </c>
      <c r="J71" s="178">
        <f t="shared" si="21"/>
        <v>995.66000000000008</v>
      </c>
      <c r="K71" s="462">
        <f>IF(C71=0,0,VLOOKUP(YEAR(C71),INPC!$B$4:$O$29,MONTH(C71)+1))</f>
        <v>120.15900000000001</v>
      </c>
      <c r="L71" s="462">
        <f>IF(S71=0,0,VLOOKUP(YEAR(S71),INPC!$B$4:$O$29,MONTH(S71)+1))</f>
        <v>120.809</v>
      </c>
      <c r="M71" s="463">
        <f t="shared" si="14"/>
        <v>1.0054000000000001</v>
      </c>
      <c r="N71" s="465">
        <f t="shared" si="22"/>
        <v>1001.0365640000001</v>
      </c>
      <c r="O71" s="179"/>
      <c r="P71" s="180">
        <v>10</v>
      </c>
      <c r="Q71" s="173" t="s">
        <v>583</v>
      </c>
      <c r="R71" s="173" t="s">
        <v>230</v>
      </c>
      <c r="S71" s="174">
        <v>44678</v>
      </c>
      <c r="T71" s="173" t="s">
        <v>33</v>
      </c>
      <c r="U71" s="182">
        <v>903.6950617283951</v>
      </c>
      <c r="V71" s="177">
        <f>IF(U71=0,0,IF(T71="MXN",1/HLOOKUP(YEAR(S71)+(MONTH(S71)/100),TC!$5:$37,DAY(S71)+2,FALSE),VLOOKUP(T71,Equivalencia!$1:$23,((MAX(Equivalencia!$3:$3)-YEAR(S71))*14)+MONTH(S71)+2,FALSE)))</f>
        <v>1</v>
      </c>
      <c r="W71" s="178">
        <f t="shared" si="19"/>
        <v>903.6950617283951</v>
      </c>
      <c r="X71" s="481">
        <f t="shared" si="15"/>
        <v>-91.964938271604979</v>
      </c>
      <c r="Y71" s="179"/>
      <c r="Z71" s="466">
        <f t="shared" si="16"/>
        <v>1001.0365640000001</v>
      </c>
      <c r="AA71" s="473">
        <f t="shared" si="17"/>
        <v>-97.341502271605009</v>
      </c>
      <c r="AB71" s="339">
        <f t="shared" si="18"/>
        <v>-9.2365805869076723E-2</v>
      </c>
    </row>
    <row r="72" spans="1:28" ht="20.100000000000001" customHeight="1">
      <c r="A72" s="484"/>
      <c r="B72" s="172">
        <v>1175000</v>
      </c>
      <c r="C72" s="174">
        <v>44579</v>
      </c>
      <c r="D72" s="181" t="s">
        <v>174</v>
      </c>
      <c r="E72" s="173" t="s">
        <v>33</v>
      </c>
      <c r="F72" s="176">
        <v>110.04692307692309</v>
      </c>
      <c r="G72" s="175">
        <f t="shared" si="20"/>
        <v>3</v>
      </c>
      <c r="H72" s="175">
        <f t="shared" si="13"/>
        <v>110.04692307692309</v>
      </c>
      <c r="I72" s="177">
        <f>IF(G72=0,0,IF(E72="MXN",1/HLOOKUP(YEAR(C72)+(MONTH(C72)/100),TC!$5:$37,DAY(C72)+2,FALSE),VLOOKUP(E72,Equivalencia!$5:$23,((MAX(Equivalencia!$3:$3)-YEAR(C72))*14)+MONTH(C72)+2,FALSE)))</f>
        <v>1</v>
      </c>
      <c r="J72" s="178">
        <f t="shared" si="21"/>
        <v>110.04692307692309</v>
      </c>
      <c r="K72" s="462">
        <f>IF(C72=0,0,VLOOKUP(YEAR(C72),INPC!$B$4:$O$29,MONTH(C72)+1))</f>
        <v>118.002</v>
      </c>
      <c r="L72" s="462">
        <f>IF(S72=0,0,VLOOKUP(YEAR(S72),INPC!$B$4:$O$29,MONTH(S72)+1))</f>
        <v>120.809</v>
      </c>
      <c r="M72" s="463">
        <f t="shared" si="14"/>
        <v>1.0237000000000001</v>
      </c>
      <c r="N72" s="465">
        <f t="shared" si="22"/>
        <v>112.65503515384617</v>
      </c>
      <c r="O72" s="179"/>
      <c r="P72" s="180">
        <v>3</v>
      </c>
      <c r="Q72" s="173" t="s">
        <v>583</v>
      </c>
      <c r="R72" s="173" t="s">
        <v>230</v>
      </c>
      <c r="S72" s="174">
        <v>44671</v>
      </c>
      <c r="T72" s="173" t="s">
        <v>33</v>
      </c>
      <c r="U72" s="182">
        <v>105.29000000000002</v>
      </c>
      <c r="V72" s="177">
        <f>IF(U72=0,0,IF(T72="MXN",1/HLOOKUP(YEAR(S72)+(MONTH(S72)/100),TC!$5:$37,DAY(S72)+2,FALSE),VLOOKUP(T72,Equivalencia!$1:$23,((MAX(Equivalencia!$3:$3)-YEAR(S72))*14)+MONTH(S72)+2,FALSE)))</f>
        <v>1</v>
      </c>
      <c r="W72" s="178">
        <f t="shared" si="19"/>
        <v>105.29000000000002</v>
      </c>
      <c r="X72" s="481">
        <f t="shared" si="15"/>
        <v>-4.7569230769230728</v>
      </c>
      <c r="Y72" s="179"/>
      <c r="Z72" s="466">
        <f t="shared" si="16"/>
        <v>112.65503515384617</v>
      </c>
      <c r="AA72" s="473">
        <f t="shared" si="17"/>
        <v>-7.3650351538461507</v>
      </c>
      <c r="AB72" s="339">
        <f t="shared" si="18"/>
        <v>-4.322631604700089E-2</v>
      </c>
    </row>
    <row r="73" spans="1:28" ht="20.100000000000001" customHeight="1">
      <c r="A73" s="484"/>
      <c r="B73" s="172">
        <v>1175000</v>
      </c>
      <c r="C73" s="174">
        <v>44579</v>
      </c>
      <c r="D73" s="181" t="s">
        <v>174</v>
      </c>
      <c r="E73" s="173" t="s">
        <v>33</v>
      </c>
      <c r="F73" s="176">
        <v>366.82307692307694</v>
      </c>
      <c r="G73" s="175">
        <f t="shared" si="20"/>
        <v>10</v>
      </c>
      <c r="H73" s="175">
        <f t="shared" si="13"/>
        <v>366.82307692307694</v>
      </c>
      <c r="I73" s="177">
        <f>IF(G73=0,0,IF(E73="MXN",1/HLOOKUP(YEAR(C73)+(MONTH(C73)/100),TC!$5:$37,DAY(C73)+2,FALSE),VLOOKUP(E73,Equivalencia!$5:$23,((MAX(Equivalencia!$3:$3)-YEAR(C73))*14)+MONTH(C73)+2,FALSE)))</f>
        <v>1</v>
      </c>
      <c r="J73" s="178">
        <f t="shared" si="21"/>
        <v>366.82307692307694</v>
      </c>
      <c r="K73" s="462">
        <f>IF(C73=0,0,VLOOKUP(YEAR(C73),INPC!$B$4:$O$29,MONTH(C73)+1))</f>
        <v>118.002</v>
      </c>
      <c r="L73" s="462">
        <f>IF(S73=0,0,VLOOKUP(YEAR(S73),INPC!$B$4:$O$29,MONTH(S73)+1))</f>
        <v>120.809</v>
      </c>
      <c r="M73" s="463">
        <f t="shared" si="14"/>
        <v>1.0237000000000001</v>
      </c>
      <c r="N73" s="465">
        <f t="shared" si="22"/>
        <v>375.51678384615388</v>
      </c>
      <c r="O73" s="179"/>
      <c r="P73" s="569">
        <v>10</v>
      </c>
      <c r="Q73" s="173" t="s">
        <v>583</v>
      </c>
      <c r="R73" s="173" t="s">
        <v>230</v>
      </c>
      <c r="S73" s="174">
        <v>44671</v>
      </c>
      <c r="T73" s="173" t="s">
        <v>33</v>
      </c>
      <c r="U73" s="182">
        <v>346.6</v>
      </c>
      <c r="V73" s="177">
        <f>IF(U73=0,0,IF(T73="MXN",1/HLOOKUP(YEAR(S73)+(MONTH(S73)/100),TC!$5:$37,DAY(S73)+2,FALSE),VLOOKUP(T73,Equivalencia!$1:$23,((MAX(Equivalencia!$3:$3)-YEAR(S73))*14)+MONTH(S73)+2,FALSE)))</f>
        <v>1</v>
      </c>
      <c r="W73" s="178">
        <f t="shared" si="19"/>
        <v>346.6</v>
      </c>
      <c r="X73" s="481">
        <f t="shared" si="15"/>
        <v>-20.223076923076917</v>
      </c>
      <c r="Y73" s="179"/>
      <c r="Z73" s="466">
        <f t="shared" si="16"/>
        <v>375.51678384615388</v>
      </c>
      <c r="AA73" s="473">
        <f t="shared" si="17"/>
        <v>-28.916783846153862</v>
      </c>
      <c r="AB73" s="339">
        <f t="shared" si="18"/>
        <v>-5.5130329020487756E-2</v>
      </c>
    </row>
    <row r="74" spans="1:28" ht="20.100000000000001" customHeight="1">
      <c r="A74" s="484"/>
      <c r="B74" s="172">
        <v>1175000</v>
      </c>
      <c r="C74" s="174">
        <v>44579</v>
      </c>
      <c r="D74" s="181" t="s">
        <v>174</v>
      </c>
      <c r="E74" s="173" t="s">
        <v>33</v>
      </c>
      <c r="F74" s="176">
        <v>73.319999999999993</v>
      </c>
      <c r="G74" s="175">
        <f t="shared" si="20"/>
        <v>2</v>
      </c>
      <c r="H74" s="175">
        <f t="shared" si="13"/>
        <v>73.319999999999993</v>
      </c>
      <c r="I74" s="177">
        <f>IF(G74=0,0,IF(E74="MXN",1/HLOOKUP(YEAR(C74)+(MONTH(C74)/100),TC!$5:$37,DAY(C74)+2,FALSE),VLOOKUP(E74,Equivalencia!$5:$23,((MAX(Equivalencia!$3:$3)-YEAR(C74))*14)+MONTH(C74)+2,FALSE)))</f>
        <v>1</v>
      </c>
      <c r="J74" s="178">
        <f t="shared" si="21"/>
        <v>73.319999999999993</v>
      </c>
      <c r="K74" s="462">
        <f>IF(C74=0,0,VLOOKUP(YEAR(C74),INPC!$B$4:$O$29,MONTH(C74)+1))</f>
        <v>118.002</v>
      </c>
      <c r="L74" s="462">
        <f>IF(S74=0,0,VLOOKUP(YEAR(S74),INPC!$B$4:$O$29,MONTH(S74)+1))</f>
        <v>120.809</v>
      </c>
      <c r="M74" s="463">
        <f t="shared" si="14"/>
        <v>1.0237000000000001</v>
      </c>
      <c r="N74" s="465">
        <f t="shared" si="22"/>
        <v>75.057683999999995</v>
      </c>
      <c r="O74" s="179"/>
      <c r="P74" s="571">
        <v>2</v>
      </c>
      <c r="Q74" s="173" t="s">
        <v>583</v>
      </c>
      <c r="R74" s="173" t="s">
        <v>230</v>
      </c>
      <c r="S74" s="174">
        <v>44671</v>
      </c>
      <c r="T74" s="173" t="s">
        <v>33</v>
      </c>
      <c r="U74" s="182">
        <v>69.320000000000007</v>
      </c>
      <c r="V74" s="177">
        <f>IF(U74=0,0,IF(T74="MXN",1/HLOOKUP(YEAR(S74)+(MONTH(S74)/100),TC!$5:$37,DAY(S74)+2,FALSE),VLOOKUP(T74,Equivalencia!$1:$23,((MAX(Equivalencia!$3:$3)-YEAR(S74))*14)+MONTH(S74)+2,FALSE)))</f>
        <v>1</v>
      </c>
      <c r="W74" s="178">
        <f t="shared" si="19"/>
        <v>69.320000000000007</v>
      </c>
      <c r="X74" s="481">
        <f t="shared" si="15"/>
        <v>-3.9999999999999858</v>
      </c>
      <c r="Y74" s="179"/>
      <c r="Z74" s="466">
        <f t="shared" si="16"/>
        <v>75.057683999999995</v>
      </c>
      <c r="AA74" s="473">
        <f t="shared" si="17"/>
        <v>-5.7376839999999873</v>
      </c>
      <c r="AB74" s="339">
        <f t="shared" si="18"/>
        <v>-5.455537370430974E-2</v>
      </c>
    </row>
    <row r="75" spans="1:28" ht="20.100000000000001" customHeight="1">
      <c r="A75" s="484"/>
      <c r="B75" s="172">
        <v>1175000</v>
      </c>
      <c r="C75" s="174">
        <v>44579</v>
      </c>
      <c r="D75" s="181" t="s">
        <v>174</v>
      </c>
      <c r="E75" s="173" t="s">
        <v>33</v>
      </c>
      <c r="F75" s="176">
        <v>73.319999999999993</v>
      </c>
      <c r="G75" s="531">
        <f t="shared" si="20"/>
        <v>2</v>
      </c>
      <c r="H75" s="175">
        <f t="shared" si="13"/>
        <v>73.319999999999993</v>
      </c>
      <c r="I75" s="177">
        <f>IF(G75=0,0,IF(E75="MXN",1/HLOOKUP(YEAR(C75)+(MONTH(C75)/100),TC!$5:$37,DAY(C75)+2,FALSE),VLOOKUP(E75,Equivalencia!$5:$23,((MAX(Equivalencia!$3:$3)-YEAR(C75))*14)+MONTH(C75)+2,FALSE)))</f>
        <v>1</v>
      </c>
      <c r="J75" s="178">
        <f t="shared" si="21"/>
        <v>73.319999999999993</v>
      </c>
      <c r="K75" s="462">
        <f>IF(C75=0,0,VLOOKUP(YEAR(C75),INPC!$B$4:$O$29,MONTH(C75)+1))</f>
        <v>118.002</v>
      </c>
      <c r="L75" s="462">
        <f>IF(S75=0,0,VLOOKUP(YEAR(S75),INPC!$B$4:$O$29,MONTH(S75)+1))</f>
        <v>120.809</v>
      </c>
      <c r="M75" s="463">
        <f t="shared" si="14"/>
        <v>1.0237000000000001</v>
      </c>
      <c r="N75" s="465">
        <f t="shared" si="22"/>
        <v>75.057683999999995</v>
      </c>
      <c r="O75" s="534"/>
      <c r="P75" s="536">
        <v>2</v>
      </c>
      <c r="Q75" s="173" t="s">
        <v>583</v>
      </c>
      <c r="R75" s="173" t="s">
        <v>230</v>
      </c>
      <c r="S75" s="174">
        <v>44671</v>
      </c>
      <c r="T75" s="173" t="s">
        <v>33</v>
      </c>
      <c r="U75" s="182">
        <v>69.838476190476186</v>
      </c>
      <c r="V75" s="177">
        <f>IF(U75=0,0,IF(T75="MXN",1/HLOOKUP(YEAR(S75)+(MONTH(S75)/100),TC!$5:$37,DAY(S75)+2,FALSE),VLOOKUP(T75,Equivalencia!$1:$23,((MAX(Equivalencia!$3:$3)-YEAR(S75))*14)+MONTH(S75)+2,FALSE)))</f>
        <v>1</v>
      </c>
      <c r="W75" s="178">
        <f t="shared" si="19"/>
        <v>69.838476190476186</v>
      </c>
      <c r="X75" s="481">
        <f t="shared" si="15"/>
        <v>-3.4815238095238072</v>
      </c>
      <c r="Y75" s="179"/>
      <c r="Z75" s="466">
        <f t="shared" si="16"/>
        <v>75.057683999999995</v>
      </c>
      <c r="AA75" s="473">
        <f t="shared" si="17"/>
        <v>-5.2192078095238088</v>
      </c>
      <c r="AB75" s="339">
        <f t="shared" si="18"/>
        <v>-4.748395812225592E-2</v>
      </c>
    </row>
    <row r="76" spans="1:28" ht="20.100000000000001" customHeight="1">
      <c r="A76" s="484"/>
      <c r="B76" s="172">
        <v>1175000</v>
      </c>
      <c r="C76" s="174">
        <v>44579</v>
      </c>
      <c r="D76" s="181" t="s">
        <v>174</v>
      </c>
      <c r="E76" s="173" t="s">
        <v>33</v>
      </c>
      <c r="F76" s="176">
        <v>3484.9</v>
      </c>
      <c r="G76" s="532">
        <f t="shared" si="20"/>
        <v>95</v>
      </c>
      <c r="H76" s="175">
        <f t="shared" si="13"/>
        <v>3484.9</v>
      </c>
      <c r="I76" s="177">
        <f>IF(G76=0,0,IF(E76="MXN",1/HLOOKUP(YEAR(C76)+(MONTH(C76)/100),TC!$5:$37,DAY(C76)+2,FALSE),VLOOKUP(E76,Equivalencia!$5:$23,((MAX(Equivalencia!$3:$3)-YEAR(C76))*14)+MONTH(C76)+2,FALSE)))</f>
        <v>1</v>
      </c>
      <c r="J76" s="178">
        <f t="shared" si="21"/>
        <v>3484.9</v>
      </c>
      <c r="K76" s="462">
        <f>IF(C76=0,0,VLOOKUP(YEAR(C76),INPC!$B$4:$O$29,MONTH(C76)+1))</f>
        <v>118.002</v>
      </c>
      <c r="L76" s="462">
        <f>IF(S76=0,0,VLOOKUP(YEAR(S76),INPC!$B$4:$O$29,MONTH(S76)+1))</f>
        <v>120.809</v>
      </c>
      <c r="M76" s="463">
        <f t="shared" si="14"/>
        <v>1.0237000000000001</v>
      </c>
      <c r="N76" s="465">
        <f t="shared" si="22"/>
        <v>3567.4921300000001</v>
      </c>
      <c r="O76" s="535"/>
      <c r="P76" s="536">
        <v>95</v>
      </c>
      <c r="Q76" s="173" t="s">
        <v>583</v>
      </c>
      <c r="R76" s="173" t="s">
        <v>230</v>
      </c>
      <c r="S76" s="174">
        <v>44671</v>
      </c>
      <c r="T76" s="173" t="s">
        <v>33</v>
      </c>
      <c r="U76" s="182">
        <v>3317.327619047619</v>
      </c>
      <c r="V76" s="177">
        <f>IF(U76=0,0,IF(T76="MXN",1/HLOOKUP(YEAR(S76)+(MONTH(S76)/100),TC!$5:$37,DAY(S76)+2,FALSE),VLOOKUP(T76,Equivalencia!$1:$23,((MAX(Equivalencia!$3:$3)-YEAR(S76))*14)+MONTH(S76)+2,FALSE)))</f>
        <v>1</v>
      </c>
      <c r="W76" s="178">
        <f t="shared" si="19"/>
        <v>3317.327619047619</v>
      </c>
      <c r="X76" s="481">
        <f t="shared" si="15"/>
        <v>-167.57238095238108</v>
      </c>
      <c r="Y76" s="179"/>
      <c r="Z76" s="466">
        <f t="shared" si="16"/>
        <v>3567.4921300000001</v>
      </c>
      <c r="AA76" s="473">
        <f t="shared" si="17"/>
        <v>-250.16451095238108</v>
      </c>
      <c r="AB76" s="339">
        <f t="shared" si="18"/>
        <v>-4.8085276751809514E-2</v>
      </c>
    </row>
    <row r="77" spans="1:28" ht="20.100000000000001" customHeight="1">
      <c r="A77" s="484"/>
      <c r="B77" s="172">
        <v>1175000</v>
      </c>
      <c r="C77" s="174">
        <v>44579</v>
      </c>
      <c r="D77" s="181" t="s">
        <v>174</v>
      </c>
      <c r="E77" s="173" t="s">
        <v>33</v>
      </c>
      <c r="F77" s="176">
        <v>73.13</v>
      </c>
      <c r="G77" s="532">
        <f t="shared" si="20"/>
        <v>2</v>
      </c>
      <c r="H77" s="175">
        <f t="shared" si="13"/>
        <v>73.13</v>
      </c>
      <c r="I77" s="177">
        <f>IF(G77=0,0,IF(E77="MXN",1/HLOOKUP(YEAR(C77)+(MONTH(C77)/100),TC!$5:$37,DAY(C77)+2,FALSE),VLOOKUP(E77,Equivalencia!$5:$23,((MAX(Equivalencia!$3:$3)-YEAR(C77))*14)+MONTH(C77)+2,FALSE)))</f>
        <v>1</v>
      </c>
      <c r="J77" s="178">
        <f t="shared" si="21"/>
        <v>73.13</v>
      </c>
      <c r="K77" s="462">
        <f>IF(C77=0,0,VLOOKUP(YEAR(C77),INPC!$B$4:$O$29,MONTH(C77)+1))</f>
        <v>118.002</v>
      </c>
      <c r="L77" s="462">
        <f>IF(S77=0,0,VLOOKUP(YEAR(S77),INPC!$B$4:$O$29,MONTH(S77)+1))</f>
        <v>120.809</v>
      </c>
      <c r="M77" s="463">
        <f t="shared" si="14"/>
        <v>1.0237000000000001</v>
      </c>
      <c r="N77" s="465">
        <f t="shared" si="22"/>
        <v>74.863180999999997</v>
      </c>
      <c r="O77" s="535"/>
      <c r="P77" s="536">
        <v>2</v>
      </c>
      <c r="Q77" s="173" t="s">
        <v>583</v>
      </c>
      <c r="R77" s="173" t="s">
        <v>230</v>
      </c>
      <c r="S77" s="174">
        <v>44671</v>
      </c>
      <c r="T77" s="173" t="s">
        <v>33</v>
      </c>
      <c r="U77" s="182">
        <v>69.838476190476186</v>
      </c>
      <c r="V77" s="177">
        <f>IF(U77=0,0,IF(T77="MXN",1/HLOOKUP(YEAR(S77)+(MONTH(S77)/100),TC!$5:$37,DAY(S77)+2,FALSE),VLOOKUP(T77,Equivalencia!$1:$23,((MAX(Equivalencia!$3:$3)-YEAR(S77))*14)+MONTH(S77)+2,FALSE)))</f>
        <v>1</v>
      </c>
      <c r="W77" s="178">
        <f t="shared" si="19"/>
        <v>69.838476190476186</v>
      </c>
      <c r="X77" s="481">
        <f t="shared" si="15"/>
        <v>-3.2915238095238095</v>
      </c>
      <c r="Y77" s="179"/>
      <c r="Z77" s="466">
        <f t="shared" si="16"/>
        <v>74.863180999999997</v>
      </c>
      <c r="AA77" s="473">
        <f t="shared" si="17"/>
        <v>-5.0247048095238114</v>
      </c>
      <c r="AB77" s="339">
        <f t="shared" si="18"/>
        <v>-4.5009213859206976E-2</v>
      </c>
    </row>
    <row r="78" spans="1:28" ht="20.100000000000001" customHeight="1">
      <c r="A78" s="484"/>
      <c r="B78" s="172">
        <v>1175000</v>
      </c>
      <c r="C78" s="174">
        <v>44582</v>
      </c>
      <c r="D78" s="181" t="s">
        <v>174</v>
      </c>
      <c r="E78" s="173" t="s">
        <v>33</v>
      </c>
      <c r="F78" s="176">
        <v>210.42000000000002</v>
      </c>
      <c r="G78" s="533">
        <f t="shared" si="20"/>
        <v>6</v>
      </c>
      <c r="H78" s="175">
        <f t="shared" si="13"/>
        <v>210.42000000000002</v>
      </c>
      <c r="I78" s="177">
        <f>IF(G78=0,0,IF(E78="MXN",1/HLOOKUP(YEAR(C78)+(MONTH(C78)/100),TC!$5:$37,DAY(C78)+2,FALSE),VLOOKUP(E78,Equivalencia!$5:$23,((MAX(Equivalencia!$3:$3)-YEAR(C78))*14)+MONTH(C78)+2,FALSE)))</f>
        <v>1</v>
      </c>
      <c r="J78" s="178">
        <f t="shared" si="21"/>
        <v>210.42000000000002</v>
      </c>
      <c r="K78" s="462">
        <f>IF(C78=0,0,VLOOKUP(YEAR(C78),INPC!$B$4:$O$29,MONTH(C78)+1))</f>
        <v>118.002</v>
      </c>
      <c r="L78" s="462">
        <f>IF(S78=0,0,VLOOKUP(YEAR(S78),INPC!$B$4:$O$29,MONTH(S78)+1))</f>
        <v>120.809</v>
      </c>
      <c r="M78" s="463">
        <f t="shared" si="14"/>
        <v>1.0237000000000001</v>
      </c>
      <c r="N78" s="465">
        <f t="shared" si="22"/>
        <v>215.40695400000004</v>
      </c>
      <c r="O78" s="537"/>
      <c r="P78" s="538">
        <v>6</v>
      </c>
      <c r="Q78" s="173" t="s">
        <v>583</v>
      </c>
      <c r="R78" s="173" t="s">
        <v>230</v>
      </c>
      <c r="S78" s="174">
        <v>44671</v>
      </c>
      <c r="T78" s="173" t="s">
        <v>33</v>
      </c>
      <c r="U78" s="182">
        <v>209.51542857142857</v>
      </c>
      <c r="V78" s="177">
        <f>IF(U78=0,0,IF(T78="MXN",1/HLOOKUP(YEAR(S78)+(MONTH(S78)/100),TC!$5:$37,DAY(S78)+2,FALSE),VLOOKUP(T78,Equivalencia!$1:$23,((MAX(Equivalencia!$3:$3)-YEAR(S78))*14)+MONTH(S78)+2,FALSE)))</f>
        <v>1</v>
      </c>
      <c r="W78" s="178">
        <f t="shared" si="19"/>
        <v>209.51542857142857</v>
      </c>
      <c r="X78" s="481">
        <f t="shared" si="15"/>
        <v>-0.9045714285714439</v>
      </c>
      <c r="Y78" s="179"/>
      <c r="Z78" s="466">
        <f t="shared" si="16"/>
        <v>215.40695400000004</v>
      </c>
      <c r="AA78" s="473">
        <f t="shared" si="17"/>
        <v>-5.8915254285714695</v>
      </c>
      <c r="AB78" s="339">
        <f t="shared" si="18"/>
        <v>-4.2988852227519025E-3</v>
      </c>
    </row>
    <row r="79" spans="1:28" ht="20.100000000000001" customHeight="1">
      <c r="A79" s="484"/>
      <c r="B79" s="172">
        <v>1175000</v>
      </c>
      <c r="C79" s="174">
        <v>44582</v>
      </c>
      <c r="D79" s="181" t="s">
        <v>174</v>
      </c>
      <c r="E79" s="173" t="s">
        <v>33</v>
      </c>
      <c r="F79" s="176">
        <v>420.84000000000003</v>
      </c>
      <c r="G79" s="175">
        <f t="shared" si="20"/>
        <v>12</v>
      </c>
      <c r="H79" s="175">
        <f t="shared" si="13"/>
        <v>420.84000000000003</v>
      </c>
      <c r="I79" s="177">
        <f>IF(G79=0,0,IF(E79="MXN",1/HLOOKUP(YEAR(C79)+(MONTH(C79)/100),TC!$5:$37,DAY(C79)+2,FALSE),VLOOKUP(E79,Equivalencia!$5:$23,((MAX(Equivalencia!$3:$3)-YEAR(C79))*14)+MONTH(C79)+2,FALSE)))</f>
        <v>1</v>
      </c>
      <c r="J79" s="178">
        <f t="shared" si="21"/>
        <v>420.84000000000003</v>
      </c>
      <c r="K79" s="462">
        <f>IF(C79=0,0,VLOOKUP(YEAR(C79),INPC!$B$4:$O$29,MONTH(C79)+1))</f>
        <v>118.002</v>
      </c>
      <c r="L79" s="462">
        <f>IF(S79=0,0,VLOOKUP(YEAR(S79),INPC!$B$4:$O$29,MONTH(S79)+1))</f>
        <v>120.809</v>
      </c>
      <c r="M79" s="463">
        <f t="shared" si="14"/>
        <v>1.0237000000000001</v>
      </c>
      <c r="N79" s="465">
        <f t="shared" si="22"/>
        <v>430.81390800000008</v>
      </c>
      <c r="O79" s="179"/>
      <c r="P79" s="180">
        <v>12</v>
      </c>
      <c r="Q79" s="173" t="s">
        <v>583</v>
      </c>
      <c r="R79" s="173" t="s">
        <v>230</v>
      </c>
      <c r="S79" s="174">
        <v>44672</v>
      </c>
      <c r="T79" s="173" t="s">
        <v>33</v>
      </c>
      <c r="U79" s="182">
        <v>422.35</v>
      </c>
      <c r="V79" s="177">
        <f>IF(U79=0,0,IF(T79="MXN",1/HLOOKUP(YEAR(S79)+(MONTH(S79)/100),TC!$5:$37,DAY(S79)+2,FALSE),VLOOKUP(T79,Equivalencia!$1:$23,((MAX(Equivalencia!$3:$3)-YEAR(S79))*14)+MONTH(S79)+2,FALSE)))</f>
        <v>1</v>
      </c>
      <c r="W79" s="178">
        <f t="shared" si="19"/>
        <v>422.35</v>
      </c>
      <c r="X79" s="481">
        <f t="shared" si="15"/>
        <v>1.5099999999999909</v>
      </c>
      <c r="Y79" s="179"/>
      <c r="Z79" s="466">
        <f t="shared" si="16"/>
        <v>430.81390800000008</v>
      </c>
      <c r="AA79" s="473">
        <f t="shared" si="17"/>
        <v>-8.4639080000000604</v>
      </c>
      <c r="AB79" s="339">
        <f t="shared" si="18"/>
        <v>3.5880619712955752E-3</v>
      </c>
    </row>
    <row r="80" spans="1:28" ht="20.100000000000001" customHeight="1">
      <c r="A80" s="484"/>
      <c r="B80" s="172">
        <v>1175000</v>
      </c>
      <c r="C80" s="174">
        <v>44582</v>
      </c>
      <c r="D80" s="181" t="s">
        <v>174</v>
      </c>
      <c r="E80" s="173" t="s">
        <v>33</v>
      </c>
      <c r="F80" s="176">
        <v>140.28</v>
      </c>
      <c r="G80" s="175">
        <f t="shared" si="20"/>
        <v>4</v>
      </c>
      <c r="H80" s="175">
        <f t="shared" si="13"/>
        <v>140.28</v>
      </c>
      <c r="I80" s="177">
        <f>IF(G80=0,0,IF(E80="MXN",1/HLOOKUP(YEAR(C80)+(MONTH(C80)/100),TC!$5:$37,DAY(C80)+2,FALSE),VLOOKUP(E80,Equivalencia!$5:$23,((MAX(Equivalencia!$3:$3)-YEAR(C80))*14)+MONTH(C80)+2,FALSE)))</f>
        <v>1</v>
      </c>
      <c r="J80" s="178">
        <f t="shared" si="21"/>
        <v>140.28</v>
      </c>
      <c r="K80" s="462">
        <f>IF(C80=0,0,VLOOKUP(YEAR(C80),INPC!$B$4:$O$29,MONTH(C80)+1))</f>
        <v>118.002</v>
      </c>
      <c r="L80" s="462">
        <f>IF(S80=0,0,VLOOKUP(YEAR(S80),INPC!$B$4:$O$29,MONTH(S80)+1))</f>
        <v>120.809</v>
      </c>
      <c r="M80" s="463">
        <f t="shared" si="14"/>
        <v>1.0237000000000001</v>
      </c>
      <c r="N80" s="465">
        <f t="shared" si="22"/>
        <v>143.604636</v>
      </c>
      <c r="O80" s="179"/>
      <c r="P80" s="528">
        <v>4</v>
      </c>
      <c r="Q80" s="173" t="s">
        <v>583</v>
      </c>
      <c r="R80" s="173" t="s">
        <v>230</v>
      </c>
      <c r="S80" s="174">
        <v>44678</v>
      </c>
      <c r="T80" s="173" t="s">
        <v>33</v>
      </c>
      <c r="U80" s="539">
        <v>141.27915789473684</v>
      </c>
      <c r="V80" s="177">
        <f>IF(U80=0,0,IF(T80="MXN",1/HLOOKUP(YEAR(S80)+(MONTH(S80)/100),TC!$5:$37,DAY(S80)+2,FALSE),VLOOKUP(T80,Equivalencia!$1:$23,((MAX(Equivalencia!$3:$3)-YEAR(S80))*14)+MONTH(S80)+2,FALSE)))</f>
        <v>1</v>
      </c>
      <c r="W80" s="178">
        <f t="shared" si="19"/>
        <v>141.27915789473684</v>
      </c>
      <c r="X80" s="481">
        <f t="shared" si="15"/>
        <v>0.99915789473683958</v>
      </c>
      <c r="Y80" s="179"/>
      <c r="Z80" s="466">
        <f t="shared" si="16"/>
        <v>143.604636</v>
      </c>
      <c r="AA80" s="473">
        <f t="shared" si="17"/>
        <v>-2.3254781052631586</v>
      </c>
      <c r="AB80" s="339">
        <f t="shared" si="18"/>
        <v>7.1225969114403487E-3</v>
      </c>
    </row>
    <row r="81" spans="1:28" ht="20.100000000000001" customHeight="1">
      <c r="A81" s="484"/>
      <c r="B81" s="172">
        <v>1175000</v>
      </c>
      <c r="C81" s="174">
        <v>44582</v>
      </c>
      <c r="D81" s="181" t="s">
        <v>174</v>
      </c>
      <c r="E81" s="173" t="s">
        <v>33</v>
      </c>
      <c r="F81" s="176">
        <v>920.87</v>
      </c>
      <c r="G81" s="175">
        <f t="shared" si="20"/>
        <v>26</v>
      </c>
      <c r="H81" s="175">
        <f t="shared" si="13"/>
        <v>920.87</v>
      </c>
      <c r="I81" s="177">
        <f>IF(G81=0,0,IF(E81="MXN",1/HLOOKUP(YEAR(C81)+(MONTH(C81)/100),TC!$5:$37,DAY(C81)+2,FALSE),VLOOKUP(E81,Equivalencia!$5:$23,((MAX(Equivalencia!$3:$3)-YEAR(C81))*14)+MONTH(C81)+2,FALSE)))</f>
        <v>1</v>
      </c>
      <c r="J81" s="178">
        <f t="shared" si="21"/>
        <v>920.87</v>
      </c>
      <c r="K81" s="462">
        <f>IF(C81=0,0,VLOOKUP(YEAR(C81),INPC!$B$4:$O$29,MONTH(C81)+1))</f>
        <v>118.002</v>
      </c>
      <c r="L81" s="462">
        <f>IF(S81=0,0,VLOOKUP(YEAR(S81),INPC!$B$4:$O$29,MONTH(S81)+1))</f>
        <v>120.809</v>
      </c>
      <c r="M81" s="463">
        <f t="shared" si="14"/>
        <v>1.0237000000000001</v>
      </c>
      <c r="N81" s="465">
        <f t="shared" si="22"/>
        <v>942.6946190000001</v>
      </c>
      <c r="O81" s="179"/>
      <c r="P81" s="529">
        <v>26</v>
      </c>
      <c r="Q81" s="173" t="s">
        <v>583</v>
      </c>
      <c r="R81" s="173" t="s">
        <v>230</v>
      </c>
      <c r="S81" s="174">
        <v>44678</v>
      </c>
      <c r="T81" s="173" t="s">
        <v>33</v>
      </c>
      <c r="U81" s="540">
        <v>918.31452631578941</v>
      </c>
      <c r="V81" s="177">
        <f>IF(U81=0,0,IF(T81="MXN",1/HLOOKUP(YEAR(S81)+(MONTH(S81)/100),TC!$5:$37,DAY(S81)+2,FALSE),VLOOKUP(T81,Equivalencia!$1:$23,((MAX(Equivalencia!$3:$3)-YEAR(S81))*14)+MONTH(S81)+2,FALSE)))</f>
        <v>1</v>
      </c>
      <c r="W81" s="178">
        <f t="shared" si="19"/>
        <v>918.31452631578941</v>
      </c>
      <c r="X81" s="481">
        <f t="shared" si="15"/>
        <v>-2.5554736842105967</v>
      </c>
      <c r="Y81" s="179"/>
      <c r="Z81" s="466">
        <f t="shared" si="16"/>
        <v>942.6946190000001</v>
      </c>
      <c r="AA81" s="473">
        <f t="shared" si="17"/>
        <v>-24.380092684210695</v>
      </c>
      <c r="AB81" s="339">
        <f t="shared" si="18"/>
        <v>-2.77506454136911E-3</v>
      </c>
    </row>
    <row r="82" spans="1:28" ht="20.100000000000001" customHeight="1">
      <c r="A82" s="484"/>
      <c r="B82" s="172">
        <v>1175000</v>
      </c>
      <c r="C82" s="174">
        <v>44585</v>
      </c>
      <c r="D82" s="181" t="s">
        <v>174</v>
      </c>
      <c r="E82" s="173" t="s">
        <v>33</v>
      </c>
      <c r="F82" s="176">
        <v>2286.2574468085108</v>
      </c>
      <c r="G82" s="175">
        <f t="shared" si="20"/>
        <v>65</v>
      </c>
      <c r="H82" s="175">
        <f t="shared" si="13"/>
        <v>2286.2574468085108</v>
      </c>
      <c r="I82" s="177">
        <f>IF(G82=0,0,IF(E82="MXN",1/HLOOKUP(YEAR(C82)+(MONTH(C82)/100),TC!$5:$37,DAY(C82)+2,FALSE),VLOOKUP(E82,Equivalencia!$5:$23,((MAX(Equivalencia!$3:$3)-YEAR(C82))*14)+MONTH(C82)+2,FALSE)))</f>
        <v>1</v>
      </c>
      <c r="J82" s="178">
        <f t="shared" si="21"/>
        <v>2286.2574468085108</v>
      </c>
      <c r="K82" s="462">
        <f>IF(C82=0,0,VLOOKUP(YEAR(C82),INPC!$B$4:$O$29,MONTH(C82)+1))</f>
        <v>118.002</v>
      </c>
      <c r="L82" s="462">
        <f>IF(S82=0,0,VLOOKUP(YEAR(S82),INPC!$B$4:$O$29,MONTH(S82)+1))</f>
        <v>120.809</v>
      </c>
      <c r="M82" s="463">
        <f t="shared" si="14"/>
        <v>1.0237000000000001</v>
      </c>
      <c r="N82" s="465">
        <f t="shared" si="22"/>
        <v>2340.4417482978729</v>
      </c>
      <c r="O82" s="179"/>
      <c r="P82" s="529">
        <v>65</v>
      </c>
      <c r="Q82" s="173" t="s">
        <v>583</v>
      </c>
      <c r="R82" s="173" t="s">
        <v>230</v>
      </c>
      <c r="S82" s="174">
        <v>44678</v>
      </c>
      <c r="T82" s="173" t="s">
        <v>33</v>
      </c>
      <c r="U82" s="541">
        <v>2295.7863157894735</v>
      </c>
      <c r="V82" s="177">
        <f>IF(U82=0,0,IF(T82="MXN",1/HLOOKUP(YEAR(S82)+(MONTH(S82)/100),TC!$5:$37,DAY(S82)+2,FALSE),VLOOKUP(T82,Equivalencia!$1:$23,((MAX(Equivalencia!$3:$3)-YEAR(S82))*14)+MONTH(S82)+2,FALSE)))</f>
        <v>1</v>
      </c>
      <c r="W82" s="178">
        <f t="shared" si="19"/>
        <v>2295.7863157894735</v>
      </c>
      <c r="X82" s="481">
        <f t="shared" si="15"/>
        <v>9.5288689809626703</v>
      </c>
      <c r="Y82" s="179"/>
      <c r="Z82" s="466">
        <f t="shared" si="16"/>
        <v>2340.4417482978729</v>
      </c>
      <c r="AA82" s="473">
        <f t="shared" si="17"/>
        <v>-44.655432508399372</v>
      </c>
      <c r="AB82" s="339">
        <f t="shared" si="18"/>
        <v>4.1678897511145951E-3</v>
      </c>
    </row>
    <row r="83" spans="1:28" ht="20.100000000000001" customHeight="1">
      <c r="A83" s="484"/>
      <c r="B83" s="172">
        <v>1175000</v>
      </c>
      <c r="C83" s="174">
        <v>44462</v>
      </c>
      <c r="D83" s="181" t="s">
        <v>178</v>
      </c>
      <c r="E83" s="173" t="s">
        <v>33</v>
      </c>
      <c r="F83" s="176">
        <v>2372.23</v>
      </c>
      <c r="G83" s="175">
        <f t="shared" si="20"/>
        <v>15</v>
      </c>
      <c r="H83" s="175">
        <f t="shared" si="13"/>
        <v>2372.23</v>
      </c>
      <c r="I83" s="177">
        <f>IF(G83=0,0,IF(E83="MXN",1/HLOOKUP(YEAR(C83)+(MONTH(C83)/100),TC!$5:$37,DAY(C83)+2,FALSE),VLOOKUP(E83,Equivalencia!$5:$23,((MAX(Equivalencia!$3:$3)-YEAR(C83))*14)+MONTH(C83)+2,FALSE)))</f>
        <v>1</v>
      </c>
      <c r="J83" s="178">
        <f t="shared" si="21"/>
        <v>2372.23</v>
      </c>
      <c r="K83" s="462">
        <f>IF(C83=0,0,VLOOKUP(YEAR(C83),INPC!$B$4:$O$29,MONTH(C83)+1))</f>
        <v>114.601</v>
      </c>
      <c r="L83" s="462">
        <f>IF(S83=0,0,VLOOKUP(YEAR(S83),INPC!$B$4:$O$29,MONTH(S83)+1))</f>
        <v>120.809</v>
      </c>
      <c r="M83" s="463">
        <f t="shared" si="14"/>
        <v>1.0541</v>
      </c>
      <c r="N83" s="465">
        <f t="shared" si="22"/>
        <v>2500.5676430000003</v>
      </c>
      <c r="O83" s="179"/>
      <c r="P83" s="569">
        <v>15</v>
      </c>
      <c r="Q83" s="173" t="s">
        <v>583</v>
      </c>
      <c r="R83" s="173" t="s">
        <v>230</v>
      </c>
      <c r="S83" s="174">
        <v>44678</v>
      </c>
      <c r="T83" s="173" t="s">
        <v>33</v>
      </c>
      <c r="U83" s="182">
        <v>2155.125</v>
      </c>
      <c r="V83" s="177">
        <f>IF(U83=0,0,IF(T83="MXN",1/HLOOKUP(YEAR(S83)+(MONTH(S83)/100),TC!$5:$37,DAY(S83)+2,FALSE),VLOOKUP(T83,Equivalencia!$1:$23,((MAX(Equivalencia!$3:$3)-YEAR(S83))*14)+MONTH(S83)+2,FALSE)))</f>
        <v>1</v>
      </c>
      <c r="W83" s="178">
        <f t="shared" si="19"/>
        <v>2155.125</v>
      </c>
      <c r="X83" s="481">
        <f t="shared" si="15"/>
        <v>-217.10500000000002</v>
      </c>
      <c r="Y83" s="179"/>
      <c r="Z83" s="466">
        <f t="shared" si="16"/>
        <v>2500.5676430000003</v>
      </c>
      <c r="AA83" s="473">
        <f t="shared" si="17"/>
        <v>-345.44264300000032</v>
      </c>
      <c r="AB83" s="339">
        <f t="shared" si="18"/>
        <v>-9.1519372067632609E-2</v>
      </c>
    </row>
    <row r="84" spans="1:28" ht="20.100000000000001" customHeight="1">
      <c r="A84" s="484"/>
      <c r="B84" s="172">
        <v>1175000</v>
      </c>
      <c r="C84" s="174">
        <v>44462</v>
      </c>
      <c r="D84" s="181" t="s">
        <v>178</v>
      </c>
      <c r="E84" s="173" t="s">
        <v>33</v>
      </c>
      <c r="F84" s="176">
        <v>3631.1999999999994</v>
      </c>
      <c r="G84" s="175">
        <f t="shared" si="20"/>
        <v>23</v>
      </c>
      <c r="H84" s="175">
        <f t="shared" si="13"/>
        <v>3631.1999999999994</v>
      </c>
      <c r="I84" s="177">
        <f>IF(G84=0,0,IF(E84="MXN",1/HLOOKUP(YEAR(C84)+(MONTH(C84)/100),TC!$5:$37,DAY(C84)+2,FALSE),VLOOKUP(E84,Equivalencia!$5:$23,((MAX(Equivalencia!$3:$3)-YEAR(C84))*14)+MONTH(C84)+2,FALSE)))</f>
        <v>1</v>
      </c>
      <c r="J84" s="178">
        <f t="shared" si="21"/>
        <v>3631.1999999999994</v>
      </c>
      <c r="K84" s="462">
        <f>IF(C84=0,0,VLOOKUP(YEAR(C84),INPC!$B$4:$O$29,MONTH(C84)+1))</f>
        <v>114.601</v>
      </c>
      <c r="L84" s="462">
        <f>IF(S84=0,0,VLOOKUP(YEAR(S84),INPC!$B$4:$O$29,MONTH(S84)+1))</f>
        <v>120.809</v>
      </c>
      <c r="M84" s="463">
        <f t="shared" si="14"/>
        <v>1.0541</v>
      </c>
      <c r="N84" s="465">
        <f t="shared" si="22"/>
        <v>3827.6479199999994</v>
      </c>
      <c r="O84" s="179"/>
      <c r="P84" s="570">
        <v>23</v>
      </c>
      <c r="Q84" s="173" t="s">
        <v>583</v>
      </c>
      <c r="R84" s="173" t="s">
        <v>230</v>
      </c>
      <c r="S84" s="174">
        <v>44678</v>
      </c>
      <c r="T84" s="173" t="s">
        <v>33</v>
      </c>
      <c r="U84" s="182">
        <v>3304.5250000000001</v>
      </c>
      <c r="V84" s="177">
        <f>IF(U84=0,0,IF(T84="MXN",1/HLOOKUP(YEAR(S84)+(MONTH(S84)/100),TC!$5:$37,DAY(S84)+2,FALSE),VLOOKUP(T84,Equivalencia!$1:$23,((MAX(Equivalencia!$3:$3)-YEAR(S84))*14)+MONTH(S84)+2,FALSE)))</f>
        <v>1</v>
      </c>
      <c r="W84" s="178">
        <f t="shared" si="19"/>
        <v>3304.5250000000001</v>
      </c>
      <c r="X84" s="481">
        <f t="shared" si="15"/>
        <v>-326.67499999999927</v>
      </c>
      <c r="Y84" s="179"/>
      <c r="Z84" s="466">
        <f t="shared" si="16"/>
        <v>3827.6479199999994</v>
      </c>
      <c r="AA84" s="473">
        <f t="shared" si="17"/>
        <v>-523.12291999999934</v>
      </c>
      <c r="AB84" s="339">
        <f t="shared" si="18"/>
        <v>-8.9963372989645074E-2</v>
      </c>
    </row>
    <row r="85" spans="1:28" ht="20.100000000000001" customHeight="1">
      <c r="A85" s="484"/>
      <c r="B85" s="172">
        <v>1175000</v>
      </c>
      <c r="C85" s="174">
        <v>44462</v>
      </c>
      <c r="D85" s="181" t="s">
        <v>178</v>
      </c>
      <c r="E85" s="173" t="s">
        <v>33</v>
      </c>
      <c r="F85" s="176">
        <v>315.89</v>
      </c>
      <c r="G85" s="175">
        <f t="shared" si="20"/>
        <v>2</v>
      </c>
      <c r="H85" s="175">
        <f t="shared" si="13"/>
        <v>315.89</v>
      </c>
      <c r="I85" s="177">
        <f>IF(G85=0,0,IF(E85="MXN",1/HLOOKUP(YEAR(C85)+(MONTH(C85)/100),TC!$5:$37,DAY(C85)+2,FALSE),VLOOKUP(E85,Equivalencia!$5:$23,((MAX(Equivalencia!$3:$3)-YEAR(C85))*14)+MONTH(C85)+2,FALSE)))</f>
        <v>1</v>
      </c>
      <c r="J85" s="178">
        <f t="shared" si="21"/>
        <v>315.89</v>
      </c>
      <c r="K85" s="462">
        <f>IF(C85=0,0,VLOOKUP(YEAR(C85),INPC!$B$4:$O$29,MONTH(C85)+1))</f>
        <v>114.601</v>
      </c>
      <c r="L85" s="462">
        <f>IF(S85=0,0,VLOOKUP(YEAR(S85),INPC!$B$4:$O$29,MONTH(S85)+1))</f>
        <v>120.809</v>
      </c>
      <c r="M85" s="463">
        <f t="shared" si="14"/>
        <v>1.0541</v>
      </c>
      <c r="N85" s="465">
        <f t="shared" si="22"/>
        <v>332.97964899999999</v>
      </c>
      <c r="O85" s="179"/>
      <c r="P85" s="570">
        <v>2</v>
      </c>
      <c r="Q85" s="173" t="s">
        <v>583</v>
      </c>
      <c r="R85" s="173" t="s">
        <v>230</v>
      </c>
      <c r="S85" s="174">
        <v>44678</v>
      </c>
      <c r="T85" s="173" t="s">
        <v>33</v>
      </c>
      <c r="U85" s="182">
        <v>287.35000000000002</v>
      </c>
      <c r="V85" s="177">
        <f>IF(U85=0,0,IF(T85="MXN",1/HLOOKUP(YEAR(S85)+(MONTH(S85)/100),TC!$5:$37,DAY(S85)+2,FALSE),VLOOKUP(T85,Equivalencia!$1:$23,((MAX(Equivalencia!$3:$3)-YEAR(S85))*14)+MONTH(S85)+2,FALSE)))</f>
        <v>1</v>
      </c>
      <c r="W85" s="178">
        <f t="shared" si="19"/>
        <v>287.35000000000002</v>
      </c>
      <c r="X85" s="481">
        <f t="shared" si="15"/>
        <v>-28.539999999999964</v>
      </c>
      <c r="Y85" s="179"/>
      <c r="Z85" s="466">
        <f t="shared" si="16"/>
        <v>332.97964899999999</v>
      </c>
      <c r="AA85" s="473">
        <f t="shared" si="17"/>
        <v>-45.629648999999972</v>
      </c>
      <c r="AB85" s="339">
        <f t="shared" si="18"/>
        <v>-9.0347905916616456E-2</v>
      </c>
    </row>
    <row r="86" spans="1:28" ht="20.100000000000001" customHeight="1">
      <c r="A86" s="484"/>
      <c r="B86" s="172">
        <v>1175000</v>
      </c>
      <c r="C86" s="174">
        <v>44462</v>
      </c>
      <c r="D86" s="181" t="s">
        <v>178</v>
      </c>
      <c r="E86" s="173" t="s">
        <v>33</v>
      </c>
      <c r="F86" s="176">
        <v>1422.09</v>
      </c>
      <c r="G86" s="175">
        <f t="shared" si="20"/>
        <v>9</v>
      </c>
      <c r="H86" s="175">
        <f t="shared" si="13"/>
        <v>1422.09</v>
      </c>
      <c r="I86" s="177">
        <f>IF(G86=0,0,IF(E86="MXN",1/HLOOKUP(YEAR(C86)+(MONTH(C86)/100),TC!$5:$37,DAY(C86)+2,FALSE),VLOOKUP(E86,Equivalencia!$5:$23,((MAX(Equivalencia!$3:$3)-YEAR(C86))*14)+MONTH(C86)+2,FALSE)))</f>
        <v>1</v>
      </c>
      <c r="J86" s="178">
        <f t="shared" si="21"/>
        <v>1422.09</v>
      </c>
      <c r="K86" s="462">
        <f>IF(C86=0,0,VLOOKUP(YEAR(C86),INPC!$B$4:$O$29,MONTH(C86)+1))</f>
        <v>114.601</v>
      </c>
      <c r="L86" s="462">
        <f>IF(S86=0,0,VLOOKUP(YEAR(S86),INPC!$B$4:$O$29,MONTH(S86)+1))</f>
        <v>120.809</v>
      </c>
      <c r="M86" s="463">
        <f t="shared" si="14"/>
        <v>1.0541</v>
      </c>
      <c r="N86" s="465">
        <f t="shared" si="22"/>
        <v>1499.025069</v>
      </c>
      <c r="O86" s="179"/>
      <c r="P86" s="570">
        <v>9</v>
      </c>
      <c r="Q86" s="173" t="s">
        <v>583</v>
      </c>
      <c r="R86" s="173" t="s">
        <v>230</v>
      </c>
      <c r="S86" s="174">
        <v>44678</v>
      </c>
      <c r="T86" s="173" t="s">
        <v>33</v>
      </c>
      <c r="U86" s="182">
        <v>1293.075</v>
      </c>
      <c r="V86" s="177">
        <f>IF(U86=0,0,IF(T86="MXN",1/HLOOKUP(YEAR(S86)+(MONTH(S86)/100),TC!$5:$37,DAY(S86)+2,FALSE),VLOOKUP(T86,Equivalencia!$1:$23,((MAX(Equivalencia!$3:$3)-YEAR(S86))*14)+MONTH(S86)+2,FALSE)))</f>
        <v>1</v>
      </c>
      <c r="W86" s="178">
        <f t="shared" si="19"/>
        <v>1293.075</v>
      </c>
      <c r="X86" s="481">
        <f t="shared" si="15"/>
        <v>-129.01499999999987</v>
      </c>
      <c r="Y86" s="179"/>
      <c r="Z86" s="466">
        <f t="shared" si="16"/>
        <v>1499.025069</v>
      </c>
      <c r="AA86" s="473">
        <f t="shared" si="17"/>
        <v>-205.95006899999998</v>
      </c>
      <c r="AB86" s="339">
        <f t="shared" si="18"/>
        <v>-9.0722106195810337E-2</v>
      </c>
    </row>
    <row r="87" spans="1:28" ht="20.100000000000001" customHeight="1">
      <c r="A87" s="484"/>
      <c r="B87" s="172">
        <v>1175000</v>
      </c>
      <c r="C87" s="174">
        <v>44462</v>
      </c>
      <c r="D87" s="181" t="s">
        <v>178</v>
      </c>
      <c r="E87" s="173" t="s">
        <v>33</v>
      </c>
      <c r="F87" s="176">
        <v>474.89</v>
      </c>
      <c r="G87" s="175">
        <f t="shared" si="20"/>
        <v>3</v>
      </c>
      <c r="H87" s="175">
        <f t="shared" si="13"/>
        <v>474.89</v>
      </c>
      <c r="I87" s="177">
        <f>IF(G87=0,0,IF(E87="MXN",1/HLOOKUP(YEAR(C87)+(MONTH(C87)/100),TC!$5:$37,DAY(C87)+2,FALSE),VLOOKUP(E87,Equivalencia!$5:$23,((MAX(Equivalencia!$3:$3)-YEAR(C87))*14)+MONTH(C87)+2,FALSE)))</f>
        <v>1</v>
      </c>
      <c r="J87" s="178">
        <f t="shared" si="21"/>
        <v>474.89</v>
      </c>
      <c r="K87" s="462">
        <f>IF(C87=0,0,VLOOKUP(YEAR(C87),INPC!$B$4:$O$29,MONTH(C87)+1))</f>
        <v>114.601</v>
      </c>
      <c r="L87" s="462">
        <f>IF(S87=0,0,VLOOKUP(YEAR(S87),INPC!$B$4:$O$29,MONTH(S87)+1))</f>
        <v>120.809</v>
      </c>
      <c r="M87" s="463">
        <f t="shared" si="14"/>
        <v>1.0541</v>
      </c>
      <c r="N87" s="465">
        <f t="shared" si="22"/>
        <v>500.581549</v>
      </c>
      <c r="O87" s="179"/>
      <c r="P87" s="570">
        <v>3</v>
      </c>
      <c r="Q87" s="173" t="s">
        <v>583</v>
      </c>
      <c r="R87" s="173" t="s">
        <v>230</v>
      </c>
      <c r="S87" s="174">
        <v>44678</v>
      </c>
      <c r="T87" s="173" t="s">
        <v>33</v>
      </c>
      <c r="U87" s="182">
        <v>431.02500000000003</v>
      </c>
      <c r="V87" s="177">
        <f>IF(U87=0,0,IF(T87="MXN",1/HLOOKUP(YEAR(S87)+(MONTH(S87)/100),TC!$5:$37,DAY(S87)+2,FALSE),VLOOKUP(T87,Equivalencia!$1:$23,((MAX(Equivalencia!$3:$3)-YEAR(S87))*14)+MONTH(S87)+2,FALSE)))</f>
        <v>1</v>
      </c>
      <c r="W87" s="178">
        <f t="shared" si="19"/>
        <v>431.02500000000003</v>
      </c>
      <c r="X87" s="481">
        <f t="shared" si="15"/>
        <v>-43.864999999999952</v>
      </c>
      <c r="Y87" s="179"/>
      <c r="Z87" s="466">
        <f t="shared" si="16"/>
        <v>500.581549</v>
      </c>
      <c r="AA87" s="473">
        <f t="shared" si="17"/>
        <v>-69.556548999999961</v>
      </c>
      <c r="AB87" s="339">
        <f t="shared" si="18"/>
        <v>-9.2368759081050245E-2</v>
      </c>
    </row>
    <row r="88" spans="1:28" ht="20.100000000000001" customHeight="1">
      <c r="A88" s="484"/>
      <c r="B88" s="172">
        <v>1175000</v>
      </c>
      <c r="C88" s="174">
        <v>44467</v>
      </c>
      <c r="D88" s="181" t="s">
        <v>178</v>
      </c>
      <c r="E88" s="173" t="s">
        <v>33</v>
      </c>
      <c r="F88" s="176">
        <v>768.36</v>
      </c>
      <c r="G88" s="175">
        <f t="shared" si="20"/>
        <v>5</v>
      </c>
      <c r="H88" s="175">
        <f t="shared" si="13"/>
        <v>768.36</v>
      </c>
      <c r="I88" s="177">
        <f>IF(G88=0,0,IF(E88="MXN",1/HLOOKUP(YEAR(C88)+(MONTH(C88)/100),TC!$5:$37,DAY(C88)+2,FALSE),VLOOKUP(E88,Equivalencia!$5:$23,((MAX(Equivalencia!$3:$3)-YEAR(C88))*14)+MONTH(C88)+2,FALSE)))</f>
        <v>1</v>
      </c>
      <c r="J88" s="178">
        <f t="shared" si="21"/>
        <v>768.36</v>
      </c>
      <c r="K88" s="462">
        <f>IF(C88=0,0,VLOOKUP(YEAR(C88),INPC!$B$4:$O$29,MONTH(C88)+1))</f>
        <v>114.601</v>
      </c>
      <c r="L88" s="462">
        <f>IF(S88=0,0,VLOOKUP(YEAR(S88),INPC!$B$4:$O$29,MONTH(S88)+1))</f>
        <v>120.809</v>
      </c>
      <c r="M88" s="463">
        <f t="shared" si="14"/>
        <v>1.0541</v>
      </c>
      <c r="N88" s="465">
        <f t="shared" si="22"/>
        <v>809.9282760000001</v>
      </c>
      <c r="O88" s="179"/>
      <c r="P88" s="570">
        <v>5</v>
      </c>
      <c r="Q88" s="173" t="s">
        <v>583</v>
      </c>
      <c r="R88" s="173" t="s">
        <v>230</v>
      </c>
      <c r="S88" s="174">
        <v>44678</v>
      </c>
      <c r="T88" s="173" t="s">
        <v>33</v>
      </c>
      <c r="U88" s="182">
        <v>718.375</v>
      </c>
      <c r="V88" s="177">
        <f>IF(U88=0,0,IF(T88="MXN",1/HLOOKUP(YEAR(S88)+(MONTH(S88)/100),TC!$5:$37,DAY(S88)+2,FALSE),VLOOKUP(T88,Equivalencia!$1:$23,((MAX(Equivalencia!$3:$3)-YEAR(S88))*14)+MONTH(S88)+2,FALSE)))</f>
        <v>1</v>
      </c>
      <c r="W88" s="178">
        <f t="shared" si="19"/>
        <v>718.375</v>
      </c>
      <c r="X88" s="481">
        <f t="shared" si="15"/>
        <v>-49.985000000000014</v>
      </c>
      <c r="Y88" s="179"/>
      <c r="Z88" s="466">
        <f t="shared" si="16"/>
        <v>809.9282760000001</v>
      </c>
      <c r="AA88" s="473">
        <f t="shared" si="17"/>
        <v>-91.553276000000096</v>
      </c>
      <c r="AB88" s="339">
        <f t="shared" si="18"/>
        <v>-6.5054141287937961E-2</v>
      </c>
    </row>
    <row r="89" spans="1:28" ht="20.100000000000001" customHeight="1">
      <c r="A89" s="484"/>
      <c r="B89" s="172">
        <v>1175000</v>
      </c>
      <c r="C89" s="174">
        <v>44467</v>
      </c>
      <c r="D89" s="181" t="s">
        <v>178</v>
      </c>
      <c r="E89" s="173" t="s">
        <v>33</v>
      </c>
      <c r="F89" s="176">
        <v>3837.2800000000007</v>
      </c>
      <c r="G89" s="175">
        <f t="shared" si="20"/>
        <v>25</v>
      </c>
      <c r="H89" s="175">
        <f t="shared" si="13"/>
        <v>3837.2800000000007</v>
      </c>
      <c r="I89" s="177">
        <f>IF(G89=0,0,IF(E89="MXN",1/HLOOKUP(YEAR(C89)+(MONTH(C89)/100),TC!$5:$37,DAY(C89)+2,FALSE),VLOOKUP(E89,Equivalencia!$5:$23,((MAX(Equivalencia!$3:$3)-YEAR(C89))*14)+MONTH(C89)+2,FALSE)))</f>
        <v>1</v>
      </c>
      <c r="J89" s="178">
        <f t="shared" si="21"/>
        <v>3837.2800000000007</v>
      </c>
      <c r="K89" s="462">
        <f>IF(C89=0,0,VLOOKUP(YEAR(C89),INPC!$B$4:$O$29,MONTH(C89)+1))</f>
        <v>114.601</v>
      </c>
      <c r="L89" s="462">
        <f>IF(S89=0,0,VLOOKUP(YEAR(S89),INPC!$B$4:$O$29,MONTH(S89)+1))</f>
        <v>120.809</v>
      </c>
      <c r="M89" s="463">
        <f t="shared" si="14"/>
        <v>1.0541</v>
      </c>
      <c r="N89" s="465">
        <f t="shared" si="22"/>
        <v>4044.8768480000008</v>
      </c>
      <c r="O89" s="179"/>
      <c r="P89" s="570">
        <v>25</v>
      </c>
      <c r="Q89" s="173" t="s">
        <v>583</v>
      </c>
      <c r="R89" s="173" t="s">
        <v>230</v>
      </c>
      <c r="S89" s="174">
        <v>44678</v>
      </c>
      <c r="T89" s="173" t="s">
        <v>33</v>
      </c>
      <c r="U89" s="182">
        <v>3591.8750000000005</v>
      </c>
      <c r="V89" s="177">
        <f>IF(U89=0,0,IF(T89="MXN",1/HLOOKUP(YEAR(S89)+(MONTH(S89)/100),TC!$5:$37,DAY(S89)+2,FALSE),VLOOKUP(T89,Equivalencia!$1:$23,((MAX(Equivalencia!$3:$3)-YEAR(S89))*14)+MONTH(S89)+2,FALSE)))</f>
        <v>1</v>
      </c>
      <c r="W89" s="178">
        <f t="shared" si="19"/>
        <v>3591.8750000000005</v>
      </c>
      <c r="X89" s="481">
        <f t="shared" si="15"/>
        <v>-245.4050000000002</v>
      </c>
      <c r="Y89" s="179"/>
      <c r="Z89" s="466">
        <f t="shared" si="16"/>
        <v>4044.8768480000008</v>
      </c>
      <c r="AA89" s="473">
        <f t="shared" si="17"/>
        <v>-453.00184800000034</v>
      </c>
      <c r="AB89" s="339">
        <f t="shared" si="18"/>
        <v>-6.3952852020180972E-2</v>
      </c>
    </row>
    <row r="90" spans="1:28" ht="20.100000000000001" customHeight="1">
      <c r="A90" s="484"/>
      <c r="B90" s="172">
        <v>1175000</v>
      </c>
      <c r="C90" s="174">
        <v>44467</v>
      </c>
      <c r="D90" s="181" t="s">
        <v>178</v>
      </c>
      <c r="E90" s="173" t="s">
        <v>33</v>
      </c>
      <c r="F90" s="176">
        <v>307.2</v>
      </c>
      <c r="G90" s="175">
        <f t="shared" si="20"/>
        <v>2</v>
      </c>
      <c r="H90" s="175">
        <f t="shared" si="13"/>
        <v>307.2</v>
      </c>
      <c r="I90" s="177">
        <f>IF(G90=0,0,IF(E90="MXN",1/HLOOKUP(YEAR(C90)+(MONTH(C90)/100),TC!$5:$37,DAY(C90)+2,FALSE),VLOOKUP(E90,Equivalencia!$5:$23,((MAX(Equivalencia!$3:$3)-YEAR(C90))*14)+MONTH(C90)+2,FALSE)))</f>
        <v>1</v>
      </c>
      <c r="J90" s="178">
        <f t="shared" si="21"/>
        <v>307.2</v>
      </c>
      <c r="K90" s="462">
        <f>IF(C90=0,0,VLOOKUP(YEAR(C90),INPC!$B$4:$O$29,MONTH(C90)+1))</f>
        <v>114.601</v>
      </c>
      <c r="L90" s="462">
        <f>IF(S90=0,0,VLOOKUP(YEAR(S90),INPC!$B$4:$O$29,MONTH(S90)+1))</f>
        <v>120.809</v>
      </c>
      <c r="M90" s="463">
        <f t="shared" si="14"/>
        <v>1.0541</v>
      </c>
      <c r="N90" s="465">
        <f t="shared" si="22"/>
        <v>323.81952000000001</v>
      </c>
      <c r="O90" s="179"/>
      <c r="P90" s="570">
        <v>2</v>
      </c>
      <c r="Q90" s="173" t="s">
        <v>583</v>
      </c>
      <c r="R90" s="173" t="s">
        <v>230</v>
      </c>
      <c r="S90" s="174">
        <v>44678</v>
      </c>
      <c r="T90" s="173" t="s">
        <v>33</v>
      </c>
      <c r="U90" s="182">
        <v>287.35000000000002</v>
      </c>
      <c r="V90" s="177">
        <f>IF(U90=0,0,IF(T90="MXN",1/HLOOKUP(YEAR(S90)+(MONTH(S90)/100),TC!$5:$37,DAY(S90)+2,FALSE),VLOOKUP(T90,Equivalencia!$1:$23,((MAX(Equivalencia!$3:$3)-YEAR(S90))*14)+MONTH(S90)+2,FALSE)))</f>
        <v>1</v>
      </c>
      <c r="W90" s="178">
        <f t="shared" si="19"/>
        <v>287.35000000000002</v>
      </c>
      <c r="X90" s="481">
        <f t="shared" si="15"/>
        <v>-19.849999999999966</v>
      </c>
      <c r="Y90" s="179"/>
      <c r="Z90" s="466">
        <f t="shared" si="16"/>
        <v>323.81952000000001</v>
      </c>
      <c r="AA90" s="473">
        <f t="shared" si="17"/>
        <v>-36.469519999999989</v>
      </c>
      <c r="AB90" s="339">
        <f t="shared" si="18"/>
        <v>-6.4615885416666519E-2</v>
      </c>
    </row>
    <row r="91" spans="1:28" ht="20.100000000000001" customHeight="1">
      <c r="A91" s="484"/>
      <c r="B91" s="172">
        <v>1175000</v>
      </c>
      <c r="C91" s="174">
        <v>44467</v>
      </c>
      <c r="D91" s="181" t="s">
        <v>178</v>
      </c>
      <c r="E91" s="173" t="s">
        <v>33</v>
      </c>
      <c r="F91" s="176">
        <v>616.03</v>
      </c>
      <c r="G91" s="175">
        <f t="shared" si="20"/>
        <v>4</v>
      </c>
      <c r="H91" s="175">
        <f t="shared" si="13"/>
        <v>616.03</v>
      </c>
      <c r="I91" s="177">
        <f>IF(G91=0,0,IF(E91="MXN",1/HLOOKUP(YEAR(C91)+(MONTH(C91)/100),TC!$5:$37,DAY(C91)+2,FALSE),VLOOKUP(E91,Equivalencia!$5:$23,((MAX(Equivalencia!$3:$3)-YEAR(C91))*14)+MONTH(C91)+2,FALSE)))</f>
        <v>1</v>
      </c>
      <c r="J91" s="178">
        <f t="shared" si="21"/>
        <v>616.03</v>
      </c>
      <c r="K91" s="462">
        <f>IF(C91=0,0,VLOOKUP(YEAR(C91),INPC!$B$4:$O$29,MONTH(C91)+1))</f>
        <v>114.601</v>
      </c>
      <c r="L91" s="462">
        <f>IF(S91=0,0,VLOOKUP(YEAR(S91),INPC!$B$4:$O$29,MONTH(S91)+1))</f>
        <v>120.809</v>
      </c>
      <c r="M91" s="463">
        <f t="shared" si="14"/>
        <v>1.0541</v>
      </c>
      <c r="N91" s="465">
        <f t="shared" si="22"/>
        <v>649.35722299999998</v>
      </c>
      <c r="O91" s="179"/>
      <c r="P91" s="570">
        <v>4</v>
      </c>
      <c r="Q91" s="173" t="s">
        <v>583</v>
      </c>
      <c r="R91" s="173" t="s">
        <v>230</v>
      </c>
      <c r="S91" s="174">
        <v>44678</v>
      </c>
      <c r="T91" s="173" t="s">
        <v>33</v>
      </c>
      <c r="U91" s="182">
        <v>574.70000000000005</v>
      </c>
      <c r="V91" s="177">
        <f>IF(U91=0,0,IF(T91="MXN",1/HLOOKUP(YEAR(S91)+(MONTH(S91)/100),TC!$5:$37,DAY(S91)+2,FALSE),VLOOKUP(T91,Equivalencia!$1:$23,((MAX(Equivalencia!$3:$3)-YEAR(S91))*14)+MONTH(S91)+2,FALSE)))</f>
        <v>1</v>
      </c>
      <c r="W91" s="178">
        <f t="shared" si="19"/>
        <v>574.70000000000005</v>
      </c>
      <c r="X91" s="481">
        <f t="shared" si="15"/>
        <v>-41.329999999999927</v>
      </c>
      <c r="Y91" s="179"/>
      <c r="Z91" s="466">
        <f t="shared" si="16"/>
        <v>649.35722299999998</v>
      </c>
      <c r="AA91" s="473">
        <f t="shared" si="17"/>
        <v>-74.657222999999931</v>
      </c>
      <c r="AB91" s="339">
        <f t="shared" si="18"/>
        <v>-6.7090888430758167E-2</v>
      </c>
    </row>
    <row r="92" spans="1:28" ht="20.100000000000001" customHeight="1">
      <c r="A92" s="484"/>
      <c r="B92" s="172">
        <v>1175000</v>
      </c>
      <c r="C92" s="174">
        <v>44467</v>
      </c>
      <c r="D92" s="181" t="s">
        <v>178</v>
      </c>
      <c r="E92" s="173" t="s">
        <v>33</v>
      </c>
      <c r="F92" s="176">
        <v>459.13</v>
      </c>
      <c r="G92" s="175">
        <f t="shared" si="20"/>
        <v>3</v>
      </c>
      <c r="H92" s="175">
        <f t="shared" si="13"/>
        <v>459.13</v>
      </c>
      <c r="I92" s="177">
        <f>IF(G92=0,0,IF(E92="MXN",1/HLOOKUP(YEAR(C92)+(MONTH(C92)/100),TC!$5:$37,DAY(C92)+2,FALSE),VLOOKUP(E92,Equivalencia!$5:$23,((MAX(Equivalencia!$3:$3)-YEAR(C92))*14)+MONTH(C92)+2,FALSE)))</f>
        <v>1</v>
      </c>
      <c r="J92" s="178">
        <f t="shared" si="21"/>
        <v>459.13</v>
      </c>
      <c r="K92" s="462">
        <f>IF(C92=0,0,VLOOKUP(YEAR(C92),INPC!$B$4:$O$29,MONTH(C92)+1))</f>
        <v>114.601</v>
      </c>
      <c r="L92" s="462">
        <f>IF(S92=0,0,VLOOKUP(YEAR(S92),INPC!$B$4:$O$29,MONTH(S92)+1))</f>
        <v>120.809</v>
      </c>
      <c r="M92" s="463">
        <f t="shared" si="14"/>
        <v>1.0541</v>
      </c>
      <c r="N92" s="465">
        <f t="shared" si="22"/>
        <v>483.96893299999999</v>
      </c>
      <c r="O92" s="179"/>
      <c r="P92" s="570">
        <v>3</v>
      </c>
      <c r="Q92" s="173" t="s">
        <v>583</v>
      </c>
      <c r="R92" s="173" t="s">
        <v>230</v>
      </c>
      <c r="S92" s="174">
        <v>44678</v>
      </c>
      <c r="T92" s="173" t="s">
        <v>33</v>
      </c>
      <c r="U92" s="182">
        <v>431.02500000000003</v>
      </c>
      <c r="V92" s="177">
        <f>IF(U92=0,0,IF(T92="MXN",1/HLOOKUP(YEAR(S92)+(MONTH(S92)/100),TC!$5:$37,DAY(S92)+2,FALSE),VLOOKUP(T92,Equivalencia!$1:$23,((MAX(Equivalencia!$3:$3)-YEAR(S92))*14)+MONTH(S92)+2,FALSE)))</f>
        <v>1</v>
      </c>
      <c r="W92" s="178">
        <f t="shared" si="19"/>
        <v>431.02500000000003</v>
      </c>
      <c r="X92" s="481">
        <f t="shared" si="15"/>
        <v>-28.104999999999961</v>
      </c>
      <c r="Y92" s="179"/>
      <c r="Z92" s="466">
        <f t="shared" si="16"/>
        <v>483.96893299999999</v>
      </c>
      <c r="AA92" s="473">
        <f t="shared" si="17"/>
        <v>-52.943932999999959</v>
      </c>
      <c r="AB92" s="339">
        <f t="shared" si="18"/>
        <v>-6.1213599634090454E-2</v>
      </c>
    </row>
    <row r="93" spans="1:28" ht="20.100000000000001" customHeight="1">
      <c r="A93" s="484"/>
      <c r="B93" s="172">
        <v>1175000</v>
      </c>
      <c r="C93" s="174">
        <v>44467</v>
      </c>
      <c r="D93" s="181" t="s">
        <v>178</v>
      </c>
      <c r="E93" s="173" t="s">
        <v>33</v>
      </c>
      <c r="F93" s="176">
        <v>2316.16</v>
      </c>
      <c r="G93" s="175">
        <f t="shared" si="20"/>
        <v>15</v>
      </c>
      <c r="H93" s="175">
        <f t="shared" si="13"/>
        <v>2316.16</v>
      </c>
      <c r="I93" s="177">
        <f>IF(G93=0,0,IF(E93="MXN",1/HLOOKUP(YEAR(C93)+(MONTH(C93)/100),TC!$5:$37,DAY(C93)+2,FALSE),VLOOKUP(E93,Equivalencia!$5:$23,((MAX(Equivalencia!$3:$3)-YEAR(C93))*14)+MONTH(C93)+2,FALSE)))</f>
        <v>1</v>
      </c>
      <c r="J93" s="178">
        <f t="shared" si="21"/>
        <v>2316.16</v>
      </c>
      <c r="K93" s="462">
        <f>IF(C93=0,0,VLOOKUP(YEAR(C93),INPC!$B$4:$O$29,MONTH(C93)+1))</f>
        <v>114.601</v>
      </c>
      <c r="L93" s="462">
        <f>IF(S93=0,0,VLOOKUP(YEAR(S93),INPC!$B$4:$O$29,MONTH(S93)+1))</f>
        <v>120.809</v>
      </c>
      <c r="M93" s="463">
        <f t="shared" si="14"/>
        <v>1.0541</v>
      </c>
      <c r="N93" s="465">
        <f t="shared" si="22"/>
        <v>2441.4642559999998</v>
      </c>
      <c r="O93" s="179"/>
      <c r="P93" s="570">
        <v>15</v>
      </c>
      <c r="Q93" s="173" t="s">
        <v>583</v>
      </c>
      <c r="R93" s="173" t="s">
        <v>230</v>
      </c>
      <c r="S93" s="174">
        <v>44678</v>
      </c>
      <c r="T93" s="173" t="s">
        <v>33</v>
      </c>
      <c r="U93" s="182">
        <v>2155.125</v>
      </c>
      <c r="V93" s="177">
        <f>IF(U93=0,0,IF(T93="MXN",1/HLOOKUP(YEAR(S93)+(MONTH(S93)/100),TC!$5:$37,DAY(S93)+2,FALSE),VLOOKUP(T93,Equivalencia!$1:$23,((MAX(Equivalencia!$3:$3)-YEAR(S93))*14)+MONTH(S93)+2,FALSE)))</f>
        <v>1</v>
      </c>
      <c r="W93" s="178">
        <f t="shared" si="19"/>
        <v>2155.125</v>
      </c>
      <c r="X93" s="481">
        <f t="shared" si="15"/>
        <v>-161.03499999999985</v>
      </c>
      <c r="Y93" s="179"/>
      <c r="Z93" s="466">
        <f t="shared" si="16"/>
        <v>2441.4642559999998</v>
      </c>
      <c r="AA93" s="473">
        <f t="shared" si="17"/>
        <v>-286.33925599999975</v>
      </c>
      <c r="AB93" s="339">
        <f t="shared" si="18"/>
        <v>-6.9526716634429331E-2</v>
      </c>
    </row>
    <row r="94" spans="1:28" ht="20.100000000000001" customHeight="1">
      <c r="A94" s="484"/>
      <c r="B94" s="172">
        <v>1175000</v>
      </c>
      <c r="C94" s="174">
        <v>44474</v>
      </c>
      <c r="D94" s="181" t="s">
        <v>178</v>
      </c>
      <c r="E94" s="173" t="s">
        <v>33</v>
      </c>
      <c r="F94" s="176">
        <v>451.11</v>
      </c>
      <c r="G94" s="175">
        <f t="shared" si="20"/>
        <v>3</v>
      </c>
      <c r="H94" s="175">
        <f t="shared" si="13"/>
        <v>451.11</v>
      </c>
      <c r="I94" s="177">
        <f>IF(G94=0,0,IF(E94="MXN",1/HLOOKUP(YEAR(C94)+(MONTH(C94)/100),TC!$5:$37,DAY(C94)+2,FALSE),VLOOKUP(E94,Equivalencia!$5:$23,((MAX(Equivalencia!$3:$3)-YEAR(C94))*14)+MONTH(C94)+2,FALSE)))</f>
        <v>1</v>
      </c>
      <c r="J94" s="178">
        <f t="shared" si="21"/>
        <v>451.11</v>
      </c>
      <c r="K94" s="462">
        <f>IF(C94=0,0,VLOOKUP(YEAR(C94),INPC!$B$4:$O$29,MONTH(C94)+1))</f>
        <v>115.56100000000001</v>
      </c>
      <c r="L94" s="462">
        <f>IF(S94=0,0,VLOOKUP(YEAR(S94),INPC!$B$4:$O$29,MONTH(S94)+1))</f>
        <v>120.809</v>
      </c>
      <c r="M94" s="463">
        <f t="shared" si="14"/>
        <v>1.0454000000000001</v>
      </c>
      <c r="N94" s="465">
        <f t="shared" si="22"/>
        <v>471.59039400000006</v>
      </c>
      <c r="O94" s="179"/>
      <c r="P94" s="570">
        <v>3</v>
      </c>
      <c r="Q94" s="173" t="s">
        <v>583</v>
      </c>
      <c r="R94" s="173" t="s">
        <v>230</v>
      </c>
      <c r="S94" s="174">
        <v>44678</v>
      </c>
      <c r="T94" s="173" t="s">
        <v>33</v>
      </c>
      <c r="U94" s="182">
        <v>431.02500000000003</v>
      </c>
      <c r="V94" s="177">
        <f>IF(U94=0,0,IF(T94="MXN",1/HLOOKUP(YEAR(S94)+(MONTH(S94)/100),TC!$5:$37,DAY(S94)+2,FALSE),VLOOKUP(T94,Equivalencia!$1:$23,((MAX(Equivalencia!$3:$3)-YEAR(S94))*14)+MONTH(S94)+2,FALSE)))</f>
        <v>1</v>
      </c>
      <c r="W94" s="178">
        <f t="shared" si="19"/>
        <v>431.02500000000003</v>
      </c>
      <c r="X94" s="481">
        <f t="shared" si="15"/>
        <v>-20.08499999999998</v>
      </c>
      <c r="Y94" s="179"/>
      <c r="Z94" s="466">
        <f t="shared" si="16"/>
        <v>471.59039400000006</v>
      </c>
      <c r="AA94" s="473">
        <f t="shared" si="17"/>
        <v>-40.565394000000026</v>
      </c>
      <c r="AB94" s="339">
        <f t="shared" si="18"/>
        <v>-4.4523508678592782E-2</v>
      </c>
    </row>
    <row r="95" spans="1:28" ht="20.100000000000001" customHeight="1">
      <c r="A95" s="484"/>
      <c r="B95" s="172">
        <v>1175000</v>
      </c>
      <c r="C95" s="174">
        <v>44474</v>
      </c>
      <c r="D95" s="181" t="s">
        <v>178</v>
      </c>
      <c r="E95" s="173" t="s">
        <v>33</v>
      </c>
      <c r="F95" s="176">
        <v>2880.0447826086956</v>
      </c>
      <c r="G95" s="175">
        <f t="shared" si="20"/>
        <v>19</v>
      </c>
      <c r="H95" s="175">
        <f t="shared" si="13"/>
        <v>2880.0447826086956</v>
      </c>
      <c r="I95" s="177">
        <f>IF(G95=0,0,IF(E95="MXN",1/HLOOKUP(YEAR(C95)+(MONTH(C95)/100),TC!$5:$37,DAY(C95)+2,FALSE),VLOOKUP(E95,Equivalencia!$5:$23,((MAX(Equivalencia!$3:$3)-YEAR(C95))*14)+MONTH(C95)+2,FALSE)))</f>
        <v>1</v>
      </c>
      <c r="J95" s="178">
        <f t="shared" si="21"/>
        <v>2880.0447826086956</v>
      </c>
      <c r="K95" s="462">
        <f>IF(C95=0,0,VLOOKUP(YEAR(C95),INPC!$B$4:$O$29,MONTH(C95)+1))</f>
        <v>115.56100000000001</v>
      </c>
      <c r="L95" s="462">
        <f>IF(S95=0,0,VLOOKUP(YEAR(S95),INPC!$B$4:$O$29,MONTH(S95)+1))</f>
        <v>120.809</v>
      </c>
      <c r="M95" s="463">
        <f t="shared" si="14"/>
        <v>1.0454000000000001</v>
      </c>
      <c r="N95" s="465">
        <f t="shared" si="22"/>
        <v>3010.7988157391305</v>
      </c>
      <c r="O95" s="179"/>
      <c r="P95" s="571">
        <v>19</v>
      </c>
      <c r="Q95" s="173" t="s">
        <v>583</v>
      </c>
      <c r="R95" s="173" t="s">
        <v>230</v>
      </c>
      <c r="S95" s="174">
        <v>44678</v>
      </c>
      <c r="T95" s="173" t="s">
        <v>33</v>
      </c>
      <c r="U95" s="182">
        <v>2729.8250000000003</v>
      </c>
      <c r="V95" s="177">
        <f>IF(U95=0,0,IF(T95="MXN",1/HLOOKUP(YEAR(S95)+(MONTH(S95)/100),TC!$5:$37,DAY(S95)+2,FALSE),VLOOKUP(T95,Equivalencia!$1:$23,((MAX(Equivalencia!$3:$3)-YEAR(S95))*14)+MONTH(S95)+2,FALSE)))</f>
        <v>1</v>
      </c>
      <c r="W95" s="178">
        <f t="shared" si="19"/>
        <v>2729.8250000000003</v>
      </c>
      <c r="X95" s="481">
        <f t="shared" si="15"/>
        <v>-150.21978260869537</v>
      </c>
      <c r="Y95" s="179"/>
      <c r="Z95" s="466">
        <f t="shared" si="16"/>
        <v>3010.7988157391305</v>
      </c>
      <c r="AA95" s="473">
        <f t="shared" si="17"/>
        <v>-280.97381573913026</v>
      </c>
      <c r="AB95" s="339">
        <f t="shared" si="18"/>
        <v>-5.2158835694432804E-2</v>
      </c>
    </row>
    <row r="96" spans="1:28" ht="20.100000000000001" customHeight="1">
      <c r="B96" s="172">
        <v>1175000</v>
      </c>
      <c r="C96" s="174">
        <v>44474</v>
      </c>
      <c r="D96" s="181" t="s">
        <v>178</v>
      </c>
      <c r="E96" s="173" t="s">
        <v>33</v>
      </c>
      <c r="F96" s="176">
        <v>4092.6952173913046</v>
      </c>
      <c r="G96" s="175">
        <f t="shared" si="20"/>
        <v>27</v>
      </c>
      <c r="H96" s="175">
        <f t="shared" si="13"/>
        <v>4092.6952173913046</v>
      </c>
      <c r="I96" s="177">
        <f>IF(G96=0,0,IF(E96="MXN",1/HLOOKUP(YEAR(C96)+(MONTH(C96)/100),TC!$5:$37,DAY(C96)+2,FALSE),VLOOKUP(E96,Equivalencia!$5:$23,((MAX(Equivalencia!$3:$3)-YEAR(C96))*14)+MONTH(C96)+2,FALSE)))</f>
        <v>1</v>
      </c>
      <c r="J96" s="178">
        <f t="shared" si="21"/>
        <v>4092.6952173913046</v>
      </c>
      <c r="K96" s="462">
        <f>IF(C96=0,0,VLOOKUP(YEAR(C96),INPC!$B$4:$O$29,MONTH(C96)+1))</f>
        <v>115.56100000000001</v>
      </c>
      <c r="L96" s="462">
        <f>IF(S96=0,0,VLOOKUP(YEAR(S96),INPC!$B$4:$O$29,MONTH(S96)+1))</f>
        <v>121.02200000000001</v>
      </c>
      <c r="M96" s="463">
        <f t="shared" si="14"/>
        <v>1.0471999999999999</v>
      </c>
      <c r="N96" s="465">
        <f t="shared" si="22"/>
        <v>4285.8704316521735</v>
      </c>
      <c r="O96" s="179"/>
      <c r="P96" s="180">
        <v>27</v>
      </c>
      <c r="Q96" s="173" t="s">
        <v>583</v>
      </c>
      <c r="R96" s="173" t="s">
        <v>230</v>
      </c>
      <c r="S96" s="174">
        <v>44685</v>
      </c>
      <c r="T96" s="173" t="s">
        <v>33</v>
      </c>
      <c r="U96" s="182">
        <v>3943.3286842105263</v>
      </c>
      <c r="V96" s="177">
        <f>IF(U96=0,0,IF(T96="MXN",1/HLOOKUP(YEAR(S96)+(MONTH(S96)/100),TC!$5:$37,DAY(S96)+2,FALSE),VLOOKUP(T96,Equivalencia!$1:$23,((MAX(Equivalencia!$3:$3)-YEAR(S96))*14)+MONTH(S96)+2,FALSE)))</f>
        <v>1</v>
      </c>
      <c r="W96" s="178">
        <f t="shared" si="19"/>
        <v>3943.3286842105263</v>
      </c>
      <c r="X96" s="481">
        <f t="shared" si="15"/>
        <v>-149.36653318077833</v>
      </c>
      <c r="Y96" s="179"/>
      <c r="Z96" s="466">
        <f t="shared" si="16"/>
        <v>4285.8704316521735</v>
      </c>
      <c r="AA96" s="473">
        <f t="shared" si="17"/>
        <v>-342.5417474416472</v>
      </c>
      <c r="AB96" s="339">
        <f t="shared" si="18"/>
        <v>-3.6495884801308276E-2</v>
      </c>
    </row>
    <row r="97" spans="2:28" ht="20.100000000000001" customHeight="1">
      <c r="B97" s="172">
        <v>1175000</v>
      </c>
      <c r="C97" s="174">
        <v>44474</v>
      </c>
      <c r="D97" s="181" t="s">
        <v>178</v>
      </c>
      <c r="E97" s="173" t="s">
        <v>33</v>
      </c>
      <c r="F97" s="176">
        <v>453.81000000000006</v>
      </c>
      <c r="G97" s="175">
        <f t="shared" si="20"/>
        <v>3</v>
      </c>
      <c r="H97" s="175">
        <f t="shared" si="13"/>
        <v>453.81000000000006</v>
      </c>
      <c r="I97" s="177">
        <f>IF(G97=0,0,IF(E97="MXN",1/HLOOKUP(YEAR(C97)+(MONTH(C97)/100),TC!$5:$37,DAY(C97)+2,FALSE),VLOOKUP(E97,Equivalencia!$5:$23,((MAX(Equivalencia!$3:$3)-YEAR(C97))*14)+MONTH(C97)+2,FALSE)))</f>
        <v>1</v>
      </c>
      <c r="J97" s="178">
        <f t="shared" si="21"/>
        <v>453.81000000000006</v>
      </c>
      <c r="K97" s="462">
        <f>IF(C97=0,0,VLOOKUP(YEAR(C97),INPC!$B$4:$O$29,MONTH(C97)+1))</f>
        <v>115.56100000000001</v>
      </c>
      <c r="L97" s="462">
        <f>IF(S97=0,0,VLOOKUP(YEAR(S97),INPC!$B$4:$O$29,MONTH(S97)+1))</f>
        <v>121.02200000000001</v>
      </c>
      <c r="M97" s="463">
        <f t="shared" si="14"/>
        <v>1.0471999999999999</v>
      </c>
      <c r="N97" s="465">
        <f t="shared" si="22"/>
        <v>475.22983200000004</v>
      </c>
      <c r="O97" s="179"/>
      <c r="P97" s="180">
        <v>3</v>
      </c>
      <c r="Q97" s="173" t="s">
        <v>583</v>
      </c>
      <c r="R97" s="173" t="s">
        <v>230</v>
      </c>
      <c r="S97" s="174">
        <v>44685</v>
      </c>
      <c r="T97" s="173" t="s">
        <v>33</v>
      </c>
      <c r="U97" s="182">
        <v>438.14763157894737</v>
      </c>
      <c r="V97" s="177">
        <f>IF(U97=0,0,IF(T97="MXN",1/HLOOKUP(YEAR(S97)+(MONTH(S97)/100),TC!$5:$37,DAY(S97)+2,FALSE),VLOOKUP(T97,Equivalencia!$1:$23,((MAX(Equivalencia!$3:$3)-YEAR(S97))*14)+MONTH(S97)+2,FALSE)))</f>
        <v>1</v>
      </c>
      <c r="W97" s="178">
        <f t="shared" si="19"/>
        <v>438.14763157894737</v>
      </c>
      <c r="X97" s="481">
        <f t="shared" si="15"/>
        <v>-15.66236842105269</v>
      </c>
      <c r="Y97" s="179"/>
      <c r="Z97" s="466">
        <f t="shared" si="16"/>
        <v>475.22983200000004</v>
      </c>
      <c r="AA97" s="473">
        <f t="shared" si="17"/>
        <v>-37.082200421052676</v>
      </c>
      <c r="AB97" s="339">
        <f t="shared" si="18"/>
        <v>-3.4513052645496312E-2</v>
      </c>
    </row>
    <row r="98" spans="2:28" ht="20.100000000000001" customHeight="1">
      <c r="B98" s="172">
        <v>1175000</v>
      </c>
      <c r="C98" s="174">
        <v>44484</v>
      </c>
      <c r="D98" s="181" t="s">
        <v>178</v>
      </c>
      <c r="E98" s="173" t="s">
        <v>33</v>
      </c>
      <c r="F98" s="176">
        <v>1293.4621276595744</v>
      </c>
      <c r="G98" s="175">
        <f t="shared" si="20"/>
        <v>8</v>
      </c>
      <c r="H98" s="175">
        <f t="shared" si="13"/>
        <v>1293.4621276595744</v>
      </c>
      <c r="I98" s="177">
        <f>IF(G98=0,0,IF(E98="MXN",1/HLOOKUP(YEAR(C98)+(MONTH(C98)/100),TC!$5:$37,DAY(C98)+2,FALSE),VLOOKUP(E98,Equivalencia!$5:$23,((MAX(Equivalencia!$3:$3)-YEAR(C98))*14)+MONTH(C98)+2,FALSE)))</f>
        <v>1</v>
      </c>
      <c r="J98" s="178">
        <f t="shared" si="21"/>
        <v>1293.4621276595744</v>
      </c>
      <c r="K98" s="462">
        <f>IF(C98=0,0,VLOOKUP(YEAR(C98),INPC!$B$4:$O$29,MONTH(C98)+1))</f>
        <v>115.56100000000001</v>
      </c>
      <c r="L98" s="462">
        <f>IF(S98=0,0,VLOOKUP(YEAR(S98),INPC!$B$4:$O$29,MONTH(S98)+1))</f>
        <v>121.02200000000001</v>
      </c>
      <c r="M98" s="463">
        <f t="shared" si="14"/>
        <v>1.0471999999999999</v>
      </c>
      <c r="N98" s="465">
        <f t="shared" si="22"/>
        <v>1354.5135400851063</v>
      </c>
      <c r="O98" s="179"/>
      <c r="P98" s="180">
        <v>8</v>
      </c>
      <c r="Q98" s="173" t="s">
        <v>583</v>
      </c>
      <c r="R98" s="173" t="s">
        <v>230</v>
      </c>
      <c r="S98" s="174">
        <v>44685</v>
      </c>
      <c r="T98" s="173" t="s">
        <v>33</v>
      </c>
      <c r="U98" s="182">
        <v>1168.3936842105263</v>
      </c>
      <c r="V98" s="177">
        <f>IF(U98=0,0,IF(T98="MXN",1/HLOOKUP(YEAR(S98)+(MONTH(S98)/100),TC!$5:$37,DAY(S98)+2,FALSE),VLOOKUP(T98,Equivalencia!$1:$23,((MAX(Equivalencia!$3:$3)-YEAR(S98))*14)+MONTH(S98)+2,FALSE)))</f>
        <v>1</v>
      </c>
      <c r="W98" s="178">
        <f t="shared" si="19"/>
        <v>1168.3936842105263</v>
      </c>
      <c r="X98" s="481">
        <f t="shared" si="15"/>
        <v>-125.06844344904812</v>
      </c>
      <c r="Y98" s="179"/>
      <c r="Z98" s="466">
        <f t="shared" si="16"/>
        <v>1354.5135400851063</v>
      </c>
      <c r="AA98" s="473">
        <f t="shared" si="17"/>
        <v>-186.11985587458003</v>
      </c>
      <c r="AB98" s="339">
        <f t="shared" si="18"/>
        <v>-9.6692775748564275E-2</v>
      </c>
    </row>
    <row r="99" spans="2:28" ht="20.100000000000001" customHeight="1">
      <c r="B99" s="172">
        <v>1175000</v>
      </c>
      <c r="C99" s="174">
        <v>44484</v>
      </c>
      <c r="D99" s="181" t="s">
        <v>178</v>
      </c>
      <c r="E99" s="173" t="s">
        <v>33</v>
      </c>
      <c r="F99" s="176">
        <v>161.6827659574468</v>
      </c>
      <c r="G99" s="175">
        <f t="shared" si="20"/>
        <v>1</v>
      </c>
      <c r="H99" s="175">
        <f t="shared" si="13"/>
        <v>161.6827659574468</v>
      </c>
      <c r="I99" s="177">
        <f>IF(G99=0,0,IF(E99="MXN",1/HLOOKUP(YEAR(C99)+(MONTH(C99)/100),TC!$5:$37,DAY(C99)+2,FALSE),VLOOKUP(E99,Equivalencia!$5:$23,((MAX(Equivalencia!$3:$3)-YEAR(C99))*14)+MONTH(C99)+2,FALSE)))</f>
        <v>1</v>
      </c>
      <c r="J99" s="178">
        <f t="shared" si="21"/>
        <v>161.6827659574468</v>
      </c>
      <c r="K99" s="462">
        <f>IF(C99=0,0,VLOOKUP(YEAR(C99),INPC!$B$4:$O$29,MONTH(C99)+1))</f>
        <v>115.56100000000001</v>
      </c>
      <c r="L99" s="462">
        <f>IF(S99=0,0,VLOOKUP(YEAR(S99),INPC!$B$4:$O$29,MONTH(S99)+1))</f>
        <v>122.044</v>
      </c>
      <c r="M99" s="463">
        <f t="shared" si="14"/>
        <v>1.0561</v>
      </c>
      <c r="N99" s="465">
        <f t="shared" si="22"/>
        <v>170.75316912765959</v>
      </c>
      <c r="O99" s="179"/>
      <c r="P99" s="180">
        <v>1</v>
      </c>
      <c r="Q99" s="173" t="s">
        <v>583</v>
      </c>
      <c r="R99" s="173" t="s">
        <v>230</v>
      </c>
      <c r="S99" s="174">
        <v>44742</v>
      </c>
      <c r="T99" s="173" t="s">
        <v>33</v>
      </c>
      <c r="U99" s="182">
        <v>126.68</v>
      </c>
      <c r="V99" s="177">
        <f>IF(U99=0,0,IF(T99="MXN",1/HLOOKUP(YEAR(S99)+(MONTH(S99)/100),TC!$5:$37,DAY(S99)+2,FALSE),VLOOKUP(T99,Equivalencia!$1:$23,((MAX(Equivalencia!$3:$3)-YEAR(S99))*14)+MONTH(S99)+2,FALSE)))</f>
        <v>1</v>
      </c>
      <c r="W99" s="178">
        <f t="shared" si="19"/>
        <v>126.68</v>
      </c>
      <c r="X99" s="481">
        <f t="shared" si="15"/>
        <v>-35.002765957446798</v>
      </c>
      <c r="Y99" s="179"/>
      <c r="Z99" s="466">
        <f t="shared" si="16"/>
        <v>170.75316912765959</v>
      </c>
      <c r="AA99" s="473">
        <f t="shared" si="17"/>
        <v>-44.073169127659583</v>
      </c>
      <c r="AB99" s="339">
        <f t="shared" si="18"/>
        <v>-0.21649039556052097</v>
      </c>
    </row>
    <row r="100" spans="2:28" ht="20.100000000000001" customHeight="1">
      <c r="B100" s="172">
        <v>1175000</v>
      </c>
      <c r="C100" s="174">
        <v>44484</v>
      </c>
      <c r="D100" s="181" t="s">
        <v>178</v>
      </c>
      <c r="E100" s="173" t="s">
        <v>33</v>
      </c>
      <c r="F100" s="176">
        <v>1616.827659574468</v>
      </c>
      <c r="G100" s="175">
        <f t="shared" si="20"/>
        <v>10</v>
      </c>
      <c r="H100" s="175">
        <f t="shared" si="13"/>
        <v>1616.827659574468</v>
      </c>
      <c r="I100" s="177">
        <f>IF(G100=0,0,IF(E100="MXN",1/HLOOKUP(YEAR(C100)+(MONTH(C100)/100),TC!$5:$37,DAY(C100)+2,FALSE),VLOOKUP(E100,Equivalencia!$5:$23,((MAX(Equivalencia!$3:$3)-YEAR(C100))*14)+MONTH(C100)+2,FALSE)))</f>
        <v>1</v>
      </c>
      <c r="J100" s="178">
        <f t="shared" si="21"/>
        <v>1616.827659574468</v>
      </c>
      <c r="K100" s="462">
        <f>IF(C100=0,0,VLOOKUP(YEAR(C100),INPC!$B$4:$O$29,MONTH(C100)+1))</f>
        <v>115.56100000000001</v>
      </c>
      <c r="L100" s="462">
        <f>IF(S100=0,0,VLOOKUP(YEAR(S100),INPC!$B$4:$O$29,MONTH(S100)+1))</f>
        <v>122.044</v>
      </c>
      <c r="M100" s="463">
        <f t="shared" si="14"/>
        <v>1.0561</v>
      </c>
      <c r="N100" s="465">
        <f t="shared" si="22"/>
        <v>1707.5316912765957</v>
      </c>
      <c r="O100" s="179"/>
      <c r="P100" s="180">
        <v>10</v>
      </c>
      <c r="Q100" s="173" t="s">
        <v>583</v>
      </c>
      <c r="R100" s="173" t="s">
        <v>230</v>
      </c>
      <c r="S100" s="174">
        <v>44742</v>
      </c>
      <c r="T100" s="173" t="s">
        <v>33</v>
      </c>
      <c r="U100" s="182">
        <v>1261.3</v>
      </c>
      <c r="V100" s="177">
        <f>IF(U100=0,0,IF(T100="MXN",1/HLOOKUP(YEAR(S100)+(MONTH(S100)/100),TC!$5:$37,DAY(S100)+2,FALSE),VLOOKUP(T100,Equivalencia!$1:$23,((MAX(Equivalencia!$3:$3)-YEAR(S100))*14)+MONTH(S100)+2,FALSE)))</f>
        <v>1</v>
      </c>
      <c r="W100" s="178">
        <f t="shared" si="19"/>
        <v>1261.3</v>
      </c>
      <c r="X100" s="481">
        <f t="shared" si="15"/>
        <v>-355.52765957446809</v>
      </c>
      <c r="Y100" s="179"/>
      <c r="Z100" s="466">
        <f t="shared" si="16"/>
        <v>1707.5316912765957</v>
      </c>
      <c r="AA100" s="473">
        <f t="shared" si="17"/>
        <v>-446.23169127659571</v>
      </c>
      <c r="AB100" s="339">
        <f t="shared" si="18"/>
        <v>-0.21989211866157654</v>
      </c>
    </row>
    <row r="101" spans="2:28" ht="20.100000000000001" customHeight="1">
      <c r="B101" s="172">
        <v>1175000</v>
      </c>
      <c r="C101" s="174">
        <v>44484</v>
      </c>
      <c r="D101" s="181" t="s">
        <v>178</v>
      </c>
      <c r="E101" s="173" t="s">
        <v>33</v>
      </c>
      <c r="F101" s="176">
        <v>2425.241489361702</v>
      </c>
      <c r="G101" s="175">
        <f t="shared" si="20"/>
        <v>15</v>
      </c>
      <c r="H101" s="175">
        <f t="shared" si="13"/>
        <v>2425.241489361702</v>
      </c>
      <c r="I101" s="177">
        <f>IF(G101=0,0,IF(E101="MXN",1/HLOOKUP(YEAR(C101)+(MONTH(C101)/100),TC!$5:$37,DAY(C101)+2,FALSE),VLOOKUP(E101,Equivalencia!$5:$23,((MAX(Equivalencia!$3:$3)-YEAR(C101))*14)+MONTH(C101)+2,FALSE)))</f>
        <v>1</v>
      </c>
      <c r="J101" s="178">
        <f t="shared" si="21"/>
        <v>2425.241489361702</v>
      </c>
      <c r="K101" s="462">
        <f>IF(C101=0,0,VLOOKUP(YEAR(C101),INPC!$B$4:$O$29,MONTH(C101)+1))</f>
        <v>115.56100000000001</v>
      </c>
      <c r="L101" s="462">
        <f>IF(S101=0,0,VLOOKUP(YEAR(S101),INPC!$B$4:$O$29,MONTH(S101)+1))</f>
        <v>122.044</v>
      </c>
      <c r="M101" s="463">
        <f t="shared" si="14"/>
        <v>1.0561</v>
      </c>
      <c r="N101" s="465">
        <f t="shared" si="22"/>
        <v>2561.2975369148935</v>
      </c>
      <c r="O101" s="179"/>
      <c r="P101" s="180">
        <v>15</v>
      </c>
      <c r="Q101" s="173" t="s">
        <v>583</v>
      </c>
      <c r="R101" s="173" t="s">
        <v>230</v>
      </c>
      <c r="S101" s="174">
        <v>44728</v>
      </c>
      <c r="T101" s="173" t="s">
        <v>33</v>
      </c>
      <c r="U101" s="182">
        <v>1890.52</v>
      </c>
      <c r="V101" s="177">
        <f>IF(U101=0,0,IF(T101="MXN",1/HLOOKUP(YEAR(S101)+(MONTH(S101)/100),TC!$5:$37,DAY(S101)+2,FALSE),VLOOKUP(T101,Equivalencia!$1:$23,((MAX(Equivalencia!$3:$3)-YEAR(S101))*14)+MONTH(S101)+2,FALSE)))</f>
        <v>1</v>
      </c>
      <c r="W101" s="178">
        <f t="shared" si="19"/>
        <v>1890.52</v>
      </c>
      <c r="X101" s="481">
        <f t="shared" si="15"/>
        <v>-534.72148936170197</v>
      </c>
      <c r="Y101" s="179"/>
      <c r="Z101" s="466">
        <f t="shared" si="16"/>
        <v>2561.2975369148935</v>
      </c>
      <c r="AA101" s="473">
        <f t="shared" si="17"/>
        <v>-670.77753691489352</v>
      </c>
      <c r="AB101" s="339">
        <f t="shared" si="18"/>
        <v>-0.22048175066575948</v>
      </c>
    </row>
    <row r="102" spans="2:28" ht="20.100000000000001" customHeight="1">
      <c r="B102" s="172">
        <v>1175000</v>
      </c>
      <c r="C102" s="174">
        <v>44484</v>
      </c>
      <c r="D102" s="181" t="s">
        <v>178</v>
      </c>
      <c r="E102" s="173" t="s">
        <v>33</v>
      </c>
      <c r="F102" s="176">
        <v>323.36553191489361</v>
      </c>
      <c r="G102" s="175">
        <f t="shared" si="20"/>
        <v>2</v>
      </c>
      <c r="H102" s="175">
        <f t="shared" si="13"/>
        <v>323.36553191489361</v>
      </c>
      <c r="I102" s="177">
        <f>IF(G102=0,0,IF(E102="MXN",1/HLOOKUP(YEAR(C102)+(MONTH(C102)/100),TC!$5:$37,DAY(C102)+2,FALSE),VLOOKUP(E102,Equivalencia!$5:$23,((MAX(Equivalencia!$3:$3)-YEAR(C102))*14)+MONTH(C102)+2,FALSE)))</f>
        <v>1</v>
      </c>
      <c r="J102" s="178">
        <f t="shared" si="21"/>
        <v>323.36553191489361</v>
      </c>
      <c r="K102" s="462">
        <f>IF(C102=0,0,VLOOKUP(YEAR(C102),INPC!$B$4:$O$29,MONTH(C102)+1))</f>
        <v>115.56100000000001</v>
      </c>
      <c r="L102" s="462">
        <f>IF(S102=0,0,VLOOKUP(YEAR(S102),INPC!$B$4:$O$29,MONTH(S102)+1))</f>
        <v>122.044</v>
      </c>
      <c r="M102" s="463">
        <f t="shared" si="14"/>
        <v>1.0561</v>
      </c>
      <c r="N102" s="465">
        <f t="shared" si="22"/>
        <v>341.50633825531918</v>
      </c>
      <c r="O102" s="179"/>
      <c r="P102" s="180">
        <v>2</v>
      </c>
      <c r="Q102" s="173" t="s">
        <v>583</v>
      </c>
      <c r="R102" s="173" t="s">
        <v>230</v>
      </c>
      <c r="S102" s="174">
        <v>44742</v>
      </c>
      <c r="T102" s="173" t="s">
        <v>33</v>
      </c>
      <c r="U102" s="182">
        <v>251.53</v>
      </c>
      <c r="V102" s="177">
        <f>IF(U102=0,0,IF(T102="MXN",1/HLOOKUP(YEAR(S102)+(MONTH(S102)/100),TC!$5:$37,DAY(S102)+2,FALSE),VLOOKUP(T102,Equivalencia!$1:$23,((MAX(Equivalencia!$3:$3)-YEAR(S102))*14)+MONTH(S102)+2,FALSE)))</f>
        <v>1</v>
      </c>
      <c r="W102" s="178">
        <f t="shared" si="19"/>
        <v>251.53</v>
      </c>
      <c r="X102" s="481">
        <f t="shared" si="15"/>
        <v>-71.835531914893608</v>
      </c>
      <c r="Y102" s="179"/>
      <c r="Z102" s="466">
        <f t="shared" si="16"/>
        <v>341.50633825531918</v>
      </c>
      <c r="AA102" s="473">
        <f t="shared" si="17"/>
        <v>-89.976338255319178</v>
      </c>
      <c r="AB102" s="339">
        <f t="shared" si="18"/>
        <v>-0.22214962581045883</v>
      </c>
    </row>
    <row r="103" spans="2:28" ht="20.100000000000001" customHeight="1">
      <c r="B103" s="172">
        <v>1175000</v>
      </c>
      <c r="C103" s="174">
        <v>44484</v>
      </c>
      <c r="D103" s="181" t="s">
        <v>178</v>
      </c>
      <c r="E103" s="173" t="s">
        <v>33</v>
      </c>
      <c r="F103" s="176">
        <v>1778.5104255319147</v>
      </c>
      <c r="G103" s="175">
        <f t="shared" si="20"/>
        <v>11</v>
      </c>
      <c r="H103" s="175">
        <f t="shared" si="13"/>
        <v>1778.5104255319147</v>
      </c>
      <c r="I103" s="177">
        <f>IF(G103=0,0,IF(E103="MXN",1/HLOOKUP(YEAR(C103)+(MONTH(C103)/100),TC!$5:$37,DAY(C103)+2,FALSE),VLOOKUP(E103,Equivalencia!$5:$23,((MAX(Equivalencia!$3:$3)-YEAR(C103))*14)+MONTH(C103)+2,FALSE)))</f>
        <v>1</v>
      </c>
      <c r="J103" s="178">
        <f t="shared" si="21"/>
        <v>1778.5104255319147</v>
      </c>
      <c r="K103" s="462">
        <f>IF(C103=0,0,VLOOKUP(YEAR(C103),INPC!$B$4:$O$29,MONTH(C103)+1))</f>
        <v>115.56100000000001</v>
      </c>
      <c r="L103" s="462">
        <f>IF(S103=0,0,VLOOKUP(YEAR(S103),INPC!$B$4:$O$29,MONTH(S103)+1))</f>
        <v>122.044</v>
      </c>
      <c r="M103" s="463">
        <f t="shared" si="14"/>
        <v>1.0561</v>
      </c>
      <c r="N103" s="465">
        <f t="shared" si="22"/>
        <v>1878.2848604042551</v>
      </c>
      <c r="O103" s="179"/>
      <c r="P103" s="180">
        <v>11</v>
      </c>
      <c r="Q103" s="173" t="s">
        <v>583</v>
      </c>
      <c r="R103" s="173" t="s">
        <v>230</v>
      </c>
      <c r="S103" s="174">
        <v>44727</v>
      </c>
      <c r="T103" s="173" t="s">
        <v>33</v>
      </c>
      <c r="U103" s="182">
        <v>1436.4561538461539</v>
      </c>
      <c r="V103" s="177">
        <f>IF(U103=0,0,IF(T103="MXN",1/HLOOKUP(YEAR(S103)+(MONTH(S103)/100),TC!$5:$37,DAY(S103)+2,FALSE),VLOOKUP(T103,Equivalencia!$1:$23,((MAX(Equivalencia!$3:$3)-YEAR(S103))*14)+MONTH(S103)+2,FALSE)))</f>
        <v>1</v>
      </c>
      <c r="W103" s="178">
        <f t="shared" si="19"/>
        <v>1436.4561538461539</v>
      </c>
      <c r="X103" s="481">
        <f t="shared" si="15"/>
        <v>-342.0542716857608</v>
      </c>
      <c r="Y103" s="179"/>
      <c r="Z103" s="466">
        <f t="shared" si="16"/>
        <v>1878.2848604042551</v>
      </c>
      <c r="AA103" s="473">
        <f t="shared" si="17"/>
        <v>-441.8287065581012</v>
      </c>
      <c r="AB103" s="339">
        <f t="shared" si="18"/>
        <v>-0.19232626740630976</v>
      </c>
    </row>
    <row r="104" spans="2:28" ht="20.100000000000001" customHeight="1">
      <c r="B104" s="172">
        <v>1175000</v>
      </c>
      <c r="C104" s="174">
        <v>44484</v>
      </c>
      <c r="D104" s="181" t="s">
        <v>178</v>
      </c>
      <c r="E104" s="173" t="s">
        <v>33</v>
      </c>
      <c r="F104" s="176">
        <v>160.88</v>
      </c>
      <c r="G104" s="175">
        <f t="shared" si="20"/>
        <v>1</v>
      </c>
      <c r="H104" s="175">
        <f t="shared" si="13"/>
        <v>160.88</v>
      </c>
      <c r="I104" s="177">
        <f>IF(G104=0,0,IF(E104="MXN",1/HLOOKUP(YEAR(C104)+(MONTH(C104)/100),TC!$5:$37,DAY(C104)+2,FALSE),VLOOKUP(E104,Equivalencia!$5:$23,((MAX(Equivalencia!$3:$3)-YEAR(C104))*14)+MONTH(C104)+2,FALSE)))</f>
        <v>1</v>
      </c>
      <c r="J104" s="178">
        <f t="shared" si="21"/>
        <v>160.88</v>
      </c>
      <c r="K104" s="462">
        <f>IF(C104=0,0,VLOOKUP(YEAR(C104),INPC!$B$4:$O$29,MONTH(C104)+1))</f>
        <v>115.56100000000001</v>
      </c>
      <c r="L104" s="462">
        <f>IF(S104=0,0,VLOOKUP(YEAR(S104),INPC!$B$4:$O$29,MONTH(S104)+1))</f>
        <v>122.044</v>
      </c>
      <c r="M104" s="463">
        <f t="shared" si="14"/>
        <v>1.0561</v>
      </c>
      <c r="N104" s="465">
        <f t="shared" si="22"/>
        <v>169.90536800000001</v>
      </c>
      <c r="O104" s="179"/>
      <c r="P104" s="180">
        <v>1</v>
      </c>
      <c r="Q104" s="173" t="s">
        <v>583</v>
      </c>
      <c r="R104" s="173" t="s">
        <v>230</v>
      </c>
      <c r="S104" s="174">
        <v>44727</v>
      </c>
      <c r="T104" s="173" t="s">
        <v>33</v>
      </c>
      <c r="U104" s="182">
        <v>130.58692307692309</v>
      </c>
      <c r="V104" s="177">
        <f>IF(U104=0,0,IF(T104="MXN",1/HLOOKUP(YEAR(S104)+(MONTH(S104)/100),TC!$5:$37,DAY(S104)+2,FALSE),VLOOKUP(T104,Equivalencia!$1:$23,((MAX(Equivalencia!$3:$3)-YEAR(S104))*14)+MONTH(S104)+2,FALSE)))</f>
        <v>1</v>
      </c>
      <c r="W104" s="178">
        <f t="shared" si="19"/>
        <v>130.58692307692309</v>
      </c>
      <c r="X104" s="481">
        <f t="shared" si="15"/>
        <v>-30.29307692307691</v>
      </c>
      <c r="Y104" s="179"/>
      <c r="Z104" s="466">
        <f t="shared" si="16"/>
        <v>169.90536800000001</v>
      </c>
      <c r="AA104" s="473">
        <f t="shared" si="17"/>
        <v>-39.318444923076925</v>
      </c>
      <c r="AB104" s="339">
        <f t="shared" si="18"/>
        <v>-0.1882961022070917</v>
      </c>
    </row>
    <row r="105" spans="2:28" ht="20.100000000000001" customHeight="1">
      <c r="B105" s="172">
        <v>1175000</v>
      </c>
      <c r="C105" s="174">
        <v>44484</v>
      </c>
      <c r="D105" s="181" t="s">
        <v>178</v>
      </c>
      <c r="E105" s="173" t="s">
        <v>33</v>
      </c>
      <c r="F105" s="176">
        <v>806.88999999999987</v>
      </c>
      <c r="G105" s="175">
        <f t="shared" si="20"/>
        <v>5</v>
      </c>
      <c r="H105" s="175">
        <f t="shared" si="13"/>
        <v>806.88999999999987</v>
      </c>
      <c r="I105" s="177">
        <f>IF(G105=0,0,IF(E105="MXN",1/HLOOKUP(YEAR(C105)+(MONTH(C105)/100),TC!$5:$37,DAY(C105)+2,FALSE),VLOOKUP(E105,Equivalencia!$5:$23,((MAX(Equivalencia!$3:$3)-YEAR(C105))*14)+MONTH(C105)+2,FALSE)))</f>
        <v>1</v>
      </c>
      <c r="J105" s="178">
        <f t="shared" si="21"/>
        <v>806.88999999999987</v>
      </c>
      <c r="K105" s="462">
        <f>IF(C105=0,0,VLOOKUP(YEAR(C105),INPC!$B$4:$O$29,MONTH(C105)+1))</f>
        <v>115.56100000000001</v>
      </c>
      <c r="L105" s="462">
        <f>IF(S105=0,0,VLOOKUP(YEAR(S105),INPC!$B$4:$O$29,MONTH(S105)+1))</f>
        <v>122.044</v>
      </c>
      <c r="M105" s="463">
        <f t="shared" si="14"/>
        <v>1.0561</v>
      </c>
      <c r="N105" s="465">
        <f t="shared" si="22"/>
        <v>852.15652899999986</v>
      </c>
      <c r="O105" s="179"/>
      <c r="P105" s="180">
        <v>5</v>
      </c>
      <c r="Q105" s="173" t="s">
        <v>583</v>
      </c>
      <c r="R105" s="173" t="s">
        <v>230</v>
      </c>
      <c r="S105" s="174">
        <v>44727</v>
      </c>
      <c r="T105" s="173" t="s">
        <v>33</v>
      </c>
      <c r="U105" s="182">
        <v>652.93461538461543</v>
      </c>
      <c r="V105" s="177">
        <f>IF(U105=0,0,IF(T105="MXN",1/HLOOKUP(YEAR(S105)+(MONTH(S105)/100),TC!$5:$37,DAY(S105)+2,FALSE),VLOOKUP(T105,Equivalencia!$1:$23,((MAX(Equivalencia!$3:$3)-YEAR(S105))*14)+MONTH(S105)+2,FALSE)))</f>
        <v>1</v>
      </c>
      <c r="W105" s="178">
        <f t="shared" si="19"/>
        <v>652.93461538461543</v>
      </c>
      <c r="X105" s="481">
        <f t="shared" si="15"/>
        <v>-153.95538461538445</v>
      </c>
      <c r="Y105" s="179"/>
      <c r="Z105" s="466">
        <f t="shared" si="16"/>
        <v>852.15652899999986</v>
      </c>
      <c r="AA105" s="473">
        <f t="shared" si="17"/>
        <v>-199.22191361538444</v>
      </c>
      <c r="AB105" s="339">
        <f t="shared" si="18"/>
        <v>-0.19080095752256743</v>
      </c>
    </row>
    <row r="106" spans="2:28" ht="20.100000000000001" customHeight="1">
      <c r="B106" s="172">
        <v>1175000</v>
      </c>
      <c r="C106" s="174">
        <v>44489</v>
      </c>
      <c r="D106" s="181" t="s">
        <v>178</v>
      </c>
      <c r="E106" s="173" t="s">
        <v>33</v>
      </c>
      <c r="F106" s="176">
        <v>1465.9875000000002</v>
      </c>
      <c r="G106" s="175">
        <f t="shared" si="20"/>
        <v>9</v>
      </c>
      <c r="H106" s="175">
        <f t="shared" si="13"/>
        <v>1465.9875000000002</v>
      </c>
      <c r="I106" s="177">
        <f>IF(G106=0,0,IF(E106="MXN",1/HLOOKUP(YEAR(C106)+(MONTH(C106)/100),TC!$5:$37,DAY(C106)+2,FALSE),VLOOKUP(E106,Equivalencia!$5:$23,((MAX(Equivalencia!$3:$3)-YEAR(C106))*14)+MONTH(C106)+2,FALSE)))</f>
        <v>1</v>
      </c>
      <c r="J106" s="178">
        <f t="shared" si="21"/>
        <v>1465.9875000000002</v>
      </c>
      <c r="K106" s="462">
        <f>IF(C106=0,0,VLOOKUP(YEAR(C106),INPC!$B$4:$O$29,MONTH(C106)+1))</f>
        <v>115.56100000000001</v>
      </c>
      <c r="L106" s="462">
        <f>IF(S106=0,0,VLOOKUP(YEAR(S106),INPC!$B$4:$O$29,MONTH(S106)+1))</f>
        <v>122.044</v>
      </c>
      <c r="M106" s="463">
        <f t="shared" si="14"/>
        <v>1.0561</v>
      </c>
      <c r="N106" s="465">
        <f t="shared" si="22"/>
        <v>1548.2293987500002</v>
      </c>
      <c r="O106" s="179"/>
      <c r="P106" s="180">
        <v>9</v>
      </c>
      <c r="Q106" s="173" t="s">
        <v>583</v>
      </c>
      <c r="R106" s="173" t="s">
        <v>230</v>
      </c>
      <c r="S106" s="174">
        <v>44727</v>
      </c>
      <c r="T106" s="173" t="s">
        <v>33</v>
      </c>
      <c r="U106" s="182">
        <v>1175.2823076923078</v>
      </c>
      <c r="V106" s="177">
        <f>IF(U106=0,0,IF(T106="MXN",1/HLOOKUP(YEAR(S106)+(MONTH(S106)/100),TC!$5:$37,DAY(S106)+2,FALSE),VLOOKUP(T106,Equivalencia!$1:$23,((MAX(Equivalencia!$3:$3)-YEAR(S106))*14)+MONTH(S106)+2,FALSE)))</f>
        <v>1</v>
      </c>
      <c r="W106" s="178">
        <f t="shared" si="19"/>
        <v>1175.2823076923078</v>
      </c>
      <c r="X106" s="481">
        <f t="shared" si="15"/>
        <v>-290.70519230769241</v>
      </c>
      <c r="Y106" s="179"/>
      <c r="Z106" s="466">
        <f t="shared" si="16"/>
        <v>1548.2293987500002</v>
      </c>
      <c r="AA106" s="473">
        <f t="shared" si="17"/>
        <v>-372.94709105769243</v>
      </c>
      <c r="AB106" s="339">
        <f t="shared" si="18"/>
        <v>-0.19829991204406061</v>
      </c>
    </row>
    <row r="107" spans="2:28" ht="20.100000000000001" customHeight="1">
      <c r="B107" s="172">
        <v>1175000</v>
      </c>
      <c r="C107" s="174">
        <v>44489</v>
      </c>
      <c r="D107" s="181" t="s">
        <v>178</v>
      </c>
      <c r="E107" s="173" t="s">
        <v>33</v>
      </c>
      <c r="F107" s="176">
        <v>488.66250000000002</v>
      </c>
      <c r="G107" s="175">
        <f t="shared" si="20"/>
        <v>3</v>
      </c>
      <c r="H107" s="175">
        <f t="shared" si="13"/>
        <v>488.66250000000002</v>
      </c>
      <c r="I107" s="177">
        <f>IF(G107=0,0,IF(E107="MXN",1/HLOOKUP(YEAR(C107)+(MONTH(C107)/100),TC!$5:$37,DAY(C107)+2,FALSE),VLOOKUP(E107,Equivalencia!$5:$23,((MAX(Equivalencia!$3:$3)-YEAR(C107))*14)+MONTH(C107)+2,FALSE)))</f>
        <v>1</v>
      </c>
      <c r="J107" s="178">
        <f t="shared" si="21"/>
        <v>488.66250000000002</v>
      </c>
      <c r="K107" s="462">
        <f>IF(C107=0,0,VLOOKUP(YEAR(C107),INPC!$B$4:$O$29,MONTH(C107)+1))</f>
        <v>115.56100000000001</v>
      </c>
      <c r="L107" s="462">
        <f>IF(S107=0,0,VLOOKUP(YEAR(S107),INPC!$B$4:$O$29,MONTH(S107)+1))</f>
        <v>122.044</v>
      </c>
      <c r="M107" s="463">
        <f t="shared" si="14"/>
        <v>1.0561</v>
      </c>
      <c r="N107" s="465">
        <f t="shared" si="22"/>
        <v>516.07646625000007</v>
      </c>
      <c r="O107" s="179"/>
      <c r="P107" s="180">
        <v>3</v>
      </c>
      <c r="Q107" s="173" t="s">
        <v>583</v>
      </c>
      <c r="R107" s="173" t="s">
        <v>230</v>
      </c>
      <c r="S107" s="174">
        <v>44727</v>
      </c>
      <c r="T107" s="173" t="s">
        <v>33</v>
      </c>
      <c r="U107" s="182">
        <v>392.99</v>
      </c>
      <c r="V107" s="177">
        <f>IF(U107=0,0,IF(T107="MXN",1/HLOOKUP(YEAR(S107)+(MONTH(S107)/100),TC!$5:$37,DAY(S107)+2,FALSE),VLOOKUP(T107,Equivalencia!$1:$23,((MAX(Equivalencia!$3:$3)-YEAR(S107))*14)+MONTH(S107)+2,FALSE)))</f>
        <v>1</v>
      </c>
      <c r="W107" s="178">
        <f t="shared" si="19"/>
        <v>392.99</v>
      </c>
      <c r="X107" s="481">
        <f t="shared" si="15"/>
        <v>-95.672500000000014</v>
      </c>
      <c r="Y107" s="179"/>
      <c r="Z107" s="466">
        <f t="shared" si="16"/>
        <v>516.07646625000007</v>
      </c>
      <c r="AA107" s="473">
        <f t="shared" si="17"/>
        <v>-123.08646625000006</v>
      </c>
      <c r="AB107" s="339">
        <f t="shared" si="18"/>
        <v>-0.19578441153147619</v>
      </c>
    </row>
    <row r="108" spans="2:28" ht="20.100000000000001" customHeight="1">
      <c r="B108" s="172">
        <v>1175000</v>
      </c>
      <c r="C108" s="174">
        <v>44490</v>
      </c>
      <c r="D108" s="181" t="s">
        <v>178</v>
      </c>
      <c r="E108" s="173" t="s">
        <v>33</v>
      </c>
      <c r="F108" s="176">
        <v>485.47499999999997</v>
      </c>
      <c r="G108" s="175">
        <f t="shared" si="20"/>
        <v>3</v>
      </c>
      <c r="H108" s="175">
        <f t="shared" si="13"/>
        <v>485.47499999999997</v>
      </c>
      <c r="I108" s="177">
        <f>IF(G108=0,0,IF(E108="MXN",1/HLOOKUP(YEAR(C108)+(MONTH(C108)/100),TC!$5:$37,DAY(C108)+2,FALSE),VLOOKUP(E108,Equivalencia!$5:$23,((MAX(Equivalencia!$3:$3)-YEAR(C108))*14)+MONTH(C108)+2,FALSE)))</f>
        <v>1</v>
      </c>
      <c r="J108" s="178">
        <f t="shared" si="21"/>
        <v>485.47499999999997</v>
      </c>
      <c r="K108" s="462">
        <f>IF(C108=0,0,VLOOKUP(YEAR(C108),INPC!$B$4:$O$29,MONTH(C108)+1))</f>
        <v>115.56100000000001</v>
      </c>
      <c r="L108" s="462">
        <f>IF(S108=0,0,VLOOKUP(YEAR(S108),INPC!$B$4:$O$29,MONTH(S108)+1))</f>
        <v>122.044</v>
      </c>
      <c r="M108" s="463">
        <f t="shared" si="14"/>
        <v>1.0561</v>
      </c>
      <c r="N108" s="465">
        <f t="shared" si="22"/>
        <v>512.71014749999995</v>
      </c>
      <c r="O108" s="179"/>
      <c r="P108" s="180">
        <v>3</v>
      </c>
      <c r="Q108" s="173" t="s">
        <v>583</v>
      </c>
      <c r="R108" s="173" t="s">
        <v>230</v>
      </c>
      <c r="S108" s="174">
        <v>44727</v>
      </c>
      <c r="T108" s="173" t="s">
        <v>33</v>
      </c>
      <c r="U108" s="182">
        <v>392.99</v>
      </c>
      <c r="V108" s="177">
        <f>IF(U108=0,0,IF(T108="MXN",1/HLOOKUP(YEAR(S108)+(MONTH(S108)/100),TC!$5:$37,DAY(S108)+2,FALSE),VLOOKUP(T108,Equivalencia!$1:$23,((MAX(Equivalencia!$3:$3)-YEAR(S108))*14)+MONTH(S108)+2,FALSE)))</f>
        <v>1</v>
      </c>
      <c r="W108" s="178">
        <f t="shared" si="19"/>
        <v>392.99</v>
      </c>
      <c r="X108" s="481">
        <f t="shared" si="15"/>
        <v>-92.484999999999957</v>
      </c>
      <c r="Y108" s="179"/>
      <c r="Z108" s="466">
        <f t="shared" si="16"/>
        <v>512.71014749999995</v>
      </c>
      <c r="AA108" s="473">
        <f t="shared" si="17"/>
        <v>-119.72014749999994</v>
      </c>
      <c r="AB108" s="339">
        <f t="shared" si="18"/>
        <v>-0.19050414542458405</v>
      </c>
    </row>
    <row r="109" spans="2:28" ht="20.100000000000001" customHeight="1">
      <c r="B109" s="172">
        <v>1175000</v>
      </c>
      <c r="C109" s="174">
        <v>44490</v>
      </c>
      <c r="D109" s="181" t="s">
        <v>178</v>
      </c>
      <c r="E109" s="173" t="s">
        <v>33</v>
      </c>
      <c r="F109" s="176">
        <v>161.82499999999999</v>
      </c>
      <c r="G109" s="175">
        <f t="shared" si="20"/>
        <v>1</v>
      </c>
      <c r="H109" s="175">
        <f t="shared" si="13"/>
        <v>161.82499999999999</v>
      </c>
      <c r="I109" s="177">
        <f>IF(G109=0,0,IF(E109="MXN",1/HLOOKUP(YEAR(C109)+(MONTH(C109)/100),TC!$5:$37,DAY(C109)+2,FALSE),VLOOKUP(E109,Equivalencia!$5:$23,((MAX(Equivalencia!$3:$3)-YEAR(C109))*14)+MONTH(C109)+2,FALSE)))</f>
        <v>1</v>
      </c>
      <c r="J109" s="178">
        <f t="shared" si="21"/>
        <v>161.82499999999999</v>
      </c>
      <c r="K109" s="462">
        <f>IF(C109=0,0,VLOOKUP(YEAR(C109),INPC!$B$4:$O$29,MONTH(C109)+1))</f>
        <v>115.56100000000001</v>
      </c>
      <c r="L109" s="462">
        <f>IF(S109=0,0,VLOOKUP(YEAR(S109),INPC!$B$4:$O$29,MONTH(S109)+1))</f>
        <v>122.044</v>
      </c>
      <c r="M109" s="463">
        <f t="shared" si="14"/>
        <v>1.0561</v>
      </c>
      <c r="N109" s="465">
        <f t="shared" si="22"/>
        <v>170.90338249999999</v>
      </c>
      <c r="O109" s="179"/>
      <c r="P109" s="180">
        <v>1</v>
      </c>
      <c r="Q109" s="173" t="s">
        <v>583</v>
      </c>
      <c r="R109" s="173" t="s">
        <v>230</v>
      </c>
      <c r="S109" s="174">
        <v>44727</v>
      </c>
      <c r="T109" s="173" t="s">
        <v>33</v>
      </c>
      <c r="U109" s="182">
        <v>131.20124999999999</v>
      </c>
      <c r="V109" s="177">
        <f>IF(U109=0,0,IF(T109="MXN",1/HLOOKUP(YEAR(S109)+(MONTH(S109)/100),TC!$5:$37,DAY(S109)+2,FALSE),VLOOKUP(T109,Equivalencia!$1:$23,((MAX(Equivalencia!$3:$3)-YEAR(S109))*14)+MONTH(S109)+2,FALSE)))</f>
        <v>1</v>
      </c>
      <c r="W109" s="178">
        <f t="shared" si="19"/>
        <v>131.20124999999999</v>
      </c>
      <c r="X109" s="481">
        <f t="shared" si="15"/>
        <v>-30.623750000000001</v>
      </c>
      <c r="Y109" s="179"/>
      <c r="Z109" s="466">
        <f t="shared" si="16"/>
        <v>170.90338249999999</v>
      </c>
      <c r="AA109" s="473">
        <f t="shared" si="17"/>
        <v>-39.702132500000005</v>
      </c>
      <c r="AB109" s="339">
        <f t="shared" si="18"/>
        <v>-0.18923991966630627</v>
      </c>
    </row>
    <row r="110" spans="2:28" ht="20.100000000000001" customHeight="1">
      <c r="B110" s="172">
        <v>1175000</v>
      </c>
      <c r="C110" s="174">
        <v>44490</v>
      </c>
      <c r="D110" s="181" t="s">
        <v>178</v>
      </c>
      <c r="E110" s="173" t="s">
        <v>33</v>
      </c>
      <c r="F110" s="176">
        <v>324.19</v>
      </c>
      <c r="G110" s="175">
        <f t="shared" si="20"/>
        <v>2</v>
      </c>
      <c r="H110" s="175">
        <f t="shared" si="13"/>
        <v>324.19</v>
      </c>
      <c r="I110" s="177">
        <f>IF(G110=0,0,IF(E110="MXN",1/HLOOKUP(YEAR(C110)+(MONTH(C110)/100),TC!$5:$37,DAY(C110)+2,FALSE),VLOOKUP(E110,Equivalencia!$5:$23,((MAX(Equivalencia!$3:$3)-YEAR(C110))*14)+MONTH(C110)+2,FALSE)))</f>
        <v>1</v>
      </c>
      <c r="J110" s="178">
        <f t="shared" si="21"/>
        <v>324.19</v>
      </c>
      <c r="K110" s="462">
        <f>IF(C110=0,0,VLOOKUP(YEAR(C110),INPC!$B$4:$O$29,MONTH(C110)+1))</f>
        <v>115.56100000000001</v>
      </c>
      <c r="L110" s="462">
        <f>IF(S110=0,0,VLOOKUP(YEAR(S110),INPC!$B$4:$O$29,MONTH(S110)+1))</f>
        <v>122.044</v>
      </c>
      <c r="M110" s="463">
        <f t="shared" si="14"/>
        <v>1.0561</v>
      </c>
      <c r="N110" s="465">
        <f t="shared" si="22"/>
        <v>342.37705900000003</v>
      </c>
      <c r="O110" s="179"/>
      <c r="P110" s="180">
        <v>2</v>
      </c>
      <c r="Q110" s="173" t="s">
        <v>583</v>
      </c>
      <c r="R110" s="173" t="s">
        <v>230</v>
      </c>
      <c r="S110" s="174">
        <v>44727</v>
      </c>
      <c r="T110" s="173" t="s">
        <v>33</v>
      </c>
      <c r="U110" s="182">
        <v>262.40249999999997</v>
      </c>
      <c r="V110" s="177">
        <f>IF(U110=0,0,IF(T110="MXN",1/HLOOKUP(YEAR(S110)+(MONTH(S110)/100),TC!$5:$37,DAY(S110)+2,FALSE),VLOOKUP(T110,Equivalencia!$1:$23,((MAX(Equivalencia!$3:$3)-YEAR(S110))*14)+MONTH(S110)+2,FALSE)))</f>
        <v>1</v>
      </c>
      <c r="W110" s="178">
        <f t="shared" si="19"/>
        <v>262.40249999999997</v>
      </c>
      <c r="X110" s="481">
        <f t="shared" si="15"/>
        <v>-61.787500000000023</v>
      </c>
      <c r="Y110" s="179"/>
      <c r="Z110" s="466">
        <f t="shared" si="16"/>
        <v>342.37705900000003</v>
      </c>
      <c r="AA110" s="473">
        <f t="shared" si="17"/>
        <v>-79.974559000000056</v>
      </c>
      <c r="AB110" s="339">
        <f t="shared" si="18"/>
        <v>-0.19059039452173121</v>
      </c>
    </row>
    <row r="111" spans="2:28" ht="20.100000000000001" customHeight="1">
      <c r="B111" s="172">
        <v>1175000</v>
      </c>
      <c r="C111" s="174">
        <v>44490</v>
      </c>
      <c r="D111" s="181" t="s">
        <v>178</v>
      </c>
      <c r="E111" s="173" t="s">
        <v>33</v>
      </c>
      <c r="F111" s="176">
        <v>809.2069444444445</v>
      </c>
      <c r="G111" s="175">
        <f t="shared" si="20"/>
        <v>5</v>
      </c>
      <c r="H111" s="175">
        <f t="shared" si="13"/>
        <v>809.2069444444445</v>
      </c>
      <c r="I111" s="177">
        <f>IF(G111=0,0,IF(E111="MXN",1/HLOOKUP(YEAR(C111)+(MONTH(C111)/100),TC!$5:$37,DAY(C111)+2,FALSE),VLOOKUP(E111,Equivalencia!$5:$23,((MAX(Equivalencia!$3:$3)-YEAR(C111))*14)+MONTH(C111)+2,FALSE)))</f>
        <v>1</v>
      </c>
      <c r="J111" s="178">
        <f t="shared" si="21"/>
        <v>809.2069444444445</v>
      </c>
      <c r="K111" s="462">
        <f>IF(C111=0,0,VLOOKUP(YEAR(C111),INPC!$B$4:$O$29,MONTH(C111)+1))</f>
        <v>115.56100000000001</v>
      </c>
      <c r="L111" s="462">
        <f>IF(S111=0,0,VLOOKUP(YEAR(S111),INPC!$B$4:$O$29,MONTH(S111)+1))</f>
        <v>122.044</v>
      </c>
      <c r="M111" s="463">
        <f t="shared" si="14"/>
        <v>1.0561</v>
      </c>
      <c r="N111" s="465">
        <f t="shared" si="22"/>
        <v>854.60345402777784</v>
      </c>
      <c r="O111" s="179"/>
      <c r="P111" s="180">
        <v>5</v>
      </c>
      <c r="Q111" s="173" t="s">
        <v>583</v>
      </c>
      <c r="R111" s="173" t="s">
        <v>230</v>
      </c>
      <c r="S111" s="174">
        <v>44727</v>
      </c>
      <c r="T111" s="173" t="s">
        <v>33</v>
      </c>
      <c r="U111" s="182">
        <v>656.00624999999991</v>
      </c>
      <c r="V111" s="177">
        <f>IF(U111=0,0,IF(T111="MXN",1/HLOOKUP(YEAR(S111)+(MONTH(S111)/100),TC!$5:$37,DAY(S111)+2,FALSE),VLOOKUP(T111,Equivalencia!$1:$23,((MAX(Equivalencia!$3:$3)-YEAR(S111))*14)+MONTH(S111)+2,FALSE)))</f>
        <v>1</v>
      </c>
      <c r="W111" s="178">
        <f t="shared" si="19"/>
        <v>656.00624999999991</v>
      </c>
      <c r="X111" s="481">
        <f t="shared" si="15"/>
        <v>-153.20069444444459</v>
      </c>
      <c r="Y111" s="179"/>
      <c r="Z111" s="466">
        <f t="shared" si="16"/>
        <v>854.60345402777784</v>
      </c>
      <c r="AA111" s="473">
        <f t="shared" si="17"/>
        <v>-198.59720402777793</v>
      </c>
      <c r="AB111" s="339">
        <f t="shared" si="18"/>
        <v>-0.18932202138925469</v>
      </c>
    </row>
    <row r="112" spans="2:28" ht="20.100000000000001" customHeight="1">
      <c r="B112" s="172">
        <v>1175000</v>
      </c>
      <c r="C112" s="174">
        <v>44490</v>
      </c>
      <c r="D112" s="181" t="s">
        <v>178</v>
      </c>
      <c r="E112" s="173" t="s">
        <v>33</v>
      </c>
      <c r="F112" s="176">
        <v>1294.7311111111112</v>
      </c>
      <c r="G112" s="175">
        <f t="shared" si="20"/>
        <v>8</v>
      </c>
      <c r="H112" s="175">
        <f t="shared" si="13"/>
        <v>1294.7311111111112</v>
      </c>
      <c r="I112" s="177">
        <f>IF(G112=0,0,IF(E112="MXN",1/HLOOKUP(YEAR(C112)+(MONTH(C112)/100),TC!$5:$37,DAY(C112)+2,FALSE),VLOOKUP(E112,Equivalencia!$5:$23,((MAX(Equivalencia!$3:$3)-YEAR(C112))*14)+MONTH(C112)+2,FALSE)))</f>
        <v>1</v>
      </c>
      <c r="J112" s="178">
        <f t="shared" si="21"/>
        <v>1294.7311111111112</v>
      </c>
      <c r="K112" s="462">
        <f>IF(C112=0,0,VLOOKUP(YEAR(C112),INPC!$B$4:$O$29,MONTH(C112)+1))</f>
        <v>115.56100000000001</v>
      </c>
      <c r="L112" s="462">
        <f>IF(S112=0,0,VLOOKUP(YEAR(S112),INPC!$B$4:$O$29,MONTH(S112)+1))</f>
        <v>122.044</v>
      </c>
      <c r="M112" s="463">
        <f t="shared" si="14"/>
        <v>1.0561</v>
      </c>
      <c r="N112" s="465">
        <f t="shared" si="22"/>
        <v>1367.3655264444446</v>
      </c>
      <c r="O112" s="179"/>
      <c r="P112" s="180">
        <v>8</v>
      </c>
      <c r="Q112" s="173" t="s">
        <v>583</v>
      </c>
      <c r="R112" s="173" t="s">
        <v>230</v>
      </c>
      <c r="S112" s="174">
        <v>44742</v>
      </c>
      <c r="T112" s="173" t="s">
        <v>33</v>
      </c>
      <c r="U112" s="182">
        <v>1008.91</v>
      </c>
      <c r="V112" s="177">
        <f>IF(U112=0,0,IF(T112="MXN",1/HLOOKUP(YEAR(S112)+(MONTH(S112)/100),TC!$5:$37,DAY(S112)+2,FALSE),VLOOKUP(T112,Equivalencia!$1:$23,((MAX(Equivalencia!$3:$3)-YEAR(S112))*14)+MONTH(S112)+2,FALSE)))</f>
        <v>1</v>
      </c>
      <c r="W112" s="178">
        <f t="shared" si="19"/>
        <v>1008.91</v>
      </c>
      <c r="X112" s="481">
        <f t="shared" si="15"/>
        <v>-285.82111111111124</v>
      </c>
      <c r="Y112" s="179"/>
      <c r="Z112" s="466">
        <f t="shared" si="16"/>
        <v>1367.3655264444446</v>
      </c>
      <c r="AA112" s="473">
        <f t="shared" si="17"/>
        <v>-358.45552644444467</v>
      </c>
      <c r="AB112" s="339">
        <f t="shared" si="18"/>
        <v>-0.22075711988246383</v>
      </c>
    </row>
    <row r="113" spans="1:28" ht="20.100000000000001" customHeight="1">
      <c r="A113" s="484"/>
      <c r="B113" s="172">
        <v>1175000</v>
      </c>
      <c r="C113" s="174">
        <v>43830</v>
      </c>
      <c r="D113" s="181" t="s">
        <v>172</v>
      </c>
      <c r="E113" s="173" t="s">
        <v>33</v>
      </c>
      <c r="F113" s="176">
        <v>19443.099999999999</v>
      </c>
      <c r="G113" s="175">
        <f t="shared" si="20"/>
        <v>64</v>
      </c>
      <c r="H113" s="175">
        <f t="shared" si="13"/>
        <v>19443.099999999999</v>
      </c>
      <c r="I113" s="177">
        <f>IF(G113=0,0,IF(E113="MXN",1/HLOOKUP(YEAR(C113)+(MONTH(C113)/100),TC!$5:$37,DAY(C113)+2,FALSE),VLOOKUP(E113,Equivalencia!$5:$23,((MAX(Equivalencia!$3:$3)-YEAR(C113))*14)+MONTH(C113)+2,FALSE)))</f>
        <v>1</v>
      </c>
      <c r="J113" s="178">
        <f t="shared" si="21"/>
        <v>19443.099999999999</v>
      </c>
      <c r="K113" s="462">
        <f>IF(C113=0,0,VLOOKUP(YEAR(C113),INPC!$B$4:$O$29,MONTH(C113)+1))</f>
        <v>105.934</v>
      </c>
      <c r="L113" s="462">
        <f>IF(S113=0,0,VLOOKUP(YEAR(S113),INPC!$B$4:$O$29,MONTH(S113)+1))</f>
        <v>120.809</v>
      </c>
      <c r="M113" s="463">
        <f t="shared" si="14"/>
        <v>1.1404000000000001</v>
      </c>
      <c r="N113" s="465">
        <f t="shared" si="22"/>
        <v>22172.911240000001</v>
      </c>
      <c r="O113" s="179"/>
      <c r="P113" s="180">
        <v>64</v>
      </c>
      <c r="Q113" s="173" t="s">
        <v>583</v>
      </c>
      <c r="R113" s="173" t="s">
        <v>230</v>
      </c>
      <c r="S113" s="174">
        <v>44678</v>
      </c>
      <c r="T113" s="173" t="s">
        <v>33</v>
      </c>
      <c r="U113" s="182">
        <v>19443.099999999999</v>
      </c>
      <c r="V113" s="177">
        <f>IF(U113=0,0,IF(T113="MXN",1/HLOOKUP(YEAR(S113)+(MONTH(S113)/100),TC!$5:$37,DAY(S113)+2,FALSE),VLOOKUP(T113,Equivalencia!$1:$23,((MAX(Equivalencia!$3:$3)-YEAR(S113))*14)+MONTH(S113)+2,FALSE)))</f>
        <v>1</v>
      </c>
      <c r="W113" s="178">
        <f t="shared" si="19"/>
        <v>19443.099999999999</v>
      </c>
      <c r="X113" s="481">
        <f t="shared" si="15"/>
        <v>0</v>
      </c>
      <c r="Y113" s="179"/>
      <c r="Z113" s="466">
        <f t="shared" si="16"/>
        <v>22172.911240000001</v>
      </c>
      <c r="AA113" s="473">
        <f t="shared" si="17"/>
        <v>-2729.8112400000027</v>
      </c>
      <c r="AB113" s="339">
        <f t="shared" si="18"/>
        <v>0</v>
      </c>
    </row>
    <row r="114" spans="1:28" ht="20.100000000000001" customHeight="1">
      <c r="A114" s="484"/>
      <c r="B114" s="172">
        <v>1175000</v>
      </c>
      <c r="C114" s="174">
        <v>43799</v>
      </c>
      <c r="D114" s="181" t="s">
        <v>155</v>
      </c>
      <c r="E114" s="173" t="s">
        <v>33</v>
      </c>
      <c r="F114" s="176">
        <v>803.90594982078858</v>
      </c>
      <c r="G114" s="175">
        <f t="shared" si="20"/>
        <v>8</v>
      </c>
      <c r="H114" s="175">
        <f t="shared" si="13"/>
        <v>803.90594982078858</v>
      </c>
      <c r="I114" s="177">
        <f>IF(G114=0,0,IF(E114="MXN",1/HLOOKUP(YEAR(C114)+(MONTH(C114)/100),TC!$5:$37,DAY(C114)+2,FALSE),VLOOKUP(E114,Equivalencia!$5:$23,((MAX(Equivalencia!$3:$3)-YEAR(C114))*14)+MONTH(C114)+2,FALSE)))</f>
        <v>1</v>
      </c>
      <c r="J114" s="178">
        <f t="shared" si="21"/>
        <v>803.90594982078858</v>
      </c>
      <c r="K114" s="462">
        <f>IF(C114=0,0,VLOOKUP(YEAR(C114),INPC!$B$4:$O$29,MONTH(C114)+1))</f>
        <v>105.346</v>
      </c>
      <c r="L114" s="462">
        <f>IF(S114=0,0,VLOOKUP(YEAR(S114),INPC!$B$4:$O$29,MONTH(S114)+1))</f>
        <v>118.002</v>
      </c>
      <c r="M114" s="463">
        <f t="shared" si="14"/>
        <v>1.1201000000000001</v>
      </c>
      <c r="N114" s="465">
        <f t="shared" si="22"/>
        <v>900.4550543942654</v>
      </c>
      <c r="O114" s="179"/>
      <c r="P114" s="180">
        <v>8</v>
      </c>
      <c r="Q114" s="173" t="s">
        <v>583</v>
      </c>
      <c r="R114" s="173" t="s">
        <v>230</v>
      </c>
      <c r="S114" s="174">
        <v>44575</v>
      </c>
      <c r="T114" s="173" t="s">
        <v>33</v>
      </c>
      <c r="U114" s="182">
        <v>1949.64</v>
      </c>
      <c r="V114" s="177">
        <f>IF(U114=0,0,IF(T114="MXN",1/HLOOKUP(YEAR(S114)+(MONTH(S114)/100),TC!$5:$37,DAY(S114)+2,FALSE),VLOOKUP(T114,Equivalencia!$1:$23,((MAX(Equivalencia!$3:$3)-YEAR(S114))*14)+MONTH(S114)+2,FALSE)))</f>
        <v>1</v>
      </c>
      <c r="W114" s="178">
        <f t="shared" si="19"/>
        <v>1949.64</v>
      </c>
      <c r="X114" s="481">
        <f t="shared" si="15"/>
        <v>1145.7340501792114</v>
      </c>
      <c r="Y114" s="179"/>
      <c r="Z114" s="466">
        <f t="shared" si="16"/>
        <v>900.4550543942654</v>
      </c>
      <c r="AA114" s="473">
        <f t="shared" si="17"/>
        <v>1049.1849456057348</v>
      </c>
      <c r="AB114" s="339">
        <f t="shared" si="18"/>
        <v>1.4252090688402359</v>
      </c>
    </row>
    <row r="115" spans="1:28" ht="20.100000000000001" customHeight="1">
      <c r="A115" s="484"/>
      <c r="B115" s="172">
        <v>1175000</v>
      </c>
      <c r="C115" s="174">
        <v>43799</v>
      </c>
      <c r="D115" s="181" t="s">
        <v>155</v>
      </c>
      <c r="E115" s="173" t="s">
        <v>33</v>
      </c>
      <c r="F115" s="176">
        <v>100.48824372759857</v>
      </c>
      <c r="G115" s="175">
        <f t="shared" si="20"/>
        <v>1</v>
      </c>
      <c r="H115" s="175">
        <f t="shared" si="13"/>
        <v>100.48824372759857</v>
      </c>
      <c r="I115" s="177">
        <f>IF(G115=0,0,IF(E115="MXN",1/HLOOKUP(YEAR(C115)+(MONTH(C115)/100),TC!$5:$37,DAY(C115)+2,FALSE),VLOOKUP(E115,Equivalencia!$5:$23,((MAX(Equivalencia!$3:$3)-YEAR(C115))*14)+MONTH(C115)+2,FALSE)))</f>
        <v>1</v>
      </c>
      <c r="J115" s="178">
        <f t="shared" si="21"/>
        <v>100.48824372759857</v>
      </c>
      <c r="K115" s="462">
        <f>IF(C115=0,0,VLOOKUP(YEAR(C115),INPC!$B$4:$O$29,MONTH(C115)+1))</f>
        <v>105.346</v>
      </c>
      <c r="L115" s="462">
        <f>IF(S115=0,0,VLOOKUP(YEAR(S115),INPC!$B$4:$O$29,MONTH(S115)+1))</f>
        <v>118.002</v>
      </c>
      <c r="M115" s="463">
        <f t="shared" si="14"/>
        <v>1.1201000000000001</v>
      </c>
      <c r="N115" s="465">
        <f t="shared" si="22"/>
        <v>112.55688179928318</v>
      </c>
      <c r="O115" s="179"/>
      <c r="P115" s="180">
        <v>1</v>
      </c>
      <c r="Q115" s="173" t="s">
        <v>583</v>
      </c>
      <c r="R115" s="173" t="s">
        <v>230</v>
      </c>
      <c r="S115" s="174">
        <v>44575</v>
      </c>
      <c r="T115" s="173" t="s">
        <v>33</v>
      </c>
      <c r="U115" s="182">
        <v>243.83</v>
      </c>
      <c r="V115" s="177">
        <f>IF(U115=0,0,IF(T115="MXN",1/HLOOKUP(YEAR(S115)+(MONTH(S115)/100),TC!$5:$37,DAY(S115)+2,FALSE),VLOOKUP(T115,Equivalencia!$1:$23,((MAX(Equivalencia!$3:$3)-YEAR(S115))*14)+MONTH(S115)+2,FALSE)))</f>
        <v>1</v>
      </c>
      <c r="W115" s="178">
        <f t="shared" si="19"/>
        <v>243.83</v>
      </c>
      <c r="X115" s="481">
        <f t="shared" si="15"/>
        <v>143.34175627240143</v>
      </c>
      <c r="Y115" s="179"/>
      <c r="Z115" s="466">
        <f t="shared" si="16"/>
        <v>112.55688179928318</v>
      </c>
      <c r="AA115" s="473">
        <f t="shared" si="17"/>
        <v>131.27311820071685</v>
      </c>
      <c r="AB115" s="339">
        <f t="shared" si="18"/>
        <v>1.4264529954466045</v>
      </c>
    </row>
    <row r="116" spans="1:28" ht="20.100000000000001" customHeight="1">
      <c r="A116" s="484"/>
      <c r="B116" s="172">
        <v>1175000</v>
      </c>
      <c r="C116" s="174">
        <v>43799</v>
      </c>
      <c r="D116" s="181" t="s">
        <v>155</v>
      </c>
      <c r="E116" s="173" t="s">
        <v>33</v>
      </c>
      <c r="F116" s="176">
        <v>602.92946236559146</v>
      </c>
      <c r="G116" s="175">
        <f t="shared" si="20"/>
        <v>6</v>
      </c>
      <c r="H116" s="175">
        <f t="shared" si="13"/>
        <v>602.92946236559146</v>
      </c>
      <c r="I116" s="177">
        <f>IF(G116=0,0,IF(E116="MXN",1/HLOOKUP(YEAR(C116)+(MONTH(C116)/100),TC!$5:$37,DAY(C116)+2,FALSE),VLOOKUP(E116,Equivalencia!$5:$23,((MAX(Equivalencia!$3:$3)-YEAR(C116))*14)+MONTH(C116)+2,FALSE)))</f>
        <v>1</v>
      </c>
      <c r="J116" s="178">
        <f t="shared" si="21"/>
        <v>602.92946236559146</v>
      </c>
      <c r="K116" s="462">
        <f>IF(C116=0,0,VLOOKUP(YEAR(C116),INPC!$B$4:$O$29,MONTH(C116)+1))</f>
        <v>105.346</v>
      </c>
      <c r="L116" s="462">
        <f>IF(S116=0,0,VLOOKUP(YEAR(S116),INPC!$B$4:$O$29,MONTH(S116)+1))</f>
        <v>118.002</v>
      </c>
      <c r="M116" s="463">
        <f t="shared" si="14"/>
        <v>1.1201000000000001</v>
      </c>
      <c r="N116" s="465">
        <f t="shared" si="22"/>
        <v>675.34129079569902</v>
      </c>
      <c r="O116" s="179"/>
      <c r="P116" s="180">
        <v>6</v>
      </c>
      <c r="Q116" s="173" t="s">
        <v>583</v>
      </c>
      <c r="R116" s="173" t="s">
        <v>230</v>
      </c>
      <c r="S116" s="174">
        <v>44575</v>
      </c>
      <c r="T116" s="173" t="s">
        <v>33</v>
      </c>
      <c r="U116" s="182">
        <v>1462.81</v>
      </c>
      <c r="V116" s="177">
        <f>IF(U116=0,0,IF(T116="MXN",1/HLOOKUP(YEAR(S116)+(MONTH(S116)/100),TC!$5:$37,DAY(S116)+2,FALSE),VLOOKUP(T116,Equivalencia!$1:$23,((MAX(Equivalencia!$3:$3)-YEAR(S116))*14)+MONTH(S116)+2,FALSE)))</f>
        <v>1</v>
      </c>
      <c r="W116" s="178">
        <f t="shared" si="19"/>
        <v>1462.81</v>
      </c>
      <c r="X116" s="481">
        <f t="shared" si="15"/>
        <v>859.88053763440848</v>
      </c>
      <c r="Y116" s="179"/>
      <c r="Z116" s="466">
        <f t="shared" si="16"/>
        <v>675.34129079569902</v>
      </c>
      <c r="AA116" s="473">
        <f t="shared" si="17"/>
        <v>787.46870920430092</v>
      </c>
      <c r="AB116" s="339">
        <f t="shared" si="18"/>
        <v>1.4261710387491604</v>
      </c>
    </row>
    <row r="117" spans="1:28" ht="20.100000000000001" customHeight="1">
      <c r="A117" s="484"/>
      <c r="B117" s="172">
        <v>1175000</v>
      </c>
      <c r="C117" s="174">
        <v>43799</v>
      </c>
      <c r="D117" s="181" t="s">
        <v>155</v>
      </c>
      <c r="E117" s="173" t="s">
        <v>33</v>
      </c>
      <c r="F117" s="176">
        <v>1507.3236559139787</v>
      </c>
      <c r="G117" s="175">
        <f t="shared" si="20"/>
        <v>15</v>
      </c>
      <c r="H117" s="175">
        <f t="shared" si="13"/>
        <v>1507.3236559139787</v>
      </c>
      <c r="I117" s="177">
        <f>IF(G117=0,0,IF(E117="MXN",1/HLOOKUP(YEAR(C117)+(MONTH(C117)/100),TC!$5:$37,DAY(C117)+2,FALSE),VLOOKUP(E117,Equivalencia!$5:$23,((MAX(Equivalencia!$3:$3)-YEAR(C117))*14)+MONTH(C117)+2,FALSE)))</f>
        <v>1</v>
      </c>
      <c r="J117" s="178">
        <f t="shared" si="21"/>
        <v>1507.3236559139787</v>
      </c>
      <c r="K117" s="462">
        <f>IF(C117=0,0,VLOOKUP(YEAR(C117),INPC!$B$4:$O$29,MONTH(C117)+1))</f>
        <v>105.346</v>
      </c>
      <c r="L117" s="462">
        <f>IF(S117=0,0,VLOOKUP(YEAR(S117),INPC!$B$4:$O$29,MONTH(S117)+1))</f>
        <v>118.002</v>
      </c>
      <c r="M117" s="463">
        <f t="shared" si="14"/>
        <v>1.1201000000000001</v>
      </c>
      <c r="N117" s="465">
        <f t="shared" si="22"/>
        <v>1688.3532269892476</v>
      </c>
      <c r="O117" s="179"/>
      <c r="P117" s="180">
        <v>15</v>
      </c>
      <c r="Q117" s="173" t="s">
        <v>583</v>
      </c>
      <c r="R117" s="173" t="s">
        <v>230</v>
      </c>
      <c r="S117" s="174">
        <v>44578</v>
      </c>
      <c r="T117" s="173" t="s">
        <v>33</v>
      </c>
      <c r="U117" s="182">
        <v>3651.23</v>
      </c>
      <c r="V117" s="177">
        <f>IF(U117=0,0,IF(T117="MXN",1/HLOOKUP(YEAR(S117)+(MONTH(S117)/100),TC!$5:$37,DAY(S117)+2,FALSE),VLOOKUP(T117,Equivalencia!$1:$23,((MAX(Equivalencia!$3:$3)-YEAR(S117))*14)+MONTH(S117)+2,FALSE)))</f>
        <v>1</v>
      </c>
      <c r="W117" s="178">
        <f t="shared" si="19"/>
        <v>3651.23</v>
      </c>
      <c r="X117" s="481">
        <f t="shared" si="15"/>
        <v>2143.9063440860214</v>
      </c>
      <c r="Y117" s="179"/>
      <c r="Z117" s="466">
        <f t="shared" si="16"/>
        <v>1688.3532269892476</v>
      </c>
      <c r="AA117" s="473">
        <f t="shared" si="17"/>
        <v>1962.8767730107525</v>
      </c>
      <c r="AB117" s="339">
        <f t="shared" si="18"/>
        <v>1.4223264762510777</v>
      </c>
    </row>
    <row r="118" spans="1:28" ht="20.100000000000001" customHeight="1">
      <c r="A118" s="484"/>
      <c r="B118" s="172">
        <v>1175000</v>
      </c>
      <c r="C118" s="174">
        <v>43799</v>
      </c>
      <c r="D118" s="181" t="s">
        <v>155</v>
      </c>
      <c r="E118" s="173" t="s">
        <v>33</v>
      </c>
      <c r="F118" s="176">
        <v>200.97648745519714</v>
      </c>
      <c r="G118" s="175">
        <f t="shared" si="20"/>
        <v>2</v>
      </c>
      <c r="H118" s="175">
        <f t="shared" si="13"/>
        <v>200.97648745519714</v>
      </c>
      <c r="I118" s="177">
        <f>IF(G118=0,0,IF(E118="MXN",1/HLOOKUP(YEAR(C118)+(MONTH(C118)/100),TC!$5:$37,DAY(C118)+2,FALSE),VLOOKUP(E118,Equivalencia!$5:$23,((MAX(Equivalencia!$3:$3)-YEAR(C118))*14)+MONTH(C118)+2,FALSE)))</f>
        <v>1</v>
      </c>
      <c r="J118" s="178">
        <f t="shared" si="21"/>
        <v>200.97648745519714</v>
      </c>
      <c r="K118" s="462">
        <f>IF(C118=0,0,VLOOKUP(YEAR(C118),INPC!$B$4:$O$29,MONTH(C118)+1))</f>
        <v>105.346</v>
      </c>
      <c r="L118" s="462">
        <f>IF(S118=0,0,VLOOKUP(YEAR(S118),INPC!$B$4:$O$29,MONTH(S118)+1))</f>
        <v>118.002</v>
      </c>
      <c r="M118" s="463">
        <f t="shared" si="14"/>
        <v>1.1201000000000001</v>
      </c>
      <c r="N118" s="465">
        <f t="shared" si="22"/>
        <v>225.11376359856635</v>
      </c>
      <c r="O118" s="179"/>
      <c r="P118" s="180">
        <v>2</v>
      </c>
      <c r="Q118" s="173" t="s">
        <v>583</v>
      </c>
      <c r="R118" s="173" t="s">
        <v>230</v>
      </c>
      <c r="S118" s="174">
        <v>44582</v>
      </c>
      <c r="T118" s="173" t="s">
        <v>33</v>
      </c>
      <c r="U118" s="182">
        <v>479.43</v>
      </c>
      <c r="V118" s="177">
        <f>IF(U118=0,0,IF(T118="MXN",1/HLOOKUP(YEAR(S118)+(MONTH(S118)/100),TC!$5:$37,DAY(S118)+2,FALSE),VLOOKUP(T118,Equivalencia!$1:$23,((MAX(Equivalencia!$3:$3)-YEAR(S118))*14)+MONTH(S118)+2,FALSE)))</f>
        <v>1</v>
      </c>
      <c r="W118" s="178">
        <f t="shared" si="19"/>
        <v>479.43</v>
      </c>
      <c r="X118" s="481">
        <f t="shared" si="15"/>
        <v>278.45351254480283</v>
      </c>
      <c r="Y118" s="179"/>
      <c r="Z118" s="466">
        <f t="shared" si="16"/>
        <v>225.11376359856635</v>
      </c>
      <c r="AA118" s="473">
        <f t="shared" si="17"/>
        <v>254.31623640143366</v>
      </c>
      <c r="AB118" s="339">
        <f t="shared" si="18"/>
        <v>1.3855029315649543</v>
      </c>
    </row>
    <row r="119" spans="1:28" ht="20.100000000000001" customHeight="1">
      <c r="A119" s="484"/>
      <c r="B119" s="172">
        <v>1175000</v>
      </c>
      <c r="C119" s="174">
        <v>43799</v>
      </c>
      <c r="D119" s="181" t="s">
        <v>155</v>
      </c>
      <c r="E119" s="173" t="s">
        <v>33</v>
      </c>
      <c r="F119" s="176">
        <v>602.92946236559146</v>
      </c>
      <c r="G119" s="175">
        <f t="shared" si="20"/>
        <v>6</v>
      </c>
      <c r="H119" s="175">
        <f t="shared" si="13"/>
        <v>602.92946236559146</v>
      </c>
      <c r="I119" s="177">
        <f>IF(G119=0,0,IF(E119="MXN",1/HLOOKUP(YEAR(C119)+(MONTH(C119)/100),TC!$5:$37,DAY(C119)+2,FALSE),VLOOKUP(E119,Equivalencia!$5:$23,((MAX(Equivalencia!$3:$3)-YEAR(C119))*14)+MONTH(C119)+2,FALSE)))</f>
        <v>1</v>
      </c>
      <c r="J119" s="178">
        <f t="shared" si="21"/>
        <v>602.92946236559146</v>
      </c>
      <c r="K119" s="462">
        <f>IF(C119=0,0,VLOOKUP(YEAR(C119),INPC!$B$4:$O$29,MONTH(C119)+1))</f>
        <v>105.346</v>
      </c>
      <c r="L119" s="462">
        <f>IF(S119=0,0,VLOOKUP(YEAR(S119),INPC!$B$4:$O$29,MONTH(S119)+1))</f>
        <v>118.002</v>
      </c>
      <c r="M119" s="463">
        <f t="shared" si="14"/>
        <v>1.1201000000000001</v>
      </c>
      <c r="N119" s="465">
        <f t="shared" si="22"/>
        <v>675.34129079569902</v>
      </c>
      <c r="O119" s="179"/>
      <c r="P119" s="180">
        <v>6</v>
      </c>
      <c r="Q119" s="173" t="s">
        <v>583</v>
      </c>
      <c r="R119" s="173" t="s">
        <v>230</v>
      </c>
      <c r="S119" s="174">
        <v>44582</v>
      </c>
      <c r="T119" s="173" t="s">
        <v>33</v>
      </c>
      <c r="U119" s="182">
        <v>1433.88</v>
      </c>
      <c r="V119" s="177">
        <f>IF(U119=0,0,IF(T119="MXN",1/HLOOKUP(YEAR(S119)+(MONTH(S119)/100),TC!$5:$37,DAY(S119)+2,FALSE),VLOOKUP(T119,Equivalencia!$1:$23,((MAX(Equivalencia!$3:$3)-YEAR(S119))*14)+MONTH(S119)+2,FALSE)))</f>
        <v>1</v>
      </c>
      <c r="W119" s="178">
        <f t="shared" si="19"/>
        <v>1433.88</v>
      </c>
      <c r="X119" s="481">
        <f t="shared" si="15"/>
        <v>830.95053763440865</v>
      </c>
      <c r="Y119" s="179"/>
      <c r="Z119" s="466">
        <f t="shared" si="16"/>
        <v>675.34129079569902</v>
      </c>
      <c r="AA119" s="473">
        <f t="shared" si="17"/>
        <v>758.53870920430109</v>
      </c>
      <c r="AB119" s="339">
        <f t="shared" si="18"/>
        <v>1.3781886431195076</v>
      </c>
    </row>
    <row r="120" spans="1:28" ht="20.100000000000001" customHeight="1">
      <c r="A120" s="484"/>
      <c r="B120" s="172">
        <v>1175000</v>
      </c>
      <c r="C120" s="174">
        <v>43799</v>
      </c>
      <c r="D120" s="181" t="s">
        <v>155</v>
      </c>
      <c r="E120" s="173" t="s">
        <v>33</v>
      </c>
      <c r="F120" s="176">
        <v>1708.3001433691757</v>
      </c>
      <c r="G120" s="175">
        <f t="shared" si="20"/>
        <v>17</v>
      </c>
      <c r="H120" s="175">
        <f t="shared" si="13"/>
        <v>1708.3001433691757</v>
      </c>
      <c r="I120" s="177">
        <f>IF(G120=0,0,IF(E120="MXN",1/HLOOKUP(YEAR(C120)+(MONTH(C120)/100),TC!$5:$37,DAY(C120)+2,FALSE),VLOOKUP(E120,Equivalencia!$5:$23,((MAX(Equivalencia!$3:$3)-YEAR(C120))*14)+MONTH(C120)+2,FALSE)))</f>
        <v>1</v>
      </c>
      <c r="J120" s="178">
        <f t="shared" si="21"/>
        <v>1708.3001433691757</v>
      </c>
      <c r="K120" s="462">
        <f>IF(C120=0,0,VLOOKUP(YEAR(C120),INPC!$B$4:$O$29,MONTH(C120)+1))</f>
        <v>105.346</v>
      </c>
      <c r="L120" s="462">
        <f>IF(S120=0,0,VLOOKUP(YEAR(S120),INPC!$B$4:$O$29,MONTH(S120)+1))</f>
        <v>118.002</v>
      </c>
      <c r="M120" s="463">
        <f t="shared" si="14"/>
        <v>1.1201000000000001</v>
      </c>
      <c r="N120" s="465">
        <f t="shared" si="22"/>
        <v>1913.4669905878138</v>
      </c>
      <c r="O120" s="179"/>
      <c r="P120" s="180">
        <v>17</v>
      </c>
      <c r="Q120" s="173" t="s">
        <v>583</v>
      </c>
      <c r="R120" s="173" t="s">
        <v>230</v>
      </c>
      <c r="S120" s="174">
        <v>44585</v>
      </c>
      <c r="T120" s="173" t="s">
        <v>33</v>
      </c>
      <c r="U120" s="182">
        <v>4042.5</v>
      </c>
      <c r="V120" s="177">
        <f>IF(U120=0,0,IF(T120="MXN",1/HLOOKUP(YEAR(S120)+(MONTH(S120)/100),TC!$5:$37,DAY(S120)+2,FALSE),VLOOKUP(T120,Equivalencia!$1:$23,((MAX(Equivalencia!$3:$3)-YEAR(S120))*14)+MONTH(S120)+2,FALSE)))</f>
        <v>1</v>
      </c>
      <c r="W120" s="178">
        <f t="shared" si="19"/>
        <v>4042.5</v>
      </c>
      <c r="X120" s="481">
        <f t="shared" si="15"/>
        <v>2334.1998566308243</v>
      </c>
      <c r="Y120" s="179"/>
      <c r="Z120" s="466">
        <f t="shared" si="16"/>
        <v>1913.4669905878138</v>
      </c>
      <c r="AA120" s="473">
        <f t="shared" si="17"/>
        <v>2129.0330094121864</v>
      </c>
      <c r="AB120" s="339">
        <f t="shared" si="18"/>
        <v>1.3663874382327363</v>
      </c>
    </row>
    <row r="121" spans="1:28" ht="20.100000000000001" customHeight="1">
      <c r="A121" s="484"/>
      <c r="B121" s="172">
        <v>1175000</v>
      </c>
      <c r="C121" s="174">
        <v>43799</v>
      </c>
      <c r="D121" s="181" t="s">
        <v>155</v>
      </c>
      <c r="E121" s="173" t="s">
        <v>33</v>
      </c>
      <c r="F121" s="176">
        <v>200.97648745519714</v>
      </c>
      <c r="G121" s="175">
        <f t="shared" si="20"/>
        <v>2</v>
      </c>
      <c r="H121" s="175">
        <f t="shared" si="13"/>
        <v>200.97648745519714</v>
      </c>
      <c r="I121" s="177">
        <f>IF(G121=0,0,IF(E121="MXN",1/HLOOKUP(YEAR(C121)+(MONTH(C121)/100),TC!$5:$37,DAY(C121)+2,FALSE),VLOOKUP(E121,Equivalencia!$5:$23,((MAX(Equivalencia!$3:$3)-YEAR(C121))*14)+MONTH(C121)+2,FALSE)))</f>
        <v>1</v>
      </c>
      <c r="J121" s="178">
        <f t="shared" si="21"/>
        <v>200.97648745519714</v>
      </c>
      <c r="K121" s="462">
        <f>IF(C121=0,0,VLOOKUP(YEAR(C121),INPC!$B$4:$O$29,MONTH(C121)+1))</f>
        <v>105.346</v>
      </c>
      <c r="L121" s="462">
        <f>IF(S121=0,0,VLOOKUP(YEAR(S121),INPC!$B$4:$O$29,MONTH(S121)+1))</f>
        <v>118.002</v>
      </c>
      <c r="M121" s="463">
        <f t="shared" si="14"/>
        <v>1.1201000000000001</v>
      </c>
      <c r="N121" s="465">
        <f t="shared" si="22"/>
        <v>225.11376359856635</v>
      </c>
      <c r="O121" s="179"/>
      <c r="P121" s="180">
        <v>2</v>
      </c>
      <c r="Q121" s="173" t="s">
        <v>583</v>
      </c>
      <c r="R121" s="173" t="s">
        <v>230</v>
      </c>
      <c r="S121" s="174">
        <v>44585</v>
      </c>
      <c r="T121" s="173" t="s">
        <v>33</v>
      </c>
      <c r="U121" s="182">
        <v>464.02</v>
      </c>
      <c r="V121" s="177">
        <f>IF(U121=0,0,IF(T121="MXN",1/HLOOKUP(YEAR(S121)+(MONTH(S121)/100),TC!$5:$37,DAY(S121)+2,FALSE),VLOOKUP(T121,Equivalencia!$1:$23,((MAX(Equivalencia!$3:$3)-YEAR(S121))*14)+MONTH(S121)+2,FALSE)))</f>
        <v>1</v>
      </c>
      <c r="W121" s="178">
        <f t="shared" si="19"/>
        <v>464.02</v>
      </c>
      <c r="X121" s="481">
        <f t="shared" si="15"/>
        <v>263.04351254480287</v>
      </c>
      <c r="Y121" s="179"/>
      <c r="Z121" s="466">
        <f t="shared" si="16"/>
        <v>225.11376359856635</v>
      </c>
      <c r="AA121" s="473">
        <f t="shared" si="17"/>
        <v>238.90623640143363</v>
      </c>
      <c r="AB121" s="339">
        <f t="shared" si="18"/>
        <v>1.3088272955484013</v>
      </c>
    </row>
    <row r="122" spans="1:28" ht="20.100000000000001" customHeight="1">
      <c r="A122" s="484"/>
      <c r="B122" s="172">
        <v>1175000</v>
      </c>
      <c r="C122" s="174">
        <v>43799</v>
      </c>
      <c r="D122" s="181" t="s">
        <v>155</v>
      </c>
      <c r="E122" s="173" t="s">
        <v>33</v>
      </c>
      <c r="F122" s="176">
        <v>401.95297491039429</v>
      </c>
      <c r="G122" s="175">
        <f t="shared" si="20"/>
        <v>4</v>
      </c>
      <c r="H122" s="175">
        <f t="shared" si="13"/>
        <v>401.95297491039429</v>
      </c>
      <c r="I122" s="177">
        <f>IF(G122=0,0,IF(E122="MXN",1/HLOOKUP(YEAR(C122)+(MONTH(C122)/100),TC!$5:$37,DAY(C122)+2,FALSE),VLOOKUP(E122,Equivalencia!$5:$23,((MAX(Equivalencia!$3:$3)-YEAR(C122))*14)+MONTH(C122)+2,FALSE)))</f>
        <v>1</v>
      </c>
      <c r="J122" s="178">
        <f t="shared" si="21"/>
        <v>401.95297491039429</v>
      </c>
      <c r="K122" s="462">
        <f>IF(C122=0,0,VLOOKUP(YEAR(C122),INPC!$B$4:$O$29,MONTH(C122)+1))</f>
        <v>105.346</v>
      </c>
      <c r="L122" s="462">
        <f>IF(S122=0,0,VLOOKUP(YEAR(S122),INPC!$B$4:$O$29,MONTH(S122)+1))</f>
        <v>118.002</v>
      </c>
      <c r="M122" s="463">
        <f t="shared" si="14"/>
        <v>1.1201000000000001</v>
      </c>
      <c r="N122" s="465">
        <f t="shared" si="22"/>
        <v>450.2275271971327</v>
      </c>
      <c r="O122" s="179"/>
      <c r="P122" s="180">
        <v>4</v>
      </c>
      <c r="Q122" s="173" t="s">
        <v>583</v>
      </c>
      <c r="R122" s="173" t="s">
        <v>230</v>
      </c>
      <c r="S122" s="174">
        <v>44586</v>
      </c>
      <c r="T122" s="173" t="s">
        <v>33</v>
      </c>
      <c r="U122" s="182">
        <v>935.68</v>
      </c>
      <c r="V122" s="177">
        <f>IF(U122=0,0,IF(T122="MXN",1/HLOOKUP(YEAR(S122)+(MONTH(S122)/100),TC!$5:$37,DAY(S122)+2,FALSE),VLOOKUP(T122,Equivalencia!$1:$23,((MAX(Equivalencia!$3:$3)-YEAR(S122))*14)+MONTH(S122)+2,FALSE)))</f>
        <v>1</v>
      </c>
      <c r="W122" s="178">
        <f t="shared" si="19"/>
        <v>935.68</v>
      </c>
      <c r="X122" s="481">
        <f t="shared" si="15"/>
        <v>533.7270250896056</v>
      </c>
      <c r="Y122" s="179"/>
      <c r="Z122" s="466">
        <f t="shared" si="16"/>
        <v>450.2275271971327</v>
      </c>
      <c r="AA122" s="473">
        <f t="shared" si="17"/>
        <v>485.45247280286725</v>
      </c>
      <c r="AB122" s="339">
        <f t="shared" si="18"/>
        <v>1.3278344940937115</v>
      </c>
    </row>
    <row r="123" spans="1:28" ht="20.100000000000001" customHeight="1">
      <c r="A123" s="484"/>
      <c r="B123" s="172">
        <v>1175000</v>
      </c>
      <c r="C123" s="174">
        <v>43799</v>
      </c>
      <c r="D123" s="181" t="s">
        <v>155</v>
      </c>
      <c r="E123" s="173" t="s">
        <v>33</v>
      </c>
      <c r="F123" s="176">
        <v>2411.7178494623658</v>
      </c>
      <c r="G123" s="175">
        <f t="shared" si="20"/>
        <v>24</v>
      </c>
      <c r="H123" s="175">
        <f t="shared" si="13"/>
        <v>2411.7178494623658</v>
      </c>
      <c r="I123" s="177">
        <f>IF(G123=0,0,IF(E123="MXN",1/HLOOKUP(YEAR(C123)+(MONTH(C123)/100),TC!$5:$37,DAY(C123)+2,FALSE),VLOOKUP(E123,Equivalencia!$5:$23,((MAX(Equivalencia!$3:$3)-YEAR(C123))*14)+MONTH(C123)+2,FALSE)))</f>
        <v>1</v>
      </c>
      <c r="J123" s="178">
        <f t="shared" si="21"/>
        <v>2411.7178494623658</v>
      </c>
      <c r="K123" s="462">
        <f>IF(C123=0,0,VLOOKUP(YEAR(C123),INPC!$B$4:$O$29,MONTH(C123)+1))</f>
        <v>105.346</v>
      </c>
      <c r="L123" s="462">
        <f>IF(S123=0,0,VLOOKUP(YEAR(S123),INPC!$B$4:$O$29,MONTH(S123)+1))</f>
        <v>118.002</v>
      </c>
      <c r="M123" s="463">
        <f t="shared" si="14"/>
        <v>1.1201000000000001</v>
      </c>
      <c r="N123" s="465">
        <f t="shared" si="22"/>
        <v>2701.3651631827961</v>
      </c>
      <c r="O123" s="179"/>
      <c r="P123" s="180">
        <v>24</v>
      </c>
      <c r="Q123" s="173" t="s">
        <v>583</v>
      </c>
      <c r="R123" s="173" t="s">
        <v>230</v>
      </c>
      <c r="S123" s="174">
        <v>44586</v>
      </c>
      <c r="T123" s="173" t="s">
        <v>33</v>
      </c>
      <c r="U123" s="182">
        <v>5604.5</v>
      </c>
      <c r="V123" s="177">
        <f>IF(U123=0,0,IF(T123="MXN",1/HLOOKUP(YEAR(S123)+(MONTH(S123)/100),TC!$5:$37,DAY(S123)+2,FALSE),VLOOKUP(T123,Equivalencia!$1:$23,((MAX(Equivalencia!$3:$3)-YEAR(S123))*14)+MONTH(S123)+2,FALSE)))</f>
        <v>1</v>
      </c>
      <c r="W123" s="178">
        <f t="shared" si="19"/>
        <v>5604.5</v>
      </c>
      <c r="X123" s="481">
        <f t="shared" si="15"/>
        <v>3192.7821505376342</v>
      </c>
      <c r="Y123" s="179"/>
      <c r="Z123" s="466">
        <f t="shared" si="16"/>
        <v>2701.3651631827961</v>
      </c>
      <c r="AA123" s="473">
        <f t="shared" si="17"/>
        <v>2903.1348368172039</v>
      </c>
      <c r="AB123" s="339">
        <f t="shared" si="18"/>
        <v>1.3238622217973748</v>
      </c>
    </row>
    <row r="124" spans="1:28" ht="20.100000000000001" customHeight="1">
      <c r="A124" s="484"/>
      <c r="B124" s="172">
        <v>1175000</v>
      </c>
      <c r="C124" s="174">
        <v>43799</v>
      </c>
      <c r="D124" s="181" t="s">
        <v>155</v>
      </c>
      <c r="E124" s="173" t="s">
        <v>33</v>
      </c>
      <c r="F124" s="176">
        <v>401.95297491039429</v>
      </c>
      <c r="G124" s="175">
        <f t="shared" si="20"/>
        <v>4</v>
      </c>
      <c r="H124" s="175">
        <f t="shared" si="13"/>
        <v>401.95297491039429</v>
      </c>
      <c r="I124" s="177">
        <f>IF(G124=0,0,IF(E124="MXN",1/HLOOKUP(YEAR(C124)+(MONTH(C124)/100),TC!$5:$37,DAY(C124)+2,FALSE),VLOOKUP(E124,Equivalencia!$5:$23,((MAX(Equivalencia!$3:$3)-YEAR(C124))*14)+MONTH(C124)+2,FALSE)))</f>
        <v>1</v>
      </c>
      <c r="J124" s="178">
        <f t="shared" si="21"/>
        <v>401.95297491039429</v>
      </c>
      <c r="K124" s="462">
        <f>IF(C124=0,0,VLOOKUP(YEAR(C124),INPC!$B$4:$O$29,MONTH(C124)+1))</f>
        <v>105.346</v>
      </c>
      <c r="L124" s="462">
        <f>IF(S124=0,0,VLOOKUP(YEAR(S124),INPC!$B$4:$O$29,MONTH(S124)+1))</f>
        <v>118.98099999999999</v>
      </c>
      <c r="M124" s="463">
        <f t="shared" si="14"/>
        <v>1.1294</v>
      </c>
      <c r="N124" s="465">
        <f t="shared" si="22"/>
        <v>453.9656898637993</v>
      </c>
      <c r="O124" s="179"/>
      <c r="P124" s="180">
        <v>4</v>
      </c>
      <c r="Q124" s="173" t="s">
        <v>583</v>
      </c>
      <c r="R124" s="173" t="s">
        <v>230</v>
      </c>
      <c r="S124" s="174">
        <v>44601</v>
      </c>
      <c r="T124" s="173" t="s">
        <v>33</v>
      </c>
      <c r="U124" s="182">
        <v>906.96</v>
      </c>
      <c r="V124" s="177">
        <f>IF(U124=0,0,IF(T124="MXN",1/HLOOKUP(YEAR(S124)+(MONTH(S124)/100),TC!$5:$37,DAY(S124)+2,FALSE),VLOOKUP(T124,Equivalencia!$1:$23,((MAX(Equivalencia!$3:$3)-YEAR(S124))*14)+MONTH(S124)+2,FALSE)))</f>
        <v>1</v>
      </c>
      <c r="W124" s="178">
        <f t="shared" si="19"/>
        <v>906.96</v>
      </c>
      <c r="X124" s="481">
        <f t="shared" si="15"/>
        <v>505.00702508960575</v>
      </c>
      <c r="Y124" s="179"/>
      <c r="Z124" s="466">
        <f t="shared" si="16"/>
        <v>453.9656898637993</v>
      </c>
      <c r="AA124" s="473">
        <f t="shared" si="17"/>
        <v>452.99431013620074</v>
      </c>
      <c r="AB124" s="339">
        <f t="shared" si="18"/>
        <v>1.2563833498239063</v>
      </c>
    </row>
    <row r="125" spans="1:28" ht="20.100000000000001" customHeight="1">
      <c r="A125" s="484"/>
      <c r="B125" s="172">
        <v>1175000</v>
      </c>
      <c r="C125" s="174">
        <v>43799</v>
      </c>
      <c r="D125" s="181" t="s">
        <v>155</v>
      </c>
      <c r="E125" s="173" t="s">
        <v>33</v>
      </c>
      <c r="F125" s="176">
        <v>602.92946236559146</v>
      </c>
      <c r="G125" s="175">
        <f t="shared" si="20"/>
        <v>6</v>
      </c>
      <c r="H125" s="175">
        <f t="shared" si="13"/>
        <v>602.92946236559146</v>
      </c>
      <c r="I125" s="177">
        <f>IF(G125=0,0,IF(E125="MXN",1/HLOOKUP(YEAR(C125)+(MONTH(C125)/100),TC!$5:$37,DAY(C125)+2,FALSE),VLOOKUP(E125,Equivalencia!$5:$23,((MAX(Equivalencia!$3:$3)-YEAR(C125))*14)+MONTH(C125)+2,FALSE)))</f>
        <v>1</v>
      </c>
      <c r="J125" s="178">
        <f t="shared" si="21"/>
        <v>602.92946236559146</v>
      </c>
      <c r="K125" s="462">
        <f>IF(C125=0,0,VLOOKUP(YEAR(C125),INPC!$B$4:$O$29,MONTH(C125)+1))</f>
        <v>105.346</v>
      </c>
      <c r="L125" s="462">
        <f>IF(S125=0,0,VLOOKUP(YEAR(S125),INPC!$B$4:$O$29,MONTH(S125)+1))</f>
        <v>118.98099999999999</v>
      </c>
      <c r="M125" s="463">
        <f t="shared" si="14"/>
        <v>1.1294</v>
      </c>
      <c r="N125" s="465">
        <f t="shared" si="22"/>
        <v>680.94853479569895</v>
      </c>
      <c r="O125" s="179"/>
      <c r="P125" s="180">
        <v>6</v>
      </c>
      <c r="Q125" s="173" t="s">
        <v>583</v>
      </c>
      <c r="R125" s="173" t="s">
        <v>230</v>
      </c>
      <c r="S125" s="174">
        <v>44601</v>
      </c>
      <c r="T125" s="173" t="s">
        <v>33</v>
      </c>
      <c r="U125" s="182">
        <v>1362.43</v>
      </c>
      <c r="V125" s="177">
        <f>IF(U125=0,0,IF(T125="MXN",1/HLOOKUP(YEAR(S125)+(MONTH(S125)/100),TC!$5:$37,DAY(S125)+2,FALSE),VLOOKUP(T125,Equivalencia!$1:$23,((MAX(Equivalencia!$3:$3)-YEAR(S125))*14)+MONTH(S125)+2,FALSE)))</f>
        <v>1</v>
      </c>
      <c r="W125" s="178">
        <f t="shared" si="19"/>
        <v>1362.43</v>
      </c>
      <c r="X125" s="481">
        <f t="shared" si="15"/>
        <v>759.5005376344086</v>
      </c>
      <c r="Y125" s="179"/>
      <c r="Z125" s="466">
        <f t="shared" si="16"/>
        <v>680.94853479569895</v>
      </c>
      <c r="AA125" s="473">
        <f t="shared" si="17"/>
        <v>681.48146520430112</v>
      </c>
      <c r="AB125" s="339">
        <f t="shared" si="18"/>
        <v>1.2596839017528039</v>
      </c>
    </row>
    <row r="126" spans="1:28" ht="20.100000000000001" customHeight="1">
      <c r="A126" s="484"/>
      <c r="B126" s="172">
        <v>1175000</v>
      </c>
      <c r="C126" s="174">
        <v>43799</v>
      </c>
      <c r="D126" s="181" t="s">
        <v>155</v>
      </c>
      <c r="E126" s="173" t="s">
        <v>33</v>
      </c>
      <c r="F126" s="176">
        <v>1406.8354121863799</v>
      </c>
      <c r="G126" s="175">
        <f t="shared" si="20"/>
        <v>14</v>
      </c>
      <c r="H126" s="175">
        <f t="shared" si="13"/>
        <v>1406.8354121863799</v>
      </c>
      <c r="I126" s="177">
        <f>IF(G126=0,0,IF(E126="MXN",1/HLOOKUP(YEAR(C126)+(MONTH(C126)/100),TC!$5:$37,DAY(C126)+2,FALSE),VLOOKUP(E126,Equivalencia!$5:$23,((MAX(Equivalencia!$3:$3)-YEAR(C126))*14)+MONTH(C126)+2,FALSE)))</f>
        <v>1</v>
      </c>
      <c r="J126" s="178">
        <f t="shared" si="21"/>
        <v>1406.8354121863799</v>
      </c>
      <c r="K126" s="462">
        <f>IF(C126=0,0,VLOOKUP(YEAR(C126),INPC!$B$4:$O$29,MONTH(C126)+1))</f>
        <v>105.346</v>
      </c>
      <c r="L126" s="462">
        <f>IF(S126=0,0,VLOOKUP(YEAR(S126),INPC!$B$4:$O$29,MONTH(S126)+1))</f>
        <v>118.98099999999999</v>
      </c>
      <c r="M126" s="463">
        <f t="shared" si="14"/>
        <v>1.1294</v>
      </c>
      <c r="N126" s="465">
        <f t="shared" si="22"/>
        <v>1588.8799145232974</v>
      </c>
      <c r="O126" s="179"/>
      <c r="P126" s="180">
        <v>14</v>
      </c>
      <c r="Q126" s="173" t="s">
        <v>583</v>
      </c>
      <c r="R126" s="173" t="s">
        <v>230</v>
      </c>
      <c r="S126" s="174">
        <v>44601</v>
      </c>
      <c r="T126" s="173" t="s">
        <v>33</v>
      </c>
      <c r="U126" s="182">
        <v>3171.26</v>
      </c>
      <c r="V126" s="177">
        <f>IF(U126=0,0,IF(T126="MXN",1/HLOOKUP(YEAR(S126)+(MONTH(S126)/100),TC!$5:$37,DAY(S126)+2,FALSE),VLOOKUP(T126,Equivalencia!$1:$23,((MAX(Equivalencia!$3:$3)-YEAR(S126))*14)+MONTH(S126)+2,FALSE)))</f>
        <v>1</v>
      </c>
      <c r="W126" s="178">
        <f t="shared" si="19"/>
        <v>3171.26</v>
      </c>
      <c r="X126" s="481">
        <f t="shared" si="15"/>
        <v>1764.4245878136203</v>
      </c>
      <c r="Y126" s="179"/>
      <c r="Z126" s="466">
        <f t="shared" si="16"/>
        <v>1588.8799145232974</v>
      </c>
      <c r="AA126" s="473">
        <f t="shared" si="17"/>
        <v>1582.3800854767028</v>
      </c>
      <c r="AB126" s="339">
        <f t="shared" si="18"/>
        <v>1.2541798226926253</v>
      </c>
    </row>
    <row r="127" spans="1:28" ht="20.100000000000001" customHeight="1">
      <c r="A127" s="484"/>
      <c r="B127" s="172">
        <v>1175000</v>
      </c>
      <c r="C127" s="174">
        <v>43799</v>
      </c>
      <c r="D127" s="181" t="s">
        <v>155</v>
      </c>
      <c r="E127" s="173" t="s">
        <v>33</v>
      </c>
      <c r="F127" s="176">
        <v>401.95297491039429</v>
      </c>
      <c r="G127" s="175">
        <f t="shared" si="20"/>
        <v>4</v>
      </c>
      <c r="H127" s="175">
        <f t="shared" si="13"/>
        <v>401.95297491039429</v>
      </c>
      <c r="I127" s="177">
        <f>IF(G127=0,0,IF(E127="MXN",1/HLOOKUP(YEAR(C127)+(MONTH(C127)/100),TC!$5:$37,DAY(C127)+2,FALSE),VLOOKUP(E127,Equivalencia!$5:$23,((MAX(Equivalencia!$3:$3)-YEAR(C127))*14)+MONTH(C127)+2,FALSE)))</f>
        <v>1</v>
      </c>
      <c r="J127" s="178">
        <f t="shared" si="21"/>
        <v>401.95297491039429</v>
      </c>
      <c r="K127" s="462">
        <f>IF(C127=0,0,VLOOKUP(YEAR(C127),INPC!$B$4:$O$29,MONTH(C127)+1))</f>
        <v>105.346</v>
      </c>
      <c r="L127" s="462">
        <f>IF(S127=0,0,VLOOKUP(YEAR(S127),INPC!$B$4:$O$29,MONTH(S127)+1))</f>
        <v>118.98099999999999</v>
      </c>
      <c r="M127" s="463">
        <f t="shared" si="14"/>
        <v>1.1294</v>
      </c>
      <c r="N127" s="465">
        <f t="shared" si="22"/>
        <v>453.9656898637993</v>
      </c>
      <c r="O127" s="179"/>
      <c r="P127" s="180">
        <v>4</v>
      </c>
      <c r="Q127" s="173" t="s">
        <v>583</v>
      </c>
      <c r="R127" s="173" t="s">
        <v>230</v>
      </c>
      <c r="S127" s="174">
        <v>44602</v>
      </c>
      <c r="T127" s="173" t="s">
        <v>33</v>
      </c>
      <c r="U127" s="182">
        <v>893.11</v>
      </c>
      <c r="V127" s="177">
        <f>IF(U127=0,0,IF(T127="MXN",1/HLOOKUP(YEAR(S127)+(MONTH(S127)/100),TC!$5:$37,DAY(S127)+2,FALSE),VLOOKUP(T127,Equivalencia!$1:$23,((MAX(Equivalencia!$3:$3)-YEAR(S127))*14)+MONTH(S127)+2,FALSE)))</f>
        <v>1</v>
      </c>
      <c r="W127" s="178">
        <f t="shared" si="19"/>
        <v>893.11</v>
      </c>
      <c r="X127" s="481">
        <f t="shared" si="15"/>
        <v>491.15702508960572</v>
      </c>
      <c r="Y127" s="179"/>
      <c r="Z127" s="466">
        <f t="shared" si="16"/>
        <v>453.9656898637993</v>
      </c>
      <c r="AA127" s="473">
        <f t="shared" si="17"/>
        <v>439.14431013620072</v>
      </c>
      <c r="AB127" s="339">
        <f t="shared" si="18"/>
        <v>1.2219265828274994</v>
      </c>
    </row>
    <row r="128" spans="1:28" ht="20.100000000000001" customHeight="1">
      <c r="A128" s="484"/>
      <c r="B128" s="172">
        <v>1175000</v>
      </c>
      <c r="C128" s="174">
        <v>43799</v>
      </c>
      <c r="D128" s="181" t="s">
        <v>155</v>
      </c>
      <c r="E128" s="173" t="s">
        <v>33</v>
      </c>
      <c r="F128" s="176">
        <v>401.95297491039429</v>
      </c>
      <c r="G128" s="175">
        <f t="shared" si="20"/>
        <v>4</v>
      </c>
      <c r="H128" s="175">
        <f t="shared" si="13"/>
        <v>401.95297491039429</v>
      </c>
      <c r="I128" s="177">
        <f>IF(G128=0,0,IF(E128="MXN",1/HLOOKUP(YEAR(C128)+(MONTH(C128)/100),TC!$5:$37,DAY(C128)+2,FALSE),VLOOKUP(E128,Equivalencia!$5:$23,((MAX(Equivalencia!$3:$3)-YEAR(C128))*14)+MONTH(C128)+2,FALSE)))</f>
        <v>1</v>
      </c>
      <c r="J128" s="178">
        <f t="shared" si="21"/>
        <v>401.95297491039429</v>
      </c>
      <c r="K128" s="462">
        <f>IF(C128=0,0,VLOOKUP(YEAR(C128),INPC!$B$4:$O$29,MONTH(C128)+1))</f>
        <v>105.346</v>
      </c>
      <c r="L128" s="462">
        <f>IF(S128=0,0,VLOOKUP(YEAR(S128),INPC!$B$4:$O$29,MONTH(S128)+1))</f>
        <v>118.98099999999999</v>
      </c>
      <c r="M128" s="463">
        <f t="shared" si="14"/>
        <v>1.1294</v>
      </c>
      <c r="N128" s="465">
        <f t="shared" si="22"/>
        <v>453.9656898637993</v>
      </c>
      <c r="O128" s="179"/>
      <c r="P128" s="180">
        <v>4</v>
      </c>
      <c r="Q128" s="173" t="s">
        <v>583</v>
      </c>
      <c r="R128" s="173" t="s">
        <v>230</v>
      </c>
      <c r="S128" s="174">
        <v>44616</v>
      </c>
      <c r="T128" s="173" t="s">
        <v>33</v>
      </c>
      <c r="U128" s="182">
        <v>844.13</v>
      </c>
      <c r="V128" s="177">
        <f>IF(U128=0,0,IF(T128="MXN",1/HLOOKUP(YEAR(S128)+(MONTH(S128)/100),TC!$5:$37,DAY(S128)+2,FALSE),VLOOKUP(T128,Equivalencia!$1:$23,((MAX(Equivalencia!$3:$3)-YEAR(S128))*14)+MONTH(S128)+2,FALSE)))</f>
        <v>1</v>
      </c>
      <c r="W128" s="178">
        <f t="shared" si="19"/>
        <v>844.13</v>
      </c>
      <c r="X128" s="481">
        <f t="shared" si="15"/>
        <v>442.17702508960571</v>
      </c>
      <c r="Y128" s="179"/>
      <c r="Z128" s="466">
        <f t="shared" si="16"/>
        <v>453.9656898637993</v>
      </c>
      <c r="AA128" s="473">
        <f t="shared" si="17"/>
        <v>390.1643101362007</v>
      </c>
      <c r="AB128" s="339">
        <f t="shared" si="18"/>
        <v>1.1000715324676436</v>
      </c>
    </row>
    <row r="129" spans="1:28" ht="20.100000000000001" customHeight="1">
      <c r="A129" s="484"/>
      <c r="B129" s="172">
        <v>1175000</v>
      </c>
      <c r="C129" s="174">
        <v>43799</v>
      </c>
      <c r="D129" s="181" t="s">
        <v>155</v>
      </c>
      <c r="E129" s="173" t="s">
        <v>33</v>
      </c>
      <c r="F129" s="176">
        <v>1607.8118996415772</v>
      </c>
      <c r="G129" s="175">
        <f t="shared" si="20"/>
        <v>16</v>
      </c>
      <c r="H129" s="175">
        <f t="shared" si="13"/>
        <v>1607.8118996415772</v>
      </c>
      <c r="I129" s="177">
        <f>IF(G129=0,0,IF(E129="MXN",1/HLOOKUP(YEAR(C129)+(MONTH(C129)/100),TC!$5:$37,DAY(C129)+2,FALSE),VLOOKUP(E129,Equivalencia!$5:$23,((MAX(Equivalencia!$3:$3)-YEAR(C129))*14)+MONTH(C129)+2,FALSE)))</f>
        <v>1</v>
      </c>
      <c r="J129" s="178">
        <f t="shared" si="21"/>
        <v>1607.8118996415772</v>
      </c>
      <c r="K129" s="462">
        <f>IF(C129=0,0,VLOOKUP(YEAR(C129),INPC!$B$4:$O$29,MONTH(C129)+1))</f>
        <v>105.346</v>
      </c>
      <c r="L129" s="462">
        <f>IF(S129=0,0,VLOOKUP(YEAR(S129),INPC!$B$4:$O$29,MONTH(S129)+1))</f>
        <v>118.98099999999999</v>
      </c>
      <c r="M129" s="463">
        <f t="shared" si="14"/>
        <v>1.1294</v>
      </c>
      <c r="N129" s="465">
        <f t="shared" si="22"/>
        <v>1815.8627594551972</v>
      </c>
      <c r="O129" s="179"/>
      <c r="P129" s="180">
        <v>16</v>
      </c>
      <c r="Q129" s="173" t="s">
        <v>583</v>
      </c>
      <c r="R129" s="173" t="s">
        <v>230</v>
      </c>
      <c r="S129" s="174">
        <v>44616</v>
      </c>
      <c r="T129" s="173" t="s">
        <v>33</v>
      </c>
      <c r="U129" s="182">
        <v>3418.13</v>
      </c>
      <c r="V129" s="177">
        <f>IF(U129=0,0,IF(T129="MXN",1/HLOOKUP(YEAR(S129)+(MONTH(S129)/100),TC!$5:$37,DAY(S129)+2,FALSE),VLOOKUP(T129,Equivalencia!$1:$23,((MAX(Equivalencia!$3:$3)-YEAR(S129))*14)+MONTH(S129)+2,FALSE)))</f>
        <v>1</v>
      </c>
      <c r="W129" s="178">
        <f t="shared" si="19"/>
        <v>3418.13</v>
      </c>
      <c r="X129" s="481">
        <f t="shared" si="15"/>
        <v>1810.318100358423</v>
      </c>
      <c r="Y129" s="179"/>
      <c r="Z129" s="466">
        <f t="shared" si="16"/>
        <v>1815.8627594551972</v>
      </c>
      <c r="AA129" s="473">
        <f t="shared" si="17"/>
        <v>1602.2672405448029</v>
      </c>
      <c r="AB129" s="339">
        <f t="shared" si="18"/>
        <v>1.1259514255131395</v>
      </c>
    </row>
    <row r="130" spans="1:28" ht="20.100000000000001" customHeight="1">
      <c r="A130" s="484"/>
      <c r="B130" s="172">
        <v>1175000</v>
      </c>
      <c r="C130" s="174">
        <v>43799</v>
      </c>
      <c r="D130" s="181" t="s">
        <v>155</v>
      </c>
      <c r="E130" s="173" t="s">
        <v>33</v>
      </c>
      <c r="F130" s="176">
        <v>703.41770609318996</v>
      </c>
      <c r="G130" s="175">
        <f t="shared" si="20"/>
        <v>7</v>
      </c>
      <c r="H130" s="175">
        <f t="shared" ref="H130:H193" si="23">IF(F130=0,0,(F130/G130)*P130)</f>
        <v>703.41770609318996</v>
      </c>
      <c r="I130" s="177">
        <f>IF(G130=0,0,IF(E130="MXN",1/HLOOKUP(YEAR(C130)+(MONTH(C130)/100),TC!$5:$37,DAY(C130)+2,FALSE),VLOOKUP(E130,Equivalencia!$5:$23,((MAX(Equivalencia!$3:$3)-YEAR(C130))*14)+MONTH(C130)+2,FALSE)))</f>
        <v>1</v>
      </c>
      <c r="J130" s="178">
        <f t="shared" si="21"/>
        <v>703.41770609318996</v>
      </c>
      <c r="K130" s="462">
        <f>IF(C130=0,0,VLOOKUP(YEAR(C130),INPC!$B$4:$O$29,MONTH(C130)+1))</f>
        <v>105.346</v>
      </c>
      <c r="L130" s="462">
        <f>IF(S130=0,0,VLOOKUP(YEAR(S130),INPC!$B$4:$O$29,MONTH(S130)+1))</f>
        <v>118.98099999999999</v>
      </c>
      <c r="M130" s="463">
        <f t="shared" ref="M130:M193" si="24">IF(H130=0,0,IF(R130=$AF$4,1,IF(TRUNC(L130/K130,4)&gt;=1,TRUNC(L130/K130,4),1)))</f>
        <v>1.1294</v>
      </c>
      <c r="N130" s="465">
        <f t="shared" si="22"/>
        <v>794.43995726164871</v>
      </c>
      <c r="O130" s="179"/>
      <c r="P130" s="180">
        <v>7</v>
      </c>
      <c r="Q130" s="173" t="s">
        <v>583</v>
      </c>
      <c r="R130" s="173" t="s">
        <v>230</v>
      </c>
      <c r="S130" s="174">
        <v>44616</v>
      </c>
      <c r="T130" s="173" t="s">
        <v>33</v>
      </c>
      <c r="U130" s="182">
        <v>1491.04</v>
      </c>
      <c r="V130" s="177">
        <f>IF(U130=0,0,IF(T130="MXN",1/HLOOKUP(YEAR(S130)+(MONTH(S130)/100),TC!$5:$37,DAY(S130)+2,FALSE),VLOOKUP(T130,Equivalencia!$1:$23,((MAX(Equivalencia!$3:$3)-YEAR(S130))*14)+MONTH(S130)+2,FALSE)))</f>
        <v>1</v>
      </c>
      <c r="W130" s="178">
        <f t="shared" si="19"/>
        <v>1491.04</v>
      </c>
      <c r="X130" s="481">
        <f t="shared" ref="X130:X193" si="25">+W130-J130</f>
        <v>787.62229390681</v>
      </c>
      <c r="Y130" s="179"/>
      <c r="Z130" s="466">
        <f t="shared" ref="Z130:Z193" si="26">N130</f>
        <v>794.43995726164871</v>
      </c>
      <c r="AA130" s="473">
        <f t="shared" ref="AA130:AA193" si="27">+W130-Z130</f>
        <v>696.60004273835125</v>
      </c>
      <c r="AB130" s="339">
        <f t="shared" ref="AB130:AB193" si="28">+IF(P130=0,0,(U130/F130)-1)</f>
        <v>1.1197078024681746</v>
      </c>
    </row>
    <row r="131" spans="1:28" ht="20.100000000000001" customHeight="1">
      <c r="A131" s="484"/>
      <c r="B131" s="172">
        <v>1175000</v>
      </c>
      <c r="C131" s="174">
        <v>43799</v>
      </c>
      <c r="D131" s="181" t="s">
        <v>155</v>
      </c>
      <c r="E131" s="173" t="s">
        <v>33</v>
      </c>
      <c r="F131" s="176">
        <v>6732.7123297491044</v>
      </c>
      <c r="G131" s="175">
        <f t="shared" si="20"/>
        <v>67</v>
      </c>
      <c r="H131" s="175">
        <f t="shared" si="23"/>
        <v>6732.7123297491044</v>
      </c>
      <c r="I131" s="177">
        <f>IF(G131=0,0,IF(E131="MXN",1/HLOOKUP(YEAR(C131)+(MONTH(C131)/100),TC!$5:$37,DAY(C131)+2,FALSE),VLOOKUP(E131,Equivalencia!$5:$23,((MAX(Equivalencia!$3:$3)-YEAR(C131))*14)+MONTH(C131)+2,FALSE)))</f>
        <v>1</v>
      </c>
      <c r="J131" s="178">
        <f t="shared" si="21"/>
        <v>6732.7123297491044</v>
      </c>
      <c r="K131" s="462">
        <f>IF(C131=0,0,VLOOKUP(YEAR(C131),INPC!$B$4:$O$29,MONTH(C131)+1))</f>
        <v>105.346</v>
      </c>
      <c r="L131" s="462">
        <f>IF(S131=0,0,VLOOKUP(YEAR(S131),INPC!$B$4:$O$29,MONTH(S131)+1))</f>
        <v>120.809</v>
      </c>
      <c r="M131" s="463">
        <f t="shared" si="24"/>
        <v>1.1467000000000001</v>
      </c>
      <c r="N131" s="465">
        <f t="shared" si="22"/>
        <v>7720.4012285232984</v>
      </c>
      <c r="O131" s="179"/>
      <c r="P131" s="180">
        <v>67</v>
      </c>
      <c r="Q131" s="173" t="s">
        <v>583</v>
      </c>
      <c r="R131" s="173" t="s">
        <v>230</v>
      </c>
      <c r="S131" s="174">
        <v>44678</v>
      </c>
      <c r="T131" s="173" t="s">
        <v>33</v>
      </c>
      <c r="U131" s="182">
        <v>13320.54</v>
      </c>
      <c r="V131" s="177">
        <f>IF(U131=0,0,IF(T131="MXN",1/HLOOKUP(YEAR(S131)+(MONTH(S131)/100),TC!$5:$37,DAY(S131)+2,FALSE),VLOOKUP(T131,Equivalencia!$1:$23,((MAX(Equivalencia!$3:$3)-YEAR(S131))*14)+MONTH(S131)+2,FALSE)))</f>
        <v>1</v>
      </c>
      <c r="W131" s="178">
        <f t="shared" ref="W131:W194" si="29">+V131*U131</f>
        <v>13320.54</v>
      </c>
      <c r="X131" s="481">
        <f t="shared" si="25"/>
        <v>6587.8276702508965</v>
      </c>
      <c r="Y131" s="179"/>
      <c r="Z131" s="466">
        <f t="shared" si="26"/>
        <v>7720.4012285232984</v>
      </c>
      <c r="AA131" s="473">
        <f t="shared" si="27"/>
        <v>5600.1387714767025</v>
      </c>
      <c r="AB131" s="339">
        <f t="shared" si="28"/>
        <v>0.97848049160543793</v>
      </c>
    </row>
    <row r="132" spans="1:28" ht="20.100000000000001" customHeight="1">
      <c r="A132" s="484"/>
      <c r="B132" s="172">
        <v>1175000</v>
      </c>
      <c r="C132" s="174">
        <v>44090</v>
      </c>
      <c r="D132" s="181" t="s">
        <v>175</v>
      </c>
      <c r="E132" s="173" t="s">
        <v>33</v>
      </c>
      <c r="F132" s="176">
        <v>4673.82</v>
      </c>
      <c r="G132" s="175">
        <f t="shared" si="20"/>
        <v>46</v>
      </c>
      <c r="H132" s="175">
        <f t="shared" si="23"/>
        <v>4673.82</v>
      </c>
      <c r="I132" s="177">
        <f>IF(G132=0,0,IF(E132="MXN",1/HLOOKUP(YEAR(C132)+(MONTH(C132)/100),TC!$5:$37,DAY(C132)+2,FALSE),VLOOKUP(E132,Equivalencia!$5:$23,((MAX(Equivalencia!$3:$3)-YEAR(C132))*14)+MONTH(C132)+2,FALSE)))</f>
        <v>1</v>
      </c>
      <c r="J132" s="178">
        <f t="shared" si="21"/>
        <v>4673.82</v>
      </c>
      <c r="K132" s="462">
        <f>IF(C132=0,0,VLOOKUP(YEAR(C132),INPC!$B$4:$O$29,MONTH(C132)+1))</f>
        <v>108.114</v>
      </c>
      <c r="L132" s="462">
        <f>IF(S132=0,0,VLOOKUP(YEAR(S132),INPC!$B$4:$O$29,MONTH(S132)+1))</f>
        <v>120.809</v>
      </c>
      <c r="M132" s="463">
        <f t="shared" si="24"/>
        <v>1.1173999999999999</v>
      </c>
      <c r="N132" s="465">
        <f t="shared" si="22"/>
        <v>5222.5264679999991</v>
      </c>
      <c r="O132" s="179"/>
      <c r="P132" s="569">
        <v>46</v>
      </c>
      <c r="Q132" s="173" t="s">
        <v>583</v>
      </c>
      <c r="R132" s="173" t="s">
        <v>230</v>
      </c>
      <c r="S132" s="174">
        <v>44678</v>
      </c>
      <c r="T132" s="173" t="s">
        <v>33</v>
      </c>
      <c r="U132" s="182">
        <v>5279.7532653061226</v>
      </c>
      <c r="V132" s="177">
        <f>IF(U132=0,0,IF(T132="MXN",1/HLOOKUP(YEAR(S132)+(MONTH(S132)/100),TC!$5:$37,DAY(S132)+2,FALSE),VLOOKUP(T132,Equivalencia!$1:$23,((MAX(Equivalencia!$3:$3)-YEAR(S132))*14)+MONTH(S132)+2,FALSE)))</f>
        <v>1</v>
      </c>
      <c r="W132" s="178">
        <f t="shared" si="29"/>
        <v>5279.7532653061226</v>
      </c>
      <c r="X132" s="481">
        <f t="shared" si="25"/>
        <v>605.93326530612285</v>
      </c>
      <c r="Y132" s="179"/>
      <c r="Z132" s="466">
        <f t="shared" si="26"/>
        <v>5222.5264679999991</v>
      </c>
      <c r="AA132" s="473">
        <f t="shared" si="27"/>
        <v>57.226797306123444</v>
      </c>
      <c r="AB132" s="339">
        <f t="shared" si="28"/>
        <v>0.12964411665535325</v>
      </c>
    </row>
    <row r="133" spans="1:28" ht="20.100000000000001" customHeight="1">
      <c r="A133" s="484"/>
      <c r="B133" s="172">
        <v>1175000</v>
      </c>
      <c r="C133" s="174">
        <v>44103</v>
      </c>
      <c r="D133" s="181" t="s">
        <v>175</v>
      </c>
      <c r="E133" s="173" t="s">
        <v>33</v>
      </c>
      <c r="F133" s="176">
        <v>1009.1200000000001</v>
      </c>
      <c r="G133" s="175">
        <f t="shared" si="20"/>
        <v>10</v>
      </c>
      <c r="H133" s="175">
        <f t="shared" si="23"/>
        <v>1009.1200000000001</v>
      </c>
      <c r="I133" s="177">
        <f>IF(G133=0,0,IF(E133="MXN",1/HLOOKUP(YEAR(C133)+(MONTH(C133)/100),TC!$5:$37,DAY(C133)+2,FALSE),VLOOKUP(E133,Equivalencia!$5:$23,((MAX(Equivalencia!$3:$3)-YEAR(C133))*14)+MONTH(C133)+2,FALSE)))</f>
        <v>1</v>
      </c>
      <c r="J133" s="178">
        <f t="shared" si="21"/>
        <v>1009.1200000000001</v>
      </c>
      <c r="K133" s="462">
        <f>IF(C133=0,0,VLOOKUP(YEAR(C133),INPC!$B$4:$O$29,MONTH(C133)+1))</f>
        <v>108.114</v>
      </c>
      <c r="L133" s="462">
        <f>IF(S133=0,0,VLOOKUP(YEAR(S133),INPC!$B$4:$O$29,MONTH(S133)+1))</f>
        <v>120.809</v>
      </c>
      <c r="M133" s="463">
        <f t="shared" si="24"/>
        <v>1.1173999999999999</v>
      </c>
      <c r="N133" s="465">
        <f t="shared" si="22"/>
        <v>1127.590688</v>
      </c>
      <c r="O133" s="179"/>
      <c r="P133" s="570">
        <v>10</v>
      </c>
      <c r="Q133" s="173" t="s">
        <v>583</v>
      </c>
      <c r="R133" s="173" t="s">
        <v>230</v>
      </c>
      <c r="S133" s="174">
        <v>44678</v>
      </c>
      <c r="T133" s="173" t="s">
        <v>33</v>
      </c>
      <c r="U133" s="182">
        <v>1147.7724489795919</v>
      </c>
      <c r="V133" s="177">
        <f>IF(U133=0,0,IF(T133="MXN",1/HLOOKUP(YEAR(S133)+(MONTH(S133)/100),TC!$5:$37,DAY(S133)+2,FALSE),VLOOKUP(T133,Equivalencia!$1:$23,((MAX(Equivalencia!$3:$3)-YEAR(S133))*14)+MONTH(S133)+2,FALSE)))</f>
        <v>1</v>
      </c>
      <c r="W133" s="178">
        <f t="shared" si="29"/>
        <v>1147.7724489795919</v>
      </c>
      <c r="X133" s="481">
        <f t="shared" si="25"/>
        <v>138.65244897959178</v>
      </c>
      <c r="Y133" s="179"/>
      <c r="Z133" s="466">
        <f t="shared" si="26"/>
        <v>1127.590688</v>
      </c>
      <c r="AA133" s="473">
        <f t="shared" si="27"/>
        <v>20.1817609795919</v>
      </c>
      <c r="AB133" s="339">
        <f t="shared" si="28"/>
        <v>0.13739936675478814</v>
      </c>
    </row>
    <row r="134" spans="1:28" ht="20.100000000000001" customHeight="1">
      <c r="A134" s="484"/>
      <c r="B134" s="172">
        <v>1175000</v>
      </c>
      <c r="C134" s="174">
        <v>44103</v>
      </c>
      <c r="D134" s="181" t="s">
        <v>175</v>
      </c>
      <c r="E134" s="173" t="s">
        <v>33</v>
      </c>
      <c r="F134" s="176">
        <v>2503.9499999999998</v>
      </c>
      <c r="G134" s="175">
        <f t="shared" ref="G134:G197" si="30">+P134</f>
        <v>25</v>
      </c>
      <c r="H134" s="175">
        <f t="shared" si="23"/>
        <v>2503.9499999999998</v>
      </c>
      <c r="I134" s="177">
        <f>IF(G134=0,0,IF(E134="MXN",1/HLOOKUP(YEAR(C134)+(MONTH(C134)/100),TC!$5:$37,DAY(C134)+2,FALSE),VLOOKUP(E134,Equivalencia!$5:$23,((MAX(Equivalencia!$3:$3)-YEAR(C134))*14)+MONTH(C134)+2,FALSE)))</f>
        <v>1</v>
      </c>
      <c r="J134" s="178">
        <f t="shared" ref="J134:J197" si="31">+H134*I134</f>
        <v>2503.9499999999998</v>
      </c>
      <c r="K134" s="462">
        <f>IF(C134=0,0,VLOOKUP(YEAR(C134),INPC!$B$4:$O$29,MONTH(C134)+1))</f>
        <v>108.114</v>
      </c>
      <c r="L134" s="462">
        <f>IF(S134=0,0,VLOOKUP(YEAR(S134),INPC!$B$4:$O$29,MONTH(S134)+1))</f>
        <v>120.809</v>
      </c>
      <c r="M134" s="463">
        <f t="shared" si="24"/>
        <v>1.1173999999999999</v>
      </c>
      <c r="N134" s="465">
        <f t="shared" ref="N134:N197" si="32">+M134*J134</f>
        <v>2797.9137299999998</v>
      </c>
      <c r="O134" s="179"/>
      <c r="P134" s="570">
        <v>25</v>
      </c>
      <c r="Q134" s="173" t="s">
        <v>583</v>
      </c>
      <c r="R134" s="173" t="s">
        <v>230</v>
      </c>
      <c r="S134" s="174">
        <v>44678</v>
      </c>
      <c r="T134" s="173" t="s">
        <v>33</v>
      </c>
      <c r="U134" s="182">
        <v>2869.4311224489793</v>
      </c>
      <c r="V134" s="177">
        <f>IF(U134=0,0,IF(T134="MXN",1/HLOOKUP(YEAR(S134)+(MONTH(S134)/100),TC!$5:$37,DAY(S134)+2,FALSE),VLOOKUP(T134,Equivalencia!$1:$23,((MAX(Equivalencia!$3:$3)-YEAR(S134))*14)+MONTH(S134)+2,FALSE)))</f>
        <v>1</v>
      </c>
      <c r="W134" s="178">
        <f t="shared" si="29"/>
        <v>2869.4311224489793</v>
      </c>
      <c r="X134" s="481">
        <f t="shared" si="25"/>
        <v>365.48112244897948</v>
      </c>
      <c r="Y134" s="179"/>
      <c r="Z134" s="466">
        <f t="shared" si="26"/>
        <v>2797.9137299999998</v>
      </c>
      <c r="AA134" s="473">
        <f t="shared" si="27"/>
        <v>71.517392448979535</v>
      </c>
      <c r="AB134" s="339">
        <f t="shared" si="28"/>
        <v>0.14596182928931478</v>
      </c>
    </row>
    <row r="135" spans="1:28" ht="20.100000000000001" customHeight="1">
      <c r="A135" s="484"/>
      <c r="B135" s="172">
        <v>1175000</v>
      </c>
      <c r="C135" s="174">
        <v>44118</v>
      </c>
      <c r="D135" s="181" t="s">
        <v>175</v>
      </c>
      <c r="E135" s="173" t="s">
        <v>33</v>
      </c>
      <c r="F135" s="176">
        <v>1752.8671186440677</v>
      </c>
      <c r="G135" s="175">
        <f t="shared" si="30"/>
        <v>17</v>
      </c>
      <c r="H135" s="175">
        <f t="shared" si="23"/>
        <v>1752.8671186440677</v>
      </c>
      <c r="I135" s="177">
        <f>IF(G135=0,0,IF(E135="MXN",1/HLOOKUP(YEAR(C135)+(MONTH(C135)/100),TC!$5:$37,DAY(C135)+2,FALSE),VLOOKUP(E135,Equivalencia!$5:$23,((MAX(Equivalencia!$3:$3)-YEAR(C135))*14)+MONTH(C135)+2,FALSE)))</f>
        <v>1</v>
      </c>
      <c r="J135" s="178">
        <f t="shared" si="31"/>
        <v>1752.8671186440677</v>
      </c>
      <c r="K135" s="462">
        <f>IF(C135=0,0,VLOOKUP(YEAR(C135),INPC!$B$4:$O$29,MONTH(C135)+1))</f>
        <v>108.774</v>
      </c>
      <c r="L135" s="462">
        <f>IF(S135=0,0,VLOOKUP(YEAR(S135),INPC!$B$4:$O$29,MONTH(S135)+1))</f>
        <v>120.809</v>
      </c>
      <c r="M135" s="463">
        <f t="shared" si="24"/>
        <v>1.1106</v>
      </c>
      <c r="N135" s="465">
        <f t="shared" si="32"/>
        <v>1946.7342219661016</v>
      </c>
      <c r="O135" s="179"/>
      <c r="P135" s="571">
        <v>17</v>
      </c>
      <c r="Q135" s="173" t="s">
        <v>583</v>
      </c>
      <c r="R135" s="173" t="s">
        <v>230</v>
      </c>
      <c r="S135" s="174">
        <v>44678</v>
      </c>
      <c r="T135" s="173" t="s">
        <v>33</v>
      </c>
      <c r="U135" s="182">
        <v>1951.2131632653061</v>
      </c>
      <c r="V135" s="177">
        <f>IF(U135=0,0,IF(T135="MXN",1/HLOOKUP(YEAR(S135)+(MONTH(S135)/100),TC!$5:$37,DAY(S135)+2,FALSE),VLOOKUP(T135,Equivalencia!$1:$23,((MAX(Equivalencia!$3:$3)-YEAR(S135))*14)+MONTH(S135)+2,FALSE)))</f>
        <v>1</v>
      </c>
      <c r="W135" s="178">
        <f t="shared" si="29"/>
        <v>1951.2131632653061</v>
      </c>
      <c r="X135" s="481">
        <f t="shared" si="25"/>
        <v>198.34604462123843</v>
      </c>
      <c r="Y135" s="179"/>
      <c r="Z135" s="466">
        <f t="shared" si="26"/>
        <v>1946.7342219661016</v>
      </c>
      <c r="AA135" s="473">
        <f t="shared" si="27"/>
        <v>4.4789412992045072</v>
      </c>
      <c r="AB135" s="339">
        <f t="shared" si="28"/>
        <v>0.11315520869298368</v>
      </c>
    </row>
    <row r="136" spans="1:28" ht="20.100000000000001" customHeight="1">
      <c r="A136" s="484"/>
      <c r="B136" s="172">
        <v>1175000</v>
      </c>
      <c r="C136" s="174">
        <v>43830</v>
      </c>
      <c r="D136" s="181" t="s">
        <v>166</v>
      </c>
      <c r="E136" s="173" t="s">
        <v>33</v>
      </c>
      <c r="F136" s="176">
        <v>14196.440360110802</v>
      </c>
      <c r="G136" s="175">
        <f t="shared" si="30"/>
        <v>161</v>
      </c>
      <c r="H136" s="175">
        <f t="shared" si="23"/>
        <v>14196.440360110802</v>
      </c>
      <c r="I136" s="177">
        <f>IF(G136=0,0,IF(E136="MXN",1/HLOOKUP(YEAR(C136)+(MONTH(C136)/100),TC!$5:$37,DAY(C136)+2,FALSE),VLOOKUP(E136,Equivalencia!$5:$23,((MAX(Equivalencia!$3:$3)-YEAR(C136))*14)+MONTH(C136)+2,FALSE)))</f>
        <v>1</v>
      </c>
      <c r="J136" s="178">
        <f t="shared" si="31"/>
        <v>14196.440360110802</v>
      </c>
      <c r="K136" s="462">
        <f>IF(C136=0,0,VLOOKUP(YEAR(C136),INPC!$B$4:$O$29,MONTH(C136)+1))</f>
        <v>105.934</v>
      </c>
      <c r="L136" s="462">
        <f>IF(S136=0,0,VLOOKUP(YEAR(S136),INPC!$B$4:$O$29,MONTH(S136)+1))</f>
        <v>120.809</v>
      </c>
      <c r="M136" s="463">
        <f t="shared" si="24"/>
        <v>1.1404000000000001</v>
      </c>
      <c r="N136" s="465">
        <f t="shared" si="32"/>
        <v>16189.62058667036</v>
      </c>
      <c r="O136" s="179"/>
      <c r="P136" s="180">
        <v>161</v>
      </c>
      <c r="Q136" s="173" t="s">
        <v>583</v>
      </c>
      <c r="R136" s="173" t="s">
        <v>230</v>
      </c>
      <c r="S136" s="174">
        <v>44678</v>
      </c>
      <c r="T136" s="173" t="s">
        <v>33</v>
      </c>
      <c r="U136" s="182">
        <v>29654.82</v>
      </c>
      <c r="V136" s="177">
        <f>IF(U136=0,0,IF(T136="MXN",1/HLOOKUP(YEAR(S136)+(MONTH(S136)/100),TC!$5:$37,DAY(S136)+2,FALSE),VLOOKUP(T136,Equivalencia!$1:$23,((MAX(Equivalencia!$3:$3)-YEAR(S136))*14)+MONTH(S136)+2,FALSE)))</f>
        <v>1</v>
      </c>
      <c r="W136" s="178">
        <f t="shared" si="29"/>
        <v>29654.82</v>
      </c>
      <c r="X136" s="481">
        <f t="shared" si="25"/>
        <v>15458.379639889197</v>
      </c>
      <c r="Y136" s="179"/>
      <c r="Z136" s="466">
        <f t="shared" si="26"/>
        <v>16189.62058667036</v>
      </c>
      <c r="AA136" s="473">
        <f t="shared" si="27"/>
        <v>13465.199413329639</v>
      </c>
      <c r="AB136" s="339">
        <f t="shared" si="28"/>
        <v>1.0888912465215008</v>
      </c>
    </row>
    <row r="137" spans="1:28" ht="20.100000000000001" customHeight="1">
      <c r="A137" s="484"/>
      <c r="B137" s="172">
        <v>1175000</v>
      </c>
      <c r="C137" s="174">
        <v>44092</v>
      </c>
      <c r="D137" s="181" t="s">
        <v>152</v>
      </c>
      <c r="E137" s="173" t="s">
        <v>33</v>
      </c>
      <c r="F137" s="176">
        <v>3091.9749999999999</v>
      </c>
      <c r="G137" s="175">
        <f t="shared" si="30"/>
        <v>10</v>
      </c>
      <c r="H137" s="175">
        <f t="shared" si="23"/>
        <v>3091.9749999999999</v>
      </c>
      <c r="I137" s="177">
        <f>IF(G137=0,0,IF(E137="MXN",1/HLOOKUP(YEAR(C137)+(MONTH(C137)/100),TC!$5:$37,DAY(C137)+2,FALSE),VLOOKUP(E137,Equivalencia!$5:$23,((MAX(Equivalencia!$3:$3)-YEAR(C137))*14)+MONTH(C137)+2,FALSE)))</f>
        <v>1</v>
      </c>
      <c r="J137" s="178">
        <f t="shared" si="31"/>
        <v>3091.9749999999999</v>
      </c>
      <c r="K137" s="462">
        <f>IF(C137=0,0,VLOOKUP(YEAR(C137),INPC!$B$4:$O$29,MONTH(C137)+1))</f>
        <v>108.114</v>
      </c>
      <c r="L137" s="462">
        <f>IF(S137=0,0,VLOOKUP(YEAR(S137),INPC!$B$4:$O$29,MONTH(S137)+1))</f>
        <v>120.809</v>
      </c>
      <c r="M137" s="463">
        <f t="shared" si="24"/>
        <v>1.1173999999999999</v>
      </c>
      <c r="N137" s="465">
        <f t="shared" si="32"/>
        <v>3454.9728649999997</v>
      </c>
      <c r="O137" s="179"/>
      <c r="P137" s="569">
        <v>10</v>
      </c>
      <c r="Q137" s="173" t="s">
        <v>583</v>
      </c>
      <c r="R137" s="173" t="s">
        <v>230</v>
      </c>
      <c r="S137" s="174">
        <v>44678</v>
      </c>
      <c r="T137" s="173" t="s">
        <v>33</v>
      </c>
      <c r="U137" s="182">
        <v>4621.8552631578941</v>
      </c>
      <c r="V137" s="177">
        <f>IF(U137=0,0,IF(T137="MXN",1/HLOOKUP(YEAR(S137)+(MONTH(S137)/100),TC!$5:$37,DAY(S137)+2,FALSE),VLOOKUP(T137,Equivalencia!$1:$23,((MAX(Equivalencia!$3:$3)-YEAR(S137))*14)+MONTH(S137)+2,FALSE)))</f>
        <v>1</v>
      </c>
      <c r="W137" s="178">
        <f t="shared" si="29"/>
        <v>4621.8552631578941</v>
      </c>
      <c r="X137" s="481">
        <f t="shared" si="25"/>
        <v>1529.8802631578942</v>
      </c>
      <c r="Y137" s="179"/>
      <c r="Z137" s="466">
        <f t="shared" si="26"/>
        <v>3454.9728649999997</v>
      </c>
      <c r="AA137" s="473">
        <f t="shared" si="27"/>
        <v>1166.8823981578944</v>
      </c>
      <c r="AB137" s="339">
        <f t="shared" si="28"/>
        <v>0.49479063160533121</v>
      </c>
    </row>
    <row r="138" spans="1:28" ht="20.100000000000001" customHeight="1">
      <c r="A138" s="484"/>
      <c r="B138" s="172">
        <v>1175000</v>
      </c>
      <c r="C138" s="174">
        <v>44096</v>
      </c>
      <c r="D138" s="181" t="s">
        <v>152</v>
      </c>
      <c r="E138" s="173" t="s">
        <v>33</v>
      </c>
      <c r="F138" s="176">
        <v>3470.1100000000006</v>
      </c>
      <c r="G138" s="175">
        <f t="shared" si="30"/>
        <v>11</v>
      </c>
      <c r="H138" s="175">
        <f t="shared" si="23"/>
        <v>3470.1100000000006</v>
      </c>
      <c r="I138" s="177">
        <f>IF(G138=0,0,IF(E138="MXN",1/HLOOKUP(YEAR(C138)+(MONTH(C138)/100),TC!$5:$37,DAY(C138)+2,FALSE),VLOOKUP(E138,Equivalencia!$5:$23,((MAX(Equivalencia!$3:$3)-YEAR(C138))*14)+MONTH(C138)+2,FALSE)))</f>
        <v>1</v>
      </c>
      <c r="J138" s="178">
        <f t="shared" si="31"/>
        <v>3470.1100000000006</v>
      </c>
      <c r="K138" s="462">
        <f>IF(C138=0,0,VLOOKUP(YEAR(C138),INPC!$B$4:$O$29,MONTH(C138)+1))</f>
        <v>108.114</v>
      </c>
      <c r="L138" s="462">
        <f>IF(S138=0,0,VLOOKUP(YEAR(S138),INPC!$B$4:$O$29,MONTH(S138)+1))</f>
        <v>120.809</v>
      </c>
      <c r="M138" s="463">
        <f t="shared" si="24"/>
        <v>1.1173999999999999</v>
      </c>
      <c r="N138" s="465">
        <f t="shared" si="32"/>
        <v>3877.5009140000006</v>
      </c>
      <c r="O138" s="179"/>
      <c r="P138" s="570">
        <v>11</v>
      </c>
      <c r="Q138" s="173" t="s">
        <v>583</v>
      </c>
      <c r="R138" s="173" t="s">
        <v>230</v>
      </c>
      <c r="S138" s="174">
        <v>44678</v>
      </c>
      <c r="T138" s="173" t="s">
        <v>33</v>
      </c>
      <c r="U138" s="182">
        <v>5084.0407894736836</v>
      </c>
      <c r="V138" s="177">
        <f>IF(U138=0,0,IF(T138="MXN",1/HLOOKUP(YEAR(S138)+(MONTH(S138)/100),TC!$5:$37,DAY(S138)+2,FALSE),VLOOKUP(T138,Equivalencia!$1:$23,((MAX(Equivalencia!$3:$3)-YEAR(S138))*14)+MONTH(S138)+2,FALSE)))</f>
        <v>1</v>
      </c>
      <c r="W138" s="178">
        <f t="shared" si="29"/>
        <v>5084.0407894736836</v>
      </c>
      <c r="X138" s="481">
        <f t="shared" si="25"/>
        <v>1613.930789473683</v>
      </c>
      <c r="Y138" s="179"/>
      <c r="Z138" s="466">
        <f t="shared" si="26"/>
        <v>3877.5009140000006</v>
      </c>
      <c r="AA138" s="473">
        <f t="shared" si="27"/>
        <v>1206.539875473683</v>
      </c>
      <c r="AB138" s="339">
        <f t="shared" si="28"/>
        <v>0.46509499395514342</v>
      </c>
    </row>
    <row r="139" spans="1:28" ht="20.100000000000001" customHeight="1">
      <c r="A139" s="484"/>
      <c r="B139" s="172">
        <v>1175000</v>
      </c>
      <c r="C139" s="174">
        <v>44097</v>
      </c>
      <c r="D139" s="181" t="s">
        <v>152</v>
      </c>
      <c r="E139" s="173" t="s">
        <v>33</v>
      </c>
      <c r="F139" s="176">
        <v>3562.28</v>
      </c>
      <c r="G139" s="175">
        <f t="shared" si="30"/>
        <v>11</v>
      </c>
      <c r="H139" s="175">
        <f t="shared" si="23"/>
        <v>3562.28</v>
      </c>
      <c r="I139" s="177">
        <f>IF(G139=0,0,IF(E139="MXN",1/HLOOKUP(YEAR(C139)+(MONTH(C139)/100),TC!$5:$37,DAY(C139)+2,FALSE),VLOOKUP(E139,Equivalencia!$5:$23,((MAX(Equivalencia!$3:$3)-YEAR(C139))*14)+MONTH(C139)+2,FALSE)))</f>
        <v>1</v>
      </c>
      <c r="J139" s="178">
        <f t="shared" si="31"/>
        <v>3562.28</v>
      </c>
      <c r="K139" s="462">
        <f>IF(C139=0,0,VLOOKUP(YEAR(C139),INPC!$B$4:$O$29,MONTH(C139)+1))</f>
        <v>108.114</v>
      </c>
      <c r="L139" s="462">
        <f>IF(S139=0,0,VLOOKUP(YEAR(S139),INPC!$B$4:$O$29,MONTH(S139)+1))</f>
        <v>120.809</v>
      </c>
      <c r="M139" s="463">
        <f t="shared" si="24"/>
        <v>1.1173999999999999</v>
      </c>
      <c r="N139" s="465">
        <f t="shared" si="32"/>
        <v>3980.4916720000001</v>
      </c>
      <c r="O139" s="179"/>
      <c r="P139" s="570">
        <v>11</v>
      </c>
      <c r="Q139" s="173" t="s">
        <v>583</v>
      </c>
      <c r="R139" s="173" t="s">
        <v>230</v>
      </c>
      <c r="S139" s="174">
        <v>44678</v>
      </c>
      <c r="T139" s="173" t="s">
        <v>33</v>
      </c>
      <c r="U139" s="182">
        <v>5084.0407894736836</v>
      </c>
      <c r="V139" s="177">
        <f>IF(U139=0,0,IF(T139="MXN",1/HLOOKUP(YEAR(S139)+(MONTH(S139)/100),TC!$5:$37,DAY(S139)+2,FALSE),VLOOKUP(T139,Equivalencia!$1:$23,((MAX(Equivalencia!$3:$3)-YEAR(S139))*14)+MONTH(S139)+2,FALSE)))</f>
        <v>1</v>
      </c>
      <c r="W139" s="178">
        <f t="shared" si="29"/>
        <v>5084.0407894736836</v>
      </c>
      <c r="X139" s="481">
        <f t="shared" si="25"/>
        <v>1521.7607894736834</v>
      </c>
      <c r="Y139" s="179"/>
      <c r="Z139" s="466">
        <f t="shared" si="26"/>
        <v>3980.4916720000001</v>
      </c>
      <c r="AA139" s="473">
        <f t="shared" si="27"/>
        <v>1103.5491174736835</v>
      </c>
      <c r="AB139" s="339">
        <f t="shared" si="28"/>
        <v>0.4271873040506875</v>
      </c>
    </row>
    <row r="140" spans="1:28" ht="20.100000000000001" customHeight="1">
      <c r="A140" s="484"/>
      <c r="B140" s="172">
        <v>1175000</v>
      </c>
      <c r="C140" s="174">
        <v>44103</v>
      </c>
      <c r="D140" s="181" t="s">
        <v>152</v>
      </c>
      <c r="E140" s="173" t="s">
        <v>33</v>
      </c>
      <c r="F140" s="176">
        <v>339.64</v>
      </c>
      <c r="G140" s="175">
        <f t="shared" si="30"/>
        <v>1</v>
      </c>
      <c r="H140" s="175">
        <f t="shared" si="23"/>
        <v>339.64</v>
      </c>
      <c r="I140" s="177">
        <f>IF(G140=0,0,IF(E140="MXN",1/HLOOKUP(YEAR(C140)+(MONTH(C140)/100),TC!$5:$37,DAY(C140)+2,FALSE),VLOOKUP(E140,Equivalencia!$5:$23,((MAX(Equivalencia!$3:$3)-YEAR(C140))*14)+MONTH(C140)+2,FALSE)))</f>
        <v>1</v>
      </c>
      <c r="J140" s="178">
        <f t="shared" si="31"/>
        <v>339.64</v>
      </c>
      <c r="K140" s="462">
        <f>IF(C140=0,0,VLOOKUP(YEAR(C140),INPC!$B$4:$O$29,MONTH(C140)+1))</f>
        <v>108.114</v>
      </c>
      <c r="L140" s="462">
        <f>IF(S140=0,0,VLOOKUP(YEAR(S140),INPC!$B$4:$O$29,MONTH(S140)+1))</f>
        <v>120.809</v>
      </c>
      <c r="M140" s="463">
        <f t="shared" si="24"/>
        <v>1.1173999999999999</v>
      </c>
      <c r="N140" s="465">
        <f t="shared" si="32"/>
        <v>379.51373599999999</v>
      </c>
      <c r="O140" s="179"/>
      <c r="P140" s="570">
        <v>1</v>
      </c>
      <c r="Q140" s="173" t="s">
        <v>583</v>
      </c>
      <c r="R140" s="173" t="s">
        <v>230</v>
      </c>
      <c r="S140" s="174">
        <v>44678</v>
      </c>
      <c r="T140" s="173" t="s">
        <v>33</v>
      </c>
      <c r="U140" s="182">
        <v>462.18552631578945</v>
      </c>
      <c r="V140" s="177">
        <f>IF(U140=0,0,IF(T140="MXN",1/HLOOKUP(YEAR(S140)+(MONTH(S140)/100),TC!$5:$37,DAY(S140)+2,FALSE),VLOOKUP(T140,Equivalencia!$1:$23,((MAX(Equivalencia!$3:$3)-YEAR(S140))*14)+MONTH(S140)+2,FALSE)))</f>
        <v>1</v>
      </c>
      <c r="W140" s="178">
        <f t="shared" si="29"/>
        <v>462.18552631578945</v>
      </c>
      <c r="X140" s="481">
        <f t="shared" si="25"/>
        <v>122.54552631578946</v>
      </c>
      <c r="Y140" s="179"/>
      <c r="Z140" s="466">
        <f t="shared" si="26"/>
        <v>379.51373599999999</v>
      </c>
      <c r="AA140" s="473">
        <f t="shared" si="27"/>
        <v>82.671790315789451</v>
      </c>
      <c r="AB140" s="339">
        <f t="shared" si="28"/>
        <v>0.36081005274935074</v>
      </c>
    </row>
    <row r="141" spans="1:28" ht="20.100000000000001" customHeight="1">
      <c r="A141" s="484"/>
      <c r="B141" s="172">
        <v>1175000</v>
      </c>
      <c r="C141" s="174">
        <v>44103</v>
      </c>
      <c r="D141" s="181" t="s">
        <v>152</v>
      </c>
      <c r="E141" s="173" t="s">
        <v>33</v>
      </c>
      <c r="F141" s="176">
        <v>1702.7136363636362</v>
      </c>
      <c r="G141" s="175">
        <f t="shared" si="30"/>
        <v>5</v>
      </c>
      <c r="H141" s="175">
        <f t="shared" si="23"/>
        <v>1702.7136363636362</v>
      </c>
      <c r="I141" s="177">
        <f>IF(G141=0,0,IF(E141="MXN",1/HLOOKUP(YEAR(C141)+(MONTH(C141)/100),TC!$5:$37,DAY(C141)+2,FALSE),VLOOKUP(E141,Equivalencia!$5:$23,((MAX(Equivalencia!$3:$3)-YEAR(C141))*14)+MONTH(C141)+2,FALSE)))</f>
        <v>1</v>
      </c>
      <c r="J141" s="178">
        <f t="shared" si="31"/>
        <v>1702.7136363636362</v>
      </c>
      <c r="K141" s="462">
        <f>IF(C141=0,0,VLOOKUP(YEAR(C141),INPC!$B$4:$O$29,MONTH(C141)+1))</f>
        <v>108.114</v>
      </c>
      <c r="L141" s="462">
        <f>IF(S141=0,0,VLOOKUP(YEAR(S141),INPC!$B$4:$O$29,MONTH(S141)+1))</f>
        <v>120.809</v>
      </c>
      <c r="M141" s="463">
        <f t="shared" si="24"/>
        <v>1.1173999999999999</v>
      </c>
      <c r="N141" s="465">
        <f t="shared" si="32"/>
        <v>1902.6122172727269</v>
      </c>
      <c r="O141" s="179"/>
      <c r="P141" s="571">
        <v>5</v>
      </c>
      <c r="Q141" s="173" t="s">
        <v>583</v>
      </c>
      <c r="R141" s="173" t="s">
        <v>230</v>
      </c>
      <c r="S141" s="174">
        <v>44678</v>
      </c>
      <c r="T141" s="173" t="s">
        <v>33</v>
      </c>
      <c r="U141" s="182">
        <v>2310.9276315789471</v>
      </c>
      <c r="V141" s="177">
        <f>IF(U141=0,0,IF(T141="MXN",1/HLOOKUP(YEAR(S141)+(MONTH(S141)/100),TC!$5:$37,DAY(S141)+2,FALSE),VLOOKUP(T141,Equivalencia!$1:$23,((MAX(Equivalencia!$3:$3)-YEAR(S141))*14)+MONTH(S141)+2,FALSE)))</f>
        <v>1</v>
      </c>
      <c r="W141" s="178">
        <f t="shared" si="29"/>
        <v>2310.9276315789471</v>
      </c>
      <c r="X141" s="481">
        <f t="shared" si="25"/>
        <v>608.21399521531089</v>
      </c>
      <c r="Y141" s="179"/>
      <c r="Z141" s="466">
        <f t="shared" si="26"/>
        <v>1902.6122172727269</v>
      </c>
      <c r="AA141" s="473">
        <f t="shared" si="27"/>
        <v>408.31541430622019</v>
      </c>
      <c r="AB141" s="339">
        <f t="shared" si="28"/>
        <v>0.35720275108281285</v>
      </c>
    </row>
    <row r="142" spans="1:28" ht="20.100000000000001" customHeight="1">
      <c r="A142" s="484"/>
      <c r="B142" s="172">
        <v>1175000</v>
      </c>
      <c r="C142" s="174">
        <v>43465</v>
      </c>
      <c r="D142" s="181" t="s">
        <v>162</v>
      </c>
      <c r="E142" s="173" t="s">
        <v>33</v>
      </c>
      <c r="F142" s="176">
        <v>11671.322700729927</v>
      </c>
      <c r="G142" s="175">
        <f t="shared" si="30"/>
        <v>139</v>
      </c>
      <c r="H142" s="175">
        <f t="shared" si="23"/>
        <v>11671.322700729927</v>
      </c>
      <c r="I142" s="177">
        <f>IF(G142=0,0,IF(E142="MXN",1/HLOOKUP(YEAR(C142)+(MONTH(C142)/100),TC!$5:$37,DAY(C142)+2,FALSE),VLOOKUP(E142,Equivalencia!$5:$23,((MAX(Equivalencia!$3:$3)-YEAR(C142))*14)+MONTH(C142)+2,FALSE)))</f>
        <v>1</v>
      </c>
      <c r="J142" s="178">
        <f t="shared" si="31"/>
        <v>11671.322700729927</v>
      </c>
      <c r="K142" s="462">
        <f>IF(C142=0,0,VLOOKUP(YEAR(C142),INPC!$B$4:$O$29,MONTH(C142)+1))</f>
        <v>103.02</v>
      </c>
      <c r="L142" s="462">
        <f>IF(S142=0,0,VLOOKUP(YEAR(S142),INPC!$B$4:$O$29,MONTH(S142)+1))</f>
        <v>120.809</v>
      </c>
      <c r="M142" s="463">
        <f t="shared" si="24"/>
        <v>1.1726000000000001</v>
      </c>
      <c r="N142" s="465">
        <f t="shared" si="32"/>
        <v>13685.792998875913</v>
      </c>
      <c r="O142" s="179"/>
      <c r="P142" s="180">
        <v>139</v>
      </c>
      <c r="Q142" s="173" t="s">
        <v>583</v>
      </c>
      <c r="R142" s="173" t="s">
        <v>230</v>
      </c>
      <c r="S142" s="174">
        <v>44678</v>
      </c>
      <c r="T142" s="173" t="s">
        <v>33</v>
      </c>
      <c r="U142" s="182">
        <v>23467.93</v>
      </c>
      <c r="V142" s="177">
        <f>IF(U142=0,0,IF(T142="MXN",1/HLOOKUP(YEAR(S142)+(MONTH(S142)/100),TC!$5:$37,DAY(S142)+2,FALSE),VLOOKUP(T142,Equivalencia!$1:$23,((MAX(Equivalencia!$3:$3)-YEAR(S142))*14)+MONTH(S142)+2,FALSE)))</f>
        <v>1</v>
      </c>
      <c r="W142" s="178">
        <f t="shared" si="29"/>
        <v>23467.93</v>
      </c>
      <c r="X142" s="481">
        <f t="shared" si="25"/>
        <v>11796.607299270074</v>
      </c>
      <c r="Y142" s="179"/>
      <c r="Z142" s="466">
        <f t="shared" si="26"/>
        <v>13685.792998875913</v>
      </c>
      <c r="AA142" s="473">
        <f t="shared" si="27"/>
        <v>9782.137001124087</v>
      </c>
      <c r="AB142" s="339">
        <f t="shared" si="28"/>
        <v>1.0107343958994734</v>
      </c>
    </row>
    <row r="143" spans="1:28" ht="20.100000000000001" customHeight="1">
      <c r="A143" s="484"/>
      <c r="B143" s="172">
        <v>1175000</v>
      </c>
      <c r="C143" s="174">
        <v>44133</v>
      </c>
      <c r="D143" s="181" t="s">
        <v>160</v>
      </c>
      <c r="E143" s="173" t="s">
        <v>33</v>
      </c>
      <c r="F143" s="176">
        <v>1757.88</v>
      </c>
      <c r="G143" s="175">
        <f t="shared" si="30"/>
        <v>6</v>
      </c>
      <c r="H143" s="175">
        <f t="shared" si="23"/>
        <v>1757.88</v>
      </c>
      <c r="I143" s="177">
        <f>IF(G143=0,0,IF(E143="MXN",1/HLOOKUP(YEAR(C143)+(MONTH(C143)/100),TC!$5:$37,DAY(C143)+2,FALSE),VLOOKUP(E143,Equivalencia!$5:$23,((MAX(Equivalencia!$3:$3)-YEAR(C143))*14)+MONTH(C143)+2,FALSE)))</f>
        <v>1</v>
      </c>
      <c r="J143" s="178">
        <f t="shared" si="31"/>
        <v>1757.88</v>
      </c>
      <c r="K143" s="462">
        <f>IF(C143=0,0,VLOOKUP(YEAR(C143),INPC!$B$4:$O$29,MONTH(C143)+1))</f>
        <v>108.774</v>
      </c>
      <c r="L143" s="462">
        <f>IF(S143=0,0,VLOOKUP(YEAR(S143),INPC!$B$4:$O$29,MONTH(S143)+1))</f>
        <v>118.98099999999999</v>
      </c>
      <c r="M143" s="463">
        <f t="shared" si="24"/>
        <v>1.0938000000000001</v>
      </c>
      <c r="N143" s="465">
        <f t="shared" si="32"/>
        <v>1922.7691440000003</v>
      </c>
      <c r="O143" s="179"/>
      <c r="P143" s="516">
        <v>6</v>
      </c>
      <c r="Q143" s="173" t="s">
        <v>583</v>
      </c>
      <c r="R143" s="173" t="s">
        <v>230</v>
      </c>
      <c r="S143" s="174">
        <v>44608</v>
      </c>
      <c r="T143" s="173" t="s">
        <v>33</v>
      </c>
      <c r="U143" s="513">
        <v>2290.8186206896553</v>
      </c>
      <c r="V143" s="177">
        <f>IF(U143=0,0,IF(T143="MXN",1/HLOOKUP(YEAR(S143)+(MONTH(S143)/100),TC!$5:$37,DAY(S143)+2,FALSE),VLOOKUP(T143,Equivalencia!$1:$23,((MAX(Equivalencia!$3:$3)-YEAR(S143))*14)+MONTH(S143)+2,FALSE)))</f>
        <v>1</v>
      </c>
      <c r="W143" s="178">
        <f t="shared" si="29"/>
        <v>2290.8186206896553</v>
      </c>
      <c r="X143" s="481">
        <f t="shared" si="25"/>
        <v>532.93862068965518</v>
      </c>
      <c r="Y143" s="179"/>
      <c r="Z143" s="466">
        <f t="shared" si="26"/>
        <v>1922.7691440000003</v>
      </c>
      <c r="AA143" s="473">
        <f t="shared" si="27"/>
        <v>368.04947668965497</v>
      </c>
      <c r="AB143" s="339">
        <f t="shared" si="28"/>
        <v>0.30317121799534386</v>
      </c>
    </row>
    <row r="144" spans="1:28" ht="20.100000000000001" customHeight="1">
      <c r="A144" s="484"/>
      <c r="B144" s="172">
        <v>1175000</v>
      </c>
      <c r="C144" s="174">
        <v>44139</v>
      </c>
      <c r="D144" s="181" t="s">
        <v>160</v>
      </c>
      <c r="E144" s="173" t="s">
        <v>33</v>
      </c>
      <c r="F144" s="176">
        <v>3342.89</v>
      </c>
      <c r="G144" s="175">
        <f t="shared" si="30"/>
        <v>11</v>
      </c>
      <c r="H144" s="175">
        <f t="shared" si="23"/>
        <v>3342.89</v>
      </c>
      <c r="I144" s="177">
        <f>IF(G144=0,0,IF(E144="MXN",1/HLOOKUP(YEAR(C144)+(MONTH(C144)/100),TC!$5:$37,DAY(C144)+2,FALSE),VLOOKUP(E144,Equivalencia!$5:$23,((MAX(Equivalencia!$3:$3)-YEAR(C144))*14)+MONTH(C144)+2,FALSE)))</f>
        <v>1</v>
      </c>
      <c r="J144" s="178">
        <f t="shared" si="31"/>
        <v>3342.89</v>
      </c>
      <c r="K144" s="462">
        <f>IF(C144=0,0,VLOOKUP(YEAR(C144),INPC!$B$4:$O$29,MONTH(C144)+1))</f>
        <v>108.85599999999999</v>
      </c>
      <c r="L144" s="462">
        <f>IF(S144=0,0,VLOOKUP(YEAR(S144),INPC!$B$4:$O$29,MONTH(S144)+1))</f>
        <v>118.98099999999999</v>
      </c>
      <c r="M144" s="463">
        <f t="shared" si="24"/>
        <v>1.093</v>
      </c>
      <c r="N144" s="465">
        <f t="shared" si="32"/>
        <v>3653.7787699999999</v>
      </c>
      <c r="O144" s="179"/>
      <c r="P144" s="517">
        <v>11</v>
      </c>
      <c r="Q144" s="173" t="s">
        <v>583</v>
      </c>
      <c r="R144" s="173" t="s">
        <v>230</v>
      </c>
      <c r="S144" s="174">
        <v>44608</v>
      </c>
      <c r="T144" s="173" t="s">
        <v>33</v>
      </c>
      <c r="U144" s="514">
        <v>4199.834137931035</v>
      </c>
      <c r="V144" s="177">
        <f>IF(U144=0,0,IF(T144="MXN",1/HLOOKUP(YEAR(S144)+(MONTH(S144)/100),TC!$5:$37,DAY(S144)+2,FALSE),VLOOKUP(T144,Equivalencia!$1:$23,((MAX(Equivalencia!$3:$3)-YEAR(S144))*14)+MONTH(S144)+2,FALSE)))</f>
        <v>1</v>
      </c>
      <c r="W144" s="178">
        <f t="shared" si="29"/>
        <v>4199.834137931035</v>
      </c>
      <c r="X144" s="481">
        <f t="shared" si="25"/>
        <v>856.94413793103513</v>
      </c>
      <c r="Y144" s="179"/>
      <c r="Z144" s="466">
        <f t="shared" si="26"/>
        <v>3653.7787699999999</v>
      </c>
      <c r="AA144" s="473">
        <f t="shared" si="27"/>
        <v>546.05536793103511</v>
      </c>
      <c r="AB144" s="339">
        <f t="shared" si="28"/>
        <v>0.25634829082950228</v>
      </c>
    </row>
    <row r="145" spans="1:28" ht="20.100000000000001" customHeight="1">
      <c r="A145" s="484"/>
      <c r="B145" s="172">
        <v>1175000</v>
      </c>
      <c r="C145" s="174">
        <v>44152</v>
      </c>
      <c r="D145" s="181" t="s">
        <v>160</v>
      </c>
      <c r="E145" s="173" t="s">
        <v>33</v>
      </c>
      <c r="F145" s="176">
        <v>4017.2400000000007</v>
      </c>
      <c r="G145" s="175">
        <f t="shared" si="30"/>
        <v>12</v>
      </c>
      <c r="H145" s="175">
        <f t="shared" si="23"/>
        <v>4017.2400000000007</v>
      </c>
      <c r="I145" s="177">
        <f>IF(G145=0,0,IF(E145="MXN",1/HLOOKUP(YEAR(C145)+(MONTH(C145)/100),TC!$5:$37,DAY(C145)+2,FALSE),VLOOKUP(E145,Equivalencia!$5:$23,((MAX(Equivalencia!$3:$3)-YEAR(C145))*14)+MONTH(C145)+2,FALSE)))</f>
        <v>1</v>
      </c>
      <c r="J145" s="178">
        <f t="shared" si="31"/>
        <v>4017.2400000000007</v>
      </c>
      <c r="K145" s="462">
        <f>IF(C145=0,0,VLOOKUP(YEAR(C145),INPC!$B$4:$O$29,MONTH(C145)+1))</f>
        <v>108.85599999999999</v>
      </c>
      <c r="L145" s="462">
        <f>IF(S145=0,0,VLOOKUP(YEAR(S145),INPC!$B$4:$O$29,MONTH(S145)+1))</f>
        <v>118.98099999999999</v>
      </c>
      <c r="M145" s="463">
        <f t="shared" si="24"/>
        <v>1.093</v>
      </c>
      <c r="N145" s="465">
        <f t="shared" si="32"/>
        <v>4390.8433200000009</v>
      </c>
      <c r="O145" s="179"/>
      <c r="P145" s="518">
        <v>12</v>
      </c>
      <c r="Q145" s="173" t="s">
        <v>583</v>
      </c>
      <c r="R145" s="173" t="s">
        <v>230</v>
      </c>
      <c r="S145" s="174">
        <v>44608</v>
      </c>
      <c r="T145" s="173" t="s">
        <v>33</v>
      </c>
      <c r="U145" s="515">
        <v>4581.6372413793106</v>
      </c>
      <c r="V145" s="177">
        <f>IF(U145=0,0,IF(T145="MXN",1/HLOOKUP(YEAR(S145)+(MONTH(S145)/100),TC!$5:$37,DAY(S145)+2,FALSE),VLOOKUP(T145,Equivalencia!$1:$23,((MAX(Equivalencia!$3:$3)-YEAR(S145))*14)+MONTH(S145)+2,FALSE)))</f>
        <v>1</v>
      </c>
      <c r="W145" s="178">
        <f t="shared" si="29"/>
        <v>4581.6372413793106</v>
      </c>
      <c r="X145" s="481">
        <f t="shared" si="25"/>
        <v>564.39724137930989</v>
      </c>
      <c r="Y145" s="179"/>
      <c r="Z145" s="466">
        <f t="shared" si="26"/>
        <v>4390.8433200000009</v>
      </c>
      <c r="AA145" s="473">
        <f t="shared" si="27"/>
        <v>190.79392137930972</v>
      </c>
      <c r="AB145" s="339">
        <f t="shared" si="28"/>
        <v>0.14049378214378772</v>
      </c>
    </row>
    <row r="146" spans="1:28" ht="20.100000000000001" customHeight="1">
      <c r="B146" s="172"/>
      <c r="C146" s="174"/>
      <c r="D146" s="181"/>
      <c r="E146" s="173"/>
      <c r="F146" s="176"/>
      <c r="G146" s="175">
        <f t="shared" si="30"/>
        <v>0</v>
      </c>
      <c r="H146" s="175">
        <f t="shared" si="23"/>
        <v>0</v>
      </c>
      <c r="I146" s="177">
        <f>IF(G146=0,0,IF(E146="MXN",1/HLOOKUP(YEAR(C146)+(MONTH(C146)/100),TC!$5:$37,DAY(C146)+2,FALSE),VLOOKUP(E146,Equivalencia!$5:$23,((MAX(Equivalencia!$3:$3)-YEAR(C146))*14)+MONTH(C146)+2,FALSE)))</f>
        <v>0</v>
      </c>
      <c r="J146" s="178">
        <f t="shared" si="31"/>
        <v>0</v>
      </c>
      <c r="K146" s="462">
        <f>IF(C146=0,0,VLOOKUP(YEAR(C146),INPC!$B$4:$O$29,MONTH(C146)+1))</f>
        <v>0</v>
      </c>
      <c r="L146" s="462">
        <f>IF(S146=0,0,VLOOKUP(YEAR(S146),INPC!$B$4:$O$29,MONTH(S146)+1))</f>
        <v>0</v>
      </c>
      <c r="M146" s="463">
        <f t="shared" si="24"/>
        <v>0</v>
      </c>
      <c r="N146" s="465">
        <f t="shared" si="32"/>
        <v>0</v>
      </c>
      <c r="O146" s="179"/>
      <c r="P146" s="527"/>
      <c r="Q146" s="173"/>
      <c r="R146" s="173"/>
      <c r="S146" s="174"/>
      <c r="T146" s="173"/>
      <c r="U146" s="542"/>
      <c r="V146" s="177">
        <f>IF(U146=0,0,IF(T146="MXN",1/HLOOKUP(YEAR(S146)+(MONTH(S146)/100),TC!$5:$37,DAY(S146)+2,FALSE),VLOOKUP(T146,Equivalencia!$1:$23,((MAX(Equivalencia!$3:$3)-YEAR(S146))*14)+MONTH(S146)+2,FALSE)))</f>
        <v>0</v>
      </c>
      <c r="W146" s="178">
        <f t="shared" si="29"/>
        <v>0</v>
      </c>
      <c r="X146" s="481">
        <f t="shared" si="25"/>
        <v>0</v>
      </c>
      <c r="Y146" s="179"/>
      <c r="Z146" s="466">
        <f t="shared" si="26"/>
        <v>0</v>
      </c>
      <c r="AA146" s="473">
        <f t="shared" si="27"/>
        <v>0</v>
      </c>
      <c r="AB146" s="339">
        <f t="shared" si="28"/>
        <v>0</v>
      </c>
    </row>
    <row r="147" spans="1:28" ht="20.100000000000001" customHeight="1">
      <c r="B147" s="172"/>
      <c r="C147" s="174"/>
      <c r="D147" s="181"/>
      <c r="E147" s="173"/>
      <c r="F147" s="176"/>
      <c r="G147" s="175">
        <f t="shared" si="30"/>
        <v>0</v>
      </c>
      <c r="H147" s="175">
        <f t="shared" si="23"/>
        <v>0</v>
      </c>
      <c r="I147" s="177">
        <f>IF(G147=0,0,IF(E147="MXN",1/HLOOKUP(YEAR(C147)+(MONTH(C147)/100),TC!$5:$37,DAY(C147)+2,FALSE),VLOOKUP(E147,Equivalencia!$5:$23,((MAX(Equivalencia!$3:$3)-YEAR(C147))*14)+MONTH(C147)+2,FALSE)))</f>
        <v>0</v>
      </c>
      <c r="J147" s="178">
        <f t="shared" si="31"/>
        <v>0</v>
      </c>
      <c r="K147" s="462">
        <f>IF(C147=0,0,VLOOKUP(YEAR(C147),INPC!$B$4:$O$29,MONTH(C147)+1))</f>
        <v>0</v>
      </c>
      <c r="L147" s="462">
        <f>IF(S147=0,0,VLOOKUP(YEAR(S147),INPC!$B$4:$O$29,MONTH(S147)+1))</f>
        <v>0</v>
      </c>
      <c r="M147" s="463">
        <f t="shared" si="24"/>
        <v>0</v>
      </c>
      <c r="N147" s="465">
        <f t="shared" si="32"/>
        <v>0</v>
      </c>
      <c r="O147" s="179"/>
      <c r="P147" s="527"/>
      <c r="Q147" s="173"/>
      <c r="R147" s="173"/>
      <c r="S147" s="174"/>
      <c r="T147" s="173"/>
      <c r="U147" s="542"/>
      <c r="V147" s="177">
        <f>IF(U147=0,0,IF(T147="MXN",1/HLOOKUP(YEAR(S147)+(MONTH(S147)/100),TC!$5:$37,DAY(S147)+2,FALSE),VLOOKUP(T147,Equivalencia!$1:$23,((MAX(Equivalencia!$3:$3)-YEAR(S147))*14)+MONTH(S147)+2,FALSE)))</f>
        <v>0</v>
      </c>
      <c r="W147" s="178">
        <f t="shared" si="29"/>
        <v>0</v>
      </c>
      <c r="X147" s="481">
        <f t="shared" si="25"/>
        <v>0</v>
      </c>
      <c r="Y147" s="179"/>
      <c r="Z147" s="466">
        <f t="shared" si="26"/>
        <v>0</v>
      </c>
      <c r="AA147" s="473">
        <f t="shared" si="27"/>
        <v>0</v>
      </c>
      <c r="AB147" s="339">
        <f t="shared" si="28"/>
        <v>0</v>
      </c>
    </row>
    <row r="148" spans="1:28" ht="20.100000000000001" customHeight="1">
      <c r="B148" s="172"/>
      <c r="C148" s="174"/>
      <c r="D148" s="181"/>
      <c r="E148" s="173"/>
      <c r="F148" s="176"/>
      <c r="G148" s="175">
        <f t="shared" si="30"/>
        <v>0</v>
      </c>
      <c r="H148" s="175">
        <f t="shared" si="23"/>
        <v>0</v>
      </c>
      <c r="I148" s="177">
        <f>IF(G148=0,0,IF(E148="MXN",1/HLOOKUP(YEAR(C148)+(MONTH(C148)/100),TC!$5:$37,DAY(C148)+2,FALSE),VLOOKUP(E148,Equivalencia!$5:$23,((MAX(Equivalencia!$3:$3)-YEAR(C148))*14)+MONTH(C148)+2,FALSE)))</f>
        <v>0</v>
      </c>
      <c r="J148" s="178">
        <f t="shared" si="31"/>
        <v>0</v>
      </c>
      <c r="K148" s="462">
        <f>IF(C148=0,0,VLOOKUP(YEAR(C148),INPC!$B$4:$O$29,MONTH(C148)+1))</f>
        <v>0</v>
      </c>
      <c r="L148" s="462">
        <f>IF(S148=0,0,VLOOKUP(YEAR(S148),INPC!$B$4:$O$29,MONTH(S148)+1))</f>
        <v>0</v>
      </c>
      <c r="M148" s="463">
        <f t="shared" si="24"/>
        <v>0</v>
      </c>
      <c r="N148" s="465">
        <f t="shared" si="32"/>
        <v>0</v>
      </c>
      <c r="O148" s="179"/>
      <c r="P148" s="527"/>
      <c r="Q148" s="173"/>
      <c r="R148" s="173"/>
      <c r="S148" s="174"/>
      <c r="T148" s="173"/>
      <c r="U148" s="542"/>
      <c r="V148" s="177">
        <f>IF(U148=0,0,IF(T148="MXN",1/HLOOKUP(YEAR(S148)+(MONTH(S148)/100),TC!$5:$37,DAY(S148)+2,FALSE),VLOOKUP(T148,Equivalencia!$1:$23,((MAX(Equivalencia!$3:$3)-YEAR(S148))*14)+MONTH(S148)+2,FALSE)))</f>
        <v>0</v>
      </c>
      <c r="W148" s="178">
        <f t="shared" si="29"/>
        <v>0</v>
      </c>
      <c r="X148" s="481">
        <f t="shared" si="25"/>
        <v>0</v>
      </c>
      <c r="Y148" s="179"/>
      <c r="Z148" s="466">
        <f t="shared" si="26"/>
        <v>0</v>
      </c>
      <c r="AA148" s="473">
        <f t="shared" si="27"/>
        <v>0</v>
      </c>
      <c r="AB148" s="339">
        <f t="shared" si="28"/>
        <v>0</v>
      </c>
    </row>
    <row r="149" spans="1:28" ht="20.100000000000001" customHeight="1">
      <c r="B149" s="172"/>
      <c r="C149" s="174"/>
      <c r="D149" s="181"/>
      <c r="E149" s="173"/>
      <c r="F149" s="176"/>
      <c r="G149" s="175">
        <f t="shared" si="30"/>
        <v>0</v>
      </c>
      <c r="H149" s="175">
        <f t="shared" si="23"/>
        <v>0</v>
      </c>
      <c r="I149" s="177">
        <f>IF(G149=0,0,IF(E149="MXN",1/HLOOKUP(YEAR(C149)+(MONTH(C149)/100),TC!$5:$37,DAY(C149)+2,FALSE),VLOOKUP(E149,Equivalencia!$5:$23,((MAX(Equivalencia!$3:$3)-YEAR(C149))*14)+MONTH(C149)+2,FALSE)))</f>
        <v>0</v>
      </c>
      <c r="J149" s="178">
        <f t="shared" si="31"/>
        <v>0</v>
      </c>
      <c r="K149" s="462">
        <f>IF(C149=0,0,VLOOKUP(YEAR(C149),INPC!$B$4:$O$29,MONTH(C149)+1))</f>
        <v>0</v>
      </c>
      <c r="L149" s="462">
        <f>IF(S149=0,0,VLOOKUP(YEAR(S149),INPC!$B$4:$O$29,MONTH(S149)+1))</f>
        <v>0</v>
      </c>
      <c r="M149" s="463">
        <f t="shared" si="24"/>
        <v>0</v>
      </c>
      <c r="N149" s="465">
        <f t="shared" si="32"/>
        <v>0</v>
      </c>
      <c r="O149" s="179"/>
      <c r="P149" s="527"/>
      <c r="Q149" s="173"/>
      <c r="R149" s="173"/>
      <c r="S149" s="174"/>
      <c r="T149" s="173"/>
      <c r="U149" s="542"/>
      <c r="V149" s="177">
        <f>IF(U149=0,0,IF(T149="MXN",1/HLOOKUP(YEAR(S149)+(MONTH(S149)/100),TC!$5:$37,DAY(S149)+2,FALSE),VLOOKUP(T149,Equivalencia!$1:$23,((MAX(Equivalencia!$3:$3)-YEAR(S149))*14)+MONTH(S149)+2,FALSE)))</f>
        <v>0</v>
      </c>
      <c r="W149" s="178">
        <f t="shared" si="29"/>
        <v>0</v>
      </c>
      <c r="X149" s="481">
        <f t="shared" si="25"/>
        <v>0</v>
      </c>
      <c r="Y149" s="179"/>
      <c r="Z149" s="466">
        <f t="shared" si="26"/>
        <v>0</v>
      </c>
      <c r="AA149" s="473">
        <f t="shared" si="27"/>
        <v>0</v>
      </c>
      <c r="AB149" s="339">
        <f t="shared" si="28"/>
        <v>0</v>
      </c>
    </row>
    <row r="150" spans="1:28" ht="20.100000000000001" customHeight="1">
      <c r="B150" s="172"/>
      <c r="C150" s="174"/>
      <c r="D150" s="181"/>
      <c r="E150" s="173"/>
      <c r="F150" s="176"/>
      <c r="G150" s="175">
        <f t="shared" si="30"/>
        <v>0</v>
      </c>
      <c r="H150" s="175">
        <f t="shared" si="23"/>
        <v>0</v>
      </c>
      <c r="I150" s="177">
        <f>IF(G150=0,0,IF(E150="MXN",1/HLOOKUP(YEAR(C150)+(MONTH(C150)/100),TC!$5:$37,DAY(C150)+2,FALSE),VLOOKUP(E150,Equivalencia!$5:$23,((MAX(Equivalencia!$3:$3)-YEAR(C150))*14)+MONTH(C150)+2,FALSE)))</f>
        <v>0</v>
      </c>
      <c r="J150" s="178">
        <f t="shared" si="31"/>
        <v>0</v>
      </c>
      <c r="K150" s="462">
        <f>IF(C150=0,0,VLOOKUP(YEAR(C150),INPC!$B$4:$O$29,MONTH(C150)+1))</f>
        <v>0</v>
      </c>
      <c r="L150" s="462">
        <f>IF(S150=0,0,VLOOKUP(YEAR(S150),INPC!$B$4:$O$29,MONTH(S150)+1))</f>
        <v>0</v>
      </c>
      <c r="M150" s="463">
        <f t="shared" si="24"/>
        <v>0</v>
      </c>
      <c r="N150" s="465">
        <f t="shared" si="32"/>
        <v>0</v>
      </c>
      <c r="O150" s="179"/>
      <c r="P150" s="527"/>
      <c r="Q150" s="173"/>
      <c r="R150" s="173"/>
      <c r="S150" s="174"/>
      <c r="T150" s="173"/>
      <c r="U150" s="542"/>
      <c r="V150" s="177">
        <f>IF(U150=0,0,IF(T150="MXN",1/HLOOKUP(YEAR(S150)+(MONTH(S150)/100),TC!$5:$37,DAY(S150)+2,FALSE),VLOOKUP(T150,Equivalencia!$1:$23,((MAX(Equivalencia!$3:$3)-YEAR(S150))*14)+MONTH(S150)+2,FALSE)))</f>
        <v>0</v>
      </c>
      <c r="W150" s="178">
        <f t="shared" si="29"/>
        <v>0</v>
      </c>
      <c r="X150" s="481">
        <f t="shared" si="25"/>
        <v>0</v>
      </c>
      <c r="Y150" s="179"/>
      <c r="Z150" s="466">
        <f t="shared" si="26"/>
        <v>0</v>
      </c>
      <c r="AA150" s="473">
        <f t="shared" si="27"/>
        <v>0</v>
      </c>
      <c r="AB150" s="339">
        <f t="shared" si="28"/>
        <v>0</v>
      </c>
    </row>
    <row r="151" spans="1:28" ht="20.100000000000001" customHeight="1">
      <c r="A151" s="484"/>
      <c r="B151" s="172">
        <v>1175000</v>
      </c>
      <c r="C151" s="174">
        <v>43830</v>
      </c>
      <c r="D151" s="181" t="s">
        <v>169</v>
      </c>
      <c r="E151" s="173" t="s">
        <v>33</v>
      </c>
      <c r="F151" s="176">
        <v>14143.06232931727</v>
      </c>
      <c r="G151" s="175">
        <f t="shared" si="30"/>
        <v>107</v>
      </c>
      <c r="H151" s="175">
        <f t="shared" si="23"/>
        <v>14143.06232931727</v>
      </c>
      <c r="I151" s="177">
        <f>IF(G151=0,0,IF(E151="MXN",1/HLOOKUP(YEAR(C151)+(MONTH(C151)/100),TC!$5:$37,DAY(C151)+2,FALSE),VLOOKUP(E151,Equivalencia!$5:$23,((MAX(Equivalencia!$3:$3)-YEAR(C151))*14)+MONTH(C151)+2,FALSE)))</f>
        <v>1</v>
      </c>
      <c r="J151" s="178">
        <f t="shared" si="31"/>
        <v>14143.06232931727</v>
      </c>
      <c r="K151" s="462">
        <f>IF(C151=0,0,VLOOKUP(YEAR(C151),INPC!$B$4:$O$29,MONTH(C151)+1))</f>
        <v>105.934</v>
      </c>
      <c r="L151" s="462">
        <f>IF(S151=0,0,VLOOKUP(YEAR(S151),INPC!$B$4:$O$29,MONTH(S151)+1))</f>
        <v>120.809</v>
      </c>
      <c r="M151" s="463">
        <f t="shared" si="24"/>
        <v>1.1404000000000001</v>
      </c>
      <c r="N151" s="465">
        <f t="shared" si="32"/>
        <v>16128.748280353417</v>
      </c>
      <c r="O151" s="179"/>
      <c r="P151" s="180">
        <v>107</v>
      </c>
      <c r="Q151" s="173" t="s">
        <v>583</v>
      </c>
      <c r="R151" s="173" t="s">
        <v>230</v>
      </c>
      <c r="S151" s="174">
        <v>44678</v>
      </c>
      <c r="T151" s="173" t="s">
        <v>33</v>
      </c>
      <c r="U151" s="182">
        <v>26496.28</v>
      </c>
      <c r="V151" s="177">
        <f>IF(U151=0,0,IF(T151="MXN",1/HLOOKUP(YEAR(S151)+(MONTH(S151)/100),TC!$5:$37,DAY(S151)+2,FALSE),VLOOKUP(T151,Equivalencia!$1:$23,((MAX(Equivalencia!$3:$3)-YEAR(S151))*14)+MONTH(S151)+2,FALSE)))</f>
        <v>1</v>
      </c>
      <c r="W151" s="178">
        <f t="shared" si="29"/>
        <v>26496.28</v>
      </c>
      <c r="X151" s="481">
        <f t="shared" si="25"/>
        <v>12353.217670682729</v>
      </c>
      <c r="Y151" s="179"/>
      <c r="Z151" s="466">
        <f t="shared" si="26"/>
        <v>16128.748280353417</v>
      </c>
      <c r="AA151" s="473">
        <f t="shared" si="27"/>
        <v>10367.531719646582</v>
      </c>
      <c r="AB151" s="339">
        <f t="shared" si="28"/>
        <v>0.87344716321271121</v>
      </c>
    </row>
    <row r="152" spans="1:28" ht="20.100000000000001" customHeight="1">
      <c r="A152" s="484"/>
      <c r="B152" s="172">
        <v>1175000</v>
      </c>
      <c r="C152" s="174">
        <v>43830</v>
      </c>
      <c r="D152" s="181" t="s">
        <v>167</v>
      </c>
      <c r="E152" s="173" t="s">
        <v>33</v>
      </c>
      <c r="F152" s="176">
        <v>7772.8585514018687</v>
      </c>
      <c r="G152" s="175">
        <f t="shared" si="30"/>
        <v>147</v>
      </c>
      <c r="H152" s="175">
        <f t="shared" si="23"/>
        <v>7772.8585514018687</v>
      </c>
      <c r="I152" s="177">
        <f>IF(G152=0,0,IF(E152="MXN",1/HLOOKUP(YEAR(C152)+(MONTH(C152)/100),TC!$5:$37,DAY(C152)+2,FALSE),VLOOKUP(E152,Equivalencia!$5:$23,((MAX(Equivalencia!$3:$3)-YEAR(C152))*14)+MONTH(C152)+2,FALSE)))</f>
        <v>1</v>
      </c>
      <c r="J152" s="178">
        <f t="shared" si="31"/>
        <v>7772.8585514018687</v>
      </c>
      <c r="K152" s="462">
        <f>IF(C152=0,0,VLOOKUP(YEAR(C152),INPC!$B$4:$O$29,MONTH(C152)+1))</f>
        <v>105.934</v>
      </c>
      <c r="L152" s="462">
        <f>IF(S152=0,0,VLOOKUP(YEAR(S152),INPC!$B$4:$O$29,MONTH(S152)+1))</f>
        <v>120.809</v>
      </c>
      <c r="M152" s="463">
        <f t="shared" si="24"/>
        <v>1.1404000000000001</v>
      </c>
      <c r="N152" s="465">
        <f t="shared" si="32"/>
        <v>8864.1678920186914</v>
      </c>
      <c r="O152" s="179"/>
      <c r="P152" s="180">
        <v>147</v>
      </c>
      <c r="Q152" s="173" t="s">
        <v>583</v>
      </c>
      <c r="R152" s="173" t="s">
        <v>230</v>
      </c>
      <c r="S152" s="174">
        <v>44678</v>
      </c>
      <c r="T152" s="173" t="s">
        <v>33</v>
      </c>
      <c r="U152" s="182">
        <v>41232.33</v>
      </c>
      <c r="V152" s="177">
        <f>IF(U152=0,0,IF(T152="MXN",1/HLOOKUP(YEAR(S152)+(MONTH(S152)/100),TC!$5:$37,DAY(S152)+2,FALSE),VLOOKUP(T152,Equivalencia!$1:$23,((MAX(Equivalencia!$3:$3)-YEAR(S152))*14)+MONTH(S152)+2,FALSE)))</f>
        <v>1</v>
      </c>
      <c r="W152" s="178">
        <f t="shared" si="29"/>
        <v>41232.33</v>
      </c>
      <c r="X152" s="481">
        <f t="shared" si="25"/>
        <v>33459.471448598131</v>
      </c>
      <c r="Y152" s="179"/>
      <c r="Z152" s="466">
        <f t="shared" si="26"/>
        <v>8864.1678920186914</v>
      </c>
      <c r="AA152" s="473">
        <f t="shared" si="27"/>
        <v>32368.162107981312</v>
      </c>
      <c r="AB152" s="339">
        <f t="shared" si="28"/>
        <v>4.3046546167450295</v>
      </c>
    </row>
    <row r="153" spans="1:28" ht="20.100000000000001" customHeight="1">
      <c r="A153" s="484"/>
      <c r="B153" s="172">
        <v>1175000</v>
      </c>
      <c r="C153" s="174">
        <v>43830</v>
      </c>
      <c r="D153" s="181" t="s">
        <v>170</v>
      </c>
      <c r="E153" s="173" t="s">
        <v>33</v>
      </c>
      <c r="F153" s="176">
        <v>12665.660187793428</v>
      </c>
      <c r="G153" s="175">
        <f t="shared" si="30"/>
        <v>118</v>
      </c>
      <c r="H153" s="175">
        <f t="shared" si="23"/>
        <v>12665.660187793428</v>
      </c>
      <c r="I153" s="177">
        <f>IF(G153=0,0,IF(E153="MXN",1/HLOOKUP(YEAR(C153)+(MONTH(C153)/100),TC!$5:$37,DAY(C153)+2,FALSE),VLOOKUP(E153,Equivalencia!$5:$23,((MAX(Equivalencia!$3:$3)-YEAR(C153))*14)+MONTH(C153)+2,FALSE)))</f>
        <v>1</v>
      </c>
      <c r="J153" s="178">
        <f t="shared" si="31"/>
        <v>12665.660187793428</v>
      </c>
      <c r="K153" s="462">
        <f>IF(C153=0,0,VLOOKUP(YEAR(C153),INPC!$B$4:$O$29,MONTH(C153)+1))</f>
        <v>105.934</v>
      </c>
      <c r="L153" s="462">
        <f>IF(S153=0,0,VLOOKUP(YEAR(S153),INPC!$B$4:$O$29,MONTH(S153)+1))</f>
        <v>120.809</v>
      </c>
      <c r="M153" s="463">
        <f t="shared" si="24"/>
        <v>1.1404000000000001</v>
      </c>
      <c r="N153" s="465">
        <f t="shared" si="32"/>
        <v>14443.918878159626</v>
      </c>
      <c r="O153" s="179"/>
      <c r="P153" s="569">
        <v>118</v>
      </c>
      <c r="Q153" s="173" t="s">
        <v>583</v>
      </c>
      <c r="R153" s="173" t="s">
        <v>230</v>
      </c>
      <c r="S153" s="174">
        <v>44678</v>
      </c>
      <c r="T153" s="173" t="s">
        <v>33</v>
      </c>
      <c r="U153" s="182">
        <v>8717.7890647482018</v>
      </c>
      <c r="V153" s="177">
        <f>IF(U153=0,0,IF(T153="MXN",1/HLOOKUP(YEAR(S153)+(MONTH(S153)/100),TC!$5:$37,DAY(S153)+2,FALSE),VLOOKUP(T153,Equivalencia!$1:$23,((MAX(Equivalencia!$3:$3)-YEAR(S153))*14)+MONTH(S153)+2,FALSE)))</f>
        <v>1</v>
      </c>
      <c r="W153" s="178">
        <f t="shared" si="29"/>
        <v>8717.7890647482018</v>
      </c>
      <c r="X153" s="481">
        <f t="shared" si="25"/>
        <v>-3947.8711230452263</v>
      </c>
      <c r="Y153" s="179"/>
      <c r="Z153" s="466">
        <f t="shared" si="26"/>
        <v>14443.918878159626</v>
      </c>
      <c r="AA153" s="473">
        <f t="shared" si="27"/>
        <v>-5726.129813411424</v>
      </c>
      <c r="AB153" s="339">
        <f t="shared" si="28"/>
        <v>-0.31169880326096233</v>
      </c>
    </row>
    <row r="154" spans="1:28" ht="20.100000000000001" customHeight="1">
      <c r="A154" s="484"/>
      <c r="B154" s="172">
        <v>1175000</v>
      </c>
      <c r="C154" s="174">
        <v>44131</v>
      </c>
      <c r="D154" s="181" t="s">
        <v>170</v>
      </c>
      <c r="E154" s="173" t="s">
        <v>33</v>
      </c>
      <c r="F154" s="176">
        <v>12915.2</v>
      </c>
      <c r="G154" s="175">
        <f t="shared" si="30"/>
        <v>160</v>
      </c>
      <c r="H154" s="175">
        <f t="shared" si="23"/>
        <v>12915.2</v>
      </c>
      <c r="I154" s="177">
        <f>IF(G154=0,0,IF(E154="MXN",1/HLOOKUP(YEAR(C154)+(MONTH(C154)/100),TC!$5:$37,DAY(C154)+2,FALSE),VLOOKUP(E154,Equivalencia!$5:$23,((MAX(Equivalencia!$3:$3)-YEAR(C154))*14)+MONTH(C154)+2,FALSE)))</f>
        <v>1</v>
      </c>
      <c r="J154" s="178">
        <f t="shared" si="31"/>
        <v>12915.2</v>
      </c>
      <c r="K154" s="462">
        <f>IF(C154=0,0,VLOOKUP(YEAR(C154),INPC!$B$4:$O$29,MONTH(C154)+1))</f>
        <v>108.774</v>
      </c>
      <c r="L154" s="462">
        <f>IF(S154=0,0,VLOOKUP(YEAR(S154),INPC!$B$4:$O$29,MONTH(S154)+1))</f>
        <v>120.809</v>
      </c>
      <c r="M154" s="463">
        <f t="shared" si="24"/>
        <v>1.1106</v>
      </c>
      <c r="N154" s="465">
        <f t="shared" si="32"/>
        <v>14343.621120000002</v>
      </c>
      <c r="O154" s="179"/>
      <c r="P154" s="571">
        <v>160</v>
      </c>
      <c r="Q154" s="173" t="s">
        <v>583</v>
      </c>
      <c r="R154" s="173" t="s">
        <v>230</v>
      </c>
      <c r="S154" s="174">
        <v>44678</v>
      </c>
      <c r="T154" s="173" t="s">
        <v>33</v>
      </c>
      <c r="U154" s="182">
        <v>11820.730935251799</v>
      </c>
      <c r="V154" s="177">
        <f>IF(U154=0,0,IF(T154="MXN",1/HLOOKUP(YEAR(S154)+(MONTH(S154)/100),TC!$5:$37,DAY(S154)+2,FALSE),VLOOKUP(T154,Equivalencia!$1:$23,((MAX(Equivalencia!$3:$3)-YEAR(S154))*14)+MONTH(S154)+2,FALSE)))</f>
        <v>1</v>
      </c>
      <c r="W154" s="178">
        <f t="shared" si="29"/>
        <v>11820.730935251799</v>
      </c>
      <c r="X154" s="481">
        <f t="shared" si="25"/>
        <v>-1094.4690647482021</v>
      </c>
      <c r="Y154" s="179"/>
      <c r="Z154" s="466">
        <f t="shared" si="26"/>
        <v>14343.621120000002</v>
      </c>
      <c r="AA154" s="473">
        <f t="shared" si="27"/>
        <v>-2522.890184748203</v>
      </c>
      <c r="AB154" s="339">
        <f t="shared" si="28"/>
        <v>-8.4742711281916017E-2</v>
      </c>
    </row>
    <row r="155" spans="1:28" ht="20.100000000000001" customHeight="1">
      <c r="A155" s="484"/>
      <c r="B155" s="172">
        <v>1175000</v>
      </c>
      <c r="C155" s="174">
        <v>43830</v>
      </c>
      <c r="D155" s="181" t="s">
        <v>234</v>
      </c>
      <c r="E155" s="173" t="s">
        <v>33</v>
      </c>
      <c r="F155" s="176">
        <v>14351.770487804877</v>
      </c>
      <c r="G155" s="175">
        <f t="shared" si="30"/>
        <v>227</v>
      </c>
      <c r="H155" s="175">
        <f t="shared" si="23"/>
        <v>14351.770487804877</v>
      </c>
      <c r="I155" s="177">
        <f>IF(G155=0,0,IF(E155="MXN",1/HLOOKUP(YEAR(C155)+(MONTH(C155)/100),TC!$5:$37,DAY(C155)+2,FALSE),VLOOKUP(E155,Equivalencia!$5:$23,((MAX(Equivalencia!$3:$3)-YEAR(C155))*14)+MONTH(C155)+2,FALSE)))</f>
        <v>1</v>
      </c>
      <c r="J155" s="178">
        <f t="shared" si="31"/>
        <v>14351.770487804877</v>
      </c>
      <c r="K155" s="462">
        <f>IF(C155=0,0,VLOOKUP(YEAR(C155),INPC!$B$4:$O$29,MONTH(C155)+1))</f>
        <v>105.934</v>
      </c>
      <c r="L155" s="462">
        <f>IF(S155=0,0,VLOOKUP(YEAR(S155),INPC!$B$4:$O$29,MONTH(S155)+1))</f>
        <v>120.809</v>
      </c>
      <c r="M155" s="463">
        <f t="shared" si="24"/>
        <v>1.1404000000000001</v>
      </c>
      <c r="N155" s="465">
        <f t="shared" si="32"/>
        <v>16366.759064292683</v>
      </c>
      <c r="O155" s="179"/>
      <c r="P155" s="180">
        <v>227</v>
      </c>
      <c r="Q155" s="173" t="s">
        <v>583</v>
      </c>
      <c r="R155" s="173" t="s">
        <v>230</v>
      </c>
      <c r="S155" s="174">
        <v>44678</v>
      </c>
      <c r="T155" s="173" t="s">
        <v>33</v>
      </c>
      <c r="U155" s="182">
        <v>27620.85</v>
      </c>
      <c r="V155" s="177">
        <f>IF(U155=0,0,IF(T155="MXN",1/HLOOKUP(YEAR(S155)+(MONTH(S155)/100),TC!$5:$37,DAY(S155)+2,FALSE),VLOOKUP(T155,Equivalencia!$1:$23,((MAX(Equivalencia!$3:$3)-YEAR(S155))*14)+MONTH(S155)+2,FALSE)))</f>
        <v>1</v>
      </c>
      <c r="W155" s="178">
        <f t="shared" si="29"/>
        <v>27620.85</v>
      </c>
      <c r="X155" s="481">
        <f t="shared" si="25"/>
        <v>13269.079512195121</v>
      </c>
      <c r="Y155" s="179"/>
      <c r="Z155" s="466">
        <f t="shared" si="26"/>
        <v>16366.759064292683</v>
      </c>
      <c r="AA155" s="473">
        <f t="shared" si="27"/>
        <v>11254.090935707316</v>
      </c>
      <c r="AB155" s="339">
        <f t="shared" si="28"/>
        <v>0.92456045917611696</v>
      </c>
    </row>
    <row r="156" spans="1:28" ht="20.100000000000001" customHeight="1">
      <c r="B156" s="172">
        <v>1175000</v>
      </c>
      <c r="C156" s="174">
        <v>43830</v>
      </c>
      <c r="D156" s="181" t="s">
        <v>234</v>
      </c>
      <c r="E156" s="173" t="s">
        <v>33</v>
      </c>
      <c r="F156" s="176">
        <v>632.23658536585367</v>
      </c>
      <c r="G156" s="175">
        <f t="shared" si="30"/>
        <v>10</v>
      </c>
      <c r="H156" s="175">
        <f t="shared" si="23"/>
        <v>632.23658536585367</v>
      </c>
      <c r="I156" s="177">
        <f>IF(G156=0,0,IF(E156="MXN",1/HLOOKUP(YEAR(C156)+(MONTH(C156)/100),TC!$5:$37,DAY(C156)+2,FALSE),VLOOKUP(E156,Equivalencia!$5:$23,((MAX(Equivalencia!$3:$3)-YEAR(C156))*14)+MONTH(C156)+2,FALSE)))</f>
        <v>1</v>
      </c>
      <c r="J156" s="178">
        <f t="shared" si="31"/>
        <v>632.23658536585367</v>
      </c>
      <c r="K156" s="462">
        <f>IF(C156=0,0,VLOOKUP(YEAR(C156),INPC!$B$4:$O$29,MONTH(C156)+1))</f>
        <v>105.934</v>
      </c>
      <c r="L156" s="462">
        <f>IF(S156=0,0,VLOOKUP(YEAR(S156),INPC!$B$4:$O$29,MONTH(S156)+1))</f>
        <v>122.044</v>
      </c>
      <c r="M156" s="463">
        <f t="shared" si="24"/>
        <v>1.1519999999999999</v>
      </c>
      <c r="N156" s="465">
        <f t="shared" si="32"/>
        <v>728.33654634146342</v>
      </c>
      <c r="O156" s="179"/>
      <c r="P156" s="180">
        <v>10</v>
      </c>
      <c r="Q156" s="173" t="s">
        <v>583</v>
      </c>
      <c r="R156" s="173" t="s">
        <v>230</v>
      </c>
      <c r="S156" s="174">
        <v>44742</v>
      </c>
      <c r="T156" s="173" t="s">
        <v>33</v>
      </c>
      <c r="U156" s="182">
        <v>1013.8800000000001</v>
      </c>
      <c r="V156" s="177">
        <f>IF(U156=0,0,IF(T156="MXN",1/HLOOKUP(YEAR(S156)+(MONTH(S156)/100),TC!$5:$37,DAY(S156)+2,FALSE),VLOOKUP(T156,Equivalencia!$1:$23,((MAX(Equivalencia!$3:$3)-YEAR(S156))*14)+MONTH(S156)+2,FALSE)))</f>
        <v>1</v>
      </c>
      <c r="W156" s="178">
        <f t="shared" si="29"/>
        <v>1013.8800000000001</v>
      </c>
      <c r="X156" s="481">
        <f t="shared" si="25"/>
        <v>381.64341463414644</v>
      </c>
      <c r="Y156" s="179"/>
      <c r="Z156" s="466">
        <f t="shared" si="26"/>
        <v>728.33654634146342</v>
      </c>
      <c r="AA156" s="473">
        <f t="shared" si="27"/>
        <v>285.54345365853669</v>
      </c>
      <c r="AB156" s="339">
        <f t="shared" si="28"/>
        <v>0.60364019335151653</v>
      </c>
    </row>
    <row r="157" spans="1:28" ht="20.100000000000001" customHeight="1">
      <c r="B157" s="172">
        <v>1175000</v>
      </c>
      <c r="C157" s="174">
        <v>43830</v>
      </c>
      <c r="D157" s="181" t="s">
        <v>234</v>
      </c>
      <c r="E157" s="173" t="s">
        <v>33</v>
      </c>
      <c r="F157" s="176">
        <v>821.90756097560973</v>
      </c>
      <c r="G157" s="175">
        <f t="shared" si="30"/>
        <v>13</v>
      </c>
      <c r="H157" s="175">
        <f t="shared" si="23"/>
        <v>821.90756097560973</v>
      </c>
      <c r="I157" s="177">
        <f>IF(G157=0,0,IF(E157="MXN",1/HLOOKUP(YEAR(C157)+(MONTH(C157)/100),TC!$5:$37,DAY(C157)+2,FALSE),VLOOKUP(E157,Equivalencia!$5:$23,((MAX(Equivalencia!$3:$3)-YEAR(C157))*14)+MONTH(C157)+2,FALSE)))</f>
        <v>1</v>
      </c>
      <c r="J157" s="178">
        <f t="shared" si="31"/>
        <v>821.90756097560973</v>
      </c>
      <c r="K157" s="462">
        <f>IF(C157=0,0,VLOOKUP(YEAR(C157),INPC!$B$4:$O$29,MONTH(C157)+1))</f>
        <v>105.934</v>
      </c>
      <c r="L157" s="462">
        <f>IF(S157=0,0,VLOOKUP(YEAR(S157),INPC!$B$4:$O$29,MONTH(S157)+1))</f>
        <v>122.044</v>
      </c>
      <c r="M157" s="463">
        <f t="shared" si="24"/>
        <v>1.1519999999999999</v>
      </c>
      <c r="N157" s="465">
        <f t="shared" si="32"/>
        <v>946.83751024390233</v>
      </c>
      <c r="O157" s="179"/>
      <c r="P157" s="180">
        <v>13</v>
      </c>
      <c r="Q157" s="173" t="s">
        <v>583</v>
      </c>
      <c r="R157" s="173" t="s">
        <v>230</v>
      </c>
      <c r="S157" s="174">
        <v>44742</v>
      </c>
      <c r="T157" s="173" t="s">
        <v>33</v>
      </c>
      <c r="U157" s="182">
        <v>1335.4</v>
      </c>
      <c r="V157" s="177">
        <f>IF(U157=0,0,IF(T157="MXN",1/HLOOKUP(YEAR(S157)+(MONTH(S157)/100),TC!$5:$37,DAY(S157)+2,FALSE),VLOOKUP(T157,Equivalencia!$1:$23,((MAX(Equivalencia!$3:$3)-YEAR(S157))*14)+MONTH(S157)+2,FALSE)))</f>
        <v>1</v>
      </c>
      <c r="W157" s="178">
        <f t="shared" si="29"/>
        <v>1335.4</v>
      </c>
      <c r="X157" s="481">
        <f t="shared" si="25"/>
        <v>513.49243902439036</v>
      </c>
      <c r="Y157" s="179"/>
      <c r="Z157" s="466">
        <f t="shared" si="26"/>
        <v>946.83751024390233</v>
      </c>
      <c r="AA157" s="473">
        <f t="shared" si="27"/>
        <v>388.56248975609776</v>
      </c>
      <c r="AB157" s="339">
        <f t="shared" si="28"/>
        <v>0.62475692329058452</v>
      </c>
    </row>
    <row r="158" spans="1:28" ht="20.100000000000001" customHeight="1">
      <c r="B158" s="172">
        <v>1175000</v>
      </c>
      <c r="C158" s="174">
        <v>43830</v>
      </c>
      <c r="D158" s="181" t="s">
        <v>234</v>
      </c>
      <c r="E158" s="173" t="s">
        <v>33</v>
      </c>
      <c r="F158" s="176">
        <v>1454.1441463414633</v>
      </c>
      <c r="G158" s="175">
        <f t="shared" si="30"/>
        <v>23</v>
      </c>
      <c r="H158" s="175">
        <f t="shared" si="23"/>
        <v>1454.1441463414633</v>
      </c>
      <c r="I158" s="177">
        <f>IF(G158=0,0,IF(E158="MXN",1/HLOOKUP(YEAR(C158)+(MONTH(C158)/100),TC!$5:$37,DAY(C158)+2,FALSE),VLOOKUP(E158,Equivalencia!$5:$23,((MAX(Equivalencia!$3:$3)-YEAR(C158))*14)+MONTH(C158)+2,FALSE)))</f>
        <v>1</v>
      </c>
      <c r="J158" s="178">
        <f t="shared" si="31"/>
        <v>1454.1441463414633</v>
      </c>
      <c r="K158" s="462">
        <f>IF(C158=0,0,VLOOKUP(YEAR(C158),INPC!$B$4:$O$29,MONTH(C158)+1))</f>
        <v>105.934</v>
      </c>
      <c r="L158" s="462">
        <f>IF(S158=0,0,VLOOKUP(YEAR(S158),INPC!$B$4:$O$29,MONTH(S158)+1))</f>
        <v>122.044</v>
      </c>
      <c r="M158" s="463">
        <f t="shared" si="24"/>
        <v>1.1519999999999999</v>
      </c>
      <c r="N158" s="465">
        <f t="shared" si="32"/>
        <v>1675.1740565853656</v>
      </c>
      <c r="O158" s="179"/>
      <c r="P158" s="180">
        <v>23</v>
      </c>
      <c r="Q158" s="173" t="s">
        <v>583</v>
      </c>
      <c r="R158" s="173" t="s">
        <v>230</v>
      </c>
      <c r="S158" s="174">
        <v>44742</v>
      </c>
      <c r="T158" s="173" t="s">
        <v>33</v>
      </c>
      <c r="U158" s="182">
        <v>2338.4899999999998</v>
      </c>
      <c r="V158" s="177">
        <f>IF(U158=0,0,IF(T158="MXN",1/HLOOKUP(YEAR(S158)+(MONTH(S158)/100),TC!$5:$37,DAY(S158)+2,FALSE),VLOOKUP(T158,Equivalencia!$1:$23,((MAX(Equivalencia!$3:$3)-YEAR(S158))*14)+MONTH(S158)+2,FALSE)))</f>
        <v>1</v>
      </c>
      <c r="W158" s="178">
        <f t="shared" si="29"/>
        <v>2338.4899999999998</v>
      </c>
      <c r="X158" s="481">
        <f t="shared" si="25"/>
        <v>884.3458536585365</v>
      </c>
      <c r="Y158" s="179"/>
      <c r="Z158" s="466">
        <f t="shared" si="26"/>
        <v>1675.1740565853656</v>
      </c>
      <c r="AA158" s="473">
        <f t="shared" si="27"/>
        <v>663.31594341463415</v>
      </c>
      <c r="AB158" s="339">
        <f t="shared" si="28"/>
        <v>0.60815556413956351</v>
      </c>
    </row>
    <row r="159" spans="1:28" ht="20.100000000000001" customHeight="1">
      <c r="B159" s="172">
        <v>1175000</v>
      </c>
      <c r="C159" s="174">
        <v>43830</v>
      </c>
      <c r="D159" s="181" t="s">
        <v>234</v>
      </c>
      <c r="E159" s="173" t="s">
        <v>33</v>
      </c>
      <c r="F159" s="176">
        <v>189.67097560975608</v>
      </c>
      <c r="G159" s="175">
        <f t="shared" si="30"/>
        <v>3</v>
      </c>
      <c r="H159" s="175">
        <f t="shared" si="23"/>
        <v>189.67097560975608</v>
      </c>
      <c r="I159" s="177">
        <f>IF(G159=0,0,IF(E159="MXN",1/HLOOKUP(YEAR(C159)+(MONTH(C159)/100),TC!$5:$37,DAY(C159)+2,FALSE),VLOOKUP(E159,Equivalencia!$5:$23,((MAX(Equivalencia!$3:$3)-YEAR(C159))*14)+MONTH(C159)+2,FALSE)))</f>
        <v>1</v>
      </c>
      <c r="J159" s="178">
        <f t="shared" si="31"/>
        <v>189.67097560975608</v>
      </c>
      <c r="K159" s="462">
        <f>IF(C159=0,0,VLOOKUP(YEAR(C159),INPC!$B$4:$O$29,MONTH(C159)+1))</f>
        <v>105.934</v>
      </c>
      <c r="L159" s="462">
        <f>IF(S159=0,0,VLOOKUP(YEAR(S159),INPC!$B$4:$O$29,MONTH(S159)+1))</f>
        <v>122.044</v>
      </c>
      <c r="M159" s="463">
        <f t="shared" si="24"/>
        <v>1.1519999999999999</v>
      </c>
      <c r="N159" s="465">
        <f t="shared" si="32"/>
        <v>218.500963902439</v>
      </c>
      <c r="O159" s="179"/>
      <c r="P159" s="180">
        <v>3</v>
      </c>
      <c r="Q159" s="173" t="s">
        <v>583</v>
      </c>
      <c r="R159" s="173" t="s">
        <v>230</v>
      </c>
      <c r="S159" s="174">
        <v>44742</v>
      </c>
      <c r="T159" s="173" t="s">
        <v>33</v>
      </c>
      <c r="U159" s="182">
        <v>307.52</v>
      </c>
      <c r="V159" s="177">
        <f>IF(U159=0,0,IF(T159="MXN",1/HLOOKUP(YEAR(S159)+(MONTH(S159)/100),TC!$5:$37,DAY(S159)+2,FALSE),VLOOKUP(T159,Equivalencia!$1:$23,((MAX(Equivalencia!$3:$3)-YEAR(S159))*14)+MONTH(S159)+2,FALSE)))</f>
        <v>1</v>
      </c>
      <c r="W159" s="178">
        <f t="shared" si="29"/>
        <v>307.52</v>
      </c>
      <c r="X159" s="481">
        <f t="shared" si="25"/>
        <v>117.8490243902439</v>
      </c>
      <c r="Y159" s="179"/>
      <c r="Z159" s="466">
        <f t="shared" si="26"/>
        <v>218.500963902439</v>
      </c>
      <c r="AA159" s="473">
        <f t="shared" si="27"/>
        <v>89.019036097560985</v>
      </c>
      <c r="AB159" s="339">
        <f t="shared" si="28"/>
        <v>0.62133399172636561</v>
      </c>
    </row>
    <row r="160" spans="1:28" ht="20.100000000000001" customHeight="1">
      <c r="B160" s="172">
        <v>1175000</v>
      </c>
      <c r="C160" s="174">
        <v>43830</v>
      </c>
      <c r="D160" s="181" t="s">
        <v>234</v>
      </c>
      <c r="E160" s="173" t="s">
        <v>33</v>
      </c>
      <c r="F160" s="176">
        <v>442.5656097560975</v>
      </c>
      <c r="G160" s="175">
        <f t="shared" si="30"/>
        <v>7</v>
      </c>
      <c r="H160" s="175">
        <f t="shared" si="23"/>
        <v>442.5656097560975</v>
      </c>
      <c r="I160" s="177">
        <f>IF(G160=0,0,IF(E160="MXN",1/HLOOKUP(YEAR(C160)+(MONTH(C160)/100),TC!$5:$37,DAY(C160)+2,FALSE),VLOOKUP(E160,Equivalencia!$5:$23,((MAX(Equivalencia!$3:$3)-YEAR(C160))*14)+MONTH(C160)+2,FALSE)))</f>
        <v>1</v>
      </c>
      <c r="J160" s="178">
        <f t="shared" si="31"/>
        <v>442.5656097560975</v>
      </c>
      <c r="K160" s="462">
        <f>IF(C160=0,0,VLOOKUP(YEAR(C160),INPC!$B$4:$O$29,MONTH(C160)+1))</f>
        <v>105.934</v>
      </c>
      <c r="L160" s="462">
        <f>IF(S160=0,0,VLOOKUP(YEAR(S160),INPC!$B$4:$O$29,MONTH(S160)+1))</f>
        <v>122.044</v>
      </c>
      <c r="M160" s="463">
        <f t="shared" si="24"/>
        <v>1.1519999999999999</v>
      </c>
      <c r="N160" s="465">
        <f t="shared" si="32"/>
        <v>509.83558243902428</v>
      </c>
      <c r="O160" s="179"/>
      <c r="P160" s="180">
        <v>7</v>
      </c>
      <c r="Q160" s="173" t="s">
        <v>583</v>
      </c>
      <c r="R160" s="173" t="s">
        <v>230</v>
      </c>
      <c r="S160" s="174">
        <v>44742</v>
      </c>
      <c r="T160" s="173" t="s">
        <v>33</v>
      </c>
      <c r="U160" s="182">
        <v>717.34</v>
      </c>
      <c r="V160" s="177">
        <f>IF(U160=0,0,IF(T160="MXN",1/HLOOKUP(YEAR(S160)+(MONTH(S160)/100),TC!$5:$37,DAY(S160)+2,FALSE),VLOOKUP(T160,Equivalencia!$1:$23,((MAX(Equivalencia!$3:$3)-YEAR(S160))*14)+MONTH(S160)+2,FALSE)))</f>
        <v>1</v>
      </c>
      <c r="W160" s="178">
        <f t="shared" si="29"/>
        <v>717.34</v>
      </c>
      <c r="X160" s="481">
        <f t="shared" si="25"/>
        <v>274.77439024390253</v>
      </c>
      <c r="Y160" s="179"/>
      <c r="Z160" s="466">
        <f t="shared" si="26"/>
        <v>509.83558243902428</v>
      </c>
      <c r="AA160" s="473">
        <f t="shared" si="27"/>
        <v>207.50441756097575</v>
      </c>
      <c r="AB160" s="339">
        <f t="shared" si="28"/>
        <v>0.62086701765040786</v>
      </c>
    </row>
    <row r="161" spans="1:28" ht="20.100000000000001" customHeight="1">
      <c r="A161" s="484"/>
      <c r="B161" s="172">
        <v>1175000</v>
      </c>
      <c r="C161" s="174">
        <v>44579</v>
      </c>
      <c r="D161" s="181" t="s">
        <v>180</v>
      </c>
      <c r="E161" s="173" t="s">
        <v>33</v>
      </c>
      <c r="F161" s="176">
        <v>2391.73</v>
      </c>
      <c r="G161" s="175">
        <f t="shared" si="30"/>
        <v>11</v>
      </c>
      <c r="H161" s="175">
        <f t="shared" si="23"/>
        <v>2391.73</v>
      </c>
      <c r="I161" s="177">
        <f>IF(G161=0,0,IF(E161="MXN",1/HLOOKUP(YEAR(C161)+(MONTH(C161)/100),TC!$5:$37,DAY(C161)+2,FALSE),VLOOKUP(E161,Equivalencia!$5:$23,((MAX(Equivalencia!$3:$3)-YEAR(C161))*14)+MONTH(C161)+2,FALSE)))</f>
        <v>1</v>
      </c>
      <c r="J161" s="178">
        <f t="shared" si="31"/>
        <v>2391.73</v>
      </c>
      <c r="K161" s="462">
        <f>IF(C161=0,0,VLOOKUP(YEAR(C161),INPC!$B$4:$O$29,MONTH(C161)+1))</f>
        <v>118.002</v>
      </c>
      <c r="L161" s="462">
        <f>IF(S161=0,0,VLOOKUP(YEAR(S161),INPC!$B$4:$O$29,MONTH(S161)+1))</f>
        <v>120.809</v>
      </c>
      <c r="M161" s="463">
        <f t="shared" si="24"/>
        <v>1.0237000000000001</v>
      </c>
      <c r="N161" s="465">
        <f t="shared" si="32"/>
        <v>2448.4140010000001</v>
      </c>
      <c r="O161" s="179"/>
      <c r="P161" s="569">
        <v>11</v>
      </c>
      <c r="Q161" s="173" t="s">
        <v>583</v>
      </c>
      <c r="R161" s="173" t="s">
        <v>230</v>
      </c>
      <c r="S161" s="174">
        <v>44678</v>
      </c>
      <c r="T161" s="173" t="s">
        <v>33</v>
      </c>
      <c r="U161" s="182">
        <v>1850.119266055046</v>
      </c>
      <c r="V161" s="177">
        <f>IF(U161=0,0,IF(T161="MXN",1/HLOOKUP(YEAR(S161)+(MONTH(S161)/100),TC!$5:$37,DAY(S161)+2,FALSE),VLOOKUP(T161,Equivalencia!$1:$23,((MAX(Equivalencia!$3:$3)-YEAR(S161))*14)+MONTH(S161)+2,FALSE)))</f>
        <v>1</v>
      </c>
      <c r="W161" s="178">
        <f t="shared" si="29"/>
        <v>1850.119266055046</v>
      </c>
      <c r="X161" s="481">
        <f t="shared" si="25"/>
        <v>-541.61073394495406</v>
      </c>
      <c r="Y161" s="179"/>
      <c r="Z161" s="466">
        <f t="shared" si="26"/>
        <v>2448.4140010000001</v>
      </c>
      <c r="AA161" s="473">
        <f t="shared" si="27"/>
        <v>-598.29473494495414</v>
      </c>
      <c r="AB161" s="339">
        <f t="shared" si="28"/>
        <v>-0.22645145310923642</v>
      </c>
    </row>
    <row r="162" spans="1:28" ht="20.100000000000001" customHeight="1">
      <c r="A162" s="484"/>
      <c r="B162" s="172">
        <v>1175000</v>
      </c>
      <c r="C162" s="174">
        <v>44579</v>
      </c>
      <c r="D162" s="181" t="s">
        <v>180</v>
      </c>
      <c r="E162" s="173" t="s">
        <v>33</v>
      </c>
      <c r="F162" s="176">
        <v>9181.92</v>
      </c>
      <c r="G162" s="175">
        <f t="shared" si="30"/>
        <v>42</v>
      </c>
      <c r="H162" s="175">
        <f t="shared" si="23"/>
        <v>9181.92</v>
      </c>
      <c r="I162" s="177">
        <f>IF(G162=0,0,IF(E162="MXN",1/HLOOKUP(YEAR(C162)+(MONTH(C162)/100),TC!$5:$37,DAY(C162)+2,FALSE),VLOOKUP(E162,Equivalencia!$5:$23,((MAX(Equivalencia!$3:$3)-YEAR(C162))*14)+MONTH(C162)+2,FALSE)))</f>
        <v>1</v>
      </c>
      <c r="J162" s="178">
        <f t="shared" si="31"/>
        <v>9181.92</v>
      </c>
      <c r="K162" s="462">
        <f>IF(C162=0,0,VLOOKUP(YEAR(C162),INPC!$B$4:$O$29,MONTH(C162)+1))</f>
        <v>118.002</v>
      </c>
      <c r="L162" s="462">
        <f>IF(S162=0,0,VLOOKUP(YEAR(S162),INPC!$B$4:$O$29,MONTH(S162)+1))</f>
        <v>120.809</v>
      </c>
      <c r="M162" s="463">
        <f t="shared" si="24"/>
        <v>1.0237000000000001</v>
      </c>
      <c r="N162" s="465">
        <f t="shared" si="32"/>
        <v>9399.5315040000005</v>
      </c>
      <c r="O162" s="179"/>
      <c r="P162" s="570">
        <v>42</v>
      </c>
      <c r="Q162" s="173" t="s">
        <v>583</v>
      </c>
      <c r="R162" s="173" t="s">
        <v>230</v>
      </c>
      <c r="S162" s="174">
        <v>44678</v>
      </c>
      <c r="T162" s="173" t="s">
        <v>33</v>
      </c>
      <c r="U162" s="182">
        <v>7064.0917431192665</v>
      </c>
      <c r="V162" s="177">
        <f>IF(U162=0,0,IF(T162="MXN",1/HLOOKUP(YEAR(S162)+(MONTH(S162)/100),TC!$5:$37,DAY(S162)+2,FALSE),VLOOKUP(T162,Equivalencia!$1:$23,((MAX(Equivalencia!$3:$3)-YEAR(S162))*14)+MONTH(S162)+2,FALSE)))</f>
        <v>1</v>
      </c>
      <c r="W162" s="178">
        <f t="shared" si="29"/>
        <v>7064.0917431192665</v>
      </c>
      <c r="X162" s="481">
        <f t="shared" si="25"/>
        <v>-2117.8282568807335</v>
      </c>
      <c r="Y162" s="179"/>
      <c r="Z162" s="466">
        <f t="shared" si="26"/>
        <v>9399.5315040000005</v>
      </c>
      <c r="AA162" s="473">
        <f t="shared" si="27"/>
        <v>-2335.439760880734</v>
      </c>
      <c r="AB162" s="339">
        <f t="shared" si="28"/>
        <v>-0.23065200490537208</v>
      </c>
    </row>
    <row r="163" spans="1:28" ht="20.100000000000001" customHeight="1">
      <c r="A163" s="484"/>
      <c r="B163" s="172">
        <v>1175000</v>
      </c>
      <c r="C163" s="174">
        <v>44580</v>
      </c>
      <c r="D163" s="181" t="s">
        <v>180</v>
      </c>
      <c r="E163" s="173" t="s">
        <v>33</v>
      </c>
      <c r="F163" s="176">
        <v>656.12</v>
      </c>
      <c r="G163" s="175">
        <f t="shared" si="30"/>
        <v>3</v>
      </c>
      <c r="H163" s="175">
        <f t="shared" si="23"/>
        <v>656.12</v>
      </c>
      <c r="I163" s="177">
        <f>IF(G163=0,0,IF(E163="MXN",1/HLOOKUP(YEAR(C163)+(MONTH(C163)/100),TC!$5:$37,DAY(C163)+2,FALSE),VLOOKUP(E163,Equivalencia!$5:$23,((MAX(Equivalencia!$3:$3)-YEAR(C163))*14)+MONTH(C163)+2,FALSE)))</f>
        <v>1</v>
      </c>
      <c r="J163" s="178">
        <f t="shared" si="31"/>
        <v>656.12</v>
      </c>
      <c r="K163" s="462">
        <f>IF(C163=0,0,VLOOKUP(YEAR(C163),INPC!$B$4:$O$29,MONTH(C163)+1))</f>
        <v>118.002</v>
      </c>
      <c r="L163" s="462">
        <f>IF(S163=0,0,VLOOKUP(YEAR(S163),INPC!$B$4:$O$29,MONTH(S163)+1))</f>
        <v>120.809</v>
      </c>
      <c r="M163" s="463">
        <f t="shared" si="24"/>
        <v>1.0237000000000001</v>
      </c>
      <c r="N163" s="465">
        <f t="shared" si="32"/>
        <v>671.67004400000008</v>
      </c>
      <c r="O163" s="179"/>
      <c r="P163" s="570">
        <v>3</v>
      </c>
      <c r="Q163" s="173" t="s">
        <v>583</v>
      </c>
      <c r="R163" s="173" t="s">
        <v>230</v>
      </c>
      <c r="S163" s="174">
        <v>44678</v>
      </c>
      <c r="T163" s="173" t="s">
        <v>33</v>
      </c>
      <c r="U163" s="182">
        <v>504.57798165137615</v>
      </c>
      <c r="V163" s="177">
        <f>IF(U163=0,0,IF(T163="MXN",1/HLOOKUP(YEAR(S163)+(MONTH(S163)/100),TC!$5:$37,DAY(S163)+2,FALSE),VLOOKUP(T163,Equivalencia!$1:$23,((MAX(Equivalencia!$3:$3)-YEAR(S163))*14)+MONTH(S163)+2,FALSE)))</f>
        <v>1</v>
      </c>
      <c r="W163" s="178">
        <f t="shared" si="29"/>
        <v>504.57798165137615</v>
      </c>
      <c r="X163" s="481">
        <f t="shared" si="25"/>
        <v>-151.54201834862386</v>
      </c>
      <c r="Y163" s="179"/>
      <c r="Z163" s="466">
        <f t="shared" si="26"/>
        <v>671.67004400000008</v>
      </c>
      <c r="AA163" s="473">
        <f t="shared" si="27"/>
        <v>-167.09206234862393</v>
      </c>
      <c r="AB163" s="339">
        <f t="shared" si="28"/>
        <v>-0.23096692426480503</v>
      </c>
    </row>
    <row r="164" spans="1:28" ht="20.100000000000001" customHeight="1">
      <c r="A164" s="484"/>
      <c r="B164" s="172">
        <v>1175000</v>
      </c>
      <c r="C164" s="174">
        <v>44582</v>
      </c>
      <c r="D164" s="181" t="s">
        <v>180</v>
      </c>
      <c r="E164" s="173" t="s">
        <v>33</v>
      </c>
      <c r="F164" s="176">
        <v>2066.8000000000002</v>
      </c>
      <c r="G164" s="175">
        <f t="shared" si="30"/>
        <v>10</v>
      </c>
      <c r="H164" s="175">
        <f t="shared" si="23"/>
        <v>2066.8000000000002</v>
      </c>
      <c r="I164" s="177">
        <f>IF(G164=0,0,IF(E164="MXN",1/HLOOKUP(YEAR(C164)+(MONTH(C164)/100),TC!$5:$37,DAY(C164)+2,FALSE),VLOOKUP(E164,Equivalencia!$5:$23,((MAX(Equivalencia!$3:$3)-YEAR(C164))*14)+MONTH(C164)+2,FALSE)))</f>
        <v>1</v>
      </c>
      <c r="J164" s="178">
        <f t="shared" si="31"/>
        <v>2066.8000000000002</v>
      </c>
      <c r="K164" s="462">
        <f>IF(C164=0,0,VLOOKUP(YEAR(C164),INPC!$B$4:$O$29,MONTH(C164)+1))</f>
        <v>118.002</v>
      </c>
      <c r="L164" s="462">
        <f>IF(S164=0,0,VLOOKUP(YEAR(S164),INPC!$B$4:$O$29,MONTH(S164)+1))</f>
        <v>120.809</v>
      </c>
      <c r="M164" s="463">
        <f t="shared" si="24"/>
        <v>1.0237000000000001</v>
      </c>
      <c r="N164" s="465">
        <f t="shared" si="32"/>
        <v>2115.7831600000004</v>
      </c>
      <c r="O164" s="179"/>
      <c r="P164" s="570">
        <v>10</v>
      </c>
      <c r="Q164" s="173" t="s">
        <v>583</v>
      </c>
      <c r="R164" s="173" t="s">
        <v>230</v>
      </c>
      <c r="S164" s="174">
        <v>44678</v>
      </c>
      <c r="T164" s="173" t="s">
        <v>33</v>
      </c>
      <c r="U164" s="182">
        <v>1681.9266055045873</v>
      </c>
      <c r="V164" s="177">
        <f>IF(U164=0,0,IF(T164="MXN",1/HLOOKUP(YEAR(S164)+(MONTH(S164)/100),TC!$5:$37,DAY(S164)+2,FALSE),VLOOKUP(T164,Equivalencia!$1:$23,((MAX(Equivalencia!$3:$3)-YEAR(S164))*14)+MONTH(S164)+2,FALSE)))</f>
        <v>1</v>
      </c>
      <c r="W164" s="178">
        <f t="shared" si="29"/>
        <v>1681.9266055045873</v>
      </c>
      <c r="X164" s="481">
        <f t="shared" si="25"/>
        <v>-384.87339449541287</v>
      </c>
      <c r="Y164" s="179"/>
      <c r="Z164" s="466">
        <f t="shared" si="26"/>
        <v>2115.7831600000004</v>
      </c>
      <c r="AA164" s="473">
        <f t="shared" si="27"/>
        <v>-433.85655449541309</v>
      </c>
      <c r="AB164" s="339">
        <f t="shared" si="28"/>
        <v>-0.18621704784953208</v>
      </c>
    </row>
    <row r="165" spans="1:28" ht="20.100000000000001" customHeight="1">
      <c r="A165" s="484"/>
      <c r="B165" s="172">
        <v>1175000</v>
      </c>
      <c r="C165" s="174">
        <v>44582</v>
      </c>
      <c r="D165" s="181" t="s">
        <v>180</v>
      </c>
      <c r="E165" s="173" t="s">
        <v>33</v>
      </c>
      <c r="F165" s="176">
        <v>1443.58</v>
      </c>
      <c r="G165" s="175">
        <f t="shared" si="30"/>
        <v>7</v>
      </c>
      <c r="H165" s="175">
        <f t="shared" si="23"/>
        <v>1443.58</v>
      </c>
      <c r="I165" s="177">
        <f>IF(G165=0,0,IF(E165="MXN",1/HLOOKUP(YEAR(C165)+(MONTH(C165)/100),TC!$5:$37,DAY(C165)+2,FALSE),VLOOKUP(E165,Equivalencia!$5:$23,((MAX(Equivalencia!$3:$3)-YEAR(C165))*14)+MONTH(C165)+2,FALSE)))</f>
        <v>1</v>
      </c>
      <c r="J165" s="178">
        <f t="shared" si="31"/>
        <v>1443.58</v>
      </c>
      <c r="K165" s="462">
        <f>IF(C165=0,0,VLOOKUP(YEAR(C165),INPC!$B$4:$O$29,MONTH(C165)+1))</f>
        <v>118.002</v>
      </c>
      <c r="L165" s="462">
        <f>IF(S165=0,0,VLOOKUP(YEAR(S165),INPC!$B$4:$O$29,MONTH(S165)+1))</f>
        <v>120.809</v>
      </c>
      <c r="M165" s="463">
        <f t="shared" si="24"/>
        <v>1.0237000000000001</v>
      </c>
      <c r="N165" s="465">
        <f t="shared" si="32"/>
        <v>1477.7928460000001</v>
      </c>
      <c r="O165" s="179"/>
      <c r="P165" s="570">
        <v>7</v>
      </c>
      <c r="Q165" s="173" t="s">
        <v>583</v>
      </c>
      <c r="R165" s="173" t="s">
        <v>230</v>
      </c>
      <c r="S165" s="174">
        <v>44678</v>
      </c>
      <c r="T165" s="173" t="s">
        <v>33</v>
      </c>
      <c r="U165" s="182">
        <v>1177.3486238532112</v>
      </c>
      <c r="V165" s="177">
        <f>IF(U165=0,0,IF(T165="MXN",1/HLOOKUP(YEAR(S165)+(MONTH(S165)/100),TC!$5:$37,DAY(S165)+2,FALSE),VLOOKUP(T165,Equivalencia!$1:$23,((MAX(Equivalencia!$3:$3)-YEAR(S165))*14)+MONTH(S165)+2,FALSE)))</f>
        <v>1</v>
      </c>
      <c r="W165" s="178">
        <f t="shared" si="29"/>
        <v>1177.3486238532112</v>
      </c>
      <c r="X165" s="481">
        <f t="shared" si="25"/>
        <v>-266.23137614678876</v>
      </c>
      <c r="Y165" s="179"/>
      <c r="Z165" s="466">
        <f t="shared" si="26"/>
        <v>1477.7928460000001</v>
      </c>
      <c r="AA165" s="473">
        <f t="shared" si="27"/>
        <v>-300.44422214678889</v>
      </c>
      <c r="AB165" s="339">
        <f t="shared" si="28"/>
        <v>-0.18442440055056786</v>
      </c>
    </row>
    <row r="166" spans="1:28" ht="20.100000000000001" customHeight="1">
      <c r="A166" s="484"/>
      <c r="B166" s="172">
        <v>1175000</v>
      </c>
      <c r="C166" s="174">
        <v>44582</v>
      </c>
      <c r="D166" s="181" t="s">
        <v>180</v>
      </c>
      <c r="E166" s="173" t="s">
        <v>33</v>
      </c>
      <c r="F166" s="176">
        <v>806.4</v>
      </c>
      <c r="G166" s="175">
        <f t="shared" si="30"/>
        <v>4</v>
      </c>
      <c r="H166" s="175">
        <f t="shared" si="23"/>
        <v>806.4</v>
      </c>
      <c r="I166" s="177">
        <f>IF(G166=0,0,IF(E166="MXN",1/HLOOKUP(YEAR(C166)+(MONTH(C166)/100),TC!$5:$37,DAY(C166)+2,FALSE),VLOOKUP(E166,Equivalencia!$5:$23,((MAX(Equivalencia!$3:$3)-YEAR(C166))*14)+MONTH(C166)+2,FALSE)))</f>
        <v>1</v>
      </c>
      <c r="J166" s="178">
        <f t="shared" si="31"/>
        <v>806.4</v>
      </c>
      <c r="K166" s="462">
        <f>IF(C166=0,0,VLOOKUP(YEAR(C166),INPC!$B$4:$O$29,MONTH(C166)+1))</f>
        <v>118.002</v>
      </c>
      <c r="L166" s="462">
        <f>IF(S166=0,0,VLOOKUP(YEAR(S166),INPC!$B$4:$O$29,MONTH(S166)+1))</f>
        <v>120.809</v>
      </c>
      <c r="M166" s="463">
        <f t="shared" si="24"/>
        <v>1.0237000000000001</v>
      </c>
      <c r="N166" s="465">
        <f t="shared" si="32"/>
        <v>825.51168000000007</v>
      </c>
      <c r="O166" s="179"/>
      <c r="P166" s="570">
        <v>4</v>
      </c>
      <c r="Q166" s="173" t="s">
        <v>583</v>
      </c>
      <c r="R166" s="173" t="s">
        <v>230</v>
      </c>
      <c r="S166" s="174">
        <v>44678</v>
      </c>
      <c r="T166" s="173" t="s">
        <v>33</v>
      </c>
      <c r="U166" s="182">
        <v>672.7706422018349</v>
      </c>
      <c r="V166" s="177">
        <f>IF(U166=0,0,IF(T166="MXN",1/HLOOKUP(YEAR(S166)+(MONTH(S166)/100),TC!$5:$37,DAY(S166)+2,FALSE),VLOOKUP(T166,Equivalencia!$1:$23,((MAX(Equivalencia!$3:$3)-YEAR(S166))*14)+MONTH(S166)+2,FALSE)))</f>
        <v>1</v>
      </c>
      <c r="W166" s="178">
        <f t="shared" si="29"/>
        <v>672.7706422018349</v>
      </c>
      <c r="X166" s="481">
        <f t="shared" si="25"/>
        <v>-133.62935779816507</v>
      </c>
      <c r="Y166" s="179"/>
      <c r="Z166" s="466">
        <f t="shared" si="26"/>
        <v>825.51168000000007</v>
      </c>
      <c r="AA166" s="473">
        <f t="shared" si="27"/>
        <v>-152.74103779816517</v>
      </c>
      <c r="AB166" s="339">
        <f t="shared" si="28"/>
        <v>-0.16571100917431181</v>
      </c>
    </row>
    <row r="167" spans="1:28" ht="20.100000000000001" customHeight="1">
      <c r="A167" s="484"/>
      <c r="B167" s="172">
        <v>1175000</v>
      </c>
      <c r="C167" s="174">
        <v>44582</v>
      </c>
      <c r="D167" s="181" t="s">
        <v>180</v>
      </c>
      <c r="E167" s="173" t="s">
        <v>33</v>
      </c>
      <c r="F167" s="176">
        <v>2252.9299999999998</v>
      </c>
      <c r="G167" s="175">
        <f t="shared" si="30"/>
        <v>11</v>
      </c>
      <c r="H167" s="175">
        <f t="shared" si="23"/>
        <v>2252.9299999999998</v>
      </c>
      <c r="I167" s="177">
        <f>IF(G167=0,0,IF(E167="MXN",1/HLOOKUP(YEAR(C167)+(MONTH(C167)/100),TC!$5:$37,DAY(C167)+2,FALSE),VLOOKUP(E167,Equivalencia!$5:$23,((MAX(Equivalencia!$3:$3)-YEAR(C167))*14)+MONTH(C167)+2,FALSE)))</f>
        <v>1</v>
      </c>
      <c r="J167" s="178">
        <f t="shared" si="31"/>
        <v>2252.9299999999998</v>
      </c>
      <c r="K167" s="462">
        <f>IF(C167=0,0,VLOOKUP(YEAR(C167),INPC!$B$4:$O$29,MONTH(C167)+1))</f>
        <v>118.002</v>
      </c>
      <c r="L167" s="462">
        <f>IF(S167=0,0,VLOOKUP(YEAR(S167),INPC!$B$4:$O$29,MONTH(S167)+1))</f>
        <v>120.809</v>
      </c>
      <c r="M167" s="463">
        <f t="shared" si="24"/>
        <v>1.0237000000000001</v>
      </c>
      <c r="N167" s="465">
        <f t="shared" si="32"/>
        <v>2306.3244409999998</v>
      </c>
      <c r="O167" s="179"/>
      <c r="P167" s="570">
        <v>11</v>
      </c>
      <c r="Q167" s="173" t="s">
        <v>583</v>
      </c>
      <c r="R167" s="173" t="s">
        <v>230</v>
      </c>
      <c r="S167" s="174">
        <v>44678</v>
      </c>
      <c r="T167" s="173" t="s">
        <v>33</v>
      </c>
      <c r="U167" s="182">
        <v>1850.119266055046</v>
      </c>
      <c r="V167" s="177">
        <f>IF(U167=0,0,IF(T167="MXN",1/HLOOKUP(YEAR(S167)+(MONTH(S167)/100),TC!$5:$37,DAY(S167)+2,FALSE),VLOOKUP(T167,Equivalencia!$1:$23,((MAX(Equivalencia!$3:$3)-YEAR(S167))*14)+MONTH(S167)+2,FALSE)))</f>
        <v>1</v>
      </c>
      <c r="W167" s="178">
        <f t="shared" si="29"/>
        <v>1850.119266055046</v>
      </c>
      <c r="X167" s="481">
        <f t="shared" si="25"/>
        <v>-402.81073394495388</v>
      </c>
      <c r="Y167" s="179"/>
      <c r="Z167" s="466">
        <f t="shared" si="26"/>
        <v>2306.3244409999998</v>
      </c>
      <c r="AA167" s="473">
        <f t="shared" si="27"/>
        <v>-456.2051749449538</v>
      </c>
      <c r="AB167" s="339">
        <f t="shared" si="28"/>
        <v>-0.17879416313198981</v>
      </c>
    </row>
    <row r="168" spans="1:28" ht="20.100000000000001" customHeight="1">
      <c r="A168" s="484"/>
      <c r="B168" s="172">
        <v>1175000</v>
      </c>
      <c r="C168" s="174">
        <v>44582</v>
      </c>
      <c r="D168" s="181" t="s">
        <v>180</v>
      </c>
      <c r="E168" s="173" t="s">
        <v>33</v>
      </c>
      <c r="F168" s="176">
        <v>201.71</v>
      </c>
      <c r="G168" s="175">
        <f t="shared" si="30"/>
        <v>1</v>
      </c>
      <c r="H168" s="175">
        <f t="shared" si="23"/>
        <v>201.71</v>
      </c>
      <c r="I168" s="177">
        <f>IF(G168=0,0,IF(E168="MXN",1/HLOOKUP(YEAR(C168)+(MONTH(C168)/100),TC!$5:$37,DAY(C168)+2,FALSE),VLOOKUP(E168,Equivalencia!$5:$23,((MAX(Equivalencia!$3:$3)-YEAR(C168))*14)+MONTH(C168)+2,FALSE)))</f>
        <v>1</v>
      </c>
      <c r="J168" s="178">
        <f t="shared" si="31"/>
        <v>201.71</v>
      </c>
      <c r="K168" s="462">
        <f>IF(C168=0,0,VLOOKUP(YEAR(C168),INPC!$B$4:$O$29,MONTH(C168)+1))</f>
        <v>118.002</v>
      </c>
      <c r="L168" s="462">
        <f>IF(S168=0,0,VLOOKUP(YEAR(S168),INPC!$B$4:$O$29,MONTH(S168)+1))</f>
        <v>120.809</v>
      </c>
      <c r="M168" s="463">
        <f t="shared" si="24"/>
        <v>1.0237000000000001</v>
      </c>
      <c r="N168" s="465">
        <f t="shared" si="32"/>
        <v>206.49052700000001</v>
      </c>
      <c r="O168" s="179"/>
      <c r="P168" s="570">
        <v>1</v>
      </c>
      <c r="Q168" s="173" t="s">
        <v>583</v>
      </c>
      <c r="R168" s="173" t="s">
        <v>230</v>
      </c>
      <c r="S168" s="174">
        <v>44678</v>
      </c>
      <c r="T168" s="173" t="s">
        <v>33</v>
      </c>
      <c r="U168" s="182">
        <v>168.19266055045873</v>
      </c>
      <c r="V168" s="177">
        <f>IF(U168=0,0,IF(T168="MXN",1/HLOOKUP(YEAR(S168)+(MONTH(S168)/100),TC!$5:$37,DAY(S168)+2,FALSE),VLOOKUP(T168,Equivalencia!$1:$23,((MAX(Equivalencia!$3:$3)-YEAR(S168))*14)+MONTH(S168)+2,FALSE)))</f>
        <v>1</v>
      </c>
      <c r="W168" s="178">
        <f t="shared" si="29"/>
        <v>168.19266055045873</v>
      </c>
      <c r="X168" s="481">
        <f t="shared" si="25"/>
        <v>-33.517339449541282</v>
      </c>
      <c r="Y168" s="179"/>
      <c r="Z168" s="466">
        <f t="shared" si="26"/>
        <v>206.49052700000001</v>
      </c>
      <c r="AA168" s="473">
        <f t="shared" si="27"/>
        <v>-38.297866449541289</v>
      </c>
      <c r="AB168" s="339">
        <f t="shared" si="28"/>
        <v>-0.16616597813465506</v>
      </c>
    </row>
    <row r="169" spans="1:28" ht="20.100000000000001" customHeight="1">
      <c r="A169" s="484"/>
      <c r="B169" s="172">
        <v>1175000</v>
      </c>
      <c r="C169" s="174">
        <v>44582</v>
      </c>
      <c r="D169" s="181" t="s">
        <v>180</v>
      </c>
      <c r="E169" s="173" t="s">
        <v>33</v>
      </c>
      <c r="F169" s="176">
        <v>1598.42</v>
      </c>
      <c r="G169" s="175">
        <f t="shared" si="30"/>
        <v>8</v>
      </c>
      <c r="H169" s="175">
        <f t="shared" si="23"/>
        <v>1598.42</v>
      </c>
      <c r="I169" s="177">
        <f>IF(G169=0,0,IF(E169="MXN",1/HLOOKUP(YEAR(C169)+(MONTH(C169)/100),TC!$5:$37,DAY(C169)+2,FALSE),VLOOKUP(E169,Equivalencia!$5:$23,((MAX(Equivalencia!$3:$3)-YEAR(C169))*14)+MONTH(C169)+2,FALSE)))</f>
        <v>1</v>
      </c>
      <c r="J169" s="178">
        <f t="shared" si="31"/>
        <v>1598.42</v>
      </c>
      <c r="K169" s="462">
        <f>IF(C169=0,0,VLOOKUP(YEAR(C169),INPC!$B$4:$O$29,MONTH(C169)+1))</f>
        <v>118.002</v>
      </c>
      <c r="L169" s="462">
        <f>IF(S169=0,0,VLOOKUP(YEAR(S169),INPC!$B$4:$O$29,MONTH(S169)+1))</f>
        <v>120.809</v>
      </c>
      <c r="M169" s="463">
        <f t="shared" si="24"/>
        <v>1.0237000000000001</v>
      </c>
      <c r="N169" s="465">
        <f t="shared" si="32"/>
        <v>1636.3025540000001</v>
      </c>
      <c r="O169" s="179"/>
      <c r="P169" s="570">
        <v>8</v>
      </c>
      <c r="Q169" s="173" t="s">
        <v>583</v>
      </c>
      <c r="R169" s="173" t="s">
        <v>230</v>
      </c>
      <c r="S169" s="174">
        <v>44678</v>
      </c>
      <c r="T169" s="173" t="s">
        <v>33</v>
      </c>
      <c r="U169" s="182">
        <v>1345.5412844036698</v>
      </c>
      <c r="V169" s="177">
        <f>IF(U169=0,0,IF(T169="MXN",1/HLOOKUP(YEAR(S169)+(MONTH(S169)/100),TC!$5:$37,DAY(S169)+2,FALSE),VLOOKUP(T169,Equivalencia!$1:$23,((MAX(Equivalencia!$3:$3)-YEAR(S169))*14)+MONTH(S169)+2,FALSE)))</f>
        <v>1</v>
      </c>
      <c r="W169" s="178">
        <f t="shared" si="29"/>
        <v>1345.5412844036698</v>
      </c>
      <c r="X169" s="481">
        <f t="shared" si="25"/>
        <v>-252.87871559633027</v>
      </c>
      <c r="Y169" s="179"/>
      <c r="Z169" s="466">
        <f t="shared" si="26"/>
        <v>1636.3025540000001</v>
      </c>
      <c r="AA169" s="473">
        <f t="shared" si="27"/>
        <v>-290.76126959633029</v>
      </c>
      <c r="AB169" s="339">
        <f t="shared" si="28"/>
        <v>-0.15820542510499758</v>
      </c>
    </row>
    <row r="170" spans="1:28" ht="20.100000000000001" customHeight="1">
      <c r="A170" s="484"/>
      <c r="B170" s="172">
        <v>1175000</v>
      </c>
      <c r="C170" s="174">
        <v>44582</v>
      </c>
      <c r="D170" s="181" t="s">
        <v>180</v>
      </c>
      <c r="E170" s="173" t="s">
        <v>33</v>
      </c>
      <c r="F170" s="176">
        <v>2427.81</v>
      </c>
      <c r="G170" s="175">
        <f t="shared" si="30"/>
        <v>12</v>
      </c>
      <c r="H170" s="175">
        <f t="shared" si="23"/>
        <v>2427.81</v>
      </c>
      <c r="I170" s="177">
        <f>IF(G170=0,0,IF(E170="MXN",1/HLOOKUP(YEAR(C170)+(MONTH(C170)/100),TC!$5:$37,DAY(C170)+2,FALSE),VLOOKUP(E170,Equivalencia!$5:$23,((MAX(Equivalencia!$3:$3)-YEAR(C170))*14)+MONTH(C170)+2,FALSE)))</f>
        <v>1</v>
      </c>
      <c r="J170" s="178">
        <f t="shared" si="31"/>
        <v>2427.81</v>
      </c>
      <c r="K170" s="462">
        <f>IF(C170=0,0,VLOOKUP(YEAR(C170),INPC!$B$4:$O$29,MONTH(C170)+1))</f>
        <v>118.002</v>
      </c>
      <c r="L170" s="462">
        <f>IF(S170=0,0,VLOOKUP(YEAR(S170),INPC!$B$4:$O$29,MONTH(S170)+1))</f>
        <v>120.809</v>
      </c>
      <c r="M170" s="463">
        <f t="shared" si="24"/>
        <v>1.0237000000000001</v>
      </c>
      <c r="N170" s="465">
        <f t="shared" si="32"/>
        <v>2485.3490970000003</v>
      </c>
      <c r="O170" s="179"/>
      <c r="P170" s="571">
        <v>12</v>
      </c>
      <c r="Q170" s="173" t="s">
        <v>583</v>
      </c>
      <c r="R170" s="173" t="s">
        <v>230</v>
      </c>
      <c r="S170" s="174">
        <v>44678</v>
      </c>
      <c r="T170" s="173" t="s">
        <v>33</v>
      </c>
      <c r="U170" s="182">
        <v>2018.3119266055046</v>
      </c>
      <c r="V170" s="177">
        <f>IF(U170=0,0,IF(T170="MXN",1/HLOOKUP(YEAR(S170)+(MONTH(S170)/100),TC!$5:$37,DAY(S170)+2,FALSE),VLOOKUP(T170,Equivalencia!$1:$23,((MAX(Equivalencia!$3:$3)-YEAR(S170))*14)+MONTH(S170)+2,FALSE)))</f>
        <v>1</v>
      </c>
      <c r="W170" s="178">
        <f t="shared" si="29"/>
        <v>2018.3119266055046</v>
      </c>
      <c r="X170" s="481">
        <f t="shared" si="25"/>
        <v>-409.49807339449535</v>
      </c>
      <c r="Y170" s="179"/>
      <c r="Z170" s="466">
        <f t="shared" si="26"/>
        <v>2485.3490970000003</v>
      </c>
      <c r="AA170" s="473">
        <f t="shared" si="27"/>
        <v>-467.03717039449566</v>
      </c>
      <c r="AB170" s="339">
        <f t="shared" si="28"/>
        <v>-0.16866973667399643</v>
      </c>
    </row>
    <row r="171" spans="1:28" ht="20.100000000000001" customHeight="1">
      <c r="A171" s="484"/>
      <c r="B171" s="172">
        <v>1175000</v>
      </c>
      <c r="C171" s="174">
        <v>44582</v>
      </c>
      <c r="D171" s="181" t="s">
        <v>180</v>
      </c>
      <c r="E171" s="173" t="s">
        <v>33</v>
      </c>
      <c r="F171" s="176">
        <v>203.75</v>
      </c>
      <c r="G171" s="175">
        <f t="shared" si="30"/>
        <v>1</v>
      </c>
      <c r="H171" s="175">
        <f t="shared" si="23"/>
        <v>203.75</v>
      </c>
      <c r="I171" s="177">
        <f>IF(G171=0,0,IF(E171="MXN",1/HLOOKUP(YEAR(C171)+(MONTH(C171)/100),TC!$5:$37,DAY(C171)+2,FALSE),VLOOKUP(E171,Equivalencia!$5:$23,((MAX(Equivalencia!$3:$3)-YEAR(C171))*14)+MONTH(C171)+2,FALSE)))</f>
        <v>1</v>
      </c>
      <c r="J171" s="178">
        <f t="shared" si="31"/>
        <v>203.75</v>
      </c>
      <c r="K171" s="462">
        <f>IF(C171=0,0,VLOOKUP(YEAR(C171),INPC!$B$4:$O$29,MONTH(C171)+1))</f>
        <v>118.002</v>
      </c>
      <c r="L171" s="462">
        <f>IF(S171=0,0,VLOOKUP(YEAR(S171),INPC!$B$4:$O$29,MONTH(S171)+1))</f>
        <v>121.02200000000001</v>
      </c>
      <c r="M171" s="463">
        <f t="shared" si="24"/>
        <v>1.0255000000000001</v>
      </c>
      <c r="N171" s="465">
        <f t="shared" si="32"/>
        <v>208.94562500000001</v>
      </c>
      <c r="O171" s="179"/>
      <c r="P171" s="180">
        <v>1</v>
      </c>
      <c r="Q171" s="173" t="s">
        <v>583</v>
      </c>
      <c r="R171" s="173" t="s">
        <v>230</v>
      </c>
      <c r="S171" s="174">
        <v>44685</v>
      </c>
      <c r="T171" s="173" t="s">
        <v>33</v>
      </c>
      <c r="U171" s="182">
        <v>178.51000000000002</v>
      </c>
      <c r="V171" s="177">
        <f>IF(U171=0,0,IF(T171="MXN",1/HLOOKUP(YEAR(S171)+(MONTH(S171)/100),TC!$5:$37,DAY(S171)+2,FALSE),VLOOKUP(T171,Equivalencia!$1:$23,((MAX(Equivalencia!$3:$3)-YEAR(S171))*14)+MONTH(S171)+2,FALSE)))</f>
        <v>1</v>
      </c>
      <c r="W171" s="178">
        <f t="shared" si="29"/>
        <v>178.51000000000002</v>
      </c>
      <c r="X171" s="481">
        <f t="shared" si="25"/>
        <v>-25.239999999999981</v>
      </c>
      <c r="Y171" s="179"/>
      <c r="Z171" s="466">
        <f t="shared" si="26"/>
        <v>208.94562500000001</v>
      </c>
      <c r="AA171" s="473">
        <f t="shared" si="27"/>
        <v>-30.435624999999987</v>
      </c>
      <c r="AB171" s="339">
        <f t="shared" si="28"/>
        <v>-0.12387730061349689</v>
      </c>
    </row>
    <row r="172" spans="1:28" ht="20.100000000000001" customHeight="1">
      <c r="A172" s="484"/>
      <c r="B172" s="172">
        <v>1175000</v>
      </c>
      <c r="C172" s="174">
        <v>44582</v>
      </c>
      <c r="D172" s="181" t="s">
        <v>180</v>
      </c>
      <c r="E172" s="173" t="s">
        <v>33</v>
      </c>
      <c r="F172" s="176">
        <v>199.39</v>
      </c>
      <c r="G172" s="175">
        <f t="shared" si="30"/>
        <v>1</v>
      </c>
      <c r="H172" s="175">
        <f t="shared" si="23"/>
        <v>199.39</v>
      </c>
      <c r="I172" s="177">
        <f>IF(G172=0,0,IF(E172="MXN",1/HLOOKUP(YEAR(C172)+(MONTH(C172)/100),TC!$5:$37,DAY(C172)+2,FALSE),VLOOKUP(E172,Equivalencia!$5:$23,((MAX(Equivalencia!$3:$3)-YEAR(C172))*14)+MONTH(C172)+2,FALSE)))</f>
        <v>1</v>
      </c>
      <c r="J172" s="178">
        <f t="shared" si="31"/>
        <v>199.39</v>
      </c>
      <c r="K172" s="462">
        <f>IF(C172=0,0,VLOOKUP(YEAR(C172),INPC!$B$4:$O$29,MONTH(C172)+1))</f>
        <v>118.002</v>
      </c>
      <c r="L172" s="462">
        <f>IF(S172=0,0,VLOOKUP(YEAR(S172),INPC!$B$4:$O$29,MONTH(S172)+1))</f>
        <v>121.02200000000001</v>
      </c>
      <c r="M172" s="463">
        <f t="shared" si="24"/>
        <v>1.0255000000000001</v>
      </c>
      <c r="N172" s="465">
        <f t="shared" si="32"/>
        <v>204.474445</v>
      </c>
      <c r="O172" s="179"/>
      <c r="P172" s="180">
        <v>1</v>
      </c>
      <c r="Q172" s="173" t="s">
        <v>583</v>
      </c>
      <c r="R172" s="173" t="s">
        <v>230</v>
      </c>
      <c r="S172" s="174">
        <v>44685</v>
      </c>
      <c r="T172" s="173" t="s">
        <v>33</v>
      </c>
      <c r="U172" s="182">
        <v>178.51000000000002</v>
      </c>
      <c r="V172" s="177">
        <f>IF(U172=0,0,IF(T172="MXN",1/HLOOKUP(YEAR(S172)+(MONTH(S172)/100),TC!$5:$37,DAY(S172)+2,FALSE),VLOOKUP(T172,Equivalencia!$1:$23,((MAX(Equivalencia!$3:$3)-YEAR(S172))*14)+MONTH(S172)+2,FALSE)))</f>
        <v>1</v>
      </c>
      <c r="W172" s="178">
        <f t="shared" si="29"/>
        <v>178.51000000000002</v>
      </c>
      <c r="X172" s="481">
        <f t="shared" si="25"/>
        <v>-20.879999999999967</v>
      </c>
      <c r="Y172" s="179"/>
      <c r="Z172" s="466">
        <f t="shared" si="26"/>
        <v>204.474445</v>
      </c>
      <c r="AA172" s="473">
        <f t="shared" si="27"/>
        <v>-25.964444999999984</v>
      </c>
      <c r="AB172" s="339">
        <f t="shared" si="28"/>
        <v>-0.10471939415216391</v>
      </c>
    </row>
    <row r="173" spans="1:28" ht="20.100000000000001" customHeight="1">
      <c r="A173" s="484"/>
      <c r="B173" s="172">
        <v>1175000</v>
      </c>
      <c r="C173" s="174">
        <v>44586</v>
      </c>
      <c r="D173" s="181" t="s">
        <v>180</v>
      </c>
      <c r="E173" s="173" t="s">
        <v>33</v>
      </c>
      <c r="F173" s="176">
        <v>7270.2556603773583</v>
      </c>
      <c r="G173" s="175">
        <f t="shared" si="30"/>
        <v>37</v>
      </c>
      <c r="H173" s="175">
        <f t="shared" si="23"/>
        <v>7270.2556603773583</v>
      </c>
      <c r="I173" s="177">
        <f>IF(G173=0,0,IF(E173="MXN",1/HLOOKUP(YEAR(C173)+(MONTH(C173)/100),TC!$5:$37,DAY(C173)+2,FALSE),VLOOKUP(E173,Equivalencia!$5:$23,((MAX(Equivalencia!$3:$3)-YEAR(C173))*14)+MONTH(C173)+2,FALSE)))</f>
        <v>1</v>
      </c>
      <c r="J173" s="178">
        <f t="shared" si="31"/>
        <v>7270.2556603773583</v>
      </c>
      <c r="K173" s="462">
        <f>IF(C173=0,0,VLOOKUP(YEAR(C173),INPC!$B$4:$O$29,MONTH(C173)+1))</f>
        <v>118.002</v>
      </c>
      <c r="L173" s="462">
        <f>IF(S173=0,0,VLOOKUP(YEAR(S173),INPC!$B$4:$O$29,MONTH(S173)+1))</f>
        <v>121.02200000000001</v>
      </c>
      <c r="M173" s="463">
        <f t="shared" si="24"/>
        <v>1.0255000000000001</v>
      </c>
      <c r="N173" s="465">
        <f t="shared" si="32"/>
        <v>7455.6471797169816</v>
      </c>
      <c r="O173" s="179"/>
      <c r="P173" s="180">
        <v>37</v>
      </c>
      <c r="Q173" s="173" t="s">
        <v>583</v>
      </c>
      <c r="R173" s="173" t="s">
        <v>230</v>
      </c>
      <c r="S173" s="174">
        <v>44685</v>
      </c>
      <c r="T173" s="173" t="s">
        <v>33</v>
      </c>
      <c r="U173" s="182">
        <v>6604.8700000000008</v>
      </c>
      <c r="V173" s="177">
        <f>IF(U173=0,0,IF(T173="MXN",1/HLOOKUP(YEAR(S173)+(MONTH(S173)/100),TC!$5:$37,DAY(S173)+2,FALSE),VLOOKUP(T173,Equivalencia!$1:$23,((MAX(Equivalencia!$3:$3)-YEAR(S173))*14)+MONTH(S173)+2,FALSE)))</f>
        <v>1</v>
      </c>
      <c r="W173" s="178">
        <f t="shared" si="29"/>
        <v>6604.8700000000008</v>
      </c>
      <c r="X173" s="481">
        <f t="shared" si="25"/>
        <v>-665.38566037735745</v>
      </c>
      <c r="Y173" s="179"/>
      <c r="Z173" s="466">
        <f t="shared" si="26"/>
        <v>7455.6471797169816</v>
      </c>
      <c r="AA173" s="473">
        <f t="shared" si="27"/>
        <v>-850.77717971698075</v>
      </c>
      <c r="AB173" s="339">
        <f t="shared" si="28"/>
        <v>-9.152163162620075E-2</v>
      </c>
    </row>
    <row r="174" spans="1:28" ht="20.100000000000001" customHeight="1">
      <c r="B174" s="172">
        <v>1175000</v>
      </c>
      <c r="C174" s="174">
        <v>44586</v>
      </c>
      <c r="D174" s="181" t="s">
        <v>180</v>
      </c>
      <c r="E174" s="173" t="s">
        <v>33</v>
      </c>
      <c r="F174" s="176">
        <v>3143.8943396226414</v>
      </c>
      <c r="G174" s="175">
        <f t="shared" si="30"/>
        <v>16</v>
      </c>
      <c r="H174" s="175">
        <f t="shared" si="23"/>
        <v>3143.8943396226414</v>
      </c>
      <c r="I174" s="177">
        <f>IF(G174=0,0,IF(E174="MXN",1/HLOOKUP(YEAR(C174)+(MONTH(C174)/100),TC!$5:$37,DAY(C174)+2,FALSE),VLOOKUP(E174,Equivalencia!$5:$23,((MAX(Equivalencia!$3:$3)-YEAR(C174))*14)+MONTH(C174)+2,FALSE)))</f>
        <v>1</v>
      </c>
      <c r="J174" s="178">
        <f t="shared" si="31"/>
        <v>3143.8943396226414</v>
      </c>
      <c r="K174" s="462">
        <f>IF(C174=0,0,VLOOKUP(YEAR(C174),INPC!$B$4:$O$29,MONTH(C174)+1))</f>
        <v>118.002</v>
      </c>
      <c r="L174" s="462">
        <f>IF(S174=0,0,VLOOKUP(YEAR(S174),INPC!$B$4:$O$29,MONTH(S174)+1))</f>
        <v>122.044</v>
      </c>
      <c r="M174" s="463">
        <f t="shared" si="24"/>
        <v>1.0342</v>
      </c>
      <c r="N174" s="465">
        <f t="shared" si="32"/>
        <v>3251.4155260377356</v>
      </c>
      <c r="O174" s="179"/>
      <c r="P174" s="180">
        <v>16</v>
      </c>
      <c r="Q174" s="173" t="s">
        <v>583</v>
      </c>
      <c r="R174" s="173" t="s">
        <v>230</v>
      </c>
      <c r="S174" s="174">
        <v>44727</v>
      </c>
      <c r="T174" s="173" t="s">
        <v>33</v>
      </c>
      <c r="U174" s="182">
        <v>2710.14</v>
      </c>
      <c r="V174" s="177">
        <f>IF(U174=0,0,IF(T174="MXN",1/HLOOKUP(YEAR(S174)+(MONTH(S174)/100),TC!$5:$37,DAY(S174)+2,FALSE),VLOOKUP(T174,Equivalencia!$1:$23,((MAX(Equivalencia!$3:$3)-YEAR(S174))*14)+MONTH(S174)+2,FALSE)))</f>
        <v>1</v>
      </c>
      <c r="W174" s="178">
        <f t="shared" si="29"/>
        <v>2710.14</v>
      </c>
      <c r="X174" s="481">
        <f t="shared" si="25"/>
        <v>-433.75433962264151</v>
      </c>
      <c r="Y174" s="179"/>
      <c r="Z174" s="466">
        <f t="shared" si="26"/>
        <v>3251.4155260377356</v>
      </c>
      <c r="AA174" s="473">
        <f t="shared" si="27"/>
        <v>-541.27552603773574</v>
      </c>
      <c r="AB174" s="339">
        <f t="shared" si="28"/>
        <v>-0.13796721287863145</v>
      </c>
    </row>
    <row r="175" spans="1:28" ht="20.100000000000001" customHeight="1">
      <c r="B175" s="172">
        <v>1175000</v>
      </c>
      <c r="C175" s="174">
        <v>44593</v>
      </c>
      <c r="D175" s="181" t="s">
        <v>180</v>
      </c>
      <c r="E175" s="173" t="s">
        <v>33</v>
      </c>
      <c r="F175" s="176">
        <v>588.48</v>
      </c>
      <c r="G175" s="175">
        <f t="shared" si="30"/>
        <v>3</v>
      </c>
      <c r="H175" s="175">
        <f t="shared" si="23"/>
        <v>588.48</v>
      </c>
      <c r="I175" s="177">
        <f>IF(G175=0,0,IF(E175="MXN",1/HLOOKUP(YEAR(C175)+(MONTH(C175)/100),TC!$5:$37,DAY(C175)+2,FALSE),VLOOKUP(E175,Equivalencia!$5:$23,((MAX(Equivalencia!$3:$3)-YEAR(C175))*14)+MONTH(C175)+2,FALSE)))</f>
        <v>1</v>
      </c>
      <c r="J175" s="178">
        <f t="shared" si="31"/>
        <v>588.48</v>
      </c>
      <c r="K175" s="462">
        <f>IF(C175=0,0,VLOOKUP(YEAR(C175),INPC!$B$4:$O$29,MONTH(C175)+1))</f>
        <v>118.98099999999999</v>
      </c>
      <c r="L175" s="462">
        <f>IF(S175=0,0,VLOOKUP(YEAR(S175),INPC!$B$4:$O$29,MONTH(S175)+1))</f>
        <v>122.044</v>
      </c>
      <c r="M175" s="463">
        <f t="shared" si="24"/>
        <v>1.0257000000000001</v>
      </c>
      <c r="N175" s="465">
        <f t="shared" si="32"/>
        <v>603.60393600000009</v>
      </c>
      <c r="O175" s="179"/>
      <c r="P175" s="180">
        <v>3</v>
      </c>
      <c r="Q175" s="173" t="s">
        <v>583</v>
      </c>
      <c r="R175" s="173" t="s">
        <v>230</v>
      </c>
      <c r="S175" s="174">
        <v>44727</v>
      </c>
      <c r="T175" s="173" t="s">
        <v>33</v>
      </c>
      <c r="U175" s="182">
        <v>507.65999999999997</v>
      </c>
      <c r="V175" s="177">
        <f>IF(U175=0,0,IF(T175="MXN",1/HLOOKUP(YEAR(S175)+(MONTH(S175)/100),TC!$5:$37,DAY(S175)+2,FALSE),VLOOKUP(T175,Equivalencia!$1:$23,((MAX(Equivalencia!$3:$3)-YEAR(S175))*14)+MONTH(S175)+2,FALSE)))</f>
        <v>1</v>
      </c>
      <c r="W175" s="178">
        <f t="shared" si="29"/>
        <v>507.65999999999997</v>
      </c>
      <c r="X175" s="481">
        <f t="shared" si="25"/>
        <v>-80.82000000000005</v>
      </c>
      <c r="Y175" s="179"/>
      <c r="Z175" s="466">
        <f t="shared" si="26"/>
        <v>603.60393600000009</v>
      </c>
      <c r="AA175" s="473">
        <f t="shared" si="27"/>
        <v>-95.943936000000122</v>
      </c>
      <c r="AB175" s="339">
        <f t="shared" si="28"/>
        <v>-0.13733686786296906</v>
      </c>
    </row>
    <row r="176" spans="1:28" ht="20.100000000000001" customHeight="1">
      <c r="B176" s="172">
        <v>1175000</v>
      </c>
      <c r="C176" s="174">
        <v>44593</v>
      </c>
      <c r="D176" s="181" t="s">
        <v>180</v>
      </c>
      <c r="E176" s="173" t="s">
        <v>33</v>
      </c>
      <c r="F176" s="176">
        <v>4726.0267307692302</v>
      </c>
      <c r="G176" s="175">
        <f t="shared" si="30"/>
        <v>23</v>
      </c>
      <c r="H176" s="175">
        <f t="shared" si="23"/>
        <v>4726.0267307692302</v>
      </c>
      <c r="I176" s="177">
        <f>IF(G176=0,0,IF(E176="MXN",1/HLOOKUP(YEAR(C176)+(MONTH(C176)/100),TC!$5:$37,DAY(C176)+2,FALSE),VLOOKUP(E176,Equivalencia!$5:$23,((MAX(Equivalencia!$3:$3)-YEAR(C176))*14)+MONTH(C176)+2,FALSE)))</f>
        <v>1</v>
      </c>
      <c r="J176" s="178">
        <f t="shared" si="31"/>
        <v>4726.0267307692302</v>
      </c>
      <c r="K176" s="462">
        <f>IF(C176=0,0,VLOOKUP(YEAR(C176),INPC!$B$4:$O$29,MONTH(C176)+1))</f>
        <v>118.98099999999999</v>
      </c>
      <c r="L176" s="462">
        <f>IF(S176=0,0,VLOOKUP(YEAR(S176),INPC!$B$4:$O$29,MONTH(S176)+1))</f>
        <v>122.044</v>
      </c>
      <c r="M176" s="463">
        <f t="shared" si="24"/>
        <v>1.0257000000000001</v>
      </c>
      <c r="N176" s="465">
        <f t="shared" si="32"/>
        <v>4847.4856177499996</v>
      </c>
      <c r="O176" s="179"/>
      <c r="P176" s="180">
        <v>23</v>
      </c>
      <c r="Q176" s="173" t="s">
        <v>583</v>
      </c>
      <c r="R176" s="173" t="s">
        <v>230</v>
      </c>
      <c r="S176" s="174">
        <v>44727</v>
      </c>
      <c r="T176" s="173" t="s">
        <v>33</v>
      </c>
      <c r="U176" s="182">
        <v>3892.06</v>
      </c>
      <c r="V176" s="177">
        <f>IF(U176=0,0,IF(T176="MXN",1/HLOOKUP(YEAR(S176)+(MONTH(S176)/100),TC!$5:$37,DAY(S176)+2,FALSE),VLOOKUP(T176,Equivalencia!$1:$23,((MAX(Equivalencia!$3:$3)-YEAR(S176))*14)+MONTH(S176)+2,FALSE)))</f>
        <v>1</v>
      </c>
      <c r="W176" s="178">
        <f t="shared" si="29"/>
        <v>3892.06</v>
      </c>
      <c r="X176" s="481">
        <f t="shared" si="25"/>
        <v>-833.96673076923025</v>
      </c>
      <c r="Y176" s="179"/>
      <c r="Z176" s="466">
        <f t="shared" si="26"/>
        <v>4847.4856177499996</v>
      </c>
      <c r="AA176" s="473">
        <f t="shared" si="27"/>
        <v>-955.42561774999967</v>
      </c>
      <c r="AB176" s="339">
        <f t="shared" si="28"/>
        <v>-0.17646255052676985</v>
      </c>
    </row>
    <row r="177" spans="1:28" ht="20.100000000000001" customHeight="1">
      <c r="B177" s="172">
        <v>1175000</v>
      </c>
      <c r="C177" s="174">
        <v>44593</v>
      </c>
      <c r="D177" s="181" t="s">
        <v>180</v>
      </c>
      <c r="E177" s="173" t="s">
        <v>33</v>
      </c>
      <c r="F177" s="176">
        <v>2465.7530769230771</v>
      </c>
      <c r="G177" s="175">
        <f t="shared" si="30"/>
        <v>12</v>
      </c>
      <c r="H177" s="175">
        <f t="shared" si="23"/>
        <v>2465.7530769230771</v>
      </c>
      <c r="I177" s="177">
        <f>IF(G177=0,0,IF(E177="MXN",1/HLOOKUP(YEAR(C177)+(MONTH(C177)/100),TC!$5:$37,DAY(C177)+2,FALSE),VLOOKUP(E177,Equivalencia!$5:$23,((MAX(Equivalencia!$3:$3)-YEAR(C177))*14)+MONTH(C177)+2,FALSE)))</f>
        <v>1</v>
      </c>
      <c r="J177" s="178">
        <f t="shared" si="31"/>
        <v>2465.7530769230771</v>
      </c>
      <c r="K177" s="462">
        <f>IF(C177=0,0,VLOOKUP(YEAR(C177),INPC!$B$4:$O$29,MONTH(C177)+1))</f>
        <v>118.98099999999999</v>
      </c>
      <c r="L177" s="462">
        <f>IF(S177=0,0,VLOOKUP(YEAR(S177),INPC!$B$4:$O$29,MONTH(S177)+1))</f>
        <v>122.044</v>
      </c>
      <c r="M177" s="463">
        <f t="shared" si="24"/>
        <v>1.0257000000000001</v>
      </c>
      <c r="N177" s="465">
        <f t="shared" si="32"/>
        <v>2529.1229310000003</v>
      </c>
      <c r="O177" s="179"/>
      <c r="P177" s="180">
        <v>12</v>
      </c>
      <c r="Q177" s="173" t="s">
        <v>583</v>
      </c>
      <c r="R177" s="173" t="s">
        <v>230</v>
      </c>
      <c r="S177" s="174">
        <v>44727</v>
      </c>
      <c r="T177" s="173" t="s">
        <v>33</v>
      </c>
      <c r="U177" s="182">
        <v>2027.1099999999997</v>
      </c>
      <c r="V177" s="177">
        <f>IF(U177=0,0,IF(T177="MXN",1/HLOOKUP(YEAR(S177)+(MONTH(S177)/100),TC!$5:$37,DAY(S177)+2,FALSE),VLOOKUP(T177,Equivalencia!$1:$23,((MAX(Equivalencia!$3:$3)-YEAR(S177))*14)+MONTH(S177)+2,FALSE)))</f>
        <v>1</v>
      </c>
      <c r="W177" s="178">
        <f t="shared" si="29"/>
        <v>2027.1099999999997</v>
      </c>
      <c r="X177" s="481">
        <f t="shared" si="25"/>
        <v>-438.64307692307739</v>
      </c>
      <c r="Y177" s="179"/>
      <c r="Z177" s="466">
        <f t="shared" si="26"/>
        <v>2529.1229310000003</v>
      </c>
      <c r="AA177" s="473">
        <f t="shared" si="27"/>
        <v>-502.01293100000066</v>
      </c>
      <c r="AB177" s="339">
        <f t="shared" si="28"/>
        <v>-0.17789416183977513</v>
      </c>
    </row>
    <row r="178" spans="1:28" ht="20.100000000000001" customHeight="1">
      <c r="B178" s="172">
        <v>1175000</v>
      </c>
      <c r="C178" s="174">
        <v>44593</v>
      </c>
      <c r="D178" s="181" t="s">
        <v>180</v>
      </c>
      <c r="E178" s="173" t="s">
        <v>33</v>
      </c>
      <c r="F178" s="176">
        <v>1027.3971153846153</v>
      </c>
      <c r="G178" s="175">
        <f t="shared" si="30"/>
        <v>5</v>
      </c>
      <c r="H178" s="175">
        <f t="shared" si="23"/>
        <v>1027.3971153846153</v>
      </c>
      <c r="I178" s="177">
        <f>IF(G178=0,0,IF(E178="MXN",1/HLOOKUP(YEAR(C178)+(MONTH(C178)/100),TC!$5:$37,DAY(C178)+2,FALSE),VLOOKUP(E178,Equivalencia!$5:$23,((MAX(Equivalencia!$3:$3)-YEAR(C178))*14)+MONTH(C178)+2,FALSE)))</f>
        <v>1</v>
      </c>
      <c r="J178" s="178">
        <f t="shared" si="31"/>
        <v>1027.3971153846153</v>
      </c>
      <c r="K178" s="462">
        <f>IF(C178=0,0,VLOOKUP(YEAR(C178),INPC!$B$4:$O$29,MONTH(C178)+1))</f>
        <v>118.98099999999999</v>
      </c>
      <c r="L178" s="462">
        <f>IF(S178=0,0,VLOOKUP(YEAR(S178),INPC!$B$4:$O$29,MONTH(S178)+1))</f>
        <v>122.044</v>
      </c>
      <c r="M178" s="463">
        <f t="shared" si="24"/>
        <v>1.0257000000000001</v>
      </c>
      <c r="N178" s="465">
        <f t="shared" si="32"/>
        <v>1053.80122125</v>
      </c>
      <c r="O178" s="179"/>
      <c r="P178" s="180">
        <v>5</v>
      </c>
      <c r="Q178" s="173" t="s">
        <v>583</v>
      </c>
      <c r="R178" s="173" t="s">
        <v>230</v>
      </c>
      <c r="S178" s="174">
        <v>44742</v>
      </c>
      <c r="T178" s="173" t="s">
        <v>33</v>
      </c>
      <c r="U178" s="182">
        <v>740.73</v>
      </c>
      <c r="V178" s="177">
        <f>IF(U178=0,0,IF(T178="MXN",1/HLOOKUP(YEAR(S178)+(MONTH(S178)/100),TC!$5:$37,DAY(S178)+2,FALSE),VLOOKUP(T178,Equivalencia!$1:$23,((MAX(Equivalencia!$3:$3)-YEAR(S178))*14)+MONTH(S178)+2,FALSE)))</f>
        <v>1</v>
      </c>
      <c r="W178" s="178">
        <f t="shared" si="29"/>
        <v>740.73</v>
      </c>
      <c r="X178" s="481">
        <f t="shared" si="25"/>
        <v>-286.66711538461527</v>
      </c>
      <c r="Y178" s="179"/>
      <c r="Z178" s="466">
        <f t="shared" si="26"/>
        <v>1053.80122125</v>
      </c>
      <c r="AA178" s="473">
        <f t="shared" si="27"/>
        <v>-313.07122125000001</v>
      </c>
      <c r="AB178" s="339">
        <f t="shared" si="28"/>
        <v>-0.27902269832371374</v>
      </c>
    </row>
    <row r="179" spans="1:28" ht="20.100000000000001" customHeight="1">
      <c r="B179" s="172">
        <v>1175000</v>
      </c>
      <c r="C179" s="174">
        <v>44593</v>
      </c>
      <c r="D179" s="181" t="s">
        <v>180</v>
      </c>
      <c r="E179" s="173" t="s">
        <v>33</v>
      </c>
      <c r="F179" s="176">
        <v>2465.7530769230771</v>
      </c>
      <c r="G179" s="175">
        <f t="shared" si="30"/>
        <v>12</v>
      </c>
      <c r="H179" s="175">
        <f t="shared" si="23"/>
        <v>2465.7530769230771</v>
      </c>
      <c r="I179" s="177">
        <f>IF(G179=0,0,IF(E179="MXN",1/HLOOKUP(YEAR(C179)+(MONTH(C179)/100),TC!$5:$37,DAY(C179)+2,FALSE),VLOOKUP(E179,Equivalencia!$5:$23,((MAX(Equivalencia!$3:$3)-YEAR(C179))*14)+MONTH(C179)+2,FALSE)))</f>
        <v>1</v>
      </c>
      <c r="J179" s="178">
        <f t="shared" si="31"/>
        <v>2465.7530769230771</v>
      </c>
      <c r="K179" s="462">
        <f>IF(C179=0,0,VLOOKUP(YEAR(C179),INPC!$B$4:$O$29,MONTH(C179)+1))</f>
        <v>118.98099999999999</v>
      </c>
      <c r="L179" s="462">
        <f>IF(S179=0,0,VLOOKUP(YEAR(S179),INPC!$B$4:$O$29,MONTH(S179)+1))</f>
        <v>122.044</v>
      </c>
      <c r="M179" s="463">
        <f t="shared" si="24"/>
        <v>1.0257000000000001</v>
      </c>
      <c r="N179" s="465">
        <f t="shared" si="32"/>
        <v>2529.1229310000003</v>
      </c>
      <c r="O179" s="179"/>
      <c r="P179" s="180">
        <v>12</v>
      </c>
      <c r="Q179" s="173" t="s">
        <v>583</v>
      </c>
      <c r="R179" s="173" t="s">
        <v>230</v>
      </c>
      <c r="S179" s="174">
        <v>44742</v>
      </c>
      <c r="T179" s="173" t="s">
        <v>33</v>
      </c>
      <c r="U179" s="182">
        <v>1771.2360000000001</v>
      </c>
      <c r="V179" s="177">
        <f>IF(U179=0,0,IF(T179="MXN",1/HLOOKUP(YEAR(S179)+(MONTH(S179)/100),TC!$5:$37,DAY(S179)+2,FALSE),VLOOKUP(T179,Equivalencia!$1:$23,((MAX(Equivalencia!$3:$3)-YEAR(S179))*14)+MONTH(S179)+2,FALSE)))</f>
        <v>1</v>
      </c>
      <c r="W179" s="178">
        <f t="shared" si="29"/>
        <v>1771.2360000000001</v>
      </c>
      <c r="X179" s="481">
        <f t="shared" si="25"/>
        <v>-694.51707692307696</v>
      </c>
      <c r="Y179" s="179"/>
      <c r="Z179" s="466">
        <f t="shared" si="26"/>
        <v>2529.1229310000003</v>
      </c>
      <c r="AA179" s="473">
        <f t="shared" si="27"/>
        <v>-757.88693100000023</v>
      </c>
      <c r="AB179" s="339">
        <f t="shared" si="28"/>
        <v>-0.28166529869638823</v>
      </c>
    </row>
    <row r="180" spans="1:28" ht="20.100000000000001" customHeight="1">
      <c r="B180" s="172">
        <v>1175000</v>
      </c>
      <c r="C180" s="174">
        <v>44593</v>
      </c>
      <c r="D180" s="181" t="s">
        <v>180</v>
      </c>
      <c r="E180" s="173" t="s">
        <v>33</v>
      </c>
      <c r="F180" s="176">
        <v>414.02</v>
      </c>
      <c r="G180" s="175">
        <f t="shared" si="30"/>
        <v>2</v>
      </c>
      <c r="H180" s="175">
        <f t="shared" si="23"/>
        <v>414.02</v>
      </c>
      <c r="I180" s="177">
        <f>IF(G180=0,0,IF(E180="MXN",1/HLOOKUP(YEAR(C180)+(MONTH(C180)/100),TC!$5:$37,DAY(C180)+2,FALSE),VLOOKUP(E180,Equivalencia!$5:$23,((MAX(Equivalencia!$3:$3)-YEAR(C180))*14)+MONTH(C180)+2,FALSE)))</f>
        <v>1</v>
      </c>
      <c r="J180" s="178">
        <f t="shared" si="31"/>
        <v>414.02</v>
      </c>
      <c r="K180" s="462">
        <f>IF(C180=0,0,VLOOKUP(YEAR(C180),INPC!$B$4:$O$29,MONTH(C180)+1))</f>
        <v>118.98099999999999</v>
      </c>
      <c r="L180" s="462">
        <f>IF(S180=0,0,VLOOKUP(YEAR(S180),INPC!$B$4:$O$29,MONTH(S180)+1))</f>
        <v>122.044</v>
      </c>
      <c r="M180" s="463">
        <f t="shared" si="24"/>
        <v>1.0257000000000001</v>
      </c>
      <c r="N180" s="465">
        <f t="shared" si="32"/>
        <v>424.66031400000003</v>
      </c>
      <c r="O180" s="179"/>
      <c r="P180" s="180">
        <v>2</v>
      </c>
      <c r="Q180" s="173" t="s">
        <v>583</v>
      </c>
      <c r="R180" s="173" t="s">
        <v>230</v>
      </c>
      <c r="S180" s="174">
        <v>44742</v>
      </c>
      <c r="T180" s="173" t="s">
        <v>33</v>
      </c>
      <c r="U180" s="182">
        <v>295.20600000000002</v>
      </c>
      <c r="V180" s="177">
        <f>IF(U180=0,0,IF(T180="MXN",1/HLOOKUP(YEAR(S180)+(MONTH(S180)/100),TC!$5:$37,DAY(S180)+2,FALSE),VLOOKUP(T180,Equivalencia!$1:$23,((MAX(Equivalencia!$3:$3)-YEAR(S180))*14)+MONTH(S180)+2,FALSE)))</f>
        <v>1</v>
      </c>
      <c r="W180" s="178">
        <f t="shared" si="29"/>
        <v>295.20600000000002</v>
      </c>
      <c r="X180" s="481">
        <f t="shared" si="25"/>
        <v>-118.81399999999996</v>
      </c>
      <c r="Y180" s="179"/>
      <c r="Z180" s="466">
        <f t="shared" si="26"/>
        <v>424.66031400000003</v>
      </c>
      <c r="AA180" s="473">
        <f t="shared" si="27"/>
        <v>-129.45431400000001</v>
      </c>
      <c r="AB180" s="339">
        <f t="shared" si="28"/>
        <v>-0.28697647456644604</v>
      </c>
    </row>
    <row r="181" spans="1:28" ht="20.100000000000001" customHeight="1">
      <c r="B181" s="172">
        <v>1175000</v>
      </c>
      <c r="C181" s="174">
        <v>44601</v>
      </c>
      <c r="D181" s="181" t="s">
        <v>180</v>
      </c>
      <c r="E181" s="173" t="s">
        <v>33</v>
      </c>
      <c r="F181" s="176">
        <v>839.08</v>
      </c>
      <c r="G181" s="175">
        <f t="shared" si="30"/>
        <v>4</v>
      </c>
      <c r="H181" s="175">
        <f t="shared" si="23"/>
        <v>839.08</v>
      </c>
      <c r="I181" s="177">
        <f>IF(G181=0,0,IF(E181="MXN",1/HLOOKUP(YEAR(C181)+(MONTH(C181)/100),TC!$5:$37,DAY(C181)+2,FALSE),VLOOKUP(E181,Equivalencia!$5:$23,((MAX(Equivalencia!$3:$3)-YEAR(C181))*14)+MONTH(C181)+2,FALSE)))</f>
        <v>1</v>
      </c>
      <c r="J181" s="178">
        <f t="shared" si="31"/>
        <v>839.08</v>
      </c>
      <c r="K181" s="462">
        <f>IF(C181=0,0,VLOOKUP(YEAR(C181),INPC!$B$4:$O$29,MONTH(C181)+1))</f>
        <v>118.98099999999999</v>
      </c>
      <c r="L181" s="462">
        <f>IF(S181=0,0,VLOOKUP(YEAR(S181),INPC!$B$4:$O$29,MONTH(S181)+1))</f>
        <v>122.044</v>
      </c>
      <c r="M181" s="463">
        <f t="shared" si="24"/>
        <v>1.0257000000000001</v>
      </c>
      <c r="N181" s="465">
        <f t="shared" si="32"/>
        <v>860.64435600000013</v>
      </c>
      <c r="O181" s="179"/>
      <c r="P181" s="180">
        <v>4</v>
      </c>
      <c r="Q181" s="173" t="s">
        <v>583</v>
      </c>
      <c r="R181" s="173" t="s">
        <v>230</v>
      </c>
      <c r="S181" s="174">
        <v>44742</v>
      </c>
      <c r="T181" s="173" t="s">
        <v>33</v>
      </c>
      <c r="U181" s="182">
        <v>590.41200000000003</v>
      </c>
      <c r="V181" s="177">
        <f>IF(U181=0,0,IF(T181="MXN",1/HLOOKUP(YEAR(S181)+(MONTH(S181)/100),TC!$5:$37,DAY(S181)+2,FALSE),VLOOKUP(T181,Equivalencia!$1:$23,((MAX(Equivalencia!$3:$3)-YEAR(S181))*14)+MONTH(S181)+2,FALSE)))</f>
        <v>1</v>
      </c>
      <c r="W181" s="178">
        <f t="shared" si="29"/>
        <v>590.41200000000003</v>
      </c>
      <c r="X181" s="481">
        <f t="shared" si="25"/>
        <v>-248.66800000000001</v>
      </c>
      <c r="Y181" s="179"/>
      <c r="Z181" s="466">
        <f t="shared" si="26"/>
        <v>860.64435600000013</v>
      </c>
      <c r="AA181" s="473">
        <f t="shared" si="27"/>
        <v>-270.2323560000001</v>
      </c>
      <c r="AB181" s="339">
        <f t="shared" si="28"/>
        <v>-0.29635791581255655</v>
      </c>
    </row>
    <row r="182" spans="1:28" ht="20.100000000000001" customHeight="1">
      <c r="B182" s="172">
        <v>1175000</v>
      </c>
      <c r="C182" s="174">
        <v>44601</v>
      </c>
      <c r="D182" s="181" t="s">
        <v>180</v>
      </c>
      <c r="E182" s="173" t="s">
        <v>33</v>
      </c>
      <c r="F182" s="176">
        <v>628.4</v>
      </c>
      <c r="G182" s="175">
        <f t="shared" si="30"/>
        <v>3</v>
      </c>
      <c r="H182" s="175">
        <f t="shared" si="23"/>
        <v>628.4</v>
      </c>
      <c r="I182" s="177">
        <f>IF(G182=0,0,IF(E182="MXN",1/HLOOKUP(YEAR(C182)+(MONTH(C182)/100),TC!$5:$37,DAY(C182)+2,FALSE),VLOOKUP(E182,Equivalencia!$5:$23,((MAX(Equivalencia!$3:$3)-YEAR(C182))*14)+MONTH(C182)+2,FALSE)))</f>
        <v>1</v>
      </c>
      <c r="J182" s="178">
        <f t="shared" si="31"/>
        <v>628.4</v>
      </c>
      <c r="K182" s="462">
        <f>IF(C182=0,0,VLOOKUP(YEAR(C182),INPC!$B$4:$O$29,MONTH(C182)+1))</f>
        <v>118.98099999999999</v>
      </c>
      <c r="L182" s="462">
        <f>IF(S182=0,0,VLOOKUP(YEAR(S182),INPC!$B$4:$O$29,MONTH(S182)+1))</f>
        <v>122.044</v>
      </c>
      <c r="M182" s="463">
        <f t="shared" si="24"/>
        <v>1.0257000000000001</v>
      </c>
      <c r="N182" s="465">
        <f t="shared" si="32"/>
        <v>644.54988000000003</v>
      </c>
      <c r="O182" s="179"/>
      <c r="P182" s="180">
        <v>3</v>
      </c>
      <c r="Q182" s="173" t="s">
        <v>583</v>
      </c>
      <c r="R182" s="173" t="s">
        <v>230</v>
      </c>
      <c r="S182" s="174">
        <v>44742</v>
      </c>
      <c r="T182" s="173" t="s">
        <v>33</v>
      </c>
      <c r="U182" s="182">
        <v>442.80900000000003</v>
      </c>
      <c r="V182" s="177">
        <f>IF(U182=0,0,IF(T182="MXN",1/HLOOKUP(YEAR(S182)+(MONTH(S182)/100),TC!$5:$37,DAY(S182)+2,FALSE),VLOOKUP(T182,Equivalencia!$1:$23,((MAX(Equivalencia!$3:$3)-YEAR(S182))*14)+MONTH(S182)+2,FALSE)))</f>
        <v>1</v>
      </c>
      <c r="W182" s="178">
        <f t="shared" si="29"/>
        <v>442.80900000000003</v>
      </c>
      <c r="X182" s="481">
        <f t="shared" si="25"/>
        <v>-185.59099999999995</v>
      </c>
      <c r="Y182" s="179"/>
      <c r="Z182" s="466">
        <f t="shared" si="26"/>
        <v>644.54988000000003</v>
      </c>
      <c r="AA182" s="473">
        <f t="shared" si="27"/>
        <v>-201.74088</v>
      </c>
      <c r="AB182" s="339">
        <f t="shared" si="28"/>
        <v>-0.29533895607893057</v>
      </c>
    </row>
    <row r="183" spans="1:28" ht="20.100000000000001" customHeight="1">
      <c r="B183" s="172">
        <v>1175000</v>
      </c>
      <c r="C183" s="174">
        <v>44601</v>
      </c>
      <c r="D183" s="181" t="s">
        <v>180</v>
      </c>
      <c r="E183" s="173" t="s">
        <v>33</v>
      </c>
      <c r="F183" s="176">
        <v>1884.1607999999999</v>
      </c>
      <c r="G183" s="175">
        <f t="shared" si="30"/>
        <v>9</v>
      </c>
      <c r="H183" s="175">
        <f t="shared" si="23"/>
        <v>1884.1607999999999</v>
      </c>
      <c r="I183" s="177">
        <f>IF(G183=0,0,IF(E183="MXN",1/HLOOKUP(YEAR(C183)+(MONTH(C183)/100),TC!$5:$37,DAY(C183)+2,FALSE),VLOOKUP(E183,Equivalencia!$5:$23,((MAX(Equivalencia!$3:$3)-YEAR(C183))*14)+MONTH(C183)+2,FALSE)))</f>
        <v>1</v>
      </c>
      <c r="J183" s="178">
        <f t="shared" si="31"/>
        <v>1884.1607999999999</v>
      </c>
      <c r="K183" s="462">
        <f>IF(C183=0,0,VLOOKUP(YEAR(C183),INPC!$B$4:$O$29,MONTH(C183)+1))</f>
        <v>118.98099999999999</v>
      </c>
      <c r="L183" s="462">
        <f>IF(S183=0,0,VLOOKUP(YEAR(S183),INPC!$B$4:$O$29,MONTH(S183)+1))</f>
        <v>122.044</v>
      </c>
      <c r="M183" s="463">
        <f t="shared" si="24"/>
        <v>1.0257000000000001</v>
      </c>
      <c r="N183" s="465">
        <f t="shared" si="32"/>
        <v>1932.58373256</v>
      </c>
      <c r="O183" s="179"/>
      <c r="P183" s="180">
        <v>9</v>
      </c>
      <c r="Q183" s="173" t="s">
        <v>583</v>
      </c>
      <c r="R183" s="173" t="s">
        <v>230</v>
      </c>
      <c r="S183" s="174">
        <v>44742</v>
      </c>
      <c r="T183" s="173" t="s">
        <v>33</v>
      </c>
      <c r="U183" s="182">
        <v>1328.4270000000001</v>
      </c>
      <c r="V183" s="177">
        <f>IF(U183=0,0,IF(T183="MXN",1/HLOOKUP(YEAR(S183)+(MONTH(S183)/100),TC!$5:$37,DAY(S183)+2,FALSE),VLOOKUP(T183,Equivalencia!$1:$23,((MAX(Equivalencia!$3:$3)-YEAR(S183))*14)+MONTH(S183)+2,FALSE)))</f>
        <v>1</v>
      </c>
      <c r="W183" s="178">
        <f t="shared" si="29"/>
        <v>1328.4270000000001</v>
      </c>
      <c r="X183" s="481">
        <f t="shared" si="25"/>
        <v>-555.73379999999975</v>
      </c>
      <c r="Y183" s="179"/>
      <c r="Z183" s="466">
        <f t="shared" si="26"/>
        <v>1932.58373256</v>
      </c>
      <c r="AA183" s="473">
        <f t="shared" si="27"/>
        <v>-604.15673255999991</v>
      </c>
      <c r="AB183" s="339">
        <f t="shared" si="28"/>
        <v>-0.29495030360466035</v>
      </c>
    </row>
    <row r="184" spans="1:28" ht="20.100000000000001" customHeight="1">
      <c r="B184" s="172">
        <v>1175000</v>
      </c>
      <c r="C184" s="174">
        <v>44601</v>
      </c>
      <c r="D184" s="181" t="s">
        <v>180</v>
      </c>
      <c r="E184" s="173" t="s">
        <v>33</v>
      </c>
      <c r="F184" s="176">
        <v>418.70239999999995</v>
      </c>
      <c r="G184" s="175">
        <f t="shared" si="30"/>
        <v>2</v>
      </c>
      <c r="H184" s="175">
        <f t="shared" si="23"/>
        <v>418.70239999999995</v>
      </c>
      <c r="I184" s="177">
        <f>IF(G184=0,0,IF(E184="MXN",1/HLOOKUP(YEAR(C184)+(MONTH(C184)/100),TC!$5:$37,DAY(C184)+2,FALSE),VLOOKUP(E184,Equivalencia!$5:$23,((MAX(Equivalencia!$3:$3)-YEAR(C184))*14)+MONTH(C184)+2,FALSE)))</f>
        <v>1</v>
      </c>
      <c r="J184" s="178">
        <f t="shared" si="31"/>
        <v>418.70239999999995</v>
      </c>
      <c r="K184" s="462">
        <f>IF(C184=0,0,VLOOKUP(YEAR(C184),INPC!$B$4:$O$29,MONTH(C184)+1))</f>
        <v>118.98099999999999</v>
      </c>
      <c r="L184" s="462">
        <f>IF(S184=0,0,VLOOKUP(YEAR(S184),INPC!$B$4:$O$29,MONTH(S184)+1))</f>
        <v>122.044</v>
      </c>
      <c r="M184" s="463">
        <f t="shared" si="24"/>
        <v>1.0257000000000001</v>
      </c>
      <c r="N184" s="465">
        <f t="shared" si="32"/>
        <v>429.46305167999998</v>
      </c>
      <c r="O184" s="179"/>
      <c r="P184" s="180">
        <v>2</v>
      </c>
      <c r="Q184" s="173" t="s">
        <v>583</v>
      </c>
      <c r="R184" s="173" t="s">
        <v>230</v>
      </c>
      <c r="S184" s="174">
        <v>44742</v>
      </c>
      <c r="T184" s="173" t="s">
        <v>33</v>
      </c>
      <c r="U184" s="182">
        <v>295.20600000000002</v>
      </c>
      <c r="V184" s="177">
        <f>IF(U184=0,0,IF(T184="MXN",1/HLOOKUP(YEAR(S184)+(MONTH(S184)/100),TC!$5:$37,DAY(S184)+2,FALSE),VLOOKUP(T184,Equivalencia!$1:$23,((MAX(Equivalencia!$3:$3)-YEAR(S184))*14)+MONTH(S184)+2,FALSE)))</f>
        <v>1</v>
      </c>
      <c r="W184" s="178">
        <f t="shared" si="29"/>
        <v>295.20600000000002</v>
      </c>
      <c r="X184" s="481">
        <f t="shared" si="25"/>
        <v>-123.49639999999994</v>
      </c>
      <c r="Y184" s="179"/>
      <c r="Z184" s="466">
        <f t="shared" si="26"/>
        <v>429.46305167999998</v>
      </c>
      <c r="AA184" s="473">
        <f t="shared" si="27"/>
        <v>-134.25705167999996</v>
      </c>
      <c r="AB184" s="339">
        <f t="shared" si="28"/>
        <v>-0.29495030360466035</v>
      </c>
    </row>
    <row r="185" spans="1:28" ht="20.100000000000001" customHeight="1">
      <c r="A185" s="484"/>
      <c r="B185" s="172">
        <v>1175000</v>
      </c>
      <c r="C185" s="174">
        <v>43830</v>
      </c>
      <c r="D185" s="181" t="s">
        <v>153</v>
      </c>
      <c r="E185" s="173" t="s">
        <v>33</v>
      </c>
      <c r="F185" s="176">
        <v>4997.4010096153852</v>
      </c>
      <c r="G185" s="175">
        <f t="shared" si="30"/>
        <v>57</v>
      </c>
      <c r="H185" s="175">
        <f t="shared" si="23"/>
        <v>4997.4010096153852</v>
      </c>
      <c r="I185" s="177">
        <f>IF(G185=0,0,IF(E185="MXN",1/HLOOKUP(YEAR(C185)+(MONTH(C185)/100),TC!$5:$37,DAY(C185)+2,FALSE),VLOOKUP(E185,Equivalencia!$5:$23,((MAX(Equivalencia!$3:$3)-YEAR(C185))*14)+MONTH(C185)+2,FALSE)))</f>
        <v>1</v>
      </c>
      <c r="J185" s="178">
        <f t="shared" si="31"/>
        <v>4997.4010096153852</v>
      </c>
      <c r="K185" s="462">
        <f>IF(C185=0,0,VLOOKUP(YEAR(C185),INPC!$B$4:$O$29,MONTH(C185)+1))</f>
        <v>105.934</v>
      </c>
      <c r="L185" s="462">
        <f>IF(S185=0,0,VLOOKUP(YEAR(S185),INPC!$B$4:$O$29,MONTH(S185)+1))</f>
        <v>120.15900000000001</v>
      </c>
      <c r="M185" s="463">
        <f t="shared" si="24"/>
        <v>1.1342000000000001</v>
      </c>
      <c r="N185" s="465">
        <f t="shared" si="32"/>
        <v>5668.05222510577</v>
      </c>
      <c r="O185" s="179"/>
      <c r="P185" s="180">
        <v>57</v>
      </c>
      <c r="Q185" s="173" t="s">
        <v>583</v>
      </c>
      <c r="R185" s="173" t="s">
        <v>230</v>
      </c>
      <c r="S185" s="174">
        <v>44628</v>
      </c>
      <c r="T185" s="173" t="s">
        <v>33</v>
      </c>
      <c r="U185" s="182">
        <v>9108.69</v>
      </c>
      <c r="V185" s="177">
        <f>IF(U185=0,0,IF(T185="MXN",1/HLOOKUP(YEAR(S185)+(MONTH(S185)/100),TC!$5:$37,DAY(S185)+2,FALSE),VLOOKUP(T185,Equivalencia!$1:$23,((MAX(Equivalencia!$3:$3)-YEAR(S185))*14)+MONTH(S185)+2,FALSE)))</f>
        <v>1</v>
      </c>
      <c r="W185" s="178">
        <f t="shared" si="29"/>
        <v>9108.69</v>
      </c>
      <c r="X185" s="481">
        <f t="shared" si="25"/>
        <v>4111.2889903846153</v>
      </c>
      <c r="Y185" s="179"/>
      <c r="Z185" s="466">
        <f t="shared" si="26"/>
        <v>5668.05222510577</v>
      </c>
      <c r="AA185" s="473">
        <f t="shared" si="27"/>
        <v>3440.6377748942305</v>
      </c>
      <c r="AB185" s="339">
        <f t="shared" si="28"/>
        <v>0.82268542838050784</v>
      </c>
    </row>
    <row r="186" spans="1:28" ht="20.100000000000001" customHeight="1">
      <c r="A186" s="484"/>
      <c r="B186" s="172">
        <v>1175000</v>
      </c>
      <c r="C186" s="174">
        <v>43830</v>
      </c>
      <c r="D186" s="181" t="s">
        <v>153</v>
      </c>
      <c r="E186" s="173" t="s">
        <v>33</v>
      </c>
      <c r="F186" s="176">
        <v>13501.750096153848</v>
      </c>
      <c r="G186" s="175">
        <f t="shared" si="30"/>
        <v>154</v>
      </c>
      <c r="H186" s="175">
        <f t="shared" si="23"/>
        <v>13501.750096153848</v>
      </c>
      <c r="I186" s="177">
        <f>IF(G186=0,0,IF(E186="MXN",1/HLOOKUP(YEAR(C186)+(MONTH(C186)/100),TC!$5:$37,DAY(C186)+2,FALSE),VLOOKUP(E186,Equivalencia!$5:$23,((MAX(Equivalencia!$3:$3)-YEAR(C186))*14)+MONTH(C186)+2,FALSE)))</f>
        <v>1</v>
      </c>
      <c r="J186" s="178">
        <f t="shared" si="31"/>
        <v>13501.750096153848</v>
      </c>
      <c r="K186" s="462">
        <f>IF(C186=0,0,VLOOKUP(YEAR(C186),INPC!$B$4:$O$29,MONTH(C186)+1))</f>
        <v>105.934</v>
      </c>
      <c r="L186" s="462">
        <f>IF(S186=0,0,VLOOKUP(YEAR(S186),INPC!$B$4:$O$29,MONTH(S186)+1))</f>
        <v>120.809</v>
      </c>
      <c r="M186" s="463">
        <f t="shared" si="24"/>
        <v>1.1404000000000001</v>
      </c>
      <c r="N186" s="465">
        <f t="shared" si="32"/>
        <v>15397.39580965385</v>
      </c>
      <c r="O186" s="179"/>
      <c r="P186" s="180">
        <v>154</v>
      </c>
      <c r="Q186" s="173" t="s">
        <v>583</v>
      </c>
      <c r="R186" s="173" t="s">
        <v>230</v>
      </c>
      <c r="S186" s="174">
        <v>44678</v>
      </c>
      <c r="T186" s="173" t="s">
        <v>33</v>
      </c>
      <c r="U186" s="182">
        <v>26722.120000000003</v>
      </c>
      <c r="V186" s="177">
        <f>IF(U186=0,0,IF(T186="MXN",1/HLOOKUP(YEAR(S186)+(MONTH(S186)/100),TC!$5:$37,DAY(S186)+2,FALSE),VLOOKUP(T186,Equivalencia!$1:$23,((MAX(Equivalencia!$3:$3)-YEAR(S186))*14)+MONTH(S186)+2,FALSE)))</f>
        <v>1</v>
      </c>
      <c r="W186" s="178">
        <f t="shared" si="29"/>
        <v>26722.120000000003</v>
      </c>
      <c r="X186" s="481">
        <f t="shared" si="25"/>
        <v>13220.369903846155</v>
      </c>
      <c r="Y186" s="179"/>
      <c r="Z186" s="466">
        <f t="shared" si="26"/>
        <v>15397.39580965385</v>
      </c>
      <c r="AA186" s="473">
        <f t="shared" si="27"/>
        <v>11324.724190346153</v>
      </c>
      <c r="AB186" s="339">
        <f t="shared" si="28"/>
        <v>0.97915972445765775</v>
      </c>
    </row>
    <row r="187" spans="1:28" ht="20.100000000000001" customHeight="1">
      <c r="A187" s="484"/>
      <c r="B187" s="172">
        <v>1175000</v>
      </c>
      <c r="C187" s="174">
        <v>44377</v>
      </c>
      <c r="D187" s="181" t="s">
        <v>154</v>
      </c>
      <c r="E187" s="173" t="s">
        <v>33</v>
      </c>
      <c r="F187" s="176">
        <v>2569.4978947368418</v>
      </c>
      <c r="G187" s="175">
        <f t="shared" si="30"/>
        <v>26</v>
      </c>
      <c r="H187" s="175">
        <f t="shared" si="23"/>
        <v>2569.4978947368418</v>
      </c>
      <c r="I187" s="177">
        <f>IF(G187=0,0,IF(E187="MXN",1/HLOOKUP(YEAR(C187)+(MONTH(C187)/100),TC!$5:$37,DAY(C187)+2,FALSE),VLOOKUP(E187,Equivalencia!$5:$23,((MAX(Equivalencia!$3:$3)-YEAR(C187))*14)+MONTH(C187)+2,FALSE)))</f>
        <v>1</v>
      </c>
      <c r="J187" s="178">
        <f t="shared" si="31"/>
        <v>2569.4978947368418</v>
      </c>
      <c r="K187" s="462">
        <f>IF(C187=0,0,VLOOKUP(YEAR(C187),INPC!$B$4:$O$29,MONTH(C187)+1))</f>
        <v>113.018</v>
      </c>
      <c r="L187" s="462">
        <f>IF(S187=0,0,VLOOKUP(YEAR(S187),INPC!$B$4:$O$29,MONTH(S187)+1))</f>
        <v>120.809</v>
      </c>
      <c r="M187" s="463">
        <f t="shared" si="24"/>
        <v>1.0689</v>
      </c>
      <c r="N187" s="465">
        <f t="shared" si="32"/>
        <v>2746.53629968421</v>
      </c>
      <c r="O187" s="179"/>
      <c r="P187" s="569">
        <v>26</v>
      </c>
      <c r="Q187" s="173" t="s">
        <v>583</v>
      </c>
      <c r="R187" s="173" t="s">
        <v>230</v>
      </c>
      <c r="S187" s="174">
        <v>44678</v>
      </c>
      <c r="T187" s="173" t="s">
        <v>33</v>
      </c>
      <c r="U187" s="182">
        <v>2658.5303333333331</v>
      </c>
      <c r="V187" s="177">
        <f>IF(U187=0,0,IF(T187="MXN",1/HLOOKUP(YEAR(S187)+(MONTH(S187)/100),TC!$5:$37,DAY(S187)+2,FALSE),VLOOKUP(T187,Equivalencia!$1:$23,((MAX(Equivalencia!$3:$3)-YEAR(S187))*14)+MONTH(S187)+2,FALSE)))</f>
        <v>1</v>
      </c>
      <c r="W187" s="178">
        <f t="shared" si="29"/>
        <v>2658.5303333333331</v>
      </c>
      <c r="X187" s="481">
        <f t="shared" si="25"/>
        <v>89.032438596491374</v>
      </c>
      <c r="Y187" s="179"/>
      <c r="Z187" s="466">
        <f t="shared" si="26"/>
        <v>2746.53629968421</v>
      </c>
      <c r="AA187" s="473">
        <f t="shared" si="27"/>
        <v>-88.005966350876861</v>
      </c>
      <c r="AB187" s="339">
        <f t="shared" si="28"/>
        <v>3.4649741795413913E-2</v>
      </c>
    </row>
    <row r="188" spans="1:28" ht="20.100000000000001" customHeight="1">
      <c r="A188" s="484"/>
      <c r="B188" s="172">
        <v>1175000</v>
      </c>
      <c r="C188" s="174">
        <v>44378</v>
      </c>
      <c r="D188" s="181" t="s">
        <v>154</v>
      </c>
      <c r="E188" s="173" t="s">
        <v>33</v>
      </c>
      <c r="F188" s="176">
        <v>4995.57</v>
      </c>
      <c r="G188" s="175">
        <f t="shared" si="30"/>
        <v>50</v>
      </c>
      <c r="H188" s="175">
        <f t="shared" si="23"/>
        <v>4995.57</v>
      </c>
      <c r="I188" s="177">
        <f>IF(G188=0,0,IF(E188="MXN",1/HLOOKUP(YEAR(C188)+(MONTH(C188)/100),TC!$5:$37,DAY(C188)+2,FALSE),VLOOKUP(E188,Equivalencia!$5:$23,((MAX(Equivalencia!$3:$3)-YEAR(C188))*14)+MONTH(C188)+2,FALSE)))</f>
        <v>1</v>
      </c>
      <c r="J188" s="178">
        <f t="shared" si="31"/>
        <v>4995.57</v>
      </c>
      <c r="K188" s="462">
        <f>IF(C188=0,0,VLOOKUP(YEAR(C188),INPC!$B$4:$O$29,MONTH(C188)+1))</f>
        <v>113.682</v>
      </c>
      <c r="L188" s="462">
        <f>IF(S188=0,0,VLOOKUP(YEAR(S188),INPC!$B$4:$O$29,MONTH(S188)+1))</f>
        <v>120.809</v>
      </c>
      <c r="M188" s="463">
        <f t="shared" si="24"/>
        <v>1.0626</v>
      </c>
      <c r="N188" s="465">
        <f t="shared" si="32"/>
        <v>5308.2926819999993</v>
      </c>
      <c r="O188" s="179"/>
      <c r="P188" s="570">
        <v>50</v>
      </c>
      <c r="Q188" s="173" t="s">
        <v>583</v>
      </c>
      <c r="R188" s="173" t="s">
        <v>230</v>
      </c>
      <c r="S188" s="174">
        <v>44678</v>
      </c>
      <c r="T188" s="173" t="s">
        <v>33</v>
      </c>
      <c r="U188" s="182">
        <v>5112.5583333333334</v>
      </c>
      <c r="V188" s="177">
        <f>IF(U188=0,0,IF(T188="MXN",1/HLOOKUP(YEAR(S188)+(MONTH(S188)/100),TC!$5:$37,DAY(S188)+2,FALSE),VLOOKUP(T188,Equivalencia!$1:$23,((MAX(Equivalencia!$3:$3)-YEAR(S188))*14)+MONTH(S188)+2,FALSE)))</f>
        <v>1</v>
      </c>
      <c r="W188" s="178">
        <f t="shared" si="29"/>
        <v>5112.5583333333334</v>
      </c>
      <c r="X188" s="481">
        <f t="shared" si="25"/>
        <v>116.98833333333369</v>
      </c>
      <c r="Y188" s="179"/>
      <c r="Z188" s="466">
        <f t="shared" si="26"/>
        <v>5308.2926819999993</v>
      </c>
      <c r="AA188" s="473">
        <f t="shared" si="27"/>
        <v>-195.73434866666594</v>
      </c>
      <c r="AB188" s="339">
        <f t="shared" si="28"/>
        <v>2.3418415382695734E-2</v>
      </c>
    </row>
    <row r="189" spans="1:28" ht="20.100000000000001" customHeight="1">
      <c r="A189" s="484"/>
      <c r="B189" s="172">
        <v>1175000</v>
      </c>
      <c r="C189" s="174">
        <v>44453</v>
      </c>
      <c r="D189" s="181" t="s">
        <v>154</v>
      </c>
      <c r="E189" s="173" t="s">
        <v>33</v>
      </c>
      <c r="F189" s="176">
        <v>8081.43</v>
      </c>
      <c r="G189" s="175">
        <f t="shared" si="30"/>
        <v>79</v>
      </c>
      <c r="H189" s="175">
        <f t="shared" si="23"/>
        <v>8081.43</v>
      </c>
      <c r="I189" s="177">
        <f>IF(G189=0,0,IF(E189="MXN",1/HLOOKUP(YEAR(C189)+(MONTH(C189)/100),TC!$5:$37,DAY(C189)+2,FALSE),VLOOKUP(E189,Equivalencia!$5:$23,((MAX(Equivalencia!$3:$3)-YEAR(C189))*14)+MONTH(C189)+2,FALSE)))</f>
        <v>1</v>
      </c>
      <c r="J189" s="178">
        <f t="shared" si="31"/>
        <v>8081.43</v>
      </c>
      <c r="K189" s="462">
        <f>IF(C189=0,0,VLOOKUP(YEAR(C189),INPC!$B$4:$O$29,MONTH(C189)+1))</f>
        <v>114.601</v>
      </c>
      <c r="L189" s="462">
        <f>IF(S189=0,0,VLOOKUP(YEAR(S189),INPC!$B$4:$O$29,MONTH(S189)+1))</f>
        <v>120.809</v>
      </c>
      <c r="M189" s="463">
        <f t="shared" si="24"/>
        <v>1.0541</v>
      </c>
      <c r="N189" s="465">
        <f t="shared" si="32"/>
        <v>8518.6353630000012</v>
      </c>
      <c r="O189" s="179"/>
      <c r="P189" s="570">
        <v>79</v>
      </c>
      <c r="Q189" s="173" t="s">
        <v>583</v>
      </c>
      <c r="R189" s="173" t="s">
        <v>230</v>
      </c>
      <c r="S189" s="174">
        <v>44678</v>
      </c>
      <c r="T189" s="173" t="s">
        <v>33</v>
      </c>
      <c r="U189" s="182">
        <v>8077.8421666666663</v>
      </c>
      <c r="V189" s="177">
        <f>IF(U189=0,0,IF(T189="MXN",1/HLOOKUP(YEAR(S189)+(MONTH(S189)/100),TC!$5:$37,DAY(S189)+2,FALSE),VLOOKUP(T189,Equivalencia!$1:$23,((MAX(Equivalencia!$3:$3)-YEAR(S189))*14)+MONTH(S189)+2,FALSE)))</f>
        <v>1</v>
      </c>
      <c r="W189" s="178">
        <f t="shared" si="29"/>
        <v>8077.8421666666663</v>
      </c>
      <c r="X189" s="481">
        <f t="shared" si="25"/>
        <v>-3.5878333333339469</v>
      </c>
      <c r="Y189" s="179"/>
      <c r="Z189" s="466">
        <f t="shared" si="26"/>
        <v>8518.6353630000012</v>
      </c>
      <c r="AA189" s="473">
        <f t="shared" si="27"/>
        <v>-440.79319633333489</v>
      </c>
      <c r="AB189" s="339">
        <f t="shared" si="28"/>
        <v>-4.43960206712668E-4</v>
      </c>
    </row>
    <row r="190" spans="1:28" ht="20.100000000000001" customHeight="1">
      <c r="A190" s="484"/>
      <c r="B190" s="172">
        <v>1175000</v>
      </c>
      <c r="C190" s="174">
        <v>44474</v>
      </c>
      <c r="D190" s="181" t="s">
        <v>154</v>
      </c>
      <c r="E190" s="173" t="s">
        <v>33</v>
      </c>
      <c r="F190" s="176">
        <v>579.15</v>
      </c>
      <c r="G190" s="175">
        <f t="shared" si="30"/>
        <v>6</v>
      </c>
      <c r="H190" s="175">
        <f t="shared" si="23"/>
        <v>579.15</v>
      </c>
      <c r="I190" s="177">
        <f>IF(G190=0,0,IF(E190="MXN",1/HLOOKUP(YEAR(C190)+(MONTH(C190)/100),TC!$5:$37,DAY(C190)+2,FALSE),VLOOKUP(E190,Equivalencia!$5:$23,((MAX(Equivalencia!$3:$3)-YEAR(C190))*14)+MONTH(C190)+2,FALSE)))</f>
        <v>1</v>
      </c>
      <c r="J190" s="178">
        <f t="shared" si="31"/>
        <v>579.15</v>
      </c>
      <c r="K190" s="462">
        <f>IF(C190=0,0,VLOOKUP(YEAR(C190),INPC!$B$4:$O$29,MONTH(C190)+1))</f>
        <v>115.56100000000001</v>
      </c>
      <c r="L190" s="462">
        <f>IF(S190=0,0,VLOOKUP(YEAR(S190),INPC!$B$4:$O$29,MONTH(S190)+1))</f>
        <v>120.809</v>
      </c>
      <c r="M190" s="463">
        <f t="shared" si="24"/>
        <v>1.0454000000000001</v>
      </c>
      <c r="N190" s="465">
        <f t="shared" si="32"/>
        <v>605.44341000000009</v>
      </c>
      <c r="O190" s="179"/>
      <c r="P190" s="570">
        <v>6</v>
      </c>
      <c r="Q190" s="173" t="s">
        <v>583</v>
      </c>
      <c r="R190" s="173" t="s">
        <v>230</v>
      </c>
      <c r="S190" s="174">
        <v>44678</v>
      </c>
      <c r="T190" s="173" t="s">
        <v>33</v>
      </c>
      <c r="U190" s="182">
        <v>613.50699999999995</v>
      </c>
      <c r="V190" s="177">
        <f>IF(U190=0,0,IF(T190="MXN",1/HLOOKUP(YEAR(S190)+(MONTH(S190)/100),TC!$5:$37,DAY(S190)+2,FALSE),VLOOKUP(T190,Equivalencia!$1:$23,((MAX(Equivalencia!$3:$3)-YEAR(S190))*14)+MONTH(S190)+2,FALSE)))</f>
        <v>1</v>
      </c>
      <c r="W190" s="178">
        <f t="shared" si="29"/>
        <v>613.50699999999995</v>
      </c>
      <c r="X190" s="481">
        <f t="shared" si="25"/>
        <v>34.356999999999971</v>
      </c>
      <c r="Y190" s="179"/>
      <c r="Z190" s="466">
        <f t="shared" si="26"/>
        <v>605.44341000000009</v>
      </c>
      <c r="AA190" s="473">
        <f t="shared" si="27"/>
        <v>8.0635899999998628</v>
      </c>
      <c r="AB190" s="339">
        <f t="shared" si="28"/>
        <v>5.9323145989812698E-2</v>
      </c>
    </row>
    <row r="191" spans="1:28" ht="20.100000000000001" customHeight="1">
      <c r="A191" s="484"/>
      <c r="B191" s="172">
        <v>1175000</v>
      </c>
      <c r="C191" s="174">
        <v>44474</v>
      </c>
      <c r="D191" s="181" t="s">
        <v>154</v>
      </c>
      <c r="E191" s="173" t="s">
        <v>33</v>
      </c>
      <c r="F191" s="176">
        <v>385.6</v>
      </c>
      <c r="G191" s="175">
        <f t="shared" si="30"/>
        <v>4</v>
      </c>
      <c r="H191" s="175">
        <f t="shared" si="23"/>
        <v>385.6</v>
      </c>
      <c r="I191" s="177">
        <f>IF(G191=0,0,IF(E191="MXN",1/HLOOKUP(YEAR(C191)+(MONTH(C191)/100),TC!$5:$37,DAY(C191)+2,FALSE),VLOOKUP(E191,Equivalencia!$5:$23,((MAX(Equivalencia!$3:$3)-YEAR(C191))*14)+MONTH(C191)+2,FALSE)))</f>
        <v>1</v>
      </c>
      <c r="J191" s="178">
        <f t="shared" si="31"/>
        <v>385.6</v>
      </c>
      <c r="K191" s="462">
        <f>IF(C191=0,0,VLOOKUP(YEAR(C191),INPC!$B$4:$O$29,MONTH(C191)+1))</f>
        <v>115.56100000000001</v>
      </c>
      <c r="L191" s="462">
        <f>IF(S191=0,0,VLOOKUP(YEAR(S191),INPC!$B$4:$O$29,MONTH(S191)+1))</f>
        <v>120.809</v>
      </c>
      <c r="M191" s="463">
        <f t="shared" si="24"/>
        <v>1.0454000000000001</v>
      </c>
      <c r="N191" s="465">
        <f t="shared" si="32"/>
        <v>403.10624000000007</v>
      </c>
      <c r="O191" s="179"/>
      <c r="P191" s="570">
        <v>4</v>
      </c>
      <c r="Q191" s="173" t="s">
        <v>583</v>
      </c>
      <c r="R191" s="173" t="s">
        <v>230</v>
      </c>
      <c r="S191" s="174">
        <v>44678</v>
      </c>
      <c r="T191" s="173" t="s">
        <v>33</v>
      </c>
      <c r="U191" s="182">
        <v>409.00466666666665</v>
      </c>
      <c r="V191" s="177">
        <f>IF(U191=0,0,IF(T191="MXN",1/HLOOKUP(YEAR(S191)+(MONTH(S191)/100),TC!$5:$37,DAY(S191)+2,FALSE),VLOOKUP(T191,Equivalencia!$1:$23,((MAX(Equivalencia!$3:$3)-YEAR(S191))*14)+MONTH(S191)+2,FALSE)))</f>
        <v>1</v>
      </c>
      <c r="W191" s="178">
        <f t="shared" si="29"/>
        <v>409.00466666666665</v>
      </c>
      <c r="X191" s="481">
        <f t="shared" si="25"/>
        <v>23.404666666666628</v>
      </c>
      <c r="Y191" s="179"/>
      <c r="Z191" s="466">
        <f t="shared" si="26"/>
        <v>403.10624000000007</v>
      </c>
      <c r="AA191" s="473">
        <f t="shared" si="27"/>
        <v>5.8984266666665803</v>
      </c>
      <c r="AB191" s="339">
        <f t="shared" si="28"/>
        <v>6.069674965421834E-2</v>
      </c>
    </row>
    <row r="192" spans="1:28" ht="20.100000000000001" customHeight="1">
      <c r="A192" s="484"/>
      <c r="B192" s="172">
        <v>1175000</v>
      </c>
      <c r="C192" s="174">
        <v>44474</v>
      </c>
      <c r="D192" s="181" t="s">
        <v>154</v>
      </c>
      <c r="E192" s="173" t="s">
        <v>33</v>
      </c>
      <c r="F192" s="176">
        <v>1447.0363636363636</v>
      </c>
      <c r="G192" s="175">
        <f t="shared" si="30"/>
        <v>15</v>
      </c>
      <c r="H192" s="175">
        <f t="shared" si="23"/>
        <v>1447.0363636363636</v>
      </c>
      <c r="I192" s="177">
        <f>IF(G192=0,0,IF(E192="MXN",1/HLOOKUP(YEAR(C192)+(MONTH(C192)/100),TC!$5:$37,DAY(C192)+2,FALSE),VLOOKUP(E192,Equivalencia!$5:$23,((MAX(Equivalencia!$3:$3)-YEAR(C192))*14)+MONTH(C192)+2,FALSE)))</f>
        <v>1</v>
      </c>
      <c r="J192" s="178">
        <f t="shared" si="31"/>
        <v>1447.0363636363636</v>
      </c>
      <c r="K192" s="462">
        <f>IF(C192=0,0,VLOOKUP(YEAR(C192),INPC!$B$4:$O$29,MONTH(C192)+1))</f>
        <v>115.56100000000001</v>
      </c>
      <c r="L192" s="462">
        <f>IF(S192=0,0,VLOOKUP(YEAR(S192),INPC!$B$4:$O$29,MONTH(S192)+1))</f>
        <v>120.809</v>
      </c>
      <c r="M192" s="463">
        <f t="shared" si="24"/>
        <v>1.0454000000000001</v>
      </c>
      <c r="N192" s="465">
        <f t="shared" si="32"/>
        <v>1512.7318145454547</v>
      </c>
      <c r="O192" s="179"/>
      <c r="P192" s="571">
        <v>15</v>
      </c>
      <c r="Q192" s="173" t="s">
        <v>583</v>
      </c>
      <c r="R192" s="173" t="s">
        <v>230</v>
      </c>
      <c r="S192" s="174">
        <v>44678</v>
      </c>
      <c r="T192" s="173" t="s">
        <v>33</v>
      </c>
      <c r="U192" s="182">
        <v>1533.7674999999999</v>
      </c>
      <c r="V192" s="177">
        <f>IF(U192=0,0,IF(T192="MXN",1/HLOOKUP(YEAR(S192)+(MONTH(S192)/100),TC!$5:$37,DAY(S192)+2,FALSE),VLOOKUP(T192,Equivalencia!$1:$23,((MAX(Equivalencia!$3:$3)-YEAR(S192))*14)+MONTH(S192)+2,FALSE)))</f>
        <v>1</v>
      </c>
      <c r="W192" s="178">
        <f t="shared" si="29"/>
        <v>1533.7674999999999</v>
      </c>
      <c r="X192" s="481">
        <f t="shared" si="25"/>
        <v>86.731136363636324</v>
      </c>
      <c r="Y192" s="179"/>
      <c r="Z192" s="466">
        <f t="shared" si="26"/>
        <v>1512.7318145454547</v>
      </c>
      <c r="AA192" s="473">
        <f t="shared" si="27"/>
        <v>21.035685454545273</v>
      </c>
      <c r="AB192" s="339">
        <f t="shared" si="28"/>
        <v>5.9937081432897221E-2</v>
      </c>
    </row>
    <row r="193" spans="1:28" ht="20.100000000000001" customHeight="1">
      <c r="A193" s="484"/>
      <c r="B193" s="172">
        <v>1175000</v>
      </c>
      <c r="C193" s="174">
        <v>43830</v>
      </c>
      <c r="D193" s="181" t="s">
        <v>158</v>
      </c>
      <c r="E193" s="173" t="s">
        <v>33</v>
      </c>
      <c r="F193" s="176">
        <v>387.93297619047615</v>
      </c>
      <c r="G193" s="175">
        <f t="shared" si="30"/>
        <v>4</v>
      </c>
      <c r="H193" s="175">
        <f t="shared" si="23"/>
        <v>387.93297619047615</v>
      </c>
      <c r="I193" s="177">
        <f>IF(G193=0,0,IF(E193="MXN",1/HLOOKUP(YEAR(C193)+(MONTH(C193)/100),TC!$5:$37,DAY(C193)+2,FALSE),VLOOKUP(E193,Equivalencia!$5:$23,((MAX(Equivalencia!$3:$3)-YEAR(C193))*14)+MONTH(C193)+2,FALSE)))</f>
        <v>1</v>
      </c>
      <c r="J193" s="178">
        <f t="shared" si="31"/>
        <v>387.93297619047615</v>
      </c>
      <c r="K193" s="462">
        <f>IF(C193=0,0,VLOOKUP(YEAR(C193),INPC!$B$4:$O$29,MONTH(C193)+1))</f>
        <v>105.934</v>
      </c>
      <c r="L193" s="462">
        <f>IF(S193=0,0,VLOOKUP(YEAR(S193),INPC!$B$4:$O$29,MONTH(S193)+1))</f>
        <v>118.002</v>
      </c>
      <c r="M193" s="463">
        <f t="shared" si="24"/>
        <v>1.1138999999999999</v>
      </c>
      <c r="N193" s="465">
        <f t="shared" si="32"/>
        <v>432.11854217857132</v>
      </c>
      <c r="O193" s="179"/>
      <c r="P193" s="180">
        <v>4</v>
      </c>
      <c r="Q193" s="173" t="s">
        <v>583</v>
      </c>
      <c r="R193" s="173" t="s">
        <v>230</v>
      </c>
      <c r="S193" s="174">
        <v>44575</v>
      </c>
      <c r="T193" s="173" t="s">
        <v>33</v>
      </c>
      <c r="U193" s="182">
        <v>888.76</v>
      </c>
      <c r="V193" s="177">
        <f>IF(U193=0,0,IF(T193="MXN",1/HLOOKUP(YEAR(S193)+(MONTH(S193)/100),TC!$5:$37,DAY(S193)+2,FALSE),VLOOKUP(T193,Equivalencia!$1:$23,((MAX(Equivalencia!$3:$3)-YEAR(S193))*14)+MONTH(S193)+2,FALSE)))</f>
        <v>1</v>
      </c>
      <c r="W193" s="178">
        <f t="shared" si="29"/>
        <v>888.76</v>
      </c>
      <c r="X193" s="481">
        <f t="shared" si="25"/>
        <v>500.82702380952384</v>
      </c>
      <c r="Y193" s="179"/>
      <c r="Z193" s="466">
        <f t="shared" si="26"/>
        <v>432.11854217857132</v>
      </c>
      <c r="AA193" s="473">
        <f t="shared" si="27"/>
        <v>456.64145782142867</v>
      </c>
      <c r="AB193" s="339">
        <f t="shared" si="28"/>
        <v>1.291014310584456</v>
      </c>
    </row>
    <row r="194" spans="1:28" ht="20.100000000000001" customHeight="1">
      <c r="A194" s="484"/>
      <c r="B194" s="172">
        <v>1175000</v>
      </c>
      <c r="C194" s="174">
        <v>43830</v>
      </c>
      <c r="D194" s="181" t="s">
        <v>158</v>
      </c>
      <c r="E194" s="173" t="s">
        <v>33</v>
      </c>
      <c r="F194" s="176">
        <v>678.88270833333331</v>
      </c>
      <c r="G194" s="175">
        <f t="shared" si="30"/>
        <v>7</v>
      </c>
      <c r="H194" s="175">
        <f t="shared" ref="H194:H257" si="33">IF(F194=0,0,(F194/G194)*P194)</f>
        <v>678.88270833333331</v>
      </c>
      <c r="I194" s="177">
        <f>IF(G194=0,0,IF(E194="MXN",1/HLOOKUP(YEAR(C194)+(MONTH(C194)/100),TC!$5:$37,DAY(C194)+2,FALSE),VLOOKUP(E194,Equivalencia!$5:$23,((MAX(Equivalencia!$3:$3)-YEAR(C194))*14)+MONTH(C194)+2,FALSE)))</f>
        <v>1</v>
      </c>
      <c r="J194" s="178">
        <f t="shared" si="31"/>
        <v>678.88270833333331</v>
      </c>
      <c r="K194" s="462">
        <f>IF(C194=0,0,VLOOKUP(YEAR(C194),INPC!$B$4:$O$29,MONTH(C194)+1))</f>
        <v>105.934</v>
      </c>
      <c r="L194" s="462">
        <f>IF(S194=0,0,VLOOKUP(YEAR(S194),INPC!$B$4:$O$29,MONTH(S194)+1))</f>
        <v>118.002</v>
      </c>
      <c r="M194" s="463">
        <f t="shared" ref="M194:M257" si="34">IF(H194=0,0,IF(R194=$AF$4,1,IF(TRUNC(L194/K194,4)&gt;=1,TRUNC(L194/K194,4),1)))</f>
        <v>1.1138999999999999</v>
      </c>
      <c r="N194" s="465">
        <f t="shared" si="32"/>
        <v>756.20744881249993</v>
      </c>
      <c r="O194" s="179"/>
      <c r="P194" s="180">
        <v>7</v>
      </c>
      <c r="Q194" s="173" t="s">
        <v>583</v>
      </c>
      <c r="R194" s="173" t="s">
        <v>230</v>
      </c>
      <c r="S194" s="174">
        <v>44575</v>
      </c>
      <c r="T194" s="173" t="s">
        <v>33</v>
      </c>
      <c r="U194" s="182">
        <v>1555.32</v>
      </c>
      <c r="V194" s="177">
        <f>IF(U194=0,0,IF(T194="MXN",1/HLOOKUP(YEAR(S194)+(MONTH(S194)/100),TC!$5:$37,DAY(S194)+2,FALSE),VLOOKUP(T194,Equivalencia!$1:$23,((MAX(Equivalencia!$3:$3)-YEAR(S194))*14)+MONTH(S194)+2,FALSE)))</f>
        <v>1</v>
      </c>
      <c r="W194" s="178">
        <f t="shared" si="29"/>
        <v>1555.32</v>
      </c>
      <c r="X194" s="481">
        <f t="shared" ref="X194:X257" si="35">+W194-J194</f>
        <v>876.43729166666662</v>
      </c>
      <c r="Y194" s="179"/>
      <c r="Z194" s="466">
        <f t="shared" ref="Z194:Z257" si="36">N194</f>
        <v>756.20744881249993</v>
      </c>
      <c r="AA194" s="473">
        <f t="shared" ref="AA194:AA257" si="37">+W194-Z194</f>
        <v>799.1125511875</v>
      </c>
      <c r="AB194" s="339">
        <f t="shared" ref="AB194:AB257" si="38">+IF(P194=0,0,(U194/F194)-1)</f>
        <v>1.2909995804994541</v>
      </c>
    </row>
    <row r="195" spans="1:28" ht="20.100000000000001" customHeight="1">
      <c r="A195" s="484"/>
      <c r="B195" s="172">
        <v>1175000</v>
      </c>
      <c r="C195" s="174">
        <v>43830</v>
      </c>
      <c r="D195" s="181" t="s">
        <v>158</v>
      </c>
      <c r="E195" s="173" t="s">
        <v>33</v>
      </c>
      <c r="F195" s="176">
        <v>4461.2292261904759</v>
      </c>
      <c r="G195" s="175">
        <f t="shared" si="30"/>
        <v>46</v>
      </c>
      <c r="H195" s="175">
        <f t="shared" si="33"/>
        <v>4461.2292261904759</v>
      </c>
      <c r="I195" s="177">
        <f>IF(G195=0,0,IF(E195="MXN",1/HLOOKUP(YEAR(C195)+(MONTH(C195)/100),TC!$5:$37,DAY(C195)+2,FALSE),VLOOKUP(E195,Equivalencia!$5:$23,((MAX(Equivalencia!$3:$3)-YEAR(C195))*14)+MONTH(C195)+2,FALSE)))</f>
        <v>1</v>
      </c>
      <c r="J195" s="178">
        <f t="shared" si="31"/>
        <v>4461.2292261904759</v>
      </c>
      <c r="K195" s="462">
        <f>IF(C195=0,0,VLOOKUP(YEAR(C195),INPC!$B$4:$O$29,MONTH(C195)+1))</f>
        <v>105.934</v>
      </c>
      <c r="L195" s="462">
        <f>IF(S195=0,0,VLOOKUP(YEAR(S195),INPC!$B$4:$O$29,MONTH(S195)+1))</f>
        <v>118.002</v>
      </c>
      <c r="M195" s="463">
        <f t="shared" si="34"/>
        <v>1.1138999999999999</v>
      </c>
      <c r="N195" s="465">
        <f t="shared" si="32"/>
        <v>4969.3632350535709</v>
      </c>
      <c r="O195" s="179"/>
      <c r="P195" s="180">
        <v>46</v>
      </c>
      <c r="Q195" s="173" t="s">
        <v>583</v>
      </c>
      <c r="R195" s="173" t="s">
        <v>230</v>
      </c>
      <c r="S195" s="174">
        <v>44578</v>
      </c>
      <c r="T195" s="173" t="s">
        <v>33</v>
      </c>
      <c r="U195" s="182">
        <v>10220.02</v>
      </c>
      <c r="V195" s="177">
        <f>IF(U195=0,0,IF(T195="MXN",1/HLOOKUP(YEAR(S195)+(MONTH(S195)/100),TC!$5:$37,DAY(S195)+2,FALSE),VLOOKUP(T195,Equivalencia!$1:$23,((MAX(Equivalencia!$3:$3)-YEAR(S195))*14)+MONTH(S195)+2,FALSE)))</f>
        <v>1</v>
      </c>
      <c r="W195" s="178">
        <f t="shared" ref="W195:W258" si="39">+V195*U195</f>
        <v>10220.02</v>
      </c>
      <c r="X195" s="481">
        <f t="shared" si="35"/>
        <v>5758.7907738095246</v>
      </c>
      <c r="Y195" s="179"/>
      <c r="Z195" s="466">
        <f t="shared" si="36"/>
        <v>4969.3632350535709</v>
      </c>
      <c r="AA195" s="473">
        <f t="shared" si="37"/>
        <v>5250.6567649464296</v>
      </c>
      <c r="AB195" s="339">
        <f t="shared" si="38"/>
        <v>1.2908529200879149</v>
      </c>
    </row>
    <row r="196" spans="1:28" ht="20.100000000000001" customHeight="1">
      <c r="A196" s="484"/>
      <c r="B196" s="172">
        <v>1175000</v>
      </c>
      <c r="C196" s="174">
        <v>43830</v>
      </c>
      <c r="D196" s="181" t="s">
        <v>158</v>
      </c>
      <c r="E196" s="173" t="s">
        <v>33</v>
      </c>
      <c r="F196" s="176">
        <v>1454.7486607142855</v>
      </c>
      <c r="G196" s="175">
        <f t="shared" si="30"/>
        <v>15</v>
      </c>
      <c r="H196" s="175">
        <f t="shared" si="33"/>
        <v>1454.7486607142855</v>
      </c>
      <c r="I196" s="177">
        <f>IF(G196=0,0,IF(E196="MXN",1/HLOOKUP(YEAR(C196)+(MONTH(C196)/100),TC!$5:$37,DAY(C196)+2,FALSE),VLOOKUP(E196,Equivalencia!$5:$23,((MAX(Equivalencia!$3:$3)-YEAR(C196))*14)+MONTH(C196)+2,FALSE)))</f>
        <v>1</v>
      </c>
      <c r="J196" s="178">
        <f t="shared" si="31"/>
        <v>1454.7486607142855</v>
      </c>
      <c r="K196" s="462">
        <f>IF(C196=0,0,VLOOKUP(YEAR(C196),INPC!$B$4:$O$29,MONTH(C196)+1))</f>
        <v>105.934</v>
      </c>
      <c r="L196" s="462">
        <f>IF(S196=0,0,VLOOKUP(YEAR(S196),INPC!$B$4:$O$29,MONTH(S196)+1))</f>
        <v>118.002</v>
      </c>
      <c r="M196" s="463">
        <f t="shared" si="34"/>
        <v>1.1138999999999999</v>
      </c>
      <c r="N196" s="465">
        <f t="shared" si="32"/>
        <v>1620.4445331696425</v>
      </c>
      <c r="O196" s="179"/>
      <c r="P196" s="180">
        <v>15</v>
      </c>
      <c r="Q196" s="173" t="s">
        <v>583</v>
      </c>
      <c r="R196" s="173" t="s">
        <v>230</v>
      </c>
      <c r="S196" s="174">
        <v>44582</v>
      </c>
      <c r="T196" s="173" t="s">
        <v>33</v>
      </c>
      <c r="U196" s="182">
        <v>3035.44</v>
      </c>
      <c r="V196" s="177">
        <f>IF(U196=0,0,IF(T196="MXN",1/HLOOKUP(YEAR(S196)+(MONTH(S196)/100),TC!$5:$37,DAY(S196)+2,FALSE),VLOOKUP(T196,Equivalencia!$1:$23,((MAX(Equivalencia!$3:$3)-YEAR(S196))*14)+MONTH(S196)+2,FALSE)))</f>
        <v>1</v>
      </c>
      <c r="W196" s="178">
        <f t="shared" si="39"/>
        <v>3035.44</v>
      </c>
      <c r="X196" s="481">
        <f t="shared" si="35"/>
        <v>1580.6913392857145</v>
      </c>
      <c r="Y196" s="179"/>
      <c r="Z196" s="466">
        <f t="shared" si="36"/>
        <v>1620.4445331696425</v>
      </c>
      <c r="AA196" s="473">
        <f t="shared" si="37"/>
        <v>1414.9954668303576</v>
      </c>
      <c r="AB196" s="339">
        <f t="shared" si="38"/>
        <v>1.0865734968331857</v>
      </c>
    </row>
    <row r="197" spans="1:28" ht="20.100000000000001" customHeight="1">
      <c r="A197" s="484"/>
      <c r="B197" s="172">
        <v>1175000</v>
      </c>
      <c r="C197" s="174">
        <v>43830</v>
      </c>
      <c r="D197" s="181" t="s">
        <v>158</v>
      </c>
      <c r="E197" s="173" t="s">
        <v>33</v>
      </c>
      <c r="F197" s="176">
        <v>1163.7989285714284</v>
      </c>
      <c r="G197" s="175">
        <f t="shared" si="30"/>
        <v>12</v>
      </c>
      <c r="H197" s="175">
        <f t="shared" si="33"/>
        <v>1163.7989285714284</v>
      </c>
      <c r="I197" s="177">
        <f>IF(G197=0,0,IF(E197="MXN",1/HLOOKUP(YEAR(C197)+(MONTH(C197)/100),TC!$5:$37,DAY(C197)+2,FALSE),VLOOKUP(E197,Equivalencia!$5:$23,((MAX(Equivalencia!$3:$3)-YEAR(C197))*14)+MONTH(C197)+2,FALSE)))</f>
        <v>1</v>
      </c>
      <c r="J197" s="178">
        <f t="shared" si="31"/>
        <v>1163.7989285714284</v>
      </c>
      <c r="K197" s="462">
        <f>IF(C197=0,0,VLOOKUP(YEAR(C197),INPC!$B$4:$O$29,MONTH(C197)+1))</f>
        <v>105.934</v>
      </c>
      <c r="L197" s="462">
        <f>IF(S197=0,0,VLOOKUP(YEAR(S197),INPC!$B$4:$O$29,MONTH(S197)+1))</f>
        <v>118.002</v>
      </c>
      <c r="M197" s="463">
        <f t="shared" si="34"/>
        <v>1.1138999999999999</v>
      </c>
      <c r="N197" s="465">
        <f t="shared" si="32"/>
        <v>1296.355626535714</v>
      </c>
      <c r="O197" s="179"/>
      <c r="P197" s="180">
        <v>12</v>
      </c>
      <c r="Q197" s="173" t="s">
        <v>583</v>
      </c>
      <c r="R197" s="173" t="s">
        <v>230</v>
      </c>
      <c r="S197" s="174">
        <v>44582</v>
      </c>
      <c r="T197" s="173" t="s">
        <v>33</v>
      </c>
      <c r="U197" s="182">
        <v>2456.14</v>
      </c>
      <c r="V197" s="177">
        <f>IF(U197=0,0,IF(T197="MXN",1/HLOOKUP(YEAR(S197)+(MONTH(S197)/100),TC!$5:$37,DAY(S197)+2,FALSE),VLOOKUP(T197,Equivalencia!$1:$23,((MAX(Equivalencia!$3:$3)-YEAR(S197))*14)+MONTH(S197)+2,FALSE)))</f>
        <v>1</v>
      </c>
      <c r="W197" s="178">
        <f t="shared" si="39"/>
        <v>2456.14</v>
      </c>
      <c r="X197" s="481">
        <f t="shared" si="35"/>
        <v>1292.3410714285715</v>
      </c>
      <c r="Y197" s="179"/>
      <c r="Z197" s="466">
        <f t="shared" si="36"/>
        <v>1296.355626535714</v>
      </c>
      <c r="AA197" s="473">
        <f t="shared" si="37"/>
        <v>1159.7843734642859</v>
      </c>
      <c r="AB197" s="339">
        <f t="shared" si="38"/>
        <v>1.1104504736182643</v>
      </c>
    </row>
    <row r="198" spans="1:28" ht="20.100000000000001" customHeight="1">
      <c r="A198" s="484"/>
      <c r="B198" s="172">
        <v>1175000</v>
      </c>
      <c r="C198" s="174">
        <v>43830</v>
      </c>
      <c r="D198" s="181" t="s">
        <v>158</v>
      </c>
      <c r="E198" s="173" t="s">
        <v>33</v>
      </c>
      <c r="F198" s="176">
        <v>678.88270833333331</v>
      </c>
      <c r="G198" s="175">
        <f t="shared" ref="G198:G261" si="40">+P198</f>
        <v>7</v>
      </c>
      <c r="H198" s="175">
        <f t="shared" si="33"/>
        <v>678.88270833333331</v>
      </c>
      <c r="I198" s="177">
        <f>IF(G198=0,0,IF(E198="MXN",1/HLOOKUP(YEAR(C198)+(MONTH(C198)/100),TC!$5:$37,DAY(C198)+2,FALSE),VLOOKUP(E198,Equivalencia!$5:$23,((MAX(Equivalencia!$3:$3)-YEAR(C198))*14)+MONTH(C198)+2,FALSE)))</f>
        <v>1</v>
      </c>
      <c r="J198" s="178">
        <f t="shared" ref="J198:J261" si="41">+H198*I198</f>
        <v>678.88270833333331</v>
      </c>
      <c r="K198" s="462">
        <f>IF(C198=0,0,VLOOKUP(YEAR(C198),INPC!$B$4:$O$29,MONTH(C198)+1))</f>
        <v>105.934</v>
      </c>
      <c r="L198" s="462">
        <f>IF(S198=0,0,VLOOKUP(YEAR(S198),INPC!$B$4:$O$29,MONTH(S198)+1))</f>
        <v>118.002</v>
      </c>
      <c r="M198" s="463">
        <f t="shared" si="34"/>
        <v>1.1138999999999999</v>
      </c>
      <c r="N198" s="465">
        <f t="shared" ref="N198:N261" si="42">+M198*J198</f>
        <v>756.20744881249993</v>
      </c>
      <c r="O198" s="179"/>
      <c r="P198" s="180">
        <v>7</v>
      </c>
      <c r="Q198" s="173" t="s">
        <v>583</v>
      </c>
      <c r="R198" s="173" t="s">
        <v>230</v>
      </c>
      <c r="S198" s="174">
        <v>44586</v>
      </c>
      <c r="T198" s="173" t="s">
        <v>33</v>
      </c>
      <c r="U198" s="182">
        <v>1429.32</v>
      </c>
      <c r="V198" s="177">
        <f>IF(U198=0,0,IF(T198="MXN",1/HLOOKUP(YEAR(S198)+(MONTH(S198)/100),TC!$5:$37,DAY(S198)+2,FALSE),VLOOKUP(T198,Equivalencia!$1:$23,((MAX(Equivalencia!$3:$3)-YEAR(S198))*14)+MONTH(S198)+2,FALSE)))</f>
        <v>1</v>
      </c>
      <c r="W198" s="178">
        <f t="shared" si="39"/>
        <v>1429.32</v>
      </c>
      <c r="X198" s="481">
        <f t="shared" si="35"/>
        <v>750.43729166666662</v>
      </c>
      <c r="Y198" s="179"/>
      <c r="Z198" s="466">
        <f t="shared" si="36"/>
        <v>756.20744881249993</v>
      </c>
      <c r="AA198" s="473">
        <f t="shared" si="37"/>
        <v>673.1125511875</v>
      </c>
      <c r="AB198" s="339">
        <f t="shared" si="38"/>
        <v>1.1054005094768149</v>
      </c>
    </row>
    <row r="199" spans="1:28" ht="20.100000000000001" customHeight="1">
      <c r="A199" s="484"/>
      <c r="B199" s="172">
        <v>1175000</v>
      </c>
      <c r="C199" s="174">
        <v>43830</v>
      </c>
      <c r="D199" s="181" t="s">
        <v>158</v>
      </c>
      <c r="E199" s="173" t="s">
        <v>33</v>
      </c>
      <c r="F199" s="176">
        <v>3491.3967857142852</v>
      </c>
      <c r="G199" s="175">
        <f t="shared" si="40"/>
        <v>36</v>
      </c>
      <c r="H199" s="175">
        <f t="shared" si="33"/>
        <v>3491.3967857142852</v>
      </c>
      <c r="I199" s="177">
        <f>IF(G199=0,0,IF(E199="MXN",1/HLOOKUP(YEAR(C199)+(MONTH(C199)/100),TC!$5:$37,DAY(C199)+2,FALSE),VLOOKUP(E199,Equivalencia!$5:$23,((MAX(Equivalencia!$3:$3)-YEAR(C199))*14)+MONTH(C199)+2,FALSE)))</f>
        <v>1</v>
      </c>
      <c r="J199" s="178">
        <f t="shared" si="41"/>
        <v>3491.3967857142852</v>
      </c>
      <c r="K199" s="462">
        <f>IF(C199=0,0,VLOOKUP(YEAR(C199),INPC!$B$4:$O$29,MONTH(C199)+1))</f>
        <v>105.934</v>
      </c>
      <c r="L199" s="462">
        <f>IF(S199=0,0,VLOOKUP(YEAR(S199),INPC!$B$4:$O$29,MONTH(S199)+1))</f>
        <v>118.002</v>
      </c>
      <c r="M199" s="463">
        <f t="shared" si="34"/>
        <v>1.1138999999999999</v>
      </c>
      <c r="N199" s="465">
        <f t="shared" si="42"/>
        <v>3889.0668796071418</v>
      </c>
      <c r="O199" s="179"/>
      <c r="P199" s="180">
        <v>36</v>
      </c>
      <c r="Q199" s="173" t="s">
        <v>583</v>
      </c>
      <c r="R199" s="173" t="s">
        <v>230</v>
      </c>
      <c r="S199" s="174">
        <v>44587</v>
      </c>
      <c r="T199" s="173" t="s">
        <v>33</v>
      </c>
      <c r="U199" s="182">
        <v>7338.06</v>
      </c>
      <c r="V199" s="177">
        <f>IF(U199=0,0,IF(T199="MXN",1/HLOOKUP(YEAR(S199)+(MONTH(S199)/100),TC!$5:$37,DAY(S199)+2,FALSE),VLOOKUP(T199,Equivalencia!$1:$23,((MAX(Equivalencia!$3:$3)-YEAR(S199))*14)+MONTH(S199)+2,FALSE)))</f>
        <v>1</v>
      </c>
      <c r="W199" s="178">
        <f t="shared" si="39"/>
        <v>7338.06</v>
      </c>
      <c r="X199" s="481">
        <f t="shared" si="35"/>
        <v>3846.6632142857152</v>
      </c>
      <c r="Y199" s="179"/>
      <c r="Z199" s="466">
        <f t="shared" si="36"/>
        <v>3889.0668796071418</v>
      </c>
      <c r="AA199" s="473">
        <f t="shared" si="37"/>
        <v>3448.9931203928586</v>
      </c>
      <c r="AB199" s="339">
        <f t="shared" si="38"/>
        <v>1.1017548134388706</v>
      </c>
    </row>
    <row r="200" spans="1:28" ht="20.100000000000001" customHeight="1">
      <c r="A200" s="484"/>
      <c r="B200" s="172">
        <v>1175000</v>
      </c>
      <c r="C200" s="174">
        <v>43830</v>
      </c>
      <c r="D200" s="181" t="s">
        <v>158</v>
      </c>
      <c r="E200" s="173" t="s">
        <v>33</v>
      </c>
      <c r="F200" s="176">
        <v>1163.7989285714284</v>
      </c>
      <c r="G200" s="175">
        <f t="shared" si="40"/>
        <v>12</v>
      </c>
      <c r="H200" s="175">
        <f t="shared" si="33"/>
        <v>1163.7989285714284</v>
      </c>
      <c r="I200" s="177">
        <f>IF(G200=0,0,IF(E200="MXN",1/HLOOKUP(YEAR(C200)+(MONTH(C200)/100),TC!$5:$37,DAY(C200)+2,FALSE),VLOOKUP(E200,Equivalencia!$5:$23,((MAX(Equivalencia!$3:$3)-YEAR(C200))*14)+MONTH(C200)+2,FALSE)))</f>
        <v>1</v>
      </c>
      <c r="J200" s="178">
        <f t="shared" si="41"/>
        <v>1163.7989285714284</v>
      </c>
      <c r="K200" s="462">
        <f>IF(C200=0,0,VLOOKUP(YEAR(C200),INPC!$B$4:$O$29,MONTH(C200)+1))</f>
        <v>105.934</v>
      </c>
      <c r="L200" s="462">
        <f>IF(S200=0,0,VLOOKUP(YEAR(S200),INPC!$B$4:$O$29,MONTH(S200)+1))</f>
        <v>118.002</v>
      </c>
      <c r="M200" s="463">
        <f t="shared" si="34"/>
        <v>1.1138999999999999</v>
      </c>
      <c r="N200" s="465">
        <f t="shared" si="42"/>
        <v>1296.355626535714</v>
      </c>
      <c r="O200" s="179"/>
      <c r="P200" s="180">
        <v>12</v>
      </c>
      <c r="Q200" s="173" t="s">
        <v>583</v>
      </c>
      <c r="R200" s="173" t="s">
        <v>230</v>
      </c>
      <c r="S200" s="174">
        <v>44587</v>
      </c>
      <c r="T200" s="173" t="s">
        <v>33</v>
      </c>
      <c r="U200" s="182">
        <v>2482.6999999999998</v>
      </c>
      <c r="V200" s="177">
        <f>IF(U200=0,0,IF(T200="MXN",1/HLOOKUP(YEAR(S200)+(MONTH(S200)/100),TC!$5:$37,DAY(S200)+2,FALSE),VLOOKUP(T200,Equivalencia!$1:$23,((MAX(Equivalencia!$3:$3)-YEAR(S200))*14)+MONTH(S200)+2,FALSE)))</f>
        <v>1</v>
      </c>
      <c r="W200" s="178">
        <f t="shared" si="39"/>
        <v>2482.6999999999998</v>
      </c>
      <c r="X200" s="481">
        <f t="shared" si="35"/>
        <v>1318.9010714285714</v>
      </c>
      <c r="Y200" s="179"/>
      <c r="Z200" s="466">
        <f t="shared" si="36"/>
        <v>1296.355626535714</v>
      </c>
      <c r="AA200" s="473">
        <f t="shared" si="37"/>
        <v>1186.3443734642858</v>
      </c>
      <c r="AB200" s="339">
        <f t="shared" si="38"/>
        <v>1.1332722853143817</v>
      </c>
    </row>
    <row r="201" spans="1:28" ht="20.100000000000001" customHeight="1">
      <c r="A201" s="484"/>
      <c r="B201" s="172">
        <v>1175000</v>
      </c>
      <c r="C201" s="174">
        <v>43830</v>
      </c>
      <c r="D201" s="181" t="s">
        <v>158</v>
      </c>
      <c r="E201" s="173" t="s">
        <v>33</v>
      </c>
      <c r="F201" s="176">
        <v>1357.7654166666666</v>
      </c>
      <c r="G201" s="175">
        <f t="shared" si="40"/>
        <v>14</v>
      </c>
      <c r="H201" s="175">
        <f t="shared" si="33"/>
        <v>1357.7654166666666</v>
      </c>
      <c r="I201" s="177">
        <f>IF(G201=0,0,IF(E201="MXN",1/HLOOKUP(YEAR(C201)+(MONTH(C201)/100),TC!$5:$37,DAY(C201)+2,FALSE),VLOOKUP(E201,Equivalencia!$5:$23,((MAX(Equivalencia!$3:$3)-YEAR(C201))*14)+MONTH(C201)+2,FALSE)))</f>
        <v>1</v>
      </c>
      <c r="J201" s="178">
        <f t="shared" si="41"/>
        <v>1357.7654166666666</v>
      </c>
      <c r="K201" s="462">
        <f>IF(C201=0,0,VLOOKUP(YEAR(C201),INPC!$B$4:$O$29,MONTH(C201)+1))</f>
        <v>105.934</v>
      </c>
      <c r="L201" s="462">
        <f>IF(S201=0,0,VLOOKUP(YEAR(S201),INPC!$B$4:$O$29,MONTH(S201)+1))</f>
        <v>120.15900000000001</v>
      </c>
      <c r="M201" s="463">
        <f t="shared" si="34"/>
        <v>1.1342000000000001</v>
      </c>
      <c r="N201" s="465">
        <f t="shared" si="42"/>
        <v>1539.9775355833335</v>
      </c>
      <c r="O201" s="179"/>
      <c r="P201" s="180">
        <v>14</v>
      </c>
      <c r="Q201" s="173" t="s">
        <v>583</v>
      </c>
      <c r="R201" s="173" t="s">
        <v>230</v>
      </c>
      <c r="S201" s="174">
        <v>44631</v>
      </c>
      <c r="T201" s="173" t="s">
        <v>33</v>
      </c>
      <c r="U201" s="182">
        <v>2607.89</v>
      </c>
      <c r="V201" s="177">
        <f>IF(U201=0,0,IF(T201="MXN",1/HLOOKUP(YEAR(S201)+(MONTH(S201)/100),TC!$5:$37,DAY(S201)+2,FALSE),VLOOKUP(T201,Equivalencia!$1:$23,((MAX(Equivalencia!$3:$3)-YEAR(S201))*14)+MONTH(S201)+2,FALSE)))</f>
        <v>1</v>
      </c>
      <c r="W201" s="178">
        <f t="shared" si="39"/>
        <v>2607.89</v>
      </c>
      <c r="X201" s="481">
        <f t="shared" si="35"/>
        <v>1250.1245833333332</v>
      </c>
      <c r="Y201" s="179"/>
      <c r="Z201" s="466">
        <f t="shared" si="36"/>
        <v>1539.9775355833335</v>
      </c>
      <c r="AA201" s="473">
        <f t="shared" si="37"/>
        <v>1067.9124644166664</v>
      </c>
      <c r="AB201" s="339">
        <f t="shared" si="38"/>
        <v>0.92072206876678808</v>
      </c>
    </row>
    <row r="202" spans="1:28" ht="20.100000000000001" customHeight="1">
      <c r="A202" s="484"/>
      <c r="B202" s="172">
        <v>1175000</v>
      </c>
      <c r="C202" s="174">
        <v>43830</v>
      </c>
      <c r="D202" s="181" t="s">
        <v>158</v>
      </c>
      <c r="E202" s="173" t="s">
        <v>33</v>
      </c>
      <c r="F202" s="176">
        <v>2230.6146130952379</v>
      </c>
      <c r="G202" s="175">
        <f t="shared" si="40"/>
        <v>23</v>
      </c>
      <c r="H202" s="175">
        <f t="shared" si="33"/>
        <v>2230.6146130952379</v>
      </c>
      <c r="I202" s="177">
        <f>IF(G202=0,0,IF(E202="MXN",1/HLOOKUP(YEAR(C202)+(MONTH(C202)/100),TC!$5:$37,DAY(C202)+2,FALSE),VLOOKUP(E202,Equivalencia!$5:$23,((MAX(Equivalencia!$3:$3)-YEAR(C202))*14)+MONTH(C202)+2,FALSE)))</f>
        <v>1</v>
      </c>
      <c r="J202" s="178">
        <f t="shared" si="41"/>
        <v>2230.6146130952379</v>
      </c>
      <c r="K202" s="462">
        <f>IF(C202=0,0,VLOOKUP(YEAR(C202),INPC!$B$4:$O$29,MONTH(C202)+1))</f>
        <v>105.934</v>
      </c>
      <c r="L202" s="462">
        <f>IF(S202=0,0,VLOOKUP(YEAR(S202),INPC!$B$4:$O$29,MONTH(S202)+1))</f>
        <v>120.15900000000001</v>
      </c>
      <c r="M202" s="463">
        <f t="shared" si="34"/>
        <v>1.1342000000000001</v>
      </c>
      <c r="N202" s="465">
        <f t="shared" si="42"/>
        <v>2529.9630941726191</v>
      </c>
      <c r="O202" s="179"/>
      <c r="P202" s="180">
        <v>23</v>
      </c>
      <c r="Q202" s="173" t="s">
        <v>583</v>
      </c>
      <c r="R202" s="173" t="s">
        <v>230</v>
      </c>
      <c r="S202" s="174">
        <v>44631</v>
      </c>
      <c r="T202" s="173" t="s">
        <v>33</v>
      </c>
      <c r="U202" s="182">
        <v>4216.9399999999996</v>
      </c>
      <c r="V202" s="177">
        <f>IF(U202=0,0,IF(T202="MXN",1/HLOOKUP(YEAR(S202)+(MONTH(S202)/100),TC!$5:$37,DAY(S202)+2,FALSE),VLOOKUP(T202,Equivalencia!$1:$23,((MAX(Equivalencia!$3:$3)-YEAR(S202))*14)+MONTH(S202)+2,FALSE)))</f>
        <v>1</v>
      </c>
      <c r="W202" s="178">
        <f t="shared" si="39"/>
        <v>4216.9399999999996</v>
      </c>
      <c r="X202" s="481">
        <f t="shared" si="35"/>
        <v>1986.3253869047617</v>
      </c>
      <c r="Y202" s="179"/>
      <c r="Z202" s="466">
        <f t="shared" si="36"/>
        <v>2529.9630941726191</v>
      </c>
      <c r="AA202" s="473">
        <f t="shared" si="37"/>
        <v>1686.9769058273805</v>
      </c>
      <c r="AB202" s="339">
        <f t="shared" si="38"/>
        <v>0.8904834457927735</v>
      </c>
    </row>
    <row r="203" spans="1:28" ht="20.100000000000001" customHeight="1">
      <c r="A203" s="484"/>
      <c r="B203" s="172">
        <v>1175000</v>
      </c>
      <c r="C203" s="174">
        <v>43830</v>
      </c>
      <c r="D203" s="181" t="s">
        <v>158</v>
      </c>
      <c r="E203" s="173" t="s">
        <v>33</v>
      </c>
      <c r="F203" s="176">
        <v>193.96648809523808</v>
      </c>
      <c r="G203" s="175">
        <f t="shared" si="40"/>
        <v>2</v>
      </c>
      <c r="H203" s="175">
        <f t="shared" si="33"/>
        <v>193.96648809523808</v>
      </c>
      <c r="I203" s="177">
        <f>IF(G203=0,0,IF(E203="MXN",1/HLOOKUP(YEAR(C203)+(MONTH(C203)/100),TC!$5:$37,DAY(C203)+2,FALSE),VLOOKUP(E203,Equivalencia!$5:$23,((MAX(Equivalencia!$3:$3)-YEAR(C203))*14)+MONTH(C203)+2,FALSE)))</f>
        <v>1</v>
      </c>
      <c r="J203" s="178">
        <f t="shared" si="41"/>
        <v>193.96648809523808</v>
      </c>
      <c r="K203" s="462">
        <f>IF(C203=0,0,VLOOKUP(YEAR(C203),INPC!$B$4:$O$29,MONTH(C203)+1))</f>
        <v>105.934</v>
      </c>
      <c r="L203" s="462">
        <f>IF(S203=0,0,VLOOKUP(YEAR(S203),INPC!$B$4:$O$29,MONTH(S203)+1))</f>
        <v>120.15900000000001</v>
      </c>
      <c r="M203" s="463">
        <f t="shared" si="34"/>
        <v>1.1342000000000001</v>
      </c>
      <c r="N203" s="465">
        <f t="shared" si="42"/>
        <v>219.99679079761904</v>
      </c>
      <c r="O203" s="179"/>
      <c r="P203" s="180">
        <v>2</v>
      </c>
      <c r="Q203" s="173" t="s">
        <v>583</v>
      </c>
      <c r="R203" s="173" t="s">
        <v>230</v>
      </c>
      <c r="S203" s="174">
        <v>44631</v>
      </c>
      <c r="T203" s="173" t="s">
        <v>33</v>
      </c>
      <c r="U203" s="182">
        <v>364.59</v>
      </c>
      <c r="V203" s="177">
        <f>IF(U203=0,0,IF(T203="MXN",1/HLOOKUP(YEAR(S203)+(MONTH(S203)/100),TC!$5:$37,DAY(S203)+2,FALSE),VLOOKUP(T203,Equivalencia!$1:$23,((MAX(Equivalencia!$3:$3)-YEAR(S203))*14)+MONTH(S203)+2,FALSE)))</f>
        <v>1</v>
      </c>
      <c r="W203" s="178">
        <f t="shared" si="39"/>
        <v>364.59</v>
      </c>
      <c r="X203" s="481">
        <f t="shared" si="35"/>
        <v>170.6235119047619</v>
      </c>
      <c r="Y203" s="179"/>
      <c r="Z203" s="466">
        <f t="shared" si="36"/>
        <v>219.99679079761904</v>
      </c>
      <c r="AA203" s="473">
        <f t="shared" si="37"/>
        <v>144.59320920238093</v>
      </c>
      <c r="AB203" s="339">
        <f t="shared" si="38"/>
        <v>0.87965459178177885</v>
      </c>
    </row>
    <row r="204" spans="1:28" ht="20.100000000000001" customHeight="1">
      <c r="A204" s="484"/>
      <c r="B204" s="172">
        <v>1175000</v>
      </c>
      <c r="C204" s="174">
        <v>43830</v>
      </c>
      <c r="D204" s="181" t="s">
        <v>158</v>
      </c>
      <c r="E204" s="173" t="s">
        <v>33</v>
      </c>
      <c r="F204" s="176">
        <v>193.96648809523808</v>
      </c>
      <c r="G204" s="175">
        <f t="shared" si="40"/>
        <v>2</v>
      </c>
      <c r="H204" s="175">
        <f t="shared" si="33"/>
        <v>193.96648809523808</v>
      </c>
      <c r="I204" s="177">
        <f>IF(G204=0,0,IF(E204="MXN",1/HLOOKUP(YEAR(C204)+(MONTH(C204)/100),TC!$5:$37,DAY(C204)+2,FALSE),VLOOKUP(E204,Equivalencia!$5:$23,((MAX(Equivalencia!$3:$3)-YEAR(C204))*14)+MONTH(C204)+2,FALSE)))</f>
        <v>1</v>
      </c>
      <c r="J204" s="178">
        <f t="shared" si="41"/>
        <v>193.96648809523808</v>
      </c>
      <c r="K204" s="462">
        <f>IF(C204=0,0,VLOOKUP(YEAR(C204),INPC!$B$4:$O$29,MONTH(C204)+1))</f>
        <v>105.934</v>
      </c>
      <c r="L204" s="462">
        <f>IF(S204=0,0,VLOOKUP(YEAR(S204),INPC!$B$4:$O$29,MONTH(S204)+1))</f>
        <v>120.15900000000001</v>
      </c>
      <c r="M204" s="463">
        <f t="shared" si="34"/>
        <v>1.1342000000000001</v>
      </c>
      <c r="N204" s="465">
        <f t="shared" si="42"/>
        <v>219.99679079761904</v>
      </c>
      <c r="O204" s="179"/>
      <c r="P204" s="180">
        <v>2</v>
      </c>
      <c r="Q204" s="173" t="s">
        <v>583</v>
      </c>
      <c r="R204" s="173" t="s">
        <v>230</v>
      </c>
      <c r="S204" s="174">
        <v>44634</v>
      </c>
      <c r="T204" s="173" t="s">
        <v>33</v>
      </c>
      <c r="U204" s="182">
        <v>370.81</v>
      </c>
      <c r="V204" s="177">
        <f>IF(U204=0,0,IF(T204="MXN",1/HLOOKUP(YEAR(S204)+(MONTH(S204)/100),TC!$5:$37,DAY(S204)+2,FALSE),VLOOKUP(T204,Equivalencia!$1:$23,((MAX(Equivalencia!$3:$3)-YEAR(S204))*14)+MONTH(S204)+2,FALSE)))</f>
        <v>1</v>
      </c>
      <c r="W204" s="178">
        <f t="shared" si="39"/>
        <v>370.81</v>
      </c>
      <c r="X204" s="481">
        <f t="shared" si="35"/>
        <v>176.84351190476193</v>
      </c>
      <c r="Y204" s="179"/>
      <c r="Z204" s="466">
        <f t="shared" si="36"/>
        <v>219.99679079761904</v>
      </c>
      <c r="AA204" s="473">
        <f t="shared" si="37"/>
        <v>150.81320920238096</v>
      </c>
      <c r="AB204" s="339">
        <f t="shared" si="38"/>
        <v>0.9117219868306905</v>
      </c>
    </row>
    <row r="205" spans="1:28" ht="20.100000000000001" customHeight="1">
      <c r="A205" s="484"/>
      <c r="B205" s="172">
        <v>1175000</v>
      </c>
      <c r="C205" s="174">
        <v>43830</v>
      </c>
      <c r="D205" s="181" t="s">
        <v>158</v>
      </c>
      <c r="E205" s="173" t="s">
        <v>33</v>
      </c>
      <c r="F205" s="176">
        <v>1260.7821726190475</v>
      </c>
      <c r="G205" s="175">
        <f t="shared" si="40"/>
        <v>13</v>
      </c>
      <c r="H205" s="175">
        <f t="shared" si="33"/>
        <v>1260.7821726190475</v>
      </c>
      <c r="I205" s="177">
        <f>IF(G205=0,0,IF(E205="MXN",1/HLOOKUP(YEAR(C205)+(MONTH(C205)/100),TC!$5:$37,DAY(C205)+2,FALSE),VLOOKUP(E205,Equivalencia!$5:$23,((MAX(Equivalencia!$3:$3)-YEAR(C205))*14)+MONTH(C205)+2,FALSE)))</f>
        <v>1</v>
      </c>
      <c r="J205" s="178">
        <f t="shared" si="41"/>
        <v>1260.7821726190475</v>
      </c>
      <c r="K205" s="462">
        <f>IF(C205=0,0,VLOOKUP(YEAR(C205),INPC!$B$4:$O$29,MONTH(C205)+1))</f>
        <v>105.934</v>
      </c>
      <c r="L205" s="462">
        <f>IF(S205=0,0,VLOOKUP(YEAR(S205),INPC!$B$4:$O$29,MONTH(S205)+1))</f>
        <v>120.15900000000001</v>
      </c>
      <c r="M205" s="463">
        <f t="shared" si="34"/>
        <v>1.1342000000000001</v>
      </c>
      <c r="N205" s="465">
        <f t="shared" si="42"/>
        <v>1429.9791401845239</v>
      </c>
      <c r="O205" s="179"/>
      <c r="P205" s="180">
        <v>13</v>
      </c>
      <c r="Q205" s="173" t="s">
        <v>583</v>
      </c>
      <c r="R205" s="173" t="s">
        <v>230</v>
      </c>
      <c r="S205" s="174">
        <v>44634</v>
      </c>
      <c r="T205" s="173" t="s">
        <v>33</v>
      </c>
      <c r="U205" s="182">
        <v>2403</v>
      </c>
      <c r="V205" s="177">
        <f>IF(U205=0,0,IF(T205="MXN",1/HLOOKUP(YEAR(S205)+(MONTH(S205)/100),TC!$5:$37,DAY(S205)+2,FALSE),VLOOKUP(T205,Equivalencia!$1:$23,((MAX(Equivalencia!$3:$3)-YEAR(S205))*14)+MONTH(S205)+2,FALSE)))</f>
        <v>1</v>
      </c>
      <c r="W205" s="178">
        <f t="shared" si="39"/>
        <v>2403</v>
      </c>
      <c r="X205" s="481">
        <f t="shared" si="35"/>
        <v>1142.2178273809525</v>
      </c>
      <c r="Y205" s="179"/>
      <c r="Z205" s="466">
        <f t="shared" si="36"/>
        <v>1429.9791401845239</v>
      </c>
      <c r="AA205" s="473">
        <f t="shared" si="37"/>
        <v>973.02085981547611</v>
      </c>
      <c r="AB205" s="339">
        <f t="shared" si="38"/>
        <v>0.90595969088633366</v>
      </c>
    </row>
    <row r="206" spans="1:28" ht="20.100000000000001" customHeight="1">
      <c r="A206" s="484"/>
      <c r="B206" s="172">
        <v>1175000</v>
      </c>
      <c r="C206" s="174">
        <v>43830</v>
      </c>
      <c r="D206" s="181" t="s">
        <v>158</v>
      </c>
      <c r="E206" s="173" t="s">
        <v>33</v>
      </c>
      <c r="F206" s="176">
        <v>1648.7151488095237</v>
      </c>
      <c r="G206" s="175">
        <f t="shared" si="40"/>
        <v>17</v>
      </c>
      <c r="H206" s="175">
        <f t="shared" si="33"/>
        <v>1648.7151488095237</v>
      </c>
      <c r="I206" s="177">
        <f>IF(G206=0,0,IF(E206="MXN",1/HLOOKUP(YEAR(C206)+(MONTH(C206)/100),TC!$5:$37,DAY(C206)+2,FALSE),VLOOKUP(E206,Equivalencia!$5:$23,((MAX(Equivalencia!$3:$3)-YEAR(C206))*14)+MONTH(C206)+2,FALSE)))</f>
        <v>1</v>
      </c>
      <c r="J206" s="178">
        <f t="shared" si="41"/>
        <v>1648.7151488095237</v>
      </c>
      <c r="K206" s="462">
        <f>IF(C206=0,0,VLOOKUP(YEAR(C206),INPC!$B$4:$O$29,MONTH(C206)+1))</f>
        <v>105.934</v>
      </c>
      <c r="L206" s="462">
        <f>IF(S206=0,0,VLOOKUP(YEAR(S206),INPC!$B$4:$O$29,MONTH(S206)+1))</f>
        <v>120.15900000000001</v>
      </c>
      <c r="M206" s="463">
        <f t="shared" si="34"/>
        <v>1.1342000000000001</v>
      </c>
      <c r="N206" s="465">
        <f t="shared" si="42"/>
        <v>1869.972721779762</v>
      </c>
      <c r="O206" s="179"/>
      <c r="P206" s="180">
        <v>17</v>
      </c>
      <c r="Q206" s="173" t="s">
        <v>583</v>
      </c>
      <c r="R206" s="173" t="s">
        <v>230</v>
      </c>
      <c r="S206" s="174">
        <v>44634</v>
      </c>
      <c r="T206" s="173" t="s">
        <v>33</v>
      </c>
      <c r="U206" s="182">
        <v>3114.64</v>
      </c>
      <c r="V206" s="177">
        <f>IF(U206=0,0,IF(T206="MXN",1/HLOOKUP(YEAR(S206)+(MONTH(S206)/100),TC!$5:$37,DAY(S206)+2,FALSE),VLOOKUP(T206,Equivalencia!$1:$23,((MAX(Equivalencia!$3:$3)-YEAR(S206))*14)+MONTH(S206)+2,FALSE)))</f>
        <v>1</v>
      </c>
      <c r="W206" s="178">
        <f t="shared" si="39"/>
        <v>3114.64</v>
      </c>
      <c r="X206" s="481">
        <f t="shared" si="35"/>
        <v>1465.9248511904761</v>
      </c>
      <c r="Y206" s="179"/>
      <c r="Z206" s="466">
        <f t="shared" si="36"/>
        <v>1869.972721779762</v>
      </c>
      <c r="AA206" s="473">
        <f t="shared" si="37"/>
        <v>1244.6672782202379</v>
      </c>
      <c r="AB206" s="339">
        <f t="shared" si="38"/>
        <v>0.88913166852925829</v>
      </c>
    </row>
    <row r="207" spans="1:28" ht="20.100000000000001" customHeight="1">
      <c r="A207" s="484"/>
      <c r="B207" s="172">
        <v>1175000</v>
      </c>
      <c r="C207" s="174">
        <v>43830</v>
      </c>
      <c r="D207" s="181" t="s">
        <v>158</v>
      </c>
      <c r="E207" s="173" t="s">
        <v>33</v>
      </c>
      <c r="F207" s="176">
        <v>581.8994642857142</v>
      </c>
      <c r="G207" s="175">
        <f t="shared" si="40"/>
        <v>6</v>
      </c>
      <c r="H207" s="175">
        <f t="shared" si="33"/>
        <v>581.8994642857142</v>
      </c>
      <c r="I207" s="177">
        <f>IF(G207=0,0,IF(E207="MXN",1/HLOOKUP(YEAR(C207)+(MONTH(C207)/100),TC!$5:$37,DAY(C207)+2,FALSE),VLOOKUP(E207,Equivalencia!$5:$23,((MAX(Equivalencia!$3:$3)-YEAR(C207))*14)+MONTH(C207)+2,FALSE)))</f>
        <v>1</v>
      </c>
      <c r="J207" s="178">
        <f t="shared" si="41"/>
        <v>581.8994642857142</v>
      </c>
      <c r="K207" s="462">
        <f>IF(C207=0,0,VLOOKUP(YEAR(C207),INPC!$B$4:$O$29,MONTH(C207)+1))</f>
        <v>105.934</v>
      </c>
      <c r="L207" s="462">
        <f>IF(S207=0,0,VLOOKUP(YEAR(S207),INPC!$B$4:$O$29,MONTH(S207)+1))</f>
        <v>120.15900000000001</v>
      </c>
      <c r="M207" s="463">
        <f t="shared" si="34"/>
        <v>1.1342000000000001</v>
      </c>
      <c r="N207" s="465">
        <f t="shared" si="42"/>
        <v>659.99037239285713</v>
      </c>
      <c r="O207" s="179"/>
      <c r="P207" s="180">
        <v>6</v>
      </c>
      <c r="Q207" s="173" t="s">
        <v>583</v>
      </c>
      <c r="R207" s="173" t="s">
        <v>230</v>
      </c>
      <c r="S207" s="174">
        <v>44634</v>
      </c>
      <c r="T207" s="173" t="s">
        <v>33</v>
      </c>
      <c r="U207" s="182">
        <v>1106.1300000000001</v>
      </c>
      <c r="V207" s="177">
        <f>IF(U207=0,0,IF(T207="MXN",1/HLOOKUP(YEAR(S207)+(MONTH(S207)/100),TC!$5:$37,DAY(S207)+2,FALSE),VLOOKUP(T207,Equivalencia!$1:$23,((MAX(Equivalencia!$3:$3)-YEAR(S207))*14)+MONTH(S207)+2,FALSE)))</f>
        <v>1</v>
      </c>
      <c r="W207" s="178">
        <f t="shared" si="39"/>
        <v>1106.1300000000001</v>
      </c>
      <c r="X207" s="481">
        <f t="shared" si="35"/>
        <v>524.23053571428591</v>
      </c>
      <c r="Y207" s="179"/>
      <c r="Z207" s="466">
        <f t="shared" si="36"/>
        <v>659.99037239285713</v>
      </c>
      <c r="AA207" s="473">
        <f t="shared" si="37"/>
        <v>446.13962760714298</v>
      </c>
      <c r="AB207" s="339">
        <f t="shared" si="38"/>
        <v>0.90089537435437017</v>
      </c>
    </row>
    <row r="208" spans="1:28" ht="20.100000000000001" customHeight="1">
      <c r="A208" s="484"/>
      <c r="B208" s="172">
        <v>1175000</v>
      </c>
      <c r="C208" s="174">
        <v>43830</v>
      </c>
      <c r="D208" s="181" t="s">
        <v>158</v>
      </c>
      <c r="E208" s="173" t="s">
        <v>33</v>
      </c>
      <c r="F208" s="176">
        <v>1163.7989285714284</v>
      </c>
      <c r="G208" s="175">
        <f t="shared" si="40"/>
        <v>12</v>
      </c>
      <c r="H208" s="175">
        <f t="shared" si="33"/>
        <v>1163.7989285714284</v>
      </c>
      <c r="I208" s="177">
        <f>IF(G208=0,0,IF(E208="MXN",1/HLOOKUP(YEAR(C208)+(MONTH(C208)/100),TC!$5:$37,DAY(C208)+2,FALSE),VLOOKUP(E208,Equivalencia!$5:$23,((MAX(Equivalencia!$3:$3)-YEAR(C208))*14)+MONTH(C208)+2,FALSE)))</f>
        <v>1</v>
      </c>
      <c r="J208" s="178">
        <f t="shared" si="41"/>
        <v>1163.7989285714284</v>
      </c>
      <c r="K208" s="462">
        <f>IF(C208=0,0,VLOOKUP(YEAR(C208),INPC!$B$4:$O$29,MONTH(C208)+1))</f>
        <v>105.934</v>
      </c>
      <c r="L208" s="462">
        <f>IF(S208=0,0,VLOOKUP(YEAR(S208),INPC!$B$4:$O$29,MONTH(S208)+1))</f>
        <v>120.809</v>
      </c>
      <c r="M208" s="463">
        <f t="shared" si="34"/>
        <v>1.1404000000000001</v>
      </c>
      <c r="N208" s="465">
        <f t="shared" si="42"/>
        <v>1327.1962981428571</v>
      </c>
      <c r="O208" s="179"/>
      <c r="P208" s="569">
        <v>12</v>
      </c>
      <c r="Q208" s="173" t="s">
        <v>583</v>
      </c>
      <c r="R208" s="173" t="s">
        <v>230</v>
      </c>
      <c r="S208" s="174">
        <v>44675</v>
      </c>
      <c r="T208" s="173" t="s">
        <v>33</v>
      </c>
      <c r="U208" s="182">
        <v>2018.518</v>
      </c>
      <c r="V208" s="177">
        <f>IF(U208=0,0,IF(T208="MXN",1/HLOOKUP(YEAR(S208)+(MONTH(S208)/100),TC!$5:$37,DAY(S208)+2,FALSE),VLOOKUP(T208,Equivalencia!$1:$23,((MAX(Equivalencia!$3:$3)-YEAR(S208))*14)+MONTH(S208)+2,FALSE)))</f>
        <v>1</v>
      </c>
      <c r="W208" s="178">
        <f t="shared" si="39"/>
        <v>2018.518</v>
      </c>
      <c r="X208" s="481">
        <f t="shared" si="35"/>
        <v>854.71907142857162</v>
      </c>
      <c r="Y208" s="179"/>
      <c r="Z208" s="466">
        <f t="shared" si="36"/>
        <v>1327.1962981428571</v>
      </c>
      <c r="AA208" s="473">
        <f t="shared" si="37"/>
        <v>691.3217018571429</v>
      </c>
      <c r="AB208" s="339">
        <f t="shared" si="38"/>
        <v>0.73442160019664682</v>
      </c>
    </row>
    <row r="209" spans="1:28" ht="20.100000000000001" customHeight="1">
      <c r="A209" s="484"/>
      <c r="B209" s="172">
        <v>1175000</v>
      </c>
      <c r="C209" s="174">
        <v>44363</v>
      </c>
      <c r="D209" s="181" t="s">
        <v>158</v>
      </c>
      <c r="E209" s="173" t="s">
        <v>33</v>
      </c>
      <c r="F209" s="176">
        <v>9014.0204184100403</v>
      </c>
      <c r="G209" s="175">
        <f t="shared" si="40"/>
        <v>48</v>
      </c>
      <c r="H209" s="175">
        <f t="shared" si="33"/>
        <v>9014.0204184100403</v>
      </c>
      <c r="I209" s="177">
        <f>IF(G209=0,0,IF(E209="MXN",1/HLOOKUP(YEAR(C209)+(MONTH(C209)/100),TC!$5:$37,DAY(C209)+2,FALSE),VLOOKUP(E209,Equivalencia!$5:$23,((MAX(Equivalencia!$3:$3)-YEAR(C209))*14)+MONTH(C209)+2,FALSE)))</f>
        <v>1</v>
      </c>
      <c r="J209" s="178">
        <f t="shared" si="41"/>
        <v>9014.0204184100403</v>
      </c>
      <c r="K209" s="462">
        <f>IF(C209=0,0,VLOOKUP(YEAR(C209),INPC!$B$4:$O$29,MONTH(C209)+1))</f>
        <v>113.018</v>
      </c>
      <c r="L209" s="462">
        <f>IF(S209=0,0,VLOOKUP(YEAR(S209),INPC!$B$4:$O$29,MONTH(S209)+1))</f>
        <v>120.809</v>
      </c>
      <c r="M209" s="463">
        <f t="shared" si="34"/>
        <v>1.0689</v>
      </c>
      <c r="N209" s="465">
        <f t="shared" si="42"/>
        <v>9635.0864252384908</v>
      </c>
      <c r="O209" s="179"/>
      <c r="P209" s="571">
        <v>48</v>
      </c>
      <c r="Q209" s="173" t="s">
        <v>583</v>
      </c>
      <c r="R209" s="173" t="s">
        <v>230</v>
      </c>
      <c r="S209" s="174">
        <v>44675</v>
      </c>
      <c r="T209" s="173" t="s">
        <v>33</v>
      </c>
      <c r="U209" s="182">
        <v>8074.0720000000001</v>
      </c>
      <c r="V209" s="177">
        <f>IF(U209=0,0,IF(T209="MXN",1/HLOOKUP(YEAR(S209)+(MONTH(S209)/100),TC!$5:$37,DAY(S209)+2,FALSE),VLOOKUP(T209,Equivalencia!$1:$23,((MAX(Equivalencia!$3:$3)-YEAR(S209))*14)+MONTH(S209)+2,FALSE)))</f>
        <v>1</v>
      </c>
      <c r="W209" s="178">
        <f t="shared" si="39"/>
        <v>8074.0720000000001</v>
      </c>
      <c r="X209" s="481">
        <f t="shared" si="35"/>
        <v>-939.94841841004018</v>
      </c>
      <c r="Y209" s="179"/>
      <c r="Z209" s="466">
        <f t="shared" si="36"/>
        <v>9635.0864252384908</v>
      </c>
      <c r="AA209" s="473">
        <f t="shared" si="37"/>
        <v>-1561.0144252384907</v>
      </c>
      <c r="AB209" s="339">
        <f t="shared" si="38"/>
        <v>-0.10427626905418474</v>
      </c>
    </row>
    <row r="210" spans="1:28" ht="20.100000000000001" customHeight="1">
      <c r="A210" s="484"/>
      <c r="B210" s="172">
        <v>1175000</v>
      </c>
      <c r="C210" s="174">
        <v>44363</v>
      </c>
      <c r="D210" s="181" t="s">
        <v>158</v>
      </c>
      <c r="E210" s="173" t="s">
        <v>33</v>
      </c>
      <c r="F210" s="176">
        <v>11079.733430962342</v>
      </c>
      <c r="G210" s="175">
        <f t="shared" si="40"/>
        <v>59</v>
      </c>
      <c r="H210" s="175">
        <f t="shared" si="33"/>
        <v>11079.733430962342</v>
      </c>
      <c r="I210" s="177">
        <f>IF(G210=0,0,IF(E210="MXN",1/HLOOKUP(YEAR(C210)+(MONTH(C210)/100),TC!$5:$37,DAY(C210)+2,FALSE),VLOOKUP(E210,Equivalencia!$5:$23,((MAX(Equivalencia!$3:$3)-YEAR(C210))*14)+MONTH(C210)+2,FALSE)))</f>
        <v>1</v>
      </c>
      <c r="J210" s="178">
        <f t="shared" si="41"/>
        <v>11079.733430962342</v>
      </c>
      <c r="K210" s="462">
        <f>IF(C210=0,0,VLOOKUP(YEAR(C210),INPC!$B$4:$O$29,MONTH(C210)+1))</f>
        <v>113.018</v>
      </c>
      <c r="L210" s="462">
        <f>IF(S210=0,0,VLOOKUP(YEAR(S210),INPC!$B$4:$O$29,MONTH(S210)+1))</f>
        <v>121.02200000000001</v>
      </c>
      <c r="M210" s="463">
        <f t="shared" si="34"/>
        <v>1.0708</v>
      </c>
      <c r="N210" s="465">
        <f t="shared" si="42"/>
        <v>11864.178557874475</v>
      </c>
      <c r="O210" s="179"/>
      <c r="P210" s="180">
        <v>59</v>
      </c>
      <c r="Q210" s="173" t="s">
        <v>583</v>
      </c>
      <c r="R210" s="173" t="s">
        <v>230</v>
      </c>
      <c r="S210" s="174">
        <v>44685</v>
      </c>
      <c r="T210" s="173" t="s">
        <v>33</v>
      </c>
      <c r="U210" s="182">
        <v>10008.36</v>
      </c>
      <c r="V210" s="177">
        <f>IF(U210=0,0,IF(T210="MXN",1/HLOOKUP(YEAR(S210)+(MONTH(S210)/100),TC!$5:$37,DAY(S210)+2,FALSE),VLOOKUP(T210,Equivalencia!$1:$23,((MAX(Equivalencia!$3:$3)-YEAR(S210))*14)+MONTH(S210)+2,FALSE)))</f>
        <v>1</v>
      </c>
      <c r="W210" s="178">
        <f t="shared" si="39"/>
        <v>10008.36</v>
      </c>
      <c r="X210" s="481">
        <f t="shared" si="35"/>
        <v>-1071.3734309623414</v>
      </c>
      <c r="Y210" s="179"/>
      <c r="Z210" s="466">
        <f t="shared" si="36"/>
        <v>11864.178557874475</v>
      </c>
      <c r="AA210" s="473">
        <f t="shared" si="37"/>
        <v>-1855.8185578744742</v>
      </c>
      <c r="AB210" s="339">
        <f t="shared" si="38"/>
        <v>-9.6696679359485782E-2</v>
      </c>
    </row>
    <row r="211" spans="1:28" ht="20.100000000000001" customHeight="1">
      <c r="B211" s="172">
        <v>1175000</v>
      </c>
      <c r="C211" s="174">
        <v>43830</v>
      </c>
      <c r="D211" s="523" t="s">
        <v>168</v>
      </c>
      <c r="E211" s="524" t="s">
        <v>33</v>
      </c>
      <c r="F211" s="525">
        <v>16169.259876543209</v>
      </c>
      <c r="G211" s="473">
        <f t="shared" si="40"/>
        <v>55</v>
      </c>
      <c r="H211" s="175">
        <f t="shared" si="33"/>
        <v>16169.259876543209</v>
      </c>
      <c r="I211" s="177">
        <f>IF(G211=0,0,IF(E211="MXN",1/HLOOKUP(YEAR(C211)+(MONTH(C211)/100),TC!$5:$37,DAY(C211)+2,FALSE),VLOOKUP(E211,Equivalencia!$5:$23,((MAX(Equivalencia!$3:$3)-YEAR(C211))*14)+MONTH(C211)+2,FALSE)))</f>
        <v>1</v>
      </c>
      <c r="J211" s="178">
        <f t="shared" si="41"/>
        <v>16169.259876543209</v>
      </c>
      <c r="K211" s="462">
        <f>IF(C211=0,0,VLOOKUP(YEAR(C211),INPC!$B$4:$O$29,MONTH(C211)+1))</f>
        <v>105.934</v>
      </c>
      <c r="L211" s="462">
        <f>IF(S211=0,0,VLOOKUP(YEAR(S211),INPC!$B$4:$O$29,MONTH(S211)+1))</f>
        <v>120.809</v>
      </c>
      <c r="M211" s="463">
        <f t="shared" si="34"/>
        <v>1.1404000000000001</v>
      </c>
      <c r="N211" s="465">
        <f t="shared" si="42"/>
        <v>18439.423963209876</v>
      </c>
      <c r="O211" s="179"/>
      <c r="P211" s="569">
        <v>55</v>
      </c>
      <c r="Q211" s="173" t="s">
        <v>583</v>
      </c>
      <c r="R211" s="173" t="s">
        <v>230</v>
      </c>
      <c r="S211" s="174">
        <v>44678</v>
      </c>
      <c r="T211" s="173" t="s">
        <v>33</v>
      </c>
      <c r="U211" s="182">
        <v>15236.063333333334</v>
      </c>
      <c r="V211" s="177">
        <f>IF(U211=0,0,IF(T211="MXN",1/HLOOKUP(YEAR(S211)+(MONTH(S211)/100),TC!$5:$37,DAY(S211)+2,FALSE),VLOOKUP(T211,Equivalencia!$1:$23,((MAX(Equivalencia!$3:$3)-YEAR(S211))*14)+MONTH(S211)+2,FALSE)))</f>
        <v>1</v>
      </c>
      <c r="W211" s="178">
        <f t="shared" si="39"/>
        <v>15236.063333333334</v>
      </c>
      <c r="X211" s="481">
        <f t="shared" si="35"/>
        <v>-933.19654320987502</v>
      </c>
      <c r="Y211" s="179"/>
      <c r="Z211" s="466">
        <f t="shared" si="36"/>
        <v>18439.423963209876</v>
      </c>
      <c r="AA211" s="473">
        <f t="shared" si="37"/>
        <v>-3203.3606298765426</v>
      </c>
      <c r="AB211" s="339">
        <f t="shared" si="38"/>
        <v>-5.7714239880804041E-2</v>
      </c>
    </row>
    <row r="212" spans="1:28" ht="20.100000000000001" customHeight="1">
      <c r="B212" s="172">
        <v>1175000</v>
      </c>
      <c r="C212" s="174">
        <v>44287</v>
      </c>
      <c r="D212" s="523" t="s">
        <v>168</v>
      </c>
      <c r="E212" s="524" t="s">
        <v>33</v>
      </c>
      <c r="F212" s="525">
        <v>129.12363636363634</v>
      </c>
      <c r="G212" s="473">
        <f t="shared" si="40"/>
        <v>20</v>
      </c>
      <c r="H212" s="175">
        <f t="shared" si="33"/>
        <v>129.12363636363634</v>
      </c>
      <c r="I212" s="177">
        <f>IF(G212=0,0,IF(E212="MXN",1/HLOOKUP(YEAR(C212)+(MONTH(C212)/100),TC!$5:$37,DAY(C212)+2,FALSE),VLOOKUP(E212,Equivalencia!$5:$23,((MAX(Equivalencia!$3:$3)-YEAR(C212))*14)+MONTH(C212)+2,FALSE)))</f>
        <v>1</v>
      </c>
      <c r="J212" s="178">
        <f t="shared" si="41"/>
        <v>129.12363636363634</v>
      </c>
      <c r="K212" s="462">
        <f>IF(C212=0,0,VLOOKUP(YEAR(C212),INPC!$B$4:$O$29,MONTH(C212)+1))</f>
        <v>112.19</v>
      </c>
      <c r="L212" s="462">
        <f>IF(S212=0,0,VLOOKUP(YEAR(S212),INPC!$B$4:$O$29,MONTH(S212)+1))</f>
        <v>120.809</v>
      </c>
      <c r="M212" s="463">
        <f t="shared" si="34"/>
        <v>1.0768</v>
      </c>
      <c r="N212" s="465">
        <f t="shared" si="42"/>
        <v>139.04033163636362</v>
      </c>
      <c r="O212" s="179"/>
      <c r="P212" s="571">
        <v>20</v>
      </c>
      <c r="Q212" s="173" t="s">
        <v>583</v>
      </c>
      <c r="R212" s="173" t="s">
        <v>230</v>
      </c>
      <c r="S212" s="174">
        <v>44678</v>
      </c>
      <c r="T212" s="173" t="s">
        <v>33</v>
      </c>
      <c r="U212" s="182">
        <v>5540.3866666666672</v>
      </c>
      <c r="V212" s="177">
        <f>IF(U212=0,0,IF(T212="MXN",1/HLOOKUP(YEAR(S212)+(MONTH(S212)/100),TC!$5:$37,DAY(S212)+2,FALSE),VLOOKUP(T212,Equivalencia!$1:$23,((MAX(Equivalencia!$3:$3)-YEAR(S212))*14)+MONTH(S212)+2,FALSE)))</f>
        <v>1</v>
      </c>
      <c r="W212" s="178">
        <f t="shared" si="39"/>
        <v>5540.3866666666672</v>
      </c>
      <c r="X212" s="481">
        <f t="shared" si="35"/>
        <v>5411.263030303031</v>
      </c>
      <c r="Y212" s="179"/>
      <c r="Z212" s="466">
        <f t="shared" si="36"/>
        <v>139.04033163636362</v>
      </c>
      <c r="AA212" s="473">
        <f t="shared" si="37"/>
        <v>5401.3463350303036</v>
      </c>
      <c r="AB212" s="339">
        <f t="shared" si="38"/>
        <v>41.907610277206729</v>
      </c>
    </row>
    <row r="213" spans="1:28" ht="20.100000000000001" customHeight="1">
      <c r="A213" s="484"/>
      <c r="B213" s="172">
        <v>1175000</v>
      </c>
      <c r="C213" s="174">
        <v>43830</v>
      </c>
      <c r="D213" s="181" t="s">
        <v>159</v>
      </c>
      <c r="E213" s="173" t="s">
        <v>33</v>
      </c>
      <c r="F213" s="176">
        <v>16091.838322851154</v>
      </c>
      <c r="G213" s="175">
        <f t="shared" si="40"/>
        <v>188</v>
      </c>
      <c r="H213" s="175">
        <f t="shared" si="33"/>
        <v>16091.838322851154</v>
      </c>
      <c r="I213" s="177">
        <f>IF(G213=0,0,IF(E213="MXN",1/HLOOKUP(YEAR(C213)+(MONTH(C213)/100),TC!$5:$37,DAY(C213)+2,FALSE),VLOOKUP(E213,Equivalencia!$5:$23,((MAX(Equivalencia!$3:$3)-YEAR(C213))*14)+MONTH(C213)+2,FALSE)))</f>
        <v>1</v>
      </c>
      <c r="J213" s="178">
        <f t="shared" si="41"/>
        <v>16091.838322851154</v>
      </c>
      <c r="K213" s="462">
        <f>IF(C213=0,0,VLOOKUP(YEAR(C213),INPC!$B$4:$O$29,MONTH(C213)+1))</f>
        <v>105.934</v>
      </c>
      <c r="L213" s="462">
        <f>IF(S213=0,0,VLOOKUP(YEAR(S213),INPC!$B$4:$O$29,MONTH(S213)+1))</f>
        <v>120.809</v>
      </c>
      <c r="M213" s="463">
        <f t="shared" si="34"/>
        <v>1.1404000000000001</v>
      </c>
      <c r="N213" s="465">
        <f t="shared" si="42"/>
        <v>18351.132423379458</v>
      </c>
      <c r="O213" s="179"/>
      <c r="P213" s="180">
        <v>188</v>
      </c>
      <c r="Q213" s="173" t="s">
        <v>583</v>
      </c>
      <c r="R213" s="173" t="s">
        <v>230</v>
      </c>
      <c r="S213" s="174">
        <v>44678</v>
      </c>
      <c r="T213" s="173" t="s">
        <v>33</v>
      </c>
      <c r="U213" s="182">
        <v>30855.85</v>
      </c>
      <c r="V213" s="177">
        <f>IF(U213=0,0,IF(T213="MXN",1/HLOOKUP(YEAR(S213)+(MONTH(S213)/100),TC!$5:$37,DAY(S213)+2,FALSE),VLOOKUP(T213,Equivalencia!$1:$23,((MAX(Equivalencia!$3:$3)-YEAR(S213))*14)+MONTH(S213)+2,FALSE)))</f>
        <v>1</v>
      </c>
      <c r="W213" s="178">
        <f t="shared" si="39"/>
        <v>30855.85</v>
      </c>
      <c r="X213" s="481">
        <f t="shared" si="35"/>
        <v>14764.011677148845</v>
      </c>
      <c r="Y213" s="179"/>
      <c r="Z213" s="466">
        <f t="shared" si="36"/>
        <v>18351.132423379458</v>
      </c>
      <c r="AA213" s="473">
        <f t="shared" si="37"/>
        <v>12504.71757662054</v>
      </c>
      <c r="AB213" s="339">
        <f t="shared" si="38"/>
        <v>0.91748446516413651</v>
      </c>
    </row>
    <row r="214" spans="1:28" ht="20.100000000000001" customHeight="1">
      <c r="A214" s="484"/>
      <c r="B214" s="172">
        <v>1175000</v>
      </c>
      <c r="C214" s="174">
        <v>43830</v>
      </c>
      <c r="D214" s="181" t="s">
        <v>176</v>
      </c>
      <c r="E214" s="173" t="s">
        <v>33</v>
      </c>
      <c r="F214" s="176">
        <v>19337.429347826084</v>
      </c>
      <c r="G214" s="175">
        <f t="shared" si="40"/>
        <v>117</v>
      </c>
      <c r="H214" s="175">
        <f t="shared" si="33"/>
        <v>19337.429347826084</v>
      </c>
      <c r="I214" s="177">
        <f>IF(G214=0,0,IF(E214="MXN",1/HLOOKUP(YEAR(C214)+(MONTH(C214)/100),TC!$5:$37,DAY(C214)+2,FALSE),VLOOKUP(E214,Equivalencia!$5:$23,((MAX(Equivalencia!$3:$3)-YEAR(C214))*14)+MONTH(C214)+2,FALSE)))</f>
        <v>1</v>
      </c>
      <c r="J214" s="178">
        <f t="shared" si="41"/>
        <v>19337.429347826084</v>
      </c>
      <c r="K214" s="462">
        <f>IF(C214=0,0,VLOOKUP(YEAR(C214),INPC!$B$4:$O$29,MONTH(C214)+1))</f>
        <v>105.934</v>
      </c>
      <c r="L214" s="462">
        <f>IF(S214=0,0,VLOOKUP(YEAR(S214),INPC!$B$4:$O$29,MONTH(S214)+1))</f>
        <v>120.809</v>
      </c>
      <c r="M214" s="463">
        <f t="shared" si="34"/>
        <v>1.1404000000000001</v>
      </c>
      <c r="N214" s="465">
        <f t="shared" si="42"/>
        <v>22052.404428260867</v>
      </c>
      <c r="O214" s="179"/>
      <c r="P214" s="180">
        <v>117</v>
      </c>
      <c r="Q214" s="173" t="s">
        <v>583</v>
      </c>
      <c r="R214" s="173" t="s">
        <v>230</v>
      </c>
      <c r="S214" s="174">
        <v>44678</v>
      </c>
      <c r="T214" s="173" t="s">
        <v>33</v>
      </c>
      <c r="U214" s="182">
        <v>27270.58</v>
      </c>
      <c r="V214" s="177">
        <f>IF(U214=0,0,IF(T214="MXN",1/HLOOKUP(YEAR(S214)+(MONTH(S214)/100),TC!$5:$37,DAY(S214)+2,FALSE),VLOOKUP(T214,Equivalencia!$1:$23,((MAX(Equivalencia!$3:$3)-YEAR(S214))*14)+MONTH(S214)+2,FALSE)))</f>
        <v>1</v>
      </c>
      <c r="W214" s="178">
        <f t="shared" si="39"/>
        <v>27270.58</v>
      </c>
      <c r="X214" s="481">
        <f t="shared" si="35"/>
        <v>7933.1506521739175</v>
      </c>
      <c r="Y214" s="179"/>
      <c r="Z214" s="466">
        <f t="shared" si="36"/>
        <v>22052.404428260867</v>
      </c>
      <c r="AA214" s="473">
        <f t="shared" si="37"/>
        <v>5218.1755717391352</v>
      </c>
      <c r="AB214" s="339">
        <f t="shared" si="38"/>
        <v>0.41024846216520316</v>
      </c>
    </row>
    <row r="215" spans="1:28" ht="20.100000000000001" customHeight="1">
      <c r="A215" s="484"/>
      <c r="B215" s="172">
        <v>1175000</v>
      </c>
      <c r="C215" s="174">
        <v>43830</v>
      </c>
      <c r="D215" s="181" t="s">
        <v>171</v>
      </c>
      <c r="E215" s="173" t="s">
        <v>33</v>
      </c>
      <c r="F215" s="176">
        <v>12236.514537444935</v>
      </c>
      <c r="G215" s="175">
        <f t="shared" si="40"/>
        <v>80</v>
      </c>
      <c r="H215" s="175">
        <f t="shared" si="33"/>
        <v>12236.514537444935</v>
      </c>
      <c r="I215" s="177">
        <f>IF(G215=0,0,IF(E215="MXN",1/HLOOKUP(YEAR(C215)+(MONTH(C215)/100),TC!$5:$37,DAY(C215)+2,FALSE),VLOOKUP(E215,Equivalencia!$5:$23,((MAX(Equivalencia!$3:$3)-YEAR(C215))*14)+MONTH(C215)+2,FALSE)))</f>
        <v>1</v>
      </c>
      <c r="J215" s="178">
        <f t="shared" si="41"/>
        <v>12236.514537444935</v>
      </c>
      <c r="K215" s="462">
        <f>IF(C215=0,0,VLOOKUP(YEAR(C215),INPC!$B$4:$O$29,MONTH(C215)+1))</f>
        <v>105.934</v>
      </c>
      <c r="L215" s="462">
        <f>IF(S215=0,0,VLOOKUP(YEAR(S215),INPC!$B$4:$O$29,MONTH(S215)+1))</f>
        <v>120.809</v>
      </c>
      <c r="M215" s="463">
        <f t="shared" si="34"/>
        <v>1.1404000000000001</v>
      </c>
      <c r="N215" s="465">
        <f t="shared" si="42"/>
        <v>13954.521178502204</v>
      </c>
      <c r="O215" s="179"/>
      <c r="P215" s="180">
        <v>80</v>
      </c>
      <c r="Q215" s="173" t="s">
        <v>583</v>
      </c>
      <c r="R215" s="173" t="s">
        <v>230</v>
      </c>
      <c r="S215" s="174">
        <v>44678</v>
      </c>
      <c r="T215" s="173" t="s">
        <v>33</v>
      </c>
      <c r="U215" s="182">
        <v>40962.99</v>
      </c>
      <c r="V215" s="177">
        <f>IF(U215=0,0,IF(T215="MXN",1/HLOOKUP(YEAR(S215)+(MONTH(S215)/100),TC!$5:$37,DAY(S215)+2,FALSE),VLOOKUP(T215,Equivalencia!$1:$23,((MAX(Equivalencia!$3:$3)-YEAR(S215))*14)+MONTH(S215)+2,FALSE)))</f>
        <v>1</v>
      </c>
      <c r="W215" s="178">
        <f t="shared" si="39"/>
        <v>40962.99</v>
      </c>
      <c r="X215" s="481">
        <f t="shared" si="35"/>
        <v>28726.475462555063</v>
      </c>
      <c r="Y215" s="179"/>
      <c r="Z215" s="466">
        <f t="shared" si="36"/>
        <v>13954.521178502204</v>
      </c>
      <c r="AA215" s="473">
        <f t="shared" si="37"/>
        <v>27008.468821497794</v>
      </c>
      <c r="AB215" s="339">
        <f t="shared" si="38"/>
        <v>2.347602773212031</v>
      </c>
    </row>
    <row r="216" spans="1:28" ht="20.100000000000001" customHeight="1">
      <c r="B216" s="172">
        <v>1427200</v>
      </c>
      <c r="C216" s="174">
        <v>44503</v>
      </c>
      <c r="D216" s="181" t="s">
        <v>261</v>
      </c>
      <c r="E216" s="173" t="s">
        <v>33</v>
      </c>
      <c r="F216" s="176">
        <v>2900.4945454545455</v>
      </c>
      <c r="G216" s="175">
        <f t="shared" si="40"/>
        <v>1</v>
      </c>
      <c r="H216" s="175">
        <f t="shared" si="33"/>
        <v>2900.4945454545455</v>
      </c>
      <c r="I216" s="177">
        <f>IF(G216=0,0,IF(E216="MXN",1/HLOOKUP(YEAR(C216)+(MONTH(C216)/100),TC!$5:$37,DAY(C216)+2,FALSE),VLOOKUP(E216,Equivalencia!$5:$23,((MAX(Equivalencia!$3:$3)-YEAR(C216))*14)+MONTH(C216)+2,FALSE)))</f>
        <v>1</v>
      </c>
      <c r="J216" s="178">
        <f t="shared" si="41"/>
        <v>2900.4945454545455</v>
      </c>
      <c r="K216" s="462">
        <f>IF(C216=0,0,VLOOKUP(YEAR(C216),INPC!$B$4:$O$29,MONTH(C216)+1))</f>
        <v>116.884</v>
      </c>
      <c r="L216" s="462">
        <f>IF(S216=0,0,VLOOKUP(YEAR(S216),INPC!$B$4:$O$29,MONTH(S216)+1))</f>
        <v>121.02200000000001</v>
      </c>
      <c r="M216" s="463">
        <f t="shared" si="34"/>
        <v>1.0354000000000001</v>
      </c>
      <c r="N216" s="465">
        <f t="shared" si="42"/>
        <v>3003.1720523636368</v>
      </c>
      <c r="O216" s="179"/>
      <c r="P216" s="180">
        <v>1</v>
      </c>
      <c r="Q216" s="173" t="s">
        <v>583</v>
      </c>
      <c r="R216" s="173" t="s">
        <v>230</v>
      </c>
      <c r="S216" s="174">
        <v>44708</v>
      </c>
      <c r="T216" s="173" t="s">
        <v>33</v>
      </c>
      <c r="U216" s="182">
        <v>2237.7199999999998</v>
      </c>
      <c r="V216" s="177">
        <f>IF(U216=0,0,IF(T216="MXN",1/HLOOKUP(YEAR(S216)+(MONTH(S216)/100),TC!$5:$37,DAY(S216)+2,FALSE),VLOOKUP(T216,Equivalencia!$1:$23,((MAX(Equivalencia!$3:$3)-YEAR(S216))*14)+MONTH(S216)+2,FALSE)))</f>
        <v>1</v>
      </c>
      <c r="W216" s="178">
        <f t="shared" si="39"/>
        <v>2237.7199999999998</v>
      </c>
      <c r="X216" s="481">
        <f t="shared" si="35"/>
        <v>-662.77454545454566</v>
      </c>
      <c r="Y216" s="179"/>
      <c r="Z216" s="466">
        <f t="shared" si="36"/>
        <v>3003.1720523636368</v>
      </c>
      <c r="AA216" s="473">
        <f t="shared" si="37"/>
        <v>-765.45205236363699</v>
      </c>
      <c r="AB216" s="339">
        <f t="shared" si="38"/>
        <v>-0.22850397925870958</v>
      </c>
    </row>
    <row r="217" spans="1:28" ht="20.100000000000001" customHeight="1">
      <c r="B217" s="172">
        <v>1427200</v>
      </c>
      <c r="C217" s="174">
        <v>44503</v>
      </c>
      <c r="D217" s="181" t="s">
        <v>262</v>
      </c>
      <c r="E217" s="173" t="s">
        <v>33</v>
      </c>
      <c r="F217" s="176">
        <v>2405.92</v>
      </c>
      <c r="G217" s="175">
        <f t="shared" si="40"/>
        <v>16</v>
      </c>
      <c r="H217" s="175">
        <f t="shared" si="33"/>
        <v>2405.92</v>
      </c>
      <c r="I217" s="177">
        <f>IF(G217=0,0,IF(E217="MXN",1/HLOOKUP(YEAR(C217)+(MONTH(C217)/100),TC!$5:$37,DAY(C217)+2,FALSE),VLOOKUP(E217,Equivalencia!$5:$23,((MAX(Equivalencia!$3:$3)-YEAR(C217))*14)+MONTH(C217)+2,FALSE)))</f>
        <v>1</v>
      </c>
      <c r="J217" s="178">
        <f t="shared" si="41"/>
        <v>2405.92</v>
      </c>
      <c r="K217" s="462">
        <f>IF(C217=0,0,VLOOKUP(YEAR(C217),INPC!$B$4:$O$29,MONTH(C217)+1))</f>
        <v>116.884</v>
      </c>
      <c r="L217" s="462">
        <f>IF(S217=0,0,VLOOKUP(YEAR(S217),INPC!$B$4:$O$29,MONTH(S217)+1))</f>
        <v>121.02200000000001</v>
      </c>
      <c r="M217" s="463">
        <f t="shared" si="34"/>
        <v>1.0354000000000001</v>
      </c>
      <c r="N217" s="465">
        <f t="shared" si="42"/>
        <v>2491.0895680000003</v>
      </c>
      <c r="O217" s="179"/>
      <c r="P217" s="180">
        <v>16</v>
      </c>
      <c r="Q217" s="173" t="s">
        <v>583</v>
      </c>
      <c r="R217" s="173" t="s">
        <v>230</v>
      </c>
      <c r="S217" s="174">
        <v>44698</v>
      </c>
      <c r="T217" s="173" t="s">
        <v>33</v>
      </c>
      <c r="U217" s="182">
        <v>2362.75</v>
      </c>
      <c r="V217" s="177">
        <f>IF(U217=0,0,IF(T217="MXN",1/HLOOKUP(YEAR(S217)+(MONTH(S217)/100),TC!$5:$37,DAY(S217)+2,FALSE),VLOOKUP(T217,Equivalencia!$1:$23,((MAX(Equivalencia!$3:$3)-YEAR(S217))*14)+MONTH(S217)+2,FALSE)))</f>
        <v>1</v>
      </c>
      <c r="W217" s="178">
        <f t="shared" si="39"/>
        <v>2362.75</v>
      </c>
      <c r="X217" s="481">
        <f t="shared" si="35"/>
        <v>-43.170000000000073</v>
      </c>
      <c r="Y217" s="179"/>
      <c r="Z217" s="466">
        <f t="shared" si="36"/>
        <v>2491.0895680000003</v>
      </c>
      <c r="AA217" s="473">
        <f t="shared" si="37"/>
        <v>-128.33956800000033</v>
      </c>
      <c r="AB217" s="339">
        <f t="shared" si="38"/>
        <v>-1.794324000798031E-2</v>
      </c>
    </row>
    <row r="218" spans="1:28" ht="20.100000000000001" customHeight="1">
      <c r="B218" s="172">
        <v>1427200</v>
      </c>
      <c r="C218" s="174">
        <v>44503</v>
      </c>
      <c r="D218" s="181" t="s">
        <v>262</v>
      </c>
      <c r="E218" s="173" t="s">
        <v>33</v>
      </c>
      <c r="F218" s="176">
        <v>1052.5900000000001</v>
      </c>
      <c r="G218" s="175">
        <f t="shared" si="40"/>
        <v>7</v>
      </c>
      <c r="H218" s="175">
        <f t="shared" si="33"/>
        <v>1052.5900000000001</v>
      </c>
      <c r="I218" s="177">
        <f>IF(G218=0,0,IF(E218="MXN",1/HLOOKUP(YEAR(C218)+(MONTH(C218)/100),TC!$5:$37,DAY(C218)+2,FALSE),VLOOKUP(E218,Equivalencia!$5:$23,((MAX(Equivalencia!$3:$3)-YEAR(C218))*14)+MONTH(C218)+2,FALSE)))</f>
        <v>1</v>
      </c>
      <c r="J218" s="178">
        <f t="shared" si="41"/>
        <v>1052.5900000000001</v>
      </c>
      <c r="K218" s="462">
        <f>IF(C218=0,0,VLOOKUP(YEAR(C218),INPC!$B$4:$O$29,MONTH(C218)+1))</f>
        <v>116.884</v>
      </c>
      <c r="L218" s="462">
        <f>IF(S218=0,0,VLOOKUP(YEAR(S218),INPC!$B$4:$O$29,MONTH(S218)+1))</f>
        <v>121.02200000000001</v>
      </c>
      <c r="M218" s="463">
        <f t="shared" si="34"/>
        <v>1.0354000000000001</v>
      </c>
      <c r="N218" s="465">
        <f t="shared" si="42"/>
        <v>1089.8516860000002</v>
      </c>
      <c r="O218" s="179"/>
      <c r="P218" s="180">
        <v>7</v>
      </c>
      <c r="Q218" s="173" t="s">
        <v>583</v>
      </c>
      <c r="R218" s="173" t="s">
        <v>230</v>
      </c>
      <c r="S218" s="174">
        <v>44698</v>
      </c>
      <c r="T218" s="173" t="s">
        <v>33</v>
      </c>
      <c r="U218" s="182">
        <v>1039.0899999999999</v>
      </c>
      <c r="V218" s="177">
        <f>IF(U218=0,0,IF(T218="MXN",1/HLOOKUP(YEAR(S218)+(MONTH(S218)/100),TC!$5:$37,DAY(S218)+2,FALSE),VLOOKUP(T218,Equivalencia!$1:$23,((MAX(Equivalencia!$3:$3)-YEAR(S218))*14)+MONTH(S218)+2,FALSE)))</f>
        <v>1</v>
      </c>
      <c r="W218" s="178">
        <f t="shared" si="39"/>
        <v>1039.0899999999999</v>
      </c>
      <c r="X218" s="481">
        <f t="shared" si="35"/>
        <v>-13.500000000000227</v>
      </c>
      <c r="Y218" s="179"/>
      <c r="Z218" s="466">
        <f t="shared" si="36"/>
        <v>1089.8516860000002</v>
      </c>
      <c r="AA218" s="473">
        <f t="shared" si="37"/>
        <v>-50.761686000000282</v>
      </c>
      <c r="AB218" s="339">
        <f t="shared" si="38"/>
        <v>-1.282550660751125E-2</v>
      </c>
    </row>
    <row r="219" spans="1:28" ht="20.100000000000001" customHeight="1">
      <c r="B219" s="172">
        <v>1427200</v>
      </c>
      <c r="C219" s="174">
        <v>44503</v>
      </c>
      <c r="D219" s="181" t="s">
        <v>263</v>
      </c>
      <c r="E219" s="173" t="s">
        <v>33</v>
      </c>
      <c r="F219" s="176">
        <v>1533</v>
      </c>
      <c r="G219" s="175">
        <f t="shared" si="40"/>
        <v>12</v>
      </c>
      <c r="H219" s="175">
        <f t="shared" si="33"/>
        <v>1533</v>
      </c>
      <c r="I219" s="177">
        <f>IF(G219=0,0,IF(E219="MXN",1/HLOOKUP(YEAR(C219)+(MONTH(C219)/100),TC!$5:$37,DAY(C219)+2,FALSE),VLOOKUP(E219,Equivalencia!$5:$23,((MAX(Equivalencia!$3:$3)-YEAR(C219))*14)+MONTH(C219)+2,FALSE)))</f>
        <v>1</v>
      </c>
      <c r="J219" s="178">
        <f t="shared" si="41"/>
        <v>1533</v>
      </c>
      <c r="K219" s="462">
        <f>IF(C219=0,0,VLOOKUP(YEAR(C219),INPC!$B$4:$O$29,MONTH(C219)+1))</f>
        <v>116.884</v>
      </c>
      <c r="L219" s="462">
        <f>IF(S219=0,0,VLOOKUP(YEAR(S219),INPC!$B$4:$O$29,MONTH(S219)+1))</f>
        <v>118.98099999999999</v>
      </c>
      <c r="M219" s="463">
        <f t="shared" si="34"/>
        <v>1.0179</v>
      </c>
      <c r="N219" s="465">
        <f t="shared" si="42"/>
        <v>1560.4407000000001</v>
      </c>
      <c r="O219" s="179"/>
      <c r="P219" s="180">
        <v>12</v>
      </c>
      <c r="Q219" s="173" t="s">
        <v>583</v>
      </c>
      <c r="R219" s="173" t="s">
        <v>230</v>
      </c>
      <c r="S219" s="174">
        <v>44610</v>
      </c>
      <c r="T219" s="173" t="s">
        <v>33</v>
      </c>
      <c r="U219" s="182">
        <v>1516.25</v>
      </c>
      <c r="V219" s="177">
        <f>IF(U219=0,0,IF(T219="MXN",1/HLOOKUP(YEAR(S219)+(MONTH(S219)/100),TC!$5:$37,DAY(S219)+2,FALSE),VLOOKUP(T219,Equivalencia!$1:$23,((MAX(Equivalencia!$3:$3)-YEAR(S219))*14)+MONTH(S219)+2,FALSE)))</f>
        <v>1</v>
      </c>
      <c r="W219" s="178">
        <f t="shared" si="39"/>
        <v>1516.25</v>
      </c>
      <c r="X219" s="481">
        <f t="shared" si="35"/>
        <v>-16.75</v>
      </c>
      <c r="Y219" s="179"/>
      <c r="Z219" s="466">
        <f t="shared" si="36"/>
        <v>1560.4407000000001</v>
      </c>
      <c r="AA219" s="473">
        <f t="shared" si="37"/>
        <v>-44.190700000000106</v>
      </c>
      <c r="AB219" s="339">
        <f t="shared" si="38"/>
        <v>-1.0926288323548583E-2</v>
      </c>
    </row>
    <row r="220" spans="1:28" ht="20.100000000000001" customHeight="1">
      <c r="B220" s="172">
        <v>1427200</v>
      </c>
      <c r="C220" s="174">
        <v>44503</v>
      </c>
      <c r="D220" s="181" t="s">
        <v>263</v>
      </c>
      <c r="E220" s="173" t="s">
        <v>33</v>
      </c>
      <c r="F220" s="176">
        <v>127.75</v>
      </c>
      <c r="G220" s="175">
        <f t="shared" si="40"/>
        <v>1</v>
      </c>
      <c r="H220" s="175">
        <f t="shared" si="33"/>
        <v>127.75</v>
      </c>
      <c r="I220" s="177">
        <f>IF(G220=0,0,IF(E220="MXN",1/HLOOKUP(YEAR(C220)+(MONTH(C220)/100),TC!$5:$37,DAY(C220)+2,FALSE),VLOOKUP(E220,Equivalencia!$5:$23,((MAX(Equivalencia!$3:$3)-YEAR(C220))*14)+MONTH(C220)+2,FALSE)))</f>
        <v>1</v>
      </c>
      <c r="J220" s="178">
        <f t="shared" si="41"/>
        <v>127.75</v>
      </c>
      <c r="K220" s="462">
        <f>IF(C220=0,0,VLOOKUP(YEAR(C220),INPC!$B$4:$O$29,MONTH(C220)+1))</f>
        <v>116.884</v>
      </c>
      <c r="L220" s="462">
        <f>IF(S220=0,0,VLOOKUP(YEAR(S220),INPC!$B$4:$O$29,MONTH(S220)+1))</f>
        <v>118.98099999999999</v>
      </c>
      <c r="M220" s="463">
        <f t="shared" si="34"/>
        <v>1.0179</v>
      </c>
      <c r="N220" s="465">
        <f t="shared" si="42"/>
        <v>130.03672499999999</v>
      </c>
      <c r="O220" s="179"/>
      <c r="P220" s="180">
        <v>1</v>
      </c>
      <c r="Q220" s="173" t="s">
        <v>583</v>
      </c>
      <c r="R220" s="173" t="s">
        <v>230</v>
      </c>
      <c r="S220" s="174">
        <v>44614</v>
      </c>
      <c r="T220" s="173" t="s">
        <v>33</v>
      </c>
      <c r="U220" s="182">
        <v>122.56</v>
      </c>
      <c r="V220" s="177">
        <f>IF(U220=0,0,IF(T220="MXN",1/HLOOKUP(YEAR(S220)+(MONTH(S220)/100),TC!$5:$37,DAY(S220)+2,FALSE),VLOOKUP(T220,Equivalencia!$1:$23,((MAX(Equivalencia!$3:$3)-YEAR(S220))*14)+MONTH(S220)+2,FALSE)))</f>
        <v>1</v>
      </c>
      <c r="W220" s="178">
        <f t="shared" si="39"/>
        <v>122.56</v>
      </c>
      <c r="X220" s="481">
        <f t="shared" si="35"/>
        <v>-5.1899999999999977</v>
      </c>
      <c r="Y220" s="179"/>
      <c r="Z220" s="466">
        <f t="shared" si="36"/>
        <v>130.03672499999999</v>
      </c>
      <c r="AA220" s="473">
        <f t="shared" si="37"/>
        <v>-7.4767249999999876</v>
      </c>
      <c r="AB220" s="339">
        <f t="shared" si="38"/>
        <v>-4.0626223091976499E-2</v>
      </c>
    </row>
    <row r="221" spans="1:28" ht="20.100000000000001" customHeight="1">
      <c r="B221" s="172">
        <v>1427200</v>
      </c>
      <c r="C221" s="174">
        <v>44503</v>
      </c>
      <c r="D221" s="181" t="s">
        <v>263</v>
      </c>
      <c r="E221" s="173" t="s">
        <v>33</v>
      </c>
      <c r="F221" s="176">
        <v>255.5</v>
      </c>
      <c r="G221" s="175">
        <f t="shared" si="40"/>
        <v>2</v>
      </c>
      <c r="H221" s="175">
        <f t="shared" si="33"/>
        <v>255.5</v>
      </c>
      <c r="I221" s="177">
        <f>IF(G221=0,0,IF(E221="MXN",1/HLOOKUP(YEAR(C221)+(MONTH(C221)/100),TC!$5:$37,DAY(C221)+2,FALSE),VLOOKUP(E221,Equivalencia!$5:$23,((MAX(Equivalencia!$3:$3)-YEAR(C221))*14)+MONTH(C221)+2,FALSE)))</f>
        <v>1</v>
      </c>
      <c r="J221" s="178">
        <f t="shared" si="41"/>
        <v>255.5</v>
      </c>
      <c r="K221" s="462">
        <f>IF(C221=0,0,VLOOKUP(YEAR(C221),INPC!$B$4:$O$29,MONTH(C221)+1))</f>
        <v>116.884</v>
      </c>
      <c r="L221" s="462">
        <f>IF(S221=0,0,VLOOKUP(YEAR(S221),INPC!$B$4:$O$29,MONTH(S221)+1))</f>
        <v>118.98099999999999</v>
      </c>
      <c r="M221" s="463">
        <f t="shared" si="34"/>
        <v>1.0179</v>
      </c>
      <c r="N221" s="465">
        <f t="shared" si="42"/>
        <v>260.07344999999998</v>
      </c>
      <c r="O221" s="179"/>
      <c r="P221" s="180">
        <v>2</v>
      </c>
      <c r="Q221" s="173" t="s">
        <v>583</v>
      </c>
      <c r="R221" s="173" t="s">
        <v>230</v>
      </c>
      <c r="S221" s="174">
        <v>44614</v>
      </c>
      <c r="T221" s="173" t="s">
        <v>33</v>
      </c>
      <c r="U221" s="182">
        <v>248.16</v>
      </c>
      <c r="V221" s="177">
        <f>IF(U221=0,0,IF(T221="MXN",1/HLOOKUP(YEAR(S221)+(MONTH(S221)/100),TC!$5:$37,DAY(S221)+2,FALSE),VLOOKUP(T221,Equivalencia!$1:$23,((MAX(Equivalencia!$3:$3)-YEAR(S221))*14)+MONTH(S221)+2,FALSE)))</f>
        <v>1</v>
      </c>
      <c r="W221" s="178">
        <f t="shared" si="39"/>
        <v>248.16</v>
      </c>
      <c r="X221" s="481">
        <f t="shared" si="35"/>
        <v>-7.3400000000000034</v>
      </c>
      <c r="Y221" s="179"/>
      <c r="Z221" s="466">
        <f t="shared" si="36"/>
        <v>260.07344999999998</v>
      </c>
      <c r="AA221" s="473">
        <f t="shared" si="37"/>
        <v>-11.913449999999983</v>
      </c>
      <c r="AB221" s="339">
        <f t="shared" si="38"/>
        <v>-2.8727984344422697E-2</v>
      </c>
    </row>
    <row r="222" spans="1:28" ht="20.100000000000001" customHeight="1">
      <c r="B222" s="172">
        <v>1427200</v>
      </c>
      <c r="C222" s="174">
        <v>44503</v>
      </c>
      <c r="D222" s="181" t="s">
        <v>264</v>
      </c>
      <c r="E222" s="173" t="s">
        <v>33</v>
      </c>
      <c r="F222" s="176">
        <v>961.51904761904768</v>
      </c>
      <c r="G222" s="175">
        <f t="shared" si="40"/>
        <v>4</v>
      </c>
      <c r="H222" s="175">
        <f t="shared" si="33"/>
        <v>961.51904761904768</v>
      </c>
      <c r="I222" s="177">
        <f>IF(G222=0,0,IF(E222="MXN",1/HLOOKUP(YEAR(C222)+(MONTH(C222)/100),TC!$5:$37,DAY(C222)+2,FALSE),VLOOKUP(E222,Equivalencia!$5:$23,((MAX(Equivalencia!$3:$3)-YEAR(C222))*14)+MONTH(C222)+2,FALSE)))</f>
        <v>1</v>
      </c>
      <c r="J222" s="178">
        <f t="shared" si="41"/>
        <v>961.51904761904768</v>
      </c>
      <c r="K222" s="462">
        <f>IF(C222=0,0,VLOOKUP(YEAR(C222),INPC!$B$4:$O$29,MONTH(C222)+1))</f>
        <v>116.884</v>
      </c>
      <c r="L222" s="462">
        <f>IF(S222=0,0,VLOOKUP(YEAR(S222),INPC!$B$4:$O$29,MONTH(S222)+1))</f>
        <v>121.02200000000001</v>
      </c>
      <c r="M222" s="463">
        <f t="shared" si="34"/>
        <v>1.0354000000000001</v>
      </c>
      <c r="N222" s="465">
        <f t="shared" si="42"/>
        <v>995.55682190476205</v>
      </c>
      <c r="O222" s="179"/>
      <c r="P222" s="180">
        <v>4</v>
      </c>
      <c r="Q222" s="173" t="s">
        <v>583</v>
      </c>
      <c r="R222" s="173" t="s">
        <v>230</v>
      </c>
      <c r="S222" s="174">
        <v>44694</v>
      </c>
      <c r="T222" s="173" t="s">
        <v>33</v>
      </c>
      <c r="U222" s="182">
        <v>936.78</v>
      </c>
      <c r="V222" s="177">
        <f>IF(U222=0,0,IF(T222="MXN",1/HLOOKUP(YEAR(S222)+(MONTH(S222)/100),TC!$5:$37,DAY(S222)+2,FALSE),VLOOKUP(T222,Equivalencia!$1:$23,((MAX(Equivalencia!$3:$3)-YEAR(S222))*14)+MONTH(S222)+2,FALSE)))</f>
        <v>1</v>
      </c>
      <c r="W222" s="178">
        <f t="shared" si="39"/>
        <v>936.78</v>
      </c>
      <c r="X222" s="481">
        <f t="shared" si="35"/>
        <v>-24.73904761904771</v>
      </c>
      <c r="Y222" s="179"/>
      <c r="Z222" s="466">
        <f t="shared" si="36"/>
        <v>995.55682190476205</v>
      </c>
      <c r="AA222" s="473">
        <f t="shared" si="37"/>
        <v>-58.776821904762073</v>
      </c>
      <c r="AB222" s="339">
        <f t="shared" si="38"/>
        <v>-2.5729129007176277E-2</v>
      </c>
    </row>
    <row r="223" spans="1:28" ht="20.100000000000001" customHeight="1">
      <c r="B223" s="172">
        <v>1427200</v>
      </c>
      <c r="C223" s="174">
        <v>44503</v>
      </c>
      <c r="D223" s="181" t="s">
        <v>264</v>
      </c>
      <c r="E223" s="173" t="s">
        <v>33</v>
      </c>
      <c r="F223" s="176">
        <v>240.37976190476192</v>
      </c>
      <c r="G223" s="175">
        <f t="shared" si="40"/>
        <v>1</v>
      </c>
      <c r="H223" s="175">
        <f t="shared" si="33"/>
        <v>240.37976190476192</v>
      </c>
      <c r="I223" s="177">
        <f>IF(G223=0,0,IF(E223="MXN",1/HLOOKUP(YEAR(C223)+(MONTH(C223)/100),TC!$5:$37,DAY(C223)+2,FALSE),VLOOKUP(E223,Equivalencia!$5:$23,((MAX(Equivalencia!$3:$3)-YEAR(C223))*14)+MONTH(C223)+2,FALSE)))</f>
        <v>1</v>
      </c>
      <c r="J223" s="178">
        <f t="shared" si="41"/>
        <v>240.37976190476192</v>
      </c>
      <c r="K223" s="462">
        <f>IF(C223=0,0,VLOOKUP(YEAR(C223),INPC!$B$4:$O$29,MONTH(C223)+1))</f>
        <v>116.884</v>
      </c>
      <c r="L223" s="462">
        <f>IF(S223=0,0,VLOOKUP(YEAR(S223),INPC!$B$4:$O$29,MONTH(S223)+1))</f>
        <v>121.02200000000001</v>
      </c>
      <c r="M223" s="463">
        <f t="shared" si="34"/>
        <v>1.0354000000000001</v>
      </c>
      <c r="N223" s="465">
        <f t="shared" si="42"/>
        <v>248.88920547619051</v>
      </c>
      <c r="O223" s="179"/>
      <c r="P223" s="180">
        <v>1</v>
      </c>
      <c r="Q223" s="173" t="s">
        <v>583</v>
      </c>
      <c r="R223" s="173" t="s">
        <v>230</v>
      </c>
      <c r="S223" s="174">
        <v>44694</v>
      </c>
      <c r="T223" s="173" t="s">
        <v>33</v>
      </c>
      <c r="U223" s="182">
        <v>233.94</v>
      </c>
      <c r="V223" s="177">
        <f>IF(U223=0,0,IF(T223="MXN",1/HLOOKUP(YEAR(S223)+(MONTH(S223)/100),TC!$5:$37,DAY(S223)+2,FALSE),VLOOKUP(T223,Equivalencia!$1:$23,((MAX(Equivalencia!$3:$3)-YEAR(S223))*14)+MONTH(S223)+2,FALSE)))</f>
        <v>1</v>
      </c>
      <c r="W223" s="178">
        <f t="shared" si="39"/>
        <v>233.94</v>
      </c>
      <c r="X223" s="481">
        <f t="shared" si="35"/>
        <v>-6.439761904761923</v>
      </c>
      <c r="Y223" s="179"/>
      <c r="Z223" s="466">
        <f t="shared" si="36"/>
        <v>248.88920547619051</v>
      </c>
      <c r="AA223" s="473">
        <f t="shared" si="37"/>
        <v>-14.949205476190514</v>
      </c>
      <c r="AB223" s="339">
        <f t="shared" si="38"/>
        <v>-2.6789950425665787E-2</v>
      </c>
    </row>
    <row r="224" spans="1:28" ht="20.100000000000001" customHeight="1">
      <c r="B224" s="172">
        <v>1427200</v>
      </c>
      <c r="C224" s="174">
        <v>44503</v>
      </c>
      <c r="D224" s="181" t="s">
        <v>264</v>
      </c>
      <c r="E224" s="173" t="s">
        <v>33</v>
      </c>
      <c r="F224" s="176">
        <v>721.13928571428573</v>
      </c>
      <c r="G224" s="175">
        <f t="shared" si="40"/>
        <v>3</v>
      </c>
      <c r="H224" s="175">
        <f t="shared" si="33"/>
        <v>721.13928571428573</v>
      </c>
      <c r="I224" s="177">
        <f>IF(G224=0,0,IF(E224="MXN",1/HLOOKUP(YEAR(C224)+(MONTH(C224)/100),TC!$5:$37,DAY(C224)+2,FALSE),VLOOKUP(E224,Equivalencia!$5:$23,((MAX(Equivalencia!$3:$3)-YEAR(C224))*14)+MONTH(C224)+2,FALSE)))</f>
        <v>1</v>
      </c>
      <c r="J224" s="178">
        <f t="shared" si="41"/>
        <v>721.13928571428573</v>
      </c>
      <c r="K224" s="462">
        <f>IF(C224=0,0,VLOOKUP(YEAR(C224),INPC!$B$4:$O$29,MONTH(C224)+1))</f>
        <v>116.884</v>
      </c>
      <c r="L224" s="462">
        <f>IF(S224=0,0,VLOOKUP(YEAR(S224),INPC!$B$4:$O$29,MONTH(S224)+1))</f>
        <v>121.02200000000001</v>
      </c>
      <c r="M224" s="463">
        <f t="shared" si="34"/>
        <v>1.0354000000000001</v>
      </c>
      <c r="N224" s="465">
        <f t="shared" si="42"/>
        <v>746.66761642857148</v>
      </c>
      <c r="O224" s="179"/>
      <c r="P224" s="180">
        <v>3</v>
      </c>
      <c r="Q224" s="173" t="s">
        <v>583</v>
      </c>
      <c r="R224" s="173" t="s">
        <v>230</v>
      </c>
      <c r="S224" s="174">
        <v>44698</v>
      </c>
      <c r="T224" s="173" t="s">
        <v>33</v>
      </c>
      <c r="U224" s="182">
        <v>685.76</v>
      </c>
      <c r="V224" s="177">
        <f>IF(U224=0,0,IF(T224="MXN",1/HLOOKUP(YEAR(S224)+(MONTH(S224)/100),TC!$5:$37,DAY(S224)+2,FALSE),VLOOKUP(T224,Equivalencia!$1:$23,((MAX(Equivalencia!$3:$3)-YEAR(S224))*14)+MONTH(S224)+2,FALSE)))</f>
        <v>1</v>
      </c>
      <c r="W224" s="178">
        <f t="shared" si="39"/>
        <v>685.76</v>
      </c>
      <c r="X224" s="481">
        <f t="shared" si="35"/>
        <v>-35.379285714285743</v>
      </c>
      <c r="Y224" s="179"/>
      <c r="Z224" s="466">
        <f t="shared" si="36"/>
        <v>746.66761642857148</v>
      </c>
      <c r="AA224" s="473">
        <f t="shared" si="37"/>
        <v>-60.907616428571487</v>
      </c>
      <c r="AB224" s="339">
        <f t="shared" si="38"/>
        <v>-4.9060266740623804E-2</v>
      </c>
    </row>
    <row r="225" spans="2:28" ht="20.100000000000001" customHeight="1">
      <c r="B225" s="172">
        <v>1427200</v>
      </c>
      <c r="C225" s="174">
        <v>44503</v>
      </c>
      <c r="D225" s="181" t="s">
        <v>264</v>
      </c>
      <c r="E225" s="173" t="s">
        <v>33</v>
      </c>
      <c r="F225" s="176">
        <v>480.75952380952384</v>
      </c>
      <c r="G225" s="175">
        <f t="shared" si="40"/>
        <v>2</v>
      </c>
      <c r="H225" s="175">
        <f t="shared" si="33"/>
        <v>480.75952380952384</v>
      </c>
      <c r="I225" s="177">
        <f>IF(G225=0,0,IF(E225="MXN",1/HLOOKUP(YEAR(C225)+(MONTH(C225)/100),TC!$5:$37,DAY(C225)+2,FALSE),VLOOKUP(E225,Equivalencia!$5:$23,((MAX(Equivalencia!$3:$3)-YEAR(C225))*14)+MONTH(C225)+2,FALSE)))</f>
        <v>1</v>
      </c>
      <c r="J225" s="178">
        <f t="shared" si="41"/>
        <v>480.75952380952384</v>
      </c>
      <c r="K225" s="462">
        <f>IF(C225=0,0,VLOOKUP(YEAR(C225),INPC!$B$4:$O$29,MONTH(C225)+1))</f>
        <v>116.884</v>
      </c>
      <c r="L225" s="462">
        <f>IF(S225=0,0,VLOOKUP(YEAR(S225),INPC!$B$4:$O$29,MONTH(S225)+1))</f>
        <v>121.02200000000001</v>
      </c>
      <c r="M225" s="463">
        <f t="shared" si="34"/>
        <v>1.0354000000000001</v>
      </c>
      <c r="N225" s="465">
        <f t="shared" si="42"/>
        <v>497.77841095238102</v>
      </c>
      <c r="O225" s="179"/>
      <c r="P225" s="180">
        <v>2</v>
      </c>
      <c r="Q225" s="173" t="s">
        <v>583</v>
      </c>
      <c r="R225" s="173" t="s">
        <v>230</v>
      </c>
      <c r="S225" s="174">
        <v>44699</v>
      </c>
      <c r="T225" s="173" t="s">
        <v>33</v>
      </c>
      <c r="U225" s="182">
        <v>442.87</v>
      </c>
      <c r="V225" s="177">
        <f>IF(U225=0,0,IF(T225="MXN",1/HLOOKUP(YEAR(S225)+(MONTH(S225)/100),TC!$5:$37,DAY(S225)+2,FALSE),VLOOKUP(T225,Equivalencia!$1:$23,((MAX(Equivalencia!$3:$3)-YEAR(S225))*14)+MONTH(S225)+2,FALSE)))</f>
        <v>1</v>
      </c>
      <c r="W225" s="178">
        <f t="shared" si="39"/>
        <v>442.87</v>
      </c>
      <c r="X225" s="481">
        <f t="shared" si="35"/>
        <v>-37.889523809523837</v>
      </c>
      <c r="Y225" s="179"/>
      <c r="Z225" s="466">
        <f t="shared" si="36"/>
        <v>497.77841095238102</v>
      </c>
      <c r="AA225" s="473">
        <f t="shared" si="37"/>
        <v>-54.908410952381018</v>
      </c>
      <c r="AB225" s="339">
        <f t="shared" si="38"/>
        <v>-7.8811800771596552E-2</v>
      </c>
    </row>
    <row r="226" spans="2:28" ht="20.100000000000001" customHeight="1">
      <c r="B226" s="172">
        <v>1427200</v>
      </c>
      <c r="C226" s="174">
        <v>44503</v>
      </c>
      <c r="D226" s="181" t="s">
        <v>264</v>
      </c>
      <c r="E226" s="173" t="s">
        <v>33</v>
      </c>
      <c r="F226" s="176">
        <v>480.75952380952384</v>
      </c>
      <c r="G226" s="175">
        <f t="shared" si="40"/>
        <v>2</v>
      </c>
      <c r="H226" s="175">
        <f t="shared" si="33"/>
        <v>480.75952380952384</v>
      </c>
      <c r="I226" s="177">
        <f>IF(G226=0,0,IF(E226="MXN",1/HLOOKUP(YEAR(C226)+(MONTH(C226)/100),TC!$5:$37,DAY(C226)+2,FALSE),VLOOKUP(E226,Equivalencia!$5:$23,((MAX(Equivalencia!$3:$3)-YEAR(C226))*14)+MONTH(C226)+2,FALSE)))</f>
        <v>1</v>
      </c>
      <c r="J226" s="178">
        <f t="shared" si="41"/>
        <v>480.75952380952384</v>
      </c>
      <c r="K226" s="462">
        <f>IF(C226=0,0,VLOOKUP(YEAR(C226),INPC!$B$4:$O$29,MONTH(C226)+1))</f>
        <v>116.884</v>
      </c>
      <c r="L226" s="462">
        <f>IF(S226=0,0,VLOOKUP(YEAR(S226),INPC!$B$4:$O$29,MONTH(S226)+1))</f>
        <v>121.02200000000001</v>
      </c>
      <c r="M226" s="463">
        <f t="shared" si="34"/>
        <v>1.0354000000000001</v>
      </c>
      <c r="N226" s="465">
        <f t="shared" si="42"/>
        <v>497.77841095238102</v>
      </c>
      <c r="O226" s="179"/>
      <c r="P226" s="180">
        <v>2</v>
      </c>
      <c r="Q226" s="173" t="s">
        <v>583</v>
      </c>
      <c r="R226" s="173" t="s">
        <v>230</v>
      </c>
      <c r="S226" s="174">
        <v>44699</v>
      </c>
      <c r="T226" s="173" t="s">
        <v>33</v>
      </c>
      <c r="U226" s="182">
        <v>450.29</v>
      </c>
      <c r="V226" s="177">
        <f>IF(U226=0,0,IF(T226="MXN",1/HLOOKUP(YEAR(S226)+(MONTH(S226)/100),TC!$5:$37,DAY(S226)+2,FALSE),VLOOKUP(T226,Equivalencia!$1:$23,((MAX(Equivalencia!$3:$3)-YEAR(S226))*14)+MONTH(S226)+2,FALSE)))</f>
        <v>1</v>
      </c>
      <c r="W226" s="178">
        <f t="shared" si="39"/>
        <v>450.29</v>
      </c>
      <c r="X226" s="481">
        <f t="shared" si="35"/>
        <v>-30.469523809523821</v>
      </c>
      <c r="Y226" s="179"/>
      <c r="Z226" s="466">
        <f t="shared" si="36"/>
        <v>497.77841095238102</v>
      </c>
      <c r="AA226" s="473">
        <f t="shared" si="37"/>
        <v>-47.488410952381003</v>
      </c>
      <c r="AB226" s="339">
        <f t="shared" si="38"/>
        <v>-6.3377889153571454E-2</v>
      </c>
    </row>
    <row r="227" spans="2:28" ht="20.100000000000001" customHeight="1">
      <c r="B227" s="172">
        <v>1427200</v>
      </c>
      <c r="C227" s="174">
        <v>44503</v>
      </c>
      <c r="D227" s="181" t="s">
        <v>264</v>
      </c>
      <c r="E227" s="173" t="s">
        <v>33</v>
      </c>
      <c r="F227" s="176">
        <v>480.75952380952384</v>
      </c>
      <c r="G227" s="175">
        <f t="shared" si="40"/>
        <v>2</v>
      </c>
      <c r="H227" s="175">
        <f t="shared" si="33"/>
        <v>480.75952380952384</v>
      </c>
      <c r="I227" s="177">
        <f>IF(G227=0,0,IF(E227="MXN",1/HLOOKUP(YEAR(C227)+(MONTH(C227)/100),TC!$5:$37,DAY(C227)+2,FALSE),VLOOKUP(E227,Equivalencia!$5:$23,((MAX(Equivalencia!$3:$3)-YEAR(C227))*14)+MONTH(C227)+2,FALSE)))</f>
        <v>1</v>
      </c>
      <c r="J227" s="178">
        <f t="shared" si="41"/>
        <v>480.75952380952384</v>
      </c>
      <c r="K227" s="462">
        <f>IF(C227=0,0,VLOOKUP(YEAR(C227),INPC!$B$4:$O$29,MONTH(C227)+1))</f>
        <v>116.884</v>
      </c>
      <c r="L227" s="462">
        <f>IF(S227=0,0,VLOOKUP(YEAR(S227),INPC!$B$4:$O$29,MONTH(S227)+1))</f>
        <v>121.02200000000001</v>
      </c>
      <c r="M227" s="463">
        <f t="shared" si="34"/>
        <v>1.0354000000000001</v>
      </c>
      <c r="N227" s="465">
        <f t="shared" si="42"/>
        <v>497.77841095238102</v>
      </c>
      <c r="O227" s="179"/>
      <c r="P227" s="180">
        <v>2</v>
      </c>
      <c r="Q227" s="173" t="s">
        <v>583</v>
      </c>
      <c r="R227" s="173" t="s">
        <v>230</v>
      </c>
      <c r="S227" s="174">
        <v>44699</v>
      </c>
      <c r="T227" s="173" t="s">
        <v>33</v>
      </c>
      <c r="U227" s="182">
        <v>443.45</v>
      </c>
      <c r="V227" s="177">
        <f>IF(U227=0,0,IF(T227="MXN",1/HLOOKUP(YEAR(S227)+(MONTH(S227)/100),TC!$5:$37,DAY(S227)+2,FALSE),VLOOKUP(T227,Equivalencia!$1:$23,((MAX(Equivalencia!$3:$3)-YEAR(S227))*14)+MONTH(S227)+2,FALSE)))</f>
        <v>1</v>
      </c>
      <c r="W227" s="178">
        <f t="shared" si="39"/>
        <v>443.45</v>
      </c>
      <c r="X227" s="481">
        <f t="shared" si="35"/>
        <v>-37.309523809523853</v>
      </c>
      <c r="Y227" s="179"/>
      <c r="Z227" s="466">
        <f t="shared" si="36"/>
        <v>497.77841095238102</v>
      </c>
      <c r="AA227" s="473">
        <f t="shared" si="37"/>
        <v>-54.328410952381034</v>
      </c>
      <c r="AB227" s="339">
        <f t="shared" si="38"/>
        <v>-7.7605376413314331E-2</v>
      </c>
    </row>
    <row r="228" spans="2:28" ht="20.100000000000001" customHeight="1">
      <c r="B228" s="172">
        <v>1427200</v>
      </c>
      <c r="C228" s="174">
        <v>44503</v>
      </c>
      <c r="D228" s="181" t="s">
        <v>264</v>
      </c>
      <c r="E228" s="173" t="s">
        <v>33</v>
      </c>
      <c r="F228" s="176">
        <v>480.75952380952384</v>
      </c>
      <c r="G228" s="175">
        <f t="shared" si="40"/>
        <v>2</v>
      </c>
      <c r="H228" s="175">
        <f t="shared" si="33"/>
        <v>480.75952380952384</v>
      </c>
      <c r="I228" s="177">
        <f>IF(G228=0,0,IF(E228="MXN",1/HLOOKUP(YEAR(C228)+(MONTH(C228)/100),TC!$5:$37,DAY(C228)+2,FALSE),VLOOKUP(E228,Equivalencia!$5:$23,((MAX(Equivalencia!$3:$3)-YEAR(C228))*14)+MONTH(C228)+2,FALSE)))</f>
        <v>1</v>
      </c>
      <c r="J228" s="178">
        <f t="shared" si="41"/>
        <v>480.75952380952384</v>
      </c>
      <c r="K228" s="462">
        <f>IF(C228=0,0,VLOOKUP(YEAR(C228),INPC!$B$4:$O$29,MONTH(C228)+1))</f>
        <v>116.884</v>
      </c>
      <c r="L228" s="462">
        <f>IF(S228=0,0,VLOOKUP(YEAR(S228),INPC!$B$4:$O$29,MONTH(S228)+1))</f>
        <v>121.02200000000001</v>
      </c>
      <c r="M228" s="463">
        <f t="shared" si="34"/>
        <v>1.0354000000000001</v>
      </c>
      <c r="N228" s="465">
        <f t="shared" si="42"/>
        <v>497.77841095238102</v>
      </c>
      <c r="O228" s="179"/>
      <c r="P228" s="180">
        <v>2</v>
      </c>
      <c r="Q228" s="173" t="s">
        <v>583</v>
      </c>
      <c r="R228" s="173" t="s">
        <v>230</v>
      </c>
      <c r="S228" s="174">
        <v>44701</v>
      </c>
      <c r="T228" s="173" t="s">
        <v>33</v>
      </c>
      <c r="U228" s="182">
        <v>453.95</v>
      </c>
      <c r="V228" s="177">
        <f>IF(U228=0,0,IF(T228="MXN",1/HLOOKUP(YEAR(S228)+(MONTH(S228)/100),TC!$5:$37,DAY(S228)+2,FALSE),VLOOKUP(T228,Equivalencia!$1:$23,((MAX(Equivalencia!$3:$3)-YEAR(S228))*14)+MONTH(S228)+2,FALSE)))</f>
        <v>1</v>
      </c>
      <c r="W228" s="178">
        <f t="shared" si="39"/>
        <v>453.95</v>
      </c>
      <c r="X228" s="481">
        <f t="shared" si="35"/>
        <v>-26.809523809523853</v>
      </c>
      <c r="Y228" s="179"/>
      <c r="Z228" s="466">
        <f t="shared" si="36"/>
        <v>497.77841095238102</v>
      </c>
      <c r="AA228" s="473">
        <f t="shared" si="37"/>
        <v>-43.828410952381034</v>
      </c>
      <c r="AB228" s="339">
        <f t="shared" si="38"/>
        <v>-5.5764935444410968E-2</v>
      </c>
    </row>
    <row r="229" spans="2:28" ht="20.100000000000001" customHeight="1">
      <c r="B229" s="172">
        <v>1427200</v>
      </c>
      <c r="C229" s="174">
        <v>44503</v>
      </c>
      <c r="D229" s="181" t="s">
        <v>264</v>
      </c>
      <c r="E229" s="173" t="s">
        <v>33</v>
      </c>
      <c r="F229" s="176">
        <v>721.13928571428573</v>
      </c>
      <c r="G229" s="175">
        <f t="shared" si="40"/>
        <v>3</v>
      </c>
      <c r="H229" s="175">
        <f t="shared" si="33"/>
        <v>721.13928571428573</v>
      </c>
      <c r="I229" s="177">
        <f>IF(G229=0,0,IF(E229="MXN",1/HLOOKUP(YEAR(C229)+(MONTH(C229)/100),TC!$5:$37,DAY(C229)+2,FALSE),VLOOKUP(E229,Equivalencia!$5:$23,((MAX(Equivalencia!$3:$3)-YEAR(C229))*14)+MONTH(C229)+2,FALSE)))</f>
        <v>1</v>
      </c>
      <c r="J229" s="178">
        <f t="shared" si="41"/>
        <v>721.13928571428573</v>
      </c>
      <c r="K229" s="462">
        <f>IF(C229=0,0,VLOOKUP(YEAR(C229),INPC!$B$4:$O$29,MONTH(C229)+1))</f>
        <v>116.884</v>
      </c>
      <c r="L229" s="462">
        <f>IF(S229=0,0,VLOOKUP(YEAR(S229),INPC!$B$4:$O$29,MONTH(S229)+1))</f>
        <v>121.02200000000001</v>
      </c>
      <c r="M229" s="463">
        <f t="shared" si="34"/>
        <v>1.0354000000000001</v>
      </c>
      <c r="N229" s="465">
        <f t="shared" si="42"/>
        <v>746.66761642857148</v>
      </c>
      <c r="O229" s="179"/>
      <c r="P229" s="180">
        <v>3</v>
      </c>
      <c r="Q229" s="173" t="s">
        <v>583</v>
      </c>
      <c r="R229" s="173" t="s">
        <v>230</v>
      </c>
      <c r="S229" s="174">
        <v>44701</v>
      </c>
      <c r="T229" s="173" t="s">
        <v>33</v>
      </c>
      <c r="U229" s="182">
        <v>680.7</v>
      </c>
      <c r="V229" s="177">
        <f>IF(U229=0,0,IF(T229="MXN",1/HLOOKUP(YEAR(S229)+(MONTH(S229)/100),TC!$5:$37,DAY(S229)+2,FALSE),VLOOKUP(T229,Equivalencia!$1:$23,((MAX(Equivalencia!$3:$3)-YEAR(S229))*14)+MONTH(S229)+2,FALSE)))</f>
        <v>1</v>
      </c>
      <c r="W229" s="178">
        <f t="shared" si="39"/>
        <v>680.7</v>
      </c>
      <c r="X229" s="481">
        <f t="shared" si="35"/>
        <v>-40.439285714285688</v>
      </c>
      <c r="Y229" s="179"/>
      <c r="Z229" s="466">
        <f t="shared" si="36"/>
        <v>746.66761642857148</v>
      </c>
      <c r="AA229" s="473">
        <f t="shared" si="37"/>
        <v>-65.967616428571432</v>
      </c>
      <c r="AB229" s="339">
        <f t="shared" si="38"/>
        <v>-5.6076941743966602E-2</v>
      </c>
    </row>
    <row r="230" spans="2:28" ht="20.100000000000001" customHeight="1">
      <c r="B230" s="172">
        <v>1427200</v>
      </c>
      <c r="C230" s="174">
        <v>44503</v>
      </c>
      <c r="D230" s="181" t="s">
        <v>265</v>
      </c>
      <c r="E230" s="173" t="s">
        <v>33</v>
      </c>
      <c r="F230" s="176">
        <v>1032.24</v>
      </c>
      <c r="G230" s="175">
        <f t="shared" si="40"/>
        <v>23</v>
      </c>
      <c r="H230" s="175">
        <f t="shared" si="33"/>
        <v>1032.24</v>
      </c>
      <c r="I230" s="177">
        <f>IF(G230=0,0,IF(E230="MXN",1/HLOOKUP(YEAR(C230)+(MONTH(C230)/100),TC!$5:$37,DAY(C230)+2,FALSE),VLOOKUP(E230,Equivalencia!$5:$23,((MAX(Equivalencia!$3:$3)-YEAR(C230))*14)+MONTH(C230)+2,FALSE)))</f>
        <v>1</v>
      </c>
      <c r="J230" s="178">
        <f t="shared" si="41"/>
        <v>1032.24</v>
      </c>
      <c r="K230" s="462">
        <f>IF(C230=0,0,VLOOKUP(YEAR(C230),INPC!$B$4:$O$29,MONTH(C230)+1))</f>
        <v>116.884</v>
      </c>
      <c r="L230" s="462">
        <f>IF(S230=0,0,VLOOKUP(YEAR(S230),INPC!$B$4:$O$29,MONTH(S230)+1))</f>
        <v>118.002</v>
      </c>
      <c r="M230" s="463">
        <f t="shared" si="34"/>
        <v>1.0095000000000001</v>
      </c>
      <c r="N230" s="465">
        <f t="shared" si="42"/>
        <v>1042.04628</v>
      </c>
      <c r="O230" s="179"/>
      <c r="P230" s="180">
        <v>23</v>
      </c>
      <c r="Q230" s="173" t="s">
        <v>583</v>
      </c>
      <c r="R230" s="173" t="s">
        <v>230</v>
      </c>
      <c r="S230" s="174">
        <v>44589</v>
      </c>
      <c r="T230" s="173" t="s">
        <v>33</v>
      </c>
      <c r="U230" s="182">
        <v>464.34</v>
      </c>
      <c r="V230" s="177">
        <f>IF(U230=0,0,IF(T230="MXN",1/HLOOKUP(YEAR(S230)+(MONTH(S230)/100),TC!$5:$37,DAY(S230)+2,FALSE),VLOOKUP(T230,Equivalencia!$1:$23,((MAX(Equivalencia!$3:$3)-YEAR(S230))*14)+MONTH(S230)+2,FALSE)))</f>
        <v>1</v>
      </c>
      <c r="W230" s="178">
        <f t="shared" si="39"/>
        <v>464.34</v>
      </c>
      <c r="X230" s="481">
        <f t="shared" si="35"/>
        <v>-567.90000000000009</v>
      </c>
      <c r="Y230" s="179"/>
      <c r="Z230" s="466">
        <f t="shared" si="36"/>
        <v>1042.04628</v>
      </c>
      <c r="AA230" s="473">
        <f t="shared" si="37"/>
        <v>-577.70628000000011</v>
      </c>
      <c r="AB230" s="339">
        <f t="shared" si="38"/>
        <v>-0.55016275284817495</v>
      </c>
    </row>
    <row r="231" spans="2:28" ht="20.100000000000001" customHeight="1">
      <c r="B231" s="172">
        <v>1427200</v>
      </c>
      <c r="C231" s="174">
        <v>44503</v>
      </c>
      <c r="D231" s="181" t="s">
        <v>265</v>
      </c>
      <c r="E231" s="173" t="s">
        <v>33</v>
      </c>
      <c r="F231" s="176">
        <v>134.64000000000001</v>
      </c>
      <c r="G231" s="175">
        <f t="shared" si="40"/>
        <v>3</v>
      </c>
      <c r="H231" s="175">
        <f t="shared" si="33"/>
        <v>134.64000000000001</v>
      </c>
      <c r="I231" s="177">
        <f>IF(G231=0,0,IF(E231="MXN",1/HLOOKUP(YEAR(C231)+(MONTH(C231)/100),TC!$5:$37,DAY(C231)+2,FALSE),VLOOKUP(E231,Equivalencia!$5:$23,((MAX(Equivalencia!$3:$3)-YEAR(C231))*14)+MONTH(C231)+2,FALSE)))</f>
        <v>1</v>
      </c>
      <c r="J231" s="178">
        <f t="shared" si="41"/>
        <v>134.64000000000001</v>
      </c>
      <c r="K231" s="462">
        <f>IF(C231=0,0,VLOOKUP(YEAR(C231),INPC!$B$4:$O$29,MONTH(C231)+1))</f>
        <v>116.884</v>
      </c>
      <c r="L231" s="462">
        <f>IF(S231=0,0,VLOOKUP(YEAR(S231),INPC!$B$4:$O$29,MONTH(S231)+1))</f>
        <v>118.002</v>
      </c>
      <c r="M231" s="463">
        <f t="shared" si="34"/>
        <v>1.0095000000000001</v>
      </c>
      <c r="N231" s="465">
        <f t="shared" si="42"/>
        <v>135.91908000000004</v>
      </c>
      <c r="O231" s="179"/>
      <c r="P231" s="180">
        <v>3</v>
      </c>
      <c r="Q231" s="173" t="s">
        <v>583</v>
      </c>
      <c r="R231" s="173" t="s">
        <v>230</v>
      </c>
      <c r="S231" s="174">
        <v>44592</v>
      </c>
      <c r="T231" s="173" t="s">
        <v>33</v>
      </c>
      <c r="U231" s="182">
        <v>62.86</v>
      </c>
      <c r="V231" s="177">
        <f>IF(U231=0,0,IF(T231="MXN",1/HLOOKUP(YEAR(S231)+(MONTH(S231)/100),TC!$5:$37,DAY(S231)+2,FALSE),VLOOKUP(T231,Equivalencia!$1:$23,((MAX(Equivalencia!$3:$3)-YEAR(S231))*14)+MONTH(S231)+2,FALSE)))</f>
        <v>1</v>
      </c>
      <c r="W231" s="178">
        <f t="shared" si="39"/>
        <v>62.86</v>
      </c>
      <c r="X231" s="481">
        <f t="shared" si="35"/>
        <v>-71.780000000000015</v>
      </c>
      <c r="Y231" s="179"/>
      <c r="Z231" s="466">
        <f t="shared" si="36"/>
        <v>135.91908000000004</v>
      </c>
      <c r="AA231" s="473">
        <f t="shared" si="37"/>
        <v>-73.059080000000037</v>
      </c>
      <c r="AB231" s="339">
        <f t="shared" si="38"/>
        <v>-0.53312537136066551</v>
      </c>
    </row>
    <row r="232" spans="2:28" ht="20.100000000000001" customHeight="1">
      <c r="B232" s="172">
        <v>1427200</v>
      </c>
      <c r="C232" s="174">
        <v>44503</v>
      </c>
      <c r="D232" s="181" t="s">
        <v>265</v>
      </c>
      <c r="E232" s="173" t="s">
        <v>33</v>
      </c>
      <c r="F232" s="176">
        <v>269.28000000000003</v>
      </c>
      <c r="G232" s="175">
        <f t="shared" si="40"/>
        <v>6</v>
      </c>
      <c r="H232" s="175">
        <f t="shared" si="33"/>
        <v>269.28000000000003</v>
      </c>
      <c r="I232" s="177">
        <f>IF(G232=0,0,IF(E232="MXN",1/HLOOKUP(YEAR(C232)+(MONTH(C232)/100),TC!$5:$37,DAY(C232)+2,FALSE),VLOOKUP(E232,Equivalencia!$5:$23,((MAX(Equivalencia!$3:$3)-YEAR(C232))*14)+MONTH(C232)+2,FALSE)))</f>
        <v>1</v>
      </c>
      <c r="J232" s="178">
        <f t="shared" si="41"/>
        <v>269.28000000000003</v>
      </c>
      <c r="K232" s="462">
        <f>IF(C232=0,0,VLOOKUP(YEAR(C232),INPC!$B$4:$O$29,MONTH(C232)+1))</f>
        <v>116.884</v>
      </c>
      <c r="L232" s="462">
        <f>IF(S232=0,0,VLOOKUP(YEAR(S232),INPC!$B$4:$O$29,MONTH(S232)+1))</f>
        <v>118.98099999999999</v>
      </c>
      <c r="M232" s="463">
        <f t="shared" si="34"/>
        <v>1.0179</v>
      </c>
      <c r="N232" s="465">
        <f t="shared" si="42"/>
        <v>274.10011200000002</v>
      </c>
      <c r="O232" s="179"/>
      <c r="P232" s="180">
        <v>6</v>
      </c>
      <c r="Q232" s="173" t="s">
        <v>583</v>
      </c>
      <c r="R232" s="173" t="s">
        <v>230</v>
      </c>
      <c r="S232" s="174">
        <v>44593</v>
      </c>
      <c r="T232" s="173" t="s">
        <v>33</v>
      </c>
      <c r="U232" s="182">
        <v>128.75</v>
      </c>
      <c r="V232" s="177">
        <f>IF(U232=0,0,IF(T232="MXN",1/HLOOKUP(YEAR(S232)+(MONTH(S232)/100),TC!$5:$37,DAY(S232)+2,FALSE),VLOOKUP(T232,Equivalencia!$1:$23,((MAX(Equivalencia!$3:$3)-YEAR(S232))*14)+MONTH(S232)+2,FALSE)))</f>
        <v>1</v>
      </c>
      <c r="W232" s="178">
        <f t="shared" si="39"/>
        <v>128.75</v>
      </c>
      <c r="X232" s="481">
        <f t="shared" si="35"/>
        <v>-140.53000000000003</v>
      </c>
      <c r="Y232" s="179"/>
      <c r="Z232" s="466">
        <f t="shared" si="36"/>
        <v>274.10011200000002</v>
      </c>
      <c r="AA232" s="473">
        <f t="shared" si="37"/>
        <v>-145.35011200000002</v>
      </c>
      <c r="AB232" s="339">
        <f t="shared" si="38"/>
        <v>-0.52187314319667266</v>
      </c>
    </row>
    <row r="233" spans="2:28" ht="20.100000000000001" customHeight="1">
      <c r="B233" s="172">
        <v>1427200</v>
      </c>
      <c r="C233" s="174">
        <v>44503</v>
      </c>
      <c r="D233" s="181" t="s">
        <v>265</v>
      </c>
      <c r="E233" s="173" t="s">
        <v>33</v>
      </c>
      <c r="F233" s="176">
        <v>1077.1200000000001</v>
      </c>
      <c r="G233" s="175">
        <f t="shared" si="40"/>
        <v>24</v>
      </c>
      <c r="H233" s="175">
        <f t="shared" si="33"/>
        <v>1077.1200000000001</v>
      </c>
      <c r="I233" s="177">
        <f>IF(G233=0,0,IF(E233="MXN",1/HLOOKUP(YEAR(C233)+(MONTH(C233)/100),TC!$5:$37,DAY(C233)+2,FALSE),VLOOKUP(E233,Equivalencia!$5:$23,((MAX(Equivalencia!$3:$3)-YEAR(C233))*14)+MONTH(C233)+2,FALSE)))</f>
        <v>1</v>
      </c>
      <c r="J233" s="178">
        <f t="shared" si="41"/>
        <v>1077.1200000000001</v>
      </c>
      <c r="K233" s="462">
        <f>IF(C233=0,0,VLOOKUP(YEAR(C233),INPC!$B$4:$O$29,MONTH(C233)+1))</f>
        <v>116.884</v>
      </c>
      <c r="L233" s="462">
        <f>IF(S233=0,0,VLOOKUP(YEAR(S233),INPC!$B$4:$O$29,MONTH(S233)+1))</f>
        <v>118.98099999999999</v>
      </c>
      <c r="M233" s="463">
        <f t="shared" si="34"/>
        <v>1.0179</v>
      </c>
      <c r="N233" s="465">
        <f t="shared" si="42"/>
        <v>1096.4004480000001</v>
      </c>
      <c r="O233" s="179"/>
      <c r="P233" s="180">
        <v>24</v>
      </c>
      <c r="Q233" s="173" t="s">
        <v>583</v>
      </c>
      <c r="R233" s="173" t="s">
        <v>230</v>
      </c>
      <c r="S233" s="174">
        <v>44593</v>
      </c>
      <c r="T233" s="173" t="s">
        <v>33</v>
      </c>
      <c r="U233" s="182">
        <v>516.34</v>
      </c>
      <c r="V233" s="177">
        <f>IF(U233=0,0,IF(T233="MXN",1/HLOOKUP(YEAR(S233)+(MONTH(S233)/100),TC!$5:$37,DAY(S233)+2,FALSE),VLOOKUP(T233,Equivalencia!$1:$23,((MAX(Equivalencia!$3:$3)-YEAR(S233))*14)+MONTH(S233)+2,FALSE)))</f>
        <v>1</v>
      </c>
      <c r="W233" s="178">
        <f t="shared" si="39"/>
        <v>516.34</v>
      </c>
      <c r="X233" s="481">
        <f t="shared" si="35"/>
        <v>-560.78000000000009</v>
      </c>
      <c r="Y233" s="179"/>
      <c r="Z233" s="466">
        <f t="shared" si="36"/>
        <v>1096.4004480000001</v>
      </c>
      <c r="AA233" s="473">
        <f t="shared" si="37"/>
        <v>-580.06044800000006</v>
      </c>
      <c r="AB233" s="339">
        <f t="shared" si="38"/>
        <v>-0.5206290849673203</v>
      </c>
    </row>
    <row r="234" spans="2:28" ht="20.100000000000001" customHeight="1">
      <c r="B234" s="172">
        <v>1427200</v>
      </c>
      <c r="C234" s="174">
        <v>44503</v>
      </c>
      <c r="D234" s="181" t="s">
        <v>265</v>
      </c>
      <c r="E234" s="173" t="s">
        <v>33</v>
      </c>
      <c r="F234" s="176">
        <v>538.56000000000006</v>
      </c>
      <c r="G234" s="175">
        <f t="shared" si="40"/>
        <v>12</v>
      </c>
      <c r="H234" s="175">
        <f t="shared" si="33"/>
        <v>538.56000000000006</v>
      </c>
      <c r="I234" s="177">
        <f>IF(G234=0,0,IF(E234="MXN",1/HLOOKUP(YEAR(C234)+(MONTH(C234)/100),TC!$5:$37,DAY(C234)+2,FALSE),VLOOKUP(E234,Equivalencia!$5:$23,((MAX(Equivalencia!$3:$3)-YEAR(C234))*14)+MONTH(C234)+2,FALSE)))</f>
        <v>1</v>
      </c>
      <c r="J234" s="178">
        <f t="shared" si="41"/>
        <v>538.56000000000006</v>
      </c>
      <c r="K234" s="462">
        <f>IF(C234=0,0,VLOOKUP(YEAR(C234),INPC!$B$4:$O$29,MONTH(C234)+1))</f>
        <v>116.884</v>
      </c>
      <c r="L234" s="462">
        <f>IF(S234=0,0,VLOOKUP(YEAR(S234),INPC!$B$4:$O$29,MONTH(S234)+1))</f>
        <v>118.98099999999999</v>
      </c>
      <c r="M234" s="463">
        <f t="shared" si="34"/>
        <v>1.0179</v>
      </c>
      <c r="N234" s="465">
        <f t="shared" si="42"/>
        <v>548.20022400000005</v>
      </c>
      <c r="O234" s="179"/>
      <c r="P234" s="180">
        <v>12</v>
      </c>
      <c r="Q234" s="173" t="s">
        <v>583</v>
      </c>
      <c r="R234" s="173" t="s">
        <v>230</v>
      </c>
      <c r="S234" s="174">
        <v>44593</v>
      </c>
      <c r="T234" s="173" t="s">
        <v>33</v>
      </c>
      <c r="U234" s="182">
        <v>264.75</v>
      </c>
      <c r="V234" s="177">
        <f>IF(U234=0,0,IF(T234="MXN",1/HLOOKUP(YEAR(S234)+(MONTH(S234)/100),TC!$5:$37,DAY(S234)+2,FALSE),VLOOKUP(T234,Equivalencia!$1:$23,((MAX(Equivalencia!$3:$3)-YEAR(S234))*14)+MONTH(S234)+2,FALSE)))</f>
        <v>1</v>
      </c>
      <c r="W234" s="178">
        <f t="shared" si="39"/>
        <v>264.75</v>
      </c>
      <c r="X234" s="481">
        <f t="shared" si="35"/>
        <v>-273.81000000000006</v>
      </c>
      <c r="Y234" s="179"/>
      <c r="Z234" s="466">
        <f t="shared" si="36"/>
        <v>548.20022400000005</v>
      </c>
      <c r="AA234" s="473">
        <f t="shared" si="37"/>
        <v>-283.45022400000005</v>
      </c>
      <c r="AB234" s="339">
        <f t="shared" si="38"/>
        <v>-0.5084113190730839</v>
      </c>
    </row>
    <row r="235" spans="2:28" ht="20.100000000000001" customHeight="1">
      <c r="B235" s="172">
        <v>1427200</v>
      </c>
      <c r="C235" s="174">
        <v>44503</v>
      </c>
      <c r="D235" s="181" t="s">
        <v>265</v>
      </c>
      <c r="E235" s="173" t="s">
        <v>33</v>
      </c>
      <c r="F235" s="176">
        <v>134.64000000000001</v>
      </c>
      <c r="G235" s="175">
        <f t="shared" si="40"/>
        <v>3</v>
      </c>
      <c r="H235" s="175">
        <f t="shared" si="33"/>
        <v>134.64000000000001</v>
      </c>
      <c r="I235" s="177">
        <f>IF(G235=0,0,IF(E235="MXN",1/HLOOKUP(YEAR(C235)+(MONTH(C235)/100),TC!$5:$37,DAY(C235)+2,FALSE),VLOOKUP(E235,Equivalencia!$5:$23,((MAX(Equivalencia!$3:$3)-YEAR(C235))*14)+MONTH(C235)+2,FALSE)))</f>
        <v>1</v>
      </c>
      <c r="J235" s="178">
        <f t="shared" si="41"/>
        <v>134.64000000000001</v>
      </c>
      <c r="K235" s="462">
        <f>IF(C235=0,0,VLOOKUP(YEAR(C235),INPC!$B$4:$O$29,MONTH(C235)+1))</f>
        <v>116.884</v>
      </c>
      <c r="L235" s="462">
        <f>IF(S235=0,0,VLOOKUP(YEAR(S235),INPC!$B$4:$O$29,MONTH(S235)+1))</f>
        <v>118.98099999999999</v>
      </c>
      <c r="M235" s="463">
        <f t="shared" si="34"/>
        <v>1.0179</v>
      </c>
      <c r="N235" s="465">
        <f t="shared" si="42"/>
        <v>137.05005600000001</v>
      </c>
      <c r="O235" s="179"/>
      <c r="P235" s="180">
        <v>3</v>
      </c>
      <c r="Q235" s="173" t="s">
        <v>583</v>
      </c>
      <c r="R235" s="173" t="s">
        <v>230</v>
      </c>
      <c r="S235" s="174">
        <v>44593</v>
      </c>
      <c r="T235" s="173" t="s">
        <v>33</v>
      </c>
      <c r="U235" s="182">
        <v>65.819999999999993</v>
      </c>
      <c r="V235" s="177">
        <f>IF(U235=0,0,IF(T235="MXN",1/HLOOKUP(YEAR(S235)+(MONTH(S235)/100),TC!$5:$37,DAY(S235)+2,FALSE),VLOOKUP(T235,Equivalencia!$1:$23,((MAX(Equivalencia!$3:$3)-YEAR(S235))*14)+MONTH(S235)+2,FALSE)))</f>
        <v>1</v>
      </c>
      <c r="W235" s="178">
        <f t="shared" si="39"/>
        <v>65.819999999999993</v>
      </c>
      <c r="X235" s="481">
        <f t="shared" si="35"/>
        <v>-68.820000000000022</v>
      </c>
      <c r="Y235" s="179"/>
      <c r="Z235" s="466">
        <f t="shared" si="36"/>
        <v>137.05005600000001</v>
      </c>
      <c r="AA235" s="473">
        <f t="shared" si="37"/>
        <v>-71.230056000000019</v>
      </c>
      <c r="AB235" s="339">
        <f t="shared" si="38"/>
        <v>-0.51114081996434946</v>
      </c>
    </row>
    <row r="236" spans="2:28" ht="20.100000000000001" customHeight="1">
      <c r="B236" s="172">
        <v>1427200</v>
      </c>
      <c r="C236" s="174">
        <v>44503</v>
      </c>
      <c r="D236" s="181" t="s">
        <v>265</v>
      </c>
      <c r="E236" s="173" t="s">
        <v>33</v>
      </c>
      <c r="F236" s="176">
        <v>179.52</v>
      </c>
      <c r="G236" s="175">
        <f t="shared" si="40"/>
        <v>4</v>
      </c>
      <c r="H236" s="175">
        <f t="shared" si="33"/>
        <v>179.52</v>
      </c>
      <c r="I236" s="177">
        <f>IF(G236=0,0,IF(E236="MXN",1/HLOOKUP(YEAR(C236)+(MONTH(C236)/100),TC!$5:$37,DAY(C236)+2,FALSE),VLOOKUP(E236,Equivalencia!$5:$23,((MAX(Equivalencia!$3:$3)-YEAR(C236))*14)+MONTH(C236)+2,FALSE)))</f>
        <v>1</v>
      </c>
      <c r="J236" s="178">
        <f t="shared" si="41"/>
        <v>179.52</v>
      </c>
      <c r="K236" s="462">
        <f>IF(C236=0,0,VLOOKUP(YEAR(C236),INPC!$B$4:$O$29,MONTH(C236)+1))</f>
        <v>116.884</v>
      </c>
      <c r="L236" s="462">
        <f>IF(S236=0,0,VLOOKUP(YEAR(S236),INPC!$B$4:$O$29,MONTH(S236)+1))</f>
        <v>118.98099999999999</v>
      </c>
      <c r="M236" s="463">
        <f t="shared" si="34"/>
        <v>1.0179</v>
      </c>
      <c r="N236" s="465">
        <f t="shared" si="42"/>
        <v>182.73340800000003</v>
      </c>
      <c r="O236" s="179"/>
      <c r="P236" s="180">
        <v>4</v>
      </c>
      <c r="Q236" s="173" t="s">
        <v>583</v>
      </c>
      <c r="R236" s="173" t="s">
        <v>230</v>
      </c>
      <c r="S236" s="174">
        <v>44593</v>
      </c>
      <c r="T236" s="173" t="s">
        <v>33</v>
      </c>
      <c r="U236" s="182">
        <v>90.21</v>
      </c>
      <c r="V236" s="177">
        <f>IF(U236=0,0,IF(T236="MXN",1/HLOOKUP(YEAR(S236)+(MONTH(S236)/100),TC!$5:$37,DAY(S236)+2,FALSE),VLOOKUP(T236,Equivalencia!$1:$23,((MAX(Equivalencia!$3:$3)-YEAR(S236))*14)+MONTH(S236)+2,FALSE)))</f>
        <v>1</v>
      </c>
      <c r="W236" s="178">
        <f t="shared" si="39"/>
        <v>90.21</v>
      </c>
      <c r="X236" s="481">
        <f t="shared" si="35"/>
        <v>-89.310000000000016</v>
      </c>
      <c r="Y236" s="179"/>
      <c r="Z236" s="466">
        <f t="shared" si="36"/>
        <v>182.73340800000003</v>
      </c>
      <c r="AA236" s="473">
        <f t="shared" si="37"/>
        <v>-92.523408000000032</v>
      </c>
      <c r="AB236" s="339">
        <f t="shared" si="38"/>
        <v>-0.49749331550802145</v>
      </c>
    </row>
    <row r="237" spans="2:28" ht="20.100000000000001" customHeight="1">
      <c r="B237" s="172">
        <v>1427200</v>
      </c>
      <c r="C237" s="174">
        <v>44503</v>
      </c>
      <c r="D237" s="181" t="s">
        <v>265</v>
      </c>
      <c r="E237" s="173" t="s">
        <v>33</v>
      </c>
      <c r="F237" s="176">
        <v>359.04</v>
      </c>
      <c r="G237" s="175">
        <f t="shared" si="40"/>
        <v>8</v>
      </c>
      <c r="H237" s="175">
        <f t="shared" si="33"/>
        <v>359.04</v>
      </c>
      <c r="I237" s="177">
        <f>IF(G237=0,0,IF(E237="MXN",1/HLOOKUP(YEAR(C237)+(MONTH(C237)/100),TC!$5:$37,DAY(C237)+2,FALSE),VLOOKUP(E237,Equivalencia!$5:$23,((MAX(Equivalencia!$3:$3)-YEAR(C237))*14)+MONTH(C237)+2,FALSE)))</f>
        <v>1</v>
      </c>
      <c r="J237" s="178">
        <f t="shared" si="41"/>
        <v>359.04</v>
      </c>
      <c r="K237" s="462">
        <f>IF(C237=0,0,VLOOKUP(YEAR(C237),INPC!$B$4:$O$29,MONTH(C237)+1))</f>
        <v>116.884</v>
      </c>
      <c r="L237" s="462">
        <f>IF(S237=0,0,VLOOKUP(YEAR(S237),INPC!$B$4:$O$29,MONTH(S237)+1))</f>
        <v>118.98099999999999</v>
      </c>
      <c r="M237" s="463">
        <f t="shared" si="34"/>
        <v>1.0179</v>
      </c>
      <c r="N237" s="465">
        <f t="shared" si="42"/>
        <v>365.46681600000005</v>
      </c>
      <c r="O237" s="179"/>
      <c r="P237" s="180">
        <v>8</v>
      </c>
      <c r="Q237" s="173" t="s">
        <v>583</v>
      </c>
      <c r="R237" s="173" t="s">
        <v>230</v>
      </c>
      <c r="S237" s="174">
        <v>44594</v>
      </c>
      <c r="T237" s="173" t="s">
        <v>33</v>
      </c>
      <c r="U237" s="182">
        <v>174.2</v>
      </c>
      <c r="V237" s="177">
        <f>IF(U237=0,0,IF(T237="MXN",1/HLOOKUP(YEAR(S237)+(MONTH(S237)/100),TC!$5:$37,DAY(S237)+2,FALSE),VLOOKUP(T237,Equivalencia!$1:$23,((MAX(Equivalencia!$3:$3)-YEAR(S237))*14)+MONTH(S237)+2,FALSE)))</f>
        <v>1</v>
      </c>
      <c r="W237" s="178">
        <f t="shared" si="39"/>
        <v>174.2</v>
      </c>
      <c r="X237" s="481">
        <f t="shared" si="35"/>
        <v>-184.84000000000003</v>
      </c>
      <c r="Y237" s="179"/>
      <c r="Z237" s="466">
        <f t="shared" si="36"/>
        <v>365.46681600000005</v>
      </c>
      <c r="AA237" s="473">
        <f t="shared" si="37"/>
        <v>-191.26681600000006</v>
      </c>
      <c r="AB237" s="339">
        <f t="shared" si="38"/>
        <v>-0.51481729055258474</v>
      </c>
    </row>
    <row r="238" spans="2:28" ht="20.100000000000001" customHeight="1" thickBot="1">
      <c r="B238" s="172">
        <v>1427200</v>
      </c>
      <c r="C238" s="174">
        <v>44503</v>
      </c>
      <c r="D238" s="181" t="s">
        <v>265</v>
      </c>
      <c r="E238" s="173" t="s">
        <v>33</v>
      </c>
      <c r="F238" s="176">
        <v>44.88</v>
      </c>
      <c r="G238" s="175">
        <f t="shared" si="40"/>
        <v>1</v>
      </c>
      <c r="H238" s="175">
        <f t="shared" si="33"/>
        <v>44.88</v>
      </c>
      <c r="I238" s="177">
        <f>IF(G238=0,0,IF(E238="MXN",1/HLOOKUP(YEAR(C238)+(MONTH(C238)/100),TC!$5:$37,DAY(C238)+2,FALSE),VLOOKUP(E238,Equivalencia!$5:$23,((MAX(Equivalencia!$3:$3)-YEAR(C238))*14)+MONTH(C238)+2,FALSE)))</f>
        <v>1</v>
      </c>
      <c r="J238" s="178">
        <f t="shared" si="41"/>
        <v>44.88</v>
      </c>
      <c r="K238" s="462">
        <f>IF(C238=0,0,VLOOKUP(YEAR(C238),INPC!$B$4:$O$29,MONTH(C238)+1))</f>
        <v>116.884</v>
      </c>
      <c r="L238" s="462">
        <f>IF(S238=0,0,VLOOKUP(YEAR(S238),INPC!$B$4:$O$29,MONTH(S238)+1))</f>
        <v>118.98099999999999</v>
      </c>
      <c r="M238" s="463">
        <f t="shared" si="34"/>
        <v>1.0179</v>
      </c>
      <c r="N238" s="465">
        <f t="shared" si="42"/>
        <v>45.683352000000006</v>
      </c>
      <c r="O238" s="179"/>
      <c r="P238" s="180">
        <v>1</v>
      </c>
      <c r="Q238" s="173" t="s">
        <v>583</v>
      </c>
      <c r="R238" s="173" t="s">
        <v>230</v>
      </c>
      <c r="S238" s="174">
        <v>44595</v>
      </c>
      <c r="T238" s="173" t="s">
        <v>33</v>
      </c>
      <c r="U238" s="182">
        <v>19.12</v>
      </c>
      <c r="V238" s="177">
        <f>IF(U238=0,0,IF(T238="MXN",1/HLOOKUP(YEAR(S238)+(MONTH(S238)/100),TC!$5:$37,DAY(S238)+2,FALSE),VLOOKUP(T238,Equivalencia!$1:$23,((MAX(Equivalencia!$3:$3)-YEAR(S238))*14)+MONTH(S238)+2,FALSE)))</f>
        <v>1</v>
      </c>
      <c r="W238" s="178">
        <f t="shared" si="39"/>
        <v>19.12</v>
      </c>
      <c r="X238" s="481">
        <f t="shared" si="35"/>
        <v>-25.76</v>
      </c>
      <c r="Y238" s="179"/>
      <c r="Z238" s="466">
        <f t="shared" si="36"/>
        <v>45.683352000000006</v>
      </c>
      <c r="AA238" s="473">
        <f t="shared" si="37"/>
        <v>-26.563352000000005</v>
      </c>
      <c r="AB238" s="339">
        <f t="shared" si="38"/>
        <v>-0.57397504456327986</v>
      </c>
    </row>
    <row r="239" spans="2:28" ht="20.100000000000001" customHeight="1">
      <c r="B239" s="172">
        <v>1427200</v>
      </c>
      <c r="C239" s="174">
        <v>44503</v>
      </c>
      <c r="D239" s="181" t="s">
        <v>265</v>
      </c>
      <c r="E239" s="173" t="s">
        <v>33</v>
      </c>
      <c r="F239" s="176">
        <v>762.96</v>
      </c>
      <c r="G239" s="175">
        <f t="shared" si="40"/>
        <v>17</v>
      </c>
      <c r="H239" s="175">
        <f t="shared" si="33"/>
        <v>762.96</v>
      </c>
      <c r="I239" s="177">
        <f>IF(G239=0,0,IF(E239="MXN",1/HLOOKUP(YEAR(C239)+(MONTH(C239)/100),TC!$5:$37,DAY(C239)+2,FALSE),VLOOKUP(E239,Equivalencia!$5:$23,((MAX(Equivalencia!$3:$3)-YEAR(C239))*14)+MONTH(C239)+2,FALSE)))</f>
        <v>1</v>
      </c>
      <c r="J239" s="178">
        <f t="shared" si="41"/>
        <v>762.96</v>
      </c>
      <c r="K239" s="462">
        <f>IF(C239=0,0,VLOOKUP(YEAR(C239),INPC!$B$4:$O$29,MONTH(C239)+1))</f>
        <v>116.884</v>
      </c>
      <c r="L239" s="462">
        <f>IF(S239=0,0,VLOOKUP(YEAR(S239),INPC!$B$4:$O$29,MONTH(S239)+1))</f>
        <v>118.98099999999999</v>
      </c>
      <c r="M239" s="463">
        <f t="shared" si="34"/>
        <v>1.0179</v>
      </c>
      <c r="N239" s="465">
        <f t="shared" si="42"/>
        <v>776.616984</v>
      </c>
      <c r="O239" s="179"/>
      <c r="P239" s="506">
        <v>17</v>
      </c>
      <c r="Q239" s="173" t="s">
        <v>583</v>
      </c>
      <c r="R239" s="173" t="s">
        <v>230</v>
      </c>
      <c r="S239" s="174">
        <v>44595</v>
      </c>
      <c r="T239" s="173" t="s">
        <v>33</v>
      </c>
      <c r="U239" s="182">
        <v>334.4372222222222</v>
      </c>
      <c r="V239" s="177">
        <f>IF(U239=0,0,IF(T239="MXN",1/HLOOKUP(YEAR(S239)+(MONTH(S239)/100),TC!$5:$37,DAY(S239)+2,FALSE),VLOOKUP(T239,Equivalencia!$1:$23,((MAX(Equivalencia!$3:$3)-YEAR(S239))*14)+MONTH(S239)+2,FALSE)))</f>
        <v>1</v>
      </c>
      <c r="W239" s="178">
        <f t="shared" si="39"/>
        <v>334.4372222222222</v>
      </c>
      <c r="X239" s="481">
        <f t="shared" si="35"/>
        <v>-428.52277777777783</v>
      </c>
      <c r="Y239" s="179"/>
      <c r="Z239" s="466">
        <f t="shared" si="36"/>
        <v>776.616984</v>
      </c>
      <c r="AA239" s="473">
        <f t="shared" si="37"/>
        <v>-442.1797617777778</v>
      </c>
      <c r="AB239" s="339">
        <f t="shared" si="38"/>
        <v>-0.56165824915824913</v>
      </c>
    </row>
    <row r="240" spans="2:28" ht="20.100000000000001" customHeight="1" thickBot="1">
      <c r="B240" s="172">
        <v>1427200</v>
      </c>
      <c r="C240" s="174">
        <v>44505</v>
      </c>
      <c r="D240" s="181" t="s">
        <v>265</v>
      </c>
      <c r="E240" s="173" t="s">
        <v>33</v>
      </c>
      <c r="F240" s="176">
        <v>38.35</v>
      </c>
      <c r="G240" s="175">
        <f t="shared" si="40"/>
        <v>1</v>
      </c>
      <c r="H240" s="175">
        <f t="shared" si="33"/>
        <v>38.35</v>
      </c>
      <c r="I240" s="177">
        <f>IF(G240=0,0,IF(E240="MXN",1/HLOOKUP(YEAR(C240)+(MONTH(C240)/100),TC!$5:$37,DAY(C240)+2,FALSE),VLOOKUP(E240,Equivalencia!$5:$23,((MAX(Equivalencia!$3:$3)-YEAR(C240))*14)+MONTH(C240)+2,FALSE)))</f>
        <v>1</v>
      </c>
      <c r="J240" s="178">
        <f t="shared" si="41"/>
        <v>38.35</v>
      </c>
      <c r="K240" s="462">
        <f>IF(C240=0,0,VLOOKUP(YEAR(C240),INPC!$B$4:$O$29,MONTH(C240)+1))</f>
        <v>116.884</v>
      </c>
      <c r="L240" s="462">
        <f>IF(S240=0,0,VLOOKUP(YEAR(S240),INPC!$B$4:$O$29,MONTH(S240)+1))</f>
        <v>118.98099999999999</v>
      </c>
      <c r="M240" s="463">
        <f t="shared" si="34"/>
        <v>1.0179</v>
      </c>
      <c r="N240" s="465">
        <f t="shared" si="42"/>
        <v>39.036465</v>
      </c>
      <c r="O240" s="179"/>
      <c r="P240" s="508">
        <v>1</v>
      </c>
      <c r="Q240" s="173" t="s">
        <v>583</v>
      </c>
      <c r="R240" s="173" t="s">
        <v>230</v>
      </c>
      <c r="S240" s="174">
        <v>44595</v>
      </c>
      <c r="T240" s="173" t="s">
        <v>33</v>
      </c>
      <c r="U240" s="182">
        <v>19.672777777777778</v>
      </c>
      <c r="V240" s="177">
        <f>IF(U240=0,0,IF(T240="MXN",1/HLOOKUP(YEAR(S240)+(MONTH(S240)/100),TC!$5:$37,DAY(S240)+2,FALSE),VLOOKUP(T240,Equivalencia!$1:$23,((MAX(Equivalencia!$3:$3)-YEAR(S240))*14)+MONTH(S240)+2,FALSE)))</f>
        <v>1</v>
      </c>
      <c r="W240" s="178">
        <f t="shared" si="39"/>
        <v>19.672777777777778</v>
      </c>
      <c r="X240" s="481">
        <f t="shared" si="35"/>
        <v>-18.677222222222223</v>
      </c>
      <c r="Y240" s="179"/>
      <c r="Z240" s="466">
        <f t="shared" si="36"/>
        <v>39.036465</v>
      </c>
      <c r="AA240" s="473">
        <f t="shared" si="37"/>
        <v>-19.363687222222222</v>
      </c>
      <c r="AB240" s="339">
        <f t="shared" si="38"/>
        <v>-0.48702013617267859</v>
      </c>
    </row>
    <row r="241" spans="2:28" ht="20.100000000000001" customHeight="1">
      <c r="B241" s="172">
        <v>1427200</v>
      </c>
      <c r="C241" s="174">
        <v>44505</v>
      </c>
      <c r="D241" s="181" t="s">
        <v>265</v>
      </c>
      <c r="E241" s="173" t="s">
        <v>33</v>
      </c>
      <c r="F241" s="176">
        <v>38.35</v>
      </c>
      <c r="G241" s="175">
        <f t="shared" si="40"/>
        <v>1</v>
      </c>
      <c r="H241" s="175">
        <f t="shared" si="33"/>
        <v>38.35</v>
      </c>
      <c r="I241" s="177">
        <f>IF(G241=0,0,IF(E241="MXN",1/HLOOKUP(YEAR(C241)+(MONTH(C241)/100),TC!$5:$37,DAY(C241)+2,FALSE),VLOOKUP(E241,Equivalencia!$5:$23,((MAX(Equivalencia!$3:$3)-YEAR(C241))*14)+MONTH(C241)+2,FALSE)))</f>
        <v>1</v>
      </c>
      <c r="J241" s="178">
        <f t="shared" si="41"/>
        <v>38.35</v>
      </c>
      <c r="K241" s="462">
        <f>IF(C241=0,0,VLOOKUP(YEAR(C241),INPC!$B$4:$O$29,MONTH(C241)+1))</f>
        <v>116.884</v>
      </c>
      <c r="L241" s="462">
        <f>IF(S241=0,0,VLOOKUP(YEAR(S241),INPC!$B$4:$O$29,MONTH(S241)+1))</f>
        <v>118.98099999999999</v>
      </c>
      <c r="M241" s="463">
        <f t="shared" si="34"/>
        <v>1.0179</v>
      </c>
      <c r="N241" s="465">
        <f t="shared" si="42"/>
        <v>39.036465</v>
      </c>
      <c r="O241" s="179"/>
      <c r="P241" s="506">
        <v>1</v>
      </c>
      <c r="Q241" s="173" t="s">
        <v>583</v>
      </c>
      <c r="R241" s="173" t="s">
        <v>230</v>
      </c>
      <c r="S241" s="174">
        <v>44595</v>
      </c>
      <c r="T241" s="173" t="s">
        <v>33</v>
      </c>
      <c r="U241" s="182">
        <v>20.645</v>
      </c>
      <c r="V241" s="177">
        <f>IF(U241=0,0,IF(T241="MXN",1/HLOOKUP(YEAR(S241)+(MONTH(S241)/100),TC!$5:$37,DAY(S241)+2,FALSE),VLOOKUP(T241,Equivalencia!$1:$23,((MAX(Equivalencia!$3:$3)-YEAR(S241))*14)+MONTH(S241)+2,FALSE)))</f>
        <v>1</v>
      </c>
      <c r="W241" s="178">
        <f t="shared" si="39"/>
        <v>20.645</v>
      </c>
      <c r="X241" s="481">
        <f t="shared" si="35"/>
        <v>-17.705000000000002</v>
      </c>
      <c r="Y241" s="179"/>
      <c r="Z241" s="466">
        <f t="shared" si="36"/>
        <v>39.036465</v>
      </c>
      <c r="AA241" s="473">
        <f t="shared" si="37"/>
        <v>-18.391465</v>
      </c>
      <c r="AB241" s="339">
        <f t="shared" si="38"/>
        <v>-0.46166883963494132</v>
      </c>
    </row>
    <row r="242" spans="2:28" ht="20.100000000000001" customHeight="1" thickBot="1">
      <c r="B242" s="172">
        <v>1427200</v>
      </c>
      <c r="C242" s="174">
        <v>44505</v>
      </c>
      <c r="D242" s="181" t="s">
        <v>265</v>
      </c>
      <c r="E242" s="173" t="s">
        <v>33</v>
      </c>
      <c r="F242" s="176">
        <v>37.546086956521734</v>
      </c>
      <c r="G242" s="175">
        <f t="shared" si="40"/>
        <v>1</v>
      </c>
      <c r="H242" s="175">
        <f t="shared" si="33"/>
        <v>37.546086956521734</v>
      </c>
      <c r="I242" s="177">
        <f>IF(G242=0,0,IF(E242="MXN",1/HLOOKUP(YEAR(C242)+(MONTH(C242)/100),TC!$5:$37,DAY(C242)+2,FALSE),VLOOKUP(E242,Equivalencia!$5:$23,((MAX(Equivalencia!$3:$3)-YEAR(C242))*14)+MONTH(C242)+2,FALSE)))</f>
        <v>1</v>
      </c>
      <c r="J242" s="178">
        <f t="shared" si="41"/>
        <v>37.546086956521734</v>
      </c>
      <c r="K242" s="462">
        <f>IF(C242=0,0,VLOOKUP(YEAR(C242),INPC!$B$4:$O$29,MONTH(C242)+1))</f>
        <v>116.884</v>
      </c>
      <c r="L242" s="462">
        <f>IF(S242=0,0,VLOOKUP(YEAR(S242),INPC!$B$4:$O$29,MONTH(S242)+1))</f>
        <v>118.98099999999999</v>
      </c>
      <c r="M242" s="463">
        <f t="shared" si="34"/>
        <v>1.0179</v>
      </c>
      <c r="N242" s="465">
        <f t="shared" si="42"/>
        <v>38.218161913043474</v>
      </c>
      <c r="O242" s="179"/>
      <c r="P242" s="508">
        <v>1</v>
      </c>
      <c r="Q242" s="173" t="s">
        <v>583</v>
      </c>
      <c r="R242" s="173" t="s">
        <v>230</v>
      </c>
      <c r="S242" s="174">
        <v>44595</v>
      </c>
      <c r="T242" s="173" t="s">
        <v>33</v>
      </c>
      <c r="U242" s="182">
        <v>20.645</v>
      </c>
      <c r="V242" s="177">
        <f>IF(U242=0,0,IF(T242="MXN",1/HLOOKUP(YEAR(S242)+(MONTH(S242)/100),TC!$5:$37,DAY(S242)+2,FALSE),VLOOKUP(T242,Equivalencia!$1:$23,((MAX(Equivalencia!$3:$3)-YEAR(S242))*14)+MONTH(S242)+2,FALSE)))</f>
        <v>1</v>
      </c>
      <c r="W242" s="178">
        <f t="shared" si="39"/>
        <v>20.645</v>
      </c>
      <c r="X242" s="481">
        <f t="shared" si="35"/>
        <v>-16.901086956521734</v>
      </c>
      <c r="Y242" s="179"/>
      <c r="Z242" s="466">
        <f t="shared" si="36"/>
        <v>38.218161913043474</v>
      </c>
      <c r="AA242" s="473">
        <f t="shared" si="37"/>
        <v>-17.573161913043474</v>
      </c>
      <c r="AB242" s="339">
        <f t="shared" si="38"/>
        <v>-0.45014243364676454</v>
      </c>
    </row>
    <row r="243" spans="2:28" ht="20.100000000000001" customHeight="1">
      <c r="B243" s="172">
        <v>1427200</v>
      </c>
      <c r="C243" s="174">
        <v>44505</v>
      </c>
      <c r="D243" s="181" t="s">
        <v>265</v>
      </c>
      <c r="E243" s="173" t="s">
        <v>33</v>
      </c>
      <c r="F243" s="176">
        <v>37.546086956521734</v>
      </c>
      <c r="G243" s="175">
        <f t="shared" si="40"/>
        <v>1</v>
      </c>
      <c r="H243" s="175">
        <f t="shared" si="33"/>
        <v>37.546086956521734</v>
      </c>
      <c r="I243" s="177">
        <f>IF(G243=0,0,IF(E243="MXN",1/HLOOKUP(YEAR(C243)+(MONTH(C243)/100),TC!$5:$37,DAY(C243)+2,FALSE),VLOOKUP(E243,Equivalencia!$5:$23,((MAX(Equivalencia!$3:$3)-YEAR(C243))*14)+MONTH(C243)+2,FALSE)))</f>
        <v>1</v>
      </c>
      <c r="J243" s="178">
        <f t="shared" si="41"/>
        <v>37.546086956521734</v>
      </c>
      <c r="K243" s="462">
        <f>IF(C243=0,0,VLOOKUP(YEAR(C243),INPC!$B$4:$O$29,MONTH(C243)+1))</f>
        <v>116.884</v>
      </c>
      <c r="L243" s="462">
        <f>IF(S243=0,0,VLOOKUP(YEAR(S243),INPC!$B$4:$O$29,MONTH(S243)+1))</f>
        <v>118.98099999999999</v>
      </c>
      <c r="M243" s="463">
        <f t="shared" si="34"/>
        <v>1.0179</v>
      </c>
      <c r="N243" s="465">
        <f t="shared" si="42"/>
        <v>38.218161913043474</v>
      </c>
      <c r="O243" s="179"/>
      <c r="P243" s="180">
        <v>1</v>
      </c>
      <c r="Q243" s="173" t="s">
        <v>583</v>
      </c>
      <c r="R243" s="173" t="s">
        <v>230</v>
      </c>
      <c r="S243" s="174">
        <v>44596</v>
      </c>
      <c r="T243" s="173" t="s">
        <v>33</v>
      </c>
      <c r="U243" s="182">
        <v>19.54</v>
      </c>
      <c r="V243" s="177">
        <f>IF(U243=0,0,IF(T243="MXN",1/HLOOKUP(YEAR(S243)+(MONTH(S243)/100),TC!$5:$37,DAY(S243)+2,FALSE),VLOOKUP(T243,Equivalencia!$1:$23,((MAX(Equivalencia!$3:$3)-YEAR(S243))*14)+MONTH(S243)+2,FALSE)))</f>
        <v>1</v>
      </c>
      <c r="W243" s="178">
        <f t="shared" si="39"/>
        <v>19.54</v>
      </c>
      <c r="X243" s="481">
        <f t="shared" si="35"/>
        <v>-18.006086956521735</v>
      </c>
      <c r="Y243" s="179"/>
      <c r="Z243" s="466">
        <f t="shared" si="36"/>
        <v>38.218161913043474</v>
      </c>
      <c r="AA243" s="473">
        <f t="shared" si="37"/>
        <v>-18.678161913043475</v>
      </c>
      <c r="AB243" s="339">
        <f t="shared" si="38"/>
        <v>-0.47957293065913187</v>
      </c>
    </row>
    <row r="244" spans="2:28" ht="20.100000000000001" customHeight="1">
      <c r="B244" s="172">
        <v>1427200</v>
      </c>
      <c r="C244" s="174">
        <v>44505</v>
      </c>
      <c r="D244" s="181" t="s">
        <v>265</v>
      </c>
      <c r="E244" s="173" t="s">
        <v>33</v>
      </c>
      <c r="F244" s="176">
        <v>37.546086956521734</v>
      </c>
      <c r="G244" s="175">
        <f t="shared" si="40"/>
        <v>1</v>
      </c>
      <c r="H244" s="175">
        <f t="shared" si="33"/>
        <v>37.546086956521734</v>
      </c>
      <c r="I244" s="177">
        <f>IF(G244=0,0,IF(E244="MXN",1/HLOOKUP(YEAR(C244)+(MONTH(C244)/100),TC!$5:$37,DAY(C244)+2,FALSE),VLOOKUP(E244,Equivalencia!$5:$23,((MAX(Equivalencia!$3:$3)-YEAR(C244))*14)+MONTH(C244)+2,FALSE)))</f>
        <v>1</v>
      </c>
      <c r="J244" s="178">
        <f t="shared" si="41"/>
        <v>37.546086956521734</v>
      </c>
      <c r="K244" s="462">
        <f>IF(C244=0,0,VLOOKUP(YEAR(C244),INPC!$B$4:$O$29,MONTH(C244)+1))</f>
        <v>116.884</v>
      </c>
      <c r="L244" s="462">
        <f>IF(S244=0,0,VLOOKUP(YEAR(S244),INPC!$B$4:$O$29,MONTH(S244)+1))</f>
        <v>118.98099999999999</v>
      </c>
      <c r="M244" s="463">
        <f t="shared" si="34"/>
        <v>1.0179</v>
      </c>
      <c r="N244" s="465">
        <f t="shared" si="42"/>
        <v>38.218161913043474</v>
      </c>
      <c r="O244" s="179"/>
      <c r="P244" s="180">
        <v>1</v>
      </c>
      <c r="Q244" s="173" t="s">
        <v>583</v>
      </c>
      <c r="R244" s="173" t="s">
        <v>230</v>
      </c>
      <c r="S244" s="174">
        <v>44596</v>
      </c>
      <c r="T244" s="173" t="s">
        <v>33</v>
      </c>
      <c r="U244" s="182">
        <v>20.69</v>
      </c>
      <c r="V244" s="177">
        <f>IF(U244=0,0,IF(T244="MXN",1/HLOOKUP(YEAR(S244)+(MONTH(S244)/100),TC!$5:$37,DAY(S244)+2,FALSE),VLOOKUP(T244,Equivalencia!$1:$23,((MAX(Equivalencia!$3:$3)-YEAR(S244))*14)+MONTH(S244)+2,FALSE)))</f>
        <v>1</v>
      </c>
      <c r="W244" s="178">
        <f t="shared" si="39"/>
        <v>20.69</v>
      </c>
      <c r="X244" s="481">
        <f t="shared" si="35"/>
        <v>-16.856086956521732</v>
      </c>
      <c r="Y244" s="179"/>
      <c r="Z244" s="466">
        <f t="shared" si="36"/>
        <v>38.218161913043474</v>
      </c>
      <c r="AA244" s="473">
        <f t="shared" si="37"/>
        <v>-17.528161913043473</v>
      </c>
      <c r="AB244" s="339">
        <f t="shared" si="38"/>
        <v>-0.44894390661911143</v>
      </c>
    </row>
    <row r="245" spans="2:28" ht="20.100000000000001" customHeight="1">
      <c r="B245" s="172">
        <v>1427200</v>
      </c>
      <c r="C245" s="174">
        <v>44505</v>
      </c>
      <c r="D245" s="181" t="s">
        <v>265</v>
      </c>
      <c r="E245" s="173" t="s">
        <v>33</v>
      </c>
      <c r="F245" s="176">
        <v>375.46086956521731</v>
      </c>
      <c r="G245" s="175">
        <f t="shared" si="40"/>
        <v>10</v>
      </c>
      <c r="H245" s="175">
        <f t="shared" si="33"/>
        <v>375.46086956521731</v>
      </c>
      <c r="I245" s="177">
        <f>IF(G245=0,0,IF(E245="MXN",1/HLOOKUP(YEAR(C245)+(MONTH(C245)/100),TC!$5:$37,DAY(C245)+2,FALSE),VLOOKUP(E245,Equivalencia!$5:$23,((MAX(Equivalencia!$3:$3)-YEAR(C245))*14)+MONTH(C245)+2,FALSE)))</f>
        <v>1</v>
      </c>
      <c r="J245" s="178">
        <f t="shared" si="41"/>
        <v>375.46086956521731</v>
      </c>
      <c r="K245" s="462">
        <f>IF(C245=0,0,VLOOKUP(YEAR(C245),INPC!$B$4:$O$29,MONTH(C245)+1))</f>
        <v>116.884</v>
      </c>
      <c r="L245" s="462">
        <f>IF(S245=0,0,VLOOKUP(YEAR(S245),INPC!$B$4:$O$29,MONTH(S245)+1))</f>
        <v>118.98099999999999</v>
      </c>
      <c r="M245" s="463">
        <f t="shared" si="34"/>
        <v>1.0179</v>
      </c>
      <c r="N245" s="465">
        <f t="shared" si="42"/>
        <v>382.18161913043468</v>
      </c>
      <c r="O245" s="179"/>
      <c r="P245" s="180">
        <v>10</v>
      </c>
      <c r="Q245" s="173" t="s">
        <v>583</v>
      </c>
      <c r="R245" s="173" t="s">
        <v>230</v>
      </c>
      <c r="S245" s="174">
        <v>44596</v>
      </c>
      <c r="T245" s="173" t="s">
        <v>33</v>
      </c>
      <c r="U245" s="182">
        <v>205.83</v>
      </c>
      <c r="V245" s="177">
        <f>IF(U245=0,0,IF(T245="MXN",1/HLOOKUP(YEAR(S245)+(MONTH(S245)/100),TC!$5:$37,DAY(S245)+2,FALSE),VLOOKUP(T245,Equivalencia!$1:$23,((MAX(Equivalencia!$3:$3)-YEAR(S245))*14)+MONTH(S245)+2,FALSE)))</f>
        <v>1</v>
      </c>
      <c r="W245" s="178">
        <f t="shared" si="39"/>
        <v>205.83</v>
      </c>
      <c r="X245" s="481">
        <f t="shared" si="35"/>
        <v>-169.6308695652173</v>
      </c>
      <c r="Y245" s="179"/>
      <c r="Z245" s="466">
        <f t="shared" si="36"/>
        <v>382.18161913043468</v>
      </c>
      <c r="AA245" s="473">
        <f t="shared" si="37"/>
        <v>-176.35161913043467</v>
      </c>
      <c r="AB245" s="339">
        <f t="shared" si="38"/>
        <v>-0.45179373755153074</v>
      </c>
    </row>
    <row r="246" spans="2:28" ht="20.100000000000001" customHeight="1">
      <c r="B246" s="172">
        <v>1427200</v>
      </c>
      <c r="C246" s="174">
        <v>44505</v>
      </c>
      <c r="D246" s="181" t="s">
        <v>265</v>
      </c>
      <c r="E246" s="173" t="s">
        <v>33</v>
      </c>
      <c r="F246" s="176">
        <v>75.092173913043467</v>
      </c>
      <c r="G246" s="175">
        <f t="shared" si="40"/>
        <v>2</v>
      </c>
      <c r="H246" s="175">
        <f t="shared" si="33"/>
        <v>75.092173913043467</v>
      </c>
      <c r="I246" s="177">
        <f>IF(G246=0,0,IF(E246="MXN",1/HLOOKUP(YEAR(C246)+(MONTH(C246)/100),TC!$5:$37,DAY(C246)+2,FALSE),VLOOKUP(E246,Equivalencia!$5:$23,((MAX(Equivalencia!$3:$3)-YEAR(C246))*14)+MONTH(C246)+2,FALSE)))</f>
        <v>1</v>
      </c>
      <c r="J246" s="178">
        <f t="shared" si="41"/>
        <v>75.092173913043467</v>
      </c>
      <c r="K246" s="462">
        <f>IF(C246=0,0,VLOOKUP(YEAR(C246),INPC!$B$4:$O$29,MONTH(C246)+1))</f>
        <v>116.884</v>
      </c>
      <c r="L246" s="462">
        <f>IF(S246=0,0,VLOOKUP(YEAR(S246),INPC!$B$4:$O$29,MONTH(S246)+1))</f>
        <v>118.98099999999999</v>
      </c>
      <c r="M246" s="463">
        <f t="shared" si="34"/>
        <v>1.0179</v>
      </c>
      <c r="N246" s="465">
        <f t="shared" si="42"/>
        <v>76.436323826086948</v>
      </c>
      <c r="O246" s="179"/>
      <c r="P246" s="180">
        <v>2</v>
      </c>
      <c r="Q246" s="173" t="s">
        <v>583</v>
      </c>
      <c r="R246" s="173" t="s">
        <v>230</v>
      </c>
      <c r="S246" s="174">
        <v>44596</v>
      </c>
      <c r="T246" s="173" t="s">
        <v>33</v>
      </c>
      <c r="U246" s="182">
        <v>41.57</v>
      </c>
      <c r="V246" s="177">
        <f>IF(U246=0,0,IF(T246="MXN",1/HLOOKUP(YEAR(S246)+(MONTH(S246)/100),TC!$5:$37,DAY(S246)+2,FALSE),VLOOKUP(T246,Equivalencia!$1:$23,((MAX(Equivalencia!$3:$3)-YEAR(S246))*14)+MONTH(S246)+2,FALSE)))</f>
        <v>1</v>
      </c>
      <c r="W246" s="178">
        <f t="shared" si="39"/>
        <v>41.57</v>
      </c>
      <c r="X246" s="481">
        <f t="shared" si="35"/>
        <v>-33.522173913043467</v>
      </c>
      <c r="Y246" s="179"/>
      <c r="Z246" s="466">
        <f t="shared" si="36"/>
        <v>76.436323826086948</v>
      </c>
      <c r="AA246" s="473">
        <f t="shared" si="37"/>
        <v>-34.866323826086948</v>
      </c>
      <c r="AB246" s="339">
        <f t="shared" si="38"/>
        <v>-0.44641368289406635</v>
      </c>
    </row>
    <row r="247" spans="2:28" ht="20.100000000000001" customHeight="1">
      <c r="B247" s="172">
        <v>1427200</v>
      </c>
      <c r="C247" s="174">
        <v>44505</v>
      </c>
      <c r="D247" s="181" t="s">
        <v>265</v>
      </c>
      <c r="E247" s="173" t="s">
        <v>33</v>
      </c>
      <c r="F247" s="176">
        <v>225.2765217391304</v>
      </c>
      <c r="G247" s="175">
        <f t="shared" si="40"/>
        <v>6</v>
      </c>
      <c r="H247" s="175">
        <f t="shared" si="33"/>
        <v>225.2765217391304</v>
      </c>
      <c r="I247" s="177">
        <f>IF(G247=0,0,IF(E247="MXN",1/HLOOKUP(YEAR(C247)+(MONTH(C247)/100),TC!$5:$37,DAY(C247)+2,FALSE),VLOOKUP(E247,Equivalencia!$5:$23,((MAX(Equivalencia!$3:$3)-YEAR(C247))*14)+MONTH(C247)+2,FALSE)))</f>
        <v>1</v>
      </c>
      <c r="J247" s="178">
        <f t="shared" si="41"/>
        <v>225.2765217391304</v>
      </c>
      <c r="K247" s="462">
        <f>IF(C247=0,0,VLOOKUP(YEAR(C247),INPC!$B$4:$O$29,MONTH(C247)+1))</f>
        <v>116.884</v>
      </c>
      <c r="L247" s="462">
        <f>IF(S247=0,0,VLOOKUP(YEAR(S247),INPC!$B$4:$O$29,MONTH(S247)+1))</f>
        <v>118.98099999999999</v>
      </c>
      <c r="M247" s="463">
        <f t="shared" si="34"/>
        <v>1.0179</v>
      </c>
      <c r="N247" s="465">
        <f t="shared" si="42"/>
        <v>229.30897147826084</v>
      </c>
      <c r="O247" s="179"/>
      <c r="P247" s="180">
        <v>6</v>
      </c>
      <c r="Q247" s="173" t="s">
        <v>583</v>
      </c>
      <c r="R247" s="173" t="s">
        <v>230</v>
      </c>
      <c r="S247" s="174">
        <v>44596</v>
      </c>
      <c r="T247" s="173" t="s">
        <v>33</v>
      </c>
      <c r="U247" s="182">
        <v>124.75999999999999</v>
      </c>
      <c r="V247" s="177">
        <f>IF(U247=0,0,IF(T247="MXN",1/HLOOKUP(YEAR(S247)+(MONTH(S247)/100),TC!$5:$37,DAY(S247)+2,FALSE),VLOOKUP(T247,Equivalencia!$1:$23,((MAX(Equivalencia!$3:$3)-YEAR(S247))*14)+MONTH(S247)+2,FALSE)))</f>
        <v>1</v>
      </c>
      <c r="W247" s="178">
        <f t="shared" si="39"/>
        <v>124.75999999999999</v>
      </c>
      <c r="X247" s="481">
        <f t="shared" si="35"/>
        <v>-100.51652173913041</v>
      </c>
      <c r="Y247" s="179"/>
      <c r="Z247" s="466">
        <f t="shared" si="36"/>
        <v>229.30897147826084</v>
      </c>
      <c r="AA247" s="473">
        <f t="shared" si="37"/>
        <v>-104.54897147826085</v>
      </c>
      <c r="AB247" s="339">
        <f t="shared" si="38"/>
        <v>-0.44619173344450103</v>
      </c>
    </row>
    <row r="248" spans="2:28" ht="20.100000000000001" customHeight="1">
      <c r="B248" s="172">
        <v>1427200</v>
      </c>
      <c r="C248" s="174">
        <v>44505</v>
      </c>
      <c r="D248" s="181" t="s">
        <v>265</v>
      </c>
      <c r="E248" s="173" t="s">
        <v>33</v>
      </c>
      <c r="F248" s="176">
        <v>75.092173913043467</v>
      </c>
      <c r="G248" s="175">
        <f t="shared" si="40"/>
        <v>2</v>
      </c>
      <c r="H248" s="175">
        <f t="shared" si="33"/>
        <v>75.092173913043467</v>
      </c>
      <c r="I248" s="177">
        <f>IF(G248=0,0,IF(E248="MXN",1/HLOOKUP(YEAR(C248)+(MONTH(C248)/100),TC!$5:$37,DAY(C248)+2,FALSE),VLOOKUP(E248,Equivalencia!$5:$23,((MAX(Equivalencia!$3:$3)-YEAR(C248))*14)+MONTH(C248)+2,FALSE)))</f>
        <v>1</v>
      </c>
      <c r="J248" s="178">
        <f t="shared" si="41"/>
        <v>75.092173913043467</v>
      </c>
      <c r="K248" s="462">
        <f>IF(C248=0,0,VLOOKUP(YEAR(C248),INPC!$B$4:$O$29,MONTH(C248)+1))</f>
        <v>116.884</v>
      </c>
      <c r="L248" s="462">
        <f>IF(S248=0,0,VLOOKUP(YEAR(S248),INPC!$B$4:$O$29,MONTH(S248)+1))</f>
        <v>118.98099999999999</v>
      </c>
      <c r="M248" s="463">
        <f t="shared" si="34"/>
        <v>1.0179</v>
      </c>
      <c r="N248" s="465">
        <f t="shared" si="42"/>
        <v>76.436323826086948</v>
      </c>
      <c r="O248" s="179"/>
      <c r="P248" s="180">
        <v>2</v>
      </c>
      <c r="Q248" s="173" t="s">
        <v>583</v>
      </c>
      <c r="R248" s="173" t="s">
        <v>230</v>
      </c>
      <c r="S248" s="174">
        <v>44596</v>
      </c>
      <c r="T248" s="173" t="s">
        <v>33</v>
      </c>
      <c r="U248" s="182">
        <v>38.83</v>
      </c>
      <c r="V248" s="177">
        <f>IF(U248=0,0,IF(T248="MXN",1/HLOOKUP(YEAR(S248)+(MONTH(S248)/100),TC!$5:$37,DAY(S248)+2,FALSE),VLOOKUP(T248,Equivalencia!$1:$23,((MAX(Equivalencia!$3:$3)-YEAR(S248))*14)+MONTH(S248)+2,FALSE)))</f>
        <v>1</v>
      </c>
      <c r="W248" s="178">
        <f t="shared" si="39"/>
        <v>38.83</v>
      </c>
      <c r="X248" s="481">
        <f t="shared" si="35"/>
        <v>-36.262173913043469</v>
      </c>
      <c r="Y248" s="179"/>
      <c r="Z248" s="466">
        <f t="shared" si="36"/>
        <v>76.436323826086948</v>
      </c>
      <c r="AA248" s="473">
        <f t="shared" si="37"/>
        <v>-37.60632382608695</v>
      </c>
      <c r="AB248" s="339">
        <f t="shared" si="38"/>
        <v>-0.48290217240261235</v>
      </c>
    </row>
    <row r="249" spans="2:28" ht="20.100000000000001" customHeight="1">
      <c r="B249" s="172">
        <v>1427200</v>
      </c>
      <c r="C249" s="174">
        <v>44505</v>
      </c>
      <c r="D249" s="181" t="s">
        <v>265</v>
      </c>
      <c r="E249" s="173" t="s">
        <v>33</v>
      </c>
      <c r="F249" s="176">
        <v>38.01</v>
      </c>
      <c r="G249" s="175">
        <f t="shared" si="40"/>
        <v>1</v>
      </c>
      <c r="H249" s="175">
        <f t="shared" si="33"/>
        <v>38.01</v>
      </c>
      <c r="I249" s="177">
        <f>IF(G249=0,0,IF(E249="MXN",1/HLOOKUP(YEAR(C249)+(MONTH(C249)/100),TC!$5:$37,DAY(C249)+2,FALSE),VLOOKUP(E249,Equivalencia!$5:$23,((MAX(Equivalencia!$3:$3)-YEAR(C249))*14)+MONTH(C249)+2,FALSE)))</f>
        <v>1</v>
      </c>
      <c r="J249" s="178">
        <f t="shared" si="41"/>
        <v>38.01</v>
      </c>
      <c r="K249" s="462">
        <f>IF(C249=0,0,VLOOKUP(YEAR(C249),INPC!$B$4:$O$29,MONTH(C249)+1))</f>
        <v>116.884</v>
      </c>
      <c r="L249" s="462">
        <f>IF(S249=0,0,VLOOKUP(YEAR(S249),INPC!$B$4:$O$29,MONTH(S249)+1))</f>
        <v>118.98099999999999</v>
      </c>
      <c r="M249" s="463">
        <f t="shared" si="34"/>
        <v>1.0179</v>
      </c>
      <c r="N249" s="465">
        <f t="shared" si="42"/>
        <v>38.690379</v>
      </c>
      <c r="O249" s="179"/>
      <c r="P249" s="180">
        <v>1</v>
      </c>
      <c r="Q249" s="173" t="s">
        <v>583</v>
      </c>
      <c r="R249" s="173" t="s">
        <v>230</v>
      </c>
      <c r="S249" s="174">
        <v>44596</v>
      </c>
      <c r="T249" s="173" t="s">
        <v>33</v>
      </c>
      <c r="U249" s="182">
        <v>19.414999999999999</v>
      </c>
      <c r="V249" s="177">
        <f>IF(U249=0,0,IF(T249="MXN",1/HLOOKUP(YEAR(S249)+(MONTH(S249)/100),TC!$5:$37,DAY(S249)+2,FALSE),VLOOKUP(T249,Equivalencia!$1:$23,((MAX(Equivalencia!$3:$3)-YEAR(S249))*14)+MONTH(S249)+2,FALSE)))</f>
        <v>1</v>
      </c>
      <c r="W249" s="178">
        <f t="shared" si="39"/>
        <v>19.414999999999999</v>
      </c>
      <c r="X249" s="481">
        <f t="shared" si="35"/>
        <v>-18.594999999999999</v>
      </c>
      <c r="Y249" s="179"/>
      <c r="Z249" s="466">
        <f t="shared" si="36"/>
        <v>38.690379</v>
      </c>
      <c r="AA249" s="473">
        <f t="shared" si="37"/>
        <v>-19.275379000000001</v>
      </c>
      <c r="AB249" s="339">
        <f t="shared" si="38"/>
        <v>-0.4892133649039726</v>
      </c>
    </row>
    <row r="250" spans="2:28" ht="20.100000000000001" customHeight="1">
      <c r="B250" s="172">
        <v>1427200</v>
      </c>
      <c r="C250" s="174">
        <v>44505</v>
      </c>
      <c r="D250" s="181" t="s">
        <v>265</v>
      </c>
      <c r="E250" s="173" t="s">
        <v>33</v>
      </c>
      <c r="F250" s="176">
        <v>38.01</v>
      </c>
      <c r="G250" s="175">
        <f t="shared" si="40"/>
        <v>1</v>
      </c>
      <c r="H250" s="175">
        <f t="shared" si="33"/>
        <v>38.01</v>
      </c>
      <c r="I250" s="177">
        <f>IF(G250=0,0,IF(E250="MXN",1/HLOOKUP(YEAR(C250)+(MONTH(C250)/100),TC!$5:$37,DAY(C250)+2,FALSE),VLOOKUP(E250,Equivalencia!$5:$23,((MAX(Equivalencia!$3:$3)-YEAR(C250))*14)+MONTH(C250)+2,FALSE)))</f>
        <v>1</v>
      </c>
      <c r="J250" s="178">
        <f t="shared" si="41"/>
        <v>38.01</v>
      </c>
      <c r="K250" s="462">
        <f>IF(C250=0,0,VLOOKUP(YEAR(C250),INPC!$B$4:$O$29,MONTH(C250)+1))</f>
        <v>116.884</v>
      </c>
      <c r="L250" s="462">
        <f>IF(S250=0,0,VLOOKUP(YEAR(S250),INPC!$B$4:$O$29,MONTH(S250)+1))</f>
        <v>118.98099999999999</v>
      </c>
      <c r="M250" s="463">
        <f t="shared" si="34"/>
        <v>1.0179</v>
      </c>
      <c r="N250" s="465">
        <f t="shared" si="42"/>
        <v>38.690379</v>
      </c>
      <c r="O250" s="179"/>
      <c r="P250" s="180">
        <v>1</v>
      </c>
      <c r="Q250" s="173" t="s">
        <v>583</v>
      </c>
      <c r="R250" s="173" t="s">
        <v>230</v>
      </c>
      <c r="S250" s="174">
        <v>44596</v>
      </c>
      <c r="T250" s="173" t="s">
        <v>33</v>
      </c>
      <c r="U250" s="182">
        <v>19.414999999999999</v>
      </c>
      <c r="V250" s="177">
        <f>IF(U250=0,0,IF(T250="MXN",1/HLOOKUP(YEAR(S250)+(MONTH(S250)/100),TC!$5:$37,DAY(S250)+2,FALSE),VLOOKUP(T250,Equivalencia!$1:$23,((MAX(Equivalencia!$3:$3)-YEAR(S250))*14)+MONTH(S250)+2,FALSE)))</f>
        <v>1</v>
      </c>
      <c r="W250" s="178">
        <f t="shared" si="39"/>
        <v>19.414999999999999</v>
      </c>
      <c r="X250" s="481">
        <f t="shared" si="35"/>
        <v>-18.594999999999999</v>
      </c>
      <c r="Y250" s="179"/>
      <c r="Z250" s="466">
        <f t="shared" si="36"/>
        <v>38.690379</v>
      </c>
      <c r="AA250" s="473">
        <f t="shared" si="37"/>
        <v>-19.275379000000001</v>
      </c>
      <c r="AB250" s="339">
        <f t="shared" si="38"/>
        <v>-0.4892133649039726</v>
      </c>
    </row>
    <row r="251" spans="2:28" ht="20.100000000000001" customHeight="1">
      <c r="B251" s="172">
        <v>1427200</v>
      </c>
      <c r="C251" s="174">
        <v>44505</v>
      </c>
      <c r="D251" s="181" t="s">
        <v>265</v>
      </c>
      <c r="E251" s="173" t="s">
        <v>33</v>
      </c>
      <c r="F251" s="176">
        <v>150.1847619047619</v>
      </c>
      <c r="G251" s="175">
        <f t="shared" si="40"/>
        <v>4</v>
      </c>
      <c r="H251" s="175">
        <f t="shared" si="33"/>
        <v>150.1847619047619</v>
      </c>
      <c r="I251" s="177">
        <f>IF(G251=0,0,IF(E251="MXN",1/HLOOKUP(YEAR(C251)+(MONTH(C251)/100),TC!$5:$37,DAY(C251)+2,FALSE),VLOOKUP(E251,Equivalencia!$5:$23,((MAX(Equivalencia!$3:$3)-YEAR(C251))*14)+MONTH(C251)+2,FALSE)))</f>
        <v>1</v>
      </c>
      <c r="J251" s="178">
        <f t="shared" si="41"/>
        <v>150.1847619047619</v>
      </c>
      <c r="K251" s="462">
        <f>IF(C251=0,0,VLOOKUP(YEAR(C251),INPC!$B$4:$O$29,MONTH(C251)+1))</f>
        <v>116.884</v>
      </c>
      <c r="L251" s="462">
        <f>IF(S251=0,0,VLOOKUP(YEAR(S251),INPC!$B$4:$O$29,MONTH(S251)+1))</f>
        <v>118.98099999999999</v>
      </c>
      <c r="M251" s="463">
        <f t="shared" si="34"/>
        <v>1.0179</v>
      </c>
      <c r="N251" s="465">
        <f t="shared" si="42"/>
        <v>152.87306914285713</v>
      </c>
      <c r="O251" s="179"/>
      <c r="P251" s="180">
        <v>4</v>
      </c>
      <c r="Q251" s="173" t="s">
        <v>583</v>
      </c>
      <c r="R251" s="173" t="s">
        <v>230</v>
      </c>
      <c r="S251" s="174">
        <v>44596</v>
      </c>
      <c r="T251" s="173" t="s">
        <v>33</v>
      </c>
      <c r="U251" s="182">
        <v>78.78</v>
      </c>
      <c r="V251" s="177">
        <f>IF(U251=0,0,IF(T251="MXN",1/HLOOKUP(YEAR(S251)+(MONTH(S251)/100),TC!$5:$37,DAY(S251)+2,FALSE),VLOOKUP(T251,Equivalencia!$1:$23,((MAX(Equivalencia!$3:$3)-YEAR(S251))*14)+MONTH(S251)+2,FALSE)))</f>
        <v>1</v>
      </c>
      <c r="W251" s="178">
        <f t="shared" si="39"/>
        <v>78.78</v>
      </c>
      <c r="X251" s="481">
        <f t="shared" si="35"/>
        <v>-71.404761904761898</v>
      </c>
      <c r="Y251" s="179"/>
      <c r="Z251" s="466">
        <f t="shared" si="36"/>
        <v>152.87306914285713</v>
      </c>
      <c r="AA251" s="473">
        <f t="shared" si="37"/>
        <v>-74.093069142857132</v>
      </c>
      <c r="AB251" s="339">
        <f t="shared" si="38"/>
        <v>-0.47544611716362062</v>
      </c>
    </row>
    <row r="252" spans="2:28" ht="20.100000000000001" customHeight="1">
      <c r="B252" s="172">
        <v>1427200</v>
      </c>
      <c r="C252" s="174">
        <v>44505</v>
      </c>
      <c r="D252" s="181" t="s">
        <v>265</v>
      </c>
      <c r="E252" s="173" t="s">
        <v>33</v>
      </c>
      <c r="F252" s="176">
        <v>375.46190476190475</v>
      </c>
      <c r="G252" s="175">
        <f t="shared" si="40"/>
        <v>10</v>
      </c>
      <c r="H252" s="175">
        <f t="shared" si="33"/>
        <v>375.46190476190475</v>
      </c>
      <c r="I252" s="177">
        <f>IF(G252=0,0,IF(E252="MXN",1/HLOOKUP(YEAR(C252)+(MONTH(C252)/100),TC!$5:$37,DAY(C252)+2,FALSE),VLOOKUP(E252,Equivalencia!$5:$23,((MAX(Equivalencia!$3:$3)-YEAR(C252))*14)+MONTH(C252)+2,FALSE)))</f>
        <v>1</v>
      </c>
      <c r="J252" s="178">
        <f t="shared" si="41"/>
        <v>375.46190476190475</v>
      </c>
      <c r="K252" s="462">
        <f>IF(C252=0,0,VLOOKUP(YEAR(C252),INPC!$B$4:$O$29,MONTH(C252)+1))</f>
        <v>116.884</v>
      </c>
      <c r="L252" s="462">
        <f>IF(S252=0,0,VLOOKUP(YEAR(S252),INPC!$B$4:$O$29,MONTH(S252)+1))</f>
        <v>118.98099999999999</v>
      </c>
      <c r="M252" s="463">
        <f t="shared" si="34"/>
        <v>1.0179</v>
      </c>
      <c r="N252" s="465">
        <f t="shared" si="42"/>
        <v>382.18267285714285</v>
      </c>
      <c r="O252" s="179"/>
      <c r="P252" s="180">
        <v>10</v>
      </c>
      <c r="Q252" s="173" t="s">
        <v>583</v>
      </c>
      <c r="R252" s="173" t="s">
        <v>230</v>
      </c>
      <c r="S252" s="174">
        <v>44596</v>
      </c>
      <c r="T252" s="173" t="s">
        <v>33</v>
      </c>
      <c r="U252" s="182">
        <v>205.77</v>
      </c>
      <c r="V252" s="177">
        <f>IF(U252=0,0,IF(T252="MXN",1/HLOOKUP(YEAR(S252)+(MONTH(S252)/100),TC!$5:$37,DAY(S252)+2,FALSE),VLOOKUP(T252,Equivalencia!$1:$23,((MAX(Equivalencia!$3:$3)-YEAR(S252))*14)+MONTH(S252)+2,FALSE)))</f>
        <v>1</v>
      </c>
      <c r="W252" s="178">
        <f t="shared" si="39"/>
        <v>205.77</v>
      </c>
      <c r="X252" s="481">
        <f t="shared" si="35"/>
        <v>-169.69190476190474</v>
      </c>
      <c r="Y252" s="179"/>
      <c r="Z252" s="466">
        <f t="shared" si="36"/>
        <v>382.18267285714285</v>
      </c>
      <c r="AA252" s="473">
        <f t="shared" si="37"/>
        <v>-176.41267285714284</v>
      </c>
      <c r="AB252" s="339">
        <f t="shared" si="38"/>
        <v>-0.45195505218968379</v>
      </c>
    </row>
    <row r="253" spans="2:28" ht="20.100000000000001" customHeight="1">
      <c r="B253" s="172">
        <v>1427200</v>
      </c>
      <c r="C253" s="174">
        <v>44505</v>
      </c>
      <c r="D253" s="181" t="s">
        <v>265</v>
      </c>
      <c r="E253" s="173" t="s">
        <v>33</v>
      </c>
      <c r="F253" s="176">
        <v>225.27714285714285</v>
      </c>
      <c r="G253" s="175">
        <f t="shared" si="40"/>
        <v>6</v>
      </c>
      <c r="H253" s="175">
        <f t="shared" si="33"/>
        <v>225.27714285714285</v>
      </c>
      <c r="I253" s="177">
        <f>IF(G253=0,0,IF(E253="MXN",1/HLOOKUP(YEAR(C253)+(MONTH(C253)/100),TC!$5:$37,DAY(C253)+2,FALSE),VLOOKUP(E253,Equivalencia!$5:$23,((MAX(Equivalencia!$3:$3)-YEAR(C253))*14)+MONTH(C253)+2,FALSE)))</f>
        <v>1</v>
      </c>
      <c r="J253" s="178">
        <f t="shared" si="41"/>
        <v>225.27714285714285</v>
      </c>
      <c r="K253" s="462">
        <f>IF(C253=0,0,VLOOKUP(YEAR(C253),INPC!$B$4:$O$29,MONTH(C253)+1))</f>
        <v>116.884</v>
      </c>
      <c r="L253" s="462">
        <f>IF(S253=0,0,VLOOKUP(YEAR(S253),INPC!$B$4:$O$29,MONTH(S253)+1))</f>
        <v>118.98099999999999</v>
      </c>
      <c r="M253" s="463">
        <f t="shared" si="34"/>
        <v>1.0179</v>
      </c>
      <c r="N253" s="465">
        <f t="shared" si="42"/>
        <v>229.30960371428571</v>
      </c>
      <c r="O253" s="179"/>
      <c r="P253" s="180">
        <v>6</v>
      </c>
      <c r="Q253" s="173" t="s">
        <v>583</v>
      </c>
      <c r="R253" s="173" t="s">
        <v>230</v>
      </c>
      <c r="S253" s="174">
        <v>44596</v>
      </c>
      <c r="T253" s="173" t="s">
        <v>33</v>
      </c>
      <c r="U253" s="182">
        <v>122.09</v>
      </c>
      <c r="V253" s="177">
        <f>IF(U253=0,0,IF(T253="MXN",1/HLOOKUP(YEAR(S253)+(MONTH(S253)/100),TC!$5:$37,DAY(S253)+2,FALSE),VLOOKUP(T253,Equivalencia!$1:$23,((MAX(Equivalencia!$3:$3)-YEAR(S253))*14)+MONTH(S253)+2,FALSE)))</f>
        <v>1</v>
      </c>
      <c r="W253" s="178">
        <f t="shared" si="39"/>
        <v>122.09</v>
      </c>
      <c r="X253" s="481">
        <f t="shared" si="35"/>
        <v>-103.18714285714285</v>
      </c>
      <c r="Y253" s="179"/>
      <c r="Z253" s="466">
        <f t="shared" si="36"/>
        <v>229.30960371428571</v>
      </c>
      <c r="AA253" s="473">
        <f t="shared" si="37"/>
        <v>-107.21960371428571</v>
      </c>
      <c r="AB253" s="339">
        <f t="shared" si="38"/>
        <v>-0.45804532829403777</v>
      </c>
    </row>
    <row r="254" spans="2:28" ht="20.100000000000001" customHeight="1">
      <c r="B254" s="172">
        <v>1427200</v>
      </c>
      <c r="C254" s="174">
        <v>44505</v>
      </c>
      <c r="D254" s="181" t="s">
        <v>265</v>
      </c>
      <c r="E254" s="173" t="s">
        <v>33</v>
      </c>
      <c r="F254" s="176">
        <v>37.546190476190475</v>
      </c>
      <c r="G254" s="175">
        <f t="shared" si="40"/>
        <v>1</v>
      </c>
      <c r="H254" s="175">
        <f t="shared" si="33"/>
        <v>37.546190476190475</v>
      </c>
      <c r="I254" s="177">
        <f>IF(G254=0,0,IF(E254="MXN",1/HLOOKUP(YEAR(C254)+(MONTH(C254)/100),TC!$5:$37,DAY(C254)+2,FALSE),VLOOKUP(E254,Equivalencia!$5:$23,((MAX(Equivalencia!$3:$3)-YEAR(C254))*14)+MONTH(C254)+2,FALSE)))</f>
        <v>1</v>
      </c>
      <c r="J254" s="178">
        <f t="shared" si="41"/>
        <v>37.546190476190475</v>
      </c>
      <c r="K254" s="462">
        <f>IF(C254=0,0,VLOOKUP(YEAR(C254),INPC!$B$4:$O$29,MONTH(C254)+1))</f>
        <v>116.884</v>
      </c>
      <c r="L254" s="462">
        <f>IF(S254=0,0,VLOOKUP(YEAR(S254),INPC!$B$4:$O$29,MONTH(S254)+1))</f>
        <v>118.98099999999999</v>
      </c>
      <c r="M254" s="463">
        <f t="shared" si="34"/>
        <v>1.0179</v>
      </c>
      <c r="N254" s="465">
        <f t="shared" si="42"/>
        <v>38.218267285714283</v>
      </c>
      <c r="O254" s="179"/>
      <c r="P254" s="180">
        <v>1</v>
      </c>
      <c r="Q254" s="173" t="s">
        <v>583</v>
      </c>
      <c r="R254" s="173" t="s">
        <v>230</v>
      </c>
      <c r="S254" s="174">
        <v>44599</v>
      </c>
      <c r="T254" s="173" t="s">
        <v>33</v>
      </c>
      <c r="U254" s="182">
        <v>22.213333333333335</v>
      </c>
      <c r="V254" s="177">
        <f>IF(U254=0,0,IF(T254="MXN",1/HLOOKUP(YEAR(S254)+(MONTH(S254)/100),TC!$5:$37,DAY(S254)+2,FALSE),VLOOKUP(T254,Equivalencia!$1:$23,((MAX(Equivalencia!$3:$3)-YEAR(S254))*14)+MONTH(S254)+2,FALSE)))</f>
        <v>1</v>
      </c>
      <c r="W254" s="178">
        <f t="shared" si="39"/>
        <v>22.213333333333335</v>
      </c>
      <c r="X254" s="481">
        <f t="shared" si="35"/>
        <v>-15.33285714285714</v>
      </c>
      <c r="Y254" s="179"/>
      <c r="Z254" s="466">
        <f t="shared" si="36"/>
        <v>38.218267285714283</v>
      </c>
      <c r="AA254" s="473">
        <f t="shared" si="37"/>
        <v>-16.004933952380949</v>
      </c>
      <c r="AB254" s="339">
        <f t="shared" si="38"/>
        <v>-0.40837317843418264</v>
      </c>
    </row>
    <row r="255" spans="2:28" ht="20.100000000000001" customHeight="1">
      <c r="B255" s="172">
        <v>1427200</v>
      </c>
      <c r="C255" s="174">
        <v>44508</v>
      </c>
      <c r="D255" s="181" t="s">
        <v>265</v>
      </c>
      <c r="E255" s="173" t="s">
        <v>33</v>
      </c>
      <c r="F255" s="176">
        <v>79.77</v>
      </c>
      <c r="G255" s="175">
        <f t="shared" si="40"/>
        <v>2</v>
      </c>
      <c r="H255" s="175">
        <f t="shared" si="33"/>
        <v>79.77</v>
      </c>
      <c r="I255" s="177">
        <f>IF(G255=0,0,IF(E255="MXN",1/HLOOKUP(YEAR(C255)+(MONTH(C255)/100),TC!$5:$37,DAY(C255)+2,FALSE),VLOOKUP(E255,Equivalencia!$5:$23,((MAX(Equivalencia!$3:$3)-YEAR(C255))*14)+MONTH(C255)+2,FALSE)))</f>
        <v>1</v>
      </c>
      <c r="J255" s="178">
        <f t="shared" si="41"/>
        <v>79.77</v>
      </c>
      <c r="K255" s="462">
        <f>IF(C255=0,0,VLOOKUP(YEAR(C255),INPC!$B$4:$O$29,MONTH(C255)+1))</f>
        <v>116.884</v>
      </c>
      <c r="L255" s="462">
        <f>IF(S255=0,0,VLOOKUP(YEAR(S255),INPC!$B$4:$O$29,MONTH(S255)+1))</f>
        <v>118.98099999999999</v>
      </c>
      <c r="M255" s="463">
        <f t="shared" si="34"/>
        <v>1.0179</v>
      </c>
      <c r="N255" s="465">
        <f t="shared" si="42"/>
        <v>81.197883000000004</v>
      </c>
      <c r="O255" s="179"/>
      <c r="P255" s="180">
        <v>2</v>
      </c>
      <c r="Q255" s="173" t="s">
        <v>583</v>
      </c>
      <c r="R255" s="173" t="s">
        <v>230</v>
      </c>
      <c r="S255" s="174">
        <v>44599</v>
      </c>
      <c r="T255" s="173" t="s">
        <v>33</v>
      </c>
      <c r="U255" s="182">
        <v>44.426666666666669</v>
      </c>
      <c r="V255" s="177">
        <f>IF(U255=0,0,IF(T255="MXN",1/HLOOKUP(YEAR(S255)+(MONTH(S255)/100),TC!$5:$37,DAY(S255)+2,FALSE),VLOOKUP(T255,Equivalencia!$1:$23,((MAX(Equivalencia!$3:$3)-YEAR(S255))*14)+MONTH(S255)+2,FALSE)))</f>
        <v>1</v>
      </c>
      <c r="W255" s="178">
        <f t="shared" si="39"/>
        <v>44.426666666666669</v>
      </c>
      <c r="X255" s="481">
        <f t="shared" si="35"/>
        <v>-35.343333333333327</v>
      </c>
      <c r="Y255" s="179"/>
      <c r="Z255" s="466">
        <f t="shared" si="36"/>
        <v>81.197883000000004</v>
      </c>
      <c r="AA255" s="473">
        <f t="shared" si="37"/>
        <v>-36.771216333333335</v>
      </c>
      <c r="AB255" s="339">
        <f t="shared" si="38"/>
        <v>-0.44306547992144074</v>
      </c>
    </row>
    <row r="256" spans="2:28" ht="20.100000000000001" customHeight="1">
      <c r="B256" s="172">
        <v>1427200</v>
      </c>
      <c r="C256" s="174">
        <v>44508</v>
      </c>
      <c r="D256" s="181" t="s">
        <v>265</v>
      </c>
      <c r="E256" s="173" t="s">
        <v>33</v>
      </c>
      <c r="F256" s="176">
        <v>79.77</v>
      </c>
      <c r="G256" s="175">
        <f t="shared" si="40"/>
        <v>2</v>
      </c>
      <c r="H256" s="175">
        <f t="shared" si="33"/>
        <v>79.77</v>
      </c>
      <c r="I256" s="177">
        <f>IF(G256=0,0,IF(E256="MXN",1/HLOOKUP(YEAR(C256)+(MONTH(C256)/100),TC!$5:$37,DAY(C256)+2,FALSE),VLOOKUP(E256,Equivalencia!$5:$23,((MAX(Equivalencia!$3:$3)-YEAR(C256))*14)+MONTH(C256)+2,FALSE)))</f>
        <v>1</v>
      </c>
      <c r="J256" s="178">
        <f t="shared" si="41"/>
        <v>79.77</v>
      </c>
      <c r="K256" s="462">
        <f>IF(C256=0,0,VLOOKUP(YEAR(C256),INPC!$B$4:$O$29,MONTH(C256)+1))</f>
        <v>116.884</v>
      </c>
      <c r="L256" s="462">
        <f>IF(S256=0,0,VLOOKUP(YEAR(S256),INPC!$B$4:$O$29,MONTH(S256)+1))</f>
        <v>118.98099999999999</v>
      </c>
      <c r="M256" s="463">
        <f t="shared" si="34"/>
        <v>1.0179</v>
      </c>
      <c r="N256" s="465">
        <f t="shared" si="42"/>
        <v>81.197883000000004</v>
      </c>
      <c r="O256" s="179"/>
      <c r="P256" s="180">
        <v>2</v>
      </c>
      <c r="Q256" s="173" t="s">
        <v>583</v>
      </c>
      <c r="R256" s="173" t="s">
        <v>230</v>
      </c>
      <c r="S256" s="174">
        <v>44599</v>
      </c>
      <c r="T256" s="173" t="s">
        <v>33</v>
      </c>
      <c r="U256" s="182">
        <v>44.717142857142854</v>
      </c>
      <c r="V256" s="177">
        <f>IF(U256=0,0,IF(T256="MXN",1/HLOOKUP(YEAR(S256)+(MONTH(S256)/100),TC!$5:$37,DAY(S256)+2,FALSE),VLOOKUP(T256,Equivalencia!$1:$23,((MAX(Equivalencia!$3:$3)-YEAR(S256))*14)+MONTH(S256)+2,FALSE)))</f>
        <v>1</v>
      </c>
      <c r="W256" s="178">
        <f t="shared" si="39"/>
        <v>44.717142857142854</v>
      </c>
      <c r="X256" s="481">
        <f t="shared" si="35"/>
        <v>-35.052857142857142</v>
      </c>
      <c r="Y256" s="179"/>
      <c r="Z256" s="466">
        <f t="shared" si="36"/>
        <v>81.197883000000004</v>
      </c>
      <c r="AA256" s="473">
        <f t="shared" si="37"/>
        <v>-36.480740142857151</v>
      </c>
      <c r="AB256" s="339">
        <f t="shared" si="38"/>
        <v>-0.43942405845376886</v>
      </c>
    </row>
    <row r="257" spans="2:28" ht="20.100000000000001" customHeight="1">
      <c r="B257" s="172">
        <v>1427200</v>
      </c>
      <c r="C257" s="174">
        <v>44508</v>
      </c>
      <c r="D257" s="181" t="s">
        <v>265</v>
      </c>
      <c r="E257" s="173" t="s">
        <v>33</v>
      </c>
      <c r="F257" s="176">
        <v>119.66</v>
      </c>
      <c r="G257" s="175">
        <f t="shared" si="40"/>
        <v>3</v>
      </c>
      <c r="H257" s="175">
        <f t="shared" si="33"/>
        <v>119.66</v>
      </c>
      <c r="I257" s="177">
        <f>IF(G257=0,0,IF(E257="MXN",1/HLOOKUP(YEAR(C257)+(MONTH(C257)/100),TC!$5:$37,DAY(C257)+2,FALSE),VLOOKUP(E257,Equivalencia!$5:$23,((MAX(Equivalencia!$3:$3)-YEAR(C257))*14)+MONTH(C257)+2,FALSE)))</f>
        <v>1</v>
      </c>
      <c r="J257" s="178">
        <f t="shared" si="41"/>
        <v>119.66</v>
      </c>
      <c r="K257" s="462">
        <f>IF(C257=0,0,VLOOKUP(YEAR(C257),INPC!$B$4:$O$29,MONTH(C257)+1))</f>
        <v>116.884</v>
      </c>
      <c r="L257" s="462">
        <f>IF(S257=0,0,VLOOKUP(YEAR(S257),INPC!$B$4:$O$29,MONTH(S257)+1))</f>
        <v>118.98099999999999</v>
      </c>
      <c r="M257" s="463">
        <f t="shared" si="34"/>
        <v>1.0179</v>
      </c>
      <c r="N257" s="465">
        <f t="shared" si="42"/>
        <v>121.801914</v>
      </c>
      <c r="O257" s="179"/>
      <c r="P257" s="180">
        <v>3</v>
      </c>
      <c r="Q257" s="173" t="s">
        <v>583</v>
      </c>
      <c r="R257" s="173" t="s">
        <v>230</v>
      </c>
      <c r="S257" s="174">
        <v>44599</v>
      </c>
      <c r="T257" s="173" t="s">
        <v>33</v>
      </c>
      <c r="U257" s="182">
        <v>67.075714285714284</v>
      </c>
      <c r="V257" s="177">
        <f>IF(U257=0,0,IF(T257="MXN",1/HLOOKUP(YEAR(S257)+(MONTH(S257)/100),TC!$5:$37,DAY(S257)+2,FALSE),VLOOKUP(T257,Equivalencia!$1:$23,((MAX(Equivalencia!$3:$3)-YEAR(S257))*14)+MONTH(S257)+2,FALSE)))</f>
        <v>1</v>
      </c>
      <c r="W257" s="178">
        <f t="shared" si="39"/>
        <v>67.075714285714284</v>
      </c>
      <c r="X257" s="481">
        <f t="shared" si="35"/>
        <v>-52.584285714285713</v>
      </c>
      <c r="Y257" s="179"/>
      <c r="Z257" s="466">
        <f t="shared" si="36"/>
        <v>121.801914</v>
      </c>
      <c r="AA257" s="473">
        <f t="shared" si="37"/>
        <v>-54.726199714285713</v>
      </c>
      <c r="AB257" s="339">
        <f t="shared" si="38"/>
        <v>-0.43944748215181106</v>
      </c>
    </row>
    <row r="258" spans="2:28" ht="20.100000000000001" customHeight="1">
      <c r="B258" s="172">
        <v>1427200</v>
      </c>
      <c r="C258" s="174">
        <v>44511</v>
      </c>
      <c r="D258" s="181" t="s">
        <v>265</v>
      </c>
      <c r="E258" s="173" t="s">
        <v>33</v>
      </c>
      <c r="F258" s="176">
        <v>38.56</v>
      </c>
      <c r="G258" s="175">
        <f t="shared" si="40"/>
        <v>1</v>
      </c>
      <c r="H258" s="175">
        <f t="shared" ref="H258:H321" si="43">IF(F258=0,0,(F258/G258)*P258)</f>
        <v>38.56</v>
      </c>
      <c r="I258" s="177">
        <f>IF(G258=0,0,IF(E258="MXN",1/HLOOKUP(YEAR(C258)+(MONTH(C258)/100),TC!$5:$37,DAY(C258)+2,FALSE),VLOOKUP(E258,Equivalencia!$5:$23,((MAX(Equivalencia!$3:$3)-YEAR(C258))*14)+MONTH(C258)+2,FALSE)))</f>
        <v>1</v>
      </c>
      <c r="J258" s="178">
        <f t="shared" si="41"/>
        <v>38.56</v>
      </c>
      <c r="K258" s="462">
        <f>IF(C258=0,0,VLOOKUP(YEAR(C258),INPC!$B$4:$O$29,MONTH(C258)+1))</f>
        <v>116.884</v>
      </c>
      <c r="L258" s="462">
        <f>IF(S258=0,0,VLOOKUP(YEAR(S258),INPC!$B$4:$O$29,MONTH(S258)+1))</f>
        <v>118.98099999999999</v>
      </c>
      <c r="M258" s="463">
        <f t="shared" ref="M258:M321" si="44">IF(H258=0,0,IF(R258=$AF$4,1,IF(TRUNC(L258/K258,4)&gt;=1,TRUNC(L258/K258,4),1)))</f>
        <v>1.0179</v>
      </c>
      <c r="N258" s="465">
        <f t="shared" si="42"/>
        <v>39.250224000000003</v>
      </c>
      <c r="O258" s="179"/>
      <c r="P258" s="180">
        <v>1</v>
      </c>
      <c r="Q258" s="173" t="s">
        <v>583</v>
      </c>
      <c r="R258" s="173" t="s">
        <v>230</v>
      </c>
      <c r="S258" s="174">
        <v>44599</v>
      </c>
      <c r="T258" s="173" t="s">
        <v>33</v>
      </c>
      <c r="U258" s="182">
        <v>22.358571428571427</v>
      </c>
      <c r="V258" s="177">
        <f>IF(U258=0,0,IF(T258="MXN",1/HLOOKUP(YEAR(S258)+(MONTH(S258)/100),TC!$5:$37,DAY(S258)+2,FALSE),VLOOKUP(T258,Equivalencia!$1:$23,((MAX(Equivalencia!$3:$3)-YEAR(S258))*14)+MONTH(S258)+2,FALSE)))</f>
        <v>1</v>
      </c>
      <c r="W258" s="178">
        <f t="shared" si="39"/>
        <v>22.358571428571427</v>
      </c>
      <c r="X258" s="481">
        <f t="shared" ref="X258:X321" si="45">+W258-J258</f>
        <v>-16.201428571428576</v>
      </c>
      <c r="Y258" s="179"/>
      <c r="Z258" s="466">
        <f t="shared" ref="Z258:Z321" si="46">N258</f>
        <v>39.250224000000003</v>
      </c>
      <c r="AA258" s="473">
        <f t="shared" ref="AA258:AA321" si="47">+W258-Z258</f>
        <v>-16.891652571428576</v>
      </c>
      <c r="AB258" s="339">
        <f t="shared" ref="AB258:AB321" si="48">+IF(P258=0,0,(U258/F258)-1)</f>
        <v>-0.42016152934202733</v>
      </c>
    </row>
    <row r="259" spans="2:28" ht="20.100000000000001" customHeight="1">
      <c r="B259" s="172">
        <v>1427200</v>
      </c>
      <c r="C259" s="174">
        <v>44511</v>
      </c>
      <c r="D259" s="181" t="s">
        <v>265</v>
      </c>
      <c r="E259" s="173" t="s">
        <v>33</v>
      </c>
      <c r="F259" s="176">
        <v>461.45</v>
      </c>
      <c r="G259" s="175">
        <f t="shared" si="40"/>
        <v>12</v>
      </c>
      <c r="H259" s="175">
        <f t="shared" si="43"/>
        <v>461.45</v>
      </c>
      <c r="I259" s="177">
        <f>IF(G259=0,0,IF(E259="MXN",1/HLOOKUP(YEAR(C259)+(MONTH(C259)/100),TC!$5:$37,DAY(C259)+2,FALSE),VLOOKUP(E259,Equivalencia!$5:$23,((MAX(Equivalencia!$3:$3)-YEAR(C259))*14)+MONTH(C259)+2,FALSE)))</f>
        <v>1</v>
      </c>
      <c r="J259" s="178">
        <f t="shared" si="41"/>
        <v>461.45</v>
      </c>
      <c r="K259" s="462">
        <f>IF(C259=0,0,VLOOKUP(YEAR(C259),INPC!$B$4:$O$29,MONTH(C259)+1))</f>
        <v>116.884</v>
      </c>
      <c r="L259" s="462">
        <f>IF(S259=0,0,VLOOKUP(YEAR(S259),INPC!$B$4:$O$29,MONTH(S259)+1))</f>
        <v>118.98099999999999</v>
      </c>
      <c r="M259" s="463">
        <f t="shared" si="44"/>
        <v>1.0179</v>
      </c>
      <c r="N259" s="465">
        <f t="shared" si="42"/>
        <v>469.70995499999998</v>
      </c>
      <c r="O259" s="179"/>
      <c r="P259" s="180">
        <v>12</v>
      </c>
      <c r="Q259" s="173" t="s">
        <v>583</v>
      </c>
      <c r="R259" s="173" t="s">
        <v>230</v>
      </c>
      <c r="S259" s="174">
        <v>44599</v>
      </c>
      <c r="T259" s="173" t="s">
        <v>33</v>
      </c>
      <c r="U259" s="182">
        <v>268.30285714285714</v>
      </c>
      <c r="V259" s="177">
        <f>IF(U259=0,0,IF(T259="MXN",1/HLOOKUP(YEAR(S259)+(MONTH(S259)/100),TC!$5:$37,DAY(S259)+2,FALSE),VLOOKUP(T259,Equivalencia!$1:$23,((MAX(Equivalencia!$3:$3)-YEAR(S259))*14)+MONTH(S259)+2,FALSE)))</f>
        <v>1</v>
      </c>
      <c r="W259" s="178">
        <f t="shared" ref="W259:W322" si="49">+V259*U259</f>
        <v>268.30285714285714</v>
      </c>
      <c r="X259" s="481">
        <f t="shared" si="45"/>
        <v>-193.14714285714285</v>
      </c>
      <c r="Y259" s="179"/>
      <c r="Z259" s="466">
        <f t="shared" si="46"/>
        <v>469.70995499999998</v>
      </c>
      <c r="AA259" s="473">
        <f t="shared" si="47"/>
        <v>-201.40709785714284</v>
      </c>
      <c r="AB259" s="339">
        <f t="shared" si="48"/>
        <v>-0.41856570128322212</v>
      </c>
    </row>
    <row r="260" spans="2:28" ht="20.100000000000001" customHeight="1">
      <c r="B260" s="172">
        <v>1427200</v>
      </c>
      <c r="C260" s="174">
        <v>44511</v>
      </c>
      <c r="D260" s="181" t="s">
        <v>265</v>
      </c>
      <c r="E260" s="173" t="s">
        <v>33</v>
      </c>
      <c r="F260" s="176">
        <v>38.229999999999997</v>
      </c>
      <c r="G260" s="175">
        <f t="shared" si="40"/>
        <v>1</v>
      </c>
      <c r="H260" s="175">
        <f t="shared" si="43"/>
        <v>38.229999999999997</v>
      </c>
      <c r="I260" s="177">
        <f>IF(G260=0,0,IF(E260="MXN",1/HLOOKUP(YEAR(C260)+(MONTH(C260)/100),TC!$5:$37,DAY(C260)+2,FALSE),VLOOKUP(E260,Equivalencia!$5:$23,((MAX(Equivalencia!$3:$3)-YEAR(C260))*14)+MONTH(C260)+2,FALSE)))</f>
        <v>1</v>
      </c>
      <c r="J260" s="178">
        <f t="shared" si="41"/>
        <v>38.229999999999997</v>
      </c>
      <c r="K260" s="462">
        <f>IF(C260=0,0,VLOOKUP(YEAR(C260),INPC!$B$4:$O$29,MONTH(C260)+1))</f>
        <v>116.884</v>
      </c>
      <c r="L260" s="462">
        <f>IF(S260=0,0,VLOOKUP(YEAR(S260),INPC!$B$4:$O$29,MONTH(S260)+1))</f>
        <v>118.98099999999999</v>
      </c>
      <c r="M260" s="463">
        <f t="shared" si="44"/>
        <v>1.0179</v>
      </c>
      <c r="N260" s="465">
        <f t="shared" si="42"/>
        <v>38.914316999999997</v>
      </c>
      <c r="O260" s="179"/>
      <c r="P260" s="180">
        <v>1</v>
      </c>
      <c r="Q260" s="173" t="s">
        <v>583</v>
      </c>
      <c r="R260" s="173" t="s">
        <v>230</v>
      </c>
      <c r="S260" s="174">
        <v>44599</v>
      </c>
      <c r="T260" s="173" t="s">
        <v>33</v>
      </c>
      <c r="U260" s="182">
        <v>22.358571428571427</v>
      </c>
      <c r="V260" s="177">
        <f>IF(U260=0,0,IF(T260="MXN",1/HLOOKUP(YEAR(S260)+(MONTH(S260)/100),TC!$5:$37,DAY(S260)+2,FALSE),VLOOKUP(T260,Equivalencia!$1:$23,((MAX(Equivalencia!$3:$3)-YEAR(S260))*14)+MONTH(S260)+2,FALSE)))</f>
        <v>1</v>
      </c>
      <c r="W260" s="178">
        <f t="shared" si="49"/>
        <v>22.358571428571427</v>
      </c>
      <c r="X260" s="481">
        <f t="shared" si="45"/>
        <v>-15.87142857142857</v>
      </c>
      <c r="Y260" s="179"/>
      <c r="Z260" s="466">
        <f t="shared" si="46"/>
        <v>38.914316999999997</v>
      </c>
      <c r="AA260" s="473">
        <f t="shared" si="47"/>
        <v>-16.55574557142857</v>
      </c>
      <c r="AB260" s="339">
        <f t="shared" si="48"/>
        <v>-0.41515638429057211</v>
      </c>
    </row>
    <row r="261" spans="2:28" ht="20.100000000000001" customHeight="1">
      <c r="B261" s="172">
        <v>1427200</v>
      </c>
      <c r="C261" s="174">
        <v>44512</v>
      </c>
      <c r="D261" s="181" t="s">
        <v>265</v>
      </c>
      <c r="E261" s="173" t="s">
        <v>33</v>
      </c>
      <c r="F261" s="176">
        <v>38.17</v>
      </c>
      <c r="G261" s="175">
        <f t="shared" si="40"/>
        <v>1</v>
      </c>
      <c r="H261" s="175">
        <f t="shared" si="43"/>
        <v>38.17</v>
      </c>
      <c r="I261" s="177">
        <f>IF(G261=0,0,IF(E261="MXN",1/HLOOKUP(YEAR(C261)+(MONTH(C261)/100),TC!$5:$37,DAY(C261)+2,FALSE),VLOOKUP(E261,Equivalencia!$5:$23,((MAX(Equivalencia!$3:$3)-YEAR(C261))*14)+MONTH(C261)+2,FALSE)))</f>
        <v>1</v>
      </c>
      <c r="J261" s="178">
        <f t="shared" si="41"/>
        <v>38.17</v>
      </c>
      <c r="K261" s="462">
        <f>IF(C261=0,0,VLOOKUP(YEAR(C261),INPC!$B$4:$O$29,MONTH(C261)+1))</f>
        <v>116.884</v>
      </c>
      <c r="L261" s="462">
        <f>IF(S261=0,0,VLOOKUP(YEAR(S261),INPC!$B$4:$O$29,MONTH(S261)+1))</f>
        <v>118.98099999999999</v>
      </c>
      <c r="M261" s="463">
        <f t="shared" si="44"/>
        <v>1.0179</v>
      </c>
      <c r="N261" s="465">
        <f t="shared" si="42"/>
        <v>38.853243000000006</v>
      </c>
      <c r="O261" s="179"/>
      <c r="P261" s="180">
        <v>1</v>
      </c>
      <c r="Q261" s="173" t="s">
        <v>583</v>
      </c>
      <c r="R261" s="173" t="s">
        <v>230</v>
      </c>
      <c r="S261" s="174">
        <v>44599</v>
      </c>
      <c r="T261" s="173" t="s">
        <v>33</v>
      </c>
      <c r="U261" s="182">
        <v>22.358571428571427</v>
      </c>
      <c r="V261" s="177">
        <f>IF(U261=0,0,IF(T261="MXN",1/HLOOKUP(YEAR(S261)+(MONTH(S261)/100),TC!$5:$37,DAY(S261)+2,FALSE),VLOOKUP(T261,Equivalencia!$1:$23,((MAX(Equivalencia!$3:$3)-YEAR(S261))*14)+MONTH(S261)+2,FALSE)))</f>
        <v>1</v>
      </c>
      <c r="W261" s="178">
        <f t="shared" si="49"/>
        <v>22.358571428571427</v>
      </c>
      <c r="X261" s="481">
        <f t="shared" si="45"/>
        <v>-15.811428571428575</v>
      </c>
      <c r="Y261" s="179"/>
      <c r="Z261" s="466">
        <f t="shared" si="46"/>
        <v>38.853243000000006</v>
      </c>
      <c r="AA261" s="473">
        <f t="shared" si="47"/>
        <v>-16.494671571428579</v>
      </c>
      <c r="AB261" s="339">
        <f t="shared" si="48"/>
        <v>-0.41423705977020109</v>
      </c>
    </row>
    <row r="262" spans="2:28" ht="20.100000000000001" customHeight="1">
      <c r="B262" s="172">
        <v>1427200</v>
      </c>
      <c r="C262" s="174">
        <v>44512</v>
      </c>
      <c r="D262" s="181" t="s">
        <v>265</v>
      </c>
      <c r="E262" s="173" t="s">
        <v>33</v>
      </c>
      <c r="F262" s="176">
        <v>38.555</v>
      </c>
      <c r="G262" s="175">
        <f t="shared" ref="G262:G325" si="50">+P262</f>
        <v>1</v>
      </c>
      <c r="H262" s="175">
        <f t="shared" si="43"/>
        <v>38.555</v>
      </c>
      <c r="I262" s="177">
        <f>IF(G262=0,0,IF(E262="MXN",1/HLOOKUP(YEAR(C262)+(MONTH(C262)/100),TC!$5:$37,DAY(C262)+2,FALSE),VLOOKUP(E262,Equivalencia!$5:$23,((MAX(Equivalencia!$3:$3)-YEAR(C262))*14)+MONTH(C262)+2,FALSE)))</f>
        <v>1</v>
      </c>
      <c r="J262" s="178">
        <f t="shared" ref="J262:J325" si="51">+H262*I262</f>
        <v>38.555</v>
      </c>
      <c r="K262" s="462">
        <f>IF(C262=0,0,VLOOKUP(YEAR(C262),INPC!$B$4:$O$29,MONTH(C262)+1))</f>
        <v>116.884</v>
      </c>
      <c r="L262" s="462">
        <f>IF(S262=0,0,VLOOKUP(YEAR(S262),INPC!$B$4:$O$29,MONTH(S262)+1))</f>
        <v>118.98099999999999</v>
      </c>
      <c r="M262" s="463">
        <f t="shared" si="44"/>
        <v>1.0179</v>
      </c>
      <c r="N262" s="465">
        <f t="shared" ref="N262:N325" si="52">+M262*J262</f>
        <v>39.245134499999999</v>
      </c>
      <c r="O262" s="179"/>
      <c r="P262" s="180">
        <v>1</v>
      </c>
      <c r="Q262" s="173" t="s">
        <v>583</v>
      </c>
      <c r="R262" s="173" t="s">
        <v>230</v>
      </c>
      <c r="S262" s="174">
        <v>44599</v>
      </c>
      <c r="T262" s="173" t="s">
        <v>33</v>
      </c>
      <c r="U262" s="182">
        <v>22.358571428571427</v>
      </c>
      <c r="V262" s="177">
        <f>IF(U262=0,0,IF(T262="MXN",1/HLOOKUP(YEAR(S262)+(MONTH(S262)/100),TC!$5:$37,DAY(S262)+2,FALSE),VLOOKUP(T262,Equivalencia!$1:$23,((MAX(Equivalencia!$3:$3)-YEAR(S262))*14)+MONTH(S262)+2,FALSE)))</f>
        <v>1</v>
      </c>
      <c r="W262" s="178">
        <f t="shared" si="49"/>
        <v>22.358571428571427</v>
      </c>
      <c r="X262" s="481">
        <f t="shared" si="45"/>
        <v>-16.196428571428573</v>
      </c>
      <c r="Y262" s="179"/>
      <c r="Z262" s="466">
        <f t="shared" si="46"/>
        <v>39.245134499999999</v>
      </c>
      <c r="AA262" s="473">
        <f t="shared" si="47"/>
        <v>-16.886563071428572</v>
      </c>
      <c r="AB262" s="339">
        <f t="shared" si="48"/>
        <v>-0.4200863330677882</v>
      </c>
    </row>
    <row r="263" spans="2:28" ht="20.100000000000001" customHeight="1">
      <c r="B263" s="172">
        <v>1427200</v>
      </c>
      <c r="C263" s="174">
        <v>44512</v>
      </c>
      <c r="D263" s="181" t="s">
        <v>265</v>
      </c>
      <c r="E263" s="173" t="s">
        <v>33</v>
      </c>
      <c r="F263" s="176">
        <v>38.555</v>
      </c>
      <c r="G263" s="175">
        <f t="shared" si="50"/>
        <v>1</v>
      </c>
      <c r="H263" s="175">
        <f t="shared" si="43"/>
        <v>38.555</v>
      </c>
      <c r="I263" s="177">
        <f>IF(G263=0,0,IF(E263="MXN",1/HLOOKUP(YEAR(C263)+(MONTH(C263)/100),TC!$5:$37,DAY(C263)+2,FALSE),VLOOKUP(E263,Equivalencia!$5:$23,((MAX(Equivalencia!$3:$3)-YEAR(C263))*14)+MONTH(C263)+2,FALSE)))</f>
        <v>1</v>
      </c>
      <c r="J263" s="178">
        <f t="shared" si="51"/>
        <v>38.555</v>
      </c>
      <c r="K263" s="462">
        <f>IF(C263=0,0,VLOOKUP(YEAR(C263),INPC!$B$4:$O$29,MONTH(C263)+1))</f>
        <v>116.884</v>
      </c>
      <c r="L263" s="462">
        <f>IF(S263=0,0,VLOOKUP(YEAR(S263),INPC!$B$4:$O$29,MONTH(S263)+1))</f>
        <v>118.98099999999999</v>
      </c>
      <c r="M263" s="463">
        <f t="shared" si="44"/>
        <v>1.0179</v>
      </c>
      <c r="N263" s="465">
        <f t="shared" si="52"/>
        <v>39.245134499999999</v>
      </c>
      <c r="O263" s="179"/>
      <c r="P263" s="180">
        <v>1</v>
      </c>
      <c r="Q263" s="173" t="s">
        <v>583</v>
      </c>
      <c r="R263" s="173" t="s">
        <v>230</v>
      </c>
      <c r="S263" s="174">
        <v>44599</v>
      </c>
      <c r="T263" s="173" t="s">
        <v>33</v>
      </c>
      <c r="U263" s="182">
        <v>22.515000000000001</v>
      </c>
      <c r="V263" s="177">
        <f>IF(U263=0,0,IF(T263="MXN",1/HLOOKUP(YEAR(S263)+(MONTH(S263)/100),TC!$5:$37,DAY(S263)+2,FALSE),VLOOKUP(T263,Equivalencia!$1:$23,((MAX(Equivalencia!$3:$3)-YEAR(S263))*14)+MONTH(S263)+2,FALSE)))</f>
        <v>1</v>
      </c>
      <c r="W263" s="178">
        <f t="shared" si="49"/>
        <v>22.515000000000001</v>
      </c>
      <c r="X263" s="481">
        <f t="shared" si="45"/>
        <v>-16.04</v>
      </c>
      <c r="Y263" s="179"/>
      <c r="Z263" s="466">
        <f t="shared" si="46"/>
        <v>39.245134499999999</v>
      </c>
      <c r="AA263" s="473">
        <f t="shared" si="47"/>
        <v>-16.730134499999998</v>
      </c>
      <c r="AB263" s="339">
        <f t="shared" si="48"/>
        <v>-0.41602904940993379</v>
      </c>
    </row>
    <row r="264" spans="2:28" ht="20.100000000000001" customHeight="1">
      <c r="B264" s="172">
        <v>1427200</v>
      </c>
      <c r="C264" s="174">
        <v>44515</v>
      </c>
      <c r="D264" s="181" t="s">
        <v>265</v>
      </c>
      <c r="E264" s="173" t="s">
        <v>33</v>
      </c>
      <c r="F264" s="176">
        <v>37.910000000000004</v>
      </c>
      <c r="G264" s="175">
        <f t="shared" si="50"/>
        <v>1</v>
      </c>
      <c r="H264" s="175">
        <f t="shared" si="43"/>
        <v>37.910000000000004</v>
      </c>
      <c r="I264" s="177">
        <f>IF(G264=0,0,IF(E264="MXN",1/HLOOKUP(YEAR(C264)+(MONTH(C264)/100),TC!$5:$37,DAY(C264)+2,FALSE),VLOOKUP(E264,Equivalencia!$5:$23,((MAX(Equivalencia!$3:$3)-YEAR(C264))*14)+MONTH(C264)+2,FALSE)))</f>
        <v>1</v>
      </c>
      <c r="J264" s="178">
        <f t="shared" si="51"/>
        <v>37.910000000000004</v>
      </c>
      <c r="K264" s="462">
        <f>IF(C264=0,0,VLOOKUP(YEAR(C264),INPC!$B$4:$O$29,MONTH(C264)+1))</f>
        <v>116.884</v>
      </c>
      <c r="L264" s="462">
        <f>IF(S264=0,0,VLOOKUP(YEAR(S264),INPC!$B$4:$O$29,MONTH(S264)+1))</f>
        <v>118.98099999999999</v>
      </c>
      <c r="M264" s="463">
        <f t="shared" si="44"/>
        <v>1.0179</v>
      </c>
      <c r="N264" s="465">
        <f t="shared" si="52"/>
        <v>38.588589000000006</v>
      </c>
      <c r="O264" s="179"/>
      <c r="P264" s="180">
        <v>1</v>
      </c>
      <c r="Q264" s="173" t="s">
        <v>583</v>
      </c>
      <c r="R264" s="173" t="s">
        <v>230</v>
      </c>
      <c r="S264" s="174">
        <v>44599</v>
      </c>
      <c r="T264" s="173" t="s">
        <v>33</v>
      </c>
      <c r="U264" s="182">
        <v>22.515000000000001</v>
      </c>
      <c r="V264" s="177">
        <f>IF(U264=0,0,IF(T264="MXN",1/HLOOKUP(YEAR(S264)+(MONTH(S264)/100),TC!$5:$37,DAY(S264)+2,FALSE),VLOOKUP(T264,Equivalencia!$1:$23,((MAX(Equivalencia!$3:$3)-YEAR(S264))*14)+MONTH(S264)+2,FALSE)))</f>
        <v>1</v>
      </c>
      <c r="W264" s="178">
        <f t="shared" si="49"/>
        <v>22.515000000000001</v>
      </c>
      <c r="X264" s="481">
        <f t="shared" si="45"/>
        <v>-15.395000000000003</v>
      </c>
      <c r="Y264" s="179"/>
      <c r="Z264" s="466">
        <f t="shared" si="46"/>
        <v>38.588589000000006</v>
      </c>
      <c r="AA264" s="473">
        <f t="shared" si="47"/>
        <v>-16.073589000000005</v>
      </c>
      <c r="AB264" s="339">
        <f t="shared" si="48"/>
        <v>-0.40609337905565823</v>
      </c>
    </row>
    <row r="265" spans="2:28" ht="20.100000000000001" customHeight="1">
      <c r="B265" s="172">
        <v>1427200</v>
      </c>
      <c r="C265" s="174">
        <v>44515</v>
      </c>
      <c r="D265" s="181" t="s">
        <v>265</v>
      </c>
      <c r="E265" s="173" t="s">
        <v>33</v>
      </c>
      <c r="F265" s="176">
        <v>75.820000000000007</v>
      </c>
      <c r="G265" s="175">
        <f t="shared" si="50"/>
        <v>2</v>
      </c>
      <c r="H265" s="175">
        <f t="shared" si="43"/>
        <v>75.820000000000007</v>
      </c>
      <c r="I265" s="177">
        <f>IF(G265=0,0,IF(E265="MXN",1/HLOOKUP(YEAR(C265)+(MONTH(C265)/100),TC!$5:$37,DAY(C265)+2,FALSE),VLOOKUP(E265,Equivalencia!$5:$23,((MAX(Equivalencia!$3:$3)-YEAR(C265))*14)+MONTH(C265)+2,FALSE)))</f>
        <v>1</v>
      </c>
      <c r="J265" s="178">
        <f t="shared" si="51"/>
        <v>75.820000000000007</v>
      </c>
      <c r="K265" s="462">
        <f>IF(C265=0,0,VLOOKUP(YEAR(C265),INPC!$B$4:$O$29,MONTH(C265)+1))</f>
        <v>116.884</v>
      </c>
      <c r="L265" s="462">
        <f>IF(S265=0,0,VLOOKUP(YEAR(S265),INPC!$B$4:$O$29,MONTH(S265)+1))</f>
        <v>118.98099999999999</v>
      </c>
      <c r="M265" s="463">
        <f t="shared" si="44"/>
        <v>1.0179</v>
      </c>
      <c r="N265" s="465">
        <f t="shared" si="52"/>
        <v>77.177178000000012</v>
      </c>
      <c r="O265" s="179"/>
      <c r="P265" s="180">
        <v>2</v>
      </c>
      <c r="Q265" s="173" t="s">
        <v>583</v>
      </c>
      <c r="R265" s="173" t="s">
        <v>230</v>
      </c>
      <c r="S265" s="174">
        <v>44600</v>
      </c>
      <c r="T265" s="173" t="s">
        <v>33</v>
      </c>
      <c r="U265" s="182">
        <v>44.95</v>
      </c>
      <c r="V265" s="177">
        <f>IF(U265=0,0,IF(T265="MXN",1/HLOOKUP(YEAR(S265)+(MONTH(S265)/100),TC!$5:$37,DAY(S265)+2,FALSE),VLOOKUP(T265,Equivalencia!$1:$23,((MAX(Equivalencia!$3:$3)-YEAR(S265))*14)+MONTH(S265)+2,FALSE)))</f>
        <v>1</v>
      </c>
      <c r="W265" s="178">
        <f t="shared" si="49"/>
        <v>44.95</v>
      </c>
      <c r="X265" s="481">
        <f t="shared" si="45"/>
        <v>-30.870000000000005</v>
      </c>
      <c r="Y265" s="179"/>
      <c r="Z265" s="466">
        <f t="shared" si="46"/>
        <v>77.177178000000012</v>
      </c>
      <c r="AA265" s="473">
        <f t="shared" si="47"/>
        <v>-32.227178000000009</v>
      </c>
      <c r="AB265" s="339">
        <f t="shared" si="48"/>
        <v>-0.40714850962806648</v>
      </c>
    </row>
    <row r="266" spans="2:28" ht="20.100000000000001" customHeight="1">
      <c r="B266" s="172">
        <v>1427200</v>
      </c>
      <c r="C266" s="174">
        <v>44516</v>
      </c>
      <c r="D266" s="181" t="s">
        <v>265</v>
      </c>
      <c r="E266" s="173" t="s">
        <v>33</v>
      </c>
      <c r="F266" s="176">
        <v>37.61</v>
      </c>
      <c r="G266" s="175">
        <f t="shared" si="50"/>
        <v>1</v>
      </c>
      <c r="H266" s="175">
        <f t="shared" si="43"/>
        <v>37.61</v>
      </c>
      <c r="I266" s="177">
        <f>IF(G266=0,0,IF(E266="MXN",1/HLOOKUP(YEAR(C266)+(MONTH(C266)/100),TC!$5:$37,DAY(C266)+2,FALSE),VLOOKUP(E266,Equivalencia!$5:$23,((MAX(Equivalencia!$3:$3)-YEAR(C266))*14)+MONTH(C266)+2,FALSE)))</f>
        <v>1</v>
      </c>
      <c r="J266" s="178">
        <f t="shared" si="51"/>
        <v>37.61</v>
      </c>
      <c r="K266" s="462">
        <f>IF(C266=0,0,VLOOKUP(YEAR(C266),INPC!$B$4:$O$29,MONTH(C266)+1))</f>
        <v>116.884</v>
      </c>
      <c r="L266" s="462">
        <f>IF(S266=0,0,VLOOKUP(YEAR(S266),INPC!$B$4:$O$29,MONTH(S266)+1))</f>
        <v>118.98099999999999</v>
      </c>
      <c r="M266" s="463">
        <f t="shared" si="44"/>
        <v>1.0179</v>
      </c>
      <c r="N266" s="465">
        <f t="shared" si="52"/>
        <v>38.283219000000003</v>
      </c>
      <c r="O266" s="179"/>
      <c r="P266" s="180">
        <v>1</v>
      </c>
      <c r="Q266" s="173" t="s">
        <v>583</v>
      </c>
      <c r="R266" s="173" t="s">
        <v>230</v>
      </c>
      <c r="S266" s="174">
        <v>44600</v>
      </c>
      <c r="T266" s="173" t="s">
        <v>33</v>
      </c>
      <c r="U266" s="182">
        <v>22.47</v>
      </c>
      <c r="V266" s="177">
        <f>IF(U266=0,0,IF(T266="MXN",1/HLOOKUP(YEAR(S266)+(MONTH(S266)/100),TC!$5:$37,DAY(S266)+2,FALSE),VLOOKUP(T266,Equivalencia!$1:$23,((MAX(Equivalencia!$3:$3)-YEAR(S266))*14)+MONTH(S266)+2,FALSE)))</f>
        <v>1</v>
      </c>
      <c r="W266" s="178">
        <f t="shared" si="49"/>
        <v>22.47</v>
      </c>
      <c r="X266" s="481">
        <f t="shared" si="45"/>
        <v>-15.14</v>
      </c>
      <c r="Y266" s="179"/>
      <c r="Z266" s="466">
        <f t="shared" si="46"/>
        <v>38.283219000000003</v>
      </c>
      <c r="AA266" s="473">
        <f t="shared" si="47"/>
        <v>-15.813219000000004</v>
      </c>
      <c r="AB266" s="339">
        <f t="shared" si="48"/>
        <v>-0.40255251262961977</v>
      </c>
    </row>
    <row r="267" spans="2:28" ht="20.100000000000001" customHeight="1">
      <c r="B267" s="172">
        <v>1427200</v>
      </c>
      <c r="C267" s="174">
        <v>44516</v>
      </c>
      <c r="D267" s="181" t="s">
        <v>265</v>
      </c>
      <c r="E267" s="173" t="s">
        <v>33</v>
      </c>
      <c r="F267" s="176">
        <v>156.71</v>
      </c>
      <c r="G267" s="175">
        <f t="shared" si="50"/>
        <v>4</v>
      </c>
      <c r="H267" s="175">
        <f t="shared" si="43"/>
        <v>156.71</v>
      </c>
      <c r="I267" s="177">
        <f>IF(G267=0,0,IF(E267="MXN",1/HLOOKUP(YEAR(C267)+(MONTH(C267)/100),TC!$5:$37,DAY(C267)+2,FALSE),VLOOKUP(E267,Equivalencia!$5:$23,((MAX(Equivalencia!$3:$3)-YEAR(C267))*14)+MONTH(C267)+2,FALSE)))</f>
        <v>1</v>
      </c>
      <c r="J267" s="178">
        <f t="shared" si="51"/>
        <v>156.71</v>
      </c>
      <c r="K267" s="462">
        <f>IF(C267=0,0,VLOOKUP(YEAR(C267),INPC!$B$4:$O$29,MONTH(C267)+1))</f>
        <v>116.884</v>
      </c>
      <c r="L267" s="462">
        <f>IF(S267=0,0,VLOOKUP(YEAR(S267),INPC!$B$4:$O$29,MONTH(S267)+1))</f>
        <v>118.98099999999999</v>
      </c>
      <c r="M267" s="463">
        <f t="shared" si="44"/>
        <v>1.0179</v>
      </c>
      <c r="N267" s="465">
        <f t="shared" si="52"/>
        <v>159.51510900000002</v>
      </c>
      <c r="O267" s="179"/>
      <c r="P267" s="180">
        <v>4</v>
      </c>
      <c r="Q267" s="173" t="s">
        <v>583</v>
      </c>
      <c r="R267" s="173" t="s">
        <v>230</v>
      </c>
      <c r="S267" s="174">
        <v>44600</v>
      </c>
      <c r="T267" s="173" t="s">
        <v>33</v>
      </c>
      <c r="U267" s="182">
        <v>89.88</v>
      </c>
      <c r="V267" s="177">
        <f>IF(U267=0,0,IF(T267="MXN",1/HLOOKUP(YEAR(S267)+(MONTH(S267)/100),TC!$5:$37,DAY(S267)+2,FALSE),VLOOKUP(T267,Equivalencia!$1:$23,((MAX(Equivalencia!$3:$3)-YEAR(S267))*14)+MONTH(S267)+2,FALSE)))</f>
        <v>1</v>
      </c>
      <c r="W267" s="178">
        <f t="shared" si="49"/>
        <v>89.88</v>
      </c>
      <c r="X267" s="481">
        <f t="shared" si="45"/>
        <v>-66.830000000000013</v>
      </c>
      <c r="Y267" s="179"/>
      <c r="Z267" s="466">
        <f t="shared" si="46"/>
        <v>159.51510900000002</v>
      </c>
      <c r="AA267" s="473">
        <f t="shared" si="47"/>
        <v>-69.635109000000028</v>
      </c>
      <c r="AB267" s="339">
        <f t="shared" si="48"/>
        <v>-0.42645651202858792</v>
      </c>
    </row>
    <row r="268" spans="2:28" ht="20.100000000000001" customHeight="1">
      <c r="B268" s="172">
        <v>1427200</v>
      </c>
      <c r="C268" s="174">
        <v>44516</v>
      </c>
      <c r="D268" s="181" t="s">
        <v>265</v>
      </c>
      <c r="E268" s="173" t="s">
        <v>33</v>
      </c>
      <c r="F268" s="176">
        <v>537.66999999999996</v>
      </c>
      <c r="G268" s="175">
        <f t="shared" si="50"/>
        <v>14</v>
      </c>
      <c r="H268" s="175">
        <f t="shared" si="43"/>
        <v>537.66999999999996</v>
      </c>
      <c r="I268" s="177">
        <f>IF(G268=0,0,IF(E268="MXN",1/HLOOKUP(YEAR(C268)+(MONTH(C268)/100),TC!$5:$37,DAY(C268)+2,FALSE),VLOOKUP(E268,Equivalencia!$5:$23,((MAX(Equivalencia!$3:$3)-YEAR(C268))*14)+MONTH(C268)+2,FALSE)))</f>
        <v>1</v>
      </c>
      <c r="J268" s="178">
        <f t="shared" si="51"/>
        <v>537.66999999999996</v>
      </c>
      <c r="K268" s="462">
        <f>IF(C268=0,0,VLOOKUP(YEAR(C268),INPC!$B$4:$O$29,MONTH(C268)+1))</f>
        <v>116.884</v>
      </c>
      <c r="L268" s="462">
        <f>IF(S268=0,0,VLOOKUP(YEAR(S268),INPC!$B$4:$O$29,MONTH(S268)+1))</f>
        <v>118.98099999999999</v>
      </c>
      <c r="M268" s="463">
        <f t="shared" si="44"/>
        <v>1.0179</v>
      </c>
      <c r="N268" s="465">
        <f t="shared" si="52"/>
        <v>547.29429299999993</v>
      </c>
      <c r="O268" s="179"/>
      <c r="P268" s="180">
        <v>14</v>
      </c>
      <c r="Q268" s="173" t="s">
        <v>583</v>
      </c>
      <c r="R268" s="173" t="s">
        <v>230</v>
      </c>
      <c r="S268" s="174">
        <v>44600</v>
      </c>
      <c r="T268" s="173" t="s">
        <v>33</v>
      </c>
      <c r="U268" s="182">
        <v>310.81826086956522</v>
      </c>
      <c r="V268" s="177">
        <f>IF(U268=0,0,IF(T268="MXN",1/HLOOKUP(YEAR(S268)+(MONTH(S268)/100),TC!$5:$37,DAY(S268)+2,FALSE),VLOOKUP(T268,Equivalencia!$1:$23,((MAX(Equivalencia!$3:$3)-YEAR(S268))*14)+MONTH(S268)+2,FALSE)))</f>
        <v>1</v>
      </c>
      <c r="W268" s="178">
        <f t="shared" si="49"/>
        <v>310.81826086956522</v>
      </c>
      <c r="X268" s="481">
        <f t="shared" si="45"/>
        <v>-226.85173913043474</v>
      </c>
      <c r="Y268" s="179"/>
      <c r="Z268" s="466">
        <f t="shared" si="46"/>
        <v>547.29429299999993</v>
      </c>
      <c r="AA268" s="473">
        <f t="shared" si="47"/>
        <v>-236.4760321304347</v>
      </c>
      <c r="AB268" s="339">
        <f t="shared" si="48"/>
        <v>-0.42191630392328894</v>
      </c>
    </row>
    <row r="269" spans="2:28" ht="20.100000000000001" customHeight="1">
      <c r="B269" s="172">
        <v>1427200</v>
      </c>
      <c r="C269" s="174">
        <v>44516</v>
      </c>
      <c r="D269" s="181" t="s">
        <v>265</v>
      </c>
      <c r="E269" s="173" t="s">
        <v>33</v>
      </c>
      <c r="F269" s="176">
        <v>37.64</v>
      </c>
      <c r="G269" s="175">
        <f t="shared" si="50"/>
        <v>1</v>
      </c>
      <c r="H269" s="175">
        <f t="shared" si="43"/>
        <v>37.64</v>
      </c>
      <c r="I269" s="177">
        <f>IF(G269=0,0,IF(E269="MXN",1/HLOOKUP(YEAR(C269)+(MONTH(C269)/100),TC!$5:$37,DAY(C269)+2,FALSE),VLOOKUP(E269,Equivalencia!$5:$23,((MAX(Equivalencia!$3:$3)-YEAR(C269))*14)+MONTH(C269)+2,FALSE)))</f>
        <v>1</v>
      </c>
      <c r="J269" s="178">
        <f t="shared" si="51"/>
        <v>37.64</v>
      </c>
      <c r="K269" s="462">
        <f>IF(C269=0,0,VLOOKUP(YEAR(C269),INPC!$B$4:$O$29,MONTH(C269)+1))</f>
        <v>116.884</v>
      </c>
      <c r="L269" s="462">
        <f>IF(S269=0,0,VLOOKUP(YEAR(S269),INPC!$B$4:$O$29,MONTH(S269)+1))</f>
        <v>118.98099999999999</v>
      </c>
      <c r="M269" s="463">
        <f t="shared" si="44"/>
        <v>1.0179</v>
      </c>
      <c r="N269" s="465">
        <f t="shared" si="52"/>
        <v>38.313756000000005</v>
      </c>
      <c r="O269" s="179"/>
      <c r="P269" s="180">
        <v>1</v>
      </c>
      <c r="Q269" s="173" t="s">
        <v>583</v>
      </c>
      <c r="R269" s="173" t="s">
        <v>230</v>
      </c>
      <c r="S269" s="174">
        <v>44600</v>
      </c>
      <c r="T269" s="173" t="s">
        <v>33</v>
      </c>
      <c r="U269" s="182">
        <v>22.201304347826088</v>
      </c>
      <c r="V269" s="177">
        <f>IF(U269=0,0,IF(T269="MXN",1/HLOOKUP(YEAR(S269)+(MONTH(S269)/100),TC!$5:$37,DAY(S269)+2,FALSE),VLOOKUP(T269,Equivalencia!$1:$23,((MAX(Equivalencia!$3:$3)-YEAR(S269))*14)+MONTH(S269)+2,FALSE)))</f>
        <v>1</v>
      </c>
      <c r="W269" s="178">
        <f t="shared" si="49"/>
        <v>22.201304347826088</v>
      </c>
      <c r="X269" s="481">
        <f t="shared" si="45"/>
        <v>-15.438695652173912</v>
      </c>
      <c r="Y269" s="179"/>
      <c r="Z269" s="466">
        <f t="shared" si="46"/>
        <v>38.313756000000005</v>
      </c>
      <c r="AA269" s="473">
        <f t="shared" si="47"/>
        <v>-16.112451652173917</v>
      </c>
      <c r="AB269" s="339">
        <f t="shared" si="48"/>
        <v>-0.4101672596220487</v>
      </c>
    </row>
    <row r="270" spans="2:28" ht="20.100000000000001" customHeight="1">
      <c r="B270" s="172">
        <v>1427200</v>
      </c>
      <c r="C270" s="174">
        <v>44517</v>
      </c>
      <c r="D270" s="181" t="s">
        <v>265</v>
      </c>
      <c r="E270" s="173" t="s">
        <v>33</v>
      </c>
      <c r="F270" s="176">
        <v>77.61</v>
      </c>
      <c r="G270" s="175">
        <f t="shared" si="50"/>
        <v>2</v>
      </c>
      <c r="H270" s="175">
        <f t="shared" si="43"/>
        <v>77.61</v>
      </c>
      <c r="I270" s="177">
        <f>IF(G270=0,0,IF(E270="MXN",1/HLOOKUP(YEAR(C270)+(MONTH(C270)/100),TC!$5:$37,DAY(C270)+2,FALSE),VLOOKUP(E270,Equivalencia!$5:$23,((MAX(Equivalencia!$3:$3)-YEAR(C270))*14)+MONTH(C270)+2,FALSE)))</f>
        <v>1</v>
      </c>
      <c r="J270" s="178">
        <f t="shared" si="51"/>
        <v>77.61</v>
      </c>
      <c r="K270" s="462">
        <f>IF(C270=0,0,VLOOKUP(YEAR(C270),INPC!$B$4:$O$29,MONTH(C270)+1))</f>
        <v>116.884</v>
      </c>
      <c r="L270" s="462">
        <f>IF(S270=0,0,VLOOKUP(YEAR(S270),INPC!$B$4:$O$29,MONTH(S270)+1))</f>
        <v>118.98099999999999</v>
      </c>
      <c r="M270" s="463">
        <f t="shared" si="44"/>
        <v>1.0179</v>
      </c>
      <c r="N270" s="465">
        <f t="shared" si="52"/>
        <v>78.999218999999997</v>
      </c>
      <c r="O270" s="179"/>
      <c r="P270" s="180">
        <v>2</v>
      </c>
      <c r="Q270" s="173" t="s">
        <v>583</v>
      </c>
      <c r="R270" s="173" t="s">
        <v>230</v>
      </c>
      <c r="S270" s="174">
        <v>44600</v>
      </c>
      <c r="T270" s="173" t="s">
        <v>33</v>
      </c>
      <c r="U270" s="182">
        <v>44.402608695652177</v>
      </c>
      <c r="V270" s="177">
        <f>IF(U270=0,0,IF(T270="MXN",1/HLOOKUP(YEAR(S270)+(MONTH(S270)/100),TC!$5:$37,DAY(S270)+2,FALSE),VLOOKUP(T270,Equivalencia!$1:$23,((MAX(Equivalencia!$3:$3)-YEAR(S270))*14)+MONTH(S270)+2,FALSE)))</f>
        <v>1</v>
      </c>
      <c r="W270" s="178">
        <f t="shared" si="49"/>
        <v>44.402608695652177</v>
      </c>
      <c r="X270" s="481">
        <f t="shared" si="45"/>
        <v>-33.207391304347823</v>
      </c>
      <c r="Y270" s="179"/>
      <c r="Z270" s="466">
        <f t="shared" si="46"/>
        <v>78.999218999999997</v>
      </c>
      <c r="AA270" s="473">
        <f t="shared" si="47"/>
        <v>-34.59661030434782</v>
      </c>
      <c r="AB270" s="339">
        <f t="shared" si="48"/>
        <v>-0.42787516176198714</v>
      </c>
    </row>
    <row r="271" spans="2:28" ht="20.100000000000001" customHeight="1">
      <c r="B271" s="172">
        <v>1427200</v>
      </c>
      <c r="C271" s="174">
        <v>44540</v>
      </c>
      <c r="D271" s="181" t="s">
        <v>265</v>
      </c>
      <c r="E271" s="173" t="s">
        <v>33</v>
      </c>
      <c r="F271" s="176">
        <v>27.44</v>
      </c>
      <c r="G271" s="175">
        <f t="shared" si="50"/>
        <v>1</v>
      </c>
      <c r="H271" s="175">
        <f t="shared" si="43"/>
        <v>27.44</v>
      </c>
      <c r="I271" s="177">
        <f>IF(G271=0,0,IF(E271="MXN",1/HLOOKUP(YEAR(C271)+(MONTH(C271)/100),TC!$5:$37,DAY(C271)+2,FALSE),VLOOKUP(E271,Equivalencia!$5:$23,((MAX(Equivalencia!$3:$3)-YEAR(C271))*14)+MONTH(C271)+2,FALSE)))</f>
        <v>1</v>
      </c>
      <c r="J271" s="178">
        <f t="shared" si="51"/>
        <v>27.44</v>
      </c>
      <c r="K271" s="462">
        <f>IF(C271=0,0,VLOOKUP(YEAR(C271),INPC!$B$4:$O$29,MONTH(C271)+1))</f>
        <v>117.30800000000001</v>
      </c>
      <c r="L271" s="462">
        <f>IF(S271=0,0,VLOOKUP(YEAR(S271),INPC!$B$4:$O$29,MONTH(S271)+1))</f>
        <v>118.98099999999999</v>
      </c>
      <c r="M271" s="463">
        <f t="shared" si="44"/>
        <v>1.0142</v>
      </c>
      <c r="N271" s="465">
        <f t="shared" si="52"/>
        <v>27.829648000000002</v>
      </c>
      <c r="O271" s="179"/>
      <c r="P271" s="180">
        <v>1</v>
      </c>
      <c r="Q271" s="173" t="s">
        <v>583</v>
      </c>
      <c r="R271" s="173" t="s">
        <v>230</v>
      </c>
      <c r="S271" s="174">
        <v>44600</v>
      </c>
      <c r="T271" s="173" t="s">
        <v>33</v>
      </c>
      <c r="U271" s="182">
        <v>22.201304347826088</v>
      </c>
      <c r="V271" s="177">
        <f>IF(U271=0,0,IF(T271="MXN",1/HLOOKUP(YEAR(S271)+(MONTH(S271)/100),TC!$5:$37,DAY(S271)+2,FALSE),VLOOKUP(T271,Equivalencia!$1:$23,((MAX(Equivalencia!$3:$3)-YEAR(S271))*14)+MONTH(S271)+2,FALSE)))</f>
        <v>1</v>
      </c>
      <c r="W271" s="178">
        <f t="shared" si="49"/>
        <v>22.201304347826088</v>
      </c>
      <c r="X271" s="481">
        <f t="shared" si="45"/>
        <v>-5.238695652173913</v>
      </c>
      <c r="Y271" s="179"/>
      <c r="Z271" s="466">
        <f t="shared" si="46"/>
        <v>27.829648000000002</v>
      </c>
      <c r="AA271" s="473">
        <f t="shared" si="47"/>
        <v>-5.6283436521739141</v>
      </c>
      <c r="AB271" s="339">
        <f t="shared" si="48"/>
        <v>-0.19091456458359746</v>
      </c>
    </row>
    <row r="272" spans="2:28" ht="20.100000000000001" customHeight="1">
      <c r="B272" s="172">
        <v>1427200</v>
      </c>
      <c r="C272" s="174">
        <v>44540</v>
      </c>
      <c r="D272" s="181" t="s">
        <v>265</v>
      </c>
      <c r="E272" s="173" t="s">
        <v>33</v>
      </c>
      <c r="F272" s="176">
        <v>136.71666666666667</v>
      </c>
      <c r="G272" s="175">
        <f t="shared" si="50"/>
        <v>5</v>
      </c>
      <c r="H272" s="175">
        <f t="shared" si="43"/>
        <v>136.71666666666667</v>
      </c>
      <c r="I272" s="177">
        <f>IF(G272=0,0,IF(E272="MXN",1/HLOOKUP(YEAR(C272)+(MONTH(C272)/100),TC!$5:$37,DAY(C272)+2,FALSE),VLOOKUP(E272,Equivalencia!$5:$23,((MAX(Equivalencia!$3:$3)-YEAR(C272))*14)+MONTH(C272)+2,FALSE)))</f>
        <v>1</v>
      </c>
      <c r="J272" s="178">
        <f t="shared" si="51"/>
        <v>136.71666666666667</v>
      </c>
      <c r="K272" s="462">
        <f>IF(C272=0,0,VLOOKUP(YEAR(C272),INPC!$B$4:$O$29,MONTH(C272)+1))</f>
        <v>117.30800000000001</v>
      </c>
      <c r="L272" s="462">
        <f>IF(S272=0,0,VLOOKUP(YEAR(S272),INPC!$B$4:$O$29,MONTH(S272)+1))</f>
        <v>118.98099999999999</v>
      </c>
      <c r="M272" s="463">
        <f t="shared" si="44"/>
        <v>1.0142</v>
      </c>
      <c r="N272" s="465">
        <f t="shared" si="52"/>
        <v>138.65804333333332</v>
      </c>
      <c r="O272" s="179"/>
      <c r="P272" s="180">
        <v>5</v>
      </c>
      <c r="Q272" s="173" t="s">
        <v>583</v>
      </c>
      <c r="R272" s="173" t="s">
        <v>230</v>
      </c>
      <c r="S272" s="174">
        <v>44600</v>
      </c>
      <c r="T272" s="173" t="s">
        <v>33</v>
      </c>
      <c r="U272" s="182">
        <v>111.00652173913045</v>
      </c>
      <c r="V272" s="177">
        <f>IF(U272=0,0,IF(T272="MXN",1/HLOOKUP(YEAR(S272)+(MONTH(S272)/100),TC!$5:$37,DAY(S272)+2,FALSE),VLOOKUP(T272,Equivalencia!$1:$23,((MAX(Equivalencia!$3:$3)-YEAR(S272))*14)+MONTH(S272)+2,FALSE)))</f>
        <v>1</v>
      </c>
      <c r="W272" s="178">
        <f t="shared" si="49"/>
        <v>111.00652173913045</v>
      </c>
      <c r="X272" s="481">
        <f t="shared" si="45"/>
        <v>-25.71014492753622</v>
      </c>
      <c r="Y272" s="179"/>
      <c r="Z272" s="466">
        <f t="shared" si="46"/>
        <v>138.65804333333332</v>
      </c>
      <c r="AA272" s="473">
        <f t="shared" si="47"/>
        <v>-27.651521594202876</v>
      </c>
      <c r="AB272" s="339">
        <f t="shared" si="48"/>
        <v>-0.18805421134367584</v>
      </c>
    </row>
    <row r="273" spans="2:28" ht="20.100000000000001" customHeight="1">
      <c r="B273" s="172">
        <v>1427200</v>
      </c>
      <c r="C273" s="174">
        <v>44540</v>
      </c>
      <c r="D273" s="181" t="s">
        <v>265</v>
      </c>
      <c r="E273" s="173" t="s">
        <v>33</v>
      </c>
      <c r="F273" s="176">
        <v>27.343333333333334</v>
      </c>
      <c r="G273" s="175">
        <f t="shared" si="50"/>
        <v>1</v>
      </c>
      <c r="H273" s="175">
        <f t="shared" si="43"/>
        <v>27.343333333333334</v>
      </c>
      <c r="I273" s="177">
        <f>IF(G273=0,0,IF(E273="MXN",1/HLOOKUP(YEAR(C273)+(MONTH(C273)/100),TC!$5:$37,DAY(C273)+2,FALSE),VLOOKUP(E273,Equivalencia!$5:$23,((MAX(Equivalencia!$3:$3)-YEAR(C273))*14)+MONTH(C273)+2,FALSE)))</f>
        <v>1</v>
      </c>
      <c r="J273" s="178">
        <f t="shared" si="51"/>
        <v>27.343333333333334</v>
      </c>
      <c r="K273" s="462">
        <f>IF(C273=0,0,VLOOKUP(YEAR(C273),INPC!$B$4:$O$29,MONTH(C273)+1))</f>
        <v>117.30800000000001</v>
      </c>
      <c r="L273" s="462">
        <f>IF(S273=0,0,VLOOKUP(YEAR(S273),INPC!$B$4:$O$29,MONTH(S273)+1))</f>
        <v>118.98099999999999</v>
      </c>
      <c r="M273" s="463">
        <f t="shared" si="44"/>
        <v>1.0142</v>
      </c>
      <c r="N273" s="465">
        <f t="shared" si="52"/>
        <v>27.731608666666666</v>
      </c>
      <c r="O273" s="179"/>
      <c r="P273" s="180">
        <v>1</v>
      </c>
      <c r="Q273" s="173" t="s">
        <v>583</v>
      </c>
      <c r="R273" s="173" t="s">
        <v>230</v>
      </c>
      <c r="S273" s="174">
        <v>44600</v>
      </c>
      <c r="T273" s="173" t="s">
        <v>33</v>
      </c>
      <c r="U273" s="182">
        <v>22.06</v>
      </c>
      <c r="V273" s="177">
        <f>IF(U273=0,0,IF(T273="MXN",1/HLOOKUP(YEAR(S273)+(MONTH(S273)/100),TC!$5:$37,DAY(S273)+2,FALSE),VLOOKUP(T273,Equivalencia!$1:$23,((MAX(Equivalencia!$3:$3)-YEAR(S273))*14)+MONTH(S273)+2,FALSE)))</f>
        <v>1</v>
      </c>
      <c r="W273" s="178">
        <f t="shared" si="49"/>
        <v>22.06</v>
      </c>
      <c r="X273" s="481">
        <f t="shared" si="45"/>
        <v>-5.283333333333335</v>
      </c>
      <c r="Y273" s="179"/>
      <c r="Z273" s="466">
        <f t="shared" si="46"/>
        <v>27.731608666666666</v>
      </c>
      <c r="AA273" s="473">
        <f t="shared" si="47"/>
        <v>-5.6716086666666676</v>
      </c>
      <c r="AB273" s="339">
        <f t="shared" si="48"/>
        <v>-0.19322199195416312</v>
      </c>
    </row>
    <row r="274" spans="2:28" ht="20.100000000000001" customHeight="1">
      <c r="B274" s="172">
        <v>1427200</v>
      </c>
      <c r="C274" s="174">
        <v>44540</v>
      </c>
      <c r="D274" s="181" t="s">
        <v>265</v>
      </c>
      <c r="E274" s="173" t="s">
        <v>33</v>
      </c>
      <c r="F274" s="176">
        <v>27.36</v>
      </c>
      <c r="G274" s="175">
        <f t="shared" si="50"/>
        <v>1</v>
      </c>
      <c r="H274" s="175">
        <f t="shared" si="43"/>
        <v>27.36</v>
      </c>
      <c r="I274" s="177">
        <f>IF(G274=0,0,IF(E274="MXN",1/HLOOKUP(YEAR(C274)+(MONTH(C274)/100),TC!$5:$37,DAY(C274)+2,FALSE),VLOOKUP(E274,Equivalencia!$5:$23,((MAX(Equivalencia!$3:$3)-YEAR(C274))*14)+MONTH(C274)+2,FALSE)))</f>
        <v>1</v>
      </c>
      <c r="J274" s="178">
        <f t="shared" si="51"/>
        <v>27.36</v>
      </c>
      <c r="K274" s="462">
        <f>IF(C274=0,0,VLOOKUP(YEAR(C274),INPC!$B$4:$O$29,MONTH(C274)+1))</f>
        <v>117.30800000000001</v>
      </c>
      <c r="L274" s="462">
        <f>IF(S274=0,0,VLOOKUP(YEAR(S274),INPC!$B$4:$O$29,MONTH(S274)+1))</f>
        <v>118.98099999999999</v>
      </c>
      <c r="M274" s="463">
        <f t="shared" si="44"/>
        <v>1.0142</v>
      </c>
      <c r="N274" s="465">
        <f t="shared" si="52"/>
        <v>27.748511999999998</v>
      </c>
      <c r="O274" s="179"/>
      <c r="P274" s="180">
        <v>1</v>
      </c>
      <c r="Q274" s="173" t="s">
        <v>583</v>
      </c>
      <c r="R274" s="173" t="s">
        <v>230</v>
      </c>
      <c r="S274" s="174">
        <v>44601</v>
      </c>
      <c r="T274" s="173" t="s">
        <v>33</v>
      </c>
      <c r="U274" s="182">
        <v>22.99</v>
      </c>
      <c r="V274" s="177">
        <f>IF(U274=0,0,IF(T274="MXN",1/HLOOKUP(YEAR(S274)+(MONTH(S274)/100),TC!$5:$37,DAY(S274)+2,FALSE),VLOOKUP(T274,Equivalencia!$1:$23,((MAX(Equivalencia!$3:$3)-YEAR(S274))*14)+MONTH(S274)+2,FALSE)))</f>
        <v>1</v>
      </c>
      <c r="W274" s="178">
        <f t="shared" si="49"/>
        <v>22.99</v>
      </c>
      <c r="X274" s="481">
        <f t="shared" si="45"/>
        <v>-4.370000000000001</v>
      </c>
      <c r="Y274" s="179"/>
      <c r="Z274" s="466">
        <f t="shared" si="46"/>
        <v>27.748511999999998</v>
      </c>
      <c r="AA274" s="473">
        <f t="shared" si="47"/>
        <v>-4.7585119999999996</v>
      </c>
      <c r="AB274" s="339">
        <f t="shared" si="48"/>
        <v>-0.15972222222222221</v>
      </c>
    </row>
    <row r="275" spans="2:28" ht="20.100000000000001" customHeight="1">
      <c r="B275" s="172">
        <v>1427200</v>
      </c>
      <c r="C275" s="174">
        <v>44540</v>
      </c>
      <c r="D275" s="181" t="s">
        <v>265</v>
      </c>
      <c r="E275" s="173" t="s">
        <v>33</v>
      </c>
      <c r="F275" s="176">
        <v>54.566666666666663</v>
      </c>
      <c r="G275" s="175">
        <f t="shared" si="50"/>
        <v>2</v>
      </c>
      <c r="H275" s="175">
        <f t="shared" si="43"/>
        <v>54.566666666666663</v>
      </c>
      <c r="I275" s="177">
        <f>IF(G275=0,0,IF(E275="MXN",1/HLOOKUP(YEAR(C275)+(MONTH(C275)/100),TC!$5:$37,DAY(C275)+2,FALSE),VLOOKUP(E275,Equivalencia!$5:$23,((MAX(Equivalencia!$3:$3)-YEAR(C275))*14)+MONTH(C275)+2,FALSE)))</f>
        <v>1</v>
      </c>
      <c r="J275" s="178">
        <f t="shared" si="51"/>
        <v>54.566666666666663</v>
      </c>
      <c r="K275" s="462">
        <f>IF(C275=0,0,VLOOKUP(YEAR(C275),INPC!$B$4:$O$29,MONTH(C275)+1))</f>
        <v>117.30800000000001</v>
      </c>
      <c r="L275" s="462">
        <f>IF(S275=0,0,VLOOKUP(YEAR(S275),INPC!$B$4:$O$29,MONTH(S275)+1))</f>
        <v>118.98099999999999</v>
      </c>
      <c r="M275" s="463">
        <f t="shared" si="44"/>
        <v>1.0142</v>
      </c>
      <c r="N275" s="465">
        <f t="shared" si="52"/>
        <v>55.341513333333332</v>
      </c>
      <c r="O275" s="179"/>
      <c r="P275" s="180">
        <v>2</v>
      </c>
      <c r="Q275" s="173" t="s">
        <v>583</v>
      </c>
      <c r="R275" s="173" t="s">
        <v>230</v>
      </c>
      <c r="S275" s="174">
        <v>44601</v>
      </c>
      <c r="T275" s="173" t="s">
        <v>33</v>
      </c>
      <c r="U275" s="182">
        <v>47.03</v>
      </c>
      <c r="V275" s="177">
        <f>IF(U275=0,0,IF(T275="MXN",1/HLOOKUP(YEAR(S275)+(MONTH(S275)/100),TC!$5:$37,DAY(S275)+2,FALSE),VLOOKUP(T275,Equivalencia!$1:$23,((MAX(Equivalencia!$3:$3)-YEAR(S275))*14)+MONTH(S275)+2,FALSE)))</f>
        <v>1</v>
      </c>
      <c r="W275" s="178">
        <f t="shared" si="49"/>
        <v>47.03</v>
      </c>
      <c r="X275" s="481">
        <f t="shared" si="45"/>
        <v>-7.5366666666666617</v>
      </c>
      <c r="Y275" s="179"/>
      <c r="Z275" s="466">
        <f t="shared" si="46"/>
        <v>55.341513333333332</v>
      </c>
      <c r="AA275" s="473">
        <f t="shared" si="47"/>
        <v>-8.3115133333333304</v>
      </c>
      <c r="AB275" s="339">
        <f t="shared" si="48"/>
        <v>-0.13811850946853999</v>
      </c>
    </row>
    <row r="276" spans="2:28" ht="20.100000000000001" customHeight="1">
      <c r="B276" s="172">
        <v>1427200</v>
      </c>
      <c r="C276" s="174">
        <v>44540</v>
      </c>
      <c r="D276" s="181" t="s">
        <v>265</v>
      </c>
      <c r="E276" s="173" t="s">
        <v>33</v>
      </c>
      <c r="F276" s="176">
        <v>27.283333333333331</v>
      </c>
      <c r="G276" s="175">
        <f t="shared" si="50"/>
        <v>1</v>
      </c>
      <c r="H276" s="175">
        <f t="shared" si="43"/>
        <v>27.283333333333331</v>
      </c>
      <c r="I276" s="177">
        <f>IF(G276=0,0,IF(E276="MXN",1/HLOOKUP(YEAR(C276)+(MONTH(C276)/100),TC!$5:$37,DAY(C276)+2,FALSE),VLOOKUP(E276,Equivalencia!$5:$23,((MAX(Equivalencia!$3:$3)-YEAR(C276))*14)+MONTH(C276)+2,FALSE)))</f>
        <v>1</v>
      </c>
      <c r="J276" s="178">
        <f t="shared" si="51"/>
        <v>27.283333333333331</v>
      </c>
      <c r="K276" s="462">
        <f>IF(C276=0,0,VLOOKUP(YEAR(C276),INPC!$B$4:$O$29,MONTH(C276)+1))</f>
        <v>117.30800000000001</v>
      </c>
      <c r="L276" s="462">
        <f>IF(S276=0,0,VLOOKUP(YEAR(S276),INPC!$B$4:$O$29,MONTH(S276)+1))</f>
        <v>118.98099999999999</v>
      </c>
      <c r="M276" s="463">
        <f t="shared" si="44"/>
        <v>1.0142</v>
      </c>
      <c r="N276" s="465">
        <f t="shared" si="52"/>
        <v>27.670756666666666</v>
      </c>
      <c r="O276" s="179"/>
      <c r="P276" s="180">
        <v>1</v>
      </c>
      <c r="Q276" s="173" t="s">
        <v>583</v>
      </c>
      <c r="R276" s="173" t="s">
        <v>230</v>
      </c>
      <c r="S276" s="174">
        <v>44601</v>
      </c>
      <c r="T276" s="173" t="s">
        <v>33</v>
      </c>
      <c r="U276" s="182">
        <v>23.287500000000001</v>
      </c>
      <c r="V276" s="177">
        <f>IF(U276=0,0,IF(T276="MXN",1/HLOOKUP(YEAR(S276)+(MONTH(S276)/100),TC!$5:$37,DAY(S276)+2,FALSE),VLOOKUP(T276,Equivalencia!$1:$23,((MAX(Equivalencia!$3:$3)-YEAR(S276))*14)+MONTH(S276)+2,FALSE)))</f>
        <v>1</v>
      </c>
      <c r="W276" s="178">
        <f t="shared" si="49"/>
        <v>23.287500000000001</v>
      </c>
      <c r="X276" s="481">
        <f t="shared" si="45"/>
        <v>-3.99583333333333</v>
      </c>
      <c r="Y276" s="179"/>
      <c r="Z276" s="466">
        <f t="shared" si="46"/>
        <v>27.670756666666666</v>
      </c>
      <c r="AA276" s="473">
        <f t="shared" si="47"/>
        <v>-4.3832566666666644</v>
      </c>
      <c r="AB276" s="339">
        <f t="shared" si="48"/>
        <v>-0.14645693341478305</v>
      </c>
    </row>
    <row r="277" spans="2:28" ht="20.100000000000001" customHeight="1">
      <c r="B277" s="172">
        <v>1427200</v>
      </c>
      <c r="C277" s="174">
        <v>44540</v>
      </c>
      <c r="D277" s="181" t="s">
        <v>265</v>
      </c>
      <c r="E277" s="173" t="s">
        <v>33</v>
      </c>
      <c r="F277" s="176">
        <v>82.389999999999986</v>
      </c>
      <c r="G277" s="175">
        <f t="shared" si="50"/>
        <v>3</v>
      </c>
      <c r="H277" s="175">
        <f t="shared" si="43"/>
        <v>82.389999999999986</v>
      </c>
      <c r="I277" s="177">
        <f>IF(G277=0,0,IF(E277="MXN",1/HLOOKUP(YEAR(C277)+(MONTH(C277)/100),TC!$5:$37,DAY(C277)+2,FALSE),VLOOKUP(E277,Equivalencia!$5:$23,((MAX(Equivalencia!$3:$3)-YEAR(C277))*14)+MONTH(C277)+2,FALSE)))</f>
        <v>1</v>
      </c>
      <c r="J277" s="178">
        <f t="shared" si="51"/>
        <v>82.389999999999986</v>
      </c>
      <c r="K277" s="462">
        <f>IF(C277=0,0,VLOOKUP(YEAR(C277),INPC!$B$4:$O$29,MONTH(C277)+1))</f>
        <v>117.30800000000001</v>
      </c>
      <c r="L277" s="462">
        <f>IF(S277=0,0,VLOOKUP(YEAR(S277),INPC!$B$4:$O$29,MONTH(S277)+1))</f>
        <v>118.98099999999999</v>
      </c>
      <c r="M277" s="463">
        <f t="shared" si="44"/>
        <v>1.0142</v>
      </c>
      <c r="N277" s="465">
        <f t="shared" si="52"/>
        <v>83.559937999999988</v>
      </c>
      <c r="O277" s="179"/>
      <c r="P277" s="180">
        <v>3</v>
      </c>
      <c r="Q277" s="173" t="s">
        <v>583</v>
      </c>
      <c r="R277" s="173" t="s">
        <v>230</v>
      </c>
      <c r="S277" s="174">
        <v>44601</v>
      </c>
      <c r="T277" s="173" t="s">
        <v>33</v>
      </c>
      <c r="U277" s="182">
        <v>69.862500000000011</v>
      </c>
      <c r="V277" s="177">
        <f>IF(U277=0,0,IF(T277="MXN",1/HLOOKUP(YEAR(S277)+(MONTH(S277)/100),TC!$5:$37,DAY(S277)+2,FALSE),VLOOKUP(T277,Equivalencia!$1:$23,((MAX(Equivalencia!$3:$3)-YEAR(S277))*14)+MONTH(S277)+2,FALSE)))</f>
        <v>1</v>
      </c>
      <c r="W277" s="178">
        <f t="shared" si="49"/>
        <v>69.862500000000011</v>
      </c>
      <c r="X277" s="481">
        <f t="shared" si="45"/>
        <v>-12.527499999999975</v>
      </c>
      <c r="Y277" s="179"/>
      <c r="Z277" s="466">
        <f t="shared" si="46"/>
        <v>83.559937999999988</v>
      </c>
      <c r="AA277" s="473">
        <f t="shared" si="47"/>
        <v>-13.697437999999977</v>
      </c>
      <c r="AB277" s="339">
        <f t="shared" si="48"/>
        <v>-0.15205121980822889</v>
      </c>
    </row>
    <row r="278" spans="2:28" ht="20.100000000000001" customHeight="1">
      <c r="B278" s="172">
        <v>1427200</v>
      </c>
      <c r="C278" s="174">
        <v>44540</v>
      </c>
      <c r="D278" s="181" t="s">
        <v>265</v>
      </c>
      <c r="E278" s="173" t="s">
        <v>33</v>
      </c>
      <c r="F278" s="176">
        <v>137.31666666666666</v>
      </c>
      <c r="G278" s="175">
        <f t="shared" si="50"/>
        <v>5</v>
      </c>
      <c r="H278" s="175">
        <f t="shared" si="43"/>
        <v>137.31666666666666</v>
      </c>
      <c r="I278" s="177">
        <f>IF(G278=0,0,IF(E278="MXN",1/HLOOKUP(YEAR(C278)+(MONTH(C278)/100),TC!$5:$37,DAY(C278)+2,FALSE),VLOOKUP(E278,Equivalencia!$5:$23,((MAX(Equivalencia!$3:$3)-YEAR(C278))*14)+MONTH(C278)+2,FALSE)))</f>
        <v>1</v>
      </c>
      <c r="J278" s="178">
        <f t="shared" si="51"/>
        <v>137.31666666666666</v>
      </c>
      <c r="K278" s="462">
        <f>IF(C278=0,0,VLOOKUP(YEAR(C278),INPC!$B$4:$O$29,MONTH(C278)+1))</f>
        <v>117.30800000000001</v>
      </c>
      <c r="L278" s="462">
        <f>IF(S278=0,0,VLOOKUP(YEAR(S278),INPC!$B$4:$O$29,MONTH(S278)+1))</f>
        <v>118.98099999999999</v>
      </c>
      <c r="M278" s="463">
        <f t="shared" si="44"/>
        <v>1.0142</v>
      </c>
      <c r="N278" s="465">
        <f t="shared" si="52"/>
        <v>139.26656333333332</v>
      </c>
      <c r="O278" s="179"/>
      <c r="P278" s="180">
        <v>5</v>
      </c>
      <c r="Q278" s="173" t="s">
        <v>583</v>
      </c>
      <c r="R278" s="173" t="s">
        <v>230</v>
      </c>
      <c r="S278" s="174">
        <v>44601</v>
      </c>
      <c r="T278" s="173" t="s">
        <v>33</v>
      </c>
      <c r="U278" s="182">
        <v>115.47</v>
      </c>
      <c r="V278" s="177">
        <f>IF(U278=0,0,IF(T278="MXN",1/HLOOKUP(YEAR(S278)+(MONTH(S278)/100),TC!$5:$37,DAY(S278)+2,FALSE),VLOOKUP(T278,Equivalencia!$1:$23,((MAX(Equivalencia!$3:$3)-YEAR(S278))*14)+MONTH(S278)+2,FALSE)))</f>
        <v>1</v>
      </c>
      <c r="W278" s="178">
        <f t="shared" si="49"/>
        <v>115.47</v>
      </c>
      <c r="X278" s="481">
        <f t="shared" si="45"/>
        <v>-21.846666666666664</v>
      </c>
      <c r="Y278" s="179"/>
      <c r="Z278" s="466">
        <f t="shared" si="46"/>
        <v>139.26656333333332</v>
      </c>
      <c r="AA278" s="473">
        <f t="shared" si="47"/>
        <v>-23.796563333333324</v>
      </c>
      <c r="AB278" s="339">
        <f t="shared" si="48"/>
        <v>-0.15909697778856657</v>
      </c>
    </row>
    <row r="279" spans="2:28" ht="20.100000000000001" customHeight="1">
      <c r="B279" s="172">
        <v>1427200</v>
      </c>
      <c r="C279" s="174">
        <v>44540</v>
      </c>
      <c r="D279" s="181" t="s">
        <v>265</v>
      </c>
      <c r="E279" s="173" t="s">
        <v>33</v>
      </c>
      <c r="F279" s="176">
        <v>27.463333333333331</v>
      </c>
      <c r="G279" s="175">
        <f t="shared" si="50"/>
        <v>1</v>
      </c>
      <c r="H279" s="175">
        <f t="shared" si="43"/>
        <v>27.463333333333331</v>
      </c>
      <c r="I279" s="177">
        <f>IF(G279=0,0,IF(E279="MXN",1/HLOOKUP(YEAR(C279)+(MONTH(C279)/100),TC!$5:$37,DAY(C279)+2,FALSE),VLOOKUP(E279,Equivalencia!$5:$23,((MAX(Equivalencia!$3:$3)-YEAR(C279))*14)+MONTH(C279)+2,FALSE)))</f>
        <v>1</v>
      </c>
      <c r="J279" s="178">
        <f t="shared" si="51"/>
        <v>27.463333333333331</v>
      </c>
      <c r="K279" s="462">
        <f>IF(C279=0,0,VLOOKUP(YEAR(C279),INPC!$B$4:$O$29,MONTH(C279)+1))</f>
        <v>117.30800000000001</v>
      </c>
      <c r="L279" s="462">
        <f>IF(S279=0,0,VLOOKUP(YEAR(S279),INPC!$B$4:$O$29,MONTH(S279)+1))</f>
        <v>118.98099999999999</v>
      </c>
      <c r="M279" s="463">
        <f t="shared" si="44"/>
        <v>1.0142</v>
      </c>
      <c r="N279" s="465">
        <f t="shared" si="52"/>
        <v>27.853312666666664</v>
      </c>
      <c r="O279" s="179"/>
      <c r="P279" s="180">
        <v>1</v>
      </c>
      <c r="Q279" s="173" t="s">
        <v>583</v>
      </c>
      <c r="R279" s="173" t="s">
        <v>230</v>
      </c>
      <c r="S279" s="174">
        <v>44601</v>
      </c>
      <c r="T279" s="173" t="s">
        <v>33</v>
      </c>
      <c r="U279" s="182">
        <v>23.543333333333333</v>
      </c>
      <c r="V279" s="177">
        <f>IF(U279=0,0,IF(T279="MXN",1/HLOOKUP(YEAR(S279)+(MONTH(S279)/100),TC!$5:$37,DAY(S279)+2,FALSE),VLOOKUP(T279,Equivalencia!$1:$23,((MAX(Equivalencia!$3:$3)-YEAR(S279))*14)+MONTH(S279)+2,FALSE)))</f>
        <v>1</v>
      </c>
      <c r="W279" s="178">
        <f t="shared" si="49"/>
        <v>23.543333333333333</v>
      </c>
      <c r="X279" s="481">
        <f t="shared" si="45"/>
        <v>-3.9199999999999982</v>
      </c>
      <c r="Y279" s="179"/>
      <c r="Z279" s="466">
        <f t="shared" si="46"/>
        <v>27.853312666666664</v>
      </c>
      <c r="AA279" s="473">
        <f t="shared" si="47"/>
        <v>-4.3099793333333309</v>
      </c>
      <c r="AB279" s="339">
        <f t="shared" si="48"/>
        <v>-0.1427357689039932</v>
      </c>
    </row>
    <row r="280" spans="2:28" ht="20.100000000000001" customHeight="1">
      <c r="B280" s="172">
        <v>1427200</v>
      </c>
      <c r="C280" s="174">
        <v>44540</v>
      </c>
      <c r="D280" s="181" t="s">
        <v>265</v>
      </c>
      <c r="E280" s="173" t="s">
        <v>33</v>
      </c>
      <c r="F280" s="176">
        <v>27.48</v>
      </c>
      <c r="G280" s="175">
        <f t="shared" si="50"/>
        <v>1</v>
      </c>
      <c r="H280" s="175">
        <f t="shared" si="43"/>
        <v>27.48</v>
      </c>
      <c r="I280" s="177">
        <f>IF(G280=0,0,IF(E280="MXN",1/HLOOKUP(YEAR(C280)+(MONTH(C280)/100),TC!$5:$37,DAY(C280)+2,FALSE),VLOOKUP(E280,Equivalencia!$5:$23,((MAX(Equivalencia!$3:$3)-YEAR(C280))*14)+MONTH(C280)+2,FALSE)))</f>
        <v>1</v>
      </c>
      <c r="J280" s="178">
        <f t="shared" si="51"/>
        <v>27.48</v>
      </c>
      <c r="K280" s="462">
        <f>IF(C280=0,0,VLOOKUP(YEAR(C280),INPC!$B$4:$O$29,MONTH(C280)+1))</f>
        <v>117.30800000000001</v>
      </c>
      <c r="L280" s="462">
        <f>IF(S280=0,0,VLOOKUP(YEAR(S280),INPC!$B$4:$O$29,MONTH(S280)+1))</f>
        <v>118.98099999999999</v>
      </c>
      <c r="M280" s="463">
        <f t="shared" si="44"/>
        <v>1.0142</v>
      </c>
      <c r="N280" s="465">
        <f t="shared" si="52"/>
        <v>27.870215999999999</v>
      </c>
      <c r="O280" s="179"/>
      <c r="P280" s="180">
        <v>1</v>
      </c>
      <c r="Q280" s="173" t="s">
        <v>583</v>
      </c>
      <c r="R280" s="173" t="s">
        <v>230</v>
      </c>
      <c r="S280" s="174">
        <v>44601</v>
      </c>
      <c r="T280" s="173" t="s">
        <v>33</v>
      </c>
      <c r="U280" s="182">
        <v>23.543333333333333</v>
      </c>
      <c r="V280" s="177">
        <f>IF(U280=0,0,IF(T280="MXN",1/HLOOKUP(YEAR(S280)+(MONTH(S280)/100),TC!$5:$37,DAY(S280)+2,FALSE),VLOOKUP(T280,Equivalencia!$1:$23,((MAX(Equivalencia!$3:$3)-YEAR(S280))*14)+MONTH(S280)+2,FALSE)))</f>
        <v>1</v>
      </c>
      <c r="W280" s="178">
        <f t="shared" si="49"/>
        <v>23.543333333333333</v>
      </c>
      <c r="X280" s="481">
        <f t="shared" si="45"/>
        <v>-3.9366666666666674</v>
      </c>
      <c r="Y280" s="179"/>
      <c r="Z280" s="466">
        <f t="shared" si="46"/>
        <v>27.870215999999999</v>
      </c>
      <c r="AA280" s="473">
        <f t="shared" si="47"/>
        <v>-4.3268826666666662</v>
      </c>
      <c r="AB280" s="339">
        <f t="shared" si="48"/>
        <v>-0.1432557011159632</v>
      </c>
    </row>
    <row r="281" spans="2:28" ht="20.100000000000001" customHeight="1">
      <c r="B281" s="172">
        <v>1427200</v>
      </c>
      <c r="C281" s="174">
        <v>44540</v>
      </c>
      <c r="D281" s="181" t="s">
        <v>265</v>
      </c>
      <c r="E281" s="173" t="s">
        <v>33</v>
      </c>
      <c r="F281" s="176">
        <v>26.99</v>
      </c>
      <c r="G281" s="175">
        <f t="shared" si="50"/>
        <v>1</v>
      </c>
      <c r="H281" s="175">
        <f t="shared" si="43"/>
        <v>26.99</v>
      </c>
      <c r="I281" s="177">
        <f>IF(G281=0,0,IF(E281="MXN",1/HLOOKUP(YEAR(C281)+(MONTH(C281)/100),TC!$5:$37,DAY(C281)+2,FALSE),VLOOKUP(E281,Equivalencia!$5:$23,((MAX(Equivalencia!$3:$3)-YEAR(C281))*14)+MONTH(C281)+2,FALSE)))</f>
        <v>1</v>
      </c>
      <c r="J281" s="178">
        <f t="shared" si="51"/>
        <v>26.99</v>
      </c>
      <c r="K281" s="462">
        <f>IF(C281=0,0,VLOOKUP(YEAR(C281),INPC!$B$4:$O$29,MONTH(C281)+1))</f>
        <v>117.30800000000001</v>
      </c>
      <c r="L281" s="462">
        <f>IF(S281=0,0,VLOOKUP(YEAR(S281),INPC!$B$4:$O$29,MONTH(S281)+1))</f>
        <v>118.98099999999999</v>
      </c>
      <c r="M281" s="463">
        <f t="shared" si="44"/>
        <v>1.0142</v>
      </c>
      <c r="N281" s="465">
        <f t="shared" si="52"/>
        <v>27.373258</v>
      </c>
      <c r="O281" s="179"/>
      <c r="P281" s="180">
        <v>1</v>
      </c>
      <c r="Q281" s="173" t="s">
        <v>583</v>
      </c>
      <c r="R281" s="173" t="s">
        <v>230</v>
      </c>
      <c r="S281" s="174">
        <v>44601</v>
      </c>
      <c r="T281" s="173" t="s">
        <v>33</v>
      </c>
      <c r="U281" s="182">
        <v>23.543333333333333</v>
      </c>
      <c r="V281" s="177">
        <f>IF(U281=0,0,IF(T281="MXN",1/HLOOKUP(YEAR(S281)+(MONTH(S281)/100),TC!$5:$37,DAY(S281)+2,FALSE),VLOOKUP(T281,Equivalencia!$1:$23,((MAX(Equivalencia!$3:$3)-YEAR(S281))*14)+MONTH(S281)+2,FALSE)))</f>
        <v>1</v>
      </c>
      <c r="W281" s="178">
        <f t="shared" si="49"/>
        <v>23.543333333333333</v>
      </c>
      <c r="X281" s="481">
        <f t="shared" si="45"/>
        <v>-3.4466666666666654</v>
      </c>
      <c r="Y281" s="179"/>
      <c r="Z281" s="466">
        <f t="shared" si="46"/>
        <v>27.373258</v>
      </c>
      <c r="AA281" s="473">
        <f t="shared" si="47"/>
        <v>-3.8299246666666669</v>
      </c>
      <c r="AB281" s="339">
        <f t="shared" si="48"/>
        <v>-0.12770161788316658</v>
      </c>
    </row>
    <row r="282" spans="2:28" ht="20.100000000000001" customHeight="1">
      <c r="B282" s="172">
        <v>1427200</v>
      </c>
      <c r="C282" s="174">
        <v>44540</v>
      </c>
      <c r="D282" s="181" t="s">
        <v>265</v>
      </c>
      <c r="E282" s="173" t="s">
        <v>33</v>
      </c>
      <c r="F282" s="176">
        <v>26.99</v>
      </c>
      <c r="G282" s="175">
        <f t="shared" si="50"/>
        <v>1</v>
      </c>
      <c r="H282" s="175">
        <f t="shared" si="43"/>
        <v>26.99</v>
      </c>
      <c r="I282" s="177">
        <f>IF(G282=0,0,IF(E282="MXN",1/HLOOKUP(YEAR(C282)+(MONTH(C282)/100),TC!$5:$37,DAY(C282)+2,FALSE),VLOOKUP(E282,Equivalencia!$5:$23,((MAX(Equivalencia!$3:$3)-YEAR(C282))*14)+MONTH(C282)+2,FALSE)))</f>
        <v>1</v>
      </c>
      <c r="J282" s="178">
        <f t="shared" si="51"/>
        <v>26.99</v>
      </c>
      <c r="K282" s="462">
        <f>IF(C282=0,0,VLOOKUP(YEAR(C282),INPC!$B$4:$O$29,MONTH(C282)+1))</f>
        <v>117.30800000000001</v>
      </c>
      <c r="L282" s="462">
        <f>IF(S282=0,0,VLOOKUP(YEAR(S282),INPC!$B$4:$O$29,MONTH(S282)+1))</f>
        <v>118.98099999999999</v>
      </c>
      <c r="M282" s="463">
        <f t="shared" si="44"/>
        <v>1.0142</v>
      </c>
      <c r="N282" s="465">
        <f t="shared" si="52"/>
        <v>27.373258</v>
      </c>
      <c r="O282" s="179"/>
      <c r="P282" s="180">
        <v>1</v>
      </c>
      <c r="Q282" s="173" t="s">
        <v>583</v>
      </c>
      <c r="R282" s="173" t="s">
        <v>230</v>
      </c>
      <c r="S282" s="174">
        <v>44601</v>
      </c>
      <c r="T282" s="173" t="s">
        <v>33</v>
      </c>
      <c r="U282" s="182">
        <v>22.95</v>
      </c>
      <c r="V282" s="177">
        <f>IF(U282=0,0,IF(T282="MXN",1/HLOOKUP(YEAR(S282)+(MONTH(S282)/100),TC!$5:$37,DAY(S282)+2,FALSE),VLOOKUP(T282,Equivalencia!$1:$23,((MAX(Equivalencia!$3:$3)-YEAR(S282))*14)+MONTH(S282)+2,FALSE)))</f>
        <v>1</v>
      </c>
      <c r="W282" s="178">
        <f t="shared" si="49"/>
        <v>22.95</v>
      </c>
      <c r="X282" s="481">
        <f t="shared" si="45"/>
        <v>-4.0399999999999991</v>
      </c>
      <c r="Y282" s="179"/>
      <c r="Z282" s="466">
        <f t="shared" si="46"/>
        <v>27.373258</v>
      </c>
      <c r="AA282" s="473">
        <f t="shared" si="47"/>
        <v>-4.4232580000000006</v>
      </c>
      <c r="AB282" s="339">
        <f t="shared" si="48"/>
        <v>-0.14968506854390518</v>
      </c>
    </row>
    <row r="283" spans="2:28" ht="20.100000000000001" customHeight="1">
      <c r="B283" s="172">
        <v>1427200</v>
      </c>
      <c r="C283" s="174">
        <v>44540</v>
      </c>
      <c r="D283" s="181" t="s">
        <v>265</v>
      </c>
      <c r="E283" s="173" t="s">
        <v>33</v>
      </c>
      <c r="F283" s="176">
        <v>26.99</v>
      </c>
      <c r="G283" s="175">
        <f t="shared" si="50"/>
        <v>1</v>
      </c>
      <c r="H283" s="175">
        <f t="shared" si="43"/>
        <v>26.99</v>
      </c>
      <c r="I283" s="177">
        <f>IF(G283=0,0,IF(E283="MXN",1/HLOOKUP(YEAR(C283)+(MONTH(C283)/100),TC!$5:$37,DAY(C283)+2,FALSE),VLOOKUP(E283,Equivalencia!$5:$23,((MAX(Equivalencia!$3:$3)-YEAR(C283))*14)+MONTH(C283)+2,FALSE)))</f>
        <v>1</v>
      </c>
      <c r="J283" s="178">
        <f t="shared" si="51"/>
        <v>26.99</v>
      </c>
      <c r="K283" s="462">
        <f>IF(C283=0,0,VLOOKUP(YEAR(C283),INPC!$B$4:$O$29,MONTH(C283)+1))</f>
        <v>117.30800000000001</v>
      </c>
      <c r="L283" s="462">
        <f>IF(S283=0,0,VLOOKUP(YEAR(S283),INPC!$B$4:$O$29,MONTH(S283)+1))</f>
        <v>118.98099999999999</v>
      </c>
      <c r="M283" s="463">
        <f t="shared" si="44"/>
        <v>1.0142</v>
      </c>
      <c r="N283" s="465">
        <f t="shared" si="52"/>
        <v>27.373258</v>
      </c>
      <c r="O283" s="179"/>
      <c r="P283" s="180">
        <v>1</v>
      </c>
      <c r="Q283" s="173" t="s">
        <v>583</v>
      </c>
      <c r="R283" s="173" t="s">
        <v>230</v>
      </c>
      <c r="S283" s="174">
        <v>44601</v>
      </c>
      <c r="T283" s="173" t="s">
        <v>33</v>
      </c>
      <c r="U283" s="182">
        <v>22.768750000000001</v>
      </c>
      <c r="V283" s="177">
        <f>IF(U283=0,0,IF(T283="MXN",1/HLOOKUP(YEAR(S283)+(MONTH(S283)/100),TC!$5:$37,DAY(S283)+2,FALSE),VLOOKUP(T283,Equivalencia!$1:$23,((MAX(Equivalencia!$3:$3)-YEAR(S283))*14)+MONTH(S283)+2,FALSE)))</f>
        <v>1</v>
      </c>
      <c r="W283" s="178">
        <f t="shared" si="49"/>
        <v>22.768750000000001</v>
      </c>
      <c r="X283" s="481">
        <f t="shared" si="45"/>
        <v>-4.2212499999999977</v>
      </c>
      <c r="Y283" s="179"/>
      <c r="Z283" s="466">
        <f t="shared" si="46"/>
        <v>27.373258</v>
      </c>
      <c r="AA283" s="473">
        <f t="shared" si="47"/>
        <v>-4.6045079999999992</v>
      </c>
      <c r="AB283" s="339">
        <f t="shared" si="48"/>
        <v>-0.15640051871063354</v>
      </c>
    </row>
    <row r="284" spans="2:28" ht="20.100000000000001" customHeight="1">
      <c r="B284" s="172">
        <v>1427200</v>
      </c>
      <c r="C284" s="174">
        <v>44559</v>
      </c>
      <c r="D284" s="181" t="s">
        <v>265</v>
      </c>
      <c r="E284" s="173" t="s">
        <v>33</v>
      </c>
      <c r="F284" s="176">
        <v>25.07</v>
      </c>
      <c r="G284" s="175">
        <f t="shared" si="50"/>
        <v>1</v>
      </c>
      <c r="H284" s="175">
        <f t="shared" si="43"/>
        <v>25.07</v>
      </c>
      <c r="I284" s="177">
        <f>IF(G284=0,0,IF(E284="MXN",1/HLOOKUP(YEAR(C284)+(MONTH(C284)/100),TC!$5:$37,DAY(C284)+2,FALSE),VLOOKUP(E284,Equivalencia!$5:$23,((MAX(Equivalencia!$3:$3)-YEAR(C284))*14)+MONTH(C284)+2,FALSE)))</f>
        <v>1</v>
      </c>
      <c r="J284" s="178">
        <f t="shared" si="51"/>
        <v>25.07</v>
      </c>
      <c r="K284" s="462">
        <f>IF(C284=0,0,VLOOKUP(YEAR(C284),INPC!$B$4:$O$29,MONTH(C284)+1))</f>
        <v>117.30800000000001</v>
      </c>
      <c r="L284" s="462">
        <f>IF(S284=0,0,VLOOKUP(YEAR(S284),INPC!$B$4:$O$29,MONTH(S284)+1))</f>
        <v>118.98099999999999</v>
      </c>
      <c r="M284" s="463">
        <f t="shared" si="44"/>
        <v>1.0142</v>
      </c>
      <c r="N284" s="465">
        <f t="shared" si="52"/>
        <v>25.425993999999999</v>
      </c>
      <c r="O284" s="179"/>
      <c r="P284" s="180">
        <v>1</v>
      </c>
      <c r="Q284" s="173" t="s">
        <v>583</v>
      </c>
      <c r="R284" s="173" t="s">
        <v>230</v>
      </c>
      <c r="S284" s="174">
        <v>44601</v>
      </c>
      <c r="T284" s="173" t="s">
        <v>33</v>
      </c>
      <c r="U284" s="182">
        <v>22.768750000000001</v>
      </c>
      <c r="V284" s="177">
        <f>IF(U284=0,0,IF(T284="MXN",1/HLOOKUP(YEAR(S284)+(MONTH(S284)/100),TC!$5:$37,DAY(S284)+2,FALSE),VLOOKUP(T284,Equivalencia!$1:$23,((MAX(Equivalencia!$3:$3)-YEAR(S284))*14)+MONTH(S284)+2,FALSE)))</f>
        <v>1</v>
      </c>
      <c r="W284" s="178">
        <f t="shared" si="49"/>
        <v>22.768750000000001</v>
      </c>
      <c r="X284" s="481">
        <f t="shared" si="45"/>
        <v>-2.3012499999999996</v>
      </c>
      <c r="Y284" s="179"/>
      <c r="Z284" s="466">
        <f t="shared" si="46"/>
        <v>25.425993999999999</v>
      </c>
      <c r="AA284" s="473">
        <f t="shared" si="47"/>
        <v>-2.6572439999999986</v>
      </c>
      <c r="AB284" s="339">
        <f t="shared" si="48"/>
        <v>-9.1792979656960538E-2</v>
      </c>
    </row>
    <row r="285" spans="2:28" ht="20.100000000000001" customHeight="1">
      <c r="B285" s="172">
        <v>1427200</v>
      </c>
      <c r="C285" s="174">
        <v>44559</v>
      </c>
      <c r="D285" s="181" t="s">
        <v>265</v>
      </c>
      <c r="E285" s="173" t="s">
        <v>33</v>
      </c>
      <c r="F285" s="176">
        <v>148.88666666666668</v>
      </c>
      <c r="G285" s="175">
        <f t="shared" si="50"/>
        <v>6</v>
      </c>
      <c r="H285" s="175">
        <f t="shared" si="43"/>
        <v>148.88666666666668</v>
      </c>
      <c r="I285" s="177">
        <f>IF(G285=0,0,IF(E285="MXN",1/HLOOKUP(YEAR(C285)+(MONTH(C285)/100),TC!$5:$37,DAY(C285)+2,FALSE),VLOOKUP(E285,Equivalencia!$5:$23,((MAX(Equivalencia!$3:$3)-YEAR(C285))*14)+MONTH(C285)+2,FALSE)))</f>
        <v>1</v>
      </c>
      <c r="J285" s="178">
        <f t="shared" si="51"/>
        <v>148.88666666666668</v>
      </c>
      <c r="K285" s="462">
        <f>IF(C285=0,0,VLOOKUP(YEAR(C285),INPC!$B$4:$O$29,MONTH(C285)+1))</f>
        <v>117.30800000000001</v>
      </c>
      <c r="L285" s="462">
        <f>IF(S285=0,0,VLOOKUP(YEAR(S285),INPC!$B$4:$O$29,MONTH(S285)+1))</f>
        <v>118.98099999999999</v>
      </c>
      <c r="M285" s="463">
        <f t="shared" si="44"/>
        <v>1.0142</v>
      </c>
      <c r="N285" s="465">
        <f t="shared" si="52"/>
        <v>151.00085733333336</v>
      </c>
      <c r="O285" s="179"/>
      <c r="P285" s="180">
        <v>6</v>
      </c>
      <c r="Q285" s="173" t="s">
        <v>583</v>
      </c>
      <c r="R285" s="173" t="s">
        <v>230</v>
      </c>
      <c r="S285" s="174">
        <v>44601</v>
      </c>
      <c r="T285" s="173" t="s">
        <v>33</v>
      </c>
      <c r="U285" s="182">
        <v>136.61250000000001</v>
      </c>
      <c r="V285" s="177">
        <f>IF(U285=0,0,IF(T285="MXN",1/HLOOKUP(YEAR(S285)+(MONTH(S285)/100),TC!$5:$37,DAY(S285)+2,FALSE),VLOOKUP(T285,Equivalencia!$1:$23,((MAX(Equivalencia!$3:$3)-YEAR(S285))*14)+MONTH(S285)+2,FALSE)))</f>
        <v>1</v>
      </c>
      <c r="W285" s="178">
        <f t="shared" si="49"/>
        <v>136.61250000000001</v>
      </c>
      <c r="X285" s="481">
        <f t="shared" si="45"/>
        <v>-12.274166666666673</v>
      </c>
      <c r="Y285" s="179"/>
      <c r="Z285" s="466">
        <f t="shared" si="46"/>
        <v>151.00085733333336</v>
      </c>
      <c r="AA285" s="473">
        <f t="shared" si="47"/>
        <v>-14.388357333333346</v>
      </c>
      <c r="AB285" s="339">
        <f t="shared" si="48"/>
        <v>-8.2439663278556452E-2</v>
      </c>
    </row>
    <row r="286" spans="2:28" ht="20.100000000000001" customHeight="1">
      <c r="B286" s="172">
        <v>1427200</v>
      </c>
      <c r="C286" s="174">
        <v>44559</v>
      </c>
      <c r="D286" s="181" t="s">
        <v>265</v>
      </c>
      <c r="E286" s="173" t="s">
        <v>33</v>
      </c>
      <c r="F286" s="176">
        <v>24.814444444444447</v>
      </c>
      <c r="G286" s="175">
        <f t="shared" si="50"/>
        <v>1</v>
      </c>
      <c r="H286" s="175">
        <f t="shared" si="43"/>
        <v>24.814444444444447</v>
      </c>
      <c r="I286" s="177">
        <f>IF(G286=0,0,IF(E286="MXN",1/HLOOKUP(YEAR(C286)+(MONTH(C286)/100),TC!$5:$37,DAY(C286)+2,FALSE),VLOOKUP(E286,Equivalencia!$5:$23,((MAX(Equivalencia!$3:$3)-YEAR(C286))*14)+MONTH(C286)+2,FALSE)))</f>
        <v>1</v>
      </c>
      <c r="J286" s="178">
        <f t="shared" si="51"/>
        <v>24.814444444444447</v>
      </c>
      <c r="K286" s="462">
        <f>IF(C286=0,0,VLOOKUP(YEAR(C286),INPC!$B$4:$O$29,MONTH(C286)+1))</f>
        <v>117.30800000000001</v>
      </c>
      <c r="L286" s="462">
        <f>IF(S286=0,0,VLOOKUP(YEAR(S286),INPC!$B$4:$O$29,MONTH(S286)+1))</f>
        <v>118.98099999999999</v>
      </c>
      <c r="M286" s="463">
        <f t="shared" si="44"/>
        <v>1.0142</v>
      </c>
      <c r="N286" s="465">
        <f t="shared" si="52"/>
        <v>25.16680955555556</v>
      </c>
      <c r="O286" s="179"/>
      <c r="P286" s="180">
        <v>1</v>
      </c>
      <c r="Q286" s="173" t="s">
        <v>583</v>
      </c>
      <c r="R286" s="173" t="s">
        <v>230</v>
      </c>
      <c r="S286" s="174">
        <v>44601</v>
      </c>
      <c r="T286" s="173" t="s">
        <v>33</v>
      </c>
      <c r="U286" s="182">
        <v>23.16</v>
      </c>
      <c r="V286" s="177">
        <f>IF(U286=0,0,IF(T286="MXN",1/HLOOKUP(YEAR(S286)+(MONTH(S286)/100),TC!$5:$37,DAY(S286)+2,FALSE),VLOOKUP(T286,Equivalencia!$1:$23,((MAX(Equivalencia!$3:$3)-YEAR(S286))*14)+MONTH(S286)+2,FALSE)))</f>
        <v>1</v>
      </c>
      <c r="W286" s="178">
        <f t="shared" si="49"/>
        <v>23.16</v>
      </c>
      <c r="X286" s="481">
        <f t="shared" si="45"/>
        <v>-1.6544444444444473</v>
      </c>
      <c r="Y286" s="179"/>
      <c r="Z286" s="466">
        <f t="shared" si="46"/>
        <v>25.16680955555556</v>
      </c>
      <c r="AA286" s="473">
        <f t="shared" si="47"/>
        <v>-2.0068095555555594</v>
      </c>
      <c r="AB286" s="339">
        <f t="shared" si="48"/>
        <v>-6.6672636905028559E-2</v>
      </c>
    </row>
    <row r="287" spans="2:28" ht="20.100000000000001" customHeight="1">
      <c r="B287" s="172">
        <v>1427200</v>
      </c>
      <c r="C287" s="174">
        <v>44559</v>
      </c>
      <c r="D287" s="181" t="s">
        <v>265</v>
      </c>
      <c r="E287" s="173" t="s">
        <v>33</v>
      </c>
      <c r="F287" s="176">
        <v>49.628888888888895</v>
      </c>
      <c r="G287" s="175">
        <f t="shared" si="50"/>
        <v>2</v>
      </c>
      <c r="H287" s="175">
        <f t="shared" si="43"/>
        <v>49.628888888888895</v>
      </c>
      <c r="I287" s="177">
        <f>IF(G287=0,0,IF(E287="MXN",1/HLOOKUP(YEAR(C287)+(MONTH(C287)/100),TC!$5:$37,DAY(C287)+2,FALSE),VLOOKUP(E287,Equivalencia!$5:$23,((MAX(Equivalencia!$3:$3)-YEAR(C287))*14)+MONTH(C287)+2,FALSE)))</f>
        <v>1</v>
      </c>
      <c r="J287" s="178">
        <f t="shared" si="51"/>
        <v>49.628888888888895</v>
      </c>
      <c r="K287" s="462">
        <f>IF(C287=0,0,VLOOKUP(YEAR(C287),INPC!$B$4:$O$29,MONTH(C287)+1))</f>
        <v>117.30800000000001</v>
      </c>
      <c r="L287" s="462">
        <f>IF(S287=0,0,VLOOKUP(YEAR(S287),INPC!$B$4:$O$29,MONTH(S287)+1))</f>
        <v>118.98099999999999</v>
      </c>
      <c r="M287" s="463">
        <f t="shared" si="44"/>
        <v>1.0142</v>
      </c>
      <c r="N287" s="465">
        <f t="shared" si="52"/>
        <v>50.333619111111119</v>
      </c>
      <c r="O287" s="179"/>
      <c r="P287" s="180">
        <v>2</v>
      </c>
      <c r="Q287" s="173" t="s">
        <v>583</v>
      </c>
      <c r="R287" s="173" t="s">
        <v>230</v>
      </c>
      <c r="S287" s="174">
        <v>44602</v>
      </c>
      <c r="T287" s="173" t="s">
        <v>33</v>
      </c>
      <c r="U287" s="182">
        <v>46.612499999999997</v>
      </c>
      <c r="V287" s="177">
        <f>IF(U287=0,0,IF(T287="MXN",1/HLOOKUP(YEAR(S287)+(MONTH(S287)/100),TC!$5:$37,DAY(S287)+2,FALSE),VLOOKUP(T287,Equivalencia!$1:$23,((MAX(Equivalencia!$3:$3)-YEAR(S287))*14)+MONTH(S287)+2,FALSE)))</f>
        <v>1</v>
      </c>
      <c r="W287" s="178">
        <f t="shared" si="49"/>
        <v>46.612499999999997</v>
      </c>
      <c r="X287" s="481">
        <f t="shared" si="45"/>
        <v>-3.0163888888888977</v>
      </c>
      <c r="Y287" s="179"/>
      <c r="Z287" s="466">
        <f t="shared" si="46"/>
        <v>50.333619111111119</v>
      </c>
      <c r="AA287" s="473">
        <f t="shared" si="47"/>
        <v>-3.7211191111111219</v>
      </c>
      <c r="AB287" s="339">
        <f t="shared" si="48"/>
        <v>-6.0778892222272174E-2</v>
      </c>
    </row>
    <row r="288" spans="2:28" ht="20.100000000000001" customHeight="1">
      <c r="B288" s="172">
        <v>1427200</v>
      </c>
      <c r="C288" s="174">
        <v>44560</v>
      </c>
      <c r="D288" s="181" t="s">
        <v>265</v>
      </c>
      <c r="E288" s="173" t="s">
        <v>33</v>
      </c>
      <c r="F288" s="176">
        <v>26.15</v>
      </c>
      <c r="G288" s="175">
        <f t="shared" si="50"/>
        <v>1</v>
      </c>
      <c r="H288" s="175">
        <f t="shared" si="43"/>
        <v>26.15</v>
      </c>
      <c r="I288" s="177">
        <f>IF(G288=0,0,IF(E288="MXN",1/HLOOKUP(YEAR(C288)+(MONTH(C288)/100),TC!$5:$37,DAY(C288)+2,FALSE),VLOOKUP(E288,Equivalencia!$5:$23,((MAX(Equivalencia!$3:$3)-YEAR(C288))*14)+MONTH(C288)+2,FALSE)))</f>
        <v>1</v>
      </c>
      <c r="J288" s="178">
        <f t="shared" si="51"/>
        <v>26.15</v>
      </c>
      <c r="K288" s="462">
        <f>IF(C288=0,0,VLOOKUP(YEAR(C288),INPC!$B$4:$O$29,MONTH(C288)+1))</f>
        <v>117.30800000000001</v>
      </c>
      <c r="L288" s="462">
        <f>IF(S288=0,0,VLOOKUP(YEAR(S288),INPC!$B$4:$O$29,MONTH(S288)+1))</f>
        <v>118.98099999999999</v>
      </c>
      <c r="M288" s="463">
        <f t="shared" si="44"/>
        <v>1.0142</v>
      </c>
      <c r="N288" s="465">
        <f t="shared" si="52"/>
        <v>26.521329999999999</v>
      </c>
      <c r="O288" s="179"/>
      <c r="P288" s="180">
        <v>1</v>
      </c>
      <c r="Q288" s="173" t="s">
        <v>583</v>
      </c>
      <c r="R288" s="173" t="s">
        <v>230</v>
      </c>
      <c r="S288" s="174">
        <v>44602</v>
      </c>
      <c r="T288" s="173" t="s">
        <v>33</v>
      </c>
      <c r="U288" s="182">
        <v>23.306249999999999</v>
      </c>
      <c r="V288" s="177">
        <f>IF(U288=0,0,IF(T288="MXN",1/HLOOKUP(YEAR(S288)+(MONTH(S288)/100),TC!$5:$37,DAY(S288)+2,FALSE),VLOOKUP(T288,Equivalencia!$1:$23,((MAX(Equivalencia!$3:$3)-YEAR(S288))*14)+MONTH(S288)+2,FALSE)))</f>
        <v>1</v>
      </c>
      <c r="W288" s="178">
        <f t="shared" si="49"/>
        <v>23.306249999999999</v>
      </c>
      <c r="X288" s="481">
        <f t="shared" si="45"/>
        <v>-2.84375</v>
      </c>
      <c r="Y288" s="179"/>
      <c r="Z288" s="466">
        <f t="shared" si="46"/>
        <v>26.521329999999999</v>
      </c>
      <c r="AA288" s="473">
        <f t="shared" si="47"/>
        <v>-3.2150800000000004</v>
      </c>
      <c r="AB288" s="339">
        <f t="shared" si="48"/>
        <v>-0.10874760994263866</v>
      </c>
    </row>
    <row r="289" spans="2:28" ht="20.100000000000001" customHeight="1">
      <c r="B289" s="172">
        <v>1427200</v>
      </c>
      <c r="C289" s="174">
        <v>44560</v>
      </c>
      <c r="D289" s="181" t="s">
        <v>265</v>
      </c>
      <c r="E289" s="173" t="s">
        <v>33</v>
      </c>
      <c r="F289" s="176">
        <v>132.26666666666665</v>
      </c>
      <c r="G289" s="175">
        <f t="shared" si="50"/>
        <v>5</v>
      </c>
      <c r="H289" s="175">
        <f t="shared" si="43"/>
        <v>132.26666666666665</v>
      </c>
      <c r="I289" s="177">
        <f>IF(G289=0,0,IF(E289="MXN",1/HLOOKUP(YEAR(C289)+(MONTH(C289)/100),TC!$5:$37,DAY(C289)+2,FALSE),VLOOKUP(E289,Equivalencia!$5:$23,((MAX(Equivalencia!$3:$3)-YEAR(C289))*14)+MONTH(C289)+2,FALSE)))</f>
        <v>1</v>
      </c>
      <c r="J289" s="178">
        <f t="shared" si="51"/>
        <v>132.26666666666665</v>
      </c>
      <c r="K289" s="462">
        <f>IF(C289=0,0,VLOOKUP(YEAR(C289),INPC!$B$4:$O$29,MONTH(C289)+1))</f>
        <v>117.30800000000001</v>
      </c>
      <c r="L289" s="462">
        <f>IF(S289=0,0,VLOOKUP(YEAR(S289),INPC!$B$4:$O$29,MONTH(S289)+1))</f>
        <v>118.98099999999999</v>
      </c>
      <c r="M289" s="463">
        <f t="shared" si="44"/>
        <v>1.0142</v>
      </c>
      <c r="N289" s="465">
        <f t="shared" si="52"/>
        <v>134.14485333333332</v>
      </c>
      <c r="O289" s="179"/>
      <c r="P289" s="180">
        <v>5</v>
      </c>
      <c r="Q289" s="173" t="s">
        <v>583</v>
      </c>
      <c r="R289" s="173" t="s">
        <v>230</v>
      </c>
      <c r="S289" s="174">
        <v>44602</v>
      </c>
      <c r="T289" s="173" t="s">
        <v>33</v>
      </c>
      <c r="U289" s="182">
        <v>116.53125</v>
      </c>
      <c r="V289" s="177">
        <f>IF(U289=0,0,IF(T289="MXN",1/HLOOKUP(YEAR(S289)+(MONTH(S289)/100),TC!$5:$37,DAY(S289)+2,FALSE),VLOOKUP(T289,Equivalencia!$1:$23,((MAX(Equivalencia!$3:$3)-YEAR(S289))*14)+MONTH(S289)+2,FALSE)))</f>
        <v>1</v>
      </c>
      <c r="W289" s="178">
        <f t="shared" si="49"/>
        <v>116.53125</v>
      </c>
      <c r="X289" s="481">
        <f t="shared" si="45"/>
        <v>-15.735416666666652</v>
      </c>
      <c r="Y289" s="179"/>
      <c r="Z289" s="466">
        <f t="shared" si="46"/>
        <v>134.14485333333332</v>
      </c>
      <c r="AA289" s="473">
        <f t="shared" si="47"/>
        <v>-17.613603333333316</v>
      </c>
      <c r="AB289" s="339">
        <f t="shared" si="48"/>
        <v>-0.11896736391129026</v>
      </c>
    </row>
    <row r="290" spans="2:28" ht="20.100000000000001" customHeight="1">
      <c r="B290" s="172">
        <v>1427200</v>
      </c>
      <c r="C290" s="174">
        <v>44560</v>
      </c>
      <c r="D290" s="181" t="s">
        <v>265</v>
      </c>
      <c r="E290" s="173" t="s">
        <v>33</v>
      </c>
      <c r="F290" s="176">
        <v>26.453333333333333</v>
      </c>
      <c r="G290" s="175">
        <f t="shared" si="50"/>
        <v>1</v>
      </c>
      <c r="H290" s="175">
        <f t="shared" si="43"/>
        <v>26.453333333333333</v>
      </c>
      <c r="I290" s="177">
        <f>IF(G290=0,0,IF(E290="MXN",1/HLOOKUP(YEAR(C290)+(MONTH(C290)/100),TC!$5:$37,DAY(C290)+2,FALSE),VLOOKUP(E290,Equivalencia!$5:$23,((MAX(Equivalencia!$3:$3)-YEAR(C290))*14)+MONTH(C290)+2,FALSE)))</f>
        <v>1</v>
      </c>
      <c r="J290" s="178">
        <f t="shared" si="51"/>
        <v>26.453333333333333</v>
      </c>
      <c r="K290" s="462">
        <f>IF(C290=0,0,VLOOKUP(YEAR(C290),INPC!$B$4:$O$29,MONTH(C290)+1))</f>
        <v>117.30800000000001</v>
      </c>
      <c r="L290" s="462">
        <f>IF(S290=0,0,VLOOKUP(YEAR(S290),INPC!$B$4:$O$29,MONTH(S290)+1))</f>
        <v>118.98099999999999</v>
      </c>
      <c r="M290" s="463">
        <f t="shared" si="44"/>
        <v>1.0142</v>
      </c>
      <c r="N290" s="465">
        <f t="shared" si="52"/>
        <v>26.828970666666667</v>
      </c>
      <c r="O290" s="179"/>
      <c r="P290" s="180">
        <v>1</v>
      </c>
      <c r="Q290" s="173" t="s">
        <v>583</v>
      </c>
      <c r="R290" s="173" t="s">
        <v>230</v>
      </c>
      <c r="S290" s="174">
        <v>44602</v>
      </c>
      <c r="T290" s="173" t="s">
        <v>33</v>
      </c>
      <c r="U290" s="182">
        <v>23.51</v>
      </c>
      <c r="V290" s="177">
        <f>IF(U290=0,0,IF(T290="MXN",1/HLOOKUP(YEAR(S290)+(MONTH(S290)/100),TC!$5:$37,DAY(S290)+2,FALSE),VLOOKUP(T290,Equivalencia!$1:$23,((MAX(Equivalencia!$3:$3)-YEAR(S290))*14)+MONTH(S290)+2,FALSE)))</f>
        <v>1</v>
      </c>
      <c r="W290" s="178">
        <f t="shared" si="49"/>
        <v>23.51</v>
      </c>
      <c r="X290" s="481">
        <f t="shared" si="45"/>
        <v>-2.9433333333333316</v>
      </c>
      <c r="Y290" s="179"/>
      <c r="Z290" s="466">
        <f t="shared" si="46"/>
        <v>26.828970666666667</v>
      </c>
      <c r="AA290" s="473">
        <f t="shared" si="47"/>
        <v>-3.3189706666666652</v>
      </c>
      <c r="AB290" s="339">
        <f t="shared" si="48"/>
        <v>-0.11126512096774188</v>
      </c>
    </row>
    <row r="291" spans="2:28" ht="20.100000000000001" customHeight="1">
      <c r="B291" s="172">
        <v>1427200</v>
      </c>
      <c r="C291" s="174">
        <v>44560</v>
      </c>
      <c r="D291" s="181" t="s">
        <v>265</v>
      </c>
      <c r="E291" s="173" t="s">
        <v>33</v>
      </c>
      <c r="F291" s="176">
        <v>25.9</v>
      </c>
      <c r="G291" s="175">
        <f t="shared" si="50"/>
        <v>1</v>
      </c>
      <c r="H291" s="175">
        <f t="shared" si="43"/>
        <v>25.9</v>
      </c>
      <c r="I291" s="177">
        <f>IF(G291=0,0,IF(E291="MXN",1/HLOOKUP(YEAR(C291)+(MONTH(C291)/100),TC!$5:$37,DAY(C291)+2,FALSE),VLOOKUP(E291,Equivalencia!$5:$23,((MAX(Equivalencia!$3:$3)-YEAR(C291))*14)+MONTH(C291)+2,FALSE)))</f>
        <v>1</v>
      </c>
      <c r="J291" s="178">
        <f t="shared" si="51"/>
        <v>25.9</v>
      </c>
      <c r="K291" s="462">
        <f>IF(C291=0,0,VLOOKUP(YEAR(C291),INPC!$B$4:$O$29,MONTH(C291)+1))</f>
        <v>117.30800000000001</v>
      </c>
      <c r="L291" s="462">
        <f>IF(S291=0,0,VLOOKUP(YEAR(S291),INPC!$B$4:$O$29,MONTH(S291)+1))</f>
        <v>118.98099999999999</v>
      </c>
      <c r="M291" s="463">
        <f t="shared" si="44"/>
        <v>1.0142</v>
      </c>
      <c r="N291" s="465">
        <f t="shared" si="52"/>
        <v>26.267779999999998</v>
      </c>
      <c r="O291" s="179"/>
      <c r="P291" s="180">
        <v>1</v>
      </c>
      <c r="Q291" s="173" t="s">
        <v>583</v>
      </c>
      <c r="R291" s="173" t="s">
        <v>230</v>
      </c>
      <c r="S291" s="174">
        <v>44602</v>
      </c>
      <c r="T291" s="173" t="s">
        <v>33</v>
      </c>
      <c r="U291" s="182">
        <v>23.51</v>
      </c>
      <c r="V291" s="177">
        <f>IF(U291=0,0,IF(T291="MXN",1/HLOOKUP(YEAR(S291)+(MONTH(S291)/100),TC!$5:$37,DAY(S291)+2,FALSE),VLOOKUP(T291,Equivalencia!$1:$23,((MAX(Equivalencia!$3:$3)-YEAR(S291))*14)+MONTH(S291)+2,FALSE)))</f>
        <v>1</v>
      </c>
      <c r="W291" s="178">
        <f t="shared" si="49"/>
        <v>23.51</v>
      </c>
      <c r="X291" s="481">
        <f t="shared" si="45"/>
        <v>-2.389999999999997</v>
      </c>
      <c r="Y291" s="179"/>
      <c r="Z291" s="466">
        <f t="shared" si="46"/>
        <v>26.267779999999998</v>
      </c>
      <c r="AA291" s="473">
        <f t="shared" si="47"/>
        <v>-2.7577799999999968</v>
      </c>
      <c r="AB291" s="339">
        <f t="shared" si="48"/>
        <v>-9.227799227799216E-2</v>
      </c>
    </row>
    <row r="292" spans="2:28" ht="20.100000000000001" customHeight="1">
      <c r="B292" s="172">
        <v>1427200</v>
      </c>
      <c r="C292" s="174">
        <v>44560</v>
      </c>
      <c r="D292" s="181" t="s">
        <v>265</v>
      </c>
      <c r="E292" s="173" t="s">
        <v>33</v>
      </c>
      <c r="F292" s="176">
        <v>25.9</v>
      </c>
      <c r="G292" s="175">
        <f t="shared" si="50"/>
        <v>1</v>
      </c>
      <c r="H292" s="175">
        <f t="shared" si="43"/>
        <v>25.9</v>
      </c>
      <c r="I292" s="177">
        <f>IF(G292=0,0,IF(E292="MXN",1/HLOOKUP(YEAR(C292)+(MONTH(C292)/100),TC!$5:$37,DAY(C292)+2,FALSE),VLOOKUP(E292,Equivalencia!$5:$23,((MAX(Equivalencia!$3:$3)-YEAR(C292))*14)+MONTH(C292)+2,FALSE)))</f>
        <v>1</v>
      </c>
      <c r="J292" s="178">
        <f t="shared" si="51"/>
        <v>25.9</v>
      </c>
      <c r="K292" s="462">
        <f>IF(C292=0,0,VLOOKUP(YEAR(C292),INPC!$B$4:$O$29,MONTH(C292)+1))</f>
        <v>117.30800000000001</v>
      </c>
      <c r="L292" s="462">
        <f>IF(S292=0,0,VLOOKUP(YEAR(S292),INPC!$B$4:$O$29,MONTH(S292)+1))</f>
        <v>118.98099999999999</v>
      </c>
      <c r="M292" s="463">
        <f t="shared" si="44"/>
        <v>1.0142</v>
      </c>
      <c r="N292" s="465">
        <f t="shared" si="52"/>
        <v>26.267779999999998</v>
      </c>
      <c r="O292" s="179"/>
      <c r="P292" s="180">
        <v>1</v>
      </c>
      <c r="Q292" s="173" t="s">
        <v>583</v>
      </c>
      <c r="R292" s="173" t="s">
        <v>230</v>
      </c>
      <c r="S292" s="174">
        <v>44602</v>
      </c>
      <c r="T292" s="173" t="s">
        <v>33</v>
      </c>
      <c r="U292" s="182">
        <v>22.34</v>
      </c>
      <c r="V292" s="177">
        <f>IF(U292=0,0,IF(T292="MXN",1/HLOOKUP(YEAR(S292)+(MONTH(S292)/100),TC!$5:$37,DAY(S292)+2,FALSE),VLOOKUP(T292,Equivalencia!$1:$23,((MAX(Equivalencia!$3:$3)-YEAR(S292))*14)+MONTH(S292)+2,FALSE)))</f>
        <v>1</v>
      </c>
      <c r="W292" s="178">
        <f t="shared" si="49"/>
        <v>22.34</v>
      </c>
      <c r="X292" s="481">
        <f t="shared" si="45"/>
        <v>-3.5599999999999987</v>
      </c>
      <c r="Y292" s="179"/>
      <c r="Z292" s="466">
        <f t="shared" si="46"/>
        <v>26.267779999999998</v>
      </c>
      <c r="AA292" s="473">
        <f t="shared" si="47"/>
        <v>-3.9277799999999985</v>
      </c>
      <c r="AB292" s="339">
        <f t="shared" si="48"/>
        <v>-0.13745173745173744</v>
      </c>
    </row>
    <row r="293" spans="2:28" ht="20.100000000000001" customHeight="1">
      <c r="B293" s="172">
        <v>1427200</v>
      </c>
      <c r="C293" s="174">
        <v>44560</v>
      </c>
      <c r="D293" s="181" t="s">
        <v>265</v>
      </c>
      <c r="E293" s="173" t="s">
        <v>33</v>
      </c>
      <c r="F293" s="176">
        <v>26.693750000000001</v>
      </c>
      <c r="G293" s="175">
        <f t="shared" si="50"/>
        <v>1</v>
      </c>
      <c r="H293" s="175">
        <f t="shared" si="43"/>
        <v>26.693750000000001</v>
      </c>
      <c r="I293" s="177">
        <f>IF(G293=0,0,IF(E293="MXN",1/HLOOKUP(YEAR(C293)+(MONTH(C293)/100),TC!$5:$37,DAY(C293)+2,FALSE),VLOOKUP(E293,Equivalencia!$5:$23,((MAX(Equivalencia!$3:$3)-YEAR(C293))*14)+MONTH(C293)+2,FALSE)))</f>
        <v>1</v>
      </c>
      <c r="J293" s="178">
        <f t="shared" si="51"/>
        <v>26.693750000000001</v>
      </c>
      <c r="K293" s="462">
        <f>IF(C293=0,0,VLOOKUP(YEAR(C293),INPC!$B$4:$O$29,MONTH(C293)+1))</f>
        <v>117.30800000000001</v>
      </c>
      <c r="L293" s="462">
        <f>IF(S293=0,0,VLOOKUP(YEAR(S293),INPC!$B$4:$O$29,MONTH(S293)+1))</f>
        <v>118.98099999999999</v>
      </c>
      <c r="M293" s="463">
        <f t="shared" si="44"/>
        <v>1.0142</v>
      </c>
      <c r="N293" s="465">
        <f t="shared" si="52"/>
        <v>27.072801250000001</v>
      </c>
      <c r="O293" s="179"/>
      <c r="P293" s="180">
        <v>1</v>
      </c>
      <c r="Q293" s="173" t="s">
        <v>583</v>
      </c>
      <c r="R293" s="173" t="s">
        <v>230</v>
      </c>
      <c r="S293" s="174">
        <v>44602</v>
      </c>
      <c r="T293" s="173" t="s">
        <v>33</v>
      </c>
      <c r="U293" s="182">
        <v>22.34</v>
      </c>
      <c r="V293" s="177">
        <f>IF(U293=0,0,IF(T293="MXN",1/HLOOKUP(YEAR(S293)+(MONTH(S293)/100),TC!$5:$37,DAY(S293)+2,FALSE),VLOOKUP(T293,Equivalencia!$1:$23,((MAX(Equivalencia!$3:$3)-YEAR(S293))*14)+MONTH(S293)+2,FALSE)))</f>
        <v>1</v>
      </c>
      <c r="W293" s="178">
        <f t="shared" si="49"/>
        <v>22.34</v>
      </c>
      <c r="X293" s="481">
        <f t="shared" si="45"/>
        <v>-4.3537500000000016</v>
      </c>
      <c r="Y293" s="179"/>
      <c r="Z293" s="466">
        <f t="shared" si="46"/>
        <v>27.072801250000001</v>
      </c>
      <c r="AA293" s="473">
        <f t="shared" si="47"/>
        <v>-4.7328012500000014</v>
      </c>
      <c r="AB293" s="339">
        <f t="shared" si="48"/>
        <v>-0.16309997658627962</v>
      </c>
    </row>
    <row r="294" spans="2:28" ht="20.100000000000001" customHeight="1">
      <c r="B294" s="172">
        <v>1427200</v>
      </c>
      <c r="C294" s="174">
        <v>44560</v>
      </c>
      <c r="D294" s="181" t="s">
        <v>265</v>
      </c>
      <c r="E294" s="173" t="s">
        <v>33</v>
      </c>
      <c r="F294" s="176">
        <v>53.387500000000003</v>
      </c>
      <c r="G294" s="175">
        <f t="shared" si="50"/>
        <v>2</v>
      </c>
      <c r="H294" s="175">
        <f t="shared" si="43"/>
        <v>53.387500000000003</v>
      </c>
      <c r="I294" s="177">
        <f>IF(G294=0,0,IF(E294="MXN",1/HLOOKUP(YEAR(C294)+(MONTH(C294)/100),TC!$5:$37,DAY(C294)+2,FALSE),VLOOKUP(E294,Equivalencia!$5:$23,((MAX(Equivalencia!$3:$3)-YEAR(C294))*14)+MONTH(C294)+2,FALSE)))</f>
        <v>1</v>
      </c>
      <c r="J294" s="178">
        <f t="shared" si="51"/>
        <v>53.387500000000003</v>
      </c>
      <c r="K294" s="462">
        <f>IF(C294=0,0,VLOOKUP(YEAR(C294),INPC!$B$4:$O$29,MONTH(C294)+1))</f>
        <v>117.30800000000001</v>
      </c>
      <c r="L294" s="462">
        <f>IF(S294=0,0,VLOOKUP(YEAR(S294),INPC!$B$4:$O$29,MONTH(S294)+1))</f>
        <v>118.98099999999999</v>
      </c>
      <c r="M294" s="463">
        <f t="shared" si="44"/>
        <v>1.0142</v>
      </c>
      <c r="N294" s="465">
        <f t="shared" si="52"/>
        <v>54.145602500000003</v>
      </c>
      <c r="O294" s="179"/>
      <c r="P294" s="180">
        <v>2</v>
      </c>
      <c r="Q294" s="173" t="s">
        <v>583</v>
      </c>
      <c r="R294" s="173" t="s">
        <v>230</v>
      </c>
      <c r="S294" s="174">
        <v>44602</v>
      </c>
      <c r="T294" s="173" t="s">
        <v>33</v>
      </c>
      <c r="U294" s="182">
        <v>45.68</v>
      </c>
      <c r="V294" s="177">
        <f>IF(U294=0,0,IF(T294="MXN",1/HLOOKUP(YEAR(S294)+(MONTH(S294)/100),TC!$5:$37,DAY(S294)+2,FALSE),VLOOKUP(T294,Equivalencia!$1:$23,((MAX(Equivalencia!$3:$3)-YEAR(S294))*14)+MONTH(S294)+2,FALSE)))</f>
        <v>1</v>
      </c>
      <c r="W294" s="178">
        <f t="shared" si="49"/>
        <v>45.68</v>
      </c>
      <c r="X294" s="481">
        <f t="shared" si="45"/>
        <v>-7.7075000000000031</v>
      </c>
      <c r="Y294" s="179"/>
      <c r="Z294" s="466">
        <f t="shared" si="46"/>
        <v>54.145602500000003</v>
      </c>
      <c r="AA294" s="473">
        <f t="shared" si="47"/>
        <v>-8.4656025000000028</v>
      </c>
      <c r="AB294" s="339">
        <f t="shared" si="48"/>
        <v>-0.14436900023413723</v>
      </c>
    </row>
    <row r="295" spans="2:28" ht="20.100000000000001" customHeight="1">
      <c r="B295" s="172">
        <v>1427200</v>
      </c>
      <c r="C295" s="174">
        <v>44560</v>
      </c>
      <c r="D295" s="181" t="s">
        <v>265</v>
      </c>
      <c r="E295" s="173" t="s">
        <v>33</v>
      </c>
      <c r="F295" s="176">
        <v>133.46875</v>
      </c>
      <c r="G295" s="175">
        <f t="shared" si="50"/>
        <v>5</v>
      </c>
      <c r="H295" s="175">
        <f t="shared" si="43"/>
        <v>133.46875</v>
      </c>
      <c r="I295" s="177">
        <f>IF(G295=0,0,IF(E295="MXN",1/HLOOKUP(YEAR(C295)+(MONTH(C295)/100),TC!$5:$37,DAY(C295)+2,FALSE),VLOOKUP(E295,Equivalencia!$5:$23,((MAX(Equivalencia!$3:$3)-YEAR(C295))*14)+MONTH(C295)+2,FALSE)))</f>
        <v>1</v>
      </c>
      <c r="J295" s="178">
        <f t="shared" si="51"/>
        <v>133.46875</v>
      </c>
      <c r="K295" s="462">
        <f>IF(C295=0,0,VLOOKUP(YEAR(C295),INPC!$B$4:$O$29,MONTH(C295)+1))</f>
        <v>117.30800000000001</v>
      </c>
      <c r="L295" s="462">
        <f>IF(S295=0,0,VLOOKUP(YEAR(S295),INPC!$B$4:$O$29,MONTH(S295)+1))</f>
        <v>118.98099999999999</v>
      </c>
      <c r="M295" s="463">
        <f t="shared" si="44"/>
        <v>1.0142</v>
      </c>
      <c r="N295" s="465">
        <f t="shared" si="52"/>
        <v>135.36400624999999</v>
      </c>
      <c r="O295" s="179"/>
      <c r="P295" s="180">
        <v>5</v>
      </c>
      <c r="Q295" s="173" t="s">
        <v>583</v>
      </c>
      <c r="R295" s="173" t="s">
        <v>230</v>
      </c>
      <c r="S295" s="174">
        <v>44602</v>
      </c>
      <c r="T295" s="173" t="s">
        <v>33</v>
      </c>
      <c r="U295" s="182">
        <v>114.76333333333335</v>
      </c>
      <c r="V295" s="177">
        <f>IF(U295=0,0,IF(T295="MXN",1/HLOOKUP(YEAR(S295)+(MONTH(S295)/100),TC!$5:$37,DAY(S295)+2,FALSE),VLOOKUP(T295,Equivalencia!$1:$23,((MAX(Equivalencia!$3:$3)-YEAR(S295))*14)+MONTH(S295)+2,FALSE)))</f>
        <v>1</v>
      </c>
      <c r="W295" s="178">
        <f t="shared" si="49"/>
        <v>114.76333333333335</v>
      </c>
      <c r="X295" s="481">
        <f t="shared" si="45"/>
        <v>-18.70541666666665</v>
      </c>
      <c r="Y295" s="179"/>
      <c r="Z295" s="466">
        <f t="shared" si="46"/>
        <v>135.36400624999999</v>
      </c>
      <c r="AA295" s="473">
        <f t="shared" si="47"/>
        <v>-20.600672916666639</v>
      </c>
      <c r="AB295" s="339">
        <f t="shared" si="48"/>
        <v>-0.14014828689612102</v>
      </c>
    </row>
    <row r="296" spans="2:28" ht="20.100000000000001" customHeight="1">
      <c r="B296" s="172">
        <v>1427200</v>
      </c>
      <c r="C296" s="174">
        <v>44561</v>
      </c>
      <c r="D296" s="181" t="s">
        <v>265</v>
      </c>
      <c r="E296" s="173" t="s">
        <v>33</v>
      </c>
      <c r="F296" s="176">
        <v>105.78</v>
      </c>
      <c r="G296" s="175">
        <f t="shared" si="50"/>
        <v>4</v>
      </c>
      <c r="H296" s="175">
        <f t="shared" si="43"/>
        <v>105.78</v>
      </c>
      <c r="I296" s="177">
        <f>IF(G296=0,0,IF(E296="MXN",1/HLOOKUP(YEAR(C296)+(MONTH(C296)/100),TC!$5:$37,DAY(C296)+2,FALSE),VLOOKUP(E296,Equivalencia!$5:$23,((MAX(Equivalencia!$3:$3)-YEAR(C296))*14)+MONTH(C296)+2,FALSE)))</f>
        <v>1</v>
      </c>
      <c r="J296" s="178">
        <f t="shared" si="51"/>
        <v>105.78</v>
      </c>
      <c r="K296" s="462">
        <f>IF(C296=0,0,VLOOKUP(YEAR(C296),INPC!$B$4:$O$29,MONTH(C296)+1))</f>
        <v>117.30800000000001</v>
      </c>
      <c r="L296" s="462">
        <f>IF(S296=0,0,VLOOKUP(YEAR(S296),INPC!$B$4:$O$29,MONTH(S296)+1))</f>
        <v>118.98099999999999</v>
      </c>
      <c r="M296" s="463">
        <f t="shared" si="44"/>
        <v>1.0142</v>
      </c>
      <c r="N296" s="465">
        <f t="shared" si="52"/>
        <v>107.282076</v>
      </c>
      <c r="O296" s="179"/>
      <c r="P296" s="180">
        <v>4</v>
      </c>
      <c r="Q296" s="173" t="s">
        <v>583</v>
      </c>
      <c r="R296" s="173" t="s">
        <v>230</v>
      </c>
      <c r="S296" s="174">
        <v>44602</v>
      </c>
      <c r="T296" s="173" t="s">
        <v>33</v>
      </c>
      <c r="U296" s="182">
        <v>91.810666666666677</v>
      </c>
      <c r="V296" s="177">
        <f>IF(U296=0,0,IF(T296="MXN",1/HLOOKUP(YEAR(S296)+(MONTH(S296)/100),TC!$5:$37,DAY(S296)+2,FALSE),VLOOKUP(T296,Equivalencia!$1:$23,((MAX(Equivalencia!$3:$3)-YEAR(S296))*14)+MONTH(S296)+2,FALSE)))</f>
        <v>1</v>
      </c>
      <c r="W296" s="178">
        <f t="shared" si="49"/>
        <v>91.810666666666677</v>
      </c>
      <c r="X296" s="481">
        <f t="shared" si="45"/>
        <v>-13.969333333333324</v>
      </c>
      <c r="Y296" s="179"/>
      <c r="Z296" s="466">
        <f t="shared" si="46"/>
        <v>107.282076</v>
      </c>
      <c r="AA296" s="473">
        <f t="shared" si="47"/>
        <v>-15.471409333333327</v>
      </c>
      <c r="AB296" s="339">
        <f t="shared" si="48"/>
        <v>-0.13206025083506645</v>
      </c>
    </row>
    <row r="297" spans="2:28" ht="20.100000000000001" customHeight="1">
      <c r="B297" s="172">
        <v>1427200</v>
      </c>
      <c r="C297" s="174">
        <v>44568</v>
      </c>
      <c r="D297" s="181" t="s">
        <v>265</v>
      </c>
      <c r="E297" s="173" t="s">
        <v>33</v>
      </c>
      <c r="F297" s="176">
        <v>22.74</v>
      </c>
      <c r="G297" s="175">
        <f t="shared" si="50"/>
        <v>1</v>
      </c>
      <c r="H297" s="175">
        <f t="shared" si="43"/>
        <v>22.74</v>
      </c>
      <c r="I297" s="177">
        <f>IF(G297=0,0,IF(E297="MXN",1/HLOOKUP(YEAR(C297)+(MONTH(C297)/100),TC!$5:$37,DAY(C297)+2,FALSE),VLOOKUP(E297,Equivalencia!$5:$23,((MAX(Equivalencia!$3:$3)-YEAR(C297))*14)+MONTH(C297)+2,FALSE)))</f>
        <v>1</v>
      </c>
      <c r="J297" s="178">
        <f t="shared" si="51"/>
        <v>22.74</v>
      </c>
      <c r="K297" s="462">
        <f>IF(C297=0,0,VLOOKUP(YEAR(C297),INPC!$B$4:$O$29,MONTH(C297)+1))</f>
        <v>118.002</v>
      </c>
      <c r="L297" s="462">
        <f>IF(S297=0,0,VLOOKUP(YEAR(S297),INPC!$B$4:$O$29,MONTH(S297)+1))</f>
        <v>118.98099999999999</v>
      </c>
      <c r="M297" s="463">
        <f t="shared" si="44"/>
        <v>1.0082</v>
      </c>
      <c r="N297" s="465">
        <f t="shared" si="52"/>
        <v>22.926468</v>
      </c>
      <c r="O297" s="179"/>
      <c r="P297" s="180">
        <v>1</v>
      </c>
      <c r="Q297" s="173" t="s">
        <v>583</v>
      </c>
      <c r="R297" s="173" t="s">
        <v>230</v>
      </c>
      <c r="S297" s="174">
        <v>44602</v>
      </c>
      <c r="T297" s="173" t="s">
        <v>33</v>
      </c>
      <c r="U297" s="182">
        <v>22.952666666666669</v>
      </c>
      <c r="V297" s="177">
        <f>IF(U297=0,0,IF(T297="MXN",1/HLOOKUP(YEAR(S297)+(MONTH(S297)/100),TC!$5:$37,DAY(S297)+2,FALSE),VLOOKUP(T297,Equivalencia!$1:$23,((MAX(Equivalencia!$3:$3)-YEAR(S297))*14)+MONTH(S297)+2,FALSE)))</f>
        <v>1</v>
      </c>
      <c r="W297" s="178">
        <f t="shared" si="49"/>
        <v>22.952666666666669</v>
      </c>
      <c r="X297" s="481">
        <f t="shared" si="45"/>
        <v>0.21266666666667078</v>
      </c>
      <c r="Y297" s="179"/>
      <c r="Z297" s="466">
        <f t="shared" si="46"/>
        <v>22.926468</v>
      </c>
      <c r="AA297" s="473">
        <f t="shared" si="47"/>
        <v>2.6198666666669368E-2</v>
      </c>
      <c r="AB297" s="339">
        <f t="shared" si="48"/>
        <v>9.35209615948418E-3</v>
      </c>
    </row>
    <row r="298" spans="2:28" ht="20.100000000000001" customHeight="1">
      <c r="B298" s="172">
        <v>1427200</v>
      </c>
      <c r="C298" s="174">
        <v>44568</v>
      </c>
      <c r="D298" s="181" t="s">
        <v>265</v>
      </c>
      <c r="E298" s="173" t="s">
        <v>33</v>
      </c>
      <c r="F298" s="176">
        <v>45.53</v>
      </c>
      <c r="G298" s="175">
        <f t="shared" si="50"/>
        <v>2</v>
      </c>
      <c r="H298" s="175">
        <f t="shared" si="43"/>
        <v>45.53</v>
      </c>
      <c r="I298" s="177">
        <f>IF(G298=0,0,IF(E298="MXN",1/HLOOKUP(YEAR(C298)+(MONTH(C298)/100),TC!$5:$37,DAY(C298)+2,FALSE),VLOOKUP(E298,Equivalencia!$5:$23,((MAX(Equivalencia!$3:$3)-YEAR(C298))*14)+MONTH(C298)+2,FALSE)))</f>
        <v>1</v>
      </c>
      <c r="J298" s="178">
        <f t="shared" si="51"/>
        <v>45.53</v>
      </c>
      <c r="K298" s="462">
        <f>IF(C298=0,0,VLOOKUP(YEAR(C298),INPC!$B$4:$O$29,MONTH(C298)+1))</f>
        <v>118.002</v>
      </c>
      <c r="L298" s="462">
        <f>IF(S298=0,0,VLOOKUP(YEAR(S298),INPC!$B$4:$O$29,MONTH(S298)+1))</f>
        <v>118.98099999999999</v>
      </c>
      <c r="M298" s="463">
        <f t="shared" si="44"/>
        <v>1.0082</v>
      </c>
      <c r="N298" s="465">
        <f t="shared" si="52"/>
        <v>45.903345999999999</v>
      </c>
      <c r="O298" s="179"/>
      <c r="P298" s="180">
        <v>2</v>
      </c>
      <c r="Q298" s="173" t="s">
        <v>583</v>
      </c>
      <c r="R298" s="173" t="s">
        <v>230</v>
      </c>
      <c r="S298" s="174">
        <v>44602</v>
      </c>
      <c r="T298" s="173" t="s">
        <v>33</v>
      </c>
      <c r="U298" s="182">
        <v>45.905333333333338</v>
      </c>
      <c r="V298" s="177">
        <f>IF(U298=0,0,IF(T298="MXN",1/HLOOKUP(YEAR(S298)+(MONTH(S298)/100),TC!$5:$37,DAY(S298)+2,FALSE),VLOOKUP(T298,Equivalencia!$1:$23,((MAX(Equivalencia!$3:$3)-YEAR(S298))*14)+MONTH(S298)+2,FALSE)))</f>
        <v>1</v>
      </c>
      <c r="W298" s="178">
        <f t="shared" si="49"/>
        <v>45.905333333333338</v>
      </c>
      <c r="X298" s="481">
        <f t="shared" si="45"/>
        <v>0.37533333333333729</v>
      </c>
      <c r="Y298" s="179"/>
      <c r="Z298" s="466">
        <f t="shared" si="46"/>
        <v>45.903345999999999</v>
      </c>
      <c r="AA298" s="473">
        <f t="shared" si="47"/>
        <v>1.9873333333393361E-3</v>
      </c>
      <c r="AB298" s="339">
        <f t="shared" si="48"/>
        <v>8.2436488761989946E-3</v>
      </c>
    </row>
    <row r="299" spans="2:28" ht="20.100000000000001" customHeight="1">
      <c r="B299" s="172">
        <v>1427200</v>
      </c>
      <c r="C299" s="174">
        <v>44568</v>
      </c>
      <c r="D299" s="181" t="s">
        <v>265</v>
      </c>
      <c r="E299" s="173" t="s">
        <v>33</v>
      </c>
      <c r="F299" s="176">
        <v>68.215714285714284</v>
      </c>
      <c r="G299" s="175">
        <f t="shared" si="50"/>
        <v>3</v>
      </c>
      <c r="H299" s="175">
        <f t="shared" si="43"/>
        <v>68.215714285714284</v>
      </c>
      <c r="I299" s="177">
        <f>IF(G299=0,0,IF(E299="MXN",1/HLOOKUP(YEAR(C299)+(MONTH(C299)/100),TC!$5:$37,DAY(C299)+2,FALSE),VLOOKUP(E299,Equivalencia!$5:$23,((MAX(Equivalencia!$3:$3)-YEAR(C299))*14)+MONTH(C299)+2,FALSE)))</f>
        <v>1</v>
      </c>
      <c r="J299" s="178">
        <f t="shared" si="51"/>
        <v>68.215714285714284</v>
      </c>
      <c r="K299" s="462">
        <f>IF(C299=0,0,VLOOKUP(YEAR(C299),INPC!$B$4:$O$29,MONTH(C299)+1))</f>
        <v>118.002</v>
      </c>
      <c r="L299" s="462">
        <f>IF(S299=0,0,VLOOKUP(YEAR(S299),INPC!$B$4:$O$29,MONTH(S299)+1))</f>
        <v>118.98099999999999</v>
      </c>
      <c r="M299" s="463">
        <f t="shared" si="44"/>
        <v>1.0082</v>
      </c>
      <c r="N299" s="465">
        <f t="shared" si="52"/>
        <v>68.775083142857142</v>
      </c>
      <c r="O299" s="179"/>
      <c r="P299" s="180">
        <v>3</v>
      </c>
      <c r="Q299" s="173" t="s">
        <v>583</v>
      </c>
      <c r="R299" s="173" t="s">
        <v>230</v>
      </c>
      <c r="S299" s="174">
        <v>44602</v>
      </c>
      <c r="T299" s="173" t="s">
        <v>33</v>
      </c>
      <c r="U299" s="182">
        <v>68.858000000000004</v>
      </c>
      <c r="V299" s="177">
        <f>IF(U299=0,0,IF(T299="MXN",1/HLOOKUP(YEAR(S299)+(MONTH(S299)/100),TC!$5:$37,DAY(S299)+2,FALSE),VLOOKUP(T299,Equivalencia!$1:$23,((MAX(Equivalencia!$3:$3)-YEAR(S299))*14)+MONTH(S299)+2,FALSE)))</f>
        <v>1</v>
      </c>
      <c r="W299" s="178">
        <f t="shared" si="49"/>
        <v>68.858000000000004</v>
      </c>
      <c r="X299" s="481">
        <f t="shared" si="45"/>
        <v>0.64228571428571968</v>
      </c>
      <c r="Y299" s="179"/>
      <c r="Z299" s="466">
        <f t="shared" si="46"/>
        <v>68.775083142857142</v>
      </c>
      <c r="AA299" s="473">
        <f t="shared" si="47"/>
        <v>8.2916857142862455E-2</v>
      </c>
      <c r="AB299" s="339">
        <f t="shared" si="48"/>
        <v>9.4155096228352164E-3</v>
      </c>
    </row>
    <row r="300" spans="2:28" ht="20.100000000000001" customHeight="1">
      <c r="B300" s="172">
        <v>1427200</v>
      </c>
      <c r="C300" s="174">
        <v>44568</v>
      </c>
      <c r="D300" s="181" t="s">
        <v>265</v>
      </c>
      <c r="E300" s="173" t="s">
        <v>33</v>
      </c>
      <c r="F300" s="176">
        <v>45.477142857142852</v>
      </c>
      <c r="G300" s="175">
        <f t="shared" si="50"/>
        <v>2</v>
      </c>
      <c r="H300" s="175">
        <f t="shared" si="43"/>
        <v>45.477142857142852</v>
      </c>
      <c r="I300" s="177">
        <f>IF(G300=0,0,IF(E300="MXN",1/HLOOKUP(YEAR(C300)+(MONTH(C300)/100),TC!$5:$37,DAY(C300)+2,FALSE),VLOOKUP(E300,Equivalencia!$5:$23,((MAX(Equivalencia!$3:$3)-YEAR(C300))*14)+MONTH(C300)+2,FALSE)))</f>
        <v>1</v>
      </c>
      <c r="J300" s="178">
        <f t="shared" si="51"/>
        <v>45.477142857142852</v>
      </c>
      <c r="K300" s="462">
        <f>IF(C300=0,0,VLOOKUP(YEAR(C300),INPC!$B$4:$O$29,MONTH(C300)+1))</f>
        <v>118.002</v>
      </c>
      <c r="L300" s="462">
        <f>IF(S300=0,0,VLOOKUP(YEAR(S300),INPC!$B$4:$O$29,MONTH(S300)+1))</f>
        <v>118.98099999999999</v>
      </c>
      <c r="M300" s="463">
        <f t="shared" si="44"/>
        <v>1.0082</v>
      </c>
      <c r="N300" s="465">
        <f t="shared" si="52"/>
        <v>45.850055428571423</v>
      </c>
      <c r="O300" s="179"/>
      <c r="P300" s="180">
        <v>2</v>
      </c>
      <c r="Q300" s="173" t="s">
        <v>583</v>
      </c>
      <c r="R300" s="173" t="s">
        <v>230</v>
      </c>
      <c r="S300" s="174">
        <v>44603</v>
      </c>
      <c r="T300" s="173" t="s">
        <v>33</v>
      </c>
      <c r="U300" s="182">
        <v>36.86</v>
      </c>
      <c r="V300" s="177">
        <f>IF(U300=0,0,IF(T300="MXN",1/HLOOKUP(YEAR(S300)+(MONTH(S300)/100),TC!$5:$37,DAY(S300)+2,FALSE),VLOOKUP(T300,Equivalencia!$1:$23,((MAX(Equivalencia!$3:$3)-YEAR(S300))*14)+MONTH(S300)+2,FALSE)))</f>
        <v>1</v>
      </c>
      <c r="W300" s="178">
        <f t="shared" si="49"/>
        <v>36.86</v>
      </c>
      <c r="X300" s="481">
        <f t="shared" si="45"/>
        <v>-8.6171428571428521</v>
      </c>
      <c r="Y300" s="179"/>
      <c r="Z300" s="466">
        <f t="shared" si="46"/>
        <v>45.850055428571423</v>
      </c>
      <c r="AA300" s="473">
        <f t="shared" si="47"/>
        <v>-8.9900554285714236</v>
      </c>
      <c r="AB300" s="339">
        <f t="shared" si="48"/>
        <v>-0.18948294276559641</v>
      </c>
    </row>
    <row r="301" spans="2:28" ht="20.100000000000001" customHeight="1">
      <c r="B301" s="172">
        <v>1427200</v>
      </c>
      <c r="C301" s="174">
        <v>44568</v>
      </c>
      <c r="D301" s="181" t="s">
        <v>265</v>
      </c>
      <c r="E301" s="173" t="s">
        <v>33</v>
      </c>
      <c r="F301" s="176">
        <v>45.477142857142852</v>
      </c>
      <c r="G301" s="175">
        <f t="shared" si="50"/>
        <v>2</v>
      </c>
      <c r="H301" s="175">
        <f t="shared" si="43"/>
        <v>45.477142857142852</v>
      </c>
      <c r="I301" s="177">
        <f>IF(G301=0,0,IF(E301="MXN",1/HLOOKUP(YEAR(C301)+(MONTH(C301)/100),TC!$5:$37,DAY(C301)+2,FALSE),VLOOKUP(E301,Equivalencia!$5:$23,((MAX(Equivalencia!$3:$3)-YEAR(C301))*14)+MONTH(C301)+2,FALSE)))</f>
        <v>1</v>
      </c>
      <c r="J301" s="178">
        <f t="shared" si="51"/>
        <v>45.477142857142852</v>
      </c>
      <c r="K301" s="462">
        <f>IF(C301=0,0,VLOOKUP(YEAR(C301),INPC!$B$4:$O$29,MONTH(C301)+1))</f>
        <v>118.002</v>
      </c>
      <c r="L301" s="462">
        <f>IF(S301=0,0,VLOOKUP(YEAR(S301),INPC!$B$4:$O$29,MONTH(S301)+1))</f>
        <v>118.98099999999999</v>
      </c>
      <c r="M301" s="463">
        <f t="shared" si="44"/>
        <v>1.0082</v>
      </c>
      <c r="N301" s="465">
        <f t="shared" si="52"/>
        <v>45.850055428571423</v>
      </c>
      <c r="O301" s="179"/>
      <c r="P301" s="180">
        <v>2</v>
      </c>
      <c r="Q301" s="173" t="s">
        <v>583</v>
      </c>
      <c r="R301" s="173" t="s">
        <v>230</v>
      </c>
      <c r="S301" s="174">
        <v>44603</v>
      </c>
      <c r="T301" s="173" t="s">
        <v>33</v>
      </c>
      <c r="U301" s="182">
        <v>37.822222222222223</v>
      </c>
      <c r="V301" s="177">
        <f>IF(U301=0,0,IF(T301="MXN",1/HLOOKUP(YEAR(S301)+(MONTH(S301)/100),TC!$5:$37,DAY(S301)+2,FALSE),VLOOKUP(T301,Equivalencia!$1:$23,((MAX(Equivalencia!$3:$3)-YEAR(S301))*14)+MONTH(S301)+2,FALSE)))</f>
        <v>1</v>
      </c>
      <c r="W301" s="178">
        <f t="shared" si="49"/>
        <v>37.822222222222223</v>
      </c>
      <c r="X301" s="481">
        <f t="shared" si="45"/>
        <v>-7.6549206349206287</v>
      </c>
      <c r="Y301" s="179"/>
      <c r="Z301" s="466">
        <f t="shared" si="46"/>
        <v>45.850055428571423</v>
      </c>
      <c r="AA301" s="473">
        <f t="shared" si="47"/>
        <v>-8.0278332063492002</v>
      </c>
      <c r="AB301" s="339">
        <f t="shared" si="48"/>
        <v>-0.16832457260929956</v>
      </c>
    </row>
    <row r="302" spans="2:28" ht="20.100000000000001" customHeight="1">
      <c r="B302" s="172">
        <v>1427200</v>
      </c>
      <c r="C302" s="174">
        <v>44571</v>
      </c>
      <c r="D302" s="181" t="s">
        <v>265</v>
      </c>
      <c r="E302" s="173" t="s">
        <v>33</v>
      </c>
      <c r="F302" s="176">
        <v>22.8</v>
      </c>
      <c r="G302" s="175">
        <f t="shared" si="50"/>
        <v>1</v>
      </c>
      <c r="H302" s="175">
        <f t="shared" si="43"/>
        <v>22.8</v>
      </c>
      <c r="I302" s="177">
        <f>IF(G302=0,0,IF(E302="MXN",1/HLOOKUP(YEAR(C302)+(MONTH(C302)/100),TC!$5:$37,DAY(C302)+2,FALSE),VLOOKUP(E302,Equivalencia!$5:$23,((MAX(Equivalencia!$3:$3)-YEAR(C302))*14)+MONTH(C302)+2,FALSE)))</f>
        <v>1</v>
      </c>
      <c r="J302" s="178">
        <f t="shared" si="51"/>
        <v>22.8</v>
      </c>
      <c r="K302" s="462">
        <f>IF(C302=0,0,VLOOKUP(YEAR(C302),INPC!$B$4:$O$29,MONTH(C302)+1))</f>
        <v>118.002</v>
      </c>
      <c r="L302" s="462">
        <f>IF(S302=0,0,VLOOKUP(YEAR(S302),INPC!$B$4:$O$29,MONTH(S302)+1))</f>
        <v>118.98099999999999</v>
      </c>
      <c r="M302" s="463">
        <f t="shared" si="44"/>
        <v>1.0082</v>
      </c>
      <c r="N302" s="465">
        <f t="shared" si="52"/>
        <v>22.98696</v>
      </c>
      <c r="O302" s="179"/>
      <c r="P302" s="180">
        <v>1</v>
      </c>
      <c r="Q302" s="173" t="s">
        <v>583</v>
      </c>
      <c r="R302" s="173" t="s">
        <v>230</v>
      </c>
      <c r="S302" s="174">
        <v>44603</v>
      </c>
      <c r="T302" s="173" t="s">
        <v>33</v>
      </c>
      <c r="U302" s="182">
        <v>18.911111111111111</v>
      </c>
      <c r="V302" s="177">
        <f>IF(U302=0,0,IF(T302="MXN",1/HLOOKUP(YEAR(S302)+(MONTH(S302)/100),TC!$5:$37,DAY(S302)+2,FALSE),VLOOKUP(T302,Equivalencia!$1:$23,((MAX(Equivalencia!$3:$3)-YEAR(S302))*14)+MONTH(S302)+2,FALSE)))</f>
        <v>1</v>
      </c>
      <c r="W302" s="178">
        <f t="shared" si="49"/>
        <v>18.911111111111111</v>
      </c>
      <c r="X302" s="481">
        <f t="shared" si="45"/>
        <v>-3.8888888888888893</v>
      </c>
      <c r="Y302" s="179"/>
      <c r="Z302" s="466">
        <f t="shared" si="46"/>
        <v>22.98696</v>
      </c>
      <c r="AA302" s="473">
        <f t="shared" si="47"/>
        <v>-4.0758488888888884</v>
      </c>
      <c r="AB302" s="339">
        <f t="shared" si="48"/>
        <v>-0.17056530214424948</v>
      </c>
    </row>
    <row r="303" spans="2:28" ht="20.100000000000001" customHeight="1">
      <c r="B303" s="172">
        <v>1427200</v>
      </c>
      <c r="C303" s="174">
        <v>44571</v>
      </c>
      <c r="D303" s="181" t="s">
        <v>265</v>
      </c>
      <c r="E303" s="173" t="s">
        <v>33</v>
      </c>
      <c r="F303" s="176">
        <v>23.53</v>
      </c>
      <c r="G303" s="175">
        <f t="shared" si="50"/>
        <v>1</v>
      </c>
      <c r="H303" s="175">
        <f t="shared" si="43"/>
        <v>23.53</v>
      </c>
      <c r="I303" s="177">
        <f>IF(G303=0,0,IF(E303="MXN",1/HLOOKUP(YEAR(C303)+(MONTH(C303)/100),TC!$5:$37,DAY(C303)+2,FALSE),VLOOKUP(E303,Equivalencia!$5:$23,((MAX(Equivalencia!$3:$3)-YEAR(C303))*14)+MONTH(C303)+2,FALSE)))</f>
        <v>1</v>
      </c>
      <c r="J303" s="178">
        <f t="shared" si="51"/>
        <v>23.53</v>
      </c>
      <c r="K303" s="462">
        <f>IF(C303=0,0,VLOOKUP(YEAR(C303),INPC!$B$4:$O$29,MONTH(C303)+1))</f>
        <v>118.002</v>
      </c>
      <c r="L303" s="462">
        <f>IF(S303=0,0,VLOOKUP(YEAR(S303),INPC!$B$4:$O$29,MONTH(S303)+1))</f>
        <v>118.98099999999999</v>
      </c>
      <c r="M303" s="463">
        <f t="shared" si="44"/>
        <v>1.0082</v>
      </c>
      <c r="N303" s="465">
        <f t="shared" si="52"/>
        <v>23.722946</v>
      </c>
      <c r="O303" s="179"/>
      <c r="P303" s="180">
        <v>1</v>
      </c>
      <c r="Q303" s="173" t="s">
        <v>583</v>
      </c>
      <c r="R303" s="173" t="s">
        <v>230</v>
      </c>
      <c r="S303" s="174">
        <v>44603</v>
      </c>
      <c r="T303" s="173" t="s">
        <v>33</v>
      </c>
      <c r="U303" s="182">
        <v>18.911111111111111</v>
      </c>
      <c r="V303" s="177">
        <f>IF(U303=0,0,IF(T303="MXN",1/HLOOKUP(YEAR(S303)+(MONTH(S303)/100),TC!$5:$37,DAY(S303)+2,FALSE),VLOOKUP(T303,Equivalencia!$1:$23,((MAX(Equivalencia!$3:$3)-YEAR(S303))*14)+MONTH(S303)+2,FALSE)))</f>
        <v>1</v>
      </c>
      <c r="W303" s="178">
        <f t="shared" si="49"/>
        <v>18.911111111111111</v>
      </c>
      <c r="X303" s="481">
        <f t="shared" si="45"/>
        <v>-4.6188888888888897</v>
      </c>
      <c r="Y303" s="179"/>
      <c r="Z303" s="466">
        <f t="shared" si="46"/>
        <v>23.722946</v>
      </c>
      <c r="AA303" s="473">
        <f t="shared" si="47"/>
        <v>-4.8118348888888889</v>
      </c>
      <c r="AB303" s="339">
        <f t="shared" si="48"/>
        <v>-0.19629787033101953</v>
      </c>
    </row>
    <row r="304" spans="2:28" ht="20.100000000000001" customHeight="1">
      <c r="B304" s="172">
        <v>1427200</v>
      </c>
      <c r="C304" s="174">
        <v>44571</v>
      </c>
      <c r="D304" s="181" t="s">
        <v>265</v>
      </c>
      <c r="E304" s="173" t="s">
        <v>33</v>
      </c>
      <c r="F304" s="176">
        <v>113.34090909090909</v>
      </c>
      <c r="G304" s="175">
        <f t="shared" si="50"/>
        <v>5</v>
      </c>
      <c r="H304" s="175">
        <f t="shared" si="43"/>
        <v>113.34090909090909</v>
      </c>
      <c r="I304" s="177">
        <f>IF(G304=0,0,IF(E304="MXN",1/HLOOKUP(YEAR(C304)+(MONTH(C304)/100),TC!$5:$37,DAY(C304)+2,FALSE),VLOOKUP(E304,Equivalencia!$5:$23,((MAX(Equivalencia!$3:$3)-YEAR(C304))*14)+MONTH(C304)+2,FALSE)))</f>
        <v>1</v>
      </c>
      <c r="J304" s="178">
        <f t="shared" si="51"/>
        <v>113.34090909090909</v>
      </c>
      <c r="K304" s="462">
        <f>IF(C304=0,0,VLOOKUP(YEAR(C304),INPC!$B$4:$O$29,MONTH(C304)+1))</f>
        <v>118.002</v>
      </c>
      <c r="L304" s="462">
        <f>IF(S304=0,0,VLOOKUP(YEAR(S304),INPC!$B$4:$O$29,MONTH(S304)+1))</f>
        <v>118.98099999999999</v>
      </c>
      <c r="M304" s="463">
        <f t="shared" si="44"/>
        <v>1.0082</v>
      </c>
      <c r="N304" s="465">
        <f t="shared" si="52"/>
        <v>114.27030454545455</v>
      </c>
      <c r="O304" s="179"/>
      <c r="P304" s="180">
        <v>5</v>
      </c>
      <c r="Q304" s="173" t="s">
        <v>583</v>
      </c>
      <c r="R304" s="173" t="s">
        <v>230</v>
      </c>
      <c r="S304" s="174">
        <v>44603</v>
      </c>
      <c r="T304" s="173" t="s">
        <v>33</v>
      </c>
      <c r="U304" s="182">
        <v>94.555555555555557</v>
      </c>
      <c r="V304" s="177">
        <f>IF(U304=0,0,IF(T304="MXN",1/HLOOKUP(YEAR(S304)+(MONTH(S304)/100),TC!$5:$37,DAY(S304)+2,FALSE),VLOOKUP(T304,Equivalencia!$1:$23,((MAX(Equivalencia!$3:$3)-YEAR(S304))*14)+MONTH(S304)+2,FALSE)))</f>
        <v>1</v>
      </c>
      <c r="W304" s="178">
        <f t="shared" si="49"/>
        <v>94.555555555555557</v>
      </c>
      <c r="X304" s="481">
        <f t="shared" si="45"/>
        <v>-18.785353535353536</v>
      </c>
      <c r="Y304" s="179"/>
      <c r="Z304" s="466">
        <f t="shared" si="46"/>
        <v>114.27030454545455</v>
      </c>
      <c r="AA304" s="473">
        <f t="shared" si="47"/>
        <v>-19.714748989898993</v>
      </c>
      <c r="AB304" s="339">
        <f t="shared" si="48"/>
        <v>-0.16574204041619323</v>
      </c>
    </row>
    <row r="305" spans="2:28" ht="20.100000000000001" customHeight="1">
      <c r="B305" s="172">
        <v>1427200</v>
      </c>
      <c r="C305" s="174">
        <v>44571</v>
      </c>
      <c r="D305" s="181" t="s">
        <v>265</v>
      </c>
      <c r="E305" s="173" t="s">
        <v>33</v>
      </c>
      <c r="F305" s="176">
        <v>136.0090909090909</v>
      </c>
      <c r="G305" s="175">
        <f t="shared" si="50"/>
        <v>6</v>
      </c>
      <c r="H305" s="175">
        <f t="shared" si="43"/>
        <v>136.0090909090909</v>
      </c>
      <c r="I305" s="177">
        <f>IF(G305=0,0,IF(E305="MXN",1/HLOOKUP(YEAR(C305)+(MONTH(C305)/100),TC!$5:$37,DAY(C305)+2,FALSE),VLOOKUP(E305,Equivalencia!$5:$23,((MAX(Equivalencia!$3:$3)-YEAR(C305))*14)+MONTH(C305)+2,FALSE)))</f>
        <v>1</v>
      </c>
      <c r="J305" s="178">
        <f t="shared" si="51"/>
        <v>136.0090909090909</v>
      </c>
      <c r="K305" s="462">
        <f>IF(C305=0,0,VLOOKUP(YEAR(C305),INPC!$B$4:$O$29,MONTH(C305)+1))</f>
        <v>118.002</v>
      </c>
      <c r="L305" s="462">
        <f>IF(S305=0,0,VLOOKUP(YEAR(S305),INPC!$B$4:$O$29,MONTH(S305)+1))</f>
        <v>118.98099999999999</v>
      </c>
      <c r="M305" s="463">
        <f t="shared" si="44"/>
        <v>1.0082</v>
      </c>
      <c r="N305" s="465">
        <f t="shared" si="52"/>
        <v>137.12436545454545</v>
      </c>
      <c r="O305" s="179"/>
      <c r="P305" s="180">
        <v>6</v>
      </c>
      <c r="Q305" s="173" t="s">
        <v>583</v>
      </c>
      <c r="R305" s="173" t="s">
        <v>230</v>
      </c>
      <c r="S305" s="174">
        <v>44603</v>
      </c>
      <c r="T305" s="173" t="s">
        <v>33</v>
      </c>
      <c r="U305" s="182">
        <v>112.95499999999998</v>
      </c>
      <c r="V305" s="177">
        <f>IF(U305=0,0,IF(T305="MXN",1/HLOOKUP(YEAR(S305)+(MONTH(S305)/100),TC!$5:$37,DAY(S305)+2,FALSE),VLOOKUP(T305,Equivalencia!$1:$23,((MAX(Equivalencia!$3:$3)-YEAR(S305))*14)+MONTH(S305)+2,FALSE)))</f>
        <v>1</v>
      </c>
      <c r="W305" s="178">
        <f t="shared" si="49"/>
        <v>112.95499999999998</v>
      </c>
      <c r="X305" s="481">
        <f t="shared" si="45"/>
        <v>-23.054090909090917</v>
      </c>
      <c r="Y305" s="179"/>
      <c r="Z305" s="466">
        <f t="shared" si="46"/>
        <v>137.12436545454545</v>
      </c>
      <c r="AA305" s="473">
        <f t="shared" si="47"/>
        <v>-24.169365454545471</v>
      </c>
      <c r="AB305" s="339">
        <f t="shared" si="48"/>
        <v>-0.16950404384733653</v>
      </c>
    </row>
    <row r="306" spans="2:28" ht="20.100000000000001" customHeight="1">
      <c r="B306" s="172">
        <v>1427200</v>
      </c>
      <c r="C306" s="174">
        <v>44571</v>
      </c>
      <c r="D306" s="181" t="s">
        <v>265</v>
      </c>
      <c r="E306" s="173" t="s">
        <v>33</v>
      </c>
      <c r="F306" s="176">
        <v>114.79</v>
      </c>
      <c r="G306" s="175">
        <f t="shared" si="50"/>
        <v>5</v>
      </c>
      <c r="H306" s="175">
        <f t="shared" si="43"/>
        <v>114.79</v>
      </c>
      <c r="I306" s="177">
        <f>IF(G306=0,0,IF(E306="MXN",1/HLOOKUP(YEAR(C306)+(MONTH(C306)/100),TC!$5:$37,DAY(C306)+2,FALSE),VLOOKUP(E306,Equivalencia!$5:$23,((MAX(Equivalencia!$3:$3)-YEAR(C306))*14)+MONTH(C306)+2,FALSE)))</f>
        <v>1</v>
      </c>
      <c r="J306" s="178">
        <f t="shared" si="51"/>
        <v>114.79</v>
      </c>
      <c r="K306" s="462">
        <f>IF(C306=0,0,VLOOKUP(YEAR(C306),INPC!$B$4:$O$29,MONTH(C306)+1))</f>
        <v>118.002</v>
      </c>
      <c r="L306" s="462">
        <f>IF(S306=0,0,VLOOKUP(YEAR(S306),INPC!$B$4:$O$29,MONTH(S306)+1))</f>
        <v>118.98099999999999</v>
      </c>
      <c r="M306" s="463">
        <f t="shared" si="44"/>
        <v>1.0082</v>
      </c>
      <c r="N306" s="465">
        <f t="shared" si="52"/>
        <v>115.731278</v>
      </c>
      <c r="O306" s="179"/>
      <c r="P306" s="180">
        <v>5</v>
      </c>
      <c r="Q306" s="173" t="s">
        <v>583</v>
      </c>
      <c r="R306" s="173" t="s">
        <v>230</v>
      </c>
      <c r="S306" s="174">
        <v>44603</v>
      </c>
      <c r="T306" s="173" t="s">
        <v>33</v>
      </c>
      <c r="U306" s="182">
        <v>94.129166666666663</v>
      </c>
      <c r="V306" s="177">
        <f>IF(U306=0,0,IF(T306="MXN",1/HLOOKUP(YEAR(S306)+(MONTH(S306)/100),TC!$5:$37,DAY(S306)+2,FALSE),VLOOKUP(T306,Equivalencia!$1:$23,((MAX(Equivalencia!$3:$3)-YEAR(S306))*14)+MONTH(S306)+2,FALSE)))</f>
        <v>1</v>
      </c>
      <c r="W306" s="178">
        <f t="shared" si="49"/>
        <v>94.129166666666663</v>
      </c>
      <c r="X306" s="481">
        <f t="shared" si="45"/>
        <v>-20.660833333333343</v>
      </c>
      <c r="Y306" s="179"/>
      <c r="Z306" s="466">
        <f t="shared" si="46"/>
        <v>115.731278</v>
      </c>
      <c r="AA306" s="473">
        <f t="shared" si="47"/>
        <v>-21.60211133333334</v>
      </c>
      <c r="AB306" s="339">
        <f t="shared" si="48"/>
        <v>-0.17998809420100481</v>
      </c>
    </row>
    <row r="307" spans="2:28" ht="20.100000000000001" customHeight="1">
      <c r="B307" s="172">
        <v>1427200</v>
      </c>
      <c r="C307" s="174">
        <v>44572</v>
      </c>
      <c r="D307" s="181" t="s">
        <v>265</v>
      </c>
      <c r="E307" s="173" t="s">
        <v>33</v>
      </c>
      <c r="F307" s="176">
        <v>24.18</v>
      </c>
      <c r="G307" s="175">
        <f t="shared" si="50"/>
        <v>1</v>
      </c>
      <c r="H307" s="175">
        <f t="shared" si="43"/>
        <v>24.18</v>
      </c>
      <c r="I307" s="177">
        <f>IF(G307=0,0,IF(E307="MXN",1/HLOOKUP(YEAR(C307)+(MONTH(C307)/100),TC!$5:$37,DAY(C307)+2,FALSE),VLOOKUP(E307,Equivalencia!$5:$23,((MAX(Equivalencia!$3:$3)-YEAR(C307))*14)+MONTH(C307)+2,FALSE)))</f>
        <v>1</v>
      </c>
      <c r="J307" s="178">
        <f t="shared" si="51"/>
        <v>24.18</v>
      </c>
      <c r="K307" s="462">
        <f>IF(C307=0,0,VLOOKUP(YEAR(C307),INPC!$B$4:$O$29,MONTH(C307)+1))</f>
        <v>118.002</v>
      </c>
      <c r="L307" s="462">
        <f>IF(S307=0,0,VLOOKUP(YEAR(S307),INPC!$B$4:$O$29,MONTH(S307)+1))</f>
        <v>118.98099999999999</v>
      </c>
      <c r="M307" s="463">
        <f t="shared" si="44"/>
        <v>1.0082</v>
      </c>
      <c r="N307" s="465">
        <f t="shared" si="52"/>
        <v>24.378276</v>
      </c>
      <c r="O307" s="179"/>
      <c r="P307" s="180">
        <v>1</v>
      </c>
      <c r="Q307" s="173" t="s">
        <v>583</v>
      </c>
      <c r="R307" s="173" t="s">
        <v>230</v>
      </c>
      <c r="S307" s="174">
        <v>44603</v>
      </c>
      <c r="T307" s="173" t="s">
        <v>33</v>
      </c>
      <c r="U307" s="182">
        <v>18.825833333333332</v>
      </c>
      <c r="V307" s="177">
        <f>IF(U307=0,0,IF(T307="MXN",1/HLOOKUP(YEAR(S307)+(MONTH(S307)/100),TC!$5:$37,DAY(S307)+2,FALSE),VLOOKUP(T307,Equivalencia!$1:$23,((MAX(Equivalencia!$3:$3)-YEAR(S307))*14)+MONTH(S307)+2,FALSE)))</f>
        <v>1</v>
      </c>
      <c r="W307" s="178">
        <f t="shared" si="49"/>
        <v>18.825833333333332</v>
      </c>
      <c r="X307" s="481">
        <f t="shared" si="45"/>
        <v>-5.3541666666666679</v>
      </c>
      <c r="Y307" s="179"/>
      <c r="Z307" s="466">
        <f t="shared" si="46"/>
        <v>24.378276</v>
      </c>
      <c r="AA307" s="473">
        <f t="shared" si="47"/>
        <v>-5.5524426666666677</v>
      </c>
      <c r="AB307" s="339">
        <f t="shared" si="48"/>
        <v>-0.22142955610697557</v>
      </c>
    </row>
    <row r="308" spans="2:28" ht="20.100000000000001" customHeight="1">
      <c r="B308" s="172">
        <v>1427200</v>
      </c>
      <c r="C308" s="174">
        <v>44572</v>
      </c>
      <c r="D308" s="181" t="s">
        <v>265</v>
      </c>
      <c r="E308" s="173" t="s">
        <v>33</v>
      </c>
      <c r="F308" s="176">
        <v>20.188695652173912</v>
      </c>
      <c r="G308" s="175">
        <f t="shared" si="50"/>
        <v>1</v>
      </c>
      <c r="H308" s="175">
        <f t="shared" si="43"/>
        <v>20.188695652173912</v>
      </c>
      <c r="I308" s="177">
        <f>IF(G308=0,0,IF(E308="MXN",1/HLOOKUP(YEAR(C308)+(MONTH(C308)/100),TC!$5:$37,DAY(C308)+2,FALSE),VLOOKUP(E308,Equivalencia!$5:$23,((MAX(Equivalencia!$3:$3)-YEAR(C308))*14)+MONTH(C308)+2,FALSE)))</f>
        <v>1</v>
      </c>
      <c r="J308" s="178">
        <f t="shared" si="51"/>
        <v>20.188695652173912</v>
      </c>
      <c r="K308" s="462">
        <f>IF(C308=0,0,VLOOKUP(YEAR(C308),INPC!$B$4:$O$29,MONTH(C308)+1))</f>
        <v>118.002</v>
      </c>
      <c r="L308" s="462">
        <f>IF(S308=0,0,VLOOKUP(YEAR(S308),INPC!$B$4:$O$29,MONTH(S308)+1))</f>
        <v>118.98099999999999</v>
      </c>
      <c r="M308" s="463">
        <f t="shared" si="44"/>
        <v>1.0082</v>
      </c>
      <c r="N308" s="465">
        <f t="shared" si="52"/>
        <v>20.354242956521738</v>
      </c>
      <c r="O308" s="179"/>
      <c r="P308" s="180">
        <v>1</v>
      </c>
      <c r="Q308" s="173" t="s">
        <v>583</v>
      </c>
      <c r="R308" s="173" t="s">
        <v>230</v>
      </c>
      <c r="S308" s="174">
        <v>44606</v>
      </c>
      <c r="T308" s="173" t="s">
        <v>33</v>
      </c>
      <c r="U308" s="182">
        <v>20.47</v>
      </c>
      <c r="V308" s="177">
        <f>IF(U308=0,0,IF(T308="MXN",1/HLOOKUP(YEAR(S308)+(MONTH(S308)/100),TC!$5:$37,DAY(S308)+2,FALSE),VLOOKUP(T308,Equivalencia!$1:$23,((MAX(Equivalencia!$3:$3)-YEAR(S308))*14)+MONTH(S308)+2,FALSE)))</f>
        <v>1</v>
      </c>
      <c r="W308" s="178">
        <f t="shared" si="49"/>
        <v>20.47</v>
      </c>
      <c r="X308" s="481">
        <f t="shared" si="45"/>
        <v>0.2813043478260866</v>
      </c>
      <c r="Y308" s="179"/>
      <c r="Z308" s="466">
        <f t="shared" si="46"/>
        <v>20.354242956521738</v>
      </c>
      <c r="AA308" s="473">
        <f t="shared" si="47"/>
        <v>0.11575704347826132</v>
      </c>
      <c r="AB308" s="339">
        <f t="shared" si="48"/>
        <v>1.3933755437825823E-2</v>
      </c>
    </row>
    <row r="309" spans="2:28" ht="20.100000000000001" customHeight="1">
      <c r="B309" s="172">
        <v>1427200</v>
      </c>
      <c r="C309" s="174">
        <v>44503</v>
      </c>
      <c r="D309" s="181" t="s">
        <v>266</v>
      </c>
      <c r="E309" s="173" t="s">
        <v>33</v>
      </c>
      <c r="F309" s="176">
        <v>17674.472307692311</v>
      </c>
      <c r="G309" s="175">
        <f t="shared" si="50"/>
        <v>54</v>
      </c>
      <c r="H309" s="175">
        <f t="shared" si="43"/>
        <v>17674.472307692311</v>
      </c>
      <c r="I309" s="177">
        <f>IF(G309=0,0,IF(E309="MXN",1/HLOOKUP(YEAR(C309)+(MONTH(C309)/100),TC!$5:$37,DAY(C309)+2,FALSE),VLOOKUP(E309,Equivalencia!$5:$23,((MAX(Equivalencia!$3:$3)-YEAR(C309))*14)+MONTH(C309)+2,FALSE)))</f>
        <v>1</v>
      </c>
      <c r="J309" s="178">
        <f t="shared" si="51"/>
        <v>17674.472307692311</v>
      </c>
      <c r="K309" s="462">
        <f>IF(C309=0,0,VLOOKUP(YEAR(C309),INPC!$B$4:$O$29,MONTH(C309)+1))</f>
        <v>116.884</v>
      </c>
      <c r="L309" s="462">
        <f>IF(S309=0,0,VLOOKUP(YEAR(S309),INPC!$B$4:$O$29,MONTH(S309)+1))</f>
        <v>118.98099999999999</v>
      </c>
      <c r="M309" s="463">
        <f t="shared" si="44"/>
        <v>1.0179</v>
      </c>
      <c r="N309" s="465">
        <f t="shared" si="52"/>
        <v>17990.845362000004</v>
      </c>
      <c r="O309" s="179"/>
      <c r="P309" s="180">
        <v>54</v>
      </c>
      <c r="Q309" s="173" t="s">
        <v>583</v>
      </c>
      <c r="R309" s="173" t="s">
        <v>230</v>
      </c>
      <c r="S309" s="174">
        <v>44595</v>
      </c>
      <c r="T309" s="173" t="s">
        <v>33</v>
      </c>
      <c r="U309" s="182">
        <v>13130.76</v>
      </c>
      <c r="V309" s="177">
        <f>IF(U309=0,0,IF(T309="MXN",1/HLOOKUP(YEAR(S309)+(MONTH(S309)/100),TC!$5:$37,DAY(S309)+2,FALSE),VLOOKUP(T309,Equivalencia!$1:$23,((MAX(Equivalencia!$3:$3)-YEAR(S309))*14)+MONTH(S309)+2,FALSE)))</f>
        <v>1</v>
      </c>
      <c r="W309" s="178">
        <f t="shared" si="49"/>
        <v>13130.76</v>
      </c>
      <c r="X309" s="481">
        <f t="shared" si="45"/>
        <v>-4543.7123076923108</v>
      </c>
      <c r="Y309" s="179"/>
      <c r="Z309" s="466">
        <f t="shared" si="46"/>
        <v>17990.845362000004</v>
      </c>
      <c r="AA309" s="473">
        <f t="shared" si="47"/>
        <v>-4860.0853620000034</v>
      </c>
      <c r="AB309" s="339">
        <f t="shared" si="48"/>
        <v>-0.25707767839353202</v>
      </c>
    </row>
    <row r="310" spans="2:28" ht="20.100000000000001" customHeight="1">
      <c r="B310" s="172">
        <v>1427200</v>
      </c>
      <c r="C310" s="174">
        <v>44503</v>
      </c>
      <c r="D310" s="181" t="s">
        <v>266</v>
      </c>
      <c r="E310" s="173" t="s">
        <v>33</v>
      </c>
      <c r="F310" s="176">
        <v>9819.1512820512835</v>
      </c>
      <c r="G310" s="175">
        <f t="shared" si="50"/>
        <v>30</v>
      </c>
      <c r="H310" s="175">
        <f t="shared" si="43"/>
        <v>9819.1512820512835</v>
      </c>
      <c r="I310" s="177">
        <f>IF(G310=0,0,IF(E310="MXN",1/HLOOKUP(YEAR(C310)+(MONTH(C310)/100),TC!$5:$37,DAY(C310)+2,FALSE),VLOOKUP(E310,Equivalencia!$5:$23,((MAX(Equivalencia!$3:$3)-YEAR(C310))*14)+MONTH(C310)+2,FALSE)))</f>
        <v>1</v>
      </c>
      <c r="J310" s="178">
        <f t="shared" si="51"/>
        <v>9819.1512820512835</v>
      </c>
      <c r="K310" s="462">
        <f>IF(C310=0,0,VLOOKUP(YEAR(C310),INPC!$B$4:$O$29,MONTH(C310)+1))</f>
        <v>116.884</v>
      </c>
      <c r="L310" s="462">
        <f>IF(S310=0,0,VLOOKUP(YEAR(S310),INPC!$B$4:$O$29,MONTH(S310)+1))</f>
        <v>118.98099999999999</v>
      </c>
      <c r="M310" s="463">
        <f t="shared" si="44"/>
        <v>1.0179</v>
      </c>
      <c r="N310" s="465">
        <f t="shared" si="52"/>
        <v>9994.914090000002</v>
      </c>
      <c r="O310" s="179"/>
      <c r="P310" s="180">
        <v>30</v>
      </c>
      <c r="Q310" s="173" t="s">
        <v>583</v>
      </c>
      <c r="R310" s="173" t="s">
        <v>230</v>
      </c>
      <c r="S310" s="174">
        <v>44596</v>
      </c>
      <c r="T310" s="173" t="s">
        <v>33</v>
      </c>
      <c r="U310" s="182">
        <v>6956.21</v>
      </c>
      <c r="V310" s="177">
        <f>IF(U310=0,0,IF(T310="MXN",1/HLOOKUP(YEAR(S310)+(MONTH(S310)/100),TC!$5:$37,DAY(S310)+2,FALSE),VLOOKUP(T310,Equivalencia!$1:$23,((MAX(Equivalencia!$3:$3)-YEAR(S310))*14)+MONTH(S310)+2,FALSE)))</f>
        <v>1</v>
      </c>
      <c r="W310" s="178">
        <f t="shared" si="49"/>
        <v>6956.21</v>
      </c>
      <c r="X310" s="481">
        <f t="shared" si="45"/>
        <v>-2862.9412820512835</v>
      </c>
      <c r="Y310" s="179"/>
      <c r="Z310" s="466">
        <f t="shared" si="46"/>
        <v>9994.914090000002</v>
      </c>
      <c r="AA310" s="473">
        <f t="shared" si="47"/>
        <v>-3038.704090000002</v>
      </c>
      <c r="AB310" s="339">
        <f t="shared" si="48"/>
        <v>-0.29156708149354393</v>
      </c>
    </row>
    <row r="311" spans="2:28" ht="20.100000000000001" customHeight="1">
      <c r="B311" s="172">
        <v>1427200</v>
      </c>
      <c r="C311" s="174">
        <v>44503</v>
      </c>
      <c r="D311" s="181" t="s">
        <v>267</v>
      </c>
      <c r="E311" s="173" t="s">
        <v>33</v>
      </c>
      <c r="F311" s="176">
        <v>3312.2174311926601</v>
      </c>
      <c r="G311" s="175">
        <f t="shared" si="50"/>
        <v>10</v>
      </c>
      <c r="H311" s="175">
        <f t="shared" si="43"/>
        <v>3312.2174311926601</v>
      </c>
      <c r="I311" s="177">
        <f>IF(G311=0,0,IF(E311="MXN",1/HLOOKUP(YEAR(C311)+(MONTH(C311)/100),TC!$5:$37,DAY(C311)+2,FALSE),VLOOKUP(E311,Equivalencia!$5:$23,((MAX(Equivalencia!$3:$3)-YEAR(C311))*14)+MONTH(C311)+2,FALSE)))</f>
        <v>1</v>
      </c>
      <c r="J311" s="178">
        <f t="shared" si="51"/>
        <v>3312.2174311926601</v>
      </c>
      <c r="K311" s="462">
        <f>IF(C311=0,0,VLOOKUP(YEAR(C311),INPC!$B$4:$O$29,MONTH(C311)+1))</f>
        <v>116.884</v>
      </c>
      <c r="L311" s="462">
        <f>IF(S311=0,0,VLOOKUP(YEAR(S311),INPC!$B$4:$O$29,MONTH(S311)+1))</f>
        <v>118.002</v>
      </c>
      <c r="M311" s="463">
        <f t="shared" si="44"/>
        <v>1.0095000000000001</v>
      </c>
      <c r="N311" s="465">
        <f t="shared" si="52"/>
        <v>3343.6834967889904</v>
      </c>
      <c r="O311" s="179"/>
      <c r="P311" s="180">
        <v>10</v>
      </c>
      <c r="Q311" s="173" t="s">
        <v>583</v>
      </c>
      <c r="R311" s="173" t="s">
        <v>230</v>
      </c>
      <c r="S311" s="174">
        <v>44574</v>
      </c>
      <c r="T311" s="173" t="s">
        <v>33</v>
      </c>
      <c r="U311" s="182">
        <v>3173.49</v>
      </c>
      <c r="V311" s="177">
        <f>IF(U311=0,0,IF(T311="MXN",1/HLOOKUP(YEAR(S311)+(MONTH(S311)/100),TC!$5:$37,DAY(S311)+2,FALSE),VLOOKUP(T311,Equivalencia!$1:$23,((MAX(Equivalencia!$3:$3)-YEAR(S311))*14)+MONTH(S311)+2,FALSE)))</f>
        <v>1</v>
      </c>
      <c r="W311" s="178">
        <f t="shared" si="49"/>
        <v>3173.49</v>
      </c>
      <c r="X311" s="481">
        <f t="shared" si="45"/>
        <v>-138.72743119266033</v>
      </c>
      <c r="Y311" s="179"/>
      <c r="Z311" s="466">
        <f t="shared" si="46"/>
        <v>3343.6834967889904</v>
      </c>
      <c r="AA311" s="473">
        <f t="shared" si="47"/>
        <v>-170.19349678899061</v>
      </c>
      <c r="AB311" s="339">
        <f t="shared" si="48"/>
        <v>-4.1883552053739281E-2</v>
      </c>
    </row>
    <row r="312" spans="2:28" ht="20.100000000000001" customHeight="1">
      <c r="B312" s="172">
        <v>1427200</v>
      </c>
      <c r="C312" s="174">
        <v>44503</v>
      </c>
      <c r="D312" s="181" t="s">
        <v>267</v>
      </c>
      <c r="E312" s="173" t="s">
        <v>33</v>
      </c>
      <c r="F312" s="176">
        <v>2649.7739449541282</v>
      </c>
      <c r="G312" s="175">
        <f t="shared" si="50"/>
        <v>8</v>
      </c>
      <c r="H312" s="175">
        <f t="shared" si="43"/>
        <v>2649.7739449541282</v>
      </c>
      <c r="I312" s="177">
        <f>IF(G312=0,0,IF(E312="MXN",1/HLOOKUP(YEAR(C312)+(MONTH(C312)/100),TC!$5:$37,DAY(C312)+2,FALSE),VLOOKUP(E312,Equivalencia!$5:$23,((MAX(Equivalencia!$3:$3)-YEAR(C312))*14)+MONTH(C312)+2,FALSE)))</f>
        <v>1</v>
      </c>
      <c r="J312" s="178">
        <f t="shared" si="51"/>
        <v>2649.7739449541282</v>
      </c>
      <c r="K312" s="462">
        <f>IF(C312=0,0,VLOOKUP(YEAR(C312),INPC!$B$4:$O$29,MONTH(C312)+1))</f>
        <v>116.884</v>
      </c>
      <c r="L312" s="462">
        <f>IF(S312=0,0,VLOOKUP(YEAR(S312),INPC!$B$4:$O$29,MONTH(S312)+1))</f>
        <v>118.002</v>
      </c>
      <c r="M312" s="463">
        <f t="shared" si="44"/>
        <v>1.0095000000000001</v>
      </c>
      <c r="N312" s="465">
        <f t="shared" si="52"/>
        <v>2674.9467974311924</v>
      </c>
      <c r="O312" s="179"/>
      <c r="P312" s="180">
        <v>8</v>
      </c>
      <c r="Q312" s="173" t="s">
        <v>583</v>
      </c>
      <c r="R312" s="173" t="s">
        <v>230</v>
      </c>
      <c r="S312" s="174">
        <v>44580</v>
      </c>
      <c r="T312" s="173" t="s">
        <v>33</v>
      </c>
      <c r="U312" s="182">
        <v>2483.88</v>
      </c>
      <c r="V312" s="177">
        <f>IF(U312=0,0,IF(T312="MXN",1/HLOOKUP(YEAR(S312)+(MONTH(S312)/100),TC!$5:$37,DAY(S312)+2,FALSE),VLOOKUP(T312,Equivalencia!$1:$23,((MAX(Equivalencia!$3:$3)-YEAR(S312))*14)+MONTH(S312)+2,FALSE)))</f>
        <v>1</v>
      </c>
      <c r="W312" s="178">
        <f t="shared" si="49"/>
        <v>2483.88</v>
      </c>
      <c r="X312" s="481">
        <f t="shared" si="45"/>
        <v>-165.89394495412807</v>
      </c>
      <c r="Y312" s="179"/>
      <c r="Z312" s="466">
        <f t="shared" si="46"/>
        <v>2674.9467974311924</v>
      </c>
      <c r="AA312" s="473">
        <f t="shared" si="47"/>
        <v>-191.0667974311923</v>
      </c>
      <c r="AB312" s="339">
        <f t="shared" si="48"/>
        <v>-6.2606829261807051E-2</v>
      </c>
    </row>
    <row r="313" spans="2:28" ht="20.100000000000001" customHeight="1">
      <c r="B313" s="172">
        <v>1427200</v>
      </c>
      <c r="C313" s="174">
        <v>44503</v>
      </c>
      <c r="D313" s="181" t="s">
        <v>267</v>
      </c>
      <c r="E313" s="173" t="s">
        <v>33</v>
      </c>
      <c r="F313" s="176">
        <v>2980.9956880733944</v>
      </c>
      <c r="G313" s="175">
        <f t="shared" si="50"/>
        <v>9</v>
      </c>
      <c r="H313" s="175">
        <f t="shared" si="43"/>
        <v>2980.9956880733944</v>
      </c>
      <c r="I313" s="177">
        <f>IF(G313=0,0,IF(E313="MXN",1/HLOOKUP(YEAR(C313)+(MONTH(C313)/100),TC!$5:$37,DAY(C313)+2,FALSE),VLOOKUP(E313,Equivalencia!$5:$23,((MAX(Equivalencia!$3:$3)-YEAR(C313))*14)+MONTH(C313)+2,FALSE)))</f>
        <v>1</v>
      </c>
      <c r="J313" s="178">
        <f t="shared" si="51"/>
        <v>2980.9956880733944</v>
      </c>
      <c r="K313" s="462">
        <f>IF(C313=0,0,VLOOKUP(YEAR(C313),INPC!$B$4:$O$29,MONTH(C313)+1))</f>
        <v>116.884</v>
      </c>
      <c r="L313" s="462">
        <f>IF(S313=0,0,VLOOKUP(YEAR(S313),INPC!$B$4:$O$29,MONTH(S313)+1))</f>
        <v>121.02200000000001</v>
      </c>
      <c r="M313" s="463">
        <f t="shared" si="44"/>
        <v>1.0354000000000001</v>
      </c>
      <c r="N313" s="465">
        <f t="shared" si="52"/>
        <v>3086.5229354311928</v>
      </c>
      <c r="O313" s="179"/>
      <c r="P313" s="180">
        <v>9</v>
      </c>
      <c r="Q313" s="173" t="s">
        <v>583</v>
      </c>
      <c r="R313" s="173" t="s">
        <v>230</v>
      </c>
      <c r="S313" s="174">
        <v>44707</v>
      </c>
      <c r="T313" s="173" t="s">
        <v>33</v>
      </c>
      <c r="U313" s="182">
        <v>2387.54</v>
      </c>
      <c r="V313" s="177">
        <f>IF(U313=0,0,IF(T313="MXN",1/HLOOKUP(YEAR(S313)+(MONTH(S313)/100),TC!$5:$37,DAY(S313)+2,FALSE),VLOOKUP(T313,Equivalencia!$1:$23,((MAX(Equivalencia!$3:$3)-YEAR(S313))*14)+MONTH(S313)+2,FALSE)))</f>
        <v>1</v>
      </c>
      <c r="W313" s="178">
        <f t="shared" si="49"/>
        <v>2387.54</v>
      </c>
      <c r="X313" s="481">
        <f t="shared" si="45"/>
        <v>-593.45568807339441</v>
      </c>
      <c r="Y313" s="179"/>
      <c r="Z313" s="466">
        <f t="shared" si="46"/>
        <v>3086.5229354311928</v>
      </c>
      <c r="AA313" s="473">
        <f t="shared" si="47"/>
        <v>-698.9829354311928</v>
      </c>
      <c r="AB313" s="339">
        <f t="shared" si="48"/>
        <v>-0.19907968684682753</v>
      </c>
    </row>
    <row r="314" spans="2:28" ht="20.100000000000001" customHeight="1">
      <c r="B314" s="172"/>
      <c r="C314" s="174"/>
      <c r="D314" s="181"/>
      <c r="E314" s="173"/>
      <c r="F314" s="176"/>
      <c r="G314" s="175">
        <f t="shared" si="50"/>
        <v>0</v>
      </c>
      <c r="H314" s="175">
        <f t="shared" si="43"/>
        <v>0</v>
      </c>
      <c r="I314" s="177">
        <f>IF(G314=0,0,IF(E314="MXN",1/HLOOKUP(YEAR(C314)+(MONTH(C314)/100),TC!$5:$37,DAY(C314)+2,FALSE),VLOOKUP(E314,Equivalencia!$5:$23,((MAX(Equivalencia!$3:$3)-YEAR(C314))*14)+MONTH(C314)+2,FALSE)))</f>
        <v>0</v>
      </c>
      <c r="J314" s="178">
        <f t="shared" si="51"/>
        <v>0</v>
      </c>
      <c r="K314" s="462">
        <f>IF(C314=0,0,VLOOKUP(YEAR(C314),INPC!$B$4:$O$29,MONTH(C314)+1))</f>
        <v>0</v>
      </c>
      <c r="L314" s="462">
        <f>IF(S314=0,0,VLOOKUP(YEAR(S314),INPC!$B$4:$O$29,MONTH(S314)+1))</f>
        <v>0</v>
      </c>
      <c r="M314" s="463">
        <f t="shared" si="44"/>
        <v>0</v>
      </c>
      <c r="N314" s="465">
        <f t="shared" si="52"/>
        <v>0</v>
      </c>
      <c r="O314" s="179"/>
      <c r="P314" s="180"/>
      <c r="Q314" s="173"/>
      <c r="R314" s="173"/>
      <c r="S314" s="174"/>
      <c r="T314" s="173"/>
      <c r="U314" s="182"/>
      <c r="V314" s="177">
        <f>IF(U314=0,0,IF(T314="MXN",1/HLOOKUP(YEAR(S314)+(MONTH(S314)/100),TC!$5:$37,DAY(S314)+2,FALSE),VLOOKUP(T314,Equivalencia!$1:$23,((MAX(Equivalencia!$3:$3)-YEAR(S314))*14)+MONTH(S314)+2,FALSE)))</f>
        <v>0</v>
      </c>
      <c r="W314" s="178">
        <f t="shared" si="49"/>
        <v>0</v>
      </c>
      <c r="X314" s="481">
        <f t="shared" si="45"/>
        <v>0</v>
      </c>
      <c r="Y314" s="179"/>
      <c r="Z314" s="466">
        <f t="shared" si="46"/>
        <v>0</v>
      </c>
      <c r="AA314" s="473">
        <f t="shared" si="47"/>
        <v>0</v>
      </c>
      <c r="AB314" s="339">
        <f t="shared" si="48"/>
        <v>0</v>
      </c>
    </row>
    <row r="315" spans="2:28" ht="20.100000000000001" customHeight="1">
      <c r="B315" s="172"/>
      <c r="C315" s="174"/>
      <c r="D315" s="181"/>
      <c r="E315" s="173"/>
      <c r="F315" s="176"/>
      <c r="G315" s="175">
        <f t="shared" si="50"/>
        <v>0</v>
      </c>
      <c r="H315" s="175">
        <f t="shared" si="43"/>
        <v>0</v>
      </c>
      <c r="I315" s="177">
        <f>IF(G315=0,0,IF(E315="MXN",1/HLOOKUP(YEAR(C315)+(MONTH(C315)/100),TC!$5:$37,DAY(C315)+2,FALSE),VLOOKUP(E315,Equivalencia!$5:$23,((MAX(Equivalencia!$3:$3)-YEAR(C315))*14)+MONTH(C315)+2,FALSE)))</f>
        <v>0</v>
      </c>
      <c r="J315" s="178">
        <f t="shared" si="51"/>
        <v>0</v>
      </c>
      <c r="K315" s="462">
        <f>IF(C315=0,0,VLOOKUP(YEAR(C315),INPC!$B$4:$O$29,MONTH(C315)+1))</f>
        <v>0</v>
      </c>
      <c r="L315" s="462">
        <f>IF(S315=0,0,VLOOKUP(YEAR(S315),INPC!$B$4:$O$29,MONTH(S315)+1))</f>
        <v>0</v>
      </c>
      <c r="M315" s="463">
        <f t="shared" si="44"/>
        <v>0</v>
      </c>
      <c r="N315" s="465">
        <f t="shared" si="52"/>
        <v>0</v>
      </c>
      <c r="O315" s="179"/>
      <c r="P315" s="180"/>
      <c r="Q315" s="173"/>
      <c r="R315" s="173"/>
      <c r="S315" s="174"/>
      <c r="T315" s="173"/>
      <c r="U315" s="182"/>
      <c r="V315" s="177">
        <f>IF(U315=0,0,IF(T315="MXN",1/HLOOKUP(YEAR(S315)+(MONTH(S315)/100),TC!$5:$37,DAY(S315)+2,FALSE),VLOOKUP(T315,Equivalencia!$1:$23,((MAX(Equivalencia!$3:$3)-YEAR(S315))*14)+MONTH(S315)+2,FALSE)))</f>
        <v>0</v>
      </c>
      <c r="W315" s="178">
        <f t="shared" si="49"/>
        <v>0</v>
      </c>
      <c r="X315" s="481">
        <f t="shared" si="45"/>
        <v>0</v>
      </c>
      <c r="Y315" s="179"/>
      <c r="Z315" s="466">
        <f t="shared" si="46"/>
        <v>0</v>
      </c>
      <c r="AA315" s="473">
        <f t="shared" si="47"/>
        <v>0</v>
      </c>
      <c r="AB315" s="339">
        <f t="shared" si="48"/>
        <v>0</v>
      </c>
    </row>
    <row r="316" spans="2:28" ht="20.100000000000001" customHeight="1">
      <c r="B316" s="172"/>
      <c r="C316" s="174"/>
      <c r="D316" s="181"/>
      <c r="E316" s="173"/>
      <c r="F316" s="176"/>
      <c r="G316" s="175">
        <f t="shared" si="50"/>
        <v>0</v>
      </c>
      <c r="H316" s="175">
        <f t="shared" si="43"/>
        <v>0</v>
      </c>
      <c r="I316" s="177">
        <f>IF(G316=0,0,IF(E316="MXN",1/HLOOKUP(YEAR(C316)+(MONTH(C316)/100),TC!$5:$37,DAY(C316)+2,FALSE),VLOOKUP(E316,Equivalencia!$5:$23,((MAX(Equivalencia!$3:$3)-YEAR(C316))*14)+MONTH(C316)+2,FALSE)))</f>
        <v>0</v>
      </c>
      <c r="J316" s="178">
        <f t="shared" si="51"/>
        <v>0</v>
      </c>
      <c r="K316" s="462">
        <f>IF(C316=0,0,VLOOKUP(YEAR(C316),INPC!$B$4:$O$29,MONTH(C316)+1))</f>
        <v>0</v>
      </c>
      <c r="L316" s="462">
        <f>IF(S316=0,0,VLOOKUP(YEAR(S316),INPC!$B$4:$O$29,MONTH(S316)+1))</f>
        <v>0</v>
      </c>
      <c r="M316" s="463">
        <f t="shared" si="44"/>
        <v>0</v>
      </c>
      <c r="N316" s="465">
        <f t="shared" si="52"/>
        <v>0</v>
      </c>
      <c r="O316" s="179"/>
      <c r="P316" s="180"/>
      <c r="Q316" s="173"/>
      <c r="R316" s="173"/>
      <c r="S316" s="174"/>
      <c r="T316" s="173"/>
      <c r="U316" s="182"/>
      <c r="V316" s="177">
        <f>IF(U316=0,0,IF(T316="MXN",1/HLOOKUP(YEAR(S316)+(MONTH(S316)/100),TC!$5:$37,DAY(S316)+2,FALSE),VLOOKUP(T316,Equivalencia!$1:$23,((MAX(Equivalencia!$3:$3)-YEAR(S316))*14)+MONTH(S316)+2,FALSE)))</f>
        <v>0</v>
      </c>
      <c r="W316" s="178">
        <f t="shared" si="49"/>
        <v>0</v>
      </c>
      <c r="X316" s="481">
        <f t="shared" si="45"/>
        <v>0</v>
      </c>
      <c r="Y316" s="179"/>
      <c r="Z316" s="466">
        <f t="shared" si="46"/>
        <v>0</v>
      </c>
      <c r="AA316" s="473">
        <f t="shared" si="47"/>
        <v>0</v>
      </c>
      <c r="AB316" s="339">
        <f t="shared" si="48"/>
        <v>0</v>
      </c>
    </row>
    <row r="317" spans="2:28" ht="20.100000000000001" customHeight="1">
      <c r="B317" s="172">
        <v>1427200</v>
      </c>
      <c r="C317" s="174">
        <v>44581</v>
      </c>
      <c r="D317" s="181" t="s">
        <v>268</v>
      </c>
      <c r="E317" s="173" t="s">
        <v>33</v>
      </c>
      <c r="F317" s="176">
        <v>405.76</v>
      </c>
      <c r="G317" s="175">
        <f t="shared" si="50"/>
        <v>1</v>
      </c>
      <c r="H317" s="175">
        <f t="shared" si="43"/>
        <v>405.76</v>
      </c>
      <c r="I317" s="177">
        <f>IF(G317=0,0,IF(E317="MXN",1/HLOOKUP(YEAR(C317)+(MONTH(C317)/100),TC!$5:$37,DAY(C317)+2,FALSE),VLOOKUP(E317,Equivalencia!$5:$23,((MAX(Equivalencia!$3:$3)-YEAR(C317))*14)+MONTH(C317)+2,FALSE)))</f>
        <v>1</v>
      </c>
      <c r="J317" s="178">
        <f t="shared" si="51"/>
        <v>405.76</v>
      </c>
      <c r="K317" s="462">
        <f>IF(C317=0,0,VLOOKUP(YEAR(C317),INPC!$B$4:$O$29,MONTH(C317)+1))</f>
        <v>118.002</v>
      </c>
      <c r="L317" s="462">
        <f>IF(S317=0,0,VLOOKUP(YEAR(S317),INPC!$B$4:$O$29,MONTH(S317)+1))</f>
        <v>120.15900000000001</v>
      </c>
      <c r="M317" s="463">
        <f t="shared" si="44"/>
        <v>1.0182</v>
      </c>
      <c r="N317" s="465">
        <f t="shared" si="52"/>
        <v>413.14483200000001</v>
      </c>
      <c r="O317" s="179"/>
      <c r="P317" s="180">
        <v>1</v>
      </c>
      <c r="Q317" s="173" t="s">
        <v>583</v>
      </c>
      <c r="R317" s="173" t="s">
        <v>230</v>
      </c>
      <c r="S317" s="174">
        <v>44634</v>
      </c>
      <c r="T317" s="173" t="s">
        <v>33</v>
      </c>
      <c r="U317" s="182">
        <v>290.14999999999998</v>
      </c>
      <c r="V317" s="177">
        <f>IF(U317=0,0,IF(T317="MXN",1/HLOOKUP(YEAR(S317)+(MONTH(S317)/100),TC!$5:$37,DAY(S317)+2,FALSE),VLOOKUP(T317,Equivalencia!$1:$23,((MAX(Equivalencia!$3:$3)-YEAR(S317))*14)+MONTH(S317)+2,FALSE)))</f>
        <v>1</v>
      </c>
      <c r="W317" s="178">
        <f t="shared" si="49"/>
        <v>290.14999999999998</v>
      </c>
      <c r="X317" s="481">
        <f t="shared" si="45"/>
        <v>-115.61000000000001</v>
      </c>
      <c r="Y317" s="179"/>
      <c r="Z317" s="466">
        <f t="shared" si="46"/>
        <v>413.14483200000001</v>
      </c>
      <c r="AA317" s="473">
        <f t="shared" si="47"/>
        <v>-122.99483200000003</v>
      </c>
      <c r="AB317" s="339">
        <f t="shared" si="48"/>
        <v>-0.28492212145110418</v>
      </c>
    </row>
    <row r="318" spans="2:28" ht="20.100000000000001" customHeight="1">
      <c r="B318" s="172">
        <v>1427200</v>
      </c>
      <c r="C318" s="174">
        <v>44581</v>
      </c>
      <c r="D318" s="181" t="s">
        <v>268</v>
      </c>
      <c r="E318" s="173" t="s">
        <v>33</v>
      </c>
      <c r="F318" s="176">
        <v>389.13</v>
      </c>
      <c r="G318" s="175">
        <f t="shared" si="50"/>
        <v>1</v>
      </c>
      <c r="H318" s="175">
        <f t="shared" si="43"/>
        <v>389.13</v>
      </c>
      <c r="I318" s="177">
        <f>IF(G318=0,0,IF(E318="MXN",1/HLOOKUP(YEAR(C318)+(MONTH(C318)/100),TC!$5:$37,DAY(C318)+2,FALSE),VLOOKUP(E318,Equivalencia!$5:$23,((MAX(Equivalencia!$3:$3)-YEAR(C318))*14)+MONTH(C318)+2,FALSE)))</f>
        <v>1</v>
      </c>
      <c r="J318" s="178">
        <f t="shared" si="51"/>
        <v>389.13</v>
      </c>
      <c r="K318" s="462">
        <f>IF(C318=0,0,VLOOKUP(YEAR(C318),INPC!$B$4:$O$29,MONTH(C318)+1))</f>
        <v>118.002</v>
      </c>
      <c r="L318" s="462">
        <f>IF(S318=0,0,VLOOKUP(YEAR(S318),INPC!$B$4:$O$29,MONTH(S318)+1))</f>
        <v>120.15900000000001</v>
      </c>
      <c r="M318" s="463">
        <f t="shared" si="44"/>
        <v>1.0182</v>
      </c>
      <c r="N318" s="465">
        <f t="shared" si="52"/>
        <v>396.21216599999997</v>
      </c>
      <c r="O318" s="179"/>
      <c r="P318" s="180">
        <v>1</v>
      </c>
      <c r="Q318" s="173" t="s">
        <v>583</v>
      </c>
      <c r="R318" s="173" t="s">
        <v>230</v>
      </c>
      <c r="S318" s="174">
        <v>44634</v>
      </c>
      <c r="T318" s="173" t="s">
        <v>33</v>
      </c>
      <c r="U318" s="182">
        <v>287.685</v>
      </c>
      <c r="V318" s="177">
        <f>IF(U318=0,0,IF(T318="MXN",1/HLOOKUP(YEAR(S318)+(MONTH(S318)/100),TC!$5:$37,DAY(S318)+2,FALSE),VLOOKUP(T318,Equivalencia!$1:$23,((MAX(Equivalencia!$3:$3)-YEAR(S318))*14)+MONTH(S318)+2,FALSE)))</f>
        <v>1</v>
      </c>
      <c r="W318" s="178">
        <f t="shared" si="49"/>
        <v>287.685</v>
      </c>
      <c r="X318" s="481">
        <f t="shared" si="45"/>
        <v>-101.44499999999999</v>
      </c>
      <c r="Y318" s="179"/>
      <c r="Z318" s="466">
        <f t="shared" si="46"/>
        <v>396.21216599999997</v>
      </c>
      <c r="AA318" s="473">
        <f t="shared" si="47"/>
        <v>-108.52716599999997</v>
      </c>
      <c r="AB318" s="339">
        <f t="shared" si="48"/>
        <v>-0.2606969393261892</v>
      </c>
    </row>
    <row r="319" spans="2:28" ht="20.100000000000001" customHeight="1">
      <c r="B319" s="172">
        <v>1427200</v>
      </c>
      <c r="C319" s="174">
        <v>44581</v>
      </c>
      <c r="D319" s="181" t="s">
        <v>268</v>
      </c>
      <c r="E319" s="173" t="s">
        <v>33</v>
      </c>
      <c r="F319" s="176">
        <v>389.43</v>
      </c>
      <c r="G319" s="175">
        <f t="shared" si="50"/>
        <v>1</v>
      </c>
      <c r="H319" s="175">
        <f t="shared" si="43"/>
        <v>389.43</v>
      </c>
      <c r="I319" s="177">
        <f>IF(G319=0,0,IF(E319="MXN",1/HLOOKUP(YEAR(C319)+(MONTH(C319)/100),TC!$5:$37,DAY(C319)+2,FALSE),VLOOKUP(E319,Equivalencia!$5:$23,((MAX(Equivalencia!$3:$3)-YEAR(C319))*14)+MONTH(C319)+2,FALSE)))</f>
        <v>1</v>
      </c>
      <c r="J319" s="178">
        <f t="shared" si="51"/>
        <v>389.43</v>
      </c>
      <c r="K319" s="462">
        <f>IF(C319=0,0,VLOOKUP(YEAR(C319),INPC!$B$4:$O$29,MONTH(C319)+1))</f>
        <v>118.002</v>
      </c>
      <c r="L319" s="462">
        <f>IF(S319=0,0,VLOOKUP(YEAR(S319),INPC!$B$4:$O$29,MONTH(S319)+1))</f>
        <v>120.15900000000001</v>
      </c>
      <c r="M319" s="463">
        <f t="shared" si="44"/>
        <v>1.0182</v>
      </c>
      <c r="N319" s="465">
        <f t="shared" si="52"/>
        <v>396.51762600000001</v>
      </c>
      <c r="O319" s="179"/>
      <c r="P319" s="180">
        <v>1</v>
      </c>
      <c r="Q319" s="173" t="s">
        <v>583</v>
      </c>
      <c r="R319" s="173" t="s">
        <v>230</v>
      </c>
      <c r="S319" s="174">
        <v>44634</v>
      </c>
      <c r="T319" s="173" t="s">
        <v>33</v>
      </c>
      <c r="U319" s="182">
        <v>287.685</v>
      </c>
      <c r="V319" s="177">
        <f>IF(U319=0,0,IF(T319="MXN",1/HLOOKUP(YEAR(S319)+(MONTH(S319)/100),TC!$5:$37,DAY(S319)+2,FALSE),VLOOKUP(T319,Equivalencia!$1:$23,((MAX(Equivalencia!$3:$3)-YEAR(S319))*14)+MONTH(S319)+2,FALSE)))</f>
        <v>1</v>
      </c>
      <c r="W319" s="178">
        <f t="shared" si="49"/>
        <v>287.685</v>
      </c>
      <c r="X319" s="481">
        <f t="shared" si="45"/>
        <v>-101.745</v>
      </c>
      <c r="Y319" s="179"/>
      <c r="Z319" s="466">
        <f t="shared" si="46"/>
        <v>396.51762600000001</v>
      </c>
      <c r="AA319" s="473">
        <f t="shared" si="47"/>
        <v>-108.832626</v>
      </c>
      <c r="AB319" s="339">
        <f t="shared" si="48"/>
        <v>-0.26126646637393114</v>
      </c>
    </row>
    <row r="320" spans="2:28" ht="20.100000000000001" customHeight="1">
      <c r="B320" s="172">
        <v>1427200</v>
      </c>
      <c r="C320" s="174">
        <v>44581</v>
      </c>
      <c r="D320" s="181" t="s">
        <v>268</v>
      </c>
      <c r="E320" s="173" t="s">
        <v>33</v>
      </c>
      <c r="F320" s="176">
        <v>1185.96</v>
      </c>
      <c r="G320" s="175">
        <f t="shared" si="50"/>
        <v>3</v>
      </c>
      <c r="H320" s="175">
        <f t="shared" si="43"/>
        <v>1185.96</v>
      </c>
      <c r="I320" s="177">
        <f>IF(G320=0,0,IF(E320="MXN",1/HLOOKUP(YEAR(C320)+(MONTH(C320)/100),TC!$5:$37,DAY(C320)+2,FALSE),VLOOKUP(E320,Equivalencia!$5:$23,((MAX(Equivalencia!$3:$3)-YEAR(C320))*14)+MONTH(C320)+2,FALSE)))</f>
        <v>1</v>
      </c>
      <c r="J320" s="178">
        <f t="shared" si="51"/>
        <v>1185.96</v>
      </c>
      <c r="K320" s="462">
        <f>IF(C320=0,0,VLOOKUP(YEAR(C320),INPC!$B$4:$O$29,MONTH(C320)+1))</f>
        <v>118.002</v>
      </c>
      <c r="L320" s="462">
        <f>IF(S320=0,0,VLOOKUP(YEAR(S320),INPC!$B$4:$O$29,MONTH(S320)+1))</f>
        <v>120.15900000000001</v>
      </c>
      <c r="M320" s="463">
        <f t="shared" si="44"/>
        <v>1.0182</v>
      </c>
      <c r="N320" s="465">
        <f t="shared" si="52"/>
        <v>1207.544472</v>
      </c>
      <c r="O320" s="179"/>
      <c r="P320" s="180">
        <v>3</v>
      </c>
      <c r="Q320" s="173" t="s">
        <v>583</v>
      </c>
      <c r="R320" s="173" t="s">
        <v>230</v>
      </c>
      <c r="S320" s="174">
        <v>44634</v>
      </c>
      <c r="T320" s="173" t="s">
        <v>33</v>
      </c>
      <c r="U320" s="182">
        <v>896.55</v>
      </c>
      <c r="V320" s="177">
        <f>IF(U320=0,0,IF(T320="MXN",1/HLOOKUP(YEAR(S320)+(MONTH(S320)/100),TC!$5:$37,DAY(S320)+2,FALSE),VLOOKUP(T320,Equivalencia!$1:$23,((MAX(Equivalencia!$3:$3)-YEAR(S320))*14)+MONTH(S320)+2,FALSE)))</f>
        <v>1</v>
      </c>
      <c r="W320" s="178">
        <f t="shared" si="49"/>
        <v>896.55</v>
      </c>
      <c r="X320" s="481">
        <f t="shared" si="45"/>
        <v>-289.41000000000008</v>
      </c>
      <c r="Y320" s="179"/>
      <c r="Z320" s="466">
        <f t="shared" si="46"/>
        <v>1207.544472</v>
      </c>
      <c r="AA320" s="473">
        <f t="shared" si="47"/>
        <v>-310.99447200000009</v>
      </c>
      <c r="AB320" s="339">
        <f t="shared" si="48"/>
        <v>-0.2440301527876152</v>
      </c>
    </row>
    <row r="321" spans="1:28" ht="20.100000000000001" customHeight="1">
      <c r="B321" s="172">
        <v>1427200</v>
      </c>
      <c r="C321" s="174">
        <v>44503</v>
      </c>
      <c r="D321" s="181" t="s">
        <v>269</v>
      </c>
      <c r="E321" s="173" t="s">
        <v>33</v>
      </c>
      <c r="F321" s="176">
        <v>3161.4759493670881</v>
      </c>
      <c r="G321" s="175">
        <f t="shared" si="50"/>
        <v>12</v>
      </c>
      <c r="H321" s="175">
        <f t="shared" si="43"/>
        <v>3161.4759493670881</v>
      </c>
      <c r="I321" s="177">
        <f>IF(G321=0,0,IF(E321="MXN",1/HLOOKUP(YEAR(C321)+(MONTH(C321)/100),TC!$5:$37,DAY(C321)+2,FALSE),VLOOKUP(E321,Equivalencia!$5:$23,((MAX(Equivalencia!$3:$3)-YEAR(C321))*14)+MONTH(C321)+2,FALSE)))</f>
        <v>1</v>
      </c>
      <c r="J321" s="178">
        <f t="shared" si="51"/>
        <v>3161.4759493670881</v>
      </c>
      <c r="K321" s="462">
        <f>IF(C321=0,0,VLOOKUP(YEAR(C321),INPC!$B$4:$O$29,MONTH(C321)+1))</f>
        <v>116.884</v>
      </c>
      <c r="L321" s="462">
        <f>IF(S321=0,0,VLOOKUP(YEAR(S321),INPC!$B$4:$O$29,MONTH(S321)+1))</f>
        <v>120.15900000000001</v>
      </c>
      <c r="M321" s="463">
        <f t="shared" si="44"/>
        <v>1.028</v>
      </c>
      <c r="N321" s="465">
        <f t="shared" si="52"/>
        <v>3249.9972759493667</v>
      </c>
      <c r="O321" s="179"/>
      <c r="P321" s="180">
        <v>12</v>
      </c>
      <c r="Q321" s="173" t="s">
        <v>583</v>
      </c>
      <c r="R321" s="173" t="s">
        <v>230</v>
      </c>
      <c r="S321" s="174">
        <v>44644</v>
      </c>
      <c r="T321" s="173" t="s">
        <v>33</v>
      </c>
      <c r="U321" s="182">
        <v>3345.96</v>
      </c>
      <c r="V321" s="177">
        <f>IF(U321=0,0,IF(T321="MXN",1/HLOOKUP(YEAR(S321)+(MONTH(S321)/100),TC!$5:$37,DAY(S321)+2,FALSE),VLOOKUP(T321,Equivalencia!$1:$23,((MAX(Equivalencia!$3:$3)-YEAR(S321))*14)+MONTH(S321)+2,FALSE)))</f>
        <v>1</v>
      </c>
      <c r="W321" s="178">
        <f t="shared" si="49"/>
        <v>3345.96</v>
      </c>
      <c r="X321" s="481">
        <f t="shared" si="45"/>
        <v>184.48405063291193</v>
      </c>
      <c r="Y321" s="179"/>
      <c r="Z321" s="466">
        <f t="shared" si="46"/>
        <v>3249.9972759493667</v>
      </c>
      <c r="AA321" s="473">
        <f t="shared" si="47"/>
        <v>95.962724050633369</v>
      </c>
      <c r="AB321" s="339">
        <f t="shared" si="48"/>
        <v>5.8353773233620343E-2</v>
      </c>
    </row>
    <row r="322" spans="1:28" ht="20.100000000000001" customHeight="1">
      <c r="B322" s="172">
        <v>1427200</v>
      </c>
      <c r="C322" s="174">
        <v>44503</v>
      </c>
      <c r="D322" s="181" t="s">
        <v>269</v>
      </c>
      <c r="E322" s="173" t="s">
        <v>33</v>
      </c>
      <c r="F322" s="176">
        <v>2898.0196202531642</v>
      </c>
      <c r="G322" s="175">
        <f t="shared" si="50"/>
        <v>11</v>
      </c>
      <c r="H322" s="175">
        <f t="shared" ref="H322:H385" si="53">IF(F322=0,0,(F322/G322)*P322)</f>
        <v>2898.0196202531642</v>
      </c>
      <c r="I322" s="177">
        <f>IF(G322=0,0,IF(E322="MXN",1/HLOOKUP(YEAR(C322)+(MONTH(C322)/100),TC!$5:$37,DAY(C322)+2,FALSE),VLOOKUP(E322,Equivalencia!$5:$23,((MAX(Equivalencia!$3:$3)-YEAR(C322))*14)+MONTH(C322)+2,FALSE)))</f>
        <v>1</v>
      </c>
      <c r="J322" s="178">
        <f t="shared" si="51"/>
        <v>2898.0196202531642</v>
      </c>
      <c r="K322" s="462">
        <f>IF(C322=0,0,VLOOKUP(YEAR(C322),INPC!$B$4:$O$29,MONTH(C322)+1))</f>
        <v>116.884</v>
      </c>
      <c r="L322" s="462">
        <f>IF(S322=0,0,VLOOKUP(YEAR(S322),INPC!$B$4:$O$29,MONTH(S322)+1))</f>
        <v>120.15900000000001</v>
      </c>
      <c r="M322" s="463">
        <f t="shared" ref="M322:M385" si="54">IF(H322=0,0,IF(R322=$AF$4,1,IF(TRUNC(L322/K322,4)&gt;=1,TRUNC(L322/K322,4),1)))</f>
        <v>1.028</v>
      </c>
      <c r="N322" s="465">
        <f t="shared" si="52"/>
        <v>2979.1641696202528</v>
      </c>
      <c r="O322" s="179"/>
      <c r="P322" s="180">
        <v>11</v>
      </c>
      <c r="Q322" s="173" t="s">
        <v>583</v>
      </c>
      <c r="R322" s="173" t="s">
        <v>230</v>
      </c>
      <c r="S322" s="174">
        <v>44645</v>
      </c>
      <c r="T322" s="173" t="s">
        <v>33</v>
      </c>
      <c r="U322" s="182">
        <v>3007.67</v>
      </c>
      <c r="V322" s="177">
        <f>IF(U322=0,0,IF(T322="MXN",1/HLOOKUP(YEAR(S322)+(MONTH(S322)/100),TC!$5:$37,DAY(S322)+2,FALSE),VLOOKUP(T322,Equivalencia!$1:$23,((MAX(Equivalencia!$3:$3)-YEAR(S322))*14)+MONTH(S322)+2,FALSE)))</f>
        <v>1</v>
      </c>
      <c r="W322" s="178">
        <f t="shared" si="49"/>
        <v>3007.67</v>
      </c>
      <c r="X322" s="481">
        <f t="shared" ref="X322:X385" si="55">+W322-J322</f>
        <v>109.65037974683582</v>
      </c>
      <c r="Y322" s="179"/>
      <c r="Z322" s="466">
        <f t="shared" ref="Z322:Z385" si="56">N322</f>
        <v>2979.1641696202528</v>
      </c>
      <c r="AA322" s="473">
        <f t="shared" ref="AA322:AA385" si="57">+W322-Z322</f>
        <v>28.505830379747295</v>
      </c>
      <c r="AB322" s="339">
        <f t="shared" ref="AB322:AB385" si="58">+IF(P322=0,0,(U322/F322)-1)</f>
        <v>3.7836313798750965E-2</v>
      </c>
    </row>
    <row r="323" spans="1:28" ht="20.100000000000001" customHeight="1">
      <c r="B323" s="172">
        <v>1427200</v>
      </c>
      <c r="C323" s="174">
        <v>44503</v>
      </c>
      <c r="D323" s="181" t="s">
        <v>269</v>
      </c>
      <c r="E323" s="173" t="s">
        <v>33</v>
      </c>
      <c r="F323" s="176">
        <v>2371.1069620253161</v>
      </c>
      <c r="G323" s="175">
        <f t="shared" si="50"/>
        <v>9</v>
      </c>
      <c r="H323" s="175">
        <f t="shared" si="53"/>
        <v>2371.1069620253161</v>
      </c>
      <c r="I323" s="177">
        <f>IF(G323=0,0,IF(E323="MXN",1/HLOOKUP(YEAR(C323)+(MONTH(C323)/100),TC!$5:$37,DAY(C323)+2,FALSE),VLOOKUP(E323,Equivalencia!$5:$23,((MAX(Equivalencia!$3:$3)-YEAR(C323))*14)+MONTH(C323)+2,FALSE)))</f>
        <v>1</v>
      </c>
      <c r="J323" s="178">
        <f t="shared" si="51"/>
        <v>2371.1069620253161</v>
      </c>
      <c r="K323" s="462">
        <f>IF(C323=0,0,VLOOKUP(YEAR(C323),INPC!$B$4:$O$29,MONTH(C323)+1))</f>
        <v>116.884</v>
      </c>
      <c r="L323" s="462">
        <f>IF(S323=0,0,VLOOKUP(YEAR(S323),INPC!$B$4:$O$29,MONTH(S323)+1))</f>
        <v>120.809</v>
      </c>
      <c r="M323" s="463">
        <f t="shared" si="54"/>
        <v>1.0335000000000001</v>
      </c>
      <c r="N323" s="465">
        <f t="shared" si="52"/>
        <v>2450.5390452531642</v>
      </c>
      <c r="O323" s="179"/>
      <c r="P323" s="180">
        <v>9</v>
      </c>
      <c r="Q323" s="173" t="s">
        <v>583</v>
      </c>
      <c r="R323" s="173" t="s">
        <v>230</v>
      </c>
      <c r="S323" s="174">
        <v>44652</v>
      </c>
      <c r="T323" s="173" t="s">
        <v>33</v>
      </c>
      <c r="U323" s="182">
        <v>2387.7600000000002</v>
      </c>
      <c r="V323" s="177">
        <f>IF(U323=0,0,IF(T323="MXN",1/HLOOKUP(YEAR(S323)+(MONTH(S323)/100),TC!$5:$37,DAY(S323)+2,FALSE),VLOOKUP(T323,Equivalencia!$1:$23,((MAX(Equivalencia!$3:$3)-YEAR(S323))*14)+MONTH(S323)+2,FALSE)))</f>
        <v>1</v>
      </c>
      <c r="W323" s="178">
        <f t="shared" ref="W323:W386" si="59">+V323*U323</f>
        <v>2387.7600000000002</v>
      </c>
      <c r="X323" s="481">
        <f t="shared" si="55"/>
        <v>16.653037974684139</v>
      </c>
      <c r="Y323" s="179"/>
      <c r="Z323" s="466">
        <f t="shared" si="56"/>
        <v>2450.5390452531642</v>
      </c>
      <c r="AA323" s="473">
        <f t="shared" si="57"/>
        <v>-62.779045253163986</v>
      </c>
      <c r="AB323" s="339">
        <f t="shared" si="58"/>
        <v>7.0233179023100334E-3</v>
      </c>
    </row>
    <row r="324" spans="1:28" ht="20.100000000000001" customHeight="1">
      <c r="B324" s="172">
        <v>1427200</v>
      </c>
      <c r="C324" s="174">
        <v>44503</v>
      </c>
      <c r="D324" s="181" t="s">
        <v>270</v>
      </c>
      <c r="E324" s="173" t="s">
        <v>33</v>
      </c>
      <c r="F324" s="176">
        <v>2076.1114285714289</v>
      </c>
      <c r="G324" s="175">
        <f t="shared" si="50"/>
        <v>4</v>
      </c>
      <c r="H324" s="175">
        <f t="shared" si="53"/>
        <v>2076.1114285714289</v>
      </c>
      <c r="I324" s="177">
        <f>IF(G324=0,0,IF(E324="MXN",1/HLOOKUP(YEAR(C324)+(MONTH(C324)/100),TC!$5:$37,DAY(C324)+2,FALSE),VLOOKUP(E324,Equivalencia!$5:$23,((MAX(Equivalencia!$3:$3)-YEAR(C324))*14)+MONTH(C324)+2,FALSE)))</f>
        <v>1</v>
      </c>
      <c r="J324" s="178">
        <f t="shared" si="51"/>
        <v>2076.1114285714289</v>
      </c>
      <c r="K324" s="462">
        <f>IF(C324=0,0,VLOOKUP(YEAR(C324),INPC!$B$4:$O$29,MONTH(C324)+1))</f>
        <v>116.884</v>
      </c>
      <c r="L324" s="462">
        <f>IF(S324=0,0,VLOOKUP(YEAR(S324),INPC!$B$4:$O$29,MONTH(S324)+1))</f>
        <v>122.044</v>
      </c>
      <c r="M324" s="463">
        <f t="shared" si="54"/>
        <v>1.0441</v>
      </c>
      <c r="N324" s="465">
        <f t="shared" si="52"/>
        <v>2167.6679425714287</v>
      </c>
      <c r="O324" s="179"/>
      <c r="P324" s="180">
        <v>4</v>
      </c>
      <c r="Q324" s="173" t="s">
        <v>583</v>
      </c>
      <c r="R324" s="173" t="s">
        <v>230</v>
      </c>
      <c r="S324" s="174">
        <v>44739</v>
      </c>
      <c r="T324" s="173" t="s">
        <v>33</v>
      </c>
      <c r="U324" s="182">
        <v>1205.8800000000001</v>
      </c>
      <c r="V324" s="177">
        <f>IF(U324=0,0,IF(T324="MXN",1/HLOOKUP(YEAR(S324)+(MONTH(S324)/100),TC!$5:$37,DAY(S324)+2,FALSE),VLOOKUP(T324,Equivalencia!$1:$23,((MAX(Equivalencia!$3:$3)-YEAR(S324))*14)+MONTH(S324)+2,FALSE)))</f>
        <v>1</v>
      </c>
      <c r="W324" s="178">
        <f t="shared" si="59"/>
        <v>1205.8800000000001</v>
      </c>
      <c r="X324" s="481">
        <f t="shared" si="55"/>
        <v>-870.23142857142875</v>
      </c>
      <c r="Y324" s="179"/>
      <c r="Z324" s="466">
        <f t="shared" si="56"/>
        <v>2167.6679425714287</v>
      </c>
      <c r="AA324" s="473">
        <f t="shared" si="57"/>
        <v>-961.78794257142863</v>
      </c>
      <c r="AB324" s="339">
        <f t="shared" si="58"/>
        <v>-0.41916412413867132</v>
      </c>
    </row>
    <row r="325" spans="1:28" ht="20.100000000000001" customHeight="1">
      <c r="B325" s="172">
        <v>1427200</v>
      </c>
      <c r="C325" s="174">
        <v>44503</v>
      </c>
      <c r="D325" s="181" t="s">
        <v>271</v>
      </c>
      <c r="E325" s="173" t="s">
        <v>33</v>
      </c>
      <c r="F325" s="176">
        <v>3010.4770270270269</v>
      </c>
      <c r="G325" s="175">
        <f t="shared" si="50"/>
        <v>10</v>
      </c>
      <c r="H325" s="175">
        <f t="shared" si="53"/>
        <v>3010.4770270270269</v>
      </c>
      <c r="I325" s="177">
        <f>IF(G325=0,0,IF(E325="MXN",1/HLOOKUP(YEAR(C325)+(MONTH(C325)/100),TC!$5:$37,DAY(C325)+2,FALSE),VLOOKUP(E325,Equivalencia!$5:$23,((MAX(Equivalencia!$3:$3)-YEAR(C325))*14)+MONTH(C325)+2,FALSE)))</f>
        <v>1</v>
      </c>
      <c r="J325" s="178">
        <f t="shared" si="51"/>
        <v>3010.4770270270269</v>
      </c>
      <c r="K325" s="462">
        <f>IF(C325=0,0,VLOOKUP(YEAR(C325),INPC!$B$4:$O$29,MONTH(C325)+1))</f>
        <v>116.884</v>
      </c>
      <c r="L325" s="462">
        <f>IF(S325=0,0,VLOOKUP(YEAR(S325),INPC!$B$4:$O$29,MONTH(S325)+1))</f>
        <v>122.044</v>
      </c>
      <c r="M325" s="463">
        <f t="shared" si="54"/>
        <v>1.0441</v>
      </c>
      <c r="N325" s="465">
        <f t="shared" si="52"/>
        <v>3143.2390639189189</v>
      </c>
      <c r="O325" s="179"/>
      <c r="P325" s="180">
        <v>10</v>
      </c>
      <c r="Q325" s="173" t="s">
        <v>583</v>
      </c>
      <c r="R325" s="173" t="s">
        <v>230</v>
      </c>
      <c r="S325" s="174">
        <v>44713</v>
      </c>
      <c r="T325" s="173" t="s">
        <v>33</v>
      </c>
      <c r="U325" s="182">
        <v>1755.31</v>
      </c>
      <c r="V325" s="177">
        <f>IF(U325=0,0,IF(T325="MXN",1/HLOOKUP(YEAR(S325)+(MONTH(S325)/100),TC!$5:$37,DAY(S325)+2,FALSE),VLOOKUP(T325,Equivalencia!$1:$23,((MAX(Equivalencia!$3:$3)-YEAR(S325))*14)+MONTH(S325)+2,FALSE)))</f>
        <v>1</v>
      </c>
      <c r="W325" s="178">
        <f t="shared" si="59"/>
        <v>1755.31</v>
      </c>
      <c r="X325" s="481">
        <f t="shared" si="55"/>
        <v>-1255.167027027027</v>
      </c>
      <c r="Y325" s="179"/>
      <c r="Z325" s="466">
        <f t="shared" si="56"/>
        <v>3143.2390639189189</v>
      </c>
      <c r="AA325" s="473">
        <f t="shared" si="57"/>
        <v>-1387.9290639189189</v>
      </c>
      <c r="AB325" s="339">
        <f t="shared" si="58"/>
        <v>-0.41693293646108887</v>
      </c>
    </row>
    <row r="326" spans="1:28" ht="20.100000000000001" customHeight="1">
      <c r="B326" s="172">
        <v>1427200</v>
      </c>
      <c r="C326" s="174">
        <v>44503</v>
      </c>
      <c r="D326" s="181" t="s">
        <v>272</v>
      </c>
      <c r="E326" s="173" t="s">
        <v>33</v>
      </c>
      <c r="F326" s="176">
        <v>2444.1228000000001</v>
      </c>
      <c r="G326" s="175">
        <f t="shared" ref="G326:G389" si="60">+P326</f>
        <v>7</v>
      </c>
      <c r="H326" s="175">
        <f t="shared" si="53"/>
        <v>2444.1228000000001</v>
      </c>
      <c r="I326" s="177">
        <f>IF(G326=0,0,IF(E326="MXN",1/HLOOKUP(YEAR(C326)+(MONTH(C326)/100),TC!$5:$37,DAY(C326)+2,FALSE),VLOOKUP(E326,Equivalencia!$5:$23,((MAX(Equivalencia!$3:$3)-YEAR(C326))*14)+MONTH(C326)+2,FALSE)))</f>
        <v>1</v>
      </c>
      <c r="J326" s="178">
        <f t="shared" ref="J326:J389" si="61">+H326*I326</f>
        <v>2444.1228000000001</v>
      </c>
      <c r="K326" s="462">
        <f>IF(C326=0,0,VLOOKUP(YEAR(C326),INPC!$B$4:$O$29,MONTH(C326)+1))</f>
        <v>116.884</v>
      </c>
      <c r="L326" s="462">
        <f>IF(S326=0,0,VLOOKUP(YEAR(S326),INPC!$B$4:$O$29,MONTH(S326)+1))</f>
        <v>120.15900000000001</v>
      </c>
      <c r="M326" s="463">
        <f t="shared" si="54"/>
        <v>1.028</v>
      </c>
      <c r="N326" s="465">
        <f t="shared" ref="N326:N389" si="62">+M326*J326</f>
        <v>2512.5582383999999</v>
      </c>
      <c r="O326" s="179"/>
      <c r="P326" s="180">
        <v>7</v>
      </c>
      <c r="Q326" s="173" t="s">
        <v>583</v>
      </c>
      <c r="R326" s="173" t="s">
        <v>230</v>
      </c>
      <c r="S326" s="174">
        <v>44627</v>
      </c>
      <c r="T326" s="173" t="s">
        <v>33</v>
      </c>
      <c r="U326" s="182">
        <v>2129.61</v>
      </c>
      <c r="V326" s="177">
        <f>IF(U326=0,0,IF(T326="MXN",1/HLOOKUP(YEAR(S326)+(MONTH(S326)/100),TC!$5:$37,DAY(S326)+2,FALSE),VLOOKUP(T326,Equivalencia!$1:$23,((MAX(Equivalencia!$3:$3)-YEAR(S326))*14)+MONTH(S326)+2,FALSE)))</f>
        <v>1</v>
      </c>
      <c r="W326" s="178">
        <f t="shared" si="59"/>
        <v>2129.61</v>
      </c>
      <c r="X326" s="481">
        <f t="shared" si="55"/>
        <v>-314.51279999999997</v>
      </c>
      <c r="Y326" s="179"/>
      <c r="Z326" s="466">
        <f t="shared" si="56"/>
        <v>2512.5582383999999</v>
      </c>
      <c r="AA326" s="473">
        <f t="shared" si="57"/>
        <v>-382.94823839999981</v>
      </c>
      <c r="AB326" s="339">
        <f t="shared" si="58"/>
        <v>-0.1286812593868033</v>
      </c>
    </row>
    <row r="327" spans="1:28" ht="20.100000000000001" customHeight="1">
      <c r="B327" s="172"/>
      <c r="C327" s="174"/>
      <c r="D327" s="181"/>
      <c r="E327" s="173"/>
      <c r="F327" s="176"/>
      <c r="G327" s="175">
        <f t="shared" si="60"/>
        <v>0</v>
      </c>
      <c r="H327" s="175">
        <f t="shared" si="53"/>
        <v>0</v>
      </c>
      <c r="I327" s="177">
        <f>IF(G327=0,0,IF(E327="MXN",1/HLOOKUP(YEAR(C327)+(MONTH(C327)/100),TC!$5:$37,DAY(C327)+2,FALSE),VLOOKUP(E327,Equivalencia!$5:$23,((MAX(Equivalencia!$3:$3)-YEAR(C327))*14)+MONTH(C327)+2,FALSE)))</f>
        <v>0</v>
      </c>
      <c r="J327" s="178">
        <f t="shared" si="61"/>
        <v>0</v>
      </c>
      <c r="K327" s="462">
        <f>IF(C327=0,0,VLOOKUP(YEAR(C327),INPC!$B$4:$O$29,MONTH(C327)+1))</f>
        <v>0</v>
      </c>
      <c r="L327" s="462">
        <f>IF(S327=0,0,VLOOKUP(YEAR(S327),INPC!$B$4:$O$29,MONTH(S327)+1))</f>
        <v>0</v>
      </c>
      <c r="M327" s="463">
        <f t="shared" si="54"/>
        <v>0</v>
      </c>
      <c r="N327" s="465">
        <f t="shared" si="62"/>
        <v>0</v>
      </c>
      <c r="O327" s="179"/>
      <c r="P327" s="180"/>
      <c r="Q327" s="173"/>
      <c r="R327" s="173"/>
      <c r="S327" s="174"/>
      <c r="T327" s="173"/>
      <c r="U327" s="182"/>
      <c r="V327" s="177">
        <f>IF(U327=0,0,IF(T327="MXN",1/HLOOKUP(YEAR(S327)+(MONTH(S327)/100),TC!$5:$37,DAY(S327)+2,FALSE),VLOOKUP(T327,Equivalencia!$1:$23,((MAX(Equivalencia!$3:$3)-YEAR(S327))*14)+MONTH(S327)+2,FALSE)))</f>
        <v>0</v>
      </c>
      <c r="W327" s="178">
        <f t="shared" si="59"/>
        <v>0</v>
      </c>
      <c r="X327" s="481">
        <f t="shared" si="55"/>
        <v>0</v>
      </c>
      <c r="Y327" s="179"/>
      <c r="Z327" s="466">
        <f t="shared" si="56"/>
        <v>0</v>
      </c>
      <c r="AA327" s="473">
        <f t="shared" si="57"/>
        <v>0</v>
      </c>
      <c r="AB327" s="339">
        <f t="shared" si="58"/>
        <v>0</v>
      </c>
    </row>
    <row r="328" spans="1:28" ht="20.100000000000001" customHeight="1">
      <c r="B328" s="172">
        <v>1427200</v>
      </c>
      <c r="C328" s="174">
        <v>44503</v>
      </c>
      <c r="D328" s="181" t="s">
        <v>273</v>
      </c>
      <c r="E328" s="173" t="s">
        <v>33</v>
      </c>
      <c r="F328" s="176">
        <v>2277.77</v>
      </c>
      <c r="G328" s="175">
        <f t="shared" si="60"/>
        <v>11</v>
      </c>
      <c r="H328" s="175">
        <f t="shared" si="53"/>
        <v>2277.77</v>
      </c>
      <c r="I328" s="177">
        <f>IF(G328=0,0,IF(E328="MXN",1/HLOOKUP(YEAR(C328)+(MONTH(C328)/100),TC!$5:$37,DAY(C328)+2,FALSE),VLOOKUP(E328,Equivalencia!$5:$23,((MAX(Equivalencia!$3:$3)-YEAR(C328))*14)+MONTH(C328)+2,FALSE)))</f>
        <v>1</v>
      </c>
      <c r="J328" s="178">
        <f t="shared" si="61"/>
        <v>2277.77</v>
      </c>
      <c r="K328" s="462">
        <f>IF(C328=0,0,VLOOKUP(YEAR(C328),INPC!$B$4:$O$29,MONTH(C328)+1))</f>
        <v>116.884</v>
      </c>
      <c r="L328" s="462">
        <f>IF(S328=0,0,VLOOKUP(YEAR(S328),INPC!$B$4:$O$29,MONTH(S328)+1))</f>
        <v>122.044</v>
      </c>
      <c r="M328" s="463">
        <f t="shared" si="54"/>
        <v>1.0441</v>
      </c>
      <c r="N328" s="465">
        <f t="shared" si="62"/>
        <v>2378.2196570000001</v>
      </c>
      <c r="O328" s="179"/>
      <c r="P328" s="180">
        <v>11</v>
      </c>
      <c r="Q328" s="173" t="s">
        <v>583</v>
      </c>
      <c r="R328" s="173" t="s">
        <v>230</v>
      </c>
      <c r="S328" s="174">
        <v>44722</v>
      </c>
      <c r="T328" s="173" t="s">
        <v>33</v>
      </c>
      <c r="U328" s="182">
        <v>2202.73</v>
      </c>
      <c r="V328" s="177">
        <f>IF(U328=0,0,IF(T328="MXN",1/HLOOKUP(YEAR(S328)+(MONTH(S328)/100),TC!$5:$37,DAY(S328)+2,FALSE),VLOOKUP(T328,Equivalencia!$1:$23,((MAX(Equivalencia!$3:$3)-YEAR(S328))*14)+MONTH(S328)+2,FALSE)))</f>
        <v>1</v>
      </c>
      <c r="W328" s="178">
        <f t="shared" si="59"/>
        <v>2202.73</v>
      </c>
      <c r="X328" s="481">
        <f t="shared" si="55"/>
        <v>-75.039999999999964</v>
      </c>
      <c r="Y328" s="179"/>
      <c r="Z328" s="466">
        <f t="shared" si="56"/>
        <v>2378.2196570000001</v>
      </c>
      <c r="AA328" s="473">
        <f t="shared" si="57"/>
        <v>-175.48965700000008</v>
      </c>
      <c r="AB328" s="339">
        <f t="shared" si="58"/>
        <v>-3.2944502737326409E-2</v>
      </c>
    </row>
    <row r="329" spans="1:28" ht="20.100000000000001" customHeight="1" thickBot="1">
      <c r="B329" s="172">
        <v>1427200</v>
      </c>
      <c r="C329" s="174">
        <v>44503</v>
      </c>
      <c r="D329" s="181" t="s">
        <v>273</v>
      </c>
      <c r="E329" s="173" t="s">
        <v>33</v>
      </c>
      <c r="F329" s="176">
        <v>1656.56</v>
      </c>
      <c r="G329" s="175">
        <f t="shared" si="60"/>
        <v>8</v>
      </c>
      <c r="H329" s="175">
        <f t="shared" si="53"/>
        <v>1656.56</v>
      </c>
      <c r="I329" s="177">
        <f>IF(G329=0,0,IF(E329="MXN",1/HLOOKUP(YEAR(C329)+(MONTH(C329)/100),TC!$5:$37,DAY(C329)+2,FALSE),VLOOKUP(E329,Equivalencia!$5:$23,((MAX(Equivalencia!$3:$3)-YEAR(C329))*14)+MONTH(C329)+2,FALSE)))</f>
        <v>1</v>
      </c>
      <c r="J329" s="178">
        <f t="shared" si="61"/>
        <v>1656.56</v>
      </c>
      <c r="K329" s="462">
        <f>IF(C329=0,0,VLOOKUP(YEAR(C329),INPC!$B$4:$O$29,MONTH(C329)+1))</f>
        <v>116.884</v>
      </c>
      <c r="L329" s="462">
        <f>IF(S329=0,0,VLOOKUP(YEAR(S329),INPC!$B$4:$O$29,MONTH(S329)+1))</f>
        <v>122.044</v>
      </c>
      <c r="M329" s="463">
        <f t="shared" si="54"/>
        <v>1.0441</v>
      </c>
      <c r="N329" s="465">
        <f t="shared" si="62"/>
        <v>1729.614296</v>
      </c>
      <c r="O329" s="179"/>
      <c r="P329" s="180">
        <v>8</v>
      </c>
      <c r="Q329" s="173" t="s">
        <v>583</v>
      </c>
      <c r="R329" s="173" t="s">
        <v>230</v>
      </c>
      <c r="S329" s="174">
        <v>44736</v>
      </c>
      <c r="T329" s="173" t="s">
        <v>33</v>
      </c>
      <c r="U329" s="182">
        <v>1618.37</v>
      </c>
      <c r="V329" s="177">
        <f>IF(U329=0,0,IF(T329="MXN",1/HLOOKUP(YEAR(S329)+(MONTH(S329)/100),TC!$5:$37,DAY(S329)+2,FALSE),VLOOKUP(T329,Equivalencia!$1:$23,((MAX(Equivalencia!$3:$3)-YEAR(S329))*14)+MONTH(S329)+2,FALSE)))</f>
        <v>1</v>
      </c>
      <c r="W329" s="178">
        <f t="shared" si="59"/>
        <v>1618.37</v>
      </c>
      <c r="X329" s="481">
        <f t="shared" si="55"/>
        <v>-38.190000000000055</v>
      </c>
      <c r="Y329" s="179"/>
      <c r="Z329" s="466">
        <f t="shared" si="56"/>
        <v>1729.614296</v>
      </c>
      <c r="AA329" s="473">
        <f t="shared" si="57"/>
        <v>-111.24429600000008</v>
      </c>
      <c r="AB329" s="339">
        <f t="shared" si="58"/>
        <v>-2.305379823248177E-2</v>
      </c>
    </row>
    <row r="330" spans="1:28" ht="20.100000000000001" customHeight="1">
      <c r="B330" s="172">
        <v>1179000</v>
      </c>
      <c r="C330" s="174">
        <v>43936</v>
      </c>
      <c r="D330" s="181" t="s">
        <v>247</v>
      </c>
      <c r="E330" s="173" t="s">
        <v>337</v>
      </c>
      <c r="F330" s="176">
        <v>27856.331364455556</v>
      </c>
      <c r="G330" s="175">
        <f t="shared" si="60"/>
        <v>257.10000000000002</v>
      </c>
      <c r="H330" s="175">
        <f t="shared" si="53"/>
        <v>27856.331364455556</v>
      </c>
      <c r="I330" s="177">
        <f>IF(G330=0,0,IF(E330="MXN",1/HLOOKUP(YEAR(C330)+(MONTH(C330)/100),TC!$5:$37,DAY(C330)+2,FALSE),VLOOKUP(E330,Equivalencia!$5:$23,((MAX(Equivalencia!$3:$3)-YEAR(C330))*14)+MONTH(C330)+2,FALSE)))</f>
        <v>1.0948</v>
      </c>
      <c r="J330" s="178">
        <f t="shared" si="61"/>
        <v>30497.111577805943</v>
      </c>
      <c r="K330" s="462">
        <f>IF(C330=0,0,VLOOKUP(YEAR(C330),INPC!$B$4:$O$29,MONTH(C330)+1))</f>
        <v>105.755</v>
      </c>
      <c r="L330" s="462">
        <f>IF(S330=0,0,VLOOKUP(YEAR(S330),INPC!$B$4:$O$29,MONTH(S330)+1))</f>
        <v>121.02200000000001</v>
      </c>
      <c r="M330" s="463">
        <f t="shared" si="54"/>
        <v>1.1443000000000001</v>
      </c>
      <c r="N330" s="465">
        <f t="shared" si="62"/>
        <v>34897.844778483341</v>
      </c>
      <c r="O330" s="179"/>
      <c r="P330" s="506">
        <v>257.10000000000002</v>
      </c>
      <c r="Q330" s="173" t="s">
        <v>583</v>
      </c>
      <c r="R330" s="173" t="s">
        <v>230</v>
      </c>
      <c r="S330" s="174">
        <v>44706</v>
      </c>
      <c r="T330" s="173" t="s">
        <v>337</v>
      </c>
      <c r="U330" s="509">
        <v>39650.454510192452</v>
      </c>
      <c r="V330" s="177">
        <f>IF(U330=0,0,IF(T330="MXN",1/HLOOKUP(YEAR(S330)+(MONTH(S330)/100),TC!$5:$37,DAY(S330)+2,FALSE),VLOOKUP(T330,Equivalencia!$1:$23,((MAX(Equivalencia!$3:$3)-YEAR(S330))*14)+MONTH(S330)+2,FALSE)))</f>
        <v>1.07115</v>
      </c>
      <c r="W330" s="178">
        <f t="shared" si="59"/>
        <v>42471.584348592645</v>
      </c>
      <c r="X330" s="481">
        <f t="shared" si="55"/>
        <v>11974.472770786702</v>
      </c>
      <c r="Y330" s="179"/>
      <c r="Z330" s="466">
        <f t="shared" si="56"/>
        <v>34897.844778483341</v>
      </c>
      <c r="AA330" s="473">
        <f t="shared" si="57"/>
        <v>7573.7395701093046</v>
      </c>
      <c r="AB330" s="339">
        <f t="shared" si="58"/>
        <v>0.42339111318822464</v>
      </c>
    </row>
    <row r="331" spans="1:28" ht="20.100000000000001" customHeight="1">
      <c r="B331" s="172">
        <v>1179000</v>
      </c>
      <c r="C331" s="174">
        <v>43987</v>
      </c>
      <c r="D331" s="181" t="s">
        <v>247</v>
      </c>
      <c r="E331" s="173" t="s">
        <v>337</v>
      </c>
      <c r="F331" s="176">
        <v>22413.95</v>
      </c>
      <c r="G331" s="175">
        <f t="shared" si="60"/>
        <v>178.02</v>
      </c>
      <c r="H331" s="175">
        <f t="shared" si="53"/>
        <v>22413.95</v>
      </c>
      <c r="I331" s="177">
        <f>IF(G331=0,0,IF(E331="MXN",1/HLOOKUP(YEAR(C331)+(MONTH(C331)/100),TC!$5:$37,DAY(C331)+2,FALSE),VLOOKUP(E331,Equivalencia!$5:$23,((MAX(Equivalencia!$3:$3)-YEAR(C331))*14)+MONTH(C331)+2,FALSE)))</f>
        <v>1.1228499999999999</v>
      </c>
      <c r="J331" s="178">
        <f t="shared" si="61"/>
        <v>25167.503757499999</v>
      </c>
      <c r="K331" s="462">
        <f>IF(C331=0,0,VLOOKUP(YEAR(C331),INPC!$B$4:$O$29,MONTH(C331)+1))</f>
        <v>106.74299999999999</v>
      </c>
      <c r="L331" s="462">
        <f>IF(S331=0,0,VLOOKUP(YEAR(S331),INPC!$B$4:$O$29,MONTH(S331)+1))</f>
        <v>121.02200000000001</v>
      </c>
      <c r="M331" s="463">
        <f t="shared" si="54"/>
        <v>1.1336999999999999</v>
      </c>
      <c r="N331" s="465">
        <f t="shared" si="62"/>
        <v>28532.399009877747</v>
      </c>
      <c r="O331" s="179"/>
      <c r="P331" s="507">
        <v>178.02</v>
      </c>
      <c r="Q331" s="173" t="s">
        <v>583</v>
      </c>
      <c r="R331" s="173" t="s">
        <v>230</v>
      </c>
      <c r="S331" s="174">
        <v>44706</v>
      </c>
      <c r="T331" s="173" t="s">
        <v>337</v>
      </c>
      <c r="U331" s="511">
        <v>27454.585421643176</v>
      </c>
      <c r="V331" s="177">
        <f>IF(U331=0,0,IF(T331="MXN",1/HLOOKUP(YEAR(S331)+(MONTH(S331)/100),TC!$5:$37,DAY(S331)+2,FALSE),VLOOKUP(T331,Equivalencia!$1:$23,((MAX(Equivalencia!$3:$3)-YEAR(S331))*14)+MONTH(S331)+2,FALSE)))</f>
        <v>1.07115</v>
      </c>
      <c r="W331" s="178">
        <f t="shared" si="59"/>
        <v>29407.979174393091</v>
      </c>
      <c r="X331" s="481">
        <f t="shared" si="55"/>
        <v>4240.4754168930922</v>
      </c>
      <c r="Y331" s="179"/>
      <c r="Z331" s="466">
        <f t="shared" si="56"/>
        <v>28532.399009877747</v>
      </c>
      <c r="AA331" s="473">
        <f t="shared" si="57"/>
        <v>875.58016451534422</v>
      </c>
      <c r="AB331" s="339">
        <f t="shared" si="58"/>
        <v>0.22488831382434493</v>
      </c>
    </row>
    <row r="332" spans="1:28" ht="20.100000000000001" customHeight="1">
      <c r="B332" s="172">
        <v>1179000</v>
      </c>
      <c r="C332" s="174">
        <v>44301</v>
      </c>
      <c r="D332" s="181" t="s">
        <v>247</v>
      </c>
      <c r="E332" s="173" t="s">
        <v>337</v>
      </c>
      <c r="F332" s="176">
        <v>127070.74000000002</v>
      </c>
      <c r="G332" s="175">
        <f t="shared" si="60"/>
        <v>853.05</v>
      </c>
      <c r="H332" s="175">
        <f t="shared" si="53"/>
        <v>127070.74000000002</v>
      </c>
      <c r="I332" s="177">
        <f>IF(G332=0,0,IF(E332="MXN",1/HLOOKUP(YEAR(C332)+(MONTH(C332)/100),TC!$5:$37,DAY(C332)+2,FALSE),VLOOKUP(E332,Equivalencia!$5:$23,((MAX(Equivalencia!$3:$3)-YEAR(C332))*14)+MONTH(C332)+2,FALSE)))</f>
        <v>1.2040500000000001</v>
      </c>
      <c r="J332" s="178">
        <f t="shared" si="61"/>
        <v>152999.52449700003</v>
      </c>
      <c r="K332" s="462">
        <f>IF(C332=0,0,VLOOKUP(YEAR(C332),INPC!$B$4:$O$29,MONTH(C332)+1))</f>
        <v>112.19</v>
      </c>
      <c r="L332" s="462">
        <f>IF(S332=0,0,VLOOKUP(YEAR(S332),INPC!$B$4:$O$29,MONTH(S332)+1))</f>
        <v>121.02200000000001</v>
      </c>
      <c r="M332" s="463">
        <f t="shared" si="54"/>
        <v>1.0787</v>
      </c>
      <c r="N332" s="465">
        <f t="shared" si="62"/>
        <v>165040.58707491393</v>
      </c>
      <c r="O332" s="179"/>
      <c r="P332" s="507">
        <v>853.05</v>
      </c>
      <c r="Q332" s="173" t="s">
        <v>583</v>
      </c>
      <c r="R332" s="173" t="s">
        <v>230</v>
      </c>
      <c r="S332" s="174">
        <v>44706</v>
      </c>
      <c r="T332" s="173" t="s">
        <v>337</v>
      </c>
      <c r="U332" s="511">
        <v>131559.00513387658</v>
      </c>
      <c r="V332" s="177">
        <f>IF(U332=0,0,IF(T332="MXN",1/HLOOKUP(YEAR(S332)+(MONTH(S332)/100),TC!$5:$37,DAY(S332)+2,FALSE),VLOOKUP(T332,Equivalencia!$1:$23,((MAX(Equivalencia!$3:$3)-YEAR(S332))*14)+MONTH(S332)+2,FALSE)))</f>
        <v>1.07115</v>
      </c>
      <c r="W332" s="178">
        <f t="shared" si="59"/>
        <v>140919.42834915189</v>
      </c>
      <c r="X332" s="481">
        <f t="shared" si="55"/>
        <v>-12080.096147848148</v>
      </c>
      <c r="Y332" s="179"/>
      <c r="Z332" s="466">
        <f t="shared" si="56"/>
        <v>165040.58707491393</v>
      </c>
      <c r="AA332" s="473">
        <f t="shared" si="57"/>
        <v>-24121.158725762041</v>
      </c>
      <c r="AB332" s="339">
        <f t="shared" si="58"/>
        <v>3.5320996272442784E-2</v>
      </c>
    </row>
    <row r="333" spans="1:28" ht="20.100000000000001" customHeight="1" thickBot="1">
      <c r="B333" s="172">
        <v>1179000</v>
      </c>
      <c r="C333" s="174">
        <v>44315</v>
      </c>
      <c r="D333" s="181" t="s">
        <v>247</v>
      </c>
      <c r="E333" s="173" t="s">
        <v>337</v>
      </c>
      <c r="F333" s="176">
        <v>109091.6592240559</v>
      </c>
      <c r="G333" s="175">
        <f t="shared" si="60"/>
        <v>730.48000000000025</v>
      </c>
      <c r="H333" s="175">
        <f t="shared" si="53"/>
        <v>109091.6592240559</v>
      </c>
      <c r="I333" s="177">
        <f>IF(G333=0,0,IF(E333="MXN",1/HLOOKUP(YEAR(C333)+(MONTH(C333)/100),TC!$5:$37,DAY(C333)+2,FALSE),VLOOKUP(E333,Equivalencia!$5:$23,((MAX(Equivalencia!$3:$3)-YEAR(C333))*14)+MONTH(C333)+2,FALSE)))</f>
        <v>1.2040500000000001</v>
      </c>
      <c r="J333" s="178">
        <f t="shared" si="61"/>
        <v>131351.8122887245</v>
      </c>
      <c r="K333" s="462">
        <f>IF(C333=0,0,VLOOKUP(YEAR(C333),INPC!$B$4:$O$29,MONTH(C333)+1))</f>
        <v>112.19</v>
      </c>
      <c r="L333" s="462">
        <f>IF(S333=0,0,VLOOKUP(YEAR(S333),INPC!$B$4:$O$29,MONTH(S333)+1))</f>
        <v>121.02200000000001</v>
      </c>
      <c r="M333" s="463">
        <f t="shared" si="54"/>
        <v>1.0787</v>
      </c>
      <c r="N333" s="465">
        <f t="shared" si="62"/>
        <v>141689.1999158471</v>
      </c>
      <c r="O333" s="179"/>
      <c r="P333" s="508">
        <v>730.48000000000025</v>
      </c>
      <c r="Q333" s="173" t="s">
        <v>583</v>
      </c>
      <c r="R333" s="173" t="s">
        <v>230</v>
      </c>
      <c r="S333" s="174">
        <v>44706</v>
      </c>
      <c r="T333" s="173" t="s">
        <v>337</v>
      </c>
      <c r="U333" s="510">
        <v>112656.02493428779</v>
      </c>
      <c r="V333" s="177">
        <f>IF(U333=0,0,IF(T333="MXN",1/HLOOKUP(YEAR(S333)+(MONTH(S333)/100),TC!$5:$37,DAY(S333)+2,FALSE),VLOOKUP(T333,Equivalencia!$1:$23,((MAX(Equivalencia!$3:$3)-YEAR(S333))*14)+MONTH(S333)+2,FALSE)))</f>
        <v>1.07115</v>
      </c>
      <c r="W333" s="178">
        <f t="shared" si="59"/>
        <v>120671.50110836238</v>
      </c>
      <c r="X333" s="481">
        <f t="shared" si="55"/>
        <v>-10680.311180362114</v>
      </c>
      <c r="Y333" s="179"/>
      <c r="Z333" s="466">
        <f t="shared" si="56"/>
        <v>141689.1999158471</v>
      </c>
      <c r="AA333" s="473">
        <f t="shared" si="57"/>
        <v>-21017.698807484718</v>
      </c>
      <c r="AB333" s="339">
        <f t="shared" si="58"/>
        <v>3.2673127676161595E-2</v>
      </c>
    </row>
    <row r="334" spans="1:28" ht="20.100000000000001" customHeight="1">
      <c r="A334" s="484"/>
      <c r="B334" s="172">
        <v>1179000</v>
      </c>
      <c r="C334" s="174">
        <v>43990</v>
      </c>
      <c r="D334" s="181" t="s">
        <v>237</v>
      </c>
      <c r="E334" s="173" t="s">
        <v>339</v>
      </c>
      <c r="F334" s="176">
        <v>17176920.487764705</v>
      </c>
      <c r="G334" s="175">
        <f t="shared" si="60"/>
        <v>1215.94</v>
      </c>
      <c r="H334" s="175">
        <f t="shared" si="53"/>
        <v>17176920.487764705</v>
      </c>
      <c r="I334" s="177">
        <f>IF(G334=0,0,IF(E334="MXN",1/HLOOKUP(YEAR(C334)+(MONTH(C334)/100),TC!$5:$37,DAY(C334)+2,FALSE),VLOOKUP(E334,Equivalencia!$5:$23,((MAX(Equivalencia!$3:$3)-YEAR(C334))*14)+MONTH(C334)+2,FALSE)))</f>
        <v>9.2700000000000005E-3</v>
      </c>
      <c r="J334" s="178">
        <f t="shared" si="61"/>
        <v>159230.05292157881</v>
      </c>
      <c r="K334" s="462">
        <f>IF(C334=0,0,VLOOKUP(YEAR(C334),INPC!$B$4:$O$29,MONTH(C334)+1))</f>
        <v>106.74299999999999</v>
      </c>
      <c r="L334" s="462">
        <f>IF(S334=0,0,VLOOKUP(YEAR(S334),INPC!$B$4:$O$29,MONTH(S334)+1))</f>
        <v>118.98099999999999</v>
      </c>
      <c r="M334" s="463">
        <f t="shared" si="54"/>
        <v>1.1146</v>
      </c>
      <c r="N334" s="465">
        <f t="shared" si="62"/>
        <v>177477.81698639176</v>
      </c>
      <c r="O334" s="179"/>
      <c r="P334" s="180">
        <v>1215.94</v>
      </c>
      <c r="Q334" s="173" t="s">
        <v>583</v>
      </c>
      <c r="R334" s="173" t="s">
        <v>230</v>
      </c>
      <c r="S334" s="174">
        <v>44596</v>
      </c>
      <c r="T334" s="173" t="s">
        <v>339</v>
      </c>
      <c r="U334" s="182">
        <v>21201471</v>
      </c>
      <c r="V334" s="177">
        <f>IF(U334=0,0,IF(T334="MXN",1/HLOOKUP(YEAR(S334)+(MONTH(S334)/100),TC!$5:$37,DAY(S334)+2,FALSE),VLOOKUP(T334,Equivalencia!$1:$23,((MAX(Equivalencia!$3:$3)-YEAR(S334))*14)+MONTH(S334)+2,FALSE)))</f>
        <v>8.6800000000000002E-3</v>
      </c>
      <c r="W334" s="178">
        <f t="shared" si="59"/>
        <v>184028.76828000002</v>
      </c>
      <c r="X334" s="481">
        <f t="shared" si="55"/>
        <v>24798.715358421206</v>
      </c>
      <c r="Y334" s="179"/>
      <c r="Z334" s="466">
        <f t="shared" si="56"/>
        <v>177477.81698639176</v>
      </c>
      <c r="AA334" s="473">
        <f t="shared" si="57"/>
        <v>6550.951293608261</v>
      </c>
      <c r="AB334" s="339">
        <f t="shared" si="58"/>
        <v>0.23429988600704199</v>
      </c>
    </row>
    <row r="335" spans="1:28" ht="20.100000000000001" customHeight="1" thickBot="1">
      <c r="A335" s="484"/>
      <c r="B335" s="172">
        <v>1179000</v>
      </c>
      <c r="C335" s="174">
        <v>44357</v>
      </c>
      <c r="D335" s="181" t="s">
        <v>238</v>
      </c>
      <c r="E335" s="173" t="s">
        <v>33</v>
      </c>
      <c r="F335" s="176">
        <v>93236.76</v>
      </c>
      <c r="G335" s="175">
        <f t="shared" si="60"/>
        <v>78055.053</v>
      </c>
      <c r="H335" s="175">
        <f t="shared" si="53"/>
        <v>93236.76</v>
      </c>
      <c r="I335" s="177">
        <f>IF(G335=0,0,IF(E335="MXN",1/HLOOKUP(YEAR(C335)+(MONTH(C335)/100),TC!$5:$37,DAY(C335)+2,FALSE),VLOOKUP(E335,Equivalencia!$5:$23,((MAX(Equivalencia!$3:$3)-YEAR(C335))*14)+MONTH(C335)+2,FALSE)))</f>
        <v>1</v>
      </c>
      <c r="J335" s="178">
        <f t="shared" si="61"/>
        <v>93236.76</v>
      </c>
      <c r="K335" s="462">
        <f>IF(C335=0,0,VLOOKUP(YEAR(C335),INPC!$B$4:$O$29,MONTH(C335)+1))</f>
        <v>113.018</v>
      </c>
      <c r="L335" s="462">
        <f>IF(S335=0,0,VLOOKUP(YEAR(S335),INPC!$B$4:$O$29,MONTH(S335)+1))</f>
        <v>118.002</v>
      </c>
      <c r="M335" s="463">
        <f t="shared" si="54"/>
        <v>1.044</v>
      </c>
      <c r="N335" s="465">
        <f t="shared" si="62"/>
        <v>97339.177439999999</v>
      </c>
      <c r="O335" s="179"/>
      <c r="P335" s="180">
        <v>78055.053</v>
      </c>
      <c r="Q335" s="173" t="s">
        <v>583</v>
      </c>
      <c r="R335" s="173" t="s">
        <v>230</v>
      </c>
      <c r="S335" s="174">
        <v>44588</v>
      </c>
      <c r="T335" s="173" t="s">
        <v>33</v>
      </c>
      <c r="U335" s="182">
        <v>92424.99</v>
      </c>
      <c r="V335" s="177">
        <f>IF(U335=0,0,IF(T335="MXN",1/HLOOKUP(YEAR(S335)+(MONTH(S335)/100),TC!$5:$37,DAY(S335)+2,FALSE),VLOOKUP(T335,Equivalencia!$1:$23,((MAX(Equivalencia!$3:$3)-YEAR(S335))*14)+MONTH(S335)+2,FALSE)))</f>
        <v>1</v>
      </c>
      <c r="W335" s="178">
        <f t="shared" si="59"/>
        <v>92424.99</v>
      </c>
      <c r="X335" s="481">
        <f t="shared" si="55"/>
        <v>-811.76999999998952</v>
      </c>
      <c r="Y335" s="179"/>
      <c r="Z335" s="466">
        <f t="shared" si="56"/>
        <v>97339.177439999999</v>
      </c>
      <c r="AA335" s="473">
        <f t="shared" si="57"/>
        <v>-4914.1874399999942</v>
      </c>
      <c r="AB335" s="339">
        <f t="shared" si="58"/>
        <v>-8.7065445002592057E-3</v>
      </c>
    </row>
    <row r="336" spans="1:28" ht="20.100000000000001" customHeight="1">
      <c r="A336" s="484"/>
      <c r="B336" s="172">
        <v>1179000</v>
      </c>
      <c r="C336" s="174">
        <v>44237</v>
      </c>
      <c r="D336" s="181" t="s">
        <v>239</v>
      </c>
      <c r="E336" s="173" t="s">
        <v>33</v>
      </c>
      <c r="F336" s="176">
        <v>172908.79999999999</v>
      </c>
      <c r="G336" s="175">
        <f t="shared" si="60"/>
        <v>753</v>
      </c>
      <c r="H336" s="175">
        <f t="shared" si="53"/>
        <v>172908.79999999999</v>
      </c>
      <c r="I336" s="177">
        <f>IF(G336=0,0,IF(E336="MXN",1/HLOOKUP(YEAR(C336)+(MONTH(C336)/100),TC!$5:$37,DAY(C336)+2,FALSE),VLOOKUP(E336,Equivalencia!$5:$23,((MAX(Equivalencia!$3:$3)-YEAR(C336))*14)+MONTH(C336)+2,FALSE)))</f>
        <v>1</v>
      </c>
      <c r="J336" s="178">
        <f t="shared" si="61"/>
        <v>172908.79999999999</v>
      </c>
      <c r="K336" s="462">
        <f>IF(C336=0,0,VLOOKUP(YEAR(C336),INPC!$B$4:$O$29,MONTH(C336)+1))</f>
        <v>110.907</v>
      </c>
      <c r="L336" s="462">
        <f>IF(S336=0,0,VLOOKUP(YEAR(S336),INPC!$B$4:$O$29,MONTH(S336)+1))</f>
        <v>118.98099999999999</v>
      </c>
      <c r="M336" s="463">
        <f t="shared" si="54"/>
        <v>1.0727</v>
      </c>
      <c r="N336" s="465">
        <f t="shared" si="62"/>
        <v>185479.26976</v>
      </c>
      <c r="O336" s="179"/>
      <c r="P336" s="506">
        <v>753</v>
      </c>
      <c r="Q336" s="173" t="s">
        <v>583</v>
      </c>
      <c r="R336" s="173" t="s">
        <v>230</v>
      </c>
      <c r="S336" s="174">
        <v>44595</v>
      </c>
      <c r="T336" s="173" t="s">
        <v>33</v>
      </c>
      <c r="U336" s="509">
        <v>183590.14578125</v>
      </c>
      <c r="V336" s="177">
        <f>IF(U336=0,0,IF(T336="MXN",1/HLOOKUP(YEAR(S336)+(MONTH(S336)/100),TC!$5:$37,DAY(S336)+2,FALSE),VLOOKUP(T336,Equivalencia!$1:$23,((MAX(Equivalencia!$3:$3)-YEAR(S336))*14)+MONTH(S336)+2,FALSE)))</f>
        <v>1</v>
      </c>
      <c r="W336" s="178">
        <f t="shared" si="59"/>
        <v>183590.14578125</v>
      </c>
      <c r="X336" s="481">
        <f t="shared" si="55"/>
        <v>10681.345781250013</v>
      </c>
      <c r="Y336" s="179"/>
      <c r="Z336" s="466">
        <f t="shared" si="56"/>
        <v>185479.26976</v>
      </c>
      <c r="AA336" s="473">
        <f t="shared" si="57"/>
        <v>-1889.1239787499944</v>
      </c>
      <c r="AB336" s="339">
        <f t="shared" si="58"/>
        <v>6.1774448618288957E-2</v>
      </c>
    </row>
    <row r="337" spans="1:28" ht="20.100000000000001" customHeight="1" thickBot="1">
      <c r="A337" s="484"/>
      <c r="B337" s="172">
        <v>1179000</v>
      </c>
      <c r="C337" s="174">
        <v>44357</v>
      </c>
      <c r="D337" s="181" t="s">
        <v>239</v>
      </c>
      <c r="E337" s="173" t="s">
        <v>33</v>
      </c>
      <c r="F337" s="176">
        <v>47984.62</v>
      </c>
      <c r="G337" s="175">
        <f t="shared" si="60"/>
        <v>207</v>
      </c>
      <c r="H337" s="175">
        <f t="shared" si="53"/>
        <v>47984.62</v>
      </c>
      <c r="I337" s="177">
        <f>IF(G337=0,0,IF(E337="MXN",1/HLOOKUP(YEAR(C337)+(MONTH(C337)/100),TC!$5:$37,DAY(C337)+2,FALSE),VLOOKUP(E337,Equivalencia!$5:$23,((MAX(Equivalencia!$3:$3)-YEAR(C337))*14)+MONTH(C337)+2,FALSE)))</f>
        <v>1</v>
      </c>
      <c r="J337" s="178">
        <f t="shared" si="61"/>
        <v>47984.62</v>
      </c>
      <c r="K337" s="462">
        <f>IF(C337=0,0,VLOOKUP(YEAR(C337),INPC!$B$4:$O$29,MONTH(C337)+1))</f>
        <v>113.018</v>
      </c>
      <c r="L337" s="462">
        <f>IF(S337=0,0,VLOOKUP(YEAR(S337),INPC!$B$4:$O$29,MONTH(S337)+1))</f>
        <v>118.98099999999999</v>
      </c>
      <c r="M337" s="463">
        <f t="shared" si="54"/>
        <v>1.0527</v>
      </c>
      <c r="N337" s="465">
        <f t="shared" si="62"/>
        <v>50513.409474</v>
      </c>
      <c r="O337" s="179"/>
      <c r="P337" s="508">
        <v>207</v>
      </c>
      <c r="Q337" s="173" t="s">
        <v>583</v>
      </c>
      <c r="R337" s="173" t="s">
        <v>230</v>
      </c>
      <c r="S337" s="174">
        <v>44595</v>
      </c>
      <c r="T337" s="173" t="s">
        <v>33</v>
      </c>
      <c r="U337" s="510">
        <v>50469.00421875</v>
      </c>
      <c r="V337" s="177">
        <f>IF(U337=0,0,IF(T337="MXN",1/HLOOKUP(YEAR(S337)+(MONTH(S337)/100),TC!$5:$37,DAY(S337)+2,FALSE),VLOOKUP(T337,Equivalencia!$1:$23,((MAX(Equivalencia!$3:$3)-YEAR(S337))*14)+MONTH(S337)+2,FALSE)))</f>
        <v>1</v>
      </c>
      <c r="W337" s="178">
        <f t="shared" si="59"/>
        <v>50469.00421875</v>
      </c>
      <c r="X337" s="481">
        <f t="shared" si="55"/>
        <v>2484.3842187499977</v>
      </c>
      <c r="Y337" s="179"/>
      <c r="Z337" s="466">
        <f t="shared" si="56"/>
        <v>50513.409474</v>
      </c>
      <c r="AA337" s="473">
        <f t="shared" si="57"/>
        <v>-44.405255249999755</v>
      </c>
      <c r="AB337" s="339">
        <f t="shared" si="58"/>
        <v>5.1774594000119079E-2</v>
      </c>
    </row>
    <row r="338" spans="1:28" ht="20.100000000000001" customHeight="1" thickBot="1">
      <c r="B338" s="172">
        <v>1179000</v>
      </c>
      <c r="C338" s="174">
        <v>43830</v>
      </c>
      <c r="D338" s="181" t="s">
        <v>240</v>
      </c>
      <c r="E338" s="173" t="s">
        <v>33</v>
      </c>
      <c r="F338" s="176">
        <v>139797.25530589334</v>
      </c>
      <c r="G338" s="175">
        <f t="shared" si="60"/>
        <v>521</v>
      </c>
      <c r="H338" s="175">
        <f t="shared" si="53"/>
        <v>139797.25530589334</v>
      </c>
      <c r="I338" s="177">
        <f>IF(G338=0,0,IF(E338="MXN",1/HLOOKUP(YEAR(C338)+(MONTH(C338)/100),TC!$5:$37,DAY(C338)+2,FALSE),VLOOKUP(E338,Equivalencia!$5:$23,((MAX(Equivalencia!$3:$3)-YEAR(C338))*14)+MONTH(C338)+2,FALSE)))</f>
        <v>1</v>
      </c>
      <c r="J338" s="178">
        <f t="shared" si="61"/>
        <v>139797.25530589334</v>
      </c>
      <c r="K338" s="462">
        <f>IF(C338=0,0,VLOOKUP(YEAR(C338),INPC!$B$4:$O$29,MONTH(C338)+1))</f>
        <v>105.934</v>
      </c>
      <c r="L338" s="462">
        <f>IF(S338=0,0,VLOOKUP(YEAR(S338),INPC!$B$4:$O$29,MONTH(S338)+1))</f>
        <v>120.809</v>
      </c>
      <c r="M338" s="463">
        <f t="shared" si="54"/>
        <v>1.1404000000000001</v>
      </c>
      <c r="N338" s="465">
        <f t="shared" si="62"/>
        <v>159424.78995084079</v>
      </c>
      <c r="O338" s="179"/>
      <c r="P338" s="180">
        <v>521</v>
      </c>
      <c r="Q338" s="173" t="s">
        <v>583</v>
      </c>
      <c r="R338" s="173" t="s">
        <v>230</v>
      </c>
      <c r="S338" s="174">
        <v>44673</v>
      </c>
      <c r="T338" s="173" t="s">
        <v>33</v>
      </c>
      <c r="U338" s="182">
        <v>234318.32</v>
      </c>
      <c r="V338" s="177">
        <f>IF(U338=0,0,IF(T338="MXN",1/HLOOKUP(YEAR(S338)+(MONTH(S338)/100),TC!$5:$37,DAY(S338)+2,FALSE),VLOOKUP(T338,Equivalencia!$1:$23,((MAX(Equivalencia!$3:$3)-YEAR(S338))*14)+MONTH(S338)+2,FALSE)))</f>
        <v>1</v>
      </c>
      <c r="W338" s="178">
        <f t="shared" si="59"/>
        <v>234318.32</v>
      </c>
      <c r="X338" s="481">
        <f t="shared" si="55"/>
        <v>94521.064694106666</v>
      </c>
      <c r="Y338" s="179"/>
      <c r="Z338" s="466">
        <f t="shared" si="56"/>
        <v>159424.78995084079</v>
      </c>
      <c r="AA338" s="473">
        <f t="shared" si="57"/>
        <v>74893.530049159221</v>
      </c>
      <c r="AB338" s="339">
        <f t="shared" si="58"/>
        <v>0.67612961704636554</v>
      </c>
    </row>
    <row r="339" spans="1:28" ht="20.100000000000001" customHeight="1">
      <c r="A339" s="484"/>
      <c r="B339" s="172">
        <v>1179000</v>
      </c>
      <c r="C339" s="174">
        <v>44313</v>
      </c>
      <c r="D339" s="181" t="s">
        <v>241</v>
      </c>
      <c r="E339" s="173" t="s">
        <v>337</v>
      </c>
      <c r="F339" s="176">
        <v>147887.98000000001</v>
      </c>
      <c r="G339" s="175">
        <f t="shared" si="60"/>
        <v>25125</v>
      </c>
      <c r="H339" s="175">
        <f t="shared" si="53"/>
        <v>147887.98000000001</v>
      </c>
      <c r="I339" s="177">
        <f>IF(G339=0,0,IF(E339="MXN",1/HLOOKUP(YEAR(C339)+(MONTH(C339)/100),TC!$5:$37,DAY(C339)+2,FALSE),VLOOKUP(E339,Equivalencia!$5:$23,((MAX(Equivalencia!$3:$3)-YEAR(C339))*14)+MONTH(C339)+2,FALSE)))</f>
        <v>1.2040500000000001</v>
      </c>
      <c r="J339" s="178">
        <f t="shared" si="61"/>
        <v>178064.52231900001</v>
      </c>
      <c r="K339" s="462">
        <f>IF(C339=0,0,VLOOKUP(YEAR(C339),INPC!$B$4:$O$29,MONTH(C339)+1))</f>
        <v>112.19</v>
      </c>
      <c r="L339" s="462">
        <f>IF(S339=0,0,VLOOKUP(YEAR(S339),INPC!$B$4:$O$29,MONTH(S339)+1))</f>
        <v>118.98099999999999</v>
      </c>
      <c r="M339" s="463">
        <f t="shared" si="54"/>
        <v>1.0605</v>
      </c>
      <c r="N339" s="465">
        <f t="shared" si="62"/>
        <v>188837.42591929951</v>
      </c>
      <c r="O339" s="179"/>
      <c r="P339" s="506">
        <v>25125</v>
      </c>
      <c r="Q339" s="173" t="s">
        <v>583</v>
      </c>
      <c r="R339" s="173" t="s">
        <v>230</v>
      </c>
      <c r="S339" s="174">
        <v>44595</v>
      </c>
      <c r="T339" s="173" t="s">
        <v>337</v>
      </c>
      <c r="U339" s="509">
        <v>175940.31425078944</v>
      </c>
      <c r="V339" s="177">
        <f>IF(U339=0,0,IF(T339="MXN",1/HLOOKUP(YEAR(S339)+(MONTH(S339)/100),TC!$5:$37,DAY(S339)+2,FALSE),VLOOKUP(T339,Equivalencia!$1:$23,((MAX(Equivalencia!$3:$3)-YEAR(S339))*14)+MONTH(S339)+2,FALSE)))</f>
        <v>1.1228499999999999</v>
      </c>
      <c r="W339" s="178">
        <f t="shared" si="59"/>
        <v>197554.5818564989</v>
      </c>
      <c r="X339" s="481">
        <f t="shared" si="55"/>
        <v>19490.059537498892</v>
      </c>
      <c r="Y339" s="179"/>
      <c r="Z339" s="466">
        <f t="shared" si="56"/>
        <v>188837.42591929951</v>
      </c>
      <c r="AA339" s="473">
        <f t="shared" si="57"/>
        <v>8717.1559371993935</v>
      </c>
      <c r="AB339" s="339">
        <f t="shared" si="58"/>
        <v>0.18968637106808428</v>
      </c>
    </row>
    <row r="340" spans="1:28" ht="20.100000000000001" customHeight="1" thickBot="1">
      <c r="A340" s="484"/>
      <c r="B340" s="172">
        <v>1179000</v>
      </c>
      <c r="C340" s="174">
        <v>44357</v>
      </c>
      <c r="D340" s="181" t="s">
        <v>241</v>
      </c>
      <c r="E340" s="173" t="s">
        <v>337</v>
      </c>
      <c r="F340" s="176">
        <v>26589.32</v>
      </c>
      <c r="G340" s="175">
        <f t="shared" si="60"/>
        <v>4326</v>
      </c>
      <c r="H340" s="175">
        <f t="shared" si="53"/>
        <v>26589.32</v>
      </c>
      <c r="I340" s="177">
        <f>IF(G340=0,0,IF(E340="MXN",1/HLOOKUP(YEAR(C340)+(MONTH(C340)/100),TC!$5:$37,DAY(C340)+2,FALSE),VLOOKUP(E340,Equivalencia!$5:$23,((MAX(Equivalencia!$3:$3)-YEAR(C340))*14)+MONTH(C340)+2,FALSE)))</f>
        <v>1.1856</v>
      </c>
      <c r="J340" s="178">
        <f t="shared" si="61"/>
        <v>31524.297791999998</v>
      </c>
      <c r="K340" s="462">
        <f>IF(C340=0,0,VLOOKUP(YEAR(C340),INPC!$B$4:$O$29,MONTH(C340)+1))</f>
        <v>113.018</v>
      </c>
      <c r="L340" s="462">
        <f>IF(S340=0,0,VLOOKUP(YEAR(S340),INPC!$B$4:$O$29,MONTH(S340)+1))</f>
        <v>118.98099999999999</v>
      </c>
      <c r="M340" s="463">
        <f t="shared" si="54"/>
        <v>1.0527</v>
      </c>
      <c r="N340" s="465">
        <f t="shared" si="62"/>
        <v>33185.628285638399</v>
      </c>
      <c r="O340" s="179"/>
      <c r="P340" s="508">
        <v>4326</v>
      </c>
      <c r="Q340" s="173" t="s">
        <v>583</v>
      </c>
      <c r="R340" s="173" t="s">
        <v>230</v>
      </c>
      <c r="S340" s="174">
        <v>44595</v>
      </c>
      <c r="T340" s="173" t="s">
        <v>337</v>
      </c>
      <c r="U340" s="510">
        <v>30293.245749210553</v>
      </c>
      <c r="V340" s="177">
        <f>IF(U340=0,0,IF(T340="MXN",1/HLOOKUP(YEAR(S340)+(MONTH(S340)/100),TC!$5:$37,DAY(S340)+2,FALSE),VLOOKUP(T340,Equivalencia!$1:$23,((MAX(Equivalencia!$3:$3)-YEAR(S340))*14)+MONTH(S340)+2,FALSE)))</f>
        <v>1.1228499999999999</v>
      </c>
      <c r="W340" s="178">
        <f t="shared" si="59"/>
        <v>34014.77098950107</v>
      </c>
      <c r="X340" s="481">
        <f t="shared" si="55"/>
        <v>2490.4731975010727</v>
      </c>
      <c r="Y340" s="179"/>
      <c r="Z340" s="466">
        <f t="shared" si="56"/>
        <v>33185.628285638399</v>
      </c>
      <c r="AA340" s="473">
        <f t="shared" si="57"/>
        <v>829.14270386267162</v>
      </c>
      <c r="AB340" s="339">
        <f t="shared" si="58"/>
        <v>0.1393012588968261</v>
      </c>
    </row>
    <row r="341" spans="1:28" ht="20.100000000000001" customHeight="1" thickBot="1">
      <c r="A341" s="484"/>
      <c r="B341" s="172">
        <v>1179000</v>
      </c>
      <c r="C341" s="174">
        <v>44399</v>
      </c>
      <c r="D341" s="181" t="s">
        <v>242</v>
      </c>
      <c r="E341" s="173" t="s">
        <v>33</v>
      </c>
      <c r="F341" s="176">
        <v>439660.169711828</v>
      </c>
      <c r="G341" s="175">
        <f t="shared" si="60"/>
        <v>81144</v>
      </c>
      <c r="H341" s="175">
        <f t="shared" si="53"/>
        <v>439660.169711828</v>
      </c>
      <c r="I341" s="177">
        <f>IF(G341=0,0,IF(E341="MXN",1/HLOOKUP(YEAR(C341)+(MONTH(C341)/100),TC!$5:$37,DAY(C341)+2,FALSE),VLOOKUP(E341,Equivalencia!$5:$23,((MAX(Equivalencia!$3:$3)-YEAR(C341))*14)+MONTH(C341)+2,FALSE)))</f>
        <v>1</v>
      </c>
      <c r="J341" s="178">
        <f t="shared" si="61"/>
        <v>439660.169711828</v>
      </c>
      <c r="K341" s="462">
        <f>IF(C341=0,0,VLOOKUP(YEAR(C341),INPC!$B$4:$O$29,MONTH(C341)+1))</f>
        <v>113.682</v>
      </c>
      <c r="L341" s="462">
        <f>IF(S341=0,0,VLOOKUP(YEAR(S341),INPC!$B$4:$O$29,MONTH(S341)+1))</f>
        <v>118.002</v>
      </c>
      <c r="M341" s="463">
        <f t="shared" si="54"/>
        <v>1.038</v>
      </c>
      <c r="N341" s="465">
        <f t="shared" si="62"/>
        <v>456367.25616087747</v>
      </c>
      <c r="O341" s="179"/>
      <c r="P341" s="180">
        <v>81144</v>
      </c>
      <c r="Q341" s="173" t="s">
        <v>583</v>
      </c>
      <c r="R341" s="173" t="s">
        <v>230</v>
      </c>
      <c r="S341" s="174">
        <v>44587</v>
      </c>
      <c r="T341" s="173" t="s">
        <v>33</v>
      </c>
      <c r="U341" s="182">
        <v>434716.59</v>
      </c>
      <c r="V341" s="177">
        <f>IF(U341=0,0,IF(T341="MXN",1/HLOOKUP(YEAR(S341)+(MONTH(S341)/100),TC!$5:$37,DAY(S341)+2,FALSE),VLOOKUP(T341,Equivalencia!$1:$23,((MAX(Equivalencia!$3:$3)-YEAR(S341))*14)+MONTH(S341)+2,FALSE)))</f>
        <v>1</v>
      </c>
      <c r="W341" s="178">
        <f t="shared" si="59"/>
        <v>434716.59</v>
      </c>
      <c r="X341" s="481">
        <f t="shared" si="55"/>
        <v>-4943.5797118279734</v>
      </c>
      <c r="Y341" s="179"/>
      <c r="Z341" s="466">
        <f t="shared" si="56"/>
        <v>456367.25616087747</v>
      </c>
      <c r="AA341" s="473">
        <f t="shared" si="57"/>
        <v>-21650.666160877445</v>
      </c>
      <c r="AB341" s="339">
        <f t="shared" si="58"/>
        <v>-1.1244092716127141E-2</v>
      </c>
    </row>
    <row r="342" spans="1:28" ht="20.100000000000001" customHeight="1">
      <c r="A342" s="484"/>
      <c r="B342" s="172">
        <v>1179000</v>
      </c>
      <c r="C342" s="174">
        <v>44403</v>
      </c>
      <c r="D342" s="181" t="s">
        <v>242</v>
      </c>
      <c r="E342" s="173" t="s">
        <v>33</v>
      </c>
      <c r="F342" s="176">
        <v>13849.867363477924</v>
      </c>
      <c r="G342" s="175">
        <f t="shared" si="60"/>
        <v>2556</v>
      </c>
      <c r="H342" s="175">
        <f t="shared" si="53"/>
        <v>13849.867363477924</v>
      </c>
      <c r="I342" s="177">
        <f>IF(G342=0,0,IF(E342="MXN",1/HLOOKUP(YEAR(C342)+(MONTH(C342)/100),TC!$5:$37,DAY(C342)+2,FALSE),VLOOKUP(E342,Equivalencia!$5:$23,((MAX(Equivalencia!$3:$3)-YEAR(C342))*14)+MONTH(C342)+2,FALSE)))</f>
        <v>1</v>
      </c>
      <c r="J342" s="178">
        <f t="shared" si="61"/>
        <v>13849.867363477924</v>
      </c>
      <c r="K342" s="462">
        <f>IF(C342=0,0,VLOOKUP(YEAR(C342),INPC!$B$4:$O$29,MONTH(C342)+1))</f>
        <v>113.682</v>
      </c>
      <c r="L342" s="462">
        <f>IF(S342=0,0,VLOOKUP(YEAR(S342),INPC!$B$4:$O$29,MONTH(S342)+1))</f>
        <v>120.15900000000001</v>
      </c>
      <c r="M342" s="463">
        <f t="shared" si="54"/>
        <v>1.0569</v>
      </c>
      <c r="N342" s="465">
        <f t="shared" si="62"/>
        <v>14637.924816459818</v>
      </c>
      <c r="O342" s="179"/>
      <c r="P342" s="506">
        <v>2556</v>
      </c>
      <c r="Q342" s="173" t="s">
        <v>583</v>
      </c>
      <c r="R342" s="173" t="s">
        <v>230</v>
      </c>
      <c r="S342" s="174">
        <v>44643</v>
      </c>
      <c r="T342" s="173" t="s">
        <v>33</v>
      </c>
      <c r="U342" s="509">
        <v>13436.681485954125</v>
      </c>
      <c r="V342" s="177">
        <f>IF(U342=0,0,IF(T342="MXN",1/HLOOKUP(YEAR(S342)+(MONTH(S342)/100),TC!$5:$37,DAY(S342)+2,FALSE),VLOOKUP(T342,Equivalencia!$1:$23,((MAX(Equivalencia!$3:$3)-YEAR(S342))*14)+MONTH(S342)+2,FALSE)))</f>
        <v>1</v>
      </c>
      <c r="W342" s="178">
        <f t="shared" si="59"/>
        <v>13436.681485954125</v>
      </c>
      <c r="X342" s="481">
        <f t="shared" si="55"/>
        <v>-413.18587752379972</v>
      </c>
      <c r="Y342" s="179"/>
      <c r="Z342" s="466">
        <f t="shared" si="56"/>
        <v>14637.924816459818</v>
      </c>
      <c r="AA342" s="473">
        <f t="shared" si="57"/>
        <v>-1201.2433305056929</v>
      </c>
      <c r="AB342" s="339">
        <f t="shared" si="58"/>
        <v>-2.9833201046630231E-2</v>
      </c>
    </row>
    <row r="343" spans="1:28" ht="20.100000000000001" customHeight="1" thickBot="1">
      <c r="A343" s="484"/>
      <c r="B343" s="172">
        <v>1179000</v>
      </c>
      <c r="C343" s="174">
        <v>44403</v>
      </c>
      <c r="D343" s="181" t="s">
        <v>242</v>
      </c>
      <c r="E343" s="173" t="s">
        <v>33</v>
      </c>
      <c r="F343" s="176">
        <v>427671.54984241864</v>
      </c>
      <c r="G343" s="175">
        <f t="shared" si="60"/>
        <v>78927</v>
      </c>
      <c r="H343" s="175">
        <f t="shared" si="53"/>
        <v>427671.54984241864</v>
      </c>
      <c r="I343" s="177">
        <f>IF(G343=0,0,IF(E343="MXN",1/HLOOKUP(YEAR(C343)+(MONTH(C343)/100),TC!$5:$37,DAY(C343)+2,FALSE),VLOOKUP(E343,Equivalencia!$5:$23,((MAX(Equivalencia!$3:$3)-YEAR(C343))*14)+MONTH(C343)+2,FALSE)))</f>
        <v>1</v>
      </c>
      <c r="J343" s="178">
        <f t="shared" si="61"/>
        <v>427671.54984241864</v>
      </c>
      <c r="K343" s="462">
        <f>IF(C343=0,0,VLOOKUP(YEAR(C343),INPC!$B$4:$O$29,MONTH(C343)+1))</f>
        <v>113.682</v>
      </c>
      <c r="L343" s="462">
        <f>IF(S343=0,0,VLOOKUP(YEAR(S343),INPC!$B$4:$O$29,MONTH(S343)+1))</f>
        <v>120.15900000000001</v>
      </c>
      <c r="M343" s="463">
        <f t="shared" si="54"/>
        <v>1.0569</v>
      </c>
      <c r="N343" s="465">
        <f t="shared" si="62"/>
        <v>452006.06102845224</v>
      </c>
      <c r="O343" s="179"/>
      <c r="P343" s="508">
        <v>78927</v>
      </c>
      <c r="Q343" s="173" t="s">
        <v>583</v>
      </c>
      <c r="R343" s="173" t="s">
        <v>230</v>
      </c>
      <c r="S343" s="174">
        <v>44643</v>
      </c>
      <c r="T343" s="173" t="s">
        <v>33</v>
      </c>
      <c r="U343" s="510">
        <v>414912.73851404584</v>
      </c>
      <c r="V343" s="177">
        <f>IF(U343=0,0,IF(T343="MXN",1/HLOOKUP(YEAR(S343)+(MONTH(S343)/100),TC!$5:$37,DAY(S343)+2,FALSE),VLOOKUP(T343,Equivalencia!$1:$23,((MAX(Equivalencia!$3:$3)-YEAR(S343))*14)+MONTH(S343)+2,FALSE)))</f>
        <v>1</v>
      </c>
      <c r="W343" s="178">
        <f t="shared" si="59"/>
        <v>414912.73851404584</v>
      </c>
      <c r="X343" s="481">
        <f t="shared" si="55"/>
        <v>-12758.811328372802</v>
      </c>
      <c r="Y343" s="179"/>
      <c r="Z343" s="466">
        <f t="shared" si="56"/>
        <v>452006.06102845224</v>
      </c>
      <c r="AA343" s="473">
        <f t="shared" si="57"/>
        <v>-37093.322514406405</v>
      </c>
      <c r="AB343" s="339">
        <f t="shared" si="58"/>
        <v>-2.9833201046630231E-2</v>
      </c>
    </row>
    <row r="344" spans="1:28" ht="20.100000000000001" customHeight="1" thickBot="1">
      <c r="A344" s="484"/>
      <c r="B344" s="172">
        <v>1179000</v>
      </c>
      <c r="C344" s="174">
        <v>43964</v>
      </c>
      <c r="D344" s="181" t="s">
        <v>243</v>
      </c>
      <c r="E344" s="173" t="s">
        <v>33</v>
      </c>
      <c r="F344" s="176">
        <v>301398.61587744713</v>
      </c>
      <c r="G344" s="175">
        <f t="shared" si="60"/>
        <v>2886.1309999999999</v>
      </c>
      <c r="H344" s="175">
        <f t="shared" si="53"/>
        <v>301398.61587744713</v>
      </c>
      <c r="I344" s="177">
        <f>IF(G344=0,0,IF(E344="MXN",1/HLOOKUP(YEAR(C344)+(MONTH(C344)/100),TC!$5:$37,DAY(C344)+2,FALSE),VLOOKUP(E344,Equivalencia!$5:$23,((MAX(Equivalencia!$3:$3)-YEAR(C344))*14)+MONTH(C344)+2,FALSE)))</f>
        <v>1</v>
      </c>
      <c r="J344" s="178">
        <f t="shared" si="61"/>
        <v>301398.61587744713</v>
      </c>
      <c r="K344" s="462">
        <f>IF(C344=0,0,VLOOKUP(YEAR(C344),INPC!$B$4:$O$29,MONTH(C344)+1))</f>
        <v>106.16200000000001</v>
      </c>
      <c r="L344" s="462">
        <f>IF(S344=0,0,VLOOKUP(YEAR(S344),INPC!$B$4:$O$29,MONTH(S344)+1))</f>
        <v>118.002</v>
      </c>
      <c r="M344" s="463">
        <f t="shared" si="54"/>
        <v>1.1114999999999999</v>
      </c>
      <c r="N344" s="465">
        <f t="shared" si="62"/>
        <v>335004.56154778245</v>
      </c>
      <c r="O344" s="179"/>
      <c r="P344" s="180">
        <v>2886.1309999999999</v>
      </c>
      <c r="Q344" s="173" t="s">
        <v>583</v>
      </c>
      <c r="R344" s="173" t="s">
        <v>230</v>
      </c>
      <c r="S344" s="174">
        <v>44589</v>
      </c>
      <c r="T344" s="173" t="s">
        <v>33</v>
      </c>
      <c r="U344" s="182">
        <v>347490.17</v>
      </c>
      <c r="V344" s="177">
        <f>IF(U344=0,0,IF(T344="MXN",1/HLOOKUP(YEAR(S344)+(MONTH(S344)/100),TC!$5:$37,DAY(S344)+2,FALSE),VLOOKUP(T344,Equivalencia!$1:$23,((MAX(Equivalencia!$3:$3)-YEAR(S344))*14)+MONTH(S344)+2,FALSE)))</f>
        <v>1</v>
      </c>
      <c r="W344" s="178">
        <f t="shared" si="59"/>
        <v>347490.17</v>
      </c>
      <c r="X344" s="481">
        <f t="shared" si="55"/>
        <v>46091.554122552858</v>
      </c>
      <c r="Y344" s="179"/>
      <c r="Z344" s="466">
        <f t="shared" si="56"/>
        <v>335004.56154778245</v>
      </c>
      <c r="AA344" s="473">
        <f t="shared" si="57"/>
        <v>12485.608452217537</v>
      </c>
      <c r="AB344" s="339">
        <f t="shared" si="58"/>
        <v>0.15292556665653145</v>
      </c>
    </row>
    <row r="345" spans="1:28" ht="20.100000000000001" customHeight="1">
      <c r="A345" s="484"/>
      <c r="B345" s="172">
        <v>1179000</v>
      </c>
      <c r="C345" s="174">
        <v>43830</v>
      </c>
      <c r="D345" s="181" t="s">
        <v>244</v>
      </c>
      <c r="E345" s="173" t="s">
        <v>337</v>
      </c>
      <c r="F345" s="176">
        <v>153137.87</v>
      </c>
      <c r="G345" s="175">
        <f t="shared" si="60"/>
        <v>1009</v>
      </c>
      <c r="H345" s="175">
        <f t="shared" si="53"/>
        <v>153137.87</v>
      </c>
      <c r="I345" s="177">
        <f>IF(G345=0,0,IF(E345="MXN",1/HLOOKUP(YEAR(C345)+(MONTH(C345)/100),TC!$5:$37,DAY(C345)+2,FALSE),VLOOKUP(E345,Equivalencia!$5:$23,((MAX(Equivalencia!$3:$3)-YEAR(C345))*14)+MONTH(C345)+2,FALSE)))</f>
        <v>1.1225000000000001</v>
      </c>
      <c r="J345" s="178">
        <f t="shared" si="61"/>
        <v>171897.25907500001</v>
      </c>
      <c r="K345" s="462">
        <f>IF(C345=0,0,VLOOKUP(YEAR(C345),INPC!$B$4:$O$29,MONTH(C345)+1))</f>
        <v>105.934</v>
      </c>
      <c r="L345" s="462">
        <f>IF(S345=0,0,VLOOKUP(YEAR(S345),INPC!$B$4:$O$29,MONTH(S345)+1))</f>
        <v>118.98099999999999</v>
      </c>
      <c r="M345" s="463">
        <f t="shared" si="54"/>
        <v>1.1231</v>
      </c>
      <c r="N345" s="465">
        <f t="shared" si="62"/>
        <v>193057.81166713251</v>
      </c>
      <c r="O345" s="179"/>
      <c r="P345" s="506">
        <v>1009</v>
      </c>
      <c r="Q345" s="173" t="s">
        <v>583</v>
      </c>
      <c r="R345" s="173" t="s">
        <v>230</v>
      </c>
      <c r="S345" s="174">
        <v>44595</v>
      </c>
      <c r="T345" s="173" t="s">
        <v>337</v>
      </c>
      <c r="U345" s="509">
        <v>182255.91201107012</v>
      </c>
      <c r="V345" s="177">
        <f>IF(U345=0,0,IF(T345="MXN",1/HLOOKUP(YEAR(S345)+(MONTH(S345)/100),TC!$5:$37,DAY(S345)+2,FALSE),VLOOKUP(T345,Equivalencia!$1:$23,((MAX(Equivalencia!$3:$3)-YEAR(S345))*14)+MONTH(S345)+2,FALSE)))</f>
        <v>1.1228499999999999</v>
      </c>
      <c r="W345" s="178">
        <f t="shared" si="59"/>
        <v>204646.05080163007</v>
      </c>
      <c r="X345" s="481">
        <f t="shared" si="55"/>
        <v>32748.791726630065</v>
      </c>
      <c r="Y345" s="179"/>
      <c r="Z345" s="466">
        <f t="shared" si="56"/>
        <v>193057.81166713251</v>
      </c>
      <c r="AA345" s="473">
        <f t="shared" si="57"/>
        <v>11588.239134497562</v>
      </c>
      <c r="AB345" s="339">
        <f t="shared" si="58"/>
        <v>0.19014266040836358</v>
      </c>
    </row>
    <row r="346" spans="1:28" ht="20.100000000000001" customHeight="1" thickBot="1">
      <c r="A346" s="484"/>
      <c r="B346" s="172">
        <v>1179000</v>
      </c>
      <c r="C346" s="174">
        <v>44357</v>
      </c>
      <c r="D346" s="181" t="s">
        <v>244</v>
      </c>
      <c r="E346" s="173" t="s">
        <v>337</v>
      </c>
      <c r="F346" s="176">
        <v>12931.81</v>
      </c>
      <c r="G346" s="175">
        <f t="shared" si="60"/>
        <v>75</v>
      </c>
      <c r="H346" s="175">
        <f t="shared" si="53"/>
        <v>12931.81</v>
      </c>
      <c r="I346" s="177">
        <f>IF(G346=0,0,IF(E346="MXN",1/HLOOKUP(YEAR(C346)+(MONTH(C346)/100),TC!$5:$37,DAY(C346)+2,FALSE),VLOOKUP(E346,Equivalencia!$5:$23,((MAX(Equivalencia!$3:$3)-YEAR(C346))*14)+MONTH(C346)+2,FALSE)))</f>
        <v>1.1856</v>
      </c>
      <c r="J346" s="178">
        <f t="shared" si="61"/>
        <v>15331.953936</v>
      </c>
      <c r="K346" s="462">
        <f>IF(C346=0,0,VLOOKUP(YEAR(C346),INPC!$B$4:$O$29,MONTH(C346)+1))</f>
        <v>113.018</v>
      </c>
      <c r="L346" s="462">
        <f>IF(S346=0,0,VLOOKUP(YEAR(S346),INPC!$B$4:$O$29,MONTH(S346)+1))</f>
        <v>118.98099999999999</v>
      </c>
      <c r="M346" s="463">
        <f t="shared" si="54"/>
        <v>1.0527</v>
      </c>
      <c r="N346" s="465">
        <f t="shared" si="62"/>
        <v>16139.947908427199</v>
      </c>
      <c r="O346" s="179"/>
      <c r="P346" s="508">
        <v>75</v>
      </c>
      <c r="Q346" s="173" t="s">
        <v>583</v>
      </c>
      <c r="R346" s="173" t="s">
        <v>230</v>
      </c>
      <c r="S346" s="174">
        <v>44595</v>
      </c>
      <c r="T346" s="173" t="s">
        <v>337</v>
      </c>
      <c r="U346" s="510">
        <v>13547.267988929889</v>
      </c>
      <c r="V346" s="177">
        <f>IF(U346=0,0,IF(T346="MXN",1/HLOOKUP(YEAR(S346)+(MONTH(S346)/100),TC!$5:$37,DAY(S346)+2,FALSE),VLOOKUP(T346,Equivalencia!$1:$23,((MAX(Equivalencia!$3:$3)-YEAR(S346))*14)+MONTH(S346)+2,FALSE)))</f>
        <v>1.1228499999999999</v>
      </c>
      <c r="W346" s="178">
        <f t="shared" si="59"/>
        <v>15211.549861369924</v>
      </c>
      <c r="X346" s="481">
        <f t="shared" si="55"/>
        <v>-120.40407463007614</v>
      </c>
      <c r="Y346" s="179"/>
      <c r="Z346" s="466">
        <f t="shared" si="56"/>
        <v>16139.947908427199</v>
      </c>
      <c r="AA346" s="473">
        <f t="shared" si="57"/>
        <v>-928.39804705727511</v>
      </c>
      <c r="AB346" s="339">
        <f t="shared" si="58"/>
        <v>4.7592563525901577E-2</v>
      </c>
    </row>
    <row r="347" spans="1:28" ht="20.100000000000001" customHeight="1">
      <c r="A347" s="484"/>
      <c r="B347" s="172">
        <v>1179000</v>
      </c>
      <c r="C347" s="174">
        <v>44216</v>
      </c>
      <c r="D347" s="181" t="s">
        <v>245</v>
      </c>
      <c r="E347" s="173" t="s">
        <v>337</v>
      </c>
      <c r="F347" s="176">
        <v>141687.57999999999</v>
      </c>
      <c r="G347" s="175">
        <f t="shared" si="60"/>
        <v>950</v>
      </c>
      <c r="H347" s="175">
        <f t="shared" si="53"/>
        <v>141687.57999999999</v>
      </c>
      <c r="I347" s="177">
        <f>IF(G347=0,0,IF(E347="MXN",1/HLOOKUP(YEAR(C347)+(MONTH(C347)/100),TC!$5:$37,DAY(C347)+2,FALSE),VLOOKUP(E347,Equivalencia!$5:$23,((MAX(Equivalencia!$3:$3)-YEAR(C347))*14)+MONTH(C347)+2,FALSE)))</f>
        <v>1.2145999999999999</v>
      </c>
      <c r="J347" s="178">
        <f t="shared" si="61"/>
        <v>172093.73466799996</v>
      </c>
      <c r="K347" s="462">
        <f>IF(C347=0,0,VLOOKUP(YEAR(C347),INPC!$B$4:$O$29,MONTH(C347)+1))</f>
        <v>110.21</v>
      </c>
      <c r="L347" s="462">
        <f>IF(S347=0,0,VLOOKUP(YEAR(S347),INPC!$B$4:$O$29,MONTH(S347)+1))</f>
        <v>118.98099999999999</v>
      </c>
      <c r="M347" s="463">
        <f t="shared" si="54"/>
        <v>1.0794999999999999</v>
      </c>
      <c r="N347" s="465">
        <f t="shared" si="62"/>
        <v>185775.18657410593</v>
      </c>
      <c r="O347" s="179"/>
      <c r="P347" s="180">
        <v>950</v>
      </c>
      <c r="Q347" s="173" t="s">
        <v>583</v>
      </c>
      <c r="R347" s="173" t="s">
        <v>230</v>
      </c>
      <c r="S347" s="174">
        <v>44595</v>
      </c>
      <c r="T347" s="173" t="s">
        <v>337</v>
      </c>
      <c r="U347" s="509">
        <v>146120.94399999999</v>
      </c>
      <c r="V347" s="177">
        <f>IF(U347=0,0,IF(T347="MXN",1/HLOOKUP(YEAR(S347)+(MONTH(S347)/100),TC!$5:$37,DAY(S347)+2,FALSE),VLOOKUP(T347,Equivalencia!$1:$23,((MAX(Equivalencia!$3:$3)-YEAR(S347))*14)+MONTH(S347)+2,FALSE)))</f>
        <v>1.1228499999999999</v>
      </c>
      <c r="W347" s="178">
        <f t="shared" si="59"/>
        <v>164071.90197039998</v>
      </c>
      <c r="X347" s="481">
        <f t="shared" si="55"/>
        <v>-8021.8326975999807</v>
      </c>
      <c r="Y347" s="179"/>
      <c r="Z347" s="466">
        <f t="shared" si="56"/>
        <v>185775.18657410593</v>
      </c>
      <c r="AA347" s="473">
        <f t="shared" si="57"/>
        <v>-21703.28460370595</v>
      </c>
      <c r="AB347" s="339">
        <f t="shared" si="58"/>
        <v>3.1289715019481523E-2</v>
      </c>
    </row>
    <row r="348" spans="1:28" ht="20.100000000000001" customHeight="1" thickBot="1">
      <c r="A348" s="484"/>
      <c r="B348" s="172">
        <v>1179000</v>
      </c>
      <c r="C348" s="174">
        <v>44357</v>
      </c>
      <c r="D348" s="181" t="s">
        <v>245</v>
      </c>
      <c r="E348" s="173" t="s">
        <v>337</v>
      </c>
      <c r="F348" s="176">
        <v>43795.500000000007</v>
      </c>
      <c r="G348" s="175">
        <f t="shared" si="60"/>
        <v>300</v>
      </c>
      <c r="H348" s="175">
        <f t="shared" si="53"/>
        <v>43795.500000000007</v>
      </c>
      <c r="I348" s="177">
        <f>IF(G348=0,0,IF(E348="MXN",1/HLOOKUP(YEAR(C348)+(MONTH(C348)/100),TC!$5:$37,DAY(C348)+2,FALSE),VLOOKUP(E348,Equivalencia!$5:$23,((MAX(Equivalencia!$3:$3)-YEAR(C348))*14)+MONTH(C348)+2,FALSE)))</f>
        <v>1.1856</v>
      </c>
      <c r="J348" s="178">
        <f t="shared" si="61"/>
        <v>51923.944800000005</v>
      </c>
      <c r="K348" s="462">
        <f>IF(C348=0,0,VLOOKUP(YEAR(C348),INPC!$B$4:$O$29,MONTH(C348)+1))</f>
        <v>113.018</v>
      </c>
      <c r="L348" s="462">
        <f>IF(S348=0,0,VLOOKUP(YEAR(S348),INPC!$B$4:$O$29,MONTH(S348)+1))</f>
        <v>118.98099999999999</v>
      </c>
      <c r="M348" s="463">
        <f t="shared" si="54"/>
        <v>1.0527</v>
      </c>
      <c r="N348" s="465">
        <f t="shared" si="62"/>
        <v>54660.336690960001</v>
      </c>
      <c r="O348" s="179"/>
      <c r="P348" s="180">
        <v>300</v>
      </c>
      <c r="Q348" s="173" t="s">
        <v>583</v>
      </c>
      <c r="R348" s="173" t="s">
        <v>230</v>
      </c>
      <c r="S348" s="174">
        <v>44595</v>
      </c>
      <c r="T348" s="173" t="s">
        <v>337</v>
      </c>
      <c r="U348" s="510">
        <v>46143.455999999998</v>
      </c>
      <c r="V348" s="177">
        <f>IF(U348=0,0,IF(T348="MXN",1/HLOOKUP(YEAR(S348)+(MONTH(S348)/100),TC!$5:$37,DAY(S348)+2,FALSE),VLOOKUP(T348,Equivalencia!$1:$23,((MAX(Equivalencia!$3:$3)-YEAR(S348))*14)+MONTH(S348)+2,FALSE)))</f>
        <v>1.1228499999999999</v>
      </c>
      <c r="W348" s="178">
        <f t="shared" si="59"/>
        <v>51812.179569599997</v>
      </c>
      <c r="X348" s="481">
        <f t="shared" si="55"/>
        <v>-111.76523040000757</v>
      </c>
      <c r="Y348" s="179"/>
      <c r="Z348" s="466">
        <f t="shared" si="56"/>
        <v>54660.336690960001</v>
      </c>
      <c r="AA348" s="473">
        <f t="shared" si="57"/>
        <v>-2848.1571213600037</v>
      </c>
      <c r="AB348" s="339">
        <f t="shared" si="58"/>
        <v>5.3611809432475788E-2</v>
      </c>
    </row>
    <row r="349" spans="1:28" ht="20.100000000000001" customHeight="1">
      <c r="A349" s="484"/>
      <c r="B349" s="172">
        <v>1179000</v>
      </c>
      <c r="C349" s="174">
        <v>44406</v>
      </c>
      <c r="D349" s="181" t="s">
        <v>246</v>
      </c>
      <c r="E349" s="173" t="s">
        <v>33</v>
      </c>
      <c r="F349" s="176">
        <v>186046.95225490196</v>
      </c>
      <c r="G349" s="175">
        <f t="shared" si="60"/>
        <v>2951</v>
      </c>
      <c r="H349" s="175">
        <f t="shared" si="53"/>
        <v>186046.95225490196</v>
      </c>
      <c r="I349" s="177">
        <f>IF(G349=0,0,IF(E349="MXN",1/HLOOKUP(YEAR(C349)+(MONTH(C349)/100),TC!$5:$37,DAY(C349)+2,FALSE),VLOOKUP(E349,Equivalencia!$5:$23,((MAX(Equivalencia!$3:$3)-YEAR(C349))*14)+MONTH(C349)+2,FALSE)))</f>
        <v>1</v>
      </c>
      <c r="J349" s="178">
        <f t="shared" si="61"/>
        <v>186046.95225490196</v>
      </c>
      <c r="K349" s="462">
        <f>IF(C349=0,0,VLOOKUP(YEAR(C349),INPC!$B$4:$O$29,MONTH(C349)+1))</f>
        <v>113.682</v>
      </c>
      <c r="L349" s="462">
        <f>IF(S349=0,0,VLOOKUP(YEAR(S349),INPC!$B$4:$O$29,MONTH(S349)+1))</f>
        <v>118.98099999999999</v>
      </c>
      <c r="M349" s="463">
        <f t="shared" si="54"/>
        <v>1.0466</v>
      </c>
      <c r="N349" s="465">
        <f t="shared" si="62"/>
        <v>194716.74022998038</v>
      </c>
      <c r="O349" s="179"/>
      <c r="P349" s="180">
        <v>2951</v>
      </c>
      <c r="Q349" s="173" t="s">
        <v>583</v>
      </c>
      <c r="R349" s="173" t="s">
        <v>230</v>
      </c>
      <c r="S349" s="174">
        <v>44595</v>
      </c>
      <c r="T349" s="173" t="s">
        <v>33</v>
      </c>
      <c r="U349" s="182">
        <v>205401.52</v>
      </c>
      <c r="V349" s="177">
        <f>IF(U349=0,0,IF(T349="MXN",1/HLOOKUP(YEAR(S349)+(MONTH(S349)/100),TC!$5:$37,DAY(S349)+2,FALSE),VLOOKUP(T349,Equivalencia!$1:$23,((MAX(Equivalencia!$3:$3)-YEAR(S349))*14)+MONTH(S349)+2,FALSE)))</f>
        <v>1</v>
      </c>
      <c r="W349" s="178">
        <f t="shared" si="59"/>
        <v>205401.52</v>
      </c>
      <c r="X349" s="481">
        <f t="shared" si="55"/>
        <v>19354.567745098029</v>
      </c>
      <c r="Y349" s="179"/>
      <c r="Z349" s="466">
        <f t="shared" si="56"/>
        <v>194716.74022998038</v>
      </c>
      <c r="AA349" s="473">
        <f t="shared" si="57"/>
        <v>10684.77977001961</v>
      </c>
      <c r="AB349" s="339">
        <f t="shared" si="58"/>
        <v>0.10403055524704552</v>
      </c>
    </row>
    <row r="350" spans="1:28" ht="20.100000000000001" customHeight="1">
      <c r="B350" s="172">
        <v>1175000</v>
      </c>
      <c r="C350" s="174">
        <v>44252</v>
      </c>
      <c r="D350" s="181" t="s">
        <v>165</v>
      </c>
      <c r="E350" s="173" t="s">
        <v>33</v>
      </c>
      <c r="F350" s="176">
        <v>157.65818181818182</v>
      </c>
      <c r="G350" s="175">
        <f t="shared" si="60"/>
        <v>2</v>
      </c>
      <c r="H350" s="175">
        <f t="shared" si="53"/>
        <v>157.65818181818182</v>
      </c>
      <c r="I350" s="177">
        <f>IF(G350=0,0,IF(E350="MXN",1/HLOOKUP(YEAR(C350)+(MONTH(C350)/100),TC!$5:$37,DAY(C350)+2,FALSE),VLOOKUP(E350,Equivalencia!$5:$23,((MAX(Equivalencia!$3:$3)-YEAR(C350))*14)+MONTH(C350)+2,FALSE)))</f>
        <v>1</v>
      </c>
      <c r="J350" s="178">
        <f t="shared" si="61"/>
        <v>157.65818181818182</v>
      </c>
      <c r="K350" s="462">
        <f>IF(C350=0,0,VLOOKUP(YEAR(C350),INPC!$B$4:$O$29,MONTH(C350)+1))</f>
        <v>110.907</v>
      </c>
      <c r="L350" s="462">
        <f>IF(S350=0,0,VLOOKUP(YEAR(S350),INPC!$B$4:$O$29,MONTH(S350)+1))</f>
        <v>118.98099999999999</v>
      </c>
      <c r="M350" s="463">
        <f t="shared" si="54"/>
        <v>1.0727</v>
      </c>
      <c r="N350" s="465">
        <f t="shared" si="62"/>
        <v>169.11993163636365</v>
      </c>
      <c r="O350" s="179"/>
      <c r="P350" s="180">
        <v>2</v>
      </c>
      <c r="Q350" s="173" t="s">
        <v>583</v>
      </c>
      <c r="R350" s="173" t="s">
        <v>230</v>
      </c>
      <c r="S350" s="174">
        <v>44593</v>
      </c>
      <c r="T350" s="173" t="s">
        <v>33</v>
      </c>
      <c r="U350" s="182">
        <v>151.44</v>
      </c>
      <c r="V350" s="177">
        <f>IF(U350=0,0,IF(T350="MXN",1/HLOOKUP(YEAR(S350)+(MONTH(S350)/100),TC!$5:$37,DAY(S350)+2,FALSE),VLOOKUP(T350,Equivalencia!$1:$23,((MAX(Equivalencia!$3:$3)-YEAR(S350))*14)+MONTH(S350)+2,FALSE)))</f>
        <v>1</v>
      </c>
      <c r="W350" s="178">
        <f t="shared" si="59"/>
        <v>151.44</v>
      </c>
      <c r="X350" s="481">
        <f t="shared" si="55"/>
        <v>-6.2181818181818187</v>
      </c>
      <c r="Y350" s="179"/>
      <c r="Z350" s="466">
        <f t="shared" si="56"/>
        <v>169.11993163636365</v>
      </c>
      <c r="AA350" s="473">
        <f t="shared" si="57"/>
        <v>-17.679931636363648</v>
      </c>
      <c r="AB350" s="339">
        <f t="shared" si="58"/>
        <v>-3.9440907832825944E-2</v>
      </c>
    </row>
    <row r="351" spans="1:28" ht="20.100000000000001" customHeight="1">
      <c r="B351" s="172">
        <v>1175000</v>
      </c>
      <c r="C351" s="174">
        <v>44252</v>
      </c>
      <c r="D351" s="181" t="s">
        <v>165</v>
      </c>
      <c r="E351" s="173" t="s">
        <v>33</v>
      </c>
      <c r="F351" s="176">
        <v>236.48727272727274</v>
      </c>
      <c r="G351" s="175">
        <f t="shared" si="60"/>
        <v>3</v>
      </c>
      <c r="H351" s="175">
        <f t="shared" si="53"/>
        <v>236.48727272727274</v>
      </c>
      <c r="I351" s="177">
        <f>IF(G351=0,0,IF(E351="MXN",1/HLOOKUP(YEAR(C351)+(MONTH(C351)/100),TC!$5:$37,DAY(C351)+2,FALSE),VLOOKUP(E351,Equivalencia!$5:$23,((MAX(Equivalencia!$3:$3)-YEAR(C351))*14)+MONTH(C351)+2,FALSE)))</f>
        <v>1</v>
      </c>
      <c r="J351" s="178">
        <f t="shared" si="61"/>
        <v>236.48727272727274</v>
      </c>
      <c r="K351" s="462">
        <f>IF(C351=0,0,VLOOKUP(YEAR(C351),INPC!$B$4:$O$29,MONTH(C351)+1))</f>
        <v>110.907</v>
      </c>
      <c r="L351" s="462">
        <f>IF(S351=0,0,VLOOKUP(YEAR(S351),INPC!$B$4:$O$29,MONTH(S351)+1))</f>
        <v>118.98099999999999</v>
      </c>
      <c r="M351" s="463">
        <f t="shared" si="54"/>
        <v>1.0727</v>
      </c>
      <c r="N351" s="465">
        <f t="shared" si="62"/>
        <v>253.67989745454545</v>
      </c>
      <c r="O351" s="179"/>
      <c r="P351" s="180">
        <v>3</v>
      </c>
      <c r="Q351" s="173" t="s">
        <v>583</v>
      </c>
      <c r="R351" s="173" t="s">
        <v>230</v>
      </c>
      <c r="S351" s="174">
        <v>44593</v>
      </c>
      <c r="T351" s="173" t="s">
        <v>33</v>
      </c>
      <c r="U351" s="182">
        <v>228.57</v>
      </c>
      <c r="V351" s="177">
        <f>IF(U351=0,0,IF(T351="MXN",1/HLOOKUP(YEAR(S351)+(MONTH(S351)/100),TC!$5:$37,DAY(S351)+2,FALSE),VLOOKUP(T351,Equivalencia!$1:$23,((MAX(Equivalencia!$3:$3)-YEAR(S351))*14)+MONTH(S351)+2,FALSE)))</f>
        <v>1</v>
      </c>
      <c r="W351" s="178">
        <f t="shared" si="59"/>
        <v>228.57</v>
      </c>
      <c r="X351" s="481">
        <f t="shared" si="55"/>
        <v>-7.9172727272727457</v>
      </c>
      <c r="Y351" s="179"/>
      <c r="Z351" s="466">
        <f t="shared" si="56"/>
        <v>253.67989745454545</v>
      </c>
      <c r="AA351" s="473">
        <f t="shared" si="57"/>
        <v>-25.109897454545461</v>
      </c>
      <c r="AB351" s="339">
        <f t="shared" si="58"/>
        <v>-3.3478641941138587E-2</v>
      </c>
    </row>
    <row r="352" spans="1:28" ht="20.100000000000001" customHeight="1">
      <c r="B352" s="172">
        <v>1175000</v>
      </c>
      <c r="C352" s="174">
        <v>44252</v>
      </c>
      <c r="D352" s="181" t="s">
        <v>165</v>
      </c>
      <c r="E352" s="173" t="s">
        <v>33</v>
      </c>
      <c r="F352" s="176">
        <v>709.46181818181822</v>
      </c>
      <c r="G352" s="175">
        <f t="shared" si="60"/>
        <v>9</v>
      </c>
      <c r="H352" s="175">
        <f t="shared" si="53"/>
        <v>709.46181818181822</v>
      </c>
      <c r="I352" s="177">
        <f>IF(G352=0,0,IF(E352="MXN",1/HLOOKUP(YEAR(C352)+(MONTH(C352)/100),TC!$5:$37,DAY(C352)+2,FALSE),VLOOKUP(E352,Equivalencia!$5:$23,((MAX(Equivalencia!$3:$3)-YEAR(C352))*14)+MONTH(C352)+2,FALSE)))</f>
        <v>1</v>
      </c>
      <c r="J352" s="178">
        <f t="shared" si="61"/>
        <v>709.46181818181822</v>
      </c>
      <c r="K352" s="462">
        <f>IF(C352=0,0,VLOOKUP(YEAR(C352),INPC!$B$4:$O$29,MONTH(C352)+1))</f>
        <v>110.907</v>
      </c>
      <c r="L352" s="462">
        <f>IF(S352=0,0,VLOOKUP(YEAR(S352),INPC!$B$4:$O$29,MONTH(S352)+1))</f>
        <v>118.98099999999999</v>
      </c>
      <c r="M352" s="463">
        <f t="shared" si="54"/>
        <v>1.0727</v>
      </c>
      <c r="N352" s="465">
        <f t="shared" si="62"/>
        <v>761.03969236363639</v>
      </c>
      <c r="O352" s="179"/>
      <c r="P352" s="180">
        <v>9</v>
      </c>
      <c r="Q352" s="173" t="s">
        <v>583</v>
      </c>
      <c r="R352" s="173" t="s">
        <v>230</v>
      </c>
      <c r="S352" s="174">
        <v>44593</v>
      </c>
      <c r="T352" s="173" t="s">
        <v>33</v>
      </c>
      <c r="U352" s="182">
        <v>689.85</v>
      </c>
      <c r="V352" s="177">
        <f>IF(U352=0,0,IF(T352="MXN",1/HLOOKUP(YEAR(S352)+(MONTH(S352)/100),TC!$5:$37,DAY(S352)+2,FALSE),VLOOKUP(T352,Equivalencia!$1:$23,((MAX(Equivalencia!$3:$3)-YEAR(S352))*14)+MONTH(S352)+2,FALSE)))</f>
        <v>1</v>
      </c>
      <c r="W352" s="178">
        <f t="shared" si="59"/>
        <v>689.85</v>
      </c>
      <c r="X352" s="481">
        <f t="shared" si="55"/>
        <v>-19.611818181818194</v>
      </c>
      <c r="Y352" s="179"/>
      <c r="Z352" s="466">
        <f t="shared" si="56"/>
        <v>761.03969236363639</v>
      </c>
      <c r="AA352" s="473">
        <f t="shared" si="57"/>
        <v>-71.189692363636368</v>
      </c>
      <c r="AB352" s="339">
        <f t="shared" si="58"/>
        <v>-2.7643232770550807E-2</v>
      </c>
    </row>
    <row r="353" spans="2:28" ht="20.100000000000001" customHeight="1">
      <c r="B353" s="172">
        <v>1175000</v>
      </c>
      <c r="C353" s="174">
        <v>44252</v>
      </c>
      <c r="D353" s="181" t="s">
        <v>165</v>
      </c>
      <c r="E353" s="173" t="s">
        <v>33</v>
      </c>
      <c r="F353" s="176">
        <v>1497.7527272727273</v>
      </c>
      <c r="G353" s="175">
        <f t="shared" si="60"/>
        <v>19</v>
      </c>
      <c r="H353" s="175">
        <f t="shared" si="53"/>
        <v>1497.7527272727273</v>
      </c>
      <c r="I353" s="177">
        <f>IF(G353=0,0,IF(E353="MXN",1/HLOOKUP(YEAR(C353)+(MONTH(C353)/100),TC!$5:$37,DAY(C353)+2,FALSE),VLOOKUP(E353,Equivalencia!$5:$23,((MAX(Equivalencia!$3:$3)-YEAR(C353))*14)+MONTH(C353)+2,FALSE)))</f>
        <v>1</v>
      </c>
      <c r="J353" s="178">
        <f t="shared" si="61"/>
        <v>1497.7527272727273</v>
      </c>
      <c r="K353" s="462">
        <f>IF(C353=0,0,VLOOKUP(YEAR(C353),INPC!$B$4:$O$29,MONTH(C353)+1))</f>
        <v>110.907</v>
      </c>
      <c r="L353" s="462">
        <f>IF(S353=0,0,VLOOKUP(YEAR(S353),INPC!$B$4:$O$29,MONTH(S353)+1))</f>
        <v>118.98099999999999</v>
      </c>
      <c r="M353" s="463">
        <f t="shared" si="54"/>
        <v>1.0727</v>
      </c>
      <c r="N353" s="465">
        <f t="shared" si="62"/>
        <v>1606.6393505454546</v>
      </c>
      <c r="O353" s="179"/>
      <c r="P353" s="180">
        <v>19</v>
      </c>
      <c r="Q353" s="173" t="s">
        <v>583</v>
      </c>
      <c r="R353" s="173" t="s">
        <v>230</v>
      </c>
      <c r="S353" s="174">
        <v>44593</v>
      </c>
      <c r="T353" s="173" t="s">
        <v>33</v>
      </c>
      <c r="U353" s="182">
        <v>1451.2706666666666</v>
      </c>
      <c r="V353" s="177">
        <f>IF(U353=0,0,IF(T353="MXN",1/HLOOKUP(YEAR(S353)+(MONTH(S353)/100),TC!$5:$37,DAY(S353)+2,FALSE),VLOOKUP(T353,Equivalencia!$1:$23,((MAX(Equivalencia!$3:$3)-YEAR(S353))*14)+MONTH(S353)+2,FALSE)))</f>
        <v>1</v>
      </c>
      <c r="W353" s="178">
        <f t="shared" si="59"/>
        <v>1451.2706666666666</v>
      </c>
      <c r="X353" s="481">
        <f t="shared" si="55"/>
        <v>-46.482060606060713</v>
      </c>
      <c r="Y353" s="179"/>
      <c r="Z353" s="466">
        <f t="shared" si="56"/>
        <v>1606.6393505454546</v>
      </c>
      <c r="AA353" s="473">
        <f t="shared" si="57"/>
        <v>-155.36868387878803</v>
      </c>
      <c r="AB353" s="339">
        <f t="shared" si="58"/>
        <v>-3.1034535781283679E-2</v>
      </c>
    </row>
    <row r="354" spans="2:28" ht="20.100000000000001" customHeight="1">
      <c r="B354" s="172">
        <v>1175000</v>
      </c>
      <c r="C354" s="174">
        <v>44253</v>
      </c>
      <c r="D354" s="181" t="s">
        <v>165</v>
      </c>
      <c r="E354" s="173" t="s">
        <v>33</v>
      </c>
      <c r="F354" s="176">
        <v>392.35</v>
      </c>
      <c r="G354" s="175">
        <f t="shared" si="60"/>
        <v>5</v>
      </c>
      <c r="H354" s="175">
        <f t="shared" si="53"/>
        <v>392.35</v>
      </c>
      <c r="I354" s="177">
        <f>IF(G354=0,0,IF(E354="MXN",1/HLOOKUP(YEAR(C354)+(MONTH(C354)/100),TC!$5:$37,DAY(C354)+2,FALSE),VLOOKUP(E354,Equivalencia!$5:$23,((MAX(Equivalencia!$3:$3)-YEAR(C354))*14)+MONTH(C354)+2,FALSE)))</f>
        <v>1</v>
      </c>
      <c r="J354" s="178">
        <f t="shared" si="61"/>
        <v>392.35</v>
      </c>
      <c r="K354" s="462">
        <f>IF(C354=0,0,VLOOKUP(YEAR(C354),INPC!$B$4:$O$29,MONTH(C354)+1))</f>
        <v>110.907</v>
      </c>
      <c r="L354" s="462">
        <f>IF(S354=0,0,VLOOKUP(YEAR(S354),INPC!$B$4:$O$29,MONTH(S354)+1))</f>
        <v>118.98099999999999</v>
      </c>
      <c r="M354" s="463">
        <f t="shared" si="54"/>
        <v>1.0727</v>
      </c>
      <c r="N354" s="465">
        <f t="shared" si="62"/>
        <v>420.87384500000002</v>
      </c>
      <c r="O354" s="179"/>
      <c r="P354" s="180">
        <v>5</v>
      </c>
      <c r="Q354" s="173" t="s">
        <v>583</v>
      </c>
      <c r="R354" s="173" t="s">
        <v>230</v>
      </c>
      <c r="S354" s="174">
        <v>44593</v>
      </c>
      <c r="T354" s="173" t="s">
        <v>33</v>
      </c>
      <c r="U354" s="182">
        <v>381.9133333333333</v>
      </c>
      <c r="V354" s="177">
        <f>IF(U354=0,0,IF(T354="MXN",1/HLOOKUP(YEAR(S354)+(MONTH(S354)/100),TC!$5:$37,DAY(S354)+2,FALSE),VLOOKUP(T354,Equivalencia!$1:$23,((MAX(Equivalencia!$3:$3)-YEAR(S354))*14)+MONTH(S354)+2,FALSE)))</f>
        <v>1</v>
      </c>
      <c r="W354" s="178">
        <f t="shared" si="59"/>
        <v>381.9133333333333</v>
      </c>
      <c r="X354" s="481">
        <f t="shared" si="55"/>
        <v>-10.436666666666724</v>
      </c>
      <c r="Y354" s="179"/>
      <c r="Z354" s="466">
        <f t="shared" si="56"/>
        <v>420.87384500000002</v>
      </c>
      <c r="AA354" s="473">
        <f t="shared" si="57"/>
        <v>-38.960511666666719</v>
      </c>
      <c r="AB354" s="339">
        <f t="shared" si="58"/>
        <v>-2.6600399303343236E-2</v>
      </c>
    </row>
    <row r="355" spans="2:28" ht="20.100000000000001" customHeight="1">
      <c r="B355" s="172">
        <v>1175000</v>
      </c>
      <c r="C355" s="174">
        <v>44257</v>
      </c>
      <c r="D355" s="181" t="s">
        <v>165</v>
      </c>
      <c r="E355" s="173" t="s">
        <v>33</v>
      </c>
      <c r="F355" s="176">
        <v>476.46789473684214</v>
      </c>
      <c r="G355" s="175">
        <f t="shared" si="60"/>
        <v>6</v>
      </c>
      <c r="H355" s="175">
        <f t="shared" si="53"/>
        <v>476.46789473684214</v>
      </c>
      <c r="I355" s="177">
        <f>IF(G355=0,0,IF(E355="MXN",1/HLOOKUP(YEAR(C355)+(MONTH(C355)/100),TC!$5:$37,DAY(C355)+2,FALSE),VLOOKUP(E355,Equivalencia!$5:$23,((MAX(Equivalencia!$3:$3)-YEAR(C355))*14)+MONTH(C355)+2,FALSE)))</f>
        <v>1</v>
      </c>
      <c r="J355" s="178">
        <f t="shared" si="61"/>
        <v>476.46789473684214</v>
      </c>
      <c r="K355" s="462">
        <f>IF(C355=0,0,VLOOKUP(YEAR(C355),INPC!$B$4:$O$29,MONTH(C355)+1))</f>
        <v>111.824</v>
      </c>
      <c r="L355" s="462">
        <f>IF(S355=0,0,VLOOKUP(YEAR(S355),INPC!$B$4:$O$29,MONTH(S355)+1))</f>
        <v>118.98099999999999</v>
      </c>
      <c r="M355" s="463">
        <f t="shared" si="54"/>
        <v>1.0640000000000001</v>
      </c>
      <c r="N355" s="465">
        <f t="shared" si="62"/>
        <v>506.96184000000005</v>
      </c>
      <c r="O355" s="179"/>
      <c r="P355" s="180">
        <v>6</v>
      </c>
      <c r="Q355" s="173" t="s">
        <v>583</v>
      </c>
      <c r="R355" s="173" t="s">
        <v>230</v>
      </c>
      <c r="S355" s="174">
        <v>44593</v>
      </c>
      <c r="T355" s="173" t="s">
        <v>33</v>
      </c>
      <c r="U355" s="182">
        <v>458.29599999999999</v>
      </c>
      <c r="V355" s="177">
        <f>IF(U355=0,0,IF(T355="MXN",1/HLOOKUP(YEAR(S355)+(MONTH(S355)/100),TC!$5:$37,DAY(S355)+2,FALSE),VLOOKUP(T355,Equivalencia!$1:$23,((MAX(Equivalencia!$3:$3)-YEAR(S355))*14)+MONTH(S355)+2,FALSE)))</f>
        <v>1</v>
      </c>
      <c r="W355" s="178">
        <f t="shared" si="59"/>
        <v>458.29599999999999</v>
      </c>
      <c r="X355" s="481">
        <f t="shared" si="55"/>
        <v>-18.171894736842148</v>
      </c>
      <c r="Y355" s="179"/>
      <c r="Z355" s="466">
        <f t="shared" si="56"/>
        <v>506.96184000000005</v>
      </c>
      <c r="AA355" s="473">
        <f t="shared" si="57"/>
        <v>-48.66584000000006</v>
      </c>
      <c r="AB355" s="339">
        <f t="shared" si="58"/>
        <v>-3.8138760108650471E-2</v>
      </c>
    </row>
    <row r="356" spans="2:28" ht="20.100000000000001" customHeight="1">
      <c r="B356" s="172">
        <v>1175000</v>
      </c>
      <c r="C356" s="174">
        <v>44257</v>
      </c>
      <c r="D356" s="181" t="s">
        <v>165</v>
      </c>
      <c r="E356" s="173" t="s">
        <v>33</v>
      </c>
      <c r="F356" s="176">
        <v>158.82263157894738</v>
      </c>
      <c r="G356" s="175">
        <f t="shared" si="60"/>
        <v>2</v>
      </c>
      <c r="H356" s="175">
        <f t="shared" si="53"/>
        <v>158.82263157894738</v>
      </c>
      <c r="I356" s="177">
        <f>IF(G356=0,0,IF(E356="MXN",1/HLOOKUP(YEAR(C356)+(MONTH(C356)/100),TC!$5:$37,DAY(C356)+2,FALSE),VLOOKUP(E356,Equivalencia!$5:$23,((MAX(Equivalencia!$3:$3)-YEAR(C356))*14)+MONTH(C356)+2,FALSE)))</f>
        <v>1</v>
      </c>
      <c r="J356" s="178">
        <f t="shared" si="61"/>
        <v>158.82263157894738</v>
      </c>
      <c r="K356" s="462">
        <f>IF(C356=0,0,VLOOKUP(YEAR(C356),INPC!$B$4:$O$29,MONTH(C356)+1))</f>
        <v>111.824</v>
      </c>
      <c r="L356" s="462">
        <f>IF(S356=0,0,VLOOKUP(YEAR(S356),INPC!$B$4:$O$29,MONTH(S356)+1))</f>
        <v>118.98099999999999</v>
      </c>
      <c r="M356" s="463">
        <f t="shared" si="54"/>
        <v>1.0640000000000001</v>
      </c>
      <c r="N356" s="465">
        <f t="shared" si="62"/>
        <v>168.98728000000003</v>
      </c>
      <c r="O356" s="179"/>
      <c r="P356" s="180">
        <v>2</v>
      </c>
      <c r="Q356" s="173" t="s">
        <v>583</v>
      </c>
      <c r="R356" s="173" t="s">
        <v>230</v>
      </c>
      <c r="S356" s="174">
        <v>44593</v>
      </c>
      <c r="T356" s="173" t="s">
        <v>33</v>
      </c>
      <c r="U356" s="182">
        <v>151.44</v>
      </c>
      <c r="V356" s="177">
        <f>IF(U356=0,0,IF(T356="MXN",1/HLOOKUP(YEAR(S356)+(MONTH(S356)/100),TC!$5:$37,DAY(S356)+2,FALSE),VLOOKUP(T356,Equivalencia!$1:$23,((MAX(Equivalencia!$3:$3)-YEAR(S356))*14)+MONTH(S356)+2,FALSE)))</f>
        <v>1</v>
      </c>
      <c r="W356" s="178">
        <f t="shared" si="59"/>
        <v>151.44</v>
      </c>
      <c r="X356" s="481">
        <f t="shared" si="55"/>
        <v>-7.3826315789473824</v>
      </c>
      <c r="Y356" s="179"/>
      <c r="Z356" s="466">
        <f t="shared" si="56"/>
        <v>168.98728000000003</v>
      </c>
      <c r="AA356" s="473">
        <f t="shared" si="57"/>
        <v>-17.547280000000029</v>
      </c>
      <c r="AB356" s="339">
        <f t="shared" si="58"/>
        <v>-4.6483498639661058E-2</v>
      </c>
    </row>
    <row r="357" spans="2:28" ht="20.100000000000001" customHeight="1">
      <c r="B357" s="172">
        <v>1175000</v>
      </c>
      <c r="C357" s="174">
        <v>44257</v>
      </c>
      <c r="D357" s="181" t="s">
        <v>165</v>
      </c>
      <c r="E357" s="173" t="s">
        <v>33</v>
      </c>
      <c r="F357" s="176">
        <v>238.23394736842107</v>
      </c>
      <c r="G357" s="175">
        <f t="shared" si="60"/>
        <v>3</v>
      </c>
      <c r="H357" s="175">
        <f t="shared" si="53"/>
        <v>238.23394736842107</v>
      </c>
      <c r="I357" s="177">
        <f>IF(G357=0,0,IF(E357="MXN",1/HLOOKUP(YEAR(C357)+(MONTH(C357)/100),TC!$5:$37,DAY(C357)+2,FALSE),VLOOKUP(E357,Equivalencia!$5:$23,((MAX(Equivalencia!$3:$3)-YEAR(C357))*14)+MONTH(C357)+2,FALSE)))</f>
        <v>1</v>
      </c>
      <c r="J357" s="178">
        <f t="shared" si="61"/>
        <v>238.23394736842107</v>
      </c>
      <c r="K357" s="462">
        <f>IF(C357=0,0,VLOOKUP(YEAR(C357),INPC!$B$4:$O$29,MONTH(C357)+1))</f>
        <v>111.824</v>
      </c>
      <c r="L357" s="462">
        <f>IF(S357=0,0,VLOOKUP(YEAR(S357),INPC!$B$4:$O$29,MONTH(S357)+1))</f>
        <v>118.98099999999999</v>
      </c>
      <c r="M357" s="463">
        <f t="shared" si="54"/>
        <v>1.0640000000000001</v>
      </c>
      <c r="N357" s="465">
        <f t="shared" si="62"/>
        <v>253.48092000000003</v>
      </c>
      <c r="O357" s="179"/>
      <c r="P357" s="180">
        <v>3</v>
      </c>
      <c r="Q357" s="173" t="s">
        <v>583</v>
      </c>
      <c r="R357" s="173" t="s">
        <v>230</v>
      </c>
      <c r="S357" s="174">
        <v>44594</v>
      </c>
      <c r="T357" s="173" t="s">
        <v>33</v>
      </c>
      <c r="U357" s="182">
        <v>235.14</v>
      </c>
      <c r="V357" s="177">
        <f>IF(U357=0,0,IF(T357="MXN",1/HLOOKUP(YEAR(S357)+(MONTH(S357)/100),TC!$5:$37,DAY(S357)+2,FALSE),VLOOKUP(T357,Equivalencia!$1:$23,((MAX(Equivalencia!$3:$3)-YEAR(S357))*14)+MONTH(S357)+2,FALSE)))</f>
        <v>1</v>
      </c>
      <c r="W357" s="178">
        <f t="shared" si="59"/>
        <v>235.14</v>
      </c>
      <c r="X357" s="481">
        <f t="shared" si="55"/>
        <v>-3.0939473684210839</v>
      </c>
      <c r="Y357" s="179"/>
      <c r="Z357" s="466">
        <f t="shared" si="56"/>
        <v>253.48092000000003</v>
      </c>
      <c r="AA357" s="473">
        <f t="shared" si="57"/>
        <v>-18.34092000000004</v>
      </c>
      <c r="AB357" s="339">
        <f t="shared" si="58"/>
        <v>-1.2987012987013102E-2</v>
      </c>
    </row>
    <row r="358" spans="2:28" ht="20.100000000000001" customHeight="1">
      <c r="B358" s="172">
        <v>1175000</v>
      </c>
      <c r="C358" s="174">
        <v>44257</v>
      </c>
      <c r="D358" s="181" t="s">
        <v>165</v>
      </c>
      <c r="E358" s="173" t="s">
        <v>33</v>
      </c>
      <c r="F358" s="176">
        <v>476.46789473684214</v>
      </c>
      <c r="G358" s="175">
        <f t="shared" si="60"/>
        <v>6</v>
      </c>
      <c r="H358" s="175">
        <f t="shared" si="53"/>
        <v>476.46789473684214</v>
      </c>
      <c r="I358" s="177">
        <f>IF(G358=0,0,IF(E358="MXN",1/HLOOKUP(YEAR(C358)+(MONTH(C358)/100),TC!$5:$37,DAY(C358)+2,FALSE),VLOOKUP(E358,Equivalencia!$5:$23,((MAX(Equivalencia!$3:$3)-YEAR(C358))*14)+MONTH(C358)+2,FALSE)))</f>
        <v>1</v>
      </c>
      <c r="J358" s="178">
        <f t="shared" si="61"/>
        <v>476.46789473684214</v>
      </c>
      <c r="K358" s="462">
        <f>IF(C358=0,0,VLOOKUP(YEAR(C358),INPC!$B$4:$O$29,MONTH(C358)+1))</f>
        <v>111.824</v>
      </c>
      <c r="L358" s="462">
        <f>IF(S358=0,0,VLOOKUP(YEAR(S358),INPC!$B$4:$O$29,MONTH(S358)+1))</f>
        <v>118.98099999999999</v>
      </c>
      <c r="M358" s="463">
        <f t="shared" si="54"/>
        <v>1.0640000000000001</v>
      </c>
      <c r="N358" s="465">
        <f t="shared" si="62"/>
        <v>506.96184000000005</v>
      </c>
      <c r="O358" s="179"/>
      <c r="P358" s="180">
        <v>6</v>
      </c>
      <c r="Q358" s="173" t="s">
        <v>583</v>
      </c>
      <c r="R358" s="173" t="s">
        <v>230</v>
      </c>
      <c r="S358" s="174">
        <v>44594</v>
      </c>
      <c r="T358" s="173" t="s">
        <v>33</v>
      </c>
      <c r="U358" s="182">
        <v>465.6</v>
      </c>
      <c r="V358" s="177">
        <f>IF(U358=0,0,IF(T358="MXN",1/HLOOKUP(YEAR(S358)+(MONTH(S358)/100),TC!$5:$37,DAY(S358)+2,FALSE),VLOOKUP(T358,Equivalencia!$1:$23,((MAX(Equivalencia!$3:$3)-YEAR(S358))*14)+MONTH(S358)+2,FALSE)))</f>
        <v>1</v>
      </c>
      <c r="W358" s="178">
        <f t="shared" si="59"/>
        <v>465.6</v>
      </c>
      <c r="X358" s="481">
        <f t="shared" si="55"/>
        <v>-10.867894736842118</v>
      </c>
      <c r="Y358" s="179"/>
      <c r="Z358" s="466">
        <f t="shared" si="56"/>
        <v>506.96184000000005</v>
      </c>
      <c r="AA358" s="473">
        <f t="shared" si="57"/>
        <v>-41.361840000000029</v>
      </c>
      <c r="AB358" s="339">
        <f t="shared" si="58"/>
        <v>-2.2809290734781995E-2</v>
      </c>
    </row>
    <row r="359" spans="2:28" ht="20.100000000000001" customHeight="1">
      <c r="B359" s="172">
        <v>1175000</v>
      </c>
      <c r="C359" s="174">
        <v>44257</v>
      </c>
      <c r="D359" s="181" t="s">
        <v>165</v>
      </c>
      <c r="E359" s="173" t="s">
        <v>33</v>
      </c>
      <c r="F359" s="176">
        <v>317.64526315789476</v>
      </c>
      <c r="G359" s="175">
        <f t="shared" si="60"/>
        <v>4</v>
      </c>
      <c r="H359" s="175">
        <f t="shared" si="53"/>
        <v>317.64526315789476</v>
      </c>
      <c r="I359" s="177">
        <f>IF(G359=0,0,IF(E359="MXN",1/HLOOKUP(YEAR(C359)+(MONTH(C359)/100),TC!$5:$37,DAY(C359)+2,FALSE),VLOOKUP(E359,Equivalencia!$5:$23,((MAX(Equivalencia!$3:$3)-YEAR(C359))*14)+MONTH(C359)+2,FALSE)))</f>
        <v>1</v>
      </c>
      <c r="J359" s="178">
        <f t="shared" si="61"/>
        <v>317.64526315789476</v>
      </c>
      <c r="K359" s="462">
        <f>IF(C359=0,0,VLOOKUP(YEAR(C359),INPC!$B$4:$O$29,MONTH(C359)+1))</f>
        <v>111.824</v>
      </c>
      <c r="L359" s="462">
        <f>IF(S359=0,0,VLOOKUP(YEAR(S359),INPC!$B$4:$O$29,MONTH(S359)+1))</f>
        <v>118.98099999999999</v>
      </c>
      <c r="M359" s="463">
        <f t="shared" si="54"/>
        <v>1.0640000000000001</v>
      </c>
      <c r="N359" s="465">
        <f t="shared" si="62"/>
        <v>337.97456000000005</v>
      </c>
      <c r="O359" s="179"/>
      <c r="P359" s="180">
        <v>4</v>
      </c>
      <c r="Q359" s="173" t="s">
        <v>583</v>
      </c>
      <c r="R359" s="173" t="s">
        <v>230</v>
      </c>
      <c r="S359" s="174">
        <v>44595</v>
      </c>
      <c r="T359" s="173" t="s">
        <v>33</v>
      </c>
      <c r="U359" s="182">
        <v>311.49</v>
      </c>
      <c r="V359" s="177">
        <f>IF(U359=0,0,IF(T359="MXN",1/HLOOKUP(YEAR(S359)+(MONTH(S359)/100),TC!$5:$37,DAY(S359)+2,FALSE),VLOOKUP(T359,Equivalencia!$1:$23,((MAX(Equivalencia!$3:$3)-YEAR(S359))*14)+MONTH(S359)+2,FALSE)))</f>
        <v>1</v>
      </c>
      <c r="W359" s="178">
        <f t="shared" si="59"/>
        <v>311.49</v>
      </c>
      <c r="X359" s="481">
        <f t="shared" si="55"/>
        <v>-6.1552631578947512</v>
      </c>
      <c r="Y359" s="179"/>
      <c r="Z359" s="466">
        <f t="shared" si="56"/>
        <v>337.97456000000005</v>
      </c>
      <c r="AA359" s="473">
        <f t="shared" si="57"/>
        <v>-26.484560000000045</v>
      </c>
      <c r="AB359" s="339">
        <f t="shared" si="58"/>
        <v>-1.9377789854952421E-2</v>
      </c>
    </row>
    <row r="360" spans="2:28" ht="20.100000000000001" customHeight="1">
      <c r="B360" s="172">
        <v>1175000</v>
      </c>
      <c r="C360" s="174">
        <v>44257</v>
      </c>
      <c r="D360" s="181" t="s">
        <v>165</v>
      </c>
      <c r="E360" s="173" t="s">
        <v>33</v>
      </c>
      <c r="F360" s="176">
        <v>1349.9923684210528</v>
      </c>
      <c r="G360" s="175">
        <f t="shared" si="60"/>
        <v>17</v>
      </c>
      <c r="H360" s="175">
        <f t="shared" si="53"/>
        <v>1349.9923684210528</v>
      </c>
      <c r="I360" s="177">
        <f>IF(G360=0,0,IF(E360="MXN",1/HLOOKUP(YEAR(C360)+(MONTH(C360)/100),TC!$5:$37,DAY(C360)+2,FALSE),VLOOKUP(E360,Equivalencia!$5:$23,((MAX(Equivalencia!$3:$3)-YEAR(C360))*14)+MONTH(C360)+2,FALSE)))</f>
        <v>1</v>
      </c>
      <c r="J360" s="178">
        <f t="shared" si="61"/>
        <v>1349.9923684210528</v>
      </c>
      <c r="K360" s="462">
        <f>IF(C360=0,0,VLOOKUP(YEAR(C360),INPC!$B$4:$O$29,MONTH(C360)+1))</f>
        <v>111.824</v>
      </c>
      <c r="L360" s="462">
        <f>IF(S360=0,0,VLOOKUP(YEAR(S360),INPC!$B$4:$O$29,MONTH(S360)+1))</f>
        <v>118.98099999999999</v>
      </c>
      <c r="M360" s="463">
        <f t="shared" si="54"/>
        <v>1.0640000000000001</v>
      </c>
      <c r="N360" s="465">
        <f t="shared" si="62"/>
        <v>1436.3918800000004</v>
      </c>
      <c r="O360" s="179"/>
      <c r="P360" s="180">
        <v>17</v>
      </c>
      <c r="Q360" s="173" t="s">
        <v>583</v>
      </c>
      <c r="R360" s="173" t="s">
        <v>230</v>
      </c>
      <c r="S360" s="174">
        <v>44595</v>
      </c>
      <c r="T360" s="173" t="s">
        <v>33</v>
      </c>
      <c r="U360" s="182">
        <v>1326.1011904761904</v>
      </c>
      <c r="V360" s="177">
        <f>IF(U360=0,0,IF(T360="MXN",1/HLOOKUP(YEAR(S360)+(MONTH(S360)/100),TC!$5:$37,DAY(S360)+2,FALSE),VLOOKUP(T360,Equivalencia!$1:$23,((MAX(Equivalencia!$3:$3)-YEAR(S360))*14)+MONTH(S360)+2,FALSE)))</f>
        <v>1</v>
      </c>
      <c r="W360" s="178">
        <f t="shared" si="59"/>
        <v>1326.1011904761904</v>
      </c>
      <c r="X360" s="481">
        <f t="shared" si="55"/>
        <v>-23.89117794486242</v>
      </c>
      <c r="Y360" s="179"/>
      <c r="Z360" s="466">
        <f t="shared" si="56"/>
        <v>1436.3918800000004</v>
      </c>
      <c r="AA360" s="473">
        <f t="shared" si="57"/>
        <v>-110.29068952380999</v>
      </c>
      <c r="AB360" s="339">
        <f t="shared" si="58"/>
        <v>-1.7697268891086804E-2</v>
      </c>
    </row>
    <row r="361" spans="2:28" ht="20.100000000000001" customHeight="1">
      <c r="B361" s="172">
        <v>1175000</v>
      </c>
      <c r="C361" s="174">
        <v>44266</v>
      </c>
      <c r="D361" s="181" t="s">
        <v>165</v>
      </c>
      <c r="E361" s="173" t="s">
        <v>33</v>
      </c>
      <c r="F361" s="176">
        <v>315.39</v>
      </c>
      <c r="G361" s="175">
        <f t="shared" si="60"/>
        <v>4</v>
      </c>
      <c r="H361" s="175">
        <f t="shared" si="53"/>
        <v>315.39</v>
      </c>
      <c r="I361" s="177">
        <f>IF(G361=0,0,IF(E361="MXN",1/HLOOKUP(YEAR(C361)+(MONTH(C361)/100),TC!$5:$37,DAY(C361)+2,FALSE),VLOOKUP(E361,Equivalencia!$5:$23,((MAX(Equivalencia!$3:$3)-YEAR(C361))*14)+MONTH(C361)+2,FALSE)))</f>
        <v>1</v>
      </c>
      <c r="J361" s="178">
        <f t="shared" si="61"/>
        <v>315.39</v>
      </c>
      <c r="K361" s="462">
        <f>IF(C361=0,0,VLOOKUP(YEAR(C361),INPC!$B$4:$O$29,MONTH(C361)+1))</f>
        <v>111.824</v>
      </c>
      <c r="L361" s="462">
        <f>IF(S361=0,0,VLOOKUP(YEAR(S361),INPC!$B$4:$O$29,MONTH(S361)+1))</f>
        <v>118.98099999999999</v>
      </c>
      <c r="M361" s="463">
        <f t="shared" si="54"/>
        <v>1.0640000000000001</v>
      </c>
      <c r="N361" s="465">
        <f t="shared" si="62"/>
        <v>335.57495999999998</v>
      </c>
      <c r="O361" s="179"/>
      <c r="P361" s="180">
        <v>4</v>
      </c>
      <c r="Q361" s="173" t="s">
        <v>583</v>
      </c>
      <c r="R361" s="173" t="s">
        <v>230</v>
      </c>
      <c r="S361" s="174">
        <v>44595</v>
      </c>
      <c r="T361" s="173" t="s">
        <v>33</v>
      </c>
      <c r="U361" s="182">
        <v>312.02380952380952</v>
      </c>
      <c r="V361" s="177">
        <f>IF(U361=0,0,IF(T361="MXN",1/HLOOKUP(YEAR(S361)+(MONTH(S361)/100),TC!$5:$37,DAY(S361)+2,FALSE),VLOOKUP(T361,Equivalencia!$1:$23,((MAX(Equivalencia!$3:$3)-YEAR(S361))*14)+MONTH(S361)+2,FALSE)))</f>
        <v>1</v>
      </c>
      <c r="W361" s="178">
        <f t="shared" si="59"/>
        <v>312.02380952380952</v>
      </c>
      <c r="X361" s="481">
        <f t="shared" si="55"/>
        <v>-3.366190476190468</v>
      </c>
      <c r="Y361" s="179"/>
      <c r="Z361" s="466">
        <f t="shared" si="56"/>
        <v>335.57495999999998</v>
      </c>
      <c r="AA361" s="473">
        <f t="shared" si="57"/>
        <v>-23.551150476190458</v>
      </c>
      <c r="AB361" s="339">
        <f t="shared" si="58"/>
        <v>-1.0673104651987897E-2</v>
      </c>
    </row>
    <row r="362" spans="2:28" ht="20.100000000000001" customHeight="1">
      <c r="B362" s="172">
        <v>1175000</v>
      </c>
      <c r="C362" s="174">
        <v>44266</v>
      </c>
      <c r="D362" s="181" t="s">
        <v>165</v>
      </c>
      <c r="E362" s="173" t="s">
        <v>33</v>
      </c>
      <c r="F362" s="176">
        <v>1658.1683999999998</v>
      </c>
      <c r="G362" s="175">
        <f t="shared" si="60"/>
        <v>21</v>
      </c>
      <c r="H362" s="175">
        <f t="shared" si="53"/>
        <v>1658.1683999999998</v>
      </c>
      <c r="I362" s="177">
        <f>IF(G362=0,0,IF(E362="MXN",1/HLOOKUP(YEAR(C362)+(MONTH(C362)/100),TC!$5:$37,DAY(C362)+2,FALSE),VLOOKUP(E362,Equivalencia!$5:$23,((MAX(Equivalencia!$3:$3)-YEAR(C362))*14)+MONTH(C362)+2,FALSE)))</f>
        <v>1</v>
      </c>
      <c r="J362" s="178">
        <f t="shared" si="61"/>
        <v>1658.1683999999998</v>
      </c>
      <c r="K362" s="462">
        <f>IF(C362=0,0,VLOOKUP(YEAR(C362),INPC!$B$4:$O$29,MONTH(C362)+1))</f>
        <v>111.824</v>
      </c>
      <c r="L362" s="462">
        <f>IF(S362=0,0,VLOOKUP(YEAR(S362),INPC!$B$4:$O$29,MONTH(S362)+1))</f>
        <v>118.98099999999999</v>
      </c>
      <c r="M362" s="463">
        <f t="shared" si="54"/>
        <v>1.0640000000000001</v>
      </c>
      <c r="N362" s="465">
        <f t="shared" si="62"/>
        <v>1764.2911775999999</v>
      </c>
      <c r="O362" s="179"/>
      <c r="P362" s="180">
        <v>21</v>
      </c>
      <c r="Q362" s="173" t="s">
        <v>583</v>
      </c>
      <c r="R362" s="173" t="s">
        <v>230</v>
      </c>
      <c r="S362" s="174">
        <v>44595</v>
      </c>
      <c r="T362" s="173" t="s">
        <v>33</v>
      </c>
      <c r="U362" s="182">
        <v>1638.125</v>
      </c>
      <c r="V362" s="177">
        <f>IF(U362=0,0,IF(T362="MXN",1/HLOOKUP(YEAR(S362)+(MONTH(S362)/100),TC!$5:$37,DAY(S362)+2,FALSE),VLOOKUP(T362,Equivalencia!$1:$23,((MAX(Equivalencia!$3:$3)-YEAR(S362))*14)+MONTH(S362)+2,FALSE)))</f>
        <v>1</v>
      </c>
      <c r="W362" s="178">
        <f t="shared" si="59"/>
        <v>1638.125</v>
      </c>
      <c r="X362" s="481">
        <f t="shared" si="55"/>
        <v>-20.043399999999792</v>
      </c>
      <c r="Y362" s="179"/>
      <c r="Z362" s="466">
        <f t="shared" si="56"/>
        <v>1764.2911775999999</v>
      </c>
      <c r="AA362" s="473">
        <f t="shared" si="57"/>
        <v>-126.16617759999986</v>
      </c>
      <c r="AB362" s="339">
        <f t="shared" si="58"/>
        <v>-1.2087674569120854E-2</v>
      </c>
    </row>
    <row r="363" spans="2:28" ht="20.100000000000001" customHeight="1">
      <c r="B363" s="172">
        <v>1175000</v>
      </c>
      <c r="C363" s="174">
        <v>44266</v>
      </c>
      <c r="D363" s="181" t="s">
        <v>165</v>
      </c>
      <c r="E363" s="173" t="s">
        <v>33</v>
      </c>
      <c r="F363" s="176">
        <v>157.92079999999999</v>
      </c>
      <c r="G363" s="175">
        <f t="shared" si="60"/>
        <v>2</v>
      </c>
      <c r="H363" s="175">
        <f t="shared" si="53"/>
        <v>157.92079999999999</v>
      </c>
      <c r="I363" s="177">
        <f>IF(G363=0,0,IF(E363="MXN",1/HLOOKUP(YEAR(C363)+(MONTH(C363)/100),TC!$5:$37,DAY(C363)+2,FALSE),VLOOKUP(E363,Equivalencia!$5:$23,((MAX(Equivalencia!$3:$3)-YEAR(C363))*14)+MONTH(C363)+2,FALSE)))</f>
        <v>1</v>
      </c>
      <c r="J363" s="178">
        <f t="shared" si="61"/>
        <v>157.92079999999999</v>
      </c>
      <c r="K363" s="462">
        <f>IF(C363=0,0,VLOOKUP(YEAR(C363),INPC!$B$4:$O$29,MONTH(C363)+1))</f>
        <v>111.824</v>
      </c>
      <c r="L363" s="462">
        <f>IF(S363=0,0,VLOOKUP(YEAR(S363),INPC!$B$4:$O$29,MONTH(S363)+1))</f>
        <v>118.98099999999999</v>
      </c>
      <c r="M363" s="463">
        <f t="shared" si="54"/>
        <v>1.0640000000000001</v>
      </c>
      <c r="N363" s="465">
        <f t="shared" si="62"/>
        <v>168.02773120000001</v>
      </c>
      <c r="O363" s="179"/>
      <c r="P363" s="180">
        <v>2</v>
      </c>
      <c r="Q363" s="173" t="s">
        <v>583</v>
      </c>
      <c r="R363" s="173" t="s">
        <v>230</v>
      </c>
      <c r="S363" s="174">
        <v>44595</v>
      </c>
      <c r="T363" s="173" t="s">
        <v>33</v>
      </c>
      <c r="U363" s="182">
        <v>153.94</v>
      </c>
      <c r="V363" s="177">
        <f>IF(U363=0,0,IF(T363="MXN",1/HLOOKUP(YEAR(S363)+(MONTH(S363)/100),TC!$5:$37,DAY(S363)+2,FALSE),VLOOKUP(T363,Equivalencia!$1:$23,((MAX(Equivalencia!$3:$3)-YEAR(S363))*14)+MONTH(S363)+2,FALSE)))</f>
        <v>1</v>
      </c>
      <c r="W363" s="178">
        <f t="shared" si="59"/>
        <v>153.94</v>
      </c>
      <c r="X363" s="481">
        <f t="shared" si="55"/>
        <v>-3.9807999999999879</v>
      </c>
      <c r="Y363" s="179"/>
      <c r="Z363" s="466">
        <f t="shared" si="56"/>
        <v>168.02773120000001</v>
      </c>
      <c r="AA363" s="473">
        <f t="shared" si="57"/>
        <v>-14.087731200000007</v>
      </c>
      <c r="AB363" s="339">
        <f t="shared" si="58"/>
        <v>-2.5207572403381895E-2</v>
      </c>
    </row>
    <row r="364" spans="2:28" ht="20.100000000000001" customHeight="1">
      <c r="B364" s="172">
        <v>1175000</v>
      </c>
      <c r="C364" s="174">
        <v>44266</v>
      </c>
      <c r="D364" s="181" t="s">
        <v>165</v>
      </c>
      <c r="E364" s="173" t="s">
        <v>33</v>
      </c>
      <c r="F364" s="176">
        <v>157.92079999999999</v>
      </c>
      <c r="G364" s="175">
        <f t="shared" si="60"/>
        <v>2</v>
      </c>
      <c r="H364" s="175">
        <f t="shared" si="53"/>
        <v>157.92079999999999</v>
      </c>
      <c r="I364" s="177">
        <f>IF(G364=0,0,IF(E364="MXN",1/HLOOKUP(YEAR(C364)+(MONTH(C364)/100),TC!$5:$37,DAY(C364)+2,FALSE),VLOOKUP(E364,Equivalencia!$5:$23,((MAX(Equivalencia!$3:$3)-YEAR(C364))*14)+MONTH(C364)+2,FALSE)))</f>
        <v>1</v>
      </c>
      <c r="J364" s="178">
        <f t="shared" si="61"/>
        <v>157.92079999999999</v>
      </c>
      <c r="K364" s="462">
        <f>IF(C364=0,0,VLOOKUP(YEAR(C364),INPC!$B$4:$O$29,MONTH(C364)+1))</f>
        <v>111.824</v>
      </c>
      <c r="L364" s="462">
        <f>IF(S364=0,0,VLOOKUP(YEAR(S364),INPC!$B$4:$O$29,MONTH(S364)+1))</f>
        <v>118.98099999999999</v>
      </c>
      <c r="M364" s="463">
        <f t="shared" si="54"/>
        <v>1.0640000000000001</v>
      </c>
      <c r="N364" s="465">
        <f t="shared" si="62"/>
        <v>168.02773120000001</v>
      </c>
      <c r="O364" s="179"/>
      <c r="P364" s="180">
        <v>2</v>
      </c>
      <c r="Q364" s="173" t="s">
        <v>583</v>
      </c>
      <c r="R364" s="173" t="s">
        <v>230</v>
      </c>
      <c r="S364" s="174">
        <v>44595</v>
      </c>
      <c r="T364" s="173" t="s">
        <v>33</v>
      </c>
      <c r="U364" s="182">
        <v>153.13</v>
      </c>
      <c r="V364" s="177">
        <f>IF(U364=0,0,IF(T364="MXN",1/HLOOKUP(YEAR(S364)+(MONTH(S364)/100),TC!$5:$37,DAY(S364)+2,FALSE),VLOOKUP(T364,Equivalencia!$1:$23,((MAX(Equivalencia!$3:$3)-YEAR(S364))*14)+MONTH(S364)+2,FALSE)))</f>
        <v>1</v>
      </c>
      <c r="W364" s="178">
        <f t="shared" si="59"/>
        <v>153.13</v>
      </c>
      <c r="X364" s="481">
        <f t="shared" si="55"/>
        <v>-4.7907999999999902</v>
      </c>
      <c r="Y364" s="179"/>
      <c r="Z364" s="466">
        <f t="shared" si="56"/>
        <v>168.02773120000001</v>
      </c>
      <c r="AA364" s="473">
        <f t="shared" si="57"/>
        <v>-14.89773120000001</v>
      </c>
      <c r="AB364" s="339">
        <f t="shared" si="58"/>
        <v>-3.0336725751135996E-2</v>
      </c>
    </row>
    <row r="365" spans="2:28" ht="20.100000000000001" customHeight="1">
      <c r="B365" s="172">
        <v>1175000</v>
      </c>
      <c r="C365" s="174">
        <v>44267</v>
      </c>
      <c r="D365" s="181" t="s">
        <v>165</v>
      </c>
      <c r="E365" s="173" t="s">
        <v>33</v>
      </c>
      <c r="F365" s="176">
        <v>631.56363636363631</v>
      </c>
      <c r="G365" s="175">
        <f t="shared" si="60"/>
        <v>8</v>
      </c>
      <c r="H365" s="175">
        <f t="shared" si="53"/>
        <v>631.56363636363631</v>
      </c>
      <c r="I365" s="177">
        <f>IF(G365=0,0,IF(E365="MXN",1/HLOOKUP(YEAR(C365)+(MONTH(C365)/100),TC!$5:$37,DAY(C365)+2,FALSE),VLOOKUP(E365,Equivalencia!$5:$23,((MAX(Equivalencia!$3:$3)-YEAR(C365))*14)+MONTH(C365)+2,FALSE)))</f>
        <v>1</v>
      </c>
      <c r="J365" s="178">
        <f t="shared" si="61"/>
        <v>631.56363636363631</v>
      </c>
      <c r="K365" s="462">
        <f>IF(C365=0,0,VLOOKUP(YEAR(C365),INPC!$B$4:$O$29,MONTH(C365)+1))</f>
        <v>111.824</v>
      </c>
      <c r="L365" s="462">
        <f>IF(S365=0,0,VLOOKUP(YEAR(S365),INPC!$B$4:$O$29,MONTH(S365)+1))</f>
        <v>118.98099999999999</v>
      </c>
      <c r="M365" s="463">
        <f t="shared" si="54"/>
        <v>1.0640000000000001</v>
      </c>
      <c r="N365" s="465">
        <f t="shared" si="62"/>
        <v>671.98370909090909</v>
      </c>
      <c r="O365" s="179"/>
      <c r="P365" s="180">
        <v>8</v>
      </c>
      <c r="Q365" s="173" t="s">
        <v>583</v>
      </c>
      <c r="R365" s="173" t="s">
        <v>230</v>
      </c>
      <c r="S365" s="174">
        <v>44595</v>
      </c>
      <c r="T365" s="173" t="s">
        <v>33</v>
      </c>
      <c r="U365" s="182">
        <v>612.52</v>
      </c>
      <c r="V365" s="177">
        <f>IF(U365=0,0,IF(T365="MXN",1/HLOOKUP(YEAR(S365)+(MONTH(S365)/100),TC!$5:$37,DAY(S365)+2,FALSE),VLOOKUP(T365,Equivalencia!$1:$23,((MAX(Equivalencia!$3:$3)-YEAR(S365))*14)+MONTH(S365)+2,FALSE)))</f>
        <v>1</v>
      </c>
      <c r="W365" s="178">
        <f t="shared" si="59"/>
        <v>612.52</v>
      </c>
      <c r="X365" s="481">
        <f t="shared" si="55"/>
        <v>-19.043636363636324</v>
      </c>
      <c r="Y365" s="179"/>
      <c r="Z365" s="466">
        <f t="shared" si="56"/>
        <v>671.98370909090909</v>
      </c>
      <c r="AA365" s="473">
        <f t="shared" si="57"/>
        <v>-59.463709090909106</v>
      </c>
      <c r="AB365" s="339">
        <f t="shared" si="58"/>
        <v>-3.0153155228005435E-2</v>
      </c>
    </row>
    <row r="366" spans="2:28" ht="20.100000000000001" customHeight="1">
      <c r="B366" s="172">
        <v>1175000</v>
      </c>
      <c r="C366" s="174">
        <v>44267</v>
      </c>
      <c r="D366" s="181" t="s">
        <v>165</v>
      </c>
      <c r="E366" s="173" t="s">
        <v>33</v>
      </c>
      <c r="F366" s="176">
        <v>236.83636363636361</v>
      </c>
      <c r="G366" s="175">
        <f t="shared" si="60"/>
        <v>3</v>
      </c>
      <c r="H366" s="175">
        <f t="shared" si="53"/>
        <v>236.83636363636361</v>
      </c>
      <c r="I366" s="177">
        <f>IF(G366=0,0,IF(E366="MXN",1/HLOOKUP(YEAR(C366)+(MONTH(C366)/100),TC!$5:$37,DAY(C366)+2,FALSE),VLOOKUP(E366,Equivalencia!$5:$23,((MAX(Equivalencia!$3:$3)-YEAR(C366))*14)+MONTH(C366)+2,FALSE)))</f>
        <v>1</v>
      </c>
      <c r="J366" s="178">
        <f t="shared" si="61"/>
        <v>236.83636363636361</v>
      </c>
      <c r="K366" s="462">
        <f>IF(C366=0,0,VLOOKUP(YEAR(C366),INPC!$B$4:$O$29,MONTH(C366)+1))</f>
        <v>111.824</v>
      </c>
      <c r="L366" s="462">
        <f>IF(S366=0,0,VLOOKUP(YEAR(S366),INPC!$B$4:$O$29,MONTH(S366)+1))</f>
        <v>118.98099999999999</v>
      </c>
      <c r="M366" s="463">
        <f t="shared" si="54"/>
        <v>1.0640000000000001</v>
      </c>
      <c r="N366" s="465">
        <f t="shared" si="62"/>
        <v>251.99389090909091</v>
      </c>
      <c r="O366" s="179"/>
      <c r="P366" s="180">
        <v>3</v>
      </c>
      <c r="Q366" s="173" t="s">
        <v>583</v>
      </c>
      <c r="R366" s="173" t="s">
        <v>230</v>
      </c>
      <c r="S366" s="174">
        <v>44595</v>
      </c>
      <c r="T366" s="173" t="s">
        <v>33</v>
      </c>
      <c r="U366" s="182">
        <v>230.95583333333332</v>
      </c>
      <c r="V366" s="177">
        <f>IF(U366=0,0,IF(T366="MXN",1/HLOOKUP(YEAR(S366)+(MONTH(S366)/100),TC!$5:$37,DAY(S366)+2,FALSE),VLOOKUP(T366,Equivalencia!$1:$23,((MAX(Equivalencia!$3:$3)-YEAR(S366))*14)+MONTH(S366)+2,FALSE)))</f>
        <v>1</v>
      </c>
      <c r="W366" s="178">
        <f t="shared" si="59"/>
        <v>230.95583333333332</v>
      </c>
      <c r="X366" s="481">
        <f t="shared" si="55"/>
        <v>-5.880530303030298</v>
      </c>
      <c r="Y366" s="179"/>
      <c r="Z366" s="466">
        <f t="shared" si="56"/>
        <v>251.99389090909091</v>
      </c>
      <c r="AA366" s="473">
        <f t="shared" si="57"/>
        <v>-21.038057575757591</v>
      </c>
      <c r="AB366" s="339">
        <f t="shared" si="58"/>
        <v>-2.4829507651363936E-2</v>
      </c>
    </row>
    <row r="367" spans="2:28" ht="20.100000000000001" customHeight="1">
      <c r="B367" s="172">
        <v>1175000</v>
      </c>
      <c r="C367" s="174">
        <v>44279</v>
      </c>
      <c r="D367" s="181" t="s">
        <v>165</v>
      </c>
      <c r="E367" s="173" t="s">
        <v>33</v>
      </c>
      <c r="F367" s="176">
        <v>159.83000000000001</v>
      </c>
      <c r="G367" s="175">
        <f t="shared" si="60"/>
        <v>2</v>
      </c>
      <c r="H367" s="175">
        <f t="shared" si="53"/>
        <v>159.83000000000001</v>
      </c>
      <c r="I367" s="177">
        <f>IF(G367=0,0,IF(E367="MXN",1/HLOOKUP(YEAR(C367)+(MONTH(C367)/100),TC!$5:$37,DAY(C367)+2,FALSE),VLOOKUP(E367,Equivalencia!$5:$23,((MAX(Equivalencia!$3:$3)-YEAR(C367))*14)+MONTH(C367)+2,FALSE)))</f>
        <v>1</v>
      </c>
      <c r="J367" s="178">
        <f t="shared" si="61"/>
        <v>159.83000000000001</v>
      </c>
      <c r="K367" s="462">
        <f>IF(C367=0,0,VLOOKUP(YEAR(C367),INPC!$B$4:$O$29,MONTH(C367)+1))</f>
        <v>111.824</v>
      </c>
      <c r="L367" s="462">
        <f>IF(S367=0,0,VLOOKUP(YEAR(S367),INPC!$B$4:$O$29,MONTH(S367)+1))</f>
        <v>118.98099999999999</v>
      </c>
      <c r="M367" s="463">
        <f t="shared" si="54"/>
        <v>1.0640000000000001</v>
      </c>
      <c r="N367" s="465">
        <f t="shared" si="62"/>
        <v>170.05912000000004</v>
      </c>
      <c r="O367" s="179"/>
      <c r="P367" s="180">
        <v>2</v>
      </c>
      <c r="Q367" s="173" t="s">
        <v>583</v>
      </c>
      <c r="R367" s="173" t="s">
        <v>230</v>
      </c>
      <c r="S367" s="174">
        <v>44595</v>
      </c>
      <c r="T367" s="173" t="s">
        <v>33</v>
      </c>
      <c r="U367" s="182">
        <v>153.97055555555553</v>
      </c>
      <c r="V367" s="177">
        <f>IF(U367=0,0,IF(T367="MXN",1/HLOOKUP(YEAR(S367)+(MONTH(S367)/100),TC!$5:$37,DAY(S367)+2,FALSE),VLOOKUP(T367,Equivalencia!$1:$23,((MAX(Equivalencia!$3:$3)-YEAR(S367))*14)+MONTH(S367)+2,FALSE)))</f>
        <v>1</v>
      </c>
      <c r="W367" s="178">
        <f t="shared" si="59"/>
        <v>153.97055555555553</v>
      </c>
      <c r="X367" s="481">
        <f t="shared" si="55"/>
        <v>-5.8594444444444775</v>
      </c>
      <c r="Y367" s="179"/>
      <c r="Z367" s="466">
        <f t="shared" si="56"/>
        <v>170.05912000000004</v>
      </c>
      <c r="AA367" s="473">
        <f t="shared" si="57"/>
        <v>-16.088564444444501</v>
      </c>
      <c r="AB367" s="339">
        <f t="shared" si="58"/>
        <v>-3.666047953728635E-2</v>
      </c>
    </row>
    <row r="368" spans="2:28" ht="20.100000000000001" customHeight="1">
      <c r="B368" s="172">
        <v>1175000</v>
      </c>
      <c r="C368" s="174">
        <v>44279</v>
      </c>
      <c r="D368" s="181" t="s">
        <v>165</v>
      </c>
      <c r="E368" s="173" t="s">
        <v>33</v>
      </c>
      <c r="F368" s="176">
        <v>318.89</v>
      </c>
      <c r="G368" s="175">
        <f t="shared" si="60"/>
        <v>4</v>
      </c>
      <c r="H368" s="175">
        <f t="shared" si="53"/>
        <v>318.89</v>
      </c>
      <c r="I368" s="177">
        <f>IF(G368=0,0,IF(E368="MXN",1/HLOOKUP(YEAR(C368)+(MONTH(C368)/100),TC!$5:$37,DAY(C368)+2,FALSE),VLOOKUP(E368,Equivalencia!$5:$23,((MAX(Equivalencia!$3:$3)-YEAR(C368))*14)+MONTH(C368)+2,FALSE)))</f>
        <v>1</v>
      </c>
      <c r="J368" s="178">
        <f t="shared" si="61"/>
        <v>318.89</v>
      </c>
      <c r="K368" s="462">
        <f>IF(C368=0,0,VLOOKUP(YEAR(C368),INPC!$B$4:$O$29,MONTH(C368)+1))</f>
        <v>111.824</v>
      </c>
      <c r="L368" s="462">
        <f>IF(S368=0,0,VLOOKUP(YEAR(S368),INPC!$B$4:$O$29,MONTH(S368)+1))</f>
        <v>118.98099999999999</v>
      </c>
      <c r="M368" s="463">
        <f t="shared" si="54"/>
        <v>1.0640000000000001</v>
      </c>
      <c r="N368" s="465">
        <f t="shared" si="62"/>
        <v>339.29896000000002</v>
      </c>
      <c r="O368" s="179"/>
      <c r="P368" s="180">
        <v>4</v>
      </c>
      <c r="Q368" s="173" t="s">
        <v>583</v>
      </c>
      <c r="R368" s="173" t="s">
        <v>230</v>
      </c>
      <c r="S368" s="174">
        <v>44595</v>
      </c>
      <c r="T368" s="173" t="s">
        <v>33</v>
      </c>
      <c r="U368" s="182">
        <v>307.94111111111107</v>
      </c>
      <c r="V368" s="177">
        <f>IF(U368=0,0,IF(T368="MXN",1/HLOOKUP(YEAR(S368)+(MONTH(S368)/100),TC!$5:$37,DAY(S368)+2,FALSE),VLOOKUP(T368,Equivalencia!$1:$23,((MAX(Equivalencia!$3:$3)-YEAR(S368))*14)+MONTH(S368)+2,FALSE)))</f>
        <v>1</v>
      </c>
      <c r="W368" s="178">
        <f t="shared" si="59"/>
        <v>307.94111111111107</v>
      </c>
      <c r="X368" s="481">
        <f t="shared" si="55"/>
        <v>-10.948888888888916</v>
      </c>
      <c r="Y368" s="179"/>
      <c r="Z368" s="466">
        <f t="shared" si="56"/>
        <v>339.29896000000002</v>
      </c>
      <c r="AA368" s="473">
        <f t="shared" si="57"/>
        <v>-31.357848888888952</v>
      </c>
      <c r="AB368" s="339">
        <f t="shared" si="58"/>
        <v>-3.4334375141550133E-2</v>
      </c>
    </row>
    <row r="369" spans="2:28" ht="20.100000000000001" customHeight="1">
      <c r="B369" s="172">
        <v>1175000</v>
      </c>
      <c r="C369" s="174">
        <v>44279</v>
      </c>
      <c r="D369" s="181" t="s">
        <v>165</v>
      </c>
      <c r="E369" s="173" t="s">
        <v>33</v>
      </c>
      <c r="F369" s="176">
        <v>1213.3599999999999</v>
      </c>
      <c r="G369" s="175">
        <f t="shared" si="60"/>
        <v>15</v>
      </c>
      <c r="H369" s="175">
        <f t="shared" si="53"/>
        <v>1213.3599999999999</v>
      </c>
      <c r="I369" s="177">
        <f>IF(G369=0,0,IF(E369="MXN",1/HLOOKUP(YEAR(C369)+(MONTH(C369)/100),TC!$5:$37,DAY(C369)+2,FALSE),VLOOKUP(E369,Equivalencia!$5:$23,((MAX(Equivalencia!$3:$3)-YEAR(C369))*14)+MONTH(C369)+2,FALSE)))</f>
        <v>1</v>
      </c>
      <c r="J369" s="178">
        <f t="shared" si="61"/>
        <v>1213.3599999999999</v>
      </c>
      <c r="K369" s="462">
        <f>IF(C369=0,0,VLOOKUP(YEAR(C369),INPC!$B$4:$O$29,MONTH(C369)+1))</f>
        <v>111.824</v>
      </c>
      <c r="L369" s="462">
        <f>IF(S369=0,0,VLOOKUP(YEAR(S369),INPC!$B$4:$O$29,MONTH(S369)+1))</f>
        <v>118.98099999999999</v>
      </c>
      <c r="M369" s="463">
        <f t="shared" si="54"/>
        <v>1.0640000000000001</v>
      </c>
      <c r="N369" s="465">
        <f t="shared" si="62"/>
        <v>1291.01504</v>
      </c>
      <c r="O369" s="179"/>
      <c r="P369" s="180">
        <v>15</v>
      </c>
      <c r="Q369" s="173" t="s">
        <v>583</v>
      </c>
      <c r="R369" s="173" t="s">
        <v>230</v>
      </c>
      <c r="S369" s="174">
        <v>44595</v>
      </c>
      <c r="T369" s="173" t="s">
        <v>33</v>
      </c>
      <c r="U369" s="182">
        <v>1154.7791666666665</v>
      </c>
      <c r="V369" s="177">
        <f>IF(U369=0,0,IF(T369="MXN",1/HLOOKUP(YEAR(S369)+(MONTH(S369)/100),TC!$5:$37,DAY(S369)+2,FALSE),VLOOKUP(T369,Equivalencia!$1:$23,((MAX(Equivalencia!$3:$3)-YEAR(S369))*14)+MONTH(S369)+2,FALSE)))</f>
        <v>1</v>
      </c>
      <c r="W369" s="178">
        <f t="shared" si="59"/>
        <v>1154.7791666666665</v>
      </c>
      <c r="X369" s="481">
        <f t="shared" si="55"/>
        <v>-58.58083333333343</v>
      </c>
      <c r="Y369" s="179"/>
      <c r="Z369" s="466">
        <f t="shared" si="56"/>
        <v>1291.01504</v>
      </c>
      <c r="AA369" s="473">
        <f t="shared" si="57"/>
        <v>-136.23587333333353</v>
      </c>
      <c r="AB369" s="339">
        <f t="shared" si="58"/>
        <v>-4.8279845497901208E-2</v>
      </c>
    </row>
    <row r="370" spans="2:28" ht="20.100000000000001" customHeight="1">
      <c r="B370" s="172">
        <v>1175000</v>
      </c>
      <c r="C370" s="174">
        <v>44280</v>
      </c>
      <c r="D370" s="181" t="s">
        <v>165</v>
      </c>
      <c r="E370" s="173" t="s">
        <v>33</v>
      </c>
      <c r="F370" s="176">
        <v>802.07</v>
      </c>
      <c r="G370" s="175">
        <f t="shared" si="60"/>
        <v>10</v>
      </c>
      <c r="H370" s="175">
        <f t="shared" si="53"/>
        <v>802.07</v>
      </c>
      <c r="I370" s="177">
        <f>IF(G370=0,0,IF(E370="MXN",1/HLOOKUP(YEAR(C370)+(MONTH(C370)/100),TC!$5:$37,DAY(C370)+2,FALSE),VLOOKUP(E370,Equivalencia!$5:$23,((MAX(Equivalencia!$3:$3)-YEAR(C370))*14)+MONTH(C370)+2,FALSE)))</f>
        <v>1</v>
      </c>
      <c r="J370" s="178">
        <f t="shared" si="61"/>
        <v>802.07</v>
      </c>
      <c r="K370" s="462">
        <f>IF(C370=0,0,VLOOKUP(YEAR(C370),INPC!$B$4:$O$29,MONTH(C370)+1))</f>
        <v>111.824</v>
      </c>
      <c r="L370" s="462">
        <f>IF(S370=0,0,VLOOKUP(YEAR(S370),INPC!$B$4:$O$29,MONTH(S370)+1))</f>
        <v>118.98099999999999</v>
      </c>
      <c r="M370" s="463">
        <f t="shared" si="54"/>
        <v>1.0640000000000001</v>
      </c>
      <c r="N370" s="465">
        <f t="shared" si="62"/>
        <v>853.40248000000008</v>
      </c>
      <c r="O370" s="179"/>
      <c r="P370" s="180">
        <v>10</v>
      </c>
      <c r="Q370" s="173" t="s">
        <v>583</v>
      </c>
      <c r="R370" s="173" t="s">
        <v>230</v>
      </c>
      <c r="S370" s="174">
        <v>44595</v>
      </c>
      <c r="T370" s="173" t="s">
        <v>33</v>
      </c>
      <c r="U370" s="182">
        <v>769.85277777777765</v>
      </c>
      <c r="V370" s="177">
        <f>IF(U370=0,0,IF(T370="MXN",1/HLOOKUP(YEAR(S370)+(MONTH(S370)/100),TC!$5:$37,DAY(S370)+2,FALSE),VLOOKUP(T370,Equivalencia!$1:$23,((MAX(Equivalencia!$3:$3)-YEAR(S370))*14)+MONTH(S370)+2,FALSE)))</f>
        <v>1</v>
      </c>
      <c r="W370" s="178">
        <f t="shared" si="59"/>
        <v>769.85277777777765</v>
      </c>
      <c r="X370" s="481">
        <f t="shared" si="55"/>
        <v>-32.217222222222404</v>
      </c>
      <c r="Y370" s="179"/>
      <c r="Z370" s="466">
        <f t="shared" si="56"/>
        <v>853.40248000000008</v>
      </c>
      <c r="AA370" s="473">
        <f t="shared" si="57"/>
        <v>-83.549702222222436</v>
      </c>
      <c r="AB370" s="339">
        <f t="shared" si="58"/>
        <v>-4.0167594127971884E-2</v>
      </c>
    </row>
    <row r="371" spans="2:28" ht="20.100000000000001" customHeight="1">
      <c r="B371" s="172">
        <v>1175000</v>
      </c>
      <c r="C371" s="174">
        <v>44280</v>
      </c>
      <c r="D371" s="181" t="s">
        <v>165</v>
      </c>
      <c r="E371" s="173" t="s">
        <v>33</v>
      </c>
      <c r="F371" s="176">
        <v>80.67</v>
      </c>
      <c r="G371" s="175">
        <f t="shared" si="60"/>
        <v>1</v>
      </c>
      <c r="H371" s="175">
        <f t="shared" si="53"/>
        <v>80.67</v>
      </c>
      <c r="I371" s="177">
        <f>IF(G371=0,0,IF(E371="MXN",1/HLOOKUP(YEAR(C371)+(MONTH(C371)/100),TC!$5:$37,DAY(C371)+2,FALSE),VLOOKUP(E371,Equivalencia!$5:$23,((MAX(Equivalencia!$3:$3)-YEAR(C371))*14)+MONTH(C371)+2,FALSE)))</f>
        <v>1</v>
      </c>
      <c r="J371" s="178">
        <f t="shared" si="61"/>
        <v>80.67</v>
      </c>
      <c r="K371" s="462">
        <f>IF(C371=0,0,VLOOKUP(YEAR(C371),INPC!$B$4:$O$29,MONTH(C371)+1))</f>
        <v>111.824</v>
      </c>
      <c r="L371" s="462">
        <f>IF(S371=0,0,VLOOKUP(YEAR(S371),INPC!$B$4:$O$29,MONTH(S371)+1))</f>
        <v>118.98099999999999</v>
      </c>
      <c r="M371" s="463">
        <f t="shared" si="54"/>
        <v>1.0640000000000001</v>
      </c>
      <c r="N371" s="465">
        <f t="shared" si="62"/>
        <v>85.832880000000003</v>
      </c>
      <c r="O371" s="179"/>
      <c r="P371" s="180">
        <v>1</v>
      </c>
      <c r="Q371" s="173" t="s">
        <v>583</v>
      </c>
      <c r="R371" s="173" t="s">
        <v>230</v>
      </c>
      <c r="S371" s="174">
        <v>44595</v>
      </c>
      <c r="T371" s="173" t="s">
        <v>33</v>
      </c>
      <c r="U371" s="182">
        <v>76.985277777777767</v>
      </c>
      <c r="V371" s="177">
        <f>IF(U371=0,0,IF(T371="MXN",1/HLOOKUP(YEAR(S371)+(MONTH(S371)/100),TC!$5:$37,DAY(S371)+2,FALSE),VLOOKUP(T371,Equivalencia!$1:$23,((MAX(Equivalencia!$3:$3)-YEAR(S371))*14)+MONTH(S371)+2,FALSE)))</f>
        <v>1</v>
      </c>
      <c r="W371" s="178">
        <f t="shared" si="59"/>
        <v>76.985277777777767</v>
      </c>
      <c r="X371" s="481">
        <f t="shared" si="55"/>
        <v>-3.6847222222222342</v>
      </c>
      <c r="Y371" s="179"/>
      <c r="Z371" s="466">
        <f t="shared" si="56"/>
        <v>85.832880000000003</v>
      </c>
      <c r="AA371" s="473">
        <f t="shared" si="57"/>
        <v>-8.8476022222222355</v>
      </c>
      <c r="AB371" s="339">
        <f t="shared" si="58"/>
        <v>-4.5676487197498838E-2</v>
      </c>
    </row>
    <row r="372" spans="2:28" ht="20.100000000000001" customHeight="1">
      <c r="B372" s="172">
        <v>1175000</v>
      </c>
      <c r="C372" s="174">
        <v>44281</v>
      </c>
      <c r="D372" s="181" t="s">
        <v>165</v>
      </c>
      <c r="E372" s="173" t="s">
        <v>33</v>
      </c>
      <c r="F372" s="176">
        <v>78.899999999999991</v>
      </c>
      <c r="G372" s="175">
        <f t="shared" si="60"/>
        <v>1</v>
      </c>
      <c r="H372" s="175">
        <f t="shared" si="53"/>
        <v>78.899999999999991</v>
      </c>
      <c r="I372" s="177">
        <f>IF(G372=0,0,IF(E372="MXN",1/HLOOKUP(YEAR(C372)+(MONTH(C372)/100),TC!$5:$37,DAY(C372)+2,FALSE),VLOOKUP(E372,Equivalencia!$5:$23,((MAX(Equivalencia!$3:$3)-YEAR(C372))*14)+MONTH(C372)+2,FALSE)))</f>
        <v>1</v>
      </c>
      <c r="J372" s="178">
        <f t="shared" si="61"/>
        <v>78.899999999999991</v>
      </c>
      <c r="K372" s="462">
        <f>IF(C372=0,0,VLOOKUP(YEAR(C372),INPC!$B$4:$O$29,MONTH(C372)+1))</f>
        <v>111.824</v>
      </c>
      <c r="L372" s="462">
        <f>IF(S372=0,0,VLOOKUP(YEAR(S372),INPC!$B$4:$O$29,MONTH(S372)+1))</f>
        <v>118.98099999999999</v>
      </c>
      <c r="M372" s="463">
        <f t="shared" si="54"/>
        <v>1.0640000000000001</v>
      </c>
      <c r="N372" s="465">
        <f t="shared" si="62"/>
        <v>83.94959999999999</v>
      </c>
      <c r="O372" s="179"/>
      <c r="P372" s="180">
        <v>1</v>
      </c>
      <c r="Q372" s="173" t="s">
        <v>583</v>
      </c>
      <c r="R372" s="173" t="s">
        <v>230</v>
      </c>
      <c r="S372" s="174">
        <v>44595</v>
      </c>
      <c r="T372" s="173" t="s">
        <v>33</v>
      </c>
      <c r="U372" s="182">
        <v>76.985277777777767</v>
      </c>
      <c r="V372" s="177">
        <f>IF(U372=0,0,IF(T372="MXN",1/HLOOKUP(YEAR(S372)+(MONTH(S372)/100),TC!$5:$37,DAY(S372)+2,FALSE),VLOOKUP(T372,Equivalencia!$1:$23,((MAX(Equivalencia!$3:$3)-YEAR(S372))*14)+MONTH(S372)+2,FALSE)))</f>
        <v>1</v>
      </c>
      <c r="W372" s="178">
        <f t="shared" si="59"/>
        <v>76.985277777777767</v>
      </c>
      <c r="X372" s="481">
        <f t="shared" si="55"/>
        <v>-1.914722222222224</v>
      </c>
      <c r="Y372" s="179"/>
      <c r="Z372" s="466">
        <f t="shared" si="56"/>
        <v>83.94959999999999</v>
      </c>
      <c r="AA372" s="473">
        <f t="shared" si="57"/>
        <v>-6.9643222222222221</v>
      </c>
      <c r="AB372" s="339">
        <f t="shared" si="58"/>
        <v>-2.4267708773412222E-2</v>
      </c>
    </row>
    <row r="373" spans="2:28" ht="20.100000000000001" customHeight="1">
      <c r="B373" s="172">
        <v>1175000</v>
      </c>
      <c r="C373" s="174">
        <v>44281</v>
      </c>
      <c r="D373" s="181" t="s">
        <v>165</v>
      </c>
      <c r="E373" s="173" t="s">
        <v>33</v>
      </c>
      <c r="F373" s="176">
        <v>78.899999999999991</v>
      </c>
      <c r="G373" s="175">
        <f t="shared" si="60"/>
        <v>1</v>
      </c>
      <c r="H373" s="175">
        <f t="shared" si="53"/>
        <v>78.899999999999991</v>
      </c>
      <c r="I373" s="177">
        <f>IF(G373=0,0,IF(E373="MXN",1/HLOOKUP(YEAR(C373)+(MONTH(C373)/100),TC!$5:$37,DAY(C373)+2,FALSE),VLOOKUP(E373,Equivalencia!$5:$23,((MAX(Equivalencia!$3:$3)-YEAR(C373))*14)+MONTH(C373)+2,FALSE)))</f>
        <v>1</v>
      </c>
      <c r="J373" s="178">
        <f t="shared" si="61"/>
        <v>78.899999999999991</v>
      </c>
      <c r="K373" s="462">
        <f>IF(C373=0,0,VLOOKUP(YEAR(C373),INPC!$B$4:$O$29,MONTH(C373)+1))</f>
        <v>111.824</v>
      </c>
      <c r="L373" s="462">
        <f>IF(S373=0,0,VLOOKUP(YEAR(S373),INPC!$B$4:$O$29,MONTH(S373)+1))</f>
        <v>118.98099999999999</v>
      </c>
      <c r="M373" s="463">
        <f t="shared" si="54"/>
        <v>1.0640000000000001</v>
      </c>
      <c r="N373" s="465">
        <f t="shared" si="62"/>
        <v>83.94959999999999</v>
      </c>
      <c r="O373" s="179"/>
      <c r="P373" s="180">
        <v>1</v>
      </c>
      <c r="Q373" s="173" t="s">
        <v>583</v>
      </c>
      <c r="R373" s="173" t="s">
        <v>230</v>
      </c>
      <c r="S373" s="174">
        <v>44595</v>
      </c>
      <c r="T373" s="173" t="s">
        <v>33</v>
      </c>
      <c r="U373" s="182">
        <v>77.47</v>
      </c>
      <c r="V373" s="177">
        <f>IF(U373=0,0,IF(T373="MXN",1/HLOOKUP(YEAR(S373)+(MONTH(S373)/100),TC!$5:$37,DAY(S373)+2,FALSE),VLOOKUP(T373,Equivalencia!$1:$23,((MAX(Equivalencia!$3:$3)-YEAR(S373))*14)+MONTH(S373)+2,FALSE)))</f>
        <v>1</v>
      </c>
      <c r="W373" s="178">
        <f t="shared" si="59"/>
        <v>77.47</v>
      </c>
      <c r="X373" s="481">
        <f t="shared" si="55"/>
        <v>-1.4299999999999926</v>
      </c>
      <c r="Y373" s="179"/>
      <c r="Z373" s="466">
        <f t="shared" si="56"/>
        <v>83.94959999999999</v>
      </c>
      <c r="AA373" s="473">
        <f t="shared" si="57"/>
        <v>-6.4795999999999907</v>
      </c>
      <c r="AB373" s="339">
        <f t="shared" si="58"/>
        <v>-1.8124207858048025E-2</v>
      </c>
    </row>
    <row r="374" spans="2:28" ht="20.100000000000001" customHeight="1">
      <c r="B374" s="172">
        <v>1175000</v>
      </c>
      <c r="C374" s="174">
        <v>44281</v>
      </c>
      <c r="D374" s="181" t="s">
        <v>165</v>
      </c>
      <c r="E374" s="173" t="s">
        <v>33</v>
      </c>
      <c r="F374" s="176">
        <v>394.49999999999994</v>
      </c>
      <c r="G374" s="175">
        <f t="shared" si="60"/>
        <v>5</v>
      </c>
      <c r="H374" s="175">
        <f t="shared" si="53"/>
        <v>394.49999999999994</v>
      </c>
      <c r="I374" s="177">
        <f>IF(G374=0,0,IF(E374="MXN",1/HLOOKUP(YEAR(C374)+(MONTH(C374)/100),TC!$5:$37,DAY(C374)+2,FALSE),VLOOKUP(E374,Equivalencia!$5:$23,((MAX(Equivalencia!$3:$3)-YEAR(C374))*14)+MONTH(C374)+2,FALSE)))</f>
        <v>1</v>
      </c>
      <c r="J374" s="178">
        <f t="shared" si="61"/>
        <v>394.49999999999994</v>
      </c>
      <c r="K374" s="462">
        <f>IF(C374=0,0,VLOOKUP(YEAR(C374),INPC!$B$4:$O$29,MONTH(C374)+1))</f>
        <v>111.824</v>
      </c>
      <c r="L374" s="462">
        <f>IF(S374=0,0,VLOOKUP(YEAR(S374),INPC!$B$4:$O$29,MONTH(S374)+1))</f>
        <v>118.98099999999999</v>
      </c>
      <c r="M374" s="463">
        <f t="shared" si="54"/>
        <v>1.0640000000000001</v>
      </c>
      <c r="N374" s="465">
        <f t="shared" si="62"/>
        <v>419.74799999999993</v>
      </c>
      <c r="O374" s="179"/>
      <c r="P374" s="180">
        <v>5</v>
      </c>
      <c r="Q374" s="173" t="s">
        <v>583</v>
      </c>
      <c r="R374" s="173" t="s">
        <v>230</v>
      </c>
      <c r="S374" s="174">
        <v>44599</v>
      </c>
      <c r="T374" s="173" t="s">
        <v>33</v>
      </c>
      <c r="U374" s="182">
        <v>383.94687500000003</v>
      </c>
      <c r="V374" s="177">
        <f>IF(U374=0,0,IF(T374="MXN",1/HLOOKUP(YEAR(S374)+(MONTH(S374)/100),TC!$5:$37,DAY(S374)+2,FALSE),VLOOKUP(T374,Equivalencia!$1:$23,((MAX(Equivalencia!$3:$3)-YEAR(S374))*14)+MONTH(S374)+2,FALSE)))</f>
        <v>1</v>
      </c>
      <c r="W374" s="178">
        <f t="shared" si="59"/>
        <v>383.94687500000003</v>
      </c>
      <c r="X374" s="481">
        <f t="shared" si="55"/>
        <v>-10.553124999999909</v>
      </c>
      <c r="Y374" s="179"/>
      <c r="Z374" s="466">
        <f t="shared" si="56"/>
        <v>419.74799999999993</v>
      </c>
      <c r="AA374" s="473">
        <f t="shared" si="57"/>
        <v>-35.8011249999999</v>
      </c>
      <c r="AB374" s="339">
        <f t="shared" si="58"/>
        <v>-2.6750633713561234E-2</v>
      </c>
    </row>
    <row r="375" spans="2:28" ht="20.100000000000001" customHeight="1">
      <c r="B375" s="172">
        <v>1175000</v>
      </c>
      <c r="C375" s="174">
        <v>44321</v>
      </c>
      <c r="D375" s="181" t="s">
        <v>165</v>
      </c>
      <c r="E375" s="173" t="s">
        <v>33</v>
      </c>
      <c r="F375" s="176">
        <v>504.19</v>
      </c>
      <c r="G375" s="175">
        <f t="shared" si="60"/>
        <v>6</v>
      </c>
      <c r="H375" s="175">
        <f t="shared" si="53"/>
        <v>504.19</v>
      </c>
      <c r="I375" s="177">
        <f>IF(G375=0,0,IF(E375="MXN",1/HLOOKUP(YEAR(C375)+(MONTH(C375)/100),TC!$5:$37,DAY(C375)+2,FALSE),VLOOKUP(E375,Equivalencia!$5:$23,((MAX(Equivalencia!$3:$3)-YEAR(C375))*14)+MONTH(C375)+2,FALSE)))</f>
        <v>1</v>
      </c>
      <c r="J375" s="178">
        <f t="shared" si="61"/>
        <v>504.19</v>
      </c>
      <c r="K375" s="462">
        <f>IF(C375=0,0,VLOOKUP(YEAR(C375),INPC!$B$4:$O$29,MONTH(C375)+1))</f>
        <v>112.419</v>
      </c>
      <c r="L375" s="462">
        <f>IF(S375=0,0,VLOOKUP(YEAR(S375),INPC!$B$4:$O$29,MONTH(S375)+1))</f>
        <v>118.98099999999999</v>
      </c>
      <c r="M375" s="463">
        <f t="shared" si="54"/>
        <v>1.0583</v>
      </c>
      <c r="N375" s="465">
        <f t="shared" si="62"/>
        <v>533.58427700000004</v>
      </c>
      <c r="O375" s="179"/>
      <c r="P375" s="180">
        <v>6</v>
      </c>
      <c r="Q375" s="173" t="s">
        <v>583</v>
      </c>
      <c r="R375" s="173" t="s">
        <v>230</v>
      </c>
      <c r="S375" s="174">
        <v>44599</v>
      </c>
      <c r="T375" s="173" t="s">
        <v>33</v>
      </c>
      <c r="U375" s="182">
        <v>460.73625000000004</v>
      </c>
      <c r="V375" s="177">
        <f>IF(U375=0,0,IF(T375="MXN",1/HLOOKUP(YEAR(S375)+(MONTH(S375)/100),TC!$5:$37,DAY(S375)+2,FALSE),VLOOKUP(T375,Equivalencia!$1:$23,((MAX(Equivalencia!$3:$3)-YEAR(S375))*14)+MONTH(S375)+2,FALSE)))</f>
        <v>1</v>
      </c>
      <c r="W375" s="178">
        <f t="shared" si="59"/>
        <v>460.73625000000004</v>
      </c>
      <c r="X375" s="481">
        <f t="shared" si="55"/>
        <v>-43.453749999999957</v>
      </c>
      <c r="Y375" s="179"/>
      <c r="Z375" s="466">
        <f t="shared" si="56"/>
        <v>533.58427700000004</v>
      </c>
      <c r="AA375" s="473">
        <f t="shared" si="57"/>
        <v>-72.848027000000002</v>
      </c>
      <c r="AB375" s="339">
        <f t="shared" si="58"/>
        <v>-8.6185267458696035E-2</v>
      </c>
    </row>
    <row r="376" spans="2:28" ht="20.100000000000001" customHeight="1">
      <c r="B376" s="172">
        <v>1175000</v>
      </c>
      <c r="C376" s="174">
        <v>44321</v>
      </c>
      <c r="D376" s="181" t="s">
        <v>165</v>
      </c>
      <c r="E376" s="173" t="s">
        <v>33</v>
      </c>
      <c r="F376" s="176">
        <v>251.19</v>
      </c>
      <c r="G376" s="175">
        <f t="shared" si="60"/>
        <v>3</v>
      </c>
      <c r="H376" s="175">
        <f t="shared" si="53"/>
        <v>251.19</v>
      </c>
      <c r="I376" s="177">
        <f>IF(G376=0,0,IF(E376="MXN",1/HLOOKUP(YEAR(C376)+(MONTH(C376)/100),TC!$5:$37,DAY(C376)+2,FALSE),VLOOKUP(E376,Equivalencia!$5:$23,((MAX(Equivalencia!$3:$3)-YEAR(C376))*14)+MONTH(C376)+2,FALSE)))</f>
        <v>1</v>
      </c>
      <c r="J376" s="178">
        <f t="shared" si="61"/>
        <v>251.19</v>
      </c>
      <c r="K376" s="462">
        <f>IF(C376=0,0,VLOOKUP(YEAR(C376),INPC!$B$4:$O$29,MONTH(C376)+1))</f>
        <v>112.419</v>
      </c>
      <c r="L376" s="462">
        <f>IF(S376=0,0,VLOOKUP(YEAR(S376),INPC!$B$4:$O$29,MONTH(S376)+1))</f>
        <v>118.98099999999999</v>
      </c>
      <c r="M376" s="463">
        <f t="shared" si="54"/>
        <v>1.0583</v>
      </c>
      <c r="N376" s="465">
        <f t="shared" si="62"/>
        <v>265.83437700000002</v>
      </c>
      <c r="O376" s="179"/>
      <c r="P376" s="180">
        <v>3</v>
      </c>
      <c r="Q376" s="173" t="s">
        <v>583</v>
      </c>
      <c r="R376" s="173" t="s">
        <v>230</v>
      </c>
      <c r="S376" s="174">
        <v>44599</v>
      </c>
      <c r="T376" s="173" t="s">
        <v>33</v>
      </c>
      <c r="U376" s="182">
        <v>230.36812500000002</v>
      </c>
      <c r="V376" s="177">
        <f>IF(U376=0,0,IF(T376="MXN",1/HLOOKUP(YEAR(S376)+(MONTH(S376)/100),TC!$5:$37,DAY(S376)+2,FALSE),VLOOKUP(T376,Equivalencia!$1:$23,((MAX(Equivalencia!$3:$3)-YEAR(S376))*14)+MONTH(S376)+2,FALSE)))</f>
        <v>1</v>
      </c>
      <c r="W376" s="178">
        <f t="shared" si="59"/>
        <v>230.36812500000002</v>
      </c>
      <c r="X376" s="481">
        <f t="shared" si="55"/>
        <v>-20.821874999999977</v>
      </c>
      <c r="Y376" s="179"/>
      <c r="Z376" s="466">
        <f t="shared" si="56"/>
        <v>265.83437700000002</v>
      </c>
      <c r="AA376" s="473">
        <f t="shared" si="57"/>
        <v>-35.466251999999997</v>
      </c>
      <c r="AB376" s="339">
        <f t="shared" si="58"/>
        <v>-8.2892929654842851E-2</v>
      </c>
    </row>
    <row r="377" spans="2:28" ht="20.100000000000001" customHeight="1">
      <c r="B377" s="172">
        <v>1175000</v>
      </c>
      <c r="C377" s="174">
        <v>44321</v>
      </c>
      <c r="D377" s="181" t="s">
        <v>165</v>
      </c>
      <c r="E377" s="173" t="s">
        <v>33</v>
      </c>
      <c r="F377" s="176">
        <v>167.19818181818184</v>
      </c>
      <c r="G377" s="175">
        <f t="shared" si="60"/>
        <v>2</v>
      </c>
      <c r="H377" s="175">
        <f t="shared" si="53"/>
        <v>167.19818181818184</v>
      </c>
      <c r="I377" s="177">
        <f>IF(G377=0,0,IF(E377="MXN",1/HLOOKUP(YEAR(C377)+(MONTH(C377)/100),TC!$5:$37,DAY(C377)+2,FALSE),VLOOKUP(E377,Equivalencia!$5:$23,((MAX(Equivalencia!$3:$3)-YEAR(C377))*14)+MONTH(C377)+2,FALSE)))</f>
        <v>1</v>
      </c>
      <c r="J377" s="178">
        <f t="shared" si="61"/>
        <v>167.19818181818184</v>
      </c>
      <c r="K377" s="462">
        <f>IF(C377=0,0,VLOOKUP(YEAR(C377),INPC!$B$4:$O$29,MONTH(C377)+1))</f>
        <v>112.419</v>
      </c>
      <c r="L377" s="462">
        <f>IF(S377=0,0,VLOOKUP(YEAR(S377),INPC!$B$4:$O$29,MONTH(S377)+1))</f>
        <v>118.98099999999999</v>
      </c>
      <c r="M377" s="463">
        <f t="shared" si="54"/>
        <v>1.0583</v>
      </c>
      <c r="N377" s="465">
        <f t="shared" si="62"/>
        <v>176.94583581818185</v>
      </c>
      <c r="O377" s="179"/>
      <c r="P377" s="180">
        <v>2</v>
      </c>
      <c r="Q377" s="173" t="s">
        <v>583</v>
      </c>
      <c r="R377" s="173" t="s">
        <v>230</v>
      </c>
      <c r="S377" s="174">
        <v>44599</v>
      </c>
      <c r="T377" s="173" t="s">
        <v>33</v>
      </c>
      <c r="U377" s="182">
        <v>153.57875000000001</v>
      </c>
      <c r="V377" s="177">
        <f>IF(U377=0,0,IF(T377="MXN",1/HLOOKUP(YEAR(S377)+(MONTH(S377)/100),TC!$5:$37,DAY(S377)+2,FALSE),VLOOKUP(T377,Equivalencia!$1:$23,((MAX(Equivalencia!$3:$3)-YEAR(S377))*14)+MONTH(S377)+2,FALSE)))</f>
        <v>1</v>
      </c>
      <c r="W377" s="178">
        <f t="shared" si="59"/>
        <v>153.57875000000001</v>
      </c>
      <c r="X377" s="481">
        <f t="shared" si="55"/>
        <v>-13.619431818181823</v>
      </c>
      <c r="Y377" s="179"/>
      <c r="Z377" s="466">
        <f t="shared" si="56"/>
        <v>176.94583581818185</v>
      </c>
      <c r="AA377" s="473">
        <f t="shared" si="57"/>
        <v>-23.367085818181835</v>
      </c>
      <c r="AB377" s="339">
        <f t="shared" si="58"/>
        <v>-8.1456817712241336E-2</v>
      </c>
    </row>
    <row r="378" spans="2:28" ht="20.100000000000001" customHeight="1">
      <c r="B378" s="172">
        <v>1175000</v>
      </c>
      <c r="C378" s="174">
        <v>44321</v>
      </c>
      <c r="D378" s="181" t="s">
        <v>165</v>
      </c>
      <c r="E378" s="173" t="s">
        <v>33</v>
      </c>
      <c r="F378" s="176">
        <v>167.19818181818184</v>
      </c>
      <c r="G378" s="175">
        <f t="shared" si="60"/>
        <v>2</v>
      </c>
      <c r="H378" s="175">
        <f t="shared" si="53"/>
        <v>167.19818181818184</v>
      </c>
      <c r="I378" s="177">
        <f>IF(G378=0,0,IF(E378="MXN",1/HLOOKUP(YEAR(C378)+(MONTH(C378)/100),TC!$5:$37,DAY(C378)+2,FALSE),VLOOKUP(E378,Equivalencia!$5:$23,((MAX(Equivalencia!$3:$3)-YEAR(C378))*14)+MONTH(C378)+2,FALSE)))</f>
        <v>1</v>
      </c>
      <c r="J378" s="178">
        <f t="shared" si="61"/>
        <v>167.19818181818184</v>
      </c>
      <c r="K378" s="462">
        <f>IF(C378=0,0,VLOOKUP(YEAR(C378),INPC!$B$4:$O$29,MONTH(C378)+1))</f>
        <v>112.419</v>
      </c>
      <c r="L378" s="462">
        <f>IF(S378=0,0,VLOOKUP(YEAR(S378),INPC!$B$4:$O$29,MONTH(S378)+1))</f>
        <v>118.98099999999999</v>
      </c>
      <c r="M378" s="463">
        <f t="shared" si="54"/>
        <v>1.0583</v>
      </c>
      <c r="N378" s="465">
        <f t="shared" si="62"/>
        <v>176.94583581818185</v>
      </c>
      <c r="O378" s="179"/>
      <c r="P378" s="180">
        <v>2</v>
      </c>
      <c r="Q378" s="173" t="s">
        <v>583</v>
      </c>
      <c r="R378" s="173" t="s">
        <v>230</v>
      </c>
      <c r="S378" s="174">
        <v>44599</v>
      </c>
      <c r="T378" s="173" t="s">
        <v>33</v>
      </c>
      <c r="U378" s="182">
        <v>152.47</v>
      </c>
      <c r="V378" s="177">
        <f>IF(U378=0,0,IF(T378="MXN",1/HLOOKUP(YEAR(S378)+(MONTH(S378)/100),TC!$5:$37,DAY(S378)+2,FALSE),VLOOKUP(T378,Equivalencia!$1:$23,((MAX(Equivalencia!$3:$3)-YEAR(S378))*14)+MONTH(S378)+2,FALSE)))</f>
        <v>1</v>
      </c>
      <c r="W378" s="178">
        <f t="shared" si="59"/>
        <v>152.47</v>
      </c>
      <c r="X378" s="481">
        <f t="shared" si="55"/>
        <v>-14.728181818181838</v>
      </c>
      <c r="Y378" s="179"/>
      <c r="Z378" s="466">
        <f t="shared" si="56"/>
        <v>176.94583581818185</v>
      </c>
      <c r="AA378" s="473">
        <f t="shared" si="57"/>
        <v>-24.475835818181849</v>
      </c>
      <c r="AB378" s="339">
        <f t="shared" si="58"/>
        <v>-8.8088169727813637E-2</v>
      </c>
    </row>
    <row r="379" spans="2:28" ht="20.100000000000001" customHeight="1">
      <c r="B379" s="172">
        <v>1175000</v>
      </c>
      <c r="C379" s="174">
        <v>44321</v>
      </c>
      <c r="D379" s="181" t="s">
        <v>165</v>
      </c>
      <c r="E379" s="173" t="s">
        <v>33</v>
      </c>
      <c r="F379" s="176">
        <v>334.39636363636367</v>
      </c>
      <c r="G379" s="175">
        <f t="shared" si="60"/>
        <v>4</v>
      </c>
      <c r="H379" s="175">
        <f t="shared" si="53"/>
        <v>334.39636363636367</v>
      </c>
      <c r="I379" s="177">
        <f>IF(G379=0,0,IF(E379="MXN",1/HLOOKUP(YEAR(C379)+(MONTH(C379)/100),TC!$5:$37,DAY(C379)+2,FALSE),VLOOKUP(E379,Equivalencia!$5:$23,((MAX(Equivalencia!$3:$3)-YEAR(C379))*14)+MONTH(C379)+2,FALSE)))</f>
        <v>1</v>
      </c>
      <c r="J379" s="178">
        <f t="shared" si="61"/>
        <v>334.39636363636367</v>
      </c>
      <c r="K379" s="462">
        <f>IF(C379=0,0,VLOOKUP(YEAR(C379),INPC!$B$4:$O$29,MONTH(C379)+1))</f>
        <v>112.419</v>
      </c>
      <c r="L379" s="462">
        <f>IF(S379=0,0,VLOOKUP(YEAR(S379),INPC!$B$4:$O$29,MONTH(S379)+1))</f>
        <v>118.98099999999999</v>
      </c>
      <c r="M379" s="463">
        <f t="shared" si="54"/>
        <v>1.0583</v>
      </c>
      <c r="N379" s="465">
        <f t="shared" si="62"/>
        <v>353.8916716363637</v>
      </c>
      <c r="O379" s="179"/>
      <c r="P379" s="180">
        <v>4</v>
      </c>
      <c r="Q379" s="173" t="s">
        <v>583</v>
      </c>
      <c r="R379" s="173" t="s">
        <v>230</v>
      </c>
      <c r="S379" s="174">
        <v>44608</v>
      </c>
      <c r="T379" s="173" t="s">
        <v>33</v>
      </c>
      <c r="U379" s="182">
        <v>291.10000000000002</v>
      </c>
      <c r="V379" s="177">
        <f>IF(U379=0,0,IF(T379="MXN",1/HLOOKUP(YEAR(S379)+(MONTH(S379)/100),TC!$5:$37,DAY(S379)+2,FALSE),VLOOKUP(T379,Equivalencia!$1:$23,((MAX(Equivalencia!$3:$3)-YEAR(S379))*14)+MONTH(S379)+2,FALSE)))</f>
        <v>1</v>
      </c>
      <c r="W379" s="178">
        <f t="shared" si="59"/>
        <v>291.10000000000002</v>
      </c>
      <c r="X379" s="481">
        <f t="shared" si="55"/>
        <v>-43.296363636363651</v>
      </c>
      <c r="Y379" s="179"/>
      <c r="Z379" s="466">
        <f t="shared" si="56"/>
        <v>353.8916716363637</v>
      </c>
      <c r="AA379" s="473">
        <f t="shared" si="57"/>
        <v>-62.791671636363674</v>
      </c>
      <c r="AB379" s="339">
        <f t="shared" si="58"/>
        <v>-0.12947617960177904</v>
      </c>
    </row>
    <row r="380" spans="2:28" ht="20.100000000000001" customHeight="1">
      <c r="B380" s="172">
        <v>1175000</v>
      </c>
      <c r="C380" s="174">
        <v>44321</v>
      </c>
      <c r="D380" s="181" t="s">
        <v>165</v>
      </c>
      <c r="E380" s="173" t="s">
        <v>33</v>
      </c>
      <c r="F380" s="176">
        <v>250.79727272727274</v>
      </c>
      <c r="G380" s="175">
        <f t="shared" si="60"/>
        <v>3</v>
      </c>
      <c r="H380" s="175">
        <f t="shared" si="53"/>
        <v>250.79727272727274</v>
      </c>
      <c r="I380" s="177">
        <f>IF(G380=0,0,IF(E380="MXN",1/HLOOKUP(YEAR(C380)+(MONTH(C380)/100),TC!$5:$37,DAY(C380)+2,FALSE),VLOOKUP(E380,Equivalencia!$5:$23,((MAX(Equivalencia!$3:$3)-YEAR(C380))*14)+MONTH(C380)+2,FALSE)))</f>
        <v>1</v>
      </c>
      <c r="J380" s="178">
        <f t="shared" si="61"/>
        <v>250.79727272727274</v>
      </c>
      <c r="K380" s="462">
        <f>IF(C380=0,0,VLOOKUP(YEAR(C380),INPC!$B$4:$O$29,MONTH(C380)+1))</f>
        <v>112.419</v>
      </c>
      <c r="L380" s="462">
        <f>IF(S380=0,0,VLOOKUP(YEAR(S380),INPC!$B$4:$O$29,MONTH(S380)+1))</f>
        <v>118.98099999999999</v>
      </c>
      <c r="M380" s="463">
        <f t="shared" si="54"/>
        <v>1.0583</v>
      </c>
      <c r="N380" s="465">
        <f t="shared" si="62"/>
        <v>265.41875372727276</v>
      </c>
      <c r="O380" s="179"/>
      <c r="P380" s="180">
        <v>3</v>
      </c>
      <c r="Q380" s="173" t="s">
        <v>583</v>
      </c>
      <c r="R380" s="173" t="s">
        <v>230</v>
      </c>
      <c r="S380" s="174">
        <v>44608</v>
      </c>
      <c r="T380" s="173" t="s">
        <v>33</v>
      </c>
      <c r="U380" s="182">
        <v>219.125</v>
      </c>
      <c r="V380" s="177">
        <f>IF(U380=0,0,IF(T380="MXN",1/HLOOKUP(YEAR(S380)+(MONTH(S380)/100),TC!$5:$37,DAY(S380)+2,FALSE),VLOOKUP(T380,Equivalencia!$1:$23,((MAX(Equivalencia!$3:$3)-YEAR(S380))*14)+MONTH(S380)+2,FALSE)))</f>
        <v>1</v>
      </c>
      <c r="W380" s="178">
        <f t="shared" si="59"/>
        <v>219.125</v>
      </c>
      <c r="X380" s="481">
        <f t="shared" si="55"/>
        <v>-31.672272727272741</v>
      </c>
      <c r="Y380" s="179"/>
      <c r="Z380" s="466">
        <f t="shared" si="56"/>
        <v>265.41875372727276</v>
      </c>
      <c r="AA380" s="473">
        <f t="shared" si="57"/>
        <v>-46.293753727272758</v>
      </c>
      <c r="AB380" s="339">
        <f t="shared" si="58"/>
        <v>-0.12628635225118445</v>
      </c>
    </row>
    <row r="381" spans="2:28" ht="20.100000000000001" customHeight="1">
      <c r="B381" s="172">
        <v>1175000</v>
      </c>
      <c r="C381" s="174">
        <v>44321</v>
      </c>
      <c r="D381" s="181" t="s">
        <v>165</v>
      </c>
      <c r="E381" s="173" t="s">
        <v>33</v>
      </c>
      <c r="F381" s="176">
        <v>335</v>
      </c>
      <c r="G381" s="175">
        <f t="shared" si="60"/>
        <v>4</v>
      </c>
      <c r="H381" s="175">
        <f t="shared" si="53"/>
        <v>335</v>
      </c>
      <c r="I381" s="177">
        <f>IF(G381=0,0,IF(E381="MXN",1/HLOOKUP(YEAR(C381)+(MONTH(C381)/100),TC!$5:$37,DAY(C381)+2,FALSE),VLOOKUP(E381,Equivalencia!$5:$23,((MAX(Equivalencia!$3:$3)-YEAR(C381))*14)+MONTH(C381)+2,FALSE)))</f>
        <v>1</v>
      </c>
      <c r="J381" s="178">
        <f t="shared" si="61"/>
        <v>335</v>
      </c>
      <c r="K381" s="462">
        <f>IF(C381=0,0,VLOOKUP(YEAR(C381),INPC!$B$4:$O$29,MONTH(C381)+1))</f>
        <v>112.419</v>
      </c>
      <c r="L381" s="462">
        <f>IF(S381=0,0,VLOOKUP(YEAR(S381),INPC!$B$4:$O$29,MONTH(S381)+1))</f>
        <v>118.98099999999999</v>
      </c>
      <c r="M381" s="463">
        <f t="shared" si="54"/>
        <v>1.0583</v>
      </c>
      <c r="N381" s="465">
        <f t="shared" si="62"/>
        <v>354.53050000000002</v>
      </c>
      <c r="O381" s="179"/>
      <c r="P381" s="180">
        <v>4</v>
      </c>
      <c r="Q381" s="173" t="s">
        <v>583</v>
      </c>
      <c r="R381" s="173" t="s">
        <v>230</v>
      </c>
      <c r="S381" s="174">
        <v>44608</v>
      </c>
      <c r="T381" s="173" t="s">
        <v>33</v>
      </c>
      <c r="U381" s="182">
        <v>292.16666666666669</v>
      </c>
      <c r="V381" s="177">
        <f>IF(U381=0,0,IF(T381="MXN",1/HLOOKUP(YEAR(S381)+(MONTH(S381)/100),TC!$5:$37,DAY(S381)+2,FALSE),VLOOKUP(T381,Equivalencia!$1:$23,((MAX(Equivalencia!$3:$3)-YEAR(S381))*14)+MONTH(S381)+2,FALSE)))</f>
        <v>1</v>
      </c>
      <c r="W381" s="178">
        <f t="shared" si="59"/>
        <v>292.16666666666669</v>
      </c>
      <c r="X381" s="481">
        <f t="shared" si="55"/>
        <v>-42.833333333333314</v>
      </c>
      <c r="Y381" s="179"/>
      <c r="Z381" s="466">
        <f t="shared" si="56"/>
        <v>354.53050000000002</v>
      </c>
      <c r="AA381" s="473">
        <f t="shared" si="57"/>
        <v>-62.363833333333332</v>
      </c>
      <c r="AB381" s="339">
        <f t="shared" si="58"/>
        <v>-0.12786069651741283</v>
      </c>
    </row>
    <row r="382" spans="2:28" ht="20.100000000000001" customHeight="1">
      <c r="B382" s="172">
        <v>1175000</v>
      </c>
      <c r="C382" s="174">
        <v>44322</v>
      </c>
      <c r="D382" s="181" t="s">
        <v>165</v>
      </c>
      <c r="E382" s="173" t="s">
        <v>33</v>
      </c>
      <c r="F382" s="176">
        <v>336.87</v>
      </c>
      <c r="G382" s="175">
        <f t="shared" si="60"/>
        <v>4</v>
      </c>
      <c r="H382" s="175">
        <f t="shared" si="53"/>
        <v>336.87</v>
      </c>
      <c r="I382" s="177">
        <f>IF(G382=0,0,IF(E382="MXN",1/HLOOKUP(YEAR(C382)+(MONTH(C382)/100),TC!$5:$37,DAY(C382)+2,FALSE),VLOOKUP(E382,Equivalencia!$5:$23,((MAX(Equivalencia!$3:$3)-YEAR(C382))*14)+MONTH(C382)+2,FALSE)))</f>
        <v>1</v>
      </c>
      <c r="J382" s="178">
        <f t="shared" si="61"/>
        <v>336.87</v>
      </c>
      <c r="K382" s="462">
        <f>IF(C382=0,0,VLOOKUP(YEAR(C382),INPC!$B$4:$O$29,MONTH(C382)+1))</f>
        <v>112.419</v>
      </c>
      <c r="L382" s="462">
        <f>IF(S382=0,0,VLOOKUP(YEAR(S382),INPC!$B$4:$O$29,MONTH(S382)+1))</f>
        <v>118.98099999999999</v>
      </c>
      <c r="M382" s="463">
        <f t="shared" si="54"/>
        <v>1.0583</v>
      </c>
      <c r="N382" s="465">
        <f t="shared" si="62"/>
        <v>356.50952100000001</v>
      </c>
      <c r="O382" s="179"/>
      <c r="P382" s="180">
        <v>4</v>
      </c>
      <c r="Q382" s="173" t="s">
        <v>583</v>
      </c>
      <c r="R382" s="173" t="s">
        <v>230</v>
      </c>
      <c r="S382" s="174">
        <v>44608</v>
      </c>
      <c r="T382" s="173" t="s">
        <v>33</v>
      </c>
      <c r="U382" s="182">
        <v>292.16666666666669</v>
      </c>
      <c r="V382" s="177">
        <f>IF(U382=0,0,IF(T382="MXN",1/HLOOKUP(YEAR(S382)+(MONTH(S382)/100),TC!$5:$37,DAY(S382)+2,FALSE),VLOOKUP(T382,Equivalencia!$1:$23,((MAX(Equivalencia!$3:$3)-YEAR(S382))*14)+MONTH(S382)+2,FALSE)))</f>
        <v>1</v>
      </c>
      <c r="W382" s="178">
        <f t="shared" si="59"/>
        <v>292.16666666666669</v>
      </c>
      <c r="X382" s="481">
        <f t="shared" si="55"/>
        <v>-44.703333333333319</v>
      </c>
      <c r="Y382" s="179"/>
      <c r="Z382" s="466">
        <f t="shared" si="56"/>
        <v>356.50952100000001</v>
      </c>
      <c r="AA382" s="473">
        <f t="shared" si="57"/>
        <v>-64.342854333333321</v>
      </c>
      <c r="AB382" s="339">
        <f t="shared" si="58"/>
        <v>-0.13270203144635417</v>
      </c>
    </row>
    <row r="383" spans="2:28" ht="20.100000000000001" customHeight="1">
      <c r="B383" s="172">
        <v>1175000</v>
      </c>
      <c r="C383" s="174">
        <v>44341</v>
      </c>
      <c r="D383" s="181" t="s">
        <v>165</v>
      </c>
      <c r="E383" s="173" t="s">
        <v>33</v>
      </c>
      <c r="F383" s="176">
        <v>85.023124999999993</v>
      </c>
      <c r="G383" s="175">
        <f t="shared" si="60"/>
        <v>1</v>
      </c>
      <c r="H383" s="175">
        <f t="shared" si="53"/>
        <v>85.023124999999993</v>
      </c>
      <c r="I383" s="177">
        <f>IF(G383=0,0,IF(E383="MXN",1/HLOOKUP(YEAR(C383)+(MONTH(C383)/100),TC!$5:$37,DAY(C383)+2,FALSE),VLOOKUP(E383,Equivalencia!$5:$23,((MAX(Equivalencia!$3:$3)-YEAR(C383))*14)+MONTH(C383)+2,FALSE)))</f>
        <v>1</v>
      </c>
      <c r="J383" s="178">
        <f t="shared" si="61"/>
        <v>85.023124999999993</v>
      </c>
      <c r="K383" s="462">
        <f>IF(C383=0,0,VLOOKUP(YEAR(C383),INPC!$B$4:$O$29,MONTH(C383)+1))</f>
        <v>112.419</v>
      </c>
      <c r="L383" s="462">
        <f>IF(S383=0,0,VLOOKUP(YEAR(S383),INPC!$B$4:$O$29,MONTH(S383)+1))</f>
        <v>118.98099999999999</v>
      </c>
      <c r="M383" s="463">
        <f t="shared" si="54"/>
        <v>1.0583</v>
      </c>
      <c r="N383" s="465">
        <f t="shared" si="62"/>
        <v>89.979973187499994</v>
      </c>
      <c r="O383" s="179"/>
      <c r="P383" s="180">
        <v>1</v>
      </c>
      <c r="Q383" s="173" t="s">
        <v>583</v>
      </c>
      <c r="R383" s="173" t="s">
        <v>230</v>
      </c>
      <c r="S383" s="174">
        <v>44608</v>
      </c>
      <c r="T383" s="173" t="s">
        <v>33</v>
      </c>
      <c r="U383" s="182">
        <v>73.041666666666671</v>
      </c>
      <c r="V383" s="177">
        <f>IF(U383=0,0,IF(T383="MXN",1/HLOOKUP(YEAR(S383)+(MONTH(S383)/100),TC!$5:$37,DAY(S383)+2,FALSE),VLOOKUP(T383,Equivalencia!$1:$23,((MAX(Equivalencia!$3:$3)-YEAR(S383))*14)+MONTH(S383)+2,FALSE)))</f>
        <v>1</v>
      </c>
      <c r="W383" s="178">
        <f t="shared" si="59"/>
        <v>73.041666666666671</v>
      </c>
      <c r="X383" s="481">
        <f t="shared" si="55"/>
        <v>-11.981458333333322</v>
      </c>
      <c r="Y383" s="179"/>
      <c r="Z383" s="466">
        <f t="shared" si="56"/>
        <v>89.979973187499994</v>
      </c>
      <c r="AA383" s="473">
        <f t="shared" si="57"/>
        <v>-16.938306520833322</v>
      </c>
      <c r="AB383" s="339">
        <f t="shared" si="58"/>
        <v>-0.14091999480533468</v>
      </c>
    </row>
    <row r="384" spans="2:28" ht="20.100000000000001" customHeight="1">
      <c r="B384" s="172">
        <v>1175000</v>
      </c>
      <c r="C384" s="174">
        <v>44341</v>
      </c>
      <c r="D384" s="181" t="s">
        <v>165</v>
      </c>
      <c r="E384" s="173" t="s">
        <v>33</v>
      </c>
      <c r="F384" s="176">
        <v>85.023124999999993</v>
      </c>
      <c r="G384" s="175">
        <f t="shared" si="60"/>
        <v>1</v>
      </c>
      <c r="H384" s="175">
        <f t="shared" si="53"/>
        <v>85.023124999999993</v>
      </c>
      <c r="I384" s="177">
        <f>IF(G384=0,0,IF(E384="MXN",1/HLOOKUP(YEAR(C384)+(MONTH(C384)/100),TC!$5:$37,DAY(C384)+2,FALSE),VLOOKUP(E384,Equivalencia!$5:$23,((MAX(Equivalencia!$3:$3)-YEAR(C384))*14)+MONTH(C384)+2,FALSE)))</f>
        <v>1</v>
      </c>
      <c r="J384" s="178">
        <f t="shared" si="61"/>
        <v>85.023124999999993</v>
      </c>
      <c r="K384" s="462">
        <f>IF(C384=0,0,VLOOKUP(YEAR(C384),INPC!$B$4:$O$29,MONTH(C384)+1))</f>
        <v>112.419</v>
      </c>
      <c r="L384" s="462">
        <f>IF(S384=0,0,VLOOKUP(YEAR(S384),INPC!$B$4:$O$29,MONTH(S384)+1))</f>
        <v>118.98099999999999</v>
      </c>
      <c r="M384" s="463">
        <f t="shared" si="54"/>
        <v>1.0583</v>
      </c>
      <c r="N384" s="465">
        <f t="shared" si="62"/>
        <v>89.979973187499994</v>
      </c>
      <c r="O384" s="179"/>
      <c r="P384" s="180">
        <v>1</v>
      </c>
      <c r="Q384" s="173" t="s">
        <v>583</v>
      </c>
      <c r="R384" s="173" t="s">
        <v>230</v>
      </c>
      <c r="S384" s="174">
        <v>44608</v>
      </c>
      <c r="T384" s="173" t="s">
        <v>33</v>
      </c>
      <c r="U384" s="182">
        <v>74.150000000000006</v>
      </c>
      <c r="V384" s="177">
        <f>IF(U384=0,0,IF(T384="MXN",1/HLOOKUP(YEAR(S384)+(MONTH(S384)/100),TC!$5:$37,DAY(S384)+2,FALSE),VLOOKUP(T384,Equivalencia!$1:$23,((MAX(Equivalencia!$3:$3)-YEAR(S384))*14)+MONTH(S384)+2,FALSE)))</f>
        <v>1</v>
      </c>
      <c r="W384" s="178">
        <f t="shared" si="59"/>
        <v>74.150000000000006</v>
      </c>
      <c r="X384" s="481">
        <f t="shared" si="55"/>
        <v>-10.873124999999987</v>
      </c>
      <c r="Y384" s="179"/>
      <c r="Z384" s="466">
        <f t="shared" si="56"/>
        <v>89.979973187499994</v>
      </c>
      <c r="AA384" s="473">
        <f t="shared" si="57"/>
        <v>-15.829973187499988</v>
      </c>
      <c r="AB384" s="339">
        <f t="shared" si="58"/>
        <v>-0.12788432558789142</v>
      </c>
    </row>
    <row r="385" spans="2:28" ht="20.100000000000001" customHeight="1">
      <c r="B385" s="172">
        <v>1175000</v>
      </c>
      <c r="C385" s="174">
        <v>44341</v>
      </c>
      <c r="D385" s="181" t="s">
        <v>165</v>
      </c>
      <c r="E385" s="173" t="s">
        <v>33</v>
      </c>
      <c r="F385" s="176">
        <v>1190.32375</v>
      </c>
      <c r="G385" s="175">
        <f t="shared" si="60"/>
        <v>14</v>
      </c>
      <c r="H385" s="175">
        <f t="shared" si="53"/>
        <v>1190.32375</v>
      </c>
      <c r="I385" s="177">
        <f>IF(G385=0,0,IF(E385="MXN",1/HLOOKUP(YEAR(C385)+(MONTH(C385)/100),TC!$5:$37,DAY(C385)+2,FALSE),VLOOKUP(E385,Equivalencia!$5:$23,((MAX(Equivalencia!$3:$3)-YEAR(C385))*14)+MONTH(C385)+2,FALSE)))</f>
        <v>1</v>
      </c>
      <c r="J385" s="178">
        <f t="shared" si="61"/>
        <v>1190.32375</v>
      </c>
      <c r="K385" s="462">
        <f>IF(C385=0,0,VLOOKUP(YEAR(C385),INPC!$B$4:$O$29,MONTH(C385)+1))</f>
        <v>112.419</v>
      </c>
      <c r="L385" s="462">
        <f>IF(S385=0,0,VLOOKUP(YEAR(S385),INPC!$B$4:$O$29,MONTH(S385)+1))</f>
        <v>118.98099999999999</v>
      </c>
      <c r="M385" s="463">
        <f t="shared" si="54"/>
        <v>1.0583</v>
      </c>
      <c r="N385" s="465">
        <f t="shared" si="62"/>
        <v>1259.7196246250001</v>
      </c>
      <c r="O385" s="179"/>
      <c r="P385" s="180">
        <v>14</v>
      </c>
      <c r="Q385" s="173" t="s">
        <v>583</v>
      </c>
      <c r="R385" s="173" t="s">
        <v>230</v>
      </c>
      <c r="S385" s="174">
        <v>44608</v>
      </c>
      <c r="T385" s="173" t="s">
        <v>33</v>
      </c>
      <c r="U385" s="182">
        <v>1024.4849999999999</v>
      </c>
      <c r="V385" s="177">
        <f>IF(U385=0,0,IF(T385="MXN",1/HLOOKUP(YEAR(S385)+(MONTH(S385)/100),TC!$5:$37,DAY(S385)+2,FALSE),VLOOKUP(T385,Equivalencia!$1:$23,((MAX(Equivalencia!$3:$3)-YEAR(S385))*14)+MONTH(S385)+2,FALSE)))</f>
        <v>1</v>
      </c>
      <c r="W385" s="178">
        <f t="shared" si="59"/>
        <v>1024.4849999999999</v>
      </c>
      <c r="X385" s="481">
        <f t="shared" si="55"/>
        <v>-165.83875000000012</v>
      </c>
      <c r="Y385" s="179"/>
      <c r="Z385" s="466">
        <f t="shared" si="56"/>
        <v>1259.7196246250001</v>
      </c>
      <c r="AA385" s="473">
        <f t="shared" si="57"/>
        <v>-235.23462462500015</v>
      </c>
      <c r="AB385" s="339">
        <f t="shared" si="58"/>
        <v>-0.13932239023206927</v>
      </c>
    </row>
    <row r="386" spans="2:28" ht="20.100000000000001" customHeight="1">
      <c r="B386" s="172">
        <v>1175000</v>
      </c>
      <c r="C386" s="174">
        <v>44341</v>
      </c>
      <c r="D386" s="181" t="s">
        <v>165</v>
      </c>
      <c r="E386" s="173" t="s">
        <v>33</v>
      </c>
      <c r="F386" s="176">
        <v>933.3</v>
      </c>
      <c r="G386" s="175">
        <f t="shared" si="60"/>
        <v>11</v>
      </c>
      <c r="H386" s="175">
        <f t="shared" ref="H386:H449" si="63">IF(F386=0,0,(F386/G386)*P386)</f>
        <v>933.3</v>
      </c>
      <c r="I386" s="177">
        <f>IF(G386=0,0,IF(E386="MXN",1/HLOOKUP(YEAR(C386)+(MONTH(C386)/100),TC!$5:$37,DAY(C386)+2,FALSE),VLOOKUP(E386,Equivalencia!$5:$23,((MAX(Equivalencia!$3:$3)-YEAR(C386))*14)+MONTH(C386)+2,FALSE)))</f>
        <v>1</v>
      </c>
      <c r="J386" s="178">
        <f t="shared" si="61"/>
        <v>933.3</v>
      </c>
      <c r="K386" s="462">
        <f>IF(C386=0,0,VLOOKUP(YEAR(C386),INPC!$B$4:$O$29,MONTH(C386)+1))</f>
        <v>112.419</v>
      </c>
      <c r="L386" s="462">
        <f>IF(S386=0,0,VLOOKUP(YEAR(S386),INPC!$B$4:$O$29,MONTH(S386)+1))</f>
        <v>118.98099999999999</v>
      </c>
      <c r="M386" s="463">
        <f t="shared" ref="M386:M449" si="64">IF(H386=0,0,IF(R386=$AF$4,1,IF(TRUNC(L386/K386,4)&gt;=1,TRUNC(L386/K386,4),1)))</f>
        <v>1.0583</v>
      </c>
      <c r="N386" s="465">
        <f t="shared" si="62"/>
        <v>987.71138999999994</v>
      </c>
      <c r="O386" s="179"/>
      <c r="P386" s="180">
        <v>11</v>
      </c>
      <c r="Q386" s="173" t="s">
        <v>583</v>
      </c>
      <c r="R386" s="173" t="s">
        <v>230</v>
      </c>
      <c r="S386" s="174">
        <v>44608</v>
      </c>
      <c r="T386" s="173" t="s">
        <v>33</v>
      </c>
      <c r="U386" s="182">
        <v>804.95249999999999</v>
      </c>
      <c r="V386" s="177">
        <f>IF(U386=0,0,IF(T386="MXN",1/HLOOKUP(YEAR(S386)+(MONTH(S386)/100),TC!$5:$37,DAY(S386)+2,FALSE),VLOOKUP(T386,Equivalencia!$1:$23,((MAX(Equivalencia!$3:$3)-YEAR(S386))*14)+MONTH(S386)+2,FALSE)))</f>
        <v>1</v>
      </c>
      <c r="W386" s="178">
        <f t="shared" si="59"/>
        <v>804.95249999999999</v>
      </c>
      <c r="X386" s="481">
        <f t="shared" ref="X386:X449" si="65">+W386-J386</f>
        <v>-128.34749999999997</v>
      </c>
      <c r="Y386" s="179"/>
      <c r="Z386" s="466">
        <f t="shared" ref="Z386:Z449" si="66">N386</f>
        <v>987.71138999999994</v>
      </c>
      <c r="AA386" s="473">
        <f t="shared" ref="AA386:AA449" si="67">+W386-Z386</f>
        <v>-182.75888999999995</v>
      </c>
      <c r="AB386" s="339">
        <f t="shared" ref="AB386:AB449" si="68">+IF(P386=0,0,(U386/F386)-1)</f>
        <v>-0.13752009000321441</v>
      </c>
    </row>
    <row r="387" spans="2:28" ht="20.100000000000001" customHeight="1">
      <c r="B387" s="172">
        <v>1175000</v>
      </c>
      <c r="C387" s="174">
        <v>44363</v>
      </c>
      <c r="D387" s="181" t="s">
        <v>165</v>
      </c>
      <c r="E387" s="173" t="s">
        <v>33</v>
      </c>
      <c r="F387" s="176">
        <v>2713.8175000000001</v>
      </c>
      <c r="G387" s="175">
        <f t="shared" si="60"/>
        <v>31</v>
      </c>
      <c r="H387" s="175">
        <f t="shared" si="63"/>
        <v>2713.8175000000001</v>
      </c>
      <c r="I387" s="177">
        <f>IF(G387=0,0,IF(E387="MXN",1/HLOOKUP(YEAR(C387)+(MONTH(C387)/100),TC!$5:$37,DAY(C387)+2,FALSE),VLOOKUP(E387,Equivalencia!$5:$23,((MAX(Equivalencia!$3:$3)-YEAR(C387))*14)+MONTH(C387)+2,FALSE)))</f>
        <v>1</v>
      </c>
      <c r="J387" s="178">
        <f t="shared" si="61"/>
        <v>2713.8175000000001</v>
      </c>
      <c r="K387" s="462">
        <f>IF(C387=0,0,VLOOKUP(YEAR(C387),INPC!$B$4:$O$29,MONTH(C387)+1))</f>
        <v>113.018</v>
      </c>
      <c r="L387" s="462">
        <f>IF(S387=0,0,VLOOKUP(YEAR(S387),INPC!$B$4:$O$29,MONTH(S387)+1))</f>
        <v>118.98099999999999</v>
      </c>
      <c r="M387" s="463">
        <f t="shared" si="64"/>
        <v>1.0527</v>
      </c>
      <c r="N387" s="465">
        <f t="shared" si="62"/>
        <v>2856.83568225</v>
      </c>
      <c r="O387" s="179"/>
      <c r="P387" s="180">
        <v>31</v>
      </c>
      <c r="Q387" s="173" t="s">
        <v>583</v>
      </c>
      <c r="R387" s="173" t="s">
        <v>230</v>
      </c>
      <c r="S387" s="174">
        <v>44608</v>
      </c>
      <c r="T387" s="173" t="s">
        <v>33</v>
      </c>
      <c r="U387" s="182">
        <v>2268.5025000000001</v>
      </c>
      <c r="V387" s="177">
        <f>IF(U387=0,0,IF(T387="MXN",1/HLOOKUP(YEAR(S387)+(MONTH(S387)/100),TC!$5:$37,DAY(S387)+2,FALSE),VLOOKUP(T387,Equivalencia!$1:$23,((MAX(Equivalencia!$3:$3)-YEAR(S387))*14)+MONTH(S387)+2,FALSE)))</f>
        <v>1</v>
      </c>
      <c r="W387" s="178">
        <f t="shared" ref="W387:W450" si="69">+V387*U387</f>
        <v>2268.5025000000001</v>
      </c>
      <c r="X387" s="481">
        <f t="shared" si="65"/>
        <v>-445.31500000000005</v>
      </c>
      <c r="Y387" s="179"/>
      <c r="Z387" s="466">
        <f t="shared" si="66"/>
        <v>2856.83568225</v>
      </c>
      <c r="AA387" s="473">
        <f t="shared" si="67"/>
        <v>-588.33318224999994</v>
      </c>
      <c r="AB387" s="339">
        <f t="shared" si="68"/>
        <v>-0.16409172687551765</v>
      </c>
    </row>
    <row r="388" spans="2:28" ht="20.100000000000001" customHeight="1">
      <c r="B388" s="172">
        <v>1175000</v>
      </c>
      <c r="C388" s="174">
        <v>44363</v>
      </c>
      <c r="D388" s="181" t="s">
        <v>165</v>
      </c>
      <c r="E388" s="173" t="s">
        <v>33</v>
      </c>
      <c r="F388" s="176">
        <v>1313.1375</v>
      </c>
      <c r="G388" s="175">
        <f t="shared" si="60"/>
        <v>15</v>
      </c>
      <c r="H388" s="175">
        <f t="shared" si="63"/>
        <v>1313.1375</v>
      </c>
      <c r="I388" s="177">
        <f>IF(G388=0,0,IF(E388="MXN",1/HLOOKUP(YEAR(C388)+(MONTH(C388)/100),TC!$5:$37,DAY(C388)+2,FALSE),VLOOKUP(E388,Equivalencia!$5:$23,((MAX(Equivalencia!$3:$3)-YEAR(C388))*14)+MONTH(C388)+2,FALSE)))</f>
        <v>1</v>
      </c>
      <c r="J388" s="178">
        <f t="shared" si="61"/>
        <v>1313.1375</v>
      </c>
      <c r="K388" s="462">
        <f>IF(C388=0,0,VLOOKUP(YEAR(C388),INPC!$B$4:$O$29,MONTH(C388)+1))</f>
        <v>113.018</v>
      </c>
      <c r="L388" s="462">
        <f>IF(S388=0,0,VLOOKUP(YEAR(S388),INPC!$B$4:$O$29,MONTH(S388)+1))</f>
        <v>118.98099999999999</v>
      </c>
      <c r="M388" s="463">
        <f t="shared" si="64"/>
        <v>1.0527</v>
      </c>
      <c r="N388" s="465">
        <f t="shared" si="62"/>
        <v>1382.3398462499999</v>
      </c>
      <c r="O388" s="179"/>
      <c r="P388" s="180">
        <v>15</v>
      </c>
      <c r="Q388" s="173" t="s">
        <v>583</v>
      </c>
      <c r="R388" s="173" t="s">
        <v>230</v>
      </c>
      <c r="S388" s="174">
        <v>44609</v>
      </c>
      <c r="T388" s="173" t="s">
        <v>33</v>
      </c>
      <c r="U388" s="182">
        <v>1110.46</v>
      </c>
      <c r="V388" s="177">
        <f>IF(U388=0,0,IF(T388="MXN",1/HLOOKUP(YEAR(S388)+(MONTH(S388)/100),TC!$5:$37,DAY(S388)+2,FALSE),VLOOKUP(T388,Equivalencia!$1:$23,((MAX(Equivalencia!$3:$3)-YEAR(S388))*14)+MONTH(S388)+2,FALSE)))</f>
        <v>1</v>
      </c>
      <c r="W388" s="178">
        <f t="shared" si="69"/>
        <v>1110.46</v>
      </c>
      <c r="X388" s="481">
        <f t="shared" si="65"/>
        <v>-202.67750000000001</v>
      </c>
      <c r="Y388" s="179"/>
      <c r="Z388" s="466">
        <f t="shared" si="66"/>
        <v>1382.3398462499999</v>
      </c>
      <c r="AA388" s="473">
        <f t="shared" si="67"/>
        <v>-271.8798462499999</v>
      </c>
      <c r="AB388" s="339">
        <f t="shared" si="68"/>
        <v>-0.15434598433141999</v>
      </c>
    </row>
    <row r="389" spans="2:28" ht="20.100000000000001" customHeight="1">
      <c r="B389" s="172">
        <v>1175000</v>
      </c>
      <c r="C389" s="174">
        <v>44363</v>
      </c>
      <c r="D389" s="181" t="s">
        <v>165</v>
      </c>
      <c r="E389" s="173" t="s">
        <v>33</v>
      </c>
      <c r="F389" s="176">
        <v>1575.7650000000001</v>
      </c>
      <c r="G389" s="175">
        <f t="shared" si="60"/>
        <v>18</v>
      </c>
      <c r="H389" s="175">
        <f t="shared" si="63"/>
        <v>1575.7650000000001</v>
      </c>
      <c r="I389" s="177">
        <f>IF(G389=0,0,IF(E389="MXN",1/HLOOKUP(YEAR(C389)+(MONTH(C389)/100),TC!$5:$37,DAY(C389)+2,FALSE),VLOOKUP(E389,Equivalencia!$5:$23,((MAX(Equivalencia!$3:$3)-YEAR(C389))*14)+MONTH(C389)+2,FALSE)))</f>
        <v>1</v>
      </c>
      <c r="J389" s="178">
        <f t="shared" si="61"/>
        <v>1575.7650000000001</v>
      </c>
      <c r="K389" s="462">
        <f>IF(C389=0,0,VLOOKUP(YEAR(C389),INPC!$B$4:$O$29,MONTH(C389)+1))</f>
        <v>113.018</v>
      </c>
      <c r="L389" s="462">
        <f>IF(S389=0,0,VLOOKUP(YEAR(S389),INPC!$B$4:$O$29,MONTH(S389)+1))</f>
        <v>118.98099999999999</v>
      </c>
      <c r="M389" s="463">
        <f t="shared" si="64"/>
        <v>1.0527</v>
      </c>
      <c r="N389" s="465">
        <f t="shared" si="62"/>
        <v>1658.8078155000001</v>
      </c>
      <c r="O389" s="179"/>
      <c r="P389" s="180">
        <v>18</v>
      </c>
      <c r="Q389" s="173" t="s">
        <v>583</v>
      </c>
      <c r="R389" s="173" t="s">
        <v>230</v>
      </c>
      <c r="S389" s="174">
        <v>44609</v>
      </c>
      <c r="T389" s="173" t="s">
        <v>33</v>
      </c>
      <c r="U389" s="182">
        <v>1330.38</v>
      </c>
      <c r="V389" s="177">
        <f>IF(U389=0,0,IF(T389="MXN",1/HLOOKUP(YEAR(S389)+(MONTH(S389)/100),TC!$5:$37,DAY(S389)+2,FALSE),VLOOKUP(T389,Equivalencia!$1:$23,((MAX(Equivalencia!$3:$3)-YEAR(S389))*14)+MONTH(S389)+2,FALSE)))</f>
        <v>1</v>
      </c>
      <c r="W389" s="178">
        <f t="shared" si="69"/>
        <v>1330.38</v>
      </c>
      <c r="X389" s="481">
        <f t="shared" si="65"/>
        <v>-245.38499999999999</v>
      </c>
      <c r="Y389" s="179"/>
      <c r="Z389" s="466">
        <f t="shared" si="66"/>
        <v>1658.8078155000001</v>
      </c>
      <c r="AA389" s="473">
        <f t="shared" si="67"/>
        <v>-328.42781549999995</v>
      </c>
      <c r="AB389" s="339">
        <f t="shared" si="68"/>
        <v>-0.15572436245252308</v>
      </c>
    </row>
    <row r="390" spans="2:28" ht="20.100000000000001" customHeight="1">
      <c r="B390" s="172">
        <v>1175000</v>
      </c>
      <c r="C390" s="174">
        <v>44363</v>
      </c>
      <c r="D390" s="181" t="s">
        <v>165</v>
      </c>
      <c r="E390" s="173" t="s">
        <v>33</v>
      </c>
      <c r="F390" s="176">
        <v>87.542500000000004</v>
      </c>
      <c r="G390" s="175">
        <f t="shared" ref="G390:G453" si="70">+P390</f>
        <v>1</v>
      </c>
      <c r="H390" s="175">
        <f t="shared" si="63"/>
        <v>87.542500000000004</v>
      </c>
      <c r="I390" s="177">
        <f>IF(G390=0,0,IF(E390="MXN",1/HLOOKUP(YEAR(C390)+(MONTH(C390)/100),TC!$5:$37,DAY(C390)+2,FALSE),VLOOKUP(E390,Equivalencia!$5:$23,((MAX(Equivalencia!$3:$3)-YEAR(C390))*14)+MONTH(C390)+2,FALSE)))</f>
        <v>1</v>
      </c>
      <c r="J390" s="178">
        <f t="shared" ref="J390:J453" si="71">+H390*I390</f>
        <v>87.542500000000004</v>
      </c>
      <c r="K390" s="462">
        <f>IF(C390=0,0,VLOOKUP(YEAR(C390),INPC!$B$4:$O$29,MONTH(C390)+1))</f>
        <v>113.018</v>
      </c>
      <c r="L390" s="462">
        <f>IF(S390=0,0,VLOOKUP(YEAR(S390),INPC!$B$4:$O$29,MONTH(S390)+1))</f>
        <v>118.98099999999999</v>
      </c>
      <c r="M390" s="463">
        <f t="shared" si="64"/>
        <v>1.0527</v>
      </c>
      <c r="N390" s="465">
        <f t="shared" ref="N390:N453" si="72">+M390*J390</f>
        <v>92.155989750000003</v>
      </c>
      <c r="O390" s="179"/>
      <c r="P390" s="180">
        <v>1</v>
      </c>
      <c r="Q390" s="173" t="s">
        <v>583</v>
      </c>
      <c r="R390" s="173" t="s">
        <v>230</v>
      </c>
      <c r="S390" s="174">
        <v>44610</v>
      </c>
      <c r="T390" s="173" t="s">
        <v>33</v>
      </c>
      <c r="U390" s="182">
        <v>74.239999999999995</v>
      </c>
      <c r="V390" s="177">
        <f>IF(U390=0,0,IF(T390="MXN",1/HLOOKUP(YEAR(S390)+(MONTH(S390)/100),TC!$5:$37,DAY(S390)+2,FALSE),VLOOKUP(T390,Equivalencia!$1:$23,((MAX(Equivalencia!$3:$3)-YEAR(S390))*14)+MONTH(S390)+2,FALSE)))</f>
        <v>1</v>
      </c>
      <c r="W390" s="178">
        <f t="shared" si="69"/>
        <v>74.239999999999995</v>
      </c>
      <c r="X390" s="481">
        <f t="shared" si="65"/>
        <v>-13.302500000000009</v>
      </c>
      <c r="Y390" s="179"/>
      <c r="Z390" s="466">
        <f t="shared" si="66"/>
        <v>92.155989750000003</v>
      </c>
      <c r="AA390" s="473">
        <f t="shared" si="67"/>
        <v>-17.915989750000008</v>
      </c>
      <c r="AB390" s="339">
        <f t="shared" si="68"/>
        <v>-0.151954764828512</v>
      </c>
    </row>
    <row r="391" spans="2:28" ht="20.100000000000001" customHeight="1">
      <c r="B391" s="172">
        <v>1175000</v>
      </c>
      <c r="C391" s="174">
        <v>44363</v>
      </c>
      <c r="D391" s="181" t="s">
        <v>165</v>
      </c>
      <c r="E391" s="173" t="s">
        <v>33</v>
      </c>
      <c r="F391" s="176">
        <v>3063.9875000000002</v>
      </c>
      <c r="G391" s="175">
        <f t="shared" si="70"/>
        <v>35</v>
      </c>
      <c r="H391" s="175">
        <f t="shared" si="63"/>
        <v>3063.9875000000002</v>
      </c>
      <c r="I391" s="177">
        <f>IF(G391=0,0,IF(E391="MXN",1/HLOOKUP(YEAR(C391)+(MONTH(C391)/100),TC!$5:$37,DAY(C391)+2,FALSE),VLOOKUP(E391,Equivalencia!$5:$23,((MAX(Equivalencia!$3:$3)-YEAR(C391))*14)+MONTH(C391)+2,FALSE)))</f>
        <v>1</v>
      </c>
      <c r="J391" s="178">
        <f t="shared" si="71"/>
        <v>3063.9875000000002</v>
      </c>
      <c r="K391" s="462">
        <f>IF(C391=0,0,VLOOKUP(YEAR(C391),INPC!$B$4:$O$29,MONTH(C391)+1))</f>
        <v>113.018</v>
      </c>
      <c r="L391" s="462">
        <f>IF(S391=0,0,VLOOKUP(YEAR(S391),INPC!$B$4:$O$29,MONTH(S391)+1))</f>
        <v>120.15900000000001</v>
      </c>
      <c r="M391" s="463">
        <f t="shared" si="64"/>
        <v>1.0630999999999999</v>
      </c>
      <c r="N391" s="465">
        <f t="shared" si="72"/>
        <v>3257.3251112500002</v>
      </c>
      <c r="O391" s="179"/>
      <c r="P391" s="180">
        <v>35</v>
      </c>
      <c r="Q391" s="173" t="s">
        <v>583</v>
      </c>
      <c r="R391" s="173" t="s">
        <v>230</v>
      </c>
      <c r="S391" s="174">
        <v>44622</v>
      </c>
      <c r="T391" s="173" t="s">
        <v>33</v>
      </c>
      <c r="U391" s="182">
        <v>2860.9000000000005</v>
      </c>
      <c r="V391" s="177">
        <f>IF(U391=0,0,IF(T391="MXN",1/HLOOKUP(YEAR(S391)+(MONTH(S391)/100),TC!$5:$37,DAY(S391)+2,FALSE),VLOOKUP(T391,Equivalencia!$1:$23,((MAX(Equivalencia!$3:$3)-YEAR(S391))*14)+MONTH(S391)+2,FALSE)))</f>
        <v>1</v>
      </c>
      <c r="W391" s="178">
        <f t="shared" si="69"/>
        <v>2860.9000000000005</v>
      </c>
      <c r="X391" s="481">
        <f t="shared" si="65"/>
        <v>-203.08749999999964</v>
      </c>
      <c r="Y391" s="179"/>
      <c r="Z391" s="466">
        <f t="shared" si="66"/>
        <v>3257.3251112500002</v>
      </c>
      <c r="AA391" s="473">
        <f t="shared" si="67"/>
        <v>-396.42511124999965</v>
      </c>
      <c r="AB391" s="339">
        <f t="shared" si="68"/>
        <v>-6.6282091555529998E-2</v>
      </c>
    </row>
    <row r="392" spans="2:28" ht="20.100000000000001" customHeight="1">
      <c r="B392" s="172">
        <v>1175000</v>
      </c>
      <c r="C392" s="174">
        <v>44363</v>
      </c>
      <c r="D392" s="181" t="s">
        <v>165</v>
      </c>
      <c r="E392" s="173" t="s">
        <v>33</v>
      </c>
      <c r="F392" s="176">
        <v>87.542500000000004</v>
      </c>
      <c r="G392" s="175">
        <f t="shared" si="70"/>
        <v>2</v>
      </c>
      <c r="H392" s="175">
        <f t="shared" si="63"/>
        <v>87.542500000000004</v>
      </c>
      <c r="I392" s="177">
        <f>IF(G392=0,0,IF(E392="MXN",1/HLOOKUP(YEAR(C392)+(MONTH(C392)/100),TC!$5:$37,DAY(C392)+2,FALSE),VLOOKUP(E392,Equivalencia!$5:$23,((MAX(Equivalencia!$3:$3)-YEAR(C392))*14)+MONTH(C392)+2,FALSE)))</f>
        <v>1</v>
      </c>
      <c r="J392" s="178">
        <f t="shared" si="71"/>
        <v>87.542500000000004</v>
      </c>
      <c r="K392" s="462">
        <f>IF(C392=0,0,VLOOKUP(YEAR(C392),INPC!$B$4:$O$29,MONTH(C392)+1))</f>
        <v>113.018</v>
      </c>
      <c r="L392" s="462">
        <f>IF(S392=0,0,VLOOKUP(YEAR(S392),INPC!$B$4:$O$29,MONTH(S392)+1))</f>
        <v>120.15900000000001</v>
      </c>
      <c r="M392" s="463">
        <f t="shared" si="64"/>
        <v>1.0630999999999999</v>
      </c>
      <c r="N392" s="465">
        <f t="shared" si="72"/>
        <v>93.066431749999992</v>
      </c>
      <c r="O392" s="179"/>
      <c r="P392" s="180">
        <v>2</v>
      </c>
      <c r="Q392" s="173" t="s">
        <v>583</v>
      </c>
      <c r="R392" s="173" t="s">
        <v>230</v>
      </c>
      <c r="S392" s="174">
        <v>44622</v>
      </c>
      <c r="T392" s="173" t="s">
        <v>33</v>
      </c>
      <c r="U392" s="182">
        <v>162.63999999999999</v>
      </c>
      <c r="V392" s="177">
        <f>IF(U392=0,0,IF(T392="MXN",1/HLOOKUP(YEAR(S392)+(MONTH(S392)/100),TC!$5:$37,DAY(S392)+2,FALSE),VLOOKUP(T392,Equivalencia!$1:$23,((MAX(Equivalencia!$3:$3)-YEAR(S392))*14)+MONTH(S392)+2,FALSE)))</f>
        <v>1</v>
      </c>
      <c r="W392" s="178">
        <f t="shared" si="69"/>
        <v>162.63999999999999</v>
      </c>
      <c r="X392" s="481">
        <f t="shared" si="65"/>
        <v>75.097499999999982</v>
      </c>
      <c r="Y392" s="179"/>
      <c r="Z392" s="466">
        <f t="shared" si="66"/>
        <v>93.066431749999992</v>
      </c>
      <c r="AA392" s="473">
        <f t="shared" si="67"/>
        <v>69.573568249999994</v>
      </c>
      <c r="AB392" s="339">
        <f t="shared" si="68"/>
        <v>0.85784047748236536</v>
      </c>
    </row>
    <row r="393" spans="2:28" ht="20.100000000000001" customHeight="1">
      <c r="B393" s="172">
        <v>1175000</v>
      </c>
      <c r="C393" s="174">
        <v>44363</v>
      </c>
      <c r="D393" s="181" t="s">
        <v>165</v>
      </c>
      <c r="E393" s="173" t="s">
        <v>33</v>
      </c>
      <c r="F393" s="176">
        <v>437.71250000000003</v>
      </c>
      <c r="G393" s="175">
        <f t="shared" si="70"/>
        <v>5</v>
      </c>
      <c r="H393" s="175">
        <f t="shared" si="63"/>
        <v>437.71250000000003</v>
      </c>
      <c r="I393" s="177">
        <f>IF(G393=0,0,IF(E393="MXN",1/HLOOKUP(YEAR(C393)+(MONTH(C393)/100),TC!$5:$37,DAY(C393)+2,FALSE),VLOOKUP(E393,Equivalencia!$5:$23,((MAX(Equivalencia!$3:$3)-YEAR(C393))*14)+MONTH(C393)+2,FALSE)))</f>
        <v>1</v>
      </c>
      <c r="J393" s="178">
        <f t="shared" si="71"/>
        <v>437.71250000000003</v>
      </c>
      <c r="K393" s="462">
        <f>IF(C393=0,0,VLOOKUP(YEAR(C393),INPC!$B$4:$O$29,MONTH(C393)+1))</f>
        <v>113.018</v>
      </c>
      <c r="L393" s="462">
        <f>IF(S393=0,0,VLOOKUP(YEAR(S393),INPC!$B$4:$O$29,MONTH(S393)+1))</f>
        <v>120.15900000000001</v>
      </c>
      <c r="M393" s="463">
        <f t="shared" si="64"/>
        <v>1.0630999999999999</v>
      </c>
      <c r="N393" s="465">
        <f t="shared" si="72"/>
        <v>465.33215875000002</v>
      </c>
      <c r="O393" s="179"/>
      <c r="P393" s="180">
        <v>5</v>
      </c>
      <c r="Q393" s="173" t="s">
        <v>583</v>
      </c>
      <c r="R393" s="173" t="s">
        <v>230</v>
      </c>
      <c r="S393" s="174">
        <v>44623</v>
      </c>
      <c r="T393" s="173" t="s">
        <v>33</v>
      </c>
      <c r="U393" s="182">
        <v>411.73</v>
      </c>
      <c r="V393" s="177">
        <f>IF(U393=0,0,IF(T393="MXN",1/HLOOKUP(YEAR(S393)+(MONTH(S393)/100),TC!$5:$37,DAY(S393)+2,FALSE),VLOOKUP(T393,Equivalencia!$1:$23,((MAX(Equivalencia!$3:$3)-YEAR(S393))*14)+MONTH(S393)+2,FALSE)))</f>
        <v>1</v>
      </c>
      <c r="W393" s="178">
        <f t="shared" si="69"/>
        <v>411.73</v>
      </c>
      <c r="X393" s="481">
        <f t="shared" si="65"/>
        <v>-25.982500000000016</v>
      </c>
      <c r="Y393" s="179"/>
      <c r="Z393" s="466">
        <f t="shared" si="66"/>
        <v>465.33215875000002</v>
      </c>
      <c r="AA393" s="473">
        <f t="shared" si="67"/>
        <v>-53.602158750000001</v>
      </c>
      <c r="AB393" s="339">
        <f t="shared" si="68"/>
        <v>-5.9359739555073232E-2</v>
      </c>
    </row>
    <row r="394" spans="2:28" ht="20.100000000000001" customHeight="1">
      <c r="B394" s="172">
        <v>1175000</v>
      </c>
      <c r="C394" s="174">
        <v>44363</v>
      </c>
      <c r="D394" s="181" t="s">
        <v>165</v>
      </c>
      <c r="E394" s="173" t="s">
        <v>33</v>
      </c>
      <c r="F394" s="176">
        <v>2976.4450000000002</v>
      </c>
      <c r="G394" s="175">
        <f t="shared" si="70"/>
        <v>34</v>
      </c>
      <c r="H394" s="175">
        <f t="shared" si="63"/>
        <v>2976.4450000000002</v>
      </c>
      <c r="I394" s="177">
        <f>IF(G394=0,0,IF(E394="MXN",1/HLOOKUP(YEAR(C394)+(MONTH(C394)/100),TC!$5:$37,DAY(C394)+2,FALSE),VLOOKUP(E394,Equivalencia!$5:$23,((MAX(Equivalencia!$3:$3)-YEAR(C394))*14)+MONTH(C394)+2,FALSE)))</f>
        <v>1</v>
      </c>
      <c r="J394" s="178">
        <f t="shared" si="71"/>
        <v>2976.4450000000002</v>
      </c>
      <c r="K394" s="462">
        <f>IF(C394=0,0,VLOOKUP(YEAR(C394),INPC!$B$4:$O$29,MONTH(C394)+1))</f>
        <v>113.018</v>
      </c>
      <c r="L394" s="462">
        <f>IF(S394=0,0,VLOOKUP(YEAR(S394),INPC!$B$4:$O$29,MONTH(S394)+1))</f>
        <v>120.15900000000001</v>
      </c>
      <c r="M394" s="463">
        <f t="shared" si="64"/>
        <v>1.0630999999999999</v>
      </c>
      <c r="N394" s="465">
        <f t="shared" si="72"/>
        <v>3164.2586795000002</v>
      </c>
      <c r="O394" s="179"/>
      <c r="P394" s="180">
        <v>34</v>
      </c>
      <c r="Q394" s="173" t="s">
        <v>583</v>
      </c>
      <c r="R394" s="173" t="s">
        <v>230</v>
      </c>
      <c r="S394" s="174">
        <v>44623</v>
      </c>
      <c r="T394" s="173" t="s">
        <v>33</v>
      </c>
      <c r="U394" s="182">
        <v>2797.23</v>
      </c>
      <c r="V394" s="177">
        <f>IF(U394=0,0,IF(T394="MXN",1/HLOOKUP(YEAR(S394)+(MONTH(S394)/100),TC!$5:$37,DAY(S394)+2,FALSE),VLOOKUP(T394,Equivalencia!$1:$23,((MAX(Equivalencia!$3:$3)-YEAR(S394))*14)+MONTH(S394)+2,FALSE)))</f>
        <v>1</v>
      </c>
      <c r="W394" s="178">
        <f t="shared" si="69"/>
        <v>2797.23</v>
      </c>
      <c r="X394" s="481">
        <f t="shared" si="65"/>
        <v>-179.21500000000015</v>
      </c>
      <c r="Y394" s="179"/>
      <c r="Z394" s="466">
        <f t="shared" si="66"/>
        <v>3164.2586795000002</v>
      </c>
      <c r="AA394" s="473">
        <f t="shared" si="67"/>
        <v>-367.02867950000018</v>
      </c>
      <c r="AB394" s="339">
        <f t="shared" si="68"/>
        <v>-6.0211090747519291E-2</v>
      </c>
    </row>
    <row r="395" spans="2:28" ht="20.100000000000001" customHeight="1">
      <c r="B395" s="172">
        <v>1175000</v>
      </c>
      <c r="C395" s="174">
        <v>44363</v>
      </c>
      <c r="D395" s="181" t="s">
        <v>165</v>
      </c>
      <c r="E395" s="173" t="s">
        <v>33</v>
      </c>
      <c r="F395" s="176">
        <v>525.255</v>
      </c>
      <c r="G395" s="175">
        <f t="shared" si="70"/>
        <v>6</v>
      </c>
      <c r="H395" s="175">
        <f t="shared" si="63"/>
        <v>525.255</v>
      </c>
      <c r="I395" s="177">
        <f>IF(G395=0,0,IF(E395="MXN",1/HLOOKUP(YEAR(C395)+(MONTH(C395)/100),TC!$5:$37,DAY(C395)+2,FALSE),VLOOKUP(E395,Equivalencia!$5:$23,((MAX(Equivalencia!$3:$3)-YEAR(C395))*14)+MONTH(C395)+2,FALSE)))</f>
        <v>1</v>
      </c>
      <c r="J395" s="178">
        <f t="shared" si="71"/>
        <v>525.255</v>
      </c>
      <c r="K395" s="462">
        <f>IF(C395=0,0,VLOOKUP(YEAR(C395),INPC!$B$4:$O$29,MONTH(C395)+1))</f>
        <v>113.018</v>
      </c>
      <c r="L395" s="462">
        <f>IF(S395=0,0,VLOOKUP(YEAR(S395),INPC!$B$4:$O$29,MONTH(S395)+1))</f>
        <v>120.15900000000001</v>
      </c>
      <c r="M395" s="463">
        <f t="shared" si="64"/>
        <v>1.0630999999999999</v>
      </c>
      <c r="N395" s="465">
        <f t="shared" si="72"/>
        <v>558.39859049999995</v>
      </c>
      <c r="O395" s="179"/>
      <c r="P395" s="180">
        <v>6</v>
      </c>
      <c r="Q395" s="173" t="s">
        <v>583</v>
      </c>
      <c r="R395" s="173" t="s">
        <v>230</v>
      </c>
      <c r="S395" s="174">
        <v>44623</v>
      </c>
      <c r="T395" s="173" t="s">
        <v>33</v>
      </c>
      <c r="U395" s="182">
        <v>495.01</v>
      </c>
      <c r="V395" s="177">
        <f>IF(U395=0,0,IF(T395="MXN",1/HLOOKUP(YEAR(S395)+(MONTH(S395)/100),TC!$5:$37,DAY(S395)+2,FALSE),VLOOKUP(T395,Equivalencia!$1:$23,((MAX(Equivalencia!$3:$3)-YEAR(S395))*14)+MONTH(S395)+2,FALSE)))</f>
        <v>1</v>
      </c>
      <c r="W395" s="178">
        <f t="shared" si="69"/>
        <v>495.01</v>
      </c>
      <c r="X395" s="481">
        <f t="shared" si="65"/>
        <v>-30.245000000000005</v>
      </c>
      <c r="Y395" s="179"/>
      <c r="Z395" s="466">
        <f t="shared" si="66"/>
        <v>558.39859049999995</v>
      </c>
      <c r="AA395" s="473">
        <f t="shared" si="67"/>
        <v>-63.388590499999964</v>
      </c>
      <c r="AB395" s="339">
        <f t="shared" si="68"/>
        <v>-5.7581555625362935E-2</v>
      </c>
    </row>
    <row r="396" spans="2:28" ht="20.100000000000001" customHeight="1">
      <c r="B396" s="172">
        <v>1175000</v>
      </c>
      <c r="C396" s="174">
        <v>44363</v>
      </c>
      <c r="D396" s="181" t="s">
        <v>165</v>
      </c>
      <c r="E396" s="173" t="s">
        <v>33</v>
      </c>
      <c r="F396" s="176">
        <v>350.17</v>
      </c>
      <c r="G396" s="175">
        <f t="shared" si="70"/>
        <v>4</v>
      </c>
      <c r="H396" s="175">
        <f t="shared" si="63"/>
        <v>350.17</v>
      </c>
      <c r="I396" s="177">
        <f>IF(G396=0,0,IF(E396="MXN",1/HLOOKUP(YEAR(C396)+(MONTH(C396)/100),TC!$5:$37,DAY(C396)+2,FALSE),VLOOKUP(E396,Equivalencia!$5:$23,((MAX(Equivalencia!$3:$3)-YEAR(C396))*14)+MONTH(C396)+2,FALSE)))</f>
        <v>1</v>
      </c>
      <c r="J396" s="178">
        <f t="shared" si="71"/>
        <v>350.17</v>
      </c>
      <c r="K396" s="462">
        <f>IF(C396=0,0,VLOOKUP(YEAR(C396),INPC!$B$4:$O$29,MONTH(C396)+1))</f>
        <v>113.018</v>
      </c>
      <c r="L396" s="462">
        <f>IF(S396=0,0,VLOOKUP(YEAR(S396),INPC!$B$4:$O$29,MONTH(S396)+1))</f>
        <v>120.15900000000001</v>
      </c>
      <c r="M396" s="463">
        <f t="shared" si="64"/>
        <v>1.0630999999999999</v>
      </c>
      <c r="N396" s="465">
        <f t="shared" si="72"/>
        <v>372.26572699999997</v>
      </c>
      <c r="O396" s="179"/>
      <c r="P396" s="180">
        <v>4</v>
      </c>
      <c r="Q396" s="173" t="s">
        <v>583</v>
      </c>
      <c r="R396" s="173" t="s">
        <v>230</v>
      </c>
      <c r="S396" s="174">
        <v>44624</v>
      </c>
      <c r="T396" s="173" t="s">
        <v>33</v>
      </c>
      <c r="U396" s="182">
        <v>335.05</v>
      </c>
      <c r="V396" s="177">
        <f>IF(U396=0,0,IF(T396="MXN",1/HLOOKUP(YEAR(S396)+(MONTH(S396)/100),TC!$5:$37,DAY(S396)+2,FALSE),VLOOKUP(T396,Equivalencia!$1:$23,((MAX(Equivalencia!$3:$3)-YEAR(S396))*14)+MONTH(S396)+2,FALSE)))</f>
        <v>1</v>
      </c>
      <c r="W396" s="178">
        <f t="shared" si="69"/>
        <v>335.05</v>
      </c>
      <c r="X396" s="481">
        <f t="shared" si="65"/>
        <v>-15.120000000000005</v>
      </c>
      <c r="Y396" s="179"/>
      <c r="Z396" s="466">
        <f t="shared" si="66"/>
        <v>372.26572699999997</v>
      </c>
      <c r="AA396" s="473">
        <f t="shared" si="67"/>
        <v>-37.215726999999958</v>
      </c>
      <c r="AB396" s="339">
        <f t="shared" si="68"/>
        <v>-4.3179027329582786E-2</v>
      </c>
    </row>
    <row r="397" spans="2:28" ht="20.100000000000001" customHeight="1">
      <c r="B397" s="172">
        <v>1175000</v>
      </c>
      <c r="C397" s="174">
        <v>44363</v>
      </c>
      <c r="D397" s="181" t="s">
        <v>165</v>
      </c>
      <c r="E397" s="173" t="s">
        <v>33</v>
      </c>
      <c r="F397" s="176">
        <v>175.08500000000001</v>
      </c>
      <c r="G397" s="175">
        <f t="shared" si="70"/>
        <v>2</v>
      </c>
      <c r="H397" s="175">
        <f t="shared" si="63"/>
        <v>175.08500000000001</v>
      </c>
      <c r="I397" s="177">
        <f>IF(G397=0,0,IF(E397="MXN",1/HLOOKUP(YEAR(C397)+(MONTH(C397)/100),TC!$5:$37,DAY(C397)+2,FALSE),VLOOKUP(E397,Equivalencia!$5:$23,((MAX(Equivalencia!$3:$3)-YEAR(C397))*14)+MONTH(C397)+2,FALSE)))</f>
        <v>1</v>
      </c>
      <c r="J397" s="178">
        <f t="shared" si="71"/>
        <v>175.08500000000001</v>
      </c>
      <c r="K397" s="462">
        <f>IF(C397=0,0,VLOOKUP(YEAR(C397),INPC!$B$4:$O$29,MONTH(C397)+1))</f>
        <v>113.018</v>
      </c>
      <c r="L397" s="462">
        <f>IF(S397=0,0,VLOOKUP(YEAR(S397),INPC!$B$4:$O$29,MONTH(S397)+1))</f>
        <v>120.15900000000001</v>
      </c>
      <c r="M397" s="463">
        <f t="shared" si="64"/>
        <v>1.0630999999999999</v>
      </c>
      <c r="N397" s="465">
        <f t="shared" si="72"/>
        <v>186.13286349999998</v>
      </c>
      <c r="O397" s="179"/>
      <c r="P397" s="180">
        <v>2</v>
      </c>
      <c r="Q397" s="173" t="s">
        <v>583</v>
      </c>
      <c r="R397" s="173" t="s">
        <v>230</v>
      </c>
      <c r="S397" s="174">
        <v>44624</v>
      </c>
      <c r="T397" s="173" t="s">
        <v>33</v>
      </c>
      <c r="U397" s="182">
        <v>168.33</v>
      </c>
      <c r="V397" s="177">
        <f>IF(U397=0,0,IF(T397="MXN",1/HLOOKUP(YEAR(S397)+(MONTH(S397)/100),TC!$5:$37,DAY(S397)+2,FALSE),VLOOKUP(T397,Equivalencia!$1:$23,((MAX(Equivalencia!$3:$3)-YEAR(S397))*14)+MONTH(S397)+2,FALSE)))</f>
        <v>1</v>
      </c>
      <c r="W397" s="178">
        <f t="shared" si="69"/>
        <v>168.33</v>
      </c>
      <c r="X397" s="481">
        <f t="shared" si="65"/>
        <v>-6.7549999999999955</v>
      </c>
      <c r="Y397" s="179"/>
      <c r="Z397" s="466">
        <f t="shared" si="66"/>
        <v>186.13286349999998</v>
      </c>
      <c r="AA397" s="473">
        <f t="shared" si="67"/>
        <v>-17.802863499999972</v>
      </c>
      <c r="AB397" s="339">
        <f t="shared" si="68"/>
        <v>-3.8581260530599404E-2</v>
      </c>
    </row>
    <row r="398" spans="2:28" ht="20.100000000000001" customHeight="1">
      <c r="B398" s="172">
        <v>1175000</v>
      </c>
      <c r="C398" s="174">
        <v>44363</v>
      </c>
      <c r="D398" s="181" t="s">
        <v>165</v>
      </c>
      <c r="E398" s="173" t="s">
        <v>33</v>
      </c>
      <c r="F398" s="176">
        <v>1313.1375</v>
      </c>
      <c r="G398" s="175">
        <f t="shared" si="70"/>
        <v>15</v>
      </c>
      <c r="H398" s="175">
        <f t="shared" si="63"/>
        <v>1313.1375</v>
      </c>
      <c r="I398" s="177">
        <f>IF(G398=0,0,IF(E398="MXN",1/HLOOKUP(YEAR(C398)+(MONTH(C398)/100),TC!$5:$37,DAY(C398)+2,FALSE),VLOOKUP(E398,Equivalencia!$5:$23,((MAX(Equivalencia!$3:$3)-YEAR(C398))*14)+MONTH(C398)+2,FALSE)))</f>
        <v>1</v>
      </c>
      <c r="J398" s="178">
        <f t="shared" si="71"/>
        <v>1313.1375</v>
      </c>
      <c r="K398" s="462">
        <f>IF(C398=0,0,VLOOKUP(YEAR(C398),INPC!$B$4:$O$29,MONTH(C398)+1))</f>
        <v>113.018</v>
      </c>
      <c r="L398" s="462">
        <f>IF(S398=0,0,VLOOKUP(YEAR(S398),INPC!$B$4:$O$29,MONTH(S398)+1))</f>
        <v>120.15900000000001</v>
      </c>
      <c r="M398" s="463">
        <f t="shared" si="64"/>
        <v>1.0630999999999999</v>
      </c>
      <c r="N398" s="465">
        <f t="shared" si="72"/>
        <v>1395.9964762499999</v>
      </c>
      <c r="O398" s="179"/>
      <c r="P398" s="180">
        <v>15</v>
      </c>
      <c r="Q398" s="173" t="s">
        <v>583</v>
      </c>
      <c r="R398" s="173" t="s">
        <v>230</v>
      </c>
      <c r="S398" s="174">
        <v>44627</v>
      </c>
      <c r="T398" s="173" t="s">
        <v>33</v>
      </c>
      <c r="U398" s="182">
        <v>1277.51</v>
      </c>
      <c r="V398" s="177">
        <f>IF(U398=0,0,IF(T398="MXN",1/HLOOKUP(YEAR(S398)+(MONTH(S398)/100),TC!$5:$37,DAY(S398)+2,FALSE),VLOOKUP(T398,Equivalencia!$1:$23,((MAX(Equivalencia!$3:$3)-YEAR(S398))*14)+MONTH(S398)+2,FALSE)))</f>
        <v>1</v>
      </c>
      <c r="W398" s="178">
        <f t="shared" si="69"/>
        <v>1277.51</v>
      </c>
      <c r="X398" s="481">
        <f t="shared" si="65"/>
        <v>-35.627500000000055</v>
      </c>
      <c r="Y398" s="179"/>
      <c r="Z398" s="466">
        <f t="shared" si="66"/>
        <v>1395.9964762499999</v>
      </c>
      <c r="AA398" s="473">
        <f t="shared" si="67"/>
        <v>-118.4864762499999</v>
      </c>
      <c r="AB398" s="339">
        <f t="shared" si="68"/>
        <v>-2.7131583706961448E-2</v>
      </c>
    </row>
    <row r="399" spans="2:28" ht="20.100000000000001" customHeight="1">
      <c r="B399" s="172">
        <v>1175000</v>
      </c>
      <c r="C399" s="174">
        <v>44363</v>
      </c>
      <c r="D399" s="181" t="s">
        <v>165</v>
      </c>
      <c r="E399" s="173" t="s">
        <v>33</v>
      </c>
      <c r="F399" s="176">
        <v>437.71250000000003</v>
      </c>
      <c r="G399" s="175">
        <f t="shared" si="70"/>
        <v>5</v>
      </c>
      <c r="H399" s="175">
        <f t="shared" si="63"/>
        <v>437.71250000000003</v>
      </c>
      <c r="I399" s="177">
        <f>IF(G399=0,0,IF(E399="MXN",1/HLOOKUP(YEAR(C399)+(MONTH(C399)/100),TC!$5:$37,DAY(C399)+2,FALSE),VLOOKUP(E399,Equivalencia!$5:$23,((MAX(Equivalencia!$3:$3)-YEAR(C399))*14)+MONTH(C399)+2,FALSE)))</f>
        <v>1</v>
      </c>
      <c r="J399" s="178">
        <f t="shared" si="71"/>
        <v>437.71250000000003</v>
      </c>
      <c r="K399" s="462">
        <f>IF(C399=0,0,VLOOKUP(YEAR(C399),INPC!$B$4:$O$29,MONTH(C399)+1))</f>
        <v>113.018</v>
      </c>
      <c r="L399" s="462">
        <f>IF(S399=0,0,VLOOKUP(YEAR(S399),INPC!$B$4:$O$29,MONTH(S399)+1))</f>
        <v>120.15900000000001</v>
      </c>
      <c r="M399" s="463">
        <f t="shared" si="64"/>
        <v>1.0630999999999999</v>
      </c>
      <c r="N399" s="465">
        <f t="shared" si="72"/>
        <v>465.33215875000002</v>
      </c>
      <c r="O399" s="179"/>
      <c r="P399" s="180">
        <v>5</v>
      </c>
      <c r="Q399" s="173" t="s">
        <v>583</v>
      </c>
      <c r="R399" s="173" t="s">
        <v>230</v>
      </c>
      <c r="S399" s="174">
        <v>44631</v>
      </c>
      <c r="T399" s="173" t="s">
        <v>33</v>
      </c>
      <c r="U399" s="182">
        <v>416.55</v>
      </c>
      <c r="V399" s="177">
        <f>IF(U399=0,0,IF(T399="MXN",1/HLOOKUP(YEAR(S399)+(MONTH(S399)/100),TC!$5:$37,DAY(S399)+2,FALSE),VLOOKUP(T399,Equivalencia!$1:$23,((MAX(Equivalencia!$3:$3)-YEAR(S399))*14)+MONTH(S399)+2,FALSE)))</f>
        <v>1</v>
      </c>
      <c r="W399" s="178">
        <f t="shared" si="69"/>
        <v>416.55</v>
      </c>
      <c r="X399" s="481">
        <f t="shared" si="65"/>
        <v>-21.162500000000023</v>
      </c>
      <c r="Y399" s="179"/>
      <c r="Z399" s="466">
        <f t="shared" si="66"/>
        <v>465.33215875000002</v>
      </c>
      <c r="AA399" s="473">
        <f t="shared" si="67"/>
        <v>-48.782158750000008</v>
      </c>
      <c r="AB399" s="339">
        <f t="shared" si="68"/>
        <v>-4.8347945283719329E-2</v>
      </c>
    </row>
    <row r="400" spans="2:28" ht="20.100000000000001" customHeight="1">
      <c r="B400" s="172">
        <v>1175000</v>
      </c>
      <c r="C400" s="174">
        <v>44363</v>
      </c>
      <c r="D400" s="181" t="s">
        <v>165</v>
      </c>
      <c r="E400" s="173" t="s">
        <v>33</v>
      </c>
      <c r="F400" s="176">
        <v>612.79750000000001</v>
      </c>
      <c r="G400" s="175">
        <f t="shared" si="70"/>
        <v>7</v>
      </c>
      <c r="H400" s="175">
        <f t="shared" si="63"/>
        <v>612.79750000000001</v>
      </c>
      <c r="I400" s="177">
        <f>IF(G400=0,0,IF(E400="MXN",1/HLOOKUP(YEAR(C400)+(MONTH(C400)/100),TC!$5:$37,DAY(C400)+2,FALSE),VLOOKUP(E400,Equivalencia!$5:$23,((MAX(Equivalencia!$3:$3)-YEAR(C400))*14)+MONTH(C400)+2,FALSE)))</f>
        <v>1</v>
      </c>
      <c r="J400" s="178">
        <f t="shared" si="71"/>
        <v>612.79750000000001</v>
      </c>
      <c r="K400" s="462">
        <f>IF(C400=0,0,VLOOKUP(YEAR(C400),INPC!$B$4:$O$29,MONTH(C400)+1))</f>
        <v>113.018</v>
      </c>
      <c r="L400" s="462">
        <f>IF(S400=0,0,VLOOKUP(YEAR(S400),INPC!$B$4:$O$29,MONTH(S400)+1))</f>
        <v>120.15900000000001</v>
      </c>
      <c r="M400" s="463">
        <f t="shared" si="64"/>
        <v>1.0630999999999999</v>
      </c>
      <c r="N400" s="465">
        <f t="shared" si="72"/>
        <v>651.46502224999995</v>
      </c>
      <c r="O400" s="179"/>
      <c r="P400" s="180">
        <v>7</v>
      </c>
      <c r="Q400" s="173" t="s">
        <v>583</v>
      </c>
      <c r="R400" s="173" t="s">
        <v>230</v>
      </c>
      <c r="S400" s="174">
        <v>44631</v>
      </c>
      <c r="T400" s="173" t="s">
        <v>33</v>
      </c>
      <c r="U400" s="182">
        <v>585.32923076923066</v>
      </c>
      <c r="V400" s="177">
        <f>IF(U400=0,0,IF(T400="MXN",1/HLOOKUP(YEAR(S400)+(MONTH(S400)/100),TC!$5:$37,DAY(S400)+2,FALSE),VLOOKUP(T400,Equivalencia!$1:$23,((MAX(Equivalencia!$3:$3)-YEAR(S400))*14)+MONTH(S400)+2,FALSE)))</f>
        <v>1</v>
      </c>
      <c r="W400" s="178">
        <f t="shared" si="69"/>
        <v>585.32923076923066</v>
      </c>
      <c r="X400" s="481">
        <f t="shared" si="65"/>
        <v>-27.468269230769351</v>
      </c>
      <c r="Y400" s="179"/>
      <c r="Z400" s="466">
        <f t="shared" si="66"/>
        <v>651.46502224999995</v>
      </c>
      <c r="AA400" s="473">
        <f t="shared" si="67"/>
        <v>-66.135791480769285</v>
      </c>
      <c r="AB400" s="339">
        <f t="shared" si="68"/>
        <v>-4.4824382003466612E-2</v>
      </c>
    </row>
    <row r="401" spans="2:28" ht="20.100000000000001" customHeight="1">
      <c r="B401" s="172">
        <v>1175000</v>
      </c>
      <c r="C401" s="174">
        <v>44427</v>
      </c>
      <c r="D401" s="181" t="s">
        <v>165</v>
      </c>
      <c r="E401" s="173" t="s">
        <v>33</v>
      </c>
      <c r="F401" s="176">
        <v>243.72999999999996</v>
      </c>
      <c r="G401" s="175">
        <f t="shared" si="70"/>
        <v>3</v>
      </c>
      <c r="H401" s="175">
        <f t="shared" si="63"/>
        <v>243.72999999999996</v>
      </c>
      <c r="I401" s="177">
        <f>IF(G401=0,0,IF(E401="MXN",1/HLOOKUP(YEAR(C401)+(MONTH(C401)/100),TC!$5:$37,DAY(C401)+2,FALSE),VLOOKUP(E401,Equivalencia!$5:$23,((MAX(Equivalencia!$3:$3)-YEAR(C401))*14)+MONTH(C401)+2,FALSE)))</f>
        <v>1</v>
      </c>
      <c r="J401" s="178">
        <f t="shared" si="71"/>
        <v>243.72999999999996</v>
      </c>
      <c r="K401" s="462">
        <f>IF(C401=0,0,VLOOKUP(YEAR(C401),INPC!$B$4:$O$29,MONTH(C401)+1))</f>
        <v>113.899</v>
      </c>
      <c r="L401" s="462">
        <f>IF(S401=0,0,VLOOKUP(YEAR(S401),INPC!$B$4:$O$29,MONTH(S401)+1))</f>
        <v>120.15900000000001</v>
      </c>
      <c r="M401" s="463">
        <f t="shared" si="64"/>
        <v>1.0548999999999999</v>
      </c>
      <c r="N401" s="465">
        <f t="shared" si="72"/>
        <v>257.11077699999993</v>
      </c>
      <c r="O401" s="179"/>
      <c r="P401" s="180">
        <v>3</v>
      </c>
      <c r="Q401" s="173" t="s">
        <v>583</v>
      </c>
      <c r="R401" s="173" t="s">
        <v>230</v>
      </c>
      <c r="S401" s="174">
        <v>44631</v>
      </c>
      <c r="T401" s="173" t="s">
        <v>33</v>
      </c>
      <c r="U401" s="182">
        <v>250.85538461538459</v>
      </c>
      <c r="V401" s="177">
        <f>IF(U401=0,0,IF(T401="MXN",1/HLOOKUP(YEAR(S401)+(MONTH(S401)/100),TC!$5:$37,DAY(S401)+2,FALSE),VLOOKUP(T401,Equivalencia!$1:$23,((MAX(Equivalencia!$3:$3)-YEAR(S401))*14)+MONTH(S401)+2,FALSE)))</f>
        <v>1</v>
      </c>
      <c r="W401" s="178">
        <f t="shared" si="69"/>
        <v>250.85538461538459</v>
      </c>
      <c r="X401" s="481">
        <f t="shared" si="65"/>
        <v>7.1253846153846325</v>
      </c>
      <c r="Y401" s="179"/>
      <c r="Z401" s="466">
        <f t="shared" si="66"/>
        <v>257.11077699999993</v>
      </c>
      <c r="AA401" s="473">
        <f t="shared" si="67"/>
        <v>-6.2553923846153339</v>
      </c>
      <c r="AB401" s="339">
        <f t="shared" si="68"/>
        <v>2.9234745888420122E-2</v>
      </c>
    </row>
    <row r="402" spans="2:28" ht="20.100000000000001" customHeight="1">
      <c r="B402" s="172">
        <v>1175000</v>
      </c>
      <c r="C402" s="174">
        <v>44427</v>
      </c>
      <c r="D402" s="181" t="s">
        <v>165</v>
      </c>
      <c r="E402" s="173" t="s">
        <v>33</v>
      </c>
      <c r="F402" s="176">
        <v>241.96875</v>
      </c>
      <c r="G402" s="175">
        <f t="shared" si="70"/>
        <v>3</v>
      </c>
      <c r="H402" s="175">
        <f t="shared" si="63"/>
        <v>241.96875</v>
      </c>
      <c r="I402" s="177">
        <f>IF(G402=0,0,IF(E402="MXN",1/HLOOKUP(YEAR(C402)+(MONTH(C402)/100),TC!$5:$37,DAY(C402)+2,FALSE),VLOOKUP(E402,Equivalencia!$5:$23,((MAX(Equivalencia!$3:$3)-YEAR(C402))*14)+MONTH(C402)+2,FALSE)))</f>
        <v>1</v>
      </c>
      <c r="J402" s="178">
        <f t="shared" si="71"/>
        <v>241.96875</v>
      </c>
      <c r="K402" s="462">
        <f>IF(C402=0,0,VLOOKUP(YEAR(C402),INPC!$B$4:$O$29,MONTH(C402)+1))</f>
        <v>113.899</v>
      </c>
      <c r="L402" s="462">
        <f>IF(S402=0,0,VLOOKUP(YEAR(S402),INPC!$B$4:$O$29,MONTH(S402)+1))</f>
        <v>120.15900000000001</v>
      </c>
      <c r="M402" s="463">
        <f t="shared" si="64"/>
        <v>1.0548999999999999</v>
      </c>
      <c r="N402" s="465">
        <f t="shared" si="72"/>
        <v>255.25283437499999</v>
      </c>
      <c r="O402" s="179"/>
      <c r="P402" s="180">
        <v>3</v>
      </c>
      <c r="Q402" s="173" t="s">
        <v>583</v>
      </c>
      <c r="R402" s="173" t="s">
        <v>230</v>
      </c>
      <c r="S402" s="174">
        <v>44631</v>
      </c>
      <c r="T402" s="173" t="s">
        <v>33</v>
      </c>
      <c r="U402" s="182">
        <v>250.85538461538459</v>
      </c>
      <c r="V402" s="177">
        <f>IF(U402=0,0,IF(T402="MXN",1/HLOOKUP(YEAR(S402)+(MONTH(S402)/100),TC!$5:$37,DAY(S402)+2,FALSE),VLOOKUP(T402,Equivalencia!$1:$23,((MAX(Equivalencia!$3:$3)-YEAR(S402))*14)+MONTH(S402)+2,FALSE)))</f>
        <v>1</v>
      </c>
      <c r="W402" s="178">
        <f t="shared" si="69"/>
        <v>250.85538461538459</v>
      </c>
      <c r="X402" s="481">
        <f t="shared" si="65"/>
        <v>8.8866346153845939</v>
      </c>
      <c r="Y402" s="179"/>
      <c r="Z402" s="466">
        <f t="shared" si="66"/>
        <v>255.25283437499999</v>
      </c>
      <c r="AA402" s="473">
        <f t="shared" si="67"/>
        <v>-4.3974497596153981</v>
      </c>
      <c r="AB402" s="339">
        <f t="shared" si="68"/>
        <v>3.6726373200608009E-2</v>
      </c>
    </row>
    <row r="403" spans="2:28" ht="20.100000000000001" customHeight="1">
      <c r="B403" s="172">
        <v>1175000</v>
      </c>
      <c r="C403" s="174">
        <v>44427</v>
      </c>
      <c r="D403" s="181" t="s">
        <v>165</v>
      </c>
      <c r="E403" s="173" t="s">
        <v>33</v>
      </c>
      <c r="F403" s="176">
        <v>241.96875</v>
      </c>
      <c r="G403" s="175">
        <f t="shared" si="70"/>
        <v>3</v>
      </c>
      <c r="H403" s="175">
        <f t="shared" si="63"/>
        <v>241.96875</v>
      </c>
      <c r="I403" s="177">
        <f>IF(G403=0,0,IF(E403="MXN",1/HLOOKUP(YEAR(C403)+(MONTH(C403)/100),TC!$5:$37,DAY(C403)+2,FALSE),VLOOKUP(E403,Equivalencia!$5:$23,((MAX(Equivalencia!$3:$3)-YEAR(C403))*14)+MONTH(C403)+2,FALSE)))</f>
        <v>1</v>
      </c>
      <c r="J403" s="178">
        <f t="shared" si="71"/>
        <v>241.96875</v>
      </c>
      <c r="K403" s="462">
        <f>IF(C403=0,0,VLOOKUP(YEAR(C403),INPC!$B$4:$O$29,MONTH(C403)+1))</f>
        <v>113.899</v>
      </c>
      <c r="L403" s="462">
        <f>IF(S403=0,0,VLOOKUP(YEAR(S403),INPC!$B$4:$O$29,MONTH(S403)+1))</f>
        <v>120.15900000000001</v>
      </c>
      <c r="M403" s="463">
        <f t="shared" si="64"/>
        <v>1.0548999999999999</v>
      </c>
      <c r="N403" s="465">
        <f t="shared" si="72"/>
        <v>255.25283437499999</v>
      </c>
      <c r="O403" s="179"/>
      <c r="P403" s="180">
        <v>3</v>
      </c>
      <c r="Q403" s="173" t="s">
        <v>583</v>
      </c>
      <c r="R403" s="173" t="s">
        <v>230</v>
      </c>
      <c r="S403" s="174">
        <v>44631</v>
      </c>
      <c r="T403" s="173" t="s">
        <v>33</v>
      </c>
      <c r="U403" s="182">
        <v>250.14</v>
      </c>
      <c r="V403" s="177">
        <f>IF(U403=0,0,IF(T403="MXN",1/HLOOKUP(YEAR(S403)+(MONTH(S403)/100),TC!$5:$37,DAY(S403)+2,FALSE),VLOOKUP(T403,Equivalencia!$1:$23,((MAX(Equivalencia!$3:$3)-YEAR(S403))*14)+MONTH(S403)+2,FALSE)))</f>
        <v>1</v>
      </c>
      <c r="W403" s="178">
        <f t="shared" si="69"/>
        <v>250.14</v>
      </c>
      <c r="X403" s="481">
        <f t="shared" si="65"/>
        <v>8.1712499999999864</v>
      </c>
      <c r="Y403" s="179"/>
      <c r="Z403" s="466">
        <f t="shared" si="66"/>
        <v>255.25283437499999</v>
      </c>
      <c r="AA403" s="473">
        <f t="shared" si="67"/>
        <v>-5.1128343750000056</v>
      </c>
      <c r="AB403" s="339">
        <f t="shared" si="68"/>
        <v>3.3769856644711327E-2</v>
      </c>
    </row>
    <row r="404" spans="2:28" ht="20.100000000000001" customHeight="1">
      <c r="B404" s="172">
        <v>1175000</v>
      </c>
      <c r="C404" s="174">
        <v>44427</v>
      </c>
      <c r="D404" s="181" t="s">
        <v>165</v>
      </c>
      <c r="E404" s="173" t="s">
        <v>33</v>
      </c>
      <c r="F404" s="176">
        <v>161.3125</v>
      </c>
      <c r="G404" s="175">
        <f t="shared" si="70"/>
        <v>2</v>
      </c>
      <c r="H404" s="175">
        <f t="shared" si="63"/>
        <v>161.3125</v>
      </c>
      <c r="I404" s="177">
        <f>IF(G404=0,0,IF(E404="MXN",1/HLOOKUP(YEAR(C404)+(MONTH(C404)/100),TC!$5:$37,DAY(C404)+2,FALSE),VLOOKUP(E404,Equivalencia!$5:$23,((MAX(Equivalencia!$3:$3)-YEAR(C404))*14)+MONTH(C404)+2,FALSE)))</f>
        <v>1</v>
      </c>
      <c r="J404" s="178">
        <f t="shared" si="71"/>
        <v>161.3125</v>
      </c>
      <c r="K404" s="462">
        <f>IF(C404=0,0,VLOOKUP(YEAR(C404),INPC!$B$4:$O$29,MONTH(C404)+1))</f>
        <v>113.899</v>
      </c>
      <c r="L404" s="462">
        <f>IF(S404=0,0,VLOOKUP(YEAR(S404),INPC!$B$4:$O$29,MONTH(S404)+1))</f>
        <v>120.15900000000001</v>
      </c>
      <c r="M404" s="463">
        <f t="shared" si="64"/>
        <v>1.0548999999999999</v>
      </c>
      <c r="N404" s="465">
        <f t="shared" si="72"/>
        <v>170.16855624999999</v>
      </c>
      <c r="O404" s="179"/>
      <c r="P404" s="180">
        <v>2</v>
      </c>
      <c r="Q404" s="173" t="s">
        <v>583</v>
      </c>
      <c r="R404" s="173" t="s">
        <v>230</v>
      </c>
      <c r="S404" s="174">
        <v>44634</v>
      </c>
      <c r="T404" s="173" t="s">
        <v>33</v>
      </c>
      <c r="U404" s="182">
        <v>166.98</v>
      </c>
      <c r="V404" s="177">
        <f>IF(U404=0,0,IF(T404="MXN",1/HLOOKUP(YEAR(S404)+(MONTH(S404)/100),TC!$5:$37,DAY(S404)+2,FALSE),VLOOKUP(T404,Equivalencia!$1:$23,((MAX(Equivalencia!$3:$3)-YEAR(S404))*14)+MONTH(S404)+2,FALSE)))</f>
        <v>1</v>
      </c>
      <c r="W404" s="178">
        <f t="shared" si="69"/>
        <v>166.98</v>
      </c>
      <c r="X404" s="481">
        <f t="shared" si="65"/>
        <v>5.6674999999999898</v>
      </c>
      <c r="Y404" s="179"/>
      <c r="Z404" s="466">
        <f t="shared" si="66"/>
        <v>170.16855624999999</v>
      </c>
      <c r="AA404" s="473">
        <f t="shared" si="67"/>
        <v>-3.1885562500000049</v>
      </c>
      <c r="AB404" s="339">
        <f t="shared" si="68"/>
        <v>3.5133669120495759E-2</v>
      </c>
    </row>
    <row r="405" spans="2:28" ht="20.100000000000001" customHeight="1">
      <c r="B405" s="172">
        <v>1175000</v>
      </c>
      <c r="C405" s="174">
        <v>44427</v>
      </c>
      <c r="D405" s="181" t="s">
        <v>165</v>
      </c>
      <c r="E405" s="173" t="s">
        <v>33</v>
      </c>
      <c r="F405" s="176">
        <v>241.67678571428576</v>
      </c>
      <c r="G405" s="175">
        <f t="shared" si="70"/>
        <v>3</v>
      </c>
      <c r="H405" s="175">
        <f t="shared" si="63"/>
        <v>241.67678571428576</v>
      </c>
      <c r="I405" s="177">
        <f>IF(G405=0,0,IF(E405="MXN",1/HLOOKUP(YEAR(C405)+(MONTH(C405)/100),TC!$5:$37,DAY(C405)+2,FALSE),VLOOKUP(E405,Equivalencia!$5:$23,((MAX(Equivalencia!$3:$3)-YEAR(C405))*14)+MONTH(C405)+2,FALSE)))</f>
        <v>1</v>
      </c>
      <c r="J405" s="178">
        <f t="shared" si="71"/>
        <v>241.67678571428576</v>
      </c>
      <c r="K405" s="462">
        <f>IF(C405=0,0,VLOOKUP(YEAR(C405),INPC!$B$4:$O$29,MONTH(C405)+1))</f>
        <v>113.899</v>
      </c>
      <c r="L405" s="462">
        <f>IF(S405=0,0,VLOOKUP(YEAR(S405),INPC!$B$4:$O$29,MONTH(S405)+1))</f>
        <v>120.15900000000001</v>
      </c>
      <c r="M405" s="463">
        <f t="shared" si="64"/>
        <v>1.0548999999999999</v>
      </c>
      <c r="N405" s="465">
        <f t="shared" si="72"/>
        <v>254.94484125000002</v>
      </c>
      <c r="O405" s="179"/>
      <c r="P405" s="180">
        <v>3</v>
      </c>
      <c r="Q405" s="173" t="s">
        <v>583</v>
      </c>
      <c r="R405" s="173" t="s">
        <v>230</v>
      </c>
      <c r="S405" s="174">
        <v>44634</v>
      </c>
      <c r="T405" s="173" t="s">
        <v>33</v>
      </c>
      <c r="U405" s="182">
        <v>249.88</v>
      </c>
      <c r="V405" s="177">
        <f>IF(U405=0,0,IF(T405="MXN",1/HLOOKUP(YEAR(S405)+(MONTH(S405)/100),TC!$5:$37,DAY(S405)+2,FALSE),VLOOKUP(T405,Equivalencia!$1:$23,((MAX(Equivalencia!$3:$3)-YEAR(S405))*14)+MONTH(S405)+2,FALSE)))</f>
        <v>1</v>
      </c>
      <c r="W405" s="178">
        <f t="shared" si="69"/>
        <v>249.88</v>
      </c>
      <c r="X405" s="481">
        <f t="shared" si="65"/>
        <v>8.2032142857142389</v>
      </c>
      <c r="Y405" s="179"/>
      <c r="Z405" s="466">
        <f t="shared" si="66"/>
        <v>254.94484125000002</v>
      </c>
      <c r="AA405" s="473">
        <f t="shared" si="67"/>
        <v>-5.064841250000029</v>
      </c>
      <c r="AB405" s="339">
        <f t="shared" si="68"/>
        <v>3.394291372036129E-2</v>
      </c>
    </row>
    <row r="406" spans="2:28" ht="20.100000000000001" customHeight="1">
      <c r="B406" s="172">
        <v>1175000</v>
      </c>
      <c r="C406" s="174">
        <v>44427</v>
      </c>
      <c r="D406" s="181" t="s">
        <v>165</v>
      </c>
      <c r="E406" s="173" t="s">
        <v>33</v>
      </c>
      <c r="F406" s="176">
        <v>2013.9732142857144</v>
      </c>
      <c r="G406" s="175">
        <f t="shared" si="70"/>
        <v>25</v>
      </c>
      <c r="H406" s="175">
        <f t="shared" si="63"/>
        <v>2013.9732142857144</v>
      </c>
      <c r="I406" s="177">
        <f>IF(G406=0,0,IF(E406="MXN",1/HLOOKUP(YEAR(C406)+(MONTH(C406)/100),TC!$5:$37,DAY(C406)+2,FALSE),VLOOKUP(E406,Equivalencia!$5:$23,((MAX(Equivalencia!$3:$3)-YEAR(C406))*14)+MONTH(C406)+2,FALSE)))</f>
        <v>1</v>
      </c>
      <c r="J406" s="178">
        <f t="shared" si="71"/>
        <v>2013.9732142857144</v>
      </c>
      <c r="K406" s="462">
        <f>IF(C406=0,0,VLOOKUP(YEAR(C406),INPC!$B$4:$O$29,MONTH(C406)+1))</f>
        <v>113.899</v>
      </c>
      <c r="L406" s="462">
        <f>IF(S406=0,0,VLOOKUP(YEAR(S406),INPC!$B$4:$O$29,MONTH(S406)+1))</f>
        <v>120.15900000000001</v>
      </c>
      <c r="M406" s="463">
        <f t="shared" si="64"/>
        <v>1.0548999999999999</v>
      </c>
      <c r="N406" s="465">
        <f t="shared" si="72"/>
        <v>2124.5403437499999</v>
      </c>
      <c r="O406" s="179"/>
      <c r="P406" s="180">
        <v>25</v>
      </c>
      <c r="Q406" s="173" t="s">
        <v>583</v>
      </c>
      <c r="R406" s="173" t="s">
        <v>230</v>
      </c>
      <c r="S406" s="174">
        <v>44634</v>
      </c>
      <c r="T406" s="173" t="s">
        <v>33</v>
      </c>
      <c r="U406" s="182">
        <v>2084.875</v>
      </c>
      <c r="V406" s="177">
        <f>IF(U406=0,0,IF(T406="MXN",1/HLOOKUP(YEAR(S406)+(MONTH(S406)/100),TC!$5:$37,DAY(S406)+2,FALSE),VLOOKUP(T406,Equivalencia!$1:$23,((MAX(Equivalencia!$3:$3)-YEAR(S406))*14)+MONTH(S406)+2,FALSE)))</f>
        <v>1</v>
      </c>
      <c r="W406" s="178">
        <f t="shared" si="69"/>
        <v>2084.875</v>
      </c>
      <c r="X406" s="481">
        <f t="shared" si="65"/>
        <v>70.901785714285552</v>
      </c>
      <c r="Y406" s="179"/>
      <c r="Z406" s="466">
        <f t="shared" si="66"/>
        <v>2124.5403437499999</v>
      </c>
      <c r="AA406" s="473">
        <f t="shared" si="67"/>
        <v>-39.66534374999992</v>
      </c>
      <c r="AB406" s="339">
        <f t="shared" si="68"/>
        <v>3.5204929842838961E-2</v>
      </c>
    </row>
    <row r="407" spans="2:28" ht="20.100000000000001" customHeight="1">
      <c r="B407" s="172">
        <v>1175000</v>
      </c>
      <c r="C407" s="174">
        <v>44428</v>
      </c>
      <c r="D407" s="181" t="s">
        <v>165</v>
      </c>
      <c r="E407" s="173" t="s">
        <v>33</v>
      </c>
      <c r="F407" s="176">
        <v>245.20999999999998</v>
      </c>
      <c r="G407" s="175">
        <f t="shared" si="70"/>
        <v>3</v>
      </c>
      <c r="H407" s="175">
        <f t="shared" si="63"/>
        <v>245.20999999999998</v>
      </c>
      <c r="I407" s="177">
        <f>IF(G407=0,0,IF(E407="MXN",1/HLOOKUP(YEAR(C407)+(MONTH(C407)/100),TC!$5:$37,DAY(C407)+2,FALSE),VLOOKUP(E407,Equivalencia!$5:$23,((MAX(Equivalencia!$3:$3)-YEAR(C407))*14)+MONTH(C407)+2,FALSE)))</f>
        <v>1</v>
      </c>
      <c r="J407" s="178">
        <f t="shared" si="71"/>
        <v>245.20999999999998</v>
      </c>
      <c r="K407" s="462">
        <f>IF(C407=0,0,VLOOKUP(YEAR(C407),INPC!$B$4:$O$29,MONTH(C407)+1))</f>
        <v>113.899</v>
      </c>
      <c r="L407" s="462">
        <f>IF(S407=0,0,VLOOKUP(YEAR(S407),INPC!$B$4:$O$29,MONTH(S407)+1))</f>
        <v>120.15900000000001</v>
      </c>
      <c r="M407" s="463">
        <f t="shared" si="64"/>
        <v>1.0548999999999999</v>
      </c>
      <c r="N407" s="465">
        <f t="shared" si="72"/>
        <v>258.67202899999995</v>
      </c>
      <c r="O407" s="179"/>
      <c r="P407" s="180">
        <v>3</v>
      </c>
      <c r="Q407" s="173" t="s">
        <v>583</v>
      </c>
      <c r="R407" s="173" t="s">
        <v>230</v>
      </c>
      <c r="S407" s="174">
        <v>44634</v>
      </c>
      <c r="T407" s="173" t="s">
        <v>33</v>
      </c>
      <c r="U407" s="182">
        <v>250.185</v>
      </c>
      <c r="V407" s="177">
        <f>IF(U407=0,0,IF(T407="MXN",1/HLOOKUP(YEAR(S407)+(MONTH(S407)/100),TC!$5:$37,DAY(S407)+2,FALSE),VLOOKUP(T407,Equivalencia!$1:$23,((MAX(Equivalencia!$3:$3)-YEAR(S407))*14)+MONTH(S407)+2,FALSE)))</f>
        <v>1</v>
      </c>
      <c r="W407" s="178">
        <f t="shared" si="69"/>
        <v>250.185</v>
      </c>
      <c r="X407" s="481">
        <f t="shared" si="65"/>
        <v>4.9750000000000227</v>
      </c>
      <c r="Y407" s="179"/>
      <c r="Z407" s="466">
        <f t="shared" si="66"/>
        <v>258.67202899999995</v>
      </c>
      <c r="AA407" s="473">
        <f t="shared" si="67"/>
        <v>-8.48702899999995</v>
      </c>
      <c r="AB407" s="339">
        <f t="shared" si="68"/>
        <v>2.0288732107173635E-2</v>
      </c>
    </row>
    <row r="408" spans="2:28" ht="20.100000000000001" customHeight="1">
      <c r="B408" s="172">
        <v>1175000</v>
      </c>
      <c r="C408" s="174">
        <v>44428</v>
      </c>
      <c r="D408" s="181" t="s">
        <v>165</v>
      </c>
      <c r="E408" s="173" t="s">
        <v>33</v>
      </c>
      <c r="F408" s="176">
        <v>163.47333333333333</v>
      </c>
      <c r="G408" s="175">
        <f t="shared" si="70"/>
        <v>2</v>
      </c>
      <c r="H408" s="175">
        <f t="shared" si="63"/>
        <v>163.47333333333333</v>
      </c>
      <c r="I408" s="177">
        <f>IF(G408=0,0,IF(E408="MXN",1/HLOOKUP(YEAR(C408)+(MONTH(C408)/100),TC!$5:$37,DAY(C408)+2,FALSE),VLOOKUP(E408,Equivalencia!$5:$23,((MAX(Equivalencia!$3:$3)-YEAR(C408))*14)+MONTH(C408)+2,FALSE)))</f>
        <v>1</v>
      </c>
      <c r="J408" s="178">
        <f t="shared" si="71"/>
        <v>163.47333333333333</v>
      </c>
      <c r="K408" s="462">
        <f>IF(C408=0,0,VLOOKUP(YEAR(C408),INPC!$B$4:$O$29,MONTH(C408)+1))</f>
        <v>113.899</v>
      </c>
      <c r="L408" s="462">
        <f>IF(S408=0,0,VLOOKUP(YEAR(S408),INPC!$B$4:$O$29,MONTH(S408)+1))</f>
        <v>120.15900000000001</v>
      </c>
      <c r="M408" s="463">
        <f t="shared" si="64"/>
        <v>1.0548999999999999</v>
      </c>
      <c r="N408" s="465">
        <f t="shared" si="72"/>
        <v>172.44801933333332</v>
      </c>
      <c r="O408" s="179"/>
      <c r="P408" s="180">
        <v>2</v>
      </c>
      <c r="Q408" s="173" t="s">
        <v>583</v>
      </c>
      <c r="R408" s="173" t="s">
        <v>230</v>
      </c>
      <c r="S408" s="174">
        <v>44635</v>
      </c>
      <c r="T408" s="173" t="s">
        <v>33</v>
      </c>
      <c r="U408" s="182">
        <v>167.78</v>
      </c>
      <c r="V408" s="177">
        <f>IF(U408=0,0,IF(T408="MXN",1/HLOOKUP(YEAR(S408)+(MONTH(S408)/100),TC!$5:$37,DAY(S408)+2,FALSE),VLOOKUP(T408,Equivalencia!$1:$23,((MAX(Equivalencia!$3:$3)-YEAR(S408))*14)+MONTH(S408)+2,FALSE)))</f>
        <v>1</v>
      </c>
      <c r="W408" s="178">
        <f t="shared" si="69"/>
        <v>167.78</v>
      </c>
      <c r="X408" s="481">
        <f t="shared" si="65"/>
        <v>4.306666666666672</v>
      </c>
      <c r="Y408" s="179"/>
      <c r="Z408" s="466">
        <f t="shared" si="66"/>
        <v>172.44801933333332</v>
      </c>
      <c r="AA408" s="473">
        <f t="shared" si="67"/>
        <v>-4.6680193333333193</v>
      </c>
      <c r="AB408" s="339">
        <f t="shared" si="68"/>
        <v>2.6344765711023177E-2</v>
      </c>
    </row>
    <row r="409" spans="2:28" ht="20.100000000000001" customHeight="1">
      <c r="B409" s="172">
        <v>1175000</v>
      </c>
      <c r="C409" s="174">
        <v>44428</v>
      </c>
      <c r="D409" s="181" t="s">
        <v>165</v>
      </c>
      <c r="E409" s="173" t="s">
        <v>33</v>
      </c>
      <c r="F409" s="176">
        <v>245.20999999999998</v>
      </c>
      <c r="G409" s="175">
        <f t="shared" si="70"/>
        <v>3</v>
      </c>
      <c r="H409" s="175">
        <f t="shared" si="63"/>
        <v>245.20999999999998</v>
      </c>
      <c r="I409" s="177">
        <f>IF(G409=0,0,IF(E409="MXN",1/HLOOKUP(YEAR(C409)+(MONTH(C409)/100),TC!$5:$37,DAY(C409)+2,FALSE),VLOOKUP(E409,Equivalencia!$5:$23,((MAX(Equivalencia!$3:$3)-YEAR(C409))*14)+MONTH(C409)+2,FALSE)))</f>
        <v>1</v>
      </c>
      <c r="J409" s="178">
        <f t="shared" si="71"/>
        <v>245.20999999999998</v>
      </c>
      <c r="K409" s="462">
        <f>IF(C409=0,0,VLOOKUP(YEAR(C409),INPC!$B$4:$O$29,MONTH(C409)+1))</f>
        <v>113.899</v>
      </c>
      <c r="L409" s="462">
        <f>IF(S409=0,0,VLOOKUP(YEAR(S409),INPC!$B$4:$O$29,MONTH(S409)+1))</f>
        <v>120.15900000000001</v>
      </c>
      <c r="M409" s="463">
        <f t="shared" si="64"/>
        <v>1.0548999999999999</v>
      </c>
      <c r="N409" s="465">
        <f t="shared" si="72"/>
        <v>258.67202899999995</v>
      </c>
      <c r="O409" s="179"/>
      <c r="P409" s="180">
        <v>3</v>
      </c>
      <c r="Q409" s="173" t="s">
        <v>583</v>
      </c>
      <c r="R409" s="173" t="s">
        <v>230</v>
      </c>
      <c r="S409" s="174">
        <v>44635</v>
      </c>
      <c r="T409" s="173" t="s">
        <v>33</v>
      </c>
      <c r="U409" s="182">
        <v>251.76999999999998</v>
      </c>
      <c r="V409" s="177">
        <f>IF(U409=0,0,IF(T409="MXN",1/HLOOKUP(YEAR(S409)+(MONTH(S409)/100),TC!$5:$37,DAY(S409)+2,FALSE),VLOOKUP(T409,Equivalencia!$1:$23,((MAX(Equivalencia!$3:$3)-YEAR(S409))*14)+MONTH(S409)+2,FALSE)))</f>
        <v>1</v>
      </c>
      <c r="W409" s="178">
        <f t="shared" si="69"/>
        <v>251.76999999999998</v>
      </c>
      <c r="X409" s="481">
        <f t="shared" si="65"/>
        <v>6.5600000000000023</v>
      </c>
      <c r="Y409" s="179"/>
      <c r="Z409" s="466">
        <f t="shared" si="66"/>
        <v>258.67202899999995</v>
      </c>
      <c r="AA409" s="473">
        <f t="shared" si="67"/>
        <v>-6.9020289999999704</v>
      </c>
      <c r="AB409" s="339">
        <f t="shared" si="68"/>
        <v>2.6752579421720268E-2</v>
      </c>
    </row>
    <row r="410" spans="2:28" ht="20.100000000000001" customHeight="1">
      <c r="B410" s="172">
        <v>1175000</v>
      </c>
      <c r="C410" s="174">
        <v>44428</v>
      </c>
      <c r="D410" s="181" t="s">
        <v>165</v>
      </c>
      <c r="E410" s="173" t="s">
        <v>33</v>
      </c>
      <c r="F410" s="176">
        <v>163.47333333333333</v>
      </c>
      <c r="G410" s="175">
        <f t="shared" si="70"/>
        <v>2</v>
      </c>
      <c r="H410" s="175">
        <f t="shared" si="63"/>
        <v>163.47333333333333</v>
      </c>
      <c r="I410" s="177">
        <f>IF(G410=0,0,IF(E410="MXN",1/HLOOKUP(YEAR(C410)+(MONTH(C410)/100),TC!$5:$37,DAY(C410)+2,FALSE),VLOOKUP(E410,Equivalencia!$5:$23,((MAX(Equivalencia!$3:$3)-YEAR(C410))*14)+MONTH(C410)+2,FALSE)))</f>
        <v>1</v>
      </c>
      <c r="J410" s="178">
        <f t="shared" si="71"/>
        <v>163.47333333333333</v>
      </c>
      <c r="K410" s="462">
        <f>IF(C410=0,0,VLOOKUP(YEAR(C410),INPC!$B$4:$O$29,MONTH(C410)+1))</f>
        <v>113.899</v>
      </c>
      <c r="L410" s="462">
        <f>IF(S410=0,0,VLOOKUP(YEAR(S410),INPC!$B$4:$O$29,MONTH(S410)+1))</f>
        <v>120.15900000000001</v>
      </c>
      <c r="M410" s="463">
        <f t="shared" si="64"/>
        <v>1.0548999999999999</v>
      </c>
      <c r="N410" s="465">
        <f t="shared" si="72"/>
        <v>172.44801933333332</v>
      </c>
      <c r="O410" s="179"/>
      <c r="P410" s="180">
        <v>2</v>
      </c>
      <c r="Q410" s="173" t="s">
        <v>583</v>
      </c>
      <c r="R410" s="173" t="s">
        <v>230</v>
      </c>
      <c r="S410" s="174">
        <v>44635</v>
      </c>
      <c r="T410" s="173" t="s">
        <v>33</v>
      </c>
      <c r="U410" s="182">
        <v>168.16</v>
      </c>
      <c r="V410" s="177">
        <f>IF(U410=0,0,IF(T410="MXN",1/HLOOKUP(YEAR(S410)+(MONTH(S410)/100),TC!$5:$37,DAY(S410)+2,FALSE),VLOOKUP(T410,Equivalencia!$1:$23,((MAX(Equivalencia!$3:$3)-YEAR(S410))*14)+MONTH(S410)+2,FALSE)))</f>
        <v>1</v>
      </c>
      <c r="W410" s="178">
        <f t="shared" si="69"/>
        <v>168.16</v>
      </c>
      <c r="X410" s="481">
        <f t="shared" si="65"/>
        <v>4.6866666666666674</v>
      </c>
      <c r="Y410" s="179"/>
      <c r="Z410" s="466">
        <f t="shared" si="66"/>
        <v>172.44801933333332</v>
      </c>
      <c r="AA410" s="473">
        <f t="shared" si="67"/>
        <v>-4.2880193333333239</v>
      </c>
      <c r="AB410" s="339">
        <f t="shared" si="68"/>
        <v>2.8669303861995843E-2</v>
      </c>
    </row>
    <row r="411" spans="2:28" ht="20.100000000000001" customHeight="1">
      <c r="B411" s="172">
        <v>1175000</v>
      </c>
      <c r="C411" s="174">
        <v>44428</v>
      </c>
      <c r="D411" s="181" t="s">
        <v>165</v>
      </c>
      <c r="E411" s="173" t="s">
        <v>33</v>
      </c>
      <c r="F411" s="176">
        <v>163.47333333333333</v>
      </c>
      <c r="G411" s="175">
        <f t="shared" si="70"/>
        <v>2</v>
      </c>
      <c r="H411" s="175">
        <f t="shared" si="63"/>
        <v>163.47333333333333</v>
      </c>
      <c r="I411" s="177">
        <f>IF(G411=0,0,IF(E411="MXN",1/HLOOKUP(YEAR(C411)+(MONTH(C411)/100),TC!$5:$37,DAY(C411)+2,FALSE),VLOOKUP(E411,Equivalencia!$5:$23,((MAX(Equivalencia!$3:$3)-YEAR(C411))*14)+MONTH(C411)+2,FALSE)))</f>
        <v>1</v>
      </c>
      <c r="J411" s="178">
        <f t="shared" si="71"/>
        <v>163.47333333333333</v>
      </c>
      <c r="K411" s="462">
        <f>IF(C411=0,0,VLOOKUP(YEAR(C411),INPC!$B$4:$O$29,MONTH(C411)+1))</f>
        <v>113.899</v>
      </c>
      <c r="L411" s="462">
        <f>IF(S411=0,0,VLOOKUP(YEAR(S411),INPC!$B$4:$O$29,MONTH(S411)+1))</f>
        <v>120.15900000000001</v>
      </c>
      <c r="M411" s="463">
        <f t="shared" si="64"/>
        <v>1.0548999999999999</v>
      </c>
      <c r="N411" s="465">
        <f t="shared" si="72"/>
        <v>172.44801933333332</v>
      </c>
      <c r="O411" s="179"/>
      <c r="P411" s="180">
        <v>2</v>
      </c>
      <c r="Q411" s="173" t="s">
        <v>583</v>
      </c>
      <c r="R411" s="173" t="s">
        <v>230</v>
      </c>
      <c r="S411" s="174">
        <v>44635</v>
      </c>
      <c r="T411" s="173" t="s">
        <v>33</v>
      </c>
      <c r="U411" s="182">
        <v>167.58500000000001</v>
      </c>
      <c r="V411" s="177">
        <f>IF(U411=0,0,IF(T411="MXN",1/HLOOKUP(YEAR(S411)+(MONTH(S411)/100),TC!$5:$37,DAY(S411)+2,FALSE),VLOOKUP(T411,Equivalencia!$1:$23,((MAX(Equivalencia!$3:$3)-YEAR(S411))*14)+MONTH(S411)+2,FALSE)))</f>
        <v>1</v>
      </c>
      <c r="W411" s="178">
        <f t="shared" si="69"/>
        <v>167.58500000000001</v>
      </c>
      <c r="X411" s="481">
        <f t="shared" si="65"/>
        <v>4.1116666666666788</v>
      </c>
      <c r="Y411" s="179"/>
      <c r="Z411" s="466">
        <f t="shared" si="66"/>
        <v>172.44801933333332</v>
      </c>
      <c r="AA411" s="473">
        <f t="shared" si="67"/>
        <v>-4.8630193333333125</v>
      </c>
      <c r="AB411" s="339">
        <f t="shared" si="68"/>
        <v>2.5151910607234651E-2</v>
      </c>
    </row>
    <row r="412" spans="2:28" ht="20.100000000000001" customHeight="1">
      <c r="B412" s="172">
        <v>1175000</v>
      </c>
      <c r="C412" s="174">
        <v>44453</v>
      </c>
      <c r="D412" s="181" t="s">
        <v>165</v>
      </c>
      <c r="E412" s="173" t="s">
        <v>33</v>
      </c>
      <c r="F412" s="176">
        <v>161.2637037037037</v>
      </c>
      <c r="G412" s="175">
        <f t="shared" si="70"/>
        <v>2</v>
      </c>
      <c r="H412" s="175">
        <f t="shared" si="63"/>
        <v>161.2637037037037</v>
      </c>
      <c r="I412" s="177">
        <f>IF(G412=0,0,IF(E412="MXN",1/HLOOKUP(YEAR(C412)+(MONTH(C412)/100),TC!$5:$37,DAY(C412)+2,FALSE),VLOOKUP(E412,Equivalencia!$5:$23,((MAX(Equivalencia!$3:$3)-YEAR(C412))*14)+MONTH(C412)+2,FALSE)))</f>
        <v>1</v>
      </c>
      <c r="J412" s="178">
        <f t="shared" si="71"/>
        <v>161.2637037037037</v>
      </c>
      <c r="K412" s="462">
        <f>IF(C412=0,0,VLOOKUP(YEAR(C412),INPC!$B$4:$O$29,MONTH(C412)+1))</f>
        <v>114.601</v>
      </c>
      <c r="L412" s="462">
        <f>IF(S412=0,0,VLOOKUP(YEAR(S412),INPC!$B$4:$O$29,MONTH(S412)+1))</f>
        <v>120.15900000000001</v>
      </c>
      <c r="M412" s="463">
        <f t="shared" si="64"/>
        <v>1.0484</v>
      </c>
      <c r="N412" s="465">
        <f t="shared" si="72"/>
        <v>169.06886696296294</v>
      </c>
      <c r="O412" s="179"/>
      <c r="P412" s="180">
        <v>2</v>
      </c>
      <c r="Q412" s="173" t="s">
        <v>583</v>
      </c>
      <c r="R412" s="173" t="s">
        <v>230</v>
      </c>
      <c r="S412" s="174">
        <v>44635</v>
      </c>
      <c r="T412" s="173" t="s">
        <v>33</v>
      </c>
      <c r="U412" s="182">
        <v>167.58500000000001</v>
      </c>
      <c r="V412" s="177">
        <f>IF(U412=0,0,IF(T412="MXN",1/HLOOKUP(YEAR(S412)+(MONTH(S412)/100),TC!$5:$37,DAY(S412)+2,FALSE),VLOOKUP(T412,Equivalencia!$1:$23,((MAX(Equivalencia!$3:$3)-YEAR(S412))*14)+MONTH(S412)+2,FALSE)))</f>
        <v>1</v>
      </c>
      <c r="W412" s="178">
        <f t="shared" si="69"/>
        <v>167.58500000000001</v>
      </c>
      <c r="X412" s="481">
        <f t="shared" si="65"/>
        <v>6.3212962962963104</v>
      </c>
      <c r="Y412" s="179"/>
      <c r="Z412" s="466">
        <f t="shared" si="66"/>
        <v>169.06886696296294</v>
      </c>
      <c r="AA412" s="473">
        <f t="shared" si="67"/>
        <v>-1.4838669629629351</v>
      </c>
      <c r="AB412" s="339">
        <f t="shared" si="68"/>
        <v>3.9198506242363651E-2</v>
      </c>
    </row>
    <row r="413" spans="2:28" ht="20.100000000000001" customHeight="1">
      <c r="B413" s="172">
        <v>1175000</v>
      </c>
      <c r="C413" s="174">
        <v>44453</v>
      </c>
      <c r="D413" s="181" t="s">
        <v>165</v>
      </c>
      <c r="E413" s="173" t="s">
        <v>33</v>
      </c>
      <c r="F413" s="176">
        <v>483.79111111111109</v>
      </c>
      <c r="G413" s="175">
        <f t="shared" si="70"/>
        <v>6</v>
      </c>
      <c r="H413" s="175">
        <f t="shared" si="63"/>
        <v>483.79111111111109</v>
      </c>
      <c r="I413" s="177">
        <f>IF(G413=0,0,IF(E413="MXN",1/HLOOKUP(YEAR(C413)+(MONTH(C413)/100),TC!$5:$37,DAY(C413)+2,FALSE),VLOOKUP(E413,Equivalencia!$5:$23,((MAX(Equivalencia!$3:$3)-YEAR(C413))*14)+MONTH(C413)+2,FALSE)))</f>
        <v>1</v>
      </c>
      <c r="J413" s="178">
        <f t="shared" si="71"/>
        <v>483.79111111111109</v>
      </c>
      <c r="K413" s="462">
        <f>IF(C413=0,0,VLOOKUP(YEAR(C413),INPC!$B$4:$O$29,MONTH(C413)+1))</f>
        <v>114.601</v>
      </c>
      <c r="L413" s="462">
        <f>IF(S413=0,0,VLOOKUP(YEAR(S413),INPC!$B$4:$O$29,MONTH(S413)+1))</f>
        <v>120.15900000000001</v>
      </c>
      <c r="M413" s="463">
        <f t="shared" si="64"/>
        <v>1.0484</v>
      </c>
      <c r="N413" s="465">
        <f t="shared" si="72"/>
        <v>507.20660088888889</v>
      </c>
      <c r="O413" s="179"/>
      <c r="P413" s="180">
        <v>6</v>
      </c>
      <c r="Q413" s="173" t="s">
        <v>583</v>
      </c>
      <c r="R413" s="173" t="s">
        <v>230</v>
      </c>
      <c r="S413" s="174">
        <v>44635</v>
      </c>
      <c r="T413" s="173" t="s">
        <v>33</v>
      </c>
      <c r="U413" s="182">
        <v>509.64</v>
      </c>
      <c r="V413" s="177">
        <f>IF(U413=0,0,IF(T413="MXN",1/HLOOKUP(YEAR(S413)+(MONTH(S413)/100),TC!$5:$37,DAY(S413)+2,FALSE),VLOOKUP(T413,Equivalencia!$1:$23,((MAX(Equivalencia!$3:$3)-YEAR(S413))*14)+MONTH(S413)+2,FALSE)))</f>
        <v>1</v>
      </c>
      <c r="W413" s="178">
        <f t="shared" si="69"/>
        <v>509.64</v>
      </c>
      <c r="X413" s="481">
        <f t="shared" si="65"/>
        <v>25.848888888888894</v>
      </c>
      <c r="Y413" s="179"/>
      <c r="Z413" s="466">
        <f t="shared" si="66"/>
        <v>507.20660088888889</v>
      </c>
      <c r="AA413" s="473">
        <f t="shared" si="67"/>
        <v>2.4333991111111004</v>
      </c>
      <c r="AB413" s="339">
        <f t="shared" si="68"/>
        <v>5.3429854941986044E-2</v>
      </c>
    </row>
    <row r="414" spans="2:28" ht="20.100000000000001" customHeight="1">
      <c r="B414" s="172">
        <v>1175000</v>
      </c>
      <c r="C414" s="174">
        <v>44453</v>
      </c>
      <c r="D414" s="181" t="s">
        <v>165</v>
      </c>
      <c r="E414" s="173" t="s">
        <v>33</v>
      </c>
      <c r="F414" s="176">
        <v>403.15925925925922</v>
      </c>
      <c r="G414" s="175">
        <f t="shared" si="70"/>
        <v>5</v>
      </c>
      <c r="H414" s="175">
        <f t="shared" si="63"/>
        <v>403.15925925925922</v>
      </c>
      <c r="I414" s="177">
        <f>IF(G414=0,0,IF(E414="MXN",1/HLOOKUP(YEAR(C414)+(MONTH(C414)/100),TC!$5:$37,DAY(C414)+2,FALSE),VLOOKUP(E414,Equivalencia!$5:$23,((MAX(Equivalencia!$3:$3)-YEAR(C414))*14)+MONTH(C414)+2,FALSE)))</f>
        <v>1</v>
      </c>
      <c r="J414" s="178">
        <f t="shared" si="71"/>
        <v>403.15925925925922</v>
      </c>
      <c r="K414" s="462">
        <f>IF(C414=0,0,VLOOKUP(YEAR(C414),INPC!$B$4:$O$29,MONTH(C414)+1))</f>
        <v>114.601</v>
      </c>
      <c r="L414" s="462">
        <f>IF(S414=0,0,VLOOKUP(YEAR(S414),INPC!$B$4:$O$29,MONTH(S414)+1))</f>
        <v>120.15900000000001</v>
      </c>
      <c r="M414" s="463">
        <f t="shared" si="64"/>
        <v>1.0484</v>
      </c>
      <c r="N414" s="465">
        <f t="shared" si="72"/>
        <v>422.67216740740736</v>
      </c>
      <c r="O414" s="179"/>
      <c r="P414" s="180">
        <v>5</v>
      </c>
      <c r="Q414" s="173" t="s">
        <v>583</v>
      </c>
      <c r="R414" s="173" t="s">
        <v>230</v>
      </c>
      <c r="S414" s="174">
        <v>44635</v>
      </c>
      <c r="T414" s="173" t="s">
        <v>33</v>
      </c>
      <c r="U414" s="182">
        <v>421.32</v>
      </c>
      <c r="V414" s="177">
        <f>IF(U414=0,0,IF(T414="MXN",1/HLOOKUP(YEAR(S414)+(MONTH(S414)/100),TC!$5:$37,DAY(S414)+2,FALSE),VLOOKUP(T414,Equivalencia!$1:$23,((MAX(Equivalencia!$3:$3)-YEAR(S414))*14)+MONTH(S414)+2,FALSE)))</f>
        <v>1</v>
      </c>
      <c r="W414" s="178">
        <f t="shared" si="69"/>
        <v>421.32</v>
      </c>
      <c r="X414" s="481">
        <f t="shared" si="65"/>
        <v>18.160740740740778</v>
      </c>
      <c r="Y414" s="179"/>
      <c r="Z414" s="466">
        <f t="shared" si="66"/>
        <v>422.67216740740736</v>
      </c>
      <c r="AA414" s="473">
        <f t="shared" si="67"/>
        <v>-1.3521674074073644</v>
      </c>
      <c r="AB414" s="339">
        <f t="shared" si="68"/>
        <v>4.5046071307175861E-2</v>
      </c>
    </row>
    <row r="415" spans="2:28" ht="20.100000000000001" customHeight="1">
      <c r="B415" s="172">
        <v>1175000</v>
      </c>
      <c r="C415" s="174">
        <v>44453</v>
      </c>
      <c r="D415" s="181" t="s">
        <v>165</v>
      </c>
      <c r="E415" s="173" t="s">
        <v>33</v>
      </c>
      <c r="F415" s="176">
        <v>483.79111111111109</v>
      </c>
      <c r="G415" s="175">
        <f t="shared" si="70"/>
        <v>6</v>
      </c>
      <c r="H415" s="175">
        <f t="shared" si="63"/>
        <v>483.79111111111109</v>
      </c>
      <c r="I415" s="177">
        <f>IF(G415=0,0,IF(E415="MXN",1/HLOOKUP(YEAR(C415)+(MONTH(C415)/100),TC!$5:$37,DAY(C415)+2,FALSE),VLOOKUP(E415,Equivalencia!$5:$23,((MAX(Equivalencia!$3:$3)-YEAR(C415))*14)+MONTH(C415)+2,FALSE)))</f>
        <v>1</v>
      </c>
      <c r="J415" s="178">
        <f t="shared" si="71"/>
        <v>483.79111111111109</v>
      </c>
      <c r="K415" s="462">
        <f>IF(C415=0,0,VLOOKUP(YEAR(C415),INPC!$B$4:$O$29,MONTH(C415)+1))</f>
        <v>114.601</v>
      </c>
      <c r="L415" s="462">
        <f>IF(S415=0,0,VLOOKUP(YEAR(S415),INPC!$B$4:$O$29,MONTH(S415)+1))</f>
        <v>120.15900000000001</v>
      </c>
      <c r="M415" s="463">
        <f t="shared" si="64"/>
        <v>1.0484</v>
      </c>
      <c r="N415" s="465">
        <f t="shared" si="72"/>
        <v>507.20660088888889</v>
      </c>
      <c r="O415" s="179"/>
      <c r="P415" s="180">
        <v>6</v>
      </c>
      <c r="Q415" s="173" t="s">
        <v>583</v>
      </c>
      <c r="R415" s="173" t="s">
        <v>230</v>
      </c>
      <c r="S415" s="174">
        <v>44635</v>
      </c>
      <c r="T415" s="173" t="s">
        <v>33</v>
      </c>
      <c r="U415" s="182">
        <v>508.17000000000007</v>
      </c>
      <c r="V415" s="177">
        <f>IF(U415=0,0,IF(T415="MXN",1/HLOOKUP(YEAR(S415)+(MONTH(S415)/100),TC!$5:$37,DAY(S415)+2,FALSE),VLOOKUP(T415,Equivalencia!$1:$23,((MAX(Equivalencia!$3:$3)-YEAR(S415))*14)+MONTH(S415)+2,FALSE)))</f>
        <v>1</v>
      </c>
      <c r="W415" s="178">
        <f t="shared" si="69"/>
        <v>508.17000000000007</v>
      </c>
      <c r="X415" s="481">
        <f t="shared" si="65"/>
        <v>24.37888888888898</v>
      </c>
      <c r="Y415" s="179"/>
      <c r="Z415" s="466">
        <f t="shared" si="66"/>
        <v>507.20660088888889</v>
      </c>
      <c r="AA415" s="473">
        <f t="shared" si="67"/>
        <v>0.96339911111118681</v>
      </c>
      <c r="AB415" s="339">
        <f t="shared" si="68"/>
        <v>5.0391353476707312E-2</v>
      </c>
    </row>
    <row r="416" spans="2:28" ht="20.100000000000001" customHeight="1">
      <c r="B416" s="172">
        <v>1175000</v>
      </c>
      <c r="C416" s="174">
        <v>44453</v>
      </c>
      <c r="D416" s="181" t="s">
        <v>165</v>
      </c>
      <c r="E416" s="173" t="s">
        <v>33</v>
      </c>
      <c r="F416" s="176">
        <v>806.31851851851843</v>
      </c>
      <c r="G416" s="175">
        <f t="shared" si="70"/>
        <v>10</v>
      </c>
      <c r="H416" s="175">
        <f t="shared" si="63"/>
        <v>806.31851851851843</v>
      </c>
      <c r="I416" s="177">
        <f>IF(G416=0,0,IF(E416="MXN",1/HLOOKUP(YEAR(C416)+(MONTH(C416)/100),TC!$5:$37,DAY(C416)+2,FALSE),VLOOKUP(E416,Equivalencia!$5:$23,((MAX(Equivalencia!$3:$3)-YEAR(C416))*14)+MONTH(C416)+2,FALSE)))</f>
        <v>1</v>
      </c>
      <c r="J416" s="178">
        <f t="shared" si="71"/>
        <v>806.31851851851843</v>
      </c>
      <c r="K416" s="462">
        <f>IF(C416=0,0,VLOOKUP(YEAR(C416),INPC!$B$4:$O$29,MONTH(C416)+1))</f>
        <v>114.601</v>
      </c>
      <c r="L416" s="462">
        <f>IF(S416=0,0,VLOOKUP(YEAR(S416),INPC!$B$4:$O$29,MONTH(S416)+1))</f>
        <v>120.15900000000001</v>
      </c>
      <c r="M416" s="463">
        <f t="shared" si="64"/>
        <v>1.0484</v>
      </c>
      <c r="N416" s="465">
        <f t="shared" si="72"/>
        <v>845.34433481481472</v>
      </c>
      <c r="O416" s="179"/>
      <c r="P416" s="180">
        <v>10</v>
      </c>
      <c r="Q416" s="173" t="s">
        <v>583</v>
      </c>
      <c r="R416" s="173" t="s">
        <v>230</v>
      </c>
      <c r="S416" s="174">
        <v>44635</v>
      </c>
      <c r="T416" s="173" t="s">
        <v>33</v>
      </c>
      <c r="U416" s="182">
        <v>847.16</v>
      </c>
      <c r="V416" s="177">
        <f>IF(U416=0,0,IF(T416="MXN",1/HLOOKUP(YEAR(S416)+(MONTH(S416)/100),TC!$5:$37,DAY(S416)+2,FALSE),VLOOKUP(T416,Equivalencia!$1:$23,((MAX(Equivalencia!$3:$3)-YEAR(S416))*14)+MONTH(S416)+2,FALSE)))</f>
        <v>1</v>
      </c>
      <c r="W416" s="178">
        <f t="shared" si="69"/>
        <v>847.16</v>
      </c>
      <c r="X416" s="481">
        <f t="shared" si="65"/>
        <v>40.841481481481537</v>
      </c>
      <c r="Y416" s="179"/>
      <c r="Z416" s="466">
        <f t="shared" si="66"/>
        <v>845.34433481481472</v>
      </c>
      <c r="AA416" s="473">
        <f t="shared" si="67"/>
        <v>1.815665185185253</v>
      </c>
      <c r="AB416" s="339">
        <f t="shared" si="68"/>
        <v>5.0651796459445286E-2</v>
      </c>
    </row>
    <row r="417" spans="2:28" ht="20.100000000000001" customHeight="1">
      <c r="B417" s="172">
        <v>1175000</v>
      </c>
      <c r="C417" s="174">
        <v>44453</v>
      </c>
      <c r="D417" s="181" t="s">
        <v>165</v>
      </c>
      <c r="E417" s="173" t="s">
        <v>33</v>
      </c>
      <c r="F417" s="176">
        <v>564.42296296296297</v>
      </c>
      <c r="G417" s="175">
        <f t="shared" si="70"/>
        <v>7</v>
      </c>
      <c r="H417" s="175">
        <f t="shared" si="63"/>
        <v>564.42296296296297</v>
      </c>
      <c r="I417" s="177">
        <f>IF(G417=0,0,IF(E417="MXN",1/HLOOKUP(YEAR(C417)+(MONTH(C417)/100),TC!$5:$37,DAY(C417)+2,FALSE),VLOOKUP(E417,Equivalencia!$5:$23,((MAX(Equivalencia!$3:$3)-YEAR(C417))*14)+MONTH(C417)+2,FALSE)))</f>
        <v>1</v>
      </c>
      <c r="J417" s="178">
        <f t="shared" si="71"/>
        <v>564.42296296296297</v>
      </c>
      <c r="K417" s="462">
        <f>IF(C417=0,0,VLOOKUP(YEAR(C417),INPC!$B$4:$O$29,MONTH(C417)+1))</f>
        <v>114.601</v>
      </c>
      <c r="L417" s="462">
        <f>IF(S417=0,0,VLOOKUP(YEAR(S417),INPC!$B$4:$O$29,MONTH(S417)+1))</f>
        <v>120.15900000000001</v>
      </c>
      <c r="M417" s="463">
        <f t="shared" si="64"/>
        <v>1.0484</v>
      </c>
      <c r="N417" s="465">
        <f t="shared" si="72"/>
        <v>591.74103437037036</v>
      </c>
      <c r="O417" s="179"/>
      <c r="P417" s="180">
        <v>7</v>
      </c>
      <c r="Q417" s="173" t="s">
        <v>583</v>
      </c>
      <c r="R417" s="173" t="s">
        <v>230</v>
      </c>
      <c r="S417" s="174">
        <v>44635</v>
      </c>
      <c r="T417" s="173" t="s">
        <v>33</v>
      </c>
      <c r="U417" s="182">
        <v>586.64</v>
      </c>
      <c r="V417" s="177">
        <f>IF(U417=0,0,IF(T417="MXN",1/HLOOKUP(YEAR(S417)+(MONTH(S417)/100),TC!$5:$37,DAY(S417)+2,FALSE),VLOOKUP(T417,Equivalencia!$1:$23,((MAX(Equivalencia!$3:$3)-YEAR(S417))*14)+MONTH(S417)+2,FALSE)))</f>
        <v>1</v>
      </c>
      <c r="W417" s="178">
        <f t="shared" si="69"/>
        <v>586.64</v>
      </c>
      <c r="X417" s="481">
        <f t="shared" si="65"/>
        <v>22.217037037037016</v>
      </c>
      <c r="Y417" s="179"/>
      <c r="Z417" s="466">
        <f t="shared" si="66"/>
        <v>591.74103437037036</v>
      </c>
      <c r="AA417" s="473">
        <f t="shared" si="67"/>
        <v>-5.1010343703703711</v>
      </c>
      <c r="AB417" s="339">
        <f t="shared" si="68"/>
        <v>3.9362390432181815E-2</v>
      </c>
    </row>
    <row r="418" spans="2:28" ht="20.100000000000001" customHeight="1">
      <c r="B418" s="172">
        <v>1175000</v>
      </c>
      <c r="C418" s="174">
        <v>44453</v>
      </c>
      <c r="D418" s="181" t="s">
        <v>165</v>
      </c>
      <c r="E418" s="173" t="s">
        <v>33</v>
      </c>
      <c r="F418" s="176">
        <v>80.631851851851849</v>
      </c>
      <c r="G418" s="175">
        <f t="shared" si="70"/>
        <v>1</v>
      </c>
      <c r="H418" s="175">
        <f t="shared" si="63"/>
        <v>80.631851851851849</v>
      </c>
      <c r="I418" s="177">
        <f>IF(G418=0,0,IF(E418="MXN",1/HLOOKUP(YEAR(C418)+(MONTH(C418)/100),TC!$5:$37,DAY(C418)+2,FALSE),VLOOKUP(E418,Equivalencia!$5:$23,((MAX(Equivalencia!$3:$3)-YEAR(C418))*14)+MONTH(C418)+2,FALSE)))</f>
        <v>1</v>
      </c>
      <c r="J418" s="178">
        <f t="shared" si="71"/>
        <v>80.631851851851849</v>
      </c>
      <c r="K418" s="462">
        <f>IF(C418=0,0,VLOOKUP(YEAR(C418),INPC!$B$4:$O$29,MONTH(C418)+1))</f>
        <v>114.601</v>
      </c>
      <c r="L418" s="462">
        <f>IF(S418=0,0,VLOOKUP(YEAR(S418),INPC!$B$4:$O$29,MONTH(S418)+1))</f>
        <v>120.15900000000001</v>
      </c>
      <c r="M418" s="463">
        <f t="shared" si="64"/>
        <v>1.0484</v>
      </c>
      <c r="N418" s="465">
        <f t="shared" si="72"/>
        <v>84.534433481481472</v>
      </c>
      <c r="O418" s="179"/>
      <c r="P418" s="180">
        <v>1</v>
      </c>
      <c r="Q418" s="173" t="s">
        <v>583</v>
      </c>
      <c r="R418" s="173" t="s">
        <v>230</v>
      </c>
      <c r="S418" s="174">
        <v>44636</v>
      </c>
      <c r="T418" s="173" t="s">
        <v>33</v>
      </c>
      <c r="U418" s="182">
        <v>84.58</v>
      </c>
      <c r="V418" s="177">
        <f>IF(U418=0,0,IF(T418="MXN",1/HLOOKUP(YEAR(S418)+(MONTH(S418)/100),TC!$5:$37,DAY(S418)+2,FALSE),VLOOKUP(T418,Equivalencia!$1:$23,((MAX(Equivalencia!$3:$3)-YEAR(S418))*14)+MONTH(S418)+2,FALSE)))</f>
        <v>1</v>
      </c>
      <c r="W418" s="178">
        <f t="shared" si="69"/>
        <v>84.58</v>
      </c>
      <c r="X418" s="481">
        <f t="shared" si="65"/>
        <v>3.9481481481481495</v>
      </c>
      <c r="Y418" s="179"/>
      <c r="Z418" s="466">
        <f t="shared" si="66"/>
        <v>84.534433481481472</v>
      </c>
      <c r="AA418" s="473">
        <f t="shared" si="67"/>
        <v>4.5566518518526777E-2</v>
      </c>
      <c r="AB418" s="339">
        <f t="shared" si="68"/>
        <v>4.8965118095045668E-2</v>
      </c>
    </row>
    <row r="419" spans="2:28" ht="20.100000000000001" customHeight="1">
      <c r="B419" s="172">
        <v>1175000</v>
      </c>
      <c r="C419" s="174">
        <v>44453</v>
      </c>
      <c r="D419" s="181" t="s">
        <v>165</v>
      </c>
      <c r="E419" s="173" t="s">
        <v>33</v>
      </c>
      <c r="F419" s="176">
        <v>80.631851851851849</v>
      </c>
      <c r="G419" s="175">
        <f t="shared" si="70"/>
        <v>17</v>
      </c>
      <c r="H419" s="175">
        <f t="shared" si="63"/>
        <v>80.631851851851849</v>
      </c>
      <c r="I419" s="177">
        <f>IF(G419=0,0,IF(E419="MXN",1/HLOOKUP(YEAR(C419)+(MONTH(C419)/100),TC!$5:$37,DAY(C419)+2,FALSE),VLOOKUP(E419,Equivalencia!$5:$23,((MAX(Equivalencia!$3:$3)-YEAR(C419))*14)+MONTH(C419)+2,FALSE)))</f>
        <v>1</v>
      </c>
      <c r="J419" s="178">
        <f t="shared" si="71"/>
        <v>80.631851851851849</v>
      </c>
      <c r="K419" s="462">
        <f>IF(C419=0,0,VLOOKUP(YEAR(C419),INPC!$B$4:$O$29,MONTH(C419)+1))</f>
        <v>114.601</v>
      </c>
      <c r="L419" s="462">
        <f>IF(S419=0,0,VLOOKUP(YEAR(S419),INPC!$B$4:$O$29,MONTH(S419)+1))</f>
        <v>120.15900000000001</v>
      </c>
      <c r="M419" s="463">
        <f t="shared" si="64"/>
        <v>1.0484</v>
      </c>
      <c r="N419" s="465">
        <f t="shared" si="72"/>
        <v>84.534433481481472</v>
      </c>
      <c r="O419" s="179"/>
      <c r="P419" s="180">
        <v>17</v>
      </c>
      <c r="Q419" s="173" t="s">
        <v>583</v>
      </c>
      <c r="R419" s="173" t="s">
        <v>230</v>
      </c>
      <c r="S419" s="174">
        <v>44636</v>
      </c>
      <c r="T419" s="173" t="s">
        <v>33</v>
      </c>
      <c r="U419" s="182">
        <v>1415.45</v>
      </c>
      <c r="V419" s="177">
        <f>IF(U419=0,0,IF(T419="MXN",1/HLOOKUP(YEAR(S419)+(MONTH(S419)/100),TC!$5:$37,DAY(S419)+2,FALSE),VLOOKUP(T419,Equivalencia!$1:$23,((MAX(Equivalencia!$3:$3)-YEAR(S419))*14)+MONTH(S419)+2,FALSE)))</f>
        <v>1</v>
      </c>
      <c r="W419" s="178">
        <f t="shared" si="69"/>
        <v>1415.45</v>
      </c>
      <c r="X419" s="481">
        <f t="shared" si="65"/>
        <v>1334.8181481481481</v>
      </c>
      <c r="Y419" s="179"/>
      <c r="Z419" s="466">
        <f t="shared" si="66"/>
        <v>84.534433481481472</v>
      </c>
      <c r="AA419" s="473">
        <f t="shared" si="67"/>
        <v>1330.9155665185185</v>
      </c>
      <c r="AB419" s="339">
        <f t="shared" si="68"/>
        <v>16.554477138893738</v>
      </c>
    </row>
    <row r="420" spans="2:28" ht="20.100000000000001" customHeight="1">
      <c r="B420" s="172">
        <v>1175000</v>
      </c>
      <c r="C420" s="174">
        <v>44154</v>
      </c>
      <c r="D420" s="181" t="s">
        <v>161</v>
      </c>
      <c r="E420" s="173" t="s">
        <v>33</v>
      </c>
      <c r="F420" s="176">
        <v>811.21125000000006</v>
      </c>
      <c r="G420" s="175">
        <f t="shared" si="70"/>
        <v>3</v>
      </c>
      <c r="H420" s="175">
        <f t="shared" si="63"/>
        <v>811.21125000000006</v>
      </c>
      <c r="I420" s="177">
        <f>IF(G420=0,0,IF(E420="MXN",1/HLOOKUP(YEAR(C420)+(MONTH(C420)/100),TC!$5:$37,DAY(C420)+2,FALSE),VLOOKUP(E420,Equivalencia!$5:$23,((MAX(Equivalencia!$3:$3)-YEAR(C420))*14)+MONTH(C420)+2,FALSE)))</f>
        <v>1</v>
      </c>
      <c r="J420" s="178">
        <f t="shared" si="71"/>
        <v>811.21125000000006</v>
      </c>
      <c r="K420" s="462">
        <f>IF(C420=0,0,VLOOKUP(YEAR(C420),INPC!$B$4:$O$29,MONTH(C420)+1))</f>
        <v>108.85599999999999</v>
      </c>
      <c r="L420" s="462">
        <f>IF(S420=0,0,VLOOKUP(YEAR(S420),INPC!$B$4:$O$29,MONTH(S420)+1))</f>
        <v>120.15900000000001</v>
      </c>
      <c r="M420" s="463">
        <f t="shared" si="64"/>
        <v>1.1037999999999999</v>
      </c>
      <c r="N420" s="465">
        <f t="shared" si="72"/>
        <v>895.41497774999993</v>
      </c>
      <c r="O420" s="179"/>
      <c r="P420" s="180">
        <v>3</v>
      </c>
      <c r="Q420" s="173" t="s">
        <v>583</v>
      </c>
      <c r="R420" s="173" t="s">
        <v>230</v>
      </c>
      <c r="S420" s="174">
        <v>44636</v>
      </c>
      <c r="T420" s="173" t="s">
        <v>33</v>
      </c>
      <c r="U420" s="182">
        <v>677.61</v>
      </c>
      <c r="V420" s="177">
        <f>IF(U420=0,0,IF(T420="MXN",1/HLOOKUP(YEAR(S420)+(MONTH(S420)/100),TC!$5:$37,DAY(S420)+2,FALSE),VLOOKUP(T420,Equivalencia!$1:$23,((MAX(Equivalencia!$3:$3)-YEAR(S420))*14)+MONTH(S420)+2,FALSE)))</f>
        <v>1</v>
      </c>
      <c r="W420" s="178">
        <f t="shared" si="69"/>
        <v>677.61</v>
      </c>
      <c r="X420" s="481">
        <f t="shared" si="65"/>
        <v>-133.60125000000005</v>
      </c>
      <c r="Y420" s="179"/>
      <c r="Z420" s="466">
        <f t="shared" si="66"/>
        <v>895.41497774999993</v>
      </c>
      <c r="AA420" s="473">
        <f t="shared" si="67"/>
        <v>-217.80497774999992</v>
      </c>
      <c r="AB420" s="339">
        <f t="shared" si="68"/>
        <v>-0.16469353697942435</v>
      </c>
    </row>
    <row r="421" spans="2:28" ht="20.100000000000001" customHeight="1">
      <c r="B421" s="172">
        <v>1175000</v>
      </c>
      <c r="C421" s="174">
        <v>44154</v>
      </c>
      <c r="D421" s="181" t="s">
        <v>161</v>
      </c>
      <c r="E421" s="173" t="s">
        <v>33</v>
      </c>
      <c r="F421" s="176">
        <v>2704.0374999999999</v>
      </c>
      <c r="G421" s="175">
        <f t="shared" si="70"/>
        <v>10</v>
      </c>
      <c r="H421" s="175">
        <f t="shared" si="63"/>
        <v>2704.0374999999999</v>
      </c>
      <c r="I421" s="177">
        <f>IF(G421=0,0,IF(E421="MXN",1/HLOOKUP(YEAR(C421)+(MONTH(C421)/100),TC!$5:$37,DAY(C421)+2,FALSE),VLOOKUP(E421,Equivalencia!$5:$23,((MAX(Equivalencia!$3:$3)-YEAR(C421))*14)+MONTH(C421)+2,FALSE)))</f>
        <v>1</v>
      </c>
      <c r="J421" s="178">
        <f t="shared" si="71"/>
        <v>2704.0374999999999</v>
      </c>
      <c r="K421" s="462">
        <f>IF(C421=0,0,VLOOKUP(YEAR(C421),INPC!$B$4:$O$29,MONTH(C421)+1))</f>
        <v>108.85599999999999</v>
      </c>
      <c r="L421" s="462">
        <f>IF(S421=0,0,VLOOKUP(YEAR(S421),INPC!$B$4:$O$29,MONTH(S421)+1))</f>
        <v>120.15900000000001</v>
      </c>
      <c r="M421" s="463">
        <f t="shared" si="64"/>
        <v>1.1037999999999999</v>
      </c>
      <c r="N421" s="465">
        <f t="shared" si="72"/>
        <v>2984.7165924999995</v>
      </c>
      <c r="O421" s="179"/>
      <c r="P421" s="180">
        <v>10</v>
      </c>
      <c r="Q421" s="173" t="s">
        <v>583</v>
      </c>
      <c r="R421" s="173" t="s">
        <v>230</v>
      </c>
      <c r="S421" s="174">
        <v>44636</v>
      </c>
      <c r="T421" s="173" t="s">
        <v>33</v>
      </c>
      <c r="U421" s="182">
        <v>2245.89</v>
      </c>
      <c r="V421" s="177">
        <f>IF(U421=0,0,IF(T421="MXN",1/HLOOKUP(YEAR(S421)+(MONTH(S421)/100),TC!$5:$37,DAY(S421)+2,FALSE),VLOOKUP(T421,Equivalencia!$1:$23,((MAX(Equivalencia!$3:$3)-YEAR(S421))*14)+MONTH(S421)+2,FALSE)))</f>
        <v>1</v>
      </c>
      <c r="W421" s="178">
        <f t="shared" si="69"/>
        <v>2245.89</v>
      </c>
      <c r="X421" s="481">
        <f t="shared" si="65"/>
        <v>-458.14750000000004</v>
      </c>
      <c r="Y421" s="179"/>
      <c r="Z421" s="466">
        <f t="shared" si="66"/>
        <v>2984.7165924999995</v>
      </c>
      <c r="AA421" s="473">
        <f t="shared" si="67"/>
        <v>-738.82659249999961</v>
      </c>
      <c r="AB421" s="339">
        <f t="shared" si="68"/>
        <v>-0.16943089731558825</v>
      </c>
    </row>
    <row r="422" spans="2:28" ht="20.100000000000001" customHeight="1">
      <c r="B422" s="172">
        <v>1175000</v>
      </c>
      <c r="C422" s="174">
        <v>44154</v>
      </c>
      <c r="D422" s="181" t="s">
        <v>161</v>
      </c>
      <c r="E422" s="173" t="s">
        <v>33</v>
      </c>
      <c r="F422" s="176">
        <v>2974.4412499999999</v>
      </c>
      <c r="G422" s="175">
        <f t="shared" si="70"/>
        <v>11</v>
      </c>
      <c r="H422" s="175">
        <f t="shared" si="63"/>
        <v>2974.4412499999999</v>
      </c>
      <c r="I422" s="177">
        <f>IF(G422=0,0,IF(E422="MXN",1/HLOOKUP(YEAR(C422)+(MONTH(C422)/100),TC!$5:$37,DAY(C422)+2,FALSE),VLOOKUP(E422,Equivalencia!$5:$23,((MAX(Equivalencia!$3:$3)-YEAR(C422))*14)+MONTH(C422)+2,FALSE)))</f>
        <v>1</v>
      </c>
      <c r="J422" s="178">
        <f t="shared" si="71"/>
        <v>2974.4412499999999</v>
      </c>
      <c r="K422" s="462">
        <f>IF(C422=0,0,VLOOKUP(YEAR(C422),INPC!$B$4:$O$29,MONTH(C422)+1))</f>
        <v>108.85599999999999</v>
      </c>
      <c r="L422" s="462">
        <f>IF(S422=0,0,VLOOKUP(YEAR(S422),INPC!$B$4:$O$29,MONTH(S422)+1))</f>
        <v>120.15900000000001</v>
      </c>
      <c r="M422" s="463">
        <f t="shared" si="64"/>
        <v>1.1037999999999999</v>
      </c>
      <c r="N422" s="465">
        <f t="shared" si="72"/>
        <v>3283.1882517499994</v>
      </c>
      <c r="O422" s="179"/>
      <c r="P422" s="180">
        <v>11</v>
      </c>
      <c r="Q422" s="173" t="s">
        <v>583</v>
      </c>
      <c r="R422" s="173" t="s">
        <v>230</v>
      </c>
      <c r="S422" s="174">
        <v>44636</v>
      </c>
      <c r="T422" s="173" t="s">
        <v>33</v>
      </c>
      <c r="U422" s="182">
        <v>2466.7613793103446</v>
      </c>
      <c r="V422" s="177">
        <f>IF(U422=0,0,IF(T422="MXN",1/HLOOKUP(YEAR(S422)+(MONTH(S422)/100),TC!$5:$37,DAY(S422)+2,FALSE),VLOOKUP(T422,Equivalencia!$1:$23,((MAX(Equivalencia!$3:$3)-YEAR(S422))*14)+MONTH(S422)+2,FALSE)))</f>
        <v>1</v>
      </c>
      <c r="W422" s="178">
        <f t="shared" si="69"/>
        <v>2466.7613793103446</v>
      </c>
      <c r="X422" s="481">
        <f t="shared" si="65"/>
        <v>-507.67987068965522</v>
      </c>
      <c r="Y422" s="179"/>
      <c r="Z422" s="466">
        <f t="shared" si="66"/>
        <v>3283.1882517499994</v>
      </c>
      <c r="AA422" s="473">
        <f t="shared" si="67"/>
        <v>-816.42687243965474</v>
      </c>
      <c r="AB422" s="339">
        <f t="shared" si="68"/>
        <v>-0.17068075245717329</v>
      </c>
    </row>
    <row r="423" spans="2:28" ht="20.100000000000001" customHeight="1">
      <c r="B423" s="172">
        <v>1175000</v>
      </c>
      <c r="C423" s="174">
        <v>44159</v>
      </c>
      <c r="D423" s="181" t="s">
        <v>161</v>
      </c>
      <c r="E423" s="173" t="s">
        <v>33</v>
      </c>
      <c r="F423" s="176">
        <v>1680.11</v>
      </c>
      <c r="G423" s="175">
        <f t="shared" si="70"/>
        <v>6</v>
      </c>
      <c r="H423" s="175">
        <f t="shared" si="63"/>
        <v>1680.11</v>
      </c>
      <c r="I423" s="177">
        <f>IF(G423=0,0,IF(E423="MXN",1/HLOOKUP(YEAR(C423)+(MONTH(C423)/100),TC!$5:$37,DAY(C423)+2,FALSE),VLOOKUP(E423,Equivalencia!$5:$23,((MAX(Equivalencia!$3:$3)-YEAR(C423))*14)+MONTH(C423)+2,FALSE)))</f>
        <v>1</v>
      </c>
      <c r="J423" s="178">
        <f t="shared" si="71"/>
        <v>1680.11</v>
      </c>
      <c r="K423" s="462">
        <f>IF(C423=0,0,VLOOKUP(YEAR(C423),INPC!$B$4:$O$29,MONTH(C423)+1))</f>
        <v>108.85599999999999</v>
      </c>
      <c r="L423" s="462">
        <f>IF(S423=0,0,VLOOKUP(YEAR(S423),INPC!$B$4:$O$29,MONTH(S423)+1))</f>
        <v>120.15900000000001</v>
      </c>
      <c r="M423" s="463">
        <f t="shared" si="64"/>
        <v>1.1037999999999999</v>
      </c>
      <c r="N423" s="465">
        <f t="shared" si="72"/>
        <v>1854.5054179999997</v>
      </c>
      <c r="O423" s="179"/>
      <c r="P423" s="180">
        <v>6</v>
      </c>
      <c r="Q423" s="173" t="s">
        <v>583</v>
      </c>
      <c r="R423" s="173" t="s">
        <v>230</v>
      </c>
      <c r="S423" s="174">
        <v>44636</v>
      </c>
      <c r="T423" s="173" t="s">
        <v>33</v>
      </c>
      <c r="U423" s="182">
        <v>1345.5062068965517</v>
      </c>
      <c r="V423" s="177">
        <f>IF(U423=0,0,IF(T423="MXN",1/HLOOKUP(YEAR(S423)+(MONTH(S423)/100),TC!$5:$37,DAY(S423)+2,FALSE),VLOOKUP(T423,Equivalencia!$1:$23,((MAX(Equivalencia!$3:$3)-YEAR(S423))*14)+MONTH(S423)+2,FALSE)))</f>
        <v>1</v>
      </c>
      <c r="W423" s="178">
        <f t="shared" si="69"/>
        <v>1345.5062068965517</v>
      </c>
      <c r="X423" s="481">
        <f t="shared" si="65"/>
        <v>-334.6037931034482</v>
      </c>
      <c r="Y423" s="179"/>
      <c r="Z423" s="466">
        <f t="shared" si="66"/>
        <v>1854.5054179999997</v>
      </c>
      <c r="AA423" s="473">
        <f t="shared" si="67"/>
        <v>-508.99921110344803</v>
      </c>
      <c r="AB423" s="339">
        <f t="shared" si="68"/>
        <v>-0.19915588449771038</v>
      </c>
    </row>
    <row r="424" spans="2:28" ht="20.100000000000001" customHeight="1">
      <c r="B424" s="172">
        <v>1175000</v>
      </c>
      <c r="C424" s="174">
        <v>44159</v>
      </c>
      <c r="D424" s="181" t="s">
        <v>161</v>
      </c>
      <c r="E424" s="173" t="s">
        <v>33</v>
      </c>
      <c r="F424" s="176">
        <v>3409.3263157894744</v>
      </c>
      <c r="G424" s="175">
        <f t="shared" si="70"/>
        <v>12</v>
      </c>
      <c r="H424" s="175">
        <f t="shared" si="63"/>
        <v>3409.3263157894744</v>
      </c>
      <c r="I424" s="177">
        <f>IF(G424=0,0,IF(E424="MXN",1/HLOOKUP(YEAR(C424)+(MONTH(C424)/100),TC!$5:$37,DAY(C424)+2,FALSE),VLOOKUP(E424,Equivalencia!$5:$23,((MAX(Equivalencia!$3:$3)-YEAR(C424))*14)+MONTH(C424)+2,FALSE)))</f>
        <v>1</v>
      </c>
      <c r="J424" s="178">
        <f t="shared" si="71"/>
        <v>3409.3263157894744</v>
      </c>
      <c r="K424" s="462">
        <f>IF(C424=0,0,VLOOKUP(YEAR(C424),INPC!$B$4:$O$29,MONTH(C424)+1))</f>
        <v>108.85599999999999</v>
      </c>
      <c r="L424" s="462">
        <f>IF(S424=0,0,VLOOKUP(YEAR(S424),INPC!$B$4:$O$29,MONTH(S424)+1))</f>
        <v>120.15900000000001</v>
      </c>
      <c r="M424" s="463">
        <f t="shared" si="64"/>
        <v>1.1037999999999999</v>
      </c>
      <c r="N424" s="465">
        <f t="shared" si="72"/>
        <v>3763.2143873684213</v>
      </c>
      <c r="O424" s="179"/>
      <c r="P424" s="180">
        <v>12</v>
      </c>
      <c r="Q424" s="173" t="s">
        <v>583</v>
      </c>
      <c r="R424" s="173" t="s">
        <v>230</v>
      </c>
      <c r="S424" s="174">
        <v>44636</v>
      </c>
      <c r="T424" s="173" t="s">
        <v>33</v>
      </c>
      <c r="U424" s="182">
        <v>2691.0124137931034</v>
      </c>
      <c r="V424" s="177">
        <f>IF(U424=0,0,IF(T424="MXN",1/HLOOKUP(YEAR(S424)+(MONTH(S424)/100),TC!$5:$37,DAY(S424)+2,FALSE),VLOOKUP(T424,Equivalencia!$1:$23,((MAX(Equivalencia!$3:$3)-YEAR(S424))*14)+MONTH(S424)+2,FALSE)))</f>
        <v>1</v>
      </c>
      <c r="W424" s="178">
        <f t="shared" si="69"/>
        <v>2691.0124137931034</v>
      </c>
      <c r="X424" s="481">
        <f t="shared" si="65"/>
        <v>-718.31390199637099</v>
      </c>
      <c r="Y424" s="179"/>
      <c r="Z424" s="466">
        <f t="shared" si="66"/>
        <v>3763.2143873684213</v>
      </c>
      <c r="AA424" s="473">
        <f t="shared" si="67"/>
        <v>-1072.2019735753179</v>
      </c>
      <c r="AB424" s="339">
        <f t="shared" si="68"/>
        <v>-0.2106908624937639</v>
      </c>
    </row>
    <row r="425" spans="2:28" ht="20.100000000000001" customHeight="1">
      <c r="B425" s="172">
        <v>1175000</v>
      </c>
      <c r="C425" s="174">
        <v>44159</v>
      </c>
      <c r="D425" s="181" t="s">
        <v>161</v>
      </c>
      <c r="E425" s="173" t="s">
        <v>33</v>
      </c>
      <c r="F425" s="176">
        <v>568.22105263157903</v>
      </c>
      <c r="G425" s="175">
        <f t="shared" si="70"/>
        <v>2</v>
      </c>
      <c r="H425" s="175">
        <f t="shared" si="63"/>
        <v>568.22105263157903</v>
      </c>
      <c r="I425" s="177">
        <f>IF(G425=0,0,IF(E425="MXN",1/HLOOKUP(YEAR(C425)+(MONTH(C425)/100),TC!$5:$37,DAY(C425)+2,FALSE),VLOOKUP(E425,Equivalencia!$5:$23,((MAX(Equivalencia!$3:$3)-YEAR(C425))*14)+MONTH(C425)+2,FALSE)))</f>
        <v>1</v>
      </c>
      <c r="J425" s="178">
        <f t="shared" si="71"/>
        <v>568.22105263157903</v>
      </c>
      <c r="K425" s="462">
        <f>IF(C425=0,0,VLOOKUP(YEAR(C425),INPC!$B$4:$O$29,MONTH(C425)+1))</f>
        <v>108.85599999999999</v>
      </c>
      <c r="L425" s="462">
        <f>IF(S425=0,0,VLOOKUP(YEAR(S425),INPC!$B$4:$O$29,MONTH(S425)+1))</f>
        <v>120.15900000000001</v>
      </c>
      <c r="M425" s="463">
        <f t="shared" si="64"/>
        <v>1.1037999999999999</v>
      </c>
      <c r="N425" s="465">
        <f t="shared" si="72"/>
        <v>627.20239789473692</v>
      </c>
      <c r="O425" s="179"/>
      <c r="P425" s="180">
        <v>2</v>
      </c>
      <c r="Q425" s="173" t="s">
        <v>583</v>
      </c>
      <c r="R425" s="173" t="s">
        <v>230</v>
      </c>
      <c r="S425" s="174">
        <v>44637</v>
      </c>
      <c r="T425" s="173" t="s">
        <v>33</v>
      </c>
      <c r="U425" s="182">
        <v>453.77</v>
      </c>
      <c r="V425" s="177">
        <f>IF(U425=0,0,IF(T425="MXN",1/HLOOKUP(YEAR(S425)+(MONTH(S425)/100),TC!$5:$37,DAY(S425)+2,FALSE),VLOOKUP(T425,Equivalencia!$1:$23,((MAX(Equivalencia!$3:$3)-YEAR(S425))*14)+MONTH(S425)+2,FALSE)))</f>
        <v>1</v>
      </c>
      <c r="W425" s="178">
        <f t="shared" si="69"/>
        <v>453.77</v>
      </c>
      <c r="X425" s="481">
        <f t="shared" si="65"/>
        <v>-114.45105263157905</v>
      </c>
      <c r="Y425" s="179"/>
      <c r="Z425" s="466">
        <f t="shared" si="66"/>
        <v>627.20239789473692</v>
      </c>
      <c r="AA425" s="473">
        <f t="shared" si="67"/>
        <v>-173.43239789473694</v>
      </c>
      <c r="AB425" s="339">
        <f t="shared" si="68"/>
        <v>-0.20141994405438968</v>
      </c>
    </row>
    <row r="426" spans="2:28" ht="20.100000000000001" customHeight="1">
      <c r="B426" s="172">
        <v>1175000</v>
      </c>
      <c r="C426" s="174">
        <v>44159</v>
      </c>
      <c r="D426" s="181" t="s">
        <v>161</v>
      </c>
      <c r="E426" s="173" t="s">
        <v>33</v>
      </c>
      <c r="F426" s="176">
        <v>568.22105263157903</v>
      </c>
      <c r="G426" s="175">
        <f t="shared" si="70"/>
        <v>2</v>
      </c>
      <c r="H426" s="175">
        <f t="shared" si="63"/>
        <v>568.22105263157903</v>
      </c>
      <c r="I426" s="177">
        <f>IF(G426=0,0,IF(E426="MXN",1/HLOOKUP(YEAR(C426)+(MONTH(C426)/100),TC!$5:$37,DAY(C426)+2,FALSE),VLOOKUP(E426,Equivalencia!$5:$23,((MAX(Equivalencia!$3:$3)-YEAR(C426))*14)+MONTH(C426)+2,FALSE)))</f>
        <v>1</v>
      </c>
      <c r="J426" s="178">
        <f t="shared" si="71"/>
        <v>568.22105263157903</v>
      </c>
      <c r="K426" s="462">
        <f>IF(C426=0,0,VLOOKUP(YEAR(C426),INPC!$B$4:$O$29,MONTH(C426)+1))</f>
        <v>108.85599999999999</v>
      </c>
      <c r="L426" s="462">
        <f>IF(S426=0,0,VLOOKUP(YEAR(S426),INPC!$B$4:$O$29,MONTH(S426)+1))</f>
        <v>120.15900000000001</v>
      </c>
      <c r="M426" s="463">
        <f t="shared" si="64"/>
        <v>1.1037999999999999</v>
      </c>
      <c r="N426" s="465">
        <f t="shared" si="72"/>
        <v>627.20239789473692</v>
      </c>
      <c r="O426" s="179"/>
      <c r="P426" s="180">
        <v>2</v>
      </c>
      <c r="Q426" s="173" t="s">
        <v>583</v>
      </c>
      <c r="R426" s="173" t="s">
        <v>230</v>
      </c>
      <c r="S426" s="174">
        <v>44637</v>
      </c>
      <c r="T426" s="173" t="s">
        <v>33</v>
      </c>
      <c r="U426" s="182">
        <v>457.08</v>
      </c>
      <c r="V426" s="177">
        <f>IF(U426=0,0,IF(T426="MXN",1/HLOOKUP(YEAR(S426)+(MONTH(S426)/100),TC!$5:$37,DAY(S426)+2,FALSE),VLOOKUP(T426,Equivalencia!$1:$23,((MAX(Equivalencia!$3:$3)-YEAR(S426))*14)+MONTH(S426)+2,FALSE)))</f>
        <v>1</v>
      </c>
      <c r="W426" s="178">
        <f t="shared" si="69"/>
        <v>457.08</v>
      </c>
      <c r="X426" s="481">
        <f t="shared" si="65"/>
        <v>-111.14105263157904</v>
      </c>
      <c r="Y426" s="179"/>
      <c r="Z426" s="466">
        <f t="shared" si="66"/>
        <v>627.20239789473692</v>
      </c>
      <c r="AA426" s="473">
        <f t="shared" si="67"/>
        <v>-170.12239789473693</v>
      </c>
      <c r="AB426" s="339">
        <f t="shared" si="68"/>
        <v>-0.19559474629962403</v>
      </c>
    </row>
    <row r="427" spans="2:28" ht="20.100000000000001" customHeight="1">
      <c r="B427" s="172">
        <v>1175000</v>
      </c>
      <c r="C427" s="174">
        <v>44159</v>
      </c>
      <c r="D427" s="181" t="s">
        <v>161</v>
      </c>
      <c r="E427" s="173" t="s">
        <v>33</v>
      </c>
      <c r="F427" s="176">
        <v>852.3315789473686</v>
      </c>
      <c r="G427" s="175">
        <f t="shared" si="70"/>
        <v>3</v>
      </c>
      <c r="H427" s="175">
        <f t="shared" si="63"/>
        <v>852.3315789473686</v>
      </c>
      <c r="I427" s="177">
        <f>IF(G427=0,0,IF(E427="MXN",1/HLOOKUP(YEAR(C427)+(MONTH(C427)/100),TC!$5:$37,DAY(C427)+2,FALSE),VLOOKUP(E427,Equivalencia!$5:$23,((MAX(Equivalencia!$3:$3)-YEAR(C427))*14)+MONTH(C427)+2,FALSE)))</f>
        <v>1</v>
      </c>
      <c r="J427" s="178">
        <f t="shared" si="71"/>
        <v>852.3315789473686</v>
      </c>
      <c r="K427" s="462">
        <f>IF(C427=0,0,VLOOKUP(YEAR(C427),INPC!$B$4:$O$29,MONTH(C427)+1))</f>
        <v>108.85599999999999</v>
      </c>
      <c r="L427" s="462">
        <f>IF(S427=0,0,VLOOKUP(YEAR(S427),INPC!$B$4:$O$29,MONTH(S427)+1))</f>
        <v>120.15900000000001</v>
      </c>
      <c r="M427" s="463">
        <f t="shared" si="64"/>
        <v>1.1037999999999999</v>
      </c>
      <c r="N427" s="465">
        <f t="shared" si="72"/>
        <v>940.80359684210532</v>
      </c>
      <c r="O427" s="179"/>
      <c r="P427" s="180">
        <v>3</v>
      </c>
      <c r="Q427" s="173" t="s">
        <v>583</v>
      </c>
      <c r="R427" s="173" t="s">
        <v>230</v>
      </c>
      <c r="S427" s="174">
        <v>44637</v>
      </c>
      <c r="T427" s="173" t="s">
        <v>33</v>
      </c>
      <c r="U427" s="182">
        <v>681.55799999999999</v>
      </c>
      <c r="V427" s="177">
        <f>IF(U427=0,0,IF(T427="MXN",1/HLOOKUP(YEAR(S427)+(MONTH(S427)/100),TC!$5:$37,DAY(S427)+2,FALSE),VLOOKUP(T427,Equivalencia!$1:$23,((MAX(Equivalencia!$3:$3)-YEAR(S427))*14)+MONTH(S427)+2,FALSE)))</f>
        <v>1</v>
      </c>
      <c r="W427" s="178">
        <f t="shared" si="69"/>
        <v>681.55799999999999</v>
      </c>
      <c r="X427" s="481">
        <f t="shared" si="65"/>
        <v>-170.77357894736861</v>
      </c>
      <c r="Y427" s="179"/>
      <c r="Z427" s="466">
        <f t="shared" si="66"/>
        <v>940.80359684210532</v>
      </c>
      <c r="AA427" s="473">
        <f t="shared" si="67"/>
        <v>-259.24559684210533</v>
      </c>
      <c r="AB427" s="339">
        <f t="shared" si="68"/>
        <v>-0.20036049721198212</v>
      </c>
    </row>
    <row r="428" spans="2:28" ht="20.100000000000001" customHeight="1">
      <c r="B428" s="172">
        <v>1175000</v>
      </c>
      <c r="C428" s="174">
        <v>44169</v>
      </c>
      <c r="D428" s="181" t="s">
        <v>161</v>
      </c>
      <c r="E428" s="173" t="s">
        <v>33</v>
      </c>
      <c r="F428" s="176">
        <v>5149.9399999999996</v>
      </c>
      <c r="G428" s="175">
        <f t="shared" si="70"/>
        <v>19</v>
      </c>
      <c r="H428" s="175">
        <f t="shared" si="63"/>
        <v>5149.9399999999996</v>
      </c>
      <c r="I428" s="177">
        <f>IF(G428=0,0,IF(E428="MXN",1/HLOOKUP(YEAR(C428)+(MONTH(C428)/100),TC!$5:$37,DAY(C428)+2,FALSE),VLOOKUP(E428,Equivalencia!$5:$23,((MAX(Equivalencia!$3:$3)-YEAR(C428))*14)+MONTH(C428)+2,FALSE)))</f>
        <v>1</v>
      </c>
      <c r="J428" s="178">
        <f t="shared" si="71"/>
        <v>5149.9399999999996</v>
      </c>
      <c r="K428" s="462">
        <f>IF(C428=0,0,VLOOKUP(YEAR(C428),INPC!$B$4:$O$29,MONTH(C428)+1))</f>
        <v>109.271</v>
      </c>
      <c r="L428" s="462">
        <f>IF(S428=0,0,VLOOKUP(YEAR(S428),INPC!$B$4:$O$29,MONTH(S428)+1))</f>
        <v>120.15900000000001</v>
      </c>
      <c r="M428" s="463">
        <f t="shared" si="64"/>
        <v>1.0995999999999999</v>
      </c>
      <c r="N428" s="465">
        <f t="shared" si="72"/>
        <v>5662.8740239999988</v>
      </c>
      <c r="O428" s="179"/>
      <c r="P428" s="180">
        <v>19</v>
      </c>
      <c r="Q428" s="173" t="s">
        <v>583</v>
      </c>
      <c r="R428" s="173" t="s">
        <v>230</v>
      </c>
      <c r="S428" s="174">
        <v>44637</v>
      </c>
      <c r="T428" s="173" t="s">
        <v>33</v>
      </c>
      <c r="U428" s="182">
        <v>4316.5340000000006</v>
      </c>
      <c r="V428" s="177">
        <f>IF(U428=0,0,IF(T428="MXN",1/HLOOKUP(YEAR(S428)+(MONTH(S428)/100),TC!$5:$37,DAY(S428)+2,FALSE),VLOOKUP(T428,Equivalencia!$1:$23,((MAX(Equivalencia!$3:$3)-YEAR(S428))*14)+MONTH(S428)+2,FALSE)))</f>
        <v>1</v>
      </c>
      <c r="W428" s="178">
        <f t="shared" si="69"/>
        <v>4316.5340000000006</v>
      </c>
      <c r="X428" s="481">
        <f t="shared" si="65"/>
        <v>-833.40599999999904</v>
      </c>
      <c r="Y428" s="179"/>
      <c r="Z428" s="466">
        <f t="shared" si="66"/>
        <v>5662.8740239999988</v>
      </c>
      <c r="AA428" s="473">
        <f t="shared" si="67"/>
        <v>-1346.3400239999983</v>
      </c>
      <c r="AB428" s="339">
        <f t="shared" si="68"/>
        <v>-0.16182829314516267</v>
      </c>
    </row>
    <row r="429" spans="2:28" ht="20.100000000000001" customHeight="1">
      <c r="B429" s="172">
        <v>1175000</v>
      </c>
      <c r="C429" s="174">
        <v>44169</v>
      </c>
      <c r="D429" s="181" t="s">
        <v>161</v>
      </c>
      <c r="E429" s="173" t="s">
        <v>33</v>
      </c>
      <c r="F429" s="176">
        <v>1642.62</v>
      </c>
      <c r="G429" s="175">
        <f t="shared" si="70"/>
        <v>6</v>
      </c>
      <c r="H429" s="175">
        <f t="shared" si="63"/>
        <v>1642.62</v>
      </c>
      <c r="I429" s="177">
        <f>IF(G429=0,0,IF(E429="MXN",1/HLOOKUP(YEAR(C429)+(MONTH(C429)/100),TC!$5:$37,DAY(C429)+2,FALSE),VLOOKUP(E429,Equivalencia!$5:$23,((MAX(Equivalencia!$3:$3)-YEAR(C429))*14)+MONTH(C429)+2,FALSE)))</f>
        <v>1</v>
      </c>
      <c r="J429" s="178">
        <f t="shared" si="71"/>
        <v>1642.62</v>
      </c>
      <c r="K429" s="462">
        <f>IF(C429=0,0,VLOOKUP(YEAR(C429),INPC!$B$4:$O$29,MONTH(C429)+1))</f>
        <v>109.271</v>
      </c>
      <c r="L429" s="462">
        <f>IF(S429=0,0,VLOOKUP(YEAR(S429),INPC!$B$4:$O$29,MONTH(S429)+1))</f>
        <v>120.15900000000001</v>
      </c>
      <c r="M429" s="463">
        <f t="shared" si="64"/>
        <v>1.0995999999999999</v>
      </c>
      <c r="N429" s="465">
        <f t="shared" si="72"/>
        <v>1806.2249519999998</v>
      </c>
      <c r="O429" s="179"/>
      <c r="P429" s="180">
        <v>6</v>
      </c>
      <c r="Q429" s="173" t="s">
        <v>583</v>
      </c>
      <c r="R429" s="173" t="s">
        <v>230</v>
      </c>
      <c r="S429" s="174">
        <v>44637</v>
      </c>
      <c r="T429" s="173" t="s">
        <v>33</v>
      </c>
      <c r="U429" s="182">
        <v>1363.116</v>
      </c>
      <c r="V429" s="177">
        <f>IF(U429=0,0,IF(T429="MXN",1/HLOOKUP(YEAR(S429)+(MONTH(S429)/100),TC!$5:$37,DAY(S429)+2,FALSE),VLOOKUP(T429,Equivalencia!$1:$23,((MAX(Equivalencia!$3:$3)-YEAR(S429))*14)+MONTH(S429)+2,FALSE)))</f>
        <v>1</v>
      </c>
      <c r="W429" s="178">
        <f t="shared" si="69"/>
        <v>1363.116</v>
      </c>
      <c r="X429" s="481">
        <f t="shared" si="65"/>
        <v>-279.50399999999991</v>
      </c>
      <c r="Y429" s="179"/>
      <c r="Z429" s="466">
        <f t="shared" si="66"/>
        <v>1806.2249519999998</v>
      </c>
      <c r="AA429" s="473">
        <f t="shared" si="67"/>
        <v>-443.10895199999982</v>
      </c>
      <c r="AB429" s="339">
        <f t="shared" si="68"/>
        <v>-0.17015743142053541</v>
      </c>
    </row>
    <row r="430" spans="2:28" ht="20.100000000000001" customHeight="1">
      <c r="B430" s="172">
        <v>1175000</v>
      </c>
      <c r="C430" s="174">
        <v>44174</v>
      </c>
      <c r="D430" s="181" t="s">
        <v>161</v>
      </c>
      <c r="E430" s="173" t="s">
        <v>33</v>
      </c>
      <c r="F430" s="176">
        <v>539.35333333333335</v>
      </c>
      <c r="G430" s="175">
        <f t="shared" si="70"/>
        <v>2</v>
      </c>
      <c r="H430" s="175">
        <f t="shared" si="63"/>
        <v>539.35333333333335</v>
      </c>
      <c r="I430" s="177">
        <f>IF(G430=0,0,IF(E430="MXN",1/HLOOKUP(YEAR(C430)+(MONTH(C430)/100),TC!$5:$37,DAY(C430)+2,FALSE),VLOOKUP(E430,Equivalencia!$5:$23,((MAX(Equivalencia!$3:$3)-YEAR(C430))*14)+MONTH(C430)+2,FALSE)))</f>
        <v>1</v>
      </c>
      <c r="J430" s="178">
        <f t="shared" si="71"/>
        <v>539.35333333333335</v>
      </c>
      <c r="K430" s="462">
        <f>IF(C430=0,0,VLOOKUP(YEAR(C430),INPC!$B$4:$O$29,MONTH(C430)+1))</f>
        <v>109.271</v>
      </c>
      <c r="L430" s="462">
        <f>IF(S430=0,0,VLOOKUP(YEAR(S430),INPC!$B$4:$O$29,MONTH(S430)+1))</f>
        <v>120.15900000000001</v>
      </c>
      <c r="M430" s="463">
        <f t="shared" si="64"/>
        <v>1.0995999999999999</v>
      </c>
      <c r="N430" s="465">
        <f t="shared" si="72"/>
        <v>593.07292533333327</v>
      </c>
      <c r="O430" s="179"/>
      <c r="P430" s="180">
        <v>2</v>
      </c>
      <c r="Q430" s="173" t="s">
        <v>583</v>
      </c>
      <c r="R430" s="173" t="s">
        <v>230</v>
      </c>
      <c r="S430" s="174">
        <v>44637</v>
      </c>
      <c r="T430" s="173" t="s">
        <v>33</v>
      </c>
      <c r="U430" s="182">
        <v>454.37200000000001</v>
      </c>
      <c r="V430" s="177">
        <f>IF(U430=0,0,IF(T430="MXN",1/HLOOKUP(YEAR(S430)+(MONTH(S430)/100),TC!$5:$37,DAY(S430)+2,FALSE),VLOOKUP(T430,Equivalencia!$1:$23,((MAX(Equivalencia!$3:$3)-YEAR(S430))*14)+MONTH(S430)+2,FALSE)))</f>
        <v>1</v>
      </c>
      <c r="W430" s="178">
        <f t="shared" si="69"/>
        <v>454.37200000000001</v>
      </c>
      <c r="X430" s="481">
        <f t="shared" si="65"/>
        <v>-84.981333333333339</v>
      </c>
      <c r="Y430" s="179"/>
      <c r="Z430" s="466">
        <f t="shared" si="66"/>
        <v>593.07292533333327</v>
      </c>
      <c r="AA430" s="473">
        <f t="shared" si="67"/>
        <v>-138.70092533333326</v>
      </c>
      <c r="AB430" s="339">
        <f t="shared" si="68"/>
        <v>-0.15756152429452552</v>
      </c>
    </row>
    <row r="431" spans="2:28" ht="20.100000000000001" customHeight="1">
      <c r="B431" s="172">
        <v>1175000</v>
      </c>
      <c r="C431" s="174">
        <v>44174</v>
      </c>
      <c r="D431" s="181" t="s">
        <v>161</v>
      </c>
      <c r="E431" s="173" t="s">
        <v>33</v>
      </c>
      <c r="F431" s="176">
        <v>269.67666666666668</v>
      </c>
      <c r="G431" s="175">
        <f t="shared" si="70"/>
        <v>1</v>
      </c>
      <c r="H431" s="175">
        <f t="shared" si="63"/>
        <v>269.67666666666668</v>
      </c>
      <c r="I431" s="177">
        <f>IF(G431=0,0,IF(E431="MXN",1/HLOOKUP(YEAR(C431)+(MONTH(C431)/100),TC!$5:$37,DAY(C431)+2,FALSE),VLOOKUP(E431,Equivalencia!$5:$23,((MAX(Equivalencia!$3:$3)-YEAR(C431))*14)+MONTH(C431)+2,FALSE)))</f>
        <v>1</v>
      </c>
      <c r="J431" s="178">
        <f t="shared" si="71"/>
        <v>269.67666666666668</v>
      </c>
      <c r="K431" s="462">
        <f>IF(C431=0,0,VLOOKUP(YEAR(C431),INPC!$B$4:$O$29,MONTH(C431)+1))</f>
        <v>109.271</v>
      </c>
      <c r="L431" s="462">
        <f>IF(S431=0,0,VLOOKUP(YEAR(S431),INPC!$B$4:$O$29,MONTH(S431)+1))</f>
        <v>120.15900000000001</v>
      </c>
      <c r="M431" s="463">
        <f t="shared" si="64"/>
        <v>1.0995999999999999</v>
      </c>
      <c r="N431" s="465">
        <f t="shared" si="72"/>
        <v>296.53646266666664</v>
      </c>
      <c r="O431" s="179"/>
      <c r="P431" s="180">
        <v>1</v>
      </c>
      <c r="Q431" s="173" t="s">
        <v>583</v>
      </c>
      <c r="R431" s="173" t="s">
        <v>230</v>
      </c>
      <c r="S431" s="174">
        <v>44638</v>
      </c>
      <c r="T431" s="173" t="s">
        <v>33</v>
      </c>
      <c r="U431" s="182">
        <v>228.095</v>
      </c>
      <c r="V431" s="177">
        <f>IF(U431=0,0,IF(T431="MXN",1/HLOOKUP(YEAR(S431)+(MONTH(S431)/100),TC!$5:$37,DAY(S431)+2,FALSE),VLOOKUP(T431,Equivalencia!$1:$23,((MAX(Equivalencia!$3:$3)-YEAR(S431))*14)+MONTH(S431)+2,FALSE)))</f>
        <v>1</v>
      </c>
      <c r="W431" s="178">
        <f t="shared" si="69"/>
        <v>228.095</v>
      </c>
      <c r="X431" s="481">
        <f t="shared" si="65"/>
        <v>-41.581666666666678</v>
      </c>
      <c r="Y431" s="179"/>
      <c r="Z431" s="466">
        <f t="shared" si="66"/>
        <v>296.53646266666664</v>
      </c>
      <c r="AA431" s="473">
        <f t="shared" si="67"/>
        <v>-68.441462666666638</v>
      </c>
      <c r="AB431" s="339">
        <f t="shared" si="68"/>
        <v>-0.15419082110675753</v>
      </c>
    </row>
    <row r="432" spans="2:28" ht="20.100000000000001" customHeight="1">
      <c r="B432" s="172">
        <v>1175000</v>
      </c>
      <c r="C432" s="174">
        <v>44174</v>
      </c>
      <c r="D432" s="181" t="s">
        <v>161</v>
      </c>
      <c r="E432" s="173" t="s">
        <v>33</v>
      </c>
      <c r="F432" s="176">
        <v>269.17449999999997</v>
      </c>
      <c r="G432" s="175">
        <f t="shared" si="70"/>
        <v>1</v>
      </c>
      <c r="H432" s="175">
        <f t="shared" si="63"/>
        <v>269.17449999999997</v>
      </c>
      <c r="I432" s="177">
        <f>IF(G432=0,0,IF(E432="MXN",1/HLOOKUP(YEAR(C432)+(MONTH(C432)/100),TC!$5:$37,DAY(C432)+2,FALSE),VLOOKUP(E432,Equivalencia!$5:$23,((MAX(Equivalencia!$3:$3)-YEAR(C432))*14)+MONTH(C432)+2,FALSE)))</f>
        <v>1</v>
      </c>
      <c r="J432" s="178">
        <f t="shared" si="71"/>
        <v>269.17449999999997</v>
      </c>
      <c r="K432" s="462">
        <f>IF(C432=0,0,VLOOKUP(YEAR(C432),INPC!$B$4:$O$29,MONTH(C432)+1))</f>
        <v>109.271</v>
      </c>
      <c r="L432" s="462">
        <f>IF(S432=0,0,VLOOKUP(YEAR(S432),INPC!$B$4:$O$29,MONTH(S432)+1))</f>
        <v>120.15900000000001</v>
      </c>
      <c r="M432" s="463">
        <f t="shared" si="64"/>
        <v>1.0995999999999999</v>
      </c>
      <c r="N432" s="465">
        <f t="shared" si="72"/>
        <v>295.98428019999994</v>
      </c>
      <c r="O432" s="179"/>
      <c r="P432" s="180">
        <v>1</v>
      </c>
      <c r="Q432" s="173" t="s">
        <v>583</v>
      </c>
      <c r="R432" s="173" t="s">
        <v>230</v>
      </c>
      <c r="S432" s="174">
        <v>44638</v>
      </c>
      <c r="T432" s="173" t="s">
        <v>33</v>
      </c>
      <c r="U432" s="182">
        <v>228.095</v>
      </c>
      <c r="V432" s="177">
        <f>IF(U432=0,0,IF(T432="MXN",1/HLOOKUP(YEAR(S432)+(MONTH(S432)/100),TC!$5:$37,DAY(S432)+2,FALSE),VLOOKUP(T432,Equivalencia!$1:$23,((MAX(Equivalencia!$3:$3)-YEAR(S432))*14)+MONTH(S432)+2,FALSE)))</f>
        <v>1</v>
      </c>
      <c r="W432" s="178">
        <f t="shared" si="69"/>
        <v>228.095</v>
      </c>
      <c r="X432" s="481">
        <f t="shared" si="65"/>
        <v>-41.079499999999967</v>
      </c>
      <c r="Y432" s="179"/>
      <c r="Z432" s="466">
        <f t="shared" si="66"/>
        <v>295.98428019999994</v>
      </c>
      <c r="AA432" s="473">
        <f t="shared" si="67"/>
        <v>-67.889280199999945</v>
      </c>
      <c r="AB432" s="339">
        <f t="shared" si="68"/>
        <v>-0.15261289609528383</v>
      </c>
    </row>
    <row r="433" spans="2:28" ht="20.100000000000001" customHeight="1">
      <c r="B433" s="172">
        <v>1175000</v>
      </c>
      <c r="C433" s="174">
        <v>44174</v>
      </c>
      <c r="D433" s="181" t="s">
        <v>161</v>
      </c>
      <c r="E433" s="173" t="s">
        <v>33</v>
      </c>
      <c r="F433" s="176">
        <v>807.5234999999999</v>
      </c>
      <c r="G433" s="175">
        <f t="shared" si="70"/>
        <v>3</v>
      </c>
      <c r="H433" s="175">
        <f t="shared" si="63"/>
        <v>807.5234999999999</v>
      </c>
      <c r="I433" s="177">
        <f>IF(G433=0,0,IF(E433="MXN",1/HLOOKUP(YEAR(C433)+(MONTH(C433)/100),TC!$5:$37,DAY(C433)+2,FALSE),VLOOKUP(E433,Equivalencia!$5:$23,((MAX(Equivalencia!$3:$3)-YEAR(C433))*14)+MONTH(C433)+2,FALSE)))</f>
        <v>1</v>
      </c>
      <c r="J433" s="178">
        <f t="shared" si="71"/>
        <v>807.5234999999999</v>
      </c>
      <c r="K433" s="462">
        <f>IF(C433=0,0,VLOOKUP(YEAR(C433),INPC!$B$4:$O$29,MONTH(C433)+1))</f>
        <v>109.271</v>
      </c>
      <c r="L433" s="462">
        <f>IF(S433=0,0,VLOOKUP(YEAR(S433),INPC!$B$4:$O$29,MONTH(S433)+1))</f>
        <v>120.15900000000001</v>
      </c>
      <c r="M433" s="463">
        <f t="shared" si="64"/>
        <v>1.0995999999999999</v>
      </c>
      <c r="N433" s="465">
        <f t="shared" si="72"/>
        <v>887.95284059999983</v>
      </c>
      <c r="O433" s="179"/>
      <c r="P433" s="180">
        <v>3</v>
      </c>
      <c r="Q433" s="173" t="s">
        <v>583</v>
      </c>
      <c r="R433" s="173" t="s">
        <v>230</v>
      </c>
      <c r="S433" s="174">
        <v>44643</v>
      </c>
      <c r="T433" s="173" t="s">
        <v>33</v>
      </c>
      <c r="U433" s="182">
        <v>706.38</v>
      </c>
      <c r="V433" s="177">
        <f>IF(U433=0,0,IF(T433="MXN",1/HLOOKUP(YEAR(S433)+(MONTH(S433)/100),TC!$5:$37,DAY(S433)+2,FALSE),VLOOKUP(T433,Equivalencia!$1:$23,((MAX(Equivalencia!$3:$3)-YEAR(S433))*14)+MONTH(S433)+2,FALSE)))</f>
        <v>1</v>
      </c>
      <c r="W433" s="178">
        <f t="shared" si="69"/>
        <v>706.38</v>
      </c>
      <c r="X433" s="481">
        <f t="shared" si="65"/>
        <v>-101.1434999999999</v>
      </c>
      <c r="Y433" s="179"/>
      <c r="Z433" s="466">
        <f t="shared" si="66"/>
        <v>887.95284059999983</v>
      </c>
      <c r="AA433" s="473">
        <f t="shared" si="67"/>
        <v>-181.57284059999984</v>
      </c>
      <c r="AB433" s="339">
        <f t="shared" si="68"/>
        <v>-0.12525146327010905</v>
      </c>
    </row>
    <row r="434" spans="2:28" ht="20.100000000000001" customHeight="1">
      <c r="B434" s="172">
        <v>1175000</v>
      </c>
      <c r="C434" s="174">
        <v>44174</v>
      </c>
      <c r="D434" s="181" t="s">
        <v>161</v>
      </c>
      <c r="E434" s="173" t="s">
        <v>33</v>
      </c>
      <c r="F434" s="176">
        <v>4306.7919999999995</v>
      </c>
      <c r="G434" s="175">
        <f t="shared" si="70"/>
        <v>16</v>
      </c>
      <c r="H434" s="175">
        <f t="shared" si="63"/>
        <v>4306.7919999999995</v>
      </c>
      <c r="I434" s="177">
        <f>IF(G434=0,0,IF(E434="MXN",1/HLOOKUP(YEAR(C434)+(MONTH(C434)/100),TC!$5:$37,DAY(C434)+2,FALSE),VLOOKUP(E434,Equivalencia!$5:$23,((MAX(Equivalencia!$3:$3)-YEAR(C434))*14)+MONTH(C434)+2,FALSE)))</f>
        <v>1</v>
      </c>
      <c r="J434" s="178">
        <f t="shared" si="71"/>
        <v>4306.7919999999995</v>
      </c>
      <c r="K434" s="462">
        <f>IF(C434=0,0,VLOOKUP(YEAR(C434),INPC!$B$4:$O$29,MONTH(C434)+1))</f>
        <v>109.271</v>
      </c>
      <c r="L434" s="462">
        <f>IF(S434=0,0,VLOOKUP(YEAR(S434),INPC!$B$4:$O$29,MONTH(S434)+1))</f>
        <v>120.15900000000001</v>
      </c>
      <c r="M434" s="463">
        <f t="shared" si="64"/>
        <v>1.0995999999999999</v>
      </c>
      <c r="N434" s="465">
        <f t="shared" si="72"/>
        <v>4735.7484831999991</v>
      </c>
      <c r="O434" s="179"/>
      <c r="P434" s="180">
        <v>16</v>
      </c>
      <c r="Q434" s="173" t="s">
        <v>583</v>
      </c>
      <c r="R434" s="173" t="s">
        <v>230</v>
      </c>
      <c r="S434" s="174">
        <v>44643</v>
      </c>
      <c r="T434" s="173" t="s">
        <v>33</v>
      </c>
      <c r="U434" s="182">
        <v>3770.9309090909087</v>
      </c>
      <c r="V434" s="177">
        <f>IF(U434=0,0,IF(T434="MXN",1/HLOOKUP(YEAR(S434)+(MONTH(S434)/100),TC!$5:$37,DAY(S434)+2,FALSE),VLOOKUP(T434,Equivalencia!$1:$23,((MAX(Equivalencia!$3:$3)-YEAR(S434))*14)+MONTH(S434)+2,FALSE)))</f>
        <v>1</v>
      </c>
      <c r="W434" s="178">
        <f t="shared" si="69"/>
        <v>3770.9309090909087</v>
      </c>
      <c r="X434" s="481">
        <f t="shared" si="65"/>
        <v>-535.86109090909076</v>
      </c>
      <c r="Y434" s="179"/>
      <c r="Z434" s="466">
        <f t="shared" si="66"/>
        <v>4735.7484831999991</v>
      </c>
      <c r="AA434" s="473">
        <f t="shared" si="67"/>
        <v>-964.8175741090904</v>
      </c>
      <c r="AB434" s="339">
        <f t="shared" si="68"/>
        <v>-0.1244223289420735</v>
      </c>
    </row>
    <row r="435" spans="2:28" ht="20.100000000000001" customHeight="1">
      <c r="B435" s="172">
        <v>1175000</v>
      </c>
      <c r="C435" s="174">
        <v>44174</v>
      </c>
      <c r="D435" s="181" t="s">
        <v>161</v>
      </c>
      <c r="E435" s="173" t="s">
        <v>33</v>
      </c>
      <c r="F435" s="176">
        <v>538.69000000000005</v>
      </c>
      <c r="G435" s="175">
        <f t="shared" si="70"/>
        <v>2</v>
      </c>
      <c r="H435" s="175">
        <f t="shared" si="63"/>
        <v>538.69000000000005</v>
      </c>
      <c r="I435" s="177">
        <f>IF(G435=0,0,IF(E435="MXN",1/HLOOKUP(YEAR(C435)+(MONTH(C435)/100),TC!$5:$37,DAY(C435)+2,FALSE),VLOOKUP(E435,Equivalencia!$5:$23,((MAX(Equivalencia!$3:$3)-YEAR(C435))*14)+MONTH(C435)+2,FALSE)))</f>
        <v>1</v>
      </c>
      <c r="J435" s="178">
        <f t="shared" si="71"/>
        <v>538.69000000000005</v>
      </c>
      <c r="K435" s="462">
        <f>IF(C435=0,0,VLOOKUP(YEAR(C435),INPC!$B$4:$O$29,MONTH(C435)+1))</f>
        <v>109.271</v>
      </c>
      <c r="L435" s="462">
        <f>IF(S435=0,0,VLOOKUP(YEAR(S435),INPC!$B$4:$O$29,MONTH(S435)+1))</f>
        <v>120.15900000000001</v>
      </c>
      <c r="M435" s="463">
        <f t="shared" si="64"/>
        <v>1.0995999999999999</v>
      </c>
      <c r="N435" s="465">
        <f t="shared" si="72"/>
        <v>592.343524</v>
      </c>
      <c r="O435" s="179"/>
      <c r="P435" s="180">
        <v>2</v>
      </c>
      <c r="Q435" s="173" t="s">
        <v>583</v>
      </c>
      <c r="R435" s="173" t="s">
        <v>230</v>
      </c>
      <c r="S435" s="174">
        <v>44643</v>
      </c>
      <c r="T435" s="173" t="s">
        <v>33</v>
      </c>
      <c r="U435" s="182">
        <v>471.36636363636359</v>
      </c>
      <c r="V435" s="177">
        <f>IF(U435=0,0,IF(T435="MXN",1/HLOOKUP(YEAR(S435)+(MONTH(S435)/100),TC!$5:$37,DAY(S435)+2,FALSE),VLOOKUP(T435,Equivalencia!$1:$23,((MAX(Equivalencia!$3:$3)-YEAR(S435))*14)+MONTH(S435)+2,FALSE)))</f>
        <v>1</v>
      </c>
      <c r="W435" s="178">
        <f t="shared" si="69"/>
        <v>471.36636363636359</v>
      </c>
      <c r="X435" s="481">
        <f t="shared" si="65"/>
        <v>-67.323636363636467</v>
      </c>
      <c r="Y435" s="179"/>
      <c r="Z435" s="466">
        <f t="shared" si="66"/>
        <v>592.343524</v>
      </c>
      <c r="AA435" s="473">
        <f t="shared" si="67"/>
        <v>-120.97716036363641</v>
      </c>
      <c r="AB435" s="339">
        <f t="shared" si="68"/>
        <v>-0.12497658461014027</v>
      </c>
    </row>
    <row r="436" spans="2:28" ht="20.100000000000001" customHeight="1">
      <c r="B436" s="172">
        <v>1175000</v>
      </c>
      <c r="C436" s="174">
        <v>44203</v>
      </c>
      <c r="D436" s="181" t="s">
        <v>161</v>
      </c>
      <c r="E436" s="173" t="s">
        <v>33</v>
      </c>
      <c r="F436" s="176">
        <v>1148.75</v>
      </c>
      <c r="G436" s="175">
        <f t="shared" si="70"/>
        <v>4</v>
      </c>
      <c r="H436" s="175">
        <f t="shared" si="63"/>
        <v>1148.75</v>
      </c>
      <c r="I436" s="177">
        <f>IF(G436=0,0,IF(E436="MXN",1/HLOOKUP(YEAR(C436)+(MONTH(C436)/100),TC!$5:$37,DAY(C436)+2,FALSE),VLOOKUP(E436,Equivalencia!$5:$23,((MAX(Equivalencia!$3:$3)-YEAR(C436))*14)+MONTH(C436)+2,FALSE)))</f>
        <v>1</v>
      </c>
      <c r="J436" s="178">
        <f t="shared" si="71"/>
        <v>1148.75</v>
      </c>
      <c r="K436" s="462">
        <f>IF(C436=0,0,VLOOKUP(YEAR(C436),INPC!$B$4:$O$29,MONTH(C436)+1))</f>
        <v>110.21</v>
      </c>
      <c r="L436" s="462">
        <f>IF(S436=0,0,VLOOKUP(YEAR(S436),INPC!$B$4:$O$29,MONTH(S436)+1))</f>
        <v>120.15900000000001</v>
      </c>
      <c r="M436" s="463">
        <f t="shared" si="64"/>
        <v>1.0902000000000001</v>
      </c>
      <c r="N436" s="465">
        <f t="shared" si="72"/>
        <v>1252.36725</v>
      </c>
      <c r="O436" s="179"/>
      <c r="P436" s="180">
        <v>4</v>
      </c>
      <c r="Q436" s="173" t="s">
        <v>583</v>
      </c>
      <c r="R436" s="173" t="s">
        <v>230</v>
      </c>
      <c r="S436" s="174">
        <v>44643</v>
      </c>
      <c r="T436" s="173" t="s">
        <v>33</v>
      </c>
      <c r="U436" s="182">
        <v>942.73272727272717</v>
      </c>
      <c r="V436" s="177">
        <f>IF(U436=0,0,IF(T436="MXN",1/HLOOKUP(YEAR(S436)+(MONTH(S436)/100),TC!$5:$37,DAY(S436)+2,FALSE),VLOOKUP(T436,Equivalencia!$1:$23,((MAX(Equivalencia!$3:$3)-YEAR(S436))*14)+MONTH(S436)+2,FALSE)))</f>
        <v>1</v>
      </c>
      <c r="W436" s="178">
        <f t="shared" si="69"/>
        <v>942.73272727272717</v>
      </c>
      <c r="X436" s="481">
        <f t="shared" si="65"/>
        <v>-206.01727272727283</v>
      </c>
      <c r="Y436" s="179"/>
      <c r="Z436" s="466">
        <f t="shared" si="66"/>
        <v>1252.36725</v>
      </c>
      <c r="AA436" s="473">
        <f t="shared" si="67"/>
        <v>-309.63452272727284</v>
      </c>
      <c r="AB436" s="339">
        <f t="shared" si="68"/>
        <v>-0.17934038975170652</v>
      </c>
    </row>
    <row r="437" spans="2:28" ht="20.100000000000001" customHeight="1">
      <c r="B437" s="172">
        <v>1175000</v>
      </c>
      <c r="C437" s="174">
        <v>44203</v>
      </c>
      <c r="D437" s="181" t="s">
        <v>161</v>
      </c>
      <c r="E437" s="173" t="s">
        <v>33</v>
      </c>
      <c r="F437" s="176">
        <v>574.375</v>
      </c>
      <c r="G437" s="175">
        <f t="shared" si="70"/>
        <v>2</v>
      </c>
      <c r="H437" s="175">
        <f t="shared" si="63"/>
        <v>574.375</v>
      </c>
      <c r="I437" s="177">
        <f>IF(G437=0,0,IF(E437="MXN",1/HLOOKUP(YEAR(C437)+(MONTH(C437)/100),TC!$5:$37,DAY(C437)+2,FALSE),VLOOKUP(E437,Equivalencia!$5:$23,((MAX(Equivalencia!$3:$3)-YEAR(C437))*14)+MONTH(C437)+2,FALSE)))</f>
        <v>1</v>
      </c>
      <c r="J437" s="178">
        <f t="shared" si="71"/>
        <v>574.375</v>
      </c>
      <c r="K437" s="462">
        <f>IF(C437=0,0,VLOOKUP(YEAR(C437),INPC!$B$4:$O$29,MONTH(C437)+1))</f>
        <v>110.21</v>
      </c>
      <c r="L437" s="462">
        <f>IF(S437=0,0,VLOOKUP(YEAR(S437),INPC!$B$4:$O$29,MONTH(S437)+1))</f>
        <v>120.15900000000001</v>
      </c>
      <c r="M437" s="463">
        <f t="shared" si="64"/>
        <v>1.0902000000000001</v>
      </c>
      <c r="N437" s="465">
        <f t="shared" si="72"/>
        <v>626.18362500000001</v>
      </c>
      <c r="O437" s="179"/>
      <c r="P437" s="180">
        <v>2</v>
      </c>
      <c r="Q437" s="173" t="s">
        <v>583</v>
      </c>
      <c r="R437" s="173" t="s">
        <v>230</v>
      </c>
      <c r="S437" s="174">
        <v>44643</v>
      </c>
      <c r="T437" s="173" t="s">
        <v>33</v>
      </c>
      <c r="U437" s="182">
        <v>477.08</v>
      </c>
      <c r="V437" s="177">
        <f>IF(U437=0,0,IF(T437="MXN",1/HLOOKUP(YEAR(S437)+(MONTH(S437)/100),TC!$5:$37,DAY(S437)+2,FALSE),VLOOKUP(T437,Equivalencia!$1:$23,((MAX(Equivalencia!$3:$3)-YEAR(S437))*14)+MONTH(S437)+2,FALSE)))</f>
        <v>1</v>
      </c>
      <c r="W437" s="178">
        <f t="shared" si="69"/>
        <v>477.08</v>
      </c>
      <c r="X437" s="481">
        <f t="shared" si="65"/>
        <v>-97.295000000000016</v>
      </c>
      <c r="Y437" s="179"/>
      <c r="Z437" s="466">
        <f t="shared" si="66"/>
        <v>626.18362500000001</v>
      </c>
      <c r="AA437" s="473">
        <f t="shared" si="67"/>
        <v>-149.10362500000002</v>
      </c>
      <c r="AB437" s="339">
        <f t="shared" si="68"/>
        <v>-0.16939281828073993</v>
      </c>
    </row>
    <row r="438" spans="2:28" ht="20.100000000000001" customHeight="1">
      <c r="B438" s="172">
        <v>1175000</v>
      </c>
      <c r="C438" s="174">
        <v>44203</v>
      </c>
      <c r="D438" s="181" t="s">
        <v>161</v>
      </c>
      <c r="E438" s="173" t="s">
        <v>33</v>
      </c>
      <c r="F438" s="176">
        <v>861.5625</v>
      </c>
      <c r="G438" s="175">
        <f t="shared" si="70"/>
        <v>3</v>
      </c>
      <c r="H438" s="175">
        <f t="shared" si="63"/>
        <v>861.5625</v>
      </c>
      <c r="I438" s="177">
        <f>IF(G438=0,0,IF(E438="MXN",1/HLOOKUP(YEAR(C438)+(MONTH(C438)/100),TC!$5:$37,DAY(C438)+2,FALSE),VLOOKUP(E438,Equivalencia!$5:$23,((MAX(Equivalencia!$3:$3)-YEAR(C438))*14)+MONTH(C438)+2,FALSE)))</f>
        <v>1</v>
      </c>
      <c r="J438" s="178">
        <f t="shared" si="71"/>
        <v>861.5625</v>
      </c>
      <c r="K438" s="462">
        <f>IF(C438=0,0,VLOOKUP(YEAR(C438),INPC!$B$4:$O$29,MONTH(C438)+1))</f>
        <v>110.21</v>
      </c>
      <c r="L438" s="462">
        <f>IF(S438=0,0,VLOOKUP(YEAR(S438),INPC!$B$4:$O$29,MONTH(S438)+1))</f>
        <v>120.15900000000001</v>
      </c>
      <c r="M438" s="463">
        <f t="shared" si="64"/>
        <v>1.0902000000000001</v>
      </c>
      <c r="N438" s="465">
        <f t="shared" si="72"/>
        <v>939.27543750000007</v>
      </c>
      <c r="O438" s="179"/>
      <c r="P438" s="180">
        <v>3</v>
      </c>
      <c r="Q438" s="173" t="s">
        <v>583</v>
      </c>
      <c r="R438" s="173" t="s">
        <v>230</v>
      </c>
      <c r="S438" s="174">
        <v>44643</v>
      </c>
      <c r="T438" s="173" t="s">
        <v>33</v>
      </c>
      <c r="U438" s="182">
        <v>710.39</v>
      </c>
      <c r="V438" s="177">
        <f>IF(U438=0,0,IF(T438="MXN",1/HLOOKUP(YEAR(S438)+(MONTH(S438)/100),TC!$5:$37,DAY(S438)+2,FALSE),VLOOKUP(T438,Equivalencia!$1:$23,((MAX(Equivalencia!$3:$3)-YEAR(S438))*14)+MONTH(S438)+2,FALSE)))</f>
        <v>1</v>
      </c>
      <c r="W438" s="178">
        <f t="shared" si="69"/>
        <v>710.39</v>
      </c>
      <c r="X438" s="481">
        <f t="shared" si="65"/>
        <v>-151.17250000000001</v>
      </c>
      <c r="Y438" s="179"/>
      <c r="Z438" s="466">
        <f t="shared" si="66"/>
        <v>939.27543750000007</v>
      </c>
      <c r="AA438" s="473">
        <f t="shared" si="67"/>
        <v>-228.88543750000008</v>
      </c>
      <c r="AB438" s="339">
        <f t="shared" si="68"/>
        <v>-0.17546318462096488</v>
      </c>
    </row>
    <row r="439" spans="2:28" ht="20.100000000000001" customHeight="1">
      <c r="B439" s="172">
        <v>1175000</v>
      </c>
      <c r="C439" s="174">
        <v>44203</v>
      </c>
      <c r="D439" s="181" t="s">
        <v>161</v>
      </c>
      <c r="E439" s="173" t="s">
        <v>33</v>
      </c>
      <c r="F439" s="176">
        <v>574.375</v>
      </c>
      <c r="G439" s="175">
        <f t="shared" si="70"/>
        <v>2</v>
      </c>
      <c r="H439" s="175">
        <f t="shared" si="63"/>
        <v>574.375</v>
      </c>
      <c r="I439" s="177">
        <f>IF(G439=0,0,IF(E439="MXN",1/HLOOKUP(YEAR(C439)+(MONTH(C439)/100),TC!$5:$37,DAY(C439)+2,FALSE),VLOOKUP(E439,Equivalencia!$5:$23,((MAX(Equivalencia!$3:$3)-YEAR(C439))*14)+MONTH(C439)+2,FALSE)))</f>
        <v>1</v>
      </c>
      <c r="J439" s="178">
        <f t="shared" si="71"/>
        <v>574.375</v>
      </c>
      <c r="K439" s="462">
        <f>IF(C439=0,0,VLOOKUP(YEAR(C439),INPC!$B$4:$O$29,MONTH(C439)+1))</f>
        <v>110.21</v>
      </c>
      <c r="L439" s="462">
        <f>IF(S439=0,0,VLOOKUP(YEAR(S439),INPC!$B$4:$O$29,MONTH(S439)+1))</f>
        <v>120.15900000000001</v>
      </c>
      <c r="M439" s="463">
        <f t="shared" si="64"/>
        <v>1.0902000000000001</v>
      </c>
      <c r="N439" s="465">
        <f t="shared" si="72"/>
        <v>626.18362500000001</v>
      </c>
      <c r="O439" s="179"/>
      <c r="P439" s="180">
        <v>2</v>
      </c>
      <c r="Q439" s="173" t="s">
        <v>583</v>
      </c>
      <c r="R439" s="173" t="s">
        <v>230</v>
      </c>
      <c r="S439" s="174">
        <v>44643</v>
      </c>
      <c r="T439" s="173" t="s">
        <v>33</v>
      </c>
      <c r="U439" s="182">
        <v>472.28</v>
      </c>
      <c r="V439" s="177">
        <f>IF(U439=0,0,IF(T439="MXN",1/HLOOKUP(YEAR(S439)+(MONTH(S439)/100),TC!$5:$37,DAY(S439)+2,FALSE),VLOOKUP(T439,Equivalencia!$1:$23,((MAX(Equivalencia!$3:$3)-YEAR(S439))*14)+MONTH(S439)+2,FALSE)))</f>
        <v>1</v>
      </c>
      <c r="W439" s="178">
        <f t="shared" si="69"/>
        <v>472.28</v>
      </c>
      <c r="X439" s="481">
        <f t="shared" si="65"/>
        <v>-102.09500000000003</v>
      </c>
      <c r="Y439" s="179"/>
      <c r="Z439" s="466">
        <f t="shared" si="66"/>
        <v>626.18362500000001</v>
      </c>
      <c r="AA439" s="473">
        <f t="shared" si="67"/>
        <v>-153.90362500000003</v>
      </c>
      <c r="AB439" s="339">
        <f t="shared" si="68"/>
        <v>-0.17774972796517963</v>
      </c>
    </row>
    <row r="440" spans="2:28" ht="20.100000000000001" customHeight="1">
      <c r="B440" s="172">
        <v>1175000</v>
      </c>
      <c r="C440" s="174">
        <v>44203</v>
      </c>
      <c r="D440" s="181" t="s">
        <v>161</v>
      </c>
      <c r="E440" s="173" t="s">
        <v>33</v>
      </c>
      <c r="F440" s="176">
        <v>287.1875</v>
      </c>
      <c r="G440" s="175">
        <f t="shared" si="70"/>
        <v>1</v>
      </c>
      <c r="H440" s="175">
        <f t="shared" si="63"/>
        <v>287.1875</v>
      </c>
      <c r="I440" s="177">
        <f>IF(G440=0,0,IF(E440="MXN",1/HLOOKUP(YEAR(C440)+(MONTH(C440)/100),TC!$5:$37,DAY(C440)+2,FALSE),VLOOKUP(E440,Equivalencia!$5:$23,((MAX(Equivalencia!$3:$3)-YEAR(C440))*14)+MONTH(C440)+2,FALSE)))</f>
        <v>1</v>
      </c>
      <c r="J440" s="178">
        <f t="shared" si="71"/>
        <v>287.1875</v>
      </c>
      <c r="K440" s="462">
        <f>IF(C440=0,0,VLOOKUP(YEAR(C440),INPC!$B$4:$O$29,MONTH(C440)+1))</f>
        <v>110.21</v>
      </c>
      <c r="L440" s="462">
        <f>IF(S440=0,0,VLOOKUP(YEAR(S440),INPC!$B$4:$O$29,MONTH(S440)+1))</f>
        <v>120.15900000000001</v>
      </c>
      <c r="M440" s="463">
        <f t="shared" si="64"/>
        <v>1.0902000000000001</v>
      </c>
      <c r="N440" s="465">
        <f t="shared" si="72"/>
        <v>313.0918125</v>
      </c>
      <c r="O440" s="179"/>
      <c r="P440" s="180">
        <v>1</v>
      </c>
      <c r="Q440" s="173" t="s">
        <v>583</v>
      </c>
      <c r="R440" s="173" t="s">
        <v>230</v>
      </c>
      <c r="S440" s="174">
        <v>44644</v>
      </c>
      <c r="T440" s="173" t="s">
        <v>33</v>
      </c>
      <c r="U440" s="182">
        <v>239.27909090909091</v>
      </c>
      <c r="V440" s="177">
        <f>IF(U440=0,0,IF(T440="MXN",1/HLOOKUP(YEAR(S440)+(MONTH(S440)/100),TC!$5:$37,DAY(S440)+2,FALSE),VLOOKUP(T440,Equivalencia!$1:$23,((MAX(Equivalencia!$3:$3)-YEAR(S440))*14)+MONTH(S440)+2,FALSE)))</f>
        <v>1</v>
      </c>
      <c r="W440" s="178">
        <f t="shared" si="69"/>
        <v>239.27909090909091</v>
      </c>
      <c r="X440" s="481">
        <f t="shared" si="65"/>
        <v>-47.908409090909089</v>
      </c>
      <c r="Y440" s="179"/>
      <c r="Z440" s="466">
        <f t="shared" si="66"/>
        <v>313.0918125</v>
      </c>
      <c r="AA440" s="473">
        <f t="shared" si="67"/>
        <v>-73.812721590909092</v>
      </c>
      <c r="AB440" s="339">
        <f t="shared" si="68"/>
        <v>-0.16681926995746366</v>
      </c>
    </row>
    <row r="441" spans="2:28" ht="20.100000000000001" customHeight="1">
      <c r="B441" s="172">
        <v>1175000</v>
      </c>
      <c r="C441" s="174">
        <v>44235</v>
      </c>
      <c r="D441" s="181" t="s">
        <v>161</v>
      </c>
      <c r="E441" s="173" t="s">
        <v>33</v>
      </c>
      <c r="F441" s="176">
        <v>3302.94</v>
      </c>
      <c r="G441" s="175">
        <f t="shared" si="70"/>
        <v>13</v>
      </c>
      <c r="H441" s="175">
        <f t="shared" si="63"/>
        <v>3302.94</v>
      </c>
      <c r="I441" s="177">
        <f>IF(G441=0,0,IF(E441="MXN",1/HLOOKUP(YEAR(C441)+(MONTH(C441)/100),TC!$5:$37,DAY(C441)+2,FALSE),VLOOKUP(E441,Equivalencia!$5:$23,((MAX(Equivalencia!$3:$3)-YEAR(C441))*14)+MONTH(C441)+2,FALSE)))</f>
        <v>1</v>
      </c>
      <c r="J441" s="178">
        <f t="shared" si="71"/>
        <v>3302.94</v>
      </c>
      <c r="K441" s="462">
        <f>IF(C441=0,0,VLOOKUP(YEAR(C441),INPC!$B$4:$O$29,MONTH(C441)+1))</f>
        <v>110.907</v>
      </c>
      <c r="L441" s="462">
        <f>IF(S441=0,0,VLOOKUP(YEAR(S441),INPC!$B$4:$O$29,MONTH(S441)+1))</f>
        <v>120.15900000000001</v>
      </c>
      <c r="M441" s="463">
        <f t="shared" si="64"/>
        <v>1.0833999999999999</v>
      </c>
      <c r="N441" s="465">
        <f t="shared" si="72"/>
        <v>3578.4051959999997</v>
      </c>
      <c r="O441" s="179"/>
      <c r="P441" s="180">
        <v>13</v>
      </c>
      <c r="Q441" s="173" t="s">
        <v>583</v>
      </c>
      <c r="R441" s="173" t="s">
        <v>230</v>
      </c>
      <c r="S441" s="174">
        <v>44644</v>
      </c>
      <c r="T441" s="173" t="s">
        <v>33</v>
      </c>
      <c r="U441" s="182">
        <v>3110.6281818181819</v>
      </c>
      <c r="V441" s="177">
        <f>IF(U441=0,0,IF(T441="MXN",1/HLOOKUP(YEAR(S441)+(MONTH(S441)/100),TC!$5:$37,DAY(S441)+2,FALSE),VLOOKUP(T441,Equivalencia!$1:$23,((MAX(Equivalencia!$3:$3)-YEAR(S441))*14)+MONTH(S441)+2,FALSE)))</f>
        <v>1</v>
      </c>
      <c r="W441" s="178">
        <f t="shared" si="69"/>
        <v>3110.6281818181819</v>
      </c>
      <c r="X441" s="481">
        <f t="shared" si="65"/>
        <v>-192.31181818181813</v>
      </c>
      <c r="Y441" s="179"/>
      <c r="Z441" s="466">
        <f t="shared" si="66"/>
        <v>3578.4051959999997</v>
      </c>
      <c r="AA441" s="473">
        <f t="shared" si="67"/>
        <v>-467.77701418181778</v>
      </c>
      <c r="AB441" s="339">
        <f t="shared" si="68"/>
        <v>-5.8224435860723567E-2</v>
      </c>
    </row>
    <row r="442" spans="2:28" ht="20.100000000000001" customHeight="1">
      <c r="B442" s="172">
        <v>1175000</v>
      </c>
      <c r="C442" s="174">
        <v>44363</v>
      </c>
      <c r="D442" s="181" t="s">
        <v>161</v>
      </c>
      <c r="E442" s="173" t="s">
        <v>33</v>
      </c>
      <c r="F442" s="176">
        <v>2418.7599999999998</v>
      </c>
      <c r="G442" s="175">
        <f t="shared" si="70"/>
        <v>8</v>
      </c>
      <c r="H442" s="175">
        <f t="shared" si="63"/>
        <v>2418.7599999999998</v>
      </c>
      <c r="I442" s="177">
        <f>IF(G442=0,0,IF(E442="MXN",1/HLOOKUP(YEAR(C442)+(MONTH(C442)/100),TC!$5:$37,DAY(C442)+2,FALSE),VLOOKUP(E442,Equivalencia!$5:$23,((MAX(Equivalencia!$3:$3)-YEAR(C442))*14)+MONTH(C442)+2,FALSE)))</f>
        <v>1</v>
      </c>
      <c r="J442" s="178">
        <f t="shared" si="71"/>
        <v>2418.7599999999998</v>
      </c>
      <c r="K442" s="462">
        <f>IF(C442=0,0,VLOOKUP(YEAR(C442),INPC!$B$4:$O$29,MONTH(C442)+1))</f>
        <v>113.018</v>
      </c>
      <c r="L442" s="462">
        <f>IF(S442=0,0,VLOOKUP(YEAR(S442),INPC!$B$4:$O$29,MONTH(S442)+1))</f>
        <v>120.15900000000001</v>
      </c>
      <c r="M442" s="463">
        <f t="shared" si="64"/>
        <v>1.0630999999999999</v>
      </c>
      <c r="N442" s="465">
        <f t="shared" si="72"/>
        <v>2571.3837559999997</v>
      </c>
      <c r="O442" s="179"/>
      <c r="P442" s="180">
        <v>8</v>
      </c>
      <c r="Q442" s="173" t="s">
        <v>583</v>
      </c>
      <c r="R442" s="173" t="s">
        <v>230</v>
      </c>
      <c r="S442" s="174">
        <v>44644</v>
      </c>
      <c r="T442" s="173" t="s">
        <v>33</v>
      </c>
      <c r="U442" s="182">
        <v>1914.2327272727273</v>
      </c>
      <c r="V442" s="177">
        <f>IF(U442=0,0,IF(T442="MXN",1/HLOOKUP(YEAR(S442)+(MONTH(S442)/100),TC!$5:$37,DAY(S442)+2,FALSE),VLOOKUP(T442,Equivalencia!$1:$23,((MAX(Equivalencia!$3:$3)-YEAR(S442))*14)+MONTH(S442)+2,FALSE)))</f>
        <v>1</v>
      </c>
      <c r="W442" s="178">
        <f t="shared" si="69"/>
        <v>1914.2327272727273</v>
      </c>
      <c r="X442" s="481">
        <f t="shared" si="65"/>
        <v>-504.52727272727248</v>
      </c>
      <c r="Y442" s="179"/>
      <c r="Z442" s="466">
        <f t="shared" si="66"/>
        <v>2571.3837559999997</v>
      </c>
      <c r="AA442" s="473">
        <f t="shared" si="67"/>
        <v>-657.15102872727243</v>
      </c>
      <c r="AB442" s="339">
        <f t="shared" si="68"/>
        <v>-0.20858922453127737</v>
      </c>
    </row>
    <row r="443" spans="2:28" ht="20.100000000000001" customHeight="1">
      <c r="B443" s="172">
        <v>1175000</v>
      </c>
      <c r="C443" s="174">
        <v>44363</v>
      </c>
      <c r="D443" s="181" t="s">
        <v>161</v>
      </c>
      <c r="E443" s="173" t="s">
        <v>33</v>
      </c>
      <c r="F443" s="176">
        <v>302.34499999999997</v>
      </c>
      <c r="G443" s="175">
        <f t="shared" si="70"/>
        <v>1</v>
      </c>
      <c r="H443" s="175">
        <f t="shared" si="63"/>
        <v>302.34499999999997</v>
      </c>
      <c r="I443" s="177">
        <f>IF(G443=0,0,IF(E443="MXN",1/HLOOKUP(YEAR(C443)+(MONTH(C443)/100),TC!$5:$37,DAY(C443)+2,FALSE),VLOOKUP(E443,Equivalencia!$5:$23,((MAX(Equivalencia!$3:$3)-YEAR(C443))*14)+MONTH(C443)+2,FALSE)))</f>
        <v>1</v>
      </c>
      <c r="J443" s="178">
        <f t="shared" si="71"/>
        <v>302.34499999999997</v>
      </c>
      <c r="K443" s="462">
        <f>IF(C443=0,0,VLOOKUP(YEAR(C443),INPC!$B$4:$O$29,MONTH(C443)+1))</f>
        <v>113.018</v>
      </c>
      <c r="L443" s="462">
        <f>IF(S443=0,0,VLOOKUP(YEAR(S443),INPC!$B$4:$O$29,MONTH(S443)+1))</f>
        <v>120.15900000000001</v>
      </c>
      <c r="M443" s="463">
        <f t="shared" si="64"/>
        <v>1.0630999999999999</v>
      </c>
      <c r="N443" s="465">
        <f t="shared" si="72"/>
        <v>321.42296949999997</v>
      </c>
      <c r="O443" s="179"/>
      <c r="P443" s="180">
        <v>1</v>
      </c>
      <c r="Q443" s="173" t="s">
        <v>583</v>
      </c>
      <c r="R443" s="173" t="s">
        <v>230</v>
      </c>
      <c r="S443" s="174">
        <v>44649</v>
      </c>
      <c r="T443" s="173" t="s">
        <v>33</v>
      </c>
      <c r="U443" s="182">
        <v>250.23</v>
      </c>
      <c r="V443" s="177">
        <f>IF(U443=0,0,IF(T443="MXN",1/HLOOKUP(YEAR(S443)+(MONTH(S443)/100),TC!$5:$37,DAY(S443)+2,FALSE),VLOOKUP(T443,Equivalencia!$1:$23,((MAX(Equivalencia!$3:$3)-YEAR(S443))*14)+MONTH(S443)+2,FALSE)))</f>
        <v>1</v>
      </c>
      <c r="W443" s="178">
        <f t="shared" si="69"/>
        <v>250.23</v>
      </c>
      <c r="X443" s="481">
        <f t="shared" si="65"/>
        <v>-52.114999999999981</v>
      </c>
      <c r="Y443" s="179"/>
      <c r="Z443" s="466">
        <f t="shared" si="66"/>
        <v>321.42296949999997</v>
      </c>
      <c r="AA443" s="473">
        <f t="shared" si="67"/>
        <v>-71.192969499999975</v>
      </c>
      <c r="AB443" s="339">
        <f t="shared" si="68"/>
        <v>-0.17236931320180582</v>
      </c>
    </row>
    <row r="444" spans="2:28" ht="20.100000000000001" customHeight="1">
      <c r="B444" s="172">
        <v>1175000</v>
      </c>
      <c r="C444" s="174">
        <v>44363</v>
      </c>
      <c r="D444" s="181" t="s">
        <v>161</v>
      </c>
      <c r="E444" s="173" t="s">
        <v>33</v>
      </c>
      <c r="F444" s="176">
        <v>16326.63</v>
      </c>
      <c r="G444" s="175">
        <f t="shared" si="70"/>
        <v>54</v>
      </c>
      <c r="H444" s="175">
        <f t="shared" si="63"/>
        <v>16326.63</v>
      </c>
      <c r="I444" s="177">
        <f>IF(G444=0,0,IF(E444="MXN",1/HLOOKUP(YEAR(C444)+(MONTH(C444)/100),TC!$5:$37,DAY(C444)+2,FALSE),VLOOKUP(E444,Equivalencia!$5:$23,((MAX(Equivalencia!$3:$3)-YEAR(C444))*14)+MONTH(C444)+2,FALSE)))</f>
        <v>1</v>
      </c>
      <c r="J444" s="178">
        <f t="shared" si="71"/>
        <v>16326.63</v>
      </c>
      <c r="K444" s="462">
        <f>IF(C444=0,0,VLOOKUP(YEAR(C444),INPC!$B$4:$O$29,MONTH(C444)+1))</f>
        <v>113.018</v>
      </c>
      <c r="L444" s="462">
        <f>IF(S444=0,0,VLOOKUP(YEAR(S444),INPC!$B$4:$O$29,MONTH(S444)+1))</f>
        <v>120.15900000000001</v>
      </c>
      <c r="M444" s="463">
        <f t="shared" si="64"/>
        <v>1.0630999999999999</v>
      </c>
      <c r="N444" s="465">
        <f t="shared" si="72"/>
        <v>17356.840353</v>
      </c>
      <c r="O444" s="179"/>
      <c r="P444" s="180">
        <v>54</v>
      </c>
      <c r="Q444" s="173" t="s">
        <v>583</v>
      </c>
      <c r="R444" s="173" t="s">
        <v>230</v>
      </c>
      <c r="S444" s="174">
        <v>44650</v>
      </c>
      <c r="T444" s="173" t="s">
        <v>33</v>
      </c>
      <c r="U444" s="182">
        <v>13546.93</v>
      </c>
      <c r="V444" s="177">
        <f>IF(U444=0,0,IF(T444="MXN",1/HLOOKUP(YEAR(S444)+(MONTH(S444)/100),TC!$5:$37,DAY(S444)+2,FALSE),VLOOKUP(T444,Equivalencia!$1:$23,((MAX(Equivalencia!$3:$3)-YEAR(S444))*14)+MONTH(S444)+2,FALSE)))</f>
        <v>1</v>
      </c>
      <c r="W444" s="178">
        <f t="shared" si="69"/>
        <v>13546.93</v>
      </c>
      <c r="X444" s="481">
        <f t="shared" si="65"/>
        <v>-2779.6999999999989</v>
      </c>
      <c r="Y444" s="179"/>
      <c r="Z444" s="466">
        <f t="shared" si="66"/>
        <v>17356.840353</v>
      </c>
      <c r="AA444" s="473">
        <f t="shared" si="67"/>
        <v>-3809.9103529999993</v>
      </c>
      <c r="AB444" s="339">
        <f t="shared" si="68"/>
        <v>-0.1702555885691045</v>
      </c>
    </row>
    <row r="445" spans="2:28" ht="20.100000000000001" customHeight="1">
      <c r="B445" s="172">
        <v>1175000</v>
      </c>
      <c r="C445" s="174">
        <v>44363</v>
      </c>
      <c r="D445" s="181" t="s">
        <v>161</v>
      </c>
      <c r="E445" s="173" t="s">
        <v>33</v>
      </c>
      <c r="F445" s="176">
        <v>604.68999999999994</v>
      </c>
      <c r="G445" s="175">
        <f t="shared" si="70"/>
        <v>2</v>
      </c>
      <c r="H445" s="175">
        <f t="shared" si="63"/>
        <v>604.68999999999994</v>
      </c>
      <c r="I445" s="177">
        <f>IF(G445=0,0,IF(E445="MXN",1/HLOOKUP(YEAR(C445)+(MONTH(C445)/100),TC!$5:$37,DAY(C445)+2,FALSE),VLOOKUP(E445,Equivalencia!$5:$23,((MAX(Equivalencia!$3:$3)-YEAR(C445))*14)+MONTH(C445)+2,FALSE)))</f>
        <v>1</v>
      </c>
      <c r="J445" s="178">
        <f t="shared" si="71"/>
        <v>604.68999999999994</v>
      </c>
      <c r="K445" s="462">
        <f>IF(C445=0,0,VLOOKUP(YEAR(C445),INPC!$B$4:$O$29,MONTH(C445)+1))</f>
        <v>113.018</v>
      </c>
      <c r="L445" s="462">
        <f>IF(S445=0,0,VLOOKUP(YEAR(S445),INPC!$B$4:$O$29,MONTH(S445)+1))</f>
        <v>120.809</v>
      </c>
      <c r="M445" s="463">
        <f t="shared" si="64"/>
        <v>1.0689</v>
      </c>
      <c r="N445" s="465">
        <f t="shared" si="72"/>
        <v>646.35314099999994</v>
      </c>
      <c r="O445" s="179"/>
      <c r="P445" s="180">
        <v>2</v>
      </c>
      <c r="Q445" s="173" t="s">
        <v>583</v>
      </c>
      <c r="R445" s="173" t="s">
        <v>230</v>
      </c>
      <c r="S445" s="174">
        <v>44671</v>
      </c>
      <c r="T445" s="173" t="s">
        <v>33</v>
      </c>
      <c r="U445" s="182">
        <v>495.79</v>
      </c>
      <c r="V445" s="177">
        <f>IF(U445=0,0,IF(T445="MXN",1/HLOOKUP(YEAR(S445)+(MONTH(S445)/100),TC!$5:$37,DAY(S445)+2,FALSE),VLOOKUP(T445,Equivalencia!$1:$23,((MAX(Equivalencia!$3:$3)-YEAR(S445))*14)+MONTH(S445)+2,FALSE)))</f>
        <v>1</v>
      </c>
      <c r="W445" s="178">
        <f t="shared" si="69"/>
        <v>495.79</v>
      </c>
      <c r="X445" s="481">
        <f t="shared" si="65"/>
        <v>-108.89999999999992</v>
      </c>
      <c r="Y445" s="179"/>
      <c r="Z445" s="466">
        <f t="shared" si="66"/>
        <v>646.35314099999994</v>
      </c>
      <c r="AA445" s="473">
        <f t="shared" si="67"/>
        <v>-150.56314099999992</v>
      </c>
      <c r="AB445" s="339">
        <f t="shared" si="68"/>
        <v>-0.18009227868825339</v>
      </c>
    </row>
    <row r="446" spans="2:28" ht="20.100000000000001" customHeight="1">
      <c r="B446" s="172">
        <v>1175000</v>
      </c>
      <c r="C446" s="174">
        <v>44363</v>
      </c>
      <c r="D446" s="181" t="s">
        <v>161</v>
      </c>
      <c r="E446" s="173" t="s">
        <v>33</v>
      </c>
      <c r="F446" s="176">
        <v>2116.415</v>
      </c>
      <c r="G446" s="175">
        <f t="shared" si="70"/>
        <v>7</v>
      </c>
      <c r="H446" s="175">
        <f t="shared" si="63"/>
        <v>2116.415</v>
      </c>
      <c r="I446" s="177">
        <f>IF(G446=0,0,IF(E446="MXN",1/HLOOKUP(YEAR(C446)+(MONTH(C446)/100),TC!$5:$37,DAY(C446)+2,FALSE),VLOOKUP(E446,Equivalencia!$5:$23,((MAX(Equivalencia!$3:$3)-YEAR(C446))*14)+MONTH(C446)+2,FALSE)))</f>
        <v>1</v>
      </c>
      <c r="J446" s="178">
        <f t="shared" si="71"/>
        <v>2116.415</v>
      </c>
      <c r="K446" s="462">
        <f>IF(C446=0,0,VLOOKUP(YEAR(C446),INPC!$B$4:$O$29,MONTH(C446)+1))</f>
        <v>113.018</v>
      </c>
      <c r="L446" s="462">
        <f>IF(S446=0,0,VLOOKUP(YEAR(S446),INPC!$B$4:$O$29,MONTH(S446)+1))</f>
        <v>120.809</v>
      </c>
      <c r="M446" s="463">
        <f t="shared" si="64"/>
        <v>1.0689</v>
      </c>
      <c r="N446" s="465">
        <f t="shared" si="72"/>
        <v>2262.2359934999999</v>
      </c>
      <c r="O446" s="179"/>
      <c r="P446" s="180">
        <v>7</v>
      </c>
      <c r="Q446" s="173" t="s">
        <v>583</v>
      </c>
      <c r="R446" s="173" t="s">
        <v>230</v>
      </c>
      <c r="S446" s="174">
        <v>44671</v>
      </c>
      <c r="T446" s="173" t="s">
        <v>33</v>
      </c>
      <c r="U446" s="182">
        <v>1735.24</v>
      </c>
      <c r="V446" s="177">
        <f>IF(U446=0,0,IF(T446="MXN",1/HLOOKUP(YEAR(S446)+(MONTH(S446)/100),TC!$5:$37,DAY(S446)+2,FALSE),VLOOKUP(T446,Equivalencia!$1:$23,((MAX(Equivalencia!$3:$3)-YEAR(S446))*14)+MONTH(S446)+2,FALSE)))</f>
        <v>1</v>
      </c>
      <c r="W446" s="178">
        <f t="shared" si="69"/>
        <v>1735.24</v>
      </c>
      <c r="X446" s="481">
        <f t="shared" si="65"/>
        <v>-381.17499999999995</v>
      </c>
      <c r="Y446" s="179"/>
      <c r="Z446" s="466">
        <f t="shared" si="66"/>
        <v>2262.2359934999999</v>
      </c>
      <c r="AA446" s="473">
        <f t="shared" si="67"/>
        <v>-526.99599349999994</v>
      </c>
      <c r="AB446" s="339">
        <f t="shared" si="68"/>
        <v>-0.18010409111634529</v>
      </c>
    </row>
    <row r="447" spans="2:28" ht="20.100000000000001" customHeight="1">
      <c r="B447" s="172">
        <v>1175000</v>
      </c>
      <c r="C447" s="174">
        <v>44363</v>
      </c>
      <c r="D447" s="181" t="s">
        <v>161</v>
      </c>
      <c r="E447" s="173" t="s">
        <v>33</v>
      </c>
      <c r="F447" s="176">
        <v>302.34499999999997</v>
      </c>
      <c r="G447" s="175">
        <f t="shared" si="70"/>
        <v>1</v>
      </c>
      <c r="H447" s="175">
        <f t="shared" si="63"/>
        <v>302.34499999999997</v>
      </c>
      <c r="I447" s="177">
        <f>IF(G447=0,0,IF(E447="MXN",1/HLOOKUP(YEAR(C447)+(MONTH(C447)/100),TC!$5:$37,DAY(C447)+2,FALSE),VLOOKUP(E447,Equivalencia!$5:$23,((MAX(Equivalencia!$3:$3)-YEAR(C447))*14)+MONTH(C447)+2,FALSE)))</f>
        <v>1</v>
      </c>
      <c r="J447" s="178">
        <f t="shared" si="71"/>
        <v>302.34499999999997</v>
      </c>
      <c r="K447" s="462">
        <f>IF(C447=0,0,VLOOKUP(YEAR(C447),INPC!$B$4:$O$29,MONTH(C447)+1))</f>
        <v>113.018</v>
      </c>
      <c r="L447" s="462">
        <f>IF(S447=0,0,VLOOKUP(YEAR(S447),INPC!$B$4:$O$29,MONTH(S447)+1))</f>
        <v>120.809</v>
      </c>
      <c r="M447" s="463">
        <f t="shared" si="64"/>
        <v>1.0689</v>
      </c>
      <c r="N447" s="465">
        <f t="shared" si="72"/>
        <v>323.17657049999997</v>
      </c>
      <c r="O447" s="179"/>
      <c r="P447" s="180">
        <v>1</v>
      </c>
      <c r="Q447" s="173" t="s">
        <v>583</v>
      </c>
      <c r="R447" s="173" t="s">
        <v>230</v>
      </c>
      <c r="S447" s="174">
        <v>44671</v>
      </c>
      <c r="T447" s="173" t="s">
        <v>33</v>
      </c>
      <c r="U447" s="182">
        <v>248.45</v>
      </c>
      <c r="V447" s="177">
        <f>IF(U447=0,0,IF(T447="MXN",1/HLOOKUP(YEAR(S447)+(MONTH(S447)/100),TC!$5:$37,DAY(S447)+2,FALSE),VLOOKUP(T447,Equivalencia!$1:$23,((MAX(Equivalencia!$3:$3)-YEAR(S447))*14)+MONTH(S447)+2,FALSE)))</f>
        <v>1</v>
      </c>
      <c r="W447" s="178">
        <f t="shared" si="69"/>
        <v>248.45</v>
      </c>
      <c r="X447" s="481">
        <f t="shared" si="65"/>
        <v>-53.894999999999982</v>
      </c>
      <c r="Y447" s="179"/>
      <c r="Z447" s="466">
        <f t="shared" si="66"/>
        <v>323.17657049999997</v>
      </c>
      <c r="AA447" s="473">
        <f t="shared" si="67"/>
        <v>-74.72657049999998</v>
      </c>
      <c r="AB447" s="339">
        <f t="shared" si="68"/>
        <v>-0.17825662736278092</v>
      </c>
    </row>
    <row r="448" spans="2:28" ht="20.100000000000001" customHeight="1">
      <c r="B448" s="172">
        <v>1175000</v>
      </c>
      <c r="C448" s="174">
        <v>44363</v>
      </c>
      <c r="D448" s="181" t="s">
        <v>161</v>
      </c>
      <c r="E448" s="173" t="s">
        <v>33</v>
      </c>
      <c r="F448" s="176">
        <v>1511.7249999999999</v>
      </c>
      <c r="G448" s="175">
        <f t="shared" si="70"/>
        <v>5</v>
      </c>
      <c r="H448" s="175">
        <f t="shared" si="63"/>
        <v>1511.7249999999999</v>
      </c>
      <c r="I448" s="177">
        <f>IF(G448=0,0,IF(E448="MXN",1/HLOOKUP(YEAR(C448)+(MONTH(C448)/100),TC!$5:$37,DAY(C448)+2,FALSE),VLOOKUP(E448,Equivalencia!$5:$23,((MAX(Equivalencia!$3:$3)-YEAR(C448))*14)+MONTH(C448)+2,FALSE)))</f>
        <v>1</v>
      </c>
      <c r="J448" s="178">
        <f t="shared" si="71"/>
        <v>1511.7249999999999</v>
      </c>
      <c r="K448" s="462">
        <f>IF(C448=0,0,VLOOKUP(YEAR(C448),INPC!$B$4:$O$29,MONTH(C448)+1))</f>
        <v>113.018</v>
      </c>
      <c r="L448" s="462">
        <f>IF(S448=0,0,VLOOKUP(YEAR(S448),INPC!$B$4:$O$29,MONTH(S448)+1))</f>
        <v>120.809</v>
      </c>
      <c r="M448" s="463">
        <f t="shared" si="64"/>
        <v>1.0689</v>
      </c>
      <c r="N448" s="465">
        <f t="shared" si="72"/>
        <v>1615.8828524999999</v>
      </c>
      <c r="O448" s="179"/>
      <c r="P448" s="180">
        <v>5</v>
      </c>
      <c r="Q448" s="173" t="s">
        <v>583</v>
      </c>
      <c r="R448" s="173" t="s">
        <v>230</v>
      </c>
      <c r="S448" s="174">
        <v>44671</v>
      </c>
      <c r="T448" s="173" t="s">
        <v>33</v>
      </c>
      <c r="U448" s="182">
        <v>1242.23</v>
      </c>
      <c r="V448" s="177">
        <f>IF(U448=0,0,IF(T448="MXN",1/HLOOKUP(YEAR(S448)+(MONTH(S448)/100),TC!$5:$37,DAY(S448)+2,FALSE),VLOOKUP(T448,Equivalencia!$1:$23,((MAX(Equivalencia!$3:$3)-YEAR(S448))*14)+MONTH(S448)+2,FALSE)))</f>
        <v>1</v>
      </c>
      <c r="W448" s="178">
        <f t="shared" si="69"/>
        <v>1242.23</v>
      </c>
      <c r="X448" s="481">
        <f t="shared" si="65"/>
        <v>-269.49499999999989</v>
      </c>
      <c r="Y448" s="179"/>
      <c r="Z448" s="466">
        <f t="shared" si="66"/>
        <v>1615.8828524999999</v>
      </c>
      <c r="AA448" s="473">
        <f t="shared" si="67"/>
        <v>-373.65285249999988</v>
      </c>
      <c r="AB448" s="339">
        <f t="shared" si="68"/>
        <v>-0.17826985728224376</v>
      </c>
    </row>
    <row r="449" spans="2:28" ht="20.100000000000001" customHeight="1">
      <c r="B449" s="172">
        <v>1175000</v>
      </c>
      <c r="C449" s="174">
        <v>44363</v>
      </c>
      <c r="D449" s="181" t="s">
        <v>161</v>
      </c>
      <c r="E449" s="173" t="s">
        <v>33</v>
      </c>
      <c r="F449" s="176">
        <v>302.34499999999997</v>
      </c>
      <c r="G449" s="175">
        <f t="shared" si="70"/>
        <v>1</v>
      </c>
      <c r="H449" s="175">
        <f t="shared" si="63"/>
        <v>302.34499999999997</v>
      </c>
      <c r="I449" s="177">
        <f>IF(G449=0,0,IF(E449="MXN",1/HLOOKUP(YEAR(C449)+(MONTH(C449)/100),TC!$5:$37,DAY(C449)+2,FALSE),VLOOKUP(E449,Equivalencia!$5:$23,((MAX(Equivalencia!$3:$3)-YEAR(C449))*14)+MONTH(C449)+2,FALSE)))</f>
        <v>1</v>
      </c>
      <c r="J449" s="178">
        <f t="shared" si="71"/>
        <v>302.34499999999997</v>
      </c>
      <c r="K449" s="462">
        <f>IF(C449=0,0,VLOOKUP(YEAR(C449),INPC!$B$4:$O$29,MONTH(C449)+1))</f>
        <v>113.018</v>
      </c>
      <c r="L449" s="462">
        <f>IF(S449=0,0,VLOOKUP(YEAR(S449),INPC!$B$4:$O$29,MONTH(S449)+1))</f>
        <v>120.809</v>
      </c>
      <c r="M449" s="463">
        <f t="shared" si="64"/>
        <v>1.0689</v>
      </c>
      <c r="N449" s="465">
        <f t="shared" si="72"/>
        <v>323.17657049999997</v>
      </c>
      <c r="O449" s="179"/>
      <c r="P449" s="180">
        <v>1</v>
      </c>
      <c r="Q449" s="173" t="s">
        <v>583</v>
      </c>
      <c r="R449" s="173" t="s">
        <v>230</v>
      </c>
      <c r="S449" s="174">
        <v>44671</v>
      </c>
      <c r="T449" s="173" t="s">
        <v>33</v>
      </c>
      <c r="U449" s="182">
        <v>248.73</v>
      </c>
      <c r="V449" s="177">
        <f>IF(U449=0,0,IF(T449="MXN",1/HLOOKUP(YEAR(S449)+(MONTH(S449)/100),TC!$5:$37,DAY(S449)+2,FALSE),VLOOKUP(T449,Equivalencia!$1:$23,((MAX(Equivalencia!$3:$3)-YEAR(S449))*14)+MONTH(S449)+2,FALSE)))</f>
        <v>1</v>
      </c>
      <c r="W449" s="178">
        <f t="shared" si="69"/>
        <v>248.73</v>
      </c>
      <c r="X449" s="481">
        <f t="shared" si="65"/>
        <v>-53.614999999999981</v>
      </c>
      <c r="Y449" s="179"/>
      <c r="Z449" s="466">
        <f t="shared" si="66"/>
        <v>323.17657049999997</v>
      </c>
      <c r="AA449" s="473">
        <f t="shared" si="67"/>
        <v>-74.446570499999979</v>
      </c>
      <c r="AB449" s="339">
        <f t="shared" si="68"/>
        <v>-0.17733053300038026</v>
      </c>
    </row>
    <row r="450" spans="2:28" ht="20.100000000000001" customHeight="1">
      <c r="B450" s="172">
        <v>1175000</v>
      </c>
      <c r="C450" s="174">
        <v>44363</v>
      </c>
      <c r="D450" s="181" t="s">
        <v>161</v>
      </c>
      <c r="E450" s="173" t="s">
        <v>33</v>
      </c>
      <c r="F450" s="176">
        <v>907.03499999999985</v>
      </c>
      <c r="G450" s="175">
        <f t="shared" si="70"/>
        <v>3</v>
      </c>
      <c r="H450" s="175">
        <f t="shared" ref="H450:H513" si="73">IF(F450=0,0,(F450/G450)*P450)</f>
        <v>907.03499999999985</v>
      </c>
      <c r="I450" s="177">
        <f>IF(G450=0,0,IF(E450="MXN",1/HLOOKUP(YEAR(C450)+(MONTH(C450)/100),TC!$5:$37,DAY(C450)+2,FALSE),VLOOKUP(E450,Equivalencia!$5:$23,((MAX(Equivalencia!$3:$3)-YEAR(C450))*14)+MONTH(C450)+2,FALSE)))</f>
        <v>1</v>
      </c>
      <c r="J450" s="178">
        <f t="shared" si="71"/>
        <v>907.03499999999985</v>
      </c>
      <c r="K450" s="462">
        <f>IF(C450=0,0,VLOOKUP(YEAR(C450),INPC!$B$4:$O$29,MONTH(C450)+1))</f>
        <v>113.018</v>
      </c>
      <c r="L450" s="462">
        <f>IF(S450=0,0,VLOOKUP(YEAR(S450),INPC!$B$4:$O$29,MONTH(S450)+1))</f>
        <v>120.809</v>
      </c>
      <c r="M450" s="463">
        <f t="shared" ref="M450:M513" si="74">IF(H450=0,0,IF(R450=$AF$4,1,IF(TRUNC(L450/K450,4)&gt;=1,TRUNC(L450/K450,4),1)))</f>
        <v>1.0689</v>
      </c>
      <c r="N450" s="465">
        <f t="shared" si="72"/>
        <v>969.52971149999985</v>
      </c>
      <c r="O450" s="179"/>
      <c r="P450" s="180">
        <v>3</v>
      </c>
      <c r="Q450" s="173" t="s">
        <v>583</v>
      </c>
      <c r="R450" s="173" t="s">
        <v>230</v>
      </c>
      <c r="S450" s="174">
        <v>44671</v>
      </c>
      <c r="T450" s="173" t="s">
        <v>33</v>
      </c>
      <c r="U450" s="182">
        <v>746.19</v>
      </c>
      <c r="V450" s="177">
        <f>IF(U450=0,0,IF(T450="MXN",1/HLOOKUP(YEAR(S450)+(MONTH(S450)/100),TC!$5:$37,DAY(S450)+2,FALSE),VLOOKUP(T450,Equivalencia!$1:$23,((MAX(Equivalencia!$3:$3)-YEAR(S450))*14)+MONTH(S450)+2,FALSE)))</f>
        <v>1</v>
      </c>
      <c r="W450" s="178">
        <f t="shared" si="69"/>
        <v>746.19</v>
      </c>
      <c r="X450" s="481">
        <f t="shared" ref="X450:X513" si="75">+W450-J450</f>
        <v>-160.8449999999998</v>
      </c>
      <c r="Y450" s="179"/>
      <c r="Z450" s="466">
        <f t="shared" ref="Z450:Z513" si="76">N450</f>
        <v>969.52971149999985</v>
      </c>
      <c r="AA450" s="473">
        <f t="shared" ref="AA450:AA513" si="77">+W450-Z450</f>
        <v>-223.33971149999979</v>
      </c>
      <c r="AB450" s="339">
        <f t="shared" ref="AB450:AB513" si="78">+IF(P450=0,0,(U450/F450)-1)</f>
        <v>-0.17733053300038015</v>
      </c>
    </row>
    <row r="451" spans="2:28" ht="20.100000000000001" customHeight="1">
      <c r="B451" s="172">
        <v>1175000</v>
      </c>
      <c r="C451" s="174">
        <v>44363</v>
      </c>
      <c r="D451" s="181" t="s">
        <v>161</v>
      </c>
      <c r="E451" s="173" t="s">
        <v>33</v>
      </c>
      <c r="F451" s="176">
        <v>604.68999999999994</v>
      </c>
      <c r="G451" s="175">
        <f t="shared" si="70"/>
        <v>2</v>
      </c>
      <c r="H451" s="175">
        <f t="shared" si="73"/>
        <v>604.68999999999994</v>
      </c>
      <c r="I451" s="177">
        <f>IF(G451=0,0,IF(E451="MXN",1/HLOOKUP(YEAR(C451)+(MONTH(C451)/100),TC!$5:$37,DAY(C451)+2,FALSE),VLOOKUP(E451,Equivalencia!$5:$23,((MAX(Equivalencia!$3:$3)-YEAR(C451))*14)+MONTH(C451)+2,FALSE)))</f>
        <v>1</v>
      </c>
      <c r="J451" s="178">
        <f t="shared" si="71"/>
        <v>604.68999999999994</v>
      </c>
      <c r="K451" s="462">
        <f>IF(C451=0,0,VLOOKUP(YEAR(C451),INPC!$B$4:$O$29,MONTH(C451)+1))</f>
        <v>113.018</v>
      </c>
      <c r="L451" s="462">
        <f>IF(S451=0,0,VLOOKUP(YEAR(S451),INPC!$B$4:$O$29,MONTH(S451)+1))</f>
        <v>120.809</v>
      </c>
      <c r="M451" s="463">
        <f t="shared" si="74"/>
        <v>1.0689</v>
      </c>
      <c r="N451" s="465">
        <f t="shared" si="72"/>
        <v>646.35314099999994</v>
      </c>
      <c r="O451" s="179"/>
      <c r="P451" s="180">
        <v>2</v>
      </c>
      <c r="Q451" s="173" t="s">
        <v>583</v>
      </c>
      <c r="R451" s="173" t="s">
        <v>230</v>
      </c>
      <c r="S451" s="174">
        <v>44671</v>
      </c>
      <c r="T451" s="173" t="s">
        <v>33</v>
      </c>
      <c r="U451" s="182">
        <v>496.14</v>
      </c>
      <c r="V451" s="177">
        <f>IF(U451=0,0,IF(T451="MXN",1/HLOOKUP(YEAR(S451)+(MONTH(S451)/100),TC!$5:$37,DAY(S451)+2,FALSE),VLOOKUP(T451,Equivalencia!$1:$23,((MAX(Equivalencia!$3:$3)-YEAR(S451))*14)+MONTH(S451)+2,FALSE)))</f>
        <v>1</v>
      </c>
      <c r="W451" s="178">
        <f t="shared" ref="W451:W514" si="79">+V451*U451</f>
        <v>496.14</v>
      </c>
      <c r="X451" s="481">
        <f t="shared" si="75"/>
        <v>-108.54999999999995</v>
      </c>
      <c r="Y451" s="179"/>
      <c r="Z451" s="466">
        <f t="shared" si="76"/>
        <v>646.35314099999994</v>
      </c>
      <c r="AA451" s="473">
        <f t="shared" si="77"/>
        <v>-150.21314099999995</v>
      </c>
      <c r="AB451" s="339">
        <f t="shared" si="78"/>
        <v>-0.17951346971175308</v>
      </c>
    </row>
    <row r="452" spans="2:28" ht="20.100000000000001" customHeight="1">
      <c r="B452" s="172">
        <v>1175000</v>
      </c>
      <c r="C452" s="174">
        <v>44363</v>
      </c>
      <c r="D452" s="181" t="s">
        <v>161</v>
      </c>
      <c r="E452" s="173" t="s">
        <v>33</v>
      </c>
      <c r="F452" s="176">
        <v>2116.415</v>
      </c>
      <c r="G452" s="175">
        <f t="shared" si="70"/>
        <v>7</v>
      </c>
      <c r="H452" s="175">
        <f t="shared" si="73"/>
        <v>2116.415</v>
      </c>
      <c r="I452" s="177">
        <f>IF(G452=0,0,IF(E452="MXN",1/HLOOKUP(YEAR(C452)+(MONTH(C452)/100),TC!$5:$37,DAY(C452)+2,FALSE),VLOOKUP(E452,Equivalencia!$5:$23,((MAX(Equivalencia!$3:$3)-YEAR(C452))*14)+MONTH(C452)+2,FALSE)))</f>
        <v>1</v>
      </c>
      <c r="J452" s="178">
        <f t="shared" si="71"/>
        <v>2116.415</v>
      </c>
      <c r="K452" s="462">
        <f>IF(C452=0,0,VLOOKUP(YEAR(C452),INPC!$B$4:$O$29,MONTH(C452)+1))</f>
        <v>113.018</v>
      </c>
      <c r="L452" s="462">
        <f>IF(S452=0,0,VLOOKUP(YEAR(S452),INPC!$B$4:$O$29,MONTH(S452)+1))</f>
        <v>120.809</v>
      </c>
      <c r="M452" s="463">
        <f t="shared" si="74"/>
        <v>1.0689</v>
      </c>
      <c r="N452" s="465">
        <f t="shared" si="72"/>
        <v>2262.2359934999999</v>
      </c>
      <c r="O452" s="179"/>
      <c r="P452" s="180">
        <v>7</v>
      </c>
      <c r="Q452" s="173" t="s">
        <v>583</v>
      </c>
      <c r="R452" s="173" t="s">
        <v>230</v>
      </c>
      <c r="S452" s="174">
        <v>44671</v>
      </c>
      <c r="T452" s="173" t="s">
        <v>33</v>
      </c>
      <c r="U452" s="182">
        <v>1736.48</v>
      </c>
      <c r="V452" s="177">
        <f>IF(U452=0,0,IF(T452="MXN",1/HLOOKUP(YEAR(S452)+(MONTH(S452)/100),TC!$5:$37,DAY(S452)+2,FALSE),VLOOKUP(T452,Equivalencia!$1:$23,((MAX(Equivalencia!$3:$3)-YEAR(S452))*14)+MONTH(S452)+2,FALSE)))</f>
        <v>1</v>
      </c>
      <c r="W452" s="178">
        <f t="shared" si="79"/>
        <v>1736.48</v>
      </c>
      <c r="X452" s="481">
        <f t="shared" si="75"/>
        <v>-379.93499999999995</v>
      </c>
      <c r="Y452" s="179"/>
      <c r="Z452" s="466">
        <f t="shared" si="76"/>
        <v>2262.2359934999999</v>
      </c>
      <c r="AA452" s="473">
        <f t="shared" si="77"/>
        <v>-525.75599349999993</v>
      </c>
      <c r="AB452" s="339">
        <f t="shared" si="78"/>
        <v>-0.1795181946829898</v>
      </c>
    </row>
    <row r="453" spans="2:28" ht="20.100000000000001" customHeight="1">
      <c r="B453" s="172">
        <v>1175000</v>
      </c>
      <c r="C453" s="174">
        <v>44363</v>
      </c>
      <c r="D453" s="181" t="s">
        <v>161</v>
      </c>
      <c r="E453" s="173" t="s">
        <v>33</v>
      </c>
      <c r="F453" s="176">
        <v>2418.7599999999998</v>
      </c>
      <c r="G453" s="175">
        <f t="shared" si="70"/>
        <v>8</v>
      </c>
      <c r="H453" s="175">
        <f t="shared" si="73"/>
        <v>2418.7599999999998</v>
      </c>
      <c r="I453" s="177">
        <f>IF(G453=0,0,IF(E453="MXN",1/HLOOKUP(YEAR(C453)+(MONTH(C453)/100),TC!$5:$37,DAY(C453)+2,FALSE),VLOOKUP(E453,Equivalencia!$5:$23,((MAX(Equivalencia!$3:$3)-YEAR(C453))*14)+MONTH(C453)+2,FALSE)))</f>
        <v>1</v>
      </c>
      <c r="J453" s="178">
        <f t="shared" si="71"/>
        <v>2418.7599999999998</v>
      </c>
      <c r="K453" s="462">
        <f>IF(C453=0,0,VLOOKUP(YEAR(C453),INPC!$B$4:$O$29,MONTH(C453)+1))</f>
        <v>113.018</v>
      </c>
      <c r="L453" s="462">
        <f>IF(S453=0,0,VLOOKUP(YEAR(S453),INPC!$B$4:$O$29,MONTH(S453)+1))</f>
        <v>120.809</v>
      </c>
      <c r="M453" s="463">
        <f t="shared" si="74"/>
        <v>1.0689</v>
      </c>
      <c r="N453" s="465">
        <f t="shared" si="72"/>
        <v>2585.4125639999997</v>
      </c>
      <c r="O453" s="179"/>
      <c r="P453" s="180">
        <v>8</v>
      </c>
      <c r="Q453" s="173" t="s">
        <v>583</v>
      </c>
      <c r="R453" s="173" t="s">
        <v>230</v>
      </c>
      <c r="S453" s="174">
        <v>44672</v>
      </c>
      <c r="T453" s="173" t="s">
        <v>33</v>
      </c>
      <c r="U453" s="182">
        <v>1984.55</v>
      </c>
      <c r="V453" s="177">
        <f>IF(U453=0,0,IF(T453="MXN",1/HLOOKUP(YEAR(S453)+(MONTH(S453)/100),TC!$5:$37,DAY(S453)+2,FALSE),VLOOKUP(T453,Equivalencia!$1:$23,((MAX(Equivalencia!$3:$3)-YEAR(S453))*14)+MONTH(S453)+2,FALSE)))</f>
        <v>1</v>
      </c>
      <c r="W453" s="178">
        <f t="shared" si="79"/>
        <v>1984.55</v>
      </c>
      <c r="X453" s="481">
        <f t="shared" si="75"/>
        <v>-434.20999999999981</v>
      </c>
      <c r="Y453" s="179"/>
      <c r="Z453" s="466">
        <f t="shared" si="76"/>
        <v>2585.4125639999997</v>
      </c>
      <c r="AA453" s="473">
        <f t="shared" si="77"/>
        <v>-600.86256399999979</v>
      </c>
      <c r="AB453" s="339">
        <f t="shared" si="78"/>
        <v>-0.17951760406158523</v>
      </c>
    </row>
    <row r="454" spans="2:28" ht="20.100000000000001" customHeight="1">
      <c r="B454" s="172">
        <v>1175000</v>
      </c>
      <c r="C454" s="174">
        <v>44363</v>
      </c>
      <c r="D454" s="181" t="s">
        <v>161</v>
      </c>
      <c r="E454" s="173" t="s">
        <v>33</v>
      </c>
      <c r="F454" s="176">
        <v>2116.415</v>
      </c>
      <c r="G454" s="175">
        <f t="shared" ref="G454:G517" si="80">+P454</f>
        <v>7</v>
      </c>
      <c r="H454" s="175">
        <f t="shared" si="73"/>
        <v>2116.415</v>
      </c>
      <c r="I454" s="177">
        <f>IF(G454=0,0,IF(E454="MXN",1/HLOOKUP(YEAR(C454)+(MONTH(C454)/100),TC!$5:$37,DAY(C454)+2,FALSE),VLOOKUP(E454,Equivalencia!$5:$23,((MAX(Equivalencia!$3:$3)-YEAR(C454))*14)+MONTH(C454)+2,FALSE)))</f>
        <v>1</v>
      </c>
      <c r="J454" s="178">
        <f t="shared" ref="J454:J517" si="81">+H454*I454</f>
        <v>2116.415</v>
      </c>
      <c r="K454" s="462">
        <f>IF(C454=0,0,VLOOKUP(YEAR(C454),INPC!$B$4:$O$29,MONTH(C454)+1))</f>
        <v>113.018</v>
      </c>
      <c r="L454" s="462">
        <f>IF(S454=0,0,VLOOKUP(YEAR(S454),INPC!$B$4:$O$29,MONTH(S454)+1))</f>
        <v>120.809</v>
      </c>
      <c r="M454" s="463">
        <f t="shared" si="74"/>
        <v>1.0689</v>
      </c>
      <c r="N454" s="465">
        <f t="shared" ref="N454:N517" si="82">+M454*J454</f>
        <v>2262.2359934999999</v>
      </c>
      <c r="O454" s="179"/>
      <c r="P454" s="569">
        <v>7</v>
      </c>
      <c r="Q454" s="173" t="s">
        <v>583</v>
      </c>
      <c r="R454" s="173" t="s">
        <v>230</v>
      </c>
      <c r="S454" s="174">
        <v>44672</v>
      </c>
      <c r="T454" s="173" t="s">
        <v>33</v>
      </c>
      <c r="U454" s="182">
        <v>1736.485625</v>
      </c>
      <c r="V454" s="177">
        <f>IF(U454=0,0,IF(T454="MXN",1/HLOOKUP(YEAR(S454)+(MONTH(S454)/100),TC!$5:$37,DAY(S454)+2,FALSE),VLOOKUP(T454,Equivalencia!$1:$23,((MAX(Equivalencia!$3:$3)-YEAR(S454))*14)+MONTH(S454)+2,FALSE)))</f>
        <v>1</v>
      </c>
      <c r="W454" s="178">
        <f t="shared" si="79"/>
        <v>1736.485625</v>
      </c>
      <c r="X454" s="481">
        <f t="shared" si="75"/>
        <v>-379.92937499999994</v>
      </c>
      <c r="Y454" s="179"/>
      <c r="Z454" s="466">
        <f t="shared" si="76"/>
        <v>2262.2359934999999</v>
      </c>
      <c r="AA454" s="473">
        <f t="shared" si="77"/>
        <v>-525.75036849999992</v>
      </c>
      <c r="AB454" s="339">
        <f t="shared" si="78"/>
        <v>-0.17951553688666921</v>
      </c>
    </row>
    <row r="455" spans="2:28" ht="20.100000000000001" customHeight="1">
      <c r="B455" s="172">
        <v>1175000</v>
      </c>
      <c r="C455" s="174">
        <v>44460</v>
      </c>
      <c r="D455" s="181" t="s">
        <v>161</v>
      </c>
      <c r="E455" s="173" t="s">
        <v>33</v>
      </c>
      <c r="F455" s="176">
        <v>3356.58</v>
      </c>
      <c r="G455" s="175">
        <f t="shared" si="80"/>
        <v>13</v>
      </c>
      <c r="H455" s="175">
        <f t="shared" si="73"/>
        <v>3356.58</v>
      </c>
      <c r="I455" s="177">
        <f>IF(G455=0,0,IF(E455="MXN",1/HLOOKUP(YEAR(C455)+(MONTH(C455)/100),TC!$5:$37,DAY(C455)+2,FALSE),VLOOKUP(E455,Equivalencia!$5:$23,((MAX(Equivalencia!$3:$3)-YEAR(C455))*14)+MONTH(C455)+2,FALSE)))</f>
        <v>1</v>
      </c>
      <c r="J455" s="178">
        <f t="shared" si="81"/>
        <v>3356.58</v>
      </c>
      <c r="K455" s="462">
        <f>IF(C455=0,0,VLOOKUP(YEAR(C455),INPC!$B$4:$O$29,MONTH(C455)+1))</f>
        <v>114.601</v>
      </c>
      <c r="L455" s="462">
        <f>IF(S455=0,0,VLOOKUP(YEAR(S455),INPC!$B$4:$O$29,MONTH(S455)+1))</f>
        <v>120.809</v>
      </c>
      <c r="M455" s="463">
        <f t="shared" si="74"/>
        <v>1.0541</v>
      </c>
      <c r="N455" s="465">
        <f t="shared" si="82"/>
        <v>3538.1709780000001</v>
      </c>
      <c r="O455" s="179"/>
      <c r="P455" s="570">
        <v>13</v>
      </c>
      <c r="Q455" s="173" t="s">
        <v>583</v>
      </c>
      <c r="R455" s="173" t="s">
        <v>230</v>
      </c>
      <c r="S455" s="174">
        <v>44672</v>
      </c>
      <c r="T455" s="173" t="s">
        <v>33</v>
      </c>
      <c r="U455" s="182">
        <v>3224.901875</v>
      </c>
      <c r="V455" s="177">
        <f>IF(U455=0,0,IF(T455="MXN",1/HLOOKUP(YEAR(S455)+(MONTH(S455)/100),TC!$5:$37,DAY(S455)+2,FALSE),VLOOKUP(T455,Equivalencia!$1:$23,((MAX(Equivalencia!$3:$3)-YEAR(S455))*14)+MONTH(S455)+2,FALSE)))</f>
        <v>1</v>
      </c>
      <c r="W455" s="178">
        <f t="shared" si="79"/>
        <v>3224.901875</v>
      </c>
      <c r="X455" s="481">
        <f t="shared" si="75"/>
        <v>-131.67812499999991</v>
      </c>
      <c r="Y455" s="179"/>
      <c r="Z455" s="466">
        <f t="shared" si="76"/>
        <v>3538.1709780000001</v>
      </c>
      <c r="AA455" s="473">
        <f t="shared" si="77"/>
        <v>-313.26910300000009</v>
      </c>
      <c r="AB455" s="339">
        <f t="shared" si="78"/>
        <v>-3.9229848536307732E-2</v>
      </c>
    </row>
    <row r="456" spans="2:28" ht="20.100000000000001" customHeight="1">
      <c r="B456" s="172">
        <v>1175000</v>
      </c>
      <c r="C456" s="174">
        <v>44460</v>
      </c>
      <c r="D456" s="181" t="s">
        <v>161</v>
      </c>
      <c r="E456" s="173" t="s">
        <v>33</v>
      </c>
      <c r="F456" s="176">
        <v>2059.1999999999998</v>
      </c>
      <c r="G456" s="175">
        <f t="shared" si="80"/>
        <v>8</v>
      </c>
      <c r="H456" s="175">
        <f t="shared" si="73"/>
        <v>2059.1999999999998</v>
      </c>
      <c r="I456" s="177">
        <f>IF(G456=0,0,IF(E456="MXN",1/HLOOKUP(YEAR(C456)+(MONTH(C456)/100),TC!$5:$37,DAY(C456)+2,FALSE),VLOOKUP(E456,Equivalencia!$5:$23,((MAX(Equivalencia!$3:$3)-YEAR(C456))*14)+MONTH(C456)+2,FALSE)))</f>
        <v>1</v>
      </c>
      <c r="J456" s="178">
        <f t="shared" si="81"/>
        <v>2059.1999999999998</v>
      </c>
      <c r="K456" s="462">
        <f>IF(C456=0,0,VLOOKUP(YEAR(C456),INPC!$B$4:$O$29,MONTH(C456)+1))</f>
        <v>114.601</v>
      </c>
      <c r="L456" s="462">
        <f>IF(S456=0,0,VLOOKUP(YEAR(S456),INPC!$B$4:$O$29,MONTH(S456)+1))</f>
        <v>120.809</v>
      </c>
      <c r="M456" s="463">
        <f t="shared" si="74"/>
        <v>1.0541</v>
      </c>
      <c r="N456" s="465">
        <f t="shared" si="82"/>
        <v>2170.6027199999999</v>
      </c>
      <c r="O456" s="179"/>
      <c r="P456" s="570">
        <v>8</v>
      </c>
      <c r="Q456" s="173" t="s">
        <v>583</v>
      </c>
      <c r="R456" s="173" t="s">
        <v>230</v>
      </c>
      <c r="S456" s="174">
        <v>44672</v>
      </c>
      <c r="T456" s="173" t="s">
        <v>33</v>
      </c>
      <c r="U456" s="182">
        <v>1984.5550000000001</v>
      </c>
      <c r="V456" s="177">
        <f>IF(U456=0,0,IF(T456="MXN",1/HLOOKUP(YEAR(S456)+(MONTH(S456)/100),TC!$5:$37,DAY(S456)+2,FALSE),VLOOKUP(T456,Equivalencia!$1:$23,((MAX(Equivalencia!$3:$3)-YEAR(S456))*14)+MONTH(S456)+2,FALSE)))</f>
        <v>1</v>
      </c>
      <c r="W456" s="178">
        <f t="shared" si="79"/>
        <v>1984.5550000000001</v>
      </c>
      <c r="X456" s="481">
        <f t="shared" si="75"/>
        <v>-74.644999999999754</v>
      </c>
      <c r="Y456" s="179"/>
      <c r="Z456" s="466">
        <f t="shared" si="76"/>
        <v>2170.6027199999999</v>
      </c>
      <c r="AA456" s="473">
        <f t="shared" si="77"/>
        <v>-186.0477199999998</v>
      </c>
      <c r="AB456" s="339">
        <f t="shared" si="78"/>
        <v>-3.6249514374514291E-2</v>
      </c>
    </row>
    <row r="457" spans="2:28" ht="20.100000000000001" customHeight="1">
      <c r="B457" s="172">
        <v>1175000</v>
      </c>
      <c r="C457" s="174">
        <v>44460</v>
      </c>
      <c r="D457" s="181" t="s">
        <v>161</v>
      </c>
      <c r="E457" s="173" t="s">
        <v>33</v>
      </c>
      <c r="F457" s="176">
        <v>1034.9000000000001</v>
      </c>
      <c r="G457" s="175">
        <f t="shared" si="80"/>
        <v>4</v>
      </c>
      <c r="H457" s="175">
        <f t="shared" si="73"/>
        <v>1034.9000000000001</v>
      </c>
      <c r="I457" s="177">
        <f>IF(G457=0,0,IF(E457="MXN",1/HLOOKUP(YEAR(C457)+(MONTH(C457)/100),TC!$5:$37,DAY(C457)+2,FALSE),VLOOKUP(E457,Equivalencia!$5:$23,((MAX(Equivalencia!$3:$3)-YEAR(C457))*14)+MONTH(C457)+2,FALSE)))</f>
        <v>1</v>
      </c>
      <c r="J457" s="178">
        <f t="shared" si="81"/>
        <v>1034.9000000000001</v>
      </c>
      <c r="K457" s="462">
        <f>IF(C457=0,0,VLOOKUP(YEAR(C457),INPC!$B$4:$O$29,MONTH(C457)+1))</f>
        <v>114.601</v>
      </c>
      <c r="L457" s="462">
        <f>IF(S457=0,0,VLOOKUP(YEAR(S457),INPC!$B$4:$O$29,MONTH(S457)+1))</f>
        <v>120.809</v>
      </c>
      <c r="M457" s="463">
        <f t="shared" si="74"/>
        <v>1.0541</v>
      </c>
      <c r="N457" s="465">
        <f t="shared" si="82"/>
        <v>1090.8880900000001</v>
      </c>
      <c r="O457" s="179"/>
      <c r="P457" s="571">
        <v>4</v>
      </c>
      <c r="Q457" s="173" t="s">
        <v>583</v>
      </c>
      <c r="R457" s="173" t="s">
        <v>230</v>
      </c>
      <c r="S457" s="174">
        <v>44672</v>
      </c>
      <c r="T457" s="173" t="s">
        <v>33</v>
      </c>
      <c r="U457" s="182">
        <v>992.27750000000003</v>
      </c>
      <c r="V457" s="177">
        <f>IF(U457=0,0,IF(T457="MXN",1/HLOOKUP(YEAR(S457)+(MONTH(S457)/100),TC!$5:$37,DAY(S457)+2,FALSE),VLOOKUP(T457,Equivalencia!$1:$23,((MAX(Equivalencia!$3:$3)-YEAR(S457))*14)+MONTH(S457)+2,FALSE)))</f>
        <v>1</v>
      </c>
      <c r="W457" s="178">
        <f t="shared" si="79"/>
        <v>992.27750000000003</v>
      </c>
      <c r="X457" s="481">
        <f t="shared" si="75"/>
        <v>-42.622500000000059</v>
      </c>
      <c r="Y457" s="179"/>
      <c r="Z457" s="466">
        <f t="shared" si="76"/>
        <v>1090.8880900000001</v>
      </c>
      <c r="AA457" s="473">
        <f t="shared" si="77"/>
        <v>-98.610590000000116</v>
      </c>
      <c r="AB457" s="339">
        <f t="shared" si="78"/>
        <v>-4.118513866074025E-2</v>
      </c>
    </row>
    <row r="458" spans="2:28" ht="20.100000000000001" customHeight="1">
      <c r="B458" s="172">
        <v>1175000</v>
      </c>
      <c r="C458" s="174">
        <v>44252</v>
      </c>
      <c r="D458" s="181" t="s">
        <v>164</v>
      </c>
      <c r="E458" s="173" t="s">
        <v>33</v>
      </c>
      <c r="F458" s="176">
        <v>838.4523529411764</v>
      </c>
      <c r="G458" s="175">
        <f t="shared" si="80"/>
        <v>11</v>
      </c>
      <c r="H458" s="175">
        <f t="shared" si="73"/>
        <v>838.4523529411764</v>
      </c>
      <c r="I458" s="177">
        <f>IF(G458=0,0,IF(E458="MXN",1/HLOOKUP(YEAR(C458)+(MONTH(C458)/100),TC!$5:$37,DAY(C458)+2,FALSE),VLOOKUP(E458,Equivalencia!$5:$23,((MAX(Equivalencia!$3:$3)-YEAR(C458))*14)+MONTH(C458)+2,FALSE)))</f>
        <v>1</v>
      </c>
      <c r="J458" s="178">
        <f t="shared" si="81"/>
        <v>838.4523529411764</v>
      </c>
      <c r="K458" s="462">
        <f>IF(C458=0,0,VLOOKUP(YEAR(C458),INPC!$B$4:$O$29,MONTH(C458)+1))</f>
        <v>110.907</v>
      </c>
      <c r="L458" s="462">
        <f>IF(S458=0,0,VLOOKUP(YEAR(S458),INPC!$B$4:$O$29,MONTH(S458)+1))</f>
        <v>120.15900000000001</v>
      </c>
      <c r="M458" s="463">
        <f t="shared" si="74"/>
        <v>1.0833999999999999</v>
      </c>
      <c r="N458" s="465">
        <f t="shared" si="82"/>
        <v>908.37927917647039</v>
      </c>
      <c r="O458" s="179"/>
      <c r="P458" s="180">
        <v>11</v>
      </c>
      <c r="Q458" s="173" t="s">
        <v>583</v>
      </c>
      <c r="R458" s="173" t="s">
        <v>230</v>
      </c>
      <c r="S458" s="174">
        <v>44643</v>
      </c>
      <c r="T458" s="173" t="s">
        <v>33</v>
      </c>
      <c r="U458" s="182">
        <v>869.86</v>
      </c>
      <c r="V458" s="177">
        <f>IF(U458=0,0,IF(T458="MXN",1/HLOOKUP(YEAR(S458)+(MONTH(S458)/100),TC!$5:$37,DAY(S458)+2,FALSE),VLOOKUP(T458,Equivalencia!$1:$23,((MAX(Equivalencia!$3:$3)-YEAR(S458))*14)+MONTH(S458)+2,FALSE)))</f>
        <v>1</v>
      </c>
      <c r="W458" s="178">
        <f t="shared" si="79"/>
        <v>869.86</v>
      </c>
      <c r="X458" s="481">
        <f t="shared" si="75"/>
        <v>31.407647058823613</v>
      </c>
      <c r="Y458" s="179"/>
      <c r="Z458" s="466">
        <f t="shared" si="76"/>
        <v>908.37927917647039</v>
      </c>
      <c r="AA458" s="473">
        <f t="shared" si="77"/>
        <v>-38.519279176470377</v>
      </c>
      <c r="AB458" s="339">
        <f t="shared" si="78"/>
        <v>3.7459072001706284E-2</v>
      </c>
    </row>
    <row r="459" spans="2:28" ht="20.100000000000001" customHeight="1">
      <c r="B459" s="172">
        <v>1175000</v>
      </c>
      <c r="C459" s="174">
        <v>44252</v>
      </c>
      <c r="D459" s="181" t="s">
        <v>164</v>
      </c>
      <c r="E459" s="173" t="s">
        <v>33</v>
      </c>
      <c r="F459" s="176">
        <v>3048.9176470588236</v>
      </c>
      <c r="G459" s="175">
        <f t="shared" si="80"/>
        <v>40</v>
      </c>
      <c r="H459" s="175">
        <f t="shared" si="73"/>
        <v>3048.9176470588236</v>
      </c>
      <c r="I459" s="177">
        <f>IF(G459=0,0,IF(E459="MXN",1/HLOOKUP(YEAR(C459)+(MONTH(C459)/100),TC!$5:$37,DAY(C459)+2,FALSE),VLOOKUP(E459,Equivalencia!$5:$23,((MAX(Equivalencia!$3:$3)-YEAR(C459))*14)+MONTH(C459)+2,FALSE)))</f>
        <v>1</v>
      </c>
      <c r="J459" s="178">
        <f t="shared" si="81"/>
        <v>3048.9176470588236</v>
      </c>
      <c r="K459" s="462">
        <f>IF(C459=0,0,VLOOKUP(YEAR(C459),INPC!$B$4:$O$29,MONTH(C459)+1))</f>
        <v>110.907</v>
      </c>
      <c r="L459" s="462">
        <f>IF(S459=0,0,VLOOKUP(YEAR(S459),INPC!$B$4:$O$29,MONTH(S459)+1))</f>
        <v>120.15900000000001</v>
      </c>
      <c r="M459" s="463">
        <f t="shared" si="74"/>
        <v>1.0833999999999999</v>
      </c>
      <c r="N459" s="465">
        <f t="shared" si="82"/>
        <v>3303.1973788235291</v>
      </c>
      <c r="O459" s="179"/>
      <c r="P459" s="180">
        <v>40</v>
      </c>
      <c r="Q459" s="173" t="s">
        <v>583</v>
      </c>
      <c r="R459" s="173" t="s">
        <v>230</v>
      </c>
      <c r="S459" s="174">
        <v>44643</v>
      </c>
      <c r="T459" s="173" t="s">
        <v>33</v>
      </c>
      <c r="U459" s="182">
        <v>3157.2307692307691</v>
      </c>
      <c r="V459" s="177">
        <f>IF(U459=0,0,IF(T459="MXN",1/HLOOKUP(YEAR(S459)+(MONTH(S459)/100),TC!$5:$37,DAY(S459)+2,FALSE),VLOOKUP(T459,Equivalencia!$1:$23,((MAX(Equivalencia!$3:$3)-YEAR(S459))*14)+MONTH(S459)+2,FALSE)))</f>
        <v>1</v>
      </c>
      <c r="W459" s="178">
        <f t="shared" si="79"/>
        <v>3157.2307692307691</v>
      </c>
      <c r="X459" s="481">
        <f t="shared" si="75"/>
        <v>108.31312217194545</v>
      </c>
      <c r="Y459" s="179"/>
      <c r="Z459" s="466">
        <f t="shared" si="76"/>
        <v>3303.1973788235291</v>
      </c>
      <c r="AA459" s="473">
        <f t="shared" si="77"/>
        <v>-145.96660959276005</v>
      </c>
      <c r="AB459" s="339">
        <f t="shared" si="78"/>
        <v>3.5525105860576778E-2</v>
      </c>
    </row>
    <row r="460" spans="2:28" ht="20.100000000000001" customHeight="1">
      <c r="B460" s="172">
        <v>1175000</v>
      </c>
      <c r="C460" s="174">
        <v>44257</v>
      </c>
      <c r="D460" s="181" t="s">
        <v>164</v>
      </c>
      <c r="E460" s="173" t="s">
        <v>33</v>
      </c>
      <c r="F460" s="176">
        <v>941.48538461538453</v>
      </c>
      <c r="G460" s="175">
        <f t="shared" si="80"/>
        <v>12</v>
      </c>
      <c r="H460" s="175">
        <f t="shared" si="73"/>
        <v>941.48538461538453</v>
      </c>
      <c r="I460" s="177">
        <f>IF(G460=0,0,IF(E460="MXN",1/HLOOKUP(YEAR(C460)+(MONTH(C460)/100),TC!$5:$37,DAY(C460)+2,FALSE),VLOOKUP(E460,Equivalencia!$5:$23,((MAX(Equivalencia!$3:$3)-YEAR(C460))*14)+MONTH(C460)+2,FALSE)))</f>
        <v>1</v>
      </c>
      <c r="J460" s="178">
        <f t="shared" si="81"/>
        <v>941.48538461538453</v>
      </c>
      <c r="K460" s="462">
        <f>IF(C460=0,0,VLOOKUP(YEAR(C460),INPC!$B$4:$O$29,MONTH(C460)+1))</f>
        <v>111.824</v>
      </c>
      <c r="L460" s="462">
        <f>IF(S460=0,0,VLOOKUP(YEAR(S460),INPC!$B$4:$O$29,MONTH(S460)+1))</f>
        <v>120.15900000000001</v>
      </c>
      <c r="M460" s="463">
        <f t="shared" si="74"/>
        <v>1.0745</v>
      </c>
      <c r="N460" s="465">
        <f t="shared" si="82"/>
        <v>1011.6260457692307</v>
      </c>
      <c r="O460" s="179"/>
      <c r="P460" s="180">
        <v>12</v>
      </c>
      <c r="Q460" s="173" t="s">
        <v>583</v>
      </c>
      <c r="R460" s="173" t="s">
        <v>230</v>
      </c>
      <c r="S460" s="174">
        <v>44643</v>
      </c>
      <c r="T460" s="173" t="s">
        <v>33</v>
      </c>
      <c r="U460" s="182">
        <v>947.16923076923081</v>
      </c>
      <c r="V460" s="177">
        <f>IF(U460=0,0,IF(T460="MXN",1/HLOOKUP(YEAR(S460)+(MONTH(S460)/100),TC!$5:$37,DAY(S460)+2,FALSE),VLOOKUP(T460,Equivalencia!$1:$23,((MAX(Equivalencia!$3:$3)-YEAR(S460))*14)+MONTH(S460)+2,FALSE)))</f>
        <v>1</v>
      </c>
      <c r="W460" s="178">
        <f t="shared" si="79"/>
        <v>947.16923076923081</v>
      </c>
      <c r="X460" s="481">
        <f t="shared" si="75"/>
        <v>5.6838461538462752</v>
      </c>
      <c r="Y460" s="179"/>
      <c r="Z460" s="466">
        <f t="shared" si="76"/>
        <v>1011.6260457692307</v>
      </c>
      <c r="AA460" s="473">
        <f t="shared" si="77"/>
        <v>-64.456814999999892</v>
      </c>
      <c r="AB460" s="339">
        <f t="shared" si="78"/>
        <v>6.0371050328817955E-3</v>
      </c>
    </row>
    <row r="461" spans="2:28" ht="20.100000000000001" customHeight="1">
      <c r="B461" s="172">
        <v>1175000</v>
      </c>
      <c r="C461" s="174">
        <v>44257</v>
      </c>
      <c r="D461" s="181" t="s">
        <v>164</v>
      </c>
      <c r="E461" s="173" t="s">
        <v>33</v>
      </c>
      <c r="F461" s="176">
        <v>627.65692307692302</v>
      </c>
      <c r="G461" s="175">
        <f t="shared" si="80"/>
        <v>8</v>
      </c>
      <c r="H461" s="175">
        <f t="shared" si="73"/>
        <v>627.65692307692302</v>
      </c>
      <c r="I461" s="177">
        <f>IF(G461=0,0,IF(E461="MXN",1/HLOOKUP(YEAR(C461)+(MONTH(C461)/100),TC!$5:$37,DAY(C461)+2,FALSE),VLOOKUP(E461,Equivalencia!$5:$23,((MAX(Equivalencia!$3:$3)-YEAR(C461))*14)+MONTH(C461)+2,FALSE)))</f>
        <v>1</v>
      </c>
      <c r="J461" s="178">
        <f t="shared" si="81"/>
        <v>627.65692307692302</v>
      </c>
      <c r="K461" s="462">
        <f>IF(C461=0,0,VLOOKUP(YEAR(C461),INPC!$B$4:$O$29,MONTH(C461)+1))</f>
        <v>111.824</v>
      </c>
      <c r="L461" s="462">
        <f>IF(S461=0,0,VLOOKUP(YEAR(S461),INPC!$B$4:$O$29,MONTH(S461)+1))</f>
        <v>120.15900000000001</v>
      </c>
      <c r="M461" s="463">
        <f t="shared" si="74"/>
        <v>1.0745</v>
      </c>
      <c r="N461" s="465">
        <f t="shared" si="82"/>
        <v>674.41736384615376</v>
      </c>
      <c r="O461" s="179"/>
      <c r="P461" s="180">
        <v>8</v>
      </c>
      <c r="Q461" s="173" t="s">
        <v>583</v>
      </c>
      <c r="R461" s="173" t="s">
        <v>230</v>
      </c>
      <c r="S461" s="174">
        <v>44643</v>
      </c>
      <c r="T461" s="173" t="s">
        <v>33</v>
      </c>
      <c r="U461" s="182">
        <v>631.72</v>
      </c>
      <c r="V461" s="177">
        <f>IF(U461=0,0,IF(T461="MXN",1/HLOOKUP(YEAR(S461)+(MONTH(S461)/100),TC!$5:$37,DAY(S461)+2,FALSE),VLOOKUP(T461,Equivalencia!$1:$23,((MAX(Equivalencia!$3:$3)-YEAR(S461))*14)+MONTH(S461)+2,FALSE)))</f>
        <v>1</v>
      </c>
      <c r="W461" s="178">
        <f t="shared" si="79"/>
        <v>631.72</v>
      </c>
      <c r="X461" s="481">
        <f t="shared" si="75"/>
        <v>4.0630769230770056</v>
      </c>
      <c r="Y461" s="179"/>
      <c r="Z461" s="466">
        <f t="shared" si="76"/>
        <v>674.41736384615376</v>
      </c>
      <c r="AA461" s="473">
        <f t="shared" si="77"/>
        <v>-42.697363846153735</v>
      </c>
      <c r="AB461" s="339">
        <f t="shared" si="78"/>
        <v>6.4734041379785889E-3</v>
      </c>
    </row>
    <row r="462" spans="2:28" ht="20.100000000000001" customHeight="1">
      <c r="B462" s="172">
        <v>1175000</v>
      </c>
      <c r="C462" s="174">
        <v>44257</v>
      </c>
      <c r="D462" s="181" t="s">
        <v>164</v>
      </c>
      <c r="E462" s="173" t="s">
        <v>33</v>
      </c>
      <c r="F462" s="176">
        <v>1019.9424999999999</v>
      </c>
      <c r="G462" s="175">
        <f t="shared" si="80"/>
        <v>13</v>
      </c>
      <c r="H462" s="175">
        <f t="shared" si="73"/>
        <v>1019.9424999999999</v>
      </c>
      <c r="I462" s="177">
        <f>IF(G462=0,0,IF(E462="MXN",1/HLOOKUP(YEAR(C462)+(MONTH(C462)/100),TC!$5:$37,DAY(C462)+2,FALSE),VLOOKUP(E462,Equivalencia!$5:$23,((MAX(Equivalencia!$3:$3)-YEAR(C462))*14)+MONTH(C462)+2,FALSE)))</f>
        <v>1</v>
      </c>
      <c r="J462" s="178">
        <f t="shared" si="81"/>
        <v>1019.9424999999999</v>
      </c>
      <c r="K462" s="462">
        <f>IF(C462=0,0,VLOOKUP(YEAR(C462),INPC!$B$4:$O$29,MONTH(C462)+1))</f>
        <v>111.824</v>
      </c>
      <c r="L462" s="462">
        <f>IF(S462=0,0,VLOOKUP(YEAR(S462),INPC!$B$4:$O$29,MONTH(S462)+1))</f>
        <v>120.15900000000001</v>
      </c>
      <c r="M462" s="463">
        <f t="shared" si="74"/>
        <v>1.0745</v>
      </c>
      <c r="N462" s="465">
        <f t="shared" si="82"/>
        <v>1095.9282162499999</v>
      </c>
      <c r="O462" s="179"/>
      <c r="P462" s="180">
        <v>13</v>
      </c>
      <c r="Q462" s="173" t="s">
        <v>583</v>
      </c>
      <c r="R462" s="173" t="s">
        <v>230</v>
      </c>
      <c r="S462" s="174">
        <v>44644</v>
      </c>
      <c r="T462" s="173" t="s">
        <v>33</v>
      </c>
      <c r="U462" s="182">
        <v>1010.5700000000002</v>
      </c>
      <c r="V462" s="177">
        <f>IF(U462=0,0,IF(T462="MXN",1/HLOOKUP(YEAR(S462)+(MONTH(S462)/100),TC!$5:$37,DAY(S462)+2,FALSE),VLOOKUP(T462,Equivalencia!$1:$23,((MAX(Equivalencia!$3:$3)-YEAR(S462))*14)+MONTH(S462)+2,FALSE)))</f>
        <v>1</v>
      </c>
      <c r="W462" s="178">
        <f t="shared" si="79"/>
        <v>1010.5700000000002</v>
      </c>
      <c r="X462" s="481">
        <f t="shared" si="75"/>
        <v>-9.3724999999997181</v>
      </c>
      <c r="Y462" s="179"/>
      <c r="Z462" s="466">
        <f t="shared" si="76"/>
        <v>1095.9282162499999</v>
      </c>
      <c r="AA462" s="473">
        <f t="shared" si="77"/>
        <v>-85.358216249999714</v>
      </c>
      <c r="AB462" s="339">
        <f t="shared" si="78"/>
        <v>-9.1892435112761461E-3</v>
      </c>
    </row>
    <row r="463" spans="2:28" ht="20.100000000000001" customHeight="1">
      <c r="B463" s="172">
        <v>1175000</v>
      </c>
      <c r="C463" s="174">
        <v>44257</v>
      </c>
      <c r="D463" s="181" t="s">
        <v>164</v>
      </c>
      <c r="E463" s="173" t="s">
        <v>33</v>
      </c>
      <c r="F463" s="176">
        <v>706.11403846153837</v>
      </c>
      <c r="G463" s="175">
        <f t="shared" si="80"/>
        <v>9</v>
      </c>
      <c r="H463" s="175">
        <f t="shared" si="73"/>
        <v>706.11403846153837</v>
      </c>
      <c r="I463" s="177">
        <f>IF(G463=0,0,IF(E463="MXN",1/HLOOKUP(YEAR(C463)+(MONTH(C463)/100),TC!$5:$37,DAY(C463)+2,FALSE),VLOOKUP(E463,Equivalencia!$5:$23,((MAX(Equivalencia!$3:$3)-YEAR(C463))*14)+MONTH(C463)+2,FALSE)))</f>
        <v>1</v>
      </c>
      <c r="J463" s="178">
        <f t="shared" si="81"/>
        <v>706.11403846153837</v>
      </c>
      <c r="K463" s="462">
        <f>IF(C463=0,0,VLOOKUP(YEAR(C463),INPC!$B$4:$O$29,MONTH(C463)+1))</f>
        <v>111.824</v>
      </c>
      <c r="L463" s="462">
        <f>IF(S463=0,0,VLOOKUP(YEAR(S463),INPC!$B$4:$O$29,MONTH(S463)+1))</f>
        <v>120.15900000000001</v>
      </c>
      <c r="M463" s="463">
        <f t="shared" si="74"/>
        <v>1.0745</v>
      </c>
      <c r="N463" s="465">
        <f t="shared" si="82"/>
        <v>758.71953432692294</v>
      </c>
      <c r="O463" s="179"/>
      <c r="P463" s="180">
        <v>9</v>
      </c>
      <c r="Q463" s="173" t="s">
        <v>583</v>
      </c>
      <c r="R463" s="173" t="s">
        <v>230</v>
      </c>
      <c r="S463" s="174">
        <v>44649</v>
      </c>
      <c r="T463" s="173" t="s">
        <v>33</v>
      </c>
      <c r="U463" s="182">
        <v>721.87</v>
      </c>
      <c r="V463" s="177">
        <f>IF(U463=0,0,IF(T463="MXN",1/HLOOKUP(YEAR(S463)+(MONTH(S463)/100),TC!$5:$37,DAY(S463)+2,FALSE),VLOOKUP(T463,Equivalencia!$1:$23,((MAX(Equivalencia!$3:$3)-YEAR(S463))*14)+MONTH(S463)+2,FALSE)))</f>
        <v>1</v>
      </c>
      <c r="W463" s="178">
        <f t="shared" si="79"/>
        <v>721.87</v>
      </c>
      <c r="X463" s="481">
        <f t="shared" si="75"/>
        <v>15.755961538461634</v>
      </c>
      <c r="Y463" s="179"/>
      <c r="Z463" s="466">
        <f t="shared" si="76"/>
        <v>758.71953432692294</v>
      </c>
      <c r="AA463" s="473">
        <f t="shared" si="77"/>
        <v>-36.849534326922935</v>
      </c>
      <c r="AB463" s="339">
        <f t="shared" si="78"/>
        <v>2.2313621710156495E-2</v>
      </c>
    </row>
    <row r="464" spans="2:28" ht="20.100000000000001" customHeight="1">
      <c r="B464" s="172">
        <v>1175000</v>
      </c>
      <c r="C464" s="174">
        <v>44257</v>
      </c>
      <c r="D464" s="181" t="s">
        <v>164</v>
      </c>
      <c r="E464" s="173" t="s">
        <v>33</v>
      </c>
      <c r="F464" s="176">
        <v>784.57115384615372</v>
      </c>
      <c r="G464" s="175">
        <f t="shared" si="80"/>
        <v>10</v>
      </c>
      <c r="H464" s="175">
        <f t="shared" si="73"/>
        <v>784.57115384615372</v>
      </c>
      <c r="I464" s="177">
        <f>IF(G464=0,0,IF(E464="MXN",1/HLOOKUP(YEAR(C464)+(MONTH(C464)/100),TC!$5:$37,DAY(C464)+2,FALSE),VLOOKUP(E464,Equivalencia!$5:$23,((MAX(Equivalencia!$3:$3)-YEAR(C464))*14)+MONTH(C464)+2,FALSE)))</f>
        <v>1</v>
      </c>
      <c r="J464" s="178">
        <f t="shared" si="81"/>
        <v>784.57115384615372</v>
      </c>
      <c r="K464" s="462">
        <f>IF(C464=0,0,VLOOKUP(YEAR(C464),INPC!$B$4:$O$29,MONTH(C464)+1))</f>
        <v>111.824</v>
      </c>
      <c r="L464" s="462">
        <f>IF(S464=0,0,VLOOKUP(YEAR(S464),INPC!$B$4:$O$29,MONTH(S464)+1))</f>
        <v>120.15900000000001</v>
      </c>
      <c r="M464" s="463">
        <f t="shared" si="74"/>
        <v>1.0745</v>
      </c>
      <c r="N464" s="465">
        <f t="shared" si="82"/>
        <v>843.02170480769223</v>
      </c>
      <c r="O464" s="179"/>
      <c r="P464" s="180">
        <v>10</v>
      </c>
      <c r="Q464" s="173" t="s">
        <v>583</v>
      </c>
      <c r="R464" s="173" t="s">
        <v>230</v>
      </c>
      <c r="S464" s="174">
        <v>44649</v>
      </c>
      <c r="T464" s="173" t="s">
        <v>33</v>
      </c>
      <c r="U464" s="182">
        <v>812.7928571428572</v>
      </c>
      <c r="V464" s="177">
        <f>IF(U464=0,0,IF(T464="MXN",1/HLOOKUP(YEAR(S464)+(MONTH(S464)/100),TC!$5:$37,DAY(S464)+2,FALSE),VLOOKUP(T464,Equivalencia!$1:$23,((MAX(Equivalencia!$3:$3)-YEAR(S464))*14)+MONTH(S464)+2,FALSE)))</f>
        <v>1</v>
      </c>
      <c r="W464" s="178">
        <f t="shared" si="79"/>
        <v>812.7928571428572</v>
      </c>
      <c r="X464" s="481">
        <f t="shared" si="75"/>
        <v>28.221703296703481</v>
      </c>
      <c r="Y464" s="179"/>
      <c r="Z464" s="466">
        <f t="shared" si="76"/>
        <v>843.02170480769223</v>
      </c>
      <c r="AA464" s="473">
        <f t="shared" si="77"/>
        <v>-30.22884766483503</v>
      </c>
      <c r="AB464" s="339">
        <f t="shared" si="78"/>
        <v>3.5970865304381983E-2</v>
      </c>
    </row>
    <row r="465" spans="2:28" ht="20.100000000000001" customHeight="1">
      <c r="B465" s="172">
        <v>1175000</v>
      </c>
      <c r="C465" s="174">
        <v>44266</v>
      </c>
      <c r="D465" s="181" t="s">
        <v>164</v>
      </c>
      <c r="E465" s="173" t="s">
        <v>33</v>
      </c>
      <c r="F465" s="176">
        <v>334.10559999999998</v>
      </c>
      <c r="G465" s="175">
        <f t="shared" si="80"/>
        <v>4</v>
      </c>
      <c r="H465" s="175">
        <f t="shared" si="73"/>
        <v>334.10559999999998</v>
      </c>
      <c r="I465" s="177">
        <f>IF(G465=0,0,IF(E465="MXN",1/HLOOKUP(YEAR(C465)+(MONTH(C465)/100),TC!$5:$37,DAY(C465)+2,FALSE),VLOOKUP(E465,Equivalencia!$5:$23,((MAX(Equivalencia!$3:$3)-YEAR(C465))*14)+MONTH(C465)+2,FALSE)))</f>
        <v>1</v>
      </c>
      <c r="J465" s="178">
        <f t="shared" si="81"/>
        <v>334.10559999999998</v>
      </c>
      <c r="K465" s="462">
        <f>IF(C465=0,0,VLOOKUP(YEAR(C465),INPC!$B$4:$O$29,MONTH(C465)+1))</f>
        <v>111.824</v>
      </c>
      <c r="L465" s="462">
        <f>IF(S465=0,0,VLOOKUP(YEAR(S465),INPC!$B$4:$O$29,MONTH(S465)+1))</f>
        <v>120.15900000000001</v>
      </c>
      <c r="M465" s="463">
        <f t="shared" si="74"/>
        <v>1.0745</v>
      </c>
      <c r="N465" s="465">
        <f t="shared" si="82"/>
        <v>358.99646719999998</v>
      </c>
      <c r="O465" s="179"/>
      <c r="P465" s="180">
        <v>4</v>
      </c>
      <c r="Q465" s="173" t="s">
        <v>583</v>
      </c>
      <c r="R465" s="173" t="s">
        <v>230</v>
      </c>
      <c r="S465" s="174">
        <v>44649</v>
      </c>
      <c r="T465" s="173" t="s">
        <v>33</v>
      </c>
      <c r="U465" s="182">
        <v>325.11714285714288</v>
      </c>
      <c r="V465" s="177">
        <f>IF(U465=0,0,IF(T465="MXN",1/HLOOKUP(YEAR(S465)+(MONTH(S465)/100),TC!$5:$37,DAY(S465)+2,FALSE),VLOOKUP(T465,Equivalencia!$1:$23,((MAX(Equivalencia!$3:$3)-YEAR(S465))*14)+MONTH(S465)+2,FALSE)))</f>
        <v>1</v>
      </c>
      <c r="W465" s="178">
        <f t="shared" si="79"/>
        <v>325.11714285714288</v>
      </c>
      <c r="X465" s="481">
        <f t="shared" si="75"/>
        <v>-8.9884571428571007</v>
      </c>
      <c r="Y465" s="179"/>
      <c r="Z465" s="466">
        <f t="shared" si="76"/>
        <v>358.99646719999998</v>
      </c>
      <c r="AA465" s="473">
        <f t="shared" si="77"/>
        <v>-33.879324342857103</v>
      </c>
      <c r="AB465" s="339">
        <f t="shared" si="78"/>
        <v>-2.6903042459800464E-2</v>
      </c>
    </row>
    <row r="466" spans="2:28" ht="20.100000000000001" customHeight="1">
      <c r="B466" s="172">
        <v>1175000</v>
      </c>
      <c r="C466" s="174">
        <v>44266</v>
      </c>
      <c r="D466" s="181" t="s">
        <v>164</v>
      </c>
      <c r="E466" s="173" t="s">
        <v>33</v>
      </c>
      <c r="F466" s="176">
        <v>250.57919999999999</v>
      </c>
      <c r="G466" s="175">
        <f t="shared" si="80"/>
        <v>3</v>
      </c>
      <c r="H466" s="175">
        <f t="shared" si="73"/>
        <v>250.57919999999999</v>
      </c>
      <c r="I466" s="177">
        <f>IF(G466=0,0,IF(E466="MXN",1/HLOOKUP(YEAR(C466)+(MONTH(C466)/100),TC!$5:$37,DAY(C466)+2,FALSE),VLOOKUP(E466,Equivalencia!$5:$23,((MAX(Equivalencia!$3:$3)-YEAR(C466))*14)+MONTH(C466)+2,FALSE)))</f>
        <v>1</v>
      </c>
      <c r="J466" s="178">
        <f t="shared" si="81"/>
        <v>250.57919999999999</v>
      </c>
      <c r="K466" s="462">
        <f>IF(C466=0,0,VLOOKUP(YEAR(C466),INPC!$B$4:$O$29,MONTH(C466)+1))</f>
        <v>111.824</v>
      </c>
      <c r="L466" s="462">
        <f>IF(S466=0,0,VLOOKUP(YEAR(S466),INPC!$B$4:$O$29,MONTH(S466)+1))</f>
        <v>120.15900000000001</v>
      </c>
      <c r="M466" s="463">
        <f t="shared" si="74"/>
        <v>1.0745</v>
      </c>
      <c r="N466" s="465">
        <f t="shared" si="82"/>
        <v>269.24735039999996</v>
      </c>
      <c r="O466" s="179"/>
      <c r="P466" s="180">
        <v>3</v>
      </c>
      <c r="Q466" s="173" t="s">
        <v>583</v>
      </c>
      <c r="R466" s="173" t="s">
        <v>230</v>
      </c>
      <c r="S466" s="174">
        <v>44649</v>
      </c>
      <c r="T466" s="173" t="s">
        <v>33</v>
      </c>
      <c r="U466" s="182">
        <v>242.39999999999998</v>
      </c>
      <c r="V466" s="177">
        <f>IF(U466=0,0,IF(T466="MXN",1/HLOOKUP(YEAR(S466)+(MONTH(S466)/100),TC!$5:$37,DAY(S466)+2,FALSE),VLOOKUP(T466,Equivalencia!$1:$23,((MAX(Equivalencia!$3:$3)-YEAR(S466))*14)+MONTH(S466)+2,FALSE)))</f>
        <v>1</v>
      </c>
      <c r="W466" s="178">
        <f t="shared" si="79"/>
        <v>242.39999999999998</v>
      </c>
      <c r="X466" s="481">
        <f t="shared" si="75"/>
        <v>-8.1792000000000087</v>
      </c>
      <c r="Y466" s="179"/>
      <c r="Z466" s="466">
        <f t="shared" si="76"/>
        <v>269.24735039999996</v>
      </c>
      <c r="AA466" s="473">
        <f t="shared" si="77"/>
        <v>-26.847350399999982</v>
      </c>
      <c r="AB466" s="339">
        <f t="shared" si="78"/>
        <v>-3.2641176921308745E-2</v>
      </c>
    </row>
    <row r="467" spans="2:28" ht="20.100000000000001" customHeight="1">
      <c r="B467" s="172">
        <v>1175000</v>
      </c>
      <c r="C467" s="174">
        <v>44266</v>
      </c>
      <c r="D467" s="181" t="s">
        <v>164</v>
      </c>
      <c r="E467" s="173" t="s">
        <v>33</v>
      </c>
      <c r="F467" s="176">
        <v>334.10559999999998</v>
      </c>
      <c r="G467" s="175">
        <f t="shared" si="80"/>
        <v>4</v>
      </c>
      <c r="H467" s="175">
        <f t="shared" si="73"/>
        <v>334.10559999999998</v>
      </c>
      <c r="I467" s="177">
        <f>IF(G467=0,0,IF(E467="MXN",1/HLOOKUP(YEAR(C467)+(MONTH(C467)/100),TC!$5:$37,DAY(C467)+2,FALSE),VLOOKUP(E467,Equivalencia!$5:$23,((MAX(Equivalencia!$3:$3)-YEAR(C467))*14)+MONTH(C467)+2,FALSE)))</f>
        <v>1</v>
      </c>
      <c r="J467" s="178">
        <f t="shared" si="81"/>
        <v>334.10559999999998</v>
      </c>
      <c r="K467" s="462">
        <f>IF(C467=0,0,VLOOKUP(YEAR(C467),INPC!$B$4:$O$29,MONTH(C467)+1))</f>
        <v>111.824</v>
      </c>
      <c r="L467" s="462">
        <f>IF(S467=0,0,VLOOKUP(YEAR(S467),INPC!$B$4:$O$29,MONTH(S467)+1))</f>
        <v>120.15900000000001</v>
      </c>
      <c r="M467" s="463">
        <f t="shared" si="74"/>
        <v>1.0745</v>
      </c>
      <c r="N467" s="465">
        <f t="shared" si="82"/>
        <v>358.99646719999998</v>
      </c>
      <c r="O467" s="179"/>
      <c r="P467" s="180">
        <v>4</v>
      </c>
      <c r="Q467" s="173" t="s">
        <v>583</v>
      </c>
      <c r="R467" s="173" t="s">
        <v>230</v>
      </c>
      <c r="S467" s="174">
        <v>44649</v>
      </c>
      <c r="T467" s="173" t="s">
        <v>33</v>
      </c>
      <c r="U467" s="182">
        <v>320.20999999999998</v>
      </c>
      <c r="V467" s="177">
        <f>IF(U467=0,0,IF(T467="MXN",1/HLOOKUP(YEAR(S467)+(MONTH(S467)/100),TC!$5:$37,DAY(S467)+2,FALSE),VLOOKUP(T467,Equivalencia!$1:$23,((MAX(Equivalencia!$3:$3)-YEAR(S467))*14)+MONTH(S467)+2,FALSE)))</f>
        <v>1</v>
      </c>
      <c r="W467" s="178">
        <f t="shared" si="79"/>
        <v>320.20999999999998</v>
      </c>
      <c r="X467" s="481">
        <f t="shared" si="75"/>
        <v>-13.895600000000002</v>
      </c>
      <c r="Y467" s="179"/>
      <c r="Z467" s="466">
        <f t="shared" si="76"/>
        <v>358.99646719999998</v>
      </c>
      <c r="AA467" s="473">
        <f t="shared" si="77"/>
        <v>-38.786467200000004</v>
      </c>
      <c r="AB467" s="339">
        <f t="shared" si="78"/>
        <v>-4.1590443261052767E-2</v>
      </c>
    </row>
    <row r="468" spans="2:28" ht="20.100000000000001" customHeight="1">
      <c r="B468" s="172">
        <v>1175000</v>
      </c>
      <c r="C468" s="174">
        <v>44266</v>
      </c>
      <c r="D468" s="181" t="s">
        <v>164</v>
      </c>
      <c r="E468" s="173" t="s">
        <v>33</v>
      </c>
      <c r="F468" s="176">
        <v>3257.5295999999998</v>
      </c>
      <c r="G468" s="175">
        <f t="shared" si="80"/>
        <v>39</v>
      </c>
      <c r="H468" s="175">
        <f t="shared" si="73"/>
        <v>3257.5295999999998</v>
      </c>
      <c r="I468" s="177">
        <f>IF(G468=0,0,IF(E468="MXN",1/HLOOKUP(YEAR(C468)+(MONTH(C468)/100),TC!$5:$37,DAY(C468)+2,FALSE),VLOOKUP(E468,Equivalencia!$5:$23,((MAX(Equivalencia!$3:$3)-YEAR(C468))*14)+MONTH(C468)+2,FALSE)))</f>
        <v>1</v>
      </c>
      <c r="J468" s="178">
        <f t="shared" si="81"/>
        <v>3257.5295999999998</v>
      </c>
      <c r="K468" s="462">
        <f>IF(C468=0,0,VLOOKUP(YEAR(C468),INPC!$B$4:$O$29,MONTH(C468)+1))</f>
        <v>111.824</v>
      </c>
      <c r="L468" s="462">
        <f>IF(S468=0,0,VLOOKUP(YEAR(S468),INPC!$B$4:$O$29,MONTH(S468)+1))</f>
        <v>120.15900000000001</v>
      </c>
      <c r="M468" s="463">
        <f t="shared" si="74"/>
        <v>1.0745</v>
      </c>
      <c r="N468" s="465">
        <f t="shared" si="82"/>
        <v>3500.2155551999999</v>
      </c>
      <c r="O468" s="179"/>
      <c r="P468" s="180">
        <v>39</v>
      </c>
      <c r="Q468" s="173" t="s">
        <v>583</v>
      </c>
      <c r="R468" s="173" t="s">
        <v>230</v>
      </c>
      <c r="S468" s="174">
        <v>44650</v>
      </c>
      <c r="T468" s="173" t="s">
        <v>33</v>
      </c>
      <c r="U468" s="182">
        <v>3140.0749999999998</v>
      </c>
      <c r="V468" s="177">
        <f>IF(U468=0,0,IF(T468="MXN",1/HLOOKUP(YEAR(S468)+(MONTH(S468)/100),TC!$5:$37,DAY(S468)+2,FALSE),VLOOKUP(T468,Equivalencia!$1:$23,((MAX(Equivalencia!$3:$3)-YEAR(S468))*14)+MONTH(S468)+2,FALSE)))</f>
        <v>1</v>
      </c>
      <c r="W468" s="178">
        <f t="shared" si="79"/>
        <v>3140.0749999999998</v>
      </c>
      <c r="X468" s="481">
        <f t="shared" si="75"/>
        <v>-117.45460000000003</v>
      </c>
      <c r="Y468" s="179"/>
      <c r="Z468" s="466">
        <f t="shared" si="76"/>
        <v>3500.2155551999999</v>
      </c>
      <c r="AA468" s="473">
        <f t="shared" si="77"/>
        <v>-360.14055520000011</v>
      </c>
      <c r="AB468" s="339">
        <f t="shared" si="78"/>
        <v>-3.6056341590879226E-2</v>
      </c>
    </row>
    <row r="469" spans="2:28" ht="20.100000000000001" customHeight="1">
      <c r="B469" s="172">
        <v>1175000</v>
      </c>
      <c r="C469" s="174">
        <v>44266</v>
      </c>
      <c r="D469" s="181" t="s">
        <v>164</v>
      </c>
      <c r="E469" s="173" t="s">
        <v>33</v>
      </c>
      <c r="F469" s="176">
        <v>167.52</v>
      </c>
      <c r="G469" s="175">
        <f t="shared" si="80"/>
        <v>2</v>
      </c>
      <c r="H469" s="175">
        <f t="shared" si="73"/>
        <v>167.52</v>
      </c>
      <c r="I469" s="177">
        <f>IF(G469=0,0,IF(E469="MXN",1/HLOOKUP(YEAR(C469)+(MONTH(C469)/100),TC!$5:$37,DAY(C469)+2,FALSE),VLOOKUP(E469,Equivalencia!$5:$23,((MAX(Equivalencia!$3:$3)-YEAR(C469))*14)+MONTH(C469)+2,FALSE)))</f>
        <v>1</v>
      </c>
      <c r="J469" s="178">
        <f t="shared" si="81"/>
        <v>167.52</v>
      </c>
      <c r="K469" s="462">
        <f>IF(C469=0,0,VLOOKUP(YEAR(C469),INPC!$B$4:$O$29,MONTH(C469)+1))</f>
        <v>111.824</v>
      </c>
      <c r="L469" s="462">
        <f>IF(S469=0,0,VLOOKUP(YEAR(S469),INPC!$B$4:$O$29,MONTH(S469)+1))</f>
        <v>120.15900000000001</v>
      </c>
      <c r="M469" s="463">
        <f t="shared" si="74"/>
        <v>1.0745</v>
      </c>
      <c r="N469" s="465">
        <f t="shared" si="82"/>
        <v>180.00024000000002</v>
      </c>
      <c r="O469" s="179"/>
      <c r="P469" s="180">
        <v>2</v>
      </c>
      <c r="Q469" s="173" t="s">
        <v>583</v>
      </c>
      <c r="R469" s="173" t="s">
        <v>230</v>
      </c>
      <c r="S469" s="174">
        <v>44650</v>
      </c>
      <c r="T469" s="173" t="s">
        <v>33</v>
      </c>
      <c r="U469" s="182">
        <v>161.02948717948718</v>
      </c>
      <c r="V469" s="177">
        <f>IF(U469=0,0,IF(T469="MXN",1/HLOOKUP(YEAR(S469)+(MONTH(S469)/100),TC!$5:$37,DAY(S469)+2,FALSE),VLOOKUP(T469,Equivalencia!$1:$23,((MAX(Equivalencia!$3:$3)-YEAR(S469))*14)+MONTH(S469)+2,FALSE)))</f>
        <v>1</v>
      </c>
      <c r="W469" s="178">
        <f t="shared" si="79"/>
        <v>161.02948717948718</v>
      </c>
      <c r="X469" s="481">
        <f t="shared" si="75"/>
        <v>-6.4905128205128335</v>
      </c>
      <c r="Y469" s="179"/>
      <c r="Z469" s="466">
        <f t="shared" si="76"/>
        <v>180.00024000000002</v>
      </c>
      <c r="AA469" s="473">
        <f t="shared" si="77"/>
        <v>-18.970752820512843</v>
      </c>
      <c r="AB469" s="339">
        <f t="shared" si="78"/>
        <v>-3.8744704038400357E-2</v>
      </c>
    </row>
    <row r="470" spans="2:28" ht="20.100000000000001" customHeight="1">
      <c r="B470" s="172">
        <v>1175000</v>
      </c>
      <c r="C470" s="174">
        <v>44329</v>
      </c>
      <c r="D470" s="181" t="s">
        <v>164</v>
      </c>
      <c r="E470" s="173" t="s">
        <v>33</v>
      </c>
      <c r="F470" s="176">
        <v>1030.53</v>
      </c>
      <c r="G470" s="175">
        <f t="shared" si="80"/>
        <v>11</v>
      </c>
      <c r="H470" s="175">
        <f t="shared" si="73"/>
        <v>1030.53</v>
      </c>
      <c r="I470" s="177">
        <f>IF(G470=0,0,IF(E470="MXN",1/HLOOKUP(YEAR(C470)+(MONTH(C470)/100),TC!$5:$37,DAY(C470)+2,FALSE),VLOOKUP(E470,Equivalencia!$5:$23,((MAX(Equivalencia!$3:$3)-YEAR(C470))*14)+MONTH(C470)+2,FALSE)))</f>
        <v>1</v>
      </c>
      <c r="J470" s="178">
        <f t="shared" si="81"/>
        <v>1030.53</v>
      </c>
      <c r="K470" s="462">
        <f>IF(C470=0,0,VLOOKUP(YEAR(C470),INPC!$B$4:$O$29,MONTH(C470)+1))</f>
        <v>112.419</v>
      </c>
      <c r="L470" s="462">
        <f>IF(S470=0,0,VLOOKUP(YEAR(S470),INPC!$B$4:$O$29,MONTH(S470)+1))</f>
        <v>120.15900000000001</v>
      </c>
      <c r="M470" s="463">
        <f t="shared" si="74"/>
        <v>1.0688</v>
      </c>
      <c r="N470" s="465">
        <f t="shared" si="82"/>
        <v>1101.430464</v>
      </c>
      <c r="O470" s="179"/>
      <c r="P470" s="180">
        <v>11</v>
      </c>
      <c r="Q470" s="173" t="s">
        <v>583</v>
      </c>
      <c r="R470" s="173" t="s">
        <v>230</v>
      </c>
      <c r="S470" s="174">
        <v>44650</v>
      </c>
      <c r="T470" s="173" t="s">
        <v>33</v>
      </c>
      <c r="U470" s="182">
        <v>885.66217948717951</v>
      </c>
      <c r="V470" s="177">
        <f>IF(U470=0,0,IF(T470="MXN",1/HLOOKUP(YEAR(S470)+(MONTH(S470)/100),TC!$5:$37,DAY(S470)+2,FALSE),VLOOKUP(T470,Equivalencia!$1:$23,((MAX(Equivalencia!$3:$3)-YEAR(S470))*14)+MONTH(S470)+2,FALSE)))</f>
        <v>1</v>
      </c>
      <c r="W470" s="178">
        <f t="shared" si="79"/>
        <v>885.66217948717951</v>
      </c>
      <c r="X470" s="481">
        <f t="shared" si="75"/>
        <v>-144.86782051282046</v>
      </c>
      <c r="Y470" s="179"/>
      <c r="Z470" s="466">
        <f t="shared" si="76"/>
        <v>1101.430464</v>
      </c>
      <c r="AA470" s="473">
        <f t="shared" si="77"/>
        <v>-215.76828451282051</v>
      </c>
      <c r="AB470" s="339">
        <f t="shared" si="78"/>
        <v>-0.14057603418902942</v>
      </c>
    </row>
    <row r="471" spans="2:28" ht="20.100000000000001" customHeight="1">
      <c r="B471" s="172">
        <v>1175000</v>
      </c>
      <c r="C471" s="174">
        <v>44329</v>
      </c>
      <c r="D471" s="181" t="s">
        <v>164</v>
      </c>
      <c r="E471" s="173" t="s">
        <v>33</v>
      </c>
      <c r="F471" s="176">
        <v>2437.257333333333</v>
      </c>
      <c r="G471" s="175">
        <f t="shared" si="80"/>
        <v>26</v>
      </c>
      <c r="H471" s="175">
        <f t="shared" si="73"/>
        <v>2437.257333333333</v>
      </c>
      <c r="I471" s="177">
        <f>IF(G471=0,0,IF(E471="MXN",1/HLOOKUP(YEAR(C471)+(MONTH(C471)/100),TC!$5:$37,DAY(C471)+2,FALSE),VLOOKUP(E471,Equivalencia!$5:$23,((MAX(Equivalencia!$3:$3)-YEAR(C471))*14)+MONTH(C471)+2,FALSE)))</f>
        <v>1</v>
      </c>
      <c r="J471" s="178">
        <f t="shared" si="81"/>
        <v>2437.257333333333</v>
      </c>
      <c r="K471" s="462">
        <f>IF(C471=0,0,VLOOKUP(YEAR(C471),INPC!$B$4:$O$29,MONTH(C471)+1))</f>
        <v>112.419</v>
      </c>
      <c r="L471" s="462">
        <f>IF(S471=0,0,VLOOKUP(YEAR(S471),INPC!$B$4:$O$29,MONTH(S471)+1))</f>
        <v>120.15900000000001</v>
      </c>
      <c r="M471" s="463">
        <f t="shared" si="74"/>
        <v>1.0688</v>
      </c>
      <c r="N471" s="465">
        <f t="shared" si="82"/>
        <v>2604.9406378666663</v>
      </c>
      <c r="O471" s="179"/>
      <c r="P471" s="180">
        <v>26</v>
      </c>
      <c r="Q471" s="173" t="s">
        <v>583</v>
      </c>
      <c r="R471" s="173" t="s">
        <v>230</v>
      </c>
      <c r="S471" s="174">
        <v>44650</v>
      </c>
      <c r="T471" s="173" t="s">
        <v>33</v>
      </c>
      <c r="U471" s="182">
        <v>2093.3833333333332</v>
      </c>
      <c r="V471" s="177">
        <f>IF(U471=0,0,IF(T471="MXN",1/HLOOKUP(YEAR(S471)+(MONTH(S471)/100),TC!$5:$37,DAY(S471)+2,FALSE),VLOOKUP(T471,Equivalencia!$1:$23,((MAX(Equivalencia!$3:$3)-YEAR(S471))*14)+MONTH(S471)+2,FALSE)))</f>
        <v>1</v>
      </c>
      <c r="W471" s="178">
        <f t="shared" si="79"/>
        <v>2093.3833333333332</v>
      </c>
      <c r="X471" s="481">
        <f t="shared" si="75"/>
        <v>-343.8739999999998</v>
      </c>
      <c r="Y471" s="179"/>
      <c r="Z471" s="466">
        <f t="shared" si="76"/>
        <v>2604.9406378666663</v>
      </c>
      <c r="AA471" s="473">
        <f t="shared" si="77"/>
        <v>-511.55730453333308</v>
      </c>
      <c r="AB471" s="339">
        <f t="shared" si="78"/>
        <v>-0.14109055916951452</v>
      </c>
    </row>
    <row r="472" spans="2:28" ht="20.100000000000001" customHeight="1">
      <c r="B472" s="172">
        <v>1175000</v>
      </c>
      <c r="C472" s="174">
        <v>44329</v>
      </c>
      <c r="D472" s="181" t="s">
        <v>164</v>
      </c>
      <c r="E472" s="173" t="s">
        <v>33</v>
      </c>
      <c r="F472" s="176">
        <v>374.96266666666662</v>
      </c>
      <c r="G472" s="175">
        <f t="shared" si="80"/>
        <v>4</v>
      </c>
      <c r="H472" s="175">
        <f t="shared" si="73"/>
        <v>374.96266666666662</v>
      </c>
      <c r="I472" s="177">
        <f>IF(G472=0,0,IF(E472="MXN",1/HLOOKUP(YEAR(C472)+(MONTH(C472)/100),TC!$5:$37,DAY(C472)+2,FALSE),VLOOKUP(E472,Equivalencia!$5:$23,((MAX(Equivalencia!$3:$3)-YEAR(C472))*14)+MONTH(C472)+2,FALSE)))</f>
        <v>1</v>
      </c>
      <c r="J472" s="178">
        <f t="shared" si="81"/>
        <v>374.96266666666662</v>
      </c>
      <c r="K472" s="462">
        <f>IF(C472=0,0,VLOOKUP(YEAR(C472),INPC!$B$4:$O$29,MONTH(C472)+1))</f>
        <v>112.419</v>
      </c>
      <c r="L472" s="462">
        <f>IF(S472=0,0,VLOOKUP(YEAR(S472),INPC!$B$4:$O$29,MONTH(S472)+1))</f>
        <v>120.15900000000001</v>
      </c>
      <c r="M472" s="463">
        <f t="shared" si="74"/>
        <v>1.0688</v>
      </c>
      <c r="N472" s="465">
        <f t="shared" si="82"/>
        <v>400.76009813333326</v>
      </c>
      <c r="O472" s="179"/>
      <c r="P472" s="180">
        <v>4</v>
      </c>
      <c r="Q472" s="173" t="s">
        <v>583</v>
      </c>
      <c r="R472" s="173" t="s">
        <v>230</v>
      </c>
      <c r="S472" s="174">
        <v>44651</v>
      </c>
      <c r="T472" s="173" t="s">
        <v>33</v>
      </c>
      <c r="U472" s="182">
        <v>305.16660550458721</v>
      </c>
      <c r="V472" s="177">
        <f>IF(U472=0,0,IF(T472="MXN",1/HLOOKUP(YEAR(S472)+(MONTH(S472)/100),TC!$5:$37,DAY(S472)+2,FALSE),VLOOKUP(T472,Equivalencia!$1:$23,((MAX(Equivalencia!$3:$3)-YEAR(S472))*14)+MONTH(S472)+2,FALSE)))</f>
        <v>1</v>
      </c>
      <c r="W472" s="178">
        <f t="shared" si="79"/>
        <v>305.16660550458721</v>
      </c>
      <c r="X472" s="481">
        <f t="shared" si="75"/>
        <v>-69.796061162079411</v>
      </c>
      <c r="Y472" s="179"/>
      <c r="Z472" s="466">
        <f t="shared" si="76"/>
        <v>400.76009813333326</v>
      </c>
      <c r="AA472" s="473">
        <f t="shared" si="77"/>
        <v>-95.593492628746048</v>
      </c>
      <c r="AB472" s="339">
        <f t="shared" si="78"/>
        <v>-0.18614136117216851</v>
      </c>
    </row>
    <row r="473" spans="2:28" ht="20.100000000000001" customHeight="1">
      <c r="B473" s="172">
        <v>1175000</v>
      </c>
      <c r="C473" s="174">
        <v>44341</v>
      </c>
      <c r="D473" s="181" t="s">
        <v>164</v>
      </c>
      <c r="E473" s="173" t="s">
        <v>33</v>
      </c>
      <c r="F473" s="176">
        <v>375.3</v>
      </c>
      <c r="G473" s="175">
        <f t="shared" si="80"/>
        <v>4</v>
      </c>
      <c r="H473" s="175">
        <f t="shared" si="73"/>
        <v>375.3</v>
      </c>
      <c r="I473" s="177">
        <f>IF(G473=0,0,IF(E473="MXN",1/HLOOKUP(YEAR(C473)+(MONTH(C473)/100),TC!$5:$37,DAY(C473)+2,FALSE),VLOOKUP(E473,Equivalencia!$5:$23,((MAX(Equivalencia!$3:$3)-YEAR(C473))*14)+MONTH(C473)+2,FALSE)))</f>
        <v>1</v>
      </c>
      <c r="J473" s="178">
        <f t="shared" si="81"/>
        <v>375.3</v>
      </c>
      <c r="K473" s="462">
        <f>IF(C473=0,0,VLOOKUP(YEAR(C473),INPC!$B$4:$O$29,MONTH(C473)+1))</f>
        <v>112.419</v>
      </c>
      <c r="L473" s="462">
        <f>IF(S473=0,0,VLOOKUP(YEAR(S473),INPC!$B$4:$O$29,MONTH(S473)+1))</f>
        <v>120.15900000000001</v>
      </c>
      <c r="M473" s="463">
        <f t="shared" si="74"/>
        <v>1.0688</v>
      </c>
      <c r="N473" s="465">
        <f t="shared" si="82"/>
        <v>401.12063999999998</v>
      </c>
      <c r="O473" s="179"/>
      <c r="P473" s="180">
        <v>4</v>
      </c>
      <c r="Q473" s="173" t="s">
        <v>583</v>
      </c>
      <c r="R473" s="173" t="s">
        <v>230</v>
      </c>
      <c r="S473" s="174">
        <v>44651</v>
      </c>
      <c r="T473" s="173" t="s">
        <v>33</v>
      </c>
      <c r="U473" s="182">
        <v>305.16660550458721</v>
      </c>
      <c r="V473" s="177">
        <f>IF(U473=0,0,IF(T473="MXN",1/HLOOKUP(YEAR(S473)+(MONTH(S473)/100),TC!$5:$37,DAY(S473)+2,FALSE),VLOOKUP(T473,Equivalencia!$1:$23,((MAX(Equivalencia!$3:$3)-YEAR(S473))*14)+MONTH(S473)+2,FALSE)))</f>
        <v>1</v>
      </c>
      <c r="W473" s="178">
        <f t="shared" si="79"/>
        <v>305.16660550458721</v>
      </c>
      <c r="X473" s="481">
        <f t="shared" si="75"/>
        <v>-70.133394495412801</v>
      </c>
      <c r="Y473" s="179"/>
      <c r="Z473" s="466">
        <f t="shared" si="76"/>
        <v>401.12063999999998</v>
      </c>
      <c r="AA473" s="473">
        <f t="shared" si="77"/>
        <v>-95.95403449541277</v>
      </c>
      <c r="AB473" s="339">
        <f t="shared" si="78"/>
        <v>-0.18687288701149163</v>
      </c>
    </row>
    <row r="474" spans="2:28" ht="20.100000000000001" customHeight="1">
      <c r="B474" s="172">
        <v>1175000</v>
      </c>
      <c r="C474" s="174">
        <v>44341</v>
      </c>
      <c r="D474" s="181" t="s">
        <v>164</v>
      </c>
      <c r="E474" s="173" t="s">
        <v>33</v>
      </c>
      <c r="F474" s="176">
        <v>3646.1100000000006</v>
      </c>
      <c r="G474" s="175">
        <f t="shared" si="80"/>
        <v>39</v>
      </c>
      <c r="H474" s="175">
        <f t="shared" si="73"/>
        <v>3646.1100000000006</v>
      </c>
      <c r="I474" s="177">
        <f>IF(G474=0,0,IF(E474="MXN",1/HLOOKUP(YEAR(C474)+(MONTH(C474)/100),TC!$5:$37,DAY(C474)+2,FALSE),VLOOKUP(E474,Equivalencia!$5:$23,((MAX(Equivalencia!$3:$3)-YEAR(C474))*14)+MONTH(C474)+2,FALSE)))</f>
        <v>1</v>
      </c>
      <c r="J474" s="178">
        <f t="shared" si="81"/>
        <v>3646.1100000000006</v>
      </c>
      <c r="K474" s="462">
        <f>IF(C474=0,0,VLOOKUP(YEAR(C474),INPC!$B$4:$O$29,MONTH(C474)+1))</f>
        <v>112.419</v>
      </c>
      <c r="L474" s="462">
        <f>IF(S474=0,0,VLOOKUP(YEAR(S474),INPC!$B$4:$O$29,MONTH(S474)+1))</f>
        <v>120.15900000000001</v>
      </c>
      <c r="M474" s="463">
        <f t="shared" si="74"/>
        <v>1.0688</v>
      </c>
      <c r="N474" s="465">
        <f t="shared" si="82"/>
        <v>3896.9623680000004</v>
      </c>
      <c r="O474" s="179"/>
      <c r="P474" s="180">
        <v>39</v>
      </c>
      <c r="Q474" s="173" t="s">
        <v>583</v>
      </c>
      <c r="R474" s="173" t="s">
        <v>230</v>
      </c>
      <c r="S474" s="174">
        <v>44651</v>
      </c>
      <c r="T474" s="173" t="s">
        <v>33</v>
      </c>
      <c r="U474" s="182">
        <v>2975.3744036697253</v>
      </c>
      <c r="V474" s="177">
        <f>IF(U474=0,0,IF(T474="MXN",1/HLOOKUP(YEAR(S474)+(MONTH(S474)/100),TC!$5:$37,DAY(S474)+2,FALSE),VLOOKUP(T474,Equivalencia!$1:$23,((MAX(Equivalencia!$3:$3)-YEAR(S474))*14)+MONTH(S474)+2,FALSE)))</f>
        <v>1</v>
      </c>
      <c r="W474" s="178">
        <f t="shared" si="79"/>
        <v>2975.3744036697253</v>
      </c>
      <c r="X474" s="481">
        <f t="shared" si="75"/>
        <v>-670.73559633027526</v>
      </c>
      <c r="Y474" s="179"/>
      <c r="Z474" s="466">
        <f t="shared" si="76"/>
        <v>3896.9623680000004</v>
      </c>
      <c r="AA474" s="473">
        <f t="shared" si="77"/>
        <v>-921.5879643302751</v>
      </c>
      <c r="AB474" s="339">
        <f t="shared" si="78"/>
        <v>-0.1839592322585647</v>
      </c>
    </row>
    <row r="475" spans="2:28" ht="20.100000000000001" customHeight="1">
      <c r="B475" s="172">
        <v>1175000</v>
      </c>
      <c r="C475" s="174">
        <v>44363</v>
      </c>
      <c r="D475" s="181" t="s">
        <v>164</v>
      </c>
      <c r="E475" s="173" t="s">
        <v>33</v>
      </c>
      <c r="F475" s="176">
        <v>5516.9263414634152</v>
      </c>
      <c r="G475" s="175">
        <f t="shared" si="80"/>
        <v>62</v>
      </c>
      <c r="H475" s="175">
        <f t="shared" si="73"/>
        <v>5516.9263414634152</v>
      </c>
      <c r="I475" s="177">
        <f>IF(G475=0,0,IF(E475="MXN",1/HLOOKUP(YEAR(C475)+(MONTH(C475)/100),TC!$5:$37,DAY(C475)+2,FALSE),VLOOKUP(E475,Equivalencia!$5:$23,((MAX(Equivalencia!$3:$3)-YEAR(C475))*14)+MONTH(C475)+2,FALSE)))</f>
        <v>1</v>
      </c>
      <c r="J475" s="178">
        <f t="shared" si="81"/>
        <v>5516.9263414634152</v>
      </c>
      <c r="K475" s="462">
        <f>IF(C475=0,0,VLOOKUP(YEAR(C475),INPC!$B$4:$O$29,MONTH(C475)+1))</f>
        <v>113.018</v>
      </c>
      <c r="L475" s="462">
        <f>IF(S475=0,0,VLOOKUP(YEAR(S475),INPC!$B$4:$O$29,MONTH(S475)+1))</f>
        <v>120.15900000000001</v>
      </c>
      <c r="M475" s="463">
        <f t="shared" si="74"/>
        <v>1.0630999999999999</v>
      </c>
      <c r="N475" s="465">
        <f t="shared" si="82"/>
        <v>5865.0443936097563</v>
      </c>
      <c r="O475" s="179"/>
      <c r="P475" s="180">
        <v>62</v>
      </c>
      <c r="Q475" s="173" t="s">
        <v>583</v>
      </c>
      <c r="R475" s="173" t="s">
        <v>230</v>
      </c>
      <c r="S475" s="174">
        <v>44651</v>
      </c>
      <c r="T475" s="173" t="s">
        <v>33</v>
      </c>
      <c r="U475" s="182">
        <v>4730.0823853211014</v>
      </c>
      <c r="V475" s="177">
        <f>IF(U475=0,0,IF(T475="MXN",1/HLOOKUP(YEAR(S475)+(MONTH(S475)/100),TC!$5:$37,DAY(S475)+2,FALSE),VLOOKUP(T475,Equivalencia!$1:$23,((MAX(Equivalencia!$3:$3)-YEAR(S475))*14)+MONTH(S475)+2,FALSE)))</f>
        <v>1</v>
      </c>
      <c r="W475" s="178">
        <f t="shared" si="79"/>
        <v>4730.0823853211014</v>
      </c>
      <c r="X475" s="481">
        <f t="shared" si="75"/>
        <v>-786.8439561423138</v>
      </c>
      <c r="Y475" s="179"/>
      <c r="Z475" s="466">
        <f t="shared" si="76"/>
        <v>5865.0443936097563</v>
      </c>
      <c r="AA475" s="473">
        <f t="shared" si="77"/>
        <v>-1134.9620082886549</v>
      </c>
      <c r="AB475" s="339">
        <f t="shared" si="78"/>
        <v>-0.142623610945945</v>
      </c>
    </row>
    <row r="476" spans="2:28" ht="20.100000000000001" customHeight="1">
      <c r="B476" s="172">
        <v>1175000</v>
      </c>
      <c r="C476" s="174">
        <v>44363</v>
      </c>
      <c r="D476" s="181" t="s">
        <v>164</v>
      </c>
      <c r="E476" s="173" t="s">
        <v>33</v>
      </c>
      <c r="F476" s="176">
        <v>177.96536585365854</v>
      </c>
      <c r="G476" s="175">
        <f t="shared" si="80"/>
        <v>2</v>
      </c>
      <c r="H476" s="175">
        <f t="shared" si="73"/>
        <v>177.96536585365854</v>
      </c>
      <c r="I476" s="177">
        <f>IF(G476=0,0,IF(E476="MXN",1/HLOOKUP(YEAR(C476)+(MONTH(C476)/100),TC!$5:$37,DAY(C476)+2,FALSE),VLOOKUP(E476,Equivalencia!$5:$23,((MAX(Equivalencia!$3:$3)-YEAR(C476))*14)+MONTH(C476)+2,FALSE)))</f>
        <v>1</v>
      </c>
      <c r="J476" s="178">
        <f t="shared" si="81"/>
        <v>177.96536585365854</v>
      </c>
      <c r="K476" s="462">
        <f>IF(C476=0,0,VLOOKUP(YEAR(C476),INPC!$B$4:$O$29,MONTH(C476)+1))</f>
        <v>113.018</v>
      </c>
      <c r="L476" s="462">
        <f>IF(S476=0,0,VLOOKUP(YEAR(S476),INPC!$B$4:$O$29,MONTH(S476)+1))</f>
        <v>120.15900000000001</v>
      </c>
      <c r="M476" s="463">
        <f t="shared" si="74"/>
        <v>1.0630999999999999</v>
      </c>
      <c r="N476" s="465">
        <f t="shared" si="82"/>
        <v>189.19498043902439</v>
      </c>
      <c r="O476" s="179"/>
      <c r="P476" s="180">
        <v>2</v>
      </c>
      <c r="Q476" s="173" t="s">
        <v>583</v>
      </c>
      <c r="R476" s="173" t="s">
        <v>230</v>
      </c>
      <c r="S476" s="174">
        <v>44651</v>
      </c>
      <c r="T476" s="173" t="s">
        <v>33</v>
      </c>
      <c r="U476" s="182">
        <v>151.24</v>
      </c>
      <c r="V476" s="177">
        <f>IF(U476=0,0,IF(T476="MXN",1/HLOOKUP(YEAR(S476)+(MONTH(S476)/100),TC!$5:$37,DAY(S476)+2,FALSE),VLOOKUP(T476,Equivalencia!$1:$23,((MAX(Equivalencia!$3:$3)-YEAR(S476))*14)+MONTH(S476)+2,FALSE)))</f>
        <v>1</v>
      </c>
      <c r="W476" s="178">
        <f t="shared" si="79"/>
        <v>151.24</v>
      </c>
      <c r="X476" s="481">
        <f t="shared" si="75"/>
        <v>-26.725365853658531</v>
      </c>
      <c r="Y476" s="179"/>
      <c r="Z476" s="466">
        <f t="shared" si="76"/>
        <v>189.19498043902439</v>
      </c>
      <c r="AA476" s="473">
        <f t="shared" si="77"/>
        <v>-37.954980439024382</v>
      </c>
      <c r="AB476" s="339">
        <f t="shared" si="78"/>
        <v>-0.15017172428726877</v>
      </c>
    </row>
    <row r="477" spans="2:28" ht="20.100000000000001" customHeight="1">
      <c r="B477" s="172">
        <v>1175000</v>
      </c>
      <c r="C477" s="174">
        <v>44363</v>
      </c>
      <c r="D477" s="181" t="s">
        <v>164</v>
      </c>
      <c r="E477" s="173" t="s">
        <v>33</v>
      </c>
      <c r="F477" s="176">
        <v>177.96536585365854</v>
      </c>
      <c r="G477" s="175">
        <f t="shared" si="80"/>
        <v>2</v>
      </c>
      <c r="H477" s="175">
        <f t="shared" si="73"/>
        <v>177.96536585365854</v>
      </c>
      <c r="I477" s="177">
        <f>IF(G477=0,0,IF(E477="MXN",1/HLOOKUP(YEAR(C477)+(MONTH(C477)/100),TC!$5:$37,DAY(C477)+2,FALSE),VLOOKUP(E477,Equivalencia!$5:$23,((MAX(Equivalencia!$3:$3)-YEAR(C477))*14)+MONTH(C477)+2,FALSE)))</f>
        <v>1</v>
      </c>
      <c r="J477" s="178">
        <f t="shared" si="81"/>
        <v>177.96536585365854</v>
      </c>
      <c r="K477" s="462">
        <f>IF(C477=0,0,VLOOKUP(YEAR(C477),INPC!$B$4:$O$29,MONTH(C477)+1))</f>
        <v>113.018</v>
      </c>
      <c r="L477" s="462">
        <f>IF(S477=0,0,VLOOKUP(YEAR(S477),INPC!$B$4:$O$29,MONTH(S477)+1))</f>
        <v>120.809</v>
      </c>
      <c r="M477" s="463">
        <f t="shared" si="74"/>
        <v>1.0689</v>
      </c>
      <c r="N477" s="465">
        <f t="shared" si="82"/>
        <v>190.2271795609756</v>
      </c>
      <c r="O477" s="179"/>
      <c r="P477" s="180">
        <v>2</v>
      </c>
      <c r="Q477" s="173" t="s">
        <v>583</v>
      </c>
      <c r="R477" s="173" t="s">
        <v>230</v>
      </c>
      <c r="S477" s="174">
        <v>44657</v>
      </c>
      <c r="T477" s="173" t="s">
        <v>33</v>
      </c>
      <c r="U477" s="182">
        <v>144.11000000000001</v>
      </c>
      <c r="V477" s="177">
        <f>IF(U477=0,0,IF(T477="MXN",1/HLOOKUP(YEAR(S477)+(MONTH(S477)/100),TC!$5:$37,DAY(S477)+2,FALSE),VLOOKUP(T477,Equivalencia!$1:$23,((MAX(Equivalencia!$3:$3)-YEAR(S477))*14)+MONTH(S477)+2,FALSE)))</f>
        <v>1</v>
      </c>
      <c r="W477" s="178">
        <f t="shared" si="79"/>
        <v>144.11000000000001</v>
      </c>
      <c r="X477" s="481">
        <f t="shared" si="75"/>
        <v>-33.855365853658526</v>
      </c>
      <c r="Y477" s="179"/>
      <c r="Z477" s="466">
        <f t="shared" si="76"/>
        <v>190.2271795609756</v>
      </c>
      <c r="AA477" s="473">
        <f t="shared" si="77"/>
        <v>-46.117179560975586</v>
      </c>
      <c r="AB477" s="339">
        <f t="shared" si="78"/>
        <v>-0.19023569946468066</v>
      </c>
    </row>
    <row r="478" spans="2:28" ht="20.100000000000001" customHeight="1">
      <c r="B478" s="172">
        <v>1175000</v>
      </c>
      <c r="C478" s="174">
        <v>44363</v>
      </c>
      <c r="D478" s="181" t="s">
        <v>164</v>
      </c>
      <c r="E478" s="173" t="s">
        <v>33</v>
      </c>
      <c r="F478" s="176">
        <v>889.82682926829273</v>
      </c>
      <c r="G478" s="175">
        <f t="shared" si="80"/>
        <v>10</v>
      </c>
      <c r="H478" s="175">
        <f t="shared" si="73"/>
        <v>889.82682926829273</v>
      </c>
      <c r="I478" s="177">
        <f>IF(G478=0,0,IF(E478="MXN",1/HLOOKUP(YEAR(C478)+(MONTH(C478)/100),TC!$5:$37,DAY(C478)+2,FALSE),VLOOKUP(E478,Equivalencia!$5:$23,((MAX(Equivalencia!$3:$3)-YEAR(C478))*14)+MONTH(C478)+2,FALSE)))</f>
        <v>1</v>
      </c>
      <c r="J478" s="178">
        <f t="shared" si="81"/>
        <v>889.82682926829273</v>
      </c>
      <c r="K478" s="462">
        <f>IF(C478=0,0,VLOOKUP(YEAR(C478),INPC!$B$4:$O$29,MONTH(C478)+1))</f>
        <v>113.018</v>
      </c>
      <c r="L478" s="462">
        <f>IF(S478=0,0,VLOOKUP(YEAR(S478),INPC!$B$4:$O$29,MONTH(S478)+1))</f>
        <v>120.809</v>
      </c>
      <c r="M478" s="463">
        <f t="shared" si="74"/>
        <v>1.0689</v>
      </c>
      <c r="N478" s="465">
        <f t="shared" si="82"/>
        <v>951.13589780487803</v>
      </c>
      <c r="O478" s="179"/>
      <c r="P478" s="180">
        <v>10</v>
      </c>
      <c r="Q478" s="173" t="s">
        <v>583</v>
      </c>
      <c r="R478" s="173" t="s">
        <v>230</v>
      </c>
      <c r="S478" s="174">
        <v>44657</v>
      </c>
      <c r="T478" s="173" t="s">
        <v>33</v>
      </c>
      <c r="U478" s="182">
        <v>718.6</v>
      </c>
      <c r="V478" s="177">
        <f>IF(U478=0,0,IF(T478="MXN",1/HLOOKUP(YEAR(S478)+(MONTH(S478)/100),TC!$5:$37,DAY(S478)+2,FALSE),VLOOKUP(T478,Equivalencia!$1:$23,((MAX(Equivalencia!$3:$3)-YEAR(S478))*14)+MONTH(S478)+2,FALSE)))</f>
        <v>1</v>
      </c>
      <c r="W478" s="178">
        <f t="shared" si="79"/>
        <v>718.6</v>
      </c>
      <c r="X478" s="481">
        <f t="shared" si="75"/>
        <v>-171.2268292682927</v>
      </c>
      <c r="Y478" s="179"/>
      <c r="Z478" s="466">
        <f t="shared" si="76"/>
        <v>951.13589780487803</v>
      </c>
      <c r="AA478" s="473">
        <f t="shared" si="77"/>
        <v>-232.535897804878</v>
      </c>
      <c r="AB478" s="339">
        <f t="shared" si="78"/>
        <v>-0.19242713709710579</v>
      </c>
    </row>
    <row r="479" spans="2:28" ht="20.100000000000001" customHeight="1">
      <c r="B479" s="172">
        <v>1175000</v>
      </c>
      <c r="C479" s="174">
        <v>44363</v>
      </c>
      <c r="D479" s="181" t="s">
        <v>164</v>
      </c>
      <c r="E479" s="173" t="s">
        <v>33</v>
      </c>
      <c r="F479" s="176">
        <v>1957.619024390244</v>
      </c>
      <c r="G479" s="175">
        <f t="shared" si="80"/>
        <v>22</v>
      </c>
      <c r="H479" s="175">
        <f t="shared" si="73"/>
        <v>1957.619024390244</v>
      </c>
      <c r="I479" s="177">
        <f>IF(G479=0,0,IF(E479="MXN",1/HLOOKUP(YEAR(C479)+(MONTH(C479)/100),TC!$5:$37,DAY(C479)+2,FALSE),VLOOKUP(E479,Equivalencia!$5:$23,((MAX(Equivalencia!$3:$3)-YEAR(C479))*14)+MONTH(C479)+2,FALSE)))</f>
        <v>1</v>
      </c>
      <c r="J479" s="178">
        <f t="shared" si="81"/>
        <v>1957.619024390244</v>
      </c>
      <c r="K479" s="462">
        <f>IF(C479=0,0,VLOOKUP(YEAR(C479),INPC!$B$4:$O$29,MONTH(C479)+1))</f>
        <v>113.018</v>
      </c>
      <c r="L479" s="462">
        <f>IF(S479=0,0,VLOOKUP(YEAR(S479),INPC!$B$4:$O$29,MONTH(S479)+1))</f>
        <v>120.809</v>
      </c>
      <c r="M479" s="463">
        <f t="shared" si="74"/>
        <v>1.0689</v>
      </c>
      <c r="N479" s="465">
        <f t="shared" si="82"/>
        <v>2092.4989751707317</v>
      </c>
      <c r="O479" s="179"/>
      <c r="P479" s="180">
        <v>22</v>
      </c>
      <c r="Q479" s="173" t="s">
        <v>583</v>
      </c>
      <c r="R479" s="173" t="s">
        <v>230</v>
      </c>
      <c r="S479" s="174">
        <v>44657</v>
      </c>
      <c r="T479" s="173" t="s">
        <v>33</v>
      </c>
      <c r="U479" s="182">
        <v>1568.43</v>
      </c>
      <c r="V479" s="177">
        <f>IF(U479=0,0,IF(T479="MXN",1/HLOOKUP(YEAR(S479)+(MONTH(S479)/100),TC!$5:$37,DAY(S479)+2,FALSE),VLOOKUP(T479,Equivalencia!$1:$23,((MAX(Equivalencia!$3:$3)-YEAR(S479))*14)+MONTH(S479)+2,FALSE)))</f>
        <v>1</v>
      </c>
      <c r="W479" s="178">
        <f t="shared" si="79"/>
        <v>1568.43</v>
      </c>
      <c r="X479" s="481">
        <f t="shared" si="75"/>
        <v>-389.18902439024396</v>
      </c>
      <c r="Y479" s="179"/>
      <c r="Z479" s="466">
        <f t="shared" si="76"/>
        <v>2092.4989751707317</v>
      </c>
      <c r="AA479" s="473">
        <f t="shared" si="77"/>
        <v>-524.06897517073162</v>
      </c>
      <c r="AB479" s="339">
        <f t="shared" si="78"/>
        <v>-0.19880733663766259</v>
      </c>
    </row>
    <row r="480" spans="2:28" ht="20.100000000000001" customHeight="1">
      <c r="B480" s="172">
        <v>1175000</v>
      </c>
      <c r="C480" s="174">
        <v>44363</v>
      </c>
      <c r="D480" s="181" t="s">
        <v>164</v>
      </c>
      <c r="E480" s="173" t="s">
        <v>33</v>
      </c>
      <c r="F480" s="176">
        <v>1334.740243902439</v>
      </c>
      <c r="G480" s="175">
        <f t="shared" si="80"/>
        <v>15</v>
      </c>
      <c r="H480" s="175">
        <f t="shared" si="73"/>
        <v>1334.740243902439</v>
      </c>
      <c r="I480" s="177">
        <f>IF(G480=0,0,IF(E480="MXN",1/HLOOKUP(YEAR(C480)+(MONTH(C480)/100),TC!$5:$37,DAY(C480)+2,FALSE),VLOOKUP(E480,Equivalencia!$5:$23,((MAX(Equivalencia!$3:$3)-YEAR(C480))*14)+MONTH(C480)+2,FALSE)))</f>
        <v>1</v>
      </c>
      <c r="J480" s="178">
        <f t="shared" si="81"/>
        <v>1334.740243902439</v>
      </c>
      <c r="K480" s="462">
        <f>IF(C480=0,0,VLOOKUP(YEAR(C480),INPC!$B$4:$O$29,MONTH(C480)+1))</f>
        <v>113.018</v>
      </c>
      <c r="L480" s="462">
        <f>IF(S480=0,0,VLOOKUP(YEAR(S480),INPC!$B$4:$O$29,MONTH(S480)+1))</f>
        <v>120.809</v>
      </c>
      <c r="M480" s="463">
        <f t="shared" si="74"/>
        <v>1.0689</v>
      </c>
      <c r="N480" s="465">
        <f t="shared" si="82"/>
        <v>1426.7038467073171</v>
      </c>
      <c r="O480" s="179"/>
      <c r="P480" s="180">
        <v>15</v>
      </c>
      <c r="Q480" s="173" t="s">
        <v>583</v>
      </c>
      <c r="R480" s="173" t="s">
        <v>230</v>
      </c>
      <c r="S480" s="174">
        <v>44657</v>
      </c>
      <c r="T480" s="173" t="s">
        <v>33</v>
      </c>
      <c r="U480" s="182">
        <v>1066.79</v>
      </c>
      <c r="V480" s="177">
        <f>IF(U480=0,0,IF(T480="MXN",1/HLOOKUP(YEAR(S480)+(MONTH(S480)/100),TC!$5:$37,DAY(S480)+2,FALSE),VLOOKUP(T480,Equivalencia!$1:$23,((MAX(Equivalencia!$3:$3)-YEAR(S480))*14)+MONTH(S480)+2,FALSE)))</f>
        <v>1</v>
      </c>
      <c r="W480" s="178">
        <f t="shared" si="79"/>
        <v>1066.79</v>
      </c>
      <c r="X480" s="481">
        <f t="shared" si="75"/>
        <v>-267.95024390243907</v>
      </c>
      <c r="Y480" s="179"/>
      <c r="Z480" s="466">
        <f t="shared" si="76"/>
        <v>1426.7038467073171</v>
      </c>
      <c r="AA480" s="473">
        <f t="shared" si="77"/>
        <v>-359.91384670731713</v>
      </c>
      <c r="AB480" s="339">
        <f t="shared" si="78"/>
        <v>-0.20075085405308613</v>
      </c>
    </row>
    <row r="481" spans="2:28" ht="20.100000000000001" customHeight="1">
      <c r="B481" s="172">
        <v>1175000</v>
      </c>
      <c r="C481" s="174">
        <v>44363</v>
      </c>
      <c r="D481" s="181" t="s">
        <v>164</v>
      </c>
      <c r="E481" s="173" t="s">
        <v>33</v>
      </c>
      <c r="F481" s="176">
        <v>5249.9782926829266</v>
      </c>
      <c r="G481" s="175">
        <f t="shared" si="80"/>
        <v>59</v>
      </c>
      <c r="H481" s="175">
        <f t="shared" si="73"/>
        <v>5249.9782926829266</v>
      </c>
      <c r="I481" s="177">
        <f>IF(G481=0,0,IF(E481="MXN",1/HLOOKUP(YEAR(C481)+(MONTH(C481)/100),TC!$5:$37,DAY(C481)+2,FALSE),VLOOKUP(E481,Equivalencia!$5:$23,((MAX(Equivalencia!$3:$3)-YEAR(C481))*14)+MONTH(C481)+2,FALSE)))</f>
        <v>1</v>
      </c>
      <c r="J481" s="178">
        <f t="shared" si="81"/>
        <v>5249.9782926829266</v>
      </c>
      <c r="K481" s="462">
        <f>IF(C481=0,0,VLOOKUP(YEAR(C481),INPC!$B$4:$O$29,MONTH(C481)+1))</f>
        <v>113.018</v>
      </c>
      <c r="L481" s="462">
        <f>IF(S481=0,0,VLOOKUP(YEAR(S481),INPC!$B$4:$O$29,MONTH(S481)+1))</f>
        <v>120.809</v>
      </c>
      <c r="M481" s="463">
        <f t="shared" si="74"/>
        <v>1.0689</v>
      </c>
      <c r="N481" s="465">
        <f t="shared" si="82"/>
        <v>5611.7017970487805</v>
      </c>
      <c r="O481" s="179"/>
      <c r="P481" s="180">
        <v>59</v>
      </c>
      <c r="Q481" s="173" t="s">
        <v>583</v>
      </c>
      <c r="R481" s="173" t="s">
        <v>230</v>
      </c>
      <c r="S481" s="174">
        <v>44657</v>
      </c>
      <c r="T481" s="173" t="s">
        <v>33</v>
      </c>
      <c r="U481" s="182">
        <v>4235.8999999999996</v>
      </c>
      <c r="V481" s="177">
        <f>IF(U481=0,0,IF(T481="MXN",1/HLOOKUP(YEAR(S481)+(MONTH(S481)/100),TC!$5:$37,DAY(S481)+2,FALSE),VLOOKUP(T481,Equivalencia!$1:$23,((MAX(Equivalencia!$3:$3)-YEAR(S481))*14)+MONTH(S481)+2,FALSE)))</f>
        <v>1</v>
      </c>
      <c r="W481" s="178">
        <f t="shared" si="79"/>
        <v>4235.8999999999996</v>
      </c>
      <c r="X481" s="481">
        <f t="shared" si="75"/>
        <v>-1014.078292682927</v>
      </c>
      <c r="Y481" s="179"/>
      <c r="Z481" s="466">
        <f t="shared" si="76"/>
        <v>5611.7017970487805</v>
      </c>
      <c r="AA481" s="473">
        <f t="shared" si="77"/>
        <v>-1375.8017970487808</v>
      </c>
      <c r="AB481" s="339">
        <f t="shared" si="78"/>
        <v>-0.19315856869280434</v>
      </c>
    </row>
    <row r="482" spans="2:28" ht="20.100000000000001" customHeight="1">
      <c r="B482" s="172">
        <v>1175000</v>
      </c>
      <c r="C482" s="174">
        <v>44363</v>
      </c>
      <c r="D482" s="181" t="s">
        <v>164</v>
      </c>
      <c r="E482" s="173" t="s">
        <v>33</v>
      </c>
      <c r="F482" s="176">
        <v>177.96536585365854</v>
      </c>
      <c r="G482" s="175">
        <f t="shared" si="80"/>
        <v>2</v>
      </c>
      <c r="H482" s="175">
        <f t="shared" si="73"/>
        <v>177.96536585365854</v>
      </c>
      <c r="I482" s="177">
        <f>IF(G482=0,0,IF(E482="MXN",1/HLOOKUP(YEAR(C482)+(MONTH(C482)/100),TC!$5:$37,DAY(C482)+2,FALSE),VLOOKUP(E482,Equivalencia!$5:$23,((MAX(Equivalencia!$3:$3)-YEAR(C482))*14)+MONTH(C482)+2,FALSE)))</f>
        <v>1</v>
      </c>
      <c r="J482" s="178">
        <f t="shared" si="81"/>
        <v>177.96536585365854</v>
      </c>
      <c r="K482" s="462">
        <f>IF(C482=0,0,VLOOKUP(YEAR(C482),INPC!$B$4:$O$29,MONTH(C482)+1))</f>
        <v>113.018</v>
      </c>
      <c r="L482" s="462">
        <f>IF(S482=0,0,VLOOKUP(YEAR(S482),INPC!$B$4:$O$29,MONTH(S482)+1))</f>
        <v>120.809</v>
      </c>
      <c r="M482" s="463">
        <f t="shared" si="74"/>
        <v>1.0689</v>
      </c>
      <c r="N482" s="465">
        <f t="shared" si="82"/>
        <v>190.2271795609756</v>
      </c>
      <c r="O482" s="179"/>
      <c r="P482" s="180">
        <v>2</v>
      </c>
      <c r="Q482" s="173" t="s">
        <v>583</v>
      </c>
      <c r="R482" s="173" t="s">
        <v>230</v>
      </c>
      <c r="S482" s="174">
        <v>44663</v>
      </c>
      <c r="T482" s="173" t="s">
        <v>33</v>
      </c>
      <c r="U482" s="182">
        <v>146.59</v>
      </c>
      <c r="V482" s="177">
        <f>IF(U482=0,0,IF(T482="MXN",1/HLOOKUP(YEAR(S482)+(MONTH(S482)/100),TC!$5:$37,DAY(S482)+2,FALSE),VLOOKUP(T482,Equivalencia!$1:$23,((MAX(Equivalencia!$3:$3)-YEAR(S482))*14)+MONTH(S482)+2,FALSE)))</f>
        <v>1</v>
      </c>
      <c r="W482" s="178">
        <f t="shared" si="79"/>
        <v>146.59</v>
      </c>
      <c r="X482" s="481">
        <f t="shared" si="75"/>
        <v>-31.375365853658536</v>
      </c>
      <c r="Y482" s="179"/>
      <c r="Z482" s="466">
        <f t="shared" si="76"/>
        <v>190.2271795609756</v>
      </c>
      <c r="AA482" s="473">
        <f t="shared" si="77"/>
        <v>-43.637179560975596</v>
      </c>
      <c r="AB482" s="339">
        <f t="shared" si="78"/>
        <v>-0.17630040375079836</v>
      </c>
    </row>
    <row r="483" spans="2:28" ht="20.100000000000001" customHeight="1">
      <c r="B483" s="172">
        <v>1175000</v>
      </c>
      <c r="C483" s="174">
        <v>44363</v>
      </c>
      <c r="D483" s="181" t="s">
        <v>164</v>
      </c>
      <c r="E483" s="173" t="s">
        <v>33</v>
      </c>
      <c r="F483" s="176">
        <v>889.82682926829273</v>
      </c>
      <c r="G483" s="175">
        <f t="shared" si="80"/>
        <v>10</v>
      </c>
      <c r="H483" s="175">
        <f t="shared" si="73"/>
        <v>889.82682926829273</v>
      </c>
      <c r="I483" s="177">
        <f>IF(G483=0,0,IF(E483="MXN",1/HLOOKUP(YEAR(C483)+(MONTH(C483)/100),TC!$5:$37,DAY(C483)+2,FALSE),VLOOKUP(E483,Equivalencia!$5:$23,((MAX(Equivalencia!$3:$3)-YEAR(C483))*14)+MONTH(C483)+2,FALSE)))</f>
        <v>1</v>
      </c>
      <c r="J483" s="178">
        <f t="shared" si="81"/>
        <v>889.82682926829273</v>
      </c>
      <c r="K483" s="462">
        <f>IF(C483=0,0,VLOOKUP(YEAR(C483),INPC!$B$4:$O$29,MONTH(C483)+1))</f>
        <v>113.018</v>
      </c>
      <c r="L483" s="462">
        <f>IF(S483=0,0,VLOOKUP(YEAR(S483),INPC!$B$4:$O$29,MONTH(S483)+1))</f>
        <v>120.809</v>
      </c>
      <c r="M483" s="463">
        <f t="shared" si="74"/>
        <v>1.0689</v>
      </c>
      <c r="N483" s="465">
        <f t="shared" si="82"/>
        <v>951.13589780487803</v>
      </c>
      <c r="O483" s="179"/>
      <c r="P483" s="180">
        <v>10</v>
      </c>
      <c r="Q483" s="173" t="s">
        <v>583</v>
      </c>
      <c r="R483" s="173" t="s">
        <v>230</v>
      </c>
      <c r="S483" s="174">
        <v>44663</v>
      </c>
      <c r="T483" s="173" t="s">
        <v>33</v>
      </c>
      <c r="U483" s="182">
        <v>714.91999999999985</v>
      </c>
      <c r="V483" s="177">
        <f>IF(U483=0,0,IF(T483="MXN",1/HLOOKUP(YEAR(S483)+(MONTH(S483)/100),TC!$5:$37,DAY(S483)+2,FALSE),VLOOKUP(T483,Equivalencia!$1:$23,((MAX(Equivalencia!$3:$3)-YEAR(S483))*14)+MONTH(S483)+2,FALSE)))</f>
        <v>1</v>
      </c>
      <c r="W483" s="178">
        <f t="shared" si="79"/>
        <v>714.91999999999985</v>
      </c>
      <c r="X483" s="481">
        <f t="shared" si="75"/>
        <v>-174.90682926829288</v>
      </c>
      <c r="Y483" s="179"/>
      <c r="Z483" s="466">
        <f t="shared" si="76"/>
        <v>951.13589780487803</v>
      </c>
      <c r="AA483" s="473">
        <f t="shared" si="77"/>
        <v>-236.21589780487818</v>
      </c>
      <c r="AB483" s="339">
        <f t="shared" si="78"/>
        <v>-0.19656277324445171</v>
      </c>
    </row>
    <row r="484" spans="2:28" ht="20.100000000000001" customHeight="1">
      <c r="B484" s="172">
        <v>1175000</v>
      </c>
      <c r="C484" s="174">
        <v>44363</v>
      </c>
      <c r="D484" s="181" t="s">
        <v>164</v>
      </c>
      <c r="E484" s="173" t="s">
        <v>33</v>
      </c>
      <c r="F484" s="176">
        <v>978.80951219512201</v>
      </c>
      <c r="G484" s="175">
        <f t="shared" si="80"/>
        <v>11</v>
      </c>
      <c r="H484" s="175">
        <f t="shared" si="73"/>
        <v>978.80951219512201</v>
      </c>
      <c r="I484" s="177">
        <f>IF(G484=0,0,IF(E484="MXN",1/HLOOKUP(YEAR(C484)+(MONTH(C484)/100),TC!$5:$37,DAY(C484)+2,FALSE),VLOOKUP(E484,Equivalencia!$5:$23,((MAX(Equivalencia!$3:$3)-YEAR(C484))*14)+MONTH(C484)+2,FALSE)))</f>
        <v>1</v>
      </c>
      <c r="J484" s="178">
        <f t="shared" si="81"/>
        <v>978.80951219512201</v>
      </c>
      <c r="K484" s="462">
        <f>IF(C484=0,0,VLOOKUP(YEAR(C484),INPC!$B$4:$O$29,MONTH(C484)+1))</f>
        <v>113.018</v>
      </c>
      <c r="L484" s="462">
        <f>IF(S484=0,0,VLOOKUP(YEAR(S484),INPC!$B$4:$O$29,MONTH(S484)+1))</f>
        <v>120.809</v>
      </c>
      <c r="M484" s="463">
        <f t="shared" si="74"/>
        <v>1.0689</v>
      </c>
      <c r="N484" s="465">
        <f t="shared" si="82"/>
        <v>1046.2494875853658</v>
      </c>
      <c r="O484" s="179"/>
      <c r="P484" s="180">
        <v>11</v>
      </c>
      <c r="Q484" s="173" t="s">
        <v>583</v>
      </c>
      <c r="R484" s="173" t="s">
        <v>230</v>
      </c>
      <c r="S484" s="174">
        <v>44663</v>
      </c>
      <c r="T484" s="173" t="s">
        <v>33</v>
      </c>
      <c r="U484" s="182">
        <v>788.14999999999986</v>
      </c>
      <c r="V484" s="177">
        <f>IF(U484=0,0,IF(T484="MXN",1/HLOOKUP(YEAR(S484)+(MONTH(S484)/100),TC!$5:$37,DAY(S484)+2,FALSE),VLOOKUP(T484,Equivalencia!$1:$23,((MAX(Equivalencia!$3:$3)-YEAR(S484))*14)+MONTH(S484)+2,FALSE)))</f>
        <v>1</v>
      </c>
      <c r="W484" s="178">
        <f t="shared" si="79"/>
        <v>788.14999999999986</v>
      </c>
      <c r="X484" s="481">
        <f t="shared" si="75"/>
        <v>-190.65951219512215</v>
      </c>
      <c r="Y484" s="179"/>
      <c r="Z484" s="466">
        <f t="shared" si="76"/>
        <v>1046.2494875853658</v>
      </c>
      <c r="AA484" s="473">
        <f t="shared" si="77"/>
        <v>-258.09948758536598</v>
      </c>
      <c r="AB484" s="339">
        <f t="shared" si="78"/>
        <v>-0.19478714685510212</v>
      </c>
    </row>
    <row r="485" spans="2:28" ht="20.100000000000001" customHeight="1">
      <c r="B485" s="172">
        <v>1175000</v>
      </c>
      <c r="C485" s="174">
        <v>44363</v>
      </c>
      <c r="D485" s="181" t="s">
        <v>164</v>
      </c>
      <c r="E485" s="173" t="s">
        <v>33</v>
      </c>
      <c r="F485" s="176">
        <v>177.96536585365854</v>
      </c>
      <c r="G485" s="175">
        <f t="shared" si="80"/>
        <v>2</v>
      </c>
      <c r="H485" s="175">
        <f t="shared" si="73"/>
        <v>177.96536585365854</v>
      </c>
      <c r="I485" s="177">
        <f>IF(G485=0,0,IF(E485="MXN",1/HLOOKUP(YEAR(C485)+(MONTH(C485)/100),TC!$5:$37,DAY(C485)+2,FALSE),VLOOKUP(E485,Equivalencia!$5:$23,((MAX(Equivalencia!$3:$3)-YEAR(C485))*14)+MONTH(C485)+2,FALSE)))</f>
        <v>1</v>
      </c>
      <c r="J485" s="178">
        <f t="shared" si="81"/>
        <v>177.96536585365854</v>
      </c>
      <c r="K485" s="462">
        <f>IF(C485=0,0,VLOOKUP(YEAR(C485),INPC!$B$4:$O$29,MONTH(C485)+1))</f>
        <v>113.018</v>
      </c>
      <c r="L485" s="462">
        <f>IF(S485=0,0,VLOOKUP(YEAR(S485),INPC!$B$4:$O$29,MONTH(S485)+1))</f>
        <v>120.809</v>
      </c>
      <c r="M485" s="463">
        <f t="shared" si="74"/>
        <v>1.0689</v>
      </c>
      <c r="N485" s="465">
        <f t="shared" si="82"/>
        <v>190.2271795609756</v>
      </c>
      <c r="O485" s="179"/>
      <c r="P485" s="180">
        <v>2</v>
      </c>
      <c r="Q485" s="173" t="s">
        <v>583</v>
      </c>
      <c r="R485" s="173" t="s">
        <v>230</v>
      </c>
      <c r="S485" s="174">
        <v>44663</v>
      </c>
      <c r="T485" s="173" t="s">
        <v>33</v>
      </c>
      <c r="U485" s="182">
        <v>145.08000000000001</v>
      </c>
      <c r="V485" s="177">
        <f>IF(U485=0,0,IF(T485="MXN",1/HLOOKUP(YEAR(S485)+(MONTH(S485)/100),TC!$5:$37,DAY(S485)+2,FALSE),VLOOKUP(T485,Equivalencia!$1:$23,((MAX(Equivalencia!$3:$3)-YEAR(S485))*14)+MONTH(S485)+2,FALSE)))</f>
        <v>1</v>
      </c>
      <c r="W485" s="178">
        <f t="shared" si="79"/>
        <v>145.08000000000001</v>
      </c>
      <c r="X485" s="481">
        <f t="shared" si="75"/>
        <v>-32.885365853658527</v>
      </c>
      <c r="Y485" s="179"/>
      <c r="Z485" s="466">
        <f t="shared" si="76"/>
        <v>190.2271795609756</v>
      </c>
      <c r="AA485" s="473">
        <f t="shared" si="77"/>
        <v>-45.147179560975587</v>
      </c>
      <c r="AB485" s="339">
        <f t="shared" si="78"/>
        <v>-0.18478520073787985</v>
      </c>
    </row>
    <row r="486" spans="2:28" ht="20.100000000000001" customHeight="1">
      <c r="B486" s="172">
        <v>1175000</v>
      </c>
      <c r="C486" s="174">
        <v>44363</v>
      </c>
      <c r="D486" s="181" t="s">
        <v>164</v>
      </c>
      <c r="E486" s="173" t="s">
        <v>33</v>
      </c>
      <c r="F486" s="176">
        <v>711.86146341463416</v>
      </c>
      <c r="G486" s="175">
        <f t="shared" si="80"/>
        <v>8</v>
      </c>
      <c r="H486" s="175">
        <f t="shared" si="73"/>
        <v>711.86146341463416</v>
      </c>
      <c r="I486" s="177">
        <f>IF(G486=0,0,IF(E486="MXN",1/HLOOKUP(YEAR(C486)+(MONTH(C486)/100),TC!$5:$37,DAY(C486)+2,FALSE),VLOOKUP(E486,Equivalencia!$5:$23,((MAX(Equivalencia!$3:$3)-YEAR(C486))*14)+MONTH(C486)+2,FALSE)))</f>
        <v>1</v>
      </c>
      <c r="J486" s="178">
        <f t="shared" si="81"/>
        <v>711.86146341463416</v>
      </c>
      <c r="K486" s="462">
        <f>IF(C486=0,0,VLOOKUP(YEAR(C486),INPC!$B$4:$O$29,MONTH(C486)+1))</f>
        <v>113.018</v>
      </c>
      <c r="L486" s="462">
        <f>IF(S486=0,0,VLOOKUP(YEAR(S486),INPC!$B$4:$O$29,MONTH(S486)+1))</f>
        <v>120.809</v>
      </c>
      <c r="M486" s="463">
        <f t="shared" si="74"/>
        <v>1.0689</v>
      </c>
      <c r="N486" s="465">
        <f t="shared" si="82"/>
        <v>760.9087182439024</v>
      </c>
      <c r="O486" s="179"/>
      <c r="P486" s="180">
        <v>8</v>
      </c>
      <c r="Q486" s="173" t="s">
        <v>583</v>
      </c>
      <c r="R486" s="173" t="s">
        <v>230</v>
      </c>
      <c r="S486" s="174">
        <v>44663</v>
      </c>
      <c r="T486" s="173" t="s">
        <v>33</v>
      </c>
      <c r="U486" s="182">
        <v>575.15957894736846</v>
      </c>
      <c r="V486" s="177">
        <f>IF(U486=0,0,IF(T486="MXN",1/HLOOKUP(YEAR(S486)+(MONTH(S486)/100),TC!$5:$37,DAY(S486)+2,FALSE),VLOOKUP(T486,Equivalencia!$1:$23,((MAX(Equivalencia!$3:$3)-YEAR(S486))*14)+MONTH(S486)+2,FALSE)))</f>
        <v>1</v>
      </c>
      <c r="W486" s="178">
        <f t="shared" si="79"/>
        <v>575.15957894736846</v>
      </c>
      <c r="X486" s="481">
        <f t="shared" si="75"/>
        <v>-136.7018844672657</v>
      </c>
      <c r="Y486" s="179"/>
      <c r="Z486" s="466">
        <f t="shared" si="76"/>
        <v>760.9087182439024</v>
      </c>
      <c r="AA486" s="473">
        <f t="shared" si="77"/>
        <v>-185.74913929653394</v>
      </c>
      <c r="AB486" s="339">
        <f t="shared" si="78"/>
        <v>-0.1920343936185821</v>
      </c>
    </row>
    <row r="487" spans="2:28" ht="20.100000000000001" customHeight="1">
      <c r="B487" s="172">
        <v>1175000</v>
      </c>
      <c r="C487" s="174">
        <v>44427</v>
      </c>
      <c r="D487" s="181" t="s">
        <v>164</v>
      </c>
      <c r="E487" s="173" t="s">
        <v>33</v>
      </c>
      <c r="F487" s="176">
        <v>5583.57</v>
      </c>
      <c r="G487" s="175">
        <f t="shared" si="80"/>
        <v>60</v>
      </c>
      <c r="H487" s="175">
        <f t="shared" si="73"/>
        <v>5583.57</v>
      </c>
      <c r="I487" s="177">
        <f>IF(G487=0,0,IF(E487="MXN",1/HLOOKUP(YEAR(C487)+(MONTH(C487)/100),TC!$5:$37,DAY(C487)+2,FALSE),VLOOKUP(E487,Equivalencia!$5:$23,((MAX(Equivalencia!$3:$3)-YEAR(C487))*14)+MONTH(C487)+2,FALSE)))</f>
        <v>1</v>
      </c>
      <c r="J487" s="178">
        <f t="shared" si="81"/>
        <v>5583.57</v>
      </c>
      <c r="K487" s="462">
        <f>IF(C487=0,0,VLOOKUP(YEAR(C487),INPC!$B$4:$O$29,MONTH(C487)+1))</f>
        <v>113.899</v>
      </c>
      <c r="L487" s="462">
        <f>IF(S487=0,0,VLOOKUP(YEAR(S487),INPC!$B$4:$O$29,MONTH(S487)+1))</f>
        <v>120.809</v>
      </c>
      <c r="M487" s="463">
        <f t="shared" si="74"/>
        <v>1.0606</v>
      </c>
      <c r="N487" s="465">
        <f t="shared" si="82"/>
        <v>5921.9343419999996</v>
      </c>
      <c r="O487" s="179"/>
      <c r="P487" s="180">
        <v>60</v>
      </c>
      <c r="Q487" s="173" t="s">
        <v>583</v>
      </c>
      <c r="R487" s="173" t="s">
        <v>230</v>
      </c>
      <c r="S487" s="174">
        <v>44663</v>
      </c>
      <c r="T487" s="173" t="s">
        <v>33</v>
      </c>
      <c r="U487" s="182">
        <v>4313.6968421052634</v>
      </c>
      <c r="V487" s="177">
        <f>IF(U487=0,0,IF(T487="MXN",1/HLOOKUP(YEAR(S487)+(MONTH(S487)/100),TC!$5:$37,DAY(S487)+2,FALSE),VLOOKUP(T487,Equivalencia!$1:$23,((MAX(Equivalencia!$3:$3)-YEAR(S487))*14)+MONTH(S487)+2,FALSE)))</f>
        <v>1</v>
      </c>
      <c r="W487" s="178">
        <f t="shared" si="79"/>
        <v>4313.6968421052634</v>
      </c>
      <c r="X487" s="481">
        <f t="shared" si="75"/>
        <v>-1269.8731578947363</v>
      </c>
      <c r="Y487" s="179"/>
      <c r="Z487" s="466">
        <f t="shared" si="76"/>
        <v>5921.9343419999996</v>
      </c>
      <c r="AA487" s="473">
        <f t="shared" si="77"/>
        <v>-1608.2374998947362</v>
      </c>
      <c r="AB487" s="339">
        <f t="shared" si="78"/>
        <v>-0.22743032824783005</v>
      </c>
    </row>
    <row r="488" spans="2:28" ht="20.100000000000001" customHeight="1">
      <c r="B488" s="172">
        <v>1175000</v>
      </c>
      <c r="C488" s="174">
        <v>44427</v>
      </c>
      <c r="D488" s="181" t="s">
        <v>164</v>
      </c>
      <c r="E488" s="173" t="s">
        <v>33</v>
      </c>
      <c r="F488" s="176">
        <v>932.5</v>
      </c>
      <c r="G488" s="175">
        <f t="shared" si="80"/>
        <v>10</v>
      </c>
      <c r="H488" s="175">
        <f t="shared" si="73"/>
        <v>932.5</v>
      </c>
      <c r="I488" s="177">
        <f>IF(G488=0,0,IF(E488="MXN",1/HLOOKUP(YEAR(C488)+(MONTH(C488)/100),TC!$5:$37,DAY(C488)+2,FALSE),VLOOKUP(E488,Equivalencia!$5:$23,((MAX(Equivalencia!$3:$3)-YEAR(C488))*14)+MONTH(C488)+2,FALSE)))</f>
        <v>1</v>
      </c>
      <c r="J488" s="178">
        <f t="shared" si="81"/>
        <v>932.5</v>
      </c>
      <c r="K488" s="462">
        <f>IF(C488=0,0,VLOOKUP(YEAR(C488),INPC!$B$4:$O$29,MONTH(C488)+1))</f>
        <v>113.899</v>
      </c>
      <c r="L488" s="462">
        <f>IF(S488=0,0,VLOOKUP(YEAR(S488),INPC!$B$4:$O$29,MONTH(S488)+1))</f>
        <v>120.809</v>
      </c>
      <c r="M488" s="463">
        <f t="shared" si="74"/>
        <v>1.0606</v>
      </c>
      <c r="N488" s="465">
        <f t="shared" si="82"/>
        <v>989.0095</v>
      </c>
      <c r="O488" s="179"/>
      <c r="P488" s="180">
        <v>10</v>
      </c>
      <c r="Q488" s="173" t="s">
        <v>583</v>
      </c>
      <c r="R488" s="173" t="s">
        <v>230</v>
      </c>
      <c r="S488" s="174">
        <v>44663</v>
      </c>
      <c r="T488" s="173" t="s">
        <v>33</v>
      </c>
      <c r="U488" s="182">
        <v>718.9494736842106</v>
      </c>
      <c r="V488" s="177">
        <f>IF(U488=0,0,IF(T488="MXN",1/HLOOKUP(YEAR(S488)+(MONTH(S488)/100),TC!$5:$37,DAY(S488)+2,FALSE),VLOOKUP(T488,Equivalencia!$1:$23,((MAX(Equivalencia!$3:$3)-YEAR(S488))*14)+MONTH(S488)+2,FALSE)))</f>
        <v>1</v>
      </c>
      <c r="W488" s="178">
        <f t="shared" si="79"/>
        <v>718.9494736842106</v>
      </c>
      <c r="X488" s="481">
        <f t="shared" si="75"/>
        <v>-213.5505263157894</v>
      </c>
      <c r="Y488" s="179"/>
      <c r="Z488" s="466">
        <f t="shared" si="76"/>
        <v>989.0095</v>
      </c>
      <c r="AA488" s="473">
        <f t="shared" si="77"/>
        <v>-270.0600263157894</v>
      </c>
      <c r="AB488" s="339">
        <f t="shared" si="78"/>
        <v>-0.22900860730915751</v>
      </c>
    </row>
    <row r="489" spans="2:28" ht="20.100000000000001" customHeight="1">
      <c r="B489" s="172">
        <v>1175000</v>
      </c>
      <c r="C489" s="174">
        <v>44427</v>
      </c>
      <c r="D489" s="181" t="s">
        <v>164</v>
      </c>
      <c r="E489" s="173" t="s">
        <v>33</v>
      </c>
      <c r="F489" s="176">
        <v>931.66</v>
      </c>
      <c r="G489" s="175">
        <f t="shared" si="80"/>
        <v>10</v>
      </c>
      <c r="H489" s="175">
        <f t="shared" si="73"/>
        <v>931.66</v>
      </c>
      <c r="I489" s="177">
        <f>IF(G489=0,0,IF(E489="MXN",1/HLOOKUP(YEAR(C489)+(MONTH(C489)/100),TC!$5:$37,DAY(C489)+2,FALSE),VLOOKUP(E489,Equivalencia!$5:$23,((MAX(Equivalencia!$3:$3)-YEAR(C489))*14)+MONTH(C489)+2,FALSE)))</f>
        <v>1</v>
      </c>
      <c r="J489" s="178">
        <f t="shared" si="81"/>
        <v>931.66</v>
      </c>
      <c r="K489" s="462">
        <f>IF(C489=0,0,VLOOKUP(YEAR(C489),INPC!$B$4:$O$29,MONTH(C489)+1))</f>
        <v>113.899</v>
      </c>
      <c r="L489" s="462">
        <f>IF(S489=0,0,VLOOKUP(YEAR(S489),INPC!$B$4:$O$29,MONTH(S489)+1))</f>
        <v>120.809</v>
      </c>
      <c r="M489" s="463">
        <f t="shared" si="74"/>
        <v>1.0606</v>
      </c>
      <c r="N489" s="465">
        <f t="shared" si="82"/>
        <v>988.11859599999991</v>
      </c>
      <c r="O489" s="179"/>
      <c r="P489" s="180">
        <v>10</v>
      </c>
      <c r="Q489" s="173" t="s">
        <v>583</v>
      </c>
      <c r="R489" s="173" t="s">
        <v>230</v>
      </c>
      <c r="S489" s="174">
        <v>44663</v>
      </c>
      <c r="T489" s="173" t="s">
        <v>33</v>
      </c>
      <c r="U489" s="182">
        <v>718.9494736842106</v>
      </c>
      <c r="V489" s="177">
        <f>IF(U489=0,0,IF(T489="MXN",1/HLOOKUP(YEAR(S489)+(MONTH(S489)/100),TC!$5:$37,DAY(S489)+2,FALSE),VLOOKUP(T489,Equivalencia!$1:$23,((MAX(Equivalencia!$3:$3)-YEAR(S489))*14)+MONTH(S489)+2,FALSE)))</f>
        <v>1</v>
      </c>
      <c r="W489" s="178">
        <f t="shared" si="79"/>
        <v>718.9494736842106</v>
      </c>
      <c r="X489" s="481">
        <f t="shared" si="75"/>
        <v>-212.71052631578937</v>
      </c>
      <c r="Y489" s="179"/>
      <c r="Z489" s="466">
        <f t="shared" si="76"/>
        <v>988.11859599999991</v>
      </c>
      <c r="AA489" s="473">
        <f t="shared" si="77"/>
        <v>-269.16912231578931</v>
      </c>
      <c r="AB489" s="339">
        <f t="shared" si="78"/>
        <v>-0.22831346877164349</v>
      </c>
    </row>
    <row r="490" spans="2:28" ht="20.100000000000001" customHeight="1">
      <c r="B490" s="172">
        <v>1175000</v>
      </c>
      <c r="C490" s="174">
        <v>44509</v>
      </c>
      <c r="D490" s="181" t="s">
        <v>164</v>
      </c>
      <c r="E490" s="173" t="s">
        <v>33</v>
      </c>
      <c r="F490" s="176">
        <v>678.11333333333334</v>
      </c>
      <c r="G490" s="175">
        <f t="shared" si="80"/>
        <v>7</v>
      </c>
      <c r="H490" s="175">
        <f t="shared" si="73"/>
        <v>678.11333333333334</v>
      </c>
      <c r="I490" s="177">
        <f>IF(G490=0,0,IF(E490="MXN",1/HLOOKUP(YEAR(C490)+(MONTH(C490)/100),TC!$5:$37,DAY(C490)+2,FALSE),VLOOKUP(E490,Equivalencia!$5:$23,((MAX(Equivalencia!$3:$3)-YEAR(C490))*14)+MONTH(C490)+2,FALSE)))</f>
        <v>1</v>
      </c>
      <c r="J490" s="178">
        <f t="shared" si="81"/>
        <v>678.11333333333334</v>
      </c>
      <c r="K490" s="462">
        <f>IF(C490=0,0,VLOOKUP(YEAR(C490),INPC!$B$4:$O$29,MONTH(C490)+1))</f>
        <v>116.884</v>
      </c>
      <c r="L490" s="462">
        <f>IF(S490=0,0,VLOOKUP(YEAR(S490),INPC!$B$4:$O$29,MONTH(S490)+1))</f>
        <v>120.809</v>
      </c>
      <c r="M490" s="463">
        <f t="shared" si="74"/>
        <v>1.0335000000000001</v>
      </c>
      <c r="N490" s="465">
        <f t="shared" si="82"/>
        <v>700.83013000000005</v>
      </c>
      <c r="O490" s="179"/>
      <c r="P490" s="180">
        <v>7</v>
      </c>
      <c r="Q490" s="173" t="s">
        <v>583</v>
      </c>
      <c r="R490" s="173" t="s">
        <v>230</v>
      </c>
      <c r="S490" s="174">
        <v>44663</v>
      </c>
      <c r="T490" s="173" t="s">
        <v>33</v>
      </c>
      <c r="U490" s="182">
        <v>503.26463157894739</v>
      </c>
      <c r="V490" s="177">
        <f>IF(U490=0,0,IF(T490="MXN",1/HLOOKUP(YEAR(S490)+(MONTH(S490)/100),TC!$5:$37,DAY(S490)+2,FALSE),VLOOKUP(T490,Equivalencia!$1:$23,((MAX(Equivalencia!$3:$3)-YEAR(S490))*14)+MONTH(S490)+2,FALSE)))</f>
        <v>1</v>
      </c>
      <c r="W490" s="178">
        <f t="shared" si="79"/>
        <v>503.26463157894739</v>
      </c>
      <c r="X490" s="481">
        <f t="shared" si="75"/>
        <v>-174.84870175438596</v>
      </c>
      <c r="Y490" s="179"/>
      <c r="Z490" s="466">
        <f t="shared" si="76"/>
        <v>700.83013000000005</v>
      </c>
      <c r="AA490" s="473">
        <f t="shared" si="77"/>
        <v>-197.56549842105267</v>
      </c>
      <c r="AB490" s="339">
        <f t="shared" si="78"/>
        <v>-0.25784583956622686</v>
      </c>
    </row>
    <row r="491" spans="2:28" ht="20.100000000000001" customHeight="1">
      <c r="B491" s="172">
        <v>1175000</v>
      </c>
      <c r="C491" s="174">
        <v>44509</v>
      </c>
      <c r="D491" s="181" t="s">
        <v>164</v>
      </c>
      <c r="E491" s="173" t="s">
        <v>33</v>
      </c>
      <c r="F491" s="176">
        <v>1259.3533333333335</v>
      </c>
      <c r="G491" s="175">
        <f t="shared" si="80"/>
        <v>13</v>
      </c>
      <c r="H491" s="175">
        <f t="shared" si="73"/>
        <v>1259.3533333333335</v>
      </c>
      <c r="I491" s="177">
        <f>IF(G491=0,0,IF(E491="MXN",1/HLOOKUP(YEAR(C491)+(MONTH(C491)/100),TC!$5:$37,DAY(C491)+2,FALSE),VLOOKUP(E491,Equivalencia!$5:$23,((MAX(Equivalencia!$3:$3)-YEAR(C491))*14)+MONTH(C491)+2,FALSE)))</f>
        <v>1</v>
      </c>
      <c r="J491" s="178">
        <f t="shared" si="81"/>
        <v>1259.3533333333335</v>
      </c>
      <c r="K491" s="462">
        <f>IF(C491=0,0,VLOOKUP(YEAR(C491),INPC!$B$4:$O$29,MONTH(C491)+1))</f>
        <v>116.884</v>
      </c>
      <c r="L491" s="462">
        <f>IF(S491=0,0,VLOOKUP(YEAR(S491),INPC!$B$4:$O$29,MONTH(S491)+1))</f>
        <v>120.809</v>
      </c>
      <c r="M491" s="463">
        <f t="shared" si="74"/>
        <v>1.0335000000000001</v>
      </c>
      <c r="N491" s="465">
        <f t="shared" si="82"/>
        <v>1301.5416700000003</v>
      </c>
      <c r="O491" s="179"/>
      <c r="P491" s="180">
        <v>13</v>
      </c>
      <c r="Q491" s="173" t="s">
        <v>583</v>
      </c>
      <c r="R491" s="173" t="s">
        <v>230</v>
      </c>
      <c r="S491" s="174">
        <v>44664</v>
      </c>
      <c r="T491" s="173" t="s">
        <v>33</v>
      </c>
      <c r="U491" s="182">
        <v>951.91999999999985</v>
      </c>
      <c r="V491" s="177">
        <f>IF(U491=0,0,IF(T491="MXN",1/HLOOKUP(YEAR(S491)+(MONTH(S491)/100),TC!$5:$37,DAY(S491)+2,FALSE),VLOOKUP(T491,Equivalencia!$1:$23,((MAX(Equivalencia!$3:$3)-YEAR(S491))*14)+MONTH(S491)+2,FALSE)))</f>
        <v>1</v>
      </c>
      <c r="W491" s="178">
        <f t="shared" si="79"/>
        <v>951.91999999999985</v>
      </c>
      <c r="X491" s="481">
        <f t="shared" si="75"/>
        <v>-307.43333333333362</v>
      </c>
      <c r="Y491" s="179"/>
      <c r="Z491" s="466">
        <f t="shared" si="76"/>
        <v>1301.5416700000003</v>
      </c>
      <c r="AA491" s="473">
        <f t="shared" si="77"/>
        <v>-349.62167000000045</v>
      </c>
      <c r="AB491" s="339">
        <f t="shared" si="78"/>
        <v>-0.24411999809426022</v>
      </c>
    </row>
    <row r="492" spans="2:28" ht="20.100000000000001" customHeight="1">
      <c r="B492" s="172">
        <v>1175000</v>
      </c>
      <c r="C492" s="174">
        <v>44509</v>
      </c>
      <c r="D492" s="181" t="s">
        <v>164</v>
      </c>
      <c r="E492" s="173" t="s">
        <v>33</v>
      </c>
      <c r="F492" s="176">
        <v>193.74666666666667</v>
      </c>
      <c r="G492" s="175">
        <f t="shared" si="80"/>
        <v>2</v>
      </c>
      <c r="H492" s="175">
        <f t="shared" si="73"/>
        <v>193.74666666666667</v>
      </c>
      <c r="I492" s="177">
        <f>IF(G492=0,0,IF(E492="MXN",1/HLOOKUP(YEAR(C492)+(MONTH(C492)/100),TC!$5:$37,DAY(C492)+2,FALSE),VLOOKUP(E492,Equivalencia!$5:$23,((MAX(Equivalencia!$3:$3)-YEAR(C492))*14)+MONTH(C492)+2,FALSE)))</f>
        <v>1</v>
      </c>
      <c r="J492" s="178">
        <f t="shared" si="81"/>
        <v>193.74666666666667</v>
      </c>
      <c r="K492" s="462">
        <f>IF(C492=0,0,VLOOKUP(YEAR(C492),INPC!$B$4:$O$29,MONTH(C492)+1))</f>
        <v>116.884</v>
      </c>
      <c r="L492" s="462">
        <f>IF(S492=0,0,VLOOKUP(YEAR(S492),INPC!$B$4:$O$29,MONTH(S492)+1))</f>
        <v>120.809</v>
      </c>
      <c r="M492" s="463">
        <f t="shared" si="74"/>
        <v>1.0335000000000001</v>
      </c>
      <c r="N492" s="465">
        <f t="shared" si="82"/>
        <v>200.23718000000002</v>
      </c>
      <c r="O492" s="179"/>
      <c r="P492" s="180">
        <v>2</v>
      </c>
      <c r="Q492" s="173" t="s">
        <v>583</v>
      </c>
      <c r="R492" s="173" t="s">
        <v>230</v>
      </c>
      <c r="S492" s="174">
        <v>44671</v>
      </c>
      <c r="T492" s="173" t="s">
        <v>33</v>
      </c>
      <c r="U492" s="182">
        <v>149.69999999999999</v>
      </c>
      <c r="V492" s="177">
        <f>IF(U492=0,0,IF(T492="MXN",1/HLOOKUP(YEAR(S492)+(MONTH(S492)/100),TC!$5:$37,DAY(S492)+2,FALSE),VLOOKUP(T492,Equivalencia!$1:$23,((MAX(Equivalencia!$3:$3)-YEAR(S492))*14)+MONTH(S492)+2,FALSE)))</f>
        <v>1</v>
      </c>
      <c r="W492" s="178">
        <f t="shared" si="79"/>
        <v>149.69999999999999</v>
      </c>
      <c r="X492" s="481">
        <f t="shared" si="75"/>
        <v>-44.046666666666681</v>
      </c>
      <c r="Y492" s="179"/>
      <c r="Z492" s="466">
        <f t="shared" si="76"/>
        <v>200.23718000000002</v>
      </c>
      <c r="AA492" s="473">
        <f t="shared" si="77"/>
        <v>-50.537180000000035</v>
      </c>
      <c r="AB492" s="339">
        <f t="shared" si="78"/>
        <v>-0.22734154566100073</v>
      </c>
    </row>
    <row r="493" spans="2:28" ht="20.100000000000001" customHeight="1">
      <c r="B493" s="172">
        <v>1175000</v>
      </c>
      <c r="C493" s="174">
        <v>44509</v>
      </c>
      <c r="D493" s="181" t="s">
        <v>164</v>
      </c>
      <c r="E493" s="173" t="s">
        <v>33</v>
      </c>
      <c r="F493" s="176">
        <v>1162.48</v>
      </c>
      <c r="G493" s="175">
        <f t="shared" si="80"/>
        <v>12</v>
      </c>
      <c r="H493" s="175">
        <f t="shared" si="73"/>
        <v>1162.48</v>
      </c>
      <c r="I493" s="177">
        <f>IF(G493=0,0,IF(E493="MXN",1/HLOOKUP(YEAR(C493)+(MONTH(C493)/100),TC!$5:$37,DAY(C493)+2,FALSE),VLOOKUP(E493,Equivalencia!$5:$23,((MAX(Equivalencia!$3:$3)-YEAR(C493))*14)+MONTH(C493)+2,FALSE)))</f>
        <v>1</v>
      </c>
      <c r="J493" s="178">
        <f t="shared" si="81"/>
        <v>1162.48</v>
      </c>
      <c r="K493" s="462">
        <f>IF(C493=0,0,VLOOKUP(YEAR(C493),INPC!$B$4:$O$29,MONTH(C493)+1))</f>
        <v>116.884</v>
      </c>
      <c r="L493" s="462">
        <f>IF(S493=0,0,VLOOKUP(YEAR(S493),INPC!$B$4:$O$29,MONTH(S493)+1))</f>
        <v>120.809</v>
      </c>
      <c r="M493" s="463">
        <f t="shared" si="74"/>
        <v>1.0335000000000001</v>
      </c>
      <c r="N493" s="465">
        <f t="shared" si="82"/>
        <v>1201.42308</v>
      </c>
      <c r="O493" s="179"/>
      <c r="P493" s="180">
        <v>12</v>
      </c>
      <c r="Q493" s="173" t="s">
        <v>583</v>
      </c>
      <c r="R493" s="173" t="s">
        <v>230</v>
      </c>
      <c r="S493" s="174">
        <v>44671</v>
      </c>
      <c r="T493" s="173" t="s">
        <v>33</v>
      </c>
      <c r="U493" s="182">
        <v>898.17</v>
      </c>
      <c r="V493" s="177">
        <f>IF(U493=0,0,IF(T493="MXN",1/HLOOKUP(YEAR(S493)+(MONTH(S493)/100),TC!$5:$37,DAY(S493)+2,FALSE),VLOOKUP(T493,Equivalencia!$1:$23,((MAX(Equivalencia!$3:$3)-YEAR(S493))*14)+MONTH(S493)+2,FALSE)))</f>
        <v>1</v>
      </c>
      <c r="W493" s="178">
        <f t="shared" si="79"/>
        <v>898.17</v>
      </c>
      <c r="X493" s="481">
        <f t="shared" si="75"/>
        <v>-264.31000000000006</v>
      </c>
      <c r="Y493" s="179"/>
      <c r="Z493" s="466">
        <f t="shared" si="76"/>
        <v>1201.42308</v>
      </c>
      <c r="AA493" s="473">
        <f t="shared" si="77"/>
        <v>-303.25308000000007</v>
      </c>
      <c r="AB493" s="339">
        <f t="shared" si="78"/>
        <v>-0.22736735255660312</v>
      </c>
    </row>
    <row r="494" spans="2:28" ht="20.100000000000001" customHeight="1">
      <c r="B494" s="172">
        <v>1175000</v>
      </c>
      <c r="C494" s="174">
        <v>44509</v>
      </c>
      <c r="D494" s="181" t="s">
        <v>164</v>
      </c>
      <c r="E494" s="173" t="s">
        <v>33</v>
      </c>
      <c r="F494" s="176">
        <v>581.24</v>
      </c>
      <c r="G494" s="175">
        <f t="shared" si="80"/>
        <v>6</v>
      </c>
      <c r="H494" s="175">
        <f t="shared" si="73"/>
        <v>581.24</v>
      </c>
      <c r="I494" s="177">
        <f>IF(G494=0,0,IF(E494="MXN",1/HLOOKUP(YEAR(C494)+(MONTH(C494)/100),TC!$5:$37,DAY(C494)+2,FALSE),VLOOKUP(E494,Equivalencia!$5:$23,((MAX(Equivalencia!$3:$3)-YEAR(C494))*14)+MONTH(C494)+2,FALSE)))</f>
        <v>1</v>
      </c>
      <c r="J494" s="178">
        <f t="shared" si="81"/>
        <v>581.24</v>
      </c>
      <c r="K494" s="462">
        <f>IF(C494=0,0,VLOOKUP(YEAR(C494),INPC!$B$4:$O$29,MONTH(C494)+1))</f>
        <v>116.884</v>
      </c>
      <c r="L494" s="462">
        <f>IF(S494=0,0,VLOOKUP(YEAR(S494),INPC!$B$4:$O$29,MONTH(S494)+1))</f>
        <v>120.809</v>
      </c>
      <c r="M494" s="463">
        <f t="shared" si="74"/>
        <v>1.0335000000000001</v>
      </c>
      <c r="N494" s="465">
        <f t="shared" si="82"/>
        <v>600.71154000000001</v>
      </c>
      <c r="O494" s="179"/>
      <c r="P494" s="180">
        <v>6</v>
      </c>
      <c r="Q494" s="173" t="s">
        <v>583</v>
      </c>
      <c r="R494" s="173" t="s">
        <v>230</v>
      </c>
      <c r="S494" s="174">
        <v>44671</v>
      </c>
      <c r="T494" s="173" t="s">
        <v>33</v>
      </c>
      <c r="U494" s="182">
        <v>447.48</v>
      </c>
      <c r="V494" s="177">
        <f>IF(U494=0,0,IF(T494="MXN",1/HLOOKUP(YEAR(S494)+(MONTH(S494)/100),TC!$5:$37,DAY(S494)+2,FALSE),VLOOKUP(T494,Equivalencia!$1:$23,((MAX(Equivalencia!$3:$3)-YEAR(S494))*14)+MONTH(S494)+2,FALSE)))</f>
        <v>1</v>
      </c>
      <c r="W494" s="178">
        <f t="shared" si="79"/>
        <v>447.48</v>
      </c>
      <c r="X494" s="481">
        <f t="shared" si="75"/>
        <v>-133.76</v>
      </c>
      <c r="Y494" s="179"/>
      <c r="Z494" s="466">
        <f t="shared" si="76"/>
        <v>600.71154000000001</v>
      </c>
      <c r="AA494" s="473">
        <f t="shared" si="77"/>
        <v>-153.23154</v>
      </c>
      <c r="AB494" s="339">
        <f t="shared" si="78"/>
        <v>-0.23012869038607109</v>
      </c>
    </row>
    <row r="495" spans="2:28" ht="20.100000000000001" customHeight="1">
      <c r="B495" s="172">
        <v>1175000</v>
      </c>
      <c r="C495" s="174">
        <v>44509</v>
      </c>
      <c r="D495" s="181" t="s">
        <v>164</v>
      </c>
      <c r="E495" s="173" t="s">
        <v>33</v>
      </c>
      <c r="F495" s="176">
        <v>1646.8466666666668</v>
      </c>
      <c r="G495" s="175">
        <f t="shared" si="80"/>
        <v>17</v>
      </c>
      <c r="H495" s="175">
        <f t="shared" si="73"/>
        <v>1646.8466666666668</v>
      </c>
      <c r="I495" s="177">
        <f>IF(G495=0,0,IF(E495="MXN",1/HLOOKUP(YEAR(C495)+(MONTH(C495)/100),TC!$5:$37,DAY(C495)+2,FALSE),VLOOKUP(E495,Equivalencia!$5:$23,((MAX(Equivalencia!$3:$3)-YEAR(C495))*14)+MONTH(C495)+2,FALSE)))</f>
        <v>1</v>
      </c>
      <c r="J495" s="178">
        <f t="shared" si="81"/>
        <v>1646.8466666666668</v>
      </c>
      <c r="K495" s="462">
        <f>IF(C495=0,0,VLOOKUP(YEAR(C495),INPC!$B$4:$O$29,MONTH(C495)+1))</f>
        <v>116.884</v>
      </c>
      <c r="L495" s="462">
        <f>IF(S495=0,0,VLOOKUP(YEAR(S495),INPC!$B$4:$O$29,MONTH(S495)+1))</f>
        <v>120.809</v>
      </c>
      <c r="M495" s="463">
        <f t="shared" si="74"/>
        <v>1.0335000000000001</v>
      </c>
      <c r="N495" s="465">
        <f t="shared" si="82"/>
        <v>1702.0160300000002</v>
      </c>
      <c r="O495" s="179"/>
      <c r="P495" s="569">
        <v>17</v>
      </c>
      <c r="Q495" s="173" t="s">
        <v>583</v>
      </c>
      <c r="R495" s="173" t="s">
        <v>230</v>
      </c>
      <c r="S495" s="174">
        <v>44671</v>
      </c>
      <c r="T495" s="173" t="s">
        <v>33</v>
      </c>
      <c r="U495" s="182">
        <v>1273.0895238095238</v>
      </c>
      <c r="V495" s="177">
        <f>IF(U495=0,0,IF(T495="MXN",1/HLOOKUP(YEAR(S495)+(MONTH(S495)/100),TC!$5:$37,DAY(S495)+2,FALSE),VLOOKUP(T495,Equivalencia!$1:$23,((MAX(Equivalencia!$3:$3)-YEAR(S495))*14)+MONTH(S495)+2,FALSE)))</f>
        <v>1</v>
      </c>
      <c r="W495" s="178">
        <f t="shared" si="79"/>
        <v>1273.0895238095238</v>
      </c>
      <c r="X495" s="481">
        <f t="shared" si="75"/>
        <v>-373.75714285714298</v>
      </c>
      <c r="Y495" s="179"/>
      <c r="Z495" s="466">
        <f t="shared" si="76"/>
        <v>1702.0160300000002</v>
      </c>
      <c r="AA495" s="473">
        <f t="shared" si="77"/>
        <v>-428.9265061904764</v>
      </c>
      <c r="AB495" s="339">
        <f t="shared" si="78"/>
        <v>-0.22695321332717255</v>
      </c>
    </row>
    <row r="496" spans="2:28" ht="20.100000000000001" customHeight="1">
      <c r="B496" s="172">
        <v>1175000</v>
      </c>
      <c r="C496" s="174">
        <v>44523</v>
      </c>
      <c r="D496" s="181" t="s">
        <v>164</v>
      </c>
      <c r="E496" s="173" t="s">
        <v>33</v>
      </c>
      <c r="F496" s="176">
        <v>4628.62</v>
      </c>
      <c r="G496" s="175">
        <f t="shared" si="80"/>
        <v>46</v>
      </c>
      <c r="H496" s="175">
        <f t="shared" si="73"/>
        <v>4628.62</v>
      </c>
      <c r="I496" s="177">
        <f>IF(G496=0,0,IF(E496="MXN",1/HLOOKUP(YEAR(C496)+(MONTH(C496)/100),TC!$5:$37,DAY(C496)+2,FALSE),VLOOKUP(E496,Equivalencia!$5:$23,((MAX(Equivalencia!$3:$3)-YEAR(C496))*14)+MONTH(C496)+2,FALSE)))</f>
        <v>1</v>
      </c>
      <c r="J496" s="178">
        <f t="shared" si="81"/>
        <v>4628.62</v>
      </c>
      <c r="K496" s="462">
        <f>IF(C496=0,0,VLOOKUP(YEAR(C496),INPC!$B$4:$O$29,MONTH(C496)+1))</f>
        <v>116.884</v>
      </c>
      <c r="L496" s="462">
        <f>IF(S496=0,0,VLOOKUP(YEAR(S496),INPC!$B$4:$O$29,MONTH(S496)+1))</f>
        <v>120.809</v>
      </c>
      <c r="M496" s="463">
        <f t="shared" si="74"/>
        <v>1.0335000000000001</v>
      </c>
      <c r="N496" s="465">
        <f t="shared" si="82"/>
        <v>4783.6787700000004</v>
      </c>
      <c r="O496" s="179"/>
      <c r="P496" s="571">
        <v>46</v>
      </c>
      <c r="Q496" s="173" t="s">
        <v>583</v>
      </c>
      <c r="R496" s="173" t="s">
        <v>230</v>
      </c>
      <c r="S496" s="174">
        <v>44671</v>
      </c>
      <c r="T496" s="173" t="s">
        <v>33</v>
      </c>
      <c r="U496" s="182">
        <v>3444.8304761904765</v>
      </c>
      <c r="V496" s="177">
        <f>IF(U496=0,0,IF(T496="MXN",1/HLOOKUP(YEAR(S496)+(MONTH(S496)/100),TC!$5:$37,DAY(S496)+2,FALSE),VLOOKUP(T496,Equivalencia!$1:$23,((MAX(Equivalencia!$3:$3)-YEAR(S496))*14)+MONTH(S496)+2,FALSE)))</f>
        <v>1</v>
      </c>
      <c r="W496" s="178">
        <f t="shared" si="79"/>
        <v>3444.8304761904765</v>
      </c>
      <c r="X496" s="481">
        <f t="shared" si="75"/>
        <v>-1183.7895238095234</v>
      </c>
      <c r="Y496" s="179"/>
      <c r="Z496" s="466">
        <f t="shared" si="76"/>
        <v>4783.6787700000004</v>
      </c>
      <c r="AA496" s="473">
        <f t="shared" si="77"/>
        <v>-1338.848293809524</v>
      </c>
      <c r="AB496" s="339">
        <f t="shared" si="78"/>
        <v>-0.25575431204322741</v>
      </c>
    </row>
    <row r="497" spans="2:28" ht="20.100000000000001" customHeight="1">
      <c r="B497" s="172">
        <v>1175000</v>
      </c>
      <c r="C497" s="174">
        <v>44523</v>
      </c>
      <c r="D497" s="181" t="s">
        <v>164</v>
      </c>
      <c r="E497" s="173" t="s">
        <v>33</v>
      </c>
      <c r="F497" s="176">
        <v>199.18</v>
      </c>
      <c r="G497" s="175">
        <f t="shared" si="80"/>
        <v>2</v>
      </c>
      <c r="H497" s="175">
        <f t="shared" si="73"/>
        <v>199.18</v>
      </c>
      <c r="I497" s="177">
        <f>IF(G497=0,0,IF(E497="MXN",1/HLOOKUP(YEAR(C497)+(MONTH(C497)/100),TC!$5:$37,DAY(C497)+2,FALSE),VLOOKUP(E497,Equivalencia!$5:$23,((MAX(Equivalencia!$3:$3)-YEAR(C497))*14)+MONTH(C497)+2,FALSE)))</f>
        <v>1</v>
      </c>
      <c r="J497" s="178">
        <f t="shared" si="81"/>
        <v>199.18</v>
      </c>
      <c r="K497" s="462">
        <f>IF(C497=0,0,VLOOKUP(YEAR(C497),INPC!$B$4:$O$29,MONTH(C497)+1))</f>
        <v>116.884</v>
      </c>
      <c r="L497" s="462">
        <f>IF(S497=0,0,VLOOKUP(YEAR(S497),INPC!$B$4:$O$29,MONTH(S497)+1))</f>
        <v>120.809</v>
      </c>
      <c r="M497" s="463">
        <f t="shared" si="74"/>
        <v>1.0335000000000001</v>
      </c>
      <c r="N497" s="465">
        <f t="shared" si="82"/>
        <v>205.85253000000003</v>
      </c>
      <c r="O497" s="179"/>
      <c r="P497" s="570">
        <v>2</v>
      </c>
      <c r="Q497" s="173" t="s">
        <v>583</v>
      </c>
      <c r="R497" s="173" t="s">
        <v>230</v>
      </c>
      <c r="S497" s="174">
        <v>44672</v>
      </c>
      <c r="T497" s="173" t="s">
        <v>33</v>
      </c>
      <c r="U497" s="182">
        <v>150.39333333333332</v>
      </c>
      <c r="V497" s="177">
        <f>IF(U497=0,0,IF(T497="MXN",1/HLOOKUP(YEAR(S497)+(MONTH(S497)/100),TC!$5:$37,DAY(S497)+2,FALSE),VLOOKUP(T497,Equivalencia!$1:$23,((MAX(Equivalencia!$3:$3)-YEAR(S497))*14)+MONTH(S497)+2,FALSE)))</f>
        <v>1</v>
      </c>
      <c r="W497" s="178">
        <f t="shared" si="79"/>
        <v>150.39333333333332</v>
      </c>
      <c r="X497" s="481">
        <f t="shared" si="75"/>
        <v>-48.78666666666669</v>
      </c>
      <c r="Y497" s="179"/>
      <c r="Z497" s="466">
        <f t="shared" si="76"/>
        <v>205.85253000000003</v>
      </c>
      <c r="AA497" s="473">
        <f t="shared" si="77"/>
        <v>-55.459196666666713</v>
      </c>
      <c r="AB497" s="339">
        <f t="shared" si="78"/>
        <v>-0.24493757740067623</v>
      </c>
    </row>
    <row r="498" spans="2:28" ht="20.100000000000001" customHeight="1">
      <c r="B498" s="172">
        <v>1175000</v>
      </c>
      <c r="C498" s="174">
        <v>44523</v>
      </c>
      <c r="D498" s="181" t="s">
        <v>164</v>
      </c>
      <c r="E498" s="173" t="s">
        <v>33</v>
      </c>
      <c r="F498" s="176">
        <v>694.16</v>
      </c>
      <c r="G498" s="175">
        <f t="shared" si="80"/>
        <v>7</v>
      </c>
      <c r="H498" s="175">
        <f t="shared" si="73"/>
        <v>694.16</v>
      </c>
      <c r="I498" s="177">
        <f>IF(G498=0,0,IF(E498="MXN",1/HLOOKUP(YEAR(C498)+(MONTH(C498)/100),TC!$5:$37,DAY(C498)+2,FALSE),VLOOKUP(E498,Equivalencia!$5:$23,((MAX(Equivalencia!$3:$3)-YEAR(C498))*14)+MONTH(C498)+2,FALSE)))</f>
        <v>1</v>
      </c>
      <c r="J498" s="178">
        <f t="shared" si="81"/>
        <v>694.16</v>
      </c>
      <c r="K498" s="462">
        <f>IF(C498=0,0,VLOOKUP(YEAR(C498),INPC!$B$4:$O$29,MONTH(C498)+1))</f>
        <v>116.884</v>
      </c>
      <c r="L498" s="462">
        <f>IF(S498=0,0,VLOOKUP(YEAR(S498),INPC!$B$4:$O$29,MONTH(S498)+1))</f>
        <v>120.809</v>
      </c>
      <c r="M498" s="463">
        <f t="shared" si="74"/>
        <v>1.0335000000000001</v>
      </c>
      <c r="N498" s="465">
        <f t="shared" si="82"/>
        <v>717.41435999999999</v>
      </c>
      <c r="O498" s="179"/>
      <c r="P498" s="571">
        <v>7</v>
      </c>
      <c r="Q498" s="173" t="s">
        <v>583</v>
      </c>
      <c r="R498" s="173" t="s">
        <v>230</v>
      </c>
      <c r="S498" s="174">
        <v>44672</v>
      </c>
      <c r="T498" s="173" t="s">
        <v>33</v>
      </c>
      <c r="U498" s="182">
        <v>526.37666666666655</v>
      </c>
      <c r="V498" s="177">
        <f>IF(U498=0,0,IF(T498="MXN",1/HLOOKUP(YEAR(S498)+(MONTH(S498)/100),TC!$5:$37,DAY(S498)+2,FALSE),VLOOKUP(T498,Equivalencia!$1:$23,((MAX(Equivalencia!$3:$3)-YEAR(S498))*14)+MONTH(S498)+2,FALSE)))</f>
        <v>1</v>
      </c>
      <c r="W498" s="178">
        <f t="shared" si="79"/>
        <v>526.37666666666655</v>
      </c>
      <c r="X498" s="481">
        <f t="shared" si="75"/>
        <v>-167.78333333333342</v>
      </c>
      <c r="Y498" s="179"/>
      <c r="Z498" s="466">
        <f t="shared" si="76"/>
        <v>717.41435999999999</v>
      </c>
      <c r="AA498" s="473">
        <f t="shared" si="77"/>
        <v>-191.03769333333344</v>
      </c>
      <c r="AB498" s="339">
        <f t="shared" si="78"/>
        <v>-0.24170700318850613</v>
      </c>
    </row>
    <row r="499" spans="2:28" ht="20.100000000000001" customHeight="1">
      <c r="B499" s="172">
        <v>1175000</v>
      </c>
      <c r="C499" s="174">
        <v>44462</v>
      </c>
      <c r="D499" s="181" t="s">
        <v>173</v>
      </c>
      <c r="E499" s="173" t="s">
        <v>33</v>
      </c>
      <c r="F499" s="176">
        <v>8698.94</v>
      </c>
      <c r="G499" s="175">
        <f t="shared" si="80"/>
        <v>210</v>
      </c>
      <c r="H499" s="175">
        <f t="shared" si="73"/>
        <v>8698.94</v>
      </c>
      <c r="I499" s="177">
        <f>IF(G499=0,0,IF(E499="MXN",1/HLOOKUP(YEAR(C499)+(MONTH(C499)/100),TC!$5:$37,DAY(C499)+2,FALSE),VLOOKUP(E499,Equivalencia!$5:$23,((MAX(Equivalencia!$3:$3)-YEAR(C499))*14)+MONTH(C499)+2,FALSE)))</f>
        <v>1</v>
      </c>
      <c r="J499" s="178">
        <f t="shared" si="81"/>
        <v>8698.94</v>
      </c>
      <c r="K499" s="462">
        <f>IF(C499=0,0,VLOOKUP(YEAR(C499),INPC!$B$4:$O$29,MONTH(C499)+1))</f>
        <v>114.601</v>
      </c>
      <c r="L499" s="462">
        <f>IF(S499=0,0,VLOOKUP(YEAR(S499),INPC!$B$4:$O$29,MONTH(S499)+1))</f>
        <v>120.809</v>
      </c>
      <c r="M499" s="463">
        <f t="shared" si="74"/>
        <v>1.0541</v>
      </c>
      <c r="N499" s="465">
        <f t="shared" si="82"/>
        <v>9169.552654000001</v>
      </c>
      <c r="O499" s="179"/>
      <c r="P499" s="570">
        <v>210</v>
      </c>
      <c r="Q499" s="173" t="s">
        <v>583</v>
      </c>
      <c r="R499" s="173" t="s">
        <v>230</v>
      </c>
      <c r="S499" s="174">
        <v>44678</v>
      </c>
      <c r="T499" s="173" t="s">
        <v>33</v>
      </c>
      <c r="U499" s="182">
        <v>7632.4127659574469</v>
      </c>
      <c r="V499" s="177">
        <f>IF(U499=0,0,IF(T499="MXN",1/HLOOKUP(YEAR(S499)+(MONTH(S499)/100),TC!$5:$37,DAY(S499)+2,FALSE),VLOOKUP(T499,Equivalencia!$1:$23,((MAX(Equivalencia!$3:$3)-YEAR(S499))*14)+MONTH(S499)+2,FALSE)))</f>
        <v>1</v>
      </c>
      <c r="W499" s="178">
        <f t="shared" si="79"/>
        <v>7632.4127659574469</v>
      </c>
      <c r="X499" s="481">
        <f t="shared" si="75"/>
        <v>-1066.5272340425536</v>
      </c>
      <c r="Y499" s="179"/>
      <c r="Z499" s="466">
        <f t="shared" si="76"/>
        <v>9169.552654000001</v>
      </c>
      <c r="AA499" s="473">
        <f t="shared" si="77"/>
        <v>-1537.139888042554</v>
      </c>
      <c r="AB499" s="339">
        <f t="shared" si="78"/>
        <v>-0.12260427523842599</v>
      </c>
    </row>
    <row r="500" spans="2:28" ht="20.100000000000001" customHeight="1">
      <c r="B500" s="172">
        <v>1175000</v>
      </c>
      <c r="C500" s="174">
        <v>44463</v>
      </c>
      <c r="D500" s="181" t="s">
        <v>173</v>
      </c>
      <c r="E500" s="173" t="s">
        <v>33</v>
      </c>
      <c r="F500" s="176">
        <v>926.53000000000009</v>
      </c>
      <c r="G500" s="175">
        <f t="shared" si="80"/>
        <v>22</v>
      </c>
      <c r="H500" s="175">
        <f t="shared" si="73"/>
        <v>926.53000000000009</v>
      </c>
      <c r="I500" s="177">
        <f>IF(G500=0,0,IF(E500="MXN",1/HLOOKUP(YEAR(C500)+(MONTH(C500)/100),TC!$5:$37,DAY(C500)+2,FALSE),VLOOKUP(E500,Equivalencia!$5:$23,((MAX(Equivalencia!$3:$3)-YEAR(C500))*14)+MONTH(C500)+2,FALSE)))</f>
        <v>1</v>
      </c>
      <c r="J500" s="178">
        <f t="shared" si="81"/>
        <v>926.53000000000009</v>
      </c>
      <c r="K500" s="462">
        <f>IF(C500=0,0,VLOOKUP(YEAR(C500),INPC!$B$4:$O$29,MONTH(C500)+1))</f>
        <v>114.601</v>
      </c>
      <c r="L500" s="462">
        <f>IF(S500=0,0,VLOOKUP(YEAR(S500),INPC!$B$4:$O$29,MONTH(S500)+1))</f>
        <v>120.809</v>
      </c>
      <c r="M500" s="463">
        <f t="shared" si="74"/>
        <v>1.0541</v>
      </c>
      <c r="N500" s="465">
        <f t="shared" si="82"/>
        <v>976.65527300000008</v>
      </c>
      <c r="O500" s="179"/>
      <c r="P500" s="570">
        <v>22</v>
      </c>
      <c r="Q500" s="173" t="s">
        <v>583</v>
      </c>
      <c r="R500" s="173" t="s">
        <v>230</v>
      </c>
      <c r="S500" s="174">
        <v>44678</v>
      </c>
      <c r="T500" s="173" t="s">
        <v>33</v>
      </c>
      <c r="U500" s="182">
        <v>799.58609929078011</v>
      </c>
      <c r="V500" s="177">
        <f>IF(U500=0,0,IF(T500="MXN",1/HLOOKUP(YEAR(S500)+(MONTH(S500)/100),TC!$5:$37,DAY(S500)+2,FALSE),VLOOKUP(T500,Equivalencia!$1:$23,((MAX(Equivalencia!$3:$3)-YEAR(S500))*14)+MONTH(S500)+2,FALSE)))</f>
        <v>1</v>
      </c>
      <c r="W500" s="178">
        <f t="shared" si="79"/>
        <v>799.58609929078011</v>
      </c>
      <c r="X500" s="481">
        <f t="shared" si="75"/>
        <v>-126.94390070921997</v>
      </c>
      <c r="Y500" s="179"/>
      <c r="Z500" s="466">
        <f t="shared" si="76"/>
        <v>976.65527300000008</v>
      </c>
      <c r="AA500" s="473">
        <f t="shared" si="77"/>
        <v>-177.06917370921997</v>
      </c>
      <c r="AB500" s="339">
        <f t="shared" si="78"/>
        <v>-0.13701002742406609</v>
      </c>
    </row>
    <row r="501" spans="2:28" ht="20.100000000000001" customHeight="1">
      <c r="B501" s="172">
        <v>1175000</v>
      </c>
      <c r="C501" s="174">
        <v>44463</v>
      </c>
      <c r="D501" s="181" t="s">
        <v>173</v>
      </c>
      <c r="E501" s="173" t="s">
        <v>33</v>
      </c>
      <c r="F501" s="176">
        <v>2744.14</v>
      </c>
      <c r="G501" s="175">
        <f t="shared" si="80"/>
        <v>65</v>
      </c>
      <c r="H501" s="175">
        <f t="shared" si="73"/>
        <v>2744.14</v>
      </c>
      <c r="I501" s="177">
        <f>IF(G501=0,0,IF(E501="MXN",1/HLOOKUP(YEAR(C501)+(MONTH(C501)/100),TC!$5:$37,DAY(C501)+2,FALSE),VLOOKUP(E501,Equivalencia!$5:$23,((MAX(Equivalencia!$3:$3)-YEAR(C501))*14)+MONTH(C501)+2,FALSE)))</f>
        <v>1</v>
      </c>
      <c r="J501" s="178">
        <f t="shared" si="81"/>
        <v>2744.14</v>
      </c>
      <c r="K501" s="462">
        <f>IF(C501=0,0,VLOOKUP(YEAR(C501),INPC!$B$4:$O$29,MONTH(C501)+1))</f>
        <v>114.601</v>
      </c>
      <c r="L501" s="462">
        <f>IF(S501=0,0,VLOOKUP(YEAR(S501),INPC!$B$4:$O$29,MONTH(S501)+1))</f>
        <v>120.809</v>
      </c>
      <c r="M501" s="463">
        <f t="shared" si="74"/>
        <v>1.0541</v>
      </c>
      <c r="N501" s="465">
        <f t="shared" si="82"/>
        <v>2892.5979739999998</v>
      </c>
      <c r="O501" s="179"/>
      <c r="P501" s="570">
        <v>65</v>
      </c>
      <c r="Q501" s="173" t="s">
        <v>583</v>
      </c>
      <c r="R501" s="173" t="s">
        <v>230</v>
      </c>
      <c r="S501" s="174">
        <v>44678</v>
      </c>
      <c r="T501" s="173" t="s">
        <v>33</v>
      </c>
      <c r="U501" s="182">
        <v>2362.4134751773049</v>
      </c>
      <c r="V501" s="177">
        <f>IF(U501=0,0,IF(T501="MXN",1/HLOOKUP(YEAR(S501)+(MONTH(S501)/100),TC!$5:$37,DAY(S501)+2,FALSE),VLOOKUP(T501,Equivalencia!$1:$23,((MAX(Equivalencia!$3:$3)-YEAR(S501))*14)+MONTH(S501)+2,FALSE)))</f>
        <v>1</v>
      </c>
      <c r="W501" s="178">
        <f t="shared" si="79"/>
        <v>2362.4134751773049</v>
      </c>
      <c r="X501" s="481">
        <f t="shared" si="75"/>
        <v>-381.72652482269496</v>
      </c>
      <c r="Y501" s="179"/>
      <c r="Z501" s="466">
        <f t="shared" si="76"/>
        <v>2892.5979739999998</v>
      </c>
      <c r="AA501" s="473">
        <f t="shared" si="77"/>
        <v>-530.18449882269488</v>
      </c>
      <c r="AB501" s="339">
        <f t="shared" si="78"/>
        <v>-0.13910606777449219</v>
      </c>
    </row>
    <row r="502" spans="2:28" ht="20.100000000000001" customHeight="1">
      <c r="B502" s="172">
        <v>1175000</v>
      </c>
      <c r="C502" s="174">
        <v>44463</v>
      </c>
      <c r="D502" s="181" t="s">
        <v>173</v>
      </c>
      <c r="E502" s="173" t="s">
        <v>33</v>
      </c>
      <c r="F502" s="176">
        <v>3880.5200000000004</v>
      </c>
      <c r="G502" s="175">
        <f t="shared" si="80"/>
        <v>92</v>
      </c>
      <c r="H502" s="175">
        <f t="shared" si="73"/>
        <v>3880.5200000000004</v>
      </c>
      <c r="I502" s="177">
        <f>IF(G502=0,0,IF(E502="MXN",1/HLOOKUP(YEAR(C502)+(MONTH(C502)/100),TC!$5:$37,DAY(C502)+2,FALSE),VLOOKUP(E502,Equivalencia!$5:$23,((MAX(Equivalencia!$3:$3)-YEAR(C502))*14)+MONTH(C502)+2,FALSE)))</f>
        <v>1</v>
      </c>
      <c r="J502" s="178">
        <f t="shared" si="81"/>
        <v>3880.5200000000004</v>
      </c>
      <c r="K502" s="462">
        <f>IF(C502=0,0,VLOOKUP(YEAR(C502),INPC!$B$4:$O$29,MONTH(C502)+1))</f>
        <v>114.601</v>
      </c>
      <c r="L502" s="462">
        <f>IF(S502=0,0,VLOOKUP(YEAR(S502),INPC!$B$4:$O$29,MONTH(S502)+1))</f>
        <v>120.809</v>
      </c>
      <c r="M502" s="463">
        <f t="shared" si="74"/>
        <v>1.0541</v>
      </c>
      <c r="N502" s="465">
        <f t="shared" si="82"/>
        <v>4090.4561320000007</v>
      </c>
      <c r="O502" s="179"/>
      <c r="P502" s="570">
        <v>92</v>
      </c>
      <c r="Q502" s="173" t="s">
        <v>583</v>
      </c>
      <c r="R502" s="173" t="s">
        <v>230</v>
      </c>
      <c r="S502" s="174">
        <v>44678</v>
      </c>
      <c r="T502" s="173" t="s">
        <v>33</v>
      </c>
      <c r="U502" s="182">
        <v>3343.7236879432626</v>
      </c>
      <c r="V502" s="177">
        <f>IF(U502=0,0,IF(T502="MXN",1/HLOOKUP(YEAR(S502)+(MONTH(S502)/100),TC!$5:$37,DAY(S502)+2,FALSE),VLOOKUP(T502,Equivalencia!$1:$23,((MAX(Equivalencia!$3:$3)-YEAR(S502))*14)+MONTH(S502)+2,FALSE)))</f>
        <v>1</v>
      </c>
      <c r="W502" s="178">
        <f t="shared" si="79"/>
        <v>3343.7236879432626</v>
      </c>
      <c r="X502" s="481">
        <f t="shared" si="75"/>
        <v>-536.79631205673786</v>
      </c>
      <c r="Y502" s="179"/>
      <c r="Z502" s="466">
        <f t="shared" si="76"/>
        <v>4090.4561320000007</v>
      </c>
      <c r="AA502" s="473">
        <f t="shared" si="77"/>
        <v>-746.73244405673813</v>
      </c>
      <c r="AB502" s="339">
        <f t="shared" si="78"/>
        <v>-0.1383310257534397</v>
      </c>
    </row>
    <row r="503" spans="2:28" ht="20.100000000000001" customHeight="1">
      <c r="B503" s="172">
        <v>1175000</v>
      </c>
      <c r="C503" s="174">
        <v>44463</v>
      </c>
      <c r="D503" s="181" t="s">
        <v>173</v>
      </c>
      <c r="E503" s="173" t="s">
        <v>33</v>
      </c>
      <c r="F503" s="176">
        <v>1350.59</v>
      </c>
      <c r="G503" s="175">
        <f t="shared" si="80"/>
        <v>32</v>
      </c>
      <c r="H503" s="175">
        <f t="shared" si="73"/>
        <v>1350.59</v>
      </c>
      <c r="I503" s="177">
        <f>IF(G503=0,0,IF(E503="MXN",1/HLOOKUP(YEAR(C503)+(MONTH(C503)/100),TC!$5:$37,DAY(C503)+2,FALSE),VLOOKUP(E503,Equivalencia!$5:$23,((MAX(Equivalencia!$3:$3)-YEAR(C503))*14)+MONTH(C503)+2,FALSE)))</f>
        <v>1</v>
      </c>
      <c r="J503" s="178">
        <f t="shared" si="81"/>
        <v>1350.59</v>
      </c>
      <c r="K503" s="462">
        <f>IF(C503=0,0,VLOOKUP(YEAR(C503),INPC!$B$4:$O$29,MONTH(C503)+1))</f>
        <v>114.601</v>
      </c>
      <c r="L503" s="462">
        <f>IF(S503=0,0,VLOOKUP(YEAR(S503),INPC!$B$4:$O$29,MONTH(S503)+1))</f>
        <v>120.809</v>
      </c>
      <c r="M503" s="463">
        <f t="shared" si="74"/>
        <v>1.0541</v>
      </c>
      <c r="N503" s="465">
        <f t="shared" si="82"/>
        <v>1423.656919</v>
      </c>
      <c r="O503" s="179"/>
      <c r="P503" s="570">
        <v>32</v>
      </c>
      <c r="Q503" s="173" t="s">
        <v>583</v>
      </c>
      <c r="R503" s="173" t="s">
        <v>230</v>
      </c>
      <c r="S503" s="174">
        <v>44678</v>
      </c>
      <c r="T503" s="173" t="s">
        <v>33</v>
      </c>
      <c r="U503" s="182">
        <v>1163.0343262411347</v>
      </c>
      <c r="V503" s="177">
        <f>IF(U503=0,0,IF(T503="MXN",1/HLOOKUP(YEAR(S503)+(MONTH(S503)/100),TC!$5:$37,DAY(S503)+2,FALSE),VLOOKUP(T503,Equivalencia!$1:$23,((MAX(Equivalencia!$3:$3)-YEAR(S503))*14)+MONTH(S503)+2,FALSE)))</f>
        <v>1</v>
      </c>
      <c r="W503" s="178">
        <f t="shared" si="79"/>
        <v>1163.0343262411347</v>
      </c>
      <c r="X503" s="481">
        <f t="shared" si="75"/>
        <v>-187.55567375886517</v>
      </c>
      <c r="Y503" s="179"/>
      <c r="Z503" s="466">
        <f t="shared" si="76"/>
        <v>1423.656919</v>
      </c>
      <c r="AA503" s="473">
        <f t="shared" si="77"/>
        <v>-260.62259275886527</v>
      </c>
      <c r="AB503" s="339">
        <f t="shared" si="78"/>
        <v>-0.13886943762271686</v>
      </c>
    </row>
    <row r="504" spans="2:28" ht="20.100000000000001" customHeight="1">
      <c r="B504" s="172">
        <v>1175000</v>
      </c>
      <c r="C504" s="174">
        <v>44463</v>
      </c>
      <c r="D504" s="181" t="s">
        <v>173</v>
      </c>
      <c r="E504" s="173" t="s">
        <v>33</v>
      </c>
      <c r="F504" s="176">
        <v>84.433958333333337</v>
      </c>
      <c r="G504" s="175">
        <f t="shared" si="80"/>
        <v>2</v>
      </c>
      <c r="H504" s="175">
        <f t="shared" si="73"/>
        <v>84.433958333333337</v>
      </c>
      <c r="I504" s="177">
        <f>IF(G504=0,0,IF(E504="MXN",1/HLOOKUP(YEAR(C504)+(MONTH(C504)/100),TC!$5:$37,DAY(C504)+2,FALSE),VLOOKUP(E504,Equivalencia!$5:$23,((MAX(Equivalencia!$3:$3)-YEAR(C504))*14)+MONTH(C504)+2,FALSE)))</f>
        <v>1</v>
      </c>
      <c r="J504" s="178">
        <f t="shared" si="81"/>
        <v>84.433958333333337</v>
      </c>
      <c r="K504" s="462">
        <f>IF(C504=0,0,VLOOKUP(YEAR(C504),INPC!$B$4:$O$29,MONTH(C504)+1))</f>
        <v>114.601</v>
      </c>
      <c r="L504" s="462">
        <f>IF(S504=0,0,VLOOKUP(YEAR(S504),INPC!$B$4:$O$29,MONTH(S504)+1))</f>
        <v>120.809</v>
      </c>
      <c r="M504" s="463">
        <f t="shared" si="74"/>
        <v>1.0541</v>
      </c>
      <c r="N504" s="465">
        <f t="shared" si="82"/>
        <v>89.001835479166672</v>
      </c>
      <c r="O504" s="179"/>
      <c r="P504" s="571">
        <v>2</v>
      </c>
      <c r="Q504" s="173" t="s">
        <v>583</v>
      </c>
      <c r="R504" s="173" t="s">
        <v>230</v>
      </c>
      <c r="S504" s="174">
        <v>44678</v>
      </c>
      <c r="T504" s="173" t="s">
        <v>33</v>
      </c>
      <c r="U504" s="182">
        <v>72.689645390070922</v>
      </c>
      <c r="V504" s="177">
        <f>IF(U504=0,0,IF(T504="MXN",1/HLOOKUP(YEAR(S504)+(MONTH(S504)/100),TC!$5:$37,DAY(S504)+2,FALSE),VLOOKUP(T504,Equivalencia!$1:$23,((MAX(Equivalencia!$3:$3)-YEAR(S504))*14)+MONTH(S504)+2,FALSE)))</f>
        <v>1</v>
      </c>
      <c r="W504" s="178">
        <f t="shared" si="79"/>
        <v>72.689645390070922</v>
      </c>
      <c r="X504" s="481">
        <f t="shared" si="75"/>
        <v>-11.744312943262415</v>
      </c>
      <c r="Y504" s="179"/>
      <c r="Z504" s="466">
        <f t="shared" si="76"/>
        <v>89.001835479166672</v>
      </c>
      <c r="AA504" s="473">
        <f t="shared" si="77"/>
        <v>-16.312190089095751</v>
      </c>
      <c r="AB504" s="339">
        <f t="shared" si="78"/>
        <v>-0.13909466256334357</v>
      </c>
    </row>
    <row r="505" spans="2:28" ht="20.100000000000001" customHeight="1">
      <c r="B505" s="172">
        <v>1175000</v>
      </c>
      <c r="C505" s="174">
        <v>44463</v>
      </c>
      <c r="D505" s="181" t="s">
        <v>173</v>
      </c>
      <c r="E505" s="173" t="s">
        <v>33</v>
      </c>
      <c r="F505" s="176">
        <v>6796.9336458333337</v>
      </c>
      <c r="G505" s="175">
        <f t="shared" si="80"/>
        <v>161</v>
      </c>
      <c r="H505" s="175">
        <f t="shared" si="73"/>
        <v>6796.9336458333337</v>
      </c>
      <c r="I505" s="177">
        <f>IF(G505=0,0,IF(E505="MXN",1/HLOOKUP(YEAR(C505)+(MONTH(C505)/100),TC!$5:$37,DAY(C505)+2,FALSE),VLOOKUP(E505,Equivalencia!$5:$23,((MAX(Equivalencia!$3:$3)-YEAR(C505))*14)+MONTH(C505)+2,FALSE)))</f>
        <v>1</v>
      </c>
      <c r="J505" s="178">
        <f t="shared" si="81"/>
        <v>6796.9336458333337</v>
      </c>
      <c r="K505" s="462">
        <f>IF(C505=0,0,VLOOKUP(YEAR(C505),INPC!$B$4:$O$29,MONTH(C505)+1))</f>
        <v>114.601</v>
      </c>
      <c r="L505" s="462">
        <f>IF(S505=0,0,VLOOKUP(YEAR(S505),INPC!$B$4:$O$29,MONTH(S505)+1))</f>
        <v>121.02200000000001</v>
      </c>
      <c r="M505" s="463">
        <f t="shared" si="74"/>
        <v>1.056</v>
      </c>
      <c r="N505" s="465">
        <f t="shared" si="82"/>
        <v>7177.5619300000008</v>
      </c>
      <c r="O505" s="179"/>
      <c r="P505" s="180">
        <v>161</v>
      </c>
      <c r="Q505" s="173" t="s">
        <v>583</v>
      </c>
      <c r="R505" s="173" t="s">
        <v>230</v>
      </c>
      <c r="S505" s="174">
        <v>44694</v>
      </c>
      <c r="T505" s="173" t="s">
        <v>33</v>
      </c>
      <c r="U505" s="182">
        <v>5619.48</v>
      </c>
      <c r="V505" s="177">
        <f>IF(U505=0,0,IF(T505="MXN",1/HLOOKUP(YEAR(S505)+(MONTH(S505)/100),TC!$5:$37,DAY(S505)+2,FALSE),VLOOKUP(T505,Equivalencia!$1:$23,((MAX(Equivalencia!$3:$3)-YEAR(S505))*14)+MONTH(S505)+2,FALSE)))</f>
        <v>1</v>
      </c>
      <c r="W505" s="178">
        <f t="shared" si="79"/>
        <v>5619.48</v>
      </c>
      <c r="X505" s="481">
        <f t="shared" si="75"/>
        <v>-1177.4536458333341</v>
      </c>
      <c r="Y505" s="179"/>
      <c r="Z505" s="466">
        <f t="shared" si="76"/>
        <v>7177.5619300000008</v>
      </c>
      <c r="AA505" s="473">
        <f t="shared" si="77"/>
        <v>-1558.0819300000012</v>
      </c>
      <c r="AB505" s="339">
        <f t="shared" si="78"/>
        <v>-0.17323306467102828</v>
      </c>
    </row>
    <row r="506" spans="2:28" ht="20.100000000000001" customHeight="1">
      <c r="B506" s="172">
        <v>1175000</v>
      </c>
      <c r="C506" s="174">
        <v>44463</v>
      </c>
      <c r="D506" s="181" t="s">
        <v>173</v>
      </c>
      <c r="E506" s="173" t="s">
        <v>33</v>
      </c>
      <c r="F506" s="176">
        <v>1224.2923958333333</v>
      </c>
      <c r="G506" s="175">
        <f t="shared" si="80"/>
        <v>29</v>
      </c>
      <c r="H506" s="175">
        <f t="shared" si="73"/>
        <v>1224.2923958333333</v>
      </c>
      <c r="I506" s="177">
        <f>IF(G506=0,0,IF(E506="MXN",1/HLOOKUP(YEAR(C506)+(MONTH(C506)/100),TC!$5:$37,DAY(C506)+2,FALSE),VLOOKUP(E506,Equivalencia!$5:$23,((MAX(Equivalencia!$3:$3)-YEAR(C506))*14)+MONTH(C506)+2,FALSE)))</f>
        <v>1</v>
      </c>
      <c r="J506" s="178">
        <f t="shared" si="81"/>
        <v>1224.2923958333333</v>
      </c>
      <c r="K506" s="462">
        <f>IF(C506=0,0,VLOOKUP(YEAR(C506),INPC!$B$4:$O$29,MONTH(C506)+1))</f>
        <v>114.601</v>
      </c>
      <c r="L506" s="462">
        <f>IF(S506=0,0,VLOOKUP(YEAR(S506),INPC!$B$4:$O$29,MONTH(S506)+1))</f>
        <v>121.02200000000001</v>
      </c>
      <c r="M506" s="463">
        <f t="shared" si="74"/>
        <v>1.056</v>
      </c>
      <c r="N506" s="465">
        <f t="shared" si="82"/>
        <v>1292.85277</v>
      </c>
      <c r="O506" s="179"/>
      <c r="P506" s="180">
        <v>29</v>
      </c>
      <c r="Q506" s="173" t="s">
        <v>583</v>
      </c>
      <c r="R506" s="173" t="s">
        <v>230</v>
      </c>
      <c r="S506" s="174">
        <v>44697</v>
      </c>
      <c r="T506" s="173" t="s">
        <v>33</v>
      </c>
      <c r="U506" s="182">
        <v>1023.688223350254</v>
      </c>
      <c r="V506" s="177">
        <f>IF(U506=0,0,IF(T506="MXN",1/HLOOKUP(YEAR(S506)+(MONTH(S506)/100),TC!$5:$37,DAY(S506)+2,FALSE),VLOOKUP(T506,Equivalencia!$1:$23,((MAX(Equivalencia!$3:$3)-YEAR(S506))*14)+MONTH(S506)+2,FALSE)))</f>
        <v>1</v>
      </c>
      <c r="W506" s="178">
        <f t="shared" si="79"/>
        <v>1023.688223350254</v>
      </c>
      <c r="X506" s="481">
        <f t="shared" si="75"/>
        <v>-200.60417248307931</v>
      </c>
      <c r="Y506" s="179"/>
      <c r="Z506" s="466">
        <f t="shared" si="76"/>
        <v>1292.85277</v>
      </c>
      <c r="AA506" s="473">
        <f t="shared" si="77"/>
        <v>-269.16454664974594</v>
      </c>
      <c r="AB506" s="339">
        <f t="shared" si="78"/>
        <v>-0.16385315563978087</v>
      </c>
    </row>
    <row r="507" spans="2:28" ht="20.100000000000001" customHeight="1">
      <c r="B507" s="172">
        <v>1175000</v>
      </c>
      <c r="C507" s="174">
        <v>44467</v>
      </c>
      <c r="D507" s="181" t="s">
        <v>173</v>
      </c>
      <c r="E507" s="173" t="s">
        <v>33</v>
      </c>
      <c r="F507" s="176">
        <v>7914.46</v>
      </c>
      <c r="G507" s="175">
        <f t="shared" si="80"/>
        <v>183</v>
      </c>
      <c r="H507" s="175">
        <f t="shared" si="73"/>
        <v>7914.46</v>
      </c>
      <c r="I507" s="177">
        <f>IF(G507=0,0,IF(E507="MXN",1/HLOOKUP(YEAR(C507)+(MONTH(C507)/100),TC!$5:$37,DAY(C507)+2,FALSE),VLOOKUP(E507,Equivalencia!$5:$23,((MAX(Equivalencia!$3:$3)-YEAR(C507))*14)+MONTH(C507)+2,FALSE)))</f>
        <v>1</v>
      </c>
      <c r="J507" s="178">
        <f t="shared" si="81"/>
        <v>7914.46</v>
      </c>
      <c r="K507" s="462">
        <f>IF(C507=0,0,VLOOKUP(YEAR(C507),INPC!$B$4:$O$29,MONTH(C507)+1))</f>
        <v>114.601</v>
      </c>
      <c r="L507" s="462">
        <f>IF(S507=0,0,VLOOKUP(YEAR(S507),INPC!$B$4:$O$29,MONTH(S507)+1))</f>
        <v>121.02200000000001</v>
      </c>
      <c r="M507" s="463">
        <f t="shared" si="74"/>
        <v>1.056</v>
      </c>
      <c r="N507" s="465">
        <f t="shared" si="82"/>
        <v>8357.6697600000007</v>
      </c>
      <c r="O507" s="179"/>
      <c r="P507" s="180">
        <v>183</v>
      </c>
      <c r="Q507" s="173" t="s">
        <v>583</v>
      </c>
      <c r="R507" s="173" t="s">
        <v>230</v>
      </c>
      <c r="S507" s="174">
        <v>44697</v>
      </c>
      <c r="T507" s="173" t="s">
        <v>33</v>
      </c>
      <c r="U507" s="182">
        <v>6459.8256852791892</v>
      </c>
      <c r="V507" s="177">
        <f>IF(U507=0,0,IF(T507="MXN",1/HLOOKUP(YEAR(S507)+(MONTH(S507)/100),TC!$5:$37,DAY(S507)+2,FALSE),VLOOKUP(T507,Equivalencia!$1:$23,((MAX(Equivalencia!$3:$3)-YEAR(S507))*14)+MONTH(S507)+2,FALSE)))</f>
        <v>1</v>
      </c>
      <c r="W507" s="178">
        <f t="shared" si="79"/>
        <v>6459.8256852791892</v>
      </c>
      <c r="X507" s="481">
        <f t="shared" si="75"/>
        <v>-1454.6343147208108</v>
      </c>
      <c r="Y507" s="179"/>
      <c r="Z507" s="466">
        <f t="shared" si="76"/>
        <v>8357.6697600000007</v>
      </c>
      <c r="AA507" s="473">
        <f t="shared" si="77"/>
        <v>-1897.8440747208115</v>
      </c>
      <c r="AB507" s="339">
        <f t="shared" si="78"/>
        <v>-0.18379451216138698</v>
      </c>
    </row>
    <row r="508" spans="2:28" ht="20.100000000000001" customHeight="1">
      <c r="B508" s="172">
        <v>1175000</v>
      </c>
      <c r="C508" s="174">
        <v>44469</v>
      </c>
      <c r="D508" s="181" t="s">
        <v>173</v>
      </c>
      <c r="E508" s="173" t="s">
        <v>33</v>
      </c>
      <c r="F508" s="176">
        <v>5840.96</v>
      </c>
      <c r="G508" s="175">
        <f t="shared" si="80"/>
        <v>136</v>
      </c>
      <c r="H508" s="175">
        <f t="shared" si="73"/>
        <v>5840.96</v>
      </c>
      <c r="I508" s="177">
        <f>IF(G508=0,0,IF(E508="MXN",1/HLOOKUP(YEAR(C508)+(MONTH(C508)/100),TC!$5:$37,DAY(C508)+2,FALSE),VLOOKUP(E508,Equivalencia!$5:$23,((MAX(Equivalencia!$3:$3)-YEAR(C508))*14)+MONTH(C508)+2,FALSE)))</f>
        <v>1</v>
      </c>
      <c r="J508" s="178">
        <f t="shared" si="81"/>
        <v>5840.96</v>
      </c>
      <c r="K508" s="462">
        <f>IF(C508=0,0,VLOOKUP(YEAR(C508),INPC!$B$4:$O$29,MONTH(C508)+1))</f>
        <v>114.601</v>
      </c>
      <c r="L508" s="462">
        <f>IF(S508=0,0,VLOOKUP(YEAR(S508),INPC!$B$4:$O$29,MONTH(S508)+1))</f>
        <v>121.02200000000001</v>
      </c>
      <c r="M508" s="463">
        <f t="shared" si="74"/>
        <v>1.056</v>
      </c>
      <c r="N508" s="465">
        <f t="shared" si="82"/>
        <v>6168.0537600000007</v>
      </c>
      <c r="O508" s="179"/>
      <c r="P508" s="180">
        <v>136</v>
      </c>
      <c r="Q508" s="173" t="s">
        <v>583</v>
      </c>
      <c r="R508" s="173" t="s">
        <v>230</v>
      </c>
      <c r="S508" s="174">
        <v>44697</v>
      </c>
      <c r="T508" s="173" t="s">
        <v>33</v>
      </c>
      <c r="U508" s="182">
        <v>4800.7447715736052</v>
      </c>
      <c r="V508" s="177">
        <f>IF(U508=0,0,IF(T508="MXN",1/HLOOKUP(YEAR(S508)+(MONTH(S508)/100),TC!$5:$37,DAY(S508)+2,FALSE),VLOOKUP(T508,Equivalencia!$1:$23,((MAX(Equivalencia!$3:$3)-YEAR(S508))*14)+MONTH(S508)+2,FALSE)))</f>
        <v>1</v>
      </c>
      <c r="W508" s="178">
        <f t="shared" si="79"/>
        <v>4800.7447715736052</v>
      </c>
      <c r="X508" s="481">
        <f t="shared" si="75"/>
        <v>-1040.2152284263948</v>
      </c>
      <c r="Y508" s="179"/>
      <c r="Z508" s="466">
        <f t="shared" si="76"/>
        <v>6168.0537600000007</v>
      </c>
      <c r="AA508" s="473">
        <f t="shared" si="77"/>
        <v>-1367.3089884263954</v>
      </c>
      <c r="AB508" s="339">
        <f t="shared" si="78"/>
        <v>-0.17808977093258549</v>
      </c>
    </row>
    <row r="509" spans="2:28" ht="20.100000000000001" customHeight="1">
      <c r="B509" s="172">
        <v>1175000</v>
      </c>
      <c r="C509" s="174">
        <v>44474</v>
      </c>
      <c r="D509" s="181" t="s">
        <v>173</v>
      </c>
      <c r="E509" s="173" t="s">
        <v>33</v>
      </c>
      <c r="F509" s="176">
        <v>10846.81607142857</v>
      </c>
      <c r="G509" s="175">
        <f t="shared" si="80"/>
        <v>243</v>
      </c>
      <c r="H509" s="175">
        <f t="shared" si="73"/>
        <v>10846.81607142857</v>
      </c>
      <c r="I509" s="177">
        <f>IF(G509=0,0,IF(E509="MXN",1/HLOOKUP(YEAR(C509)+(MONTH(C509)/100),TC!$5:$37,DAY(C509)+2,FALSE),VLOOKUP(E509,Equivalencia!$5:$23,((MAX(Equivalencia!$3:$3)-YEAR(C509))*14)+MONTH(C509)+2,FALSE)))</f>
        <v>1</v>
      </c>
      <c r="J509" s="178">
        <f t="shared" si="81"/>
        <v>10846.81607142857</v>
      </c>
      <c r="K509" s="462">
        <f>IF(C509=0,0,VLOOKUP(YEAR(C509),INPC!$B$4:$O$29,MONTH(C509)+1))</f>
        <v>115.56100000000001</v>
      </c>
      <c r="L509" s="462">
        <f>IF(S509=0,0,VLOOKUP(YEAR(S509),INPC!$B$4:$O$29,MONTH(S509)+1))</f>
        <v>121.02200000000001</v>
      </c>
      <c r="M509" s="463">
        <f t="shared" si="74"/>
        <v>1.0471999999999999</v>
      </c>
      <c r="N509" s="465">
        <f t="shared" si="82"/>
        <v>11358.785789999996</v>
      </c>
      <c r="O509" s="179"/>
      <c r="P509" s="180">
        <v>243</v>
      </c>
      <c r="Q509" s="173" t="s">
        <v>583</v>
      </c>
      <c r="R509" s="173" t="s">
        <v>230</v>
      </c>
      <c r="S509" s="174">
        <v>44697</v>
      </c>
      <c r="T509" s="173" t="s">
        <v>33</v>
      </c>
      <c r="U509" s="182">
        <v>8577.8013197969558</v>
      </c>
      <c r="V509" s="177">
        <f>IF(U509=0,0,IF(T509="MXN",1/HLOOKUP(YEAR(S509)+(MONTH(S509)/100),TC!$5:$37,DAY(S509)+2,FALSE),VLOOKUP(T509,Equivalencia!$1:$23,((MAX(Equivalencia!$3:$3)-YEAR(S509))*14)+MONTH(S509)+2,FALSE)))</f>
        <v>1</v>
      </c>
      <c r="W509" s="178">
        <f t="shared" si="79"/>
        <v>8577.8013197969558</v>
      </c>
      <c r="X509" s="481">
        <f t="shared" si="75"/>
        <v>-2269.0147516316138</v>
      </c>
      <c r="Y509" s="179"/>
      <c r="Z509" s="466">
        <f t="shared" si="76"/>
        <v>11358.785789999996</v>
      </c>
      <c r="AA509" s="473">
        <f t="shared" si="77"/>
        <v>-2780.9844702030405</v>
      </c>
      <c r="AB509" s="339">
        <f t="shared" si="78"/>
        <v>-0.20918716945965277</v>
      </c>
    </row>
    <row r="510" spans="2:28" ht="20.100000000000001" customHeight="1">
      <c r="B510" s="172">
        <v>1175000</v>
      </c>
      <c r="C510" s="174">
        <v>44152</v>
      </c>
      <c r="D510" s="181" t="s">
        <v>160</v>
      </c>
      <c r="E510" s="173" t="s">
        <v>33</v>
      </c>
      <c r="F510" s="176">
        <v>334.77000000000004</v>
      </c>
      <c r="G510" s="175">
        <f t="shared" si="80"/>
        <v>1</v>
      </c>
      <c r="H510" s="175">
        <f t="shared" si="73"/>
        <v>334.77000000000004</v>
      </c>
      <c r="I510" s="177">
        <f>IF(G510=0,0,IF(E510="MXN",1/HLOOKUP(YEAR(C510)+(MONTH(C510)/100),TC!$5:$37,DAY(C510)+2,FALSE),VLOOKUP(E510,Equivalencia!$5:$23,((MAX(Equivalencia!$3:$3)-YEAR(C510))*14)+MONTH(C510)+2,FALSE)))</f>
        <v>1</v>
      </c>
      <c r="J510" s="178">
        <f t="shared" si="81"/>
        <v>334.77000000000004</v>
      </c>
      <c r="K510" s="462">
        <f>IF(C510=0,0,VLOOKUP(YEAR(C510),INPC!$B$4:$O$29,MONTH(C510)+1))</f>
        <v>108.85599999999999</v>
      </c>
      <c r="L510" s="462">
        <f>IF(S510=0,0,VLOOKUP(YEAR(S510),INPC!$B$4:$O$29,MONTH(S510)+1))</f>
        <v>120.809</v>
      </c>
      <c r="M510" s="463">
        <f t="shared" si="74"/>
        <v>1.1097999999999999</v>
      </c>
      <c r="N510" s="465">
        <f t="shared" si="82"/>
        <v>371.52774600000004</v>
      </c>
      <c r="O510" s="179"/>
      <c r="P510" s="569">
        <v>1</v>
      </c>
      <c r="Q510" s="173" t="s">
        <v>583</v>
      </c>
      <c r="R510" s="173" t="s">
        <v>230</v>
      </c>
      <c r="S510" s="174">
        <v>44678</v>
      </c>
      <c r="T510" s="173" t="s">
        <v>33</v>
      </c>
      <c r="U510" s="182">
        <v>363.32344827586206</v>
      </c>
      <c r="V510" s="177">
        <f>IF(U510=0,0,IF(T510="MXN",1/HLOOKUP(YEAR(S510)+(MONTH(S510)/100),TC!$5:$37,DAY(S510)+2,FALSE),VLOOKUP(T510,Equivalencia!$1:$23,((MAX(Equivalencia!$3:$3)-YEAR(S510))*14)+MONTH(S510)+2,FALSE)))</f>
        <v>1</v>
      </c>
      <c r="W510" s="178">
        <f t="shared" si="79"/>
        <v>363.32344827586206</v>
      </c>
      <c r="X510" s="481">
        <f t="shared" si="75"/>
        <v>28.553448275862024</v>
      </c>
      <c r="Y510" s="179"/>
      <c r="Z510" s="466">
        <f t="shared" si="76"/>
        <v>371.52774600000004</v>
      </c>
      <c r="AA510" s="473">
        <f t="shared" si="77"/>
        <v>-8.2042977241379731</v>
      </c>
      <c r="AB510" s="339">
        <f t="shared" si="78"/>
        <v>8.5292733147719346E-2</v>
      </c>
    </row>
    <row r="511" spans="2:28" ht="20.100000000000001" customHeight="1">
      <c r="B511" s="172">
        <v>1175000</v>
      </c>
      <c r="C511" s="174">
        <v>44216</v>
      </c>
      <c r="D511" s="181" t="s">
        <v>160</v>
      </c>
      <c r="E511" s="173" t="s">
        <v>33</v>
      </c>
      <c r="F511" s="176">
        <v>4333.5</v>
      </c>
      <c r="G511" s="175">
        <f t="shared" si="80"/>
        <v>13</v>
      </c>
      <c r="H511" s="175">
        <f t="shared" si="73"/>
        <v>4333.5</v>
      </c>
      <c r="I511" s="177">
        <f>IF(G511=0,0,IF(E511="MXN",1/HLOOKUP(YEAR(C511)+(MONTH(C511)/100),TC!$5:$37,DAY(C511)+2,FALSE),VLOOKUP(E511,Equivalencia!$5:$23,((MAX(Equivalencia!$3:$3)-YEAR(C511))*14)+MONTH(C511)+2,FALSE)))</f>
        <v>1</v>
      </c>
      <c r="J511" s="178">
        <f t="shared" si="81"/>
        <v>4333.5</v>
      </c>
      <c r="K511" s="462">
        <f>IF(C511=0,0,VLOOKUP(YEAR(C511),INPC!$B$4:$O$29,MONTH(C511)+1))</f>
        <v>110.21</v>
      </c>
      <c r="L511" s="462">
        <f>IF(S511=0,0,VLOOKUP(YEAR(S511),INPC!$B$4:$O$29,MONTH(S511)+1))</f>
        <v>120.809</v>
      </c>
      <c r="M511" s="463">
        <f t="shared" si="74"/>
        <v>1.0961000000000001</v>
      </c>
      <c r="N511" s="465">
        <f t="shared" si="82"/>
        <v>4749.9493499999999</v>
      </c>
      <c r="O511" s="179"/>
      <c r="P511" s="570">
        <v>13</v>
      </c>
      <c r="Q511" s="173" t="s">
        <v>583</v>
      </c>
      <c r="R511" s="173" t="s">
        <v>230</v>
      </c>
      <c r="S511" s="174">
        <v>44678</v>
      </c>
      <c r="T511" s="173" t="s">
        <v>33</v>
      </c>
      <c r="U511" s="182">
        <v>4723.2048275862071</v>
      </c>
      <c r="V511" s="177">
        <f>IF(U511=0,0,IF(T511="MXN",1/HLOOKUP(YEAR(S511)+(MONTH(S511)/100),TC!$5:$37,DAY(S511)+2,FALSE),VLOOKUP(T511,Equivalencia!$1:$23,((MAX(Equivalencia!$3:$3)-YEAR(S511))*14)+MONTH(S511)+2,FALSE)))</f>
        <v>1</v>
      </c>
      <c r="W511" s="178">
        <f t="shared" si="79"/>
        <v>4723.2048275862071</v>
      </c>
      <c r="X511" s="481">
        <f t="shared" si="75"/>
        <v>389.7048275862071</v>
      </c>
      <c r="Y511" s="179"/>
      <c r="Z511" s="466">
        <f t="shared" si="76"/>
        <v>4749.9493499999999</v>
      </c>
      <c r="AA511" s="473">
        <f t="shared" si="77"/>
        <v>-26.744522413792765</v>
      </c>
      <c r="AB511" s="339">
        <f t="shared" si="78"/>
        <v>8.9928424503566973E-2</v>
      </c>
    </row>
    <row r="512" spans="2:28" ht="20.100000000000001" customHeight="1">
      <c r="B512" s="172">
        <v>1175000</v>
      </c>
      <c r="C512" s="174">
        <v>44223</v>
      </c>
      <c r="D512" s="181" t="s">
        <v>160</v>
      </c>
      <c r="E512" s="173" t="s">
        <v>33</v>
      </c>
      <c r="F512" s="176">
        <v>3793.67</v>
      </c>
      <c r="G512" s="175">
        <f t="shared" si="80"/>
        <v>12</v>
      </c>
      <c r="H512" s="175">
        <f t="shared" si="73"/>
        <v>3793.67</v>
      </c>
      <c r="I512" s="177">
        <f>IF(G512=0,0,IF(E512="MXN",1/HLOOKUP(YEAR(C512)+(MONTH(C512)/100),TC!$5:$37,DAY(C512)+2,FALSE),VLOOKUP(E512,Equivalencia!$5:$23,((MAX(Equivalencia!$3:$3)-YEAR(C512))*14)+MONTH(C512)+2,FALSE)))</f>
        <v>1</v>
      </c>
      <c r="J512" s="178">
        <f t="shared" si="81"/>
        <v>3793.67</v>
      </c>
      <c r="K512" s="462">
        <f>IF(C512=0,0,VLOOKUP(YEAR(C512),INPC!$B$4:$O$29,MONTH(C512)+1))</f>
        <v>110.21</v>
      </c>
      <c r="L512" s="462">
        <f>IF(S512=0,0,VLOOKUP(YEAR(S512),INPC!$B$4:$O$29,MONTH(S512)+1))</f>
        <v>120.809</v>
      </c>
      <c r="M512" s="463">
        <f t="shared" si="74"/>
        <v>1.0961000000000001</v>
      </c>
      <c r="N512" s="465">
        <f t="shared" si="82"/>
        <v>4158.2416870000006</v>
      </c>
      <c r="O512" s="179"/>
      <c r="P512" s="570">
        <v>12</v>
      </c>
      <c r="Q512" s="173" t="s">
        <v>583</v>
      </c>
      <c r="R512" s="173" t="s">
        <v>230</v>
      </c>
      <c r="S512" s="174">
        <v>44678</v>
      </c>
      <c r="T512" s="173" t="s">
        <v>33</v>
      </c>
      <c r="U512" s="182">
        <v>4359.8813793103445</v>
      </c>
      <c r="V512" s="177">
        <f>IF(U512=0,0,IF(T512="MXN",1/HLOOKUP(YEAR(S512)+(MONTH(S512)/100),TC!$5:$37,DAY(S512)+2,FALSE),VLOOKUP(T512,Equivalencia!$1:$23,((MAX(Equivalencia!$3:$3)-YEAR(S512))*14)+MONTH(S512)+2,FALSE)))</f>
        <v>1</v>
      </c>
      <c r="W512" s="178">
        <f t="shared" si="79"/>
        <v>4359.8813793103445</v>
      </c>
      <c r="X512" s="481">
        <f t="shared" si="75"/>
        <v>566.21137931034446</v>
      </c>
      <c r="Y512" s="179"/>
      <c r="Z512" s="466">
        <f t="shared" si="76"/>
        <v>4158.2416870000006</v>
      </c>
      <c r="AA512" s="473">
        <f t="shared" si="77"/>
        <v>201.63969231034389</v>
      </c>
      <c r="AB512" s="339">
        <f t="shared" si="78"/>
        <v>0.14925161632676121</v>
      </c>
    </row>
    <row r="513" spans="2:28" ht="20.100000000000001" customHeight="1">
      <c r="B513" s="172">
        <v>1175000</v>
      </c>
      <c r="C513" s="174">
        <v>44257</v>
      </c>
      <c r="D513" s="181" t="s">
        <v>160</v>
      </c>
      <c r="E513" s="173" t="s">
        <v>33</v>
      </c>
      <c r="F513" s="176">
        <v>4720.3500000000004</v>
      </c>
      <c r="G513" s="175">
        <f t="shared" si="80"/>
        <v>13</v>
      </c>
      <c r="H513" s="175">
        <f t="shared" si="73"/>
        <v>4720.3500000000004</v>
      </c>
      <c r="I513" s="177">
        <f>IF(G513=0,0,IF(E513="MXN",1/HLOOKUP(YEAR(C513)+(MONTH(C513)/100),TC!$5:$37,DAY(C513)+2,FALSE),VLOOKUP(E513,Equivalencia!$5:$23,((MAX(Equivalencia!$3:$3)-YEAR(C513))*14)+MONTH(C513)+2,FALSE)))</f>
        <v>1</v>
      </c>
      <c r="J513" s="178">
        <f t="shared" si="81"/>
        <v>4720.3500000000004</v>
      </c>
      <c r="K513" s="462">
        <f>IF(C513=0,0,VLOOKUP(YEAR(C513),INPC!$B$4:$O$29,MONTH(C513)+1))</f>
        <v>111.824</v>
      </c>
      <c r="L513" s="462">
        <f>IF(S513=0,0,VLOOKUP(YEAR(S513),INPC!$B$4:$O$29,MONTH(S513)+1))</f>
        <v>120.809</v>
      </c>
      <c r="M513" s="463">
        <f t="shared" si="74"/>
        <v>1.0803</v>
      </c>
      <c r="N513" s="465">
        <f t="shared" si="82"/>
        <v>5099.3941050000003</v>
      </c>
      <c r="O513" s="179"/>
      <c r="P513" s="570">
        <v>13</v>
      </c>
      <c r="Q513" s="173" t="s">
        <v>583</v>
      </c>
      <c r="R513" s="173" t="s">
        <v>230</v>
      </c>
      <c r="S513" s="174">
        <v>44678</v>
      </c>
      <c r="T513" s="173" t="s">
        <v>33</v>
      </c>
      <c r="U513" s="182">
        <v>4723.2048275862071</v>
      </c>
      <c r="V513" s="177">
        <f>IF(U513=0,0,IF(T513="MXN",1/HLOOKUP(YEAR(S513)+(MONTH(S513)/100),TC!$5:$37,DAY(S513)+2,FALSE),VLOOKUP(T513,Equivalencia!$1:$23,((MAX(Equivalencia!$3:$3)-YEAR(S513))*14)+MONTH(S513)+2,FALSE)))</f>
        <v>1</v>
      </c>
      <c r="W513" s="178">
        <f t="shared" si="79"/>
        <v>4723.2048275862071</v>
      </c>
      <c r="X513" s="481">
        <f t="shared" si="75"/>
        <v>2.8548275862067385</v>
      </c>
      <c r="Y513" s="179"/>
      <c r="Z513" s="466">
        <f t="shared" si="76"/>
        <v>5099.3941050000003</v>
      </c>
      <c r="AA513" s="473">
        <f t="shared" si="77"/>
        <v>-376.18927741379321</v>
      </c>
      <c r="AB513" s="339">
        <f t="shared" si="78"/>
        <v>6.0479150618220068E-4</v>
      </c>
    </row>
    <row r="514" spans="2:28" ht="20.100000000000001" customHeight="1">
      <c r="B514" s="172">
        <v>1175000</v>
      </c>
      <c r="C514" s="174">
        <v>44343</v>
      </c>
      <c r="D514" s="181" t="s">
        <v>160</v>
      </c>
      <c r="E514" s="173" t="s">
        <v>33</v>
      </c>
      <c r="F514" s="176">
        <v>4749.75</v>
      </c>
      <c r="G514" s="175">
        <f t="shared" si="80"/>
        <v>13</v>
      </c>
      <c r="H514" s="175">
        <f t="shared" ref="H514:H577" si="83">IF(F514=0,0,(F514/G514)*P514)</f>
        <v>4749.75</v>
      </c>
      <c r="I514" s="177">
        <f>IF(G514=0,0,IF(E514="MXN",1/HLOOKUP(YEAR(C514)+(MONTH(C514)/100),TC!$5:$37,DAY(C514)+2,FALSE),VLOOKUP(E514,Equivalencia!$5:$23,((MAX(Equivalencia!$3:$3)-YEAR(C514))*14)+MONTH(C514)+2,FALSE)))</f>
        <v>1</v>
      </c>
      <c r="J514" s="178">
        <f t="shared" si="81"/>
        <v>4749.75</v>
      </c>
      <c r="K514" s="462">
        <f>IF(C514=0,0,VLOOKUP(YEAR(C514),INPC!$B$4:$O$29,MONTH(C514)+1))</f>
        <v>112.419</v>
      </c>
      <c r="L514" s="462">
        <f>IF(S514=0,0,VLOOKUP(YEAR(S514),INPC!$B$4:$O$29,MONTH(S514)+1))</f>
        <v>120.809</v>
      </c>
      <c r="M514" s="463">
        <f t="shared" ref="M514:M577" si="84">IF(H514=0,0,IF(R514=$AF$4,1,IF(TRUNC(L514/K514,4)&gt;=1,TRUNC(L514/K514,4),1)))</f>
        <v>1.0746</v>
      </c>
      <c r="N514" s="465">
        <f t="shared" si="82"/>
        <v>5104.0813500000004</v>
      </c>
      <c r="O514" s="179"/>
      <c r="P514" s="570">
        <v>13</v>
      </c>
      <c r="Q514" s="173" t="s">
        <v>583</v>
      </c>
      <c r="R514" s="173" t="s">
        <v>230</v>
      </c>
      <c r="S514" s="174">
        <v>44678</v>
      </c>
      <c r="T514" s="173" t="s">
        <v>33</v>
      </c>
      <c r="U514" s="182">
        <v>4723.2048275862071</v>
      </c>
      <c r="V514" s="177">
        <f>IF(U514=0,0,IF(T514="MXN",1/HLOOKUP(YEAR(S514)+(MONTH(S514)/100),TC!$5:$37,DAY(S514)+2,FALSE),VLOOKUP(T514,Equivalencia!$1:$23,((MAX(Equivalencia!$3:$3)-YEAR(S514))*14)+MONTH(S514)+2,FALSE)))</f>
        <v>1</v>
      </c>
      <c r="W514" s="178">
        <f t="shared" si="79"/>
        <v>4723.2048275862071</v>
      </c>
      <c r="X514" s="481">
        <f t="shared" ref="X514:X577" si="85">+W514-J514</f>
        <v>-26.545172413792898</v>
      </c>
      <c r="Y514" s="179"/>
      <c r="Z514" s="466">
        <f t="shared" ref="Z514:Z577" si="86">N514</f>
        <v>5104.0813500000004</v>
      </c>
      <c r="AA514" s="473">
        <f t="shared" ref="AA514:AA577" si="87">+W514-Z514</f>
        <v>-380.87652241379328</v>
      </c>
      <c r="AB514" s="339">
        <f t="shared" ref="AB514:AB577" si="88">+IF(P514=0,0,(U514/F514)-1)</f>
        <v>-5.5887514950877515E-3</v>
      </c>
    </row>
    <row r="515" spans="2:28" ht="20.100000000000001" customHeight="1">
      <c r="B515" s="172">
        <v>1175000</v>
      </c>
      <c r="C515" s="174">
        <v>44363</v>
      </c>
      <c r="D515" s="181" t="s">
        <v>160</v>
      </c>
      <c r="E515" s="173" t="s">
        <v>33</v>
      </c>
      <c r="F515" s="176">
        <v>2204.3690526315791</v>
      </c>
      <c r="G515" s="175">
        <f t="shared" si="80"/>
        <v>6</v>
      </c>
      <c r="H515" s="175">
        <f t="shared" si="83"/>
        <v>2204.3690526315791</v>
      </c>
      <c r="I515" s="177">
        <f>IF(G515=0,0,IF(E515="MXN",1/HLOOKUP(YEAR(C515)+(MONTH(C515)/100),TC!$5:$37,DAY(C515)+2,FALSE),VLOOKUP(E515,Equivalencia!$5:$23,((MAX(Equivalencia!$3:$3)-YEAR(C515))*14)+MONTH(C515)+2,FALSE)))</f>
        <v>1</v>
      </c>
      <c r="J515" s="178">
        <f t="shared" si="81"/>
        <v>2204.3690526315791</v>
      </c>
      <c r="K515" s="462">
        <f>IF(C515=0,0,VLOOKUP(YEAR(C515),INPC!$B$4:$O$29,MONTH(C515)+1))</f>
        <v>113.018</v>
      </c>
      <c r="L515" s="462">
        <f>IF(S515=0,0,VLOOKUP(YEAR(S515),INPC!$B$4:$O$29,MONTH(S515)+1))</f>
        <v>120.809</v>
      </c>
      <c r="M515" s="463">
        <f t="shared" si="84"/>
        <v>1.0689</v>
      </c>
      <c r="N515" s="465">
        <f t="shared" si="82"/>
        <v>2356.2500803578946</v>
      </c>
      <c r="O515" s="179"/>
      <c r="P515" s="571">
        <v>6</v>
      </c>
      <c r="Q515" s="173" t="s">
        <v>583</v>
      </c>
      <c r="R515" s="173" t="s">
        <v>230</v>
      </c>
      <c r="S515" s="174">
        <v>44678</v>
      </c>
      <c r="T515" s="173" t="s">
        <v>33</v>
      </c>
      <c r="U515" s="182">
        <v>2179.9406896551723</v>
      </c>
      <c r="V515" s="177">
        <f>IF(U515=0,0,IF(T515="MXN",1/HLOOKUP(YEAR(S515)+(MONTH(S515)/100),TC!$5:$37,DAY(S515)+2,FALSE),VLOOKUP(T515,Equivalencia!$1:$23,((MAX(Equivalencia!$3:$3)-YEAR(S515))*14)+MONTH(S515)+2,FALSE)))</f>
        <v>1</v>
      </c>
      <c r="W515" s="178">
        <f t="shared" ref="W515:W578" si="89">+V515*U515</f>
        <v>2179.9406896551723</v>
      </c>
      <c r="X515" s="481">
        <f t="shared" si="85"/>
        <v>-24.428362976406788</v>
      </c>
      <c r="Y515" s="179"/>
      <c r="Z515" s="466">
        <f t="shared" si="86"/>
        <v>2356.2500803578946</v>
      </c>
      <c r="AA515" s="473">
        <f t="shared" si="87"/>
        <v>-176.30939070272234</v>
      </c>
      <c r="AB515" s="339">
        <f t="shared" si="88"/>
        <v>-1.1081793653038297E-2</v>
      </c>
    </row>
    <row r="516" spans="2:28" ht="20.100000000000001" customHeight="1">
      <c r="B516" s="172">
        <v>1175000</v>
      </c>
      <c r="C516" s="174">
        <v>43830</v>
      </c>
      <c r="D516" s="181" t="s">
        <v>235</v>
      </c>
      <c r="E516" s="173" t="s">
        <v>33</v>
      </c>
      <c r="F516" s="176">
        <v>19884.960940254652</v>
      </c>
      <c r="G516" s="175">
        <f t="shared" si="80"/>
        <v>561</v>
      </c>
      <c r="H516" s="175">
        <f t="shared" si="83"/>
        <v>19884.960940254652</v>
      </c>
      <c r="I516" s="177">
        <f>IF(G516=0,0,IF(E516="MXN",1/HLOOKUP(YEAR(C516)+(MONTH(C516)/100),TC!$5:$37,DAY(C516)+2,FALSE),VLOOKUP(E516,Equivalencia!$5:$23,((MAX(Equivalencia!$3:$3)-YEAR(C516))*14)+MONTH(C516)+2,FALSE)))</f>
        <v>1</v>
      </c>
      <c r="J516" s="178">
        <f t="shared" si="81"/>
        <v>19884.960940254652</v>
      </c>
      <c r="K516" s="462">
        <f>IF(C516=0,0,VLOOKUP(YEAR(C516),INPC!$B$4:$O$29,MONTH(C516)+1))</f>
        <v>105.934</v>
      </c>
      <c r="L516" s="462">
        <f>IF(S516=0,0,VLOOKUP(YEAR(S516),INPC!$B$4:$O$29,MONTH(S516)+1))</f>
        <v>120.809</v>
      </c>
      <c r="M516" s="463">
        <f t="shared" si="84"/>
        <v>1.1404000000000001</v>
      </c>
      <c r="N516" s="465">
        <f t="shared" si="82"/>
        <v>22676.809456266408</v>
      </c>
      <c r="O516" s="179"/>
      <c r="P516" s="180">
        <v>561</v>
      </c>
      <c r="Q516" s="173" t="s">
        <v>583</v>
      </c>
      <c r="R516" s="173" t="s">
        <v>230</v>
      </c>
      <c r="S516" s="174">
        <v>44678</v>
      </c>
      <c r="T516" s="173" t="s">
        <v>33</v>
      </c>
      <c r="U516" s="182">
        <v>24949.17</v>
      </c>
      <c r="V516" s="177">
        <f>IF(U516=0,0,IF(T516="MXN",1/HLOOKUP(YEAR(S516)+(MONTH(S516)/100),TC!$5:$37,DAY(S516)+2,FALSE),VLOOKUP(T516,Equivalencia!$1:$23,((MAX(Equivalencia!$3:$3)-YEAR(S516))*14)+MONTH(S516)+2,FALSE)))</f>
        <v>1</v>
      </c>
      <c r="W516" s="178">
        <f t="shared" si="89"/>
        <v>24949.17</v>
      </c>
      <c r="X516" s="481">
        <f t="shared" si="85"/>
        <v>5064.2090597453462</v>
      </c>
      <c r="Y516" s="179"/>
      <c r="Z516" s="466">
        <f t="shared" si="86"/>
        <v>22676.809456266408</v>
      </c>
      <c r="AA516" s="473">
        <f t="shared" si="87"/>
        <v>2272.36054373359</v>
      </c>
      <c r="AB516" s="339">
        <f t="shared" si="88"/>
        <v>0.2546753335327645</v>
      </c>
    </row>
    <row r="517" spans="2:28" ht="20.100000000000001" customHeight="1">
      <c r="B517" s="172">
        <v>1175000</v>
      </c>
      <c r="C517" s="174">
        <v>44474</v>
      </c>
      <c r="D517" s="181" t="s">
        <v>173</v>
      </c>
      <c r="E517" s="173" t="s">
        <v>33</v>
      </c>
      <c r="F517" s="176">
        <v>401.73392857142852</v>
      </c>
      <c r="G517" s="175">
        <f t="shared" si="80"/>
        <v>9</v>
      </c>
      <c r="H517" s="175">
        <f t="shared" si="83"/>
        <v>401.73392857142852</v>
      </c>
      <c r="I517" s="177">
        <f>IF(G517=0,0,IF(E517="MXN",1/HLOOKUP(YEAR(C517)+(MONTH(C517)/100),TC!$5:$37,DAY(C517)+2,FALSE),VLOOKUP(E517,Equivalencia!$5:$23,((MAX(Equivalencia!$3:$3)-YEAR(C517))*14)+MONTH(C517)+2,FALSE)))</f>
        <v>1</v>
      </c>
      <c r="J517" s="178">
        <f t="shared" si="81"/>
        <v>401.73392857142852</v>
      </c>
      <c r="K517" s="462">
        <f>IF(C517=0,0,VLOOKUP(YEAR(C517),INPC!$B$4:$O$29,MONTH(C517)+1))</f>
        <v>115.56100000000001</v>
      </c>
      <c r="L517" s="462">
        <f>IF(S517=0,0,VLOOKUP(YEAR(S517),INPC!$B$4:$O$29,MONTH(S517)+1))</f>
        <v>122.044</v>
      </c>
      <c r="M517" s="463">
        <f t="shared" si="84"/>
        <v>1.0561</v>
      </c>
      <c r="N517" s="465">
        <f t="shared" si="82"/>
        <v>424.27120196428569</v>
      </c>
      <c r="O517" s="179"/>
      <c r="P517" s="180">
        <v>9</v>
      </c>
      <c r="Q517" s="173" t="s">
        <v>583</v>
      </c>
      <c r="R517" s="173" t="s">
        <v>230</v>
      </c>
      <c r="S517" s="174">
        <v>44721</v>
      </c>
      <c r="T517" s="173" t="s">
        <v>33</v>
      </c>
      <c r="U517" s="182">
        <v>315.65725352112679</v>
      </c>
      <c r="V517" s="177">
        <f>IF(U517=0,0,IF(T517="MXN",1/HLOOKUP(YEAR(S517)+(MONTH(S517)/100),TC!$5:$37,DAY(S517)+2,FALSE),VLOOKUP(T517,Equivalencia!$1:$23,((MAX(Equivalencia!$3:$3)-YEAR(S517))*14)+MONTH(S517)+2,FALSE)))</f>
        <v>1</v>
      </c>
      <c r="W517" s="178">
        <f t="shared" si="89"/>
        <v>315.65725352112679</v>
      </c>
      <c r="X517" s="481">
        <f t="shared" si="85"/>
        <v>-86.076675050301731</v>
      </c>
      <c r="Y517" s="179"/>
      <c r="Z517" s="466">
        <f t="shared" si="86"/>
        <v>424.27120196428569</v>
      </c>
      <c r="AA517" s="473">
        <f t="shared" si="87"/>
        <v>-108.6139484431589</v>
      </c>
      <c r="AB517" s="339">
        <f t="shared" si="88"/>
        <v>-0.21426289623182093</v>
      </c>
    </row>
    <row r="518" spans="2:28" ht="20.100000000000001" customHeight="1">
      <c r="B518" s="172">
        <v>1175000</v>
      </c>
      <c r="C518" s="174">
        <v>44523</v>
      </c>
      <c r="D518" s="181" t="s">
        <v>173</v>
      </c>
      <c r="E518" s="173" t="s">
        <v>33</v>
      </c>
      <c r="F518" s="176">
        <v>5401.56</v>
      </c>
      <c r="G518" s="175">
        <f t="shared" ref="G518:G581" si="90">+P518</f>
        <v>114</v>
      </c>
      <c r="H518" s="175">
        <f t="shared" si="83"/>
        <v>5401.56</v>
      </c>
      <c r="I518" s="177">
        <f>IF(G518=0,0,IF(E518="MXN",1/HLOOKUP(YEAR(C518)+(MONTH(C518)/100),TC!$5:$37,DAY(C518)+2,FALSE),VLOOKUP(E518,Equivalencia!$5:$23,((MAX(Equivalencia!$3:$3)-YEAR(C518))*14)+MONTH(C518)+2,FALSE)))</f>
        <v>1</v>
      </c>
      <c r="J518" s="178">
        <f t="shared" ref="J518:J581" si="91">+H518*I518</f>
        <v>5401.56</v>
      </c>
      <c r="K518" s="462">
        <f>IF(C518=0,0,VLOOKUP(YEAR(C518),INPC!$B$4:$O$29,MONTH(C518)+1))</f>
        <v>116.884</v>
      </c>
      <c r="L518" s="462">
        <f>IF(S518=0,0,VLOOKUP(YEAR(S518),INPC!$B$4:$O$29,MONTH(S518)+1))</f>
        <v>122.044</v>
      </c>
      <c r="M518" s="463">
        <f t="shared" si="84"/>
        <v>1.0441</v>
      </c>
      <c r="N518" s="465">
        <f t="shared" ref="N518:N581" si="92">+M518*J518</f>
        <v>5639.7687960000003</v>
      </c>
      <c r="O518" s="179"/>
      <c r="P518" s="180">
        <v>114</v>
      </c>
      <c r="Q518" s="173" t="s">
        <v>583</v>
      </c>
      <c r="R518" s="173" t="s">
        <v>230</v>
      </c>
      <c r="S518" s="174">
        <v>44721</v>
      </c>
      <c r="T518" s="173" t="s">
        <v>33</v>
      </c>
      <c r="U518" s="182">
        <v>3998.3252112676059</v>
      </c>
      <c r="V518" s="177">
        <f>IF(U518=0,0,IF(T518="MXN",1/HLOOKUP(YEAR(S518)+(MONTH(S518)/100),TC!$5:$37,DAY(S518)+2,FALSE),VLOOKUP(T518,Equivalencia!$1:$23,((MAX(Equivalencia!$3:$3)-YEAR(S518))*14)+MONTH(S518)+2,FALSE)))</f>
        <v>1</v>
      </c>
      <c r="W518" s="178">
        <f t="shared" si="89"/>
        <v>3998.3252112676059</v>
      </c>
      <c r="X518" s="481">
        <f t="shared" si="85"/>
        <v>-1403.2347887323945</v>
      </c>
      <c r="Y518" s="179"/>
      <c r="Z518" s="466">
        <f t="shared" si="86"/>
        <v>5639.7687960000003</v>
      </c>
      <c r="AA518" s="473">
        <f t="shared" si="87"/>
        <v>-1641.4435847323944</v>
      </c>
      <c r="AB518" s="339">
        <f t="shared" si="88"/>
        <v>-0.25978324571649569</v>
      </c>
    </row>
    <row r="519" spans="2:28" ht="20.100000000000001" customHeight="1">
      <c r="B519" s="172">
        <v>1175000</v>
      </c>
      <c r="C519" s="174">
        <v>44536</v>
      </c>
      <c r="D519" s="181" t="s">
        <v>173</v>
      </c>
      <c r="E519" s="173" t="s">
        <v>33</v>
      </c>
      <c r="F519" s="176">
        <v>840.96794117647062</v>
      </c>
      <c r="G519" s="175">
        <f t="shared" si="90"/>
        <v>19</v>
      </c>
      <c r="H519" s="175">
        <f t="shared" si="83"/>
        <v>840.96794117647062</v>
      </c>
      <c r="I519" s="177">
        <f>IF(G519=0,0,IF(E519="MXN",1/HLOOKUP(YEAR(C519)+(MONTH(C519)/100),TC!$5:$37,DAY(C519)+2,FALSE),VLOOKUP(E519,Equivalencia!$5:$23,((MAX(Equivalencia!$3:$3)-YEAR(C519))*14)+MONTH(C519)+2,FALSE)))</f>
        <v>1</v>
      </c>
      <c r="J519" s="178">
        <f t="shared" si="91"/>
        <v>840.96794117647062</v>
      </c>
      <c r="K519" s="462">
        <f>IF(C519=0,0,VLOOKUP(YEAR(C519),INPC!$B$4:$O$29,MONTH(C519)+1))</f>
        <v>117.30800000000001</v>
      </c>
      <c r="L519" s="462">
        <f>IF(S519=0,0,VLOOKUP(YEAR(S519),INPC!$B$4:$O$29,MONTH(S519)+1))</f>
        <v>122.044</v>
      </c>
      <c r="M519" s="463">
        <f t="shared" si="84"/>
        <v>1.0403</v>
      </c>
      <c r="N519" s="465">
        <f t="shared" si="92"/>
        <v>874.85894920588237</v>
      </c>
      <c r="O519" s="179"/>
      <c r="P519" s="180">
        <v>19</v>
      </c>
      <c r="Q519" s="173" t="s">
        <v>583</v>
      </c>
      <c r="R519" s="173" t="s">
        <v>230</v>
      </c>
      <c r="S519" s="174">
        <v>44721</v>
      </c>
      <c r="T519" s="173" t="s">
        <v>33</v>
      </c>
      <c r="U519" s="182">
        <v>666.38753521126762</v>
      </c>
      <c r="V519" s="177">
        <f>IF(U519=0,0,IF(T519="MXN",1/HLOOKUP(YEAR(S519)+(MONTH(S519)/100),TC!$5:$37,DAY(S519)+2,FALSE),VLOOKUP(T519,Equivalencia!$1:$23,((MAX(Equivalencia!$3:$3)-YEAR(S519))*14)+MONTH(S519)+2,FALSE)))</f>
        <v>1</v>
      </c>
      <c r="W519" s="178">
        <f t="shared" si="89"/>
        <v>666.38753521126762</v>
      </c>
      <c r="X519" s="481">
        <f t="shared" si="85"/>
        <v>-174.580405965203</v>
      </c>
      <c r="Y519" s="179"/>
      <c r="Z519" s="466">
        <f t="shared" si="86"/>
        <v>874.85894920588237</v>
      </c>
      <c r="AA519" s="473">
        <f t="shared" si="87"/>
        <v>-208.47141399461475</v>
      </c>
      <c r="AB519" s="339">
        <f t="shared" si="88"/>
        <v>-0.20759460309625366</v>
      </c>
    </row>
    <row r="520" spans="2:28" ht="20.100000000000001" customHeight="1">
      <c r="B520" s="172">
        <v>1175000</v>
      </c>
      <c r="C520" s="174">
        <v>44536</v>
      </c>
      <c r="D520" s="181" t="s">
        <v>173</v>
      </c>
      <c r="E520" s="173" t="s">
        <v>33</v>
      </c>
      <c r="F520" s="176">
        <v>663.92205882352948</v>
      </c>
      <c r="G520" s="175">
        <f t="shared" si="90"/>
        <v>15</v>
      </c>
      <c r="H520" s="175">
        <f t="shared" si="83"/>
        <v>663.92205882352948</v>
      </c>
      <c r="I520" s="177">
        <f>IF(G520=0,0,IF(E520="MXN",1/HLOOKUP(YEAR(C520)+(MONTH(C520)/100),TC!$5:$37,DAY(C520)+2,FALSE),VLOOKUP(E520,Equivalencia!$5:$23,((MAX(Equivalencia!$3:$3)-YEAR(C520))*14)+MONTH(C520)+2,FALSE)))</f>
        <v>1</v>
      </c>
      <c r="J520" s="178">
        <f t="shared" si="91"/>
        <v>663.92205882352948</v>
      </c>
      <c r="K520" s="462">
        <f>IF(C520=0,0,VLOOKUP(YEAR(C520),INPC!$B$4:$O$29,MONTH(C520)+1))</f>
        <v>117.30800000000001</v>
      </c>
      <c r="L520" s="462">
        <f>IF(S520=0,0,VLOOKUP(YEAR(S520),INPC!$B$4:$O$29,MONTH(S520)+1))</f>
        <v>122.044</v>
      </c>
      <c r="M520" s="463">
        <f t="shared" si="84"/>
        <v>1.0403</v>
      </c>
      <c r="N520" s="465">
        <f t="shared" si="92"/>
        <v>690.67811779411772</v>
      </c>
      <c r="O520" s="179"/>
      <c r="P520" s="180">
        <v>15</v>
      </c>
      <c r="Q520" s="173" t="s">
        <v>583</v>
      </c>
      <c r="R520" s="173" t="s">
        <v>230</v>
      </c>
      <c r="S520" s="174">
        <v>44721</v>
      </c>
      <c r="T520" s="173" t="s">
        <v>33</v>
      </c>
      <c r="U520" s="182">
        <v>525.314705882353</v>
      </c>
      <c r="V520" s="177">
        <f>IF(U520=0,0,IF(T520="MXN",1/HLOOKUP(YEAR(S520)+(MONTH(S520)/100),TC!$5:$37,DAY(S520)+2,FALSE),VLOOKUP(T520,Equivalencia!$1:$23,((MAX(Equivalencia!$3:$3)-YEAR(S520))*14)+MONTH(S520)+2,FALSE)))</f>
        <v>1</v>
      </c>
      <c r="W520" s="178">
        <f t="shared" si="89"/>
        <v>525.314705882353</v>
      </c>
      <c r="X520" s="481">
        <f t="shared" si="85"/>
        <v>-138.60735294117649</v>
      </c>
      <c r="Y520" s="179"/>
      <c r="Z520" s="466">
        <f t="shared" si="86"/>
        <v>690.67811779411772</v>
      </c>
      <c r="AA520" s="473">
        <f t="shared" si="87"/>
        <v>-165.36341191176473</v>
      </c>
      <c r="AB520" s="339">
        <f t="shared" si="88"/>
        <v>-0.20877051921845891</v>
      </c>
    </row>
    <row r="521" spans="2:28" ht="20.100000000000001" customHeight="1">
      <c r="B521" s="172">
        <v>1175000</v>
      </c>
      <c r="C521" s="174">
        <v>44536</v>
      </c>
      <c r="D521" s="181" t="s">
        <v>173</v>
      </c>
      <c r="E521" s="173" t="s">
        <v>33</v>
      </c>
      <c r="F521" s="176">
        <v>1601.0976000000001</v>
      </c>
      <c r="G521" s="175">
        <f t="shared" si="90"/>
        <v>36</v>
      </c>
      <c r="H521" s="175">
        <f t="shared" si="83"/>
        <v>1601.0976000000001</v>
      </c>
      <c r="I521" s="177">
        <f>IF(G521=0,0,IF(E521="MXN",1/HLOOKUP(YEAR(C521)+(MONTH(C521)/100),TC!$5:$37,DAY(C521)+2,FALSE),VLOOKUP(E521,Equivalencia!$5:$23,((MAX(Equivalencia!$3:$3)-YEAR(C521))*14)+MONTH(C521)+2,FALSE)))</f>
        <v>1</v>
      </c>
      <c r="J521" s="178">
        <f t="shared" si="91"/>
        <v>1601.0976000000001</v>
      </c>
      <c r="K521" s="462">
        <f>IF(C521=0,0,VLOOKUP(YEAR(C521),INPC!$B$4:$O$29,MONTH(C521)+1))</f>
        <v>117.30800000000001</v>
      </c>
      <c r="L521" s="462">
        <f>IF(S521=0,0,VLOOKUP(YEAR(S521),INPC!$B$4:$O$29,MONTH(S521)+1))</f>
        <v>122.044</v>
      </c>
      <c r="M521" s="463">
        <f t="shared" si="84"/>
        <v>1.0403</v>
      </c>
      <c r="N521" s="465">
        <f t="shared" si="92"/>
        <v>1665.6218332800001</v>
      </c>
      <c r="O521" s="179"/>
      <c r="P521" s="180">
        <v>36</v>
      </c>
      <c r="Q521" s="173" t="s">
        <v>583</v>
      </c>
      <c r="R521" s="173" t="s">
        <v>230</v>
      </c>
      <c r="S521" s="174">
        <v>44721</v>
      </c>
      <c r="T521" s="173" t="s">
        <v>33</v>
      </c>
      <c r="U521" s="182">
        <v>1260.7552941176471</v>
      </c>
      <c r="V521" s="177">
        <f>IF(U521=0,0,IF(T521="MXN",1/HLOOKUP(YEAR(S521)+(MONTH(S521)/100),TC!$5:$37,DAY(S521)+2,FALSE),VLOOKUP(T521,Equivalencia!$1:$23,((MAX(Equivalencia!$3:$3)-YEAR(S521))*14)+MONTH(S521)+2,FALSE)))</f>
        <v>1</v>
      </c>
      <c r="W521" s="178">
        <f t="shared" si="89"/>
        <v>1260.7552941176471</v>
      </c>
      <c r="X521" s="481">
        <f t="shared" si="85"/>
        <v>-340.342305882353</v>
      </c>
      <c r="Y521" s="179"/>
      <c r="Z521" s="466">
        <f t="shared" si="86"/>
        <v>1665.6218332800001</v>
      </c>
      <c r="AA521" s="473">
        <f t="shared" si="87"/>
        <v>-404.86653916235309</v>
      </c>
      <c r="AB521" s="339">
        <f t="shared" si="88"/>
        <v>-0.21256811944653031</v>
      </c>
    </row>
    <row r="522" spans="2:28" ht="20.100000000000001" customHeight="1">
      <c r="B522" s="172">
        <v>1175000</v>
      </c>
      <c r="C522" s="174">
        <v>44536</v>
      </c>
      <c r="D522" s="181" t="s">
        <v>173</v>
      </c>
      <c r="E522" s="173" t="s">
        <v>33</v>
      </c>
      <c r="F522" s="176">
        <v>1734.5224000000001</v>
      </c>
      <c r="G522" s="175">
        <f t="shared" si="90"/>
        <v>39</v>
      </c>
      <c r="H522" s="175">
        <f t="shared" si="83"/>
        <v>1734.5224000000001</v>
      </c>
      <c r="I522" s="177">
        <f>IF(G522=0,0,IF(E522="MXN",1/HLOOKUP(YEAR(C522)+(MONTH(C522)/100),TC!$5:$37,DAY(C522)+2,FALSE),VLOOKUP(E522,Equivalencia!$5:$23,((MAX(Equivalencia!$3:$3)-YEAR(C522))*14)+MONTH(C522)+2,FALSE)))</f>
        <v>1</v>
      </c>
      <c r="J522" s="178">
        <f t="shared" si="91"/>
        <v>1734.5224000000001</v>
      </c>
      <c r="K522" s="462">
        <f>IF(C522=0,0,VLOOKUP(YEAR(C522),INPC!$B$4:$O$29,MONTH(C522)+1))</f>
        <v>117.30800000000001</v>
      </c>
      <c r="L522" s="462">
        <f>IF(S522=0,0,VLOOKUP(YEAR(S522),INPC!$B$4:$O$29,MONTH(S522)+1))</f>
        <v>122.044</v>
      </c>
      <c r="M522" s="463">
        <f t="shared" si="84"/>
        <v>1.0403</v>
      </c>
      <c r="N522" s="465">
        <f t="shared" si="92"/>
        <v>1804.4236527200001</v>
      </c>
      <c r="O522" s="179"/>
      <c r="P522" s="180">
        <v>39</v>
      </c>
      <c r="Q522" s="173" t="s">
        <v>583</v>
      </c>
      <c r="R522" s="173" t="s">
        <v>230</v>
      </c>
      <c r="S522" s="174">
        <v>44721</v>
      </c>
      <c r="T522" s="173" t="s">
        <v>33</v>
      </c>
      <c r="U522" s="182">
        <v>1363.8261951219511</v>
      </c>
      <c r="V522" s="177">
        <f>IF(U522=0,0,IF(T522="MXN",1/HLOOKUP(YEAR(S522)+(MONTH(S522)/100),TC!$5:$37,DAY(S522)+2,FALSE),VLOOKUP(T522,Equivalencia!$1:$23,((MAX(Equivalencia!$3:$3)-YEAR(S522))*14)+MONTH(S522)+2,FALSE)))</f>
        <v>1</v>
      </c>
      <c r="W522" s="178">
        <f t="shared" si="89"/>
        <v>1363.8261951219511</v>
      </c>
      <c r="X522" s="481">
        <f t="shared" si="85"/>
        <v>-370.696204878049</v>
      </c>
      <c r="Y522" s="179"/>
      <c r="Z522" s="466">
        <f t="shared" si="86"/>
        <v>1804.4236527200001</v>
      </c>
      <c r="AA522" s="473">
        <f t="shared" si="87"/>
        <v>-440.597457598049</v>
      </c>
      <c r="AB522" s="339">
        <f t="shared" si="88"/>
        <v>-0.21371658554426798</v>
      </c>
    </row>
    <row r="523" spans="2:28" ht="20.100000000000001" customHeight="1">
      <c r="B523" s="172">
        <v>1175000</v>
      </c>
      <c r="C523" s="174">
        <v>44536</v>
      </c>
      <c r="D523" s="181" t="s">
        <v>173</v>
      </c>
      <c r="E523" s="173" t="s">
        <v>33</v>
      </c>
      <c r="F523" s="176">
        <v>309.12</v>
      </c>
      <c r="G523" s="175">
        <f t="shared" si="90"/>
        <v>7</v>
      </c>
      <c r="H523" s="175">
        <f t="shared" si="83"/>
        <v>309.12</v>
      </c>
      <c r="I523" s="177">
        <f>IF(G523=0,0,IF(E523="MXN",1/HLOOKUP(YEAR(C523)+(MONTH(C523)/100),TC!$5:$37,DAY(C523)+2,FALSE),VLOOKUP(E523,Equivalencia!$5:$23,((MAX(Equivalencia!$3:$3)-YEAR(C523))*14)+MONTH(C523)+2,FALSE)))</f>
        <v>1</v>
      </c>
      <c r="J523" s="178">
        <f t="shared" si="91"/>
        <v>309.12</v>
      </c>
      <c r="K523" s="462">
        <f>IF(C523=0,0,VLOOKUP(YEAR(C523),INPC!$B$4:$O$29,MONTH(C523)+1))</f>
        <v>117.30800000000001</v>
      </c>
      <c r="L523" s="462">
        <f>IF(S523=0,0,VLOOKUP(YEAR(S523),INPC!$B$4:$O$29,MONTH(S523)+1))</f>
        <v>122.044</v>
      </c>
      <c r="M523" s="463">
        <f t="shared" si="84"/>
        <v>1.0403</v>
      </c>
      <c r="N523" s="465">
        <f t="shared" si="92"/>
        <v>321.57753600000001</v>
      </c>
      <c r="O523" s="179"/>
      <c r="P523" s="180">
        <v>7</v>
      </c>
      <c r="Q523" s="173" t="s">
        <v>583</v>
      </c>
      <c r="R523" s="173" t="s">
        <v>230</v>
      </c>
      <c r="S523" s="174">
        <v>44721</v>
      </c>
      <c r="T523" s="173" t="s">
        <v>33</v>
      </c>
      <c r="U523" s="182">
        <v>244.78931707317071</v>
      </c>
      <c r="V523" s="177">
        <f>IF(U523=0,0,IF(T523="MXN",1/HLOOKUP(YEAR(S523)+(MONTH(S523)/100),TC!$5:$37,DAY(S523)+2,FALSE),VLOOKUP(T523,Equivalencia!$1:$23,((MAX(Equivalencia!$3:$3)-YEAR(S523))*14)+MONTH(S523)+2,FALSE)))</f>
        <v>1</v>
      </c>
      <c r="W523" s="178">
        <f t="shared" si="89"/>
        <v>244.78931707317071</v>
      </c>
      <c r="X523" s="481">
        <f t="shared" si="85"/>
        <v>-64.330682926829297</v>
      </c>
      <c r="Y523" s="179"/>
      <c r="Z523" s="466">
        <f t="shared" si="86"/>
        <v>321.57753600000001</v>
      </c>
      <c r="AA523" s="473">
        <f t="shared" si="87"/>
        <v>-76.788218926829302</v>
      </c>
      <c r="AB523" s="339">
        <f t="shared" si="88"/>
        <v>-0.20810909331919414</v>
      </c>
    </row>
    <row r="524" spans="2:28" ht="20.100000000000001" customHeight="1">
      <c r="B524" s="172">
        <v>1175000</v>
      </c>
      <c r="C524" s="174">
        <v>44540</v>
      </c>
      <c r="D524" s="181" t="s">
        <v>173</v>
      </c>
      <c r="E524" s="173" t="s">
        <v>33</v>
      </c>
      <c r="F524" s="176">
        <v>5886.1</v>
      </c>
      <c r="G524" s="175">
        <f t="shared" si="90"/>
        <v>133</v>
      </c>
      <c r="H524" s="175">
        <f t="shared" si="83"/>
        <v>5886.1</v>
      </c>
      <c r="I524" s="177">
        <f>IF(G524=0,0,IF(E524="MXN",1/HLOOKUP(YEAR(C524)+(MONTH(C524)/100),TC!$5:$37,DAY(C524)+2,FALSE),VLOOKUP(E524,Equivalencia!$5:$23,((MAX(Equivalencia!$3:$3)-YEAR(C524))*14)+MONTH(C524)+2,FALSE)))</f>
        <v>1</v>
      </c>
      <c r="J524" s="178">
        <f t="shared" si="91"/>
        <v>5886.1</v>
      </c>
      <c r="K524" s="462">
        <f>IF(C524=0,0,VLOOKUP(YEAR(C524),INPC!$B$4:$O$29,MONTH(C524)+1))</f>
        <v>117.30800000000001</v>
      </c>
      <c r="L524" s="462">
        <f>IF(S524=0,0,VLOOKUP(YEAR(S524),INPC!$B$4:$O$29,MONTH(S524)+1))</f>
        <v>122.044</v>
      </c>
      <c r="M524" s="463">
        <f t="shared" si="84"/>
        <v>1.0403</v>
      </c>
      <c r="N524" s="465">
        <f t="shared" si="92"/>
        <v>6123.3098300000001</v>
      </c>
      <c r="O524" s="179"/>
      <c r="P524" s="180">
        <v>133</v>
      </c>
      <c r="Q524" s="173" t="s">
        <v>583</v>
      </c>
      <c r="R524" s="173" t="s">
        <v>230</v>
      </c>
      <c r="S524" s="174">
        <v>44721</v>
      </c>
      <c r="T524" s="173" t="s">
        <v>33</v>
      </c>
      <c r="U524" s="182">
        <v>4650.9970243902435</v>
      </c>
      <c r="V524" s="177">
        <f>IF(U524=0,0,IF(T524="MXN",1/HLOOKUP(YEAR(S524)+(MONTH(S524)/100),TC!$5:$37,DAY(S524)+2,FALSE),VLOOKUP(T524,Equivalencia!$1:$23,((MAX(Equivalencia!$3:$3)-YEAR(S524))*14)+MONTH(S524)+2,FALSE)))</f>
        <v>1</v>
      </c>
      <c r="W524" s="178">
        <f t="shared" si="89"/>
        <v>4650.9970243902435</v>
      </c>
      <c r="X524" s="481">
        <f t="shared" si="85"/>
        <v>-1235.1029756097569</v>
      </c>
      <c r="Y524" s="179"/>
      <c r="Z524" s="466">
        <f t="shared" si="86"/>
        <v>6123.3098300000001</v>
      </c>
      <c r="AA524" s="473">
        <f t="shared" si="87"/>
        <v>-1472.3128056097567</v>
      </c>
      <c r="AB524" s="339">
        <f t="shared" si="88"/>
        <v>-0.20983384169649799</v>
      </c>
    </row>
    <row r="525" spans="2:28" ht="20.100000000000001" customHeight="1">
      <c r="B525" s="172">
        <v>1175000</v>
      </c>
      <c r="C525" s="174">
        <v>44540</v>
      </c>
      <c r="D525" s="181" t="s">
        <v>173</v>
      </c>
      <c r="E525" s="173" t="s">
        <v>33</v>
      </c>
      <c r="F525" s="176">
        <v>354.52</v>
      </c>
      <c r="G525" s="175">
        <f t="shared" si="90"/>
        <v>8</v>
      </c>
      <c r="H525" s="175">
        <f t="shared" si="83"/>
        <v>354.52</v>
      </c>
      <c r="I525" s="177">
        <f>IF(G525=0,0,IF(E525="MXN",1/HLOOKUP(YEAR(C525)+(MONTH(C525)/100),TC!$5:$37,DAY(C525)+2,FALSE),VLOOKUP(E525,Equivalencia!$5:$23,((MAX(Equivalencia!$3:$3)-YEAR(C525))*14)+MONTH(C525)+2,FALSE)))</f>
        <v>1</v>
      </c>
      <c r="J525" s="178">
        <f t="shared" si="91"/>
        <v>354.52</v>
      </c>
      <c r="K525" s="462">
        <f>IF(C525=0,0,VLOOKUP(YEAR(C525),INPC!$B$4:$O$29,MONTH(C525)+1))</f>
        <v>117.30800000000001</v>
      </c>
      <c r="L525" s="462">
        <f>IF(S525=0,0,VLOOKUP(YEAR(S525),INPC!$B$4:$O$29,MONTH(S525)+1))</f>
        <v>122.044</v>
      </c>
      <c r="M525" s="463">
        <f t="shared" si="84"/>
        <v>1.0403</v>
      </c>
      <c r="N525" s="465">
        <f t="shared" si="92"/>
        <v>368.80715599999996</v>
      </c>
      <c r="O525" s="179"/>
      <c r="P525" s="180">
        <v>8</v>
      </c>
      <c r="Q525" s="173" t="s">
        <v>583</v>
      </c>
      <c r="R525" s="173" t="s">
        <v>230</v>
      </c>
      <c r="S525" s="174">
        <v>44721</v>
      </c>
      <c r="T525" s="173" t="s">
        <v>33</v>
      </c>
      <c r="U525" s="182">
        <v>279.7592195121951</v>
      </c>
      <c r="V525" s="177">
        <f>IF(U525=0,0,IF(T525="MXN",1/HLOOKUP(YEAR(S525)+(MONTH(S525)/100),TC!$5:$37,DAY(S525)+2,FALSE),VLOOKUP(T525,Equivalencia!$1:$23,((MAX(Equivalencia!$3:$3)-YEAR(S525))*14)+MONTH(S525)+2,FALSE)))</f>
        <v>1</v>
      </c>
      <c r="W525" s="178">
        <f t="shared" si="89"/>
        <v>279.7592195121951</v>
      </c>
      <c r="X525" s="481">
        <f t="shared" si="85"/>
        <v>-74.76078048780488</v>
      </c>
      <c r="Y525" s="179"/>
      <c r="Z525" s="466">
        <f t="shared" si="86"/>
        <v>368.80715599999996</v>
      </c>
      <c r="AA525" s="473">
        <f t="shared" si="87"/>
        <v>-89.047936487804861</v>
      </c>
      <c r="AB525" s="339">
        <f t="shared" si="88"/>
        <v>-0.21087887985954212</v>
      </c>
    </row>
    <row r="526" spans="2:28" ht="20.100000000000001" customHeight="1">
      <c r="B526" s="172">
        <v>1175000</v>
      </c>
      <c r="C526" s="174">
        <v>44575</v>
      </c>
      <c r="D526" s="181" t="s">
        <v>173</v>
      </c>
      <c r="E526" s="173" t="s">
        <v>33</v>
      </c>
      <c r="F526" s="176">
        <v>10550.65</v>
      </c>
      <c r="G526" s="175">
        <f t="shared" si="90"/>
        <v>221</v>
      </c>
      <c r="H526" s="175">
        <f t="shared" si="83"/>
        <v>10550.65</v>
      </c>
      <c r="I526" s="177">
        <f>IF(G526=0,0,IF(E526="MXN",1/HLOOKUP(YEAR(C526)+(MONTH(C526)/100),TC!$5:$37,DAY(C526)+2,FALSE),VLOOKUP(E526,Equivalencia!$5:$23,((MAX(Equivalencia!$3:$3)-YEAR(C526))*14)+MONTH(C526)+2,FALSE)))</f>
        <v>1</v>
      </c>
      <c r="J526" s="178">
        <f t="shared" si="91"/>
        <v>10550.65</v>
      </c>
      <c r="K526" s="462">
        <f>IF(C526=0,0,VLOOKUP(YEAR(C526),INPC!$B$4:$O$29,MONTH(C526)+1))</f>
        <v>118.002</v>
      </c>
      <c r="L526" s="462">
        <f>IF(S526=0,0,VLOOKUP(YEAR(S526),INPC!$B$4:$O$29,MONTH(S526)+1))</f>
        <v>122.044</v>
      </c>
      <c r="M526" s="463">
        <f t="shared" si="84"/>
        <v>1.0342</v>
      </c>
      <c r="N526" s="465">
        <f t="shared" si="92"/>
        <v>10911.48223</v>
      </c>
      <c r="O526" s="179"/>
      <c r="P526" s="180">
        <v>221</v>
      </c>
      <c r="Q526" s="173" t="s">
        <v>583</v>
      </c>
      <c r="R526" s="173" t="s">
        <v>230</v>
      </c>
      <c r="S526" s="174">
        <v>44721</v>
      </c>
      <c r="T526" s="173" t="s">
        <v>33</v>
      </c>
      <c r="U526" s="182">
        <v>7728.3484390243893</v>
      </c>
      <c r="V526" s="177">
        <f>IF(U526=0,0,IF(T526="MXN",1/HLOOKUP(YEAR(S526)+(MONTH(S526)/100),TC!$5:$37,DAY(S526)+2,FALSE),VLOOKUP(T526,Equivalencia!$1:$23,((MAX(Equivalencia!$3:$3)-YEAR(S526))*14)+MONTH(S526)+2,FALSE)))</f>
        <v>1</v>
      </c>
      <c r="W526" s="178">
        <f t="shared" si="89"/>
        <v>7728.3484390243893</v>
      </c>
      <c r="X526" s="481">
        <f t="shared" si="85"/>
        <v>-2822.3015609756103</v>
      </c>
      <c r="Y526" s="179"/>
      <c r="Z526" s="466">
        <f t="shared" si="86"/>
        <v>10911.48223</v>
      </c>
      <c r="AA526" s="473">
        <f t="shared" si="87"/>
        <v>-3183.1337909756103</v>
      </c>
      <c r="AB526" s="339">
        <f t="shared" si="88"/>
        <v>-0.2675002545791596</v>
      </c>
    </row>
    <row r="527" spans="2:28" ht="20.100000000000001" customHeight="1">
      <c r="B527" s="172">
        <v>1175000</v>
      </c>
      <c r="C527" s="174">
        <v>44685</v>
      </c>
      <c r="D527" s="181" t="s">
        <v>173</v>
      </c>
      <c r="E527" s="173" t="s">
        <v>33</v>
      </c>
      <c r="F527" s="176">
        <v>75.349999999999994</v>
      </c>
      <c r="G527" s="175">
        <f t="shared" si="90"/>
        <v>2</v>
      </c>
      <c r="H527" s="175">
        <f t="shared" si="83"/>
        <v>75.349999999999994</v>
      </c>
      <c r="I527" s="177">
        <f>IF(G527=0,0,IF(E527="MXN",1/HLOOKUP(YEAR(C527)+(MONTH(C527)/100),TC!$5:$37,DAY(C527)+2,FALSE),VLOOKUP(E527,Equivalencia!$5:$23,((MAX(Equivalencia!$3:$3)-YEAR(C527))*14)+MONTH(C527)+2,FALSE)))</f>
        <v>1</v>
      </c>
      <c r="J527" s="178">
        <f t="shared" si="91"/>
        <v>75.349999999999994</v>
      </c>
      <c r="K527" s="462">
        <f>IF(C527=0,0,VLOOKUP(YEAR(C527),INPC!$B$4:$O$29,MONTH(C527)+1))</f>
        <v>121.02200000000001</v>
      </c>
      <c r="L527" s="462">
        <f>IF(S527=0,0,VLOOKUP(YEAR(S527),INPC!$B$4:$O$29,MONTH(S527)+1))</f>
        <v>122.044</v>
      </c>
      <c r="M527" s="463">
        <f t="shared" si="84"/>
        <v>1.0084</v>
      </c>
      <c r="N527" s="465">
        <f t="shared" si="92"/>
        <v>75.982939999999985</v>
      </c>
      <c r="O527" s="179"/>
      <c r="P527" s="180">
        <v>2</v>
      </c>
      <c r="Q527" s="173" t="s">
        <v>583</v>
      </c>
      <c r="R527" s="173" t="s">
        <v>230</v>
      </c>
      <c r="S527" s="174">
        <v>44721</v>
      </c>
      <c r="T527" s="173" t="s">
        <v>33</v>
      </c>
      <c r="U527" s="182">
        <v>69.939804878048776</v>
      </c>
      <c r="V527" s="177">
        <f>IF(U527=0,0,IF(T527="MXN",1/HLOOKUP(YEAR(S527)+(MONTH(S527)/100),TC!$5:$37,DAY(S527)+2,FALSE),VLOOKUP(T527,Equivalencia!$1:$23,((MAX(Equivalencia!$3:$3)-YEAR(S527))*14)+MONTH(S527)+2,FALSE)))</f>
        <v>1</v>
      </c>
      <c r="W527" s="178">
        <f t="shared" si="89"/>
        <v>69.939804878048776</v>
      </c>
      <c r="X527" s="481">
        <f t="shared" si="85"/>
        <v>-5.4101951219512188</v>
      </c>
      <c r="Y527" s="179"/>
      <c r="Z527" s="466">
        <f t="shared" si="86"/>
        <v>75.982939999999985</v>
      </c>
      <c r="AA527" s="473">
        <f t="shared" si="87"/>
        <v>-6.0431351219512095</v>
      </c>
      <c r="AB527" s="339">
        <f t="shared" si="88"/>
        <v>-7.1800864259472075E-2</v>
      </c>
    </row>
    <row r="528" spans="2:28" ht="20.100000000000001" customHeight="1">
      <c r="B528" s="172">
        <v>1175000</v>
      </c>
      <c r="C528" s="174">
        <v>44490</v>
      </c>
      <c r="D528" s="181" t="s">
        <v>178</v>
      </c>
      <c r="E528" s="173" t="s">
        <v>33</v>
      </c>
      <c r="F528" s="176">
        <v>161.8413888888889</v>
      </c>
      <c r="G528" s="175">
        <f t="shared" si="90"/>
        <v>1</v>
      </c>
      <c r="H528" s="175">
        <f t="shared" si="83"/>
        <v>161.8413888888889</v>
      </c>
      <c r="I528" s="177">
        <f>IF(G528=0,0,IF(E528="MXN",1/HLOOKUP(YEAR(C528)+(MONTH(C528)/100),TC!$5:$37,DAY(C528)+2,FALSE),VLOOKUP(E528,Equivalencia!$5:$23,((MAX(Equivalencia!$3:$3)-YEAR(C528))*14)+MONTH(C528)+2,FALSE)))</f>
        <v>1</v>
      </c>
      <c r="J528" s="178">
        <f t="shared" si="91"/>
        <v>161.8413888888889</v>
      </c>
      <c r="K528" s="462">
        <f>IF(C528=0,0,VLOOKUP(YEAR(C528),INPC!$B$4:$O$29,MONTH(C528)+1))</f>
        <v>115.56100000000001</v>
      </c>
      <c r="L528" s="462">
        <f>IF(S528=0,0,VLOOKUP(YEAR(S528),INPC!$B$4:$O$29,MONTH(S528)+1))</f>
        <v>122.94799999999999</v>
      </c>
      <c r="M528" s="463">
        <f t="shared" si="84"/>
        <v>1.0639000000000001</v>
      </c>
      <c r="N528" s="465">
        <f t="shared" si="92"/>
        <v>172.18305363888891</v>
      </c>
      <c r="O528" s="179"/>
      <c r="P528" s="180">
        <v>1</v>
      </c>
      <c r="Q528" s="173" t="s">
        <v>583</v>
      </c>
      <c r="R528" s="173" t="s">
        <v>230</v>
      </c>
      <c r="S528" s="174">
        <v>44743</v>
      </c>
      <c r="T528" s="173" t="s">
        <v>33</v>
      </c>
      <c r="U528" s="182">
        <v>125.36</v>
      </c>
      <c r="V528" s="177">
        <f>IF(U528=0,0,IF(T528="MXN",1/HLOOKUP(YEAR(S528)+(MONTH(S528)/100),TC!$5:$37,DAY(S528)+2,FALSE),VLOOKUP(T528,Equivalencia!$1:$23,((MAX(Equivalencia!$3:$3)-YEAR(S528))*14)+MONTH(S528)+2,FALSE)))</f>
        <v>1</v>
      </c>
      <c r="W528" s="178">
        <f t="shared" si="89"/>
        <v>125.36</v>
      </c>
      <c r="X528" s="481">
        <f t="shared" si="85"/>
        <v>-36.481388888888901</v>
      </c>
      <c r="Y528" s="179"/>
      <c r="Z528" s="466">
        <f t="shared" si="86"/>
        <v>172.18305363888891</v>
      </c>
      <c r="AA528" s="473">
        <f t="shared" si="87"/>
        <v>-46.823053638888908</v>
      </c>
      <c r="AB528" s="339">
        <f t="shared" si="88"/>
        <v>-0.22541445757076983</v>
      </c>
    </row>
    <row r="529" spans="2:28" ht="20.100000000000001" customHeight="1">
      <c r="B529" s="172">
        <v>1175000</v>
      </c>
      <c r="C529" s="174">
        <v>44490</v>
      </c>
      <c r="D529" s="181" t="s">
        <v>178</v>
      </c>
      <c r="E529" s="173" t="s">
        <v>33</v>
      </c>
      <c r="F529" s="176">
        <v>809.2069444444445</v>
      </c>
      <c r="G529" s="175">
        <f t="shared" si="90"/>
        <v>5</v>
      </c>
      <c r="H529" s="175">
        <f t="shared" si="83"/>
        <v>809.2069444444445</v>
      </c>
      <c r="I529" s="177">
        <f>IF(G529=0,0,IF(E529="MXN",1/HLOOKUP(YEAR(C529)+(MONTH(C529)/100),TC!$5:$37,DAY(C529)+2,FALSE),VLOOKUP(E529,Equivalencia!$5:$23,((MAX(Equivalencia!$3:$3)-YEAR(C529))*14)+MONTH(C529)+2,FALSE)))</f>
        <v>1</v>
      </c>
      <c r="J529" s="178">
        <f t="shared" si="91"/>
        <v>809.2069444444445</v>
      </c>
      <c r="K529" s="462">
        <f>IF(C529=0,0,VLOOKUP(YEAR(C529),INPC!$B$4:$O$29,MONTH(C529)+1))</f>
        <v>115.56100000000001</v>
      </c>
      <c r="L529" s="462">
        <f>IF(S529=0,0,VLOOKUP(YEAR(S529),INPC!$B$4:$O$29,MONTH(S529)+1))</f>
        <v>122.94799999999999</v>
      </c>
      <c r="M529" s="463">
        <f t="shared" si="84"/>
        <v>1.0639000000000001</v>
      </c>
      <c r="N529" s="465">
        <f t="shared" si="92"/>
        <v>860.91526819444459</v>
      </c>
      <c r="O529" s="179"/>
      <c r="P529" s="180">
        <v>5</v>
      </c>
      <c r="Q529" s="173" t="s">
        <v>583</v>
      </c>
      <c r="R529" s="173" t="s">
        <v>230</v>
      </c>
      <c r="S529" s="174">
        <v>44743</v>
      </c>
      <c r="T529" s="173" t="s">
        <v>33</v>
      </c>
      <c r="U529" s="182">
        <v>628.70000000000005</v>
      </c>
      <c r="V529" s="177">
        <f>IF(U529=0,0,IF(T529="MXN",1/HLOOKUP(YEAR(S529)+(MONTH(S529)/100),TC!$5:$37,DAY(S529)+2,FALSE),VLOOKUP(T529,Equivalencia!$1:$23,((MAX(Equivalencia!$3:$3)-YEAR(S529))*14)+MONTH(S529)+2,FALSE)))</f>
        <v>1</v>
      </c>
      <c r="W529" s="178">
        <f t="shared" si="89"/>
        <v>628.70000000000005</v>
      </c>
      <c r="X529" s="481">
        <f t="shared" si="85"/>
        <v>-180.50694444444446</v>
      </c>
      <c r="Y529" s="179"/>
      <c r="Z529" s="466">
        <f t="shared" si="86"/>
        <v>860.91526819444459</v>
      </c>
      <c r="AA529" s="473">
        <f t="shared" si="87"/>
        <v>-232.21526819444455</v>
      </c>
      <c r="AB529" s="339">
        <f t="shared" si="88"/>
        <v>-0.22306647969805826</v>
      </c>
    </row>
    <row r="530" spans="2:28" ht="20.100000000000001" customHeight="1">
      <c r="B530" s="172">
        <v>1175000</v>
      </c>
      <c r="C530" s="174">
        <v>44490</v>
      </c>
      <c r="D530" s="181" t="s">
        <v>178</v>
      </c>
      <c r="E530" s="173" t="s">
        <v>33</v>
      </c>
      <c r="F530" s="176">
        <v>971.0483333333334</v>
      </c>
      <c r="G530" s="175">
        <f t="shared" si="90"/>
        <v>6</v>
      </c>
      <c r="H530" s="175">
        <f t="shared" si="83"/>
        <v>971.0483333333334</v>
      </c>
      <c r="I530" s="177">
        <f>IF(G530=0,0,IF(E530="MXN",1/HLOOKUP(YEAR(C530)+(MONTH(C530)/100),TC!$5:$37,DAY(C530)+2,FALSE),VLOOKUP(E530,Equivalencia!$5:$23,((MAX(Equivalencia!$3:$3)-YEAR(C530))*14)+MONTH(C530)+2,FALSE)))</f>
        <v>1</v>
      </c>
      <c r="J530" s="178">
        <f t="shared" si="91"/>
        <v>971.0483333333334</v>
      </c>
      <c r="K530" s="462">
        <f>IF(C530=0,0,VLOOKUP(YEAR(C530),INPC!$B$4:$O$29,MONTH(C530)+1))</f>
        <v>115.56100000000001</v>
      </c>
      <c r="L530" s="462">
        <f>IF(S530=0,0,VLOOKUP(YEAR(S530),INPC!$B$4:$O$29,MONTH(S530)+1))</f>
        <v>122.94799999999999</v>
      </c>
      <c r="M530" s="463">
        <f t="shared" si="84"/>
        <v>1.0639000000000001</v>
      </c>
      <c r="N530" s="465">
        <f t="shared" si="92"/>
        <v>1033.0983218333336</v>
      </c>
      <c r="O530" s="179"/>
      <c r="P530" s="180">
        <v>6</v>
      </c>
      <c r="Q530" s="173" t="s">
        <v>583</v>
      </c>
      <c r="R530" s="173" t="s">
        <v>230</v>
      </c>
      <c r="S530" s="174">
        <v>44743</v>
      </c>
      <c r="T530" s="173" t="s">
        <v>33</v>
      </c>
      <c r="U530" s="182">
        <v>761.14</v>
      </c>
      <c r="V530" s="177">
        <f>IF(U530=0,0,IF(T530="MXN",1/HLOOKUP(YEAR(S530)+(MONTH(S530)/100),TC!$5:$37,DAY(S530)+2,FALSE),VLOOKUP(T530,Equivalencia!$1:$23,((MAX(Equivalencia!$3:$3)-YEAR(S530))*14)+MONTH(S530)+2,FALSE)))</f>
        <v>1</v>
      </c>
      <c r="W530" s="178">
        <f t="shared" si="89"/>
        <v>761.14</v>
      </c>
      <c r="X530" s="481">
        <f t="shared" si="85"/>
        <v>-209.90833333333342</v>
      </c>
      <c r="Y530" s="179"/>
      <c r="Z530" s="466">
        <f t="shared" si="86"/>
        <v>1033.0983218333336</v>
      </c>
      <c r="AA530" s="473">
        <f t="shared" si="87"/>
        <v>-271.95832183333357</v>
      </c>
      <c r="AB530" s="339">
        <f t="shared" si="88"/>
        <v>-0.2161667201598273</v>
      </c>
    </row>
    <row r="531" spans="2:28" ht="20.100000000000001" customHeight="1">
      <c r="B531" s="172">
        <v>1175000</v>
      </c>
      <c r="C531" s="174">
        <v>44490</v>
      </c>
      <c r="D531" s="181" t="s">
        <v>178</v>
      </c>
      <c r="E531" s="173" t="s">
        <v>33</v>
      </c>
      <c r="F531" s="176">
        <v>485.5241666666667</v>
      </c>
      <c r="G531" s="175">
        <f t="shared" si="90"/>
        <v>3</v>
      </c>
      <c r="H531" s="175">
        <f t="shared" si="83"/>
        <v>485.5241666666667</v>
      </c>
      <c r="I531" s="177">
        <f>IF(G531=0,0,IF(E531="MXN",1/HLOOKUP(YEAR(C531)+(MONTH(C531)/100),TC!$5:$37,DAY(C531)+2,FALSE),VLOOKUP(E531,Equivalencia!$5:$23,((MAX(Equivalencia!$3:$3)-YEAR(C531))*14)+MONTH(C531)+2,FALSE)))</f>
        <v>1</v>
      </c>
      <c r="J531" s="178">
        <f t="shared" si="91"/>
        <v>485.5241666666667</v>
      </c>
      <c r="K531" s="462">
        <f>IF(C531=0,0,VLOOKUP(YEAR(C531),INPC!$B$4:$O$29,MONTH(C531)+1))</f>
        <v>115.56100000000001</v>
      </c>
      <c r="L531" s="462">
        <f>IF(S531=0,0,VLOOKUP(YEAR(S531),INPC!$B$4:$O$29,MONTH(S531)+1))</f>
        <v>122.94799999999999</v>
      </c>
      <c r="M531" s="463">
        <f t="shared" si="84"/>
        <v>1.0639000000000001</v>
      </c>
      <c r="N531" s="465">
        <f t="shared" si="92"/>
        <v>516.54916091666678</v>
      </c>
      <c r="O531" s="179"/>
      <c r="P531" s="180">
        <v>3</v>
      </c>
      <c r="Q531" s="173" t="s">
        <v>583</v>
      </c>
      <c r="R531" s="173" t="s">
        <v>230</v>
      </c>
      <c r="S531" s="174">
        <v>44747</v>
      </c>
      <c r="T531" s="173" t="s">
        <v>33</v>
      </c>
      <c r="U531" s="182">
        <v>372.18</v>
      </c>
      <c r="V531" s="177">
        <f>IF(U531=0,0,IF(T531="MXN",1/HLOOKUP(YEAR(S531)+(MONTH(S531)/100),TC!$5:$37,DAY(S531)+2,FALSE),VLOOKUP(T531,Equivalencia!$1:$23,((MAX(Equivalencia!$3:$3)-YEAR(S531))*14)+MONTH(S531)+2,FALSE)))</f>
        <v>1</v>
      </c>
      <c r="W531" s="178">
        <f t="shared" si="89"/>
        <v>372.18</v>
      </c>
      <c r="X531" s="481">
        <f t="shared" si="85"/>
        <v>-113.34416666666669</v>
      </c>
      <c r="Y531" s="179"/>
      <c r="Z531" s="466">
        <f t="shared" si="86"/>
        <v>516.54916091666678</v>
      </c>
      <c r="AA531" s="473">
        <f t="shared" si="87"/>
        <v>-144.36916091666677</v>
      </c>
      <c r="AB531" s="339">
        <f t="shared" si="88"/>
        <v>-0.23344701345109842</v>
      </c>
    </row>
    <row r="532" spans="2:28" ht="20.100000000000001" customHeight="1">
      <c r="B532" s="172">
        <v>1175000</v>
      </c>
      <c r="C532" s="174">
        <v>44490</v>
      </c>
      <c r="D532" s="181" t="s">
        <v>178</v>
      </c>
      <c r="E532" s="173" t="s">
        <v>33</v>
      </c>
      <c r="F532" s="176">
        <v>809.2069444444445</v>
      </c>
      <c r="G532" s="175">
        <f t="shared" si="90"/>
        <v>5</v>
      </c>
      <c r="H532" s="175">
        <f t="shared" si="83"/>
        <v>809.2069444444445</v>
      </c>
      <c r="I532" s="177">
        <f>IF(G532=0,0,IF(E532="MXN",1/HLOOKUP(YEAR(C532)+(MONTH(C532)/100),TC!$5:$37,DAY(C532)+2,FALSE),VLOOKUP(E532,Equivalencia!$5:$23,((MAX(Equivalencia!$3:$3)-YEAR(C532))*14)+MONTH(C532)+2,FALSE)))</f>
        <v>1</v>
      </c>
      <c r="J532" s="178">
        <f t="shared" si="91"/>
        <v>809.2069444444445</v>
      </c>
      <c r="K532" s="462">
        <f>IF(C532=0,0,VLOOKUP(YEAR(C532),INPC!$B$4:$O$29,MONTH(C532)+1))</f>
        <v>115.56100000000001</v>
      </c>
      <c r="L532" s="462">
        <f>IF(S532=0,0,VLOOKUP(YEAR(S532),INPC!$B$4:$O$29,MONTH(S532)+1))</f>
        <v>122.94799999999999</v>
      </c>
      <c r="M532" s="463">
        <f t="shared" si="84"/>
        <v>1.0639000000000001</v>
      </c>
      <c r="N532" s="465">
        <f t="shared" si="92"/>
        <v>860.91526819444459</v>
      </c>
      <c r="O532" s="179"/>
      <c r="P532" s="180">
        <v>5</v>
      </c>
      <c r="Q532" s="173" t="s">
        <v>583</v>
      </c>
      <c r="R532" s="173" t="s">
        <v>230</v>
      </c>
      <c r="S532" s="174">
        <v>44764</v>
      </c>
      <c r="T532" s="173" t="s">
        <v>33</v>
      </c>
      <c r="U532" s="182">
        <v>686.16</v>
      </c>
      <c r="V532" s="177">
        <f>IF(U532=0,0,IF(T532="MXN",1/HLOOKUP(YEAR(S532)+(MONTH(S532)/100),TC!$5:$37,DAY(S532)+2,FALSE),VLOOKUP(T532,Equivalencia!$1:$23,((MAX(Equivalencia!$3:$3)-YEAR(S532))*14)+MONTH(S532)+2,FALSE)))</f>
        <v>1</v>
      </c>
      <c r="W532" s="178">
        <f t="shared" si="89"/>
        <v>686.16</v>
      </c>
      <c r="X532" s="481">
        <f t="shared" si="85"/>
        <v>-123.04694444444453</v>
      </c>
      <c r="Y532" s="179"/>
      <c r="Z532" s="466">
        <f t="shared" si="86"/>
        <v>860.91526819444459</v>
      </c>
      <c r="AA532" s="473">
        <f t="shared" si="87"/>
        <v>-174.75526819444462</v>
      </c>
      <c r="AB532" s="339">
        <f t="shared" si="88"/>
        <v>-0.15205868571595316</v>
      </c>
    </row>
    <row r="533" spans="2:28" ht="20.100000000000001" customHeight="1">
      <c r="B533" s="172">
        <v>1175000</v>
      </c>
      <c r="C533" s="174">
        <v>44490</v>
      </c>
      <c r="D533" s="181" t="s">
        <v>178</v>
      </c>
      <c r="E533" s="173" t="s">
        <v>33</v>
      </c>
      <c r="F533" s="176">
        <v>485.5241666666667</v>
      </c>
      <c r="G533" s="175">
        <f t="shared" si="90"/>
        <v>3</v>
      </c>
      <c r="H533" s="175">
        <f t="shared" si="83"/>
        <v>485.5241666666667</v>
      </c>
      <c r="I533" s="177">
        <f>IF(G533=0,0,IF(E533="MXN",1/HLOOKUP(YEAR(C533)+(MONTH(C533)/100),TC!$5:$37,DAY(C533)+2,FALSE),VLOOKUP(E533,Equivalencia!$5:$23,((MAX(Equivalencia!$3:$3)-YEAR(C533))*14)+MONTH(C533)+2,FALSE)))</f>
        <v>1</v>
      </c>
      <c r="J533" s="178">
        <f t="shared" si="91"/>
        <v>485.5241666666667</v>
      </c>
      <c r="K533" s="462">
        <f>IF(C533=0,0,VLOOKUP(YEAR(C533),INPC!$B$4:$O$29,MONTH(C533)+1))</f>
        <v>115.56100000000001</v>
      </c>
      <c r="L533" s="462">
        <f>IF(S533=0,0,VLOOKUP(YEAR(S533),INPC!$B$4:$O$29,MONTH(S533)+1))</f>
        <v>122.94799999999999</v>
      </c>
      <c r="M533" s="463">
        <f t="shared" si="84"/>
        <v>1.0639000000000001</v>
      </c>
      <c r="N533" s="465">
        <f t="shared" si="92"/>
        <v>516.54916091666678</v>
      </c>
      <c r="O533" s="179"/>
      <c r="P533" s="180">
        <v>3</v>
      </c>
      <c r="Q533" s="173" t="s">
        <v>583</v>
      </c>
      <c r="R533" s="173" t="s">
        <v>230</v>
      </c>
      <c r="S533" s="174">
        <v>44764</v>
      </c>
      <c r="T533" s="173" t="s">
        <v>33</v>
      </c>
      <c r="U533" s="182">
        <v>410.75400000000002</v>
      </c>
      <c r="V533" s="177">
        <f>IF(U533=0,0,IF(T533="MXN",1/HLOOKUP(YEAR(S533)+(MONTH(S533)/100),TC!$5:$37,DAY(S533)+2,FALSE),VLOOKUP(T533,Equivalencia!$1:$23,((MAX(Equivalencia!$3:$3)-YEAR(S533))*14)+MONTH(S533)+2,FALSE)))</f>
        <v>1</v>
      </c>
      <c r="W533" s="178">
        <f t="shared" si="89"/>
        <v>410.75400000000002</v>
      </c>
      <c r="X533" s="481">
        <f t="shared" si="85"/>
        <v>-74.770166666666682</v>
      </c>
      <c r="Y533" s="179"/>
      <c r="Z533" s="466">
        <f t="shared" si="86"/>
        <v>516.54916091666678</v>
      </c>
      <c r="AA533" s="473">
        <f t="shared" si="87"/>
        <v>-105.79516091666676</v>
      </c>
      <c r="AB533" s="339">
        <f t="shared" si="88"/>
        <v>-0.15399885690550941</v>
      </c>
    </row>
    <row r="534" spans="2:28" ht="20.100000000000001" customHeight="1">
      <c r="B534" s="172">
        <v>1175000</v>
      </c>
      <c r="C534" s="174">
        <v>44497</v>
      </c>
      <c r="D534" s="181" t="s">
        <v>178</v>
      </c>
      <c r="E534" s="173" t="s">
        <v>33</v>
      </c>
      <c r="F534" s="176">
        <v>328.31</v>
      </c>
      <c r="G534" s="175">
        <f t="shared" si="90"/>
        <v>2</v>
      </c>
      <c r="H534" s="175">
        <f t="shared" si="83"/>
        <v>328.31</v>
      </c>
      <c r="I534" s="177">
        <f>IF(G534=0,0,IF(E534="MXN",1/HLOOKUP(YEAR(C534)+(MONTH(C534)/100),TC!$5:$37,DAY(C534)+2,FALSE),VLOOKUP(E534,Equivalencia!$5:$23,((MAX(Equivalencia!$3:$3)-YEAR(C534))*14)+MONTH(C534)+2,FALSE)))</f>
        <v>1</v>
      </c>
      <c r="J534" s="178">
        <f t="shared" si="91"/>
        <v>328.31</v>
      </c>
      <c r="K534" s="462">
        <f>IF(C534=0,0,VLOOKUP(YEAR(C534),INPC!$B$4:$O$29,MONTH(C534)+1))</f>
        <v>115.56100000000001</v>
      </c>
      <c r="L534" s="462">
        <f>IF(S534=0,0,VLOOKUP(YEAR(S534),INPC!$B$4:$O$29,MONTH(S534)+1))</f>
        <v>122.94799999999999</v>
      </c>
      <c r="M534" s="463">
        <f t="shared" si="84"/>
        <v>1.0639000000000001</v>
      </c>
      <c r="N534" s="465">
        <f t="shared" si="92"/>
        <v>349.28900900000002</v>
      </c>
      <c r="O534" s="179"/>
      <c r="P534" s="180">
        <v>2</v>
      </c>
      <c r="Q534" s="173" t="s">
        <v>583</v>
      </c>
      <c r="R534" s="173" t="s">
        <v>230</v>
      </c>
      <c r="S534" s="174">
        <v>44764</v>
      </c>
      <c r="T534" s="173" t="s">
        <v>33</v>
      </c>
      <c r="U534" s="182">
        <v>273.83600000000001</v>
      </c>
      <c r="V534" s="177">
        <f>IF(U534=0,0,IF(T534="MXN",1/HLOOKUP(YEAR(S534)+(MONTH(S534)/100),TC!$5:$37,DAY(S534)+2,FALSE),VLOOKUP(T534,Equivalencia!$1:$23,((MAX(Equivalencia!$3:$3)-YEAR(S534))*14)+MONTH(S534)+2,FALSE)))</f>
        <v>1</v>
      </c>
      <c r="W534" s="178">
        <f t="shared" si="89"/>
        <v>273.83600000000001</v>
      </c>
      <c r="X534" s="481">
        <f t="shared" si="85"/>
        <v>-54.47399999999999</v>
      </c>
      <c r="Y534" s="179"/>
      <c r="Z534" s="466">
        <f t="shared" si="86"/>
        <v>349.28900900000002</v>
      </c>
      <c r="AA534" s="473">
        <f t="shared" si="87"/>
        <v>-75.453009000000009</v>
      </c>
      <c r="AB534" s="339">
        <f t="shared" si="88"/>
        <v>-0.16592245134171968</v>
      </c>
    </row>
    <row r="535" spans="2:28" ht="20.100000000000001" customHeight="1">
      <c r="B535" s="172">
        <v>1175000</v>
      </c>
      <c r="C535" s="174">
        <v>44497</v>
      </c>
      <c r="D535" s="181" t="s">
        <v>178</v>
      </c>
      <c r="E535" s="173" t="s">
        <v>33</v>
      </c>
      <c r="F535" s="176">
        <v>656.62</v>
      </c>
      <c r="G535" s="175">
        <f t="shared" si="90"/>
        <v>4</v>
      </c>
      <c r="H535" s="175">
        <f t="shared" si="83"/>
        <v>656.62</v>
      </c>
      <c r="I535" s="177">
        <f>IF(G535=0,0,IF(E535="MXN",1/HLOOKUP(YEAR(C535)+(MONTH(C535)/100),TC!$5:$37,DAY(C535)+2,FALSE),VLOOKUP(E535,Equivalencia!$5:$23,((MAX(Equivalencia!$3:$3)-YEAR(C535))*14)+MONTH(C535)+2,FALSE)))</f>
        <v>1</v>
      </c>
      <c r="J535" s="178">
        <f t="shared" si="91"/>
        <v>656.62</v>
      </c>
      <c r="K535" s="462">
        <f>IF(C535=0,0,VLOOKUP(YEAR(C535),INPC!$B$4:$O$29,MONTH(C535)+1))</f>
        <v>115.56100000000001</v>
      </c>
      <c r="L535" s="462">
        <f>IF(S535=0,0,VLOOKUP(YEAR(S535),INPC!$B$4:$O$29,MONTH(S535)+1))</f>
        <v>122.94799999999999</v>
      </c>
      <c r="M535" s="463">
        <f t="shared" si="84"/>
        <v>1.0639000000000001</v>
      </c>
      <c r="N535" s="465">
        <f t="shared" si="92"/>
        <v>698.57801800000004</v>
      </c>
      <c r="O535" s="179"/>
      <c r="P535" s="180">
        <v>4</v>
      </c>
      <c r="Q535" s="173" t="s">
        <v>583</v>
      </c>
      <c r="R535" s="173" t="s">
        <v>230</v>
      </c>
      <c r="S535" s="174">
        <v>44764</v>
      </c>
      <c r="T535" s="173" t="s">
        <v>33</v>
      </c>
      <c r="U535" s="182">
        <v>549.55999999999995</v>
      </c>
      <c r="V535" s="177">
        <f>IF(U535=0,0,IF(T535="MXN",1/HLOOKUP(YEAR(S535)+(MONTH(S535)/100),TC!$5:$37,DAY(S535)+2,FALSE),VLOOKUP(T535,Equivalencia!$1:$23,((MAX(Equivalencia!$3:$3)-YEAR(S535))*14)+MONTH(S535)+2,FALSE)))</f>
        <v>1</v>
      </c>
      <c r="W535" s="178">
        <f t="shared" si="89"/>
        <v>549.55999999999995</v>
      </c>
      <c r="X535" s="481">
        <f t="shared" si="85"/>
        <v>-107.06000000000006</v>
      </c>
      <c r="Y535" s="179"/>
      <c r="Z535" s="466">
        <f t="shared" si="86"/>
        <v>698.57801800000004</v>
      </c>
      <c r="AA535" s="473">
        <f t="shared" si="87"/>
        <v>-149.0180180000001</v>
      </c>
      <c r="AB535" s="339">
        <f t="shared" si="88"/>
        <v>-0.16304712009990563</v>
      </c>
    </row>
    <row r="536" spans="2:28" ht="20.100000000000001" customHeight="1">
      <c r="B536" s="172">
        <v>1175000</v>
      </c>
      <c r="C536" s="174">
        <v>44497</v>
      </c>
      <c r="D536" s="181" t="s">
        <v>178</v>
      </c>
      <c r="E536" s="173" t="s">
        <v>33</v>
      </c>
      <c r="F536" s="176">
        <v>656.53</v>
      </c>
      <c r="G536" s="175">
        <f t="shared" si="90"/>
        <v>4</v>
      </c>
      <c r="H536" s="175">
        <f t="shared" si="83"/>
        <v>656.53</v>
      </c>
      <c r="I536" s="177">
        <f>IF(G536=0,0,IF(E536="MXN",1/HLOOKUP(YEAR(C536)+(MONTH(C536)/100),TC!$5:$37,DAY(C536)+2,FALSE),VLOOKUP(E536,Equivalencia!$5:$23,((MAX(Equivalencia!$3:$3)-YEAR(C536))*14)+MONTH(C536)+2,FALSE)))</f>
        <v>1</v>
      </c>
      <c r="J536" s="178">
        <f t="shared" si="91"/>
        <v>656.53</v>
      </c>
      <c r="K536" s="462">
        <f>IF(C536=0,0,VLOOKUP(YEAR(C536),INPC!$B$4:$O$29,MONTH(C536)+1))</f>
        <v>115.56100000000001</v>
      </c>
      <c r="L536" s="462">
        <f>IF(S536=0,0,VLOOKUP(YEAR(S536),INPC!$B$4:$O$29,MONTH(S536)+1))</f>
        <v>122.94799999999999</v>
      </c>
      <c r="M536" s="463">
        <f t="shared" si="84"/>
        <v>1.0639000000000001</v>
      </c>
      <c r="N536" s="465">
        <f t="shared" si="92"/>
        <v>698.48226699999998</v>
      </c>
      <c r="O536" s="179"/>
      <c r="P536" s="180">
        <v>4</v>
      </c>
      <c r="Q536" s="173" t="s">
        <v>583</v>
      </c>
      <c r="R536" s="173" t="s">
        <v>230</v>
      </c>
      <c r="S536" s="174">
        <v>44764</v>
      </c>
      <c r="T536" s="173" t="s">
        <v>33</v>
      </c>
      <c r="U536" s="182">
        <v>545.51294117647058</v>
      </c>
      <c r="V536" s="177">
        <f>IF(U536=0,0,IF(T536="MXN",1/HLOOKUP(YEAR(S536)+(MONTH(S536)/100),TC!$5:$37,DAY(S536)+2,FALSE),VLOOKUP(T536,Equivalencia!$1:$23,((MAX(Equivalencia!$3:$3)-YEAR(S536))*14)+MONTH(S536)+2,FALSE)))</f>
        <v>1</v>
      </c>
      <c r="W536" s="178">
        <f t="shared" si="89"/>
        <v>545.51294117647058</v>
      </c>
      <c r="X536" s="481">
        <f t="shared" si="85"/>
        <v>-111.0170588235294</v>
      </c>
      <c r="Y536" s="179"/>
      <c r="Z536" s="466">
        <f t="shared" si="86"/>
        <v>698.48226699999998</v>
      </c>
      <c r="AA536" s="473">
        <f t="shared" si="87"/>
        <v>-152.9693258235294</v>
      </c>
      <c r="AB536" s="339">
        <f t="shared" si="88"/>
        <v>-0.16909670361374107</v>
      </c>
    </row>
    <row r="537" spans="2:28" ht="20.100000000000001" customHeight="1">
      <c r="B537" s="172">
        <v>1175000</v>
      </c>
      <c r="C537" s="174">
        <v>44497</v>
      </c>
      <c r="D537" s="181" t="s">
        <v>178</v>
      </c>
      <c r="E537" s="173" t="s">
        <v>33</v>
      </c>
      <c r="F537" s="176">
        <v>1803.76</v>
      </c>
      <c r="G537" s="175">
        <f t="shared" si="90"/>
        <v>11</v>
      </c>
      <c r="H537" s="175">
        <f t="shared" si="83"/>
        <v>1803.76</v>
      </c>
      <c r="I537" s="177">
        <f>IF(G537=0,0,IF(E537="MXN",1/HLOOKUP(YEAR(C537)+(MONTH(C537)/100),TC!$5:$37,DAY(C537)+2,FALSE),VLOOKUP(E537,Equivalencia!$5:$23,((MAX(Equivalencia!$3:$3)-YEAR(C537))*14)+MONTH(C537)+2,FALSE)))</f>
        <v>1</v>
      </c>
      <c r="J537" s="178">
        <f t="shared" si="91"/>
        <v>1803.76</v>
      </c>
      <c r="K537" s="462">
        <f>IF(C537=0,0,VLOOKUP(YEAR(C537),INPC!$B$4:$O$29,MONTH(C537)+1))</f>
        <v>115.56100000000001</v>
      </c>
      <c r="L537" s="462">
        <f>IF(S537=0,0,VLOOKUP(YEAR(S537),INPC!$B$4:$O$29,MONTH(S537)+1))</f>
        <v>122.94799999999999</v>
      </c>
      <c r="M537" s="463">
        <f t="shared" si="84"/>
        <v>1.0639000000000001</v>
      </c>
      <c r="N537" s="465">
        <f t="shared" si="92"/>
        <v>1919.0202640000002</v>
      </c>
      <c r="O537" s="179"/>
      <c r="P537" s="180">
        <v>11</v>
      </c>
      <c r="Q537" s="173" t="s">
        <v>583</v>
      </c>
      <c r="R537" s="173" t="s">
        <v>230</v>
      </c>
      <c r="S537" s="174">
        <v>44764</v>
      </c>
      <c r="T537" s="173" t="s">
        <v>33</v>
      </c>
      <c r="U537" s="182">
        <v>1500.1605882352942</v>
      </c>
      <c r="V537" s="177">
        <f>IF(U537=0,0,IF(T537="MXN",1/HLOOKUP(YEAR(S537)+(MONTH(S537)/100),TC!$5:$37,DAY(S537)+2,FALSE),VLOOKUP(T537,Equivalencia!$1:$23,((MAX(Equivalencia!$3:$3)-YEAR(S537))*14)+MONTH(S537)+2,FALSE)))</f>
        <v>1</v>
      </c>
      <c r="W537" s="178">
        <f t="shared" si="89"/>
        <v>1500.1605882352942</v>
      </c>
      <c r="X537" s="481">
        <f t="shared" si="85"/>
        <v>-303.59941176470579</v>
      </c>
      <c r="Y537" s="179"/>
      <c r="Z537" s="466">
        <f t="shared" si="86"/>
        <v>1919.0202640000002</v>
      </c>
      <c r="AA537" s="473">
        <f t="shared" si="87"/>
        <v>-418.85967576470603</v>
      </c>
      <c r="AB537" s="339">
        <f t="shared" si="88"/>
        <v>-0.16831474906013322</v>
      </c>
    </row>
    <row r="538" spans="2:28" ht="20.100000000000001" customHeight="1">
      <c r="B538" s="172">
        <v>1175000</v>
      </c>
      <c r="C538" s="174">
        <v>44497</v>
      </c>
      <c r="D538" s="181" t="s">
        <v>178</v>
      </c>
      <c r="E538" s="173" t="s">
        <v>33</v>
      </c>
      <c r="F538" s="176">
        <v>329.19448275862067</v>
      </c>
      <c r="G538" s="175">
        <f t="shared" si="90"/>
        <v>2</v>
      </c>
      <c r="H538" s="175">
        <f t="shared" si="83"/>
        <v>329.19448275862067</v>
      </c>
      <c r="I538" s="177">
        <f>IF(G538=0,0,IF(E538="MXN",1/HLOOKUP(YEAR(C538)+(MONTH(C538)/100),TC!$5:$37,DAY(C538)+2,FALSE),VLOOKUP(E538,Equivalencia!$5:$23,((MAX(Equivalencia!$3:$3)-YEAR(C538))*14)+MONTH(C538)+2,FALSE)))</f>
        <v>1</v>
      </c>
      <c r="J538" s="178">
        <f t="shared" si="91"/>
        <v>329.19448275862067</v>
      </c>
      <c r="K538" s="462">
        <f>IF(C538=0,0,VLOOKUP(YEAR(C538),INPC!$B$4:$O$29,MONTH(C538)+1))</f>
        <v>115.56100000000001</v>
      </c>
      <c r="L538" s="462">
        <f>IF(S538=0,0,VLOOKUP(YEAR(S538),INPC!$B$4:$O$29,MONTH(S538)+1))</f>
        <v>122.94799999999999</v>
      </c>
      <c r="M538" s="463">
        <f t="shared" si="84"/>
        <v>1.0639000000000001</v>
      </c>
      <c r="N538" s="465">
        <f t="shared" si="92"/>
        <v>350.23001020689657</v>
      </c>
      <c r="O538" s="179"/>
      <c r="P538" s="180">
        <v>2</v>
      </c>
      <c r="Q538" s="173" t="s">
        <v>583</v>
      </c>
      <c r="R538" s="173" t="s">
        <v>230</v>
      </c>
      <c r="S538" s="174">
        <v>44764</v>
      </c>
      <c r="T538" s="173" t="s">
        <v>33</v>
      </c>
      <c r="U538" s="182">
        <v>272.75647058823529</v>
      </c>
      <c r="V538" s="177">
        <f>IF(U538=0,0,IF(T538="MXN",1/HLOOKUP(YEAR(S538)+(MONTH(S538)/100),TC!$5:$37,DAY(S538)+2,FALSE),VLOOKUP(T538,Equivalencia!$1:$23,((MAX(Equivalencia!$3:$3)-YEAR(S538))*14)+MONTH(S538)+2,FALSE)))</f>
        <v>1</v>
      </c>
      <c r="W538" s="178">
        <f t="shared" si="89"/>
        <v>272.75647058823529</v>
      </c>
      <c r="X538" s="481">
        <f t="shared" si="85"/>
        <v>-56.438012170385377</v>
      </c>
      <c r="Y538" s="179"/>
      <c r="Z538" s="466">
        <f t="shared" si="86"/>
        <v>350.23001020689657</v>
      </c>
      <c r="AA538" s="473">
        <f t="shared" si="87"/>
        <v>-77.473539618661277</v>
      </c>
      <c r="AB538" s="339">
        <f t="shared" si="88"/>
        <v>-0.17144276446385076</v>
      </c>
    </row>
    <row r="539" spans="2:28" ht="20.100000000000001" customHeight="1">
      <c r="B539" s="172">
        <v>1175000</v>
      </c>
      <c r="C539" s="174">
        <v>44497</v>
      </c>
      <c r="D539" s="181" t="s">
        <v>178</v>
      </c>
      <c r="E539" s="173" t="s">
        <v>33</v>
      </c>
      <c r="F539" s="176">
        <v>1152.1806896551723</v>
      </c>
      <c r="G539" s="175">
        <f t="shared" si="90"/>
        <v>7</v>
      </c>
      <c r="H539" s="175">
        <f t="shared" si="83"/>
        <v>1152.1806896551723</v>
      </c>
      <c r="I539" s="177">
        <f>IF(G539=0,0,IF(E539="MXN",1/HLOOKUP(YEAR(C539)+(MONTH(C539)/100),TC!$5:$37,DAY(C539)+2,FALSE),VLOOKUP(E539,Equivalencia!$5:$23,((MAX(Equivalencia!$3:$3)-YEAR(C539))*14)+MONTH(C539)+2,FALSE)))</f>
        <v>1</v>
      </c>
      <c r="J539" s="178">
        <f t="shared" si="91"/>
        <v>1152.1806896551723</v>
      </c>
      <c r="K539" s="462">
        <f>IF(C539=0,0,VLOOKUP(YEAR(C539),INPC!$B$4:$O$29,MONTH(C539)+1))</f>
        <v>115.56100000000001</v>
      </c>
      <c r="L539" s="462">
        <f>IF(S539=0,0,VLOOKUP(YEAR(S539),INPC!$B$4:$O$29,MONTH(S539)+1))</f>
        <v>122.94799999999999</v>
      </c>
      <c r="M539" s="463">
        <f t="shared" si="84"/>
        <v>1.0639000000000001</v>
      </c>
      <c r="N539" s="465">
        <f t="shared" si="92"/>
        <v>1225.805035724138</v>
      </c>
      <c r="O539" s="179"/>
      <c r="P539" s="180">
        <v>7</v>
      </c>
      <c r="Q539" s="173" t="s">
        <v>583</v>
      </c>
      <c r="R539" s="173" t="s">
        <v>230</v>
      </c>
      <c r="S539" s="174">
        <v>44764</v>
      </c>
      <c r="T539" s="173" t="s">
        <v>33</v>
      </c>
      <c r="U539" s="182">
        <v>956.46</v>
      </c>
      <c r="V539" s="177">
        <f>IF(U539=0,0,IF(T539="MXN",1/HLOOKUP(YEAR(S539)+(MONTH(S539)/100),TC!$5:$37,DAY(S539)+2,FALSE),VLOOKUP(T539,Equivalencia!$1:$23,((MAX(Equivalencia!$3:$3)-YEAR(S539))*14)+MONTH(S539)+2,FALSE)))</f>
        <v>1</v>
      </c>
      <c r="W539" s="178">
        <f t="shared" si="89"/>
        <v>956.46</v>
      </c>
      <c r="X539" s="481">
        <f t="shared" si="85"/>
        <v>-195.72068965517224</v>
      </c>
      <c r="Y539" s="179"/>
      <c r="Z539" s="466">
        <f t="shared" si="86"/>
        <v>1225.805035724138</v>
      </c>
      <c r="AA539" s="473">
        <f t="shared" si="87"/>
        <v>-269.34503572413792</v>
      </c>
      <c r="AB539" s="339">
        <f t="shared" si="88"/>
        <v>-0.16986978814386144</v>
      </c>
    </row>
    <row r="540" spans="2:28" ht="20.100000000000001" customHeight="1">
      <c r="B540" s="172">
        <v>1175000</v>
      </c>
      <c r="C540" s="174">
        <v>44636</v>
      </c>
      <c r="D540" s="181" t="s">
        <v>232</v>
      </c>
      <c r="E540" s="173" t="s">
        <v>33</v>
      </c>
      <c r="F540" s="176">
        <v>6525.0225000000009</v>
      </c>
      <c r="G540" s="175">
        <f t="shared" si="90"/>
        <v>9</v>
      </c>
      <c r="H540" s="175">
        <f t="shared" si="83"/>
        <v>6525.0225000000009</v>
      </c>
      <c r="I540" s="177">
        <f>IF(G540=0,0,IF(E540="MXN",1/HLOOKUP(YEAR(C540)+(MONTH(C540)/100),TC!$5:$37,DAY(C540)+2,FALSE),VLOOKUP(E540,Equivalencia!$5:$23,((MAX(Equivalencia!$3:$3)-YEAR(C540))*14)+MONTH(C540)+2,FALSE)))</f>
        <v>1</v>
      </c>
      <c r="J540" s="178">
        <f t="shared" si="91"/>
        <v>6525.0225000000009</v>
      </c>
      <c r="K540" s="462">
        <f>IF(C540=0,0,VLOOKUP(YEAR(C540),INPC!$B$4:$O$29,MONTH(C540)+1))</f>
        <v>120.15900000000001</v>
      </c>
      <c r="L540" s="462">
        <f>IF(S540=0,0,VLOOKUP(YEAR(S540),INPC!$B$4:$O$29,MONTH(S540)+1))</f>
        <v>122.94799999999999</v>
      </c>
      <c r="M540" s="463">
        <f t="shared" si="84"/>
        <v>1.0232000000000001</v>
      </c>
      <c r="N540" s="465">
        <f t="shared" si="92"/>
        <v>6676.4030220000013</v>
      </c>
      <c r="O540" s="179"/>
      <c r="P540" s="180">
        <v>9</v>
      </c>
      <c r="Q540" s="173" t="s">
        <v>583</v>
      </c>
      <c r="R540" s="173" t="s">
        <v>230</v>
      </c>
      <c r="S540" s="174">
        <v>44761</v>
      </c>
      <c r="T540" s="173" t="s">
        <v>33</v>
      </c>
      <c r="U540" s="182">
        <v>5623.6711764705888</v>
      </c>
      <c r="V540" s="177">
        <f>IF(U540=0,0,IF(T540="MXN",1/HLOOKUP(YEAR(S540)+(MONTH(S540)/100),TC!$5:$37,DAY(S540)+2,FALSE),VLOOKUP(T540,Equivalencia!$1:$23,((MAX(Equivalencia!$3:$3)-YEAR(S540))*14)+MONTH(S540)+2,FALSE)))</f>
        <v>1</v>
      </c>
      <c r="W540" s="178">
        <f t="shared" si="89"/>
        <v>5623.6711764705888</v>
      </c>
      <c r="X540" s="481">
        <f t="shared" si="85"/>
        <v>-901.35132352941218</v>
      </c>
      <c r="Y540" s="179"/>
      <c r="Z540" s="466">
        <f t="shared" si="86"/>
        <v>6676.4030220000013</v>
      </c>
      <c r="AA540" s="473">
        <f t="shared" si="87"/>
        <v>-1052.7318455294126</v>
      </c>
      <c r="AB540" s="339">
        <f t="shared" si="88"/>
        <v>-0.1381376575374893</v>
      </c>
    </row>
    <row r="541" spans="2:28" ht="20.100000000000001" customHeight="1">
      <c r="B541" s="172">
        <v>1175000</v>
      </c>
      <c r="C541" s="174">
        <v>44643</v>
      </c>
      <c r="D541" s="181" t="s">
        <v>232</v>
      </c>
      <c r="E541" s="173" t="s">
        <v>33</v>
      </c>
      <c r="F541" s="176">
        <v>2938.8</v>
      </c>
      <c r="G541" s="175">
        <f t="shared" si="90"/>
        <v>4</v>
      </c>
      <c r="H541" s="175">
        <f t="shared" si="83"/>
        <v>2938.8</v>
      </c>
      <c r="I541" s="177">
        <f>IF(G541=0,0,IF(E541="MXN",1/HLOOKUP(YEAR(C541)+(MONTH(C541)/100),TC!$5:$37,DAY(C541)+2,FALSE),VLOOKUP(E541,Equivalencia!$5:$23,((MAX(Equivalencia!$3:$3)-YEAR(C541))*14)+MONTH(C541)+2,FALSE)))</f>
        <v>1</v>
      </c>
      <c r="J541" s="178">
        <f t="shared" si="91"/>
        <v>2938.8</v>
      </c>
      <c r="K541" s="462">
        <f>IF(C541=0,0,VLOOKUP(YEAR(C541),INPC!$B$4:$O$29,MONTH(C541)+1))</f>
        <v>120.15900000000001</v>
      </c>
      <c r="L541" s="462">
        <f>IF(S541=0,0,VLOOKUP(YEAR(S541),INPC!$B$4:$O$29,MONTH(S541)+1))</f>
        <v>122.94799999999999</v>
      </c>
      <c r="M541" s="463">
        <f t="shared" si="84"/>
        <v>1.0232000000000001</v>
      </c>
      <c r="N541" s="465">
        <f t="shared" si="92"/>
        <v>3006.9801600000005</v>
      </c>
      <c r="O541" s="179"/>
      <c r="P541" s="180">
        <v>4</v>
      </c>
      <c r="Q541" s="173" t="s">
        <v>583</v>
      </c>
      <c r="R541" s="173" t="s">
        <v>230</v>
      </c>
      <c r="S541" s="174">
        <v>44761</v>
      </c>
      <c r="T541" s="173" t="s">
        <v>33</v>
      </c>
      <c r="U541" s="182">
        <v>2499.409411764706</v>
      </c>
      <c r="V541" s="177">
        <f>IF(U541=0,0,IF(T541="MXN",1/HLOOKUP(YEAR(S541)+(MONTH(S541)/100),TC!$5:$37,DAY(S541)+2,FALSE),VLOOKUP(T541,Equivalencia!$1:$23,((MAX(Equivalencia!$3:$3)-YEAR(S541))*14)+MONTH(S541)+2,FALSE)))</f>
        <v>1</v>
      </c>
      <c r="W541" s="178">
        <f t="shared" si="89"/>
        <v>2499.409411764706</v>
      </c>
      <c r="X541" s="481">
        <f t="shared" si="85"/>
        <v>-439.39058823529422</v>
      </c>
      <c r="Y541" s="179"/>
      <c r="Z541" s="466">
        <f t="shared" si="86"/>
        <v>3006.9801600000005</v>
      </c>
      <c r="AA541" s="473">
        <f t="shared" si="87"/>
        <v>-507.57074823529456</v>
      </c>
      <c r="AB541" s="339">
        <f t="shared" si="88"/>
        <v>-0.14951360699445149</v>
      </c>
    </row>
    <row r="542" spans="2:28" ht="20.100000000000001" customHeight="1">
      <c r="B542" s="172">
        <v>1175000</v>
      </c>
      <c r="C542" s="174">
        <v>44643</v>
      </c>
      <c r="D542" s="181" t="s">
        <v>232</v>
      </c>
      <c r="E542" s="173" t="s">
        <v>33</v>
      </c>
      <c r="F542" s="176">
        <v>2943.8923076923074</v>
      </c>
      <c r="G542" s="175">
        <f t="shared" si="90"/>
        <v>4</v>
      </c>
      <c r="H542" s="175">
        <f t="shared" si="83"/>
        <v>2943.8923076923074</v>
      </c>
      <c r="I542" s="177">
        <f>IF(G542=0,0,IF(E542="MXN",1/HLOOKUP(YEAR(C542)+(MONTH(C542)/100),TC!$5:$37,DAY(C542)+2,FALSE),VLOOKUP(E542,Equivalencia!$5:$23,((MAX(Equivalencia!$3:$3)-YEAR(C542))*14)+MONTH(C542)+2,FALSE)))</f>
        <v>1</v>
      </c>
      <c r="J542" s="178">
        <f t="shared" si="91"/>
        <v>2943.8923076923074</v>
      </c>
      <c r="K542" s="462">
        <f>IF(C542=0,0,VLOOKUP(YEAR(C542),INPC!$B$4:$O$29,MONTH(C542)+1))</f>
        <v>120.15900000000001</v>
      </c>
      <c r="L542" s="462">
        <f>IF(S542=0,0,VLOOKUP(YEAR(S542),INPC!$B$4:$O$29,MONTH(S542)+1))</f>
        <v>122.94799999999999</v>
      </c>
      <c r="M542" s="463">
        <f t="shared" si="84"/>
        <v>1.0232000000000001</v>
      </c>
      <c r="N542" s="465">
        <f t="shared" si="92"/>
        <v>3012.1906092307695</v>
      </c>
      <c r="O542" s="179"/>
      <c r="P542" s="180">
        <v>4</v>
      </c>
      <c r="Q542" s="173" t="s">
        <v>583</v>
      </c>
      <c r="R542" s="173" t="s">
        <v>230</v>
      </c>
      <c r="S542" s="174">
        <v>44761</v>
      </c>
      <c r="T542" s="173" t="s">
        <v>33</v>
      </c>
      <c r="U542" s="182">
        <v>2499.409411764706</v>
      </c>
      <c r="V542" s="177">
        <f>IF(U542=0,0,IF(T542="MXN",1/HLOOKUP(YEAR(S542)+(MONTH(S542)/100),TC!$5:$37,DAY(S542)+2,FALSE),VLOOKUP(T542,Equivalencia!$1:$23,((MAX(Equivalencia!$3:$3)-YEAR(S542))*14)+MONTH(S542)+2,FALSE)))</f>
        <v>1</v>
      </c>
      <c r="W542" s="178">
        <f t="shared" si="89"/>
        <v>2499.409411764706</v>
      </c>
      <c r="X542" s="481">
        <f t="shared" si="85"/>
        <v>-444.48289592760148</v>
      </c>
      <c r="Y542" s="179"/>
      <c r="Z542" s="466">
        <f t="shared" si="86"/>
        <v>3012.1906092307695</v>
      </c>
      <c r="AA542" s="473">
        <f t="shared" si="87"/>
        <v>-512.78119746606353</v>
      </c>
      <c r="AB542" s="339">
        <f t="shared" si="88"/>
        <v>-0.15098476760382173</v>
      </c>
    </row>
    <row r="543" spans="2:28" ht="20.100000000000001" customHeight="1">
      <c r="B543" s="172">
        <v>1175000</v>
      </c>
      <c r="C543" s="174">
        <v>44643</v>
      </c>
      <c r="D543" s="181" t="s">
        <v>232</v>
      </c>
      <c r="E543" s="173" t="s">
        <v>33</v>
      </c>
      <c r="F543" s="176">
        <v>1471.9461538461537</v>
      </c>
      <c r="G543" s="175">
        <f t="shared" si="90"/>
        <v>2</v>
      </c>
      <c r="H543" s="175">
        <f t="shared" si="83"/>
        <v>1471.9461538461537</v>
      </c>
      <c r="I543" s="177">
        <f>IF(G543=0,0,IF(E543="MXN",1/HLOOKUP(YEAR(C543)+(MONTH(C543)/100),TC!$5:$37,DAY(C543)+2,FALSE),VLOOKUP(E543,Equivalencia!$5:$23,((MAX(Equivalencia!$3:$3)-YEAR(C543))*14)+MONTH(C543)+2,FALSE)))</f>
        <v>1</v>
      </c>
      <c r="J543" s="178">
        <f t="shared" si="91"/>
        <v>1471.9461538461537</v>
      </c>
      <c r="K543" s="462">
        <f>IF(C543=0,0,VLOOKUP(YEAR(C543),INPC!$B$4:$O$29,MONTH(C543)+1))</f>
        <v>120.15900000000001</v>
      </c>
      <c r="L543" s="462">
        <f>IF(S543=0,0,VLOOKUP(YEAR(S543),INPC!$B$4:$O$29,MONTH(S543)+1))</f>
        <v>122.94799999999999</v>
      </c>
      <c r="M543" s="463">
        <f t="shared" si="84"/>
        <v>1.0232000000000001</v>
      </c>
      <c r="N543" s="465">
        <f t="shared" si="92"/>
        <v>1506.0953046153847</v>
      </c>
      <c r="O543" s="179"/>
      <c r="P543" s="180">
        <v>2</v>
      </c>
      <c r="Q543" s="173" t="s">
        <v>583</v>
      </c>
      <c r="R543" s="173" t="s">
        <v>230</v>
      </c>
      <c r="S543" s="174">
        <v>44761</v>
      </c>
      <c r="T543" s="173" t="s">
        <v>33</v>
      </c>
      <c r="U543" s="182">
        <v>1252.54</v>
      </c>
      <c r="V543" s="177">
        <f>IF(U543=0,0,IF(T543="MXN",1/HLOOKUP(YEAR(S543)+(MONTH(S543)/100),TC!$5:$37,DAY(S543)+2,FALSE),VLOOKUP(T543,Equivalencia!$1:$23,((MAX(Equivalencia!$3:$3)-YEAR(S543))*14)+MONTH(S543)+2,FALSE)))</f>
        <v>1</v>
      </c>
      <c r="W543" s="178">
        <f t="shared" si="89"/>
        <v>1252.54</v>
      </c>
      <c r="X543" s="481">
        <f t="shared" si="85"/>
        <v>-219.40615384615376</v>
      </c>
      <c r="Y543" s="179"/>
      <c r="Z543" s="466">
        <f t="shared" si="86"/>
        <v>1506.0953046153847</v>
      </c>
      <c r="AA543" s="473">
        <f t="shared" si="87"/>
        <v>-253.55530461538478</v>
      </c>
      <c r="AB543" s="339">
        <f t="shared" si="88"/>
        <v>-0.14905854624698855</v>
      </c>
    </row>
    <row r="544" spans="2:28" ht="20.100000000000001" customHeight="1">
      <c r="B544" s="172">
        <v>1175000</v>
      </c>
      <c r="C544" s="174">
        <v>44585</v>
      </c>
      <c r="D544" s="181" t="s">
        <v>174</v>
      </c>
      <c r="E544" s="173" t="s">
        <v>33</v>
      </c>
      <c r="F544" s="176">
        <v>70.346382978723412</v>
      </c>
      <c r="G544" s="175">
        <f t="shared" si="90"/>
        <v>2</v>
      </c>
      <c r="H544" s="175">
        <f t="shared" si="83"/>
        <v>70.346382978723412</v>
      </c>
      <c r="I544" s="177">
        <f>IF(G544=0,0,IF(E544="MXN",1/HLOOKUP(YEAR(C544)+(MONTH(C544)/100),TC!$5:$37,DAY(C544)+2,FALSE),VLOOKUP(E544,Equivalencia!$5:$23,((MAX(Equivalencia!$3:$3)-YEAR(C544))*14)+MONTH(C544)+2,FALSE)))</f>
        <v>1</v>
      </c>
      <c r="J544" s="178">
        <f t="shared" si="91"/>
        <v>70.346382978723412</v>
      </c>
      <c r="K544" s="462">
        <f>IF(C544=0,0,VLOOKUP(YEAR(C544),INPC!$B$4:$O$29,MONTH(C544)+1))</f>
        <v>118.002</v>
      </c>
      <c r="L544" s="462">
        <f>IF(S544=0,0,VLOOKUP(YEAR(S544),INPC!$B$4:$O$29,MONTH(S544)+1))</f>
        <v>122.94799999999999</v>
      </c>
      <c r="M544" s="463">
        <f t="shared" si="84"/>
        <v>1.0419</v>
      </c>
      <c r="N544" s="465">
        <f t="shared" si="92"/>
        <v>73.293896425531926</v>
      </c>
      <c r="O544" s="179"/>
      <c r="P544" s="180">
        <v>2</v>
      </c>
      <c r="Q544" s="173" t="s">
        <v>583</v>
      </c>
      <c r="R544" s="173" t="s">
        <v>230</v>
      </c>
      <c r="S544" s="174">
        <v>44764</v>
      </c>
      <c r="T544" s="173" t="s">
        <v>33</v>
      </c>
      <c r="U544" s="182">
        <v>68.69</v>
      </c>
      <c r="V544" s="177">
        <f>IF(U544=0,0,IF(T544="MXN",1/HLOOKUP(YEAR(S544)+(MONTH(S544)/100),TC!$5:$37,DAY(S544)+2,FALSE),VLOOKUP(T544,Equivalencia!$1:$23,((MAX(Equivalencia!$3:$3)-YEAR(S544))*14)+MONTH(S544)+2,FALSE)))</f>
        <v>1</v>
      </c>
      <c r="W544" s="178">
        <f t="shared" si="89"/>
        <v>68.69</v>
      </c>
      <c r="X544" s="481">
        <f t="shared" si="85"/>
        <v>-1.6563829787234141</v>
      </c>
      <c r="Y544" s="179"/>
      <c r="Z544" s="466">
        <f t="shared" si="86"/>
        <v>73.293896425531926</v>
      </c>
      <c r="AA544" s="473">
        <f t="shared" si="87"/>
        <v>-4.6038964255319286</v>
      </c>
      <c r="AB544" s="339">
        <f t="shared" si="88"/>
        <v>-2.3546100148807869E-2</v>
      </c>
    </row>
    <row r="545" spans="2:28" ht="20.100000000000001" customHeight="1">
      <c r="B545" s="172">
        <v>1175000</v>
      </c>
      <c r="C545" s="174">
        <v>44585</v>
      </c>
      <c r="D545" s="181" t="s">
        <v>174</v>
      </c>
      <c r="E545" s="173" t="s">
        <v>33</v>
      </c>
      <c r="F545" s="176">
        <v>175.86595744680852</v>
      </c>
      <c r="G545" s="175">
        <f t="shared" si="90"/>
        <v>5</v>
      </c>
      <c r="H545" s="175">
        <f t="shared" si="83"/>
        <v>175.86595744680852</v>
      </c>
      <c r="I545" s="177">
        <f>IF(G545=0,0,IF(E545="MXN",1/HLOOKUP(YEAR(C545)+(MONTH(C545)/100),TC!$5:$37,DAY(C545)+2,FALSE),VLOOKUP(E545,Equivalencia!$5:$23,((MAX(Equivalencia!$3:$3)-YEAR(C545))*14)+MONTH(C545)+2,FALSE)))</f>
        <v>1</v>
      </c>
      <c r="J545" s="178">
        <f t="shared" si="91"/>
        <v>175.86595744680852</v>
      </c>
      <c r="K545" s="462">
        <f>IF(C545=0,0,VLOOKUP(YEAR(C545),INPC!$B$4:$O$29,MONTH(C545)+1))</f>
        <v>118.002</v>
      </c>
      <c r="L545" s="462">
        <f>IF(S545=0,0,VLOOKUP(YEAR(S545),INPC!$B$4:$O$29,MONTH(S545)+1))</f>
        <v>122.94799999999999</v>
      </c>
      <c r="M545" s="463">
        <f t="shared" si="84"/>
        <v>1.0419</v>
      </c>
      <c r="N545" s="465">
        <f t="shared" si="92"/>
        <v>183.2347410638298</v>
      </c>
      <c r="O545" s="179"/>
      <c r="P545" s="180">
        <v>5</v>
      </c>
      <c r="Q545" s="173" t="s">
        <v>583</v>
      </c>
      <c r="R545" s="173" t="s">
        <v>230</v>
      </c>
      <c r="S545" s="174">
        <v>44764</v>
      </c>
      <c r="T545" s="173" t="s">
        <v>33</v>
      </c>
      <c r="U545" s="182">
        <v>171.24</v>
      </c>
      <c r="V545" s="177">
        <f>IF(U545=0,0,IF(T545="MXN",1/HLOOKUP(YEAR(S545)+(MONTH(S545)/100),TC!$5:$37,DAY(S545)+2,FALSE),VLOOKUP(T545,Equivalencia!$1:$23,((MAX(Equivalencia!$3:$3)-YEAR(S545))*14)+MONTH(S545)+2,FALSE)))</f>
        <v>1</v>
      </c>
      <c r="W545" s="178">
        <f t="shared" si="89"/>
        <v>171.24</v>
      </c>
      <c r="X545" s="481">
        <f t="shared" si="85"/>
        <v>-4.6259574468085134</v>
      </c>
      <c r="Y545" s="179"/>
      <c r="Z545" s="466">
        <f t="shared" si="86"/>
        <v>183.2347410638298</v>
      </c>
      <c r="AA545" s="473">
        <f t="shared" si="87"/>
        <v>-11.994741063829792</v>
      </c>
      <c r="AB545" s="339">
        <f t="shared" si="88"/>
        <v>-2.6303882308818416E-2</v>
      </c>
    </row>
    <row r="546" spans="2:28" ht="20.100000000000001" customHeight="1">
      <c r="B546" s="172">
        <v>1175000</v>
      </c>
      <c r="C546" s="174">
        <v>44585</v>
      </c>
      <c r="D546" s="181" t="s">
        <v>174</v>
      </c>
      <c r="E546" s="173" t="s">
        <v>33</v>
      </c>
      <c r="F546" s="176">
        <v>773.81021276595754</v>
      </c>
      <c r="G546" s="175">
        <f t="shared" si="90"/>
        <v>22</v>
      </c>
      <c r="H546" s="175">
        <f t="shared" si="83"/>
        <v>773.81021276595754</v>
      </c>
      <c r="I546" s="177">
        <f>IF(G546=0,0,IF(E546="MXN",1/HLOOKUP(YEAR(C546)+(MONTH(C546)/100),TC!$5:$37,DAY(C546)+2,FALSE),VLOOKUP(E546,Equivalencia!$5:$23,((MAX(Equivalencia!$3:$3)-YEAR(C546))*14)+MONTH(C546)+2,FALSE)))</f>
        <v>1</v>
      </c>
      <c r="J546" s="178">
        <f t="shared" si="91"/>
        <v>773.81021276595754</v>
      </c>
      <c r="K546" s="462">
        <f>IF(C546=0,0,VLOOKUP(YEAR(C546),INPC!$B$4:$O$29,MONTH(C546)+1))</f>
        <v>118.002</v>
      </c>
      <c r="L546" s="462">
        <f>IF(S546=0,0,VLOOKUP(YEAR(S546),INPC!$B$4:$O$29,MONTH(S546)+1))</f>
        <v>122.94799999999999</v>
      </c>
      <c r="M546" s="463">
        <f t="shared" si="84"/>
        <v>1.0419</v>
      </c>
      <c r="N546" s="465">
        <f t="shared" si="92"/>
        <v>806.23286068085122</v>
      </c>
      <c r="O546" s="179"/>
      <c r="P546" s="180">
        <v>22</v>
      </c>
      <c r="Q546" s="173" t="s">
        <v>583</v>
      </c>
      <c r="R546" s="173" t="s">
        <v>230</v>
      </c>
      <c r="S546" s="174">
        <v>44764</v>
      </c>
      <c r="T546" s="173" t="s">
        <v>33</v>
      </c>
      <c r="U546" s="182">
        <v>753.1795652173912</v>
      </c>
      <c r="V546" s="177">
        <f>IF(U546=0,0,IF(T546="MXN",1/HLOOKUP(YEAR(S546)+(MONTH(S546)/100),TC!$5:$37,DAY(S546)+2,FALSE),VLOOKUP(T546,Equivalencia!$1:$23,((MAX(Equivalencia!$3:$3)-YEAR(S546))*14)+MONTH(S546)+2,FALSE)))</f>
        <v>1</v>
      </c>
      <c r="W546" s="178">
        <f t="shared" si="89"/>
        <v>753.1795652173912</v>
      </c>
      <c r="X546" s="481">
        <f t="shared" si="85"/>
        <v>-20.630647548566344</v>
      </c>
      <c r="Y546" s="179"/>
      <c r="Z546" s="466">
        <f t="shared" si="86"/>
        <v>806.23286068085122</v>
      </c>
      <c r="AA546" s="473">
        <f t="shared" si="87"/>
        <v>-53.053295463460017</v>
      </c>
      <c r="AB546" s="339">
        <f t="shared" si="88"/>
        <v>-2.6661120786740211E-2</v>
      </c>
    </row>
    <row r="547" spans="2:28" ht="20.100000000000001" customHeight="1">
      <c r="B547" s="172">
        <v>1175000</v>
      </c>
      <c r="C547" s="174">
        <v>44585</v>
      </c>
      <c r="D547" s="181" t="s">
        <v>174</v>
      </c>
      <c r="E547" s="173" t="s">
        <v>33</v>
      </c>
      <c r="F547" s="176">
        <v>69</v>
      </c>
      <c r="G547" s="175">
        <f t="shared" si="90"/>
        <v>2</v>
      </c>
      <c r="H547" s="175">
        <f t="shared" si="83"/>
        <v>69</v>
      </c>
      <c r="I547" s="177">
        <f>IF(G547=0,0,IF(E547="MXN",1/HLOOKUP(YEAR(C547)+(MONTH(C547)/100),TC!$5:$37,DAY(C547)+2,FALSE),VLOOKUP(E547,Equivalencia!$5:$23,((MAX(Equivalencia!$3:$3)-YEAR(C547))*14)+MONTH(C547)+2,FALSE)))</f>
        <v>1</v>
      </c>
      <c r="J547" s="178">
        <f t="shared" si="91"/>
        <v>69</v>
      </c>
      <c r="K547" s="462">
        <f>IF(C547=0,0,VLOOKUP(YEAR(C547),INPC!$B$4:$O$29,MONTH(C547)+1))</f>
        <v>118.002</v>
      </c>
      <c r="L547" s="462">
        <f>IF(S547=0,0,VLOOKUP(YEAR(S547),INPC!$B$4:$O$29,MONTH(S547)+1))</f>
        <v>122.94799999999999</v>
      </c>
      <c r="M547" s="463">
        <f t="shared" si="84"/>
        <v>1.0419</v>
      </c>
      <c r="N547" s="465">
        <f t="shared" si="92"/>
        <v>71.891100000000009</v>
      </c>
      <c r="O547" s="179"/>
      <c r="P547" s="180">
        <v>2</v>
      </c>
      <c r="Q547" s="173" t="s">
        <v>583</v>
      </c>
      <c r="R547" s="173" t="s">
        <v>230</v>
      </c>
      <c r="S547" s="174">
        <v>44764</v>
      </c>
      <c r="T547" s="173" t="s">
        <v>33</v>
      </c>
      <c r="U547" s="182">
        <v>68.470869565217384</v>
      </c>
      <c r="V547" s="177">
        <f>IF(U547=0,0,IF(T547="MXN",1/HLOOKUP(YEAR(S547)+(MONTH(S547)/100),TC!$5:$37,DAY(S547)+2,FALSE),VLOOKUP(T547,Equivalencia!$1:$23,((MAX(Equivalencia!$3:$3)-YEAR(S547))*14)+MONTH(S547)+2,FALSE)))</f>
        <v>1</v>
      </c>
      <c r="W547" s="178">
        <f t="shared" si="89"/>
        <v>68.470869565217384</v>
      </c>
      <c r="X547" s="481">
        <f t="shared" si="85"/>
        <v>-0.52913043478261557</v>
      </c>
      <c r="Y547" s="179"/>
      <c r="Z547" s="466">
        <f t="shared" si="86"/>
        <v>71.891100000000009</v>
      </c>
      <c r="AA547" s="473">
        <f t="shared" si="87"/>
        <v>-3.4202304347826242</v>
      </c>
      <c r="AB547" s="339">
        <f t="shared" si="88"/>
        <v>-7.6685570258350211E-3</v>
      </c>
    </row>
    <row r="548" spans="2:28" ht="20.100000000000001" customHeight="1">
      <c r="B548" s="172">
        <v>1175000</v>
      </c>
      <c r="C548" s="174">
        <v>44586</v>
      </c>
      <c r="D548" s="181" t="s">
        <v>174</v>
      </c>
      <c r="E548" s="173" t="s">
        <v>33</v>
      </c>
      <c r="F548" s="176">
        <v>382.33</v>
      </c>
      <c r="G548" s="175">
        <f t="shared" si="90"/>
        <v>11</v>
      </c>
      <c r="H548" s="175">
        <f t="shared" si="83"/>
        <v>382.33</v>
      </c>
      <c r="I548" s="177">
        <f>IF(G548=0,0,IF(E548="MXN",1/HLOOKUP(YEAR(C548)+(MONTH(C548)/100),TC!$5:$37,DAY(C548)+2,FALSE),VLOOKUP(E548,Equivalencia!$5:$23,((MAX(Equivalencia!$3:$3)-YEAR(C548))*14)+MONTH(C548)+2,FALSE)))</f>
        <v>1</v>
      </c>
      <c r="J548" s="178">
        <f t="shared" si="91"/>
        <v>382.33</v>
      </c>
      <c r="K548" s="462">
        <f>IF(C548=0,0,VLOOKUP(YEAR(C548),INPC!$B$4:$O$29,MONTH(C548)+1))</f>
        <v>118.002</v>
      </c>
      <c r="L548" s="462">
        <f>IF(S548=0,0,VLOOKUP(YEAR(S548),INPC!$B$4:$O$29,MONTH(S548)+1))</f>
        <v>122.94799999999999</v>
      </c>
      <c r="M548" s="463">
        <f t="shared" si="84"/>
        <v>1.0419</v>
      </c>
      <c r="N548" s="465">
        <f t="shared" si="92"/>
        <v>398.349627</v>
      </c>
      <c r="O548" s="179"/>
      <c r="P548" s="180">
        <v>11</v>
      </c>
      <c r="Q548" s="173" t="s">
        <v>583</v>
      </c>
      <c r="R548" s="173" t="s">
        <v>230</v>
      </c>
      <c r="S548" s="174">
        <v>44764</v>
      </c>
      <c r="T548" s="173" t="s">
        <v>33</v>
      </c>
      <c r="U548" s="182">
        <v>376.5897826086956</v>
      </c>
      <c r="V548" s="177">
        <f>IF(U548=0,0,IF(T548="MXN",1/HLOOKUP(YEAR(S548)+(MONTH(S548)/100),TC!$5:$37,DAY(S548)+2,FALSE),VLOOKUP(T548,Equivalencia!$1:$23,((MAX(Equivalencia!$3:$3)-YEAR(S548))*14)+MONTH(S548)+2,FALSE)))</f>
        <v>1</v>
      </c>
      <c r="W548" s="178">
        <f t="shared" si="89"/>
        <v>376.5897826086956</v>
      </c>
      <c r="X548" s="481">
        <f t="shared" si="85"/>
        <v>-5.7402173913043839</v>
      </c>
      <c r="Y548" s="179"/>
      <c r="Z548" s="466">
        <f t="shared" si="86"/>
        <v>398.349627</v>
      </c>
      <c r="AA548" s="473">
        <f t="shared" si="87"/>
        <v>-21.759844391304398</v>
      </c>
      <c r="AB548" s="339">
        <f t="shared" si="88"/>
        <v>-1.5013777080805535E-2</v>
      </c>
    </row>
    <row r="549" spans="2:28" ht="20.100000000000001" customHeight="1">
      <c r="B549" s="172">
        <v>1175000</v>
      </c>
      <c r="C549" s="174">
        <v>44586</v>
      </c>
      <c r="D549" s="181" t="s">
        <v>174</v>
      </c>
      <c r="E549" s="173" t="s">
        <v>33</v>
      </c>
      <c r="F549" s="176">
        <v>386.11885714285717</v>
      </c>
      <c r="G549" s="175">
        <f t="shared" si="90"/>
        <v>11</v>
      </c>
      <c r="H549" s="175">
        <f t="shared" si="83"/>
        <v>386.11885714285717</v>
      </c>
      <c r="I549" s="177">
        <f>IF(G549=0,0,IF(E549="MXN",1/HLOOKUP(YEAR(C549)+(MONTH(C549)/100),TC!$5:$37,DAY(C549)+2,FALSE),VLOOKUP(E549,Equivalencia!$5:$23,((MAX(Equivalencia!$3:$3)-YEAR(C549))*14)+MONTH(C549)+2,FALSE)))</f>
        <v>1</v>
      </c>
      <c r="J549" s="178">
        <f t="shared" si="91"/>
        <v>386.11885714285717</v>
      </c>
      <c r="K549" s="462">
        <f>IF(C549=0,0,VLOOKUP(YEAR(C549),INPC!$B$4:$O$29,MONTH(C549)+1))</f>
        <v>118.002</v>
      </c>
      <c r="L549" s="462">
        <f>IF(S549=0,0,VLOOKUP(YEAR(S549),INPC!$B$4:$O$29,MONTH(S549)+1))</f>
        <v>122.94799999999999</v>
      </c>
      <c r="M549" s="463">
        <f t="shared" si="84"/>
        <v>1.0419</v>
      </c>
      <c r="N549" s="465">
        <f t="shared" si="92"/>
        <v>402.29723725714291</v>
      </c>
      <c r="O549" s="179"/>
      <c r="P549" s="180">
        <v>11</v>
      </c>
      <c r="Q549" s="173" t="s">
        <v>583</v>
      </c>
      <c r="R549" s="173" t="s">
        <v>230</v>
      </c>
      <c r="S549" s="174">
        <v>44764</v>
      </c>
      <c r="T549" s="173" t="s">
        <v>33</v>
      </c>
      <c r="U549" s="182">
        <v>376.5897826086956</v>
      </c>
      <c r="V549" s="177">
        <f>IF(U549=0,0,IF(T549="MXN",1/HLOOKUP(YEAR(S549)+(MONTH(S549)/100),TC!$5:$37,DAY(S549)+2,FALSE),VLOOKUP(T549,Equivalencia!$1:$23,((MAX(Equivalencia!$3:$3)-YEAR(S549))*14)+MONTH(S549)+2,FALSE)))</f>
        <v>1</v>
      </c>
      <c r="W549" s="178">
        <f t="shared" si="89"/>
        <v>376.5897826086956</v>
      </c>
      <c r="X549" s="481">
        <f t="shared" si="85"/>
        <v>-9.5290745341615661</v>
      </c>
      <c r="Y549" s="179"/>
      <c r="Z549" s="466">
        <f t="shared" si="86"/>
        <v>402.29723725714291</v>
      </c>
      <c r="AA549" s="473">
        <f t="shared" si="87"/>
        <v>-25.70745464844731</v>
      </c>
      <c r="AB549" s="339">
        <f t="shared" si="88"/>
        <v>-2.4679122394263064E-2</v>
      </c>
    </row>
    <row r="550" spans="2:28" ht="20.100000000000001" customHeight="1">
      <c r="B550" s="172">
        <v>1175000</v>
      </c>
      <c r="C550" s="174">
        <v>44586</v>
      </c>
      <c r="D550" s="181" t="s">
        <v>174</v>
      </c>
      <c r="E550" s="173" t="s">
        <v>33</v>
      </c>
      <c r="F550" s="176">
        <v>456.32228571428573</v>
      </c>
      <c r="G550" s="175">
        <f t="shared" si="90"/>
        <v>13</v>
      </c>
      <c r="H550" s="175">
        <f t="shared" si="83"/>
        <v>456.32228571428573</v>
      </c>
      <c r="I550" s="177">
        <f>IF(G550=0,0,IF(E550="MXN",1/HLOOKUP(YEAR(C550)+(MONTH(C550)/100),TC!$5:$37,DAY(C550)+2,FALSE),VLOOKUP(E550,Equivalencia!$5:$23,((MAX(Equivalencia!$3:$3)-YEAR(C550))*14)+MONTH(C550)+2,FALSE)))</f>
        <v>1</v>
      </c>
      <c r="J550" s="178">
        <f t="shared" si="91"/>
        <v>456.32228571428573</v>
      </c>
      <c r="K550" s="462">
        <f>IF(C550=0,0,VLOOKUP(YEAR(C550),INPC!$B$4:$O$29,MONTH(C550)+1))</f>
        <v>118.002</v>
      </c>
      <c r="L550" s="462">
        <f>IF(S550=0,0,VLOOKUP(YEAR(S550),INPC!$B$4:$O$29,MONTH(S550)+1))</f>
        <v>122.94799999999999</v>
      </c>
      <c r="M550" s="463">
        <f t="shared" si="84"/>
        <v>1.0419</v>
      </c>
      <c r="N550" s="465">
        <f t="shared" si="92"/>
        <v>475.44218948571432</v>
      </c>
      <c r="O550" s="179"/>
      <c r="P550" s="180">
        <v>13</v>
      </c>
      <c r="Q550" s="173" t="s">
        <v>583</v>
      </c>
      <c r="R550" s="173" t="s">
        <v>230</v>
      </c>
      <c r="S550" s="174">
        <v>44764</v>
      </c>
      <c r="T550" s="173" t="s">
        <v>33</v>
      </c>
      <c r="U550" s="182">
        <v>447.56000000000006</v>
      </c>
      <c r="V550" s="177">
        <f>IF(U550=0,0,IF(T550="MXN",1/HLOOKUP(YEAR(S550)+(MONTH(S550)/100),TC!$5:$37,DAY(S550)+2,FALSE),VLOOKUP(T550,Equivalencia!$1:$23,((MAX(Equivalencia!$3:$3)-YEAR(S550))*14)+MONTH(S550)+2,FALSE)))</f>
        <v>1</v>
      </c>
      <c r="W550" s="178">
        <f t="shared" si="89"/>
        <v>447.56000000000006</v>
      </c>
      <c r="X550" s="481">
        <f t="shared" si="85"/>
        <v>-8.7622857142856674</v>
      </c>
      <c r="Y550" s="179"/>
      <c r="Z550" s="466">
        <f t="shared" si="86"/>
        <v>475.44218948571432</v>
      </c>
      <c r="AA550" s="473">
        <f t="shared" si="87"/>
        <v>-27.882189485714264</v>
      </c>
      <c r="AB550" s="339">
        <f t="shared" si="88"/>
        <v>-1.9201967531719322E-2</v>
      </c>
    </row>
    <row r="551" spans="2:28" ht="20.100000000000001" customHeight="1">
      <c r="B551" s="172">
        <v>1175000</v>
      </c>
      <c r="C551" s="174">
        <v>44586</v>
      </c>
      <c r="D551" s="181" t="s">
        <v>174</v>
      </c>
      <c r="E551" s="173" t="s">
        <v>33</v>
      </c>
      <c r="F551" s="176">
        <v>105.30514285714287</v>
      </c>
      <c r="G551" s="175">
        <f t="shared" si="90"/>
        <v>3</v>
      </c>
      <c r="H551" s="175">
        <f t="shared" si="83"/>
        <v>105.30514285714287</v>
      </c>
      <c r="I551" s="177">
        <f>IF(G551=0,0,IF(E551="MXN",1/HLOOKUP(YEAR(C551)+(MONTH(C551)/100),TC!$5:$37,DAY(C551)+2,FALSE),VLOOKUP(E551,Equivalencia!$5:$23,((MAX(Equivalencia!$3:$3)-YEAR(C551))*14)+MONTH(C551)+2,FALSE)))</f>
        <v>1</v>
      </c>
      <c r="J551" s="178">
        <f t="shared" si="91"/>
        <v>105.30514285714287</v>
      </c>
      <c r="K551" s="462">
        <f>IF(C551=0,0,VLOOKUP(YEAR(C551),INPC!$B$4:$O$29,MONTH(C551)+1))</f>
        <v>118.002</v>
      </c>
      <c r="L551" s="462">
        <f>IF(S551=0,0,VLOOKUP(YEAR(S551),INPC!$B$4:$O$29,MONTH(S551)+1))</f>
        <v>122.94799999999999</v>
      </c>
      <c r="M551" s="463">
        <f t="shared" si="84"/>
        <v>1.0419</v>
      </c>
      <c r="N551" s="465">
        <f t="shared" si="92"/>
        <v>109.71742834285716</v>
      </c>
      <c r="O551" s="179"/>
      <c r="P551" s="180">
        <v>3</v>
      </c>
      <c r="Q551" s="173" t="s">
        <v>583</v>
      </c>
      <c r="R551" s="173" t="s">
        <v>230</v>
      </c>
      <c r="S551" s="174">
        <v>44764</v>
      </c>
      <c r="T551" s="173" t="s">
        <v>33</v>
      </c>
      <c r="U551" s="182">
        <v>103.15</v>
      </c>
      <c r="V551" s="177">
        <f>IF(U551=0,0,IF(T551="MXN",1/HLOOKUP(YEAR(S551)+(MONTH(S551)/100),TC!$5:$37,DAY(S551)+2,FALSE),VLOOKUP(T551,Equivalencia!$1:$23,((MAX(Equivalencia!$3:$3)-YEAR(S551))*14)+MONTH(S551)+2,FALSE)))</f>
        <v>1</v>
      </c>
      <c r="W551" s="178">
        <f t="shared" si="89"/>
        <v>103.15</v>
      </c>
      <c r="X551" s="481">
        <f t="shared" si="85"/>
        <v>-2.155142857142863</v>
      </c>
      <c r="Y551" s="179"/>
      <c r="Z551" s="466">
        <f t="shared" si="86"/>
        <v>109.71742834285716</v>
      </c>
      <c r="AA551" s="473">
        <f t="shared" si="87"/>
        <v>-6.5674283428571556</v>
      </c>
      <c r="AB551" s="339">
        <f t="shared" si="88"/>
        <v>-2.0465694254520272E-2</v>
      </c>
    </row>
    <row r="552" spans="2:28" ht="20.100000000000001" customHeight="1">
      <c r="B552" s="172">
        <v>1175000</v>
      </c>
      <c r="C552" s="174">
        <v>44586</v>
      </c>
      <c r="D552" s="181" t="s">
        <v>174</v>
      </c>
      <c r="E552" s="173" t="s">
        <v>33</v>
      </c>
      <c r="F552" s="176">
        <v>315.91542857142861</v>
      </c>
      <c r="G552" s="175">
        <f t="shared" si="90"/>
        <v>9</v>
      </c>
      <c r="H552" s="175">
        <f t="shared" si="83"/>
        <v>315.91542857142861</v>
      </c>
      <c r="I552" s="177">
        <f>IF(G552=0,0,IF(E552="MXN",1/HLOOKUP(YEAR(C552)+(MONTH(C552)/100),TC!$5:$37,DAY(C552)+2,FALSE),VLOOKUP(E552,Equivalencia!$5:$23,((MAX(Equivalencia!$3:$3)-YEAR(C552))*14)+MONTH(C552)+2,FALSE)))</f>
        <v>1</v>
      </c>
      <c r="J552" s="178">
        <f t="shared" si="91"/>
        <v>315.91542857142861</v>
      </c>
      <c r="K552" s="462">
        <f>IF(C552=0,0,VLOOKUP(YEAR(C552),INPC!$B$4:$O$29,MONTH(C552)+1))</f>
        <v>118.002</v>
      </c>
      <c r="L552" s="462">
        <f>IF(S552=0,0,VLOOKUP(YEAR(S552),INPC!$B$4:$O$29,MONTH(S552)+1))</f>
        <v>122.94799999999999</v>
      </c>
      <c r="M552" s="463">
        <f t="shared" si="84"/>
        <v>1.0419</v>
      </c>
      <c r="N552" s="465">
        <f t="shared" si="92"/>
        <v>329.1522850285715</v>
      </c>
      <c r="O552" s="179"/>
      <c r="P552" s="180">
        <v>9</v>
      </c>
      <c r="Q552" s="173" t="s">
        <v>583</v>
      </c>
      <c r="R552" s="173" t="s">
        <v>230</v>
      </c>
      <c r="S552" s="174">
        <v>44764</v>
      </c>
      <c r="T552" s="173" t="s">
        <v>33</v>
      </c>
      <c r="U552" s="182">
        <v>309.23</v>
      </c>
      <c r="V552" s="177">
        <f>IF(U552=0,0,IF(T552="MXN",1/HLOOKUP(YEAR(S552)+(MONTH(S552)/100),TC!$5:$37,DAY(S552)+2,FALSE),VLOOKUP(T552,Equivalencia!$1:$23,((MAX(Equivalencia!$3:$3)-YEAR(S552))*14)+MONTH(S552)+2,FALSE)))</f>
        <v>1</v>
      </c>
      <c r="W552" s="178">
        <f t="shared" si="89"/>
        <v>309.23</v>
      </c>
      <c r="X552" s="481">
        <f t="shared" si="85"/>
        <v>-6.6854285714285879</v>
      </c>
      <c r="Y552" s="179"/>
      <c r="Z552" s="466">
        <f t="shared" si="86"/>
        <v>329.1522850285715</v>
      </c>
      <c r="AA552" s="473">
        <f t="shared" si="87"/>
        <v>-19.92228502857148</v>
      </c>
      <c r="AB552" s="339">
        <f t="shared" si="88"/>
        <v>-2.1162083161497147E-2</v>
      </c>
    </row>
    <row r="553" spans="2:28" ht="20.100000000000001" customHeight="1">
      <c r="B553" s="172">
        <v>1175000</v>
      </c>
      <c r="C553" s="174">
        <v>44363</v>
      </c>
      <c r="D553" s="181" t="s">
        <v>177</v>
      </c>
      <c r="E553" s="173" t="s">
        <v>33</v>
      </c>
      <c r="F553" s="176">
        <v>2664.09</v>
      </c>
      <c r="G553" s="175">
        <f t="shared" si="90"/>
        <v>11</v>
      </c>
      <c r="H553" s="175">
        <f t="shared" si="83"/>
        <v>2664.09</v>
      </c>
      <c r="I553" s="177">
        <f>IF(G553=0,0,IF(E553="MXN",1/HLOOKUP(YEAR(C553)+(MONTH(C553)/100),TC!$5:$37,DAY(C553)+2,FALSE),VLOOKUP(E553,Equivalencia!$5:$23,((MAX(Equivalencia!$3:$3)-YEAR(C553))*14)+MONTH(C553)+2,FALSE)))</f>
        <v>1</v>
      </c>
      <c r="J553" s="178">
        <f t="shared" si="91"/>
        <v>2664.09</v>
      </c>
      <c r="K553" s="462">
        <f>IF(C553=0,0,VLOOKUP(YEAR(C553),INPC!$B$4:$O$29,MONTH(C553)+1))</f>
        <v>113.018</v>
      </c>
      <c r="L553" s="462">
        <f>IF(S553=0,0,VLOOKUP(YEAR(S553),INPC!$B$4:$O$29,MONTH(S553)+1))</f>
        <v>123.803</v>
      </c>
      <c r="M553" s="463">
        <f t="shared" si="84"/>
        <v>1.0953999999999999</v>
      </c>
      <c r="N553" s="465">
        <f t="shared" si="92"/>
        <v>2918.2441859999999</v>
      </c>
      <c r="O553" s="179"/>
      <c r="P553" s="180">
        <v>11</v>
      </c>
      <c r="Q553" s="173" t="s">
        <v>583</v>
      </c>
      <c r="R553" s="173" t="s">
        <v>230</v>
      </c>
      <c r="S553" s="174">
        <v>44783</v>
      </c>
      <c r="T553" s="173" t="s">
        <v>33</v>
      </c>
      <c r="U553" s="182">
        <v>2840.66</v>
      </c>
      <c r="V553" s="177">
        <f>IF(U553=0,0,IF(T553="MXN",1/HLOOKUP(YEAR(S553)+(MONTH(S553)/100),TC!$5:$37,DAY(S553)+2,FALSE),VLOOKUP(T553,Equivalencia!$1:$23,((MAX(Equivalencia!$3:$3)-YEAR(S553))*14)+MONTH(S553)+2,FALSE)))</f>
        <v>1</v>
      </c>
      <c r="W553" s="178">
        <f t="shared" si="89"/>
        <v>2840.66</v>
      </c>
      <c r="X553" s="481">
        <f t="shared" si="85"/>
        <v>176.56999999999971</v>
      </c>
      <c r="Y553" s="179"/>
      <c r="Z553" s="466">
        <f t="shared" si="86"/>
        <v>2918.2441859999999</v>
      </c>
      <c r="AA553" s="473">
        <f t="shared" si="87"/>
        <v>-77.584186000000045</v>
      </c>
      <c r="AB553" s="339">
        <f t="shared" si="88"/>
        <v>6.6277790915471924E-2</v>
      </c>
    </row>
    <row r="554" spans="2:28" ht="20.100000000000001" customHeight="1">
      <c r="B554" s="172">
        <v>1175000</v>
      </c>
      <c r="C554" s="174">
        <v>44363</v>
      </c>
      <c r="D554" s="181" t="s">
        <v>177</v>
      </c>
      <c r="E554" s="173" t="s">
        <v>33</v>
      </c>
      <c r="F554" s="176">
        <v>242.19</v>
      </c>
      <c r="G554" s="175">
        <f t="shared" si="90"/>
        <v>1</v>
      </c>
      <c r="H554" s="175">
        <f t="shared" si="83"/>
        <v>242.19</v>
      </c>
      <c r="I554" s="177">
        <f>IF(G554=0,0,IF(E554="MXN",1/HLOOKUP(YEAR(C554)+(MONTH(C554)/100),TC!$5:$37,DAY(C554)+2,FALSE),VLOOKUP(E554,Equivalencia!$5:$23,((MAX(Equivalencia!$3:$3)-YEAR(C554))*14)+MONTH(C554)+2,FALSE)))</f>
        <v>1</v>
      </c>
      <c r="J554" s="178">
        <f t="shared" si="91"/>
        <v>242.19</v>
      </c>
      <c r="K554" s="462">
        <f>IF(C554=0,0,VLOOKUP(YEAR(C554),INPC!$B$4:$O$29,MONTH(C554)+1))</f>
        <v>113.018</v>
      </c>
      <c r="L554" s="462">
        <f>IF(S554=0,0,VLOOKUP(YEAR(S554),INPC!$B$4:$O$29,MONTH(S554)+1))</f>
        <v>123.803</v>
      </c>
      <c r="M554" s="463">
        <f t="shared" si="84"/>
        <v>1.0953999999999999</v>
      </c>
      <c r="N554" s="465">
        <f t="shared" si="92"/>
        <v>265.29492599999998</v>
      </c>
      <c r="O554" s="179"/>
      <c r="P554" s="180">
        <v>1</v>
      </c>
      <c r="Q554" s="173" t="s">
        <v>583</v>
      </c>
      <c r="R554" s="173" t="s">
        <v>230</v>
      </c>
      <c r="S554" s="174">
        <v>44783</v>
      </c>
      <c r="T554" s="173" t="s">
        <v>33</v>
      </c>
      <c r="U554" s="182">
        <v>258.52999999999997</v>
      </c>
      <c r="V554" s="177">
        <f>IF(U554=0,0,IF(T554="MXN",1/HLOOKUP(YEAR(S554)+(MONTH(S554)/100),TC!$5:$37,DAY(S554)+2,FALSE),VLOOKUP(T554,Equivalencia!$1:$23,((MAX(Equivalencia!$3:$3)-YEAR(S554))*14)+MONTH(S554)+2,FALSE)))</f>
        <v>1</v>
      </c>
      <c r="W554" s="178">
        <f t="shared" si="89"/>
        <v>258.52999999999997</v>
      </c>
      <c r="X554" s="481">
        <f t="shared" si="85"/>
        <v>16.339999999999975</v>
      </c>
      <c r="Y554" s="179"/>
      <c r="Z554" s="466">
        <f t="shared" si="86"/>
        <v>265.29492599999998</v>
      </c>
      <c r="AA554" s="473">
        <f t="shared" si="87"/>
        <v>-6.7649260000000027</v>
      </c>
      <c r="AB554" s="339">
        <f t="shared" si="88"/>
        <v>6.7467690656096257E-2</v>
      </c>
    </row>
    <row r="555" spans="2:28" ht="20.100000000000001" customHeight="1">
      <c r="B555" s="172">
        <v>1175000</v>
      </c>
      <c r="C555" s="174">
        <v>44363</v>
      </c>
      <c r="D555" s="181" t="s">
        <v>177</v>
      </c>
      <c r="E555" s="173" t="s">
        <v>33</v>
      </c>
      <c r="F555" s="176">
        <v>1937.52</v>
      </c>
      <c r="G555" s="175">
        <f t="shared" si="90"/>
        <v>8</v>
      </c>
      <c r="H555" s="175">
        <f t="shared" si="83"/>
        <v>1937.52</v>
      </c>
      <c r="I555" s="177">
        <f>IF(G555=0,0,IF(E555="MXN",1/HLOOKUP(YEAR(C555)+(MONTH(C555)/100),TC!$5:$37,DAY(C555)+2,FALSE),VLOOKUP(E555,Equivalencia!$5:$23,((MAX(Equivalencia!$3:$3)-YEAR(C555))*14)+MONTH(C555)+2,FALSE)))</f>
        <v>1</v>
      </c>
      <c r="J555" s="178">
        <f t="shared" si="91"/>
        <v>1937.52</v>
      </c>
      <c r="K555" s="462">
        <f>IF(C555=0,0,VLOOKUP(YEAR(C555),INPC!$B$4:$O$29,MONTH(C555)+1))</f>
        <v>113.018</v>
      </c>
      <c r="L555" s="462">
        <f>IF(S555=0,0,VLOOKUP(YEAR(S555),INPC!$B$4:$O$29,MONTH(S555)+1))</f>
        <v>123.803</v>
      </c>
      <c r="M555" s="463">
        <f t="shared" si="84"/>
        <v>1.0953999999999999</v>
      </c>
      <c r="N555" s="465">
        <f t="shared" si="92"/>
        <v>2122.3594079999998</v>
      </c>
      <c r="O555" s="179"/>
      <c r="P555" s="180">
        <v>8</v>
      </c>
      <c r="Q555" s="173" t="s">
        <v>583</v>
      </c>
      <c r="R555" s="173" t="s">
        <v>230</v>
      </c>
      <c r="S555" s="174">
        <v>44784</v>
      </c>
      <c r="T555" s="173" t="s">
        <v>33</v>
      </c>
      <c r="U555" s="182">
        <v>2081.58</v>
      </c>
      <c r="V555" s="177">
        <f>IF(U555=0,0,IF(T555="MXN",1/HLOOKUP(YEAR(S555)+(MONTH(S555)/100),TC!$5:$37,DAY(S555)+2,FALSE),VLOOKUP(T555,Equivalencia!$1:$23,((MAX(Equivalencia!$3:$3)-YEAR(S555))*14)+MONTH(S555)+2,FALSE)))</f>
        <v>1</v>
      </c>
      <c r="W555" s="178">
        <f t="shared" si="89"/>
        <v>2081.58</v>
      </c>
      <c r="X555" s="481">
        <f t="shared" si="85"/>
        <v>144.05999999999995</v>
      </c>
      <c r="Y555" s="179"/>
      <c r="Z555" s="466">
        <f t="shared" si="86"/>
        <v>2122.3594079999998</v>
      </c>
      <c r="AA555" s="473">
        <f t="shared" si="87"/>
        <v>-40.779407999999876</v>
      </c>
      <c r="AB555" s="339">
        <f t="shared" si="88"/>
        <v>7.4352780874519908E-2</v>
      </c>
    </row>
    <row r="556" spans="2:28" ht="20.100000000000001" customHeight="1">
      <c r="B556" s="172">
        <v>1175000</v>
      </c>
      <c r="C556" s="174">
        <v>44370</v>
      </c>
      <c r="D556" s="181" t="s">
        <v>177</v>
      </c>
      <c r="E556" s="173" t="s">
        <v>33</v>
      </c>
      <c r="F556" s="176">
        <v>480.46</v>
      </c>
      <c r="G556" s="175">
        <f t="shared" si="90"/>
        <v>2</v>
      </c>
      <c r="H556" s="175">
        <f t="shared" si="83"/>
        <v>480.46</v>
      </c>
      <c r="I556" s="177">
        <f>IF(G556=0,0,IF(E556="MXN",1/HLOOKUP(YEAR(C556)+(MONTH(C556)/100),TC!$5:$37,DAY(C556)+2,FALSE),VLOOKUP(E556,Equivalencia!$5:$23,((MAX(Equivalencia!$3:$3)-YEAR(C556))*14)+MONTH(C556)+2,FALSE)))</f>
        <v>1</v>
      </c>
      <c r="J556" s="178">
        <f t="shared" si="91"/>
        <v>480.46</v>
      </c>
      <c r="K556" s="462">
        <f>IF(C556=0,0,VLOOKUP(YEAR(C556),INPC!$B$4:$O$29,MONTH(C556)+1))</f>
        <v>113.018</v>
      </c>
      <c r="L556" s="462">
        <f>IF(S556=0,0,VLOOKUP(YEAR(S556),INPC!$B$4:$O$29,MONTH(S556)+1))</f>
        <v>123.803</v>
      </c>
      <c r="M556" s="463">
        <f t="shared" si="84"/>
        <v>1.0953999999999999</v>
      </c>
      <c r="N556" s="465">
        <f t="shared" si="92"/>
        <v>526.29588399999989</v>
      </c>
      <c r="O556" s="179"/>
      <c r="P556" s="180">
        <v>2</v>
      </c>
      <c r="Q556" s="173" t="s">
        <v>583</v>
      </c>
      <c r="R556" s="173" t="s">
        <v>230</v>
      </c>
      <c r="S556" s="174">
        <v>44797</v>
      </c>
      <c r="T556" s="173" t="s">
        <v>33</v>
      </c>
      <c r="U556" s="182">
        <v>517.66599999999994</v>
      </c>
      <c r="V556" s="177">
        <f>IF(U556=0,0,IF(T556="MXN",1/HLOOKUP(YEAR(S556)+(MONTH(S556)/100),TC!$5:$37,DAY(S556)+2,FALSE),VLOOKUP(T556,Equivalencia!$1:$23,((MAX(Equivalencia!$3:$3)-YEAR(S556))*14)+MONTH(S556)+2,FALSE)))</f>
        <v>1</v>
      </c>
      <c r="W556" s="178">
        <f t="shared" si="89"/>
        <v>517.66599999999994</v>
      </c>
      <c r="X556" s="481">
        <f t="shared" si="85"/>
        <v>37.20599999999996</v>
      </c>
      <c r="Y556" s="179"/>
      <c r="Z556" s="466">
        <f t="shared" si="86"/>
        <v>526.29588399999989</v>
      </c>
      <c r="AA556" s="473">
        <f t="shared" si="87"/>
        <v>-8.6298839999999473</v>
      </c>
      <c r="AB556" s="339">
        <f t="shared" si="88"/>
        <v>7.7438288307039027E-2</v>
      </c>
    </row>
    <row r="557" spans="2:28" ht="20.100000000000001" customHeight="1">
      <c r="B557" s="172">
        <v>1175000</v>
      </c>
      <c r="C557" s="174">
        <v>44370</v>
      </c>
      <c r="D557" s="181" t="s">
        <v>177</v>
      </c>
      <c r="E557" s="173" t="s">
        <v>33</v>
      </c>
      <c r="F557" s="176">
        <v>4331.1085714285709</v>
      </c>
      <c r="G557" s="175">
        <f t="shared" si="90"/>
        <v>18</v>
      </c>
      <c r="H557" s="175">
        <f t="shared" si="83"/>
        <v>4331.1085714285709</v>
      </c>
      <c r="I557" s="177">
        <f>IF(G557=0,0,IF(E557="MXN",1/HLOOKUP(YEAR(C557)+(MONTH(C557)/100),TC!$5:$37,DAY(C557)+2,FALSE),VLOOKUP(E557,Equivalencia!$5:$23,((MAX(Equivalencia!$3:$3)-YEAR(C557))*14)+MONTH(C557)+2,FALSE)))</f>
        <v>1</v>
      </c>
      <c r="J557" s="178">
        <f t="shared" si="91"/>
        <v>4331.1085714285709</v>
      </c>
      <c r="K557" s="462">
        <f>IF(C557=0,0,VLOOKUP(YEAR(C557),INPC!$B$4:$O$29,MONTH(C557)+1))</f>
        <v>113.018</v>
      </c>
      <c r="L557" s="462">
        <f>IF(S557=0,0,VLOOKUP(YEAR(S557),INPC!$B$4:$O$29,MONTH(S557)+1))</f>
        <v>123.803</v>
      </c>
      <c r="M557" s="463">
        <f t="shared" si="84"/>
        <v>1.0953999999999999</v>
      </c>
      <c r="N557" s="465">
        <f t="shared" si="92"/>
        <v>4744.2963291428559</v>
      </c>
      <c r="O557" s="179"/>
      <c r="P557" s="180">
        <v>18</v>
      </c>
      <c r="Q557" s="173" t="s">
        <v>583</v>
      </c>
      <c r="R557" s="173" t="s">
        <v>230</v>
      </c>
      <c r="S557" s="174">
        <v>44797</v>
      </c>
      <c r="T557" s="173" t="s">
        <v>33</v>
      </c>
      <c r="U557" s="182">
        <v>4658.9939999999997</v>
      </c>
      <c r="V557" s="177">
        <f>IF(U557=0,0,IF(T557="MXN",1/HLOOKUP(YEAR(S557)+(MONTH(S557)/100),TC!$5:$37,DAY(S557)+2,FALSE),VLOOKUP(T557,Equivalencia!$1:$23,((MAX(Equivalencia!$3:$3)-YEAR(S557))*14)+MONTH(S557)+2,FALSE)))</f>
        <v>1</v>
      </c>
      <c r="W557" s="178">
        <f t="shared" si="89"/>
        <v>4658.9939999999997</v>
      </c>
      <c r="X557" s="481">
        <f t="shared" si="85"/>
        <v>327.88542857142875</v>
      </c>
      <c r="Y557" s="179"/>
      <c r="Z557" s="466">
        <f t="shared" si="86"/>
        <v>4744.2963291428559</v>
      </c>
      <c r="AA557" s="473">
        <f t="shared" si="87"/>
        <v>-85.302329142856252</v>
      </c>
      <c r="AB557" s="339">
        <f t="shared" si="88"/>
        <v>7.5704735442196247E-2</v>
      </c>
    </row>
    <row r="558" spans="2:28" ht="20.100000000000001" customHeight="1">
      <c r="B558" s="172">
        <v>1175000</v>
      </c>
      <c r="C558" s="174">
        <v>44370</v>
      </c>
      <c r="D558" s="181" t="s">
        <v>177</v>
      </c>
      <c r="E558" s="173" t="s">
        <v>33</v>
      </c>
      <c r="F558" s="176">
        <v>721.85142857142853</v>
      </c>
      <c r="G558" s="175">
        <f t="shared" si="90"/>
        <v>3</v>
      </c>
      <c r="H558" s="175">
        <f t="shared" si="83"/>
        <v>721.85142857142853</v>
      </c>
      <c r="I558" s="177">
        <f>IF(G558=0,0,IF(E558="MXN",1/HLOOKUP(YEAR(C558)+(MONTH(C558)/100),TC!$5:$37,DAY(C558)+2,FALSE),VLOOKUP(E558,Equivalencia!$5:$23,((MAX(Equivalencia!$3:$3)-YEAR(C558))*14)+MONTH(C558)+2,FALSE)))</f>
        <v>1</v>
      </c>
      <c r="J558" s="178">
        <f t="shared" si="91"/>
        <v>721.85142857142853</v>
      </c>
      <c r="K558" s="462">
        <f>IF(C558=0,0,VLOOKUP(YEAR(C558),INPC!$B$4:$O$29,MONTH(C558)+1))</f>
        <v>113.018</v>
      </c>
      <c r="L558" s="462">
        <f>IF(S558=0,0,VLOOKUP(YEAR(S558),INPC!$B$4:$O$29,MONTH(S558)+1))</f>
        <v>123.803</v>
      </c>
      <c r="M558" s="463">
        <f t="shared" si="84"/>
        <v>1.0953999999999999</v>
      </c>
      <c r="N558" s="465">
        <f t="shared" si="92"/>
        <v>790.71605485714281</v>
      </c>
      <c r="O558" s="179"/>
      <c r="P558" s="180">
        <v>3</v>
      </c>
      <c r="Q558" s="173" t="s">
        <v>583</v>
      </c>
      <c r="R558" s="173" t="s">
        <v>230</v>
      </c>
      <c r="S558" s="174">
        <v>44798</v>
      </c>
      <c r="T558" s="173" t="s">
        <v>33</v>
      </c>
      <c r="U558" s="182">
        <v>778.72578947368424</v>
      </c>
      <c r="V558" s="177">
        <f>IF(U558=0,0,IF(T558="MXN",1/HLOOKUP(YEAR(S558)+(MONTH(S558)/100),TC!$5:$37,DAY(S558)+2,FALSE),VLOOKUP(T558,Equivalencia!$1:$23,((MAX(Equivalencia!$3:$3)-YEAR(S558))*14)+MONTH(S558)+2,FALSE)))</f>
        <v>1</v>
      </c>
      <c r="W558" s="178">
        <f t="shared" si="89"/>
        <v>778.72578947368424</v>
      </c>
      <c r="X558" s="481">
        <f t="shared" si="85"/>
        <v>56.874360902255717</v>
      </c>
      <c r="Y558" s="179"/>
      <c r="Z558" s="466">
        <f t="shared" si="86"/>
        <v>790.71605485714281</v>
      </c>
      <c r="AA558" s="473">
        <f t="shared" si="87"/>
        <v>-11.990265383458564</v>
      </c>
      <c r="AB558" s="339">
        <f t="shared" si="88"/>
        <v>7.8789566178198545E-2</v>
      </c>
    </row>
    <row r="559" spans="2:28" ht="20.100000000000001" customHeight="1">
      <c r="B559" s="172">
        <v>1175000</v>
      </c>
      <c r="C559" s="174">
        <v>44370</v>
      </c>
      <c r="D559" s="181" t="s">
        <v>177</v>
      </c>
      <c r="E559" s="173" t="s">
        <v>33</v>
      </c>
      <c r="F559" s="176">
        <v>479.63</v>
      </c>
      <c r="G559" s="175">
        <f t="shared" si="90"/>
        <v>2</v>
      </c>
      <c r="H559" s="175">
        <f t="shared" si="83"/>
        <v>479.63</v>
      </c>
      <c r="I559" s="177">
        <f>IF(G559=0,0,IF(E559="MXN",1/HLOOKUP(YEAR(C559)+(MONTH(C559)/100),TC!$5:$37,DAY(C559)+2,FALSE),VLOOKUP(E559,Equivalencia!$5:$23,((MAX(Equivalencia!$3:$3)-YEAR(C559))*14)+MONTH(C559)+2,FALSE)))</f>
        <v>1</v>
      </c>
      <c r="J559" s="178">
        <f t="shared" si="91"/>
        <v>479.63</v>
      </c>
      <c r="K559" s="462">
        <f>IF(C559=0,0,VLOOKUP(YEAR(C559),INPC!$B$4:$O$29,MONTH(C559)+1))</f>
        <v>113.018</v>
      </c>
      <c r="L559" s="462">
        <f>IF(S559=0,0,VLOOKUP(YEAR(S559),INPC!$B$4:$O$29,MONTH(S559)+1))</f>
        <v>123.803</v>
      </c>
      <c r="M559" s="463">
        <f t="shared" si="84"/>
        <v>1.0953999999999999</v>
      </c>
      <c r="N559" s="465">
        <f t="shared" si="92"/>
        <v>525.38670200000001</v>
      </c>
      <c r="O559" s="179"/>
      <c r="P559" s="180">
        <v>2</v>
      </c>
      <c r="Q559" s="173" t="s">
        <v>583</v>
      </c>
      <c r="R559" s="173" t="s">
        <v>230</v>
      </c>
      <c r="S559" s="174">
        <v>44798</v>
      </c>
      <c r="T559" s="173" t="s">
        <v>33</v>
      </c>
      <c r="U559" s="182">
        <v>519.15052631578953</v>
      </c>
      <c r="V559" s="177">
        <f>IF(U559=0,0,IF(T559="MXN",1/HLOOKUP(YEAR(S559)+(MONTH(S559)/100),TC!$5:$37,DAY(S559)+2,FALSE),VLOOKUP(T559,Equivalencia!$1:$23,((MAX(Equivalencia!$3:$3)-YEAR(S559))*14)+MONTH(S559)+2,FALSE)))</f>
        <v>1</v>
      </c>
      <c r="W559" s="178">
        <f t="shared" si="89"/>
        <v>519.15052631578953</v>
      </c>
      <c r="X559" s="481">
        <f t="shared" si="85"/>
        <v>39.520526315789539</v>
      </c>
      <c r="Y559" s="179"/>
      <c r="Z559" s="466">
        <f t="shared" si="86"/>
        <v>525.38670200000001</v>
      </c>
      <c r="AA559" s="473">
        <f t="shared" si="87"/>
        <v>-6.2361756842104796</v>
      </c>
      <c r="AB559" s="339">
        <f t="shared" si="88"/>
        <v>8.2397944907094178E-2</v>
      </c>
    </row>
    <row r="560" spans="2:28" ht="20.100000000000001" customHeight="1">
      <c r="B560" s="172">
        <v>1175000</v>
      </c>
      <c r="C560" s="174">
        <v>44392</v>
      </c>
      <c r="D560" s="181" t="s">
        <v>177</v>
      </c>
      <c r="E560" s="173" t="s">
        <v>33</v>
      </c>
      <c r="F560" s="176">
        <v>3445.6712499999999</v>
      </c>
      <c r="G560" s="175">
        <f t="shared" si="90"/>
        <v>14</v>
      </c>
      <c r="H560" s="175">
        <f t="shared" si="83"/>
        <v>3445.6712499999999</v>
      </c>
      <c r="I560" s="177">
        <f>IF(G560=0,0,IF(E560="MXN",1/HLOOKUP(YEAR(C560)+(MONTH(C560)/100),TC!$5:$37,DAY(C560)+2,FALSE),VLOOKUP(E560,Equivalencia!$5:$23,((MAX(Equivalencia!$3:$3)-YEAR(C560))*14)+MONTH(C560)+2,FALSE)))</f>
        <v>1</v>
      </c>
      <c r="J560" s="178">
        <f t="shared" si="91"/>
        <v>3445.6712499999999</v>
      </c>
      <c r="K560" s="462">
        <f>IF(C560=0,0,VLOOKUP(YEAR(C560),INPC!$B$4:$O$29,MONTH(C560)+1))</f>
        <v>113.682</v>
      </c>
      <c r="L560" s="462">
        <f>IF(S560=0,0,VLOOKUP(YEAR(S560),INPC!$B$4:$O$29,MONTH(S560)+1))</f>
        <v>123.803</v>
      </c>
      <c r="M560" s="463">
        <f t="shared" si="84"/>
        <v>1.089</v>
      </c>
      <c r="N560" s="465">
        <f t="shared" si="92"/>
        <v>3752.3359912499996</v>
      </c>
      <c r="O560" s="179"/>
      <c r="P560" s="180">
        <v>14</v>
      </c>
      <c r="Q560" s="173" t="s">
        <v>583</v>
      </c>
      <c r="R560" s="173" t="s">
        <v>230</v>
      </c>
      <c r="S560" s="174">
        <v>44798</v>
      </c>
      <c r="T560" s="173" t="s">
        <v>33</v>
      </c>
      <c r="U560" s="182">
        <v>3634.0536842105266</v>
      </c>
      <c r="V560" s="177">
        <f>IF(U560=0,0,IF(T560="MXN",1/HLOOKUP(YEAR(S560)+(MONTH(S560)/100),TC!$5:$37,DAY(S560)+2,FALSE),VLOOKUP(T560,Equivalencia!$1:$23,((MAX(Equivalencia!$3:$3)-YEAR(S560))*14)+MONTH(S560)+2,FALSE)))</f>
        <v>1</v>
      </c>
      <c r="W560" s="178">
        <f t="shared" si="89"/>
        <v>3634.0536842105266</v>
      </c>
      <c r="X560" s="481">
        <f t="shared" si="85"/>
        <v>188.38243421052675</v>
      </c>
      <c r="Y560" s="179"/>
      <c r="Z560" s="466">
        <f t="shared" si="86"/>
        <v>3752.3359912499996</v>
      </c>
      <c r="AA560" s="473">
        <f t="shared" si="87"/>
        <v>-118.28230703947293</v>
      </c>
      <c r="AB560" s="339">
        <f t="shared" si="88"/>
        <v>5.4672201885344274E-2</v>
      </c>
    </row>
    <row r="561" spans="2:28" ht="20.100000000000001" customHeight="1">
      <c r="B561" s="172">
        <v>1175000</v>
      </c>
      <c r="C561" s="174">
        <v>44392</v>
      </c>
      <c r="D561" s="181" t="s">
        <v>177</v>
      </c>
      <c r="E561" s="173" t="s">
        <v>33</v>
      </c>
      <c r="F561" s="176">
        <v>246.11937499999999</v>
      </c>
      <c r="G561" s="175">
        <f t="shared" si="90"/>
        <v>1</v>
      </c>
      <c r="H561" s="175">
        <f t="shared" si="83"/>
        <v>246.11937499999999</v>
      </c>
      <c r="I561" s="177">
        <f>IF(G561=0,0,IF(E561="MXN",1/HLOOKUP(YEAR(C561)+(MONTH(C561)/100),TC!$5:$37,DAY(C561)+2,FALSE),VLOOKUP(E561,Equivalencia!$5:$23,((MAX(Equivalencia!$3:$3)-YEAR(C561))*14)+MONTH(C561)+2,FALSE)))</f>
        <v>1</v>
      </c>
      <c r="J561" s="178">
        <f t="shared" si="91"/>
        <v>246.11937499999999</v>
      </c>
      <c r="K561" s="462">
        <f>IF(C561=0,0,VLOOKUP(YEAR(C561),INPC!$B$4:$O$29,MONTH(C561)+1))</f>
        <v>113.682</v>
      </c>
      <c r="L561" s="462">
        <f>IF(S561=0,0,VLOOKUP(YEAR(S561),INPC!$B$4:$O$29,MONTH(S561)+1))</f>
        <v>123.803</v>
      </c>
      <c r="M561" s="463">
        <f t="shared" si="84"/>
        <v>1.089</v>
      </c>
      <c r="N561" s="465">
        <f t="shared" si="92"/>
        <v>268.02399937499996</v>
      </c>
      <c r="O561" s="179"/>
      <c r="P561" s="180">
        <v>1</v>
      </c>
      <c r="Q561" s="173" t="s">
        <v>583</v>
      </c>
      <c r="R561" s="173" t="s">
        <v>230</v>
      </c>
      <c r="S561" s="174">
        <v>44799</v>
      </c>
      <c r="T561" s="173" t="s">
        <v>33</v>
      </c>
      <c r="U561" s="182">
        <v>256.97000000000003</v>
      </c>
      <c r="V561" s="177">
        <f>IF(U561=0,0,IF(T561="MXN",1/HLOOKUP(YEAR(S561)+(MONTH(S561)/100),TC!$5:$37,DAY(S561)+2,FALSE),VLOOKUP(T561,Equivalencia!$1:$23,((MAX(Equivalencia!$3:$3)-YEAR(S561))*14)+MONTH(S561)+2,FALSE)))</f>
        <v>1</v>
      </c>
      <c r="W561" s="178">
        <f t="shared" si="89"/>
        <v>256.97000000000003</v>
      </c>
      <c r="X561" s="481">
        <f t="shared" si="85"/>
        <v>10.850625000000036</v>
      </c>
      <c r="Y561" s="179"/>
      <c r="Z561" s="466">
        <f t="shared" si="86"/>
        <v>268.02399937499996</v>
      </c>
      <c r="AA561" s="473">
        <f t="shared" si="87"/>
        <v>-11.053999374999933</v>
      </c>
      <c r="AB561" s="339">
        <f t="shared" si="88"/>
        <v>4.4086837941954116E-2</v>
      </c>
    </row>
    <row r="562" spans="2:28" ht="20.100000000000001" customHeight="1">
      <c r="B562" s="172">
        <v>1175000</v>
      </c>
      <c r="C562" s="174">
        <v>44586</v>
      </c>
      <c r="D562" s="181" t="s">
        <v>174</v>
      </c>
      <c r="E562" s="173" t="s">
        <v>33</v>
      </c>
      <c r="F562" s="176">
        <v>315.91542857142861</v>
      </c>
      <c r="G562" s="175">
        <f t="shared" si="90"/>
        <v>9</v>
      </c>
      <c r="H562" s="175">
        <f t="shared" si="83"/>
        <v>315.91542857142861</v>
      </c>
      <c r="I562" s="177">
        <f>IF(G562=0,0,IF(E562="MXN",1/HLOOKUP(YEAR(C562)+(MONTH(C562)/100),TC!$5:$37,DAY(C562)+2,FALSE),VLOOKUP(E562,Equivalencia!$5:$23,((MAX(Equivalencia!$3:$3)-YEAR(C562))*14)+MONTH(C562)+2,FALSE)))</f>
        <v>1</v>
      </c>
      <c r="J562" s="178">
        <f t="shared" si="91"/>
        <v>315.91542857142861</v>
      </c>
      <c r="K562" s="462">
        <f>IF(C562=0,0,VLOOKUP(YEAR(C562),INPC!$B$4:$O$29,MONTH(C562)+1))</f>
        <v>118.002</v>
      </c>
      <c r="L562" s="462">
        <f>IF(S562=0,0,VLOOKUP(YEAR(S562),INPC!$B$4:$O$29,MONTH(S562)+1))</f>
        <v>123.803</v>
      </c>
      <c r="M562" s="463">
        <f t="shared" si="84"/>
        <v>1.0490999999999999</v>
      </c>
      <c r="N562" s="465">
        <f t="shared" si="92"/>
        <v>331.42687611428573</v>
      </c>
      <c r="O562" s="179"/>
      <c r="P562" s="180">
        <v>9</v>
      </c>
      <c r="Q562" s="173" t="s">
        <v>583</v>
      </c>
      <c r="R562" s="173" t="s">
        <v>230</v>
      </c>
      <c r="S562" s="174">
        <v>44783</v>
      </c>
      <c r="T562" s="173" t="s">
        <v>33</v>
      </c>
      <c r="U562" s="182">
        <v>329.61</v>
      </c>
      <c r="V562" s="177">
        <f>IF(U562=0,0,IF(T562="MXN",1/HLOOKUP(YEAR(S562)+(MONTH(S562)/100),TC!$5:$37,DAY(S562)+2,FALSE),VLOOKUP(T562,Equivalencia!$1:$23,((MAX(Equivalencia!$3:$3)-YEAR(S562))*14)+MONTH(S562)+2,FALSE)))</f>
        <v>1</v>
      </c>
      <c r="W562" s="178">
        <f t="shared" si="89"/>
        <v>329.61</v>
      </c>
      <c r="X562" s="481">
        <f t="shared" si="85"/>
        <v>13.694571428571408</v>
      </c>
      <c r="Y562" s="179"/>
      <c r="Z562" s="466">
        <f t="shared" si="86"/>
        <v>331.42687611428573</v>
      </c>
      <c r="AA562" s="473">
        <f t="shared" si="87"/>
        <v>-1.8168761142857193</v>
      </c>
      <c r="AB562" s="339">
        <f t="shared" si="88"/>
        <v>4.3348852857545861E-2</v>
      </c>
    </row>
    <row r="563" spans="2:28" ht="20.100000000000001" customHeight="1">
      <c r="B563" s="172">
        <v>1175000</v>
      </c>
      <c r="C563" s="174">
        <v>44586</v>
      </c>
      <c r="D563" s="181" t="s">
        <v>174</v>
      </c>
      <c r="E563" s="173" t="s">
        <v>33</v>
      </c>
      <c r="F563" s="176">
        <v>280.8137142857143</v>
      </c>
      <c r="G563" s="175">
        <f t="shared" si="90"/>
        <v>8</v>
      </c>
      <c r="H563" s="175">
        <f t="shared" si="83"/>
        <v>280.8137142857143</v>
      </c>
      <c r="I563" s="177">
        <f>IF(G563=0,0,IF(E563="MXN",1/HLOOKUP(YEAR(C563)+(MONTH(C563)/100),TC!$5:$37,DAY(C563)+2,FALSE),VLOOKUP(E563,Equivalencia!$5:$23,((MAX(Equivalencia!$3:$3)-YEAR(C563))*14)+MONTH(C563)+2,FALSE)))</f>
        <v>1</v>
      </c>
      <c r="J563" s="178">
        <f t="shared" si="91"/>
        <v>280.8137142857143</v>
      </c>
      <c r="K563" s="462">
        <f>IF(C563=0,0,VLOOKUP(YEAR(C563),INPC!$B$4:$O$29,MONTH(C563)+1))</f>
        <v>118.002</v>
      </c>
      <c r="L563" s="462">
        <f>IF(S563=0,0,VLOOKUP(YEAR(S563),INPC!$B$4:$O$29,MONTH(S563)+1))</f>
        <v>123.803</v>
      </c>
      <c r="M563" s="463">
        <f t="shared" si="84"/>
        <v>1.0490999999999999</v>
      </c>
      <c r="N563" s="465">
        <f t="shared" si="92"/>
        <v>294.60166765714285</v>
      </c>
      <c r="O563" s="179"/>
      <c r="P563" s="180">
        <v>8</v>
      </c>
      <c r="Q563" s="173" t="s">
        <v>583</v>
      </c>
      <c r="R563" s="173" t="s">
        <v>230</v>
      </c>
      <c r="S563" s="174">
        <v>44783</v>
      </c>
      <c r="T563" s="173" t="s">
        <v>33</v>
      </c>
      <c r="U563" s="182">
        <v>293.42</v>
      </c>
      <c r="V563" s="177">
        <f>IF(U563=0,0,IF(T563="MXN",1/HLOOKUP(YEAR(S563)+(MONTH(S563)/100),TC!$5:$37,DAY(S563)+2,FALSE),VLOOKUP(T563,Equivalencia!$1:$23,((MAX(Equivalencia!$3:$3)-YEAR(S563))*14)+MONTH(S563)+2,FALSE)))</f>
        <v>1</v>
      </c>
      <c r="W563" s="178">
        <f t="shared" si="89"/>
        <v>293.42</v>
      </c>
      <c r="X563" s="481">
        <f t="shared" si="85"/>
        <v>12.606285714285718</v>
      </c>
      <c r="Y563" s="179"/>
      <c r="Z563" s="466">
        <f t="shared" si="86"/>
        <v>294.60166765714285</v>
      </c>
      <c r="AA563" s="473">
        <f t="shared" si="87"/>
        <v>-1.1816676571428388</v>
      </c>
      <c r="AB563" s="339">
        <f t="shared" si="88"/>
        <v>4.489198736732436E-2</v>
      </c>
    </row>
    <row r="564" spans="2:28" ht="20.100000000000001" customHeight="1">
      <c r="B564" s="172">
        <v>1175000</v>
      </c>
      <c r="C564" s="174">
        <v>44586</v>
      </c>
      <c r="D564" s="181" t="s">
        <v>174</v>
      </c>
      <c r="E564" s="173" t="s">
        <v>33</v>
      </c>
      <c r="F564" s="176">
        <v>386.11885714285717</v>
      </c>
      <c r="G564" s="175">
        <f t="shared" si="90"/>
        <v>11</v>
      </c>
      <c r="H564" s="175">
        <f t="shared" si="83"/>
        <v>386.11885714285717</v>
      </c>
      <c r="I564" s="177">
        <f>IF(G564=0,0,IF(E564="MXN",1/HLOOKUP(YEAR(C564)+(MONTH(C564)/100),TC!$5:$37,DAY(C564)+2,FALSE),VLOOKUP(E564,Equivalencia!$5:$23,((MAX(Equivalencia!$3:$3)-YEAR(C564))*14)+MONTH(C564)+2,FALSE)))</f>
        <v>1</v>
      </c>
      <c r="J564" s="178">
        <f t="shared" si="91"/>
        <v>386.11885714285717</v>
      </c>
      <c r="K564" s="462">
        <f>IF(C564=0,0,VLOOKUP(YEAR(C564),INPC!$B$4:$O$29,MONTH(C564)+1))</f>
        <v>118.002</v>
      </c>
      <c r="L564" s="462">
        <f>IF(S564=0,0,VLOOKUP(YEAR(S564),INPC!$B$4:$O$29,MONTH(S564)+1))</f>
        <v>123.803</v>
      </c>
      <c r="M564" s="463">
        <f t="shared" si="84"/>
        <v>1.0490999999999999</v>
      </c>
      <c r="N564" s="465">
        <f t="shared" si="92"/>
        <v>405.07729302857143</v>
      </c>
      <c r="O564" s="179"/>
      <c r="P564" s="180">
        <v>11</v>
      </c>
      <c r="Q564" s="173" t="s">
        <v>583</v>
      </c>
      <c r="R564" s="173" t="s">
        <v>230</v>
      </c>
      <c r="S564" s="174">
        <v>44783</v>
      </c>
      <c r="T564" s="173" t="s">
        <v>33</v>
      </c>
      <c r="U564" s="182">
        <v>405.06999999999994</v>
      </c>
      <c r="V564" s="177">
        <f>IF(U564=0,0,IF(T564="MXN",1/HLOOKUP(YEAR(S564)+(MONTH(S564)/100),TC!$5:$37,DAY(S564)+2,FALSE),VLOOKUP(T564,Equivalencia!$1:$23,((MAX(Equivalencia!$3:$3)-YEAR(S564))*14)+MONTH(S564)+2,FALSE)))</f>
        <v>1</v>
      </c>
      <c r="W564" s="178">
        <f t="shared" si="89"/>
        <v>405.06999999999994</v>
      </c>
      <c r="X564" s="481">
        <f t="shared" si="85"/>
        <v>18.95114285714277</v>
      </c>
      <c r="Y564" s="179"/>
      <c r="Z564" s="466">
        <f t="shared" si="86"/>
        <v>405.07729302857143</v>
      </c>
      <c r="AA564" s="473">
        <f t="shared" si="87"/>
        <v>-7.2930285714960519E-3</v>
      </c>
      <c r="AB564" s="339">
        <f t="shared" si="88"/>
        <v>4.9081111959603518E-2</v>
      </c>
    </row>
    <row r="565" spans="2:28" ht="20.100000000000001" customHeight="1">
      <c r="B565" s="172">
        <v>1175000</v>
      </c>
      <c r="C565" s="174">
        <v>44586</v>
      </c>
      <c r="D565" s="181" t="s">
        <v>174</v>
      </c>
      <c r="E565" s="173" t="s">
        <v>33</v>
      </c>
      <c r="F565" s="176">
        <v>1614.6788571428572</v>
      </c>
      <c r="G565" s="175">
        <f t="shared" si="90"/>
        <v>46</v>
      </c>
      <c r="H565" s="175">
        <f t="shared" si="83"/>
        <v>1614.6788571428572</v>
      </c>
      <c r="I565" s="177">
        <f>IF(G565=0,0,IF(E565="MXN",1/HLOOKUP(YEAR(C565)+(MONTH(C565)/100),TC!$5:$37,DAY(C565)+2,FALSE),VLOOKUP(E565,Equivalencia!$5:$23,((MAX(Equivalencia!$3:$3)-YEAR(C565))*14)+MONTH(C565)+2,FALSE)))</f>
        <v>1</v>
      </c>
      <c r="J565" s="178">
        <f t="shared" si="91"/>
        <v>1614.6788571428572</v>
      </c>
      <c r="K565" s="462">
        <f>IF(C565=0,0,VLOOKUP(YEAR(C565),INPC!$B$4:$O$29,MONTH(C565)+1))</f>
        <v>118.002</v>
      </c>
      <c r="L565" s="462">
        <f>IF(S565=0,0,VLOOKUP(YEAR(S565),INPC!$B$4:$O$29,MONTH(S565)+1))</f>
        <v>123.803</v>
      </c>
      <c r="M565" s="463">
        <f t="shared" si="84"/>
        <v>1.0490999999999999</v>
      </c>
      <c r="N565" s="465">
        <f t="shared" si="92"/>
        <v>1693.9595890285714</v>
      </c>
      <c r="O565" s="179"/>
      <c r="P565" s="180">
        <v>46</v>
      </c>
      <c r="Q565" s="173" t="s">
        <v>583</v>
      </c>
      <c r="R565" s="173" t="s">
        <v>230</v>
      </c>
      <c r="S565" s="174">
        <v>44783</v>
      </c>
      <c r="T565" s="173" t="s">
        <v>33</v>
      </c>
      <c r="U565" s="182">
        <v>1684.19</v>
      </c>
      <c r="V565" s="177">
        <f>IF(U565=0,0,IF(T565="MXN",1/HLOOKUP(YEAR(S565)+(MONTH(S565)/100),TC!$5:$37,DAY(S565)+2,FALSE),VLOOKUP(T565,Equivalencia!$1:$23,((MAX(Equivalencia!$3:$3)-YEAR(S565))*14)+MONTH(S565)+2,FALSE)))</f>
        <v>1</v>
      </c>
      <c r="W565" s="178">
        <f t="shared" si="89"/>
        <v>1684.19</v>
      </c>
      <c r="X565" s="481">
        <f t="shared" si="85"/>
        <v>69.511142857142886</v>
      </c>
      <c r="Y565" s="179"/>
      <c r="Z565" s="466">
        <f t="shared" si="86"/>
        <v>1693.9595890285714</v>
      </c>
      <c r="AA565" s="473">
        <f t="shared" si="87"/>
        <v>-9.7695890285713176</v>
      </c>
      <c r="AB565" s="339">
        <f t="shared" si="88"/>
        <v>4.3049515728558863E-2</v>
      </c>
    </row>
    <row r="566" spans="2:28" ht="20.100000000000001" customHeight="1">
      <c r="B566" s="172">
        <v>1175000</v>
      </c>
      <c r="C566" s="174">
        <v>44586</v>
      </c>
      <c r="D566" s="181" t="s">
        <v>174</v>
      </c>
      <c r="E566" s="173" t="s">
        <v>33</v>
      </c>
      <c r="F566" s="176">
        <v>210.61028571428574</v>
      </c>
      <c r="G566" s="175">
        <f t="shared" si="90"/>
        <v>6</v>
      </c>
      <c r="H566" s="175">
        <f t="shared" si="83"/>
        <v>210.61028571428574</v>
      </c>
      <c r="I566" s="177">
        <f>IF(G566=0,0,IF(E566="MXN",1/HLOOKUP(YEAR(C566)+(MONTH(C566)/100),TC!$5:$37,DAY(C566)+2,FALSE),VLOOKUP(E566,Equivalencia!$5:$23,((MAX(Equivalencia!$3:$3)-YEAR(C566))*14)+MONTH(C566)+2,FALSE)))</f>
        <v>1</v>
      </c>
      <c r="J566" s="178">
        <f t="shared" si="91"/>
        <v>210.61028571428574</v>
      </c>
      <c r="K566" s="462">
        <f>IF(C566=0,0,VLOOKUP(YEAR(C566),INPC!$B$4:$O$29,MONTH(C566)+1))</f>
        <v>118.002</v>
      </c>
      <c r="L566" s="462">
        <f>IF(S566=0,0,VLOOKUP(YEAR(S566),INPC!$B$4:$O$29,MONTH(S566)+1))</f>
        <v>123.803</v>
      </c>
      <c r="M566" s="463">
        <f t="shared" si="84"/>
        <v>1.0490999999999999</v>
      </c>
      <c r="N566" s="465">
        <f t="shared" si="92"/>
        <v>220.95125074285716</v>
      </c>
      <c r="O566" s="179"/>
      <c r="P566" s="180">
        <v>6</v>
      </c>
      <c r="Q566" s="173" t="s">
        <v>583</v>
      </c>
      <c r="R566" s="173" t="s">
        <v>230</v>
      </c>
      <c r="S566" s="174">
        <v>44783</v>
      </c>
      <c r="T566" s="173" t="s">
        <v>33</v>
      </c>
      <c r="U566" s="182">
        <v>219.38</v>
      </c>
      <c r="V566" s="177">
        <f>IF(U566=0,0,IF(T566="MXN",1/HLOOKUP(YEAR(S566)+(MONTH(S566)/100),TC!$5:$37,DAY(S566)+2,FALSE),VLOOKUP(T566,Equivalencia!$1:$23,((MAX(Equivalencia!$3:$3)-YEAR(S566))*14)+MONTH(S566)+2,FALSE)))</f>
        <v>1</v>
      </c>
      <c r="W566" s="178">
        <f t="shared" si="89"/>
        <v>219.38</v>
      </c>
      <c r="X566" s="481">
        <f t="shared" si="85"/>
        <v>8.769714285714258</v>
      </c>
      <c r="Y566" s="179"/>
      <c r="Z566" s="466">
        <f t="shared" si="86"/>
        <v>220.95125074285716</v>
      </c>
      <c r="AA566" s="473">
        <f t="shared" si="87"/>
        <v>-1.5712507428571598</v>
      </c>
      <c r="AB566" s="339">
        <f t="shared" si="88"/>
        <v>4.1639534631329855E-2</v>
      </c>
    </row>
    <row r="567" spans="2:28" ht="20.100000000000001" customHeight="1">
      <c r="B567" s="172">
        <v>1175000</v>
      </c>
      <c r="C567" s="174">
        <v>44586</v>
      </c>
      <c r="D567" s="181" t="s">
        <v>174</v>
      </c>
      <c r="E567" s="173" t="s">
        <v>33</v>
      </c>
      <c r="F567" s="176">
        <v>877.5428571428572</v>
      </c>
      <c r="G567" s="175">
        <f t="shared" si="90"/>
        <v>25</v>
      </c>
      <c r="H567" s="175">
        <f t="shared" si="83"/>
        <v>877.5428571428572</v>
      </c>
      <c r="I567" s="177">
        <f>IF(G567=0,0,IF(E567="MXN",1/HLOOKUP(YEAR(C567)+(MONTH(C567)/100),TC!$5:$37,DAY(C567)+2,FALSE),VLOOKUP(E567,Equivalencia!$5:$23,((MAX(Equivalencia!$3:$3)-YEAR(C567))*14)+MONTH(C567)+2,FALSE)))</f>
        <v>1</v>
      </c>
      <c r="J567" s="178">
        <f t="shared" si="91"/>
        <v>877.5428571428572</v>
      </c>
      <c r="K567" s="462">
        <f>IF(C567=0,0,VLOOKUP(YEAR(C567),INPC!$B$4:$O$29,MONTH(C567)+1))</f>
        <v>118.002</v>
      </c>
      <c r="L567" s="462">
        <f>IF(S567=0,0,VLOOKUP(YEAR(S567),INPC!$B$4:$O$29,MONTH(S567)+1))</f>
        <v>123.803</v>
      </c>
      <c r="M567" s="463">
        <f t="shared" si="84"/>
        <v>1.0490999999999999</v>
      </c>
      <c r="N567" s="465">
        <f t="shared" si="92"/>
        <v>920.63021142857144</v>
      </c>
      <c r="O567" s="179"/>
      <c r="P567" s="180">
        <v>25</v>
      </c>
      <c r="Q567" s="173" t="s">
        <v>583</v>
      </c>
      <c r="R567" s="173" t="s">
        <v>230</v>
      </c>
      <c r="S567" s="174">
        <v>44790</v>
      </c>
      <c r="T567" s="173" t="s">
        <v>33</v>
      </c>
      <c r="U567" s="182">
        <v>897.52999999999986</v>
      </c>
      <c r="V567" s="177">
        <f>IF(U567=0,0,IF(T567="MXN",1/HLOOKUP(YEAR(S567)+(MONTH(S567)/100),TC!$5:$37,DAY(S567)+2,FALSE),VLOOKUP(T567,Equivalencia!$1:$23,((MAX(Equivalencia!$3:$3)-YEAR(S567))*14)+MONTH(S567)+2,FALSE)))</f>
        <v>1</v>
      </c>
      <c r="W567" s="178">
        <f t="shared" si="89"/>
        <v>897.52999999999986</v>
      </c>
      <c r="X567" s="481">
        <f t="shared" si="85"/>
        <v>19.987142857142658</v>
      </c>
      <c r="Y567" s="179"/>
      <c r="Z567" s="466">
        <f t="shared" si="86"/>
        <v>920.63021142857144</v>
      </c>
      <c r="AA567" s="473">
        <f t="shared" si="87"/>
        <v>-23.100211428571583</v>
      </c>
      <c r="AB567" s="339">
        <f t="shared" si="88"/>
        <v>2.2776258383798709E-2</v>
      </c>
    </row>
    <row r="568" spans="2:28" ht="20.100000000000001" customHeight="1">
      <c r="B568" s="172">
        <v>1175000</v>
      </c>
      <c r="C568" s="174">
        <v>44586</v>
      </c>
      <c r="D568" s="181" t="s">
        <v>174</v>
      </c>
      <c r="E568" s="173" t="s">
        <v>33</v>
      </c>
      <c r="F568" s="176">
        <v>526.52571428571434</v>
      </c>
      <c r="G568" s="175">
        <f t="shared" si="90"/>
        <v>15</v>
      </c>
      <c r="H568" s="175">
        <f t="shared" si="83"/>
        <v>526.52571428571434</v>
      </c>
      <c r="I568" s="177">
        <f>IF(G568=0,0,IF(E568="MXN",1/HLOOKUP(YEAR(C568)+(MONTH(C568)/100),TC!$5:$37,DAY(C568)+2,FALSE),VLOOKUP(E568,Equivalencia!$5:$23,((MAX(Equivalencia!$3:$3)-YEAR(C568))*14)+MONTH(C568)+2,FALSE)))</f>
        <v>1</v>
      </c>
      <c r="J568" s="178">
        <f t="shared" si="91"/>
        <v>526.52571428571434</v>
      </c>
      <c r="K568" s="462">
        <f>IF(C568=0,0,VLOOKUP(YEAR(C568),INPC!$B$4:$O$29,MONTH(C568)+1))</f>
        <v>118.002</v>
      </c>
      <c r="L568" s="462">
        <f>IF(S568=0,0,VLOOKUP(YEAR(S568),INPC!$B$4:$O$29,MONTH(S568)+1))</f>
        <v>123.803</v>
      </c>
      <c r="M568" s="463">
        <f t="shared" si="84"/>
        <v>1.0490999999999999</v>
      </c>
      <c r="N568" s="465">
        <f t="shared" si="92"/>
        <v>552.37812685714289</v>
      </c>
      <c r="O568" s="179"/>
      <c r="P568" s="180">
        <v>15</v>
      </c>
      <c r="Q568" s="173" t="s">
        <v>583</v>
      </c>
      <c r="R568" s="173" t="s">
        <v>230</v>
      </c>
      <c r="S568" s="174">
        <v>44790</v>
      </c>
      <c r="T568" s="173" t="s">
        <v>33</v>
      </c>
      <c r="U568" s="182">
        <v>540.59</v>
      </c>
      <c r="V568" s="177">
        <f>IF(U568=0,0,IF(T568="MXN",1/HLOOKUP(YEAR(S568)+(MONTH(S568)/100),TC!$5:$37,DAY(S568)+2,FALSE),VLOOKUP(T568,Equivalencia!$1:$23,((MAX(Equivalencia!$3:$3)-YEAR(S568))*14)+MONTH(S568)+2,FALSE)))</f>
        <v>1</v>
      </c>
      <c r="W568" s="178">
        <f t="shared" si="89"/>
        <v>540.59</v>
      </c>
      <c r="X568" s="481">
        <f t="shared" si="85"/>
        <v>14.064285714285688</v>
      </c>
      <c r="Y568" s="179"/>
      <c r="Z568" s="466">
        <f t="shared" si="86"/>
        <v>552.37812685714289</v>
      </c>
      <c r="AA568" s="473">
        <f t="shared" si="87"/>
        <v>-11.788126857142856</v>
      </c>
      <c r="AB568" s="339">
        <f t="shared" si="88"/>
        <v>2.6711488789042948E-2</v>
      </c>
    </row>
    <row r="569" spans="2:28" ht="20.100000000000001" customHeight="1">
      <c r="B569" s="172">
        <v>1175000</v>
      </c>
      <c r="C569" s="174">
        <v>44586</v>
      </c>
      <c r="D569" s="181" t="s">
        <v>174</v>
      </c>
      <c r="E569" s="173" t="s">
        <v>33</v>
      </c>
      <c r="F569" s="176">
        <v>666.93257142857146</v>
      </c>
      <c r="G569" s="175">
        <f t="shared" si="90"/>
        <v>19</v>
      </c>
      <c r="H569" s="175">
        <f t="shared" si="83"/>
        <v>666.93257142857146</v>
      </c>
      <c r="I569" s="177">
        <f>IF(G569=0,0,IF(E569="MXN",1/HLOOKUP(YEAR(C569)+(MONTH(C569)/100),TC!$5:$37,DAY(C569)+2,FALSE),VLOOKUP(E569,Equivalencia!$5:$23,((MAX(Equivalencia!$3:$3)-YEAR(C569))*14)+MONTH(C569)+2,FALSE)))</f>
        <v>1</v>
      </c>
      <c r="J569" s="178">
        <f t="shared" si="91"/>
        <v>666.93257142857146</v>
      </c>
      <c r="K569" s="462">
        <f>IF(C569=0,0,VLOOKUP(YEAR(C569),INPC!$B$4:$O$29,MONTH(C569)+1))</f>
        <v>118.002</v>
      </c>
      <c r="L569" s="462">
        <f>IF(S569=0,0,VLOOKUP(YEAR(S569),INPC!$B$4:$O$29,MONTH(S569)+1))</f>
        <v>123.803</v>
      </c>
      <c r="M569" s="463">
        <f t="shared" si="84"/>
        <v>1.0490999999999999</v>
      </c>
      <c r="N569" s="465">
        <f t="shared" si="92"/>
        <v>699.67896068571429</v>
      </c>
      <c r="O569" s="179"/>
      <c r="P569" s="180">
        <v>19</v>
      </c>
      <c r="Q569" s="173" t="s">
        <v>583</v>
      </c>
      <c r="R569" s="173" t="s">
        <v>230</v>
      </c>
      <c r="S569" s="174">
        <v>44790</v>
      </c>
      <c r="T569" s="173" t="s">
        <v>33</v>
      </c>
      <c r="U569" s="182">
        <v>691.01</v>
      </c>
      <c r="V569" s="177">
        <f>IF(U569=0,0,IF(T569="MXN",1/HLOOKUP(YEAR(S569)+(MONTH(S569)/100),TC!$5:$37,DAY(S569)+2,FALSE),VLOOKUP(T569,Equivalencia!$1:$23,((MAX(Equivalencia!$3:$3)-YEAR(S569))*14)+MONTH(S569)+2,FALSE)))</f>
        <v>1</v>
      </c>
      <c r="W569" s="178">
        <f t="shared" si="89"/>
        <v>691.01</v>
      </c>
      <c r="X569" s="481">
        <f t="shared" si="85"/>
        <v>24.077428571428527</v>
      </c>
      <c r="Y569" s="179"/>
      <c r="Z569" s="466">
        <f t="shared" si="86"/>
        <v>699.67896068571429</v>
      </c>
      <c r="AA569" s="473">
        <f t="shared" si="87"/>
        <v>-8.6689606857142962</v>
      </c>
      <c r="AB569" s="339">
        <f t="shared" si="88"/>
        <v>3.6101743418910592E-2</v>
      </c>
    </row>
    <row r="570" spans="2:28" ht="20.100000000000001" customHeight="1">
      <c r="B570" s="172">
        <v>1175000</v>
      </c>
      <c r="C570" s="174">
        <v>44587</v>
      </c>
      <c r="D570" s="181" t="s">
        <v>174</v>
      </c>
      <c r="E570" s="173" t="s">
        <v>33</v>
      </c>
      <c r="F570" s="176">
        <v>199.69</v>
      </c>
      <c r="G570" s="175">
        <f t="shared" si="90"/>
        <v>5</v>
      </c>
      <c r="H570" s="175">
        <f t="shared" si="83"/>
        <v>199.69</v>
      </c>
      <c r="I570" s="177">
        <f>IF(G570=0,0,IF(E570="MXN",1/HLOOKUP(YEAR(C570)+(MONTH(C570)/100),TC!$5:$37,DAY(C570)+2,FALSE),VLOOKUP(E570,Equivalencia!$5:$23,((MAX(Equivalencia!$3:$3)-YEAR(C570))*14)+MONTH(C570)+2,FALSE)))</f>
        <v>1</v>
      </c>
      <c r="J570" s="178">
        <f t="shared" si="91"/>
        <v>199.69</v>
      </c>
      <c r="K570" s="462">
        <f>IF(C570=0,0,VLOOKUP(YEAR(C570),INPC!$B$4:$O$29,MONTH(C570)+1))</f>
        <v>118.002</v>
      </c>
      <c r="L570" s="462">
        <f>IF(S570=0,0,VLOOKUP(YEAR(S570),INPC!$B$4:$O$29,MONTH(S570)+1))</f>
        <v>123.803</v>
      </c>
      <c r="M570" s="463">
        <f t="shared" si="84"/>
        <v>1.0490999999999999</v>
      </c>
      <c r="N570" s="465">
        <f t="shared" si="92"/>
        <v>209.49477899999999</v>
      </c>
      <c r="O570" s="179"/>
      <c r="P570" s="180">
        <v>5</v>
      </c>
      <c r="Q570" s="173" t="s">
        <v>583</v>
      </c>
      <c r="R570" s="173" t="s">
        <v>230</v>
      </c>
      <c r="S570" s="174">
        <v>44790</v>
      </c>
      <c r="T570" s="173" t="s">
        <v>33</v>
      </c>
      <c r="U570" s="182">
        <v>179.88706896551724</v>
      </c>
      <c r="V570" s="177">
        <f>IF(U570=0,0,IF(T570="MXN",1/HLOOKUP(YEAR(S570)+(MONTH(S570)/100),TC!$5:$37,DAY(S570)+2,FALSE),VLOOKUP(T570,Equivalencia!$1:$23,((MAX(Equivalencia!$3:$3)-YEAR(S570))*14)+MONTH(S570)+2,FALSE)))</f>
        <v>1</v>
      </c>
      <c r="W570" s="178">
        <f t="shared" si="89"/>
        <v>179.88706896551724</v>
      </c>
      <c r="X570" s="481">
        <f t="shared" si="85"/>
        <v>-19.802931034482754</v>
      </c>
      <c r="Y570" s="179"/>
      <c r="Z570" s="466">
        <f t="shared" si="86"/>
        <v>209.49477899999999</v>
      </c>
      <c r="AA570" s="473">
        <f t="shared" si="87"/>
        <v>-29.60771003448275</v>
      </c>
      <c r="AB570" s="339">
        <f t="shared" si="88"/>
        <v>-9.916836613993063E-2</v>
      </c>
    </row>
    <row r="571" spans="2:28" ht="20.100000000000001" customHeight="1">
      <c r="B571" s="172">
        <v>1175000</v>
      </c>
      <c r="C571" s="174">
        <v>44616</v>
      </c>
      <c r="D571" s="181" t="s">
        <v>174</v>
      </c>
      <c r="E571" s="173" t="s">
        <v>33</v>
      </c>
      <c r="F571" s="176">
        <v>1398.1999999999998</v>
      </c>
      <c r="G571" s="175">
        <f t="shared" si="90"/>
        <v>35</v>
      </c>
      <c r="H571" s="175">
        <f t="shared" si="83"/>
        <v>1398.1999999999998</v>
      </c>
      <c r="I571" s="177">
        <f>IF(G571=0,0,IF(E571="MXN",1/HLOOKUP(YEAR(C571)+(MONTH(C571)/100),TC!$5:$37,DAY(C571)+2,FALSE),VLOOKUP(E571,Equivalencia!$5:$23,((MAX(Equivalencia!$3:$3)-YEAR(C571))*14)+MONTH(C571)+2,FALSE)))</f>
        <v>1</v>
      </c>
      <c r="J571" s="178">
        <f t="shared" si="91"/>
        <v>1398.1999999999998</v>
      </c>
      <c r="K571" s="462">
        <f>IF(C571=0,0,VLOOKUP(YEAR(C571),INPC!$B$4:$O$29,MONTH(C571)+1))</f>
        <v>118.98099999999999</v>
      </c>
      <c r="L571" s="462">
        <f>IF(S571=0,0,VLOOKUP(YEAR(S571),INPC!$B$4:$O$29,MONTH(S571)+1))</f>
        <v>123.803</v>
      </c>
      <c r="M571" s="463">
        <f t="shared" si="84"/>
        <v>1.0405</v>
      </c>
      <c r="N571" s="465">
        <f t="shared" si="92"/>
        <v>1454.8270999999997</v>
      </c>
      <c r="O571" s="179"/>
      <c r="P571" s="180">
        <v>35</v>
      </c>
      <c r="Q571" s="173" t="s">
        <v>583</v>
      </c>
      <c r="R571" s="173" t="s">
        <v>230</v>
      </c>
      <c r="S571" s="174">
        <v>44790</v>
      </c>
      <c r="T571" s="173" t="s">
        <v>33</v>
      </c>
      <c r="U571" s="182">
        <v>1259.2094827586209</v>
      </c>
      <c r="V571" s="177">
        <f>IF(U571=0,0,IF(T571="MXN",1/HLOOKUP(YEAR(S571)+(MONTH(S571)/100),TC!$5:$37,DAY(S571)+2,FALSE),VLOOKUP(T571,Equivalencia!$1:$23,((MAX(Equivalencia!$3:$3)-YEAR(S571))*14)+MONTH(S571)+2,FALSE)))</f>
        <v>1</v>
      </c>
      <c r="W571" s="178">
        <f t="shared" si="89"/>
        <v>1259.2094827586209</v>
      </c>
      <c r="X571" s="481">
        <f t="shared" si="85"/>
        <v>-138.99051724137894</v>
      </c>
      <c r="Y571" s="179"/>
      <c r="Z571" s="466">
        <f t="shared" si="86"/>
        <v>1454.8270999999997</v>
      </c>
      <c r="AA571" s="473">
        <f t="shared" si="87"/>
        <v>-195.61761724137887</v>
      </c>
      <c r="AB571" s="339">
        <f t="shared" si="88"/>
        <v>-9.9406749564711072E-2</v>
      </c>
    </row>
    <row r="572" spans="2:28" ht="20.100000000000001" customHeight="1">
      <c r="B572" s="172">
        <v>1175000</v>
      </c>
      <c r="C572" s="174">
        <v>44616</v>
      </c>
      <c r="D572" s="181" t="s">
        <v>174</v>
      </c>
      <c r="E572" s="173" t="s">
        <v>33</v>
      </c>
      <c r="F572" s="176">
        <v>390.65</v>
      </c>
      <c r="G572" s="175">
        <f t="shared" si="90"/>
        <v>10</v>
      </c>
      <c r="H572" s="175">
        <f t="shared" si="83"/>
        <v>390.65</v>
      </c>
      <c r="I572" s="177">
        <f>IF(G572=0,0,IF(E572="MXN",1/HLOOKUP(YEAR(C572)+(MONTH(C572)/100),TC!$5:$37,DAY(C572)+2,FALSE),VLOOKUP(E572,Equivalencia!$5:$23,((MAX(Equivalencia!$3:$3)-YEAR(C572))*14)+MONTH(C572)+2,FALSE)))</f>
        <v>1</v>
      </c>
      <c r="J572" s="178">
        <f t="shared" si="91"/>
        <v>390.65</v>
      </c>
      <c r="K572" s="462">
        <f>IF(C572=0,0,VLOOKUP(YEAR(C572),INPC!$B$4:$O$29,MONTH(C572)+1))</f>
        <v>118.98099999999999</v>
      </c>
      <c r="L572" s="462">
        <f>IF(S572=0,0,VLOOKUP(YEAR(S572),INPC!$B$4:$O$29,MONTH(S572)+1))</f>
        <v>123.803</v>
      </c>
      <c r="M572" s="463">
        <f t="shared" si="84"/>
        <v>1.0405</v>
      </c>
      <c r="N572" s="465">
        <f t="shared" si="92"/>
        <v>406.47132499999998</v>
      </c>
      <c r="O572" s="179"/>
      <c r="P572" s="180">
        <v>10</v>
      </c>
      <c r="Q572" s="173" t="s">
        <v>583</v>
      </c>
      <c r="R572" s="173" t="s">
        <v>230</v>
      </c>
      <c r="S572" s="174">
        <v>44790</v>
      </c>
      <c r="T572" s="173" t="s">
        <v>33</v>
      </c>
      <c r="U572" s="182">
        <v>359.77413793103449</v>
      </c>
      <c r="V572" s="177">
        <f>IF(U572=0,0,IF(T572="MXN",1/HLOOKUP(YEAR(S572)+(MONTH(S572)/100),TC!$5:$37,DAY(S572)+2,FALSE),VLOOKUP(T572,Equivalencia!$1:$23,((MAX(Equivalencia!$3:$3)-YEAR(S572))*14)+MONTH(S572)+2,FALSE)))</f>
        <v>1</v>
      </c>
      <c r="W572" s="178">
        <f t="shared" si="89"/>
        <v>359.77413793103449</v>
      </c>
      <c r="X572" s="481">
        <f t="shared" si="85"/>
        <v>-30.875862068965489</v>
      </c>
      <c r="Y572" s="179"/>
      <c r="Z572" s="466">
        <f t="shared" si="86"/>
        <v>406.47132499999998</v>
      </c>
      <c r="AA572" s="473">
        <f t="shared" si="87"/>
        <v>-46.697187068965491</v>
      </c>
      <c r="AB572" s="339">
        <f t="shared" si="88"/>
        <v>-7.9037148519046418E-2</v>
      </c>
    </row>
    <row r="573" spans="2:28" ht="20.100000000000001" customHeight="1">
      <c r="B573" s="172">
        <v>1175000</v>
      </c>
      <c r="C573" s="174">
        <v>44616</v>
      </c>
      <c r="D573" s="181" t="s">
        <v>174</v>
      </c>
      <c r="E573" s="173" t="s">
        <v>33</v>
      </c>
      <c r="F573" s="176">
        <v>314.46769230769229</v>
      </c>
      <c r="G573" s="175">
        <f t="shared" si="90"/>
        <v>8</v>
      </c>
      <c r="H573" s="175">
        <f t="shared" si="83"/>
        <v>314.46769230769229</v>
      </c>
      <c r="I573" s="177">
        <f>IF(G573=0,0,IF(E573="MXN",1/HLOOKUP(YEAR(C573)+(MONTH(C573)/100),TC!$5:$37,DAY(C573)+2,FALSE),VLOOKUP(E573,Equivalencia!$5:$23,((MAX(Equivalencia!$3:$3)-YEAR(C573))*14)+MONTH(C573)+2,FALSE)))</f>
        <v>1</v>
      </c>
      <c r="J573" s="178">
        <f t="shared" si="91"/>
        <v>314.46769230769229</v>
      </c>
      <c r="K573" s="462">
        <f>IF(C573=0,0,VLOOKUP(YEAR(C573),INPC!$B$4:$O$29,MONTH(C573)+1))</f>
        <v>118.98099999999999</v>
      </c>
      <c r="L573" s="462">
        <f>IF(S573=0,0,VLOOKUP(YEAR(S573),INPC!$B$4:$O$29,MONTH(S573)+1))</f>
        <v>123.803</v>
      </c>
      <c r="M573" s="463">
        <f t="shared" si="84"/>
        <v>1.0405</v>
      </c>
      <c r="N573" s="465">
        <f t="shared" si="92"/>
        <v>327.20363384615382</v>
      </c>
      <c r="O573" s="179"/>
      <c r="P573" s="180">
        <v>8</v>
      </c>
      <c r="Q573" s="173" t="s">
        <v>583</v>
      </c>
      <c r="R573" s="173" t="s">
        <v>230</v>
      </c>
      <c r="S573" s="174">
        <v>44790</v>
      </c>
      <c r="T573" s="173" t="s">
        <v>33</v>
      </c>
      <c r="U573" s="182">
        <v>287.81931034482761</v>
      </c>
      <c r="V573" s="177">
        <f>IF(U573=0,0,IF(T573="MXN",1/HLOOKUP(YEAR(S573)+(MONTH(S573)/100),TC!$5:$37,DAY(S573)+2,FALSE),VLOOKUP(T573,Equivalencia!$1:$23,((MAX(Equivalencia!$3:$3)-YEAR(S573))*14)+MONTH(S573)+2,FALSE)))</f>
        <v>1</v>
      </c>
      <c r="W573" s="178">
        <f t="shared" si="89"/>
        <v>287.81931034482761</v>
      </c>
      <c r="X573" s="481">
        <f t="shared" si="85"/>
        <v>-26.648381962864676</v>
      </c>
      <c r="Y573" s="179"/>
      <c r="Z573" s="466">
        <f t="shared" si="86"/>
        <v>327.20363384615382</v>
      </c>
      <c r="AA573" s="473">
        <f t="shared" si="87"/>
        <v>-39.384323501326207</v>
      </c>
      <c r="AB573" s="339">
        <f t="shared" si="88"/>
        <v>-8.4741239290141324E-2</v>
      </c>
    </row>
    <row r="574" spans="2:28" ht="20.100000000000001" customHeight="1">
      <c r="B574" s="172">
        <v>1175000</v>
      </c>
      <c r="C574" s="174">
        <v>44616</v>
      </c>
      <c r="D574" s="181" t="s">
        <v>174</v>
      </c>
      <c r="E574" s="173" t="s">
        <v>33</v>
      </c>
      <c r="F574" s="176">
        <v>707.55230769230764</v>
      </c>
      <c r="G574" s="175">
        <f t="shared" si="90"/>
        <v>18</v>
      </c>
      <c r="H574" s="175">
        <f t="shared" si="83"/>
        <v>707.55230769230764</v>
      </c>
      <c r="I574" s="177">
        <f>IF(G574=0,0,IF(E574="MXN",1/HLOOKUP(YEAR(C574)+(MONTH(C574)/100),TC!$5:$37,DAY(C574)+2,FALSE),VLOOKUP(E574,Equivalencia!$5:$23,((MAX(Equivalencia!$3:$3)-YEAR(C574))*14)+MONTH(C574)+2,FALSE)))</f>
        <v>1</v>
      </c>
      <c r="J574" s="178">
        <f t="shared" si="91"/>
        <v>707.55230769230764</v>
      </c>
      <c r="K574" s="462">
        <f>IF(C574=0,0,VLOOKUP(YEAR(C574),INPC!$B$4:$O$29,MONTH(C574)+1))</f>
        <v>118.98099999999999</v>
      </c>
      <c r="L574" s="462">
        <f>IF(S574=0,0,VLOOKUP(YEAR(S574),INPC!$B$4:$O$29,MONTH(S574)+1))</f>
        <v>123.803</v>
      </c>
      <c r="M574" s="463">
        <f t="shared" si="84"/>
        <v>1.0405</v>
      </c>
      <c r="N574" s="465">
        <f t="shared" si="92"/>
        <v>736.20817615384613</v>
      </c>
      <c r="O574" s="179"/>
      <c r="P574" s="180">
        <v>18</v>
      </c>
      <c r="Q574" s="173" t="s">
        <v>583</v>
      </c>
      <c r="R574" s="173" t="s">
        <v>230</v>
      </c>
      <c r="S574" s="174">
        <v>44791</v>
      </c>
      <c r="T574" s="173" t="s">
        <v>33</v>
      </c>
      <c r="U574" s="182">
        <v>663.25500000000011</v>
      </c>
      <c r="V574" s="177">
        <f>IF(U574=0,0,IF(T574="MXN",1/HLOOKUP(YEAR(S574)+(MONTH(S574)/100),TC!$5:$37,DAY(S574)+2,FALSE),VLOOKUP(T574,Equivalencia!$1:$23,((MAX(Equivalencia!$3:$3)-YEAR(S574))*14)+MONTH(S574)+2,FALSE)))</f>
        <v>1</v>
      </c>
      <c r="W574" s="178">
        <f t="shared" si="89"/>
        <v>663.25500000000011</v>
      </c>
      <c r="X574" s="481">
        <f t="shared" si="85"/>
        <v>-44.297307692307527</v>
      </c>
      <c r="Y574" s="179"/>
      <c r="Z574" s="466">
        <f t="shared" si="86"/>
        <v>736.20817615384613</v>
      </c>
      <c r="AA574" s="473">
        <f t="shared" si="87"/>
        <v>-72.953176153846016</v>
      </c>
      <c r="AB574" s="339">
        <f t="shared" si="88"/>
        <v>-6.2606406919629487E-2</v>
      </c>
    </row>
    <row r="575" spans="2:28" ht="20.100000000000001" customHeight="1">
      <c r="B575" s="172">
        <v>1175000</v>
      </c>
      <c r="C575" s="174">
        <v>44616</v>
      </c>
      <c r="D575" s="181" t="s">
        <v>174</v>
      </c>
      <c r="E575" s="173" t="s">
        <v>33</v>
      </c>
      <c r="F575" s="176">
        <v>238.0129411764706</v>
      </c>
      <c r="G575" s="175">
        <f t="shared" si="90"/>
        <v>6</v>
      </c>
      <c r="H575" s="175">
        <f t="shared" si="83"/>
        <v>238.0129411764706</v>
      </c>
      <c r="I575" s="177">
        <f>IF(G575=0,0,IF(E575="MXN",1/HLOOKUP(YEAR(C575)+(MONTH(C575)/100),TC!$5:$37,DAY(C575)+2,FALSE),VLOOKUP(E575,Equivalencia!$5:$23,((MAX(Equivalencia!$3:$3)-YEAR(C575))*14)+MONTH(C575)+2,FALSE)))</f>
        <v>1</v>
      </c>
      <c r="J575" s="178">
        <f t="shared" si="91"/>
        <v>238.0129411764706</v>
      </c>
      <c r="K575" s="462">
        <f>IF(C575=0,0,VLOOKUP(YEAR(C575),INPC!$B$4:$O$29,MONTH(C575)+1))</f>
        <v>118.98099999999999</v>
      </c>
      <c r="L575" s="462">
        <f>IF(S575=0,0,VLOOKUP(YEAR(S575),INPC!$B$4:$O$29,MONTH(S575)+1))</f>
        <v>123.803</v>
      </c>
      <c r="M575" s="463">
        <f t="shared" si="84"/>
        <v>1.0405</v>
      </c>
      <c r="N575" s="465">
        <f t="shared" si="92"/>
        <v>247.65246529411766</v>
      </c>
      <c r="O575" s="179"/>
      <c r="P575" s="180">
        <v>6</v>
      </c>
      <c r="Q575" s="173" t="s">
        <v>583</v>
      </c>
      <c r="R575" s="173" t="s">
        <v>230</v>
      </c>
      <c r="S575" s="174">
        <v>44791</v>
      </c>
      <c r="T575" s="173" t="s">
        <v>33</v>
      </c>
      <c r="U575" s="182">
        <v>221.08500000000004</v>
      </c>
      <c r="V575" s="177">
        <f>IF(U575=0,0,IF(T575="MXN",1/HLOOKUP(YEAR(S575)+(MONTH(S575)/100),TC!$5:$37,DAY(S575)+2,FALSE),VLOOKUP(T575,Equivalencia!$1:$23,((MAX(Equivalencia!$3:$3)-YEAR(S575))*14)+MONTH(S575)+2,FALSE)))</f>
        <v>1</v>
      </c>
      <c r="W575" s="178">
        <f t="shared" si="89"/>
        <v>221.08500000000004</v>
      </c>
      <c r="X575" s="481">
        <f t="shared" si="85"/>
        <v>-16.927941176470569</v>
      </c>
      <c r="Y575" s="179"/>
      <c r="Z575" s="466">
        <f t="shared" si="86"/>
        <v>247.65246529411766</v>
      </c>
      <c r="AA575" s="473">
        <f t="shared" si="87"/>
        <v>-26.567465294117625</v>
      </c>
      <c r="AB575" s="339">
        <f t="shared" si="88"/>
        <v>-7.1121936029182709E-2</v>
      </c>
    </row>
    <row r="576" spans="2:28" ht="20.100000000000001" customHeight="1">
      <c r="B576" s="172">
        <v>1175000</v>
      </c>
      <c r="C576" s="174">
        <v>44616</v>
      </c>
      <c r="D576" s="181" t="s">
        <v>174</v>
      </c>
      <c r="E576" s="173" t="s">
        <v>33</v>
      </c>
      <c r="F576" s="176">
        <v>277.68176470588236</v>
      </c>
      <c r="G576" s="175">
        <f t="shared" si="90"/>
        <v>7</v>
      </c>
      <c r="H576" s="175">
        <f t="shared" si="83"/>
        <v>277.68176470588236</v>
      </c>
      <c r="I576" s="177">
        <f>IF(G576=0,0,IF(E576="MXN",1/HLOOKUP(YEAR(C576)+(MONTH(C576)/100),TC!$5:$37,DAY(C576)+2,FALSE),VLOOKUP(E576,Equivalencia!$5:$23,((MAX(Equivalencia!$3:$3)-YEAR(C576))*14)+MONTH(C576)+2,FALSE)))</f>
        <v>1</v>
      </c>
      <c r="J576" s="178">
        <f t="shared" si="91"/>
        <v>277.68176470588236</v>
      </c>
      <c r="K576" s="462">
        <f>IF(C576=0,0,VLOOKUP(YEAR(C576),INPC!$B$4:$O$29,MONTH(C576)+1))</f>
        <v>118.98099999999999</v>
      </c>
      <c r="L576" s="462">
        <f>IF(S576=0,0,VLOOKUP(YEAR(S576),INPC!$B$4:$O$29,MONTH(S576)+1))</f>
        <v>123.803</v>
      </c>
      <c r="M576" s="463">
        <f t="shared" si="84"/>
        <v>1.0405</v>
      </c>
      <c r="N576" s="465">
        <f t="shared" si="92"/>
        <v>288.92787617647059</v>
      </c>
      <c r="O576" s="179"/>
      <c r="P576" s="180">
        <v>7</v>
      </c>
      <c r="Q576" s="173" t="s">
        <v>583</v>
      </c>
      <c r="R576" s="173" t="s">
        <v>230</v>
      </c>
      <c r="S576" s="174">
        <v>44791</v>
      </c>
      <c r="T576" s="173" t="s">
        <v>33</v>
      </c>
      <c r="U576" s="182">
        <v>257.61</v>
      </c>
      <c r="V576" s="177">
        <f>IF(U576=0,0,IF(T576="MXN",1/HLOOKUP(YEAR(S576)+(MONTH(S576)/100),TC!$5:$37,DAY(S576)+2,FALSE),VLOOKUP(T576,Equivalencia!$1:$23,((MAX(Equivalencia!$3:$3)-YEAR(S576))*14)+MONTH(S576)+2,FALSE)))</f>
        <v>1</v>
      </c>
      <c r="W576" s="178">
        <f t="shared" si="89"/>
        <v>257.61</v>
      </c>
      <c r="X576" s="481">
        <f t="shared" si="85"/>
        <v>-20.071764705882345</v>
      </c>
      <c r="Y576" s="179"/>
      <c r="Z576" s="466">
        <f t="shared" si="86"/>
        <v>288.92787617647059</v>
      </c>
      <c r="AA576" s="473">
        <f t="shared" si="87"/>
        <v>-31.317876176470577</v>
      </c>
      <c r="AB576" s="339">
        <f t="shared" si="88"/>
        <v>-7.2283337464172925E-2</v>
      </c>
    </row>
    <row r="577" spans="2:28" ht="20.100000000000001" customHeight="1">
      <c r="B577" s="172">
        <v>1175000</v>
      </c>
      <c r="C577" s="174">
        <v>44616</v>
      </c>
      <c r="D577" s="181" t="s">
        <v>174</v>
      </c>
      <c r="E577" s="173" t="s">
        <v>33</v>
      </c>
      <c r="F577" s="176">
        <v>158.67529411764707</v>
      </c>
      <c r="G577" s="175">
        <f t="shared" si="90"/>
        <v>4</v>
      </c>
      <c r="H577" s="175">
        <f t="shared" si="83"/>
        <v>158.67529411764707</v>
      </c>
      <c r="I577" s="177">
        <f>IF(G577=0,0,IF(E577="MXN",1/HLOOKUP(YEAR(C577)+(MONTH(C577)/100),TC!$5:$37,DAY(C577)+2,FALSE),VLOOKUP(E577,Equivalencia!$5:$23,((MAX(Equivalencia!$3:$3)-YEAR(C577))*14)+MONTH(C577)+2,FALSE)))</f>
        <v>1</v>
      </c>
      <c r="J577" s="178">
        <f t="shared" si="91"/>
        <v>158.67529411764707</v>
      </c>
      <c r="K577" s="462">
        <f>IF(C577=0,0,VLOOKUP(YEAR(C577),INPC!$B$4:$O$29,MONTH(C577)+1))</f>
        <v>118.98099999999999</v>
      </c>
      <c r="L577" s="462">
        <f>IF(S577=0,0,VLOOKUP(YEAR(S577),INPC!$B$4:$O$29,MONTH(S577)+1))</f>
        <v>123.803</v>
      </c>
      <c r="M577" s="463">
        <f t="shared" si="84"/>
        <v>1.0405</v>
      </c>
      <c r="N577" s="465">
        <f t="shared" si="92"/>
        <v>165.10164352941177</v>
      </c>
      <c r="O577" s="179"/>
      <c r="P577" s="180">
        <v>4</v>
      </c>
      <c r="Q577" s="173" t="s">
        <v>583</v>
      </c>
      <c r="R577" s="173" t="s">
        <v>230</v>
      </c>
      <c r="S577" s="174">
        <v>44791</v>
      </c>
      <c r="T577" s="173" t="s">
        <v>33</v>
      </c>
      <c r="U577" s="182">
        <v>146.07142857142858</v>
      </c>
      <c r="V577" s="177">
        <f>IF(U577=0,0,IF(T577="MXN",1/HLOOKUP(YEAR(S577)+(MONTH(S577)/100),TC!$5:$37,DAY(S577)+2,FALSE),VLOOKUP(T577,Equivalencia!$1:$23,((MAX(Equivalencia!$3:$3)-YEAR(S577))*14)+MONTH(S577)+2,FALSE)))</f>
        <v>1</v>
      </c>
      <c r="W577" s="178">
        <f t="shared" si="89"/>
        <v>146.07142857142858</v>
      </c>
      <c r="X577" s="481">
        <f t="shared" si="85"/>
        <v>-12.603865546218486</v>
      </c>
      <c r="Y577" s="179"/>
      <c r="Z577" s="466">
        <f t="shared" si="86"/>
        <v>165.10164352941177</v>
      </c>
      <c r="AA577" s="473">
        <f t="shared" si="87"/>
        <v>-19.030214957983191</v>
      </c>
      <c r="AB577" s="339">
        <f t="shared" si="88"/>
        <v>-7.9431808312096619E-2</v>
      </c>
    </row>
    <row r="578" spans="2:28" ht="20.100000000000001" customHeight="1">
      <c r="B578" s="172">
        <v>1175000</v>
      </c>
      <c r="C578" s="174">
        <v>44616</v>
      </c>
      <c r="D578" s="181" t="s">
        <v>174</v>
      </c>
      <c r="E578" s="173" t="s">
        <v>33</v>
      </c>
      <c r="F578" s="176">
        <v>390.85</v>
      </c>
      <c r="G578" s="175">
        <f t="shared" si="90"/>
        <v>10</v>
      </c>
      <c r="H578" s="175">
        <f t="shared" ref="H578:H641" si="93">IF(F578=0,0,(F578/G578)*P578)</f>
        <v>390.85</v>
      </c>
      <c r="I578" s="177">
        <f>IF(G578=0,0,IF(E578="MXN",1/HLOOKUP(YEAR(C578)+(MONTH(C578)/100),TC!$5:$37,DAY(C578)+2,FALSE),VLOOKUP(E578,Equivalencia!$5:$23,((MAX(Equivalencia!$3:$3)-YEAR(C578))*14)+MONTH(C578)+2,FALSE)))</f>
        <v>1</v>
      </c>
      <c r="J578" s="178">
        <f t="shared" si="91"/>
        <v>390.85</v>
      </c>
      <c r="K578" s="462">
        <f>IF(C578=0,0,VLOOKUP(YEAR(C578),INPC!$B$4:$O$29,MONTH(C578)+1))</f>
        <v>118.98099999999999</v>
      </c>
      <c r="L578" s="462">
        <f>IF(S578=0,0,VLOOKUP(YEAR(S578),INPC!$B$4:$O$29,MONTH(S578)+1))</f>
        <v>123.803</v>
      </c>
      <c r="M578" s="463">
        <f t="shared" ref="M578:M641" si="94">IF(H578=0,0,IF(R578=$AF$4,1,IF(TRUNC(L578/K578,4)&gt;=1,TRUNC(L578/K578,4),1)))</f>
        <v>1.0405</v>
      </c>
      <c r="N578" s="465">
        <f t="shared" si="92"/>
        <v>406.67942500000004</v>
      </c>
      <c r="O578" s="179"/>
      <c r="P578" s="180">
        <v>10</v>
      </c>
      <c r="Q578" s="173" t="s">
        <v>583</v>
      </c>
      <c r="R578" s="173" t="s">
        <v>230</v>
      </c>
      <c r="S578" s="174">
        <v>44791</v>
      </c>
      <c r="T578" s="173" t="s">
        <v>33</v>
      </c>
      <c r="U578" s="182">
        <v>365.17857142857144</v>
      </c>
      <c r="V578" s="177">
        <f>IF(U578=0,0,IF(T578="MXN",1/HLOOKUP(YEAR(S578)+(MONTH(S578)/100),TC!$5:$37,DAY(S578)+2,FALSE),VLOOKUP(T578,Equivalencia!$1:$23,((MAX(Equivalencia!$3:$3)-YEAR(S578))*14)+MONTH(S578)+2,FALSE)))</f>
        <v>1</v>
      </c>
      <c r="W578" s="178">
        <f t="shared" si="89"/>
        <v>365.17857142857144</v>
      </c>
      <c r="X578" s="481">
        <f t="shared" ref="X578:X641" si="95">+W578-J578</f>
        <v>-25.671428571428578</v>
      </c>
      <c r="Y578" s="179"/>
      <c r="Z578" s="466">
        <f t="shared" ref="Z578:Z641" si="96">N578</f>
        <v>406.67942500000004</v>
      </c>
      <c r="AA578" s="473">
        <f t="shared" ref="AA578:AA641" si="97">+W578-Z578</f>
        <v>-41.500853571428593</v>
      </c>
      <c r="AB578" s="339">
        <f t="shared" ref="AB578:AB641" si="98">+IF(P578=0,0,(U578/F578)-1)</f>
        <v>-6.568102487253058E-2</v>
      </c>
    </row>
    <row r="579" spans="2:28" ht="20.100000000000001" customHeight="1">
      <c r="B579" s="172">
        <v>1175000</v>
      </c>
      <c r="C579" s="174">
        <v>43465</v>
      </c>
      <c r="D579" s="181" t="s">
        <v>162</v>
      </c>
      <c r="E579" s="173" t="s">
        <v>33</v>
      </c>
      <c r="F579" s="176">
        <v>83.966350364963503</v>
      </c>
      <c r="G579" s="175">
        <f t="shared" si="90"/>
        <v>1</v>
      </c>
      <c r="H579" s="175">
        <f t="shared" si="93"/>
        <v>83.966350364963503</v>
      </c>
      <c r="I579" s="177">
        <f>IF(G579=0,0,IF(E579="MXN",1/HLOOKUP(YEAR(C579)+(MONTH(C579)/100),TC!$5:$37,DAY(C579)+2,FALSE),VLOOKUP(E579,Equivalencia!$5:$23,((MAX(Equivalencia!$3:$3)-YEAR(C579))*14)+MONTH(C579)+2,FALSE)))</f>
        <v>1</v>
      </c>
      <c r="J579" s="178">
        <f t="shared" si="91"/>
        <v>83.966350364963503</v>
      </c>
      <c r="K579" s="462">
        <f>IF(C579=0,0,VLOOKUP(YEAR(C579),INPC!$B$4:$O$29,MONTH(C579)+1))</f>
        <v>103.02</v>
      </c>
      <c r="L579" s="462">
        <f>IF(S579=0,0,VLOOKUP(YEAR(S579),INPC!$B$4:$O$29,MONTH(S579)+1))</f>
        <v>123.803</v>
      </c>
      <c r="M579" s="463">
        <f t="shared" si="94"/>
        <v>1.2017</v>
      </c>
      <c r="N579" s="465">
        <f t="shared" si="92"/>
        <v>100.90236323357664</v>
      </c>
      <c r="O579" s="179"/>
      <c r="P579" s="180">
        <v>1</v>
      </c>
      <c r="Q579" s="173" t="s">
        <v>583</v>
      </c>
      <c r="R579" s="173" t="s">
        <v>230</v>
      </c>
      <c r="S579" s="174">
        <v>44804</v>
      </c>
      <c r="T579" s="173" t="s">
        <v>33</v>
      </c>
      <c r="U579" s="182">
        <v>161.36000000000001</v>
      </c>
      <c r="V579" s="177">
        <f>IF(U579=0,0,IF(T579="MXN",1/HLOOKUP(YEAR(S579)+(MONTH(S579)/100),TC!$5:$37,DAY(S579)+2,FALSE),VLOOKUP(T579,Equivalencia!$1:$23,((MAX(Equivalencia!$3:$3)-YEAR(S579))*14)+MONTH(S579)+2,FALSE)))</f>
        <v>1</v>
      </c>
      <c r="W579" s="178">
        <f t="shared" ref="W579:W642" si="99">+V579*U579</f>
        <v>161.36000000000001</v>
      </c>
      <c r="X579" s="481">
        <f t="shared" si="95"/>
        <v>77.39364963503651</v>
      </c>
      <c r="Y579" s="179"/>
      <c r="Z579" s="466">
        <f t="shared" si="96"/>
        <v>100.90236323357664</v>
      </c>
      <c r="AA579" s="473">
        <f t="shared" si="97"/>
        <v>60.457636766423377</v>
      </c>
      <c r="AB579" s="339">
        <f t="shared" si="98"/>
        <v>0.92172220536728755</v>
      </c>
    </row>
    <row r="580" spans="2:28" ht="20.100000000000001" customHeight="1">
      <c r="B580" s="172">
        <v>1175000</v>
      </c>
      <c r="C580" s="174">
        <v>43465</v>
      </c>
      <c r="D580" s="181" t="s">
        <v>162</v>
      </c>
      <c r="E580" s="173" t="s">
        <v>33</v>
      </c>
      <c r="F580" s="176">
        <v>1511.3943065693431</v>
      </c>
      <c r="G580" s="175">
        <f t="shared" si="90"/>
        <v>18</v>
      </c>
      <c r="H580" s="175">
        <f t="shared" si="93"/>
        <v>1511.3943065693431</v>
      </c>
      <c r="I580" s="177">
        <f>IF(G580=0,0,IF(E580="MXN",1/HLOOKUP(YEAR(C580)+(MONTH(C580)/100),TC!$5:$37,DAY(C580)+2,FALSE),VLOOKUP(E580,Equivalencia!$5:$23,((MAX(Equivalencia!$3:$3)-YEAR(C580))*14)+MONTH(C580)+2,FALSE)))</f>
        <v>1</v>
      </c>
      <c r="J580" s="178">
        <f t="shared" si="91"/>
        <v>1511.3943065693431</v>
      </c>
      <c r="K580" s="462">
        <f>IF(C580=0,0,VLOOKUP(YEAR(C580),INPC!$B$4:$O$29,MONTH(C580)+1))</f>
        <v>103.02</v>
      </c>
      <c r="L580" s="462">
        <f>IF(S580=0,0,VLOOKUP(YEAR(S580),INPC!$B$4:$O$29,MONTH(S580)+1))</f>
        <v>123.803</v>
      </c>
      <c r="M580" s="463">
        <f t="shared" si="94"/>
        <v>1.2017</v>
      </c>
      <c r="N580" s="465">
        <f t="shared" si="92"/>
        <v>1816.2425382043796</v>
      </c>
      <c r="O580" s="179"/>
      <c r="P580" s="180">
        <v>18</v>
      </c>
      <c r="Q580" s="173" t="s">
        <v>583</v>
      </c>
      <c r="R580" s="173" t="s">
        <v>230</v>
      </c>
      <c r="S580" s="174">
        <v>44804</v>
      </c>
      <c r="T580" s="173" t="s">
        <v>33</v>
      </c>
      <c r="U580" s="182">
        <v>2912.77</v>
      </c>
      <c r="V580" s="177">
        <f>IF(U580=0,0,IF(T580="MXN",1/HLOOKUP(YEAR(S580)+(MONTH(S580)/100),TC!$5:$37,DAY(S580)+2,FALSE),VLOOKUP(T580,Equivalencia!$1:$23,((MAX(Equivalencia!$3:$3)-YEAR(S580))*14)+MONTH(S580)+2,FALSE)))</f>
        <v>1</v>
      </c>
      <c r="W580" s="178">
        <f t="shared" si="99"/>
        <v>2912.77</v>
      </c>
      <c r="X580" s="481">
        <f t="shared" si="95"/>
        <v>1401.3756934306568</v>
      </c>
      <c r="Y580" s="179"/>
      <c r="Z580" s="466">
        <f t="shared" si="96"/>
        <v>1816.2425382043796</v>
      </c>
      <c r="AA580" s="473">
        <f t="shared" si="97"/>
        <v>1096.5274617956204</v>
      </c>
      <c r="AB580" s="339">
        <f t="shared" si="98"/>
        <v>0.92720720684173186</v>
      </c>
    </row>
    <row r="581" spans="2:28" ht="20.100000000000001" customHeight="1">
      <c r="B581" s="172">
        <v>1175000</v>
      </c>
      <c r="C581" s="174">
        <v>43830</v>
      </c>
      <c r="D581" s="181" t="s">
        <v>159</v>
      </c>
      <c r="E581" s="173" t="s">
        <v>33</v>
      </c>
      <c r="F581" s="176">
        <v>1455.1130398322853</v>
      </c>
      <c r="G581" s="175">
        <f t="shared" si="90"/>
        <v>17</v>
      </c>
      <c r="H581" s="175">
        <f t="shared" si="93"/>
        <v>1455.1130398322853</v>
      </c>
      <c r="I581" s="177">
        <f>IF(G581=0,0,IF(E581="MXN",1/HLOOKUP(YEAR(C581)+(MONTH(C581)/100),TC!$5:$37,DAY(C581)+2,FALSE),VLOOKUP(E581,Equivalencia!$5:$23,((MAX(Equivalencia!$3:$3)-YEAR(C581))*14)+MONTH(C581)+2,FALSE)))</f>
        <v>1</v>
      </c>
      <c r="J581" s="178">
        <f t="shared" si="91"/>
        <v>1455.1130398322853</v>
      </c>
      <c r="K581" s="462">
        <f>IF(C581=0,0,VLOOKUP(YEAR(C581),INPC!$B$4:$O$29,MONTH(C581)+1))</f>
        <v>105.934</v>
      </c>
      <c r="L581" s="462">
        <f>IF(S581=0,0,VLOOKUP(YEAR(S581),INPC!$B$4:$O$29,MONTH(S581)+1))</f>
        <v>123.803</v>
      </c>
      <c r="M581" s="463">
        <f t="shared" si="94"/>
        <v>1.1686000000000001</v>
      </c>
      <c r="N581" s="465">
        <f t="shared" si="92"/>
        <v>1700.4450983480087</v>
      </c>
      <c r="O581" s="179"/>
      <c r="P581" s="180">
        <v>17</v>
      </c>
      <c r="Q581" s="173" t="s">
        <v>583</v>
      </c>
      <c r="R581" s="173" t="s">
        <v>230</v>
      </c>
      <c r="S581" s="174">
        <v>44804</v>
      </c>
      <c r="T581" s="173" t="s">
        <v>33</v>
      </c>
      <c r="U581" s="182">
        <v>2808.34</v>
      </c>
      <c r="V581" s="177">
        <f>IF(U581=0,0,IF(T581="MXN",1/HLOOKUP(YEAR(S581)+(MONTH(S581)/100),TC!$5:$37,DAY(S581)+2,FALSE),VLOOKUP(T581,Equivalencia!$1:$23,((MAX(Equivalencia!$3:$3)-YEAR(S581))*14)+MONTH(S581)+2,FALSE)))</f>
        <v>1</v>
      </c>
      <c r="W581" s="178">
        <f t="shared" si="99"/>
        <v>2808.34</v>
      </c>
      <c r="X581" s="481">
        <f t="shared" si="95"/>
        <v>1353.2269601677149</v>
      </c>
      <c r="Y581" s="179"/>
      <c r="Z581" s="466">
        <f t="shared" si="96"/>
        <v>1700.4450983480087</v>
      </c>
      <c r="AA581" s="473">
        <f t="shared" si="97"/>
        <v>1107.8949016519914</v>
      </c>
      <c r="AB581" s="339">
        <f t="shared" si="98"/>
        <v>0.92998064282599402</v>
      </c>
    </row>
    <row r="582" spans="2:28" ht="20.100000000000001" customHeight="1">
      <c r="B582" s="172">
        <v>1175000</v>
      </c>
      <c r="C582" s="174">
        <v>43830</v>
      </c>
      <c r="D582" s="181" t="s">
        <v>159</v>
      </c>
      <c r="E582" s="173" t="s">
        <v>33</v>
      </c>
      <c r="F582" s="176">
        <v>3252.6056184486374</v>
      </c>
      <c r="G582" s="175">
        <f t="shared" ref="G582:G645" si="100">+P582</f>
        <v>38</v>
      </c>
      <c r="H582" s="175">
        <f t="shared" si="93"/>
        <v>3252.6056184486374</v>
      </c>
      <c r="I582" s="177">
        <f>IF(G582=0,0,IF(E582="MXN",1/HLOOKUP(YEAR(C582)+(MONTH(C582)/100),TC!$5:$37,DAY(C582)+2,FALSE),VLOOKUP(E582,Equivalencia!$5:$23,((MAX(Equivalencia!$3:$3)-YEAR(C582))*14)+MONTH(C582)+2,FALSE)))</f>
        <v>1</v>
      </c>
      <c r="J582" s="178">
        <f t="shared" ref="J582:J645" si="101">+H582*I582</f>
        <v>3252.6056184486374</v>
      </c>
      <c r="K582" s="462">
        <f>IF(C582=0,0,VLOOKUP(YEAR(C582),INPC!$B$4:$O$29,MONTH(C582)+1))</f>
        <v>105.934</v>
      </c>
      <c r="L582" s="462">
        <f>IF(S582=0,0,VLOOKUP(YEAR(S582),INPC!$B$4:$O$29,MONTH(S582)+1))</f>
        <v>123.803</v>
      </c>
      <c r="M582" s="463">
        <f t="shared" si="94"/>
        <v>1.1686000000000001</v>
      </c>
      <c r="N582" s="465">
        <f t="shared" ref="N582:N645" si="102">+M582*J582</f>
        <v>3800.9949257190779</v>
      </c>
      <c r="O582" s="179"/>
      <c r="P582" s="180">
        <v>38</v>
      </c>
      <c r="Q582" s="173" t="s">
        <v>583</v>
      </c>
      <c r="R582" s="173" t="s">
        <v>230</v>
      </c>
      <c r="S582" s="174">
        <v>44804</v>
      </c>
      <c r="T582" s="173" t="s">
        <v>33</v>
      </c>
      <c r="U582" s="182">
        <v>6277.82</v>
      </c>
      <c r="V582" s="177">
        <f>IF(U582=0,0,IF(T582="MXN",1/HLOOKUP(YEAR(S582)+(MONTH(S582)/100),TC!$5:$37,DAY(S582)+2,FALSE),VLOOKUP(T582,Equivalencia!$1:$23,((MAX(Equivalencia!$3:$3)-YEAR(S582))*14)+MONTH(S582)+2,FALSE)))</f>
        <v>1</v>
      </c>
      <c r="W582" s="178">
        <f t="shared" si="99"/>
        <v>6277.82</v>
      </c>
      <c r="X582" s="481">
        <f t="shared" si="95"/>
        <v>3025.2143815513623</v>
      </c>
      <c r="Y582" s="179"/>
      <c r="Z582" s="466">
        <f t="shared" si="96"/>
        <v>3800.9949257190779</v>
      </c>
      <c r="AA582" s="473">
        <f t="shared" si="97"/>
        <v>2476.8250742809219</v>
      </c>
      <c r="AB582" s="339">
        <f t="shared" si="98"/>
        <v>0.93008951481620716</v>
      </c>
    </row>
    <row r="583" spans="2:28" ht="20.100000000000001" customHeight="1">
      <c r="B583" s="172">
        <v>1175000</v>
      </c>
      <c r="C583" s="174">
        <v>43830</v>
      </c>
      <c r="D583" s="181" t="s">
        <v>159</v>
      </c>
      <c r="E583" s="173" t="s">
        <v>33</v>
      </c>
      <c r="F583" s="176">
        <v>427.97442348008389</v>
      </c>
      <c r="G583" s="175">
        <f t="shared" si="100"/>
        <v>5</v>
      </c>
      <c r="H583" s="175">
        <f t="shared" si="93"/>
        <v>427.97442348008389</v>
      </c>
      <c r="I583" s="177">
        <f>IF(G583=0,0,IF(E583="MXN",1/HLOOKUP(YEAR(C583)+(MONTH(C583)/100),TC!$5:$37,DAY(C583)+2,FALSE),VLOOKUP(E583,Equivalencia!$5:$23,((MAX(Equivalencia!$3:$3)-YEAR(C583))*14)+MONTH(C583)+2,FALSE)))</f>
        <v>1</v>
      </c>
      <c r="J583" s="178">
        <f t="shared" si="101"/>
        <v>427.97442348008389</v>
      </c>
      <c r="K583" s="462">
        <f>IF(C583=0,0,VLOOKUP(YEAR(C583),INPC!$B$4:$O$29,MONTH(C583)+1))</f>
        <v>105.934</v>
      </c>
      <c r="L583" s="462">
        <f>IF(S583=0,0,VLOOKUP(YEAR(S583),INPC!$B$4:$O$29,MONTH(S583)+1))</f>
        <v>123.803</v>
      </c>
      <c r="M583" s="463">
        <f t="shared" si="94"/>
        <v>1.1686000000000001</v>
      </c>
      <c r="N583" s="465">
        <f t="shared" si="102"/>
        <v>500.13091127882609</v>
      </c>
      <c r="O583" s="179"/>
      <c r="P583" s="180">
        <v>5</v>
      </c>
      <c r="Q583" s="173" t="s">
        <v>583</v>
      </c>
      <c r="R583" s="173" t="s">
        <v>230</v>
      </c>
      <c r="S583" s="174">
        <v>44804</v>
      </c>
      <c r="T583" s="173" t="s">
        <v>33</v>
      </c>
      <c r="U583" s="182">
        <v>823.18</v>
      </c>
      <c r="V583" s="177">
        <f>IF(U583=0,0,IF(T583="MXN",1/HLOOKUP(YEAR(S583)+(MONTH(S583)/100),TC!$5:$37,DAY(S583)+2,FALSE),VLOOKUP(T583,Equivalencia!$1:$23,((MAX(Equivalencia!$3:$3)-YEAR(S583))*14)+MONTH(S583)+2,FALSE)))</f>
        <v>1</v>
      </c>
      <c r="W583" s="178">
        <f t="shared" si="99"/>
        <v>823.18</v>
      </c>
      <c r="X583" s="481">
        <f t="shared" si="95"/>
        <v>395.20557651991606</v>
      </c>
      <c r="Y583" s="179"/>
      <c r="Z583" s="466">
        <f t="shared" si="96"/>
        <v>500.13091127882609</v>
      </c>
      <c r="AA583" s="473">
        <f t="shared" si="97"/>
        <v>323.04908872117386</v>
      </c>
      <c r="AB583" s="339">
        <f t="shared" si="98"/>
        <v>0.92343269793155591</v>
      </c>
    </row>
    <row r="584" spans="2:28" ht="20.100000000000001" customHeight="1">
      <c r="B584" s="172">
        <v>1179000</v>
      </c>
      <c r="C584" s="174">
        <v>43830</v>
      </c>
      <c r="D584" s="181" t="s">
        <v>248</v>
      </c>
      <c r="E584" s="173" t="s">
        <v>33</v>
      </c>
      <c r="F584" s="176">
        <v>8204.1554041508498</v>
      </c>
      <c r="G584" s="175">
        <f t="shared" si="100"/>
        <v>82.04</v>
      </c>
      <c r="H584" s="175">
        <f t="shared" si="93"/>
        <v>8204.1554041508498</v>
      </c>
      <c r="I584" s="177">
        <f>IF(G584=0,0,IF(E584="MXN",1/HLOOKUP(YEAR(C584)+(MONTH(C584)/100),TC!$5:$37,DAY(C584)+2,FALSE),VLOOKUP(E584,Equivalencia!$5:$23,((MAX(Equivalencia!$3:$3)-YEAR(C584))*14)+MONTH(C584)+2,FALSE)))</f>
        <v>1</v>
      </c>
      <c r="J584" s="178">
        <f t="shared" si="101"/>
        <v>8204.1554041508498</v>
      </c>
      <c r="K584" s="462">
        <f>IF(C584=0,0,VLOOKUP(YEAR(C584),INPC!$B$4:$O$29,MONTH(C584)+1))</f>
        <v>105.934</v>
      </c>
      <c r="L584" s="462">
        <f>IF(S584=0,0,VLOOKUP(YEAR(S584),INPC!$B$4:$O$29,MONTH(S584)+1))</f>
        <v>118.002</v>
      </c>
      <c r="M584" s="463">
        <f t="shared" si="94"/>
        <v>1.1138999999999999</v>
      </c>
      <c r="N584" s="465">
        <f t="shared" si="102"/>
        <v>9138.608704683631</v>
      </c>
      <c r="O584" s="179"/>
      <c r="P584" s="547">
        <v>82.04</v>
      </c>
      <c r="Q584" s="173" t="s">
        <v>583</v>
      </c>
      <c r="R584" s="173" t="s">
        <v>230</v>
      </c>
      <c r="S584" s="174">
        <v>44572</v>
      </c>
      <c r="T584" s="173" t="s">
        <v>33</v>
      </c>
      <c r="U584" s="182">
        <v>5520.7572926621151</v>
      </c>
      <c r="V584" s="177">
        <f>IF(U584=0,0,IF(T584="MXN",1/HLOOKUP(YEAR(S584)+(MONTH(S584)/100),TC!$5:$37,DAY(S584)+2,FALSE),VLOOKUP(T584,Equivalencia!$1:$23,((MAX(Equivalencia!$3:$3)-YEAR(S584))*14)+MONTH(S584)+2,FALSE)))</f>
        <v>1</v>
      </c>
      <c r="W584" s="178">
        <f t="shared" si="99"/>
        <v>5520.7572926621151</v>
      </c>
      <c r="X584" s="481">
        <f t="shared" si="95"/>
        <v>-2683.3981114887347</v>
      </c>
      <c r="Y584" s="179"/>
      <c r="Z584" s="466">
        <f t="shared" si="96"/>
        <v>9138.608704683631</v>
      </c>
      <c r="AA584" s="473">
        <f t="shared" si="97"/>
        <v>-3617.8514120215159</v>
      </c>
      <c r="AB584" s="339">
        <f t="shared" si="98"/>
        <v>-0.32707792323522822</v>
      </c>
    </row>
    <row r="585" spans="2:28" ht="20.100000000000001" customHeight="1">
      <c r="B585" s="172">
        <v>1179000</v>
      </c>
      <c r="C585" s="174">
        <v>43830</v>
      </c>
      <c r="D585" s="181" t="s">
        <v>248</v>
      </c>
      <c r="E585" s="173" t="s">
        <v>33</v>
      </c>
      <c r="F585" s="176">
        <v>8703.9587794137788</v>
      </c>
      <c r="G585" s="175">
        <f t="shared" si="100"/>
        <v>87.04</v>
      </c>
      <c r="H585" s="175">
        <f t="shared" si="93"/>
        <v>8703.9587794137788</v>
      </c>
      <c r="I585" s="177">
        <f>IF(G585=0,0,IF(E585="MXN",1/HLOOKUP(YEAR(C585)+(MONTH(C585)/100),TC!$5:$37,DAY(C585)+2,FALSE),VLOOKUP(E585,Equivalencia!$5:$23,((MAX(Equivalencia!$3:$3)-YEAR(C585))*14)+MONTH(C585)+2,FALSE)))</f>
        <v>1</v>
      </c>
      <c r="J585" s="178">
        <f t="shared" si="101"/>
        <v>8703.9587794137788</v>
      </c>
      <c r="K585" s="462">
        <f>IF(C585=0,0,VLOOKUP(YEAR(C585),INPC!$B$4:$O$29,MONTH(C585)+1))</f>
        <v>105.934</v>
      </c>
      <c r="L585" s="462">
        <f>IF(S585=0,0,VLOOKUP(YEAR(S585),INPC!$B$4:$O$29,MONTH(S585)+1))</f>
        <v>120.15900000000001</v>
      </c>
      <c r="M585" s="463">
        <f t="shared" si="94"/>
        <v>1.1342000000000001</v>
      </c>
      <c r="N585" s="465">
        <f t="shared" si="102"/>
        <v>9872.0300476111079</v>
      </c>
      <c r="O585" s="179"/>
      <c r="P585" s="547">
        <v>87.04</v>
      </c>
      <c r="Q585" s="173" t="s">
        <v>583</v>
      </c>
      <c r="R585" s="173" t="s">
        <v>230</v>
      </c>
      <c r="S585" s="174">
        <v>44644</v>
      </c>
      <c r="T585" s="173" t="s">
        <v>33</v>
      </c>
      <c r="U585" s="182">
        <v>6018.5108527113971</v>
      </c>
      <c r="V585" s="177">
        <f>IF(U585=0,0,IF(T585="MXN",1/HLOOKUP(YEAR(S585)+(MONTH(S585)/100),TC!$5:$37,DAY(S585)+2,FALSE),VLOOKUP(T585,Equivalencia!$1:$23,((MAX(Equivalencia!$3:$3)-YEAR(S585))*14)+MONTH(S585)+2,FALSE)))</f>
        <v>1</v>
      </c>
      <c r="W585" s="178">
        <f t="shared" si="99"/>
        <v>6018.5108527113971</v>
      </c>
      <c r="X585" s="481">
        <f t="shared" si="95"/>
        <v>-2685.4479267023817</v>
      </c>
      <c r="Y585" s="179"/>
      <c r="Z585" s="466">
        <f t="shared" si="96"/>
        <v>9872.0300476111079</v>
      </c>
      <c r="AA585" s="473">
        <f t="shared" si="97"/>
        <v>-3853.5191948997108</v>
      </c>
      <c r="AB585" s="339">
        <f t="shared" si="98"/>
        <v>-0.30853178361251954</v>
      </c>
    </row>
    <row r="586" spans="2:28" ht="20.100000000000001" customHeight="1">
      <c r="B586" s="172">
        <v>1179000</v>
      </c>
      <c r="C586" s="174">
        <v>44196</v>
      </c>
      <c r="D586" s="181" t="s">
        <v>259</v>
      </c>
      <c r="E586" s="173" t="s">
        <v>33</v>
      </c>
      <c r="F586" s="176">
        <v>29997.922352055484</v>
      </c>
      <c r="G586" s="175">
        <f t="shared" si="100"/>
        <v>34.729999999999997</v>
      </c>
      <c r="H586" s="175">
        <f t="shared" si="93"/>
        <v>29997.922352055484</v>
      </c>
      <c r="I586" s="177">
        <f>IF(G586=0,0,IF(E586="MXN",1/HLOOKUP(YEAR(C586)+(MONTH(C586)/100),TC!$5:$37,DAY(C586)+2,FALSE),VLOOKUP(E586,Equivalencia!$5:$23,((MAX(Equivalencia!$3:$3)-YEAR(C586))*14)+MONTH(C586)+2,FALSE)))</f>
        <v>1</v>
      </c>
      <c r="J586" s="178">
        <f t="shared" si="101"/>
        <v>29997.922352055484</v>
      </c>
      <c r="K586" s="462">
        <f>IF(C586=0,0,VLOOKUP(YEAR(C586),INPC!$B$4:$O$29,MONTH(C586)+1))</f>
        <v>109.271</v>
      </c>
      <c r="L586" s="462">
        <f>IF(S586=0,0,VLOOKUP(YEAR(S586),INPC!$B$4:$O$29,MONTH(S586)+1))</f>
        <v>120.809</v>
      </c>
      <c r="M586" s="463">
        <f t="shared" si="94"/>
        <v>1.1054999999999999</v>
      </c>
      <c r="N586" s="465">
        <f t="shared" si="102"/>
        <v>33162.703160197336</v>
      </c>
      <c r="O586" s="179"/>
      <c r="P586" s="180">
        <v>34.729999999999997</v>
      </c>
      <c r="Q586" s="173" t="s">
        <v>583</v>
      </c>
      <c r="R586" s="173" t="s">
        <v>230</v>
      </c>
      <c r="S586" s="174">
        <v>44656</v>
      </c>
      <c r="T586" s="173" t="s">
        <v>33</v>
      </c>
      <c r="U586" s="182">
        <v>37358.089999999997</v>
      </c>
      <c r="V586" s="177">
        <f>IF(U586=0,0,IF(T586="MXN",1/HLOOKUP(YEAR(S586)+(MONTH(S586)/100),TC!$5:$37,DAY(S586)+2,FALSE),VLOOKUP(T586,Equivalencia!$1:$23,((MAX(Equivalencia!$3:$3)-YEAR(S586))*14)+MONTH(S586)+2,FALSE)))</f>
        <v>1</v>
      </c>
      <c r="W586" s="178">
        <f t="shared" si="99"/>
        <v>37358.089999999997</v>
      </c>
      <c r="X586" s="481">
        <f t="shared" si="95"/>
        <v>7360.1676479445123</v>
      </c>
      <c r="Y586" s="179"/>
      <c r="Z586" s="466">
        <f t="shared" si="96"/>
        <v>33162.703160197336</v>
      </c>
      <c r="AA586" s="473">
        <f t="shared" si="97"/>
        <v>4195.3868398026607</v>
      </c>
      <c r="AB586" s="339">
        <f t="shared" si="98"/>
        <v>0.24535591370514331</v>
      </c>
    </row>
    <row r="587" spans="2:28" ht="20.100000000000001" customHeight="1">
      <c r="B587" s="172">
        <v>1179000</v>
      </c>
      <c r="C587" s="174">
        <v>44469</v>
      </c>
      <c r="D587" s="181" t="s">
        <v>249</v>
      </c>
      <c r="E587" s="173" t="s">
        <v>33</v>
      </c>
      <c r="F587" s="176">
        <v>15140.915999999999</v>
      </c>
      <c r="G587" s="175">
        <f t="shared" si="100"/>
        <v>21029.05</v>
      </c>
      <c r="H587" s="175">
        <f t="shared" si="93"/>
        <v>15140.915999999999</v>
      </c>
      <c r="I587" s="177">
        <f>IF(G587=0,0,IF(E587="MXN",1/HLOOKUP(YEAR(C587)+(MONTH(C587)/100),TC!$5:$37,DAY(C587)+2,FALSE),VLOOKUP(E587,Equivalencia!$5:$23,((MAX(Equivalencia!$3:$3)-YEAR(C587))*14)+MONTH(C587)+2,FALSE)))</f>
        <v>1</v>
      </c>
      <c r="J587" s="178">
        <f t="shared" si="101"/>
        <v>15140.915999999999</v>
      </c>
      <c r="K587" s="462">
        <f>IF(C587=0,0,VLOOKUP(YEAR(C587),INPC!$B$4:$O$29,MONTH(C587)+1))</f>
        <v>114.601</v>
      </c>
      <c r="L587" s="462">
        <f>IF(S587=0,0,VLOOKUP(YEAR(S587),INPC!$B$4:$O$29,MONTH(S587)+1))</f>
        <v>121.02200000000001</v>
      </c>
      <c r="M587" s="463">
        <f t="shared" si="94"/>
        <v>1.056</v>
      </c>
      <c r="N587" s="465">
        <f t="shared" si="102"/>
        <v>15988.807296000001</v>
      </c>
      <c r="O587" s="179"/>
      <c r="P587" s="180">
        <v>21029.05</v>
      </c>
      <c r="Q587" s="173" t="s">
        <v>583</v>
      </c>
      <c r="R587" s="173" t="s">
        <v>230</v>
      </c>
      <c r="S587" s="174">
        <v>44699</v>
      </c>
      <c r="T587" s="173" t="s">
        <v>33</v>
      </c>
      <c r="U587" s="182">
        <v>21029.05</v>
      </c>
      <c r="V587" s="177">
        <f>IF(U587=0,0,IF(T587="MXN",1/HLOOKUP(YEAR(S587)+(MONTH(S587)/100),TC!$5:$37,DAY(S587)+2,FALSE),VLOOKUP(T587,Equivalencia!$1:$23,((MAX(Equivalencia!$3:$3)-YEAR(S587))*14)+MONTH(S587)+2,FALSE)))</f>
        <v>1</v>
      </c>
      <c r="W587" s="178">
        <f t="shared" si="99"/>
        <v>21029.05</v>
      </c>
      <c r="X587" s="481">
        <f t="shared" si="95"/>
        <v>5888.134</v>
      </c>
      <c r="Y587" s="179"/>
      <c r="Z587" s="466">
        <f t="shared" si="96"/>
        <v>15988.807296000001</v>
      </c>
      <c r="AA587" s="473">
        <f t="shared" si="97"/>
        <v>5040.2427039999984</v>
      </c>
      <c r="AB587" s="339">
        <f t="shared" si="98"/>
        <v>0.38888888888888884</v>
      </c>
    </row>
    <row r="588" spans="2:28" ht="20.100000000000001" customHeight="1">
      <c r="B588" s="172">
        <v>1179000</v>
      </c>
      <c r="C588" s="174">
        <v>44469</v>
      </c>
      <c r="D588" s="181" t="s">
        <v>250</v>
      </c>
      <c r="E588" s="173" t="s">
        <v>33</v>
      </c>
      <c r="F588" s="176">
        <v>4522.0110000000004</v>
      </c>
      <c r="G588" s="175">
        <f t="shared" si="100"/>
        <v>4810.6499999999996</v>
      </c>
      <c r="H588" s="175">
        <f t="shared" si="93"/>
        <v>4522.0110000000004</v>
      </c>
      <c r="I588" s="177">
        <f>IF(G588=0,0,IF(E588="MXN",1/HLOOKUP(YEAR(C588)+(MONTH(C588)/100),TC!$5:$37,DAY(C588)+2,FALSE),VLOOKUP(E588,Equivalencia!$5:$23,((MAX(Equivalencia!$3:$3)-YEAR(C588))*14)+MONTH(C588)+2,FALSE)))</f>
        <v>1</v>
      </c>
      <c r="J588" s="178">
        <f t="shared" si="101"/>
        <v>4522.0110000000004</v>
      </c>
      <c r="K588" s="462">
        <f>IF(C588=0,0,VLOOKUP(YEAR(C588),INPC!$B$4:$O$29,MONTH(C588)+1))</f>
        <v>114.601</v>
      </c>
      <c r="L588" s="462">
        <f>IF(S588=0,0,VLOOKUP(YEAR(S588),INPC!$B$4:$O$29,MONTH(S588)+1))</f>
        <v>122.044</v>
      </c>
      <c r="M588" s="463">
        <f t="shared" si="94"/>
        <v>1.0649</v>
      </c>
      <c r="N588" s="465">
        <f t="shared" si="102"/>
        <v>4815.4895139</v>
      </c>
      <c r="O588" s="179"/>
      <c r="P588" s="180">
        <v>4810.6499999999996</v>
      </c>
      <c r="Q588" s="173" t="s">
        <v>583</v>
      </c>
      <c r="R588" s="173" t="s">
        <v>230</v>
      </c>
      <c r="S588" s="174">
        <v>44714</v>
      </c>
      <c r="T588" s="173" t="s">
        <v>33</v>
      </c>
      <c r="U588" s="182">
        <v>4810.6499999999996</v>
      </c>
      <c r="V588" s="177">
        <f>IF(U588=0,0,IF(T588="MXN",1/HLOOKUP(YEAR(S588)+(MONTH(S588)/100),TC!$5:$37,DAY(S588)+2,FALSE),VLOOKUP(T588,Equivalencia!$1:$23,((MAX(Equivalencia!$3:$3)-YEAR(S588))*14)+MONTH(S588)+2,FALSE)))</f>
        <v>1</v>
      </c>
      <c r="W588" s="178">
        <f t="shared" si="99"/>
        <v>4810.6499999999996</v>
      </c>
      <c r="X588" s="481">
        <f t="shared" si="95"/>
        <v>288.63899999999921</v>
      </c>
      <c r="Y588" s="179"/>
      <c r="Z588" s="466">
        <f t="shared" si="96"/>
        <v>4815.4895139</v>
      </c>
      <c r="AA588" s="473">
        <f t="shared" si="97"/>
        <v>-4.8395139000003837</v>
      </c>
      <c r="AB588" s="339">
        <f t="shared" si="98"/>
        <v>6.3829787234042312E-2</v>
      </c>
    </row>
    <row r="589" spans="2:28" ht="20.100000000000001" customHeight="1">
      <c r="B589" s="172">
        <v>1179000</v>
      </c>
      <c r="C589" s="174">
        <v>44408</v>
      </c>
      <c r="D589" s="181" t="s">
        <v>251</v>
      </c>
      <c r="E589" s="173" t="s">
        <v>33</v>
      </c>
      <c r="F589" s="176">
        <v>3888.24</v>
      </c>
      <c r="G589" s="175">
        <f t="shared" si="100"/>
        <v>3888.24</v>
      </c>
      <c r="H589" s="175">
        <f t="shared" si="93"/>
        <v>3888.24</v>
      </c>
      <c r="I589" s="177">
        <f>IF(G589=0,0,IF(E589="MXN",1/HLOOKUP(YEAR(C589)+(MONTH(C589)/100),TC!$5:$37,DAY(C589)+2,FALSE),VLOOKUP(E589,Equivalencia!$5:$23,((MAX(Equivalencia!$3:$3)-YEAR(C589))*14)+MONTH(C589)+2,FALSE)))</f>
        <v>1</v>
      </c>
      <c r="J589" s="178">
        <f t="shared" si="101"/>
        <v>3888.24</v>
      </c>
      <c r="K589" s="462">
        <f>IF(C589=0,0,VLOOKUP(YEAR(C589),INPC!$B$4:$O$29,MONTH(C589)+1))</f>
        <v>113.682</v>
      </c>
      <c r="L589" s="462">
        <f>IF(S589=0,0,VLOOKUP(YEAR(S589),INPC!$B$4:$O$29,MONTH(S589)+1))</f>
        <v>122.044</v>
      </c>
      <c r="M589" s="463">
        <f t="shared" si="94"/>
        <v>1.0734999999999999</v>
      </c>
      <c r="N589" s="465">
        <f t="shared" si="102"/>
        <v>4174.0256399999989</v>
      </c>
      <c r="O589" s="179"/>
      <c r="P589" s="180">
        <v>3888.24</v>
      </c>
      <c r="Q589" s="173" t="s">
        <v>583</v>
      </c>
      <c r="R589" s="173" t="s">
        <v>230</v>
      </c>
      <c r="S589" s="174">
        <v>44728</v>
      </c>
      <c r="T589" s="173" t="s">
        <v>33</v>
      </c>
      <c r="U589" s="182">
        <v>3888.24</v>
      </c>
      <c r="V589" s="177">
        <f>IF(U589=0,0,IF(T589="MXN",1/HLOOKUP(YEAR(S589)+(MONTH(S589)/100),TC!$5:$37,DAY(S589)+2,FALSE),VLOOKUP(T589,Equivalencia!$1:$23,((MAX(Equivalencia!$3:$3)-YEAR(S589))*14)+MONTH(S589)+2,FALSE)))</f>
        <v>1</v>
      </c>
      <c r="W589" s="178">
        <f t="shared" si="99"/>
        <v>3888.24</v>
      </c>
      <c r="X589" s="481">
        <f t="shared" si="95"/>
        <v>0</v>
      </c>
      <c r="Y589" s="179"/>
      <c r="Z589" s="466">
        <f t="shared" si="96"/>
        <v>4174.0256399999989</v>
      </c>
      <c r="AA589" s="473">
        <f t="shared" si="97"/>
        <v>-285.78563999999915</v>
      </c>
      <c r="AB589" s="339">
        <f t="shared" si="98"/>
        <v>0</v>
      </c>
    </row>
    <row r="590" spans="2:28" ht="20.100000000000001" customHeight="1">
      <c r="B590" s="172">
        <v>1179000</v>
      </c>
      <c r="C590" s="174">
        <v>44403</v>
      </c>
      <c r="D590" s="181" t="s">
        <v>242</v>
      </c>
      <c r="E590" s="173" t="s">
        <v>33</v>
      </c>
      <c r="F590" s="176">
        <v>243884.46015758134</v>
      </c>
      <c r="G590" s="175">
        <f t="shared" si="100"/>
        <v>45009</v>
      </c>
      <c r="H590" s="175">
        <f t="shared" si="93"/>
        <v>243884.46015758134</v>
      </c>
      <c r="I590" s="177">
        <f>IF(G590=0,0,IF(E590="MXN",1/HLOOKUP(YEAR(C590)+(MONTH(C590)/100),TC!$5:$37,DAY(C590)+2,FALSE),VLOOKUP(E590,Equivalencia!$5:$23,((MAX(Equivalencia!$3:$3)-YEAR(C590))*14)+MONTH(C590)+2,FALSE)))</f>
        <v>1</v>
      </c>
      <c r="J590" s="178">
        <f t="shared" si="101"/>
        <v>243884.46015758134</v>
      </c>
      <c r="K590" s="462">
        <f>IF(C590=0,0,VLOOKUP(YEAR(C590),INPC!$B$4:$O$29,MONTH(C590)+1))</f>
        <v>113.682</v>
      </c>
      <c r="L590" s="462">
        <f>IF(S590=0,0,VLOOKUP(YEAR(S590),INPC!$B$4:$O$29,MONTH(S590)+1))</f>
        <v>122.044</v>
      </c>
      <c r="M590" s="463">
        <f t="shared" si="94"/>
        <v>1.0734999999999999</v>
      </c>
      <c r="N590" s="465">
        <f t="shared" si="102"/>
        <v>261809.96797916354</v>
      </c>
      <c r="O590" s="179"/>
      <c r="P590" s="180">
        <v>45009</v>
      </c>
      <c r="Q590" s="173" t="s">
        <v>583</v>
      </c>
      <c r="R590" s="173" t="s">
        <v>230</v>
      </c>
      <c r="S590" s="174">
        <v>44728</v>
      </c>
      <c r="T590" s="173" t="s">
        <v>33</v>
      </c>
      <c r="U590" s="182">
        <v>233298.26000000004</v>
      </c>
      <c r="V590" s="177">
        <f>IF(U590=0,0,IF(T590="MXN",1/HLOOKUP(YEAR(S590)+(MONTH(S590)/100),TC!$5:$37,DAY(S590)+2,FALSE),VLOOKUP(T590,Equivalencia!$1:$23,((MAX(Equivalencia!$3:$3)-YEAR(S590))*14)+MONTH(S590)+2,FALSE)))</f>
        <v>1</v>
      </c>
      <c r="W590" s="178">
        <f t="shared" si="99"/>
        <v>233298.26000000004</v>
      </c>
      <c r="X590" s="481">
        <f t="shared" si="95"/>
        <v>-10586.200157581305</v>
      </c>
      <c r="Y590" s="179"/>
      <c r="Z590" s="466">
        <f t="shared" si="96"/>
        <v>261809.96797916354</v>
      </c>
      <c r="AA590" s="473">
        <f t="shared" si="97"/>
        <v>-28511.707979163504</v>
      </c>
      <c r="AB590" s="339">
        <f t="shared" si="98"/>
        <v>-4.3406620293647391E-2</v>
      </c>
    </row>
    <row r="591" spans="2:28" ht="20.100000000000001" customHeight="1">
      <c r="B591" s="172">
        <v>1179000</v>
      </c>
      <c r="C591" s="174">
        <v>44196</v>
      </c>
      <c r="D591" s="181" t="s">
        <v>259</v>
      </c>
      <c r="E591" s="173" t="s">
        <v>33</v>
      </c>
      <c r="F591" s="176">
        <v>22500.601130752821</v>
      </c>
      <c r="G591" s="175">
        <f t="shared" si="100"/>
        <v>26.05</v>
      </c>
      <c r="H591" s="175">
        <f t="shared" si="93"/>
        <v>22500.601130752821</v>
      </c>
      <c r="I591" s="177">
        <f>IF(G591=0,0,IF(E591="MXN",1/HLOOKUP(YEAR(C591)+(MONTH(C591)/100),TC!$5:$37,DAY(C591)+2,FALSE),VLOOKUP(E591,Equivalencia!$5:$23,((MAX(Equivalencia!$3:$3)-YEAR(C591))*14)+MONTH(C591)+2,FALSE)))</f>
        <v>1</v>
      </c>
      <c r="J591" s="178">
        <f t="shared" si="101"/>
        <v>22500.601130752821</v>
      </c>
      <c r="K591" s="462">
        <f>IF(C591=0,0,VLOOKUP(YEAR(C591),INPC!$B$4:$O$29,MONTH(C591)+1))</f>
        <v>109.271</v>
      </c>
      <c r="L591" s="462">
        <f>IF(S591=0,0,VLOOKUP(YEAR(S591),INPC!$B$4:$O$29,MONTH(S591)+1))</f>
        <v>122.044</v>
      </c>
      <c r="M591" s="463">
        <f t="shared" si="94"/>
        <v>1.1168</v>
      </c>
      <c r="N591" s="465">
        <f t="shared" si="102"/>
        <v>25128.671342824749</v>
      </c>
      <c r="O591" s="179"/>
      <c r="P591" s="180">
        <v>26.05</v>
      </c>
      <c r="Q591" s="173" t="s">
        <v>583</v>
      </c>
      <c r="R591" s="173" t="s">
        <v>230</v>
      </c>
      <c r="S591" s="174">
        <v>44742</v>
      </c>
      <c r="T591" s="173" t="s">
        <v>33</v>
      </c>
      <c r="U591" s="182">
        <v>28537.49</v>
      </c>
      <c r="V591" s="177">
        <f>IF(U591=0,0,IF(T591="MXN",1/HLOOKUP(YEAR(S591)+(MONTH(S591)/100),TC!$5:$37,DAY(S591)+2,FALSE),VLOOKUP(T591,Equivalencia!$1:$23,((MAX(Equivalencia!$3:$3)-YEAR(S591))*14)+MONTH(S591)+2,FALSE)))</f>
        <v>1</v>
      </c>
      <c r="W591" s="178">
        <f t="shared" si="99"/>
        <v>28537.49</v>
      </c>
      <c r="X591" s="481">
        <f t="shared" si="95"/>
        <v>6036.888869247181</v>
      </c>
      <c r="Y591" s="179"/>
      <c r="Z591" s="466">
        <f t="shared" si="96"/>
        <v>25128.671342824749</v>
      </c>
      <c r="AA591" s="473">
        <f t="shared" si="97"/>
        <v>3408.8186571752522</v>
      </c>
      <c r="AB591" s="339">
        <f t="shared" si="98"/>
        <v>0.26829900384288985</v>
      </c>
    </row>
    <row r="592" spans="2:28" ht="20.100000000000001" customHeight="1">
      <c r="B592" s="172">
        <v>1179000</v>
      </c>
      <c r="C592" s="174">
        <v>44315</v>
      </c>
      <c r="D592" s="181" t="s">
        <v>252</v>
      </c>
      <c r="E592" s="173" t="s">
        <v>337</v>
      </c>
      <c r="F592" s="176">
        <v>96422.940775944124</v>
      </c>
      <c r="G592" s="175">
        <f t="shared" si="100"/>
        <v>645.65</v>
      </c>
      <c r="H592" s="175">
        <f t="shared" si="93"/>
        <v>96422.940775944124</v>
      </c>
      <c r="I592" s="177">
        <f>IF(G592=0,0,IF(E592="MXN",1/HLOOKUP(YEAR(C592)+(MONTH(C592)/100),TC!$5:$37,DAY(C592)+2,FALSE),VLOOKUP(E592,Equivalencia!$5:$23,((MAX(Equivalencia!$3:$3)-YEAR(C592))*14)+MONTH(C592)+2,FALSE)))</f>
        <v>1.2040500000000001</v>
      </c>
      <c r="J592" s="178">
        <f t="shared" si="101"/>
        <v>116098.04184127552</v>
      </c>
      <c r="K592" s="462">
        <f>IF(C592=0,0,VLOOKUP(YEAR(C592),INPC!$B$4:$O$29,MONTH(C592)+1))</f>
        <v>112.19</v>
      </c>
      <c r="L592" s="462">
        <f>IF(S592=0,0,VLOOKUP(YEAR(S592),INPC!$B$4:$O$29,MONTH(S592)+1))</f>
        <v>122.044</v>
      </c>
      <c r="M592" s="463">
        <f t="shared" si="94"/>
        <v>1.0878000000000001</v>
      </c>
      <c r="N592" s="465">
        <f t="shared" si="102"/>
        <v>126291.44991493953</v>
      </c>
      <c r="O592" s="179"/>
      <c r="P592" s="180">
        <v>645.65</v>
      </c>
      <c r="Q592" s="173" t="s">
        <v>583</v>
      </c>
      <c r="R592" s="173" t="s">
        <v>230</v>
      </c>
      <c r="S592" s="174">
        <v>44733</v>
      </c>
      <c r="T592" s="173" t="s">
        <v>337</v>
      </c>
      <c r="U592" s="182">
        <v>64825.262490218855</v>
      </c>
      <c r="V592" s="177">
        <f>IF(U592=0,0,IF(T592="MXN",1/HLOOKUP(YEAR(S592)+(MONTH(S592)/100),TC!$5:$37,DAY(S592)+2,FALSE),VLOOKUP(T592,Equivalencia!$1:$23,((MAX(Equivalencia!$3:$3)-YEAR(S592))*14)+MONTH(S592)+2,FALSE)))</f>
        <v>1.0454000000000001</v>
      </c>
      <c r="W592" s="178">
        <f t="shared" si="99"/>
        <v>67768.329407274796</v>
      </c>
      <c r="X592" s="481">
        <f t="shared" si="95"/>
        <v>-48329.712434000729</v>
      </c>
      <c r="Y592" s="179"/>
      <c r="Z592" s="466">
        <f t="shared" si="96"/>
        <v>126291.44991493953</v>
      </c>
      <c r="AA592" s="473">
        <f t="shared" si="97"/>
        <v>-58523.120507664731</v>
      </c>
      <c r="AB592" s="339">
        <f t="shared" si="98"/>
        <v>-0.32769876163752465</v>
      </c>
    </row>
    <row r="593" spans="2:28" ht="20.100000000000001" customHeight="1">
      <c r="B593" s="172">
        <v>1179000</v>
      </c>
      <c r="C593" s="174">
        <v>44357</v>
      </c>
      <c r="D593" s="181" t="s">
        <v>252</v>
      </c>
      <c r="E593" s="173" t="s">
        <v>337</v>
      </c>
      <c r="F593" s="176">
        <v>133641.62</v>
      </c>
      <c r="G593" s="175">
        <f t="shared" si="100"/>
        <v>859.57</v>
      </c>
      <c r="H593" s="175">
        <f t="shared" si="93"/>
        <v>133641.62</v>
      </c>
      <c r="I593" s="177">
        <f>IF(G593=0,0,IF(E593="MXN",1/HLOOKUP(YEAR(C593)+(MONTH(C593)/100),TC!$5:$37,DAY(C593)+2,FALSE),VLOOKUP(E593,Equivalencia!$5:$23,((MAX(Equivalencia!$3:$3)-YEAR(C593))*14)+MONTH(C593)+2,FALSE)))</f>
        <v>1.1856</v>
      </c>
      <c r="J593" s="178">
        <f t="shared" si="101"/>
        <v>158445.50467199998</v>
      </c>
      <c r="K593" s="462">
        <f>IF(C593=0,0,VLOOKUP(YEAR(C593),INPC!$B$4:$O$29,MONTH(C593)+1))</f>
        <v>113.018</v>
      </c>
      <c r="L593" s="462">
        <f>IF(S593=0,0,VLOOKUP(YEAR(S593),INPC!$B$4:$O$29,MONTH(S593)+1))</f>
        <v>122.044</v>
      </c>
      <c r="M593" s="463">
        <f t="shared" si="94"/>
        <v>1.0798000000000001</v>
      </c>
      <c r="N593" s="465">
        <f t="shared" si="102"/>
        <v>171089.4559448256</v>
      </c>
      <c r="O593" s="179"/>
      <c r="P593" s="180">
        <v>859.57</v>
      </c>
      <c r="Q593" s="173" t="s">
        <v>583</v>
      </c>
      <c r="R593" s="173" t="s">
        <v>230</v>
      </c>
      <c r="S593" s="174">
        <v>44733</v>
      </c>
      <c r="T593" s="173" t="s">
        <v>337</v>
      </c>
      <c r="U593" s="182">
        <v>86303.493965333269</v>
      </c>
      <c r="V593" s="177">
        <f>IF(U593=0,0,IF(T593="MXN",1/HLOOKUP(YEAR(S593)+(MONTH(S593)/100),TC!$5:$37,DAY(S593)+2,FALSE),VLOOKUP(T593,Equivalencia!$1:$23,((MAX(Equivalencia!$3:$3)-YEAR(S593))*14)+MONTH(S593)+2,FALSE)))</f>
        <v>1.0454000000000001</v>
      </c>
      <c r="W593" s="178">
        <f t="shared" si="99"/>
        <v>90221.672591359413</v>
      </c>
      <c r="X593" s="481">
        <f t="shared" si="95"/>
        <v>-68223.832080640568</v>
      </c>
      <c r="Y593" s="179"/>
      <c r="Z593" s="466">
        <f t="shared" si="96"/>
        <v>171089.4559448256</v>
      </c>
      <c r="AA593" s="473">
        <f t="shared" si="97"/>
        <v>-80867.783353466191</v>
      </c>
      <c r="AB593" s="339">
        <f t="shared" si="98"/>
        <v>-0.35421694255626901</v>
      </c>
    </row>
    <row r="594" spans="2:28" ht="20.100000000000001" customHeight="1">
      <c r="B594" s="172">
        <v>1179000</v>
      </c>
      <c r="C594" s="174">
        <v>44490</v>
      </c>
      <c r="D594" s="181" t="s">
        <v>252</v>
      </c>
      <c r="E594" s="173" t="s">
        <v>337</v>
      </c>
      <c r="F594" s="176">
        <v>97516.011458794746</v>
      </c>
      <c r="G594" s="175">
        <f t="shared" si="100"/>
        <v>603.42999999999995</v>
      </c>
      <c r="H594" s="175">
        <f t="shared" si="93"/>
        <v>97516.011458794746</v>
      </c>
      <c r="I594" s="177">
        <f>IF(G594=0,0,IF(E594="MXN",1/HLOOKUP(YEAR(C594)+(MONTH(C594)/100),TC!$5:$37,DAY(C594)+2,FALSE),VLOOKUP(E594,Equivalencia!$5:$23,((MAX(Equivalencia!$3:$3)-YEAR(C594))*14)+MONTH(C594)+2,FALSE)))</f>
        <v>1.1572499999999999</v>
      </c>
      <c r="J594" s="178">
        <f t="shared" si="101"/>
        <v>112850.40426069021</v>
      </c>
      <c r="K594" s="462">
        <f>IF(C594=0,0,VLOOKUP(YEAR(C594),INPC!$B$4:$O$29,MONTH(C594)+1))</f>
        <v>115.56100000000001</v>
      </c>
      <c r="L594" s="462">
        <f>IF(S594=0,0,VLOOKUP(YEAR(S594),INPC!$B$4:$O$29,MONTH(S594)+1))</f>
        <v>122.044</v>
      </c>
      <c r="M594" s="463">
        <f t="shared" si="94"/>
        <v>1.0561</v>
      </c>
      <c r="N594" s="465">
        <f t="shared" si="102"/>
        <v>119181.31193971493</v>
      </c>
      <c r="O594" s="179"/>
      <c r="P594" s="180">
        <v>603.42999999999995</v>
      </c>
      <c r="Q594" s="173" t="s">
        <v>583</v>
      </c>
      <c r="R594" s="173" t="s">
        <v>230</v>
      </c>
      <c r="S594" s="174">
        <v>44733</v>
      </c>
      <c r="T594" s="173" t="s">
        <v>337</v>
      </c>
      <c r="U594" s="182">
        <v>60586.243544447861</v>
      </c>
      <c r="V594" s="177">
        <f>IF(U594=0,0,IF(T594="MXN",1/HLOOKUP(YEAR(S594)+(MONTH(S594)/100),TC!$5:$37,DAY(S594)+2,FALSE),VLOOKUP(T594,Equivalencia!$1:$23,((MAX(Equivalencia!$3:$3)-YEAR(S594))*14)+MONTH(S594)+2,FALSE)))</f>
        <v>1.0454000000000001</v>
      </c>
      <c r="W594" s="178">
        <f t="shared" si="99"/>
        <v>63336.859001365803</v>
      </c>
      <c r="X594" s="481">
        <f t="shared" si="95"/>
        <v>-49513.545259324404</v>
      </c>
      <c r="Y594" s="179"/>
      <c r="Z594" s="466">
        <f t="shared" si="96"/>
        <v>119181.31193971493</v>
      </c>
      <c r="AA594" s="473">
        <f t="shared" si="97"/>
        <v>-55844.452938349124</v>
      </c>
      <c r="AB594" s="339">
        <f t="shared" si="98"/>
        <v>-0.37870465949021614</v>
      </c>
    </row>
    <row r="595" spans="2:28" ht="20.100000000000001" customHeight="1">
      <c r="B595" s="172">
        <v>1179000</v>
      </c>
      <c r="C595" s="174">
        <v>44469</v>
      </c>
      <c r="D595" s="181" t="s">
        <v>253</v>
      </c>
      <c r="E595" s="173" t="s">
        <v>33</v>
      </c>
      <c r="F595" s="176">
        <v>4500</v>
      </c>
      <c r="G595" s="175">
        <f t="shared" si="100"/>
        <v>5738.18</v>
      </c>
      <c r="H595" s="175">
        <f t="shared" si="93"/>
        <v>4500</v>
      </c>
      <c r="I595" s="177">
        <f>IF(G595=0,0,IF(E595="MXN",1/HLOOKUP(YEAR(C595)+(MONTH(C595)/100),TC!$5:$37,DAY(C595)+2,FALSE),VLOOKUP(E595,Equivalencia!$5:$23,((MAX(Equivalencia!$3:$3)-YEAR(C595))*14)+MONTH(C595)+2,FALSE)))</f>
        <v>1</v>
      </c>
      <c r="J595" s="178">
        <f t="shared" si="101"/>
        <v>4500</v>
      </c>
      <c r="K595" s="462">
        <f>IF(C595=0,0,VLOOKUP(YEAR(C595),INPC!$B$4:$O$29,MONTH(C595)+1))</f>
        <v>114.601</v>
      </c>
      <c r="L595" s="462">
        <f>IF(S595=0,0,VLOOKUP(YEAR(S595),INPC!$B$4:$O$29,MONTH(S595)+1))</f>
        <v>122.94799999999999</v>
      </c>
      <c r="M595" s="463">
        <f t="shared" si="94"/>
        <v>1.0728</v>
      </c>
      <c r="N595" s="465">
        <f t="shared" si="102"/>
        <v>4827.5999999999995</v>
      </c>
      <c r="O595" s="179"/>
      <c r="P595" s="180">
        <v>5738.18</v>
      </c>
      <c r="Q595" s="173" t="s">
        <v>583</v>
      </c>
      <c r="R595" s="173" t="s">
        <v>230</v>
      </c>
      <c r="S595" s="174">
        <v>44754</v>
      </c>
      <c r="T595" s="173" t="s">
        <v>33</v>
      </c>
      <c r="U595" s="182">
        <v>5738.18</v>
      </c>
      <c r="V595" s="177">
        <f>IF(U595=0,0,IF(T595="MXN",1/HLOOKUP(YEAR(S595)+(MONTH(S595)/100),TC!$5:$37,DAY(S595)+2,FALSE),VLOOKUP(T595,Equivalencia!$1:$23,((MAX(Equivalencia!$3:$3)-YEAR(S595))*14)+MONTH(S595)+2,FALSE)))</f>
        <v>1</v>
      </c>
      <c r="W595" s="178">
        <f t="shared" si="99"/>
        <v>5738.18</v>
      </c>
      <c r="X595" s="481">
        <f t="shared" si="95"/>
        <v>1238.1800000000003</v>
      </c>
      <c r="Y595" s="179"/>
      <c r="Z595" s="466">
        <f t="shared" si="96"/>
        <v>4827.5999999999995</v>
      </c>
      <c r="AA595" s="473">
        <f t="shared" si="97"/>
        <v>910.58000000000084</v>
      </c>
      <c r="AB595" s="339">
        <f t="shared" si="98"/>
        <v>0.27515111111111112</v>
      </c>
    </row>
    <row r="596" spans="2:28" ht="20.100000000000001" customHeight="1">
      <c r="B596" s="172">
        <v>1179000</v>
      </c>
      <c r="C596" s="174">
        <v>44284</v>
      </c>
      <c r="D596" s="181" t="s">
        <v>254</v>
      </c>
      <c r="E596" s="173" t="s">
        <v>33</v>
      </c>
      <c r="F596" s="176">
        <v>212.84649999999999</v>
      </c>
      <c r="G596" s="175">
        <f t="shared" si="100"/>
        <v>1.49</v>
      </c>
      <c r="H596" s="175">
        <f t="shared" si="93"/>
        <v>212.84649999999999</v>
      </c>
      <c r="I596" s="177">
        <f>IF(G596=0,0,IF(E596="MXN",1/HLOOKUP(YEAR(C596)+(MONTH(C596)/100),TC!$5:$37,DAY(C596)+2,FALSE),VLOOKUP(E596,Equivalencia!$5:$23,((MAX(Equivalencia!$3:$3)-YEAR(C596))*14)+MONTH(C596)+2,FALSE)))</f>
        <v>1</v>
      </c>
      <c r="J596" s="178">
        <f t="shared" si="101"/>
        <v>212.84649999999999</v>
      </c>
      <c r="K596" s="462">
        <f>IF(C596=0,0,VLOOKUP(YEAR(C596),INPC!$B$4:$O$29,MONTH(C596)+1))</f>
        <v>111.824</v>
      </c>
      <c r="L596" s="462">
        <f>IF(S596=0,0,VLOOKUP(YEAR(S596),INPC!$B$4:$O$29,MONTH(S596)+1))</f>
        <v>123.803</v>
      </c>
      <c r="M596" s="463">
        <f t="shared" si="94"/>
        <v>1.1071</v>
      </c>
      <c r="N596" s="465">
        <f t="shared" si="102"/>
        <v>235.64236014999997</v>
      </c>
      <c r="O596" s="179"/>
      <c r="P596" s="180">
        <v>1.49</v>
      </c>
      <c r="Q596" s="173" t="s">
        <v>583</v>
      </c>
      <c r="R596" s="173" t="s">
        <v>230</v>
      </c>
      <c r="S596" s="174">
        <v>44774</v>
      </c>
      <c r="T596" s="173" t="s">
        <v>33</v>
      </c>
      <c r="U596" s="182">
        <v>533.36</v>
      </c>
      <c r="V596" s="177">
        <f>IF(U596=0,0,IF(T596="MXN",1/HLOOKUP(YEAR(S596)+(MONTH(S596)/100),TC!$5:$37,DAY(S596)+2,FALSE),VLOOKUP(T596,Equivalencia!$1:$23,((MAX(Equivalencia!$3:$3)-YEAR(S596))*14)+MONTH(S596)+2,FALSE)))</f>
        <v>1</v>
      </c>
      <c r="W596" s="178">
        <f t="shared" si="99"/>
        <v>533.36</v>
      </c>
      <c r="X596" s="481">
        <f t="shared" si="95"/>
        <v>320.51350000000002</v>
      </c>
      <c r="Y596" s="179"/>
      <c r="Z596" s="466">
        <f t="shared" si="96"/>
        <v>235.64236014999997</v>
      </c>
      <c r="AA596" s="473">
        <f t="shared" si="97"/>
        <v>297.71763985000007</v>
      </c>
      <c r="AB596" s="339">
        <f t="shared" si="98"/>
        <v>1.5058434129760179</v>
      </c>
    </row>
    <row r="597" spans="2:28" ht="20.100000000000001" customHeight="1">
      <c r="B597" s="172">
        <v>1179000</v>
      </c>
      <c r="C597" s="174">
        <v>44329</v>
      </c>
      <c r="D597" s="181" t="s">
        <v>255</v>
      </c>
      <c r="E597" s="173" t="s">
        <v>337</v>
      </c>
      <c r="F597" s="176">
        <v>142325.03</v>
      </c>
      <c r="G597" s="175">
        <f t="shared" si="100"/>
        <v>2380</v>
      </c>
      <c r="H597" s="175">
        <f t="shared" si="93"/>
        <v>142325.03</v>
      </c>
      <c r="I597" s="177">
        <f>IF(G597=0,0,IF(E597="MXN",1/HLOOKUP(YEAR(C597)+(MONTH(C597)/100),TC!$5:$37,DAY(C597)+2,FALSE),VLOOKUP(E597,Equivalencia!$5:$23,((MAX(Equivalencia!$3:$3)-YEAR(C597))*14)+MONTH(C597)+2,FALSE)))</f>
        <v>1.22245</v>
      </c>
      <c r="J597" s="178">
        <f t="shared" si="101"/>
        <v>173985.23292350001</v>
      </c>
      <c r="K597" s="462">
        <f>IF(C597=0,0,VLOOKUP(YEAR(C597),INPC!$B$4:$O$29,MONTH(C597)+1))</f>
        <v>112.419</v>
      </c>
      <c r="L597" s="462">
        <f>IF(S597=0,0,VLOOKUP(YEAR(S597),INPC!$B$4:$O$29,MONTH(S597)+1))</f>
        <v>123.803</v>
      </c>
      <c r="M597" s="463">
        <f t="shared" si="94"/>
        <v>1.1012</v>
      </c>
      <c r="N597" s="465">
        <f t="shared" si="102"/>
        <v>191592.5384953582</v>
      </c>
      <c r="O597" s="179"/>
      <c r="P597" s="180">
        <v>2380</v>
      </c>
      <c r="Q597" s="173" t="s">
        <v>583</v>
      </c>
      <c r="R597" s="173" t="s">
        <v>230</v>
      </c>
      <c r="S597" s="174">
        <v>44777</v>
      </c>
      <c r="T597" s="173" t="s">
        <v>337</v>
      </c>
      <c r="U597" s="182">
        <v>141165.34352941177</v>
      </c>
      <c r="V597" s="177">
        <f>IF(U597=0,0,IF(T597="MXN",1/HLOOKUP(YEAR(S597)+(MONTH(S597)/100),TC!$5:$37,DAY(S597)+2,FALSE),VLOOKUP(T597,Equivalencia!$1:$23,((MAX(Equivalencia!$3:$3)-YEAR(S597))*14)+MONTH(S597)+2,FALSE)))</f>
        <v>1.0056</v>
      </c>
      <c r="W597" s="178">
        <f t="shared" si="99"/>
        <v>141955.86945317648</v>
      </c>
      <c r="X597" s="481">
        <f t="shared" si="95"/>
        <v>-32029.363470323529</v>
      </c>
      <c r="Y597" s="179"/>
      <c r="Z597" s="466">
        <f t="shared" si="96"/>
        <v>191592.5384953582</v>
      </c>
      <c r="AA597" s="473">
        <f t="shared" si="97"/>
        <v>-49636.669042181718</v>
      </c>
      <c r="AB597" s="339">
        <f t="shared" si="98"/>
        <v>-8.1481554621013474E-3</v>
      </c>
    </row>
    <row r="598" spans="2:28" ht="20.100000000000001" customHeight="1">
      <c r="B598" s="172">
        <v>1179000</v>
      </c>
      <c r="C598" s="174">
        <v>44357</v>
      </c>
      <c r="D598" s="181" t="s">
        <v>255</v>
      </c>
      <c r="E598" s="173" t="s">
        <v>337</v>
      </c>
      <c r="F598" s="176">
        <v>32153.15</v>
      </c>
      <c r="G598" s="175">
        <f t="shared" si="100"/>
        <v>510</v>
      </c>
      <c r="H598" s="175">
        <f t="shared" si="93"/>
        <v>32153.15</v>
      </c>
      <c r="I598" s="177">
        <f>IF(G598=0,0,IF(E598="MXN",1/HLOOKUP(YEAR(C598)+(MONTH(C598)/100),TC!$5:$37,DAY(C598)+2,FALSE),VLOOKUP(E598,Equivalencia!$5:$23,((MAX(Equivalencia!$3:$3)-YEAR(C598))*14)+MONTH(C598)+2,FALSE)))</f>
        <v>1.1856</v>
      </c>
      <c r="J598" s="178">
        <f t="shared" si="101"/>
        <v>38120.774640000003</v>
      </c>
      <c r="K598" s="462">
        <f>IF(C598=0,0,VLOOKUP(YEAR(C598),INPC!$B$4:$O$29,MONTH(C598)+1))</f>
        <v>113.018</v>
      </c>
      <c r="L598" s="462">
        <f>IF(S598=0,0,VLOOKUP(YEAR(S598),INPC!$B$4:$O$29,MONTH(S598)+1))</f>
        <v>123.803</v>
      </c>
      <c r="M598" s="463">
        <f t="shared" si="94"/>
        <v>1.0953999999999999</v>
      </c>
      <c r="N598" s="465">
        <f t="shared" si="102"/>
        <v>41757.496540656</v>
      </c>
      <c r="O598" s="179"/>
      <c r="P598" s="180">
        <v>510</v>
      </c>
      <c r="Q598" s="173" t="s">
        <v>583</v>
      </c>
      <c r="R598" s="173" t="s">
        <v>230</v>
      </c>
      <c r="S598" s="174">
        <v>44777</v>
      </c>
      <c r="T598" s="173" t="s">
        <v>337</v>
      </c>
      <c r="U598" s="182">
        <v>30249.716470588235</v>
      </c>
      <c r="V598" s="177">
        <f>IF(U598=0,0,IF(T598="MXN",1/HLOOKUP(YEAR(S598)+(MONTH(S598)/100),TC!$5:$37,DAY(S598)+2,FALSE),VLOOKUP(T598,Equivalencia!$1:$23,((MAX(Equivalencia!$3:$3)-YEAR(S598))*14)+MONTH(S598)+2,FALSE)))</f>
        <v>1.0056</v>
      </c>
      <c r="W598" s="178">
        <f t="shared" si="99"/>
        <v>30419.114882823531</v>
      </c>
      <c r="X598" s="481">
        <f t="shared" si="95"/>
        <v>-7701.6597571764723</v>
      </c>
      <c r="Y598" s="179"/>
      <c r="Z598" s="466">
        <f t="shared" si="96"/>
        <v>41757.496540656</v>
      </c>
      <c r="AA598" s="473">
        <f t="shared" si="97"/>
        <v>-11338.38165783247</v>
      </c>
      <c r="AB598" s="339">
        <f t="shared" si="98"/>
        <v>-5.919897519875239E-2</v>
      </c>
    </row>
    <row r="599" spans="2:28" ht="20.100000000000001" customHeight="1">
      <c r="B599" s="172">
        <v>1179000</v>
      </c>
      <c r="C599" s="174">
        <v>44490</v>
      </c>
      <c r="D599" s="181" t="s">
        <v>256</v>
      </c>
      <c r="E599" s="173" t="s">
        <v>337</v>
      </c>
      <c r="F599" s="176">
        <v>198327.10515354865</v>
      </c>
      <c r="G599" s="175">
        <f t="shared" si="100"/>
        <v>1227.25</v>
      </c>
      <c r="H599" s="175">
        <f t="shared" si="93"/>
        <v>198327.10515354865</v>
      </c>
      <c r="I599" s="177">
        <f>IF(G599=0,0,IF(E599="MXN",1/HLOOKUP(YEAR(C599)+(MONTH(C599)/100),TC!$5:$37,DAY(C599)+2,FALSE),VLOOKUP(E599,Equivalencia!$5:$23,((MAX(Equivalencia!$3:$3)-YEAR(C599))*14)+MONTH(C599)+2,FALSE)))</f>
        <v>1.1572499999999999</v>
      </c>
      <c r="J599" s="178">
        <f t="shared" si="101"/>
        <v>229514.04243894416</v>
      </c>
      <c r="K599" s="462">
        <f>IF(C599=0,0,VLOOKUP(YEAR(C599),INPC!$B$4:$O$29,MONTH(C599)+1))</f>
        <v>115.56100000000001</v>
      </c>
      <c r="L599" s="462">
        <f>IF(S599=0,0,VLOOKUP(YEAR(S599),INPC!$B$4:$O$29,MONTH(S599)+1))</f>
        <v>123.803</v>
      </c>
      <c r="M599" s="463">
        <f t="shared" si="94"/>
        <v>1.0712999999999999</v>
      </c>
      <c r="N599" s="465">
        <f t="shared" si="102"/>
        <v>245878.39366484087</v>
      </c>
      <c r="O599" s="179"/>
      <c r="P599" s="180">
        <v>1227.25</v>
      </c>
      <c r="Q599" s="173" t="s">
        <v>583</v>
      </c>
      <c r="R599" s="173" t="s">
        <v>230</v>
      </c>
      <c r="S599" s="174">
        <v>44777</v>
      </c>
      <c r="T599" s="173" t="s">
        <v>337</v>
      </c>
      <c r="U599" s="182">
        <v>192300.19</v>
      </c>
      <c r="V599" s="177">
        <f>IF(U599=0,0,IF(T599="MXN",1/HLOOKUP(YEAR(S599)+(MONTH(S599)/100),TC!$5:$37,DAY(S599)+2,FALSE),VLOOKUP(T599,Equivalencia!$1:$23,((MAX(Equivalencia!$3:$3)-YEAR(S599))*14)+MONTH(S599)+2,FALSE)))</f>
        <v>1.0056</v>
      </c>
      <c r="W599" s="178">
        <f t="shared" si="99"/>
        <v>193377.07106400002</v>
      </c>
      <c r="X599" s="481">
        <f t="shared" si="95"/>
        <v>-36136.971374944143</v>
      </c>
      <c r="Y599" s="179"/>
      <c r="Z599" s="466">
        <f t="shared" si="96"/>
        <v>245878.39366484087</v>
      </c>
      <c r="AA599" s="473">
        <f t="shared" si="97"/>
        <v>-52501.322600840853</v>
      </c>
      <c r="AB599" s="339">
        <f t="shared" si="98"/>
        <v>-3.0388761782624174E-2</v>
      </c>
    </row>
    <row r="600" spans="2:28" ht="20.100000000000001" customHeight="1">
      <c r="B600" s="172">
        <v>1179000</v>
      </c>
      <c r="C600" s="174">
        <v>43830</v>
      </c>
      <c r="D600" s="181" t="s">
        <v>248</v>
      </c>
      <c r="E600" s="173" t="s">
        <v>33</v>
      </c>
      <c r="F600" s="176">
        <v>2166.0146274900039</v>
      </c>
      <c r="G600" s="175">
        <f t="shared" si="100"/>
        <v>21.66</v>
      </c>
      <c r="H600" s="175">
        <f t="shared" si="93"/>
        <v>2166.0146274900039</v>
      </c>
      <c r="I600" s="177">
        <f>IF(G600=0,0,IF(E600="MXN",1/HLOOKUP(YEAR(C600)+(MONTH(C600)/100),TC!$5:$37,DAY(C600)+2,FALSE),VLOOKUP(E600,Equivalencia!$5:$23,((MAX(Equivalencia!$3:$3)-YEAR(C600))*14)+MONTH(C600)+2,FALSE)))</f>
        <v>1</v>
      </c>
      <c r="J600" s="178">
        <f t="shared" si="101"/>
        <v>2166.0146274900039</v>
      </c>
      <c r="K600" s="462">
        <f>IF(C600=0,0,VLOOKUP(YEAR(C600),INPC!$B$4:$O$29,MONTH(C600)+1))</f>
        <v>105.934</v>
      </c>
      <c r="L600" s="462">
        <f>IF(S600=0,0,VLOOKUP(YEAR(S600),INPC!$B$4:$O$29,MONTH(S600)+1))</f>
        <v>123.803</v>
      </c>
      <c r="M600" s="463">
        <f t="shared" si="94"/>
        <v>1.1686000000000001</v>
      </c>
      <c r="N600" s="465">
        <f t="shared" si="102"/>
        <v>2531.2046936848187</v>
      </c>
      <c r="O600" s="179"/>
      <c r="P600" s="547">
        <v>21.66</v>
      </c>
      <c r="Q600" s="173" t="s">
        <v>583</v>
      </c>
      <c r="R600" s="173" t="s">
        <v>230</v>
      </c>
      <c r="S600" s="174">
        <v>44778</v>
      </c>
      <c r="T600" s="173" t="s">
        <v>33</v>
      </c>
      <c r="U600" s="182">
        <v>1640.2699999999998</v>
      </c>
      <c r="V600" s="177">
        <f>IF(U600=0,0,IF(T600="MXN",1/HLOOKUP(YEAR(S600)+(MONTH(S600)/100),TC!$5:$37,DAY(S600)+2,FALSE),VLOOKUP(T600,Equivalencia!$1:$23,((MAX(Equivalencia!$3:$3)-YEAR(S600))*14)+MONTH(S600)+2,FALSE)))</f>
        <v>1</v>
      </c>
      <c r="W600" s="178">
        <f t="shared" si="99"/>
        <v>1640.2699999999998</v>
      </c>
      <c r="X600" s="481">
        <f t="shared" si="95"/>
        <v>-525.74462749000418</v>
      </c>
      <c r="Y600" s="179"/>
      <c r="Z600" s="466">
        <f t="shared" si="96"/>
        <v>2531.2046936848187</v>
      </c>
      <c r="AA600" s="473">
        <f t="shared" si="97"/>
        <v>-890.93469368481897</v>
      </c>
      <c r="AB600" s="339">
        <f t="shared" si="98"/>
        <v>-0.24272441229967201</v>
      </c>
    </row>
    <row r="601" spans="2:28" ht="20.100000000000001" customHeight="1">
      <c r="B601" s="172">
        <v>1179000</v>
      </c>
      <c r="C601" s="174">
        <v>44643</v>
      </c>
      <c r="D601" s="181" t="s">
        <v>257</v>
      </c>
      <c r="E601" s="173" t="s">
        <v>33</v>
      </c>
      <c r="F601" s="176">
        <v>213553.43999999997</v>
      </c>
      <c r="G601" s="175">
        <f t="shared" si="100"/>
        <v>1620</v>
      </c>
      <c r="H601" s="175">
        <f t="shared" si="93"/>
        <v>213553.43999999997</v>
      </c>
      <c r="I601" s="177">
        <f>IF(G601=0,0,IF(E601="MXN",1/HLOOKUP(YEAR(C601)+(MONTH(C601)/100),TC!$5:$37,DAY(C601)+2,FALSE),VLOOKUP(E601,Equivalencia!$5:$23,((MAX(Equivalencia!$3:$3)-YEAR(C601))*14)+MONTH(C601)+2,FALSE)))</f>
        <v>1</v>
      </c>
      <c r="J601" s="178">
        <f t="shared" si="101"/>
        <v>213553.43999999997</v>
      </c>
      <c r="K601" s="462">
        <f>IF(C601=0,0,VLOOKUP(YEAR(C601),INPC!$B$4:$O$29,MONTH(C601)+1))</f>
        <v>120.15900000000001</v>
      </c>
      <c r="L601" s="462">
        <f>IF(S601=0,0,VLOOKUP(YEAR(S601),INPC!$B$4:$O$29,MONTH(S601)+1))</f>
        <v>123.803</v>
      </c>
      <c r="M601" s="463">
        <f t="shared" si="94"/>
        <v>1.0303</v>
      </c>
      <c r="N601" s="465">
        <f t="shared" si="102"/>
        <v>220024.10923199996</v>
      </c>
      <c r="O601" s="179"/>
      <c r="P601" s="180">
        <v>1620</v>
      </c>
      <c r="Q601" s="173" t="s">
        <v>583</v>
      </c>
      <c r="R601" s="173" t="s">
        <v>230</v>
      </c>
      <c r="S601" s="174">
        <v>44781</v>
      </c>
      <c r="T601" s="173" t="s">
        <v>33</v>
      </c>
      <c r="U601" s="182">
        <v>209752.98</v>
      </c>
      <c r="V601" s="177">
        <f>IF(U601=0,0,IF(T601="MXN",1/HLOOKUP(YEAR(S601)+(MONTH(S601)/100),TC!$5:$37,DAY(S601)+2,FALSE),VLOOKUP(T601,Equivalencia!$1:$23,((MAX(Equivalencia!$3:$3)-YEAR(S601))*14)+MONTH(S601)+2,FALSE)))</f>
        <v>1</v>
      </c>
      <c r="W601" s="178">
        <f t="shared" si="99"/>
        <v>209752.98</v>
      </c>
      <c r="X601" s="481">
        <f t="shared" si="95"/>
        <v>-3800.4599999999627</v>
      </c>
      <c r="Y601" s="179"/>
      <c r="Z601" s="466">
        <f t="shared" si="96"/>
        <v>220024.10923199996</v>
      </c>
      <c r="AA601" s="473">
        <f t="shared" si="97"/>
        <v>-10271.129231999948</v>
      </c>
      <c r="AB601" s="339">
        <f t="shared" si="98"/>
        <v>-1.7796294922713285E-2</v>
      </c>
    </row>
    <row r="602" spans="2:28" ht="20.100000000000001" customHeight="1">
      <c r="B602" s="172">
        <v>1179000</v>
      </c>
      <c r="C602" s="174">
        <v>44330</v>
      </c>
      <c r="D602" s="181" t="s">
        <v>258</v>
      </c>
      <c r="E602" s="173" t="s">
        <v>33</v>
      </c>
      <c r="F602" s="176">
        <v>175149.57</v>
      </c>
      <c r="G602" s="175">
        <f t="shared" si="100"/>
        <v>15807.723</v>
      </c>
      <c r="H602" s="175">
        <f t="shared" si="93"/>
        <v>175149.57</v>
      </c>
      <c r="I602" s="177">
        <f>IF(G602=0,0,IF(E602="MXN",1/HLOOKUP(YEAR(C602)+(MONTH(C602)/100),TC!$5:$37,DAY(C602)+2,FALSE),VLOOKUP(E602,Equivalencia!$5:$23,((MAX(Equivalencia!$3:$3)-YEAR(C602))*14)+MONTH(C602)+2,FALSE)))</f>
        <v>1</v>
      </c>
      <c r="J602" s="178">
        <f t="shared" si="101"/>
        <v>175149.57</v>
      </c>
      <c r="K602" s="462">
        <f>IF(C602=0,0,VLOOKUP(YEAR(C602),INPC!$B$4:$O$29,MONTH(C602)+1))</f>
        <v>112.419</v>
      </c>
      <c r="L602" s="462">
        <f>IF(S602=0,0,VLOOKUP(YEAR(S602),INPC!$B$4:$O$29,MONTH(S602)+1))</f>
        <v>123.803</v>
      </c>
      <c r="M602" s="463">
        <f t="shared" si="94"/>
        <v>1.1012</v>
      </c>
      <c r="N602" s="465">
        <f t="shared" si="102"/>
        <v>192874.70648399999</v>
      </c>
      <c r="O602" s="179"/>
      <c r="P602" s="180">
        <v>15807.723</v>
      </c>
      <c r="Q602" s="173" t="s">
        <v>583</v>
      </c>
      <c r="R602" s="173" t="s">
        <v>230</v>
      </c>
      <c r="S602" s="174">
        <v>44782</v>
      </c>
      <c r="T602" s="173" t="s">
        <v>33</v>
      </c>
      <c r="U602" s="182">
        <v>169458.79720072786</v>
      </c>
      <c r="V602" s="177">
        <f>IF(U602=0,0,IF(T602="MXN",1/HLOOKUP(YEAR(S602)+(MONTH(S602)/100),TC!$5:$37,DAY(S602)+2,FALSE),VLOOKUP(T602,Equivalencia!$1:$23,((MAX(Equivalencia!$3:$3)-YEAR(S602))*14)+MONTH(S602)+2,FALSE)))</f>
        <v>1</v>
      </c>
      <c r="W602" s="178">
        <f t="shared" si="99"/>
        <v>169458.79720072786</v>
      </c>
      <c r="X602" s="481">
        <f t="shared" si="95"/>
        <v>-5690.7727992721484</v>
      </c>
      <c r="Y602" s="179"/>
      <c r="Z602" s="466">
        <f t="shared" si="96"/>
        <v>192874.70648399999</v>
      </c>
      <c r="AA602" s="473">
        <f t="shared" si="97"/>
        <v>-23415.909283272136</v>
      </c>
      <c r="AB602" s="339">
        <f t="shared" si="98"/>
        <v>-3.2490932174553122E-2</v>
      </c>
    </row>
    <row r="603" spans="2:28" ht="20.100000000000001" customHeight="1">
      <c r="B603" s="172">
        <v>1179000</v>
      </c>
      <c r="C603" s="174">
        <v>44357</v>
      </c>
      <c r="D603" s="181" t="s">
        <v>258</v>
      </c>
      <c r="E603" s="173" t="s">
        <v>33</v>
      </c>
      <c r="F603" s="176">
        <v>46526.55</v>
      </c>
      <c r="G603" s="175">
        <f t="shared" si="100"/>
        <v>4187.808</v>
      </c>
      <c r="H603" s="175">
        <f t="shared" si="93"/>
        <v>46526.55</v>
      </c>
      <c r="I603" s="177">
        <f>IF(G603=0,0,IF(E603="MXN",1/HLOOKUP(YEAR(C603)+(MONTH(C603)/100),TC!$5:$37,DAY(C603)+2,FALSE),VLOOKUP(E603,Equivalencia!$5:$23,((MAX(Equivalencia!$3:$3)-YEAR(C603))*14)+MONTH(C603)+2,FALSE)))</f>
        <v>1</v>
      </c>
      <c r="J603" s="178">
        <f t="shared" si="101"/>
        <v>46526.55</v>
      </c>
      <c r="K603" s="462">
        <f>IF(C603=0,0,VLOOKUP(YEAR(C603),INPC!$B$4:$O$29,MONTH(C603)+1))</f>
        <v>113.018</v>
      </c>
      <c r="L603" s="462">
        <f>IF(S603=0,0,VLOOKUP(YEAR(S603),INPC!$B$4:$O$29,MONTH(S603)+1))</f>
        <v>123.803</v>
      </c>
      <c r="M603" s="463">
        <f t="shared" si="94"/>
        <v>1.0953999999999999</v>
      </c>
      <c r="N603" s="465">
        <f t="shared" si="102"/>
        <v>50965.182869999997</v>
      </c>
      <c r="O603" s="179"/>
      <c r="P603" s="180">
        <v>4187.808</v>
      </c>
      <c r="Q603" s="173" t="s">
        <v>583</v>
      </c>
      <c r="R603" s="173" t="s">
        <v>230</v>
      </c>
      <c r="S603" s="174">
        <v>44782</v>
      </c>
      <c r="T603" s="173" t="s">
        <v>33</v>
      </c>
      <c r="U603" s="182">
        <v>44893.303519272558</v>
      </c>
      <c r="V603" s="177">
        <f>IF(U603=0,0,IF(T603="MXN",1/HLOOKUP(YEAR(S603)+(MONTH(S603)/100),TC!$5:$37,DAY(S603)+2,FALSE),VLOOKUP(T603,Equivalencia!$1:$23,((MAX(Equivalencia!$3:$3)-YEAR(S603))*14)+MONTH(S603)+2,FALSE)))</f>
        <v>1</v>
      </c>
      <c r="W603" s="178">
        <f t="shared" si="99"/>
        <v>44893.303519272558</v>
      </c>
      <c r="X603" s="481">
        <f t="shared" si="95"/>
        <v>-1633.2464807274446</v>
      </c>
      <c r="Y603" s="179"/>
      <c r="Z603" s="466">
        <f t="shared" si="96"/>
        <v>50965.182869999997</v>
      </c>
      <c r="AA603" s="473">
        <f t="shared" si="97"/>
        <v>-6071.8793507274386</v>
      </c>
      <c r="AB603" s="339">
        <f t="shared" si="98"/>
        <v>-3.5103537243303951E-2</v>
      </c>
    </row>
    <row r="604" spans="2:28" ht="20.100000000000001" customHeight="1">
      <c r="B604" s="172">
        <v>1427200</v>
      </c>
      <c r="C604" s="174">
        <v>44551</v>
      </c>
      <c r="D604" s="181" t="s">
        <v>274</v>
      </c>
      <c r="E604" s="173" t="s">
        <v>33</v>
      </c>
      <c r="F604" s="176">
        <v>65.021739130434781</v>
      </c>
      <c r="G604" s="175">
        <f t="shared" si="100"/>
        <v>1</v>
      </c>
      <c r="H604" s="175">
        <f t="shared" si="93"/>
        <v>65.021739130434781</v>
      </c>
      <c r="I604" s="177">
        <f>IF(G604=0,0,IF(E604="MXN",1/HLOOKUP(YEAR(C604)+(MONTH(C604)/100),TC!$5:$37,DAY(C604)+2,FALSE),VLOOKUP(E604,Equivalencia!$5:$23,((MAX(Equivalencia!$3:$3)-YEAR(C604))*14)+MONTH(C604)+2,FALSE)))</f>
        <v>1</v>
      </c>
      <c r="J604" s="178">
        <f t="shared" si="101"/>
        <v>65.021739130434781</v>
      </c>
      <c r="K604" s="462">
        <f>IF(C604=0,0,VLOOKUP(YEAR(C604),INPC!$B$4:$O$29,MONTH(C604)+1))</f>
        <v>117.30800000000001</v>
      </c>
      <c r="L604" s="462">
        <f>IF(S604=0,0,VLOOKUP(YEAR(S604),INPC!$B$4:$O$29,MONTH(S604)+1))</f>
        <v>122.94799999999999</v>
      </c>
      <c r="M604" s="463">
        <f t="shared" si="94"/>
        <v>1.048</v>
      </c>
      <c r="N604" s="465">
        <f t="shared" si="102"/>
        <v>68.142782608695654</v>
      </c>
      <c r="O604" s="179"/>
      <c r="P604" s="180">
        <v>1</v>
      </c>
      <c r="Q604" s="173" t="s">
        <v>583</v>
      </c>
      <c r="R604" s="173" t="s">
        <v>230</v>
      </c>
      <c r="S604" s="174">
        <v>44754</v>
      </c>
      <c r="T604" s="173" t="s">
        <v>33</v>
      </c>
      <c r="U604" s="182">
        <v>24.6</v>
      </c>
      <c r="V604" s="177">
        <f>IF(U604=0,0,IF(T604="MXN",1/HLOOKUP(YEAR(S604)+(MONTH(S604)/100),TC!$5:$37,DAY(S604)+2,FALSE),VLOOKUP(T604,Equivalencia!$1:$23,((MAX(Equivalencia!$3:$3)-YEAR(S604))*14)+MONTH(S604)+2,FALSE)))</f>
        <v>1</v>
      </c>
      <c r="W604" s="178">
        <f t="shared" si="99"/>
        <v>24.6</v>
      </c>
      <c r="X604" s="481">
        <f t="shared" si="95"/>
        <v>-40.42173913043478</v>
      </c>
      <c r="Y604" s="179"/>
      <c r="Z604" s="466">
        <f t="shared" si="96"/>
        <v>68.142782608695654</v>
      </c>
      <c r="AA604" s="473">
        <f t="shared" si="97"/>
        <v>-43.542782608695653</v>
      </c>
      <c r="AB604" s="339">
        <f t="shared" si="98"/>
        <v>-0.62166499498495487</v>
      </c>
    </row>
    <row r="605" spans="2:28" ht="20.100000000000001" customHeight="1">
      <c r="B605" s="172">
        <v>1427200</v>
      </c>
      <c r="C605" s="174">
        <v>44551</v>
      </c>
      <c r="D605" s="181" t="s">
        <v>274</v>
      </c>
      <c r="E605" s="173" t="s">
        <v>33</v>
      </c>
      <c r="F605" s="176">
        <v>260.08695652173913</v>
      </c>
      <c r="G605" s="175">
        <f t="shared" si="100"/>
        <v>4</v>
      </c>
      <c r="H605" s="175">
        <f t="shared" si="93"/>
        <v>260.08695652173913</v>
      </c>
      <c r="I605" s="177">
        <f>IF(G605=0,0,IF(E605="MXN",1/HLOOKUP(YEAR(C605)+(MONTH(C605)/100),TC!$5:$37,DAY(C605)+2,FALSE),VLOOKUP(E605,Equivalencia!$5:$23,((MAX(Equivalencia!$3:$3)-YEAR(C605))*14)+MONTH(C605)+2,FALSE)))</f>
        <v>1</v>
      </c>
      <c r="J605" s="178">
        <f t="shared" si="101"/>
        <v>260.08695652173913</v>
      </c>
      <c r="K605" s="462">
        <f>IF(C605=0,0,VLOOKUP(YEAR(C605),INPC!$B$4:$O$29,MONTH(C605)+1))</f>
        <v>117.30800000000001</v>
      </c>
      <c r="L605" s="462">
        <f>IF(S605=0,0,VLOOKUP(YEAR(S605),INPC!$B$4:$O$29,MONTH(S605)+1))</f>
        <v>122.94799999999999</v>
      </c>
      <c r="M605" s="463">
        <f t="shared" si="94"/>
        <v>1.048</v>
      </c>
      <c r="N605" s="465">
        <f t="shared" si="102"/>
        <v>272.57113043478262</v>
      </c>
      <c r="O605" s="179"/>
      <c r="P605" s="180">
        <v>4</v>
      </c>
      <c r="Q605" s="173" t="s">
        <v>583</v>
      </c>
      <c r="R605" s="173" t="s">
        <v>230</v>
      </c>
      <c r="S605" s="174">
        <v>44754</v>
      </c>
      <c r="T605" s="173" t="s">
        <v>33</v>
      </c>
      <c r="U605" s="182">
        <v>99.11</v>
      </c>
      <c r="V605" s="177">
        <f>IF(U605=0,0,IF(T605="MXN",1/HLOOKUP(YEAR(S605)+(MONTH(S605)/100),TC!$5:$37,DAY(S605)+2,FALSE),VLOOKUP(T605,Equivalencia!$1:$23,((MAX(Equivalencia!$3:$3)-YEAR(S605))*14)+MONTH(S605)+2,FALSE)))</f>
        <v>1</v>
      </c>
      <c r="W605" s="178">
        <f t="shared" si="99"/>
        <v>99.11</v>
      </c>
      <c r="X605" s="481">
        <f t="shared" si="95"/>
        <v>-160.97695652173911</v>
      </c>
      <c r="Y605" s="179"/>
      <c r="Z605" s="466">
        <f t="shared" si="96"/>
        <v>272.57113043478262</v>
      </c>
      <c r="AA605" s="473">
        <f t="shared" si="97"/>
        <v>-173.4611304347826</v>
      </c>
      <c r="AB605" s="339">
        <f t="shared" si="98"/>
        <v>-0.61893513874958206</v>
      </c>
    </row>
    <row r="606" spans="2:28" ht="20.100000000000001" customHeight="1">
      <c r="B606" s="172">
        <v>1427200</v>
      </c>
      <c r="C606" s="174">
        <v>44551</v>
      </c>
      <c r="D606" s="181" t="s">
        <v>274</v>
      </c>
      <c r="E606" s="173" t="s">
        <v>33</v>
      </c>
      <c r="F606" s="176">
        <v>1170.391304347826</v>
      </c>
      <c r="G606" s="175">
        <f t="shared" si="100"/>
        <v>18</v>
      </c>
      <c r="H606" s="175">
        <f t="shared" si="93"/>
        <v>1170.391304347826</v>
      </c>
      <c r="I606" s="177">
        <f>IF(G606=0,0,IF(E606="MXN",1/HLOOKUP(YEAR(C606)+(MONTH(C606)/100),TC!$5:$37,DAY(C606)+2,FALSE),VLOOKUP(E606,Equivalencia!$5:$23,((MAX(Equivalencia!$3:$3)-YEAR(C606))*14)+MONTH(C606)+2,FALSE)))</f>
        <v>1</v>
      </c>
      <c r="J606" s="178">
        <f t="shared" si="101"/>
        <v>1170.391304347826</v>
      </c>
      <c r="K606" s="462">
        <f>IF(C606=0,0,VLOOKUP(YEAR(C606),INPC!$B$4:$O$29,MONTH(C606)+1))</f>
        <v>117.30800000000001</v>
      </c>
      <c r="L606" s="462">
        <f>IF(S606=0,0,VLOOKUP(YEAR(S606),INPC!$B$4:$O$29,MONTH(S606)+1))</f>
        <v>122.94799999999999</v>
      </c>
      <c r="M606" s="463">
        <f t="shared" si="94"/>
        <v>1.048</v>
      </c>
      <c r="N606" s="465">
        <f t="shared" si="102"/>
        <v>1226.5700869565217</v>
      </c>
      <c r="O606" s="179"/>
      <c r="P606" s="180">
        <v>18</v>
      </c>
      <c r="Q606" s="173" t="s">
        <v>583</v>
      </c>
      <c r="R606" s="173" t="s">
        <v>230</v>
      </c>
      <c r="S606" s="174">
        <v>44754</v>
      </c>
      <c r="T606" s="173" t="s">
        <v>33</v>
      </c>
      <c r="U606" s="182">
        <v>451.36636363636359</v>
      </c>
      <c r="V606" s="177">
        <f>IF(U606=0,0,IF(T606="MXN",1/HLOOKUP(YEAR(S606)+(MONTH(S606)/100),TC!$5:$37,DAY(S606)+2,FALSE),VLOOKUP(T606,Equivalencia!$1:$23,((MAX(Equivalencia!$3:$3)-YEAR(S606))*14)+MONTH(S606)+2,FALSE)))</f>
        <v>1</v>
      </c>
      <c r="W606" s="178">
        <f t="shared" si="99"/>
        <v>451.36636363636359</v>
      </c>
      <c r="X606" s="481">
        <f t="shared" si="95"/>
        <v>-719.02494071146248</v>
      </c>
      <c r="Y606" s="179"/>
      <c r="Z606" s="466">
        <f t="shared" si="96"/>
        <v>1226.5700869565217</v>
      </c>
      <c r="AA606" s="473">
        <f t="shared" si="97"/>
        <v>-775.20372332015813</v>
      </c>
      <c r="AB606" s="339">
        <f t="shared" si="98"/>
        <v>-0.61434576456642653</v>
      </c>
    </row>
    <row r="607" spans="2:28" ht="20.100000000000001" customHeight="1">
      <c r="B607" s="172">
        <v>1427200</v>
      </c>
      <c r="C607" s="174">
        <v>44553</v>
      </c>
      <c r="D607" s="181" t="s">
        <v>274</v>
      </c>
      <c r="E607" s="173" t="s">
        <v>33</v>
      </c>
      <c r="F607" s="176">
        <v>71.72</v>
      </c>
      <c r="G607" s="175">
        <f t="shared" si="100"/>
        <v>1</v>
      </c>
      <c r="H607" s="175">
        <f t="shared" si="93"/>
        <v>71.72</v>
      </c>
      <c r="I607" s="177">
        <f>IF(G607=0,0,IF(E607="MXN",1/HLOOKUP(YEAR(C607)+(MONTH(C607)/100),TC!$5:$37,DAY(C607)+2,FALSE),VLOOKUP(E607,Equivalencia!$5:$23,((MAX(Equivalencia!$3:$3)-YEAR(C607))*14)+MONTH(C607)+2,FALSE)))</f>
        <v>1</v>
      </c>
      <c r="J607" s="178">
        <f t="shared" si="101"/>
        <v>71.72</v>
      </c>
      <c r="K607" s="462">
        <f>IF(C607=0,0,VLOOKUP(YEAR(C607),INPC!$B$4:$O$29,MONTH(C607)+1))</f>
        <v>117.30800000000001</v>
      </c>
      <c r="L607" s="462">
        <f>IF(S607=0,0,VLOOKUP(YEAR(S607),INPC!$B$4:$O$29,MONTH(S607)+1))</f>
        <v>122.94799999999999</v>
      </c>
      <c r="M607" s="463">
        <f t="shared" si="94"/>
        <v>1.048</v>
      </c>
      <c r="N607" s="465">
        <f t="shared" si="102"/>
        <v>75.162559999999999</v>
      </c>
      <c r="O607" s="179"/>
      <c r="P607" s="180">
        <v>1</v>
      </c>
      <c r="Q607" s="173" t="s">
        <v>583</v>
      </c>
      <c r="R607" s="173" t="s">
        <v>230</v>
      </c>
      <c r="S607" s="174">
        <v>44754</v>
      </c>
      <c r="T607" s="173" t="s">
        <v>33</v>
      </c>
      <c r="U607" s="182">
        <v>25.075909090909089</v>
      </c>
      <c r="V607" s="177">
        <f>IF(U607=0,0,IF(T607="MXN",1/HLOOKUP(YEAR(S607)+(MONTH(S607)/100),TC!$5:$37,DAY(S607)+2,FALSE),VLOOKUP(T607,Equivalencia!$1:$23,((MAX(Equivalencia!$3:$3)-YEAR(S607))*14)+MONTH(S607)+2,FALSE)))</f>
        <v>1</v>
      </c>
      <c r="W607" s="178">
        <f t="shared" si="99"/>
        <v>25.075909090909089</v>
      </c>
      <c r="X607" s="481">
        <f t="shared" si="95"/>
        <v>-46.644090909090906</v>
      </c>
      <c r="Y607" s="179"/>
      <c r="Z607" s="466">
        <f t="shared" si="96"/>
        <v>75.162559999999999</v>
      </c>
      <c r="AA607" s="473">
        <f t="shared" si="97"/>
        <v>-50.086650909090906</v>
      </c>
      <c r="AB607" s="339">
        <f t="shared" si="98"/>
        <v>-0.65036378847031384</v>
      </c>
    </row>
    <row r="608" spans="2:28" ht="20.100000000000001" customHeight="1">
      <c r="B608" s="172">
        <v>1427200</v>
      </c>
      <c r="C608" s="174">
        <v>44553</v>
      </c>
      <c r="D608" s="181" t="s">
        <v>274</v>
      </c>
      <c r="E608" s="173" t="s">
        <v>33</v>
      </c>
      <c r="F608" s="176">
        <v>147.47999999999999</v>
      </c>
      <c r="G608" s="175">
        <f t="shared" si="100"/>
        <v>2</v>
      </c>
      <c r="H608" s="175">
        <f t="shared" si="93"/>
        <v>147.47999999999999</v>
      </c>
      <c r="I608" s="177">
        <f>IF(G608=0,0,IF(E608="MXN",1/HLOOKUP(YEAR(C608)+(MONTH(C608)/100),TC!$5:$37,DAY(C608)+2,FALSE),VLOOKUP(E608,Equivalencia!$5:$23,((MAX(Equivalencia!$3:$3)-YEAR(C608))*14)+MONTH(C608)+2,FALSE)))</f>
        <v>1</v>
      </c>
      <c r="J608" s="178">
        <f t="shared" si="101"/>
        <v>147.47999999999999</v>
      </c>
      <c r="K608" s="462">
        <f>IF(C608=0,0,VLOOKUP(YEAR(C608),INPC!$B$4:$O$29,MONTH(C608)+1))</f>
        <v>117.30800000000001</v>
      </c>
      <c r="L608" s="462">
        <f>IF(S608=0,0,VLOOKUP(YEAR(S608),INPC!$B$4:$O$29,MONTH(S608)+1))</f>
        <v>122.94799999999999</v>
      </c>
      <c r="M608" s="463">
        <f t="shared" si="94"/>
        <v>1.048</v>
      </c>
      <c r="N608" s="465">
        <f t="shared" si="102"/>
        <v>154.55903999999998</v>
      </c>
      <c r="O608" s="179"/>
      <c r="P608" s="180">
        <v>2</v>
      </c>
      <c r="Q608" s="173" t="s">
        <v>583</v>
      </c>
      <c r="R608" s="173" t="s">
        <v>230</v>
      </c>
      <c r="S608" s="174">
        <v>44754</v>
      </c>
      <c r="T608" s="173" t="s">
        <v>33</v>
      </c>
      <c r="U608" s="182">
        <v>50.151818181818179</v>
      </c>
      <c r="V608" s="177">
        <f>IF(U608=0,0,IF(T608="MXN",1/HLOOKUP(YEAR(S608)+(MONTH(S608)/100),TC!$5:$37,DAY(S608)+2,FALSE),VLOOKUP(T608,Equivalencia!$1:$23,((MAX(Equivalencia!$3:$3)-YEAR(S608))*14)+MONTH(S608)+2,FALSE)))</f>
        <v>1</v>
      </c>
      <c r="W608" s="178">
        <f t="shared" si="99"/>
        <v>50.151818181818179</v>
      </c>
      <c r="X608" s="481">
        <f t="shared" si="95"/>
        <v>-97.328181818181804</v>
      </c>
      <c r="Y608" s="179"/>
      <c r="Z608" s="466">
        <f t="shared" si="96"/>
        <v>154.55903999999998</v>
      </c>
      <c r="AA608" s="473">
        <f t="shared" si="97"/>
        <v>-104.4072218181818</v>
      </c>
      <c r="AB608" s="339">
        <f t="shared" si="98"/>
        <v>-0.65994156372512758</v>
      </c>
    </row>
    <row r="609" spans="2:28" ht="20.100000000000001" customHeight="1">
      <c r="B609" s="172">
        <v>1427200</v>
      </c>
      <c r="C609" s="174">
        <v>44553</v>
      </c>
      <c r="D609" s="181" t="s">
        <v>274</v>
      </c>
      <c r="E609" s="173" t="s">
        <v>33</v>
      </c>
      <c r="F609" s="176">
        <v>69.63333333333334</v>
      </c>
      <c r="G609" s="175">
        <f t="shared" si="100"/>
        <v>1</v>
      </c>
      <c r="H609" s="175">
        <f t="shared" si="93"/>
        <v>69.63333333333334</v>
      </c>
      <c r="I609" s="177">
        <f>IF(G609=0,0,IF(E609="MXN",1/HLOOKUP(YEAR(C609)+(MONTH(C609)/100),TC!$5:$37,DAY(C609)+2,FALSE),VLOOKUP(E609,Equivalencia!$5:$23,((MAX(Equivalencia!$3:$3)-YEAR(C609))*14)+MONTH(C609)+2,FALSE)))</f>
        <v>1</v>
      </c>
      <c r="J609" s="178">
        <f t="shared" si="101"/>
        <v>69.63333333333334</v>
      </c>
      <c r="K609" s="462">
        <f>IF(C609=0,0,VLOOKUP(YEAR(C609),INPC!$B$4:$O$29,MONTH(C609)+1))</f>
        <v>117.30800000000001</v>
      </c>
      <c r="L609" s="462">
        <f>IF(S609=0,0,VLOOKUP(YEAR(S609),INPC!$B$4:$O$29,MONTH(S609)+1))</f>
        <v>122.94799999999999</v>
      </c>
      <c r="M609" s="463">
        <f t="shared" si="94"/>
        <v>1.048</v>
      </c>
      <c r="N609" s="465">
        <f t="shared" si="102"/>
        <v>72.975733333333338</v>
      </c>
      <c r="O609" s="179"/>
      <c r="P609" s="180">
        <v>1</v>
      </c>
      <c r="Q609" s="173" t="s">
        <v>583</v>
      </c>
      <c r="R609" s="173" t="s">
        <v>230</v>
      </c>
      <c r="S609" s="174">
        <v>44754</v>
      </c>
      <c r="T609" s="173" t="s">
        <v>33</v>
      </c>
      <c r="U609" s="182">
        <v>25.075909090909089</v>
      </c>
      <c r="V609" s="177">
        <f>IF(U609=0,0,IF(T609="MXN",1/HLOOKUP(YEAR(S609)+(MONTH(S609)/100),TC!$5:$37,DAY(S609)+2,FALSE),VLOOKUP(T609,Equivalencia!$1:$23,((MAX(Equivalencia!$3:$3)-YEAR(S609))*14)+MONTH(S609)+2,FALSE)))</f>
        <v>1</v>
      </c>
      <c r="W609" s="178">
        <f t="shared" si="99"/>
        <v>25.075909090909089</v>
      </c>
      <c r="X609" s="481">
        <f t="shared" si="95"/>
        <v>-44.557424242424247</v>
      </c>
      <c r="Y609" s="179"/>
      <c r="Z609" s="466">
        <f t="shared" si="96"/>
        <v>72.975733333333338</v>
      </c>
      <c r="AA609" s="473">
        <f t="shared" si="97"/>
        <v>-47.899824242424245</v>
      </c>
      <c r="AB609" s="339">
        <f t="shared" si="98"/>
        <v>-0.63988641803385704</v>
      </c>
    </row>
    <row r="610" spans="2:28" ht="20.100000000000001" customHeight="1">
      <c r="B610" s="172">
        <v>1427200</v>
      </c>
      <c r="C610" s="174">
        <v>44553</v>
      </c>
      <c r="D610" s="181" t="s">
        <v>274</v>
      </c>
      <c r="E610" s="173" t="s">
        <v>33</v>
      </c>
      <c r="F610" s="176">
        <v>69.63333333333334</v>
      </c>
      <c r="G610" s="175">
        <f t="shared" si="100"/>
        <v>1</v>
      </c>
      <c r="H610" s="175">
        <f t="shared" si="93"/>
        <v>69.63333333333334</v>
      </c>
      <c r="I610" s="177">
        <f>IF(G610=0,0,IF(E610="MXN",1/HLOOKUP(YEAR(C610)+(MONTH(C610)/100),TC!$5:$37,DAY(C610)+2,FALSE),VLOOKUP(E610,Equivalencia!$5:$23,((MAX(Equivalencia!$3:$3)-YEAR(C610))*14)+MONTH(C610)+2,FALSE)))</f>
        <v>1</v>
      </c>
      <c r="J610" s="178">
        <f t="shared" si="101"/>
        <v>69.63333333333334</v>
      </c>
      <c r="K610" s="462">
        <f>IF(C610=0,0,VLOOKUP(YEAR(C610),INPC!$B$4:$O$29,MONTH(C610)+1))</f>
        <v>117.30800000000001</v>
      </c>
      <c r="L610" s="462">
        <f>IF(S610=0,0,VLOOKUP(YEAR(S610),INPC!$B$4:$O$29,MONTH(S610)+1))</f>
        <v>122.94799999999999</v>
      </c>
      <c r="M610" s="463">
        <f t="shared" si="94"/>
        <v>1.048</v>
      </c>
      <c r="N610" s="465">
        <f t="shared" si="102"/>
        <v>72.975733333333338</v>
      </c>
      <c r="O610" s="179"/>
      <c r="P610" s="180">
        <v>1</v>
      </c>
      <c r="Q610" s="173" t="s">
        <v>583</v>
      </c>
      <c r="R610" s="173" t="s">
        <v>230</v>
      </c>
      <c r="S610" s="174">
        <v>44754</v>
      </c>
      <c r="T610" s="173" t="s">
        <v>33</v>
      </c>
      <c r="U610" s="182">
        <v>25.13</v>
      </c>
      <c r="V610" s="177">
        <f>IF(U610=0,0,IF(T610="MXN",1/HLOOKUP(YEAR(S610)+(MONTH(S610)/100),TC!$5:$37,DAY(S610)+2,FALSE),VLOOKUP(T610,Equivalencia!$1:$23,((MAX(Equivalencia!$3:$3)-YEAR(S610))*14)+MONTH(S610)+2,FALSE)))</f>
        <v>1</v>
      </c>
      <c r="W610" s="178">
        <f t="shared" si="99"/>
        <v>25.13</v>
      </c>
      <c r="X610" s="481">
        <f t="shared" si="95"/>
        <v>-44.503333333333345</v>
      </c>
      <c r="Y610" s="179"/>
      <c r="Z610" s="466">
        <f t="shared" si="96"/>
        <v>72.975733333333338</v>
      </c>
      <c r="AA610" s="473">
        <f t="shared" si="97"/>
        <v>-47.845733333333342</v>
      </c>
      <c r="AB610" s="339">
        <f t="shared" si="98"/>
        <v>-0.63910962182862618</v>
      </c>
    </row>
    <row r="611" spans="2:28" ht="20.100000000000001" customHeight="1">
      <c r="B611" s="172">
        <v>1427200</v>
      </c>
      <c r="C611" s="174">
        <v>44503</v>
      </c>
      <c r="D611" s="181" t="s">
        <v>270</v>
      </c>
      <c r="E611" s="173" t="s">
        <v>33</v>
      </c>
      <c r="F611" s="176">
        <v>1557.0835714285718</v>
      </c>
      <c r="G611" s="175">
        <f t="shared" si="100"/>
        <v>3</v>
      </c>
      <c r="H611" s="175">
        <f t="shared" si="93"/>
        <v>1557.0835714285718</v>
      </c>
      <c r="I611" s="177">
        <f>IF(G611=0,0,IF(E611="MXN",1/HLOOKUP(YEAR(C611)+(MONTH(C611)/100),TC!$5:$37,DAY(C611)+2,FALSE),VLOOKUP(E611,Equivalencia!$5:$23,((MAX(Equivalencia!$3:$3)-YEAR(C611))*14)+MONTH(C611)+2,FALSE)))</f>
        <v>1</v>
      </c>
      <c r="J611" s="178">
        <f t="shared" si="101"/>
        <v>1557.0835714285718</v>
      </c>
      <c r="K611" s="462">
        <f>IF(C611=0,0,VLOOKUP(YEAR(C611),INPC!$B$4:$O$29,MONTH(C611)+1))</f>
        <v>116.884</v>
      </c>
      <c r="L611" s="462">
        <f>IF(S611=0,0,VLOOKUP(YEAR(S611),INPC!$B$4:$O$29,MONTH(S611)+1))</f>
        <v>122.94799999999999</v>
      </c>
      <c r="M611" s="463">
        <f t="shared" si="94"/>
        <v>1.0518000000000001</v>
      </c>
      <c r="N611" s="465">
        <f t="shared" si="102"/>
        <v>1637.740500428572</v>
      </c>
      <c r="O611" s="179"/>
      <c r="P611" s="180">
        <v>3</v>
      </c>
      <c r="Q611" s="173" t="s">
        <v>583</v>
      </c>
      <c r="R611" s="173" t="s">
        <v>230</v>
      </c>
      <c r="S611" s="174">
        <v>44754</v>
      </c>
      <c r="T611" s="173" t="s">
        <v>33</v>
      </c>
      <c r="U611" s="182">
        <v>889.92</v>
      </c>
      <c r="V611" s="177">
        <f>IF(U611=0,0,IF(T611="MXN",1/HLOOKUP(YEAR(S611)+(MONTH(S611)/100),TC!$5:$37,DAY(S611)+2,FALSE),VLOOKUP(T611,Equivalencia!$1:$23,((MAX(Equivalencia!$3:$3)-YEAR(S611))*14)+MONTH(S611)+2,FALSE)))</f>
        <v>1</v>
      </c>
      <c r="W611" s="178">
        <f t="shared" si="99"/>
        <v>889.92</v>
      </c>
      <c r="X611" s="481">
        <f t="shared" si="95"/>
        <v>-667.1635714285718</v>
      </c>
      <c r="Y611" s="179"/>
      <c r="Z611" s="466">
        <f t="shared" si="96"/>
        <v>1637.740500428572</v>
      </c>
      <c r="AA611" s="473">
        <f t="shared" si="97"/>
        <v>-747.82050042857202</v>
      </c>
      <c r="AB611" s="339">
        <f t="shared" si="98"/>
        <v>-0.42846998303146422</v>
      </c>
    </row>
    <row r="612" spans="2:28" ht="20.100000000000001" customHeight="1">
      <c r="B612" s="172">
        <v>1427200</v>
      </c>
      <c r="C612" s="174">
        <v>44503</v>
      </c>
      <c r="D612" s="181" t="s">
        <v>270</v>
      </c>
      <c r="E612" s="173" t="s">
        <v>33</v>
      </c>
      <c r="F612" s="176">
        <v>519.02785714285721</v>
      </c>
      <c r="G612" s="175">
        <f t="shared" si="100"/>
        <v>1</v>
      </c>
      <c r="H612" s="175">
        <f t="shared" si="93"/>
        <v>519.02785714285721</v>
      </c>
      <c r="I612" s="177">
        <f>IF(G612=0,0,IF(E612="MXN",1/HLOOKUP(YEAR(C612)+(MONTH(C612)/100),TC!$5:$37,DAY(C612)+2,FALSE),VLOOKUP(E612,Equivalencia!$5:$23,((MAX(Equivalencia!$3:$3)-YEAR(C612))*14)+MONTH(C612)+2,FALSE)))</f>
        <v>1</v>
      </c>
      <c r="J612" s="178">
        <f t="shared" si="101"/>
        <v>519.02785714285721</v>
      </c>
      <c r="K612" s="462">
        <f>IF(C612=0,0,VLOOKUP(YEAR(C612),INPC!$B$4:$O$29,MONTH(C612)+1))</f>
        <v>116.884</v>
      </c>
      <c r="L612" s="462">
        <f>IF(S612=0,0,VLOOKUP(YEAR(S612),INPC!$B$4:$O$29,MONTH(S612)+1))</f>
        <v>122.94799999999999</v>
      </c>
      <c r="M612" s="463">
        <f t="shared" si="94"/>
        <v>1.0518000000000001</v>
      </c>
      <c r="N612" s="465">
        <f t="shared" si="102"/>
        <v>545.91350014285729</v>
      </c>
      <c r="O612" s="179"/>
      <c r="P612" s="180">
        <v>1</v>
      </c>
      <c r="Q612" s="173" t="s">
        <v>583</v>
      </c>
      <c r="R612" s="173" t="s">
        <v>230</v>
      </c>
      <c r="S612" s="174">
        <v>44754</v>
      </c>
      <c r="T612" s="173" t="s">
        <v>33</v>
      </c>
      <c r="U612" s="182">
        <v>294.93</v>
      </c>
      <c r="V612" s="177">
        <f>IF(U612=0,0,IF(T612="MXN",1/HLOOKUP(YEAR(S612)+(MONTH(S612)/100),TC!$5:$37,DAY(S612)+2,FALSE),VLOOKUP(T612,Equivalencia!$1:$23,((MAX(Equivalencia!$3:$3)-YEAR(S612))*14)+MONTH(S612)+2,FALSE)))</f>
        <v>1</v>
      </c>
      <c r="W612" s="178">
        <f t="shared" si="99"/>
        <v>294.93</v>
      </c>
      <c r="X612" s="481">
        <f t="shared" si="95"/>
        <v>-224.09785714285721</v>
      </c>
      <c r="Y612" s="179"/>
      <c r="Z612" s="466">
        <f t="shared" si="96"/>
        <v>545.91350014285729</v>
      </c>
      <c r="AA612" s="473">
        <f t="shared" si="97"/>
        <v>-250.98350014285728</v>
      </c>
      <c r="AB612" s="339">
        <f t="shared" si="98"/>
        <v>-0.43176460388170745</v>
      </c>
    </row>
    <row r="613" spans="2:28" ht="20.100000000000001" customHeight="1">
      <c r="B613" s="172">
        <v>1427200</v>
      </c>
      <c r="C613" s="174">
        <v>44503</v>
      </c>
      <c r="D613" s="181" t="s">
        <v>270</v>
      </c>
      <c r="E613" s="173" t="s">
        <v>33</v>
      </c>
      <c r="F613" s="176">
        <v>1557.0835714285718</v>
      </c>
      <c r="G613" s="175">
        <f t="shared" si="100"/>
        <v>3</v>
      </c>
      <c r="H613" s="175">
        <f t="shared" si="93"/>
        <v>1557.0835714285718</v>
      </c>
      <c r="I613" s="177">
        <f>IF(G613=0,0,IF(E613="MXN",1/HLOOKUP(YEAR(C613)+(MONTH(C613)/100),TC!$5:$37,DAY(C613)+2,FALSE),VLOOKUP(E613,Equivalencia!$5:$23,((MAX(Equivalencia!$3:$3)-YEAR(C613))*14)+MONTH(C613)+2,FALSE)))</f>
        <v>1</v>
      </c>
      <c r="J613" s="178">
        <f t="shared" si="101"/>
        <v>1557.0835714285718</v>
      </c>
      <c r="K613" s="462">
        <f>IF(C613=0,0,VLOOKUP(YEAR(C613),INPC!$B$4:$O$29,MONTH(C613)+1))</f>
        <v>116.884</v>
      </c>
      <c r="L613" s="462">
        <f>IF(S613=0,0,VLOOKUP(YEAR(S613),INPC!$B$4:$O$29,MONTH(S613)+1))</f>
        <v>122.94799999999999</v>
      </c>
      <c r="M613" s="463">
        <f t="shared" si="94"/>
        <v>1.0518000000000001</v>
      </c>
      <c r="N613" s="465">
        <f t="shared" si="102"/>
        <v>1637.740500428572</v>
      </c>
      <c r="O613" s="179"/>
      <c r="P613" s="180">
        <v>3</v>
      </c>
      <c r="Q613" s="173" t="s">
        <v>583</v>
      </c>
      <c r="R613" s="173" t="s">
        <v>230</v>
      </c>
      <c r="S613" s="174">
        <v>44756</v>
      </c>
      <c r="T613" s="173" t="s">
        <v>33</v>
      </c>
      <c r="U613" s="182">
        <v>858.39</v>
      </c>
      <c r="V613" s="177">
        <f>IF(U613=0,0,IF(T613="MXN",1/HLOOKUP(YEAR(S613)+(MONTH(S613)/100),TC!$5:$37,DAY(S613)+2,FALSE),VLOOKUP(T613,Equivalencia!$1:$23,((MAX(Equivalencia!$3:$3)-YEAR(S613))*14)+MONTH(S613)+2,FALSE)))</f>
        <v>1</v>
      </c>
      <c r="W613" s="178">
        <f t="shared" si="99"/>
        <v>858.39</v>
      </c>
      <c r="X613" s="481">
        <f t="shared" si="95"/>
        <v>-698.69357142857177</v>
      </c>
      <c r="Y613" s="179"/>
      <c r="Z613" s="466">
        <f t="shared" si="96"/>
        <v>1637.740500428572</v>
      </c>
      <c r="AA613" s="473">
        <f t="shared" si="97"/>
        <v>-779.35050042857199</v>
      </c>
      <c r="AB613" s="339">
        <f t="shared" si="98"/>
        <v>-0.4487193778478723</v>
      </c>
    </row>
    <row r="614" spans="2:28" ht="20.100000000000001" customHeight="1" thickBot="1">
      <c r="B614" s="172">
        <v>1427200</v>
      </c>
      <c r="C614" s="174">
        <v>44592</v>
      </c>
      <c r="D614" s="181" t="s">
        <v>275</v>
      </c>
      <c r="E614" s="173" t="s">
        <v>33</v>
      </c>
      <c r="F614" s="176">
        <v>1611.4926666666665</v>
      </c>
      <c r="G614" s="175">
        <f t="shared" si="100"/>
        <v>11</v>
      </c>
      <c r="H614" s="175">
        <f t="shared" si="93"/>
        <v>1611.4926666666665</v>
      </c>
      <c r="I614" s="177">
        <f>IF(G614=0,0,IF(E614="MXN",1/HLOOKUP(YEAR(C614)+(MONTH(C614)/100),TC!$5:$37,DAY(C614)+2,FALSE),VLOOKUP(E614,Equivalencia!$5:$23,((MAX(Equivalencia!$3:$3)-YEAR(C614))*14)+MONTH(C614)+2,FALSE)))</f>
        <v>1</v>
      </c>
      <c r="J614" s="178">
        <f t="shared" si="101"/>
        <v>1611.4926666666665</v>
      </c>
      <c r="K614" s="462">
        <f>IF(C614=0,0,VLOOKUP(YEAR(C614),INPC!$B$4:$O$29,MONTH(C614)+1))</f>
        <v>118.002</v>
      </c>
      <c r="L614" s="462">
        <f>IF(S614=0,0,VLOOKUP(YEAR(S614),INPC!$B$4:$O$29,MONTH(S614)+1))</f>
        <v>118.98099999999999</v>
      </c>
      <c r="M614" s="463">
        <f t="shared" si="94"/>
        <v>1.0082</v>
      </c>
      <c r="N614" s="465">
        <f t="shared" si="102"/>
        <v>1624.7069065333333</v>
      </c>
      <c r="O614" s="179"/>
      <c r="P614" s="180">
        <v>11</v>
      </c>
      <c r="Q614" s="173" t="s">
        <v>583</v>
      </c>
      <c r="R614" s="173" t="s">
        <v>230</v>
      </c>
      <c r="S614" s="174">
        <v>44610</v>
      </c>
      <c r="T614" s="173" t="s">
        <v>33</v>
      </c>
      <c r="U614" s="182">
        <v>1758.5900000000001</v>
      </c>
      <c r="V614" s="177">
        <f>IF(U614=0,0,IF(T614="MXN",1/HLOOKUP(YEAR(S614)+(MONTH(S614)/100),TC!$5:$37,DAY(S614)+2,FALSE),VLOOKUP(T614,Equivalencia!$1:$23,((MAX(Equivalencia!$3:$3)-YEAR(S614))*14)+MONTH(S614)+2,FALSE)))</f>
        <v>1</v>
      </c>
      <c r="W614" s="178">
        <f t="shared" si="99"/>
        <v>1758.5900000000001</v>
      </c>
      <c r="X614" s="481">
        <f t="shared" si="95"/>
        <v>147.09733333333361</v>
      </c>
      <c r="Y614" s="179"/>
      <c r="Z614" s="466">
        <f t="shared" si="96"/>
        <v>1624.7069065333333</v>
      </c>
      <c r="AA614" s="473">
        <f t="shared" si="97"/>
        <v>133.88309346666688</v>
      </c>
      <c r="AB614" s="339">
        <f t="shared" si="98"/>
        <v>9.1280175439830469E-2</v>
      </c>
    </row>
    <row r="615" spans="2:28" ht="20.100000000000001" customHeight="1">
      <c r="B615" s="172">
        <v>1427200</v>
      </c>
      <c r="C615" s="174">
        <v>44592</v>
      </c>
      <c r="D615" s="181" t="s">
        <v>275</v>
      </c>
      <c r="E615" s="173" t="s">
        <v>33</v>
      </c>
      <c r="F615" s="176">
        <v>585.99733333333324</v>
      </c>
      <c r="G615" s="175">
        <f t="shared" si="100"/>
        <v>4</v>
      </c>
      <c r="H615" s="175">
        <f t="shared" si="93"/>
        <v>585.99733333333324</v>
      </c>
      <c r="I615" s="177">
        <f>IF(G615=0,0,IF(E615="MXN",1/HLOOKUP(YEAR(C615)+(MONTH(C615)/100),TC!$5:$37,DAY(C615)+2,FALSE),VLOOKUP(E615,Equivalencia!$5:$23,((MAX(Equivalencia!$3:$3)-YEAR(C615))*14)+MONTH(C615)+2,FALSE)))</f>
        <v>1</v>
      </c>
      <c r="J615" s="178">
        <f t="shared" si="101"/>
        <v>585.99733333333324</v>
      </c>
      <c r="K615" s="462">
        <f>IF(C615=0,0,VLOOKUP(YEAR(C615),INPC!$B$4:$O$29,MONTH(C615)+1))</f>
        <v>118.002</v>
      </c>
      <c r="L615" s="462">
        <f>IF(S615=0,0,VLOOKUP(YEAR(S615),INPC!$B$4:$O$29,MONTH(S615)+1))</f>
        <v>122.94799999999999</v>
      </c>
      <c r="M615" s="463">
        <f t="shared" si="94"/>
        <v>1.0419</v>
      </c>
      <c r="N615" s="465">
        <f t="shared" si="102"/>
        <v>610.55062159999989</v>
      </c>
      <c r="O615" s="179"/>
      <c r="P615" s="506">
        <v>4</v>
      </c>
      <c r="Q615" s="173" t="s">
        <v>583</v>
      </c>
      <c r="R615" s="173" t="s">
        <v>230</v>
      </c>
      <c r="S615" s="174">
        <v>44757</v>
      </c>
      <c r="T615" s="173" t="s">
        <v>33</v>
      </c>
      <c r="U615" s="182">
        <v>373.09333333333331</v>
      </c>
      <c r="V615" s="177">
        <f>IF(U615=0,0,IF(T615="MXN",1/HLOOKUP(YEAR(S615)+(MONTH(S615)/100),TC!$5:$37,DAY(S615)+2,FALSE),VLOOKUP(T615,Equivalencia!$1:$23,((MAX(Equivalencia!$3:$3)-YEAR(S615))*14)+MONTH(S615)+2,FALSE)))</f>
        <v>1</v>
      </c>
      <c r="W615" s="178">
        <f t="shared" si="99"/>
        <v>373.09333333333331</v>
      </c>
      <c r="X615" s="481">
        <f t="shared" si="95"/>
        <v>-212.90399999999994</v>
      </c>
      <c r="Y615" s="179"/>
      <c r="Z615" s="466">
        <f t="shared" si="96"/>
        <v>610.55062159999989</v>
      </c>
      <c r="AA615" s="473">
        <f t="shared" si="97"/>
        <v>-237.45728826666658</v>
      </c>
      <c r="AB615" s="339">
        <f t="shared" si="98"/>
        <v>-0.36331905947239795</v>
      </c>
    </row>
    <row r="616" spans="2:28" ht="20.100000000000001" customHeight="1" thickBot="1">
      <c r="B616" s="172">
        <v>1427200</v>
      </c>
      <c r="C616" s="174">
        <v>44593</v>
      </c>
      <c r="D616" s="181" t="s">
        <v>275</v>
      </c>
      <c r="E616" s="173" t="s">
        <v>33</v>
      </c>
      <c r="F616" s="176">
        <v>294.28285714285715</v>
      </c>
      <c r="G616" s="175">
        <f t="shared" si="100"/>
        <v>2</v>
      </c>
      <c r="H616" s="175">
        <f t="shared" si="93"/>
        <v>294.28285714285715</v>
      </c>
      <c r="I616" s="177">
        <f>IF(G616=0,0,IF(E616="MXN",1/HLOOKUP(YEAR(C616)+(MONTH(C616)/100),TC!$5:$37,DAY(C616)+2,FALSE),VLOOKUP(E616,Equivalencia!$5:$23,((MAX(Equivalencia!$3:$3)-YEAR(C616))*14)+MONTH(C616)+2,FALSE)))</f>
        <v>1</v>
      </c>
      <c r="J616" s="178">
        <f t="shared" si="101"/>
        <v>294.28285714285715</v>
      </c>
      <c r="K616" s="462">
        <f>IF(C616=0,0,VLOOKUP(YEAR(C616),INPC!$B$4:$O$29,MONTH(C616)+1))</f>
        <v>118.98099999999999</v>
      </c>
      <c r="L616" s="462">
        <f>IF(S616=0,0,VLOOKUP(YEAR(S616),INPC!$B$4:$O$29,MONTH(S616)+1))</f>
        <v>122.94799999999999</v>
      </c>
      <c r="M616" s="463">
        <f t="shared" si="94"/>
        <v>1.0333000000000001</v>
      </c>
      <c r="N616" s="465">
        <f t="shared" si="102"/>
        <v>304.08247628571434</v>
      </c>
      <c r="O616" s="179"/>
      <c r="P616" s="508">
        <v>2</v>
      </c>
      <c r="Q616" s="173" t="s">
        <v>583</v>
      </c>
      <c r="R616" s="173" t="s">
        <v>230</v>
      </c>
      <c r="S616" s="174">
        <v>44757</v>
      </c>
      <c r="T616" s="173" t="s">
        <v>33</v>
      </c>
      <c r="U616" s="182">
        <v>186.54666666666665</v>
      </c>
      <c r="V616" s="177">
        <f>IF(U616=0,0,IF(T616="MXN",1/HLOOKUP(YEAR(S616)+(MONTH(S616)/100),TC!$5:$37,DAY(S616)+2,FALSE),VLOOKUP(T616,Equivalencia!$1:$23,((MAX(Equivalencia!$3:$3)-YEAR(S616))*14)+MONTH(S616)+2,FALSE)))</f>
        <v>1</v>
      </c>
      <c r="W616" s="178">
        <f t="shared" si="99"/>
        <v>186.54666666666665</v>
      </c>
      <c r="X616" s="481">
        <f t="shared" si="95"/>
        <v>-107.7361904761905</v>
      </c>
      <c r="Y616" s="179"/>
      <c r="Z616" s="466">
        <f t="shared" si="96"/>
        <v>304.08247628571434</v>
      </c>
      <c r="AA616" s="473">
        <f t="shared" si="97"/>
        <v>-117.53580961904768</v>
      </c>
      <c r="AB616" s="339">
        <f t="shared" si="98"/>
        <v>-0.36609740547642866</v>
      </c>
    </row>
    <row r="617" spans="2:28" ht="20.100000000000001" customHeight="1" thickBot="1">
      <c r="B617" s="172">
        <v>1427200</v>
      </c>
      <c r="C617" s="174">
        <v>44593</v>
      </c>
      <c r="D617" s="181" t="s">
        <v>275</v>
      </c>
      <c r="E617" s="173" t="s">
        <v>33</v>
      </c>
      <c r="F617" s="176">
        <v>147.14142857142858</v>
      </c>
      <c r="G617" s="175">
        <f t="shared" si="100"/>
        <v>1</v>
      </c>
      <c r="H617" s="175">
        <f t="shared" si="93"/>
        <v>147.14142857142858</v>
      </c>
      <c r="I617" s="177">
        <f>IF(G617=0,0,IF(E617="MXN",1/HLOOKUP(YEAR(C617)+(MONTH(C617)/100),TC!$5:$37,DAY(C617)+2,FALSE),VLOOKUP(E617,Equivalencia!$5:$23,((MAX(Equivalencia!$3:$3)-YEAR(C617))*14)+MONTH(C617)+2,FALSE)))</f>
        <v>1</v>
      </c>
      <c r="J617" s="178">
        <f t="shared" si="101"/>
        <v>147.14142857142858</v>
      </c>
      <c r="K617" s="462">
        <f>IF(C617=0,0,VLOOKUP(YEAR(C617),INPC!$B$4:$O$29,MONTH(C617)+1))</f>
        <v>118.98099999999999</v>
      </c>
      <c r="L617" s="462">
        <f>IF(S617=0,0,VLOOKUP(YEAR(S617),INPC!$B$4:$O$29,MONTH(S617)+1))</f>
        <v>122.94799999999999</v>
      </c>
      <c r="M617" s="463">
        <f t="shared" si="94"/>
        <v>1.0333000000000001</v>
      </c>
      <c r="N617" s="465">
        <f t="shared" si="102"/>
        <v>152.04123814285717</v>
      </c>
      <c r="O617" s="179"/>
      <c r="P617" s="180">
        <v>1</v>
      </c>
      <c r="Q617" s="173" t="s">
        <v>583</v>
      </c>
      <c r="R617" s="173" t="s">
        <v>230</v>
      </c>
      <c r="S617" s="174">
        <v>44757</v>
      </c>
      <c r="T617" s="173" t="s">
        <v>33</v>
      </c>
      <c r="U617" s="182">
        <v>93.23</v>
      </c>
      <c r="V617" s="177">
        <f>IF(U617=0,0,IF(T617="MXN",1/HLOOKUP(YEAR(S617)+(MONTH(S617)/100),TC!$5:$37,DAY(S617)+2,FALSE),VLOOKUP(T617,Equivalencia!$1:$23,((MAX(Equivalencia!$3:$3)-YEAR(S617))*14)+MONTH(S617)+2,FALSE)))</f>
        <v>1</v>
      </c>
      <c r="W617" s="178">
        <f t="shared" si="99"/>
        <v>93.23</v>
      </c>
      <c r="X617" s="481">
        <f t="shared" si="95"/>
        <v>-53.911428571428573</v>
      </c>
      <c r="Y617" s="179"/>
      <c r="Z617" s="466">
        <f t="shared" si="96"/>
        <v>152.04123814285717</v>
      </c>
      <c r="AA617" s="473">
        <f t="shared" si="97"/>
        <v>-58.811238142857164</v>
      </c>
      <c r="AB617" s="339">
        <f t="shared" si="98"/>
        <v>-0.36639190671754096</v>
      </c>
    </row>
    <row r="618" spans="2:28" ht="20.100000000000001" customHeight="1">
      <c r="B618" s="172">
        <v>1427200</v>
      </c>
      <c r="C618" s="174">
        <v>44593</v>
      </c>
      <c r="D618" s="181" t="s">
        <v>275</v>
      </c>
      <c r="E618" s="173" t="s">
        <v>33</v>
      </c>
      <c r="F618" s="176">
        <v>588.56571428571431</v>
      </c>
      <c r="G618" s="175">
        <f t="shared" si="100"/>
        <v>4</v>
      </c>
      <c r="H618" s="175">
        <f t="shared" si="93"/>
        <v>588.56571428571431</v>
      </c>
      <c r="I618" s="177">
        <f>IF(G618=0,0,IF(E618="MXN",1/HLOOKUP(YEAR(C618)+(MONTH(C618)/100),TC!$5:$37,DAY(C618)+2,FALSE),VLOOKUP(E618,Equivalencia!$5:$23,((MAX(Equivalencia!$3:$3)-YEAR(C618))*14)+MONTH(C618)+2,FALSE)))</f>
        <v>1</v>
      </c>
      <c r="J618" s="178">
        <f t="shared" si="101"/>
        <v>588.56571428571431</v>
      </c>
      <c r="K618" s="462">
        <f>IF(C618=0,0,VLOOKUP(YEAR(C618),INPC!$B$4:$O$29,MONTH(C618)+1))</f>
        <v>118.98099999999999</v>
      </c>
      <c r="L618" s="462">
        <f>IF(S618=0,0,VLOOKUP(YEAR(S618),INPC!$B$4:$O$29,MONTH(S618)+1))</f>
        <v>122.94799999999999</v>
      </c>
      <c r="M618" s="463">
        <f t="shared" si="94"/>
        <v>1.0333000000000001</v>
      </c>
      <c r="N618" s="465">
        <f t="shared" si="102"/>
        <v>608.16495257142867</v>
      </c>
      <c r="O618" s="179"/>
      <c r="P618" s="506">
        <v>4</v>
      </c>
      <c r="Q618" s="173" t="s">
        <v>583</v>
      </c>
      <c r="R618" s="173" t="s">
        <v>230</v>
      </c>
      <c r="S618" s="174">
        <v>44757</v>
      </c>
      <c r="T618" s="173" t="s">
        <v>33</v>
      </c>
      <c r="U618" s="182">
        <v>374.53000000000003</v>
      </c>
      <c r="V618" s="177">
        <f>IF(U618=0,0,IF(T618="MXN",1/HLOOKUP(YEAR(S618)+(MONTH(S618)/100),TC!$5:$37,DAY(S618)+2,FALSE),VLOOKUP(T618,Equivalencia!$1:$23,((MAX(Equivalencia!$3:$3)-YEAR(S618))*14)+MONTH(S618)+2,FALSE)))</f>
        <v>1</v>
      </c>
      <c r="W618" s="178">
        <f t="shared" si="99"/>
        <v>374.53000000000003</v>
      </c>
      <c r="X618" s="481">
        <f t="shared" si="95"/>
        <v>-214.03571428571428</v>
      </c>
      <c r="Y618" s="179"/>
      <c r="Z618" s="466">
        <f t="shared" si="96"/>
        <v>608.16495257142867</v>
      </c>
      <c r="AA618" s="473">
        <f t="shared" si="97"/>
        <v>-233.63495257142864</v>
      </c>
      <c r="AB618" s="339">
        <f t="shared" si="98"/>
        <v>-0.36365644326643942</v>
      </c>
    </row>
    <row r="619" spans="2:28" ht="20.100000000000001" customHeight="1">
      <c r="B619" s="172">
        <v>1427200</v>
      </c>
      <c r="C619" s="174">
        <v>44596</v>
      </c>
      <c r="D619" s="181" t="s">
        <v>275</v>
      </c>
      <c r="E619" s="173" t="s">
        <v>33</v>
      </c>
      <c r="F619" s="176">
        <v>1638.16</v>
      </c>
      <c r="G619" s="175">
        <f t="shared" si="100"/>
        <v>11</v>
      </c>
      <c r="H619" s="175">
        <f t="shared" si="93"/>
        <v>1638.16</v>
      </c>
      <c r="I619" s="177">
        <f>IF(G619=0,0,IF(E619="MXN",1/HLOOKUP(YEAR(C619)+(MONTH(C619)/100),TC!$5:$37,DAY(C619)+2,FALSE),VLOOKUP(E619,Equivalencia!$5:$23,((MAX(Equivalencia!$3:$3)-YEAR(C619))*14)+MONTH(C619)+2,FALSE)))</f>
        <v>1</v>
      </c>
      <c r="J619" s="178">
        <f t="shared" si="101"/>
        <v>1638.16</v>
      </c>
      <c r="K619" s="462">
        <f>IF(C619=0,0,VLOOKUP(YEAR(C619),INPC!$B$4:$O$29,MONTH(C619)+1))</f>
        <v>118.98099999999999</v>
      </c>
      <c r="L619" s="462">
        <f>IF(S619=0,0,VLOOKUP(YEAR(S619),INPC!$B$4:$O$29,MONTH(S619)+1))</f>
        <v>122.94799999999999</v>
      </c>
      <c r="M619" s="463">
        <f t="shared" si="94"/>
        <v>1.0333000000000001</v>
      </c>
      <c r="N619" s="465">
        <f t="shared" si="102"/>
        <v>1692.7107280000002</v>
      </c>
      <c r="O619" s="179"/>
      <c r="P619" s="507">
        <v>11</v>
      </c>
      <c r="Q619" s="173" t="s">
        <v>583</v>
      </c>
      <c r="R619" s="173" t="s">
        <v>230</v>
      </c>
      <c r="S619" s="174">
        <v>44757</v>
      </c>
      <c r="T619" s="173" t="s">
        <v>33</v>
      </c>
      <c r="U619" s="182">
        <v>1029.9575</v>
      </c>
      <c r="V619" s="177">
        <f>IF(U619=0,0,IF(T619="MXN",1/HLOOKUP(YEAR(S619)+(MONTH(S619)/100),TC!$5:$37,DAY(S619)+2,FALSE),VLOOKUP(T619,Equivalencia!$1:$23,((MAX(Equivalencia!$3:$3)-YEAR(S619))*14)+MONTH(S619)+2,FALSE)))</f>
        <v>1</v>
      </c>
      <c r="W619" s="178">
        <f t="shared" si="99"/>
        <v>1029.9575</v>
      </c>
      <c r="X619" s="481">
        <f t="shared" si="95"/>
        <v>-608.2025000000001</v>
      </c>
      <c r="Y619" s="179"/>
      <c r="Z619" s="466">
        <f t="shared" si="96"/>
        <v>1692.7107280000002</v>
      </c>
      <c r="AA619" s="473">
        <f t="shared" si="97"/>
        <v>-662.75322800000026</v>
      </c>
      <c r="AB619" s="339">
        <f t="shared" si="98"/>
        <v>-0.37127173169897942</v>
      </c>
    </row>
    <row r="620" spans="2:28" ht="20.100000000000001" customHeight="1">
      <c r="B620" s="172">
        <v>1427200</v>
      </c>
      <c r="C620" s="174">
        <v>44596</v>
      </c>
      <c r="D620" s="181" t="s">
        <v>275</v>
      </c>
      <c r="E620" s="173" t="s">
        <v>33</v>
      </c>
      <c r="F620" s="176">
        <v>608.30999999999995</v>
      </c>
      <c r="G620" s="175">
        <f t="shared" si="100"/>
        <v>4</v>
      </c>
      <c r="H620" s="175">
        <f t="shared" si="93"/>
        <v>608.30999999999995</v>
      </c>
      <c r="I620" s="177">
        <f>IF(G620=0,0,IF(E620="MXN",1/HLOOKUP(YEAR(C620)+(MONTH(C620)/100),TC!$5:$37,DAY(C620)+2,FALSE),VLOOKUP(E620,Equivalencia!$5:$23,((MAX(Equivalencia!$3:$3)-YEAR(C620))*14)+MONTH(C620)+2,FALSE)))</f>
        <v>1</v>
      </c>
      <c r="J620" s="178">
        <f t="shared" si="101"/>
        <v>608.30999999999995</v>
      </c>
      <c r="K620" s="462">
        <f>IF(C620=0,0,VLOOKUP(YEAR(C620),INPC!$B$4:$O$29,MONTH(C620)+1))</f>
        <v>118.98099999999999</v>
      </c>
      <c r="L620" s="462">
        <f>IF(S620=0,0,VLOOKUP(YEAR(S620),INPC!$B$4:$O$29,MONTH(S620)+1))</f>
        <v>122.94799999999999</v>
      </c>
      <c r="M620" s="463">
        <f t="shared" si="94"/>
        <v>1.0333000000000001</v>
      </c>
      <c r="N620" s="465">
        <f t="shared" si="102"/>
        <v>628.56672300000002</v>
      </c>
      <c r="O620" s="179"/>
      <c r="P620" s="507">
        <v>4</v>
      </c>
      <c r="Q620" s="173" t="s">
        <v>583</v>
      </c>
      <c r="R620" s="173" t="s">
        <v>230</v>
      </c>
      <c r="S620" s="174">
        <v>44757</v>
      </c>
      <c r="T620" s="173" t="s">
        <v>33</v>
      </c>
      <c r="U620" s="182">
        <v>374.53000000000003</v>
      </c>
      <c r="V620" s="177">
        <f>IF(U620=0,0,IF(T620="MXN",1/HLOOKUP(YEAR(S620)+(MONTH(S620)/100),TC!$5:$37,DAY(S620)+2,FALSE),VLOOKUP(T620,Equivalencia!$1:$23,((MAX(Equivalencia!$3:$3)-YEAR(S620))*14)+MONTH(S620)+2,FALSE)))</f>
        <v>1</v>
      </c>
      <c r="W620" s="178">
        <f t="shared" si="99"/>
        <v>374.53000000000003</v>
      </c>
      <c r="X620" s="481">
        <f t="shared" si="95"/>
        <v>-233.77999999999992</v>
      </c>
      <c r="Y620" s="179"/>
      <c r="Z620" s="466">
        <f t="shared" si="96"/>
        <v>628.56672300000002</v>
      </c>
      <c r="AA620" s="473">
        <f t="shared" si="97"/>
        <v>-254.03672299999999</v>
      </c>
      <c r="AB620" s="339">
        <f t="shared" si="98"/>
        <v>-0.38431063109269936</v>
      </c>
    </row>
    <row r="621" spans="2:28" ht="20.100000000000001" customHeight="1">
      <c r="B621" s="172">
        <v>1427200</v>
      </c>
      <c r="C621" s="174">
        <v>44678</v>
      </c>
      <c r="D621" s="181" t="s">
        <v>275</v>
      </c>
      <c r="E621" s="173" t="s">
        <v>33</v>
      </c>
      <c r="F621" s="176">
        <v>251.8</v>
      </c>
      <c r="G621" s="175">
        <f t="shared" si="100"/>
        <v>2</v>
      </c>
      <c r="H621" s="175">
        <f t="shared" si="93"/>
        <v>251.8</v>
      </c>
      <c r="I621" s="177">
        <f>IF(G621=0,0,IF(E621="MXN",1/HLOOKUP(YEAR(C621)+(MONTH(C621)/100),TC!$5:$37,DAY(C621)+2,FALSE),VLOOKUP(E621,Equivalencia!$5:$23,((MAX(Equivalencia!$3:$3)-YEAR(C621))*14)+MONTH(C621)+2,FALSE)))</f>
        <v>1</v>
      </c>
      <c r="J621" s="178">
        <f t="shared" si="101"/>
        <v>251.8</v>
      </c>
      <c r="K621" s="462">
        <f>IF(C621=0,0,VLOOKUP(YEAR(C621),INPC!$B$4:$O$29,MONTH(C621)+1))</f>
        <v>120.809</v>
      </c>
      <c r="L621" s="462">
        <f>IF(S621=0,0,VLOOKUP(YEAR(S621),INPC!$B$4:$O$29,MONTH(S621)+1))</f>
        <v>122.94799999999999</v>
      </c>
      <c r="M621" s="463">
        <f t="shared" si="94"/>
        <v>1.0177</v>
      </c>
      <c r="N621" s="465">
        <f t="shared" si="102"/>
        <v>256.25686000000002</v>
      </c>
      <c r="O621" s="179"/>
      <c r="P621" s="507">
        <v>2</v>
      </c>
      <c r="Q621" s="173" t="s">
        <v>583</v>
      </c>
      <c r="R621" s="173" t="s">
        <v>230</v>
      </c>
      <c r="S621" s="174">
        <v>44757</v>
      </c>
      <c r="T621" s="173" t="s">
        <v>33</v>
      </c>
      <c r="U621" s="182">
        <v>187.26500000000001</v>
      </c>
      <c r="V621" s="177">
        <f>IF(U621=0,0,IF(T621="MXN",1/HLOOKUP(YEAR(S621)+(MONTH(S621)/100),TC!$5:$37,DAY(S621)+2,FALSE),VLOOKUP(T621,Equivalencia!$1:$23,((MAX(Equivalencia!$3:$3)-YEAR(S621))*14)+MONTH(S621)+2,FALSE)))</f>
        <v>1</v>
      </c>
      <c r="W621" s="178">
        <f t="shared" si="99"/>
        <v>187.26500000000001</v>
      </c>
      <c r="X621" s="481">
        <f t="shared" si="95"/>
        <v>-64.534999999999997</v>
      </c>
      <c r="Y621" s="179"/>
      <c r="Z621" s="466">
        <f t="shared" si="96"/>
        <v>256.25686000000002</v>
      </c>
      <c r="AA621" s="473">
        <f t="shared" si="97"/>
        <v>-68.991860000000003</v>
      </c>
      <c r="AB621" s="339">
        <f t="shared" si="98"/>
        <v>-0.25629467831612385</v>
      </c>
    </row>
    <row r="622" spans="2:28" ht="20.100000000000001" customHeight="1">
      <c r="B622" s="172">
        <v>1427200</v>
      </c>
      <c r="C622" s="174">
        <v>44678</v>
      </c>
      <c r="D622" s="181" t="s">
        <v>275</v>
      </c>
      <c r="E622" s="173" t="s">
        <v>33</v>
      </c>
      <c r="F622" s="176">
        <v>366.6</v>
      </c>
      <c r="G622" s="175">
        <f t="shared" si="100"/>
        <v>3</v>
      </c>
      <c r="H622" s="175">
        <f t="shared" si="93"/>
        <v>366.6</v>
      </c>
      <c r="I622" s="177">
        <f>IF(G622=0,0,IF(E622="MXN",1/HLOOKUP(YEAR(C622)+(MONTH(C622)/100),TC!$5:$37,DAY(C622)+2,FALSE),VLOOKUP(E622,Equivalencia!$5:$23,((MAX(Equivalencia!$3:$3)-YEAR(C622))*14)+MONTH(C622)+2,FALSE)))</f>
        <v>1</v>
      </c>
      <c r="J622" s="178">
        <f t="shared" si="101"/>
        <v>366.6</v>
      </c>
      <c r="K622" s="462">
        <f>IF(C622=0,0,VLOOKUP(YEAR(C622),INPC!$B$4:$O$29,MONTH(C622)+1))</f>
        <v>120.809</v>
      </c>
      <c r="L622" s="462">
        <f>IF(S622=0,0,VLOOKUP(YEAR(S622),INPC!$B$4:$O$29,MONTH(S622)+1))</f>
        <v>122.94799999999999</v>
      </c>
      <c r="M622" s="463">
        <f t="shared" si="94"/>
        <v>1.0177</v>
      </c>
      <c r="N622" s="465">
        <f t="shared" si="102"/>
        <v>373.08882000000006</v>
      </c>
      <c r="O622" s="179"/>
      <c r="P622" s="507">
        <v>3</v>
      </c>
      <c r="Q622" s="173" t="s">
        <v>583</v>
      </c>
      <c r="R622" s="173" t="s">
        <v>230</v>
      </c>
      <c r="S622" s="174">
        <v>44757</v>
      </c>
      <c r="T622" s="173" t="s">
        <v>33</v>
      </c>
      <c r="U622" s="182">
        <v>280.89750000000004</v>
      </c>
      <c r="V622" s="177">
        <f>IF(U622=0,0,IF(T622="MXN",1/HLOOKUP(YEAR(S622)+(MONTH(S622)/100),TC!$5:$37,DAY(S622)+2,FALSE),VLOOKUP(T622,Equivalencia!$1:$23,((MAX(Equivalencia!$3:$3)-YEAR(S622))*14)+MONTH(S622)+2,FALSE)))</f>
        <v>1</v>
      </c>
      <c r="W622" s="178">
        <f t="shared" si="99"/>
        <v>280.89750000000004</v>
      </c>
      <c r="X622" s="481">
        <f t="shared" si="95"/>
        <v>-85.702499999999986</v>
      </c>
      <c r="Y622" s="179"/>
      <c r="Z622" s="466">
        <f t="shared" si="96"/>
        <v>373.08882000000006</v>
      </c>
      <c r="AA622" s="473">
        <f t="shared" si="97"/>
        <v>-92.191320000000019</v>
      </c>
      <c r="AB622" s="339">
        <f t="shared" si="98"/>
        <v>-0.23377659574468079</v>
      </c>
    </row>
    <row r="623" spans="2:28" ht="20.100000000000001" customHeight="1" thickBot="1">
      <c r="B623" s="172">
        <v>1427200</v>
      </c>
      <c r="C623" s="174">
        <v>44694</v>
      </c>
      <c r="D623" s="181" t="s">
        <v>275</v>
      </c>
      <c r="E623" s="173" t="s">
        <v>33</v>
      </c>
      <c r="F623" s="176">
        <v>426.48</v>
      </c>
      <c r="G623" s="175">
        <f t="shared" si="100"/>
        <v>4</v>
      </c>
      <c r="H623" s="175">
        <f t="shared" si="93"/>
        <v>426.48</v>
      </c>
      <c r="I623" s="177">
        <f>IF(G623=0,0,IF(E623="MXN",1/HLOOKUP(YEAR(C623)+(MONTH(C623)/100),TC!$5:$37,DAY(C623)+2,FALSE),VLOOKUP(E623,Equivalencia!$5:$23,((MAX(Equivalencia!$3:$3)-YEAR(C623))*14)+MONTH(C623)+2,FALSE)))</f>
        <v>1</v>
      </c>
      <c r="J623" s="178">
        <f t="shared" si="101"/>
        <v>426.48</v>
      </c>
      <c r="K623" s="462">
        <f>IF(C623=0,0,VLOOKUP(YEAR(C623),INPC!$B$4:$O$29,MONTH(C623)+1))</f>
        <v>121.02200000000001</v>
      </c>
      <c r="L623" s="462">
        <f>IF(S623=0,0,VLOOKUP(YEAR(S623),INPC!$B$4:$O$29,MONTH(S623)+1))</f>
        <v>122.94799999999999</v>
      </c>
      <c r="M623" s="463">
        <f t="shared" si="94"/>
        <v>1.0159</v>
      </c>
      <c r="N623" s="465">
        <f t="shared" si="102"/>
        <v>433.26103200000006</v>
      </c>
      <c r="O623" s="179"/>
      <c r="P623" s="508">
        <v>4</v>
      </c>
      <c r="Q623" s="173" t="s">
        <v>583</v>
      </c>
      <c r="R623" s="173" t="s">
        <v>230</v>
      </c>
      <c r="S623" s="174">
        <v>44757</v>
      </c>
      <c r="T623" s="173" t="s">
        <v>33</v>
      </c>
      <c r="U623" s="182">
        <v>374.53000000000003</v>
      </c>
      <c r="V623" s="177">
        <f>IF(U623=0,0,IF(T623="MXN",1/HLOOKUP(YEAR(S623)+(MONTH(S623)/100),TC!$5:$37,DAY(S623)+2,FALSE),VLOOKUP(T623,Equivalencia!$1:$23,((MAX(Equivalencia!$3:$3)-YEAR(S623))*14)+MONTH(S623)+2,FALSE)))</f>
        <v>1</v>
      </c>
      <c r="W623" s="178">
        <f t="shared" si="99"/>
        <v>374.53000000000003</v>
      </c>
      <c r="X623" s="481">
        <f t="shared" si="95"/>
        <v>-51.949999999999989</v>
      </c>
      <c r="Y623" s="179"/>
      <c r="Z623" s="466">
        <f t="shared" si="96"/>
        <v>433.26103200000006</v>
      </c>
      <c r="AA623" s="473">
        <f t="shared" si="97"/>
        <v>-58.731032000000027</v>
      </c>
      <c r="AB623" s="339">
        <f t="shared" si="98"/>
        <v>-0.12181110485837554</v>
      </c>
    </row>
    <row r="624" spans="2:28" ht="20.100000000000001" customHeight="1">
      <c r="B624" s="172">
        <v>1427200</v>
      </c>
      <c r="C624" s="174">
        <v>44694</v>
      </c>
      <c r="D624" s="181" t="s">
        <v>275</v>
      </c>
      <c r="E624" s="173" t="s">
        <v>33</v>
      </c>
      <c r="F624" s="176">
        <v>106.62</v>
      </c>
      <c r="G624" s="175">
        <f t="shared" si="100"/>
        <v>1</v>
      </c>
      <c r="H624" s="175">
        <f t="shared" si="93"/>
        <v>106.62</v>
      </c>
      <c r="I624" s="177">
        <f>IF(G624=0,0,IF(E624="MXN",1/HLOOKUP(YEAR(C624)+(MONTH(C624)/100),TC!$5:$37,DAY(C624)+2,FALSE),VLOOKUP(E624,Equivalencia!$5:$23,((MAX(Equivalencia!$3:$3)-YEAR(C624))*14)+MONTH(C624)+2,FALSE)))</f>
        <v>1</v>
      </c>
      <c r="J624" s="178">
        <f t="shared" si="101"/>
        <v>106.62</v>
      </c>
      <c r="K624" s="462">
        <f>IF(C624=0,0,VLOOKUP(YEAR(C624),INPC!$B$4:$O$29,MONTH(C624)+1))</f>
        <v>121.02200000000001</v>
      </c>
      <c r="L624" s="462">
        <f>IF(S624=0,0,VLOOKUP(YEAR(S624),INPC!$B$4:$O$29,MONTH(S624)+1))</f>
        <v>122.94799999999999</v>
      </c>
      <c r="M624" s="463">
        <f t="shared" si="94"/>
        <v>1.0159</v>
      </c>
      <c r="N624" s="465">
        <f t="shared" si="102"/>
        <v>108.31525800000001</v>
      </c>
      <c r="O624" s="179"/>
      <c r="P624" s="180">
        <v>1</v>
      </c>
      <c r="Q624" s="173" t="s">
        <v>583</v>
      </c>
      <c r="R624" s="173" t="s">
        <v>230</v>
      </c>
      <c r="S624" s="174">
        <v>44757</v>
      </c>
      <c r="T624" s="173" t="s">
        <v>33</v>
      </c>
      <c r="U624" s="182">
        <v>93.32</v>
      </c>
      <c r="V624" s="177">
        <f>IF(U624=0,0,IF(T624="MXN",1/HLOOKUP(YEAR(S624)+(MONTH(S624)/100),TC!$5:$37,DAY(S624)+2,FALSE),VLOOKUP(T624,Equivalencia!$1:$23,((MAX(Equivalencia!$3:$3)-YEAR(S624))*14)+MONTH(S624)+2,FALSE)))</f>
        <v>1</v>
      </c>
      <c r="W624" s="178">
        <f t="shared" si="99"/>
        <v>93.32</v>
      </c>
      <c r="X624" s="481">
        <f t="shared" si="95"/>
        <v>-13.300000000000011</v>
      </c>
      <c r="Y624" s="179"/>
      <c r="Z624" s="466">
        <f t="shared" si="96"/>
        <v>108.31525800000001</v>
      </c>
      <c r="AA624" s="473">
        <f t="shared" si="97"/>
        <v>-14.995258000000021</v>
      </c>
      <c r="AB624" s="339">
        <f t="shared" si="98"/>
        <v>-0.12474207465766285</v>
      </c>
    </row>
    <row r="625" spans="2:28" ht="20.100000000000001" customHeight="1">
      <c r="B625" s="172">
        <v>1427200</v>
      </c>
      <c r="C625" s="174">
        <v>44694</v>
      </c>
      <c r="D625" s="181" t="s">
        <v>275</v>
      </c>
      <c r="E625" s="173" t="s">
        <v>33</v>
      </c>
      <c r="F625" s="176">
        <v>106.62</v>
      </c>
      <c r="G625" s="175">
        <f t="shared" si="100"/>
        <v>1</v>
      </c>
      <c r="H625" s="175">
        <f t="shared" si="93"/>
        <v>106.62</v>
      </c>
      <c r="I625" s="177">
        <f>IF(G625=0,0,IF(E625="MXN",1/HLOOKUP(YEAR(C625)+(MONTH(C625)/100),TC!$5:$37,DAY(C625)+2,FALSE),VLOOKUP(E625,Equivalencia!$5:$23,((MAX(Equivalencia!$3:$3)-YEAR(C625))*14)+MONTH(C625)+2,FALSE)))</f>
        <v>1</v>
      </c>
      <c r="J625" s="178">
        <f t="shared" si="101"/>
        <v>106.62</v>
      </c>
      <c r="K625" s="462">
        <f>IF(C625=0,0,VLOOKUP(YEAR(C625),INPC!$B$4:$O$29,MONTH(C625)+1))</f>
        <v>121.02200000000001</v>
      </c>
      <c r="L625" s="462">
        <f>IF(S625=0,0,VLOOKUP(YEAR(S625),INPC!$B$4:$O$29,MONTH(S625)+1))</f>
        <v>122.94799999999999</v>
      </c>
      <c r="M625" s="463">
        <f t="shared" si="94"/>
        <v>1.0159</v>
      </c>
      <c r="N625" s="465">
        <f t="shared" si="102"/>
        <v>108.31525800000001</v>
      </c>
      <c r="O625" s="179"/>
      <c r="P625" s="180">
        <v>1</v>
      </c>
      <c r="Q625" s="173" t="s">
        <v>583</v>
      </c>
      <c r="R625" s="173" t="s">
        <v>230</v>
      </c>
      <c r="S625" s="174">
        <v>44760</v>
      </c>
      <c r="T625" s="173" t="s">
        <v>33</v>
      </c>
      <c r="U625" s="182">
        <v>94.96</v>
      </c>
      <c r="V625" s="177">
        <f>IF(U625=0,0,IF(T625="MXN",1/HLOOKUP(YEAR(S625)+(MONTH(S625)/100),TC!$5:$37,DAY(S625)+2,FALSE),VLOOKUP(T625,Equivalencia!$1:$23,((MAX(Equivalencia!$3:$3)-YEAR(S625))*14)+MONTH(S625)+2,FALSE)))</f>
        <v>1</v>
      </c>
      <c r="W625" s="178">
        <f t="shared" si="99"/>
        <v>94.96</v>
      </c>
      <c r="X625" s="481">
        <f t="shared" si="95"/>
        <v>-11.660000000000011</v>
      </c>
      <c r="Y625" s="179"/>
      <c r="Z625" s="466">
        <f t="shared" si="96"/>
        <v>108.31525800000001</v>
      </c>
      <c r="AA625" s="473">
        <f t="shared" si="97"/>
        <v>-13.355258000000021</v>
      </c>
      <c r="AB625" s="339">
        <f t="shared" si="98"/>
        <v>-0.10936034515100368</v>
      </c>
    </row>
    <row r="626" spans="2:28" ht="20.100000000000001" customHeight="1">
      <c r="B626" s="172">
        <v>1427200</v>
      </c>
      <c r="C626" s="174">
        <v>44503</v>
      </c>
      <c r="D626" s="181" t="s">
        <v>261</v>
      </c>
      <c r="E626" s="173" t="s">
        <v>33</v>
      </c>
      <c r="F626" s="176">
        <v>29004.945454545454</v>
      </c>
      <c r="G626" s="175">
        <f t="shared" si="100"/>
        <v>10</v>
      </c>
      <c r="H626" s="175">
        <f t="shared" si="93"/>
        <v>29004.945454545454</v>
      </c>
      <c r="I626" s="177">
        <f>IF(G626=0,0,IF(E626="MXN",1/HLOOKUP(YEAR(C626)+(MONTH(C626)/100),TC!$5:$37,DAY(C626)+2,FALSE),VLOOKUP(E626,Equivalencia!$5:$23,((MAX(Equivalencia!$3:$3)-YEAR(C626))*14)+MONTH(C626)+2,FALSE)))</f>
        <v>1</v>
      </c>
      <c r="J626" s="178">
        <f t="shared" si="101"/>
        <v>29004.945454545454</v>
      </c>
      <c r="K626" s="462">
        <f>IF(C626=0,0,VLOOKUP(YEAR(C626),INPC!$B$4:$O$29,MONTH(C626)+1))</f>
        <v>116.884</v>
      </c>
      <c r="L626" s="462">
        <f>IF(S626=0,0,VLOOKUP(YEAR(S626),INPC!$B$4:$O$29,MONTH(S626)+1))</f>
        <v>122.94799999999999</v>
      </c>
      <c r="M626" s="463">
        <f t="shared" si="94"/>
        <v>1.0518000000000001</v>
      </c>
      <c r="N626" s="465">
        <f t="shared" si="102"/>
        <v>30507.401629090909</v>
      </c>
      <c r="O626" s="179"/>
      <c r="P626" s="180">
        <v>10</v>
      </c>
      <c r="Q626" s="173" t="s">
        <v>583</v>
      </c>
      <c r="R626" s="173" t="s">
        <v>230</v>
      </c>
      <c r="S626" s="174">
        <v>44769</v>
      </c>
      <c r="T626" s="173" t="s">
        <v>33</v>
      </c>
      <c r="U626" s="182">
        <v>1082.04</v>
      </c>
      <c r="V626" s="177">
        <f>IF(U626=0,0,IF(T626="MXN",1/HLOOKUP(YEAR(S626)+(MONTH(S626)/100),TC!$5:$37,DAY(S626)+2,FALSE),VLOOKUP(T626,Equivalencia!$1:$23,((MAX(Equivalencia!$3:$3)-YEAR(S626))*14)+MONTH(S626)+2,FALSE)))</f>
        <v>1</v>
      </c>
      <c r="W626" s="178">
        <f t="shared" si="99"/>
        <v>1082.04</v>
      </c>
      <c r="X626" s="481">
        <f t="shared" si="95"/>
        <v>-27922.905454545453</v>
      </c>
      <c r="Y626" s="179"/>
      <c r="Z626" s="466">
        <f t="shared" si="96"/>
        <v>30507.401629090909</v>
      </c>
      <c r="AA626" s="473">
        <f t="shared" si="97"/>
        <v>-29425.361629090909</v>
      </c>
      <c r="AB626" s="339">
        <f t="shared" si="98"/>
        <v>-0.96269463765426833</v>
      </c>
    </row>
    <row r="627" spans="2:28" ht="20.100000000000001" customHeight="1">
      <c r="B627" s="172">
        <v>1427200</v>
      </c>
      <c r="C627" s="174">
        <v>44760</v>
      </c>
      <c r="D627" s="181" t="s">
        <v>261</v>
      </c>
      <c r="E627" s="173" t="s">
        <v>33</v>
      </c>
      <c r="F627" s="176">
        <v>5343.016267942583</v>
      </c>
      <c r="G627" s="175">
        <f t="shared" si="100"/>
        <v>35</v>
      </c>
      <c r="H627" s="175">
        <f t="shared" si="93"/>
        <v>5343.016267942583</v>
      </c>
      <c r="I627" s="177">
        <f>IF(G627=0,0,IF(E627="MXN",1/HLOOKUP(YEAR(C627)+(MONTH(C627)/100),TC!$5:$37,DAY(C627)+2,FALSE),VLOOKUP(E627,Equivalencia!$5:$23,((MAX(Equivalencia!$3:$3)-YEAR(C627))*14)+MONTH(C627)+2,FALSE)))</f>
        <v>1</v>
      </c>
      <c r="J627" s="178">
        <f t="shared" si="101"/>
        <v>5343.016267942583</v>
      </c>
      <c r="K627" s="462">
        <f>IF(C627=0,0,VLOOKUP(YEAR(C627),INPC!$B$4:$O$29,MONTH(C627)+1))</f>
        <v>122.94799999999999</v>
      </c>
      <c r="L627" s="462">
        <f>IF(S627=0,0,VLOOKUP(YEAR(S627),INPC!$B$4:$O$29,MONTH(S627)+1))</f>
        <v>122.94799999999999</v>
      </c>
      <c r="M627" s="463">
        <f t="shared" si="94"/>
        <v>1</v>
      </c>
      <c r="N627" s="465">
        <f t="shared" si="102"/>
        <v>5343.016267942583</v>
      </c>
      <c r="O627" s="179"/>
      <c r="P627" s="180">
        <v>35</v>
      </c>
      <c r="Q627" s="173" t="s">
        <v>583</v>
      </c>
      <c r="R627" s="173" t="s">
        <v>230</v>
      </c>
      <c r="S627" s="174">
        <v>44769</v>
      </c>
      <c r="T627" s="173" t="s">
        <v>33</v>
      </c>
      <c r="U627" s="182">
        <v>3787.1400000000003</v>
      </c>
      <c r="V627" s="177">
        <f>IF(U627=0,0,IF(T627="MXN",1/HLOOKUP(YEAR(S627)+(MONTH(S627)/100),TC!$5:$37,DAY(S627)+2,FALSE),VLOOKUP(T627,Equivalencia!$1:$23,((MAX(Equivalencia!$3:$3)-YEAR(S627))*14)+MONTH(S627)+2,FALSE)))</f>
        <v>1</v>
      </c>
      <c r="W627" s="178">
        <f t="shared" si="99"/>
        <v>3787.1400000000003</v>
      </c>
      <c r="X627" s="481">
        <f t="shared" si="95"/>
        <v>-1555.8762679425827</v>
      </c>
      <c r="Y627" s="179"/>
      <c r="Z627" s="466">
        <f t="shared" si="96"/>
        <v>5343.016267942583</v>
      </c>
      <c r="AA627" s="473">
        <f t="shared" si="97"/>
        <v>-1555.8762679425827</v>
      </c>
      <c r="AB627" s="339">
        <f t="shared" si="98"/>
        <v>-0.29119811543109875</v>
      </c>
    </row>
    <row r="628" spans="2:28" ht="20.100000000000001" customHeight="1">
      <c r="B628" s="172">
        <v>1427200</v>
      </c>
      <c r="C628" s="174">
        <v>44644</v>
      </c>
      <c r="D628" s="181" t="s">
        <v>265</v>
      </c>
      <c r="E628" s="173" t="s">
        <v>33</v>
      </c>
      <c r="F628" s="176">
        <v>173.38263157894735</v>
      </c>
      <c r="G628" s="175">
        <f t="shared" si="100"/>
        <v>9</v>
      </c>
      <c r="H628" s="175">
        <f t="shared" si="93"/>
        <v>173.38263157894735</v>
      </c>
      <c r="I628" s="177">
        <f>IF(G628=0,0,IF(E628="MXN",1/HLOOKUP(YEAR(C628)+(MONTH(C628)/100),TC!$5:$37,DAY(C628)+2,FALSE),VLOOKUP(E628,Equivalencia!$5:$23,((MAX(Equivalencia!$3:$3)-YEAR(C628))*14)+MONTH(C628)+2,FALSE)))</f>
        <v>1</v>
      </c>
      <c r="J628" s="178">
        <f t="shared" si="101"/>
        <v>173.38263157894735</v>
      </c>
      <c r="K628" s="462">
        <f>IF(C628=0,0,VLOOKUP(YEAR(C628),INPC!$B$4:$O$29,MONTH(C628)+1))</f>
        <v>120.15900000000001</v>
      </c>
      <c r="L628" s="462">
        <f>IF(S628=0,0,VLOOKUP(YEAR(S628),INPC!$B$4:$O$29,MONTH(S628)+1))</f>
        <v>122.94799999999999</v>
      </c>
      <c r="M628" s="463">
        <f t="shared" si="94"/>
        <v>1.0232000000000001</v>
      </c>
      <c r="N628" s="465">
        <f t="shared" si="102"/>
        <v>177.40510863157894</v>
      </c>
      <c r="O628" s="179"/>
      <c r="P628" s="180">
        <v>9</v>
      </c>
      <c r="Q628" s="173" t="s">
        <v>583</v>
      </c>
      <c r="R628" s="173" t="s">
        <v>230</v>
      </c>
      <c r="S628" s="174">
        <v>44760</v>
      </c>
      <c r="T628" s="173" t="s">
        <v>33</v>
      </c>
      <c r="U628" s="182">
        <v>114.63</v>
      </c>
      <c r="V628" s="177">
        <f>IF(U628=0,0,IF(T628="MXN",1/HLOOKUP(YEAR(S628)+(MONTH(S628)/100),TC!$5:$37,DAY(S628)+2,FALSE),VLOOKUP(T628,Equivalencia!$1:$23,((MAX(Equivalencia!$3:$3)-YEAR(S628))*14)+MONTH(S628)+2,FALSE)))</f>
        <v>1</v>
      </c>
      <c r="W628" s="178">
        <f t="shared" si="99"/>
        <v>114.63</v>
      </c>
      <c r="X628" s="481">
        <f t="shared" si="95"/>
        <v>-58.752631578947359</v>
      </c>
      <c r="Y628" s="179"/>
      <c r="Z628" s="466">
        <f t="shared" si="96"/>
        <v>177.40510863157894</v>
      </c>
      <c r="AA628" s="473">
        <f t="shared" si="97"/>
        <v>-62.775108631578945</v>
      </c>
      <c r="AB628" s="339">
        <f t="shared" si="98"/>
        <v>-0.33886111338779146</v>
      </c>
    </row>
    <row r="629" spans="2:28" ht="20.100000000000001" customHeight="1">
      <c r="B629" s="172">
        <v>1427200</v>
      </c>
      <c r="C629" s="174">
        <v>44644</v>
      </c>
      <c r="D629" s="181" t="s">
        <v>265</v>
      </c>
      <c r="E629" s="173" t="s">
        <v>33</v>
      </c>
      <c r="F629" s="176">
        <v>385.29473684210524</v>
      </c>
      <c r="G629" s="175">
        <f t="shared" si="100"/>
        <v>20</v>
      </c>
      <c r="H629" s="175">
        <f t="shared" si="93"/>
        <v>385.29473684210524</v>
      </c>
      <c r="I629" s="177">
        <f>IF(G629=0,0,IF(E629="MXN",1/HLOOKUP(YEAR(C629)+(MONTH(C629)/100),TC!$5:$37,DAY(C629)+2,FALSE),VLOOKUP(E629,Equivalencia!$5:$23,((MAX(Equivalencia!$3:$3)-YEAR(C629))*14)+MONTH(C629)+2,FALSE)))</f>
        <v>1</v>
      </c>
      <c r="J629" s="178">
        <f t="shared" si="101"/>
        <v>385.29473684210524</v>
      </c>
      <c r="K629" s="462">
        <f>IF(C629=0,0,VLOOKUP(YEAR(C629),INPC!$B$4:$O$29,MONTH(C629)+1))</f>
        <v>120.15900000000001</v>
      </c>
      <c r="L629" s="462">
        <f>IF(S629=0,0,VLOOKUP(YEAR(S629),INPC!$B$4:$O$29,MONTH(S629)+1))</f>
        <v>122.94799999999999</v>
      </c>
      <c r="M629" s="463">
        <f t="shared" si="94"/>
        <v>1.0232000000000001</v>
      </c>
      <c r="N629" s="465">
        <f t="shared" si="102"/>
        <v>394.23357473684212</v>
      </c>
      <c r="O629" s="179"/>
      <c r="P629" s="180">
        <v>20</v>
      </c>
      <c r="Q629" s="173" t="s">
        <v>583</v>
      </c>
      <c r="R629" s="173" t="s">
        <v>230</v>
      </c>
      <c r="S629" s="174">
        <v>44760</v>
      </c>
      <c r="T629" s="173" t="s">
        <v>33</v>
      </c>
      <c r="U629" s="182">
        <v>255.56</v>
      </c>
      <c r="V629" s="177">
        <f>IF(U629=0,0,IF(T629="MXN",1/HLOOKUP(YEAR(S629)+(MONTH(S629)/100),TC!$5:$37,DAY(S629)+2,FALSE),VLOOKUP(T629,Equivalencia!$1:$23,((MAX(Equivalencia!$3:$3)-YEAR(S629))*14)+MONTH(S629)+2,FALSE)))</f>
        <v>1</v>
      </c>
      <c r="W629" s="178">
        <f t="shared" si="99"/>
        <v>255.56</v>
      </c>
      <c r="X629" s="481">
        <f t="shared" si="95"/>
        <v>-129.73473684210524</v>
      </c>
      <c r="Y629" s="179"/>
      <c r="Z629" s="466">
        <f t="shared" si="96"/>
        <v>394.23357473684212</v>
      </c>
      <c r="AA629" s="473">
        <f t="shared" si="97"/>
        <v>-138.67357473684211</v>
      </c>
      <c r="AB629" s="339">
        <f t="shared" si="98"/>
        <v>-0.33671556976204131</v>
      </c>
    </row>
    <row r="630" spans="2:28" ht="20.100000000000001" customHeight="1">
      <c r="B630" s="172">
        <v>1427200</v>
      </c>
      <c r="C630" s="174">
        <v>44644</v>
      </c>
      <c r="D630" s="181" t="s">
        <v>265</v>
      </c>
      <c r="E630" s="173" t="s">
        <v>33</v>
      </c>
      <c r="F630" s="176">
        <v>173.38263157894735</v>
      </c>
      <c r="G630" s="175">
        <f t="shared" si="100"/>
        <v>9</v>
      </c>
      <c r="H630" s="175">
        <f t="shared" si="93"/>
        <v>173.38263157894735</v>
      </c>
      <c r="I630" s="177">
        <f>IF(G630=0,0,IF(E630="MXN",1/HLOOKUP(YEAR(C630)+(MONTH(C630)/100),TC!$5:$37,DAY(C630)+2,FALSE),VLOOKUP(E630,Equivalencia!$5:$23,((MAX(Equivalencia!$3:$3)-YEAR(C630))*14)+MONTH(C630)+2,FALSE)))</f>
        <v>1</v>
      </c>
      <c r="J630" s="178">
        <f t="shared" si="101"/>
        <v>173.38263157894735</v>
      </c>
      <c r="K630" s="462">
        <f>IF(C630=0,0,VLOOKUP(YEAR(C630),INPC!$B$4:$O$29,MONTH(C630)+1))</f>
        <v>120.15900000000001</v>
      </c>
      <c r="L630" s="462">
        <f>IF(S630=0,0,VLOOKUP(YEAR(S630),INPC!$B$4:$O$29,MONTH(S630)+1))</f>
        <v>122.94799999999999</v>
      </c>
      <c r="M630" s="463">
        <f t="shared" si="94"/>
        <v>1.0232000000000001</v>
      </c>
      <c r="N630" s="465">
        <f t="shared" si="102"/>
        <v>177.40510863157894</v>
      </c>
      <c r="O630" s="179"/>
      <c r="P630" s="180">
        <v>9</v>
      </c>
      <c r="Q630" s="173" t="s">
        <v>583</v>
      </c>
      <c r="R630" s="173" t="s">
        <v>230</v>
      </c>
      <c r="S630" s="174">
        <v>44760</v>
      </c>
      <c r="T630" s="173" t="s">
        <v>33</v>
      </c>
      <c r="U630" s="182">
        <v>115.479</v>
      </c>
      <c r="V630" s="177">
        <f>IF(U630=0,0,IF(T630="MXN",1/HLOOKUP(YEAR(S630)+(MONTH(S630)/100),TC!$5:$37,DAY(S630)+2,FALSE),VLOOKUP(T630,Equivalencia!$1:$23,((MAX(Equivalencia!$3:$3)-YEAR(S630))*14)+MONTH(S630)+2,FALSE)))</f>
        <v>1</v>
      </c>
      <c r="W630" s="178">
        <f t="shared" si="99"/>
        <v>115.479</v>
      </c>
      <c r="X630" s="481">
        <f t="shared" si="95"/>
        <v>-57.903631578947355</v>
      </c>
      <c r="Y630" s="179"/>
      <c r="Z630" s="466">
        <f t="shared" si="96"/>
        <v>177.40510863157894</v>
      </c>
      <c r="AA630" s="473">
        <f t="shared" si="97"/>
        <v>-61.926108631578941</v>
      </c>
      <c r="AB630" s="339">
        <f t="shared" si="98"/>
        <v>-0.33396442914515201</v>
      </c>
    </row>
    <row r="631" spans="2:28" ht="20.100000000000001" customHeight="1">
      <c r="B631" s="172">
        <v>1427200</v>
      </c>
      <c r="C631" s="174">
        <v>44645</v>
      </c>
      <c r="D631" s="181" t="s">
        <v>265</v>
      </c>
      <c r="E631" s="173" t="s">
        <v>33</v>
      </c>
      <c r="F631" s="176">
        <v>19.725000000000001</v>
      </c>
      <c r="G631" s="175">
        <f t="shared" si="100"/>
        <v>1</v>
      </c>
      <c r="H631" s="175">
        <f t="shared" si="93"/>
        <v>19.725000000000001</v>
      </c>
      <c r="I631" s="177">
        <f>IF(G631=0,0,IF(E631="MXN",1/HLOOKUP(YEAR(C631)+(MONTH(C631)/100),TC!$5:$37,DAY(C631)+2,FALSE),VLOOKUP(E631,Equivalencia!$5:$23,((MAX(Equivalencia!$3:$3)-YEAR(C631))*14)+MONTH(C631)+2,FALSE)))</f>
        <v>1</v>
      </c>
      <c r="J631" s="178">
        <f t="shared" si="101"/>
        <v>19.725000000000001</v>
      </c>
      <c r="K631" s="462">
        <f>IF(C631=0,0,VLOOKUP(YEAR(C631),INPC!$B$4:$O$29,MONTH(C631)+1))</f>
        <v>120.15900000000001</v>
      </c>
      <c r="L631" s="462">
        <f>IF(S631=0,0,VLOOKUP(YEAR(S631),INPC!$B$4:$O$29,MONTH(S631)+1))</f>
        <v>122.94799999999999</v>
      </c>
      <c r="M631" s="463">
        <f t="shared" si="94"/>
        <v>1.0232000000000001</v>
      </c>
      <c r="N631" s="465">
        <f t="shared" si="102"/>
        <v>20.182620000000004</v>
      </c>
      <c r="O631" s="179"/>
      <c r="P631" s="180">
        <v>1</v>
      </c>
      <c r="Q631" s="173" t="s">
        <v>583</v>
      </c>
      <c r="R631" s="173" t="s">
        <v>230</v>
      </c>
      <c r="S631" s="174">
        <v>44760</v>
      </c>
      <c r="T631" s="173" t="s">
        <v>33</v>
      </c>
      <c r="U631" s="182">
        <v>12.831</v>
      </c>
      <c r="V631" s="177">
        <f>IF(U631=0,0,IF(T631="MXN",1/HLOOKUP(YEAR(S631)+(MONTH(S631)/100),TC!$5:$37,DAY(S631)+2,FALSE),VLOOKUP(T631,Equivalencia!$1:$23,((MAX(Equivalencia!$3:$3)-YEAR(S631))*14)+MONTH(S631)+2,FALSE)))</f>
        <v>1</v>
      </c>
      <c r="W631" s="178">
        <f t="shared" si="99"/>
        <v>12.831</v>
      </c>
      <c r="X631" s="481">
        <f t="shared" si="95"/>
        <v>-6.8940000000000019</v>
      </c>
      <c r="Y631" s="179"/>
      <c r="Z631" s="466">
        <f t="shared" si="96"/>
        <v>20.182620000000004</v>
      </c>
      <c r="AA631" s="473">
        <f t="shared" si="97"/>
        <v>-7.351620000000004</v>
      </c>
      <c r="AB631" s="339">
        <f t="shared" si="98"/>
        <v>-0.34950570342205334</v>
      </c>
    </row>
    <row r="632" spans="2:28" ht="20.100000000000001" customHeight="1">
      <c r="B632" s="172">
        <v>1427200</v>
      </c>
      <c r="C632" s="174">
        <v>44645</v>
      </c>
      <c r="D632" s="181" t="s">
        <v>265</v>
      </c>
      <c r="E632" s="173" t="s">
        <v>33</v>
      </c>
      <c r="F632" s="176">
        <v>19.725000000000001</v>
      </c>
      <c r="G632" s="175">
        <f t="shared" si="100"/>
        <v>1</v>
      </c>
      <c r="H632" s="175">
        <f t="shared" si="93"/>
        <v>19.725000000000001</v>
      </c>
      <c r="I632" s="177">
        <f>IF(G632=0,0,IF(E632="MXN",1/HLOOKUP(YEAR(C632)+(MONTH(C632)/100),TC!$5:$37,DAY(C632)+2,FALSE),VLOOKUP(E632,Equivalencia!$5:$23,((MAX(Equivalencia!$3:$3)-YEAR(C632))*14)+MONTH(C632)+2,FALSE)))</f>
        <v>1</v>
      </c>
      <c r="J632" s="178">
        <f t="shared" si="101"/>
        <v>19.725000000000001</v>
      </c>
      <c r="K632" s="462">
        <f>IF(C632=0,0,VLOOKUP(YEAR(C632),INPC!$B$4:$O$29,MONTH(C632)+1))</f>
        <v>120.15900000000001</v>
      </c>
      <c r="L632" s="462">
        <f>IF(S632=0,0,VLOOKUP(YEAR(S632),INPC!$B$4:$O$29,MONTH(S632)+1))</f>
        <v>122.94799999999999</v>
      </c>
      <c r="M632" s="463">
        <f t="shared" si="94"/>
        <v>1.0232000000000001</v>
      </c>
      <c r="N632" s="465">
        <f t="shared" si="102"/>
        <v>20.182620000000004</v>
      </c>
      <c r="O632" s="179"/>
      <c r="P632" s="180">
        <v>1</v>
      </c>
      <c r="Q632" s="173" t="s">
        <v>583</v>
      </c>
      <c r="R632" s="173" t="s">
        <v>230</v>
      </c>
      <c r="S632" s="174">
        <v>44760</v>
      </c>
      <c r="T632" s="173" t="s">
        <v>33</v>
      </c>
      <c r="U632" s="182">
        <v>12.726764705882353</v>
      </c>
      <c r="V632" s="177">
        <f>IF(U632=0,0,IF(T632="MXN",1/HLOOKUP(YEAR(S632)+(MONTH(S632)/100),TC!$5:$37,DAY(S632)+2,FALSE),VLOOKUP(T632,Equivalencia!$1:$23,((MAX(Equivalencia!$3:$3)-YEAR(S632))*14)+MONTH(S632)+2,FALSE)))</f>
        <v>1</v>
      </c>
      <c r="W632" s="178">
        <f t="shared" si="99"/>
        <v>12.726764705882353</v>
      </c>
      <c r="X632" s="481">
        <f t="shared" si="95"/>
        <v>-6.9982352941176487</v>
      </c>
      <c r="Y632" s="179"/>
      <c r="Z632" s="466">
        <f t="shared" si="96"/>
        <v>20.182620000000004</v>
      </c>
      <c r="AA632" s="473">
        <f t="shared" si="97"/>
        <v>-7.4558552941176508</v>
      </c>
      <c r="AB632" s="339">
        <f t="shared" si="98"/>
        <v>-0.35479012897934847</v>
      </c>
    </row>
    <row r="633" spans="2:28" ht="20.100000000000001" customHeight="1">
      <c r="B633" s="172">
        <v>1427200</v>
      </c>
      <c r="C633" s="174">
        <v>44645</v>
      </c>
      <c r="D633" s="181" t="s">
        <v>265</v>
      </c>
      <c r="E633" s="173" t="s">
        <v>33</v>
      </c>
      <c r="F633" s="176">
        <v>39.22</v>
      </c>
      <c r="G633" s="175">
        <f t="shared" si="100"/>
        <v>2</v>
      </c>
      <c r="H633" s="175">
        <f t="shared" si="93"/>
        <v>39.22</v>
      </c>
      <c r="I633" s="177">
        <f>IF(G633=0,0,IF(E633="MXN",1/HLOOKUP(YEAR(C633)+(MONTH(C633)/100),TC!$5:$37,DAY(C633)+2,FALSE),VLOOKUP(E633,Equivalencia!$5:$23,((MAX(Equivalencia!$3:$3)-YEAR(C633))*14)+MONTH(C633)+2,FALSE)))</f>
        <v>1</v>
      </c>
      <c r="J633" s="178">
        <f t="shared" si="101"/>
        <v>39.22</v>
      </c>
      <c r="K633" s="462">
        <f>IF(C633=0,0,VLOOKUP(YEAR(C633),INPC!$B$4:$O$29,MONTH(C633)+1))</f>
        <v>120.15900000000001</v>
      </c>
      <c r="L633" s="462">
        <f>IF(S633=0,0,VLOOKUP(YEAR(S633),INPC!$B$4:$O$29,MONTH(S633)+1))</f>
        <v>122.94799999999999</v>
      </c>
      <c r="M633" s="463">
        <f t="shared" si="94"/>
        <v>1.0232000000000001</v>
      </c>
      <c r="N633" s="465">
        <f t="shared" si="102"/>
        <v>40.129904000000003</v>
      </c>
      <c r="O633" s="179"/>
      <c r="P633" s="180">
        <v>2</v>
      </c>
      <c r="Q633" s="173" t="s">
        <v>583</v>
      </c>
      <c r="R633" s="173" t="s">
        <v>230</v>
      </c>
      <c r="S633" s="174">
        <v>44760</v>
      </c>
      <c r="T633" s="173" t="s">
        <v>33</v>
      </c>
      <c r="U633" s="182">
        <v>25.453529411764706</v>
      </c>
      <c r="V633" s="177">
        <f>IF(U633=0,0,IF(T633="MXN",1/HLOOKUP(YEAR(S633)+(MONTH(S633)/100),TC!$5:$37,DAY(S633)+2,FALSE),VLOOKUP(T633,Equivalencia!$1:$23,((MAX(Equivalencia!$3:$3)-YEAR(S633))*14)+MONTH(S633)+2,FALSE)))</f>
        <v>1</v>
      </c>
      <c r="W633" s="178">
        <f t="shared" si="99"/>
        <v>25.453529411764706</v>
      </c>
      <c r="X633" s="481">
        <f t="shared" si="95"/>
        <v>-13.766470588235293</v>
      </c>
      <c r="Y633" s="179"/>
      <c r="Z633" s="466">
        <f t="shared" si="96"/>
        <v>40.129904000000003</v>
      </c>
      <c r="AA633" s="473">
        <f t="shared" si="97"/>
        <v>-14.676374588235298</v>
      </c>
      <c r="AB633" s="339">
        <f t="shared" si="98"/>
        <v>-0.35100638929717731</v>
      </c>
    </row>
    <row r="634" spans="2:28" ht="20.100000000000001" customHeight="1">
      <c r="B634" s="172">
        <v>1427200</v>
      </c>
      <c r="C634" s="174">
        <v>44645</v>
      </c>
      <c r="D634" s="181" t="s">
        <v>265</v>
      </c>
      <c r="E634" s="173" t="s">
        <v>33</v>
      </c>
      <c r="F634" s="176">
        <v>20.11</v>
      </c>
      <c r="G634" s="175">
        <f t="shared" si="100"/>
        <v>1</v>
      </c>
      <c r="H634" s="175">
        <f t="shared" si="93"/>
        <v>20.11</v>
      </c>
      <c r="I634" s="177">
        <f>IF(G634=0,0,IF(E634="MXN",1/HLOOKUP(YEAR(C634)+(MONTH(C634)/100),TC!$5:$37,DAY(C634)+2,FALSE),VLOOKUP(E634,Equivalencia!$5:$23,((MAX(Equivalencia!$3:$3)-YEAR(C634))*14)+MONTH(C634)+2,FALSE)))</f>
        <v>1</v>
      </c>
      <c r="J634" s="178">
        <f t="shared" si="101"/>
        <v>20.11</v>
      </c>
      <c r="K634" s="462">
        <f>IF(C634=0,0,VLOOKUP(YEAR(C634),INPC!$B$4:$O$29,MONTH(C634)+1))</f>
        <v>120.15900000000001</v>
      </c>
      <c r="L634" s="462">
        <f>IF(S634=0,0,VLOOKUP(YEAR(S634),INPC!$B$4:$O$29,MONTH(S634)+1))</f>
        <v>122.94799999999999</v>
      </c>
      <c r="M634" s="463">
        <f t="shared" si="94"/>
        <v>1.0232000000000001</v>
      </c>
      <c r="N634" s="465">
        <f t="shared" si="102"/>
        <v>20.576552000000003</v>
      </c>
      <c r="O634" s="179"/>
      <c r="P634" s="180">
        <v>1</v>
      </c>
      <c r="Q634" s="173" t="s">
        <v>583</v>
      </c>
      <c r="R634" s="173" t="s">
        <v>230</v>
      </c>
      <c r="S634" s="174">
        <v>44760</v>
      </c>
      <c r="T634" s="173" t="s">
        <v>33</v>
      </c>
      <c r="U634" s="182">
        <v>12.726764705882353</v>
      </c>
      <c r="V634" s="177">
        <f>IF(U634=0,0,IF(T634="MXN",1/HLOOKUP(YEAR(S634)+(MONTH(S634)/100),TC!$5:$37,DAY(S634)+2,FALSE),VLOOKUP(T634,Equivalencia!$1:$23,((MAX(Equivalencia!$3:$3)-YEAR(S634))*14)+MONTH(S634)+2,FALSE)))</f>
        <v>1</v>
      </c>
      <c r="W634" s="178">
        <f t="shared" si="99"/>
        <v>12.726764705882353</v>
      </c>
      <c r="X634" s="481">
        <f t="shared" si="95"/>
        <v>-7.3832352941176467</v>
      </c>
      <c r="Y634" s="179"/>
      <c r="Z634" s="466">
        <f t="shared" si="96"/>
        <v>20.576552000000003</v>
      </c>
      <c r="AA634" s="473">
        <f t="shared" si="97"/>
        <v>-7.8497872941176503</v>
      </c>
      <c r="AB634" s="339">
        <f t="shared" si="98"/>
        <v>-0.36714248106005209</v>
      </c>
    </row>
    <row r="635" spans="2:28" ht="20.100000000000001" customHeight="1">
      <c r="B635" s="172">
        <v>1427200</v>
      </c>
      <c r="C635" s="174">
        <v>44645</v>
      </c>
      <c r="D635" s="181" t="s">
        <v>265</v>
      </c>
      <c r="E635" s="173" t="s">
        <v>33</v>
      </c>
      <c r="F635" s="176">
        <v>60.319999999999993</v>
      </c>
      <c r="G635" s="175">
        <f t="shared" si="100"/>
        <v>3</v>
      </c>
      <c r="H635" s="175">
        <f t="shared" si="93"/>
        <v>60.319999999999993</v>
      </c>
      <c r="I635" s="177">
        <f>IF(G635=0,0,IF(E635="MXN",1/HLOOKUP(YEAR(C635)+(MONTH(C635)/100),TC!$5:$37,DAY(C635)+2,FALSE),VLOOKUP(E635,Equivalencia!$5:$23,((MAX(Equivalencia!$3:$3)-YEAR(C635))*14)+MONTH(C635)+2,FALSE)))</f>
        <v>1</v>
      </c>
      <c r="J635" s="178">
        <f t="shared" si="101"/>
        <v>60.319999999999993</v>
      </c>
      <c r="K635" s="462">
        <f>IF(C635=0,0,VLOOKUP(YEAR(C635),INPC!$B$4:$O$29,MONTH(C635)+1))</f>
        <v>120.15900000000001</v>
      </c>
      <c r="L635" s="462">
        <f>IF(S635=0,0,VLOOKUP(YEAR(S635),INPC!$B$4:$O$29,MONTH(S635)+1))</f>
        <v>122.94799999999999</v>
      </c>
      <c r="M635" s="463">
        <f t="shared" si="94"/>
        <v>1.0232000000000001</v>
      </c>
      <c r="N635" s="465">
        <f t="shared" si="102"/>
        <v>61.719423999999997</v>
      </c>
      <c r="O635" s="179"/>
      <c r="P635" s="180">
        <v>3</v>
      </c>
      <c r="Q635" s="173" t="s">
        <v>583</v>
      </c>
      <c r="R635" s="173" t="s">
        <v>230</v>
      </c>
      <c r="S635" s="174">
        <v>44760</v>
      </c>
      <c r="T635" s="173" t="s">
        <v>33</v>
      </c>
      <c r="U635" s="182">
        <v>38.180294117647058</v>
      </c>
      <c r="V635" s="177">
        <f>IF(U635=0,0,IF(T635="MXN",1/HLOOKUP(YEAR(S635)+(MONTH(S635)/100),TC!$5:$37,DAY(S635)+2,FALSE),VLOOKUP(T635,Equivalencia!$1:$23,((MAX(Equivalencia!$3:$3)-YEAR(S635))*14)+MONTH(S635)+2,FALSE)))</f>
        <v>1</v>
      </c>
      <c r="W635" s="178">
        <f t="shared" si="99"/>
        <v>38.180294117647058</v>
      </c>
      <c r="X635" s="481">
        <f t="shared" si="95"/>
        <v>-22.139705882352935</v>
      </c>
      <c r="Y635" s="179"/>
      <c r="Z635" s="466">
        <f t="shared" si="96"/>
        <v>61.719423999999997</v>
      </c>
      <c r="AA635" s="473">
        <f t="shared" si="97"/>
        <v>-23.539129882352938</v>
      </c>
      <c r="AB635" s="339">
        <f t="shared" si="98"/>
        <v>-0.36703756436261503</v>
      </c>
    </row>
    <row r="636" spans="2:28" ht="20.100000000000001" customHeight="1">
      <c r="B636" s="172">
        <v>1427200</v>
      </c>
      <c r="C636" s="174">
        <v>44645</v>
      </c>
      <c r="D636" s="181" t="s">
        <v>265</v>
      </c>
      <c r="E636" s="173" t="s">
        <v>33</v>
      </c>
      <c r="F636" s="176">
        <v>19.96</v>
      </c>
      <c r="G636" s="175">
        <f t="shared" si="100"/>
        <v>1</v>
      </c>
      <c r="H636" s="175">
        <f t="shared" si="93"/>
        <v>19.96</v>
      </c>
      <c r="I636" s="177">
        <f>IF(G636=0,0,IF(E636="MXN",1/HLOOKUP(YEAR(C636)+(MONTH(C636)/100),TC!$5:$37,DAY(C636)+2,FALSE),VLOOKUP(E636,Equivalencia!$5:$23,((MAX(Equivalencia!$3:$3)-YEAR(C636))*14)+MONTH(C636)+2,FALSE)))</f>
        <v>1</v>
      </c>
      <c r="J636" s="178">
        <f t="shared" si="101"/>
        <v>19.96</v>
      </c>
      <c r="K636" s="462">
        <f>IF(C636=0,0,VLOOKUP(YEAR(C636),INPC!$B$4:$O$29,MONTH(C636)+1))</f>
        <v>120.15900000000001</v>
      </c>
      <c r="L636" s="462">
        <f>IF(S636=0,0,VLOOKUP(YEAR(S636),INPC!$B$4:$O$29,MONTH(S636)+1))</f>
        <v>122.94799999999999</v>
      </c>
      <c r="M636" s="463">
        <f t="shared" si="94"/>
        <v>1.0232000000000001</v>
      </c>
      <c r="N636" s="465">
        <f t="shared" si="102"/>
        <v>20.423072000000005</v>
      </c>
      <c r="O636" s="179"/>
      <c r="P636" s="180">
        <v>1</v>
      </c>
      <c r="Q636" s="173" t="s">
        <v>583</v>
      </c>
      <c r="R636" s="173" t="s">
        <v>230</v>
      </c>
      <c r="S636" s="174">
        <v>44760</v>
      </c>
      <c r="T636" s="173" t="s">
        <v>33</v>
      </c>
      <c r="U636" s="182">
        <v>12.726764705882353</v>
      </c>
      <c r="V636" s="177">
        <f>IF(U636=0,0,IF(T636="MXN",1/HLOOKUP(YEAR(S636)+(MONTH(S636)/100),TC!$5:$37,DAY(S636)+2,FALSE),VLOOKUP(T636,Equivalencia!$1:$23,((MAX(Equivalencia!$3:$3)-YEAR(S636))*14)+MONTH(S636)+2,FALSE)))</f>
        <v>1</v>
      </c>
      <c r="W636" s="178">
        <f t="shared" si="99"/>
        <v>12.726764705882353</v>
      </c>
      <c r="X636" s="481">
        <f t="shared" si="95"/>
        <v>-7.2332352941176481</v>
      </c>
      <c r="Y636" s="179"/>
      <c r="Z636" s="466">
        <f t="shared" si="96"/>
        <v>20.423072000000005</v>
      </c>
      <c r="AA636" s="473">
        <f t="shared" si="97"/>
        <v>-7.696307294117652</v>
      </c>
      <c r="AB636" s="339">
        <f t="shared" si="98"/>
        <v>-0.36238653778144525</v>
      </c>
    </row>
    <row r="637" spans="2:28" ht="20.100000000000001" customHeight="1">
      <c r="B637" s="172">
        <v>1427200</v>
      </c>
      <c r="C637" s="174">
        <v>44645</v>
      </c>
      <c r="D637" s="181" t="s">
        <v>265</v>
      </c>
      <c r="E637" s="173" t="s">
        <v>33</v>
      </c>
      <c r="F637" s="176">
        <v>99.78</v>
      </c>
      <c r="G637" s="175">
        <f t="shared" si="100"/>
        <v>5</v>
      </c>
      <c r="H637" s="175">
        <f t="shared" si="93"/>
        <v>99.78</v>
      </c>
      <c r="I637" s="177">
        <f>IF(G637=0,0,IF(E637="MXN",1/HLOOKUP(YEAR(C637)+(MONTH(C637)/100),TC!$5:$37,DAY(C637)+2,FALSE),VLOOKUP(E637,Equivalencia!$5:$23,((MAX(Equivalencia!$3:$3)-YEAR(C637))*14)+MONTH(C637)+2,FALSE)))</f>
        <v>1</v>
      </c>
      <c r="J637" s="178">
        <f t="shared" si="101"/>
        <v>99.78</v>
      </c>
      <c r="K637" s="462">
        <f>IF(C637=0,0,VLOOKUP(YEAR(C637),INPC!$B$4:$O$29,MONTH(C637)+1))</f>
        <v>120.15900000000001</v>
      </c>
      <c r="L637" s="462">
        <f>IF(S637=0,0,VLOOKUP(YEAR(S637),INPC!$B$4:$O$29,MONTH(S637)+1))</f>
        <v>122.94799999999999</v>
      </c>
      <c r="M637" s="463">
        <f t="shared" si="94"/>
        <v>1.0232000000000001</v>
      </c>
      <c r="N637" s="465">
        <f t="shared" si="102"/>
        <v>102.09489600000001</v>
      </c>
      <c r="O637" s="179"/>
      <c r="P637" s="180">
        <v>5</v>
      </c>
      <c r="Q637" s="173" t="s">
        <v>583</v>
      </c>
      <c r="R637" s="173" t="s">
        <v>230</v>
      </c>
      <c r="S637" s="174">
        <v>44760</v>
      </c>
      <c r="T637" s="173" t="s">
        <v>33</v>
      </c>
      <c r="U637" s="182">
        <v>63.633823529411764</v>
      </c>
      <c r="V637" s="177">
        <f>IF(U637=0,0,IF(T637="MXN",1/HLOOKUP(YEAR(S637)+(MONTH(S637)/100),TC!$5:$37,DAY(S637)+2,FALSE),VLOOKUP(T637,Equivalencia!$1:$23,((MAX(Equivalencia!$3:$3)-YEAR(S637))*14)+MONTH(S637)+2,FALSE)))</f>
        <v>1</v>
      </c>
      <c r="W637" s="178">
        <f t="shared" si="99"/>
        <v>63.633823529411764</v>
      </c>
      <c r="X637" s="481">
        <f t="shared" si="95"/>
        <v>-36.146176470588237</v>
      </c>
      <c r="Y637" s="179"/>
      <c r="Z637" s="466">
        <f t="shared" si="96"/>
        <v>102.09489600000001</v>
      </c>
      <c r="AA637" s="473">
        <f t="shared" si="97"/>
        <v>-38.461072470588242</v>
      </c>
      <c r="AB637" s="339">
        <f t="shared" si="98"/>
        <v>-0.36225873392050745</v>
      </c>
    </row>
    <row r="638" spans="2:28" ht="20.100000000000001" customHeight="1">
      <c r="B638" s="172">
        <v>1427200</v>
      </c>
      <c r="C638" s="174">
        <v>44645</v>
      </c>
      <c r="D638" s="181" t="s">
        <v>265</v>
      </c>
      <c r="E638" s="173" t="s">
        <v>33</v>
      </c>
      <c r="F638" s="176">
        <v>58.8</v>
      </c>
      <c r="G638" s="175">
        <f t="shared" si="100"/>
        <v>3</v>
      </c>
      <c r="H638" s="175">
        <f t="shared" si="93"/>
        <v>58.8</v>
      </c>
      <c r="I638" s="177">
        <f>IF(G638=0,0,IF(E638="MXN",1/HLOOKUP(YEAR(C638)+(MONTH(C638)/100),TC!$5:$37,DAY(C638)+2,FALSE),VLOOKUP(E638,Equivalencia!$5:$23,((MAX(Equivalencia!$3:$3)-YEAR(C638))*14)+MONTH(C638)+2,FALSE)))</f>
        <v>1</v>
      </c>
      <c r="J638" s="178">
        <f t="shared" si="101"/>
        <v>58.8</v>
      </c>
      <c r="K638" s="462">
        <f>IF(C638=0,0,VLOOKUP(YEAR(C638),INPC!$B$4:$O$29,MONTH(C638)+1))</f>
        <v>120.15900000000001</v>
      </c>
      <c r="L638" s="462">
        <f>IF(S638=0,0,VLOOKUP(YEAR(S638),INPC!$B$4:$O$29,MONTH(S638)+1))</f>
        <v>122.94799999999999</v>
      </c>
      <c r="M638" s="463">
        <f t="shared" si="94"/>
        <v>1.0232000000000001</v>
      </c>
      <c r="N638" s="465">
        <f t="shared" si="102"/>
        <v>60.164160000000003</v>
      </c>
      <c r="O638" s="179"/>
      <c r="P638" s="180">
        <v>3</v>
      </c>
      <c r="Q638" s="173" t="s">
        <v>583</v>
      </c>
      <c r="R638" s="173" t="s">
        <v>230</v>
      </c>
      <c r="S638" s="174">
        <v>44760</v>
      </c>
      <c r="T638" s="173" t="s">
        <v>33</v>
      </c>
      <c r="U638" s="182">
        <v>38.180294117647058</v>
      </c>
      <c r="V638" s="177">
        <f>IF(U638=0,0,IF(T638="MXN",1/HLOOKUP(YEAR(S638)+(MONTH(S638)/100),TC!$5:$37,DAY(S638)+2,FALSE),VLOOKUP(T638,Equivalencia!$1:$23,((MAX(Equivalencia!$3:$3)-YEAR(S638))*14)+MONTH(S638)+2,FALSE)))</f>
        <v>1</v>
      </c>
      <c r="W638" s="178">
        <f t="shared" si="99"/>
        <v>38.180294117647058</v>
      </c>
      <c r="X638" s="481">
        <f t="shared" si="95"/>
        <v>-20.619705882352939</v>
      </c>
      <c r="Y638" s="179"/>
      <c r="Z638" s="466">
        <f t="shared" si="96"/>
        <v>60.164160000000003</v>
      </c>
      <c r="AA638" s="473">
        <f t="shared" si="97"/>
        <v>-21.983865882352944</v>
      </c>
      <c r="AB638" s="339">
        <f t="shared" si="98"/>
        <v>-0.35067527010804322</v>
      </c>
    </row>
    <row r="639" spans="2:28" ht="20.100000000000001" customHeight="1">
      <c r="B639" s="172">
        <v>1427200</v>
      </c>
      <c r="C639" s="174">
        <v>44645</v>
      </c>
      <c r="D639" s="181" t="s">
        <v>265</v>
      </c>
      <c r="E639" s="173" t="s">
        <v>33</v>
      </c>
      <c r="F639" s="176">
        <v>274.39</v>
      </c>
      <c r="G639" s="175">
        <f t="shared" si="100"/>
        <v>14</v>
      </c>
      <c r="H639" s="175">
        <f t="shared" si="93"/>
        <v>274.39</v>
      </c>
      <c r="I639" s="177">
        <f>IF(G639=0,0,IF(E639="MXN",1/HLOOKUP(YEAR(C639)+(MONTH(C639)/100),TC!$5:$37,DAY(C639)+2,FALSE),VLOOKUP(E639,Equivalencia!$5:$23,((MAX(Equivalencia!$3:$3)-YEAR(C639))*14)+MONTH(C639)+2,FALSE)))</f>
        <v>1</v>
      </c>
      <c r="J639" s="178">
        <f t="shared" si="101"/>
        <v>274.39</v>
      </c>
      <c r="K639" s="462">
        <f>IF(C639=0,0,VLOOKUP(YEAR(C639),INPC!$B$4:$O$29,MONTH(C639)+1))</f>
        <v>120.15900000000001</v>
      </c>
      <c r="L639" s="462">
        <f>IF(S639=0,0,VLOOKUP(YEAR(S639),INPC!$B$4:$O$29,MONTH(S639)+1))</f>
        <v>122.94799999999999</v>
      </c>
      <c r="M639" s="463">
        <f t="shared" si="94"/>
        <v>1.0232000000000001</v>
      </c>
      <c r="N639" s="465">
        <f t="shared" si="102"/>
        <v>280.75584800000001</v>
      </c>
      <c r="O639" s="179"/>
      <c r="P639" s="180">
        <v>14</v>
      </c>
      <c r="Q639" s="173" t="s">
        <v>583</v>
      </c>
      <c r="R639" s="173" t="s">
        <v>230</v>
      </c>
      <c r="S639" s="174">
        <v>44760</v>
      </c>
      <c r="T639" s="173" t="s">
        <v>33</v>
      </c>
      <c r="U639" s="182">
        <v>178.17470588235295</v>
      </c>
      <c r="V639" s="177">
        <f>IF(U639=0,0,IF(T639="MXN",1/HLOOKUP(YEAR(S639)+(MONTH(S639)/100),TC!$5:$37,DAY(S639)+2,FALSE),VLOOKUP(T639,Equivalencia!$1:$23,((MAX(Equivalencia!$3:$3)-YEAR(S639))*14)+MONTH(S639)+2,FALSE)))</f>
        <v>1</v>
      </c>
      <c r="W639" s="178">
        <f t="shared" si="99"/>
        <v>178.17470588235295</v>
      </c>
      <c r="X639" s="481">
        <f t="shared" si="95"/>
        <v>-96.215294117647034</v>
      </c>
      <c r="Y639" s="179"/>
      <c r="Z639" s="466">
        <f t="shared" si="96"/>
        <v>280.75584800000001</v>
      </c>
      <c r="AA639" s="473">
        <f t="shared" si="97"/>
        <v>-102.58114211764706</v>
      </c>
      <c r="AB639" s="339">
        <f t="shared" si="98"/>
        <v>-0.35065160580796328</v>
      </c>
    </row>
    <row r="640" spans="2:28" ht="20.100000000000001" customHeight="1">
      <c r="B640" s="172">
        <v>1427200</v>
      </c>
      <c r="C640" s="174">
        <v>44645</v>
      </c>
      <c r="D640" s="181" t="s">
        <v>265</v>
      </c>
      <c r="E640" s="173" t="s">
        <v>33</v>
      </c>
      <c r="F640" s="176">
        <v>19.53</v>
      </c>
      <c r="G640" s="175">
        <f t="shared" si="100"/>
        <v>1</v>
      </c>
      <c r="H640" s="175">
        <f t="shared" si="93"/>
        <v>19.53</v>
      </c>
      <c r="I640" s="177">
        <f>IF(G640=0,0,IF(E640="MXN",1/HLOOKUP(YEAR(C640)+(MONTH(C640)/100),TC!$5:$37,DAY(C640)+2,FALSE),VLOOKUP(E640,Equivalencia!$5:$23,((MAX(Equivalencia!$3:$3)-YEAR(C640))*14)+MONTH(C640)+2,FALSE)))</f>
        <v>1</v>
      </c>
      <c r="J640" s="178">
        <f t="shared" si="101"/>
        <v>19.53</v>
      </c>
      <c r="K640" s="462">
        <f>IF(C640=0,0,VLOOKUP(YEAR(C640),INPC!$B$4:$O$29,MONTH(C640)+1))</f>
        <v>120.15900000000001</v>
      </c>
      <c r="L640" s="462">
        <f>IF(S640=0,0,VLOOKUP(YEAR(S640),INPC!$B$4:$O$29,MONTH(S640)+1))</f>
        <v>122.94799999999999</v>
      </c>
      <c r="M640" s="463">
        <f t="shared" si="94"/>
        <v>1.0232000000000001</v>
      </c>
      <c r="N640" s="465">
        <f t="shared" si="102"/>
        <v>19.983096000000003</v>
      </c>
      <c r="O640" s="179"/>
      <c r="P640" s="180">
        <v>1</v>
      </c>
      <c r="Q640" s="173" t="s">
        <v>583</v>
      </c>
      <c r="R640" s="173" t="s">
        <v>230</v>
      </c>
      <c r="S640" s="174">
        <v>44760</v>
      </c>
      <c r="T640" s="173" t="s">
        <v>33</v>
      </c>
      <c r="U640" s="182">
        <v>12.726764705882353</v>
      </c>
      <c r="V640" s="177">
        <f>IF(U640=0,0,IF(T640="MXN",1/HLOOKUP(YEAR(S640)+(MONTH(S640)/100),TC!$5:$37,DAY(S640)+2,FALSE),VLOOKUP(T640,Equivalencia!$1:$23,((MAX(Equivalencia!$3:$3)-YEAR(S640))*14)+MONTH(S640)+2,FALSE)))</f>
        <v>1</v>
      </c>
      <c r="W640" s="178">
        <f t="shared" si="99"/>
        <v>12.726764705882353</v>
      </c>
      <c r="X640" s="481">
        <f t="shared" si="95"/>
        <v>-6.8032352941176484</v>
      </c>
      <c r="Y640" s="179"/>
      <c r="Z640" s="466">
        <f t="shared" si="96"/>
        <v>19.983096000000003</v>
      </c>
      <c r="AA640" s="473">
        <f t="shared" si="97"/>
        <v>-7.2563312941176505</v>
      </c>
      <c r="AB640" s="339">
        <f t="shared" si="98"/>
        <v>-0.34834794132706848</v>
      </c>
    </row>
    <row r="641" spans="2:28" ht="20.100000000000001" customHeight="1">
      <c r="B641" s="172">
        <v>1427200</v>
      </c>
      <c r="C641" s="174">
        <v>44645</v>
      </c>
      <c r="D641" s="181" t="s">
        <v>265</v>
      </c>
      <c r="E641" s="173" t="s">
        <v>33</v>
      </c>
      <c r="F641" s="176">
        <v>39.06</v>
      </c>
      <c r="G641" s="175">
        <f t="shared" si="100"/>
        <v>2</v>
      </c>
      <c r="H641" s="175">
        <f t="shared" si="93"/>
        <v>39.06</v>
      </c>
      <c r="I641" s="177">
        <f>IF(G641=0,0,IF(E641="MXN",1/HLOOKUP(YEAR(C641)+(MONTH(C641)/100),TC!$5:$37,DAY(C641)+2,FALSE),VLOOKUP(E641,Equivalencia!$5:$23,((MAX(Equivalencia!$3:$3)-YEAR(C641))*14)+MONTH(C641)+2,FALSE)))</f>
        <v>1</v>
      </c>
      <c r="J641" s="178">
        <f t="shared" si="101"/>
        <v>39.06</v>
      </c>
      <c r="K641" s="462">
        <f>IF(C641=0,0,VLOOKUP(YEAR(C641),INPC!$B$4:$O$29,MONTH(C641)+1))</f>
        <v>120.15900000000001</v>
      </c>
      <c r="L641" s="462">
        <f>IF(S641=0,0,VLOOKUP(YEAR(S641),INPC!$B$4:$O$29,MONTH(S641)+1))</f>
        <v>122.94799999999999</v>
      </c>
      <c r="M641" s="463">
        <f t="shared" si="94"/>
        <v>1.0232000000000001</v>
      </c>
      <c r="N641" s="465">
        <f t="shared" si="102"/>
        <v>39.966192000000007</v>
      </c>
      <c r="O641" s="179"/>
      <c r="P641" s="180">
        <v>2</v>
      </c>
      <c r="Q641" s="173" t="s">
        <v>583</v>
      </c>
      <c r="R641" s="173" t="s">
        <v>230</v>
      </c>
      <c r="S641" s="174">
        <v>44760</v>
      </c>
      <c r="T641" s="173" t="s">
        <v>33</v>
      </c>
      <c r="U641" s="182">
        <v>25.453529411764706</v>
      </c>
      <c r="V641" s="177">
        <f>IF(U641=0,0,IF(T641="MXN",1/HLOOKUP(YEAR(S641)+(MONTH(S641)/100),TC!$5:$37,DAY(S641)+2,FALSE),VLOOKUP(T641,Equivalencia!$1:$23,((MAX(Equivalencia!$3:$3)-YEAR(S641))*14)+MONTH(S641)+2,FALSE)))</f>
        <v>1</v>
      </c>
      <c r="W641" s="178">
        <f t="shared" si="99"/>
        <v>25.453529411764706</v>
      </c>
      <c r="X641" s="481">
        <f t="shared" si="95"/>
        <v>-13.606470588235297</v>
      </c>
      <c r="Y641" s="179"/>
      <c r="Z641" s="466">
        <f t="shared" si="96"/>
        <v>39.966192000000007</v>
      </c>
      <c r="AA641" s="473">
        <f t="shared" si="97"/>
        <v>-14.512662588235301</v>
      </c>
      <c r="AB641" s="339">
        <f t="shared" si="98"/>
        <v>-0.34834794132706848</v>
      </c>
    </row>
    <row r="642" spans="2:28" ht="20.100000000000001" customHeight="1">
      <c r="B642" s="172">
        <v>1427200</v>
      </c>
      <c r="C642" s="174">
        <v>44648</v>
      </c>
      <c r="D642" s="181" t="s">
        <v>265</v>
      </c>
      <c r="E642" s="173" t="s">
        <v>33</v>
      </c>
      <c r="F642" s="176">
        <v>20.57</v>
      </c>
      <c r="G642" s="175">
        <f t="shared" si="100"/>
        <v>1</v>
      </c>
      <c r="H642" s="175">
        <f t="shared" ref="H642:H705" si="103">IF(F642=0,0,(F642/G642)*P642)</f>
        <v>20.57</v>
      </c>
      <c r="I642" s="177">
        <f>IF(G642=0,0,IF(E642="MXN",1/HLOOKUP(YEAR(C642)+(MONTH(C642)/100),TC!$5:$37,DAY(C642)+2,FALSE),VLOOKUP(E642,Equivalencia!$5:$23,((MAX(Equivalencia!$3:$3)-YEAR(C642))*14)+MONTH(C642)+2,FALSE)))</f>
        <v>1</v>
      </c>
      <c r="J642" s="178">
        <f t="shared" si="101"/>
        <v>20.57</v>
      </c>
      <c r="K642" s="462">
        <f>IF(C642=0,0,VLOOKUP(YEAR(C642),INPC!$B$4:$O$29,MONTH(C642)+1))</f>
        <v>120.15900000000001</v>
      </c>
      <c r="L642" s="462">
        <f>IF(S642=0,0,VLOOKUP(YEAR(S642),INPC!$B$4:$O$29,MONTH(S642)+1))</f>
        <v>122.94799999999999</v>
      </c>
      <c r="M642" s="463">
        <f t="shared" ref="M642:M705" si="104">IF(H642=0,0,IF(R642=$AF$4,1,IF(TRUNC(L642/K642,4)&gt;=1,TRUNC(L642/K642,4),1)))</f>
        <v>1.0232000000000001</v>
      </c>
      <c r="N642" s="465">
        <f t="shared" si="102"/>
        <v>21.047224000000003</v>
      </c>
      <c r="O642" s="179"/>
      <c r="P642" s="180">
        <v>1</v>
      </c>
      <c r="Q642" s="173" t="s">
        <v>583</v>
      </c>
      <c r="R642" s="173" t="s">
        <v>230</v>
      </c>
      <c r="S642" s="174">
        <v>44760</v>
      </c>
      <c r="T642" s="173" t="s">
        <v>33</v>
      </c>
      <c r="U642" s="182">
        <v>12.726764705882353</v>
      </c>
      <c r="V642" s="177">
        <f>IF(U642=0,0,IF(T642="MXN",1/HLOOKUP(YEAR(S642)+(MONTH(S642)/100),TC!$5:$37,DAY(S642)+2,FALSE),VLOOKUP(T642,Equivalencia!$1:$23,((MAX(Equivalencia!$3:$3)-YEAR(S642))*14)+MONTH(S642)+2,FALSE)))</f>
        <v>1</v>
      </c>
      <c r="W642" s="178">
        <f t="shared" si="99"/>
        <v>12.726764705882353</v>
      </c>
      <c r="X642" s="481">
        <f t="shared" ref="X642:X705" si="105">+W642-J642</f>
        <v>-7.8432352941176475</v>
      </c>
      <c r="Y642" s="179"/>
      <c r="Z642" s="466">
        <f t="shared" ref="Z642:Z705" si="106">N642</f>
        <v>21.047224000000003</v>
      </c>
      <c r="AA642" s="473">
        <f t="shared" ref="AA642:AA705" si="107">+W642-Z642</f>
        <v>-8.3204592941176507</v>
      </c>
      <c r="AB642" s="339">
        <f t="shared" ref="AB642:AB705" si="108">+IF(P642=0,0,(U642/F642)-1)</f>
        <v>-0.38129486116274414</v>
      </c>
    </row>
    <row r="643" spans="2:28" ht="20.100000000000001" customHeight="1">
      <c r="B643" s="172">
        <v>1427200</v>
      </c>
      <c r="C643" s="174">
        <v>44648</v>
      </c>
      <c r="D643" s="181" t="s">
        <v>265</v>
      </c>
      <c r="E643" s="173" t="s">
        <v>33</v>
      </c>
      <c r="F643" s="176">
        <v>20.52</v>
      </c>
      <c r="G643" s="175">
        <f t="shared" si="100"/>
        <v>1</v>
      </c>
      <c r="H643" s="175">
        <f t="shared" si="103"/>
        <v>20.52</v>
      </c>
      <c r="I643" s="177">
        <f>IF(G643=0,0,IF(E643="MXN",1/HLOOKUP(YEAR(C643)+(MONTH(C643)/100),TC!$5:$37,DAY(C643)+2,FALSE),VLOOKUP(E643,Equivalencia!$5:$23,((MAX(Equivalencia!$3:$3)-YEAR(C643))*14)+MONTH(C643)+2,FALSE)))</f>
        <v>1</v>
      </c>
      <c r="J643" s="178">
        <f t="shared" si="101"/>
        <v>20.52</v>
      </c>
      <c r="K643" s="462">
        <f>IF(C643=0,0,VLOOKUP(YEAR(C643),INPC!$B$4:$O$29,MONTH(C643)+1))</f>
        <v>120.15900000000001</v>
      </c>
      <c r="L643" s="462">
        <f>IF(S643=0,0,VLOOKUP(YEAR(S643),INPC!$B$4:$O$29,MONTH(S643)+1))</f>
        <v>122.94799999999999</v>
      </c>
      <c r="M643" s="463">
        <f t="shared" si="104"/>
        <v>1.0232000000000001</v>
      </c>
      <c r="N643" s="465">
        <f t="shared" si="102"/>
        <v>20.996064000000001</v>
      </c>
      <c r="O643" s="179"/>
      <c r="P643" s="180">
        <v>1</v>
      </c>
      <c r="Q643" s="173" t="s">
        <v>583</v>
      </c>
      <c r="R643" s="173" t="s">
        <v>230</v>
      </c>
      <c r="S643" s="174">
        <v>44761</v>
      </c>
      <c r="T643" s="173" t="s">
        <v>33</v>
      </c>
      <c r="U643" s="182">
        <v>12.82</v>
      </c>
      <c r="V643" s="177">
        <f>IF(U643=0,0,IF(T643="MXN",1/HLOOKUP(YEAR(S643)+(MONTH(S643)/100),TC!$5:$37,DAY(S643)+2,FALSE),VLOOKUP(T643,Equivalencia!$1:$23,((MAX(Equivalencia!$3:$3)-YEAR(S643))*14)+MONTH(S643)+2,FALSE)))</f>
        <v>1</v>
      </c>
      <c r="W643" s="178">
        <f t="shared" ref="W643:W706" si="109">+V643*U643</f>
        <v>12.82</v>
      </c>
      <c r="X643" s="481">
        <f t="shared" si="105"/>
        <v>-7.6999999999999993</v>
      </c>
      <c r="Y643" s="179"/>
      <c r="Z643" s="466">
        <f t="shared" si="106"/>
        <v>20.996064000000001</v>
      </c>
      <c r="AA643" s="473">
        <f t="shared" si="107"/>
        <v>-8.1760640000000002</v>
      </c>
      <c r="AB643" s="339">
        <f t="shared" si="108"/>
        <v>-0.37524366471734893</v>
      </c>
    </row>
    <row r="644" spans="2:28" ht="20.100000000000001" customHeight="1">
      <c r="B644" s="172">
        <v>1427200</v>
      </c>
      <c r="C644" s="174">
        <v>44648</v>
      </c>
      <c r="D644" s="181" t="s">
        <v>265</v>
      </c>
      <c r="E644" s="173" t="s">
        <v>33</v>
      </c>
      <c r="F644" s="176">
        <v>41.03</v>
      </c>
      <c r="G644" s="175">
        <f t="shared" si="100"/>
        <v>2</v>
      </c>
      <c r="H644" s="175">
        <f t="shared" si="103"/>
        <v>41.03</v>
      </c>
      <c r="I644" s="177">
        <f>IF(G644=0,0,IF(E644="MXN",1/HLOOKUP(YEAR(C644)+(MONTH(C644)/100),TC!$5:$37,DAY(C644)+2,FALSE),VLOOKUP(E644,Equivalencia!$5:$23,((MAX(Equivalencia!$3:$3)-YEAR(C644))*14)+MONTH(C644)+2,FALSE)))</f>
        <v>1</v>
      </c>
      <c r="J644" s="178">
        <f t="shared" si="101"/>
        <v>41.03</v>
      </c>
      <c r="K644" s="462">
        <f>IF(C644=0,0,VLOOKUP(YEAR(C644),INPC!$B$4:$O$29,MONTH(C644)+1))</f>
        <v>120.15900000000001</v>
      </c>
      <c r="L644" s="462">
        <f>IF(S644=0,0,VLOOKUP(YEAR(S644),INPC!$B$4:$O$29,MONTH(S644)+1))</f>
        <v>122.94799999999999</v>
      </c>
      <c r="M644" s="463">
        <f t="shared" si="104"/>
        <v>1.0232000000000001</v>
      </c>
      <c r="N644" s="465">
        <f t="shared" si="102"/>
        <v>41.981896000000006</v>
      </c>
      <c r="O644" s="179"/>
      <c r="P644" s="180">
        <v>2</v>
      </c>
      <c r="Q644" s="173" t="s">
        <v>583</v>
      </c>
      <c r="R644" s="173" t="s">
        <v>230</v>
      </c>
      <c r="S644" s="174">
        <v>44761</v>
      </c>
      <c r="T644" s="173" t="s">
        <v>33</v>
      </c>
      <c r="U644" s="182">
        <v>25.64</v>
      </c>
      <c r="V644" s="177">
        <f>IF(U644=0,0,IF(T644="MXN",1/HLOOKUP(YEAR(S644)+(MONTH(S644)/100),TC!$5:$37,DAY(S644)+2,FALSE),VLOOKUP(T644,Equivalencia!$1:$23,((MAX(Equivalencia!$3:$3)-YEAR(S644))*14)+MONTH(S644)+2,FALSE)))</f>
        <v>1</v>
      </c>
      <c r="W644" s="178">
        <f t="shared" si="109"/>
        <v>25.64</v>
      </c>
      <c r="X644" s="481">
        <f t="shared" si="105"/>
        <v>-15.39</v>
      </c>
      <c r="Y644" s="179"/>
      <c r="Z644" s="466">
        <f t="shared" si="106"/>
        <v>41.981896000000006</v>
      </c>
      <c r="AA644" s="473">
        <f t="shared" si="107"/>
        <v>-16.341896000000006</v>
      </c>
      <c r="AB644" s="339">
        <f t="shared" si="108"/>
        <v>-0.37509139653911772</v>
      </c>
    </row>
    <row r="645" spans="2:28" ht="20.100000000000001" customHeight="1">
      <c r="B645" s="172">
        <v>1427200</v>
      </c>
      <c r="C645" s="174">
        <v>44648</v>
      </c>
      <c r="D645" s="181" t="s">
        <v>265</v>
      </c>
      <c r="E645" s="173" t="s">
        <v>33</v>
      </c>
      <c r="F645" s="176">
        <v>20.571666666666669</v>
      </c>
      <c r="G645" s="175">
        <f t="shared" si="100"/>
        <v>1</v>
      </c>
      <c r="H645" s="175">
        <f t="shared" si="103"/>
        <v>20.571666666666669</v>
      </c>
      <c r="I645" s="177">
        <f>IF(G645=0,0,IF(E645="MXN",1/HLOOKUP(YEAR(C645)+(MONTH(C645)/100),TC!$5:$37,DAY(C645)+2,FALSE),VLOOKUP(E645,Equivalencia!$5:$23,((MAX(Equivalencia!$3:$3)-YEAR(C645))*14)+MONTH(C645)+2,FALSE)))</f>
        <v>1</v>
      </c>
      <c r="J645" s="178">
        <f t="shared" si="101"/>
        <v>20.571666666666669</v>
      </c>
      <c r="K645" s="462">
        <f>IF(C645=0,0,VLOOKUP(YEAR(C645),INPC!$B$4:$O$29,MONTH(C645)+1))</f>
        <v>120.15900000000001</v>
      </c>
      <c r="L645" s="462">
        <f>IF(S645=0,0,VLOOKUP(YEAR(S645),INPC!$B$4:$O$29,MONTH(S645)+1))</f>
        <v>122.94799999999999</v>
      </c>
      <c r="M645" s="463">
        <f t="shared" si="104"/>
        <v>1.0232000000000001</v>
      </c>
      <c r="N645" s="465">
        <f t="shared" si="102"/>
        <v>21.048929333333337</v>
      </c>
      <c r="O645" s="179"/>
      <c r="P645" s="180">
        <v>1</v>
      </c>
      <c r="Q645" s="173" t="s">
        <v>583</v>
      </c>
      <c r="R645" s="173" t="s">
        <v>230</v>
      </c>
      <c r="S645" s="174">
        <v>44761</v>
      </c>
      <c r="T645" s="173" t="s">
        <v>33</v>
      </c>
      <c r="U645" s="182">
        <v>12.82</v>
      </c>
      <c r="V645" s="177">
        <f>IF(U645=0,0,IF(T645="MXN",1/HLOOKUP(YEAR(S645)+(MONTH(S645)/100),TC!$5:$37,DAY(S645)+2,FALSE),VLOOKUP(T645,Equivalencia!$1:$23,((MAX(Equivalencia!$3:$3)-YEAR(S645))*14)+MONTH(S645)+2,FALSE)))</f>
        <v>1</v>
      </c>
      <c r="W645" s="178">
        <f t="shared" si="109"/>
        <v>12.82</v>
      </c>
      <c r="X645" s="481">
        <f t="shared" si="105"/>
        <v>-7.7516666666666687</v>
      </c>
      <c r="Y645" s="179"/>
      <c r="Z645" s="466">
        <f t="shared" si="106"/>
        <v>21.048929333333337</v>
      </c>
      <c r="AA645" s="473">
        <f t="shared" si="107"/>
        <v>-8.2289293333333369</v>
      </c>
      <c r="AB645" s="339">
        <f t="shared" si="108"/>
        <v>-0.37681276837073652</v>
      </c>
    </row>
    <row r="646" spans="2:28" ht="20.100000000000001" customHeight="1">
      <c r="B646" s="172">
        <v>1427200</v>
      </c>
      <c r="C646" s="174">
        <v>44648</v>
      </c>
      <c r="D646" s="181" t="s">
        <v>265</v>
      </c>
      <c r="E646" s="173" t="s">
        <v>33</v>
      </c>
      <c r="F646" s="176">
        <v>20.571666666666669</v>
      </c>
      <c r="G646" s="175">
        <f t="shared" ref="G646:G709" si="110">+P646</f>
        <v>1</v>
      </c>
      <c r="H646" s="175">
        <f t="shared" si="103"/>
        <v>20.571666666666669</v>
      </c>
      <c r="I646" s="177">
        <f>IF(G646=0,0,IF(E646="MXN",1/HLOOKUP(YEAR(C646)+(MONTH(C646)/100),TC!$5:$37,DAY(C646)+2,FALSE),VLOOKUP(E646,Equivalencia!$5:$23,((MAX(Equivalencia!$3:$3)-YEAR(C646))*14)+MONTH(C646)+2,FALSE)))</f>
        <v>1</v>
      </c>
      <c r="J646" s="178">
        <f t="shared" ref="J646:J709" si="111">+H646*I646</f>
        <v>20.571666666666669</v>
      </c>
      <c r="K646" s="462">
        <f>IF(C646=0,0,VLOOKUP(YEAR(C646),INPC!$B$4:$O$29,MONTH(C646)+1))</f>
        <v>120.15900000000001</v>
      </c>
      <c r="L646" s="462">
        <f>IF(S646=0,0,VLOOKUP(YEAR(S646),INPC!$B$4:$O$29,MONTH(S646)+1))</f>
        <v>122.94799999999999</v>
      </c>
      <c r="M646" s="463">
        <f t="shared" si="104"/>
        <v>1.0232000000000001</v>
      </c>
      <c r="N646" s="465">
        <f t="shared" ref="N646:N709" si="112">+M646*J646</f>
        <v>21.048929333333337</v>
      </c>
      <c r="O646" s="179"/>
      <c r="P646" s="180">
        <v>1</v>
      </c>
      <c r="Q646" s="173" t="s">
        <v>583</v>
      </c>
      <c r="R646" s="173" t="s">
        <v>230</v>
      </c>
      <c r="S646" s="174">
        <v>44761</v>
      </c>
      <c r="T646" s="173" t="s">
        <v>33</v>
      </c>
      <c r="U646" s="182">
        <v>12.75</v>
      </c>
      <c r="V646" s="177">
        <f>IF(U646=0,0,IF(T646="MXN",1/HLOOKUP(YEAR(S646)+(MONTH(S646)/100),TC!$5:$37,DAY(S646)+2,FALSE),VLOOKUP(T646,Equivalencia!$1:$23,((MAX(Equivalencia!$3:$3)-YEAR(S646))*14)+MONTH(S646)+2,FALSE)))</f>
        <v>1</v>
      </c>
      <c r="W646" s="178">
        <f t="shared" si="109"/>
        <v>12.75</v>
      </c>
      <c r="X646" s="481">
        <f t="shared" si="105"/>
        <v>-7.821666666666669</v>
      </c>
      <c r="Y646" s="179"/>
      <c r="Z646" s="466">
        <f t="shared" si="106"/>
        <v>21.048929333333337</v>
      </c>
      <c r="AA646" s="473">
        <f t="shared" si="107"/>
        <v>-8.2989293333333372</v>
      </c>
      <c r="AB646" s="339">
        <f t="shared" si="108"/>
        <v>-0.38021550676496807</v>
      </c>
    </row>
    <row r="647" spans="2:28" ht="20.100000000000001" customHeight="1">
      <c r="B647" s="172">
        <v>1427200</v>
      </c>
      <c r="C647" s="174">
        <v>44648</v>
      </c>
      <c r="D647" s="181" t="s">
        <v>265</v>
      </c>
      <c r="E647" s="173" t="s">
        <v>33</v>
      </c>
      <c r="F647" s="176">
        <v>61.715000000000003</v>
      </c>
      <c r="G647" s="175">
        <f t="shared" si="110"/>
        <v>3</v>
      </c>
      <c r="H647" s="175">
        <f t="shared" si="103"/>
        <v>61.715000000000003</v>
      </c>
      <c r="I647" s="177">
        <f>IF(G647=0,0,IF(E647="MXN",1/HLOOKUP(YEAR(C647)+(MONTH(C647)/100),TC!$5:$37,DAY(C647)+2,FALSE),VLOOKUP(E647,Equivalencia!$5:$23,((MAX(Equivalencia!$3:$3)-YEAR(C647))*14)+MONTH(C647)+2,FALSE)))</f>
        <v>1</v>
      </c>
      <c r="J647" s="178">
        <f t="shared" si="111"/>
        <v>61.715000000000003</v>
      </c>
      <c r="K647" s="462">
        <f>IF(C647=0,0,VLOOKUP(YEAR(C647),INPC!$B$4:$O$29,MONTH(C647)+1))</f>
        <v>120.15900000000001</v>
      </c>
      <c r="L647" s="462">
        <f>IF(S647=0,0,VLOOKUP(YEAR(S647),INPC!$B$4:$O$29,MONTH(S647)+1))</f>
        <v>122.94799999999999</v>
      </c>
      <c r="M647" s="463">
        <f t="shared" si="104"/>
        <v>1.0232000000000001</v>
      </c>
      <c r="N647" s="465">
        <f t="shared" si="112"/>
        <v>63.146788000000008</v>
      </c>
      <c r="O647" s="179"/>
      <c r="P647" s="180">
        <v>3</v>
      </c>
      <c r="Q647" s="173" t="s">
        <v>583</v>
      </c>
      <c r="R647" s="173" t="s">
        <v>230</v>
      </c>
      <c r="S647" s="174">
        <v>44761</v>
      </c>
      <c r="T647" s="173" t="s">
        <v>33</v>
      </c>
      <c r="U647" s="182">
        <v>39.049999999999997</v>
      </c>
      <c r="V647" s="177">
        <f>IF(U647=0,0,IF(T647="MXN",1/HLOOKUP(YEAR(S647)+(MONTH(S647)/100),TC!$5:$37,DAY(S647)+2,FALSE),VLOOKUP(T647,Equivalencia!$1:$23,((MAX(Equivalencia!$3:$3)-YEAR(S647))*14)+MONTH(S647)+2,FALSE)))</f>
        <v>1</v>
      </c>
      <c r="W647" s="178">
        <f t="shared" si="109"/>
        <v>39.049999999999997</v>
      </c>
      <c r="X647" s="481">
        <f t="shared" si="105"/>
        <v>-22.665000000000006</v>
      </c>
      <c r="Y647" s="179"/>
      <c r="Z647" s="466">
        <f t="shared" si="106"/>
        <v>63.146788000000008</v>
      </c>
      <c r="AA647" s="473">
        <f t="shared" si="107"/>
        <v>-24.096788000000011</v>
      </c>
      <c r="AB647" s="339">
        <f t="shared" si="108"/>
        <v>-0.36725269383456216</v>
      </c>
    </row>
    <row r="648" spans="2:28" ht="20.100000000000001" customHeight="1">
      <c r="B648" s="172">
        <v>1427200</v>
      </c>
      <c r="C648" s="174">
        <v>44648</v>
      </c>
      <c r="D648" s="181" t="s">
        <v>265</v>
      </c>
      <c r="E648" s="173" t="s">
        <v>33</v>
      </c>
      <c r="F648" s="176">
        <v>20.571666666666669</v>
      </c>
      <c r="G648" s="175">
        <f t="shared" si="110"/>
        <v>1</v>
      </c>
      <c r="H648" s="175">
        <f t="shared" si="103"/>
        <v>20.571666666666669</v>
      </c>
      <c r="I648" s="177">
        <f>IF(G648=0,0,IF(E648="MXN",1/HLOOKUP(YEAR(C648)+(MONTH(C648)/100),TC!$5:$37,DAY(C648)+2,FALSE),VLOOKUP(E648,Equivalencia!$5:$23,((MAX(Equivalencia!$3:$3)-YEAR(C648))*14)+MONTH(C648)+2,FALSE)))</f>
        <v>1</v>
      </c>
      <c r="J648" s="178">
        <f t="shared" si="111"/>
        <v>20.571666666666669</v>
      </c>
      <c r="K648" s="462">
        <f>IF(C648=0,0,VLOOKUP(YEAR(C648),INPC!$B$4:$O$29,MONTH(C648)+1))</f>
        <v>120.15900000000001</v>
      </c>
      <c r="L648" s="462">
        <f>IF(S648=0,0,VLOOKUP(YEAR(S648),INPC!$B$4:$O$29,MONTH(S648)+1))</f>
        <v>122.94799999999999</v>
      </c>
      <c r="M648" s="463">
        <f t="shared" si="104"/>
        <v>1.0232000000000001</v>
      </c>
      <c r="N648" s="465">
        <f t="shared" si="112"/>
        <v>21.048929333333337</v>
      </c>
      <c r="O648" s="179"/>
      <c r="P648" s="180">
        <v>1</v>
      </c>
      <c r="Q648" s="173" t="s">
        <v>583</v>
      </c>
      <c r="R648" s="173" t="s">
        <v>230</v>
      </c>
      <c r="S648" s="174">
        <v>44761</v>
      </c>
      <c r="T648" s="173" t="s">
        <v>33</v>
      </c>
      <c r="U648" s="182">
        <v>13.09</v>
      </c>
      <c r="V648" s="177">
        <f>IF(U648=0,0,IF(T648="MXN",1/HLOOKUP(YEAR(S648)+(MONTH(S648)/100),TC!$5:$37,DAY(S648)+2,FALSE),VLOOKUP(T648,Equivalencia!$1:$23,((MAX(Equivalencia!$3:$3)-YEAR(S648))*14)+MONTH(S648)+2,FALSE)))</f>
        <v>1</v>
      </c>
      <c r="W648" s="178">
        <f t="shared" si="109"/>
        <v>13.09</v>
      </c>
      <c r="X648" s="481">
        <f t="shared" si="105"/>
        <v>-7.4816666666666691</v>
      </c>
      <c r="Y648" s="179"/>
      <c r="Z648" s="466">
        <f t="shared" si="106"/>
        <v>21.048929333333337</v>
      </c>
      <c r="AA648" s="473">
        <f t="shared" si="107"/>
        <v>-7.9589293333333373</v>
      </c>
      <c r="AB648" s="339">
        <f t="shared" si="108"/>
        <v>-0.36368792027870056</v>
      </c>
    </row>
    <row r="649" spans="2:28" ht="20.100000000000001" customHeight="1">
      <c r="B649" s="172">
        <v>1427200</v>
      </c>
      <c r="C649" s="174">
        <v>44648</v>
      </c>
      <c r="D649" s="181" t="s">
        <v>265</v>
      </c>
      <c r="E649" s="173" t="s">
        <v>33</v>
      </c>
      <c r="F649" s="176">
        <v>40.520000000000003</v>
      </c>
      <c r="G649" s="175">
        <f t="shared" si="110"/>
        <v>2</v>
      </c>
      <c r="H649" s="175">
        <f t="shared" si="103"/>
        <v>40.520000000000003</v>
      </c>
      <c r="I649" s="177">
        <f>IF(G649=0,0,IF(E649="MXN",1/HLOOKUP(YEAR(C649)+(MONTH(C649)/100),TC!$5:$37,DAY(C649)+2,FALSE),VLOOKUP(E649,Equivalencia!$5:$23,((MAX(Equivalencia!$3:$3)-YEAR(C649))*14)+MONTH(C649)+2,FALSE)))</f>
        <v>1</v>
      </c>
      <c r="J649" s="178">
        <f t="shared" si="111"/>
        <v>40.520000000000003</v>
      </c>
      <c r="K649" s="462">
        <f>IF(C649=0,0,VLOOKUP(YEAR(C649),INPC!$B$4:$O$29,MONTH(C649)+1))</f>
        <v>120.15900000000001</v>
      </c>
      <c r="L649" s="462">
        <f>IF(S649=0,0,VLOOKUP(YEAR(S649),INPC!$B$4:$O$29,MONTH(S649)+1))</f>
        <v>122.94799999999999</v>
      </c>
      <c r="M649" s="463">
        <f t="shared" si="104"/>
        <v>1.0232000000000001</v>
      </c>
      <c r="N649" s="465">
        <f t="shared" si="112"/>
        <v>41.46006400000001</v>
      </c>
      <c r="O649" s="179"/>
      <c r="P649" s="180">
        <v>2</v>
      </c>
      <c r="Q649" s="173" t="s">
        <v>583</v>
      </c>
      <c r="R649" s="173" t="s">
        <v>230</v>
      </c>
      <c r="S649" s="174">
        <v>44761</v>
      </c>
      <c r="T649" s="173" t="s">
        <v>33</v>
      </c>
      <c r="U649" s="182">
        <v>26.18</v>
      </c>
      <c r="V649" s="177">
        <f>IF(U649=0,0,IF(T649="MXN",1/HLOOKUP(YEAR(S649)+(MONTH(S649)/100),TC!$5:$37,DAY(S649)+2,FALSE),VLOOKUP(T649,Equivalencia!$1:$23,((MAX(Equivalencia!$3:$3)-YEAR(S649))*14)+MONTH(S649)+2,FALSE)))</f>
        <v>1</v>
      </c>
      <c r="W649" s="178">
        <f t="shared" si="109"/>
        <v>26.18</v>
      </c>
      <c r="X649" s="481">
        <f t="shared" si="105"/>
        <v>-14.340000000000003</v>
      </c>
      <c r="Y649" s="179"/>
      <c r="Z649" s="466">
        <f t="shared" si="106"/>
        <v>41.46006400000001</v>
      </c>
      <c r="AA649" s="473">
        <f t="shared" si="107"/>
        <v>-15.28006400000001</v>
      </c>
      <c r="AB649" s="339">
        <f t="shared" si="108"/>
        <v>-0.3538993089832182</v>
      </c>
    </row>
    <row r="650" spans="2:28" ht="20.100000000000001" customHeight="1">
      <c r="B650" s="172">
        <v>1427200</v>
      </c>
      <c r="C650" s="174">
        <v>44648</v>
      </c>
      <c r="D650" s="181" t="s">
        <v>265</v>
      </c>
      <c r="E650" s="173" t="s">
        <v>33</v>
      </c>
      <c r="F650" s="176">
        <v>142.42277777777781</v>
      </c>
      <c r="G650" s="175">
        <f t="shared" si="110"/>
        <v>7</v>
      </c>
      <c r="H650" s="175">
        <f t="shared" si="103"/>
        <v>142.42277777777781</v>
      </c>
      <c r="I650" s="177">
        <f>IF(G650=0,0,IF(E650="MXN",1/HLOOKUP(YEAR(C650)+(MONTH(C650)/100),TC!$5:$37,DAY(C650)+2,FALSE),VLOOKUP(E650,Equivalencia!$5:$23,((MAX(Equivalencia!$3:$3)-YEAR(C650))*14)+MONTH(C650)+2,FALSE)))</f>
        <v>1</v>
      </c>
      <c r="J650" s="178">
        <f t="shared" si="111"/>
        <v>142.42277777777781</v>
      </c>
      <c r="K650" s="462">
        <f>IF(C650=0,0,VLOOKUP(YEAR(C650),INPC!$B$4:$O$29,MONTH(C650)+1))</f>
        <v>120.15900000000001</v>
      </c>
      <c r="L650" s="462">
        <f>IF(S650=0,0,VLOOKUP(YEAR(S650),INPC!$B$4:$O$29,MONTH(S650)+1))</f>
        <v>122.94799999999999</v>
      </c>
      <c r="M650" s="463">
        <f t="shared" si="104"/>
        <v>1.0232000000000001</v>
      </c>
      <c r="N650" s="465">
        <f t="shared" si="112"/>
        <v>145.72698622222228</v>
      </c>
      <c r="O650" s="179"/>
      <c r="P650" s="180">
        <v>7</v>
      </c>
      <c r="Q650" s="173" t="s">
        <v>583</v>
      </c>
      <c r="R650" s="173" t="s">
        <v>230</v>
      </c>
      <c r="S650" s="174">
        <v>44761</v>
      </c>
      <c r="T650" s="173" t="s">
        <v>33</v>
      </c>
      <c r="U650" s="182">
        <v>91.63</v>
      </c>
      <c r="V650" s="177">
        <f>IF(U650=0,0,IF(T650="MXN",1/HLOOKUP(YEAR(S650)+(MONTH(S650)/100),TC!$5:$37,DAY(S650)+2,FALSE),VLOOKUP(T650,Equivalencia!$1:$23,((MAX(Equivalencia!$3:$3)-YEAR(S650))*14)+MONTH(S650)+2,FALSE)))</f>
        <v>1</v>
      </c>
      <c r="W650" s="178">
        <f t="shared" si="109"/>
        <v>91.63</v>
      </c>
      <c r="X650" s="481">
        <f t="shared" si="105"/>
        <v>-50.792777777777815</v>
      </c>
      <c r="Y650" s="179"/>
      <c r="Z650" s="466">
        <f t="shared" si="106"/>
        <v>145.72698622222228</v>
      </c>
      <c r="AA650" s="473">
        <f t="shared" si="107"/>
        <v>-54.096986222222284</v>
      </c>
      <c r="AB650" s="339">
        <f t="shared" si="108"/>
        <v>-0.35663380935477718</v>
      </c>
    </row>
    <row r="651" spans="2:28" ht="20.100000000000001" customHeight="1">
      <c r="B651" s="172">
        <v>1427200</v>
      </c>
      <c r="C651" s="174">
        <v>44648</v>
      </c>
      <c r="D651" s="181" t="s">
        <v>265</v>
      </c>
      <c r="E651" s="173" t="s">
        <v>33</v>
      </c>
      <c r="F651" s="176">
        <v>223.80722222222226</v>
      </c>
      <c r="G651" s="175">
        <f t="shared" si="110"/>
        <v>11</v>
      </c>
      <c r="H651" s="175">
        <f t="shared" si="103"/>
        <v>223.80722222222226</v>
      </c>
      <c r="I651" s="177">
        <f>IF(G651=0,0,IF(E651="MXN",1/HLOOKUP(YEAR(C651)+(MONTH(C651)/100),TC!$5:$37,DAY(C651)+2,FALSE),VLOOKUP(E651,Equivalencia!$5:$23,((MAX(Equivalencia!$3:$3)-YEAR(C651))*14)+MONTH(C651)+2,FALSE)))</f>
        <v>1</v>
      </c>
      <c r="J651" s="178">
        <f t="shared" si="111"/>
        <v>223.80722222222226</v>
      </c>
      <c r="K651" s="462">
        <f>IF(C651=0,0,VLOOKUP(YEAR(C651),INPC!$B$4:$O$29,MONTH(C651)+1))</f>
        <v>120.15900000000001</v>
      </c>
      <c r="L651" s="462">
        <f>IF(S651=0,0,VLOOKUP(YEAR(S651),INPC!$B$4:$O$29,MONTH(S651)+1))</f>
        <v>122.94799999999999</v>
      </c>
      <c r="M651" s="463">
        <f t="shared" si="104"/>
        <v>1.0232000000000001</v>
      </c>
      <c r="N651" s="465">
        <f t="shared" si="112"/>
        <v>228.99954977777784</v>
      </c>
      <c r="O651" s="179"/>
      <c r="P651" s="180">
        <v>11</v>
      </c>
      <c r="Q651" s="173" t="s">
        <v>583</v>
      </c>
      <c r="R651" s="173" t="s">
        <v>230</v>
      </c>
      <c r="S651" s="174">
        <v>44762</v>
      </c>
      <c r="T651" s="173" t="s">
        <v>33</v>
      </c>
      <c r="U651" s="182">
        <v>143</v>
      </c>
      <c r="V651" s="177">
        <f>IF(U651=0,0,IF(T651="MXN",1/HLOOKUP(YEAR(S651)+(MONTH(S651)/100),TC!$5:$37,DAY(S651)+2,FALSE),VLOOKUP(T651,Equivalencia!$1:$23,((MAX(Equivalencia!$3:$3)-YEAR(S651))*14)+MONTH(S651)+2,FALSE)))</f>
        <v>1</v>
      </c>
      <c r="W651" s="178">
        <f t="shared" si="109"/>
        <v>143</v>
      </c>
      <c r="X651" s="481">
        <f t="shared" si="105"/>
        <v>-80.807222222222265</v>
      </c>
      <c r="Y651" s="179"/>
      <c r="Z651" s="466">
        <f t="shared" si="106"/>
        <v>228.99954977777784</v>
      </c>
      <c r="AA651" s="473">
        <f t="shared" si="107"/>
        <v>-85.999549777777844</v>
      </c>
      <c r="AB651" s="339">
        <f t="shared" si="108"/>
        <v>-0.36105725909947317</v>
      </c>
    </row>
    <row r="652" spans="2:28" ht="20.100000000000001" customHeight="1">
      <c r="B652" s="172">
        <v>1427200</v>
      </c>
      <c r="C652" s="174">
        <v>44648</v>
      </c>
      <c r="D652" s="181" t="s">
        <v>265</v>
      </c>
      <c r="E652" s="173" t="s">
        <v>33</v>
      </c>
      <c r="F652" s="176">
        <v>81.39</v>
      </c>
      <c r="G652" s="175">
        <f t="shared" si="110"/>
        <v>4</v>
      </c>
      <c r="H652" s="175">
        <f t="shared" si="103"/>
        <v>81.39</v>
      </c>
      <c r="I652" s="177">
        <f>IF(G652=0,0,IF(E652="MXN",1/HLOOKUP(YEAR(C652)+(MONTH(C652)/100),TC!$5:$37,DAY(C652)+2,FALSE),VLOOKUP(E652,Equivalencia!$5:$23,((MAX(Equivalencia!$3:$3)-YEAR(C652))*14)+MONTH(C652)+2,FALSE)))</f>
        <v>1</v>
      </c>
      <c r="J652" s="178">
        <f t="shared" si="111"/>
        <v>81.39</v>
      </c>
      <c r="K652" s="462">
        <f>IF(C652=0,0,VLOOKUP(YEAR(C652),INPC!$B$4:$O$29,MONTH(C652)+1))</f>
        <v>120.15900000000001</v>
      </c>
      <c r="L652" s="462">
        <f>IF(S652=0,0,VLOOKUP(YEAR(S652),INPC!$B$4:$O$29,MONTH(S652)+1))</f>
        <v>122.94799999999999</v>
      </c>
      <c r="M652" s="463">
        <f t="shared" si="104"/>
        <v>1.0232000000000001</v>
      </c>
      <c r="N652" s="465">
        <f t="shared" si="112"/>
        <v>83.278248000000005</v>
      </c>
      <c r="O652" s="179"/>
      <c r="P652" s="180">
        <v>4</v>
      </c>
      <c r="Q652" s="173" t="s">
        <v>583</v>
      </c>
      <c r="R652" s="173" t="s">
        <v>230</v>
      </c>
      <c r="S652" s="174">
        <v>44762</v>
      </c>
      <c r="T652" s="173" t="s">
        <v>33</v>
      </c>
      <c r="U652" s="182">
        <v>52</v>
      </c>
      <c r="V652" s="177">
        <f>IF(U652=0,0,IF(T652="MXN",1/HLOOKUP(YEAR(S652)+(MONTH(S652)/100),TC!$5:$37,DAY(S652)+2,FALSE),VLOOKUP(T652,Equivalencia!$1:$23,((MAX(Equivalencia!$3:$3)-YEAR(S652))*14)+MONTH(S652)+2,FALSE)))</f>
        <v>1</v>
      </c>
      <c r="W652" s="178">
        <f t="shared" si="109"/>
        <v>52</v>
      </c>
      <c r="X652" s="481">
        <f t="shared" si="105"/>
        <v>-29.39</v>
      </c>
      <c r="Y652" s="179"/>
      <c r="Z652" s="466">
        <f t="shared" si="106"/>
        <v>83.278248000000005</v>
      </c>
      <c r="AA652" s="473">
        <f t="shared" si="107"/>
        <v>-31.278248000000005</v>
      </c>
      <c r="AB652" s="339">
        <f t="shared" si="108"/>
        <v>-0.36110087234303967</v>
      </c>
    </row>
    <row r="653" spans="2:28" ht="20.100000000000001" customHeight="1">
      <c r="B653" s="172">
        <v>1427200</v>
      </c>
      <c r="C653" s="174">
        <v>44648</v>
      </c>
      <c r="D653" s="181" t="s">
        <v>265</v>
      </c>
      <c r="E653" s="173" t="s">
        <v>33</v>
      </c>
      <c r="F653" s="176">
        <v>20.239999999999998</v>
      </c>
      <c r="G653" s="175">
        <f t="shared" si="110"/>
        <v>1</v>
      </c>
      <c r="H653" s="175">
        <f t="shared" si="103"/>
        <v>20.239999999999998</v>
      </c>
      <c r="I653" s="177">
        <f>IF(G653=0,0,IF(E653="MXN",1/HLOOKUP(YEAR(C653)+(MONTH(C653)/100),TC!$5:$37,DAY(C653)+2,FALSE),VLOOKUP(E653,Equivalencia!$5:$23,((MAX(Equivalencia!$3:$3)-YEAR(C653))*14)+MONTH(C653)+2,FALSE)))</f>
        <v>1</v>
      </c>
      <c r="J653" s="178">
        <f t="shared" si="111"/>
        <v>20.239999999999998</v>
      </c>
      <c r="K653" s="462">
        <f>IF(C653=0,0,VLOOKUP(YEAR(C653),INPC!$B$4:$O$29,MONTH(C653)+1))</f>
        <v>120.15900000000001</v>
      </c>
      <c r="L653" s="462">
        <f>IF(S653=0,0,VLOOKUP(YEAR(S653),INPC!$B$4:$O$29,MONTH(S653)+1))</f>
        <v>122.94799999999999</v>
      </c>
      <c r="M653" s="463">
        <f t="shared" si="104"/>
        <v>1.0232000000000001</v>
      </c>
      <c r="N653" s="465">
        <f t="shared" si="112"/>
        <v>20.709568000000001</v>
      </c>
      <c r="O653" s="179"/>
      <c r="P653" s="180">
        <v>1</v>
      </c>
      <c r="Q653" s="173" t="s">
        <v>583</v>
      </c>
      <c r="R653" s="173" t="s">
        <v>230</v>
      </c>
      <c r="S653" s="174">
        <v>44762</v>
      </c>
      <c r="T653" s="173" t="s">
        <v>33</v>
      </c>
      <c r="U653" s="182">
        <v>13</v>
      </c>
      <c r="V653" s="177">
        <f>IF(U653=0,0,IF(T653="MXN",1/HLOOKUP(YEAR(S653)+(MONTH(S653)/100),TC!$5:$37,DAY(S653)+2,FALSE),VLOOKUP(T653,Equivalencia!$1:$23,((MAX(Equivalencia!$3:$3)-YEAR(S653))*14)+MONTH(S653)+2,FALSE)))</f>
        <v>1</v>
      </c>
      <c r="W653" s="178">
        <f t="shared" si="109"/>
        <v>13</v>
      </c>
      <c r="X653" s="481">
        <f t="shared" si="105"/>
        <v>-7.2399999999999984</v>
      </c>
      <c r="Y653" s="179"/>
      <c r="Z653" s="466">
        <f t="shared" si="106"/>
        <v>20.709568000000001</v>
      </c>
      <c r="AA653" s="473">
        <f t="shared" si="107"/>
        <v>-7.7095680000000009</v>
      </c>
      <c r="AB653" s="339">
        <f t="shared" si="108"/>
        <v>-0.35770750988142286</v>
      </c>
    </row>
    <row r="654" spans="2:28" ht="20.100000000000001" customHeight="1">
      <c r="B654" s="172">
        <v>1427200</v>
      </c>
      <c r="C654" s="174">
        <v>44649</v>
      </c>
      <c r="D654" s="181" t="s">
        <v>265</v>
      </c>
      <c r="E654" s="173" t="s">
        <v>33</v>
      </c>
      <c r="F654" s="176">
        <v>41.9</v>
      </c>
      <c r="G654" s="175">
        <f t="shared" si="110"/>
        <v>2</v>
      </c>
      <c r="H654" s="175">
        <f t="shared" si="103"/>
        <v>41.9</v>
      </c>
      <c r="I654" s="177">
        <f>IF(G654=0,0,IF(E654="MXN",1/HLOOKUP(YEAR(C654)+(MONTH(C654)/100),TC!$5:$37,DAY(C654)+2,FALSE),VLOOKUP(E654,Equivalencia!$5:$23,((MAX(Equivalencia!$3:$3)-YEAR(C654))*14)+MONTH(C654)+2,FALSE)))</f>
        <v>1</v>
      </c>
      <c r="J654" s="178">
        <f t="shared" si="111"/>
        <v>41.9</v>
      </c>
      <c r="K654" s="462">
        <f>IF(C654=0,0,VLOOKUP(YEAR(C654),INPC!$B$4:$O$29,MONTH(C654)+1))</f>
        <v>120.15900000000001</v>
      </c>
      <c r="L654" s="462">
        <f>IF(S654=0,0,VLOOKUP(YEAR(S654),INPC!$B$4:$O$29,MONTH(S654)+1))</f>
        <v>122.94799999999999</v>
      </c>
      <c r="M654" s="463">
        <f t="shared" si="104"/>
        <v>1.0232000000000001</v>
      </c>
      <c r="N654" s="465">
        <f t="shared" si="112"/>
        <v>42.872080000000004</v>
      </c>
      <c r="O654" s="179"/>
      <c r="P654" s="180">
        <v>2</v>
      </c>
      <c r="Q654" s="173" t="s">
        <v>583</v>
      </c>
      <c r="R654" s="173" t="s">
        <v>230</v>
      </c>
      <c r="S654" s="174">
        <v>44762</v>
      </c>
      <c r="T654" s="173" t="s">
        <v>33</v>
      </c>
      <c r="U654" s="182">
        <v>27.87</v>
      </c>
      <c r="V654" s="177">
        <f>IF(U654=0,0,IF(T654="MXN",1/HLOOKUP(YEAR(S654)+(MONTH(S654)/100),TC!$5:$37,DAY(S654)+2,FALSE),VLOOKUP(T654,Equivalencia!$1:$23,((MAX(Equivalencia!$3:$3)-YEAR(S654))*14)+MONTH(S654)+2,FALSE)))</f>
        <v>1</v>
      </c>
      <c r="W654" s="178">
        <f t="shared" si="109"/>
        <v>27.87</v>
      </c>
      <c r="X654" s="481">
        <f t="shared" si="105"/>
        <v>-14.029999999999998</v>
      </c>
      <c r="Y654" s="179"/>
      <c r="Z654" s="466">
        <f t="shared" si="106"/>
        <v>42.872080000000004</v>
      </c>
      <c r="AA654" s="473">
        <f t="shared" si="107"/>
        <v>-15.002080000000003</v>
      </c>
      <c r="AB654" s="339">
        <f t="shared" si="108"/>
        <v>-0.33484486873508346</v>
      </c>
    </row>
    <row r="655" spans="2:28" ht="20.100000000000001" customHeight="1">
      <c r="B655" s="172">
        <v>1427200</v>
      </c>
      <c r="C655" s="174">
        <v>44649</v>
      </c>
      <c r="D655" s="181" t="s">
        <v>265</v>
      </c>
      <c r="E655" s="173" t="s">
        <v>33</v>
      </c>
      <c r="F655" s="176">
        <v>83.55</v>
      </c>
      <c r="G655" s="175">
        <f t="shared" si="110"/>
        <v>4</v>
      </c>
      <c r="H655" s="175">
        <f t="shared" si="103"/>
        <v>83.55</v>
      </c>
      <c r="I655" s="177">
        <f>IF(G655=0,0,IF(E655="MXN",1/HLOOKUP(YEAR(C655)+(MONTH(C655)/100),TC!$5:$37,DAY(C655)+2,FALSE),VLOOKUP(E655,Equivalencia!$5:$23,((MAX(Equivalencia!$3:$3)-YEAR(C655))*14)+MONTH(C655)+2,FALSE)))</f>
        <v>1</v>
      </c>
      <c r="J655" s="178">
        <f t="shared" si="111"/>
        <v>83.55</v>
      </c>
      <c r="K655" s="462">
        <f>IF(C655=0,0,VLOOKUP(YEAR(C655),INPC!$B$4:$O$29,MONTH(C655)+1))</f>
        <v>120.15900000000001</v>
      </c>
      <c r="L655" s="462">
        <f>IF(S655=0,0,VLOOKUP(YEAR(S655),INPC!$B$4:$O$29,MONTH(S655)+1))</f>
        <v>122.94799999999999</v>
      </c>
      <c r="M655" s="463">
        <f t="shared" si="104"/>
        <v>1.0232000000000001</v>
      </c>
      <c r="N655" s="465">
        <f t="shared" si="112"/>
        <v>85.48836</v>
      </c>
      <c r="O655" s="179"/>
      <c r="P655" s="180">
        <v>4</v>
      </c>
      <c r="Q655" s="173" t="s">
        <v>583</v>
      </c>
      <c r="R655" s="173" t="s">
        <v>230</v>
      </c>
      <c r="S655" s="174">
        <v>44762</v>
      </c>
      <c r="T655" s="173" t="s">
        <v>33</v>
      </c>
      <c r="U655" s="182">
        <v>54.26</v>
      </c>
      <c r="V655" s="177">
        <f>IF(U655=0,0,IF(T655="MXN",1/HLOOKUP(YEAR(S655)+(MONTH(S655)/100),TC!$5:$37,DAY(S655)+2,FALSE),VLOOKUP(T655,Equivalencia!$1:$23,((MAX(Equivalencia!$3:$3)-YEAR(S655))*14)+MONTH(S655)+2,FALSE)))</f>
        <v>1</v>
      </c>
      <c r="W655" s="178">
        <f t="shared" si="109"/>
        <v>54.26</v>
      </c>
      <c r="X655" s="481">
        <f t="shared" si="105"/>
        <v>-29.29</v>
      </c>
      <c r="Y655" s="179"/>
      <c r="Z655" s="466">
        <f t="shared" si="106"/>
        <v>85.48836</v>
      </c>
      <c r="AA655" s="473">
        <f t="shared" si="107"/>
        <v>-31.228360000000002</v>
      </c>
      <c r="AB655" s="339">
        <f t="shared" si="108"/>
        <v>-0.35056852184320764</v>
      </c>
    </row>
    <row r="656" spans="2:28" ht="20.100000000000001" customHeight="1">
      <c r="B656" s="172">
        <v>1427200</v>
      </c>
      <c r="C656" s="174">
        <v>44649</v>
      </c>
      <c r="D656" s="181" t="s">
        <v>265</v>
      </c>
      <c r="E656" s="173" t="s">
        <v>33</v>
      </c>
      <c r="F656" s="176">
        <v>62.49666666666667</v>
      </c>
      <c r="G656" s="175">
        <f t="shared" si="110"/>
        <v>3</v>
      </c>
      <c r="H656" s="175">
        <f t="shared" si="103"/>
        <v>62.49666666666667</v>
      </c>
      <c r="I656" s="177">
        <f>IF(G656=0,0,IF(E656="MXN",1/HLOOKUP(YEAR(C656)+(MONTH(C656)/100),TC!$5:$37,DAY(C656)+2,FALSE),VLOOKUP(E656,Equivalencia!$5:$23,((MAX(Equivalencia!$3:$3)-YEAR(C656))*14)+MONTH(C656)+2,FALSE)))</f>
        <v>1</v>
      </c>
      <c r="J656" s="178">
        <f t="shared" si="111"/>
        <v>62.49666666666667</v>
      </c>
      <c r="K656" s="462">
        <f>IF(C656=0,0,VLOOKUP(YEAR(C656),INPC!$B$4:$O$29,MONTH(C656)+1))</f>
        <v>120.15900000000001</v>
      </c>
      <c r="L656" s="462">
        <f>IF(S656=0,0,VLOOKUP(YEAR(S656),INPC!$B$4:$O$29,MONTH(S656)+1))</f>
        <v>122.94799999999999</v>
      </c>
      <c r="M656" s="463">
        <f t="shared" si="104"/>
        <v>1.0232000000000001</v>
      </c>
      <c r="N656" s="465">
        <f t="shared" si="112"/>
        <v>63.946589333333343</v>
      </c>
      <c r="O656" s="179"/>
      <c r="P656" s="180">
        <v>3</v>
      </c>
      <c r="Q656" s="173" t="s">
        <v>583</v>
      </c>
      <c r="R656" s="173" t="s">
        <v>230</v>
      </c>
      <c r="S656" s="174">
        <v>44762</v>
      </c>
      <c r="T656" s="173" t="s">
        <v>33</v>
      </c>
      <c r="U656" s="182">
        <v>41.26</v>
      </c>
      <c r="V656" s="177">
        <f>IF(U656=0,0,IF(T656="MXN",1/HLOOKUP(YEAR(S656)+(MONTH(S656)/100),TC!$5:$37,DAY(S656)+2,FALSE),VLOOKUP(T656,Equivalencia!$1:$23,((MAX(Equivalencia!$3:$3)-YEAR(S656))*14)+MONTH(S656)+2,FALSE)))</f>
        <v>1</v>
      </c>
      <c r="W656" s="178">
        <f t="shared" si="109"/>
        <v>41.26</v>
      </c>
      <c r="X656" s="481">
        <f t="shared" si="105"/>
        <v>-21.236666666666672</v>
      </c>
      <c r="Y656" s="179"/>
      <c r="Z656" s="466">
        <f t="shared" si="106"/>
        <v>63.946589333333343</v>
      </c>
      <c r="AA656" s="473">
        <f t="shared" si="107"/>
        <v>-22.686589333333345</v>
      </c>
      <c r="AB656" s="339">
        <f t="shared" si="108"/>
        <v>-0.33980478958877813</v>
      </c>
    </row>
    <row r="657" spans="2:28" ht="20.100000000000001" customHeight="1">
      <c r="B657" s="172">
        <v>1427200</v>
      </c>
      <c r="C657" s="174">
        <v>44649</v>
      </c>
      <c r="D657" s="181" t="s">
        <v>265</v>
      </c>
      <c r="E657" s="173" t="s">
        <v>33</v>
      </c>
      <c r="F657" s="176">
        <v>20.832222222222224</v>
      </c>
      <c r="G657" s="175">
        <f t="shared" si="110"/>
        <v>1</v>
      </c>
      <c r="H657" s="175">
        <f t="shared" si="103"/>
        <v>20.832222222222224</v>
      </c>
      <c r="I657" s="177">
        <f>IF(G657=0,0,IF(E657="MXN",1/HLOOKUP(YEAR(C657)+(MONTH(C657)/100),TC!$5:$37,DAY(C657)+2,FALSE),VLOOKUP(E657,Equivalencia!$5:$23,((MAX(Equivalencia!$3:$3)-YEAR(C657))*14)+MONTH(C657)+2,FALSE)))</f>
        <v>1</v>
      </c>
      <c r="J657" s="178">
        <f t="shared" si="111"/>
        <v>20.832222222222224</v>
      </c>
      <c r="K657" s="462">
        <f>IF(C657=0,0,VLOOKUP(YEAR(C657),INPC!$B$4:$O$29,MONTH(C657)+1))</f>
        <v>120.15900000000001</v>
      </c>
      <c r="L657" s="462">
        <f>IF(S657=0,0,VLOOKUP(YEAR(S657),INPC!$B$4:$O$29,MONTH(S657)+1))</f>
        <v>122.94799999999999</v>
      </c>
      <c r="M657" s="463">
        <f t="shared" si="104"/>
        <v>1.0232000000000001</v>
      </c>
      <c r="N657" s="465">
        <f t="shared" si="112"/>
        <v>21.315529777777783</v>
      </c>
      <c r="O657" s="179"/>
      <c r="P657" s="180">
        <v>1</v>
      </c>
      <c r="Q657" s="173" t="s">
        <v>583</v>
      </c>
      <c r="R657" s="173" t="s">
        <v>230</v>
      </c>
      <c r="S657" s="174">
        <v>44762</v>
      </c>
      <c r="T657" s="173" t="s">
        <v>33</v>
      </c>
      <c r="U657" s="182">
        <v>13.63</v>
      </c>
      <c r="V657" s="177">
        <f>IF(U657=0,0,IF(T657="MXN",1/HLOOKUP(YEAR(S657)+(MONTH(S657)/100),TC!$5:$37,DAY(S657)+2,FALSE),VLOOKUP(T657,Equivalencia!$1:$23,((MAX(Equivalencia!$3:$3)-YEAR(S657))*14)+MONTH(S657)+2,FALSE)))</f>
        <v>1</v>
      </c>
      <c r="W657" s="178">
        <f t="shared" si="109"/>
        <v>13.63</v>
      </c>
      <c r="X657" s="481">
        <f t="shared" si="105"/>
        <v>-7.2022222222222236</v>
      </c>
      <c r="Y657" s="179"/>
      <c r="Z657" s="466">
        <f t="shared" si="106"/>
        <v>21.315529777777783</v>
      </c>
      <c r="AA657" s="473">
        <f t="shared" si="107"/>
        <v>-7.6855297777777825</v>
      </c>
      <c r="AB657" s="339">
        <f t="shared" si="108"/>
        <v>-0.3457251053389514</v>
      </c>
    </row>
    <row r="658" spans="2:28" ht="20.100000000000001" customHeight="1">
      <c r="B658" s="172">
        <v>1427200</v>
      </c>
      <c r="C658" s="174">
        <v>44649</v>
      </c>
      <c r="D658" s="181" t="s">
        <v>265</v>
      </c>
      <c r="E658" s="173" t="s">
        <v>33</v>
      </c>
      <c r="F658" s="176">
        <v>166.6577777777778</v>
      </c>
      <c r="G658" s="175">
        <f t="shared" si="110"/>
        <v>8</v>
      </c>
      <c r="H658" s="175">
        <f t="shared" si="103"/>
        <v>166.6577777777778</v>
      </c>
      <c r="I658" s="177">
        <f>IF(G658=0,0,IF(E658="MXN",1/HLOOKUP(YEAR(C658)+(MONTH(C658)/100),TC!$5:$37,DAY(C658)+2,FALSE),VLOOKUP(E658,Equivalencia!$5:$23,((MAX(Equivalencia!$3:$3)-YEAR(C658))*14)+MONTH(C658)+2,FALSE)))</f>
        <v>1</v>
      </c>
      <c r="J658" s="178">
        <f t="shared" si="111"/>
        <v>166.6577777777778</v>
      </c>
      <c r="K658" s="462">
        <f>IF(C658=0,0,VLOOKUP(YEAR(C658),INPC!$B$4:$O$29,MONTH(C658)+1))</f>
        <v>120.15900000000001</v>
      </c>
      <c r="L658" s="462">
        <f>IF(S658=0,0,VLOOKUP(YEAR(S658),INPC!$B$4:$O$29,MONTH(S658)+1))</f>
        <v>122.94799999999999</v>
      </c>
      <c r="M658" s="463">
        <f t="shared" si="104"/>
        <v>1.0232000000000001</v>
      </c>
      <c r="N658" s="465">
        <f t="shared" si="112"/>
        <v>170.52423822222227</v>
      </c>
      <c r="O658" s="179"/>
      <c r="P658" s="180">
        <v>8</v>
      </c>
      <c r="Q658" s="173" t="s">
        <v>583</v>
      </c>
      <c r="R658" s="173" t="s">
        <v>230</v>
      </c>
      <c r="S658" s="174">
        <v>44762</v>
      </c>
      <c r="T658" s="173" t="s">
        <v>33</v>
      </c>
      <c r="U658" s="182">
        <v>111.77</v>
      </c>
      <c r="V658" s="177">
        <f>IF(U658=0,0,IF(T658="MXN",1/HLOOKUP(YEAR(S658)+(MONTH(S658)/100),TC!$5:$37,DAY(S658)+2,FALSE),VLOOKUP(T658,Equivalencia!$1:$23,((MAX(Equivalencia!$3:$3)-YEAR(S658))*14)+MONTH(S658)+2,FALSE)))</f>
        <v>1</v>
      </c>
      <c r="W658" s="178">
        <f t="shared" si="109"/>
        <v>111.77</v>
      </c>
      <c r="X658" s="481">
        <f t="shared" si="105"/>
        <v>-54.887777777777799</v>
      </c>
      <c r="Y658" s="179"/>
      <c r="Z658" s="466">
        <f t="shared" si="106"/>
        <v>170.52423822222227</v>
      </c>
      <c r="AA658" s="473">
        <f t="shared" si="107"/>
        <v>-58.75423822222227</v>
      </c>
      <c r="AB658" s="339">
        <f t="shared" si="108"/>
        <v>-0.32934423169235705</v>
      </c>
    </row>
    <row r="659" spans="2:28" ht="20.100000000000001" customHeight="1">
      <c r="B659" s="172">
        <v>1427200</v>
      </c>
      <c r="C659" s="174">
        <v>44649</v>
      </c>
      <c r="D659" s="181" t="s">
        <v>265</v>
      </c>
      <c r="E659" s="173" t="s">
        <v>33</v>
      </c>
      <c r="F659" s="176">
        <v>104.16111111111113</v>
      </c>
      <c r="G659" s="175">
        <f t="shared" si="110"/>
        <v>5</v>
      </c>
      <c r="H659" s="175">
        <f t="shared" si="103"/>
        <v>104.16111111111113</v>
      </c>
      <c r="I659" s="177">
        <f>IF(G659=0,0,IF(E659="MXN",1/HLOOKUP(YEAR(C659)+(MONTH(C659)/100),TC!$5:$37,DAY(C659)+2,FALSE),VLOOKUP(E659,Equivalencia!$5:$23,((MAX(Equivalencia!$3:$3)-YEAR(C659))*14)+MONTH(C659)+2,FALSE)))</f>
        <v>1</v>
      </c>
      <c r="J659" s="178">
        <f t="shared" si="111"/>
        <v>104.16111111111113</v>
      </c>
      <c r="K659" s="462">
        <f>IF(C659=0,0,VLOOKUP(YEAR(C659),INPC!$B$4:$O$29,MONTH(C659)+1))</f>
        <v>120.15900000000001</v>
      </c>
      <c r="L659" s="462">
        <f>IF(S659=0,0,VLOOKUP(YEAR(S659),INPC!$B$4:$O$29,MONTH(S659)+1))</f>
        <v>122.94799999999999</v>
      </c>
      <c r="M659" s="463">
        <f t="shared" si="104"/>
        <v>1.0232000000000001</v>
      </c>
      <c r="N659" s="465">
        <f t="shared" si="112"/>
        <v>106.57764888888892</v>
      </c>
      <c r="O659" s="179"/>
      <c r="P659" s="180">
        <v>5</v>
      </c>
      <c r="Q659" s="173" t="s">
        <v>583</v>
      </c>
      <c r="R659" s="173" t="s">
        <v>230</v>
      </c>
      <c r="S659" s="174">
        <v>44763</v>
      </c>
      <c r="T659" s="173" t="s">
        <v>33</v>
      </c>
      <c r="U659" s="182">
        <v>68.09</v>
      </c>
      <c r="V659" s="177">
        <f>IF(U659=0,0,IF(T659="MXN",1/HLOOKUP(YEAR(S659)+(MONTH(S659)/100),TC!$5:$37,DAY(S659)+2,FALSE),VLOOKUP(T659,Equivalencia!$1:$23,((MAX(Equivalencia!$3:$3)-YEAR(S659))*14)+MONTH(S659)+2,FALSE)))</f>
        <v>1</v>
      </c>
      <c r="W659" s="178">
        <f t="shared" si="109"/>
        <v>68.09</v>
      </c>
      <c r="X659" s="481">
        <f t="shared" si="105"/>
        <v>-36.071111111111122</v>
      </c>
      <c r="Y659" s="179"/>
      <c r="Z659" s="466">
        <f t="shared" si="106"/>
        <v>106.57764888888892</v>
      </c>
      <c r="AA659" s="473">
        <f t="shared" si="107"/>
        <v>-38.487648888888913</v>
      </c>
      <c r="AB659" s="339">
        <f t="shared" si="108"/>
        <v>-0.34630113606058999</v>
      </c>
    </row>
    <row r="660" spans="2:28" ht="20.100000000000001" customHeight="1">
      <c r="B660" s="172">
        <v>1427200</v>
      </c>
      <c r="C660" s="174">
        <v>44649</v>
      </c>
      <c r="D660" s="181" t="s">
        <v>265</v>
      </c>
      <c r="E660" s="173" t="s">
        <v>33</v>
      </c>
      <c r="F660" s="176">
        <v>83.328888888888898</v>
      </c>
      <c r="G660" s="175">
        <f t="shared" si="110"/>
        <v>4</v>
      </c>
      <c r="H660" s="175">
        <f t="shared" si="103"/>
        <v>83.328888888888898</v>
      </c>
      <c r="I660" s="177">
        <f>IF(G660=0,0,IF(E660="MXN",1/HLOOKUP(YEAR(C660)+(MONTH(C660)/100),TC!$5:$37,DAY(C660)+2,FALSE),VLOOKUP(E660,Equivalencia!$5:$23,((MAX(Equivalencia!$3:$3)-YEAR(C660))*14)+MONTH(C660)+2,FALSE)))</f>
        <v>1</v>
      </c>
      <c r="J660" s="178">
        <f t="shared" si="111"/>
        <v>83.328888888888898</v>
      </c>
      <c r="K660" s="462">
        <f>IF(C660=0,0,VLOOKUP(YEAR(C660),INPC!$B$4:$O$29,MONTH(C660)+1))</f>
        <v>120.15900000000001</v>
      </c>
      <c r="L660" s="462">
        <f>IF(S660=0,0,VLOOKUP(YEAR(S660),INPC!$B$4:$O$29,MONTH(S660)+1))</f>
        <v>122.94799999999999</v>
      </c>
      <c r="M660" s="463">
        <f t="shared" si="104"/>
        <v>1.0232000000000001</v>
      </c>
      <c r="N660" s="465">
        <f t="shared" si="112"/>
        <v>85.262119111111133</v>
      </c>
      <c r="O660" s="179"/>
      <c r="P660" s="180">
        <v>4</v>
      </c>
      <c r="Q660" s="173" t="s">
        <v>583</v>
      </c>
      <c r="R660" s="173" t="s">
        <v>230</v>
      </c>
      <c r="S660" s="174">
        <v>44763</v>
      </c>
      <c r="T660" s="173" t="s">
        <v>33</v>
      </c>
      <c r="U660" s="182">
        <v>54.58</v>
      </c>
      <c r="V660" s="177">
        <f>IF(U660=0,0,IF(T660="MXN",1/HLOOKUP(YEAR(S660)+(MONTH(S660)/100),TC!$5:$37,DAY(S660)+2,FALSE),VLOOKUP(T660,Equivalencia!$1:$23,((MAX(Equivalencia!$3:$3)-YEAR(S660))*14)+MONTH(S660)+2,FALSE)))</f>
        <v>1</v>
      </c>
      <c r="W660" s="178">
        <f t="shared" si="109"/>
        <v>54.58</v>
      </c>
      <c r="X660" s="481">
        <f t="shared" si="105"/>
        <v>-28.748888888888899</v>
      </c>
      <c r="Y660" s="179"/>
      <c r="Z660" s="466">
        <f t="shared" si="106"/>
        <v>85.262119111111133</v>
      </c>
      <c r="AA660" s="473">
        <f t="shared" si="107"/>
        <v>-30.682119111111135</v>
      </c>
      <c r="AB660" s="339">
        <f t="shared" si="108"/>
        <v>-0.34500506693690336</v>
      </c>
    </row>
    <row r="661" spans="2:28" ht="20.100000000000001" customHeight="1">
      <c r="B661" s="172">
        <v>1427200</v>
      </c>
      <c r="C661" s="174">
        <v>44649</v>
      </c>
      <c r="D661" s="181" t="s">
        <v>265</v>
      </c>
      <c r="E661" s="173" t="s">
        <v>33</v>
      </c>
      <c r="F661" s="176">
        <v>62.49666666666667</v>
      </c>
      <c r="G661" s="175">
        <f t="shared" si="110"/>
        <v>3</v>
      </c>
      <c r="H661" s="175">
        <f t="shared" si="103"/>
        <v>62.49666666666667</v>
      </c>
      <c r="I661" s="177">
        <f>IF(G661=0,0,IF(E661="MXN",1/HLOOKUP(YEAR(C661)+(MONTH(C661)/100),TC!$5:$37,DAY(C661)+2,FALSE),VLOOKUP(E661,Equivalencia!$5:$23,((MAX(Equivalencia!$3:$3)-YEAR(C661))*14)+MONTH(C661)+2,FALSE)))</f>
        <v>1</v>
      </c>
      <c r="J661" s="178">
        <f t="shared" si="111"/>
        <v>62.49666666666667</v>
      </c>
      <c r="K661" s="462">
        <f>IF(C661=0,0,VLOOKUP(YEAR(C661),INPC!$B$4:$O$29,MONTH(C661)+1))</f>
        <v>120.15900000000001</v>
      </c>
      <c r="L661" s="462">
        <f>IF(S661=0,0,VLOOKUP(YEAR(S661),INPC!$B$4:$O$29,MONTH(S661)+1))</f>
        <v>122.94799999999999</v>
      </c>
      <c r="M661" s="463">
        <f t="shared" si="104"/>
        <v>1.0232000000000001</v>
      </c>
      <c r="N661" s="465">
        <f t="shared" si="112"/>
        <v>63.946589333333343</v>
      </c>
      <c r="O661" s="179"/>
      <c r="P661" s="180">
        <v>3</v>
      </c>
      <c r="Q661" s="173" t="s">
        <v>583</v>
      </c>
      <c r="R661" s="173" t="s">
        <v>230</v>
      </c>
      <c r="S661" s="174">
        <v>44763</v>
      </c>
      <c r="T661" s="173" t="s">
        <v>33</v>
      </c>
      <c r="U661" s="182">
        <v>40.94</v>
      </c>
      <c r="V661" s="177">
        <f>IF(U661=0,0,IF(T661="MXN",1/HLOOKUP(YEAR(S661)+(MONTH(S661)/100),TC!$5:$37,DAY(S661)+2,FALSE),VLOOKUP(T661,Equivalencia!$1:$23,((MAX(Equivalencia!$3:$3)-YEAR(S661))*14)+MONTH(S661)+2,FALSE)))</f>
        <v>1</v>
      </c>
      <c r="W661" s="178">
        <f t="shared" si="109"/>
        <v>40.94</v>
      </c>
      <c r="X661" s="481">
        <f t="shared" si="105"/>
        <v>-21.556666666666672</v>
      </c>
      <c r="Y661" s="179"/>
      <c r="Z661" s="466">
        <f t="shared" si="106"/>
        <v>63.946589333333343</v>
      </c>
      <c r="AA661" s="473">
        <f t="shared" si="107"/>
        <v>-23.006589333333345</v>
      </c>
      <c r="AB661" s="339">
        <f t="shared" si="108"/>
        <v>-0.34492506267000911</v>
      </c>
    </row>
    <row r="662" spans="2:28" ht="20.100000000000001" customHeight="1">
      <c r="B662" s="172">
        <v>1427200</v>
      </c>
      <c r="C662" s="174">
        <v>44649</v>
      </c>
      <c r="D662" s="181" t="s">
        <v>265</v>
      </c>
      <c r="E662" s="173" t="s">
        <v>33</v>
      </c>
      <c r="F662" s="176">
        <v>41.664444444444449</v>
      </c>
      <c r="G662" s="175">
        <f t="shared" si="110"/>
        <v>2</v>
      </c>
      <c r="H662" s="175">
        <f t="shared" si="103"/>
        <v>41.664444444444449</v>
      </c>
      <c r="I662" s="177">
        <f>IF(G662=0,0,IF(E662="MXN",1/HLOOKUP(YEAR(C662)+(MONTH(C662)/100),TC!$5:$37,DAY(C662)+2,FALSE),VLOOKUP(E662,Equivalencia!$5:$23,((MAX(Equivalencia!$3:$3)-YEAR(C662))*14)+MONTH(C662)+2,FALSE)))</f>
        <v>1</v>
      </c>
      <c r="J662" s="178">
        <f t="shared" si="111"/>
        <v>41.664444444444449</v>
      </c>
      <c r="K662" s="462">
        <f>IF(C662=0,0,VLOOKUP(YEAR(C662),INPC!$B$4:$O$29,MONTH(C662)+1))</f>
        <v>120.15900000000001</v>
      </c>
      <c r="L662" s="462">
        <f>IF(S662=0,0,VLOOKUP(YEAR(S662),INPC!$B$4:$O$29,MONTH(S662)+1))</f>
        <v>122.94799999999999</v>
      </c>
      <c r="M662" s="463">
        <f t="shared" si="104"/>
        <v>1.0232000000000001</v>
      </c>
      <c r="N662" s="465">
        <f t="shared" si="112"/>
        <v>42.631059555555566</v>
      </c>
      <c r="O662" s="179"/>
      <c r="P662" s="180">
        <v>2</v>
      </c>
      <c r="Q662" s="173" t="s">
        <v>583</v>
      </c>
      <c r="R662" s="173" t="s">
        <v>230</v>
      </c>
      <c r="S662" s="174">
        <v>44763</v>
      </c>
      <c r="T662" s="173" t="s">
        <v>33</v>
      </c>
      <c r="U662" s="182">
        <v>27.64</v>
      </c>
      <c r="V662" s="177">
        <f>IF(U662=0,0,IF(T662="MXN",1/HLOOKUP(YEAR(S662)+(MONTH(S662)/100),TC!$5:$37,DAY(S662)+2,FALSE),VLOOKUP(T662,Equivalencia!$1:$23,((MAX(Equivalencia!$3:$3)-YEAR(S662))*14)+MONTH(S662)+2,FALSE)))</f>
        <v>1</v>
      </c>
      <c r="W662" s="178">
        <f t="shared" si="109"/>
        <v>27.64</v>
      </c>
      <c r="X662" s="481">
        <f t="shared" si="105"/>
        <v>-14.024444444444448</v>
      </c>
      <c r="Y662" s="179"/>
      <c r="Z662" s="466">
        <f t="shared" si="106"/>
        <v>42.631059555555566</v>
      </c>
      <c r="AA662" s="473">
        <f t="shared" si="107"/>
        <v>-14.991059555555566</v>
      </c>
      <c r="AB662" s="339">
        <f t="shared" si="108"/>
        <v>-0.33660461891300875</v>
      </c>
    </row>
    <row r="663" spans="2:28" ht="20.100000000000001" customHeight="1">
      <c r="B663" s="172">
        <v>1427200</v>
      </c>
      <c r="C663" s="174">
        <v>44649</v>
      </c>
      <c r="D663" s="181" t="s">
        <v>265</v>
      </c>
      <c r="E663" s="173" t="s">
        <v>33</v>
      </c>
      <c r="F663" s="176">
        <v>20.832222222222224</v>
      </c>
      <c r="G663" s="175">
        <f t="shared" si="110"/>
        <v>1</v>
      </c>
      <c r="H663" s="175">
        <f t="shared" si="103"/>
        <v>20.832222222222224</v>
      </c>
      <c r="I663" s="177">
        <f>IF(G663=0,0,IF(E663="MXN",1/HLOOKUP(YEAR(C663)+(MONTH(C663)/100),TC!$5:$37,DAY(C663)+2,FALSE),VLOOKUP(E663,Equivalencia!$5:$23,((MAX(Equivalencia!$3:$3)-YEAR(C663))*14)+MONTH(C663)+2,FALSE)))</f>
        <v>1</v>
      </c>
      <c r="J663" s="178">
        <f t="shared" si="111"/>
        <v>20.832222222222224</v>
      </c>
      <c r="K663" s="462">
        <f>IF(C663=0,0,VLOOKUP(YEAR(C663),INPC!$B$4:$O$29,MONTH(C663)+1))</f>
        <v>120.15900000000001</v>
      </c>
      <c r="L663" s="462">
        <f>IF(S663=0,0,VLOOKUP(YEAR(S663),INPC!$B$4:$O$29,MONTH(S663)+1))</f>
        <v>122.94799999999999</v>
      </c>
      <c r="M663" s="463">
        <f t="shared" si="104"/>
        <v>1.0232000000000001</v>
      </c>
      <c r="N663" s="465">
        <f t="shared" si="112"/>
        <v>21.315529777777783</v>
      </c>
      <c r="O663" s="179"/>
      <c r="P663" s="180">
        <v>1</v>
      </c>
      <c r="Q663" s="173" t="s">
        <v>583</v>
      </c>
      <c r="R663" s="173" t="s">
        <v>230</v>
      </c>
      <c r="S663" s="174">
        <v>44763</v>
      </c>
      <c r="T663" s="173" t="s">
        <v>33</v>
      </c>
      <c r="U663" s="182">
        <v>13.82</v>
      </c>
      <c r="V663" s="177">
        <f>IF(U663=0,0,IF(T663="MXN",1/HLOOKUP(YEAR(S663)+(MONTH(S663)/100),TC!$5:$37,DAY(S663)+2,FALSE),VLOOKUP(T663,Equivalencia!$1:$23,((MAX(Equivalencia!$3:$3)-YEAR(S663))*14)+MONTH(S663)+2,FALSE)))</f>
        <v>1</v>
      </c>
      <c r="W663" s="178">
        <f t="shared" si="109"/>
        <v>13.82</v>
      </c>
      <c r="X663" s="481">
        <f t="shared" si="105"/>
        <v>-7.0122222222222241</v>
      </c>
      <c r="Y663" s="179"/>
      <c r="Z663" s="466">
        <f t="shared" si="106"/>
        <v>21.315529777777783</v>
      </c>
      <c r="AA663" s="473">
        <f t="shared" si="107"/>
        <v>-7.495529777777783</v>
      </c>
      <c r="AB663" s="339">
        <f t="shared" si="108"/>
        <v>-0.33660461891300875</v>
      </c>
    </row>
    <row r="664" spans="2:28" ht="20.100000000000001" customHeight="1">
      <c r="B664" s="172">
        <v>1427200</v>
      </c>
      <c r="C664" s="174">
        <v>44649</v>
      </c>
      <c r="D664" s="181" t="s">
        <v>265</v>
      </c>
      <c r="E664" s="173" t="s">
        <v>33</v>
      </c>
      <c r="F664" s="176">
        <v>20.83</v>
      </c>
      <c r="G664" s="175">
        <f t="shared" si="110"/>
        <v>1</v>
      </c>
      <c r="H664" s="175">
        <f t="shared" si="103"/>
        <v>20.83</v>
      </c>
      <c r="I664" s="177">
        <f>IF(G664=0,0,IF(E664="MXN",1/HLOOKUP(YEAR(C664)+(MONTH(C664)/100),TC!$5:$37,DAY(C664)+2,FALSE),VLOOKUP(E664,Equivalencia!$5:$23,((MAX(Equivalencia!$3:$3)-YEAR(C664))*14)+MONTH(C664)+2,FALSE)))</f>
        <v>1</v>
      </c>
      <c r="J664" s="178">
        <f t="shared" si="111"/>
        <v>20.83</v>
      </c>
      <c r="K664" s="462">
        <f>IF(C664=0,0,VLOOKUP(YEAR(C664),INPC!$B$4:$O$29,MONTH(C664)+1))</f>
        <v>120.15900000000001</v>
      </c>
      <c r="L664" s="462">
        <f>IF(S664=0,0,VLOOKUP(YEAR(S664),INPC!$B$4:$O$29,MONTH(S664)+1))</f>
        <v>122.94799999999999</v>
      </c>
      <c r="M664" s="463">
        <f t="shared" si="104"/>
        <v>1.0232000000000001</v>
      </c>
      <c r="N664" s="465">
        <f t="shared" si="112"/>
        <v>21.313255999999999</v>
      </c>
      <c r="O664" s="179"/>
      <c r="P664" s="180">
        <v>1</v>
      </c>
      <c r="Q664" s="173" t="s">
        <v>583</v>
      </c>
      <c r="R664" s="173" t="s">
        <v>230</v>
      </c>
      <c r="S664" s="174">
        <v>44763</v>
      </c>
      <c r="T664" s="173" t="s">
        <v>33</v>
      </c>
      <c r="U664" s="182">
        <v>13.82</v>
      </c>
      <c r="V664" s="177">
        <f>IF(U664=0,0,IF(T664="MXN",1/HLOOKUP(YEAR(S664)+(MONTH(S664)/100),TC!$5:$37,DAY(S664)+2,FALSE),VLOOKUP(T664,Equivalencia!$1:$23,((MAX(Equivalencia!$3:$3)-YEAR(S664))*14)+MONTH(S664)+2,FALSE)))</f>
        <v>1</v>
      </c>
      <c r="W664" s="178">
        <f t="shared" si="109"/>
        <v>13.82</v>
      </c>
      <c r="X664" s="481">
        <f t="shared" si="105"/>
        <v>-7.009999999999998</v>
      </c>
      <c r="Y664" s="179"/>
      <c r="Z664" s="466">
        <f t="shared" si="106"/>
        <v>21.313255999999999</v>
      </c>
      <c r="AA664" s="473">
        <f t="shared" si="107"/>
        <v>-7.4932559999999988</v>
      </c>
      <c r="AB664" s="339">
        <f t="shared" si="108"/>
        <v>-0.33653384541526632</v>
      </c>
    </row>
    <row r="665" spans="2:28" ht="20.100000000000001" customHeight="1">
      <c r="B665" s="172">
        <v>1427200</v>
      </c>
      <c r="C665" s="174">
        <v>44649</v>
      </c>
      <c r="D665" s="181" t="s">
        <v>265</v>
      </c>
      <c r="E665" s="173" t="s">
        <v>33</v>
      </c>
      <c r="F665" s="176">
        <v>21.02</v>
      </c>
      <c r="G665" s="175">
        <f t="shared" si="110"/>
        <v>1</v>
      </c>
      <c r="H665" s="175">
        <f t="shared" si="103"/>
        <v>21.02</v>
      </c>
      <c r="I665" s="177">
        <f>IF(G665=0,0,IF(E665="MXN",1/HLOOKUP(YEAR(C665)+(MONTH(C665)/100),TC!$5:$37,DAY(C665)+2,FALSE),VLOOKUP(E665,Equivalencia!$5:$23,((MAX(Equivalencia!$3:$3)-YEAR(C665))*14)+MONTH(C665)+2,FALSE)))</f>
        <v>1</v>
      </c>
      <c r="J665" s="178">
        <f t="shared" si="111"/>
        <v>21.02</v>
      </c>
      <c r="K665" s="462">
        <f>IF(C665=0,0,VLOOKUP(YEAR(C665),INPC!$B$4:$O$29,MONTH(C665)+1))</f>
        <v>120.15900000000001</v>
      </c>
      <c r="L665" s="462">
        <f>IF(S665=0,0,VLOOKUP(YEAR(S665),INPC!$B$4:$O$29,MONTH(S665)+1))</f>
        <v>122.94799999999999</v>
      </c>
      <c r="M665" s="463">
        <f t="shared" si="104"/>
        <v>1.0232000000000001</v>
      </c>
      <c r="N665" s="465">
        <f t="shared" si="112"/>
        <v>21.507664000000002</v>
      </c>
      <c r="O665" s="179"/>
      <c r="P665" s="180">
        <v>1</v>
      </c>
      <c r="Q665" s="173" t="s">
        <v>583</v>
      </c>
      <c r="R665" s="173" t="s">
        <v>230</v>
      </c>
      <c r="S665" s="174">
        <v>44763</v>
      </c>
      <c r="T665" s="173" t="s">
        <v>33</v>
      </c>
      <c r="U665" s="182">
        <v>13.7</v>
      </c>
      <c r="V665" s="177">
        <f>IF(U665=0,0,IF(T665="MXN",1/HLOOKUP(YEAR(S665)+(MONTH(S665)/100),TC!$5:$37,DAY(S665)+2,FALSE),VLOOKUP(T665,Equivalencia!$1:$23,((MAX(Equivalencia!$3:$3)-YEAR(S665))*14)+MONTH(S665)+2,FALSE)))</f>
        <v>1</v>
      </c>
      <c r="W665" s="178">
        <f t="shared" si="109"/>
        <v>13.7</v>
      </c>
      <c r="X665" s="481">
        <f t="shared" si="105"/>
        <v>-7.32</v>
      </c>
      <c r="Y665" s="179"/>
      <c r="Z665" s="466">
        <f t="shared" si="106"/>
        <v>21.507664000000002</v>
      </c>
      <c r="AA665" s="473">
        <f t="shared" si="107"/>
        <v>-7.8076640000000026</v>
      </c>
      <c r="AB665" s="339">
        <f t="shared" si="108"/>
        <v>-0.34823977164605135</v>
      </c>
    </row>
    <row r="666" spans="2:28" ht="20.100000000000001" customHeight="1">
      <c r="B666" s="172">
        <v>1427200</v>
      </c>
      <c r="C666" s="174">
        <v>44649</v>
      </c>
      <c r="D666" s="181" t="s">
        <v>265</v>
      </c>
      <c r="E666" s="173" t="s">
        <v>33</v>
      </c>
      <c r="F666" s="176">
        <v>20.95</v>
      </c>
      <c r="G666" s="175">
        <f t="shared" si="110"/>
        <v>1</v>
      </c>
      <c r="H666" s="175">
        <f t="shared" si="103"/>
        <v>20.95</v>
      </c>
      <c r="I666" s="177">
        <f>IF(G666=0,0,IF(E666="MXN",1/HLOOKUP(YEAR(C666)+(MONTH(C666)/100),TC!$5:$37,DAY(C666)+2,FALSE),VLOOKUP(E666,Equivalencia!$5:$23,((MAX(Equivalencia!$3:$3)-YEAR(C666))*14)+MONTH(C666)+2,FALSE)))</f>
        <v>1</v>
      </c>
      <c r="J666" s="178">
        <f t="shared" si="111"/>
        <v>20.95</v>
      </c>
      <c r="K666" s="462">
        <f>IF(C666=0,0,VLOOKUP(YEAR(C666),INPC!$B$4:$O$29,MONTH(C666)+1))</f>
        <v>120.15900000000001</v>
      </c>
      <c r="L666" s="462">
        <f>IF(S666=0,0,VLOOKUP(YEAR(S666),INPC!$B$4:$O$29,MONTH(S666)+1))</f>
        <v>122.94799999999999</v>
      </c>
      <c r="M666" s="463">
        <f t="shared" si="104"/>
        <v>1.0232000000000001</v>
      </c>
      <c r="N666" s="465">
        <f t="shared" si="112"/>
        <v>21.436040000000002</v>
      </c>
      <c r="O666" s="179"/>
      <c r="P666" s="180">
        <v>1</v>
      </c>
      <c r="Q666" s="173" t="s">
        <v>583</v>
      </c>
      <c r="R666" s="173" t="s">
        <v>230</v>
      </c>
      <c r="S666" s="174">
        <v>44763</v>
      </c>
      <c r="T666" s="173" t="s">
        <v>33</v>
      </c>
      <c r="U666" s="182">
        <v>13.695625</v>
      </c>
      <c r="V666" s="177">
        <f>IF(U666=0,0,IF(T666="MXN",1/HLOOKUP(YEAR(S666)+(MONTH(S666)/100),TC!$5:$37,DAY(S666)+2,FALSE),VLOOKUP(T666,Equivalencia!$1:$23,((MAX(Equivalencia!$3:$3)-YEAR(S666))*14)+MONTH(S666)+2,FALSE)))</f>
        <v>1</v>
      </c>
      <c r="W666" s="178">
        <f t="shared" si="109"/>
        <v>13.695625</v>
      </c>
      <c r="X666" s="481">
        <f t="shared" si="105"/>
        <v>-7.2543749999999996</v>
      </c>
      <c r="Y666" s="179"/>
      <c r="Z666" s="466">
        <f t="shared" si="106"/>
        <v>21.436040000000002</v>
      </c>
      <c r="AA666" s="473">
        <f t="shared" si="107"/>
        <v>-7.7404150000000023</v>
      </c>
      <c r="AB666" s="339">
        <f t="shared" si="108"/>
        <v>-0.34627088305489262</v>
      </c>
    </row>
    <row r="667" spans="2:28" ht="20.100000000000001" customHeight="1">
      <c r="B667" s="172">
        <v>1427200</v>
      </c>
      <c r="C667" s="174">
        <v>44649</v>
      </c>
      <c r="D667" s="181" t="s">
        <v>265</v>
      </c>
      <c r="E667" s="173" t="s">
        <v>33</v>
      </c>
      <c r="F667" s="176">
        <v>20.75</v>
      </c>
      <c r="G667" s="175">
        <f t="shared" si="110"/>
        <v>1</v>
      </c>
      <c r="H667" s="175">
        <f t="shared" si="103"/>
        <v>20.75</v>
      </c>
      <c r="I667" s="177">
        <f>IF(G667=0,0,IF(E667="MXN",1/HLOOKUP(YEAR(C667)+(MONTH(C667)/100),TC!$5:$37,DAY(C667)+2,FALSE),VLOOKUP(E667,Equivalencia!$5:$23,((MAX(Equivalencia!$3:$3)-YEAR(C667))*14)+MONTH(C667)+2,FALSE)))</f>
        <v>1</v>
      </c>
      <c r="J667" s="178">
        <f t="shared" si="111"/>
        <v>20.75</v>
      </c>
      <c r="K667" s="462">
        <f>IF(C667=0,0,VLOOKUP(YEAR(C667),INPC!$B$4:$O$29,MONTH(C667)+1))</f>
        <v>120.15900000000001</v>
      </c>
      <c r="L667" s="462">
        <f>IF(S667=0,0,VLOOKUP(YEAR(S667),INPC!$B$4:$O$29,MONTH(S667)+1))</f>
        <v>122.94799999999999</v>
      </c>
      <c r="M667" s="463">
        <f t="shared" si="104"/>
        <v>1.0232000000000001</v>
      </c>
      <c r="N667" s="465">
        <f t="shared" si="112"/>
        <v>21.231400000000001</v>
      </c>
      <c r="O667" s="179"/>
      <c r="P667" s="180">
        <v>1</v>
      </c>
      <c r="Q667" s="173" t="s">
        <v>583</v>
      </c>
      <c r="R667" s="173" t="s">
        <v>230</v>
      </c>
      <c r="S667" s="174">
        <v>44763</v>
      </c>
      <c r="T667" s="173" t="s">
        <v>33</v>
      </c>
      <c r="U667" s="182">
        <v>13.695625</v>
      </c>
      <c r="V667" s="177">
        <f>IF(U667=0,0,IF(T667="MXN",1/HLOOKUP(YEAR(S667)+(MONTH(S667)/100),TC!$5:$37,DAY(S667)+2,FALSE),VLOOKUP(T667,Equivalencia!$1:$23,((MAX(Equivalencia!$3:$3)-YEAR(S667))*14)+MONTH(S667)+2,FALSE)))</f>
        <v>1</v>
      </c>
      <c r="W667" s="178">
        <f t="shared" si="109"/>
        <v>13.695625</v>
      </c>
      <c r="X667" s="481">
        <f t="shared" si="105"/>
        <v>-7.0543750000000003</v>
      </c>
      <c r="Y667" s="179"/>
      <c r="Z667" s="466">
        <f t="shared" si="106"/>
        <v>21.231400000000001</v>
      </c>
      <c r="AA667" s="473">
        <f t="shared" si="107"/>
        <v>-7.535775000000001</v>
      </c>
      <c r="AB667" s="339">
        <f t="shared" si="108"/>
        <v>-0.33996987951807234</v>
      </c>
    </row>
    <row r="668" spans="2:28" ht="20.100000000000001" customHeight="1">
      <c r="B668" s="172">
        <v>1427200</v>
      </c>
      <c r="C668" s="174">
        <v>44650</v>
      </c>
      <c r="D668" s="181" t="s">
        <v>265</v>
      </c>
      <c r="E668" s="173" t="s">
        <v>33</v>
      </c>
      <c r="F668" s="176">
        <v>83.03</v>
      </c>
      <c r="G668" s="175">
        <f t="shared" si="110"/>
        <v>4</v>
      </c>
      <c r="H668" s="175">
        <f t="shared" si="103"/>
        <v>83.03</v>
      </c>
      <c r="I668" s="177">
        <f>IF(G668=0,0,IF(E668="MXN",1/HLOOKUP(YEAR(C668)+(MONTH(C668)/100),TC!$5:$37,DAY(C668)+2,FALSE),VLOOKUP(E668,Equivalencia!$5:$23,((MAX(Equivalencia!$3:$3)-YEAR(C668))*14)+MONTH(C668)+2,FALSE)))</f>
        <v>1</v>
      </c>
      <c r="J668" s="178">
        <f t="shared" si="111"/>
        <v>83.03</v>
      </c>
      <c r="K668" s="462">
        <f>IF(C668=0,0,VLOOKUP(YEAR(C668),INPC!$B$4:$O$29,MONTH(C668)+1))</f>
        <v>120.15900000000001</v>
      </c>
      <c r="L668" s="462">
        <f>IF(S668=0,0,VLOOKUP(YEAR(S668),INPC!$B$4:$O$29,MONTH(S668)+1))</f>
        <v>122.94799999999999</v>
      </c>
      <c r="M668" s="463">
        <f t="shared" si="104"/>
        <v>1.0232000000000001</v>
      </c>
      <c r="N668" s="465">
        <f t="shared" si="112"/>
        <v>84.956296000000009</v>
      </c>
      <c r="O668" s="179"/>
      <c r="P668" s="180">
        <v>4</v>
      </c>
      <c r="Q668" s="173" t="s">
        <v>583</v>
      </c>
      <c r="R668" s="173" t="s">
        <v>230</v>
      </c>
      <c r="S668" s="174">
        <v>44763</v>
      </c>
      <c r="T668" s="173" t="s">
        <v>33</v>
      </c>
      <c r="U668" s="182">
        <v>54.782499999999999</v>
      </c>
      <c r="V668" s="177">
        <f>IF(U668=0,0,IF(T668="MXN",1/HLOOKUP(YEAR(S668)+(MONTH(S668)/100),TC!$5:$37,DAY(S668)+2,FALSE),VLOOKUP(T668,Equivalencia!$1:$23,((MAX(Equivalencia!$3:$3)-YEAR(S668))*14)+MONTH(S668)+2,FALSE)))</f>
        <v>1</v>
      </c>
      <c r="W668" s="178">
        <f t="shared" si="109"/>
        <v>54.782499999999999</v>
      </c>
      <c r="X668" s="481">
        <f t="shared" si="105"/>
        <v>-28.247500000000002</v>
      </c>
      <c r="Y668" s="179"/>
      <c r="Z668" s="466">
        <f t="shared" si="106"/>
        <v>84.956296000000009</v>
      </c>
      <c r="AA668" s="473">
        <f t="shared" si="107"/>
        <v>-30.17379600000001</v>
      </c>
      <c r="AB668" s="339">
        <f t="shared" si="108"/>
        <v>-0.34020835842466579</v>
      </c>
    </row>
    <row r="669" spans="2:28" ht="20.100000000000001" customHeight="1">
      <c r="B669" s="172">
        <v>1427200</v>
      </c>
      <c r="C669" s="174">
        <v>44650</v>
      </c>
      <c r="D669" s="181" t="s">
        <v>265</v>
      </c>
      <c r="E669" s="173" t="s">
        <v>33</v>
      </c>
      <c r="F669" s="176">
        <v>100.93</v>
      </c>
      <c r="G669" s="175">
        <f t="shared" si="110"/>
        <v>5</v>
      </c>
      <c r="H669" s="175">
        <f t="shared" si="103"/>
        <v>100.93</v>
      </c>
      <c r="I669" s="177">
        <f>IF(G669=0,0,IF(E669="MXN",1/HLOOKUP(YEAR(C669)+(MONTH(C669)/100),TC!$5:$37,DAY(C669)+2,FALSE),VLOOKUP(E669,Equivalencia!$5:$23,((MAX(Equivalencia!$3:$3)-YEAR(C669))*14)+MONTH(C669)+2,FALSE)))</f>
        <v>1</v>
      </c>
      <c r="J669" s="178">
        <f t="shared" si="111"/>
        <v>100.93</v>
      </c>
      <c r="K669" s="462">
        <f>IF(C669=0,0,VLOOKUP(YEAR(C669),INPC!$B$4:$O$29,MONTH(C669)+1))</f>
        <v>120.15900000000001</v>
      </c>
      <c r="L669" s="462">
        <f>IF(S669=0,0,VLOOKUP(YEAR(S669),INPC!$B$4:$O$29,MONTH(S669)+1))</f>
        <v>122.94799999999999</v>
      </c>
      <c r="M669" s="463">
        <f t="shared" si="104"/>
        <v>1.0232000000000001</v>
      </c>
      <c r="N669" s="465">
        <f t="shared" si="112"/>
        <v>103.27157600000002</v>
      </c>
      <c r="O669" s="179"/>
      <c r="P669" s="180">
        <v>5</v>
      </c>
      <c r="Q669" s="173" t="s">
        <v>583</v>
      </c>
      <c r="R669" s="173" t="s">
        <v>230</v>
      </c>
      <c r="S669" s="174">
        <v>44763</v>
      </c>
      <c r="T669" s="173" t="s">
        <v>33</v>
      </c>
      <c r="U669" s="182">
        <v>68.478125000000006</v>
      </c>
      <c r="V669" s="177">
        <f>IF(U669=0,0,IF(T669="MXN",1/HLOOKUP(YEAR(S669)+(MONTH(S669)/100),TC!$5:$37,DAY(S669)+2,FALSE),VLOOKUP(T669,Equivalencia!$1:$23,((MAX(Equivalencia!$3:$3)-YEAR(S669))*14)+MONTH(S669)+2,FALSE)))</f>
        <v>1</v>
      </c>
      <c r="W669" s="178">
        <f t="shared" si="109"/>
        <v>68.478125000000006</v>
      </c>
      <c r="X669" s="481">
        <f t="shared" si="105"/>
        <v>-32.451875000000001</v>
      </c>
      <c r="Y669" s="179"/>
      <c r="Z669" s="466">
        <f t="shared" si="106"/>
        <v>103.27157600000002</v>
      </c>
      <c r="AA669" s="473">
        <f t="shared" si="107"/>
        <v>-34.793451000000019</v>
      </c>
      <c r="AB669" s="339">
        <f t="shared" si="108"/>
        <v>-0.32152853462795994</v>
      </c>
    </row>
    <row r="670" spans="2:28" ht="20.100000000000001" customHeight="1">
      <c r="B670" s="172">
        <v>1427200</v>
      </c>
      <c r="C670" s="174">
        <v>44650</v>
      </c>
      <c r="D670" s="181" t="s">
        <v>265</v>
      </c>
      <c r="E670" s="173" t="s">
        <v>33</v>
      </c>
      <c r="F670" s="176">
        <v>101.98593750000001</v>
      </c>
      <c r="G670" s="175">
        <f t="shared" si="110"/>
        <v>5</v>
      </c>
      <c r="H670" s="175">
        <f t="shared" si="103"/>
        <v>101.98593750000001</v>
      </c>
      <c r="I670" s="177">
        <f>IF(G670=0,0,IF(E670="MXN",1/HLOOKUP(YEAR(C670)+(MONTH(C670)/100),TC!$5:$37,DAY(C670)+2,FALSE),VLOOKUP(E670,Equivalencia!$5:$23,((MAX(Equivalencia!$3:$3)-YEAR(C670))*14)+MONTH(C670)+2,FALSE)))</f>
        <v>1</v>
      </c>
      <c r="J670" s="178">
        <f t="shared" si="111"/>
        <v>101.98593750000001</v>
      </c>
      <c r="K670" s="462">
        <f>IF(C670=0,0,VLOOKUP(YEAR(C670),INPC!$B$4:$O$29,MONTH(C670)+1))</f>
        <v>120.15900000000001</v>
      </c>
      <c r="L670" s="462">
        <f>IF(S670=0,0,VLOOKUP(YEAR(S670),INPC!$B$4:$O$29,MONTH(S670)+1))</f>
        <v>122.94799999999999</v>
      </c>
      <c r="M670" s="463">
        <f t="shared" si="104"/>
        <v>1.0232000000000001</v>
      </c>
      <c r="N670" s="465">
        <f t="shared" si="112"/>
        <v>104.35201125000002</v>
      </c>
      <c r="O670" s="179"/>
      <c r="P670" s="180">
        <v>5</v>
      </c>
      <c r="Q670" s="173" t="s">
        <v>583</v>
      </c>
      <c r="R670" s="173" t="s">
        <v>230</v>
      </c>
      <c r="S670" s="174">
        <v>44763</v>
      </c>
      <c r="T670" s="173" t="s">
        <v>33</v>
      </c>
      <c r="U670" s="182">
        <v>68.478125000000006</v>
      </c>
      <c r="V670" s="177">
        <f>IF(U670=0,0,IF(T670="MXN",1/HLOOKUP(YEAR(S670)+(MONTH(S670)/100),TC!$5:$37,DAY(S670)+2,FALSE),VLOOKUP(T670,Equivalencia!$1:$23,((MAX(Equivalencia!$3:$3)-YEAR(S670))*14)+MONTH(S670)+2,FALSE)))</f>
        <v>1</v>
      </c>
      <c r="W670" s="178">
        <f t="shared" si="109"/>
        <v>68.478125000000006</v>
      </c>
      <c r="X670" s="481">
        <f t="shared" si="105"/>
        <v>-33.5078125</v>
      </c>
      <c r="Y670" s="179"/>
      <c r="Z670" s="466">
        <f t="shared" si="106"/>
        <v>104.35201125000002</v>
      </c>
      <c r="AA670" s="473">
        <f t="shared" si="107"/>
        <v>-35.873886250000012</v>
      </c>
      <c r="AB670" s="339">
        <f t="shared" si="108"/>
        <v>-0.32855326255151596</v>
      </c>
    </row>
    <row r="671" spans="2:28" ht="20.100000000000001" customHeight="1">
      <c r="B671" s="172">
        <v>1427200</v>
      </c>
      <c r="C671" s="174">
        <v>44650</v>
      </c>
      <c r="D671" s="181" t="s">
        <v>265</v>
      </c>
      <c r="E671" s="173" t="s">
        <v>33</v>
      </c>
      <c r="F671" s="176">
        <v>244.76625000000001</v>
      </c>
      <c r="G671" s="175">
        <f t="shared" si="110"/>
        <v>12</v>
      </c>
      <c r="H671" s="175">
        <f t="shared" si="103"/>
        <v>244.76625000000001</v>
      </c>
      <c r="I671" s="177">
        <f>IF(G671=0,0,IF(E671="MXN",1/HLOOKUP(YEAR(C671)+(MONTH(C671)/100),TC!$5:$37,DAY(C671)+2,FALSE),VLOOKUP(E671,Equivalencia!$5:$23,((MAX(Equivalencia!$3:$3)-YEAR(C671))*14)+MONTH(C671)+2,FALSE)))</f>
        <v>1</v>
      </c>
      <c r="J671" s="178">
        <f t="shared" si="111"/>
        <v>244.76625000000001</v>
      </c>
      <c r="K671" s="462">
        <f>IF(C671=0,0,VLOOKUP(YEAR(C671),INPC!$B$4:$O$29,MONTH(C671)+1))</f>
        <v>120.15900000000001</v>
      </c>
      <c r="L671" s="462">
        <f>IF(S671=0,0,VLOOKUP(YEAR(S671),INPC!$B$4:$O$29,MONTH(S671)+1))</f>
        <v>122.94799999999999</v>
      </c>
      <c r="M671" s="463">
        <f t="shared" si="104"/>
        <v>1.0232000000000001</v>
      </c>
      <c r="N671" s="465">
        <f t="shared" si="112"/>
        <v>250.44482700000003</v>
      </c>
      <c r="O671" s="179"/>
      <c r="P671" s="180">
        <v>12</v>
      </c>
      <c r="Q671" s="173" t="s">
        <v>583</v>
      </c>
      <c r="R671" s="173" t="s">
        <v>230</v>
      </c>
      <c r="S671" s="174">
        <v>44763</v>
      </c>
      <c r="T671" s="173" t="s">
        <v>33</v>
      </c>
      <c r="U671" s="182">
        <v>164.36</v>
      </c>
      <c r="V671" s="177">
        <f>IF(U671=0,0,IF(T671="MXN",1/HLOOKUP(YEAR(S671)+(MONTH(S671)/100),TC!$5:$37,DAY(S671)+2,FALSE),VLOOKUP(T671,Equivalencia!$1:$23,((MAX(Equivalencia!$3:$3)-YEAR(S671))*14)+MONTH(S671)+2,FALSE)))</f>
        <v>1</v>
      </c>
      <c r="W671" s="178">
        <f t="shared" si="109"/>
        <v>164.36</v>
      </c>
      <c r="X671" s="481">
        <f t="shared" si="105"/>
        <v>-80.40625</v>
      </c>
      <c r="Y671" s="179"/>
      <c r="Z671" s="466">
        <f t="shared" si="106"/>
        <v>250.44482700000003</v>
      </c>
      <c r="AA671" s="473">
        <f t="shared" si="107"/>
        <v>-86.084827000000018</v>
      </c>
      <c r="AB671" s="339">
        <f t="shared" si="108"/>
        <v>-0.32850219341923159</v>
      </c>
    </row>
    <row r="672" spans="2:28" ht="20.100000000000001" customHeight="1">
      <c r="B672" s="172">
        <v>1427200</v>
      </c>
      <c r="C672" s="174">
        <v>44650</v>
      </c>
      <c r="D672" s="181" t="s">
        <v>265</v>
      </c>
      <c r="E672" s="173" t="s">
        <v>33</v>
      </c>
      <c r="F672" s="176">
        <v>20.397187500000001</v>
      </c>
      <c r="G672" s="175">
        <f t="shared" si="110"/>
        <v>1</v>
      </c>
      <c r="H672" s="175">
        <f t="shared" si="103"/>
        <v>20.397187500000001</v>
      </c>
      <c r="I672" s="177">
        <f>IF(G672=0,0,IF(E672="MXN",1/HLOOKUP(YEAR(C672)+(MONTH(C672)/100),TC!$5:$37,DAY(C672)+2,FALSE),VLOOKUP(E672,Equivalencia!$5:$23,((MAX(Equivalencia!$3:$3)-YEAR(C672))*14)+MONTH(C672)+2,FALSE)))</f>
        <v>1</v>
      </c>
      <c r="J672" s="178">
        <f t="shared" si="111"/>
        <v>20.397187500000001</v>
      </c>
      <c r="K672" s="462">
        <f>IF(C672=0,0,VLOOKUP(YEAR(C672),INPC!$B$4:$O$29,MONTH(C672)+1))</f>
        <v>120.15900000000001</v>
      </c>
      <c r="L672" s="462">
        <f>IF(S672=0,0,VLOOKUP(YEAR(S672),INPC!$B$4:$O$29,MONTH(S672)+1))</f>
        <v>122.94799999999999</v>
      </c>
      <c r="M672" s="463">
        <f t="shared" si="104"/>
        <v>1.0232000000000001</v>
      </c>
      <c r="N672" s="465">
        <f t="shared" si="112"/>
        <v>20.870402250000005</v>
      </c>
      <c r="O672" s="179"/>
      <c r="P672" s="180">
        <v>1</v>
      </c>
      <c r="Q672" s="173" t="s">
        <v>583</v>
      </c>
      <c r="R672" s="173" t="s">
        <v>230</v>
      </c>
      <c r="S672" s="174">
        <v>44763</v>
      </c>
      <c r="T672" s="173" t="s">
        <v>33</v>
      </c>
      <c r="U672" s="182">
        <v>13.87</v>
      </c>
      <c r="V672" s="177">
        <f>IF(U672=0,0,IF(T672="MXN",1/HLOOKUP(YEAR(S672)+(MONTH(S672)/100),TC!$5:$37,DAY(S672)+2,FALSE),VLOOKUP(T672,Equivalencia!$1:$23,((MAX(Equivalencia!$3:$3)-YEAR(S672))*14)+MONTH(S672)+2,FALSE)))</f>
        <v>1</v>
      </c>
      <c r="W672" s="178">
        <f t="shared" si="109"/>
        <v>13.87</v>
      </c>
      <c r="X672" s="481">
        <f t="shared" si="105"/>
        <v>-6.5271875000000019</v>
      </c>
      <c r="Y672" s="179"/>
      <c r="Z672" s="466">
        <f t="shared" si="106"/>
        <v>20.870402250000005</v>
      </c>
      <c r="AA672" s="473">
        <f t="shared" si="107"/>
        <v>-7.0004022500000058</v>
      </c>
      <c r="AB672" s="339">
        <f t="shared" si="108"/>
        <v>-0.32000428980711193</v>
      </c>
    </row>
    <row r="673" spans="2:28" ht="20.100000000000001" customHeight="1">
      <c r="B673" s="172">
        <v>1427200</v>
      </c>
      <c r="C673" s="174">
        <v>44650</v>
      </c>
      <c r="D673" s="181" t="s">
        <v>265</v>
      </c>
      <c r="E673" s="173" t="s">
        <v>33</v>
      </c>
      <c r="F673" s="176">
        <v>101.98593750000001</v>
      </c>
      <c r="G673" s="175">
        <f t="shared" si="110"/>
        <v>5</v>
      </c>
      <c r="H673" s="175">
        <f t="shared" si="103"/>
        <v>101.98593750000001</v>
      </c>
      <c r="I673" s="177">
        <f>IF(G673=0,0,IF(E673="MXN",1/HLOOKUP(YEAR(C673)+(MONTH(C673)/100),TC!$5:$37,DAY(C673)+2,FALSE),VLOOKUP(E673,Equivalencia!$5:$23,((MAX(Equivalencia!$3:$3)-YEAR(C673))*14)+MONTH(C673)+2,FALSE)))</f>
        <v>1</v>
      </c>
      <c r="J673" s="178">
        <f t="shared" si="111"/>
        <v>101.98593750000001</v>
      </c>
      <c r="K673" s="462">
        <f>IF(C673=0,0,VLOOKUP(YEAR(C673),INPC!$B$4:$O$29,MONTH(C673)+1))</f>
        <v>120.15900000000001</v>
      </c>
      <c r="L673" s="462">
        <f>IF(S673=0,0,VLOOKUP(YEAR(S673),INPC!$B$4:$O$29,MONTH(S673)+1))</f>
        <v>122.94799999999999</v>
      </c>
      <c r="M673" s="463">
        <f t="shared" si="104"/>
        <v>1.0232000000000001</v>
      </c>
      <c r="N673" s="465">
        <f t="shared" si="112"/>
        <v>104.35201125000002</v>
      </c>
      <c r="O673" s="179"/>
      <c r="P673" s="180">
        <v>5</v>
      </c>
      <c r="Q673" s="173" t="s">
        <v>583</v>
      </c>
      <c r="R673" s="173" t="s">
        <v>230</v>
      </c>
      <c r="S673" s="174">
        <v>44763</v>
      </c>
      <c r="T673" s="173" t="s">
        <v>33</v>
      </c>
      <c r="U673" s="182">
        <v>69.37</v>
      </c>
      <c r="V673" s="177">
        <f>IF(U673=0,0,IF(T673="MXN",1/HLOOKUP(YEAR(S673)+(MONTH(S673)/100),TC!$5:$37,DAY(S673)+2,FALSE),VLOOKUP(T673,Equivalencia!$1:$23,((MAX(Equivalencia!$3:$3)-YEAR(S673))*14)+MONTH(S673)+2,FALSE)))</f>
        <v>1</v>
      </c>
      <c r="W673" s="178">
        <f t="shared" si="109"/>
        <v>69.37</v>
      </c>
      <c r="X673" s="481">
        <f t="shared" si="105"/>
        <v>-32.615937500000001</v>
      </c>
      <c r="Y673" s="179"/>
      <c r="Z673" s="466">
        <f t="shared" si="106"/>
        <v>104.35201125000002</v>
      </c>
      <c r="AA673" s="473">
        <f t="shared" si="107"/>
        <v>-34.982011250000014</v>
      </c>
      <c r="AB673" s="339">
        <f t="shared" si="108"/>
        <v>-0.31980818433913993</v>
      </c>
    </row>
    <row r="674" spans="2:28" ht="20.100000000000001" customHeight="1">
      <c r="B674" s="172">
        <v>1427200</v>
      </c>
      <c r="C674" s="174">
        <v>44650</v>
      </c>
      <c r="D674" s="181" t="s">
        <v>265</v>
      </c>
      <c r="E674" s="173" t="s">
        <v>33</v>
      </c>
      <c r="F674" s="176">
        <v>122.38312500000001</v>
      </c>
      <c r="G674" s="175">
        <f t="shared" si="110"/>
        <v>6</v>
      </c>
      <c r="H674" s="175">
        <f t="shared" si="103"/>
        <v>122.38312500000001</v>
      </c>
      <c r="I674" s="177">
        <f>IF(G674=0,0,IF(E674="MXN",1/HLOOKUP(YEAR(C674)+(MONTH(C674)/100),TC!$5:$37,DAY(C674)+2,FALSE),VLOOKUP(E674,Equivalencia!$5:$23,((MAX(Equivalencia!$3:$3)-YEAR(C674))*14)+MONTH(C674)+2,FALSE)))</f>
        <v>1</v>
      </c>
      <c r="J674" s="178">
        <f t="shared" si="111"/>
        <v>122.38312500000001</v>
      </c>
      <c r="K674" s="462">
        <f>IF(C674=0,0,VLOOKUP(YEAR(C674),INPC!$B$4:$O$29,MONTH(C674)+1))</f>
        <v>120.15900000000001</v>
      </c>
      <c r="L674" s="462">
        <f>IF(S674=0,0,VLOOKUP(YEAR(S674),INPC!$B$4:$O$29,MONTH(S674)+1))</f>
        <v>122.94799999999999</v>
      </c>
      <c r="M674" s="463">
        <f t="shared" si="104"/>
        <v>1.0232000000000001</v>
      </c>
      <c r="N674" s="465">
        <f t="shared" si="112"/>
        <v>125.22241350000002</v>
      </c>
      <c r="O674" s="179"/>
      <c r="P674" s="180">
        <v>6</v>
      </c>
      <c r="Q674" s="173" t="s">
        <v>583</v>
      </c>
      <c r="R674" s="173" t="s">
        <v>230</v>
      </c>
      <c r="S674" s="174">
        <v>44763</v>
      </c>
      <c r="T674" s="173" t="s">
        <v>33</v>
      </c>
      <c r="U674" s="182">
        <v>83.25</v>
      </c>
      <c r="V674" s="177">
        <f>IF(U674=0,0,IF(T674="MXN",1/HLOOKUP(YEAR(S674)+(MONTH(S674)/100),TC!$5:$37,DAY(S674)+2,FALSE),VLOOKUP(T674,Equivalencia!$1:$23,((MAX(Equivalencia!$3:$3)-YEAR(S674))*14)+MONTH(S674)+2,FALSE)))</f>
        <v>1</v>
      </c>
      <c r="W674" s="178">
        <f t="shared" si="109"/>
        <v>83.25</v>
      </c>
      <c r="X674" s="481">
        <f t="shared" si="105"/>
        <v>-39.133125000000007</v>
      </c>
      <c r="Y674" s="179"/>
      <c r="Z674" s="466">
        <f t="shared" si="106"/>
        <v>125.22241350000002</v>
      </c>
      <c r="AA674" s="473">
        <f t="shared" si="107"/>
        <v>-41.972413500000016</v>
      </c>
      <c r="AB674" s="339">
        <f t="shared" si="108"/>
        <v>-0.31975915797214693</v>
      </c>
    </row>
    <row r="675" spans="2:28" ht="20.100000000000001" customHeight="1">
      <c r="B675" s="172">
        <v>1427200</v>
      </c>
      <c r="C675" s="174">
        <v>44650</v>
      </c>
      <c r="D675" s="181" t="s">
        <v>265</v>
      </c>
      <c r="E675" s="173" t="s">
        <v>33</v>
      </c>
      <c r="F675" s="176">
        <v>40.794375000000002</v>
      </c>
      <c r="G675" s="175">
        <f t="shared" si="110"/>
        <v>2</v>
      </c>
      <c r="H675" s="175">
        <f t="shared" si="103"/>
        <v>40.794375000000002</v>
      </c>
      <c r="I675" s="177">
        <f>IF(G675=0,0,IF(E675="MXN",1/HLOOKUP(YEAR(C675)+(MONTH(C675)/100),TC!$5:$37,DAY(C675)+2,FALSE),VLOOKUP(E675,Equivalencia!$5:$23,((MAX(Equivalencia!$3:$3)-YEAR(C675))*14)+MONTH(C675)+2,FALSE)))</f>
        <v>1</v>
      </c>
      <c r="J675" s="178">
        <f t="shared" si="111"/>
        <v>40.794375000000002</v>
      </c>
      <c r="K675" s="462">
        <f>IF(C675=0,0,VLOOKUP(YEAR(C675),INPC!$B$4:$O$29,MONTH(C675)+1))</f>
        <v>120.15900000000001</v>
      </c>
      <c r="L675" s="462">
        <f>IF(S675=0,0,VLOOKUP(YEAR(S675),INPC!$B$4:$O$29,MONTH(S675)+1))</f>
        <v>122.94799999999999</v>
      </c>
      <c r="M675" s="463">
        <f t="shared" si="104"/>
        <v>1.0232000000000001</v>
      </c>
      <c r="N675" s="465">
        <f t="shared" si="112"/>
        <v>41.74080450000001</v>
      </c>
      <c r="O675" s="179"/>
      <c r="P675" s="180">
        <v>2</v>
      </c>
      <c r="Q675" s="173" t="s">
        <v>583</v>
      </c>
      <c r="R675" s="173" t="s">
        <v>230</v>
      </c>
      <c r="S675" s="174">
        <v>44764</v>
      </c>
      <c r="T675" s="173" t="s">
        <v>33</v>
      </c>
      <c r="U675" s="182">
        <v>26.14</v>
      </c>
      <c r="V675" s="177">
        <f>IF(U675=0,0,IF(T675="MXN",1/HLOOKUP(YEAR(S675)+(MONTH(S675)/100),TC!$5:$37,DAY(S675)+2,FALSE),VLOOKUP(T675,Equivalencia!$1:$23,((MAX(Equivalencia!$3:$3)-YEAR(S675))*14)+MONTH(S675)+2,FALSE)))</f>
        <v>1</v>
      </c>
      <c r="W675" s="178">
        <f t="shared" si="109"/>
        <v>26.14</v>
      </c>
      <c r="X675" s="481">
        <f t="shared" si="105"/>
        <v>-14.654375000000002</v>
      </c>
      <c r="Y675" s="179"/>
      <c r="Z675" s="466">
        <f t="shared" si="106"/>
        <v>41.74080450000001</v>
      </c>
      <c r="AA675" s="473">
        <f t="shared" si="107"/>
        <v>-15.60080450000001</v>
      </c>
      <c r="AB675" s="339">
        <f t="shared" si="108"/>
        <v>-0.35922538340151067</v>
      </c>
    </row>
    <row r="676" spans="2:28" ht="20.100000000000001" customHeight="1">
      <c r="B676" s="172">
        <v>1427200</v>
      </c>
      <c r="C676" s="174">
        <v>44650</v>
      </c>
      <c r="D676" s="181" t="s">
        <v>265</v>
      </c>
      <c r="E676" s="173" t="s">
        <v>33</v>
      </c>
      <c r="F676" s="176">
        <v>20.397187500000001</v>
      </c>
      <c r="G676" s="175">
        <f t="shared" si="110"/>
        <v>1</v>
      </c>
      <c r="H676" s="175">
        <f t="shared" si="103"/>
        <v>20.397187500000001</v>
      </c>
      <c r="I676" s="177">
        <f>IF(G676=0,0,IF(E676="MXN",1/HLOOKUP(YEAR(C676)+(MONTH(C676)/100),TC!$5:$37,DAY(C676)+2,FALSE),VLOOKUP(E676,Equivalencia!$5:$23,((MAX(Equivalencia!$3:$3)-YEAR(C676))*14)+MONTH(C676)+2,FALSE)))</f>
        <v>1</v>
      </c>
      <c r="J676" s="178">
        <f t="shared" si="111"/>
        <v>20.397187500000001</v>
      </c>
      <c r="K676" s="462">
        <f>IF(C676=0,0,VLOOKUP(YEAR(C676),INPC!$B$4:$O$29,MONTH(C676)+1))</f>
        <v>120.15900000000001</v>
      </c>
      <c r="L676" s="462">
        <f>IF(S676=0,0,VLOOKUP(YEAR(S676),INPC!$B$4:$O$29,MONTH(S676)+1))</f>
        <v>122.94799999999999</v>
      </c>
      <c r="M676" s="463">
        <f t="shared" si="104"/>
        <v>1.0232000000000001</v>
      </c>
      <c r="N676" s="465">
        <f t="shared" si="112"/>
        <v>20.870402250000005</v>
      </c>
      <c r="O676" s="179"/>
      <c r="P676" s="180">
        <v>1</v>
      </c>
      <c r="Q676" s="173" t="s">
        <v>583</v>
      </c>
      <c r="R676" s="173" t="s">
        <v>230</v>
      </c>
      <c r="S676" s="174">
        <v>44764</v>
      </c>
      <c r="T676" s="173" t="s">
        <v>33</v>
      </c>
      <c r="U676" s="182">
        <v>13.07</v>
      </c>
      <c r="V676" s="177">
        <f>IF(U676=0,0,IF(T676="MXN",1/HLOOKUP(YEAR(S676)+(MONTH(S676)/100),TC!$5:$37,DAY(S676)+2,FALSE),VLOOKUP(T676,Equivalencia!$1:$23,((MAX(Equivalencia!$3:$3)-YEAR(S676))*14)+MONTH(S676)+2,FALSE)))</f>
        <v>1</v>
      </c>
      <c r="W676" s="178">
        <f t="shared" si="109"/>
        <v>13.07</v>
      </c>
      <c r="X676" s="481">
        <f t="shared" si="105"/>
        <v>-7.3271875000000009</v>
      </c>
      <c r="Y676" s="179"/>
      <c r="Z676" s="466">
        <f t="shared" si="106"/>
        <v>20.870402250000005</v>
      </c>
      <c r="AA676" s="473">
        <f t="shared" si="107"/>
        <v>-7.8004022500000048</v>
      </c>
      <c r="AB676" s="339">
        <f t="shared" si="108"/>
        <v>-0.35922538340151067</v>
      </c>
    </row>
    <row r="677" spans="2:28" ht="20.100000000000001" customHeight="1">
      <c r="B677" s="172">
        <v>1427200</v>
      </c>
      <c r="C677" s="174">
        <v>44650</v>
      </c>
      <c r="D677" s="181" t="s">
        <v>265</v>
      </c>
      <c r="E677" s="173" t="s">
        <v>33</v>
      </c>
      <c r="F677" s="176">
        <v>20.614999999999998</v>
      </c>
      <c r="G677" s="175">
        <f t="shared" si="110"/>
        <v>1</v>
      </c>
      <c r="H677" s="175">
        <f t="shared" si="103"/>
        <v>20.614999999999998</v>
      </c>
      <c r="I677" s="177">
        <f>IF(G677=0,0,IF(E677="MXN",1/HLOOKUP(YEAR(C677)+(MONTH(C677)/100),TC!$5:$37,DAY(C677)+2,FALSE),VLOOKUP(E677,Equivalencia!$5:$23,((MAX(Equivalencia!$3:$3)-YEAR(C677))*14)+MONTH(C677)+2,FALSE)))</f>
        <v>1</v>
      </c>
      <c r="J677" s="178">
        <f t="shared" si="111"/>
        <v>20.614999999999998</v>
      </c>
      <c r="K677" s="462">
        <f>IF(C677=0,0,VLOOKUP(YEAR(C677),INPC!$B$4:$O$29,MONTH(C677)+1))</f>
        <v>120.15900000000001</v>
      </c>
      <c r="L677" s="462">
        <f>IF(S677=0,0,VLOOKUP(YEAR(S677),INPC!$B$4:$O$29,MONTH(S677)+1))</f>
        <v>122.94799999999999</v>
      </c>
      <c r="M677" s="463">
        <f t="shared" si="104"/>
        <v>1.0232000000000001</v>
      </c>
      <c r="N677" s="465">
        <f t="shared" si="112"/>
        <v>21.093268000000002</v>
      </c>
      <c r="O677" s="179"/>
      <c r="P677" s="180">
        <v>1</v>
      </c>
      <c r="Q677" s="173" t="s">
        <v>583</v>
      </c>
      <c r="R677" s="173" t="s">
        <v>230</v>
      </c>
      <c r="S677" s="174">
        <v>44764</v>
      </c>
      <c r="T677" s="173" t="s">
        <v>33</v>
      </c>
      <c r="U677" s="182">
        <v>13.07</v>
      </c>
      <c r="V677" s="177">
        <f>IF(U677=0,0,IF(T677="MXN",1/HLOOKUP(YEAR(S677)+(MONTH(S677)/100),TC!$5:$37,DAY(S677)+2,FALSE),VLOOKUP(T677,Equivalencia!$1:$23,((MAX(Equivalencia!$3:$3)-YEAR(S677))*14)+MONTH(S677)+2,FALSE)))</f>
        <v>1</v>
      </c>
      <c r="W677" s="178">
        <f t="shared" si="109"/>
        <v>13.07</v>
      </c>
      <c r="X677" s="481">
        <f t="shared" si="105"/>
        <v>-7.5449999999999982</v>
      </c>
      <c r="Y677" s="179"/>
      <c r="Z677" s="466">
        <f t="shared" si="106"/>
        <v>21.093268000000002</v>
      </c>
      <c r="AA677" s="473">
        <f t="shared" si="107"/>
        <v>-8.0232680000000016</v>
      </c>
      <c r="AB677" s="339">
        <f t="shared" si="108"/>
        <v>-0.36599563424690751</v>
      </c>
    </row>
    <row r="678" spans="2:28" ht="20.100000000000001" customHeight="1">
      <c r="B678" s="172">
        <v>1427200</v>
      </c>
      <c r="C678" s="174">
        <v>44650</v>
      </c>
      <c r="D678" s="181" t="s">
        <v>265</v>
      </c>
      <c r="E678" s="173" t="s">
        <v>33</v>
      </c>
      <c r="F678" s="176">
        <v>82.46</v>
      </c>
      <c r="G678" s="175">
        <f t="shared" si="110"/>
        <v>4</v>
      </c>
      <c r="H678" s="175">
        <f t="shared" si="103"/>
        <v>82.46</v>
      </c>
      <c r="I678" s="177">
        <f>IF(G678=0,0,IF(E678="MXN",1/HLOOKUP(YEAR(C678)+(MONTH(C678)/100),TC!$5:$37,DAY(C678)+2,FALSE),VLOOKUP(E678,Equivalencia!$5:$23,((MAX(Equivalencia!$3:$3)-YEAR(C678))*14)+MONTH(C678)+2,FALSE)))</f>
        <v>1</v>
      </c>
      <c r="J678" s="178">
        <f t="shared" si="111"/>
        <v>82.46</v>
      </c>
      <c r="K678" s="462">
        <f>IF(C678=0,0,VLOOKUP(YEAR(C678),INPC!$B$4:$O$29,MONTH(C678)+1))</f>
        <v>120.15900000000001</v>
      </c>
      <c r="L678" s="462">
        <f>IF(S678=0,0,VLOOKUP(YEAR(S678),INPC!$B$4:$O$29,MONTH(S678)+1))</f>
        <v>122.94799999999999</v>
      </c>
      <c r="M678" s="463">
        <f t="shared" si="104"/>
        <v>1.0232000000000001</v>
      </c>
      <c r="N678" s="465">
        <f t="shared" si="112"/>
        <v>84.373072000000008</v>
      </c>
      <c r="O678" s="179"/>
      <c r="P678" s="180">
        <v>4</v>
      </c>
      <c r="Q678" s="173" t="s">
        <v>583</v>
      </c>
      <c r="R678" s="173" t="s">
        <v>230</v>
      </c>
      <c r="S678" s="174">
        <v>44764</v>
      </c>
      <c r="T678" s="173" t="s">
        <v>33</v>
      </c>
      <c r="U678" s="182">
        <v>53.9</v>
      </c>
      <c r="V678" s="177">
        <f>IF(U678=0,0,IF(T678="MXN",1/HLOOKUP(YEAR(S678)+(MONTH(S678)/100),TC!$5:$37,DAY(S678)+2,FALSE),VLOOKUP(T678,Equivalencia!$1:$23,((MAX(Equivalencia!$3:$3)-YEAR(S678))*14)+MONTH(S678)+2,FALSE)))</f>
        <v>1</v>
      </c>
      <c r="W678" s="178">
        <f t="shared" si="109"/>
        <v>53.9</v>
      </c>
      <c r="X678" s="481">
        <f t="shared" si="105"/>
        <v>-28.559999999999995</v>
      </c>
      <c r="Y678" s="179"/>
      <c r="Z678" s="466">
        <f t="shared" si="106"/>
        <v>84.373072000000008</v>
      </c>
      <c r="AA678" s="473">
        <f t="shared" si="107"/>
        <v>-30.473072000000009</v>
      </c>
      <c r="AB678" s="339">
        <f t="shared" si="108"/>
        <v>-0.34634974533106955</v>
      </c>
    </row>
    <row r="679" spans="2:28" ht="20.100000000000001" customHeight="1">
      <c r="B679" s="172">
        <v>1427200</v>
      </c>
      <c r="C679" s="174">
        <v>44650</v>
      </c>
      <c r="D679" s="181" t="s">
        <v>265</v>
      </c>
      <c r="E679" s="173" t="s">
        <v>33</v>
      </c>
      <c r="F679" s="176">
        <v>61.844999999999999</v>
      </c>
      <c r="G679" s="175">
        <f t="shared" si="110"/>
        <v>3</v>
      </c>
      <c r="H679" s="175">
        <f t="shared" si="103"/>
        <v>61.844999999999999</v>
      </c>
      <c r="I679" s="177">
        <f>IF(G679=0,0,IF(E679="MXN",1/HLOOKUP(YEAR(C679)+(MONTH(C679)/100),TC!$5:$37,DAY(C679)+2,FALSE),VLOOKUP(E679,Equivalencia!$5:$23,((MAX(Equivalencia!$3:$3)-YEAR(C679))*14)+MONTH(C679)+2,FALSE)))</f>
        <v>1</v>
      </c>
      <c r="J679" s="178">
        <f t="shared" si="111"/>
        <v>61.844999999999999</v>
      </c>
      <c r="K679" s="462">
        <f>IF(C679=0,0,VLOOKUP(YEAR(C679),INPC!$B$4:$O$29,MONTH(C679)+1))</f>
        <v>120.15900000000001</v>
      </c>
      <c r="L679" s="462">
        <f>IF(S679=0,0,VLOOKUP(YEAR(S679),INPC!$B$4:$O$29,MONTH(S679)+1))</f>
        <v>122.94799999999999</v>
      </c>
      <c r="M679" s="463">
        <f t="shared" si="104"/>
        <v>1.0232000000000001</v>
      </c>
      <c r="N679" s="465">
        <f t="shared" si="112"/>
        <v>63.279804000000006</v>
      </c>
      <c r="O679" s="179"/>
      <c r="P679" s="180">
        <v>3</v>
      </c>
      <c r="Q679" s="173" t="s">
        <v>583</v>
      </c>
      <c r="R679" s="173" t="s">
        <v>230</v>
      </c>
      <c r="S679" s="174">
        <v>44764</v>
      </c>
      <c r="T679" s="173" t="s">
        <v>33</v>
      </c>
      <c r="U679" s="182">
        <v>40.43</v>
      </c>
      <c r="V679" s="177">
        <f>IF(U679=0,0,IF(T679="MXN",1/HLOOKUP(YEAR(S679)+(MONTH(S679)/100),TC!$5:$37,DAY(S679)+2,FALSE),VLOOKUP(T679,Equivalencia!$1:$23,((MAX(Equivalencia!$3:$3)-YEAR(S679))*14)+MONTH(S679)+2,FALSE)))</f>
        <v>1</v>
      </c>
      <c r="W679" s="178">
        <f t="shared" si="109"/>
        <v>40.43</v>
      </c>
      <c r="X679" s="481">
        <f t="shared" si="105"/>
        <v>-21.414999999999999</v>
      </c>
      <c r="Y679" s="179"/>
      <c r="Z679" s="466">
        <f t="shared" si="106"/>
        <v>63.279804000000006</v>
      </c>
      <c r="AA679" s="473">
        <f t="shared" si="107"/>
        <v>-22.849804000000006</v>
      </c>
      <c r="AB679" s="339">
        <f t="shared" si="108"/>
        <v>-0.34626889805158056</v>
      </c>
    </row>
    <row r="680" spans="2:28" ht="20.100000000000001" customHeight="1">
      <c r="B680" s="172">
        <v>1427200</v>
      </c>
      <c r="C680" s="174">
        <v>44652</v>
      </c>
      <c r="D680" s="181" t="s">
        <v>265</v>
      </c>
      <c r="E680" s="173" t="s">
        <v>33</v>
      </c>
      <c r="F680" s="176">
        <v>18.93</v>
      </c>
      <c r="G680" s="175">
        <f t="shared" si="110"/>
        <v>1</v>
      </c>
      <c r="H680" s="175">
        <f t="shared" si="103"/>
        <v>18.93</v>
      </c>
      <c r="I680" s="177">
        <f>IF(G680=0,0,IF(E680="MXN",1/HLOOKUP(YEAR(C680)+(MONTH(C680)/100),TC!$5:$37,DAY(C680)+2,FALSE),VLOOKUP(E680,Equivalencia!$5:$23,((MAX(Equivalencia!$3:$3)-YEAR(C680))*14)+MONTH(C680)+2,FALSE)))</f>
        <v>1</v>
      </c>
      <c r="J680" s="178">
        <f t="shared" si="111"/>
        <v>18.93</v>
      </c>
      <c r="K680" s="462">
        <f>IF(C680=0,0,VLOOKUP(YEAR(C680),INPC!$B$4:$O$29,MONTH(C680)+1))</f>
        <v>120.809</v>
      </c>
      <c r="L680" s="462">
        <f>IF(S680=0,0,VLOOKUP(YEAR(S680),INPC!$B$4:$O$29,MONTH(S680)+1))</f>
        <v>122.94799999999999</v>
      </c>
      <c r="M680" s="463">
        <f t="shared" si="104"/>
        <v>1.0177</v>
      </c>
      <c r="N680" s="465">
        <f t="shared" si="112"/>
        <v>19.265060999999999</v>
      </c>
      <c r="O680" s="179"/>
      <c r="P680" s="180">
        <v>1</v>
      </c>
      <c r="Q680" s="173" t="s">
        <v>583</v>
      </c>
      <c r="R680" s="173" t="s">
        <v>230</v>
      </c>
      <c r="S680" s="174">
        <v>44767</v>
      </c>
      <c r="T680" s="173" t="s">
        <v>33</v>
      </c>
      <c r="U680" s="182">
        <v>12.5</v>
      </c>
      <c r="V680" s="177">
        <f>IF(U680=0,0,IF(T680="MXN",1/HLOOKUP(YEAR(S680)+(MONTH(S680)/100),TC!$5:$37,DAY(S680)+2,FALSE),VLOOKUP(T680,Equivalencia!$1:$23,((MAX(Equivalencia!$3:$3)-YEAR(S680))*14)+MONTH(S680)+2,FALSE)))</f>
        <v>1</v>
      </c>
      <c r="W680" s="178">
        <f t="shared" si="109"/>
        <v>12.5</v>
      </c>
      <c r="X680" s="481">
        <f t="shared" si="105"/>
        <v>-6.43</v>
      </c>
      <c r="Y680" s="179"/>
      <c r="Z680" s="466">
        <f t="shared" si="106"/>
        <v>19.265060999999999</v>
      </c>
      <c r="AA680" s="473">
        <f t="shared" si="107"/>
        <v>-6.7650609999999993</v>
      </c>
      <c r="AB680" s="339">
        <f t="shared" si="108"/>
        <v>-0.3396724775488642</v>
      </c>
    </row>
    <row r="681" spans="2:28" ht="20.100000000000001" customHeight="1">
      <c r="B681" s="172">
        <v>1427200</v>
      </c>
      <c r="C681" s="174">
        <v>44652</v>
      </c>
      <c r="D681" s="181" t="s">
        <v>265</v>
      </c>
      <c r="E681" s="173" t="s">
        <v>33</v>
      </c>
      <c r="F681" s="176">
        <v>37.49</v>
      </c>
      <c r="G681" s="175">
        <f t="shared" si="110"/>
        <v>2</v>
      </c>
      <c r="H681" s="175">
        <f t="shared" si="103"/>
        <v>37.49</v>
      </c>
      <c r="I681" s="177">
        <f>IF(G681=0,0,IF(E681="MXN",1/HLOOKUP(YEAR(C681)+(MONTH(C681)/100),TC!$5:$37,DAY(C681)+2,FALSE),VLOOKUP(E681,Equivalencia!$5:$23,((MAX(Equivalencia!$3:$3)-YEAR(C681))*14)+MONTH(C681)+2,FALSE)))</f>
        <v>1</v>
      </c>
      <c r="J681" s="178">
        <f t="shared" si="111"/>
        <v>37.49</v>
      </c>
      <c r="K681" s="462">
        <f>IF(C681=0,0,VLOOKUP(YEAR(C681),INPC!$B$4:$O$29,MONTH(C681)+1))</f>
        <v>120.809</v>
      </c>
      <c r="L681" s="462">
        <f>IF(S681=0,0,VLOOKUP(YEAR(S681),INPC!$B$4:$O$29,MONTH(S681)+1))</f>
        <v>122.94799999999999</v>
      </c>
      <c r="M681" s="463">
        <f t="shared" si="104"/>
        <v>1.0177</v>
      </c>
      <c r="N681" s="465">
        <f t="shared" si="112"/>
        <v>38.153573000000002</v>
      </c>
      <c r="O681" s="179"/>
      <c r="P681" s="180">
        <v>2</v>
      </c>
      <c r="Q681" s="173" t="s">
        <v>583</v>
      </c>
      <c r="R681" s="173" t="s">
        <v>230</v>
      </c>
      <c r="S681" s="174">
        <v>44767</v>
      </c>
      <c r="T681" s="173" t="s">
        <v>33</v>
      </c>
      <c r="U681" s="182">
        <v>25.006666666666664</v>
      </c>
      <c r="V681" s="177">
        <f>IF(U681=0,0,IF(T681="MXN",1/HLOOKUP(YEAR(S681)+(MONTH(S681)/100),TC!$5:$37,DAY(S681)+2,FALSE),VLOOKUP(T681,Equivalencia!$1:$23,((MAX(Equivalencia!$3:$3)-YEAR(S681))*14)+MONTH(S681)+2,FALSE)))</f>
        <v>1</v>
      </c>
      <c r="W681" s="178">
        <f t="shared" si="109"/>
        <v>25.006666666666664</v>
      </c>
      <c r="X681" s="481">
        <f t="shared" si="105"/>
        <v>-12.483333333333338</v>
      </c>
      <c r="Y681" s="179"/>
      <c r="Z681" s="466">
        <f t="shared" si="106"/>
        <v>38.153573000000002</v>
      </c>
      <c r="AA681" s="473">
        <f t="shared" si="107"/>
        <v>-13.146906333333337</v>
      </c>
      <c r="AB681" s="339">
        <f t="shared" si="108"/>
        <v>-0.33297768293767238</v>
      </c>
    </row>
    <row r="682" spans="2:28" ht="20.100000000000001" customHeight="1">
      <c r="B682" s="172">
        <v>1427200</v>
      </c>
      <c r="C682" s="174">
        <v>44658</v>
      </c>
      <c r="D682" s="181" t="s">
        <v>265</v>
      </c>
      <c r="E682" s="173" t="s">
        <v>33</v>
      </c>
      <c r="F682" s="176">
        <v>17.158333333333335</v>
      </c>
      <c r="G682" s="175">
        <f t="shared" si="110"/>
        <v>1</v>
      </c>
      <c r="H682" s="175">
        <f t="shared" si="103"/>
        <v>17.158333333333335</v>
      </c>
      <c r="I682" s="177">
        <f>IF(G682=0,0,IF(E682="MXN",1/HLOOKUP(YEAR(C682)+(MONTH(C682)/100),TC!$5:$37,DAY(C682)+2,FALSE),VLOOKUP(E682,Equivalencia!$5:$23,((MAX(Equivalencia!$3:$3)-YEAR(C682))*14)+MONTH(C682)+2,FALSE)))</f>
        <v>1</v>
      </c>
      <c r="J682" s="178">
        <f t="shared" si="111"/>
        <v>17.158333333333335</v>
      </c>
      <c r="K682" s="462">
        <f>IF(C682=0,0,VLOOKUP(YEAR(C682),INPC!$B$4:$O$29,MONTH(C682)+1))</f>
        <v>120.809</v>
      </c>
      <c r="L682" s="462">
        <f>IF(S682=0,0,VLOOKUP(YEAR(S682),INPC!$B$4:$O$29,MONTH(S682)+1))</f>
        <v>122.94799999999999</v>
      </c>
      <c r="M682" s="463">
        <f t="shared" si="104"/>
        <v>1.0177</v>
      </c>
      <c r="N682" s="465">
        <f t="shared" si="112"/>
        <v>17.462035833333335</v>
      </c>
      <c r="O682" s="179"/>
      <c r="P682" s="180">
        <v>1</v>
      </c>
      <c r="Q682" s="173" t="s">
        <v>583</v>
      </c>
      <c r="R682" s="173" t="s">
        <v>230</v>
      </c>
      <c r="S682" s="174">
        <v>44767</v>
      </c>
      <c r="T682" s="173" t="s">
        <v>33</v>
      </c>
      <c r="U682" s="182">
        <v>12.503333333333332</v>
      </c>
      <c r="V682" s="177">
        <f>IF(U682=0,0,IF(T682="MXN",1/HLOOKUP(YEAR(S682)+(MONTH(S682)/100),TC!$5:$37,DAY(S682)+2,FALSE),VLOOKUP(T682,Equivalencia!$1:$23,((MAX(Equivalencia!$3:$3)-YEAR(S682))*14)+MONTH(S682)+2,FALSE)))</f>
        <v>1</v>
      </c>
      <c r="W682" s="178">
        <f t="shared" si="109"/>
        <v>12.503333333333332</v>
      </c>
      <c r="X682" s="481">
        <f t="shared" si="105"/>
        <v>-4.6550000000000029</v>
      </c>
      <c r="Y682" s="179"/>
      <c r="Z682" s="466">
        <f t="shared" si="106"/>
        <v>17.462035833333335</v>
      </c>
      <c r="AA682" s="473">
        <f t="shared" si="107"/>
        <v>-4.9587025000000029</v>
      </c>
      <c r="AB682" s="339">
        <f t="shared" si="108"/>
        <v>-0.27129674599320075</v>
      </c>
    </row>
    <row r="683" spans="2:28" ht="20.100000000000001" customHeight="1">
      <c r="B683" s="172">
        <v>1427200</v>
      </c>
      <c r="C683" s="174">
        <v>44658</v>
      </c>
      <c r="D683" s="181" t="s">
        <v>265</v>
      </c>
      <c r="E683" s="173" t="s">
        <v>33</v>
      </c>
      <c r="F683" s="176">
        <v>51.475000000000009</v>
      </c>
      <c r="G683" s="175">
        <f t="shared" si="110"/>
        <v>3</v>
      </c>
      <c r="H683" s="175">
        <f t="shared" si="103"/>
        <v>51.475000000000009</v>
      </c>
      <c r="I683" s="177">
        <f>IF(G683=0,0,IF(E683="MXN",1/HLOOKUP(YEAR(C683)+(MONTH(C683)/100),TC!$5:$37,DAY(C683)+2,FALSE),VLOOKUP(E683,Equivalencia!$5:$23,((MAX(Equivalencia!$3:$3)-YEAR(C683))*14)+MONTH(C683)+2,FALSE)))</f>
        <v>1</v>
      </c>
      <c r="J683" s="178">
        <f t="shared" si="111"/>
        <v>51.475000000000009</v>
      </c>
      <c r="K683" s="462">
        <f>IF(C683=0,0,VLOOKUP(YEAR(C683),INPC!$B$4:$O$29,MONTH(C683)+1))</f>
        <v>120.809</v>
      </c>
      <c r="L683" s="462">
        <f>IF(S683=0,0,VLOOKUP(YEAR(S683),INPC!$B$4:$O$29,MONTH(S683)+1))</f>
        <v>122.94799999999999</v>
      </c>
      <c r="M683" s="463">
        <f t="shared" si="104"/>
        <v>1.0177</v>
      </c>
      <c r="N683" s="465">
        <f t="shared" si="112"/>
        <v>52.386107500000008</v>
      </c>
      <c r="O683" s="179"/>
      <c r="P683" s="180">
        <v>3</v>
      </c>
      <c r="Q683" s="173" t="s">
        <v>583</v>
      </c>
      <c r="R683" s="173" t="s">
        <v>230</v>
      </c>
      <c r="S683" s="174">
        <v>44767</v>
      </c>
      <c r="T683" s="173" t="s">
        <v>33</v>
      </c>
      <c r="U683" s="182">
        <v>37.51</v>
      </c>
      <c r="V683" s="177">
        <f>IF(U683=0,0,IF(T683="MXN",1/HLOOKUP(YEAR(S683)+(MONTH(S683)/100),TC!$5:$37,DAY(S683)+2,FALSE),VLOOKUP(T683,Equivalencia!$1:$23,((MAX(Equivalencia!$3:$3)-YEAR(S683))*14)+MONTH(S683)+2,FALSE)))</f>
        <v>1</v>
      </c>
      <c r="W683" s="178">
        <f t="shared" si="109"/>
        <v>37.51</v>
      </c>
      <c r="X683" s="481">
        <f t="shared" si="105"/>
        <v>-13.965000000000011</v>
      </c>
      <c r="Y683" s="179"/>
      <c r="Z683" s="466">
        <f t="shared" si="106"/>
        <v>52.386107500000008</v>
      </c>
      <c r="AA683" s="473">
        <f t="shared" si="107"/>
        <v>-14.87610750000001</v>
      </c>
      <c r="AB683" s="339">
        <f t="shared" si="108"/>
        <v>-0.27129674599320075</v>
      </c>
    </row>
    <row r="684" spans="2:28" ht="20.100000000000001" customHeight="1">
      <c r="B684" s="172">
        <v>1427200</v>
      </c>
      <c r="C684" s="174">
        <v>44658</v>
      </c>
      <c r="D684" s="181" t="s">
        <v>265</v>
      </c>
      <c r="E684" s="173" t="s">
        <v>33</v>
      </c>
      <c r="F684" s="176">
        <v>17.158333333333335</v>
      </c>
      <c r="G684" s="175">
        <f t="shared" si="110"/>
        <v>1</v>
      </c>
      <c r="H684" s="175">
        <f t="shared" si="103"/>
        <v>17.158333333333335</v>
      </c>
      <c r="I684" s="177">
        <f>IF(G684=0,0,IF(E684="MXN",1/HLOOKUP(YEAR(C684)+(MONTH(C684)/100),TC!$5:$37,DAY(C684)+2,FALSE),VLOOKUP(E684,Equivalencia!$5:$23,((MAX(Equivalencia!$3:$3)-YEAR(C684))*14)+MONTH(C684)+2,FALSE)))</f>
        <v>1</v>
      </c>
      <c r="J684" s="178">
        <f t="shared" si="111"/>
        <v>17.158333333333335</v>
      </c>
      <c r="K684" s="462">
        <f>IF(C684=0,0,VLOOKUP(YEAR(C684),INPC!$B$4:$O$29,MONTH(C684)+1))</f>
        <v>120.809</v>
      </c>
      <c r="L684" s="462">
        <f>IF(S684=0,0,VLOOKUP(YEAR(S684),INPC!$B$4:$O$29,MONTH(S684)+1))</f>
        <v>122.94799999999999</v>
      </c>
      <c r="M684" s="463">
        <f t="shared" si="104"/>
        <v>1.0177</v>
      </c>
      <c r="N684" s="465">
        <f t="shared" si="112"/>
        <v>17.462035833333335</v>
      </c>
      <c r="O684" s="179"/>
      <c r="P684" s="180">
        <v>1</v>
      </c>
      <c r="Q684" s="173" t="s">
        <v>583</v>
      </c>
      <c r="R684" s="173" t="s">
        <v>230</v>
      </c>
      <c r="S684" s="174">
        <v>44767</v>
      </c>
      <c r="T684" s="173" t="s">
        <v>33</v>
      </c>
      <c r="U684" s="182">
        <v>12.61</v>
      </c>
      <c r="V684" s="177">
        <f>IF(U684=0,0,IF(T684="MXN",1/HLOOKUP(YEAR(S684)+(MONTH(S684)/100),TC!$5:$37,DAY(S684)+2,FALSE),VLOOKUP(T684,Equivalencia!$1:$23,((MAX(Equivalencia!$3:$3)-YEAR(S684))*14)+MONTH(S684)+2,FALSE)))</f>
        <v>1</v>
      </c>
      <c r="W684" s="178">
        <f t="shared" si="109"/>
        <v>12.61</v>
      </c>
      <c r="X684" s="481">
        <f t="shared" si="105"/>
        <v>-4.5483333333333356</v>
      </c>
      <c r="Y684" s="179"/>
      <c r="Z684" s="466">
        <f t="shared" si="106"/>
        <v>17.462035833333335</v>
      </c>
      <c r="AA684" s="473">
        <f t="shared" si="107"/>
        <v>-4.8520358333333355</v>
      </c>
      <c r="AB684" s="339">
        <f t="shared" si="108"/>
        <v>-0.26508013598834401</v>
      </c>
    </row>
    <row r="685" spans="2:28" ht="20.100000000000001" customHeight="1">
      <c r="B685" s="172">
        <v>1427200</v>
      </c>
      <c r="C685" s="174">
        <v>44658</v>
      </c>
      <c r="D685" s="181" t="s">
        <v>265</v>
      </c>
      <c r="E685" s="173" t="s">
        <v>33</v>
      </c>
      <c r="F685" s="176">
        <v>17.158333333333335</v>
      </c>
      <c r="G685" s="175">
        <f t="shared" si="110"/>
        <v>1</v>
      </c>
      <c r="H685" s="175">
        <f t="shared" si="103"/>
        <v>17.158333333333335</v>
      </c>
      <c r="I685" s="177">
        <f>IF(G685=0,0,IF(E685="MXN",1/HLOOKUP(YEAR(C685)+(MONTH(C685)/100),TC!$5:$37,DAY(C685)+2,FALSE),VLOOKUP(E685,Equivalencia!$5:$23,((MAX(Equivalencia!$3:$3)-YEAR(C685))*14)+MONTH(C685)+2,FALSE)))</f>
        <v>1</v>
      </c>
      <c r="J685" s="178">
        <f t="shared" si="111"/>
        <v>17.158333333333335</v>
      </c>
      <c r="K685" s="462">
        <f>IF(C685=0,0,VLOOKUP(YEAR(C685),INPC!$B$4:$O$29,MONTH(C685)+1))</f>
        <v>120.809</v>
      </c>
      <c r="L685" s="462">
        <f>IF(S685=0,0,VLOOKUP(YEAR(S685),INPC!$B$4:$O$29,MONTH(S685)+1))</f>
        <v>122.94799999999999</v>
      </c>
      <c r="M685" s="463">
        <f t="shared" si="104"/>
        <v>1.0177</v>
      </c>
      <c r="N685" s="465">
        <f t="shared" si="112"/>
        <v>17.462035833333335</v>
      </c>
      <c r="O685" s="179"/>
      <c r="P685" s="180">
        <v>1</v>
      </c>
      <c r="Q685" s="173" t="s">
        <v>583</v>
      </c>
      <c r="R685" s="173" t="s">
        <v>230</v>
      </c>
      <c r="S685" s="174">
        <v>44767</v>
      </c>
      <c r="T685" s="173" t="s">
        <v>33</v>
      </c>
      <c r="U685" s="182">
        <v>12.52</v>
      </c>
      <c r="V685" s="177">
        <f>IF(U685=0,0,IF(T685="MXN",1/HLOOKUP(YEAR(S685)+(MONTH(S685)/100),TC!$5:$37,DAY(S685)+2,FALSE),VLOOKUP(T685,Equivalencia!$1:$23,((MAX(Equivalencia!$3:$3)-YEAR(S685))*14)+MONTH(S685)+2,FALSE)))</f>
        <v>1</v>
      </c>
      <c r="W685" s="178">
        <f t="shared" si="109"/>
        <v>12.52</v>
      </c>
      <c r="X685" s="481">
        <f t="shared" si="105"/>
        <v>-4.6383333333333354</v>
      </c>
      <c r="Y685" s="179"/>
      <c r="Z685" s="466">
        <f t="shared" si="106"/>
        <v>17.462035833333335</v>
      </c>
      <c r="AA685" s="473">
        <f t="shared" si="107"/>
        <v>-4.9420358333333354</v>
      </c>
      <c r="AB685" s="339">
        <f t="shared" si="108"/>
        <v>-0.27032540067994182</v>
      </c>
    </row>
    <row r="686" spans="2:28" ht="20.100000000000001" customHeight="1">
      <c r="B686" s="172">
        <v>1427200</v>
      </c>
      <c r="C686" s="174">
        <v>44658</v>
      </c>
      <c r="D686" s="181" t="s">
        <v>265</v>
      </c>
      <c r="E686" s="173" t="s">
        <v>33</v>
      </c>
      <c r="F686" s="176">
        <v>34.348571428571425</v>
      </c>
      <c r="G686" s="175">
        <f t="shared" si="110"/>
        <v>2</v>
      </c>
      <c r="H686" s="175">
        <f t="shared" si="103"/>
        <v>34.348571428571425</v>
      </c>
      <c r="I686" s="177">
        <f>IF(G686=0,0,IF(E686="MXN",1/HLOOKUP(YEAR(C686)+(MONTH(C686)/100),TC!$5:$37,DAY(C686)+2,FALSE),VLOOKUP(E686,Equivalencia!$5:$23,((MAX(Equivalencia!$3:$3)-YEAR(C686))*14)+MONTH(C686)+2,FALSE)))</f>
        <v>1</v>
      </c>
      <c r="J686" s="178">
        <f t="shared" si="111"/>
        <v>34.348571428571425</v>
      </c>
      <c r="K686" s="462">
        <f>IF(C686=0,0,VLOOKUP(YEAR(C686),INPC!$B$4:$O$29,MONTH(C686)+1))</f>
        <v>120.809</v>
      </c>
      <c r="L686" s="462">
        <f>IF(S686=0,0,VLOOKUP(YEAR(S686),INPC!$B$4:$O$29,MONTH(S686)+1))</f>
        <v>122.94799999999999</v>
      </c>
      <c r="M686" s="463">
        <f t="shared" si="104"/>
        <v>1.0177</v>
      </c>
      <c r="N686" s="465">
        <f t="shared" si="112"/>
        <v>34.956541142857141</v>
      </c>
      <c r="O686" s="179"/>
      <c r="P686" s="180">
        <v>2</v>
      </c>
      <c r="Q686" s="173" t="s">
        <v>583</v>
      </c>
      <c r="R686" s="173" t="s">
        <v>230</v>
      </c>
      <c r="S686" s="174">
        <v>44767</v>
      </c>
      <c r="T686" s="173" t="s">
        <v>33</v>
      </c>
      <c r="U686" s="182">
        <v>25.03</v>
      </c>
      <c r="V686" s="177">
        <f>IF(U686=0,0,IF(T686="MXN",1/HLOOKUP(YEAR(S686)+(MONTH(S686)/100),TC!$5:$37,DAY(S686)+2,FALSE),VLOOKUP(T686,Equivalencia!$1:$23,((MAX(Equivalencia!$3:$3)-YEAR(S686))*14)+MONTH(S686)+2,FALSE)))</f>
        <v>1</v>
      </c>
      <c r="W686" s="178">
        <f t="shared" si="109"/>
        <v>25.03</v>
      </c>
      <c r="X686" s="481">
        <f t="shared" si="105"/>
        <v>-9.3185714285714241</v>
      </c>
      <c r="Y686" s="179"/>
      <c r="Z686" s="466">
        <f t="shared" si="106"/>
        <v>34.956541142857141</v>
      </c>
      <c r="AA686" s="473">
        <f t="shared" si="107"/>
        <v>-9.9265411428571397</v>
      </c>
      <c r="AB686" s="339">
        <f t="shared" si="108"/>
        <v>-0.2712942937947096</v>
      </c>
    </row>
    <row r="687" spans="2:28" ht="20.100000000000001" customHeight="1">
      <c r="B687" s="172">
        <v>1427200</v>
      </c>
      <c r="C687" s="174">
        <v>44658</v>
      </c>
      <c r="D687" s="181" t="s">
        <v>265</v>
      </c>
      <c r="E687" s="173" t="s">
        <v>33</v>
      </c>
      <c r="F687" s="176">
        <v>34.348571428571425</v>
      </c>
      <c r="G687" s="175">
        <f t="shared" si="110"/>
        <v>2</v>
      </c>
      <c r="H687" s="175">
        <f t="shared" si="103"/>
        <v>34.348571428571425</v>
      </c>
      <c r="I687" s="177">
        <f>IF(G687=0,0,IF(E687="MXN",1/HLOOKUP(YEAR(C687)+(MONTH(C687)/100),TC!$5:$37,DAY(C687)+2,FALSE),VLOOKUP(E687,Equivalencia!$5:$23,((MAX(Equivalencia!$3:$3)-YEAR(C687))*14)+MONTH(C687)+2,FALSE)))</f>
        <v>1</v>
      </c>
      <c r="J687" s="178">
        <f t="shared" si="111"/>
        <v>34.348571428571425</v>
      </c>
      <c r="K687" s="462">
        <f>IF(C687=0,0,VLOOKUP(YEAR(C687),INPC!$B$4:$O$29,MONTH(C687)+1))</f>
        <v>120.809</v>
      </c>
      <c r="L687" s="462">
        <f>IF(S687=0,0,VLOOKUP(YEAR(S687),INPC!$B$4:$O$29,MONTH(S687)+1))</f>
        <v>122.94799999999999</v>
      </c>
      <c r="M687" s="463">
        <f t="shared" si="104"/>
        <v>1.0177</v>
      </c>
      <c r="N687" s="465">
        <f t="shared" si="112"/>
        <v>34.956541142857141</v>
      </c>
      <c r="O687" s="179"/>
      <c r="P687" s="180">
        <v>2</v>
      </c>
      <c r="Q687" s="173" t="s">
        <v>583</v>
      </c>
      <c r="R687" s="173" t="s">
        <v>230</v>
      </c>
      <c r="S687" s="174">
        <v>44767</v>
      </c>
      <c r="T687" s="173" t="s">
        <v>33</v>
      </c>
      <c r="U687" s="182">
        <v>25.03</v>
      </c>
      <c r="V687" s="177">
        <f>IF(U687=0,0,IF(T687="MXN",1/HLOOKUP(YEAR(S687)+(MONTH(S687)/100),TC!$5:$37,DAY(S687)+2,FALSE),VLOOKUP(T687,Equivalencia!$1:$23,((MAX(Equivalencia!$3:$3)-YEAR(S687))*14)+MONTH(S687)+2,FALSE)))</f>
        <v>1</v>
      </c>
      <c r="W687" s="178">
        <f t="shared" si="109"/>
        <v>25.03</v>
      </c>
      <c r="X687" s="481">
        <f t="shared" si="105"/>
        <v>-9.3185714285714241</v>
      </c>
      <c r="Y687" s="179"/>
      <c r="Z687" s="466">
        <f t="shared" si="106"/>
        <v>34.956541142857141</v>
      </c>
      <c r="AA687" s="473">
        <f t="shared" si="107"/>
        <v>-9.9265411428571397</v>
      </c>
      <c r="AB687" s="339">
        <f t="shared" si="108"/>
        <v>-0.2712942937947096</v>
      </c>
    </row>
    <row r="688" spans="2:28" ht="20.100000000000001" customHeight="1">
      <c r="B688" s="172">
        <v>1427200</v>
      </c>
      <c r="C688" s="174">
        <v>44658</v>
      </c>
      <c r="D688" s="181" t="s">
        <v>265</v>
      </c>
      <c r="E688" s="173" t="s">
        <v>33</v>
      </c>
      <c r="F688" s="176">
        <v>51.522857142857134</v>
      </c>
      <c r="G688" s="175">
        <f t="shared" si="110"/>
        <v>3</v>
      </c>
      <c r="H688" s="175">
        <f t="shared" si="103"/>
        <v>51.522857142857134</v>
      </c>
      <c r="I688" s="177">
        <f>IF(G688=0,0,IF(E688="MXN",1/HLOOKUP(YEAR(C688)+(MONTH(C688)/100),TC!$5:$37,DAY(C688)+2,FALSE),VLOOKUP(E688,Equivalencia!$5:$23,((MAX(Equivalencia!$3:$3)-YEAR(C688))*14)+MONTH(C688)+2,FALSE)))</f>
        <v>1</v>
      </c>
      <c r="J688" s="178">
        <f t="shared" si="111"/>
        <v>51.522857142857134</v>
      </c>
      <c r="K688" s="462">
        <f>IF(C688=0,0,VLOOKUP(YEAR(C688),INPC!$B$4:$O$29,MONTH(C688)+1))</f>
        <v>120.809</v>
      </c>
      <c r="L688" s="462">
        <f>IF(S688=0,0,VLOOKUP(YEAR(S688),INPC!$B$4:$O$29,MONTH(S688)+1))</f>
        <v>122.94799999999999</v>
      </c>
      <c r="M688" s="463">
        <f t="shared" si="104"/>
        <v>1.0177</v>
      </c>
      <c r="N688" s="465">
        <f t="shared" si="112"/>
        <v>52.434811714285708</v>
      </c>
      <c r="O688" s="179"/>
      <c r="P688" s="180">
        <v>3</v>
      </c>
      <c r="Q688" s="173" t="s">
        <v>583</v>
      </c>
      <c r="R688" s="173" t="s">
        <v>230</v>
      </c>
      <c r="S688" s="174">
        <v>44767</v>
      </c>
      <c r="T688" s="173" t="s">
        <v>33</v>
      </c>
      <c r="U688" s="182">
        <v>37.927500000000002</v>
      </c>
      <c r="V688" s="177">
        <f>IF(U688=0,0,IF(T688="MXN",1/HLOOKUP(YEAR(S688)+(MONTH(S688)/100),TC!$5:$37,DAY(S688)+2,FALSE),VLOOKUP(T688,Equivalencia!$1:$23,((MAX(Equivalencia!$3:$3)-YEAR(S688))*14)+MONTH(S688)+2,FALSE)))</f>
        <v>1</v>
      </c>
      <c r="W688" s="178">
        <f t="shared" si="109"/>
        <v>37.927500000000002</v>
      </c>
      <c r="X688" s="481">
        <f t="shared" si="105"/>
        <v>-13.595357142857132</v>
      </c>
      <c r="Y688" s="179"/>
      <c r="Z688" s="466">
        <f t="shared" si="106"/>
        <v>52.434811714285708</v>
      </c>
      <c r="AA688" s="473">
        <f t="shared" si="107"/>
        <v>-14.507311714285706</v>
      </c>
      <c r="AB688" s="339">
        <f t="shared" si="108"/>
        <v>-0.26387040425885855</v>
      </c>
    </row>
    <row r="689" spans="2:28" ht="20.100000000000001" customHeight="1">
      <c r="B689" s="172">
        <v>1427200</v>
      </c>
      <c r="C689" s="174">
        <v>44658</v>
      </c>
      <c r="D689" s="181" t="s">
        <v>265</v>
      </c>
      <c r="E689" s="173" t="s">
        <v>33</v>
      </c>
      <c r="F689" s="176">
        <v>17.03</v>
      </c>
      <c r="G689" s="175">
        <f t="shared" si="110"/>
        <v>1</v>
      </c>
      <c r="H689" s="175">
        <f t="shared" si="103"/>
        <v>17.03</v>
      </c>
      <c r="I689" s="177">
        <f>IF(G689=0,0,IF(E689="MXN",1/HLOOKUP(YEAR(C689)+(MONTH(C689)/100),TC!$5:$37,DAY(C689)+2,FALSE),VLOOKUP(E689,Equivalencia!$5:$23,((MAX(Equivalencia!$3:$3)-YEAR(C689))*14)+MONTH(C689)+2,FALSE)))</f>
        <v>1</v>
      </c>
      <c r="J689" s="178">
        <f t="shared" si="111"/>
        <v>17.03</v>
      </c>
      <c r="K689" s="462">
        <f>IF(C689=0,0,VLOOKUP(YEAR(C689),INPC!$B$4:$O$29,MONTH(C689)+1))</f>
        <v>120.809</v>
      </c>
      <c r="L689" s="462">
        <f>IF(S689=0,0,VLOOKUP(YEAR(S689),INPC!$B$4:$O$29,MONTH(S689)+1))</f>
        <v>122.94799999999999</v>
      </c>
      <c r="M689" s="463">
        <f t="shared" si="104"/>
        <v>1.0177</v>
      </c>
      <c r="N689" s="465">
        <f t="shared" si="112"/>
        <v>17.331431000000002</v>
      </c>
      <c r="O689" s="179"/>
      <c r="P689" s="180">
        <v>1</v>
      </c>
      <c r="Q689" s="173" t="s">
        <v>583</v>
      </c>
      <c r="R689" s="173" t="s">
        <v>230</v>
      </c>
      <c r="S689" s="174">
        <v>44767</v>
      </c>
      <c r="T689" s="173" t="s">
        <v>33</v>
      </c>
      <c r="U689" s="182">
        <v>12.6425</v>
      </c>
      <c r="V689" s="177">
        <f>IF(U689=0,0,IF(T689="MXN",1/HLOOKUP(YEAR(S689)+(MONTH(S689)/100),TC!$5:$37,DAY(S689)+2,FALSE),VLOOKUP(T689,Equivalencia!$1:$23,((MAX(Equivalencia!$3:$3)-YEAR(S689))*14)+MONTH(S689)+2,FALSE)))</f>
        <v>1</v>
      </c>
      <c r="W689" s="178">
        <f t="shared" si="109"/>
        <v>12.6425</v>
      </c>
      <c r="X689" s="481">
        <f t="shared" si="105"/>
        <v>-4.3875000000000011</v>
      </c>
      <c r="Y689" s="179"/>
      <c r="Z689" s="466">
        <f t="shared" si="106"/>
        <v>17.331431000000002</v>
      </c>
      <c r="AA689" s="473">
        <f t="shared" si="107"/>
        <v>-4.688931000000002</v>
      </c>
      <c r="AB689" s="339">
        <f t="shared" si="108"/>
        <v>-0.25763358778625955</v>
      </c>
    </row>
    <row r="690" spans="2:28" ht="20.100000000000001" customHeight="1">
      <c r="B690" s="172">
        <v>1427200</v>
      </c>
      <c r="C690" s="174">
        <v>44658</v>
      </c>
      <c r="D690" s="181" t="s">
        <v>265</v>
      </c>
      <c r="E690" s="173" t="s">
        <v>33</v>
      </c>
      <c r="F690" s="176">
        <v>17.03</v>
      </c>
      <c r="G690" s="175">
        <f t="shared" si="110"/>
        <v>1</v>
      </c>
      <c r="H690" s="175">
        <f t="shared" si="103"/>
        <v>17.03</v>
      </c>
      <c r="I690" s="177">
        <f>IF(G690=0,0,IF(E690="MXN",1/HLOOKUP(YEAR(C690)+(MONTH(C690)/100),TC!$5:$37,DAY(C690)+2,FALSE),VLOOKUP(E690,Equivalencia!$5:$23,((MAX(Equivalencia!$3:$3)-YEAR(C690))*14)+MONTH(C690)+2,FALSE)))</f>
        <v>1</v>
      </c>
      <c r="J690" s="178">
        <f t="shared" si="111"/>
        <v>17.03</v>
      </c>
      <c r="K690" s="462">
        <f>IF(C690=0,0,VLOOKUP(YEAR(C690),INPC!$B$4:$O$29,MONTH(C690)+1))</f>
        <v>120.809</v>
      </c>
      <c r="L690" s="462">
        <f>IF(S690=0,0,VLOOKUP(YEAR(S690),INPC!$B$4:$O$29,MONTH(S690)+1))</f>
        <v>122.94799999999999</v>
      </c>
      <c r="M690" s="463">
        <f t="shared" si="104"/>
        <v>1.0177</v>
      </c>
      <c r="N690" s="465">
        <f t="shared" si="112"/>
        <v>17.331431000000002</v>
      </c>
      <c r="O690" s="179"/>
      <c r="P690" s="180">
        <v>1</v>
      </c>
      <c r="Q690" s="173" t="s">
        <v>583</v>
      </c>
      <c r="R690" s="173" t="s">
        <v>230</v>
      </c>
      <c r="S690" s="174">
        <v>44767</v>
      </c>
      <c r="T690" s="173" t="s">
        <v>33</v>
      </c>
      <c r="U690" s="182">
        <v>12.64</v>
      </c>
      <c r="V690" s="177">
        <f>IF(U690=0,0,IF(T690="MXN",1/HLOOKUP(YEAR(S690)+(MONTH(S690)/100),TC!$5:$37,DAY(S690)+2,FALSE),VLOOKUP(T690,Equivalencia!$1:$23,((MAX(Equivalencia!$3:$3)-YEAR(S690))*14)+MONTH(S690)+2,FALSE)))</f>
        <v>1</v>
      </c>
      <c r="W690" s="178">
        <f t="shared" si="109"/>
        <v>12.64</v>
      </c>
      <c r="X690" s="481">
        <f t="shared" si="105"/>
        <v>-4.3900000000000006</v>
      </c>
      <c r="Y690" s="179"/>
      <c r="Z690" s="466">
        <f t="shared" si="106"/>
        <v>17.331431000000002</v>
      </c>
      <c r="AA690" s="473">
        <f t="shared" si="107"/>
        <v>-4.6914310000000015</v>
      </c>
      <c r="AB690" s="339">
        <f t="shared" si="108"/>
        <v>-0.25778038755137989</v>
      </c>
    </row>
    <row r="691" spans="2:28" ht="20.100000000000001" customHeight="1">
      <c r="B691" s="172">
        <v>1427200</v>
      </c>
      <c r="C691" s="174">
        <v>44658</v>
      </c>
      <c r="D691" s="181" t="s">
        <v>265</v>
      </c>
      <c r="E691" s="173" t="s">
        <v>33</v>
      </c>
      <c r="F691" s="176">
        <v>34.193333333333335</v>
      </c>
      <c r="G691" s="175">
        <f t="shared" si="110"/>
        <v>2</v>
      </c>
      <c r="H691" s="175">
        <f t="shared" si="103"/>
        <v>34.193333333333335</v>
      </c>
      <c r="I691" s="177">
        <f>IF(G691=0,0,IF(E691="MXN",1/HLOOKUP(YEAR(C691)+(MONTH(C691)/100),TC!$5:$37,DAY(C691)+2,FALSE),VLOOKUP(E691,Equivalencia!$5:$23,((MAX(Equivalencia!$3:$3)-YEAR(C691))*14)+MONTH(C691)+2,FALSE)))</f>
        <v>1</v>
      </c>
      <c r="J691" s="178">
        <f t="shared" si="111"/>
        <v>34.193333333333335</v>
      </c>
      <c r="K691" s="462">
        <f>IF(C691=0,0,VLOOKUP(YEAR(C691),INPC!$B$4:$O$29,MONTH(C691)+1))</f>
        <v>120.809</v>
      </c>
      <c r="L691" s="462">
        <f>IF(S691=0,0,VLOOKUP(YEAR(S691),INPC!$B$4:$O$29,MONTH(S691)+1))</f>
        <v>122.94799999999999</v>
      </c>
      <c r="M691" s="463">
        <f t="shared" si="104"/>
        <v>1.0177</v>
      </c>
      <c r="N691" s="465">
        <f t="shared" si="112"/>
        <v>34.79855533333334</v>
      </c>
      <c r="O691" s="179"/>
      <c r="P691" s="180">
        <v>2</v>
      </c>
      <c r="Q691" s="173" t="s">
        <v>583</v>
      </c>
      <c r="R691" s="173" t="s">
        <v>230</v>
      </c>
      <c r="S691" s="174">
        <v>44767</v>
      </c>
      <c r="T691" s="173" t="s">
        <v>33</v>
      </c>
      <c r="U691" s="182">
        <v>25.28</v>
      </c>
      <c r="V691" s="177">
        <f>IF(U691=0,0,IF(T691="MXN",1/HLOOKUP(YEAR(S691)+(MONTH(S691)/100),TC!$5:$37,DAY(S691)+2,FALSE),VLOOKUP(T691,Equivalencia!$1:$23,((MAX(Equivalencia!$3:$3)-YEAR(S691))*14)+MONTH(S691)+2,FALSE)))</f>
        <v>1</v>
      </c>
      <c r="W691" s="178">
        <f t="shared" si="109"/>
        <v>25.28</v>
      </c>
      <c r="X691" s="481">
        <f t="shared" si="105"/>
        <v>-8.913333333333334</v>
      </c>
      <c r="Y691" s="179"/>
      <c r="Z691" s="466">
        <f t="shared" si="106"/>
        <v>34.79855533333334</v>
      </c>
      <c r="AA691" s="473">
        <f t="shared" si="107"/>
        <v>-9.5185553333333388</v>
      </c>
      <c r="AB691" s="339">
        <f t="shared" si="108"/>
        <v>-0.26067459543770721</v>
      </c>
    </row>
    <row r="692" spans="2:28" ht="20.100000000000001" customHeight="1">
      <c r="B692" s="172">
        <v>1427200</v>
      </c>
      <c r="C692" s="174">
        <v>44658</v>
      </c>
      <c r="D692" s="181" t="s">
        <v>265</v>
      </c>
      <c r="E692" s="173" t="s">
        <v>33</v>
      </c>
      <c r="F692" s="176">
        <v>17.096666666666668</v>
      </c>
      <c r="G692" s="175">
        <f t="shared" si="110"/>
        <v>1</v>
      </c>
      <c r="H692" s="175">
        <f t="shared" si="103"/>
        <v>17.096666666666668</v>
      </c>
      <c r="I692" s="177">
        <f>IF(G692=0,0,IF(E692="MXN",1/HLOOKUP(YEAR(C692)+(MONTH(C692)/100),TC!$5:$37,DAY(C692)+2,FALSE),VLOOKUP(E692,Equivalencia!$5:$23,((MAX(Equivalencia!$3:$3)-YEAR(C692))*14)+MONTH(C692)+2,FALSE)))</f>
        <v>1</v>
      </c>
      <c r="J692" s="178">
        <f t="shared" si="111"/>
        <v>17.096666666666668</v>
      </c>
      <c r="K692" s="462">
        <f>IF(C692=0,0,VLOOKUP(YEAR(C692),INPC!$B$4:$O$29,MONTH(C692)+1))</f>
        <v>120.809</v>
      </c>
      <c r="L692" s="462">
        <f>IF(S692=0,0,VLOOKUP(YEAR(S692),INPC!$B$4:$O$29,MONTH(S692)+1))</f>
        <v>122.94799999999999</v>
      </c>
      <c r="M692" s="463">
        <f t="shared" si="104"/>
        <v>1.0177</v>
      </c>
      <c r="N692" s="465">
        <f t="shared" si="112"/>
        <v>17.39927766666667</v>
      </c>
      <c r="O692" s="179"/>
      <c r="P692" s="180">
        <v>1</v>
      </c>
      <c r="Q692" s="173" t="s">
        <v>583</v>
      </c>
      <c r="R692" s="173" t="s">
        <v>230</v>
      </c>
      <c r="S692" s="174">
        <v>44768</v>
      </c>
      <c r="T692" s="173" t="s">
        <v>33</v>
      </c>
      <c r="U692" s="182">
        <v>11.72</v>
      </c>
      <c r="V692" s="177">
        <f>IF(U692=0,0,IF(T692="MXN",1/HLOOKUP(YEAR(S692)+(MONTH(S692)/100),TC!$5:$37,DAY(S692)+2,FALSE),VLOOKUP(T692,Equivalencia!$1:$23,((MAX(Equivalencia!$3:$3)-YEAR(S692))*14)+MONTH(S692)+2,FALSE)))</f>
        <v>1</v>
      </c>
      <c r="W692" s="178">
        <f t="shared" si="109"/>
        <v>11.72</v>
      </c>
      <c r="X692" s="481">
        <f t="shared" si="105"/>
        <v>-5.3766666666666669</v>
      </c>
      <c r="Y692" s="179"/>
      <c r="Z692" s="466">
        <f t="shared" si="106"/>
        <v>17.39927766666667</v>
      </c>
      <c r="AA692" s="473">
        <f t="shared" si="107"/>
        <v>-5.6792776666666693</v>
      </c>
      <c r="AB692" s="339">
        <f t="shared" si="108"/>
        <v>-0.31448625463053226</v>
      </c>
    </row>
    <row r="693" spans="2:28" ht="20.100000000000001" customHeight="1">
      <c r="B693" s="172">
        <v>1427200</v>
      </c>
      <c r="C693" s="174">
        <v>44658</v>
      </c>
      <c r="D693" s="181" t="s">
        <v>265</v>
      </c>
      <c r="E693" s="173" t="s">
        <v>33</v>
      </c>
      <c r="F693" s="176">
        <v>17.096666666666668</v>
      </c>
      <c r="G693" s="175">
        <f t="shared" si="110"/>
        <v>1</v>
      </c>
      <c r="H693" s="175">
        <f t="shared" si="103"/>
        <v>17.096666666666668</v>
      </c>
      <c r="I693" s="177">
        <f>IF(G693=0,0,IF(E693="MXN",1/HLOOKUP(YEAR(C693)+(MONTH(C693)/100),TC!$5:$37,DAY(C693)+2,FALSE),VLOOKUP(E693,Equivalencia!$5:$23,((MAX(Equivalencia!$3:$3)-YEAR(C693))*14)+MONTH(C693)+2,FALSE)))</f>
        <v>1</v>
      </c>
      <c r="J693" s="178">
        <f t="shared" si="111"/>
        <v>17.096666666666668</v>
      </c>
      <c r="K693" s="462">
        <f>IF(C693=0,0,VLOOKUP(YEAR(C693),INPC!$B$4:$O$29,MONTH(C693)+1))</f>
        <v>120.809</v>
      </c>
      <c r="L693" s="462">
        <f>IF(S693=0,0,VLOOKUP(YEAR(S693),INPC!$B$4:$O$29,MONTH(S693)+1))</f>
        <v>122.94799999999999</v>
      </c>
      <c r="M693" s="463">
        <f t="shared" si="104"/>
        <v>1.0177</v>
      </c>
      <c r="N693" s="465">
        <f t="shared" si="112"/>
        <v>17.39927766666667</v>
      </c>
      <c r="O693" s="179"/>
      <c r="P693" s="180">
        <v>1</v>
      </c>
      <c r="Q693" s="173" t="s">
        <v>583</v>
      </c>
      <c r="R693" s="173" t="s">
        <v>230</v>
      </c>
      <c r="S693" s="174">
        <v>44768</v>
      </c>
      <c r="T693" s="173" t="s">
        <v>33</v>
      </c>
      <c r="U693" s="182">
        <v>11.72</v>
      </c>
      <c r="V693" s="177">
        <f>IF(U693=0,0,IF(T693="MXN",1/HLOOKUP(YEAR(S693)+(MONTH(S693)/100),TC!$5:$37,DAY(S693)+2,FALSE),VLOOKUP(T693,Equivalencia!$1:$23,((MAX(Equivalencia!$3:$3)-YEAR(S693))*14)+MONTH(S693)+2,FALSE)))</f>
        <v>1</v>
      </c>
      <c r="W693" s="178">
        <f t="shared" si="109"/>
        <v>11.72</v>
      </c>
      <c r="X693" s="481">
        <f t="shared" si="105"/>
        <v>-5.3766666666666669</v>
      </c>
      <c r="Y693" s="179"/>
      <c r="Z693" s="466">
        <f t="shared" si="106"/>
        <v>17.39927766666667</v>
      </c>
      <c r="AA693" s="473">
        <f t="shared" si="107"/>
        <v>-5.6792776666666693</v>
      </c>
      <c r="AB693" s="339">
        <f t="shared" si="108"/>
        <v>-0.31448625463053226</v>
      </c>
    </row>
    <row r="694" spans="2:28" ht="20.100000000000001" customHeight="1">
      <c r="B694" s="172">
        <v>1427200</v>
      </c>
      <c r="C694" s="174">
        <v>44658</v>
      </c>
      <c r="D694" s="181" t="s">
        <v>265</v>
      </c>
      <c r="E694" s="173" t="s">
        <v>33</v>
      </c>
      <c r="F694" s="176">
        <v>17.096666666666668</v>
      </c>
      <c r="G694" s="175">
        <f t="shared" si="110"/>
        <v>1</v>
      </c>
      <c r="H694" s="175">
        <f t="shared" si="103"/>
        <v>17.096666666666668</v>
      </c>
      <c r="I694" s="177">
        <f>IF(G694=0,0,IF(E694="MXN",1/HLOOKUP(YEAR(C694)+(MONTH(C694)/100),TC!$5:$37,DAY(C694)+2,FALSE),VLOOKUP(E694,Equivalencia!$5:$23,((MAX(Equivalencia!$3:$3)-YEAR(C694))*14)+MONTH(C694)+2,FALSE)))</f>
        <v>1</v>
      </c>
      <c r="J694" s="178">
        <f t="shared" si="111"/>
        <v>17.096666666666668</v>
      </c>
      <c r="K694" s="462">
        <f>IF(C694=0,0,VLOOKUP(YEAR(C694),INPC!$B$4:$O$29,MONTH(C694)+1))</f>
        <v>120.809</v>
      </c>
      <c r="L694" s="462">
        <f>IF(S694=0,0,VLOOKUP(YEAR(S694),INPC!$B$4:$O$29,MONTH(S694)+1))</f>
        <v>122.94799999999999</v>
      </c>
      <c r="M694" s="463">
        <f t="shared" si="104"/>
        <v>1.0177</v>
      </c>
      <c r="N694" s="465">
        <f t="shared" si="112"/>
        <v>17.39927766666667</v>
      </c>
      <c r="O694" s="179"/>
      <c r="P694" s="180">
        <v>1</v>
      </c>
      <c r="Q694" s="173" t="s">
        <v>583</v>
      </c>
      <c r="R694" s="173" t="s">
        <v>230</v>
      </c>
      <c r="S694" s="174">
        <v>44768</v>
      </c>
      <c r="T694" s="173" t="s">
        <v>33</v>
      </c>
      <c r="U694" s="182">
        <v>11.63</v>
      </c>
      <c r="V694" s="177">
        <f>IF(U694=0,0,IF(T694="MXN",1/HLOOKUP(YEAR(S694)+(MONTH(S694)/100),TC!$5:$37,DAY(S694)+2,FALSE),VLOOKUP(T694,Equivalencia!$1:$23,((MAX(Equivalencia!$3:$3)-YEAR(S694))*14)+MONTH(S694)+2,FALSE)))</f>
        <v>1</v>
      </c>
      <c r="W694" s="178">
        <f t="shared" si="109"/>
        <v>11.63</v>
      </c>
      <c r="X694" s="481">
        <f t="shared" si="105"/>
        <v>-5.4666666666666668</v>
      </c>
      <c r="Y694" s="179"/>
      <c r="Z694" s="466">
        <f t="shared" si="106"/>
        <v>17.39927766666667</v>
      </c>
      <c r="AA694" s="473">
        <f t="shared" si="107"/>
        <v>-5.7692776666666692</v>
      </c>
      <c r="AB694" s="339">
        <f t="shared" si="108"/>
        <v>-0.31975043868200426</v>
      </c>
    </row>
    <row r="695" spans="2:28" ht="20.100000000000001" customHeight="1">
      <c r="B695" s="172">
        <v>1427200</v>
      </c>
      <c r="C695" s="174">
        <v>44658</v>
      </c>
      <c r="D695" s="181" t="s">
        <v>265</v>
      </c>
      <c r="E695" s="173" t="s">
        <v>33</v>
      </c>
      <c r="F695" s="176">
        <v>17.096666666666668</v>
      </c>
      <c r="G695" s="175">
        <f t="shared" si="110"/>
        <v>1</v>
      </c>
      <c r="H695" s="175">
        <f t="shared" si="103"/>
        <v>17.096666666666668</v>
      </c>
      <c r="I695" s="177">
        <f>IF(G695=0,0,IF(E695="MXN",1/HLOOKUP(YEAR(C695)+(MONTH(C695)/100),TC!$5:$37,DAY(C695)+2,FALSE),VLOOKUP(E695,Equivalencia!$5:$23,((MAX(Equivalencia!$3:$3)-YEAR(C695))*14)+MONTH(C695)+2,FALSE)))</f>
        <v>1</v>
      </c>
      <c r="J695" s="178">
        <f t="shared" si="111"/>
        <v>17.096666666666668</v>
      </c>
      <c r="K695" s="462">
        <f>IF(C695=0,0,VLOOKUP(YEAR(C695),INPC!$B$4:$O$29,MONTH(C695)+1))</f>
        <v>120.809</v>
      </c>
      <c r="L695" s="462">
        <f>IF(S695=0,0,VLOOKUP(YEAR(S695),INPC!$B$4:$O$29,MONTH(S695)+1))</f>
        <v>122.94799999999999</v>
      </c>
      <c r="M695" s="463">
        <f t="shared" si="104"/>
        <v>1.0177</v>
      </c>
      <c r="N695" s="465">
        <f t="shared" si="112"/>
        <v>17.39927766666667</v>
      </c>
      <c r="O695" s="179"/>
      <c r="P695" s="180">
        <v>1</v>
      </c>
      <c r="Q695" s="173" t="s">
        <v>583</v>
      </c>
      <c r="R695" s="173" t="s">
        <v>230</v>
      </c>
      <c r="S695" s="174">
        <v>44768</v>
      </c>
      <c r="T695" s="173" t="s">
        <v>33</v>
      </c>
      <c r="U695" s="182">
        <v>11.727499999999999</v>
      </c>
      <c r="V695" s="177">
        <f>IF(U695=0,0,IF(T695="MXN",1/HLOOKUP(YEAR(S695)+(MONTH(S695)/100),TC!$5:$37,DAY(S695)+2,FALSE),VLOOKUP(T695,Equivalencia!$1:$23,((MAX(Equivalencia!$3:$3)-YEAR(S695))*14)+MONTH(S695)+2,FALSE)))</f>
        <v>1</v>
      </c>
      <c r="W695" s="178">
        <f t="shared" si="109"/>
        <v>11.727499999999999</v>
      </c>
      <c r="X695" s="481">
        <f t="shared" si="105"/>
        <v>-5.3691666666666684</v>
      </c>
      <c r="Y695" s="179"/>
      <c r="Z695" s="466">
        <f t="shared" si="106"/>
        <v>17.39927766666667</v>
      </c>
      <c r="AA695" s="473">
        <f t="shared" si="107"/>
        <v>-5.6717776666666708</v>
      </c>
      <c r="AB695" s="339">
        <f t="shared" si="108"/>
        <v>-0.31404757262624305</v>
      </c>
    </row>
    <row r="696" spans="2:28" ht="20.100000000000001" customHeight="1">
      <c r="B696" s="172">
        <v>1427200</v>
      </c>
      <c r="C696" s="174">
        <v>44658</v>
      </c>
      <c r="D696" s="181" t="s">
        <v>265</v>
      </c>
      <c r="E696" s="173" t="s">
        <v>33</v>
      </c>
      <c r="F696" s="176">
        <v>51.046071428571437</v>
      </c>
      <c r="G696" s="175">
        <f t="shared" si="110"/>
        <v>3</v>
      </c>
      <c r="H696" s="175">
        <f t="shared" si="103"/>
        <v>51.046071428571437</v>
      </c>
      <c r="I696" s="177">
        <f>IF(G696=0,0,IF(E696="MXN",1/HLOOKUP(YEAR(C696)+(MONTH(C696)/100),TC!$5:$37,DAY(C696)+2,FALSE),VLOOKUP(E696,Equivalencia!$5:$23,((MAX(Equivalencia!$3:$3)-YEAR(C696))*14)+MONTH(C696)+2,FALSE)))</f>
        <v>1</v>
      </c>
      <c r="J696" s="178">
        <f t="shared" si="111"/>
        <v>51.046071428571437</v>
      </c>
      <c r="K696" s="462">
        <f>IF(C696=0,0,VLOOKUP(YEAR(C696),INPC!$B$4:$O$29,MONTH(C696)+1))</f>
        <v>120.809</v>
      </c>
      <c r="L696" s="462">
        <f>IF(S696=0,0,VLOOKUP(YEAR(S696),INPC!$B$4:$O$29,MONTH(S696)+1))</f>
        <v>122.94799999999999</v>
      </c>
      <c r="M696" s="463">
        <f t="shared" si="104"/>
        <v>1.0177</v>
      </c>
      <c r="N696" s="465">
        <f t="shared" si="112"/>
        <v>51.949586892857155</v>
      </c>
      <c r="O696" s="179"/>
      <c r="P696" s="180">
        <v>3</v>
      </c>
      <c r="Q696" s="173" t="s">
        <v>583</v>
      </c>
      <c r="R696" s="173" t="s">
        <v>230</v>
      </c>
      <c r="S696" s="174">
        <v>44768</v>
      </c>
      <c r="T696" s="173" t="s">
        <v>33</v>
      </c>
      <c r="U696" s="182">
        <v>35.182499999999997</v>
      </c>
      <c r="V696" s="177">
        <f>IF(U696=0,0,IF(T696="MXN",1/HLOOKUP(YEAR(S696)+(MONTH(S696)/100),TC!$5:$37,DAY(S696)+2,FALSE),VLOOKUP(T696,Equivalencia!$1:$23,((MAX(Equivalencia!$3:$3)-YEAR(S696))*14)+MONTH(S696)+2,FALSE)))</f>
        <v>1</v>
      </c>
      <c r="W696" s="178">
        <f t="shared" si="109"/>
        <v>35.182499999999997</v>
      </c>
      <c r="X696" s="481">
        <f t="shared" si="105"/>
        <v>-15.86357142857144</v>
      </c>
      <c r="Y696" s="179"/>
      <c r="Z696" s="466">
        <f t="shared" si="106"/>
        <v>51.949586892857155</v>
      </c>
      <c r="AA696" s="473">
        <f t="shared" si="107"/>
        <v>-16.767086892857158</v>
      </c>
      <c r="AB696" s="339">
        <f t="shared" si="108"/>
        <v>-0.31076968284952688</v>
      </c>
    </row>
    <row r="697" spans="2:28" ht="20.100000000000001" customHeight="1">
      <c r="B697" s="172">
        <v>1427200</v>
      </c>
      <c r="C697" s="174">
        <v>44658</v>
      </c>
      <c r="D697" s="181" t="s">
        <v>265</v>
      </c>
      <c r="E697" s="173" t="s">
        <v>33</v>
      </c>
      <c r="F697" s="176">
        <v>68.061428571428578</v>
      </c>
      <c r="G697" s="175">
        <f t="shared" si="110"/>
        <v>4</v>
      </c>
      <c r="H697" s="175">
        <f t="shared" si="103"/>
        <v>68.061428571428578</v>
      </c>
      <c r="I697" s="177">
        <f>IF(G697=0,0,IF(E697="MXN",1/HLOOKUP(YEAR(C697)+(MONTH(C697)/100),TC!$5:$37,DAY(C697)+2,FALSE),VLOOKUP(E697,Equivalencia!$5:$23,((MAX(Equivalencia!$3:$3)-YEAR(C697))*14)+MONTH(C697)+2,FALSE)))</f>
        <v>1</v>
      </c>
      <c r="J697" s="178">
        <f t="shared" si="111"/>
        <v>68.061428571428578</v>
      </c>
      <c r="K697" s="462">
        <f>IF(C697=0,0,VLOOKUP(YEAR(C697),INPC!$B$4:$O$29,MONTH(C697)+1))</f>
        <v>120.809</v>
      </c>
      <c r="L697" s="462">
        <f>IF(S697=0,0,VLOOKUP(YEAR(S697),INPC!$B$4:$O$29,MONTH(S697)+1))</f>
        <v>122.94799999999999</v>
      </c>
      <c r="M697" s="463">
        <f t="shared" si="104"/>
        <v>1.0177</v>
      </c>
      <c r="N697" s="465">
        <f t="shared" si="112"/>
        <v>69.266115857142864</v>
      </c>
      <c r="O697" s="179"/>
      <c r="P697" s="180">
        <v>4</v>
      </c>
      <c r="Q697" s="173" t="s">
        <v>583</v>
      </c>
      <c r="R697" s="173" t="s">
        <v>230</v>
      </c>
      <c r="S697" s="174">
        <v>44768</v>
      </c>
      <c r="T697" s="173" t="s">
        <v>33</v>
      </c>
      <c r="U697" s="182">
        <v>46.54</v>
      </c>
      <c r="V697" s="177">
        <f>IF(U697=0,0,IF(T697="MXN",1/HLOOKUP(YEAR(S697)+(MONTH(S697)/100),TC!$5:$37,DAY(S697)+2,FALSE),VLOOKUP(T697,Equivalencia!$1:$23,((MAX(Equivalencia!$3:$3)-YEAR(S697))*14)+MONTH(S697)+2,FALSE)))</f>
        <v>1</v>
      </c>
      <c r="W697" s="178">
        <f t="shared" si="109"/>
        <v>46.54</v>
      </c>
      <c r="X697" s="481">
        <f t="shared" si="105"/>
        <v>-21.521428571428579</v>
      </c>
      <c r="Y697" s="179"/>
      <c r="Z697" s="466">
        <f t="shared" si="106"/>
        <v>69.266115857142864</v>
      </c>
      <c r="AA697" s="473">
        <f t="shared" si="107"/>
        <v>-22.726115857142865</v>
      </c>
      <c r="AB697" s="339">
        <f t="shared" si="108"/>
        <v>-0.31620594840795091</v>
      </c>
    </row>
    <row r="698" spans="2:28" ht="20.100000000000001" customHeight="1">
      <c r="B698" s="172">
        <v>1427200</v>
      </c>
      <c r="C698" s="174">
        <v>44658</v>
      </c>
      <c r="D698" s="181" t="s">
        <v>265</v>
      </c>
      <c r="E698" s="173" t="s">
        <v>33</v>
      </c>
      <c r="F698" s="176">
        <v>51.046071428571437</v>
      </c>
      <c r="G698" s="175">
        <f t="shared" si="110"/>
        <v>3</v>
      </c>
      <c r="H698" s="175">
        <f t="shared" si="103"/>
        <v>51.046071428571437</v>
      </c>
      <c r="I698" s="177">
        <f>IF(G698=0,0,IF(E698="MXN",1/HLOOKUP(YEAR(C698)+(MONTH(C698)/100),TC!$5:$37,DAY(C698)+2,FALSE),VLOOKUP(E698,Equivalencia!$5:$23,((MAX(Equivalencia!$3:$3)-YEAR(C698))*14)+MONTH(C698)+2,FALSE)))</f>
        <v>1</v>
      </c>
      <c r="J698" s="178">
        <f t="shared" si="111"/>
        <v>51.046071428571437</v>
      </c>
      <c r="K698" s="462">
        <f>IF(C698=0,0,VLOOKUP(YEAR(C698),INPC!$B$4:$O$29,MONTH(C698)+1))</f>
        <v>120.809</v>
      </c>
      <c r="L698" s="462">
        <f>IF(S698=0,0,VLOOKUP(YEAR(S698),INPC!$B$4:$O$29,MONTH(S698)+1))</f>
        <v>122.94799999999999</v>
      </c>
      <c r="M698" s="463">
        <f t="shared" si="104"/>
        <v>1.0177</v>
      </c>
      <c r="N698" s="465">
        <f t="shared" si="112"/>
        <v>51.949586892857155</v>
      </c>
      <c r="O698" s="179"/>
      <c r="P698" s="180">
        <v>3</v>
      </c>
      <c r="Q698" s="173" t="s">
        <v>583</v>
      </c>
      <c r="R698" s="173" t="s">
        <v>230</v>
      </c>
      <c r="S698" s="174">
        <v>44768</v>
      </c>
      <c r="T698" s="173" t="s">
        <v>33</v>
      </c>
      <c r="U698" s="182">
        <v>35.19</v>
      </c>
      <c r="V698" s="177">
        <f>IF(U698=0,0,IF(T698="MXN",1/HLOOKUP(YEAR(S698)+(MONTH(S698)/100),TC!$5:$37,DAY(S698)+2,FALSE),VLOOKUP(T698,Equivalencia!$1:$23,((MAX(Equivalencia!$3:$3)-YEAR(S698))*14)+MONTH(S698)+2,FALSE)))</f>
        <v>1</v>
      </c>
      <c r="W698" s="178">
        <f t="shared" si="109"/>
        <v>35.19</v>
      </c>
      <c r="X698" s="481">
        <f t="shared" si="105"/>
        <v>-15.85607142857144</v>
      </c>
      <c r="Y698" s="179"/>
      <c r="Z698" s="466">
        <f t="shared" si="106"/>
        <v>51.949586892857155</v>
      </c>
      <c r="AA698" s="473">
        <f t="shared" si="107"/>
        <v>-16.759586892857158</v>
      </c>
      <c r="AB698" s="339">
        <f t="shared" si="108"/>
        <v>-0.31062275675335327</v>
      </c>
    </row>
    <row r="699" spans="2:28" ht="20.100000000000001" customHeight="1">
      <c r="B699" s="172">
        <v>1427200</v>
      </c>
      <c r="C699" s="174">
        <v>44658</v>
      </c>
      <c r="D699" s="181" t="s">
        <v>265</v>
      </c>
      <c r="E699" s="173" t="s">
        <v>33</v>
      </c>
      <c r="F699" s="176">
        <v>51.046071428571437</v>
      </c>
      <c r="G699" s="175">
        <f t="shared" si="110"/>
        <v>3</v>
      </c>
      <c r="H699" s="175">
        <f t="shared" si="103"/>
        <v>51.046071428571437</v>
      </c>
      <c r="I699" s="177">
        <f>IF(G699=0,0,IF(E699="MXN",1/HLOOKUP(YEAR(C699)+(MONTH(C699)/100),TC!$5:$37,DAY(C699)+2,FALSE),VLOOKUP(E699,Equivalencia!$5:$23,((MAX(Equivalencia!$3:$3)-YEAR(C699))*14)+MONTH(C699)+2,FALSE)))</f>
        <v>1</v>
      </c>
      <c r="J699" s="178">
        <f t="shared" si="111"/>
        <v>51.046071428571437</v>
      </c>
      <c r="K699" s="462">
        <f>IF(C699=0,0,VLOOKUP(YEAR(C699),INPC!$B$4:$O$29,MONTH(C699)+1))</f>
        <v>120.809</v>
      </c>
      <c r="L699" s="462">
        <f>IF(S699=0,0,VLOOKUP(YEAR(S699),INPC!$B$4:$O$29,MONTH(S699)+1))</f>
        <v>122.94799999999999</v>
      </c>
      <c r="M699" s="463">
        <f t="shared" si="104"/>
        <v>1.0177</v>
      </c>
      <c r="N699" s="465">
        <f t="shared" si="112"/>
        <v>51.949586892857155</v>
      </c>
      <c r="O699" s="179"/>
      <c r="P699" s="180">
        <v>3</v>
      </c>
      <c r="Q699" s="173" t="s">
        <v>583</v>
      </c>
      <c r="R699" s="173" t="s">
        <v>230</v>
      </c>
      <c r="S699" s="174">
        <v>44768</v>
      </c>
      <c r="T699" s="173" t="s">
        <v>33</v>
      </c>
      <c r="U699" s="182">
        <v>34.9</v>
      </c>
      <c r="V699" s="177">
        <f>IF(U699=0,0,IF(T699="MXN",1/HLOOKUP(YEAR(S699)+(MONTH(S699)/100),TC!$5:$37,DAY(S699)+2,FALSE),VLOOKUP(T699,Equivalencia!$1:$23,((MAX(Equivalencia!$3:$3)-YEAR(S699))*14)+MONTH(S699)+2,FALSE)))</f>
        <v>1</v>
      </c>
      <c r="W699" s="178">
        <f t="shared" si="109"/>
        <v>34.9</v>
      </c>
      <c r="X699" s="481">
        <f t="shared" si="105"/>
        <v>-16.146071428571439</v>
      </c>
      <c r="Y699" s="179"/>
      <c r="Z699" s="466">
        <f t="shared" si="106"/>
        <v>51.949586892857155</v>
      </c>
      <c r="AA699" s="473">
        <f t="shared" si="107"/>
        <v>-17.049586892857157</v>
      </c>
      <c r="AB699" s="339">
        <f t="shared" si="108"/>
        <v>-0.31630389913873336</v>
      </c>
    </row>
    <row r="700" spans="2:28" ht="20.100000000000001" customHeight="1">
      <c r="B700" s="172">
        <v>1427200</v>
      </c>
      <c r="C700" s="174">
        <v>44658</v>
      </c>
      <c r="D700" s="181" t="s">
        <v>265</v>
      </c>
      <c r="E700" s="173" t="s">
        <v>33</v>
      </c>
      <c r="F700" s="176">
        <v>17.015357142857145</v>
      </c>
      <c r="G700" s="175">
        <f t="shared" si="110"/>
        <v>1</v>
      </c>
      <c r="H700" s="175">
        <f t="shared" si="103"/>
        <v>17.015357142857145</v>
      </c>
      <c r="I700" s="177">
        <f>IF(G700=0,0,IF(E700="MXN",1/HLOOKUP(YEAR(C700)+(MONTH(C700)/100),TC!$5:$37,DAY(C700)+2,FALSE),VLOOKUP(E700,Equivalencia!$5:$23,((MAX(Equivalencia!$3:$3)-YEAR(C700))*14)+MONTH(C700)+2,FALSE)))</f>
        <v>1</v>
      </c>
      <c r="J700" s="178">
        <f t="shared" si="111"/>
        <v>17.015357142857145</v>
      </c>
      <c r="K700" s="462">
        <f>IF(C700=0,0,VLOOKUP(YEAR(C700),INPC!$B$4:$O$29,MONTH(C700)+1))</f>
        <v>120.809</v>
      </c>
      <c r="L700" s="462">
        <f>IF(S700=0,0,VLOOKUP(YEAR(S700),INPC!$B$4:$O$29,MONTH(S700)+1))</f>
        <v>122.94799999999999</v>
      </c>
      <c r="M700" s="463">
        <f t="shared" si="104"/>
        <v>1.0177</v>
      </c>
      <c r="N700" s="465">
        <f t="shared" si="112"/>
        <v>17.316528964285716</v>
      </c>
      <c r="O700" s="179"/>
      <c r="P700" s="180">
        <v>1</v>
      </c>
      <c r="Q700" s="173" t="s">
        <v>583</v>
      </c>
      <c r="R700" s="173" t="s">
        <v>230</v>
      </c>
      <c r="S700" s="174">
        <v>44768</v>
      </c>
      <c r="T700" s="173" t="s">
        <v>33</v>
      </c>
      <c r="U700" s="182">
        <v>11.64</v>
      </c>
      <c r="V700" s="177">
        <f>IF(U700=0,0,IF(T700="MXN",1/HLOOKUP(YEAR(S700)+(MONTH(S700)/100),TC!$5:$37,DAY(S700)+2,FALSE),VLOOKUP(T700,Equivalencia!$1:$23,((MAX(Equivalencia!$3:$3)-YEAR(S700))*14)+MONTH(S700)+2,FALSE)))</f>
        <v>1</v>
      </c>
      <c r="W700" s="178">
        <f t="shared" si="109"/>
        <v>11.64</v>
      </c>
      <c r="X700" s="481">
        <f t="shared" si="105"/>
        <v>-5.3753571428571441</v>
      </c>
      <c r="Y700" s="179"/>
      <c r="Z700" s="466">
        <f t="shared" si="106"/>
        <v>17.316528964285716</v>
      </c>
      <c r="AA700" s="473">
        <f t="shared" si="107"/>
        <v>-5.6765289642857155</v>
      </c>
      <c r="AB700" s="339">
        <f t="shared" si="108"/>
        <v>-0.31591209621560357</v>
      </c>
    </row>
    <row r="701" spans="2:28" ht="20.100000000000001" customHeight="1">
      <c r="B701" s="172">
        <v>1427200</v>
      </c>
      <c r="C701" s="174">
        <v>44658</v>
      </c>
      <c r="D701" s="181" t="s">
        <v>265</v>
      </c>
      <c r="E701" s="173" t="s">
        <v>33</v>
      </c>
      <c r="F701" s="176">
        <v>34.030714285714289</v>
      </c>
      <c r="G701" s="175">
        <f t="shared" si="110"/>
        <v>2</v>
      </c>
      <c r="H701" s="175">
        <f t="shared" si="103"/>
        <v>34.030714285714289</v>
      </c>
      <c r="I701" s="177">
        <f>IF(G701=0,0,IF(E701="MXN",1/HLOOKUP(YEAR(C701)+(MONTH(C701)/100),TC!$5:$37,DAY(C701)+2,FALSE),VLOOKUP(E701,Equivalencia!$5:$23,((MAX(Equivalencia!$3:$3)-YEAR(C701))*14)+MONTH(C701)+2,FALSE)))</f>
        <v>1</v>
      </c>
      <c r="J701" s="178">
        <f t="shared" si="111"/>
        <v>34.030714285714289</v>
      </c>
      <c r="K701" s="462">
        <f>IF(C701=0,0,VLOOKUP(YEAR(C701),INPC!$B$4:$O$29,MONTH(C701)+1))</f>
        <v>120.809</v>
      </c>
      <c r="L701" s="462">
        <f>IF(S701=0,0,VLOOKUP(YEAR(S701),INPC!$B$4:$O$29,MONTH(S701)+1))</f>
        <v>122.94799999999999</v>
      </c>
      <c r="M701" s="463">
        <f t="shared" si="104"/>
        <v>1.0177</v>
      </c>
      <c r="N701" s="465">
        <f t="shared" si="112"/>
        <v>34.633057928571432</v>
      </c>
      <c r="O701" s="179"/>
      <c r="P701" s="180">
        <v>2</v>
      </c>
      <c r="Q701" s="173" t="s">
        <v>583</v>
      </c>
      <c r="R701" s="173" t="s">
        <v>230</v>
      </c>
      <c r="S701" s="174">
        <v>44768</v>
      </c>
      <c r="T701" s="173" t="s">
        <v>33</v>
      </c>
      <c r="U701" s="182">
        <v>23.27</v>
      </c>
      <c r="V701" s="177">
        <f>IF(U701=0,0,IF(T701="MXN",1/HLOOKUP(YEAR(S701)+(MONTH(S701)/100),TC!$5:$37,DAY(S701)+2,FALSE),VLOOKUP(T701,Equivalencia!$1:$23,((MAX(Equivalencia!$3:$3)-YEAR(S701))*14)+MONTH(S701)+2,FALSE)))</f>
        <v>1</v>
      </c>
      <c r="W701" s="178">
        <f t="shared" si="109"/>
        <v>23.27</v>
      </c>
      <c r="X701" s="481">
        <f t="shared" si="105"/>
        <v>-10.76071428571429</v>
      </c>
      <c r="Y701" s="179"/>
      <c r="Z701" s="466">
        <f t="shared" si="106"/>
        <v>34.633057928571432</v>
      </c>
      <c r="AA701" s="473">
        <f t="shared" si="107"/>
        <v>-11.363057928571433</v>
      </c>
      <c r="AB701" s="339">
        <f t="shared" si="108"/>
        <v>-0.31620594840795091</v>
      </c>
    </row>
    <row r="702" spans="2:28" ht="20.100000000000001" customHeight="1">
      <c r="B702" s="172">
        <v>1427200</v>
      </c>
      <c r="C702" s="174">
        <v>44658</v>
      </c>
      <c r="D702" s="181" t="s">
        <v>265</v>
      </c>
      <c r="E702" s="173" t="s">
        <v>33</v>
      </c>
      <c r="F702" s="176">
        <v>34.030714285714289</v>
      </c>
      <c r="G702" s="175">
        <f t="shared" si="110"/>
        <v>2</v>
      </c>
      <c r="H702" s="175">
        <f t="shared" si="103"/>
        <v>34.030714285714289</v>
      </c>
      <c r="I702" s="177">
        <f>IF(G702=0,0,IF(E702="MXN",1/HLOOKUP(YEAR(C702)+(MONTH(C702)/100),TC!$5:$37,DAY(C702)+2,FALSE),VLOOKUP(E702,Equivalencia!$5:$23,((MAX(Equivalencia!$3:$3)-YEAR(C702))*14)+MONTH(C702)+2,FALSE)))</f>
        <v>1</v>
      </c>
      <c r="J702" s="178">
        <f t="shared" si="111"/>
        <v>34.030714285714289</v>
      </c>
      <c r="K702" s="462">
        <f>IF(C702=0,0,VLOOKUP(YEAR(C702),INPC!$B$4:$O$29,MONTH(C702)+1))</f>
        <v>120.809</v>
      </c>
      <c r="L702" s="462">
        <f>IF(S702=0,0,VLOOKUP(YEAR(S702),INPC!$B$4:$O$29,MONTH(S702)+1))</f>
        <v>122.94799999999999</v>
      </c>
      <c r="M702" s="463">
        <f t="shared" si="104"/>
        <v>1.0177</v>
      </c>
      <c r="N702" s="465">
        <f t="shared" si="112"/>
        <v>34.633057928571432</v>
      </c>
      <c r="O702" s="179"/>
      <c r="P702" s="180">
        <v>2</v>
      </c>
      <c r="Q702" s="173" t="s">
        <v>583</v>
      </c>
      <c r="R702" s="173" t="s">
        <v>230</v>
      </c>
      <c r="S702" s="174">
        <v>44768</v>
      </c>
      <c r="T702" s="173" t="s">
        <v>33</v>
      </c>
      <c r="U702" s="182">
        <v>23.27</v>
      </c>
      <c r="V702" s="177">
        <f>IF(U702=0,0,IF(T702="MXN",1/HLOOKUP(YEAR(S702)+(MONTH(S702)/100),TC!$5:$37,DAY(S702)+2,FALSE),VLOOKUP(T702,Equivalencia!$1:$23,((MAX(Equivalencia!$3:$3)-YEAR(S702))*14)+MONTH(S702)+2,FALSE)))</f>
        <v>1</v>
      </c>
      <c r="W702" s="178">
        <f t="shared" si="109"/>
        <v>23.27</v>
      </c>
      <c r="X702" s="481">
        <f t="shared" si="105"/>
        <v>-10.76071428571429</v>
      </c>
      <c r="Y702" s="179"/>
      <c r="Z702" s="466">
        <f t="shared" si="106"/>
        <v>34.633057928571432</v>
      </c>
      <c r="AA702" s="473">
        <f t="shared" si="107"/>
        <v>-11.363057928571433</v>
      </c>
      <c r="AB702" s="339">
        <f t="shared" si="108"/>
        <v>-0.31620594840795091</v>
      </c>
    </row>
    <row r="703" spans="2:28" ht="20.100000000000001" customHeight="1">
      <c r="B703" s="172">
        <v>1427200</v>
      </c>
      <c r="C703" s="174">
        <v>44658</v>
      </c>
      <c r="D703" s="181" t="s">
        <v>265</v>
      </c>
      <c r="E703" s="173" t="s">
        <v>33</v>
      </c>
      <c r="F703" s="176">
        <v>85.07678571428572</v>
      </c>
      <c r="G703" s="175">
        <f t="shared" si="110"/>
        <v>5</v>
      </c>
      <c r="H703" s="175">
        <f t="shared" si="103"/>
        <v>85.07678571428572</v>
      </c>
      <c r="I703" s="177">
        <f>IF(G703=0,0,IF(E703="MXN",1/HLOOKUP(YEAR(C703)+(MONTH(C703)/100),TC!$5:$37,DAY(C703)+2,FALSE),VLOOKUP(E703,Equivalencia!$5:$23,((MAX(Equivalencia!$3:$3)-YEAR(C703))*14)+MONTH(C703)+2,FALSE)))</f>
        <v>1</v>
      </c>
      <c r="J703" s="178">
        <f t="shared" si="111"/>
        <v>85.07678571428572</v>
      </c>
      <c r="K703" s="462">
        <f>IF(C703=0,0,VLOOKUP(YEAR(C703),INPC!$B$4:$O$29,MONTH(C703)+1))</f>
        <v>120.809</v>
      </c>
      <c r="L703" s="462">
        <f>IF(S703=0,0,VLOOKUP(YEAR(S703),INPC!$B$4:$O$29,MONTH(S703)+1))</f>
        <v>122.94799999999999</v>
      </c>
      <c r="M703" s="463">
        <f t="shared" si="104"/>
        <v>1.0177</v>
      </c>
      <c r="N703" s="465">
        <f t="shared" si="112"/>
        <v>86.582644821428588</v>
      </c>
      <c r="O703" s="179"/>
      <c r="P703" s="180">
        <v>5</v>
      </c>
      <c r="Q703" s="173" t="s">
        <v>583</v>
      </c>
      <c r="R703" s="173" t="s">
        <v>230</v>
      </c>
      <c r="S703" s="174">
        <v>44768</v>
      </c>
      <c r="T703" s="173" t="s">
        <v>33</v>
      </c>
      <c r="U703" s="182">
        <v>58.48</v>
      </c>
      <c r="V703" s="177">
        <f>IF(U703=0,0,IF(T703="MXN",1/HLOOKUP(YEAR(S703)+(MONTH(S703)/100),TC!$5:$37,DAY(S703)+2,FALSE),VLOOKUP(T703,Equivalencia!$1:$23,((MAX(Equivalencia!$3:$3)-YEAR(S703))*14)+MONTH(S703)+2,FALSE)))</f>
        <v>1</v>
      </c>
      <c r="W703" s="178">
        <f t="shared" si="109"/>
        <v>58.48</v>
      </c>
      <c r="X703" s="481">
        <f t="shared" si="105"/>
        <v>-26.596785714285723</v>
      </c>
      <c r="Y703" s="179"/>
      <c r="Z703" s="466">
        <f t="shared" si="106"/>
        <v>86.582644821428588</v>
      </c>
      <c r="AA703" s="473">
        <f t="shared" si="107"/>
        <v>-28.102644821428591</v>
      </c>
      <c r="AB703" s="339">
        <f t="shared" si="108"/>
        <v>-0.31262095166131443</v>
      </c>
    </row>
    <row r="704" spans="2:28" ht="20.100000000000001" customHeight="1">
      <c r="B704" s="172">
        <v>1427200</v>
      </c>
      <c r="C704" s="174">
        <v>44658</v>
      </c>
      <c r="D704" s="181" t="s">
        <v>265</v>
      </c>
      <c r="E704" s="173" t="s">
        <v>33</v>
      </c>
      <c r="F704" s="176">
        <v>85.07678571428572</v>
      </c>
      <c r="G704" s="175">
        <f t="shared" si="110"/>
        <v>5</v>
      </c>
      <c r="H704" s="175">
        <f t="shared" si="103"/>
        <v>85.07678571428572</v>
      </c>
      <c r="I704" s="177">
        <f>IF(G704=0,0,IF(E704="MXN",1/HLOOKUP(YEAR(C704)+(MONTH(C704)/100),TC!$5:$37,DAY(C704)+2,FALSE),VLOOKUP(E704,Equivalencia!$5:$23,((MAX(Equivalencia!$3:$3)-YEAR(C704))*14)+MONTH(C704)+2,FALSE)))</f>
        <v>1</v>
      </c>
      <c r="J704" s="178">
        <f t="shared" si="111"/>
        <v>85.07678571428572</v>
      </c>
      <c r="K704" s="462">
        <f>IF(C704=0,0,VLOOKUP(YEAR(C704),INPC!$B$4:$O$29,MONTH(C704)+1))</f>
        <v>120.809</v>
      </c>
      <c r="L704" s="462">
        <f>IF(S704=0,0,VLOOKUP(YEAR(S704),INPC!$B$4:$O$29,MONTH(S704)+1))</f>
        <v>122.94799999999999</v>
      </c>
      <c r="M704" s="463">
        <f t="shared" si="104"/>
        <v>1.0177</v>
      </c>
      <c r="N704" s="465">
        <f t="shared" si="112"/>
        <v>86.582644821428588</v>
      </c>
      <c r="O704" s="179"/>
      <c r="P704" s="180">
        <v>5</v>
      </c>
      <c r="Q704" s="173" t="s">
        <v>583</v>
      </c>
      <c r="R704" s="173" t="s">
        <v>230</v>
      </c>
      <c r="S704" s="174">
        <v>44768</v>
      </c>
      <c r="T704" s="173" t="s">
        <v>33</v>
      </c>
      <c r="U704" s="182">
        <v>58.179999999999993</v>
      </c>
      <c r="V704" s="177">
        <f>IF(U704=0,0,IF(T704="MXN",1/HLOOKUP(YEAR(S704)+(MONTH(S704)/100),TC!$5:$37,DAY(S704)+2,FALSE),VLOOKUP(T704,Equivalencia!$1:$23,((MAX(Equivalencia!$3:$3)-YEAR(S704))*14)+MONTH(S704)+2,FALSE)))</f>
        <v>1</v>
      </c>
      <c r="W704" s="178">
        <f t="shared" si="109"/>
        <v>58.179999999999993</v>
      </c>
      <c r="X704" s="481">
        <f t="shared" si="105"/>
        <v>-26.896785714285727</v>
      </c>
      <c r="Y704" s="179"/>
      <c r="Z704" s="466">
        <f t="shared" si="106"/>
        <v>86.582644821428588</v>
      </c>
      <c r="AA704" s="473">
        <f t="shared" si="107"/>
        <v>-28.402644821428595</v>
      </c>
      <c r="AB704" s="339">
        <f t="shared" si="108"/>
        <v>-0.31614717796948144</v>
      </c>
    </row>
    <row r="705" spans="2:28" ht="20.100000000000001" customHeight="1">
      <c r="B705" s="172">
        <v>1427200</v>
      </c>
      <c r="C705" s="174">
        <v>44659</v>
      </c>
      <c r="D705" s="181" t="s">
        <v>265</v>
      </c>
      <c r="E705" s="173" t="s">
        <v>33</v>
      </c>
      <c r="F705" s="176">
        <v>48.760000000000005</v>
      </c>
      <c r="G705" s="175">
        <f t="shared" si="110"/>
        <v>3</v>
      </c>
      <c r="H705" s="175">
        <f t="shared" si="103"/>
        <v>48.760000000000005</v>
      </c>
      <c r="I705" s="177">
        <f>IF(G705=0,0,IF(E705="MXN",1/HLOOKUP(YEAR(C705)+(MONTH(C705)/100),TC!$5:$37,DAY(C705)+2,FALSE),VLOOKUP(E705,Equivalencia!$5:$23,((MAX(Equivalencia!$3:$3)-YEAR(C705))*14)+MONTH(C705)+2,FALSE)))</f>
        <v>1</v>
      </c>
      <c r="J705" s="178">
        <f t="shared" si="111"/>
        <v>48.760000000000005</v>
      </c>
      <c r="K705" s="462">
        <f>IF(C705=0,0,VLOOKUP(YEAR(C705),INPC!$B$4:$O$29,MONTH(C705)+1))</f>
        <v>120.809</v>
      </c>
      <c r="L705" s="462">
        <f>IF(S705=0,0,VLOOKUP(YEAR(S705),INPC!$B$4:$O$29,MONTH(S705)+1))</f>
        <v>122.94799999999999</v>
      </c>
      <c r="M705" s="463">
        <f t="shared" si="104"/>
        <v>1.0177</v>
      </c>
      <c r="N705" s="465">
        <f t="shared" si="112"/>
        <v>49.623052000000008</v>
      </c>
      <c r="O705" s="179"/>
      <c r="P705" s="180">
        <v>3</v>
      </c>
      <c r="Q705" s="173" t="s">
        <v>583</v>
      </c>
      <c r="R705" s="173" t="s">
        <v>230</v>
      </c>
      <c r="S705" s="174">
        <v>44768</v>
      </c>
      <c r="T705" s="173" t="s">
        <v>33</v>
      </c>
      <c r="U705" s="182">
        <v>35.090000000000003</v>
      </c>
      <c r="V705" s="177">
        <f>IF(U705=0,0,IF(T705="MXN",1/HLOOKUP(YEAR(S705)+(MONTH(S705)/100),TC!$5:$37,DAY(S705)+2,FALSE),VLOOKUP(T705,Equivalencia!$1:$23,((MAX(Equivalencia!$3:$3)-YEAR(S705))*14)+MONTH(S705)+2,FALSE)))</f>
        <v>1</v>
      </c>
      <c r="W705" s="178">
        <f t="shared" si="109"/>
        <v>35.090000000000003</v>
      </c>
      <c r="X705" s="481">
        <f t="shared" si="105"/>
        <v>-13.670000000000002</v>
      </c>
      <c r="Y705" s="179"/>
      <c r="Z705" s="466">
        <f t="shared" si="106"/>
        <v>49.623052000000008</v>
      </c>
      <c r="AA705" s="473">
        <f t="shared" si="107"/>
        <v>-14.533052000000005</v>
      </c>
      <c r="AB705" s="339">
        <f t="shared" si="108"/>
        <v>-0.28035274815422473</v>
      </c>
    </row>
    <row r="706" spans="2:28" ht="20.100000000000001" customHeight="1">
      <c r="B706" s="172">
        <v>1427200</v>
      </c>
      <c r="C706" s="174">
        <v>44659</v>
      </c>
      <c r="D706" s="181" t="s">
        <v>265</v>
      </c>
      <c r="E706" s="173" t="s">
        <v>33</v>
      </c>
      <c r="F706" s="176">
        <v>16.41</v>
      </c>
      <c r="G706" s="175">
        <f t="shared" si="110"/>
        <v>1</v>
      </c>
      <c r="H706" s="175">
        <f t="shared" ref="H706:H769" si="113">IF(F706=0,0,(F706/G706)*P706)</f>
        <v>16.41</v>
      </c>
      <c r="I706" s="177">
        <f>IF(G706=0,0,IF(E706="MXN",1/HLOOKUP(YEAR(C706)+(MONTH(C706)/100),TC!$5:$37,DAY(C706)+2,FALSE),VLOOKUP(E706,Equivalencia!$5:$23,((MAX(Equivalencia!$3:$3)-YEAR(C706))*14)+MONTH(C706)+2,FALSE)))</f>
        <v>1</v>
      </c>
      <c r="J706" s="178">
        <f t="shared" si="111"/>
        <v>16.41</v>
      </c>
      <c r="K706" s="462">
        <f>IF(C706=0,0,VLOOKUP(YEAR(C706),INPC!$B$4:$O$29,MONTH(C706)+1))</f>
        <v>120.809</v>
      </c>
      <c r="L706" s="462">
        <f>IF(S706=0,0,VLOOKUP(YEAR(S706),INPC!$B$4:$O$29,MONTH(S706)+1))</f>
        <v>122.94799999999999</v>
      </c>
      <c r="M706" s="463">
        <f t="shared" ref="M706:M769" si="114">IF(H706=0,0,IF(R706=$AF$4,1,IF(TRUNC(L706/K706,4)&gt;=1,TRUNC(L706/K706,4),1)))</f>
        <v>1.0177</v>
      </c>
      <c r="N706" s="465">
        <f t="shared" si="112"/>
        <v>16.700457</v>
      </c>
      <c r="O706" s="179"/>
      <c r="P706" s="180">
        <v>1</v>
      </c>
      <c r="Q706" s="173" t="s">
        <v>583</v>
      </c>
      <c r="R706" s="173" t="s">
        <v>230</v>
      </c>
      <c r="S706" s="174">
        <v>44768</v>
      </c>
      <c r="T706" s="173" t="s">
        <v>33</v>
      </c>
      <c r="U706" s="182">
        <v>11.696666666666667</v>
      </c>
      <c r="V706" s="177">
        <f>IF(U706=0,0,IF(T706="MXN",1/HLOOKUP(YEAR(S706)+(MONTH(S706)/100),TC!$5:$37,DAY(S706)+2,FALSE),VLOOKUP(T706,Equivalencia!$1:$23,((MAX(Equivalencia!$3:$3)-YEAR(S706))*14)+MONTH(S706)+2,FALSE)))</f>
        <v>1</v>
      </c>
      <c r="W706" s="178">
        <f t="shared" si="109"/>
        <v>11.696666666666667</v>
      </c>
      <c r="X706" s="481">
        <f t="shared" ref="X706:X769" si="115">+W706-J706</f>
        <v>-4.7133333333333329</v>
      </c>
      <c r="Y706" s="179"/>
      <c r="Z706" s="466">
        <f t="shared" ref="Z706:Z769" si="116">N706</f>
        <v>16.700457</v>
      </c>
      <c r="AA706" s="473">
        <f t="shared" ref="AA706:AA769" si="117">+W706-Z706</f>
        <v>-5.0037903333333329</v>
      </c>
      <c r="AB706" s="339">
        <f t="shared" ref="AB706:AB769" si="118">+IF(P706=0,0,(U706/F706)-1)</f>
        <v>-0.28722323786309156</v>
      </c>
    </row>
    <row r="707" spans="2:28" ht="20.100000000000001" customHeight="1">
      <c r="B707" s="172">
        <v>1427200</v>
      </c>
      <c r="C707" s="174">
        <v>44659</v>
      </c>
      <c r="D707" s="181" t="s">
        <v>265</v>
      </c>
      <c r="E707" s="173" t="s">
        <v>33</v>
      </c>
      <c r="F707" s="176">
        <v>32.688749999999999</v>
      </c>
      <c r="G707" s="175">
        <f t="shared" si="110"/>
        <v>2</v>
      </c>
      <c r="H707" s="175">
        <f t="shared" si="113"/>
        <v>32.688749999999999</v>
      </c>
      <c r="I707" s="177">
        <f>IF(G707=0,0,IF(E707="MXN",1/HLOOKUP(YEAR(C707)+(MONTH(C707)/100),TC!$5:$37,DAY(C707)+2,FALSE),VLOOKUP(E707,Equivalencia!$5:$23,((MAX(Equivalencia!$3:$3)-YEAR(C707))*14)+MONTH(C707)+2,FALSE)))</f>
        <v>1</v>
      </c>
      <c r="J707" s="178">
        <f t="shared" si="111"/>
        <v>32.688749999999999</v>
      </c>
      <c r="K707" s="462">
        <f>IF(C707=0,0,VLOOKUP(YEAR(C707),INPC!$B$4:$O$29,MONTH(C707)+1))</f>
        <v>120.809</v>
      </c>
      <c r="L707" s="462">
        <f>IF(S707=0,0,VLOOKUP(YEAR(S707),INPC!$B$4:$O$29,MONTH(S707)+1))</f>
        <v>122.94799999999999</v>
      </c>
      <c r="M707" s="463">
        <f t="shared" si="114"/>
        <v>1.0177</v>
      </c>
      <c r="N707" s="465">
        <f t="shared" si="112"/>
        <v>33.267340875000002</v>
      </c>
      <c r="O707" s="179"/>
      <c r="P707" s="180">
        <v>2</v>
      </c>
      <c r="Q707" s="173" t="s">
        <v>583</v>
      </c>
      <c r="R707" s="173" t="s">
        <v>230</v>
      </c>
      <c r="S707" s="174">
        <v>44768</v>
      </c>
      <c r="T707" s="173" t="s">
        <v>33</v>
      </c>
      <c r="U707" s="182">
        <v>23.393333333333334</v>
      </c>
      <c r="V707" s="177">
        <f>IF(U707=0,0,IF(T707="MXN",1/HLOOKUP(YEAR(S707)+(MONTH(S707)/100),TC!$5:$37,DAY(S707)+2,FALSE),VLOOKUP(T707,Equivalencia!$1:$23,((MAX(Equivalencia!$3:$3)-YEAR(S707))*14)+MONTH(S707)+2,FALSE)))</f>
        <v>1</v>
      </c>
      <c r="W707" s="178">
        <f t="shared" ref="W707:W770" si="119">+V707*U707</f>
        <v>23.393333333333334</v>
      </c>
      <c r="X707" s="481">
        <f t="shared" si="115"/>
        <v>-9.2954166666666644</v>
      </c>
      <c r="Y707" s="179"/>
      <c r="Z707" s="466">
        <f t="shared" si="116"/>
        <v>33.267340875000002</v>
      </c>
      <c r="AA707" s="473">
        <f t="shared" si="117"/>
        <v>-9.8740075416666677</v>
      </c>
      <c r="AB707" s="339">
        <f t="shared" si="118"/>
        <v>-0.2843613373612226</v>
      </c>
    </row>
    <row r="708" spans="2:28" ht="20.100000000000001" customHeight="1">
      <c r="B708" s="172">
        <v>1427200</v>
      </c>
      <c r="C708" s="174">
        <v>44659</v>
      </c>
      <c r="D708" s="181" t="s">
        <v>265</v>
      </c>
      <c r="E708" s="173" t="s">
        <v>33</v>
      </c>
      <c r="F708" s="176">
        <v>98.066249999999997</v>
      </c>
      <c r="G708" s="175">
        <f t="shared" si="110"/>
        <v>6</v>
      </c>
      <c r="H708" s="175">
        <f t="shared" si="113"/>
        <v>98.066249999999997</v>
      </c>
      <c r="I708" s="177">
        <f>IF(G708=0,0,IF(E708="MXN",1/HLOOKUP(YEAR(C708)+(MONTH(C708)/100),TC!$5:$37,DAY(C708)+2,FALSE),VLOOKUP(E708,Equivalencia!$5:$23,((MAX(Equivalencia!$3:$3)-YEAR(C708))*14)+MONTH(C708)+2,FALSE)))</f>
        <v>1</v>
      </c>
      <c r="J708" s="178">
        <f t="shared" si="111"/>
        <v>98.066249999999997</v>
      </c>
      <c r="K708" s="462">
        <f>IF(C708=0,0,VLOOKUP(YEAR(C708),INPC!$B$4:$O$29,MONTH(C708)+1))</f>
        <v>120.809</v>
      </c>
      <c r="L708" s="462">
        <f>IF(S708=0,0,VLOOKUP(YEAR(S708),INPC!$B$4:$O$29,MONTH(S708)+1))</f>
        <v>122.94799999999999</v>
      </c>
      <c r="M708" s="463">
        <f t="shared" si="114"/>
        <v>1.0177</v>
      </c>
      <c r="N708" s="465">
        <f t="shared" si="112"/>
        <v>99.802022625000006</v>
      </c>
      <c r="O708" s="179"/>
      <c r="P708" s="180">
        <v>6</v>
      </c>
      <c r="Q708" s="173" t="s">
        <v>583</v>
      </c>
      <c r="R708" s="173" t="s">
        <v>230</v>
      </c>
      <c r="S708" s="174">
        <v>44768</v>
      </c>
      <c r="T708" s="173" t="s">
        <v>33</v>
      </c>
      <c r="U708" s="182">
        <v>69.81</v>
      </c>
      <c r="V708" s="177">
        <f>IF(U708=0,0,IF(T708="MXN",1/HLOOKUP(YEAR(S708)+(MONTH(S708)/100),TC!$5:$37,DAY(S708)+2,FALSE),VLOOKUP(T708,Equivalencia!$1:$23,((MAX(Equivalencia!$3:$3)-YEAR(S708))*14)+MONTH(S708)+2,FALSE)))</f>
        <v>1</v>
      </c>
      <c r="W708" s="178">
        <f t="shared" si="119"/>
        <v>69.81</v>
      </c>
      <c r="X708" s="481">
        <f t="shared" si="115"/>
        <v>-28.256249999999994</v>
      </c>
      <c r="Y708" s="179"/>
      <c r="Z708" s="466">
        <f t="shared" si="116"/>
        <v>99.802022625000006</v>
      </c>
      <c r="AA708" s="473">
        <f t="shared" si="117"/>
        <v>-29.992022625000004</v>
      </c>
      <c r="AB708" s="339">
        <f t="shared" si="118"/>
        <v>-0.28813429696761117</v>
      </c>
    </row>
    <row r="709" spans="2:28" ht="20.100000000000001" customHeight="1">
      <c r="B709" s="172">
        <v>1427200</v>
      </c>
      <c r="C709" s="174">
        <v>44659</v>
      </c>
      <c r="D709" s="181" t="s">
        <v>265</v>
      </c>
      <c r="E709" s="173" t="s">
        <v>33</v>
      </c>
      <c r="F709" s="176">
        <v>16.344374999999999</v>
      </c>
      <c r="G709" s="175">
        <f t="shared" si="110"/>
        <v>1</v>
      </c>
      <c r="H709" s="175">
        <f t="shared" si="113"/>
        <v>16.344374999999999</v>
      </c>
      <c r="I709" s="177">
        <f>IF(G709=0,0,IF(E709="MXN",1/HLOOKUP(YEAR(C709)+(MONTH(C709)/100),TC!$5:$37,DAY(C709)+2,FALSE),VLOOKUP(E709,Equivalencia!$5:$23,((MAX(Equivalencia!$3:$3)-YEAR(C709))*14)+MONTH(C709)+2,FALSE)))</f>
        <v>1</v>
      </c>
      <c r="J709" s="178">
        <f t="shared" si="111"/>
        <v>16.344374999999999</v>
      </c>
      <c r="K709" s="462">
        <f>IF(C709=0,0,VLOOKUP(YEAR(C709),INPC!$B$4:$O$29,MONTH(C709)+1))</f>
        <v>120.809</v>
      </c>
      <c r="L709" s="462">
        <f>IF(S709=0,0,VLOOKUP(YEAR(S709),INPC!$B$4:$O$29,MONTH(S709)+1))</f>
        <v>122.94799999999999</v>
      </c>
      <c r="M709" s="463">
        <f t="shared" si="114"/>
        <v>1.0177</v>
      </c>
      <c r="N709" s="465">
        <f t="shared" si="112"/>
        <v>16.633670437500001</v>
      </c>
      <c r="O709" s="179"/>
      <c r="P709" s="180">
        <v>1</v>
      </c>
      <c r="Q709" s="173" t="s">
        <v>583</v>
      </c>
      <c r="R709" s="173" t="s">
        <v>230</v>
      </c>
      <c r="S709" s="174">
        <v>44769</v>
      </c>
      <c r="T709" s="173" t="s">
        <v>33</v>
      </c>
      <c r="U709" s="182">
        <v>11.93</v>
      </c>
      <c r="V709" s="177">
        <f>IF(U709=0,0,IF(T709="MXN",1/HLOOKUP(YEAR(S709)+(MONTH(S709)/100),TC!$5:$37,DAY(S709)+2,FALSE),VLOOKUP(T709,Equivalencia!$1:$23,((MAX(Equivalencia!$3:$3)-YEAR(S709))*14)+MONTH(S709)+2,FALSE)))</f>
        <v>1</v>
      </c>
      <c r="W709" s="178">
        <f t="shared" si="119"/>
        <v>11.93</v>
      </c>
      <c r="X709" s="481">
        <f t="shared" si="115"/>
        <v>-4.4143749999999997</v>
      </c>
      <c r="Y709" s="179"/>
      <c r="Z709" s="466">
        <f t="shared" si="116"/>
        <v>16.633670437500001</v>
      </c>
      <c r="AA709" s="473">
        <f t="shared" si="117"/>
        <v>-4.7036704375000014</v>
      </c>
      <c r="AB709" s="339">
        <f t="shared" si="118"/>
        <v>-0.27008527398569848</v>
      </c>
    </row>
    <row r="710" spans="2:28" ht="20.100000000000001" customHeight="1">
      <c r="B710" s="172">
        <v>1427200</v>
      </c>
      <c r="C710" s="174">
        <v>44659</v>
      </c>
      <c r="D710" s="181" t="s">
        <v>265</v>
      </c>
      <c r="E710" s="173" t="s">
        <v>33</v>
      </c>
      <c r="F710" s="176">
        <v>65.377499999999998</v>
      </c>
      <c r="G710" s="175">
        <f t="shared" ref="G710:G773" si="120">+P710</f>
        <v>4</v>
      </c>
      <c r="H710" s="175">
        <f t="shared" si="113"/>
        <v>65.377499999999998</v>
      </c>
      <c r="I710" s="177">
        <f>IF(G710=0,0,IF(E710="MXN",1/HLOOKUP(YEAR(C710)+(MONTH(C710)/100),TC!$5:$37,DAY(C710)+2,FALSE),VLOOKUP(E710,Equivalencia!$5:$23,((MAX(Equivalencia!$3:$3)-YEAR(C710))*14)+MONTH(C710)+2,FALSE)))</f>
        <v>1</v>
      </c>
      <c r="J710" s="178">
        <f t="shared" ref="J710:J773" si="121">+H710*I710</f>
        <v>65.377499999999998</v>
      </c>
      <c r="K710" s="462">
        <f>IF(C710=0,0,VLOOKUP(YEAR(C710),INPC!$B$4:$O$29,MONTH(C710)+1))</f>
        <v>120.809</v>
      </c>
      <c r="L710" s="462">
        <f>IF(S710=0,0,VLOOKUP(YEAR(S710),INPC!$B$4:$O$29,MONTH(S710)+1))</f>
        <v>122.94799999999999</v>
      </c>
      <c r="M710" s="463">
        <f t="shared" si="114"/>
        <v>1.0177</v>
      </c>
      <c r="N710" s="465">
        <f t="shared" ref="N710:N773" si="122">+M710*J710</f>
        <v>66.534681750000004</v>
      </c>
      <c r="O710" s="179"/>
      <c r="P710" s="180">
        <v>4</v>
      </c>
      <c r="Q710" s="173" t="s">
        <v>583</v>
      </c>
      <c r="R710" s="173" t="s">
        <v>230</v>
      </c>
      <c r="S710" s="174">
        <v>44769</v>
      </c>
      <c r="T710" s="173" t="s">
        <v>33</v>
      </c>
      <c r="U710" s="182">
        <v>47.82</v>
      </c>
      <c r="V710" s="177">
        <f>IF(U710=0,0,IF(T710="MXN",1/HLOOKUP(YEAR(S710)+(MONTH(S710)/100),TC!$5:$37,DAY(S710)+2,FALSE),VLOOKUP(T710,Equivalencia!$1:$23,((MAX(Equivalencia!$3:$3)-YEAR(S710))*14)+MONTH(S710)+2,FALSE)))</f>
        <v>1</v>
      </c>
      <c r="W710" s="178">
        <f t="shared" si="119"/>
        <v>47.82</v>
      </c>
      <c r="X710" s="481">
        <f t="shared" si="115"/>
        <v>-17.557499999999997</v>
      </c>
      <c r="Y710" s="179"/>
      <c r="Z710" s="466">
        <f t="shared" si="116"/>
        <v>66.534681750000004</v>
      </c>
      <c r="AA710" s="473">
        <f t="shared" si="117"/>
        <v>-18.714681750000004</v>
      </c>
      <c r="AB710" s="339">
        <f t="shared" si="118"/>
        <v>-0.2685556957668922</v>
      </c>
    </row>
    <row r="711" spans="2:28" ht="20.100000000000001" customHeight="1">
      <c r="B711" s="172">
        <v>1427200</v>
      </c>
      <c r="C711" s="174">
        <v>44659</v>
      </c>
      <c r="D711" s="181" t="s">
        <v>265</v>
      </c>
      <c r="E711" s="173" t="s">
        <v>33</v>
      </c>
      <c r="F711" s="176">
        <v>49.033124999999998</v>
      </c>
      <c r="G711" s="175">
        <f t="shared" si="120"/>
        <v>3</v>
      </c>
      <c r="H711" s="175">
        <f t="shared" si="113"/>
        <v>49.033124999999998</v>
      </c>
      <c r="I711" s="177">
        <f>IF(G711=0,0,IF(E711="MXN",1/HLOOKUP(YEAR(C711)+(MONTH(C711)/100),TC!$5:$37,DAY(C711)+2,FALSE),VLOOKUP(E711,Equivalencia!$5:$23,((MAX(Equivalencia!$3:$3)-YEAR(C711))*14)+MONTH(C711)+2,FALSE)))</f>
        <v>1</v>
      </c>
      <c r="J711" s="178">
        <f t="shared" si="121"/>
        <v>49.033124999999998</v>
      </c>
      <c r="K711" s="462">
        <f>IF(C711=0,0,VLOOKUP(YEAR(C711),INPC!$B$4:$O$29,MONTH(C711)+1))</f>
        <v>120.809</v>
      </c>
      <c r="L711" s="462">
        <f>IF(S711=0,0,VLOOKUP(YEAR(S711),INPC!$B$4:$O$29,MONTH(S711)+1))</f>
        <v>122.94799999999999</v>
      </c>
      <c r="M711" s="463">
        <f t="shared" si="114"/>
        <v>1.0177</v>
      </c>
      <c r="N711" s="465">
        <f t="shared" si="122"/>
        <v>49.901011312500003</v>
      </c>
      <c r="O711" s="179"/>
      <c r="P711" s="180">
        <v>3</v>
      </c>
      <c r="Q711" s="173" t="s">
        <v>583</v>
      </c>
      <c r="R711" s="173" t="s">
        <v>230</v>
      </c>
      <c r="S711" s="174">
        <v>44769</v>
      </c>
      <c r="T711" s="173" t="s">
        <v>33</v>
      </c>
      <c r="U711" s="182">
        <v>35.869999999999997</v>
      </c>
      <c r="V711" s="177">
        <f>IF(U711=0,0,IF(T711="MXN",1/HLOOKUP(YEAR(S711)+(MONTH(S711)/100),TC!$5:$37,DAY(S711)+2,FALSE),VLOOKUP(T711,Equivalencia!$1:$23,((MAX(Equivalencia!$3:$3)-YEAR(S711))*14)+MONTH(S711)+2,FALSE)))</f>
        <v>1</v>
      </c>
      <c r="W711" s="178">
        <f t="shared" si="119"/>
        <v>35.869999999999997</v>
      </c>
      <c r="X711" s="481">
        <f t="shared" si="115"/>
        <v>-13.163125000000001</v>
      </c>
      <c r="Y711" s="179"/>
      <c r="Z711" s="466">
        <f t="shared" si="116"/>
        <v>49.901011312500003</v>
      </c>
      <c r="AA711" s="473">
        <f t="shared" si="117"/>
        <v>-14.031011312500006</v>
      </c>
      <c r="AB711" s="339">
        <f t="shared" si="118"/>
        <v>-0.2684537238856386</v>
      </c>
    </row>
    <row r="712" spans="2:28" ht="20.100000000000001" customHeight="1">
      <c r="B712" s="172">
        <v>1427200</v>
      </c>
      <c r="C712" s="174">
        <v>44718</v>
      </c>
      <c r="D712" s="181" t="s">
        <v>276</v>
      </c>
      <c r="E712" s="173" t="s">
        <v>33</v>
      </c>
      <c r="F712" s="176">
        <v>6620.8799999999992</v>
      </c>
      <c r="G712" s="175">
        <f t="shared" si="120"/>
        <v>40</v>
      </c>
      <c r="H712" s="175">
        <f t="shared" si="113"/>
        <v>6620.8799999999992</v>
      </c>
      <c r="I712" s="177">
        <f>IF(G712=0,0,IF(E712="MXN",1/HLOOKUP(YEAR(C712)+(MONTH(C712)/100),TC!$5:$37,DAY(C712)+2,FALSE),VLOOKUP(E712,Equivalencia!$5:$23,((MAX(Equivalencia!$3:$3)-YEAR(C712))*14)+MONTH(C712)+2,FALSE)))</f>
        <v>1</v>
      </c>
      <c r="J712" s="178">
        <f t="shared" si="121"/>
        <v>6620.8799999999992</v>
      </c>
      <c r="K712" s="462">
        <f>IF(C712=0,0,VLOOKUP(YEAR(C712),INPC!$B$4:$O$29,MONTH(C712)+1))</f>
        <v>122.044</v>
      </c>
      <c r="L712" s="462">
        <f>IF(S712=0,0,VLOOKUP(YEAR(S712),INPC!$B$4:$O$29,MONTH(S712)+1))</f>
        <v>122.94799999999999</v>
      </c>
      <c r="M712" s="463">
        <f t="shared" si="114"/>
        <v>1.0074000000000001</v>
      </c>
      <c r="N712" s="465">
        <f t="shared" si="122"/>
        <v>6669.8745119999994</v>
      </c>
      <c r="O712" s="179"/>
      <c r="P712" s="180">
        <v>40</v>
      </c>
      <c r="Q712" s="173" t="s">
        <v>583</v>
      </c>
      <c r="R712" s="173" t="s">
        <v>230</v>
      </c>
      <c r="S712" s="174">
        <v>44763</v>
      </c>
      <c r="T712" s="173" t="s">
        <v>33</v>
      </c>
      <c r="U712" s="182">
        <v>4928.57</v>
      </c>
      <c r="V712" s="177">
        <f>IF(U712=0,0,IF(T712="MXN",1/HLOOKUP(YEAR(S712)+(MONTH(S712)/100),TC!$5:$37,DAY(S712)+2,FALSE),VLOOKUP(T712,Equivalencia!$1:$23,((MAX(Equivalencia!$3:$3)-YEAR(S712))*14)+MONTH(S712)+2,FALSE)))</f>
        <v>1</v>
      </c>
      <c r="W712" s="178">
        <f t="shared" si="119"/>
        <v>4928.57</v>
      </c>
      <c r="X712" s="481">
        <f t="shared" si="115"/>
        <v>-1692.3099999999995</v>
      </c>
      <c r="Y712" s="179"/>
      <c r="Z712" s="466">
        <f t="shared" si="116"/>
        <v>6669.8745119999994</v>
      </c>
      <c r="AA712" s="473">
        <f t="shared" si="117"/>
        <v>-1741.3045119999997</v>
      </c>
      <c r="AB712" s="339">
        <f t="shared" si="118"/>
        <v>-0.25560197435990373</v>
      </c>
    </row>
    <row r="713" spans="2:28" ht="20.100000000000001" customHeight="1">
      <c r="B713" s="172">
        <v>1427200</v>
      </c>
      <c r="C713" s="174">
        <v>44503</v>
      </c>
      <c r="D713" s="181" t="s">
        <v>263</v>
      </c>
      <c r="E713" s="173" t="s">
        <v>33</v>
      </c>
      <c r="F713" s="176">
        <v>2682.75</v>
      </c>
      <c r="G713" s="175">
        <f t="shared" si="120"/>
        <v>21</v>
      </c>
      <c r="H713" s="175">
        <f t="shared" si="113"/>
        <v>2682.75</v>
      </c>
      <c r="I713" s="177">
        <f>IF(G713=0,0,IF(E713="MXN",1/HLOOKUP(YEAR(C713)+(MONTH(C713)/100),TC!$5:$37,DAY(C713)+2,FALSE),VLOOKUP(E713,Equivalencia!$5:$23,((MAX(Equivalencia!$3:$3)-YEAR(C713))*14)+MONTH(C713)+2,FALSE)))</f>
        <v>1</v>
      </c>
      <c r="J713" s="178">
        <f t="shared" si="121"/>
        <v>2682.75</v>
      </c>
      <c r="K713" s="462">
        <f>IF(C713=0,0,VLOOKUP(YEAR(C713),INPC!$B$4:$O$29,MONTH(C713)+1))</f>
        <v>116.884</v>
      </c>
      <c r="L713" s="462">
        <f>IF(S713=0,0,VLOOKUP(YEAR(S713),INPC!$B$4:$O$29,MONTH(S713)+1))</f>
        <v>122.94799999999999</v>
      </c>
      <c r="M713" s="463">
        <f t="shared" si="114"/>
        <v>1.0518000000000001</v>
      </c>
      <c r="N713" s="465">
        <f t="shared" si="122"/>
        <v>2821.7164500000003</v>
      </c>
      <c r="O713" s="179"/>
      <c r="P713" s="180">
        <v>21</v>
      </c>
      <c r="Q713" s="173" t="s">
        <v>583</v>
      </c>
      <c r="R713" s="173" t="s">
        <v>230</v>
      </c>
      <c r="S713" s="174">
        <v>44769</v>
      </c>
      <c r="T713" s="173" t="s">
        <v>33</v>
      </c>
      <c r="U713" s="182">
        <v>2254.5</v>
      </c>
      <c r="V713" s="177">
        <f>IF(U713=0,0,IF(T713="MXN",1/HLOOKUP(YEAR(S713)+(MONTH(S713)/100),TC!$5:$37,DAY(S713)+2,FALSE),VLOOKUP(T713,Equivalencia!$1:$23,((MAX(Equivalencia!$3:$3)-YEAR(S713))*14)+MONTH(S713)+2,FALSE)))</f>
        <v>1</v>
      </c>
      <c r="W713" s="178">
        <f t="shared" si="119"/>
        <v>2254.5</v>
      </c>
      <c r="X713" s="481">
        <f t="shared" si="115"/>
        <v>-428.25</v>
      </c>
      <c r="Y713" s="179"/>
      <c r="Z713" s="466">
        <f t="shared" si="116"/>
        <v>2821.7164500000003</v>
      </c>
      <c r="AA713" s="473">
        <f t="shared" si="117"/>
        <v>-567.21645000000035</v>
      </c>
      <c r="AB713" s="339">
        <f t="shared" si="118"/>
        <v>-0.15963097567794238</v>
      </c>
    </row>
    <row r="714" spans="2:28" ht="20.100000000000001" customHeight="1">
      <c r="B714" s="172">
        <v>1427200</v>
      </c>
      <c r="C714" s="174">
        <v>44503</v>
      </c>
      <c r="D714" s="181" t="s">
        <v>263</v>
      </c>
      <c r="E714" s="173" t="s">
        <v>33</v>
      </c>
      <c r="F714" s="176">
        <v>255.5</v>
      </c>
      <c r="G714" s="175">
        <f t="shared" si="120"/>
        <v>2</v>
      </c>
      <c r="H714" s="175">
        <f t="shared" si="113"/>
        <v>255.5</v>
      </c>
      <c r="I714" s="177">
        <f>IF(G714=0,0,IF(E714="MXN",1/HLOOKUP(YEAR(C714)+(MONTH(C714)/100),TC!$5:$37,DAY(C714)+2,FALSE),VLOOKUP(E714,Equivalencia!$5:$23,((MAX(Equivalencia!$3:$3)-YEAR(C714))*14)+MONTH(C714)+2,FALSE)))</f>
        <v>1</v>
      </c>
      <c r="J714" s="178">
        <f t="shared" si="121"/>
        <v>255.5</v>
      </c>
      <c r="K714" s="462">
        <f>IF(C714=0,0,VLOOKUP(YEAR(C714),INPC!$B$4:$O$29,MONTH(C714)+1))</f>
        <v>116.884</v>
      </c>
      <c r="L714" s="462">
        <f>IF(S714=0,0,VLOOKUP(YEAR(S714),INPC!$B$4:$O$29,MONTH(S714)+1))</f>
        <v>122.94799999999999</v>
      </c>
      <c r="M714" s="463">
        <f t="shared" si="114"/>
        <v>1.0518000000000001</v>
      </c>
      <c r="N714" s="465">
        <f t="shared" si="122"/>
        <v>268.73490000000004</v>
      </c>
      <c r="O714" s="179"/>
      <c r="P714" s="180">
        <v>2</v>
      </c>
      <c r="Q714" s="173" t="s">
        <v>583</v>
      </c>
      <c r="R714" s="173" t="s">
        <v>230</v>
      </c>
      <c r="S714" s="174">
        <v>44769</v>
      </c>
      <c r="T714" s="173" t="s">
        <v>33</v>
      </c>
      <c r="U714" s="182">
        <v>213.01</v>
      </c>
      <c r="V714" s="177">
        <f>IF(U714=0,0,IF(T714="MXN",1/HLOOKUP(YEAR(S714)+(MONTH(S714)/100),TC!$5:$37,DAY(S714)+2,FALSE),VLOOKUP(T714,Equivalencia!$1:$23,((MAX(Equivalencia!$3:$3)-YEAR(S714))*14)+MONTH(S714)+2,FALSE)))</f>
        <v>1</v>
      </c>
      <c r="W714" s="178">
        <f t="shared" si="119"/>
        <v>213.01</v>
      </c>
      <c r="X714" s="481">
        <f t="shared" si="115"/>
        <v>-42.490000000000009</v>
      </c>
      <c r="Y714" s="179"/>
      <c r="Z714" s="466">
        <f t="shared" si="116"/>
        <v>268.73490000000004</v>
      </c>
      <c r="AA714" s="473">
        <f t="shared" si="117"/>
        <v>-55.724900000000048</v>
      </c>
      <c r="AB714" s="339">
        <f t="shared" si="118"/>
        <v>-0.16630136986301369</v>
      </c>
    </row>
    <row r="715" spans="2:28" ht="20.100000000000001" customHeight="1">
      <c r="B715" s="172">
        <v>1427200</v>
      </c>
      <c r="C715" s="174">
        <v>44503</v>
      </c>
      <c r="D715" s="181" t="s">
        <v>277</v>
      </c>
      <c r="E715" s="173" t="s">
        <v>33</v>
      </c>
      <c r="F715" s="176">
        <v>119.91939393939394</v>
      </c>
      <c r="G715" s="175">
        <f t="shared" si="120"/>
        <v>2</v>
      </c>
      <c r="H715" s="175">
        <f t="shared" si="113"/>
        <v>119.91939393939394</v>
      </c>
      <c r="I715" s="177">
        <f>IF(G715=0,0,IF(E715="MXN",1/HLOOKUP(YEAR(C715)+(MONTH(C715)/100),TC!$5:$37,DAY(C715)+2,FALSE),VLOOKUP(E715,Equivalencia!$5:$23,((MAX(Equivalencia!$3:$3)-YEAR(C715))*14)+MONTH(C715)+2,FALSE)))</f>
        <v>1</v>
      </c>
      <c r="J715" s="178">
        <f t="shared" si="121"/>
        <v>119.91939393939394</v>
      </c>
      <c r="K715" s="462">
        <f>IF(C715=0,0,VLOOKUP(YEAR(C715),INPC!$B$4:$O$29,MONTH(C715)+1))</f>
        <v>116.884</v>
      </c>
      <c r="L715" s="462">
        <f>IF(S715=0,0,VLOOKUP(YEAR(S715),INPC!$B$4:$O$29,MONTH(S715)+1))</f>
        <v>123.803</v>
      </c>
      <c r="M715" s="463">
        <f t="shared" si="114"/>
        <v>1.0590999999999999</v>
      </c>
      <c r="N715" s="465">
        <f t="shared" si="122"/>
        <v>127.00663012121211</v>
      </c>
      <c r="O715" s="179"/>
      <c r="P715" s="180">
        <v>2</v>
      </c>
      <c r="Q715" s="173" t="s">
        <v>583</v>
      </c>
      <c r="R715" s="173" t="s">
        <v>230</v>
      </c>
      <c r="S715" s="174">
        <v>44776</v>
      </c>
      <c r="T715" s="173" t="s">
        <v>33</v>
      </c>
      <c r="U715" s="182">
        <v>80.739999999999995</v>
      </c>
      <c r="V715" s="177">
        <f>IF(U715=0,0,IF(T715="MXN",1/HLOOKUP(YEAR(S715)+(MONTH(S715)/100),TC!$5:$37,DAY(S715)+2,FALSE),VLOOKUP(T715,Equivalencia!$1:$23,((MAX(Equivalencia!$3:$3)-YEAR(S715))*14)+MONTH(S715)+2,FALSE)))</f>
        <v>1</v>
      </c>
      <c r="W715" s="178">
        <f t="shared" si="119"/>
        <v>80.739999999999995</v>
      </c>
      <c r="X715" s="481">
        <f t="shared" si="115"/>
        <v>-39.179393939393947</v>
      </c>
      <c r="Y715" s="179"/>
      <c r="Z715" s="466">
        <f t="shared" si="116"/>
        <v>127.00663012121211</v>
      </c>
      <c r="AA715" s="473">
        <f t="shared" si="117"/>
        <v>-46.266630121212117</v>
      </c>
      <c r="AB715" s="339">
        <f t="shared" si="118"/>
        <v>-0.32671440917383909</v>
      </c>
    </row>
    <row r="716" spans="2:28" ht="20.100000000000001" customHeight="1">
      <c r="B716" s="172">
        <v>1427200</v>
      </c>
      <c r="C716" s="174">
        <v>44503</v>
      </c>
      <c r="D716" s="181" t="s">
        <v>277</v>
      </c>
      <c r="E716" s="173" t="s">
        <v>33</v>
      </c>
      <c r="F716" s="176">
        <v>299.79848484848486</v>
      </c>
      <c r="G716" s="175">
        <f t="shared" si="120"/>
        <v>5</v>
      </c>
      <c r="H716" s="175">
        <f t="shared" si="113"/>
        <v>299.79848484848486</v>
      </c>
      <c r="I716" s="177">
        <f>IF(G716=0,0,IF(E716="MXN",1/HLOOKUP(YEAR(C716)+(MONTH(C716)/100),TC!$5:$37,DAY(C716)+2,FALSE),VLOOKUP(E716,Equivalencia!$5:$23,((MAX(Equivalencia!$3:$3)-YEAR(C716))*14)+MONTH(C716)+2,FALSE)))</f>
        <v>1</v>
      </c>
      <c r="J716" s="178">
        <f t="shared" si="121"/>
        <v>299.79848484848486</v>
      </c>
      <c r="K716" s="462">
        <f>IF(C716=0,0,VLOOKUP(YEAR(C716),INPC!$B$4:$O$29,MONTH(C716)+1))</f>
        <v>116.884</v>
      </c>
      <c r="L716" s="462">
        <f>IF(S716=0,0,VLOOKUP(YEAR(S716),INPC!$B$4:$O$29,MONTH(S716)+1))</f>
        <v>123.803</v>
      </c>
      <c r="M716" s="463">
        <f t="shared" si="114"/>
        <v>1.0590999999999999</v>
      </c>
      <c r="N716" s="465">
        <f t="shared" si="122"/>
        <v>317.51657530303032</v>
      </c>
      <c r="O716" s="179"/>
      <c r="P716" s="180">
        <v>5</v>
      </c>
      <c r="Q716" s="173" t="s">
        <v>583</v>
      </c>
      <c r="R716" s="173" t="s">
        <v>230</v>
      </c>
      <c r="S716" s="174">
        <v>44776</v>
      </c>
      <c r="T716" s="173" t="s">
        <v>33</v>
      </c>
      <c r="U716" s="182">
        <v>203.13</v>
      </c>
      <c r="V716" s="177">
        <f>IF(U716=0,0,IF(T716="MXN",1/HLOOKUP(YEAR(S716)+(MONTH(S716)/100),TC!$5:$37,DAY(S716)+2,FALSE),VLOOKUP(T716,Equivalencia!$1:$23,((MAX(Equivalencia!$3:$3)-YEAR(S716))*14)+MONTH(S716)+2,FALSE)))</f>
        <v>1</v>
      </c>
      <c r="W716" s="178">
        <f t="shared" si="119"/>
        <v>203.13</v>
      </c>
      <c r="X716" s="481">
        <f t="shared" si="115"/>
        <v>-96.668484848484866</v>
      </c>
      <c r="Y716" s="179"/>
      <c r="Z716" s="466">
        <f t="shared" si="116"/>
        <v>317.51657530303032</v>
      </c>
      <c r="AA716" s="473">
        <f t="shared" si="117"/>
        <v>-114.38657530303033</v>
      </c>
      <c r="AB716" s="339">
        <f t="shared" si="118"/>
        <v>-0.32244487458747551</v>
      </c>
    </row>
    <row r="717" spans="2:28" ht="20.100000000000001" customHeight="1">
      <c r="B717" s="172">
        <v>1427200</v>
      </c>
      <c r="C717" s="174">
        <v>44503</v>
      </c>
      <c r="D717" s="181" t="s">
        <v>277</v>
      </c>
      <c r="E717" s="173" t="s">
        <v>33</v>
      </c>
      <c r="F717" s="176">
        <v>59.959696969696971</v>
      </c>
      <c r="G717" s="175">
        <f t="shared" si="120"/>
        <v>1</v>
      </c>
      <c r="H717" s="175">
        <f t="shared" si="113"/>
        <v>59.959696969696971</v>
      </c>
      <c r="I717" s="177">
        <f>IF(G717=0,0,IF(E717="MXN",1/HLOOKUP(YEAR(C717)+(MONTH(C717)/100),TC!$5:$37,DAY(C717)+2,FALSE),VLOOKUP(E717,Equivalencia!$5:$23,((MAX(Equivalencia!$3:$3)-YEAR(C717))*14)+MONTH(C717)+2,FALSE)))</f>
        <v>1</v>
      </c>
      <c r="J717" s="178">
        <f t="shared" si="121"/>
        <v>59.959696969696971</v>
      </c>
      <c r="K717" s="462">
        <f>IF(C717=0,0,VLOOKUP(YEAR(C717),INPC!$B$4:$O$29,MONTH(C717)+1))</f>
        <v>116.884</v>
      </c>
      <c r="L717" s="462">
        <f>IF(S717=0,0,VLOOKUP(YEAR(S717),INPC!$B$4:$O$29,MONTH(S717)+1))</f>
        <v>123.803</v>
      </c>
      <c r="M717" s="463">
        <f t="shared" si="114"/>
        <v>1.0590999999999999</v>
      </c>
      <c r="N717" s="465">
        <f t="shared" si="122"/>
        <v>63.503315060606056</v>
      </c>
      <c r="O717" s="179"/>
      <c r="P717" s="180">
        <v>1</v>
      </c>
      <c r="Q717" s="173" t="s">
        <v>583</v>
      </c>
      <c r="R717" s="173" t="s">
        <v>230</v>
      </c>
      <c r="S717" s="174">
        <v>44776</v>
      </c>
      <c r="T717" s="173" t="s">
        <v>33</v>
      </c>
      <c r="U717" s="182">
        <v>40.409999999999997</v>
      </c>
      <c r="V717" s="177">
        <f>IF(U717=0,0,IF(T717="MXN",1/HLOOKUP(YEAR(S717)+(MONTH(S717)/100),TC!$5:$37,DAY(S717)+2,FALSE),VLOOKUP(T717,Equivalencia!$1:$23,((MAX(Equivalencia!$3:$3)-YEAR(S717))*14)+MONTH(S717)+2,FALSE)))</f>
        <v>1</v>
      </c>
      <c r="W717" s="178">
        <f t="shared" si="119"/>
        <v>40.409999999999997</v>
      </c>
      <c r="X717" s="481">
        <f t="shared" si="115"/>
        <v>-19.549696969696974</v>
      </c>
      <c r="Y717" s="179"/>
      <c r="Z717" s="466">
        <f t="shared" si="116"/>
        <v>63.503315060606056</v>
      </c>
      <c r="AA717" s="473">
        <f t="shared" si="117"/>
        <v>-23.093315060606059</v>
      </c>
      <c r="AB717" s="339">
        <f t="shared" si="118"/>
        <v>-0.3260472943947198</v>
      </c>
    </row>
    <row r="718" spans="2:28" ht="20.100000000000001" customHeight="1">
      <c r="B718" s="172">
        <v>1427200</v>
      </c>
      <c r="C718" s="174">
        <v>44503</v>
      </c>
      <c r="D718" s="181" t="s">
        <v>277</v>
      </c>
      <c r="E718" s="173" t="s">
        <v>33</v>
      </c>
      <c r="F718" s="176">
        <v>59.959696969696971</v>
      </c>
      <c r="G718" s="175">
        <f t="shared" si="120"/>
        <v>1</v>
      </c>
      <c r="H718" s="175">
        <f t="shared" si="113"/>
        <v>59.959696969696971</v>
      </c>
      <c r="I718" s="177">
        <f>IF(G718=0,0,IF(E718="MXN",1/HLOOKUP(YEAR(C718)+(MONTH(C718)/100),TC!$5:$37,DAY(C718)+2,FALSE),VLOOKUP(E718,Equivalencia!$5:$23,((MAX(Equivalencia!$3:$3)-YEAR(C718))*14)+MONTH(C718)+2,FALSE)))</f>
        <v>1</v>
      </c>
      <c r="J718" s="178">
        <f t="shared" si="121"/>
        <v>59.959696969696971</v>
      </c>
      <c r="K718" s="462">
        <f>IF(C718=0,0,VLOOKUP(YEAR(C718),INPC!$B$4:$O$29,MONTH(C718)+1))</f>
        <v>116.884</v>
      </c>
      <c r="L718" s="462">
        <f>IF(S718=0,0,VLOOKUP(YEAR(S718),INPC!$B$4:$O$29,MONTH(S718)+1))</f>
        <v>123.803</v>
      </c>
      <c r="M718" s="463">
        <f t="shared" si="114"/>
        <v>1.0590999999999999</v>
      </c>
      <c r="N718" s="465">
        <f t="shared" si="122"/>
        <v>63.503315060606056</v>
      </c>
      <c r="O718" s="179"/>
      <c r="P718" s="180">
        <v>1</v>
      </c>
      <c r="Q718" s="173" t="s">
        <v>583</v>
      </c>
      <c r="R718" s="173" t="s">
        <v>230</v>
      </c>
      <c r="S718" s="174">
        <v>44776</v>
      </c>
      <c r="T718" s="173" t="s">
        <v>33</v>
      </c>
      <c r="U718" s="182">
        <v>40.89</v>
      </c>
      <c r="V718" s="177">
        <f>IF(U718=0,0,IF(T718="MXN",1/HLOOKUP(YEAR(S718)+(MONTH(S718)/100),TC!$5:$37,DAY(S718)+2,FALSE),VLOOKUP(T718,Equivalencia!$1:$23,((MAX(Equivalencia!$3:$3)-YEAR(S718))*14)+MONTH(S718)+2,FALSE)))</f>
        <v>1</v>
      </c>
      <c r="W718" s="178">
        <f t="shared" si="119"/>
        <v>40.89</v>
      </c>
      <c r="X718" s="481">
        <f t="shared" si="115"/>
        <v>-19.06969696969697</v>
      </c>
      <c r="Y718" s="179"/>
      <c r="Z718" s="466">
        <f t="shared" si="116"/>
        <v>63.503315060606056</v>
      </c>
      <c r="AA718" s="473">
        <f t="shared" si="117"/>
        <v>-22.613315060606055</v>
      </c>
      <c r="AB718" s="339">
        <f t="shared" si="118"/>
        <v>-0.31804191704528795</v>
      </c>
    </row>
    <row r="719" spans="2:28" ht="20.100000000000001" customHeight="1">
      <c r="B719" s="172">
        <v>1427200</v>
      </c>
      <c r="C719" s="174">
        <v>44503</v>
      </c>
      <c r="D719" s="181" t="s">
        <v>277</v>
      </c>
      <c r="E719" s="173" t="s">
        <v>33</v>
      </c>
      <c r="F719" s="176">
        <v>299.79848484848486</v>
      </c>
      <c r="G719" s="175">
        <f t="shared" si="120"/>
        <v>5</v>
      </c>
      <c r="H719" s="175">
        <f t="shared" si="113"/>
        <v>299.79848484848486</v>
      </c>
      <c r="I719" s="177">
        <f>IF(G719=0,0,IF(E719="MXN",1/HLOOKUP(YEAR(C719)+(MONTH(C719)/100),TC!$5:$37,DAY(C719)+2,FALSE),VLOOKUP(E719,Equivalencia!$5:$23,((MAX(Equivalencia!$3:$3)-YEAR(C719))*14)+MONTH(C719)+2,FALSE)))</f>
        <v>1</v>
      </c>
      <c r="J719" s="178">
        <f t="shared" si="121"/>
        <v>299.79848484848486</v>
      </c>
      <c r="K719" s="462">
        <f>IF(C719=0,0,VLOOKUP(YEAR(C719),INPC!$B$4:$O$29,MONTH(C719)+1))</f>
        <v>116.884</v>
      </c>
      <c r="L719" s="462">
        <f>IF(S719=0,0,VLOOKUP(YEAR(S719),INPC!$B$4:$O$29,MONTH(S719)+1))</f>
        <v>123.803</v>
      </c>
      <c r="M719" s="463">
        <f t="shared" si="114"/>
        <v>1.0590999999999999</v>
      </c>
      <c r="N719" s="465">
        <f t="shared" si="122"/>
        <v>317.51657530303032</v>
      </c>
      <c r="O719" s="179"/>
      <c r="P719" s="180">
        <v>5</v>
      </c>
      <c r="Q719" s="173" t="s">
        <v>583</v>
      </c>
      <c r="R719" s="173" t="s">
        <v>230</v>
      </c>
      <c r="S719" s="174">
        <v>44776</v>
      </c>
      <c r="T719" s="173" t="s">
        <v>33</v>
      </c>
      <c r="U719" s="182">
        <v>201.95</v>
      </c>
      <c r="V719" s="177">
        <f>IF(U719=0,0,IF(T719="MXN",1/HLOOKUP(YEAR(S719)+(MONTH(S719)/100),TC!$5:$37,DAY(S719)+2,FALSE),VLOOKUP(T719,Equivalencia!$1:$23,((MAX(Equivalencia!$3:$3)-YEAR(S719))*14)+MONTH(S719)+2,FALSE)))</f>
        <v>1</v>
      </c>
      <c r="W719" s="178">
        <f t="shared" si="119"/>
        <v>201.95</v>
      </c>
      <c r="X719" s="481">
        <f t="shared" si="115"/>
        <v>-97.848484848484873</v>
      </c>
      <c r="Y719" s="179"/>
      <c r="Z719" s="466">
        <f t="shared" si="116"/>
        <v>317.51657530303032</v>
      </c>
      <c r="AA719" s="473">
        <f t="shared" si="117"/>
        <v>-115.56657530303033</v>
      </c>
      <c r="AB719" s="339">
        <f t="shared" si="118"/>
        <v>-0.32638085178427945</v>
      </c>
    </row>
    <row r="720" spans="2:28" ht="20.100000000000001" customHeight="1">
      <c r="B720" s="172">
        <v>1427200</v>
      </c>
      <c r="C720" s="174">
        <v>44503</v>
      </c>
      <c r="D720" s="181" t="s">
        <v>277</v>
      </c>
      <c r="E720" s="173" t="s">
        <v>33</v>
      </c>
      <c r="F720" s="176">
        <v>59.959696969696971</v>
      </c>
      <c r="G720" s="175">
        <f t="shared" si="120"/>
        <v>1</v>
      </c>
      <c r="H720" s="175">
        <f t="shared" si="113"/>
        <v>59.959696969696971</v>
      </c>
      <c r="I720" s="177">
        <f>IF(G720=0,0,IF(E720="MXN",1/HLOOKUP(YEAR(C720)+(MONTH(C720)/100),TC!$5:$37,DAY(C720)+2,FALSE),VLOOKUP(E720,Equivalencia!$5:$23,((MAX(Equivalencia!$3:$3)-YEAR(C720))*14)+MONTH(C720)+2,FALSE)))</f>
        <v>1</v>
      </c>
      <c r="J720" s="178">
        <f t="shared" si="121"/>
        <v>59.959696969696971</v>
      </c>
      <c r="K720" s="462">
        <f>IF(C720=0,0,VLOOKUP(YEAR(C720),INPC!$B$4:$O$29,MONTH(C720)+1))</f>
        <v>116.884</v>
      </c>
      <c r="L720" s="462">
        <f>IF(S720=0,0,VLOOKUP(YEAR(S720),INPC!$B$4:$O$29,MONTH(S720)+1))</f>
        <v>123.803</v>
      </c>
      <c r="M720" s="463">
        <f t="shared" si="114"/>
        <v>1.0590999999999999</v>
      </c>
      <c r="N720" s="465">
        <f t="shared" si="122"/>
        <v>63.503315060606056</v>
      </c>
      <c r="O720" s="179"/>
      <c r="P720" s="180">
        <v>1</v>
      </c>
      <c r="Q720" s="173" t="s">
        <v>583</v>
      </c>
      <c r="R720" s="173" t="s">
        <v>230</v>
      </c>
      <c r="S720" s="174">
        <v>44776</v>
      </c>
      <c r="T720" s="173" t="s">
        <v>33</v>
      </c>
      <c r="U720" s="182">
        <v>40.799999999999997</v>
      </c>
      <c r="V720" s="177">
        <f>IF(U720=0,0,IF(T720="MXN",1/HLOOKUP(YEAR(S720)+(MONTH(S720)/100),TC!$5:$37,DAY(S720)+2,FALSE),VLOOKUP(T720,Equivalencia!$1:$23,((MAX(Equivalencia!$3:$3)-YEAR(S720))*14)+MONTH(S720)+2,FALSE)))</f>
        <v>1</v>
      </c>
      <c r="W720" s="178">
        <f t="shared" si="119"/>
        <v>40.799999999999997</v>
      </c>
      <c r="X720" s="481">
        <f t="shared" si="115"/>
        <v>-19.159696969696974</v>
      </c>
      <c r="Y720" s="179"/>
      <c r="Z720" s="466">
        <f t="shared" si="116"/>
        <v>63.503315060606056</v>
      </c>
      <c r="AA720" s="473">
        <f t="shared" si="117"/>
        <v>-22.703315060606059</v>
      </c>
      <c r="AB720" s="339">
        <f t="shared" si="118"/>
        <v>-0.31954292529830652</v>
      </c>
    </row>
    <row r="721" spans="2:28" ht="20.100000000000001" customHeight="1">
      <c r="B721" s="172">
        <v>1427200</v>
      </c>
      <c r="C721" s="174">
        <v>44503</v>
      </c>
      <c r="D721" s="181" t="s">
        <v>277</v>
      </c>
      <c r="E721" s="173" t="s">
        <v>33</v>
      </c>
      <c r="F721" s="176">
        <v>59.959696969696971</v>
      </c>
      <c r="G721" s="175">
        <f t="shared" si="120"/>
        <v>1</v>
      </c>
      <c r="H721" s="175">
        <f t="shared" si="113"/>
        <v>59.959696969696971</v>
      </c>
      <c r="I721" s="177">
        <f>IF(G721=0,0,IF(E721="MXN",1/HLOOKUP(YEAR(C721)+(MONTH(C721)/100),TC!$5:$37,DAY(C721)+2,FALSE),VLOOKUP(E721,Equivalencia!$5:$23,((MAX(Equivalencia!$3:$3)-YEAR(C721))*14)+MONTH(C721)+2,FALSE)))</f>
        <v>1</v>
      </c>
      <c r="J721" s="178">
        <f t="shared" si="121"/>
        <v>59.959696969696971</v>
      </c>
      <c r="K721" s="462">
        <f>IF(C721=0,0,VLOOKUP(YEAR(C721),INPC!$B$4:$O$29,MONTH(C721)+1))</f>
        <v>116.884</v>
      </c>
      <c r="L721" s="462">
        <f>IF(S721=0,0,VLOOKUP(YEAR(S721),INPC!$B$4:$O$29,MONTH(S721)+1))</f>
        <v>123.803</v>
      </c>
      <c r="M721" s="463">
        <f t="shared" si="114"/>
        <v>1.0590999999999999</v>
      </c>
      <c r="N721" s="465">
        <f t="shared" si="122"/>
        <v>63.503315060606056</v>
      </c>
      <c r="O721" s="179"/>
      <c r="P721" s="180">
        <v>1</v>
      </c>
      <c r="Q721" s="173" t="s">
        <v>583</v>
      </c>
      <c r="R721" s="173" t="s">
        <v>230</v>
      </c>
      <c r="S721" s="174">
        <v>44777</v>
      </c>
      <c r="T721" s="173" t="s">
        <v>33</v>
      </c>
      <c r="U721" s="182">
        <v>43.28</v>
      </c>
      <c r="V721" s="177">
        <f>IF(U721=0,0,IF(T721="MXN",1/HLOOKUP(YEAR(S721)+(MONTH(S721)/100),TC!$5:$37,DAY(S721)+2,FALSE),VLOOKUP(T721,Equivalencia!$1:$23,((MAX(Equivalencia!$3:$3)-YEAR(S721))*14)+MONTH(S721)+2,FALSE)))</f>
        <v>1</v>
      </c>
      <c r="W721" s="178">
        <f t="shared" si="119"/>
        <v>43.28</v>
      </c>
      <c r="X721" s="481">
        <f t="shared" si="115"/>
        <v>-16.67969696969697</v>
      </c>
      <c r="Y721" s="179"/>
      <c r="Z721" s="466">
        <f t="shared" si="116"/>
        <v>63.503315060606056</v>
      </c>
      <c r="AA721" s="473">
        <f t="shared" si="117"/>
        <v>-20.223315060606055</v>
      </c>
      <c r="AB721" s="339">
        <f t="shared" si="118"/>
        <v>-0.27818180899290934</v>
      </c>
    </row>
    <row r="722" spans="2:28" ht="20.100000000000001" customHeight="1">
      <c r="B722" s="172">
        <v>1427200</v>
      </c>
      <c r="C722" s="174">
        <v>44503</v>
      </c>
      <c r="D722" s="181" t="s">
        <v>277</v>
      </c>
      <c r="E722" s="173" t="s">
        <v>33</v>
      </c>
      <c r="F722" s="176">
        <v>59.959696969696971</v>
      </c>
      <c r="G722" s="175">
        <f t="shared" si="120"/>
        <v>1</v>
      </c>
      <c r="H722" s="175">
        <f t="shared" si="113"/>
        <v>59.959696969696971</v>
      </c>
      <c r="I722" s="177">
        <f>IF(G722=0,0,IF(E722="MXN",1/HLOOKUP(YEAR(C722)+(MONTH(C722)/100),TC!$5:$37,DAY(C722)+2,FALSE),VLOOKUP(E722,Equivalencia!$5:$23,((MAX(Equivalencia!$3:$3)-YEAR(C722))*14)+MONTH(C722)+2,FALSE)))</f>
        <v>1</v>
      </c>
      <c r="J722" s="178">
        <f t="shared" si="121"/>
        <v>59.959696969696971</v>
      </c>
      <c r="K722" s="462">
        <f>IF(C722=0,0,VLOOKUP(YEAR(C722),INPC!$B$4:$O$29,MONTH(C722)+1))</f>
        <v>116.884</v>
      </c>
      <c r="L722" s="462">
        <f>IF(S722=0,0,VLOOKUP(YEAR(S722),INPC!$B$4:$O$29,MONTH(S722)+1))</f>
        <v>123.803</v>
      </c>
      <c r="M722" s="463">
        <f t="shared" si="114"/>
        <v>1.0590999999999999</v>
      </c>
      <c r="N722" s="465">
        <f t="shared" si="122"/>
        <v>63.503315060606056</v>
      </c>
      <c r="O722" s="179"/>
      <c r="P722" s="180">
        <v>1</v>
      </c>
      <c r="Q722" s="173" t="s">
        <v>583</v>
      </c>
      <c r="R722" s="173" t="s">
        <v>230</v>
      </c>
      <c r="S722" s="174">
        <v>44777</v>
      </c>
      <c r="T722" s="173" t="s">
        <v>33</v>
      </c>
      <c r="U722" s="182">
        <v>43.2</v>
      </c>
      <c r="V722" s="177">
        <f>IF(U722=0,0,IF(T722="MXN",1/HLOOKUP(YEAR(S722)+(MONTH(S722)/100),TC!$5:$37,DAY(S722)+2,FALSE),VLOOKUP(T722,Equivalencia!$1:$23,((MAX(Equivalencia!$3:$3)-YEAR(S722))*14)+MONTH(S722)+2,FALSE)))</f>
        <v>1</v>
      </c>
      <c r="W722" s="178">
        <f t="shared" si="119"/>
        <v>43.2</v>
      </c>
      <c r="X722" s="481">
        <f t="shared" si="115"/>
        <v>-16.759696969696968</v>
      </c>
      <c r="Y722" s="179"/>
      <c r="Z722" s="466">
        <f t="shared" si="116"/>
        <v>63.503315060606056</v>
      </c>
      <c r="AA722" s="473">
        <f t="shared" si="117"/>
        <v>-20.303315060606053</v>
      </c>
      <c r="AB722" s="339">
        <f t="shared" si="118"/>
        <v>-0.27951603855114793</v>
      </c>
    </row>
    <row r="723" spans="2:28" ht="20.100000000000001" customHeight="1">
      <c r="B723" s="172">
        <v>1427200</v>
      </c>
      <c r="C723" s="174">
        <v>44503</v>
      </c>
      <c r="D723" s="181" t="s">
        <v>277</v>
      </c>
      <c r="E723" s="173" t="s">
        <v>33</v>
      </c>
      <c r="F723" s="176">
        <v>119.91939393939394</v>
      </c>
      <c r="G723" s="175">
        <f t="shared" si="120"/>
        <v>2</v>
      </c>
      <c r="H723" s="175">
        <f t="shared" si="113"/>
        <v>119.91939393939394</v>
      </c>
      <c r="I723" s="177">
        <f>IF(G723=0,0,IF(E723="MXN",1/HLOOKUP(YEAR(C723)+(MONTH(C723)/100),TC!$5:$37,DAY(C723)+2,FALSE),VLOOKUP(E723,Equivalencia!$5:$23,((MAX(Equivalencia!$3:$3)-YEAR(C723))*14)+MONTH(C723)+2,FALSE)))</f>
        <v>1</v>
      </c>
      <c r="J723" s="178">
        <f t="shared" si="121"/>
        <v>119.91939393939394</v>
      </c>
      <c r="K723" s="462">
        <f>IF(C723=0,0,VLOOKUP(YEAR(C723),INPC!$B$4:$O$29,MONTH(C723)+1))</f>
        <v>116.884</v>
      </c>
      <c r="L723" s="462">
        <f>IF(S723=0,0,VLOOKUP(YEAR(S723),INPC!$B$4:$O$29,MONTH(S723)+1))</f>
        <v>123.803</v>
      </c>
      <c r="M723" s="463">
        <f t="shared" si="114"/>
        <v>1.0590999999999999</v>
      </c>
      <c r="N723" s="465">
        <f t="shared" si="122"/>
        <v>127.00663012121211</v>
      </c>
      <c r="O723" s="179"/>
      <c r="P723" s="180">
        <v>2</v>
      </c>
      <c r="Q723" s="173" t="s">
        <v>583</v>
      </c>
      <c r="R723" s="173" t="s">
        <v>230</v>
      </c>
      <c r="S723" s="174">
        <v>44777</v>
      </c>
      <c r="T723" s="173" t="s">
        <v>33</v>
      </c>
      <c r="U723" s="182">
        <v>86.4</v>
      </c>
      <c r="V723" s="177">
        <f>IF(U723=0,0,IF(T723="MXN",1/HLOOKUP(YEAR(S723)+(MONTH(S723)/100),TC!$5:$37,DAY(S723)+2,FALSE),VLOOKUP(T723,Equivalencia!$1:$23,((MAX(Equivalencia!$3:$3)-YEAR(S723))*14)+MONTH(S723)+2,FALSE)))</f>
        <v>1</v>
      </c>
      <c r="W723" s="178">
        <f t="shared" si="119"/>
        <v>86.4</v>
      </c>
      <c r="X723" s="481">
        <f t="shared" si="115"/>
        <v>-33.519393939393936</v>
      </c>
      <c r="Y723" s="179"/>
      <c r="Z723" s="466">
        <f t="shared" si="116"/>
        <v>127.00663012121211</v>
      </c>
      <c r="AA723" s="473">
        <f t="shared" si="117"/>
        <v>-40.606630121212106</v>
      </c>
      <c r="AB723" s="339">
        <f t="shared" si="118"/>
        <v>-0.27951603855114793</v>
      </c>
    </row>
    <row r="724" spans="2:28" ht="20.100000000000001" customHeight="1">
      <c r="B724" s="172">
        <v>1427200</v>
      </c>
      <c r="C724" s="174">
        <v>44503</v>
      </c>
      <c r="D724" s="181" t="s">
        <v>277</v>
      </c>
      <c r="E724" s="173" t="s">
        <v>33</v>
      </c>
      <c r="F724" s="176">
        <v>899.39545454545453</v>
      </c>
      <c r="G724" s="175">
        <f t="shared" si="120"/>
        <v>15</v>
      </c>
      <c r="H724" s="175">
        <f t="shared" si="113"/>
        <v>899.39545454545453</v>
      </c>
      <c r="I724" s="177">
        <f>IF(G724=0,0,IF(E724="MXN",1/HLOOKUP(YEAR(C724)+(MONTH(C724)/100),TC!$5:$37,DAY(C724)+2,FALSE),VLOOKUP(E724,Equivalencia!$5:$23,((MAX(Equivalencia!$3:$3)-YEAR(C724))*14)+MONTH(C724)+2,FALSE)))</f>
        <v>1</v>
      </c>
      <c r="J724" s="178">
        <f t="shared" si="121"/>
        <v>899.39545454545453</v>
      </c>
      <c r="K724" s="462">
        <f>IF(C724=0,0,VLOOKUP(YEAR(C724),INPC!$B$4:$O$29,MONTH(C724)+1))</f>
        <v>116.884</v>
      </c>
      <c r="L724" s="462">
        <f>IF(S724=0,0,VLOOKUP(YEAR(S724),INPC!$B$4:$O$29,MONTH(S724)+1))</f>
        <v>123.803</v>
      </c>
      <c r="M724" s="463">
        <f t="shared" si="114"/>
        <v>1.0590999999999999</v>
      </c>
      <c r="N724" s="465">
        <f t="shared" si="122"/>
        <v>952.54972590909085</v>
      </c>
      <c r="O724" s="179"/>
      <c r="P724" s="180">
        <v>15</v>
      </c>
      <c r="Q724" s="173" t="s">
        <v>583</v>
      </c>
      <c r="R724" s="173" t="s">
        <v>230</v>
      </c>
      <c r="S724" s="174">
        <v>44777</v>
      </c>
      <c r="T724" s="173" t="s">
        <v>33</v>
      </c>
      <c r="U724" s="182">
        <v>652.14</v>
      </c>
      <c r="V724" s="177">
        <f>IF(U724=0,0,IF(T724="MXN",1/HLOOKUP(YEAR(S724)+(MONTH(S724)/100),TC!$5:$37,DAY(S724)+2,FALSE),VLOOKUP(T724,Equivalencia!$1:$23,((MAX(Equivalencia!$3:$3)-YEAR(S724))*14)+MONTH(S724)+2,FALSE)))</f>
        <v>1</v>
      </c>
      <c r="W724" s="178">
        <f t="shared" si="119"/>
        <v>652.14</v>
      </c>
      <c r="X724" s="481">
        <f t="shared" si="115"/>
        <v>-247.25545454545454</v>
      </c>
      <c r="Y724" s="179"/>
      <c r="Z724" s="466">
        <f t="shared" si="116"/>
        <v>952.54972590909085</v>
      </c>
      <c r="AA724" s="473">
        <f t="shared" si="117"/>
        <v>-300.40972590909087</v>
      </c>
      <c r="AB724" s="339">
        <f t="shared" si="118"/>
        <v>-0.2749129465752248</v>
      </c>
    </row>
    <row r="725" spans="2:28" ht="20.100000000000001" customHeight="1">
      <c r="B725" s="172">
        <v>1427200</v>
      </c>
      <c r="C725" s="174">
        <v>44503</v>
      </c>
      <c r="D725" s="181" t="s">
        <v>277</v>
      </c>
      <c r="E725" s="173" t="s">
        <v>33</v>
      </c>
      <c r="F725" s="176">
        <v>299.79848484848486</v>
      </c>
      <c r="G725" s="175">
        <f t="shared" si="120"/>
        <v>5</v>
      </c>
      <c r="H725" s="175">
        <f t="shared" si="113"/>
        <v>299.79848484848486</v>
      </c>
      <c r="I725" s="177">
        <f>IF(G725=0,0,IF(E725="MXN",1/HLOOKUP(YEAR(C725)+(MONTH(C725)/100),TC!$5:$37,DAY(C725)+2,FALSE),VLOOKUP(E725,Equivalencia!$5:$23,((MAX(Equivalencia!$3:$3)-YEAR(C725))*14)+MONTH(C725)+2,FALSE)))</f>
        <v>1</v>
      </c>
      <c r="J725" s="178">
        <f t="shared" si="121"/>
        <v>299.79848484848486</v>
      </c>
      <c r="K725" s="462">
        <f>IF(C725=0,0,VLOOKUP(YEAR(C725),INPC!$B$4:$O$29,MONTH(C725)+1))</f>
        <v>116.884</v>
      </c>
      <c r="L725" s="462">
        <f>IF(S725=0,0,VLOOKUP(YEAR(S725),INPC!$B$4:$O$29,MONTH(S725)+1))</f>
        <v>123.803</v>
      </c>
      <c r="M725" s="463">
        <f t="shared" si="114"/>
        <v>1.0590999999999999</v>
      </c>
      <c r="N725" s="465">
        <f t="shared" si="122"/>
        <v>317.51657530303032</v>
      </c>
      <c r="O725" s="179"/>
      <c r="P725" s="180">
        <v>5</v>
      </c>
      <c r="Q725" s="173" t="s">
        <v>583</v>
      </c>
      <c r="R725" s="173" t="s">
        <v>230</v>
      </c>
      <c r="S725" s="174">
        <v>44777</v>
      </c>
      <c r="T725" s="173" t="s">
        <v>33</v>
      </c>
      <c r="U725" s="182">
        <v>217.38</v>
      </c>
      <c r="V725" s="177">
        <f>IF(U725=0,0,IF(T725="MXN",1/HLOOKUP(YEAR(S725)+(MONTH(S725)/100),TC!$5:$37,DAY(S725)+2,FALSE),VLOOKUP(T725,Equivalencia!$1:$23,((MAX(Equivalencia!$3:$3)-YEAR(S725))*14)+MONTH(S725)+2,FALSE)))</f>
        <v>1</v>
      </c>
      <c r="W725" s="178">
        <f t="shared" si="119"/>
        <v>217.38</v>
      </c>
      <c r="X725" s="481">
        <f t="shared" si="115"/>
        <v>-82.418484848484866</v>
      </c>
      <c r="Y725" s="179"/>
      <c r="Z725" s="466">
        <f t="shared" si="116"/>
        <v>317.51657530303032</v>
      </c>
      <c r="AA725" s="473">
        <f t="shared" si="117"/>
        <v>-100.13657530303033</v>
      </c>
      <c r="AB725" s="339">
        <f t="shared" si="118"/>
        <v>-0.2749129465752248</v>
      </c>
    </row>
    <row r="726" spans="2:28" ht="20.100000000000001" customHeight="1">
      <c r="B726" s="172">
        <v>1427200</v>
      </c>
      <c r="C726" s="174">
        <v>44503</v>
      </c>
      <c r="D726" s="181" t="s">
        <v>277</v>
      </c>
      <c r="E726" s="173" t="s">
        <v>33</v>
      </c>
      <c r="F726" s="176">
        <v>59.959696969696971</v>
      </c>
      <c r="G726" s="175">
        <f t="shared" si="120"/>
        <v>1</v>
      </c>
      <c r="H726" s="175">
        <f t="shared" si="113"/>
        <v>59.959696969696971</v>
      </c>
      <c r="I726" s="177">
        <f>IF(G726=0,0,IF(E726="MXN",1/HLOOKUP(YEAR(C726)+(MONTH(C726)/100),TC!$5:$37,DAY(C726)+2,FALSE),VLOOKUP(E726,Equivalencia!$5:$23,((MAX(Equivalencia!$3:$3)-YEAR(C726))*14)+MONTH(C726)+2,FALSE)))</f>
        <v>1</v>
      </c>
      <c r="J726" s="178">
        <f t="shared" si="121"/>
        <v>59.959696969696971</v>
      </c>
      <c r="K726" s="462">
        <f>IF(C726=0,0,VLOOKUP(YEAR(C726),INPC!$B$4:$O$29,MONTH(C726)+1))</f>
        <v>116.884</v>
      </c>
      <c r="L726" s="462">
        <f>IF(S726=0,0,VLOOKUP(YEAR(S726),INPC!$B$4:$O$29,MONTH(S726)+1))</f>
        <v>123.803</v>
      </c>
      <c r="M726" s="463">
        <f t="shared" si="114"/>
        <v>1.0590999999999999</v>
      </c>
      <c r="N726" s="465">
        <f t="shared" si="122"/>
        <v>63.503315060606056</v>
      </c>
      <c r="O726" s="179"/>
      <c r="P726" s="180">
        <v>1</v>
      </c>
      <c r="Q726" s="173" t="s">
        <v>583</v>
      </c>
      <c r="R726" s="173" t="s">
        <v>230</v>
      </c>
      <c r="S726" s="174">
        <v>44778</v>
      </c>
      <c r="T726" s="173" t="s">
        <v>33</v>
      </c>
      <c r="U726" s="182">
        <v>44.93</v>
      </c>
      <c r="V726" s="177">
        <f>IF(U726=0,0,IF(T726="MXN",1/HLOOKUP(YEAR(S726)+(MONTH(S726)/100),TC!$5:$37,DAY(S726)+2,FALSE),VLOOKUP(T726,Equivalencia!$1:$23,((MAX(Equivalencia!$3:$3)-YEAR(S726))*14)+MONTH(S726)+2,FALSE)))</f>
        <v>1</v>
      </c>
      <c r="W726" s="178">
        <f t="shared" si="119"/>
        <v>44.93</v>
      </c>
      <c r="X726" s="481">
        <f t="shared" si="115"/>
        <v>-15.029696969696971</v>
      </c>
      <c r="Y726" s="179"/>
      <c r="Z726" s="466">
        <f t="shared" si="116"/>
        <v>63.503315060606056</v>
      </c>
      <c r="AA726" s="473">
        <f t="shared" si="117"/>
        <v>-18.573315060606056</v>
      </c>
      <c r="AB726" s="339">
        <f t="shared" si="118"/>
        <v>-0.25066332435423799</v>
      </c>
    </row>
    <row r="727" spans="2:28" ht="20.100000000000001" customHeight="1">
      <c r="B727" s="172">
        <v>1427200</v>
      </c>
      <c r="C727" s="174">
        <v>44503</v>
      </c>
      <c r="D727" s="181" t="s">
        <v>277</v>
      </c>
      <c r="E727" s="173" t="s">
        <v>33</v>
      </c>
      <c r="F727" s="176">
        <v>119.91939393939394</v>
      </c>
      <c r="G727" s="175">
        <f t="shared" si="120"/>
        <v>2</v>
      </c>
      <c r="H727" s="175">
        <f t="shared" si="113"/>
        <v>119.91939393939394</v>
      </c>
      <c r="I727" s="177">
        <f>IF(G727=0,0,IF(E727="MXN",1/HLOOKUP(YEAR(C727)+(MONTH(C727)/100),TC!$5:$37,DAY(C727)+2,FALSE),VLOOKUP(E727,Equivalencia!$5:$23,((MAX(Equivalencia!$3:$3)-YEAR(C727))*14)+MONTH(C727)+2,FALSE)))</f>
        <v>1</v>
      </c>
      <c r="J727" s="178">
        <f t="shared" si="121"/>
        <v>119.91939393939394</v>
      </c>
      <c r="K727" s="462">
        <f>IF(C727=0,0,VLOOKUP(YEAR(C727),INPC!$B$4:$O$29,MONTH(C727)+1))</f>
        <v>116.884</v>
      </c>
      <c r="L727" s="462">
        <f>IF(S727=0,0,VLOOKUP(YEAR(S727),INPC!$B$4:$O$29,MONTH(S727)+1))</f>
        <v>123.803</v>
      </c>
      <c r="M727" s="463">
        <f t="shared" si="114"/>
        <v>1.0590999999999999</v>
      </c>
      <c r="N727" s="465">
        <f t="shared" si="122"/>
        <v>127.00663012121211</v>
      </c>
      <c r="O727" s="179"/>
      <c r="P727" s="180">
        <v>2</v>
      </c>
      <c r="Q727" s="173" t="s">
        <v>583</v>
      </c>
      <c r="R727" s="173" t="s">
        <v>230</v>
      </c>
      <c r="S727" s="174">
        <v>44778</v>
      </c>
      <c r="T727" s="173" t="s">
        <v>33</v>
      </c>
      <c r="U727" s="182">
        <v>89.86</v>
      </c>
      <c r="V727" s="177">
        <f>IF(U727=0,0,IF(T727="MXN",1/HLOOKUP(YEAR(S727)+(MONTH(S727)/100),TC!$5:$37,DAY(S727)+2,FALSE),VLOOKUP(T727,Equivalencia!$1:$23,((MAX(Equivalencia!$3:$3)-YEAR(S727))*14)+MONTH(S727)+2,FALSE)))</f>
        <v>1</v>
      </c>
      <c r="W727" s="178">
        <f t="shared" si="119"/>
        <v>89.86</v>
      </c>
      <c r="X727" s="481">
        <f t="shared" si="115"/>
        <v>-30.059393939393942</v>
      </c>
      <c r="Y727" s="179"/>
      <c r="Z727" s="466">
        <f t="shared" si="116"/>
        <v>127.00663012121211</v>
      </c>
      <c r="AA727" s="473">
        <f t="shared" si="117"/>
        <v>-37.146630121212112</v>
      </c>
      <c r="AB727" s="339">
        <f t="shared" si="118"/>
        <v>-0.25066332435423799</v>
      </c>
    </row>
    <row r="728" spans="2:28" ht="20.100000000000001" customHeight="1">
      <c r="B728" s="172">
        <v>1427200</v>
      </c>
      <c r="C728" s="174">
        <v>44503</v>
      </c>
      <c r="D728" s="181" t="s">
        <v>277</v>
      </c>
      <c r="E728" s="173" t="s">
        <v>33</v>
      </c>
      <c r="F728" s="176">
        <v>59.959696969696971</v>
      </c>
      <c r="G728" s="175">
        <f t="shared" si="120"/>
        <v>1</v>
      </c>
      <c r="H728" s="175">
        <f t="shared" si="113"/>
        <v>59.959696969696971</v>
      </c>
      <c r="I728" s="177">
        <f>IF(G728=0,0,IF(E728="MXN",1/HLOOKUP(YEAR(C728)+(MONTH(C728)/100),TC!$5:$37,DAY(C728)+2,FALSE),VLOOKUP(E728,Equivalencia!$5:$23,((MAX(Equivalencia!$3:$3)-YEAR(C728))*14)+MONTH(C728)+2,FALSE)))</f>
        <v>1</v>
      </c>
      <c r="J728" s="178">
        <f t="shared" si="121"/>
        <v>59.959696969696971</v>
      </c>
      <c r="K728" s="462">
        <f>IF(C728=0,0,VLOOKUP(YEAR(C728),INPC!$B$4:$O$29,MONTH(C728)+1))</f>
        <v>116.884</v>
      </c>
      <c r="L728" s="462">
        <f>IF(S728=0,0,VLOOKUP(YEAR(S728),INPC!$B$4:$O$29,MONTH(S728)+1))</f>
        <v>123.803</v>
      </c>
      <c r="M728" s="463">
        <f t="shared" si="114"/>
        <v>1.0590999999999999</v>
      </c>
      <c r="N728" s="465">
        <f t="shared" si="122"/>
        <v>63.503315060606056</v>
      </c>
      <c r="O728" s="179"/>
      <c r="P728" s="180">
        <v>1</v>
      </c>
      <c r="Q728" s="173" t="s">
        <v>583</v>
      </c>
      <c r="R728" s="173" t="s">
        <v>230</v>
      </c>
      <c r="S728" s="174">
        <v>44790</v>
      </c>
      <c r="T728" s="173" t="s">
        <v>33</v>
      </c>
      <c r="U728" s="182">
        <v>48.25</v>
      </c>
      <c r="V728" s="177">
        <f>IF(U728=0,0,IF(T728="MXN",1/HLOOKUP(YEAR(S728)+(MONTH(S728)/100),TC!$5:$37,DAY(S728)+2,FALSE),VLOOKUP(T728,Equivalencia!$1:$23,((MAX(Equivalencia!$3:$3)-YEAR(S728))*14)+MONTH(S728)+2,FALSE)))</f>
        <v>1</v>
      </c>
      <c r="W728" s="178">
        <f t="shared" si="119"/>
        <v>48.25</v>
      </c>
      <c r="X728" s="481">
        <f t="shared" si="115"/>
        <v>-11.709696969696971</v>
      </c>
      <c r="Y728" s="179"/>
      <c r="Z728" s="466">
        <f t="shared" si="116"/>
        <v>63.503315060606056</v>
      </c>
      <c r="AA728" s="473">
        <f t="shared" si="117"/>
        <v>-15.253315060606056</v>
      </c>
      <c r="AB728" s="339">
        <f t="shared" si="118"/>
        <v>-0.19529279768733543</v>
      </c>
    </row>
    <row r="729" spans="2:28" ht="20.100000000000001" customHeight="1">
      <c r="B729" s="172">
        <v>1427200</v>
      </c>
      <c r="C729" s="174">
        <v>44503</v>
      </c>
      <c r="D729" s="181" t="s">
        <v>277</v>
      </c>
      <c r="E729" s="173" t="s">
        <v>33</v>
      </c>
      <c r="F729" s="176">
        <v>599.59696969696972</v>
      </c>
      <c r="G729" s="175">
        <f t="shared" si="120"/>
        <v>10</v>
      </c>
      <c r="H729" s="175">
        <f t="shared" si="113"/>
        <v>599.59696969696972</v>
      </c>
      <c r="I729" s="177">
        <f>IF(G729=0,0,IF(E729="MXN",1/HLOOKUP(YEAR(C729)+(MONTH(C729)/100),TC!$5:$37,DAY(C729)+2,FALSE),VLOOKUP(E729,Equivalencia!$5:$23,((MAX(Equivalencia!$3:$3)-YEAR(C729))*14)+MONTH(C729)+2,FALSE)))</f>
        <v>1</v>
      </c>
      <c r="J729" s="178">
        <f t="shared" si="121"/>
        <v>599.59696969696972</v>
      </c>
      <c r="K729" s="462">
        <f>IF(C729=0,0,VLOOKUP(YEAR(C729),INPC!$B$4:$O$29,MONTH(C729)+1))</f>
        <v>116.884</v>
      </c>
      <c r="L729" s="462">
        <f>IF(S729=0,0,VLOOKUP(YEAR(S729),INPC!$B$4:$O$29,MONTH(S729)+1))</f>
        <v>123.803</v>
      </c>
      <c r="M729" s="463">
        <f t="shared" si="114"/>
        <v>1.0590999999999999</v>
      </c>
      <c r="N729" s="465">
        <f t="shared" si="122"/>
        <v>635.03315060606064</v>
      </c>
      <c r="O729" s="179"/>
      <c r="P729" s="180">
        <v>10</v>
      </c>
      <c r="Q729" s="173" t="s">
        <v>583</v>
      </c>
      <c r="R729" s="173" t="s">
        <v>230</v>
      </c>
      <c r="S729" s="174">
        <v>44790</v>
      </c>
      <c r="T729" s="173" t="s">
        <v>33</v>
      </c>
      <c r="U729" s="182">
        <v>484.34</v>
      </c>
      <c r="V729" s="177">
        <f>IF(U729=0,0,IF(T729="MXN",1/HLOOKUP(YEAR(S729)+(MONTH(S729)/100),TC!$5:$37,DAY(S729)+2,FALSE),VLOOKUP(T729,Equivalencia!$1:$23,((MAX(Equivalencia!$3:$3)-YEAR(S729))*14)+MONTH(S729)+2,FALSE)))</f>
        <v>1</v>
      </c>
      <c r="W729" s="178">
        <f t="shared" si="119"/>
        <v>484.34</v>
      </c>
      <c r="X729" s="481">
        <f t="shared" si="115"/>
        <v>-115.25696969696975</v>
      </c>
      <c r="Y729" s="179"/>
      <c r="Z729" s="466">
        <f t="shared" si="116"/>
        <v>635.03315060606064</v>
      </c>
      <c r="AA729" s="473">
        <f t="shared" si="117"/>
        <v>-150.69315060606067</v>
      </c>
      <c r="AB729" s="339">
        <f t="shared" si="118"/>
        <v>-0.19222406970338668</v>
      </c>
    </row>
    <row r="730" spans="2:28" ht="20.100000000000001" customHeight="1">
      <c r="B730" s="172">
        <v>1427200</v>
      </c>
      <c r="C730" s="174">
        <v>44503</v>
      </c>
      <c r="D730" s="181" t="s">
        <v>277</v>
      </c>
      <c r="E730" s="173" t="s">
        <v>33</v>
      </c>
      <c r="F730" s="176">
        <v>839.43575757575763</v>
      </c>
      <c r="G730" s="175">
        <f t="shared" si="120"/>
        <v>14</v>
      </c>
      <c r="H730" s="175">
        <f t="shared" si="113"/>
        <v>839.43575757575763</v>
      </c>
      <c r="I730" s="177">
        <f>IF(G730=0,0,IF(E730="MXN",1/HLOOKUP(YEAR(C730)+(MONTH(C730)/100),TC!$5:$37,DAY(C730)+2,FALSE),VLOOKUP(E730,Equivalencia!$5:$23,((MAX(Equivalencia!$3:$3)-YEAR(C730))*14)+MONTH(C730)+2,FALSE)))</f>
        <v>1</v>
      </c>
      <c r="J730" s="178">
        <f t="shared" si="121"/>
        <v>839.43575757575763</v>
      </c>
      <c r="K730" s="462">
        <f>IF(C730=0,0,VLOOKUP(YEAR(C730),INPC!$B$4:$O$29,MONTH(C730)+1))</f>
        <v>116.884</v>
      </c>
      <c r="L730" s="462">
        <f>IF(S730=0,0,VLOOKUP(YEAR(S730),INPC!$B$4:$O$29,MONTH(S730)+1))</f>
        <v>123.803</v>
      </c>
      <c r="M730" s="463">
        <f t="shared" si="114"/>
        <v>1.0590999999999999</v>
      </c>
      <c r="N730" s="465">
        <f t="shared" si="122"/>
        <v>889.04641084848481</v>
      </c>
      <c r="O730" s="179"/>
      <c r="P730" s="180">
        <v>14</v>
      </c>
      <c r="Q730" s="173" t="s">
        <v>583</v>
      </c>
      <c r="R730" s="173" t="s">
        <v>230</v>
      </c>
      <c r="S730" s="174">
        <v>44791</v>
      </c>
      <c r="T730" s="173" t="s">
        <v>33</v>
      </c>
      <c r="U730" s="182">
        <v>666.62</v>
      </c>
      <c r="V730" s="177">
        <f>IF(U730=0,0,IF(T730="MXN",1/HLOOKUP(YEAR(S730)+(MONTH(S730)/100),TC!$5:$37,DAY(S730)+2,FALSE),VLOOKUP(T730,Equivalencia!$1:$23,((MAX(Equivalencia!$3:$3)-YEAR(S730))*14)+MONTH(S730)+2,FALSE)))</f>
        <v>1</v>
      </c>
      <c r="W730" s="178">
        <f t="shared" si="119"/>
        <v>666.62</v>
      </c>
      <c r="X730" s="481">
        <f t="shared" si="115"/>
        <v>-172.81575757575763</v>
      </c>
      <c r="Y730" s="179"/>
      <c r="Z730" s="466">
        <f t="shared" si="116"/>
        <v>889.04641084848481</v>
      </c>
      <c r="AA730" s="473">
        <f t="shared" si="117"/>
        <v>-222.42641084848481</v>
      </c>
      <c r="AB730" s="339">
        <f t="shared" si="118"/>
        <v>-0.20587133204194163</v>
      </c>
    </row>
    <row r="731" spans="2:28" ht="20.100000000000001" customHeight="1">
      <c r="B731" s="172">
        <v>1427200</v>
      </c>
      <c r="C731" s="174">
        <v>44503</v>
      </c>
      <c r="D731" s="181" t="s">
        <v>264</v>
      </c>
      <c r="E731" s="173" t="s">
        <v>33</v>
      </c>
      <c r="F731" s="176">
        <v>961.51904761904768</v>
      </c>
      <c r="G731" s="175">
        <f t="shared" si="120"/>
        <v>4</v>
      </c>
      <c r="H731" s="175">
        <f t="shared" si="113"/>
        <v>961.51904761904768</v>
      </c>
      <c r="I731" s="177">
        <f>IF(G731=0,0,IF(E731="MXN",1/HLOOKUP(YEAR(C731)+(MONTH(C731)/100),TC!$5:$37,DAY(C731)+2,FALSE),VLOOKUP(E731,Equivalencia!$5:$23,((MAX(Equivalencia!$3:$3)-YEAR(C731))*14)+MONTH(C731)+2,FALSE)))</f>
        <v>1</v>
      </c>
      <c r="J731" s="178">
        <f t="shared" si="121"/>
        <v>961.51904761904768</v>
      </c>
      <c r="K731" s="462">
        <f>IF(C731=0,0,VLOOKUP(YEAR(C731),INPC!$B$4:$O$29,MONTH(C731)+1))</f>
        <v>116.884</v>
      </c>
      <c r="L731" s="462">
        <f>IF(S731=0,0,VLOOKUP(YEAR(S731),INPC!$B$4:$O$29,MONTH(S731)+1))</f>
        <v>123.803</v>
      </c>
      <c r="M731" s="463">
        <f t="shared" si="114"/>
        <v>1.0590999999999999</v>
      </c>
      <c r="N731" s="465">
        <f t="shared" si="122"/>
        <v>1018.3448233333334</v>
      </c>
      <c r="O731" s="179"/>
      <c r="P731" s="180">
        <v>4</v>
      </c>
      <c r="Q731" s="173" t="s">
        <v>583</v>
      </c>
      <c r="R731" s="173" t="s">
        <v>230</v>
      </c>
      <c r="S731" s="174">
        <v>44782</v>
      </c>
      <c r="T731" s="173" t="s">
        <v>33</v>
      </c>
      <c r="U731" s="182">
        <v>900.06</v>
      </c>
      <c r="V731" s="177">
        <f>IF(U731=0,0,IF(T731="MXN",1/HLOOKUP(YEAR(S731)+(MONTH(S731)/100),TC!$5:$37,DAY(S731)+2,FALSE),VLOOKUP(T731,Equivalencia!$1:$23,((MAX(Equivalencia!$3:$3)-YEAR(S731))*14)+MONTH(S731)+2,FALSE)))</f>
        <v>1</v>
      </c>
      <c r="W731" s="178">
        <f t="shared" si="119"/>
        <v>900.06</v>
      </c>
      <c r="X731" s="481">
        <f t="shared" si="115"/>
        <v>-61.459047619047737</v>
      </c>
      <c r="Y731" s="179"/>
      <c r="Z731" s="466">
        <f t="shared" si="116"/>
        <v>1018.3448233333334</v>
      </c>
      <c r="AA731" s="473">
        <f t="shared" si="117"/>
        <v>-118.28482333333341</v>
      </c>
      <c r="AB731" s="339">
        <f t="shared" si="118"/>
        <v>-6.3918700072801538E-2</v>
      </c>
    </row>
    <row r="732" spans="2:28" ht="20.100000000000001" customHeight="1">
      <c r="B732" s="172">
        <v>1427200</v>
      </c>
      <c r="C732" s="174">
        <v>44636</v>
      </c>
      <c r="D732" s="181" t="s">
        <v>278</v>
      </c>
      <c r="E732" s="173" t="s">
        <v>33</v>
      </c>
      <c r="F732" s="176">
        <v>1783.84</v>
      </c>
      <c r="G732" s="175">
        <f t="shared" si="120"/>
        <v>4</v>
      </c>
      <c r="H732" s="175">
        <f t="shared" si="113"/>
        <v>1783.84</v>
      </c>
      <c r="I732" s="177">
        <f>IF(G732=0,0,IF(E732="MXN",1/HLOOKUP(YEAR(C732)+(MONTH(C732)/100),TC!$5:$37,DAY(C732)+2,FALSE),VLOOKUP(E732,Equivalencia!$5:$23,((MAX(Equivalencia!$3:$3)-YEAR(C732))*14)+MONTH(C732)+2,FALSE)))</f>
        <v>1</v>
      </c>
      <c r="J732" s="178">
        <f t="shared" si="121"/>
        <v>1783.84</v>
      </c>
      <c r="K732" s="462">
        <f>IF(C732=0,0,VLOOKUP(YEAR(C732),INPC!$B$4:$O$29,MONTH(C732)+1))</f>
        <v>120.15900000000001</v>
      </c>
      <c r="L732" s="462">
        <f>IF(S732=0,0,VLOOKUP(YEAR(S732),INPC!$B$4:$O$29,MONTH(S732)+1))</f>
        <v>123.803</v>
      </c>
      <c r="M732" s="463">
        <f t="shared" si="114"/>
        <v>1.0303</v>
      </c>
      <c r="N732" s="465">
        <f t="shared" si="122"/>
        <v>1837.8903519999999</v>
      </c>
      <c r="O732" s="179"/>
      <c r="P732" s="180">
        <v>4</v>
      </c>
      <c r="Q732" s="173" t="s">
        <v>583</v>
      </c>
      <c r="R732" s="173" t="s">
        <v>230</v>
      </c>
      <c r="S732" s="174">
        <v>44782</v>
      </c>
      <c r="T732" s="173" t="s">
        <v>33</v>
      </c>
      <c r="U732" s="182">
        <v>1844.84</v>
      </c>
      <c r="V732" s="177">
        <f>IF(U732=0,0,IF(T732="MXN",1/HLOOKUP(YEAR(S732)+(MONTH(S732)/100),TC!$5:$37,DAY(S732)+2,FALSE),VLOOKUP(T732,Equivalencia!$1:$23,((MAX(Equivalencia!$3:$3)-YEAR(S732))*14)+MONTH(S732)+2,FALSE)))</f>
        <v>1</v>
      </c>
      <c r="W732" s="178">
        <f t="shared" si="119"/>
        <v>1844.84</v>
      </c>
      <c r="X732" s="481">
        <f t="shared" si="115"/>
        <v>61</v>
      </c>
      <c r="Y732" s="179"/>
      <c r="Z732" s="466">
        <f t="shared" si="116"/>
        <v>1837.8903519999999</v>
      </c>
      <c r="AA732" s="473">
        <f t="shared" si="117"/>
        <v>6.9496480000000247</v>
      </c>
      <c r="AB732" s="339">
        <f t="shared" si="118"/>
        <v>3.4195892008251905E-2</v>
      </c>
    </row>
    <row r="733" spans="2:28" ht="20.100000000000001" customHeight="1">
      <c r="B733" s="172">
        <v>1427200</v>
      </c>
      <c r="C733" s="174">
        <v>44644</v>
      </c>
      <c r="D733" s="181" t="s">
        <v>279</v>
      </c>
      <c r="E733" s="173" t="s">
        <v>33</v>
      </c>
      <c r="F733" s="176">
        <v>20.91</v>
      </c>
      <c r="G733" s="175">
        <f t="shared" si="120"/>
        <v>1</v>
      </c>
      <c r="H733" s="175">
        <f t="shared" si="113"/>
        <v>20.91</v>
      </c>
      <c r="I733" s="177">
        <f>IF(G733=0,0,IF(E733="MXN",1/HLOOKUP(YEAR(C733)+(MONTH(C733)/100),TC!$5:$37,DAY(C733)+2,FALSE),VLOOKUP(E733,Equivalencia!$5:$23,((MAX(Equivalencia!$3:$3)-YEAR(C733))*14)+MONTH(C733)+2,FALSE)))</f>
        <v>1</v>
      </c>
      <c r="J733" s="178">
        <f t="shared" si="121"/>
        <v>20.91</v>
      </c>
      <c r="K733" s="462">
        <f>IF(C733=0,0,VLOOKUP(YEAR(C733),INPC!$B$4:$O$29,MONTH(C733)+1))</f>
        <v>120.15900000000001</v>
      </c>
      <c r="L733" s="462">
        <f>IF(S733=0,0,VLOOKUP(YEAR(S733),INPC!$B$4:$O$29,MONTH(S733)+1))</f>
        <v>123.803</v>
      </c>
      <c r="M733" s="463">
        <f t="shared" si="114"/>
        <v>1.0303</v>
      </c>
      <c r="N733" s="465">
        <f t="shared" si="122"/>
        <v>21.543572999999999</v>
      </c>
      <c r="O733" s="179"/>
      <c r="P733" s="180">
        <v>1</v>
      </c>
      <c r="Q733" s="173" t="s">
        <v>583</v>
      </c>
      <c r="R733" s="173" t="s">
        <v>230</v>
      </c>
      <c r="S733" s="174">
        <v>44783</v>
      </c>
      <c r="T733" s="173" t="s">
        <v>33</v>
      </c>
      <c r="U733" s="182">
        <v>16.504999999999999</v>
      </c>
      <c r="V733" s="177">
        <f>IF(U733=0,0,IF(T733="MXN",1/HLOOKUP(YEAR(S733)+(MONTH(S733)/100),TC!$5:$37,DAY(S733)+2,FALSE),VLOOKUP(T733,Equivalencia!$1:$23,((MAX(Equivalencia!$3:$3)-YEAR(S733))*14)+MONTH(S733)+2,FALSE)))</f>
        <v>1</v>
      </c>
      <c r="W733" s="178">
        <f t="shared" si="119"/>
        <v>16.504999999999999</v>
      </c>
      <c r="X733" s="481">
        <f t="shared" si="115"/>
        <v>-4.4050000000000011</v>
      </c>
      <c r="Y733" s="179"/>
      <c r="Z733" s="466">
        <f t="shared" si="116"/>
        <v>21.543572999999999</v>
      </c>
      <c r="AA733" s="473">
        <f t="shared" si="117"/>
        <v>-5.0385729999999995</v>
      </c>
      <c r="AB733" s="339">
        <f t="shared" si="118"/>
        <v>-0.21066475370636062</v>
      </c>
    </row>
    <row r="734" spans="2:28" ht="20.100000000000001" customHeight="1">
      <c r="B734" s="172">
        <v>1427200</v>
      </c>
      <c r="C734" s="174">
        <v>44644</v>
      </c>
      <c r="D734" s="181" t="s">
        <v>279</v>
      </c>
      <c r="E734" s="173" t="s">
        <v>33</v>
      </c>
      <c r="F734" s="176">
        <v>21.436</v>
      </c>
      <c r="G734" s="175">
        <f t="shared" si="120"/>
        <v>1</v>
      </c>
      <c r="H734" s="175">
        <f t="shared" si="113"/>
        <v>21.436</v>
      </c>
      <c r="I734" s="177">
        <f>IF(G734=0,0,IF(E734="MXN",1/HLOOKUP(YEAR(C734)+(MONTH(C734)/100),TC!$5:$37,DAY(C734)+2,FALSE),VLOOKUP(E734,Equivalencia!$5:$23,((MAX(Equivalencia!$3:$3)-YEAR(C734))*14)+MONTH(C734)+2,FALSE)))</f>
        <v>1</v>
      </c>
      <c r="J734" s="178">
        <f t="shared" si="121"/>
        <v>21.436</v>
      </c>
      <c r="K734" s="462">
        <f>IF(C734=0,0,VLOOKUP(YEAR(C734),INPC!$B$4:$O$29,MONTH(C734)+1))</f>
        <v>120.15900000000001</v>
      </c>
      <c r="L734" s="462">
        <f>IF(S734=0,0,VLOOKUP(YEAR(S734),INPC!$B$4:$O$29,MONTH(S734)+1))</f>
        <v>123.803</v>
      </c>
      <c r="M734" s="463">
        <f t="shared" si="114"/>
        <v>1.0303</v>
      </c>
      <c r="N734" s="465">
        <f t="shared" si="122"/>
        <v>22.085510800000002</v>
      </c>
      <c r="O734" s="179"/>
      <c r="P734" s="180">
        <v>1</v>
      </c>
      <c r="Q734" s="173" t="s">
        <v>583</v>
      </c>
      <c r="R734" s="173" t="s">
        <v>230</v>
      </c>
      <c r="S734" s="174">
        <v>44783</v>
      </c>
      <c r="T734" s="173" t="s">
        <v>33</v>
      </c>
      <c r="U734" s="182">
        <v>16.504999999999999</v>
      </c>
      <c r="V734" s="177">
        <f>IF(U734=0,0,IF(T734="MXN",1/HLOOKUP(YEAR(S734)+(MONTH(S734)/100),TC!$5:$37,DAY(S734)+2,FALSE),VLOOKUP(T734,Equivalencia!$1:$23,((MAX(Equivalencia!$3:$3)-YEAR(S734))*14)+MONTH(S734)+2,FALSE)))</f>
        <v>1</v>
      </c>
      <c r="W734" s="178">
        <f t="shared" si="119"/>
        <v>16.504999999999999</v>
      </c>
      <c r="X734" s="481">
        <f t="shared" si="115"/>
        <v>-4.9310000000000009</v>
      </c>
      <c r="Y734" s="179"/>
      <c r="Z734" s="466">
        <f t="shared" si="116"/>
        <v>22.085510800000002</v>
      </c>
      <c r="AA734" s="473">
        <f t="shared" si="117"/>
        <v>-5.5805108000000025</v>
      </c>
      <c r="AB734" s="339">
        <f t="shared" si="118"/>
        <v>-0.2300335883560366</v>
      </c>
    </row>
    <row r="735" spans="2:28" ht="20.100000000000001" customHeight="1">
      <c r="B735" s="172">
        <v>1427200</v>
      </c>
      <c r="C735" s="174">
        <v>44644</v>
      </c>
      <c r="D735" s="181" t="s">
        <v>279</v>
      </c>
      <c r="E735" s="173" t="s">
        <v>33</v>
      </c>
      <c r="F735" s="176">
        <v>85.744</v>
      </c>
      <c r="G735" s="175">
        <f t="shared" si="120"/>
        <v>4</v>
      </c>
      <c r="H735" s="175">
        <f t="shared" si="113"/>
        <v>85.744</v>
      </c>
      <c r="I735" s="177">
        <f>IF(G735=0,0,IF(E735="MXN",1/HLOOKUP(YEAR(C735)+(MONTH(C735)/100),TC!$5:$37,DAY(C735)+2,FALSE),VLOOKUP(E735,Equivalencia!$5:$23,((MAX(Equivalencia!$3:$3)-YEAR(C735))*14)+MONTH(C735)+2,FALSE)))</f>
        <v>1</v>
      </c>
      <c r="J735" s="178">
        <f t="shared" si="121"/>
        <v>85.744</v>
      </c>
      <c r="K735" s="462">
        <f>IF(C735=0,0,VLOOKUP(YEAR(C735),INPC!$B$4:$O$29,MONTH(C735)+1))</f>
        <v>120.15900000000001</v>
      </c>
      <c r="L735" s="462">
        <f>IF(S735=0,0,VLOOKUP(YEAR(S735),INPC!$B$4:$O$29,MONTH(S735)+1))</f>
        <v>123.803</v>
      </c>
      <c r="M735" s="463">
        <f t="shared" si="114"/>
        <v>1.0303</v>
      </c>
      <c r="N735" s="465">
        <f t="shared" si="122"/>
        <v>88.342043200000006</v>
      </c>
      <c r="O735" s="179"/>
      <c r="P735" s="180">
        <v>4</v>
      </c>
      <c r="Q735" s="173" t="s">
        <v>583</v>
      </c>
      <c r="R735" s="173" t="s">
        <v>230</v>
      </c>
      <c r="S735" s="174">
        <v>44783</v>
      </c>
      <c r="T735" s="173" t="s">
        <v>33</v>
      </c>
      <c r="U735" s="182">
        <v>65.849999999999994</v>
      </c>
      <c r="V735" s="177">
        <f>IF(U735=0,0,IF(T735="MXN",1/HLOOKUP(YEAR(S735)+(MONTH(S735)/100),TC!$5:$37,DAY(S735)+2,FALSE),VLOOKUP(T735,Equivalencia!$1:$23,((MAX(Equivalencia!$3:$3)-YEAR(S735))*14)+MONTH(S735)+2,FALSE)))</f>
        <v>1</v>
      </c>
      <c r="W735" s="178">
        <f t="shared" si="119"/>
        <v>65.849999999999994</v>
      </c>
      <c r="X735" s="481">
        <f t="shared" si="115"/>
        <v>-19.894000000000005</v>
      </c>
      <c r="Y735" s="179"/>
      <c r="Z735" s="466">
        <f t="shared" si="116"/>
        <v>88.342043200000006</v>
      </c>
      <c r="AA735" s="473">
        <f t="shared" si="117"/>
        <v>-22.492043200000012</v>
      </c>
      <c r="AB735" s="339">
        <f t="shared" si="118"/>
        <v>-0.23201623437208441</v>
      </c>
    </row>
    <row r="736" spans="2:28" ht="20.100000000000001" customHeight="1">
      <c r="B736" s="172">
        <v>1427200</v>
      </c>
      <c r="C736" s="174">
        <v>44644</v>
      </c>
      <c r="D736" s="181" t="s">
        <v>279</v>
      </c>
      <c r="E736" s="173" t="s">
        <v>33</v>
      </c>
      <c r="F736" s="176">
        <v>64.307999999999993</v>
      </c>
      <c r="G736" s="175">
        <f t="shared" si="120"/>
        <v>3</v>
      </c>
      <c r="H736" s="175">
        <f t="shared" si="113"/>
        <v>64.307999999999993</v>
      </c>
      <c r="I736" s="177">
        <f>IF(G736=0,0,IF(E736="MXN",1/HLOOKUP(YEAR(C736)+(MONTH(C736)/100),TC!$5:$37,DAY(C736)+2,FALSE),VLOOKUP(E736,Equivalencia!$5:$23,((MAX(Equivalencia!$3:$3)-YEAR(C736))*14)+MONTH(C736)+2,FALSE)))</f>
        <v>1</v>
      </c>
      <c r="J736" s="178">
        <f t="shared" si="121"/>
        <v>64.307999999999993</v>
      </c>
      <c r="K736" s="462">
        <f>IF(C736=0,0,VLOOKUP(YEAR(C736),INPC!$B$4:$O$29,MONTH(C736)+1))</f>
        <v>120.15900000000001</v>
      </c>
      <c r="L736" s="462">
        <f>IF(S736=0,0,VLOOKUP(YEAR(S736),INPC!$B$4:$O$29,MONTH(S736)+1))</f>
        <v>123.803</v>
      </c>
      <c r="M736" s="463">
        <f t="shared" si="114"/>
        <v>1.0303</v>
      </c>
      <c r="N736" s="465">
        <f t="shared" si="122"/>
        <v>66.256532399999998</v>
      </c>
      <c r="O736" s="179"/>
      <c r="P736" s="180">
        <v>3</v>
      </c>
      <c r="Q736" s="173" t="s">
        <v>583</v>
      </c>
      <c r="R736" s="173" t="s">
        <v>230</v>
      </c>
      <c r="S736" s="174">
        <v>44783</v>
      </c>
      <c r="T736" s="173" t="s">
        <v>33</v>
      </c>
      <c r="U736" s="182">
        <v>49.019999999999996</v>
      </c>
      <c r="V736" s="177">
        <f>IF(U736=0,0,IF(T736="MXN",1/HLOOKUP(YEAR(S736)+(MONTH(S736)/100),TC!$5:$37,DAY(S736)+2,FALSE),VLOOKUP(T736,Equivalencia!$1:$23,((MAX(Equivalencia!$3:$3)-YEAR(S736))*14)+MONTH(S736)+2,FALSE)))</f>
        <v>1</v>
      </c>
      <c r="W736" s="178">
        <f t="shared" si="119"/>
        <v>49.019999999999996</v>
      </c>
      <c r="X736" s="481">
        <f t="shared" si="115"/>
        <v>-15.287999999999997</v>
      </c>
      <c r="Y736" s="179"/>
      <c r="Z736" s="466">
        <f t="shared" si="116"/>
        <v>66.256532399999998</v>
      </c>
      <c r="AA736" s="473">
        <f t="shared" si="117"/>
        <v>-17.236532400000002</v>
      </c>
      <c r="AB736" s="339">
        <f t="shared" si="118"/>
        <v>-0.23773091994775142</v>
      </c>
    </row>
    <row r="737" spans="2:28" ht="20.100000000000001" customHeight="1">
      <c r="B737" s="172">
        <v>1427200</v>
      </c>
      <c r="C737" s="174">
        <v>44644</v>
      </c>
      <c r="D737" s="181" t="s">
        <v>279</v>
      </c>
      <c r="E737" s="173" t="s">
        <v>33</v>
      </c>
      <c r="F737" s="176">
        <v>364.41199999999998</v>
      </c>
      <c r="G737" s="175">
        <f t="shared" si="120"/>
        <v>17</v>
      </c>
      <c r="H737" s="175">
        <f t="shared" si="113"/>
        <v>364.41199999999998</v>
      </c>
      <c r="I737" s="177">
        <f>IF(G737=0,0,IF(E737="MXN",1/HLOOKUP(YEAR(C737)+(MONTH(C737)/100),TC!$5:$37,DAY(C737)+2,FALSE),VLOOKUP(E737,Equivalencia!$5:$23,((MAX(Equivalencia!$3:$3)-YEAR(C737))*14)+MONTH(C737)+2,FALSE)))</f>
        <v>1</v>
      </c>
      <c r="J737" s="178">
        <f t="shared" si="121"/>
        <v>364.41199999999998</v>
      </c>
      <c r="K737" s="462">
        <f>IF(C737=0,0,VLOOKUP(YEAR(C737),INPC!$B$4:$O$29,MONTH(C737)+1))</f>
        <v>120.15900000000001</v>
      </c>
      <c r="L737" s="462">
        <f>IF(S737=0,0,VLOOKUP(YEAR(S737),INPC!$B$4:$O$29,MONTH(S737)+1))</f>
        <v>123.803</v>
      </c>
      <c r="M737" s="463">
        <f t="shared" si="114"/>
        <v>1.0303</v>
      </c>
      <c r="N737" s="465">
        <f t="shared" si="122"/>
        <v>375.45368359999998</v>
      </c>
      <c r="O737" s="179"/>
      <c r="P737" s="180">
        <v>17</v>
      </c>
      <c r="Q737" s="173" t="s">
        <v>583</v>
      </c>
      <c r="R737" s="173" t="s">
        <v>230</v>
      </c>
      <c r="S737" s="174">
        <v>44783</v>
      </c>
      <c r="T737" s="173" t="s">
        <v>33</v>
      </c>
      <c r="U737" s="182">
        <v>280.63877551020408</v>
      </c>
      <c r="V737" s="177">
        <f>IF(U737=0,0,IF(T737="MXN",1/HLOOKUP(YEAR(S737)+(MONTH(S737)/100),TC!$5:$37,DAY(S737)+2,FALSE),VLOOKUP(T737,Equivalencia!$1:$23,((MAX(Equivalencia!$3:$3)-YEAR(S737))*14)+MONTH(S737)+2,FALSE)))</f>
        <v>1</v>
      </c>
      <c r="W737" s="178">
        <f t="shared" si="119"/>
        <v>280.63877551020408</v>
      </c>
      <c r="X737" s="481">
        <f t="shared" si="115"/>
        <v>-83.773224489795894</v>
      </c>
      <c r="Y737" s="179"/>
      <c r="Z737" s="466">
        <f t="shared" si="116"/>
        <v>375.45368359999998</v>
      </c>
      <c r="AA737" s="473">
        <f t="shared" si="117"/>
        <v>-94.814908089795892</v>
      </c>
      <c r="AB737" s="339">
        <f t="shared" si="118"/>
        <v>-0.22988602046528628</v>
      </c>
    </row>
    <row r="738" spans="2:28" ht="20.100000000000001" customHeight="1">
      <c r="B738" s="172">
        <v>1427200</v>
      </c>
      <c r="C738" s="174">
        <v>44644</v>
      </c>
      <c r="D738" s="181" t="s">
        <v>279</v>
      </c>
      <c r="E738" s="173" t="s">
        <v>33</v>
      </c>
      <c r="F738" s="176">
        <v>559.83000000000004</v>
      </c>
      <c r="G738" s="175">
        <f t="shared" si="120"/>
        <v>26</v>
      </c>
      <c r="H738" s="175">
        <f t="shared" si="113"/>
        <v>559.83000000000004</v>
      </c>
      <c r="I738" s="177">
        <f>IF(G738=0,0,IF(E738="MXN",1/HLOOKUP(YEAR(C738)+(MONTH(C738)/100),TC!$5:$37,DAY(C738)+2,FALSE),VLOOKUP(E738,Equivalencia!$5:$23,((MAX(Equivalencia!$3:$3)-YEAR(C738))*14)+MONTH(C738)+2,FALSE)))</f>
        <v>1</v>
      </c>
      <c r="J738" s="178">
        <f t="shared" si="121"/>
        <v>559.83000000000004</v>
      </c>
      <c r="K738" s="462">
        <f>IF(C738=0,0,VLOOKUP(YEAR(C738),INPC!$B$4:$O$29,MONTH(C738)+1))</f>
        <v>120.15900000000001</v>
      </c>
      <c r="L738" s="462">
        <f>IF(S738=0,0,VLOOKUP(YEAR(S738),INPC!$B$4:$O$29,MONTH(S738)+1))</f>
        <v>123.803</v>
      </c>
      <c r="M738" s="463">
        <f t="shared" si="114"/>
        <v>1.0303</v>
      </c>
      <c r="N738" s="465">
        <f t="shared" si="122"/>
        <v>576.79284900000005</v>
      </c>
      <c r="O738" s="179"/>
      <c r="P738" s="180">
        <v>26</v>
      </c>
      <c r="Q738" s="173" t="s">
        <v>583</v>
      </c>
      <c r="R738" s="173" t="s">
        <v>230</v>
      </c>
      <c r="S738" s="174">
        <v>44783</v>
      </c>
      <c r="T738" s="173" t="s">
        <v>33</v>
      </c>
      <c r="U738" s="182">
        <v>429.21224489795918</v>
      </c>
      <c r="V738" s="177">
        <f>IF(U738=0,0,IF(T738="MXN",1/HLOOKUP(YEAR(S738)+(MONTH(S738)/100),TC!$5:$37,DAY(S738)+2,FALSE),VLOOKUP(T738,Equivalencia!$1:$23,((MAX(Equivalencia!$3:$3)-YEAR(S738))*14)+MONTH(S738)+2,FALSE)))</f>
        <v>1</v>
      </c>
      <c r="W738" s="178">
        <f t="shared" si="119"/>
        <v>429.21224489795918</v>
      </c>
      <c r="X738" s="481">
        <f t="shared" si="115"/>
        <v>-130.61775510204086</v>
      </c>
      <c r="Y738" s="179"/>
      <c r="Z738" s="466">
        <f t="shared" si="116"/>
        <v>576.79284900000005</v>
      </c>
      <c r="AA738" s="473">
        <f t="shared" si="117"/>
        <v>-147.58060410204087</v>
      </c>
      <c r="AB738" s="339">
        <f t="shared" si="118"/>
        <v>-0.23331681957387218</v>
      </c>
    </row>
    <row r="739" spans="2:28" ht="20.100000000000001" customHeight="1">
      <c r="B739" s="172">
        <v>1427200</v>
      </c>
      <c r="C739" s="174">
        <v>44644</v>
      </c>
      <c r="D739" s="181" t="s">
        <v>279</v>
      </c>
      <c r="E739" s="173" t="s">
        <v>33</v>
      </c>
      <c r="F739" s="176">
        <v>83.55</v>
      </c>
      <c r="G739" s="175">
        <f t="shared" si="120"/>
        <v>4</v>
      </c>
      <c r="H739" s="175">
        <f t="shared" si="113"/>
        <v>83.55</v>
      </c>
      <c r="I739" s="177">
        <f>IF(G739=0,0,IF(E739="MXN",1/HLOOKUP(YEAR(C739)+(MONTH(C739)/100),TC!$5:$37,DAY(C739)+2,FALSE),VLOOKUP(E739,Equivalencia!$5:$23,((MAX(Equivalencia!$3:$3)-YEAR(C739))*14)+MONTH(C739)+2,FALSE)))</f>
        <v>1</v>
      </c>
      <c r="J739" s="178">
        <f t="shared" si="121"/>
        <v>83.55</v>
      </c>
      <c r="K739" s="462">
        <f>IF(C739=0,0,VLOOKUP(YEAR(C739),INPC!$B$4:$O$29,MONTH(C739)+1))</f>
        <v>120.15900000000001</v>
      </c>
      <c r="L739" s="462">
        <f>IF(S739=0,0,VLOOKUP(YEAR(S739),INPC!$B$4:$O$29,MONTH(S739)+1))</f>
        <v>123.803</v>
      </c>
      <c r="M739" s="463">
        <f t="shared" si="114"/>
        <v>1.0303</v>
      </c>
      <c r="N739" s="465">
        <f t="shared" si="122"/>
        <v>86.081564999999998</v>
      </c>
      <c r="O739" s="179"/>
      <c r="P739" s="180">
        <v>4</v>
      </c>
      <c r="Q739" s="173" t="s">
        <v>583</v>
      </c>
      <c r="R739" s="173" t="s">
        <v>230</v>
      </c>
      <c r="S739" s="174">
        <v>44783</v>
      </c>
      <c r="T739" s="173" t="s">
        <v>33</v>
      </c>
      <c r="U739" s="182">
        <v>66.032653061224494</v>
      </c>
      <c r="V739" s="177">
        <f>IF(U739=0,0,IF(T739="MXN",1/HLOOKUP(YEAR(S739)+(MONTH(S739)/100),TC!$5:$37,DAY(S739)+2,FALSE),VLOOKUP(T739,Equivalencia!$1:$23,((MAX(Equivalencia!$3:$3)-YEAR(S739))*14)+MONTH(S739)+2,FALSE)))</f>
        <v>1</v>
      </c>
      <c r="W739" s="178">
        <f t="shared" si="119"/>
        <v>66.032653061224494</v>
      </c>
      <c r="X739" s="481">
        <f t="shared" si="115"/>
        <v>-17.517346938775503</v>
      </c>
      <c r="Y739" s="179"/>
      <c r="Z739" s="466">
        <f t="shared" si="116"/>
        <v>86.081564999999998</v>
      </c>
      <c r="AA739" s="473">
        <f t="shared" si="117"/>
        <v>-20.048911938775504</v>
      </c>
      <c r="AB739" s="339">
        <f t="shared" si="118"/>
        <v>-0.20966303936296238</v>
      </c>
    </row>
    <row r="740" spans="2:28" ht="20.100000000000001" customHeight="1">
      <c r="B740" s="172">
        <v>1427200</v>
      </c>
      <c r="C740" s="174">
        <v>44644</v>
      </c>
      <c r="D740" s="181" t="s">
        <v>279</v>
      </c>
      <c r="E740" s="173" t="s">
        <v>33</v>
      </c>
      <c r="F740" s="176">
        <v>43.432000000000002</v>
      </c>
      <c r="G740" s="175">
        <f t="shared" si="120"/>
        <v>2</v>
      </c>
      <c r="H740" s="175">
        <f t="shared" si="113"/>
        <v>43.432000000000002</v>
      </c>
      <c r="I740" s="177">
        <f>IF(G740=0,0,IF(E740="MXN",1/HLOOKUP(YEAR(C740)+(MONTH(C740)/100),TC!$5:$37,DAY(C740)+2,FALSE),VLOOKUP(E740,Equivalencia!$5:$23,((MAX(Equivalencia!$3:$3)-YEAR(C740))*14)+MONTH(C740)+2,FALSE)))</f>
        <v>1</v>
      </c>
      <c r="J740" s="178">
        <f t="shared" si="121"/>
        <v>43.432000000000002</v>
      </c>
      <c r="K740" s="462">
        <f>IF(C740=0,0,VLOOKUP(YEAR(C740),INPC!$B$4:$O$29,MONTH(C740)+1))</f>
        <v>120.15900000000001</v>
      </c>
      <c r="L740" s="462">
        <f>IF(S740=0,0,VLOOKUP(YEAR(S740),INPC!$B$4:$O$29,MONTH(S740)+1))</f>
        <v>123.803</v>
      </c>
      <c r="M740" s="463">
        <f t="shared" si="114"/>
        <v>1.0303</v>
      </c>
      <c r="N740" s="465">
        <f t="shared" si="122"/>
        <v>44.747989600000004</v>
      </c>
      <c r="O740" s="179"/>
      <c r="P740" s="180">
        <v>2</v>
      </c>
      <c r="Q740" s="173" t="s">
        <v>583</v>
      </c>
      <c r="R740" s="173" t="s">
        <v>230</v>
      </c>
      <c r="S740" s="174">
        <v>44783</v>
      </c>
      <c r="T740" s="173" t="s">
        <v>33</v>
      </c>
      <c r="U740" s="182">
        <v>33.016326530612247</v>
      </c>
      <c r="V740" s="177">
        <f>IF(U740=0,0,IF(T740="MXN",1/HLOOKUP(YEAR(S740)+(MONTH(S740)/100),TC!$5:$37,DAY(S740)+2,FALSE),VLOOKUP(T740,Equivalencia!$1:$23,((MAX(Equivalencia!$3:$3)-YEAR(S740))*14)+MONTH(S740)+2,FALSE)))</f>
        <v>1</v>
      </c>
      <c r="W740" s="178">
        <f t="shared" si="119"/>
        <v>33.016326530612247</v>
      </c>
      <c r="X740" s="481">
        <f t="shared" si="115"/>
        <v>-10.415673469387755</v>
      </c>
      <c r="Y740" s="179"/>
      <c r="Z740" s="466">
        <f t="shared" si="116"/>
        <v>44.747989600000004</v>
      </c>
      <c r="AA740" s="473">
        <f t="shared" si="117"/>
        <v>-11.731663069387757</v>
      </c>
      <c r="AB740" s="339">
        <f t="shared" si="118"/>
        <v>-0.23981565365140345</v>
      </c>
    </row>
    <row r="741" spans="2:28" ht="20.100000000000001" customHeight="1">
      <c r="B741" s="172">
        <v>1427200</v>
      </c>
      <c r="C741" s="174">
        <v>44503</v>
      </c>
      <c r="D741" s="181" t="s">
        <v>280</v>
      </c>
      <c r="E741" s="173" t="s">
        <v>33</v>
      </c>
      <c r="F741" s="176">
        <v>4501.8</v>
      </c>
      <c r="G741" s="175">
        <f t="shared" si="120"/>
        <v>15</v>
      </c>
      <c r="H741" s="175">
        <f t="shared" si="113"/>
        <v>4501.8</v>
      </c>
      <c r="I741" s="177">
        <f>IF(G741=0,0,IF(E741="MXN",1/HLOOKUP(YEAR(C741)+(MONTH(C741)/100),TC!$5:$37,DAY(C741)+2,FALSE),VLOOKUP(E741,Equivalencia!$5:$23,((MAX(Equivalencia!$3:$3)-YEAR(C741))*14)+MONTH(C741)+2,FALSE)))</f>
        <v>1</v>
      </c>
      <c r="J741" s="178">
        <f t="shared" si="121"/>
        <v>4501.8</v>
      </c>
      <c r="K741" s="462">
        <f>IF(C741=0,0,VLOOKUP(YEAR(C741),INPC!$B$4:$O$29,MONTH(C741)+1))</f>
        <v>116.884</v>
      </c>
      <c r="L741" s="462">
        <f>IF(S741=0,0,VLOOKUP(YEAR(S741),INPC!$B$4:$O$29,MONTH(S741)+1))</f>
        <v>123.803</v>
      </c>
      <c r="M741" s="463">
        <f t="shared" si="114"/>
        <v>1.0590999999999999</v>
      </c>
      <c r="N741" s="465">
        <f t="shared" si="122"/>
        <v>4767.8563800000002</v>
      </c>
      <c r="O741" s="179"/>
      <c r="P741" s="180">
        <v>15</v>
      </c>
      <c r="Q741" s="173" t="s">
        <v>583</v>
      </c>
      <c r="R741" s="173" t="s">
        <v>230</v>
      </c>
      <c r="S741" s="174">
        <v>44783</v>
      </c>
      <c r="T741" s="173" t="s">
        <v>33</v>
      </c>
      <c r="U741" s="182">
        <v>1311.27</v>
      </c>
      <c r="V741" s="177">
        <f>IF(U741=0,0,IF(T741="MXN",1/HLOOKUP(YEAR(S741)+(MONTH(S741)/100),TC!$5:$37,DAY(S741)+2,FALSE),VLOOKUP(T741,Equivalencia!$1:$23,((MAX(Equivalencia!$3:$3)-YEAR(S741))*14)+MONTH(S741)+2,FALSE)))</f>
        <v>1</v>
      </c>
      <c r="W741" s="178">
        <f t="shared" si="119"/>
        <v>1311.27</v>
      </c>
      <c r="X741" s="481">
        <f t="shared" si="115"/>
        <v>-3190.53</v>
      </c>
      <c r="Y741" s="179"/>
      <c r="Z741" s="466">
        <f t="shared" si="116"/>
        <v>4767.8563800000002</v>
      </c>
      <c r="AA741" s="473">
        <f t="shared" si="117"/>
        <v>-3456.5863800000002</v>
      </c>
      <c r="AB741" s="339">
        <f t="shared" si="118"/>
        <v>-0.70872317739570834</v>
      </c>
    </row>
    <row r="742" spans="2:28" ht="20.100000000000001" customHeight="1">
      <c r="B742" s="172">
        <v>1427200</v>
      </c>
      <c r="C742" s="174">
        <v>44503</v>
      </c>
      <c r="D742" s="181" t="s">
        <v>280</v>
      </c>
      <c r="E742" s="173" t="s">
        <v>33</v>
      </c>
      <c r="F742" s="176">
        <v>3001.2</v>
      </c>
      <c r="G742" s="175">
        <f t="shared" si="120"/>
        <v>10</v>
      </c>
      <c r="H742" s="175">
        <f t="shared" si="113"/>
        <v>3001.2</v>
      </c>
      <c r="I742" s="177">
        <f>IF(G742=0,0,IF(E742="MXN",1/HLOOKUP(YEAR(C742)+(MONTH(C742)/100),TC!$5:$37,DAY(C742)+2,FALSE),VLOOKUP(E742,Equivalencia!$5:$23,((MAX(Equivalencia!$3:$3)-YEAR(C742))*14)+MONTH(C742)+2,FALSE)))</f>
        <v>1</v>
      </c>
      <c r="J742" s="178">
        <f t="shared" si="121"/>
        <v>3001.2</v>
      </c>
      <c r="K742" s="462">
        <f>IF(C742=0,0,VLOOKUP(YEAR(C742),INPC!$B$4:$O$29,MONTH(C742)+1))</f>
        <v>116.884</v>
      </c>
      <c r="L742" s="462">
        <f>IF(S742=0,0,VLOOKUP(YEAR(S742),INPC!$B$4:$O$29,MONTH(S742)+1))</f>
        <v>123.803</v>
      </c>
      <c r="M742" s="463">
        <f t="shared" si="114"/>
        <v>1.0590999999999999</v>
      </c>
      <c r="N742" s="465">
        <f t="shared" si="122"/>
        <v>3178.5709199999997</v>
      </c>
      <c r="O742" s="179"/>
      <c r="P742" s="180">
        <v>10</v>
      </c>
      <c r="Q742" s="173" t="s">
        <v>583</v>
      </c>
      <c r="R742" s="173" t="s">
        <v>230</v>
      </c>
      <c r="S742" s="174">
        <v>44784</v>
      </c>
      <c r="T742" s="173" t="s">
        <v>33</v>
      </c>
      <c r="U742" s="182">
        <v>853.35000000000014</v>
      </c>
      <c r="V742" s="177">
        <f>IF(U742=0,0,IF(T742="MXN",1/HLOOKUP(YEAR(S742)+(MONTH(S742)/100),TC!$5:$37,DAY(S742)+2,FALSE),VLOOKUP(T742,Equivalencia!$1:$23,((MAX(Equivalencia!$3:$3)-YEAR(S742))*14)+MONTH(S742)+2,FALSE)))</f>
        <v>1</v>
      </c>
      <c r="W742" s="178">
        <f t="shared" si="119"/>
        <v>853.35000000000014</v>
      </c>
      <c r="X742" s="481">
        <f t="shared" si="115"/>
        <v>-2147.8499999999995</v>
      </c>
      <c r="Y742" s="179"/>
      <c r="Z742" s="466">
        <f t="shared" si="116"/>
        <v>3178.5709199999997</v>
      </c>
      <c r="AA742" s="473">
        <f t="shared" si="117"/>
        <v>-2325.2209199999998</v>
      </c>
      <c r="AB742" s="339">
        <f t="shared" si="118"/>
        <v>-0.71566373450619747</v>
      </c>
    </row>
    <row r="743" spans="2:28" ht="20.100000000000001" customHeight="1">
      <c r="B743" s="172">
        <v>1427200</v>
      </c>
      <c r="C743" s="174">
        <v>44503</v>
      </c>
      <c r="D743" s="181" t="s">
        <v>280</v>
      </c>
      <c r="E743" s="173" t="s">
        <v>33</v>
      </c>
      <c r="F743" s="176">
        <v>4801.92</v>
      </c>
      <c r="G743" s="175">
        <f t="shared" si="120"/>
        <v>16</v>
      </c>
      <c r="H743" s="175">
        <f t="shared" si="113"/>
        <v>4801.92</v>
      </c>
      <c r="I743" s="177">
        <f>IF(G743=0,0,IF(E743="MXN",1/HLOOKUP(YEAR(C743)+(MONTH(C743)/100),TC!$5:$37,DAY(C743)+2,FALSE),VLOOKUP(E743,Equivalencia!$5:$23,((MAX(Equivalencia!$3:$3)-YEAR(C743))*14)+MONTH(C743)+2,FALSE)))</f>
        <v>1</v>
      </c>
      <c r="J743" s="178">
        <f t="shared" si="121"/>
        <v>4801.92</v>
      </c>
      <c r="K743" s="462">
        <f>IF(C743=0,0,VLOOKUP(YEAR(C743),INPC!$B$4:$O$29,MONTH(C743)+1))</f>
        <v>116.884</v>
      </c>
      <c r="L743" s="462">
        <f>IF(S743=0,0,VLOOKUP(YEAR(S743),INPC!$B$4:$O$29,MONTH(S743)+1))</f>
        <v>123.803</v>
      </c>
      <c r="M743" s="463">
        <f t="shared" si="114"/>
        <v>1.0590999999999999</v>
      </c>
      <c r="N743" s="465">
        <f t="shared" si="122"/>
        <v>5085.7134719999995</v>
      </c>
      <c r="O743" s="179"/>
      <c r="P743" s="180">
        <v>16</v>
      </c>
      <c r="Q743" s="173" t="s">
        <v>583</v>
      </c>
      <c r="R743" s="173" t="s">
        <v>230</v>
      </c>
      <c r="S743" s="174">
        <v>44785</v>
      </c>
      <c r="T743" s="173" t="s">
        <v>33</v>
      </c>
      <c r="U743" s="182">
        <v>1379.3600000000001</v>
      </c>
      <c r="V743" s="177">
        <f>IF(U743=0,0,IF(T743="MXN",1/HLOOKUP(YEAR(S743)+(MONTH(S743)/100),TC!$5:$37,DAY(S743)+2,FALSE),VLOOKUP(T743,Equivalencia!$1:$23,((MAX(Equivalencia!$3:$3)-YEAR(S743))*14)+MONTH(S743)+2,FALSE)))</f>
        <v>1</v>
      </c>
      <c r="W743" s="178">
        <f t="shared" si="119"/>
        <v>1379.3600000000001</v>
      </c>
      <c r="X743" s="481">
        <f t="shared" si="115"/>
        <v>-3422.56</v>
      </c>
      <c r="Y743" s="179"/>
      <c r="Z743" s="466">
        <f t="shared" si="116"/>
        <v>5085.7134719999995</v>
      </c>
      <c r="AA743" s="473">
        <f t="shared" si="117"/>
        <v>-3706.3534719999993</v>
      </c>
      <c r="AB743" s="339">
        <f t="shared" si="118"/>
        <v>-0.71274823403971743</v>
      </c>
    </row>
    <row r="744" spans="2:28" ht="20.100000000000001" customHeight="1">
      <c r="B744" s="172">
        <v>1427200</v>
      </c>
      <c r="C744" s="174">
        <v>44694</v>
      </c>
      <c r="D744" s="181" t="s">
        <v>280</v>
      </c>
      <c r="E744" s="173" t="s">
        <v>33</v>
      </c>
      <c r="F744" s="176">
        <v>442.59</v>
      </c>
      <c r="G744" s="175">
        <f t="shared" si="120"/>
        <v>4</v>
      </c>
      <c r="H744" s="175">
        <f t="shared" si="113"/>
        <v>442.59</v>
      </c>
      <c r="I744" s="177">
        <f>IF(G744=0,0,IF(E744="MXN",1/HLOOKUP(YEAR(C744)+(MONTH(C744)/100),TC!$5:$37,DAY(C744)+2,FALSE),VLOOKUP(E744,Equivalencia!$5:$23,((MAX(Equivalencia!$3:$3)-YEAR(C744))*14)+MONTH(C744)+2,FALSE)))</f>
        <v>1</v>
      </c>
      <c r="J744" s="178">
        <f t="shared" si="121"/>
        <v>442.59</v>
      </c>
      <c r="K744" s="462">
        <f>IF(C744=0,0,VLOOKUP(YEAR(C744),INPC!$B$4:$O$29,MONTH(C744)+1))</f>
        <v>121.02200000000001</v>
      </c>
      <c r="L744" s="462">
        <f>IF(S744=0,0,VLOOKUP(YEAR(S744),INPC!$B$4:$O$29,MONTH(S744)+1))</f>
        <v>123.803</v>
      </c>
      <c r="M744" s="463">
        <f t="shared" si="114"/>
        <v>1.0228999999999999</v>
      </c>
      <c r="N744" s="465">
        <f t="shared" si="122"/>
        <v>452.72531099999992</v>
      </c>
      <c r="O744" s="179"/>
      <c r="P744" s="180">
        <v>4</v>
      </c>
      <c r="Q744" s="173" t="s">
        <v>583</v>
      </c>
      <c r="R744" s="173" t="s">
        <v>230</v>
      </c>
      <c r="S744" s="174">
        <v>44785</v>
      </c>
      <c r="T744" s="173" t="s">
        <v>33</v>
      </c>
      <c r="U744" s="182">
        <v>344.84000000000003</v>
      </c>
      <c r="V744" s="177">
        <f>IF(U744=0,0,IF(T744="MXN",1/HLOOKUP(YEAR(S744)+(MONTH(S744)/100),TC!$5:$37,DAY(S744)+2,FALSE),VLOOKUP(T744,Equivalencia!$1:$23,((MAX(Equivalencia!$3:$3)-YEAR(S744))*14)+MONTH(S744)+2,FALSE)))</f>
        <v>1</v>
      </c>
      <c r="W744" s="178">
        <f t="shared" si="119"/>
        <v>344.84000000000003</v>
      </c>
      <c r="X744" s="481">
        <f t="shared" si="115"/>
        <v>-97.749999999999943</v>
      </c>
      <c r="Y744" s="179"/>
      <c r="Z744" s="466">
        <f t="shared" si="116"/>
        <v>452.72531099999992</v>
      </c>
      <c r="AA744" s="473">
        <f t="shared" si="117"/>
        <v>-107.88531099999989</v>
      </c>
      <c r="AB744" s="339">
        <f t="shared" si="118"/>
        <v>-0.22085903432070297</v>
      </c>
    </row>
    <row r="745" spans="2:28" ht="20.100000000000001" customHeight="1">
      <c r="B745" s="172">
        <v>1427200</v>
      </c>
      <c r="C745" s="174">
        <v>44503</v>
      </c>
      <c r="D745" s="181" t="s">
        <v>270</v>
      </c>
      <c r="E745" s="173" t="s">
        <v>33</v>
      </c>
      <c r="F745" s="176">
        <v>519.02785714285721</v>
      </c>
      <c r="G745" s="175">
        <f t="shared" si="120"/>
        <v>1</v>
      </c>
      <c r="H745" s="175">
        <f t="shared" si="113"/>
        <v>519.02785714285721</v>
      </c>
      <c r="I745" s="177">
        <f>IF(G745=0,0,IF(E745="MXN",1/HLOOKUP(YEAR(C745)+(MONTH(C745)/100),TC!$5:$37,DAY(C745)+2,FALSE),VLOOKUP(E745,Equivalencia!$5:$23,((MAX(Equivalencia!$3:$3)-YEAR(C745))*14)+MONTH(C745)+2,FALSE)))</f>
        <v>1</v>
      </c>
      <c r="J745" s="178">
        <f t="shared" si="121"/>
        <v>519.02785714285721</v>
      </c>
      <c r="K745" s="462">
        <f>IF(C745=0,0,VLOOKUP(YEAR(C745),INPC!$B$4:$O$29,MONTH(C745)+1))</f>
        <v>116.884</v>
      </c>
      <c r="L745" s="462">
        <f>IF(S745=0,0,VLOOKUP(YEAR(S745),INPC!$B$4:$O$29,MONTH(S745)+1))</f>
        <v>123.803</v>
      </c>
      <c r="M745" s="463">
        <f t="shared" si="114"/>
        <v>1.0590999999999999</v>
      </c>
      <c r="N745" s="465">
        <f t="shared" si="122"/>
        <v>549.70240350000006</v>
      </c>
      <c r="O745" s="179"/>
      <c r="P745" s="180">
        <v>1</v>
      </c>
      <c r="Q745" s="173" t="s">
        <v>583</v>
      </c>
      <c r="R745" s="173" t="s">
        <v>230</v>
      </c>
      <c r="S745" s="174">
        <v>44785</v>
      </c>
      <c r="T745" s="173" t="s">
        <v>33</v>
      </c>
      <c r="U745" s="182">
        <v>388.11</v>
      </c>
      <c r="V745" s="177">
        <f>IF(U745=0,0,IF(T745="MXN",1/HLOOKUP(YEAR(S745)+(MONTH(S745)/100),TC!$5:$37,DAY(S745)+2,FALSE),VLOOKUP(T745,Equivalencia!$1:$23,((MAX(Equivalencia!$3:$3)-YEAR(S745))*14)+MONTH(S745)+2,FALSE)))</f>
        <v>1</v>
      </c>
      <c r="W745" s="178">
        <f t="shared" si="119"/>
        <v>388.11</v>
      </c>
      <c r="X745" s="481">
        <f t="shared" si="115"/>
        <v>-130.9178571428572</v>
      </c>
      <c r="Y745" s="179"/>
      <c r="Z745" s="466">
        <f t="shared" si="116"/>
        <v>549.70240350000006</v>
      </c>
      <c r="AA745" s="473">
        <f t="shared" si="117"/>
        <v>-161.59240350000005</v>
      </c>
      <c r="AB745" s="339">
        <f t="shared" si="118"/>
        <v>-0.25223666772634012</v>
      </c>
    </row>
    <row r="746" spans="2:28" ht="20.100000000000001" customHeight="1">
      <c r="B746" s="172">
        <v>1427200</v>
      </c>
      <c r="C746" s="174">
        <v>44503</v>
      </c>
      <c r="D746" s="181" t="s">
        <v>270</v>
      </c>
      <c r="E746" s="173" t="s">
        <v>33</v>
      </c>
      <c r="F746" s="176">
        <v>519.02785714285721</v>
      </c>
      <c r="G746" s="175">
        <f t="shared" si="120"/>
        <v>1</v>
      </c>
      <c r="H746" s="175">
        <f t="shared" si="113"/>
        <v>519.02785714285721</v>
      </c>
      <c r="I746" s="177">
        <f>IF(G746=0,0,IF(E746="MXN",1/HLOOKUP(YEAR(C746)+(MONTH(C746)/100),TC!$5:$37,DAY(C746)+2,FALSE),VLOOKUP(E746,Equivalencia!$5:$23,((MAX(Equivalencia!$3:$3)-YEAR(C746))*14)+MONTH(C746)+2,FALSE)))</f>
        <v>1</v>
      </c>
      <c r="J746" s="178">
        <f t="shared" si="121"/>
        <v>519.02785714285721</v>
      </c>
      <c r="K746" s="462">
        <f>IF(C746=0,0,VLOOKUP(YEAR(C746),INPC!$B$4:$O$29,MONTH(C746)+1))</f>
        <v>116.884</v>
      </c>
      <c r="L746" s="462">
        <f>IF(S746=0,0,VLOOKUP(YEAR(S746),INPC!$B$4:$O$29,MONTH(S746)+1))</f>
        <v>123.803</v>
      </c>
      <c r="M746" s="463">
        <f t="shared" si="114"/>
        <v>1.0590999999999999</v>
      </c>
      <c r="N746" s="465">
        <f t="shared" si="122"/>
        <v>549.70240350000006</v>
      </c>
      <c r="O746" s="179"/>
      <c r="P746" s="180">
        <v>1</v>
      </c>
      <c r="Q746" s="173" t="s">
        <v>583</v>
      </c>
      <c r="R746" s="173" t="s">
        <v>230</v>
      </c>
      <c r="S746" s="174">
        <v>44785</v>
      </c>
      <c r="T746" s="173" t="s">
        <v>33</v>
      </c>
      <c r="U746" s="182">
        <v>388.15</v>
      </c>
      <c r="V746" s="177">
        <f>IF(U746=0,0,IF(T746="MXN",1/HLOOKUP(YEAR(S746)+(MONTH(S746)/100),TC!$5:$37,DAY(S746)+2,FALSE),VLOOKUP(T746,Equivalencia!$1:$23,((MAX(Equivalencia!$3:$3)-YEAR(S746))*14)+MONTH(S746)+2,FALSE)))</f>
        <v>1</v>
      </c>
      <c r="W746" s="178">
        <f t="shared" si="119"/>
        <v>388.15</v>
      </c>
      <c r="X746" s="481">
        <f t="shared" si="115"/>
        <v>-130.87785714285724</v>
      </c>
      <c r="Y746" s="179"/>
      <c r="Z746" s="466">
        <f t="shared" si="116"/>
        <v>549.70240350000006</v>
      </c>
      <c r="AA746" s="473">
        <f t="shared" si="117"/>
        <v>-161.55240350000008</v>
      </c>
      <c r="AB746" s="339">
        <f t="shared" si="118"/>
        <v>-0.25215960057194853</v>
      </c>
    </row>
    <row r="747" spans="2:28" ht="20.100000000000001" customHeight="1">
      <c r="B747" s="172">
        <v>1427200</v>
      </c>
      <c r="C747" s="174">
        <v>44503</v>
      </c>
      <c r="D747" s="181" t="s">
        <v>201</v>
      </c>
      <c r="E747" s="173" t="s">
        <v>33</v>
      </c>
      <c r="F747" s="176">
        <v>2831.04</v>
      </c>
      <c r="G747" s="175">
        <f t="shared" si="120"/>
        <v>16</v>
      </c>
      <c r="H747" s="175">
        <f t="shared" si="113"/>
        <v>2831.04</v>
      </c>
      <c r="I747" s="177">
        <f>IF(G747=0,0,IF(E747="MXN",1/HLOOKUP(YEAR(C747)+(MONTH(C747)/100),TC!$5:$37,DAY(C747)+2,FALSE),VLOOKUP(E747,Equivalencia!$5:$23,((MAX(Equivalencia!$3:$3)-YEAR(C747))*14)+MONTH(C747)+2,FALSE)))</f>
        <v>1</v>
      </c>
      <c r="J747" s="178">
        <f t="shared" si="121"/>
        <v>2831.04</v>
      </c>
      <c r="K747" s="462">
        <f>IF(C747=0,0,VLOOKUP(YEAR(C747),INPC!$B$4:$O$29,MONTH(C747)+1))</f>
        <v>116.884</v>
      </c>
      <c r="L747" s="462">
        <f>IF(S747=0,0,VLOOKUP(YEAR(S747),INPC!$B$4:$O$29,MONTH(S747)+1))</f>
        <v>123.803</v>
      </c>
      <c r="M747" s="463">
        <f t="shared" si="114"/>
        <v>1.0590999999999999</v>
      </c>
      <c r="N747" s="465">
        <f t="shared" si="122"/>
        <v>2998.3544639999996</v>
      </c>
      <c r="O747" s="179"/>
      <c r="P747" s="180">
        <v>16</v>
      </c>
      <c r="Q747" s="173" t="s">
        <v>583</v>
      </c>
      <c r="R747" s="173" t="s">
        <v>230</v>
      </c>
      <c r="S747" s="174">
        <v>44790</v>
      </c>
      <c r="T747" s="173" t="s">
        <v>33</v>
      </c>
      <c r="U747" s="182">
        <v>2695.25</v>
      </c>
      <c r="V747" s="177">
        <f>IF(U747=0,0,IF(T747="MXN",1/HLOOKUP(YEAR(S747)+(MONTH(S747)/100),TC!$5:$37,DAY(S747)+2,FALSE),VLOOKUP(T747,Equivalencia!$1:$23,((MAX(Equivalencia!$3:$3)-YEAR(S747))*14)+MONTH(S747)+2,FALSE)))</f>
        <v>1</v>
      </c>
      <c r="W747" s="178">
        <f t="shared" si="119"/>
        <v>2695.25</v>
      </c>
      <c r="X747" s="481">
        <f t="shared" si="115"/>
        <v>-135.78999999999996</v>
      </c>
      <c r="Y747" s="179"/>
      <c r="Z747" s="466">
        <f t="shared" si="116"/>
        <v>2998.3544639999996</v>
      </c>
      <c r="AA747" s="473">
        <f t="shared" si="117"/>
        <v>-303.10446399999955</v>
      </c>
      <c r="AB747" s="339">
        <f t="shared" si="118"/>
        <v>-4.7964705549903952E-2</v>
      </c>
    </row>
    <row r="748" spans="2:28" ht="20.100000000000001" customHeight="1">
      <c r="B748" s="172">
        <v>1427200</v>
      </c>
      <c r="C748" s="174">
        <v>44599</v>
      </c>
      <c r="D748" s="181" t="s">
        <v>281</v>
      </c>
      <c r="E748" s="173" t="s">
        <v>33</v>
      </c>
      <c r="F748" s="176">
        <v>4453.13</v>
      </c>
      <c r="G748" s="175">
        <f t="shared" si="120"/>
        <v>15</v>
      </c>
      <c r="H748" s="175">
        <f t="shared" si="113"/>
        <v>4453.13</v>
      </c>
      <c r="I748" s="177">
        <f>IF(G748=0,0,IF(E748="MXN",1/HLOOKUP(YEAR(C748)+(MONTH(C748)/100),TC!$5:$37,DAY(C748)+2,FALSE),VLOOKUP(E748,Equivalencia!$5:$23,((MAX(Equivalencia!$3:$3)-YEAR(C748))*14)+MONTH(C748)+2,FALSE)))</f>
        <v>1</v>
      </c>
      <c r="J748" s="178">
        <f t="shared" si="121"/>
        <v>4453.13</v>
      </c>
      <c r="K748" s="462">
        <f>IF(C748=0,0,VLOOKUP(YEAR(C748),INPC!$B$4:$O$29,MONTH(C748)+1))</f>
        <v>118.98099999999999</v>
      </c>
      <c r="L748" s="462">
        <f>IF(S748=0,0,VLOOKUP(YEAR(S748),INPC!$B$4:$O$29,MONTH(S748)+1))</f>
        <v>123.803</v>
      </c>
      <c r="M748" s="463">
        <f t="shared" si="114"/>
        <v>1.0405</v>
      </c>
      <c r="N748" s="465">
        <f t="shared" si="122"/>
        <v>4633.4817650000005</v>
      </c>
      <c r="O748" s="179"/>
      <c r="P748" s="180">
        <v>15</v>
      </c>
      <c r="Q748" s="173" t="s">
        <v>583</v>
      </c>
      <c r="R748" s="173" t="s">
        <v>230</v>
      </c>
      <c r="S748" s="174">
        <v>44790</v>
      </c>
      <c r="T748" s="173" t="s">
        <v>33</v>
      </c>
      <c r="U748" s="182">
        <v>2410.7903225806454</v>
      </c>
      <c r="V748" s="177">
        <f>IF(U748=0,0,IF(T748="MXN",1/HLOOKUP(YEAR(S748)+(MONTH(S748)/100),TC!$5:$37,DAY(S748)+2,FALSE),VLOOKUP(T748,Equivalencia!$1:$23,((MAX(Equivalencia!$3:$3)-YEAR(S748))*14)+MONTH(S748)+2,FALSE)))</f>
        <v>1</v>
      </c>
      <c r="W748" s="178">
        <f t="shared" si="119"/>
        <v>2410.7903225806454</v>
      </c>
      <c r="X748" s="481">
        <f t="shared" si="115"/>
        <v>-2042.3396774193548</v>
      </c>
      <c r="Y748" s="179"/>
      <c r="Z748" s="466">
        <f t="shared" si="116"/>
        <v>4633.4817650000005</v>
      </c>
      <c r="AA748" s="473">
        <f t="shared" si="117"/>
        <v>-2222.6914424193551</v>
      </c>
      <c r="AB748" s="339">
        <f t="shared" si="118"/>
        <v>-0.45863014944979252</v>
      </c>
    </row>
    <row r="749" spans="2:28" ht="20.100000000000001" customHeight="1">
      <c r="B749" s="172">
        <v>1427200</v>
      </c>
      <c r="C749" s="174">
        <v>44628</v>
      </c>
      <c r="D749" s="181" t="s">
        <v>281</v>
      </c>
      <c r="E749" s="173" t="s">
        <v>33</v>
      </c>
      <c r="F749" s="176">
        <v>590.46</v>
      </c>
      <c r="G749" s="175">
        <f t="shared" si="120"/>
        <v>3</v>
      </c>
      <c r="H749" s="175">
        <f t="shared" si="113"/>
        <v>590.46</v>
      </c>
      <c r="I749" s="177">
        <f>IF(G749=0,0,IF(E749="MXN",1/HLOOKUP(YEAR(C749)+(MONTH(C749)/100),TC!$5:$37,DAY(C749)+2,FALSE),VLOOKUP(E749,Equivalencia!$5:$23,((MAX(Equivalencia!$3:$3)-YEAR(C749))*14)+MONTH(C749)+2,FALSE)))</f>
        <v>1</v>
      </c>
      <c r="J749" s="178">
        <f t="shared" si="121"/>
        <v>590.46</v>
      </c>
      <c r="K749" s="462">
        <f>IF(C749=0,0,VLOOKUP(YEAR(C749),INPC!$B$4:$O$29,MONTH(C749)+1))</f>
        <v>120.15900000000001</v>
      </c>
      <c r="L749" s="462">
        <f>IF(S749=0,0,VLOOKUP(YEAR(S749),INPC!$B$4:$O$29,MONTH(S749)+1))</f>
        <v>123.803</v>
      </c>
      <c r="M749" s="463">
        <f t="shared" si="114"/>
        <v>1.0303</v>
      </c>
      <c r="N749" s="465">
        <f t="shared" si="122"/>
        <v>608.35093800000004</v>
      </c>
      <c r="O749" s="179"/>
      <c r="P749" s="180">
        <v>3</v>
      </c>
      <c r="Q749" s="173" t="s">
        <v>583</v>
      </c>
      <c r="R749" s="173" t="s">
        <v>230</v>
      </c>
      <c r="S749" s="174">
        <v>44790</v>
      </c>
      <c r="T749" s="173" t="s">
        <v>33</v>
      </c>
      <c r="U749" s="182">
        <v>482.158064516129</v>
      </c>
      <c r="V749" s="177">
        <f>IF(U749=0,0,IF(T749="MXN",1/HLOOKUP(YEAR(S749)+(MONTH(S749)/100),TC!$5:$37,DAY(S749)+2,FALSE),VLOOKUP(T749,Equivalencia!$1:$23,((MAX(Equivalencia!$3:$3)-YEAR(S749))*14)+MONTH(S749)+2,FALSE)))</f>
        <v>1</v>
      </c>
      <c r="W749" s="178">
        <f t="shared" si="119"/>
        <v>482.158064516129</v>
      </c>
      <c r="X749" s="481">
        <f t="shared" si="115"/>
        <v>-108.30193548387103</v>
      </c>
      <c r="Y749" s="179"/>
      <c r="Z749" s="466">
        <f t="shared" si="116"/>
        <v>608.35093800000004</v>
      </c>
      <c r="AA749" s="473">
        <f t="shared" si="117"/>
        <v>-126.19287348387104</v>
      </c>
      <c r="AB749" s="339">
        <f t="shared" si="118"/>
        <v>-0.18341959740519431</v>
      </c>
    </row>
    <row r="750" spans="2:28" ht="20.100000000000001" customHeight="1">
      <c r="B750" s="172">
        <v>1427200</v>
      </c>
      <c r="C750" s="174">
        <v>44637</v>
      </c>
      <c r="D750" s="181" t="s">
        <v>281</v>
      </c>
      <c r="E750" s="173" t="s">
        <v>33</v>
      </c>
      <c r="F750" s="176">
        <v>806.19</v>
      </c>
      <c r="G750" s="175">
        <f t="shared" si="120"/>
        <v>4</v>
      </c>
      <c r="H750" s="175">
        <f t="shared" si="113"/>
        <v>806.19</v>
      </c>
      <c r="I750" s="177">
        <f>IF(G750=0,0,IF(E750="MXN",1/HLOOKUP(YEAR(C750)+(MONTH(C750)/100),TC!$5:$37,DAY(C750)+2,FALSE),VLOOKUP(E750,Equivalencia!$5:$23,((MAX(Equivalencia!$3:$3)-YEAR(C750))*14)+MONTH(C750)+2,FALSE)))</f>
        <v>1</v>
      </c>
      <c r="J750" s="178">
        <f t="shared" si="121"/>
        <v>806.19</v>
      </c>
      <c r="K750" s="462">
        <f>IF(C750=0,0,VLOOKUP(YEAR(C750),INPC!$B$4:$O$29,MONTH(C750)+1))</f>
        <v>120.15900000000001</v>
      </c>
      <c r="L750" s="462">
        <f>IF(S750=0,0,VLOOKUP(YEAR(S750),INPC!$B$4:$O$29,MONTH(S750)+1))</f>
        <v>123.803</v>
      </c>
      <c r="M750" s="463">
        <f t="shared" si="114"/>
        <v>1.0303</v>
      </c>
      <c r="N750" s="465">
        <f t="shared" si="122"/>
        <v>830.61755700000003</v>
      </c>
      <c r="O750" s="179"/>
      <c r="P750" s="180">
        <v>4</v>
      </c>
      <c r="Q750" s="173" t="s">
        <v>583</v>
      </c>
      <c r="R750" s="173" t="s">
        <v>230</v>
      </c>
      <c r="S750" s="174">
        <v>44790</v>
      </c>
      <c r="T750" s="173" t="s">
        <v>33</v>
      </c>
      <c r="U750" s="182">
        <v>642.87741935483871</v>
      </c>
      <c r="V750" s="177">
        <f>IF(U750=0,0,IF(T750="MXN",1/HLOOKUP(YEAR(S750)+(MONTH(S750)/100),TC!$5:$37,DAY(S750)+2,FALSE),VLOOKUP(T750,Equivalencia!$1:$23,((MAX(Equivalencia!$3:$3)-YEAR(S750))*14)+MONTH(S750)+2,FALSE)))</f>
        <v>1</v>
      </c>
      <c r="W750" s="178">
        <f t="shared" si="119"/>
        <v>642.87741935483871</v>
      </c>
      <c r="X750" s="481">
        <f t="shared" si="115"/>
        <v>-163.31258064516135</v>
      </c>
      <c r="Y750" s="179"/>
      <c r="Z750" s="466">
        <f t="shared" si="116"/>
        <v>830.61755700000003</v>
      </c>
      <c r="AA750" s="473">
        <f t="shared" si="117"/>
        <v>-187.74013764516133</v>
      </c>
      <c r="AB750" s="339">
        <f t="shared" si="118"/>
        <v>-0.20257331478331575</v>
      </c>
    </row>
    <row r="751" spans="2:28" ht="20.100000000000001" customHeight="1">
      <c r="B751" s="172">
        <v>1427200</v>
      </c>
      <c r="C751" s="174">
        <v>44638</v>
      </c>
      <c r="D751" s="181" t="s">
        <v>281</v>
      </c>
      <c r="E751" s="173" t="s">
        <v>33</v>
      </c>
      <c r="F751" s="176">
        <v>884.84</v>
      </c>
      <c r="G751" s="175">
        <f t="shared" si="120"/>
        <v>4</v>
      </c>
      <c r="H751" s="175">
        <f t="shared" si="113"/>
        <v>884.84</v>
      </c>
      <c r="I751" s="177">
        <f>IF(G751=0,0,IF(E751="MXN",1/HLOOKUP(YEAR(C751)+(MONTH(C751)/100),TC!$5:$37,DAY(C751)+2,FALSE),VLOOKUP(E751,Equivalencia!$5:$23,((MAX(Equivalencia!$3:$3)-YEAR(C751))*14)+MONTH(C751)+2,FALSE)))</f>
        <v>1</v>
      </c>
      <c r="J751" s="178">
        <f t="shared" si="121"/>
        <v>884.84</v>
      </c>
      <c r="K751" s="462">
        <f>IF(C751=0,0,VLOOKUP(YEAR(C751),INPC!$B$4:$O$29,MONTH(C751)+1))</f>
        <v>120.15900000000001</v>
      </c>
      <c r="L751" s="462">
        <f>IF(S751=0,0,VLOOKUP(YEAR(S751),INPC!$B$4:$O$29,MONTH(S751)+1))</f>
        <v>123.803</v>
      </c>
      <c r="M751" s="463">
        <f t="shared" si="114"/>
        <v>1.0303</v>
      </c>
      <c r="N751" s="465">
        <f t="shared" si="122"/>
        <v>911.65065200000004</v>
      </c>
      <c r="O751" s="179"/>
      <c r="P751" s="180">
        <v>4</v>
      </c>
      <c r="Q751" s="173" t="s">
        <v>583</v>
      </c>
      <c r="R751" s="173" t="s">
        <v>230</v>
      </c>
      <c r="S751" s="174">
        <v>44790</v>
      </c>
      <c r="T751" s="173" t="s">
        <v>33</v>
      </c>
      <c r="U751" s="182">
        <v>642.87741935483871</v>
      </c>
      <c r="V751" s="177">
        <f>IF(U751=0,0,IF(T751="MXN",1/HLOOKUP(YEAR(S751)+(MONTH(S751)/100),TC!$5:$37,DAY(S751)+2,FALSE),VLOOKUP(T751,Equivalencia!$1:$23,((MAX(Equivalencia!$3:$3)-YEAR(S751))*14)+MONTH(S751)+2,FALSE)))</f>
        <v>1</v>
      </c>
      <c r="W751" s="178">
        <f t="shared" si="119"/>
        <v>642.87741935483871</v>
      </c>
      <c r="X751" s="481">
        <f t="shared" si="115"/>
        <v>-241.96258064516132</v>
      </c>
      <c r="Y751" s="179"/>
      <c r="Z751" s="466">
        <f t="shared" si="116"/>
        <v>911.65065200000004</v>
      </c>
      <c r="AA751" s="473">
        <f t="shared" si="117"/>
        <v>-268.77323264516133</v>
      </c>
      <c r="AB751" s="339">
        <f t="shared" si="118"/>
        <v>-0.27345348384471913</v>
      </c>
    </row>
    <row r="752" spans="2:28" ht="20.100000000000001" customHeight="1">
      <c r="B752" s="172">
        <v>1427200</v>
      </c>
      <c r="C752" s="174">
        <v>44679</v>
      </c>
      <c r="D752" s="181" t="s">
        <v>281</v>
      </c>
      <c r="E752" s="173" t="s">
        <v>33</v>
      </c>
      <c r="F752" s="176">
        <v>879.91</v>
      </c>
      <c r="G752" s="175">
        <f t="shared" si="120"/>
        <v>5</v>
      </c>
      <c r="H752" s="175">
        <f t="shared" si="113"/>
        <v>879.91</v>
      </c>
      <c r="I752" s="177">
        <f>IF(G752=0,0,IF(E752="MXN",1/HLOOKUP(YEAR(C752)+(MONTH(C752)/100),TC!$5:$37,DAY(C752)+2,FALSE),VLOOKUP(E752,Equivalencia!$5:$23,((MAX(Equivalencia!$3:$3)-YEAR(C752))*14)+MONTH(C752)+2,FALSE)))</f>
        <v>1</v>
      </c>
      <c r="J752" s="178">
        <f t="shared" si="121"/>
        <v>879.91</v>
      </c>
      <c r="K752" s="462">
        <f>IF(C752=0,0,VLOOKUP(YEAR(C752),INPC!$B$4:$O$29,MONTH(C752)+1))</f>
        <v>120.809</v>
      </c>
      <c r="L752" s="462">
        <f>IF(S752=0,0,VLOOKUP(YEAR(S752),INPC!$B$4:$O$29,MONTH(S752)+1))</f>
        <v>123.803</v>
      </c>
      <c r="M752" s="463">
        <f t="shared" si="114"/>
        <v>1.0246999999999999</v>
      </c>
      <c r="N752" s="465">
        <f t="shared" si="122"/>
        <v>901.64377699999989</v>
      </c>
      <c r="O752" s="179"/>
      <c r="P752" s="180">
        <v>5</v>
      </c>
      <c r="Q752" s="173" t="s">
        <v>583</v>
      </c>
      <c r="R752" s="173" t="s">
        <v>230</v>
      </c>
      <c r="S752" s="174">
        <v>44790</v>
      </c>
      <c r="T752" s="173" t="s">
        <v>33</v>
      </c>
      <c r="U752" s="182">
        <v>803.59677419354841</v>
      </c>
      <c r="V752" s="177">
        <f>IF(U752=0,0,IF(T752="MXN",1/HLOOKUP(YEAR(S752)+(MONTH(S752)/100),TC!$5:$37,DAY(S752)+2,FALSE),VLOOKUP(T752,Equivalencia!$1:$23,((MAX(Equivalencia!$3:$3)-YEAR(S752))*14)+MONTH(S752)+2,FALSE)))</f>
        <v>1</v>
      </c>
      <c r="W752" s="178">
        <f t="shared" si="119"/>
        <v>803.59677419354841</v>
      </c>
      <c r="X752" s="481">
        <f t="shared" si="115"/>
        <v>-76.313225806451555</v>
      </c>
      <c r="Y752" s="179"/>
      <c r="Z752" s="466">
        <f t="shared" si="116"/>
        <v>901.64377699999989</v>
      </c>
      <c r="AA752" s="473">
        <f t="shared" si="117"/>
        <v>-98.047002806451474</v>
      </c>
      <c r="AB752" s="339">
        <f t="shared" si="118"/>
        <v>-8.6728444734633703E-2</v>
      </c>
    </row>
    <row r="753" spans="2:28" ht="20.100000000000001" customHeight="1">
      <c r="B753" s="172">
        <v>1427200</v>
      </c>
      <c r="C753" s="174">
        <v>44636</v>
      </c>
      <c r="D753" s="181" t="s">
        <v>282</v>
      </c>
      <c r="E753" s="173" t="s">
        <v>33</v>
      </c>
      <c r="F753" s="176">
        <v>1419.9085714285711</v>
      </c>
      <c r="G753" s="175">
        <f t="shared" si="120"/>
        <v>24</v>
      </c>
      <c r="H753" s="175">
        <f t="shared" si="113"/>
        <v>1419.9085714285711</v>
      </c>
      <c r="I753" s="177">
        <f>IF(G753=0,0,IF(E753="MXN",1/HLOOKUP(YEAR(C753)+(MONTH(C753)/100),TC!$5:$37,DAY(C753)+2,FALSE),VLOOKUP(E753,Equivalencia!$5:$23,((MAX(Equivalencia!$3:$3)-YEAR(C753))*14)+MONTH(C753)+2,FALSE)))</f>
        <v>1</v>
      </c>
      <c r="J753" s="178">
        <f t="shared" si="121"/>
        <v>1419.9085714285711</v>
      </c>
      <c r="K753" s="462">
        <f>IF(C753=0,0,VLOOKUP(YEAR(C753),INPC!$B$4:$O$29,MONTH(C753)+1))</f>
        <v>120.15900000000001</v>
      </c>
      <c r="L753" s="462">
        <f>IF(S753=0,0,VLOOKUP(YEAR(S753),INPC!$B$4:$O$29,MONTH(S753)+1))</f>
        <v>123.803</v>
      </c>
      <c r="M753" s="463">
        <f t="shared" si="114"/>
        <v>1.0303</v>
      </c>
      <c r="N753" s="465">
        <f t="shared" si="122"/>
        <v>1462.9318011428568</v>
      </c>
      <c r="O753" s="179"/>
      <c r="P753" s="180">
        <v>24</v>
      </c>
      <c r="Q753" s="173" t="s">
        <v>583</v>
      </c>
      <c r="R753" s="173" t="s">
        <v>230</v>
      </c>
      <c r="S753" s="174">
        <v>44790</v>
      </c>
      <c r="T753" s="173" t="s">
        <v>33</v>
      </c>
      <c r="U753" s="182">
        <v>1690.31</v>
      </c>
      <c r="V753" s="177">
        <f>IF(U753=0,0,IF(T753="MXN",1/HLOOKUP(YEAR(S753)+(MONTH(S753)/100),TC!$5:$37,DAY(S753)+2,FALSE),VLOOKUP(T753,Equivalencia!$1:$23,((MAX(Equivalencia!$3:$3)-YEAR(S753))*14)+MONTH(S753)+2,FALSE)))</f>
        <v>1</v>
      </c>
      <c r="W753" s="178">
        <f t="shared" si="119"/>
        <v>1690.31</v>
      </c>
      <c r="X753" s="481">
        <f t="shared" si="115"/>
        <v>270.40142857142882</v>
      </c>
      <c r="Y753" s="179"/>
      <c r="Z753" s="466">
        <f t="shared" si="116"/>
        <v>1462.9318011428568</v>
      </c>
      <c r="AA753" s="473">
        <f t="shared" si="117"/>
        <v>227.37819885714316</v>
      </c>
      <c r="AB753" s="339">
        <f t="shared" si="118"/>
        <v>0.19043580270761917</v>
      </c>
    </row>
    <row r="754" spans="2:28" ht="20.100000000000001" customHeight="1">
      <c r="B754" s="172">
        <v>1427200</v>
      </c>
      <c r="C754" s="174">
        <v>44503</v>
      </c>
      <c r="D754" s="181" t="s">
        <v>262</v>
      </c>
      <c r="E754" s="173" t="s">
        <v>33</v>
      </c>
      <c r="F754" s="176">
        <v>2857.03</v>
      </c>
      <c r="G754" s="175">
        <f t="shared" si="120"/>
        <v>19</v>
      </c>
      <c r="H754" s="175">
        <f t="shared" si="113"/>
        <v>2857.03</v>
      </c>
      <c r="I754" s="177">
        <f>IF(G754=0,0,IF(E754="MXN",1/HLOOKUP(YEAR(C754)+(MONTH(C754)/100),TC!$5:$37,DAY(C754)+2,FALSE),VLOOKUP(E754,Equivalencia!$5:$23,((MAX(Equivalencia!$3:$3)-YEAR(C754))*14)+MONTH(C754)+2,FALSE)))</f>
        <v>1</v>
      </c>
      <c r="J754" s="178">
        <f t="shared" si="121"/>
        <v>2857.03</v>
      </c>
      <c r="K754" s="462">
        <f>IF(C754=0,0,VLOOKUP(YEAR(C754),INPC!$B$4:$O$29,MONTH(C754)+1))</f>
        <v>116.884</v>
      </c>
      <c r="L754" s="462">
        <f>IF(S754=0,0,VLOOKUP(YEAR(S754),INPC!$B$4:$O$29,MONTH(S754)+1))</f>
        <v>124.571</v>
      </c>
      <c r="M754" s="463">
        <f t="shared" si="114"/>
        <v>1.0657000000000001</v>
      </c>
      <c r="N754" s="465">
        <f t="shared" si="122"/>
        <v>3044.7368710000005</v>
      </c>
      <c r="O754" s="179"/>
      <c r="P754" s="180">
        <v>19</v>
      </c>
      <c r="Q754" s="173" t="s">
        <v>583</v>
      </c>
      <c r="R754" s="173" t="s">
        <v>230</v>
      </c>
      <c r="S754" s="174">
        <v>44832</v>
      </c>
      <c r="T754" s="173" t="s">
        <v>33</v>
      </c>
      <c r="U754" s="182">
        <v>2789.1700000000005</v>
      </c>
      <c r="V754" s="177">
        <f>IF(U754=0,0,IF(T754="MXN",1/HLOOKUP(YEAR(S754)+(MONTH(S754)/100),TC!$5:$37,DAY(S754)+2,FALSE),VLOOKUP(T754,Equivalencia!$1:$23,((MAX(Equivalencia!$3:$3)-YEAR(S754))*14)+MONTH(S754)+2,FALSE)))</f>
        <v>1</v>
      </c>
      <c r="W754" s="178">
        <f t="shared" si="119"/>
        <v>2789.1700000000005</v>
      </c>
      <c r="X754" s="481">
        <f t="shared" si="115"/>
        <v>-67.859999999999673</v>
      </c>
      <c r="Y754" s="179"/>
      <c r="Z754" s="466">
        <f t="shared" si="116"/>
        <v>3044.7368710000005</v>
      </c>
      <c r="AA754" s="473">
        <f t="shared" si="117"/>
        <v>-255.56687099999999</v>
      </c>
      <c r="AB754" s="339">
        <f t="shared" si="118"/>
        <v>-2.3751938201558853E-2</v>
      </c>
    </row>
    <row r="755" spans="2:28" ht="20.100000000000001" customHeight="1">
      <c r="B755" s="172">
        <v>1179000</v>
      </c>
      <c r="C755" s="174">
        <v>44196</v>
      </c>
      <c r="D755" s="181" t="s">
        <v>259</v>
      </c>
      <c r="E755" s="173" t="s">
        <v>33</v>
      </c>
      <c r="F755" s="176">
        <v>67501.803392258473</v>
      </c>
      <c r="G755" s="175">
        <f t="shared" si="120"/>
        <v>78.150000000000006</v>
      </c>
      <c r="H755" s="175">
        <f t="shared" si="113"/>
        <v>67501.803392258473</v>
      </c>
      <c r="I755" s="177">
        <f>IF(G755=0,0,IF(E755="MXN",1/HLOOKUP(YEAR(C755)+(MONTH(C755)/100),TC!$5:$37,DAY(C755)+2,FALSE),VLOOKUP(E755,Equivalencia!$5:$23,((MAX(Equivalencia!$3:$3)-YEAR(C755))*14)+MONTH(C755)+2,FALSE)))</f>
        <v>1</v>
      </c>
      <c r="J755" s="178">
        <f t="shared" si="121"/>
        <v>67501.803392258473</v>
      </c>
      <c r="K755" s="462">
        <f>IF(C755=0,0,VLOOKUP(YEAR(C755),INPC!$B$4:$O$29,MONTH(C755)+1))</f>
        <v>109.271</v>
      </c>
      <c r="L755" s="462">
        <f>IF(S755=0,0,VLOOKUP(YEAR(S755),INPC!$B$4:$O$29,MONTH(S755)+1))</f>
        <v>124.571</v>
      </c>
      <c r="M755" s="463">
        <f t="shared" si="114"/>
        <v>1.1399999999999999</v>
      </c>
      <c r="N755" s="465">
        <f t="shared" si="122"/>
        <v>76952.055867174655</v>
      </c>
      <c r="O755" s="179"/>
      <c r="P755" s="180">
        <v>78.150000000000006</v>
      </c>
      <c r="Q755" s="173" t="s">
        <v>583</v>
      </c>
      <c r="R755" s="173" t="s">
        <v>230</v>
      </c>
      <c r="S755" s="174">
        <v>44805</v>
      </c>
      <c r="T755" s="173" t="s">
        <v>33</v>
      </c>
      <c r="U755" s="182">
        <v>81505.98</v>
      </c>
      <c r="V755" s="177">
        <f>IF(U755=0,0,IF(T755="MXN",1/HLOOKUP(YEAR(S755)+(MONTH(S755)/100),TC!$5:$37,DAY(S755)+2,FALSE),VLOOKUP(T755,Equivalencia!$1:$23,((MAX(Equivalencia!$3:$3)-YEAR(S755))*14)+MONTH(S755)+2,FALSE)))</f>
        <v>1</v>
      </c>
      <c r="W755" s="178">
        <f t="shared" si="119"/>
        <v>81505.98</v>
      </c>
      <c r="X755" s="481">
        <f t="shared" si="115"/>
        <v>14004.176607741523</v>
      </c>
      <c r="Y755" s="179"/>
      <c r="Z755" s="466">
        <f t="shared" si="116"/>
        <v>76952.055867174655</v>
      </c>
      <c r="AA755" s="473">
        <f t="shared" si="117"/>
        <v>4553.9241328253411</v>
      </c>
      <c r="AB755" s="339">
        <f t="shared" si="118"/>
        <v>0.20746374028501302</v>
      </c>
    </row>
    <row r="756" spans="2:28" ht="20.100000000000001" customHeight="1">
      <c r="B756" s="172">
        <v>1179000</v>
      </c>
      <c r="C756" s="174">
        <v>43830</v>
      </c>
      <c r="D756" s="181" t="s">
        <v>248</v>
      </c>
      <c r="E756" s="173" t="s">
        <v>33</v>
      </c>
      <c r="F756" s="176">
        <v>2103.4102047109718</v>
      </c>
      <c r="G756" s="175">
        <f t="shared" si="120"/>
        <v>21.03396</v>
      </c>
      <c r="H756" s="175">
        <f t="shared" si="113"/>
        <v>2103.4102047109718</v>
      </c>
      <c r="I756" s="177">
        <f>IF(G756=0,0,IF(E756="MXN",1/HLOOKUP(YEAR(C756)+(MONTH(C756)/100),TC!$5:$37,DAY(C756)+2,FALSE),VLOOKUP(E756,Equivalencia!$5:$23,((MAX(Equivalencia!$3:$3)-YEAR(C756))*14)+MONTH(C756)+2,FALSE)))</f>
        <v>1</v>
      </c>
      <c r="J756" s="178">
        <f t="shared" si="121"/>
        <v>2103.4102047109718</v>
      </c>
      <c r="K756" s="462">
        <f>IF(C756=0,0,VLOOKUP(YEAR(C756),INPC!$B$4:$O$29,MONTH(C756)+1))</f>
        <v>105.934</v>
      </c>
      <c r="L756" s="462">
        <f>IF(S756=0,0,VLOOKUP(YEAR(S756),INPC!$B$4:$O$29,MONTH(S756)+1))</f>
        <v>124.571</v>
      </c>
      <c r="M756" s="463">
        <f t="shared" si="114"/>
        <v>1.1758999999999999</v>
      </c>
      <c r="N756" s="465">
        <f t="shared" si="122"/>
        <v>2473.4000597196318</v>
      </c>
      <c r="O756" s="179"/>
      <c r="P756" s="180">
        <v>21.03396</v>
      </c>
      <c r="Q756" s="173" t="s">
        <v>583</v>
      </c>
      <c r="R756" s="173" t="s">
        <v>230</v>
      </c>
      <c r="S756" s="174">
        <v>44834</v>
      </c>
      <c r="T756" s="173" t="s">
        <v>33</v>
      </c>
      <c r="U756" s="182">
        <v>1401.55</v>
      </c>
      <c r="V756" s="177">
        <f>IF(U756=0,0,IF(T756="MXN",1/HLOOKUP(YEAR(S756)+(MONTH(S756)/100),TC!$5:$37,DAY(S756)+2,FALSE),VLOOKUP(T756,Equivalencia!$1:$23,((MAX(Equivalencia!$3:$3)-YEAR(S756))*14)+MONTH(S756)+2,FALSE)))</f>
        <v>1</v>
      </c>
      <c r="W756" s="178">
        <f t="shared" si="119"/>
        <v>1401.55</v>
      </c>
      <c r="X756" s="481">
        <f t="shared" si="115"/>
        <v>-701.86020471097186</v>
      </c>
      <c r="Y756" s="179"/>
      <c r="Z756" s="466">
        <f t="shared" si="116"/>
        <v>2473.4000597196318</v>
      </c>
      <c r="AA756" s="473">
        <f t="shared" si="117"/>
        <v>-1071.8500597196319</v>
      </c>
      <c r="AB756" s="339">
        <f t="shared" si="118"/>
        <v>-0.33367728422113174</v>
      </c>
    </row>
    <row r="757" spans="2:28" ht="20.100000000000001" customHeight="1">
      <c r="B757" s="172">
        <v>1175000</v>
      </c>
      <c r="C757" s="174">
        <v>43465</v>
      </c>
      <c r="D757" s="181" t="s">
        <v>162</v>
      </c>
      <c r="E757" s="173" t="s">
        <v>33</v>
      </c>
      <c r="F757" s="176">
        <v>167.93270072992701</v>
      </c>
      <c r="G757" s="175">
        <f t="shared" si="120"/>
        <v>2</v>
      </c>
      <c r="H757" s="175">
        <f t="shared" si="113"/>
        <v>167.93270072992701</v>
      </c>
      <c r="I757" s="177">
        <f>IF(G757=0,0,IF(E757="MXN",1/HLOOKUP(YEAR(C757)+(MONTH(C757)/100),TC!$5:$37,DAY(C757)+2,FALSE),VLOOKUP(E757,Equivalencia!$5:$23,((MAX(Equivalencia!$3:$3)-YEAR(C757))*14)+MONTH(C757)+2,FALSE)))</f>
        <v>1</v>
      </c>
      <c r="J757" s="178">
        <f t="shared" si="121"/>
        <v>167.93270072992701</v>
      </c>
      <c r="K757" s="462">
        <f>IF(C757=0,0,VLOOKUP(YEAR(C757),INPC!$B$4:$O$29,MONTH(C757)+1))</f>
        <v>103.02</v>
      </c>
      <c r="L757" s="462">
        <f>IF(S757=0,0,VLOOKUP(YEAR(S757),INPC!$B$4:$O$29,MONTH(S757)+1))</f>
        <v>124.571</v>
      </c>
      <c r="M757" s="463">
        <f t="shared" si="114"/>
        <v>1.2091000000000001</v>
      </c>
      <c r="N757" s="465">
        <f t="shared" si="122"/>
        <v>203.04742845255475</v>
      </c>
      <c r="O757" s="179"/>
      <c r="P757" s="180">
        <v>2</v>
      </c>
      <c r="Q757" s="173" t="s">
        <v>583</v>
      </c>
      <c r="R757" s="173" t="s">
        <v>230</v>
      </c>
      <c r="S757" s="174">
        <v>44805</v>
      </c>
      <c r="T757" s="173" t="s">
        <v>33</v>
      </c>
      <c r="U757" s="182">
        <v>322.17</v>
      </c>
      <c r="V757" s="177">
        <f>IF(U757=0,0,IF(T757="MXN",1/HLOOKUP(YEAR(S757)+(MONTH(S757)/100),TC!$5:$37,DAY(S757)+2,FALSE),VLOOKUP(T757,Equivalencia!$1:$23,((MAX(Equivalencia!$3:$3)-YEAR(S757))*14)+MONTH(S757)+2,FALSE)))</f>
        <v>1</v>
      </c>
      <c r="W757" s="178">
        <f t="shared" si="119"/>
        <v>322.17</v>
      </c>
      <c r="X757" s="481">
        <f t="shared" si="115"/>
        <v>154.23729927007301</v>
      </c>
      <c r="Y757" s="179"/>
      <c r="Z757" s="466">
        <f t="shared" si="116"/>
        <v>203.04742845255475</v>
      </c>
      <c r="AA757" s="473">
        <f t="shared" si="117"/>
        <v>119.12257154744526</v>
      </c>
      <c r="AB757" s="339">
        <f t="shared" si="118"/>
        <v>0.91844708385962748</v>
      </c>
    </row>
    <row r="758" spans="2:28" ht="20.100000000000001" customHeight="1">
      <c r="B758" s="172">
        <v>1175000</v>
      </c>
      <c r="C758" s="174">
        <v>43465</v>
      </c>
      <c r="D758" s="181" t="s">
        <v>162</v>
      </c>
      <c r="E758" s="173" t="s">
        <v>33</v>
      </c>
      <c r="F758" s="176">
        <v>923.62985401459855</v>
      </c>
      <c r="G758" s="175">
        <f t="shared" si="120"/>
        <v>11</v>
      </c>
      <c r="H758" s="175">
        <f t="shared" si="113"/>
        <v>923.62985401459855</v>
      </c>
      <c r="I758" s="177">
        <f>IF(G758=0,0,IF(E758="MXN",1/HLOOKUP(YEAR(C758)+(MONTH(C758)/100),TC!$5:$37,DAY(C758)+2,FALSE),VLOOKUP(E758,Equivalencia!$5:$23,((MAX(Equivalencia!$3:$3)-YEAR(C758))*14)+MONTH(C758)+2,FALSE)))</f>
        <v>1</v>
      </c>
      <c r="J758" s="178">
        <f t="shared" si="121"/>
        <v>923.62985401459855</v>
      </c>
      <c r="K758" s="462">
        <f>IF(C758=0,0,VLOOKUP(YEAR(C758),INPC!$B$4:$O$29,MONTH(C758)+1))</f>
        <v>103.02</v>
      </c>
      <c r="L758" s="462">
        <f>IF(S758=0,0,VLOOKUP(YEAR(S758),INPC!$B$4:$O$29,MONTH(S758)+1))</f>
        <v>124.571</v>
      </c>
      <c r="M758" s="463">
        <f t="shared" si="114"/>
        <v>1.2091000000000001</v>
      </c>
      <c r="N758" s="465">
        <f t="shared" si="122"/>
        <v>1116.7608564890511</v>
      </c>
      <c r="O758" s="179"/>
      <c r="P758" s="180">
        <v>11</v>
      </c>
      <c r="Q758" s="173" t="s">
        <v>583</v>
      </c>
      <c r="R758" s="173" t="s">
        <v>230</v>
      </c>
      <c r="S758" s="174">
        <v>44805</v>
      </c>
      <c r="T758" s="173" t="s">
        <v>33</v>
      </c>
      <c r="U758" s="182">
        <v>1768.35</v>
      </c>
      <c r="V758" s="177">
        <f>IF(U758=0,0,IF(T758="MXN",1/HLOOKUP(YEAR(S758)+(MONTH(S758)/100),TC!$5:$37,DAY(S758)+2,FALSE),VLOOKUP(T758,Equivalencia!$1:$23,((MAX(Equivalencia!$3:$3)-YEAR(S758))*14)+MONTH(S758)+2,FALSE)))</f>
        <v>1</v>
      </c>
      <c r="W758" s="178">
        <f t="shared" si="119"/>
        <v>1768.35</v>
      </c>
      <c r="X758" s="481">
        <f t="shared" si="115"/>
        <v>844.72014598540136</v>
      </c>
      <c r="Y758" s="179"/>
      <c r="Z758" s="466">
        <f t="shared" si="116"/>
        <v>1116.7608564890511</v>
      </c>
      <c r="AA758" s="473">
        <f t="shared" si="117"/>
        <v>651.58914351094882</v>
      </c>
      <c r="AB758" s="339">
        <f t="shared" si="118"/>
        <v>0.91456565886625185</v>
      </c>
    </row>
    <row r="759" spans="2:28" ht="20.100000000000001" customHeight="1">
      <c r="B759" s="172">
        <v>1175000</v>
      </c>
      <c r="C759" s="174">
        <v>43465</v>
      </c>
      <c r="D759" s="181" t="s">
        <v>162</v>
      </c>
      <c r="E759" s="173" t="s">
        <v>33</v>
      </c>
      <c r="F759" s="176">
        <v>587.76445255474448</v>
      </c>
      <c r="G759" s="175">
        <f t="shared" si="120"/>
        <v>7</v>
      </c>
      <c r="H759" s="175">
        <f t="shared" si="113"/>
        <v>587.76445255474448</v>
      </c>
      <c r="I759" s="177">
        <f>IF(G759=0,0,IF(E759="MXN",1/HLOOKUP(YEAR(C759)+(MONTH(C759)/100),TC!$5:$37,DAY(C759)+2,FALSE),VLOOKUP(E759,Equivalencia!$5:$23,((MAX(Equivalencia!$3:$3)-YEAR(C759))*14)+MONTH(C759)+2,FALSE)))</f>
        <v>1</v>
      </c>
      <c r="J759" s="178">
        <f t="shared" si="121"/>
        <v>587.76445255474448</v>
      </c>
      <c r="K759" s="462">
        <f>IF(C759=0,0,VLOOKUP(YEAR(C759),INPC!$B$4:$O$29,MONTH(C759)+1))</f>
        <v>103.02</v>
      </c>
      <c r="L759" s="462">
        <f>IF(S759=0,0,VLOOKUP(YEAR(S759),INPC!$B$4:$O$29,MONTH(S759)+1))</f>
        <v>124.571</v>
      </c>
      <c r="M759" s="463">
        <f t="shared" si="114"/>
        <v>1.2091000000000001</v>
      </c>
      <c r="N759" s="465">
        <f t="shared" si="122"/>
        <v>710.66599958394158</v>
      </c>
      <c r="O759" s="179"/>
      <c r="P759" s="180">
        <v>7</v>
      </c>
      <c r="Q759" s="173" t="s">
        <v>583</v>
      </c>
      <c r="R759" s="173" t="s">
        <v>230</v>
      </c>
      <c r="S759" s="174">
        <v>44805</v>
      </c>
      <c r="T759" s="173" t="s">
        <v>33</v>
      </c>
      <c r="U759" s="182">
        <v>1135.96</v>
      </c>
      <c r="V759" s="177">
        <f>IF(U759=0,0,IF(T759="MXN",1/HLOOKUP(YEAR(S759)+(MONTH(S759)/100),TC!$5:$37,DAY(S759)+2,FALSE),VLOOKUP(T759,Equivalencia!$1:$23,((MAX(Equivalencia!$3:$3)-YEAR(S759))*14)+MONTH(S759)+2,FALSE)))</f>
        <v>1</v>
      </c>
      <c r="W759" s="178">
        <f t="shared" si="119"/>
        <v>1135.96</v>
      </c>
      <c r="X759" s="481">
        <f t="shared" si="115"/>
        <v>548.19554744525556</v>
      </c>
      <c r="Y759" s="179"/>
      <c r="Z759" s="466">
        <f t="shared" si="116"/>
        <v>710.66599958394158</v>
      </c>
      <c r="AA759" s="473">
        <f t="shared" si="117"/>
        <v>425.29400041605845</v>
      </c>
      <c r="AB759" s="339">
        <f t="shared" si="118"/>
        <v>0.9326789755020044</v>
      </c>
    </row>
    <row r="760" spans="2:28" ht="20.100000000000001" customHeight="1">
      <c r="B760" s="172">
        <v>1175000</v>
      </c>
      <c r="C760" s="174">
        <v>43465</v>
      </c>
      <c r="D760" s="181" t="s">
        <v>162</v>
      </c>
      <c r="E760" s="173" t="s">
        <v>33</v>
      </c>
      <c r="F760" s="176">
        <v>167.93270072992701</v>
      </c>
      <c r="G760" s="175">
        <f t="shared" si="120"/>
        <v>2</v>
      </c>
      <c r="H760" s="175">
        <f t="shared" si="113"/>
        <v>167.93270072992701</v>
      </c>
      <c r="I760" s="177">
        <f>IF(G760=0,0,IF(E760="MXN",1/HLOOKUP(YEAR(C760)+(MONTH(C760)/100),TC!$5:$37,DAY(C760)+2,FALSE),VLOOKUP(E760,Equivalencia!$5:$23,((MAX(Equivalencia!$3:$3)-YEAR(C760))*14)+MONTH(C760)+2,FALSE)))</f>
        <v>1</v>
      </c>
      <c r="J760" s="178">
        <f t="shared" si="121"/>
        <v>167.93270072992701</v>
      </c>
      <c r="K760" s="462">
        <f>IF(C760=0,0,VLOOKUP(YEAR(C760),INPC!$B$4:$O$29,MONTH(C760)+1))</f>
        <v>103.02</v>
      </c>
      <c r="L760" s="462">
        <f>IF(S760=0,0,VLOOKUP(YEAR(S760),INPC!$B$4:$O$29,MONTH(S760)+1))</f>
        <v>124.571</v>
      </c>
      <c r="M760" s="463">
        <f t="shared" si="114"/>
        <v>1.2091000000000001</v>
      </c>
      <c r="N760" s="465">
        <f t="shared" si="122"/>
        <v>203.04742845255475</v>
      </c>
      <c r="O760" s="179"/>
      <c r="P760" s="180">
        <v>2</v>
      </c>
      <c r="Q760" s="173" t="s">
        <v>583</v>
      </c>
      <c r="R760" s="173" t="s">
        <v>230</v>
      </c>
      <c r="S760" s="174">
        <v>44806</v>
      </c>
      <c r="T760" s="173" t="s">
        <v>33</v>
      </c>
      <c r="U760" s="182">
        <v>321.39999999999998</v>
      </c>
      <c r="V760" s="177">
        <f>IF(U760=0,0,IF(T760="MXN",1/HLOOKUP(YEAR(S760)+(MONTH(S760)/100),TC!$5:$37,DAY(S760)+2,FALSE),VLOOKUP(T760,Equivalencia!$1:$23,((MAX(Equivalencia!$3:$3)-YEAR(S760))*14)+MONTH(S760)+2,FALSE)))</f>
        <v>1</v>
      </c>
      <c r="W760" s="178">
        <f t="shared" si="119"/>
        <v>321.39999999999998</v>
      </c>
      <c r="X760" s="481">
        <f t="shared" si="115"/>
        <v>153.46729927007297</v>
      </c>
      <c r="Y760" s="179"/>
      <c r="Z760" s="466">
        <f t="shared" si="116"/>
        <v>203.04742845255475</v>
      </c>
      <c r="AA760" s="473">
        <f t="shared" si="117"/>
        <v>118.35257154744522</v>
      </c>
      <c r="AB760" s="339">
        <f t="shared" si="118"/>
        <v>0.91386191374890346</v>
      </c>
    </row>
    <row r="761" spans="2:28" ht="20.100000000000001" customHeight="1">
      <c r="B761" s="172">
        <v>1175000</v>
      </c>
      <c r="C761" s="174">
        <v>44392</v>
      </c>
      <c r="D761" s="181" t="s">
        <v>177</v>
      </c>
      <c r="E761" s="173" t="s">
        <v>33</v>
      </c>
      <c r="F761" s="176">
        <v>246.11937499999999</v>
      </c>
      <c r="G761" s="175">
        <f t="shared" si="120"/>
        <v>1</v>
      </c>
      <c r="H761" s="175">
        <f t="shared" si="113"/>
        <v>246.11937499999999</v>
      </c>
      <c r="I761" s="177">
        <f>IF(G761=0,0,IF(E761="MXN",1/HLOOKUP(YEAR(C761)+(MONTH(C761)/100),TC!$5:$37,DAY(C761)+2,FALSE),VLOOKUP(E761,Equivalencia!$5:$23,((MAX(Equivalencia!$3:$3)-YEAR(C761))*14)+MONTH(C761)+2,FALSE)))</f>
        <v>1</v>
      </c>
      <c r="J761" s="178">
        <f t="shared" si="121"/>
        <v>246.11937499999999</v>
      </c>
      <c r="K761" s="462">
        <f>IF(C761=0,0,VLOOKUP(YEAR(C761),INPC!$B$4:$O$29,MONTH(C761)+1))</f>
        <v>113.682</v>
      </c>
      <c r="L761" s="462">
        <f>IF(S761=0,0,VLOOKUP(YEAR(S761),INPC!$B$4:$O$29,MONTH(S761)+1))</f>
        <v>124.571</v>
      </c>
      <c r="M761" s="463">
        <f t="shared" si="114"/>
        <v>1.0956999999999999</v>
      </c>
      <c r="N761" s="465">
        <f t="shared" si="122"/>
        <v>269.67299918749995</v>
      </c>
      <c r="O761" s="179"/>
      <c r="P761" s="180">
        <v>1</v>
      </c>
      <c r="Q761" s="173" t="s">
        <v>583</v>
      </c>
      <c r="R761" s="173" t="s">
        <v>230</v>
      </c>
      <c r="S761" s="174">
        <v>44817</v>
      </c>
      <c r="T761" s="173" t="s">
        <v>33</v>
      </c>
      <c r="U761" s="182">
        <v>259.80500000000001</v>
      </c>
      <c r="V761" s="177">
        <f>IF(U761=0,0,IF(T761="MXN",1/HLOOKUP(YEAR(S761)+(MONTH(S761)/100),TC!$5:$37,DAY(S761)+2,FALSE),VLOOKUP(T761,Equivalencia!$1:$23,((MAX(Equivalencia!$3:$3)-YEAR(S761))*14)+MONTH(S761)+2,FALSE)))</f>
        <v>1</v>
      </c>
      <c r="W761" s="178">
        <f t="shared" si="119"/>
        <v>259.80500000000001</v>
      </c>
      <c r="X761" s="481">
        <f t="shared" si="115"/>
        <v>13.685625000000016</v>
      </c>
      <c r="Y761" s="179"/>
      <c r="Z761" s="466">
        <f t="shared" si="116"/>
        <v>269.67299918749995</v>
      </c>
      <c r="AA761" s="473">
        <f t="shared" si="117"/>
        <v>-9.8679991874999473</v>
      </c>
      <c r="AB761" s="339">
        <f t="shared" si="118"/>
        <v>5.5605638523988699E-2</v>
      </c>
    </row>
    <row r="762" spans="2:28" ht="20.100000000000001" customHeight="1">
      <c r="B762" s="172">
        <v>1175000</v>
      </c>
      <c r="C762" s="174">
        <v>44392</v>
      </c>
      <c r="D762" s="181" t="s">
        <v>177</v>
      </c>
      <c r="E762" s="173" t="s">
        <v>33</v>
      </c>
      <c r="F762" s="176">
        <v>243.95545454545456</v>
      </c>
      <c r="G762" s="175">
        <f t="shared" si="120"/>
        <v>1</v>
      </c>
      <c r="H762" s="175">
        <f t="shared" si="113"/>
        <v>243.95545454545456</v>
      </c>
      <c r="I762" s="177">
        <f>IF(G762=0,0,IF(E762="MXN",1/HLOOKUP(YEAR(C762)+(MONTH(C762)/100),TC!$5:$37,DAY(C762)+2,FALSE),VLOOKUP(E762,Equivalencia!$5:$23,((MAX(Equivalencia!$3:$3)-YEAR(C762))*14)+MONTH(C762)+2,FALSE)))</f>
        <v>1</v>
      </c>
      <c r="J762" s="178">
        <f t="shared" si="121"/>
        <v>243.95545454545456</v>
      </c>
      <c r="K762" s="462">
        <f>IF(C762=0,0,VLOOKUP(YEAR(C762),INPC!$B$4:$O$29,MONTH(C762)+1))</f>
        <v>113.682</v>
      </c>
      <c r="L762" s="462">
        <f>IF(S762=0,0,VLOOKUP(YEAR(S762),INPC!$B$4:$O$29,MONTH(S762)+1))</f>
        <v>124.571</v>
      </c>
      <c r="M762" s="463">
        <f t="shared" si="114"/>
        <v>1.0956999999999999</v>
      </c>
      <c r="N762" s="465">
        <f t="shared" si="122"/>
        <v>267.30199154545454</v>
      </c>
      <c r="O762" s="179"/>
      <c r="P762" s="180">
        <v>1</v>
      </c>
      <c r="Q762" s="173" t="s">
        <v>583</v>
      </c>
      <c r="R762" s="173" t="s">
        <v>230</v>
      </c>
      <c r="S762" s="174">
        <v>44817</v>
      </c>
      <c r="T762" s="173" t="s">
        <v>33</v>
      </c>
      <c r="U762" s="182">
        <v>259.80500000000001</v>
      </c>
      <c r="V762" s="177">
        <f>IF(U762=0,0,IF(T762="MXN",1/HLOOKUP(YEAR(S762)+(MONTH(S762)/100),TC!$5:$37,DAY(S762)+2,FALSE),VLOOKUP(T762,Equivalencia!$1:$23,((MAX(Equivalencia!$3:$3)-YEAR(S762))*14)+MONTH(S762)+2,FALSE)))</f>
        <v>1</v>
      </c>
      <c r="W762" s="178">
        <f t="shared" si="119"/>
        <v>259.80500000000001</v>
      </c>
      <c r="X762" s="481">
        <f t="shared" si="115"/>
        <v>15.849545454545449</v>
      </c>
      <c r="Y762" s="179"/>
      <c r="Z762" s="466">
        <f t="shared" si="116"/>
        <v>267.30199154545454</v>
      </c>
      <c r="AA762" s="473">
        <f t="shared" si="117"/>
        <v>-7.4969915454545344</v>
      </c>
      <c r="AB762" s="339">
        <f t="shared" si="118"/>
        <v>6.4969014462401775E-2</v>
      </c>
    </row>
    <row r="763" spans="2:28" ht="20.100000000000001" customHeight="1">
      <c r="B763" s="172">
        <v>1175000</v>
      </c>
      <c r="C763" s="174">
        <v>44392</v>
      </c>
      <c r="D763" s="181" t="s">
        <v>177</v>
      </c>
      <c r="E763" s="173" t="s">
        <v>33</v>
      </c>
      <c r="F763" s="176">
        <v>1951.6436363636365</v>
      </c>
      <c r="G763" s="175">
        <f t="shared" si="120"/>
        <v>8</v>
      </c>
      <c r="H763" s="175">
        <f t="shared" si="113"/>
        <v>1951.6436363636365</v>
      </c>
      <c r="I763" s="177">
        <f>IF(G763=0,0,IF(E763="MXN",1/HLOOKUP(YEAR(C763)+(MONTH(C763)/100),TC!$5:$37,DAY(C763)+2,FALSE),VLOOKUP(E763,Equivalencia!$5:$23,((MAX(Equivalencia!$3:$3)-YEAR(C763))*14)+MONTH(C763)+2,FALSE)))</f>
        <v>1</v>
      </c>
      <c r="J763" s="178">
        <f t="shared" si="121"/>
        <v>1951.6436363636365</v>
      </c>
      <c r="K763" s="462">
        <f>IF(C763=0,0,VLOOKUP(YEAR(C763),INPC!$B$4:$O$29,MONTH(C763)+1))</f>
        <v>113.682</v>
      </c>
      <c r="L763" s="462">
        <f>IF(S763=0,0,VLOOKUP(YEAR(S763),INPC!$B$4:$O$29,MONTH(S763)+1))</f>
        <v>124.571</v>
      </c>
      <c r="M763" s="463">
        <f t="shared" si="114"/>
        <v>1.0956999999999999</v>
      </c>
      <c r="N763" s="465">
        <f t="shared" si="122"/>
        <v>2138.4159323636363</v>
      </c>
      <c r="O763" s="179"/>
      <c r="P763" s="180">
        <v>8</v>
      </c>
      <c r="Q763" s="173" t="s">
        <v>583</v>
      </c>
      <c r="R763" s="173" t="s">
        <v>230</v>
      </c>
      <c r="S763" s="174">
        <v>44817</v>
      </c>
      <c r="T763" s="173" t="s">
        <v>33</v>
      </c>
      <c r="U763" s="182">
        <v>2054.38</v>
      </c>
      <c r="V763" s="177">
        <f>IF(U763=0,0,IF(T763="MXN",1/HLOOKUP(YEAR(S763)+(MONTH(S763)/100),TC!$5:$37,DAY(S763)+2,FALSE),VLOOKUP(T763,Equivalencia!$1:$23,((MAX(Equivalencia!$3:$3)-YEAR(S763))*14)+MONTH(S763)+2,FALSE)))</f>
        <v>1</v>
      </c>
      <c r="W763" s="178">
        <f t="shared" si="119"/>
        <v>2054.38</v>
      </c>
      <c r="X763" s="481">
        <f t="shared" si="115"/>
        <v>102.73636363636365</v>
      </c>
      <c r="Y763" s="179"/>
      <c r="Z763" s="466">
        <f t="shared" si="116"/>
        <v>2138.4159323636363</v>
      </c>
      <c r="AA763" s="473">
        <f t="shared" si="117"/>
        <v>-84.035932363636221</v>
      </c>
      <c r="AB763" s="339">
        <f t="shared" si="118"/>
        <v>5.2640944136597145E-2</v>
      </c>
    </row>
    <row r="764" spans="2:28" ht="20.100000000000001" customHeight="1">
      <c r="B764" s="172">
        <v>1175000</v>
      </c>
      <c r="C764" s="174">
        <v>44392</v>
      </c>
      <c r="D764" s="181" t="s">
        <v>177</v>
      </c>
      <c r="E764" s="173" t="s">
        <v>33</v>
      </c>
      <c r="F764" s="176">
        <v>487.91090909090912</v>
      </c>
      <c r="G764" s="175">
        <f t="shared" si="120"/>
        <v>2</v>
      </c>
      <c r="H764" s="175">
        <f t="shared" si="113"/>
        <v>487.91090909090912</v>
      </c>
      <c r="I764" s="177">
        <f>IF(G764=0,0,IF(E764="MXN",1/HLOOKUP(YEAR(C764)+(MONTH(C764)/100),TC!$5:$37,DAY(C764)+2,FALSE),VLOOKUP(E764,Equivalencia!$5:$23,((MAX(Equivalencia!$3:$3)-YEAR(C764))*14)+MONTH(C764)+2,FALSE)))</f>
        <v>1</v>
      </c>
      <c r="J764" s="178">
        <f t="shared" si="121"/>
        <v>487.91090909090912</v>
      </c>
      <c r="K764" s="462">
        <f>IF(C764=0,0,VLOOKUP(YEAR(C764),INPC!$B$4:$O$29,MONTH(C764)+1))</f>
        <v>113.682</v>
      </c>
      <c r="L764" s="462">
        <f>IF(S764=0,0,VLOOKUP(YEAR(S764),INPC!$B$4:$O$29,MONTH(S764)+1))</f>
        <v>124.571</v>
      </c>
      <c r="M764" s="463">
        <f t="shared" si="114"/>
        <v>1.0956999999999999</v>
      </c>
      <c r="N764" s="465">
        <f t="shared" si="122"/>
        <v>534.60398309090908</v>
      </c>
      <c r="O764" s="179"/>
      <c r="P764" s="180">
        <v>2</v>
      </c>
      <c r="Q764" s="173" t="s">
        <v>583</v>
      </c>
      <c r="R764" s="173" t="s">
        <v>230</v>
      </c>
      <c r="S764" s="174">
        <v>44817</v>
      </c>
      <c r="T764" s="173" t="s">
        <v>33</v>
      </c>
      <c r="U764" s="182">
        <v>517.17777777777781</v>
      </c>
      <c r="V764" s="177">
        <f>IF(U764=0,0,IF(T764="MXN",1/HLOOKUP(YEAR(S764)+(MONTH(S764)/100),TC!$5:$37,DAY(S764)+2,FALSE),VLOOKUP(T764,Equivalencia!$1:$23,((MAX(Equivalencia!$3:$3)-YEAR(S764))*14)+MONTH(S764)+2,FALSE)))</f>
        <v>1</v>
      </c>
      <c r="W764" s="178">
        <f t="shared" si="119"/>
        <v>517.17777777777781</v>
      </c>
      <c r="X764" s="481">
        <f t="shared" si="115"/>
        <v>29.26686868686869</v>
      </c>
      <c r="Y764" s="179"/>
      <c r="Z764" s="466">
        <f t="shared" si="116"/>
        <v>534.60398309090908</v>
      </c>
      <c r="AA764" s="473">
        <f t="shared" si="117"/>
        <v>-17.426205313131277</v>
      </c>
      <c r="AB764" s="339">
        <f t="shared" si="118"/>
        <v>5.9984042458488318E-2</v>
      </c>
    </row>
    <row r="765" spans="2:28" ht="20.100000000000001" customHeight="1">
      <c r="B765" s="172">
        <v>1175000</v>
      </c>
      <c r="C765" s="174">
        <v>44482</v>
      </c>
      <c r="D765" s="181" t="s">
        <v>177</v>
      </c>
      <c r="E765" s="173" t="s">
        <v>33</v>
      </c>
      <c r="F765" s="176">
        <v>1439.63</v>
      </c>
      <c r="G765" s="175">
        <f t="shared" si="120"/>
        <v>6</v>
      </c>
      <c r="H765" s="175">
        <f t="shared" si="113"/>
        <v>1439.63</v>
      </c>
      <c r="I765" s="177">
        <f>IF(G765=0,0,IF(E765="MXN",1/HLOOKUP(YEAR(C765)+(MONTH(C765)/100),TC!$5:$37,DAY(C765)+2,FALSE),VLOOKUP(E765,Equivalencia!$5:$23,((MAX(Equivalencia!$3:$3)-YEAR(C765))*14)+MONTH(C765)+2,FALSE)))</f>
        <v>1</v>
      </c>
      <c r="J765" s="178">
        <f t="shared" si="121"/>
        <v>1439.63</v>
      </c>
      <c r="K765" s="462">
        <f>IF(C765=0,0,VLOOKUP(YEAR(C765),INPC!$B$4:$O$29,MONTH(C765)+1))</f>
        <v>115.56100000000001</v>
      </c>
      <c r="L765" s="462">
        <f>IF(S765=0,0,VLOOKUP(YEAR(S765),INPC!$B$4:$O$29,MONTH(S765)+1))</f>
        <v>124.571</v>
      </c>
      <c r="M765" s="463">
        <f t="shared" si="114"/>
        <v>1.0779000000000001</v>
      </c>
      <c r="N765" s="465">
        <f t="shared" si="122"/>
        <v>1551.7771770000002</v>
      </c>
      <c r="O765" s="179"/>
      <c r="P765" s="180">
        <v>6</v>
      </c>
      <c r="Q765" s="173" t="s">
        <v>583</v>
      </c>
      <c r="R765" s="173" t="s">
        <v>230</v>
      </c>
      <c r="S765" s="174">
        <v>44817</v>
      </c>
      <c r="T765" s="173" t="s">
        <v>33</v>
      </c>
      <c r="U765" s="182">
        <v>1551.5333333333333</v>
      </c>
      <c r="V765" s="177">
        <f>IF(U765=0,0,IF(T765="MXN",1/HLOOKUP(YEAR(S765)+(MONTH(S765)/100),TC!$5:$37,DAY(S765)+2,FALSE),VLOOKUP(T765,Equivalencia!$1:$23,((MAX(Equivalencia!$3:$3)-YEAR(S765))*14)+MONTH(S765)+2,FALSE)))</f>
        <v>1</v>
      </c>
      <c r="W765" s="178">
        <f t="shared" si="119"/>
        <v>1551.5333333333333</v>
      </c>
      <c r="X765" s="481">
        <f t="shared" si="115"/>
        <v>111.90333333333319</v>
      </c>
      <c r="Y765" s="179"/>
      <c r="Z765" s="466">
        <f t="shared" si="116"/>
        <v>1551.7771770000002</v>
      </c>
      <c r="AA765" s="473">
        <f t="shared" si="117"/>
        <v>-0.24384366666686219</v>
      </c>
      <c r="AB765" s="339">
        <f t="shared" si="118"/>
        <v>7.7730620599274269E-2</v>
      </c>
    </row>
    <row r="766" spans="2:28" ht="20.100000000000001" customHeight="1">
      <c r="B766" s="172">
        <v>1175000</v>
      </c>
      <c r="C766" s="174">
        <v>44482</v>
      </c>
      <c r="D766" s="181" t="s">
        <v>177</v>
      </c>
      <c r="E766" s="173" t="s">
        <v>33</v>
      </c>
      <c r="F766" s="176">
        <v>2401.13</v>
      </c>
      <c r="G766" s="175">
        <f t="shared" si="120"/>
        <v>10</v>
      </c>
      <c r="H766" s="175">
        <f t="shared" si="113"/>
        <v>2401.13</v>
      </c>
      <c r="I766" s="177">
        <f>IF(G766=0,0,IF(E766="MXN",1/HLOOKUP(YEAR(C766)+(MONTH(C766)/100),TC!$5:$37,DAY(C766)+2,FALSE),VLOOKUP(E766,Equivalencia!$5:$23,((MAX(Equivalencia!$3:$3)-YEAR(C766))*14)+MONTH(C766)+2,FALSE)))</f>
        <v>1</v>
      </c>
      <c r="J766" s="178">
        <f t="shared" si="121"/>
        <v>2401.13</v>
      </c>
      <c r="K766" s="462">
        <f>IF(C766=0,0,VLOOKUP(YEAR(C766),INPC!$B$4:$O$29,MONTH(C766)+1))</f>
        <v>115.56100000000001</v>
      </c>
      <c r="L766" s="462">
        <f>IF(S766=0,0,VLOOKUP(YEAR(S766),INPC!$B$4:$O$29,MONTH(S766)+1))</f>
        <v>124.571</v>
      </c>
      <c r="M766" s="463">
        <f t="shared" si="114"/>
        <v>1.0779000000000001</v>
      </c>
      <c r="N766" s="465">
        <f t="shared" si="122"/>
        <v>2588.1780270000004</v>
      </c>
      <c r="O766" s="179"/>
      <c r="P766" s="180">
        <v>10</v>
      </c>
      <c r="Q766" s="173" t="s">
        <v>583</v>
      </c>
      <c r="R766" s="173" t="s">
        <v>230</v>
      </c>
      <c r="S766" s="174">
        <v>44817</v>
      </c>
      <c r="T766" s="173" t="s">
        <v>33</v>
      </c>
      <c r="U766" s="182">
        <v>2585.8888888888891</v>
      </c>
      <c r="V766" s="177">
        <f>IF(U766=0,0,IF(T766="MXN",1/HLOOKUP(YEAR(S766)+(MONTH(S766)/100),TC!$5:$37,DAY(S766)+2,FALSE),VLOOKUP(T766,Equivalencia!$1:$23,((MAX(Equivalencia!$3:$3)-YEAR(S766))*14)+MONTH(S766)+2,FALSE)))</f>
        <v>1</v>
      </c>
      <c r="W766" s="178">
        <f t="shared" si="119"/>
        <v>2585.8888888888891</v>
      </c>
      <c r="X766" s="481">
        <f t="shared" si="115"/>
        <v>184.75888888888903</v>
      </c>
      <c r="Y766" s="179"/>
      <c r="Z766" s="466">
        <f t="shared" si="116"/>
        <v>2588.1780270000004</v>
      </c>
      <c r="AA766" s="473">
        <f t="shared" si="117"/>
        <v>-2.2891381111112423</v>
      </c>
      <c r="AB766" s="339">
        <f t="shared" si="118"/>
        <v>7.6946641326745668E-2</v>
      </c>
    </row>
    <row r="767" spans="2:28" ht="20.100000000000001" customHeight="1">
      <c r="B767" s="172">
        <v>1175000</v>
      </c>
      <c r="C767" s="174">
        <v>44483</v>
      </c>
      <c r="D767" s="181" t="s">
        <v>177</v>
      </c>
      <c r="E767" s="173" t="s">
        <v>33</v>
      </c>
      <c r="F767" s="176">
        <v>485.78</v>
      </c>
      <c r="G767" s="175">
        <f t="shared" si="120"/>
        <v>2</v>
      </c>
      <c r="H767" s="175">
        <f t="shared" si="113"/>
        <v>485.78</v>
      </c>
      <c r="I767" s="177">
        <f>IF(G767=0,0,IF(E767="MXN",1/HLOOKUP(YEAR(C767)+(MONTH(C767)/100),TC!$5:$37,DAY(C767)+2,FALSE),VLOOKUP(E767,Equivalencia!$5:$23,((MAX(Equivalencia!$3:$3)-YEAR(C767))*14)+MONTH(C767)+2,FALSE)))</f>
        <v>1</v>
      </c>
      <c r="J767" s="178">
        <f t="shared" si="121"/>
        <v>485.78</v>
      </c>
      <c r="K767" s="462">
        <f>IF(C767=0,0,VLOOKUP(YEAR(C767),INPC!$B$4:$O$29,MONTH(C767)+1))</f>
        <v>115.56100000000001</v>
      </c>
      <c r="L767" s="462">
        <f>IF(S767=0,0,VLOOKUP(YEAR(S767),INPC!$B$4:$O$29,MONTH(S767)+1))</f>
        <v>124.571</v>
      </c>
      <c r="M767" s="463">
        <f t="shared" si="114"/>
        <v>1.0779000000000001</v>
      </c>
      <c r="N767" s="465">
        <f t="shared" si="122"/>
        <v>523.62226199999998</v>
      </c>
      <c r="O767" s="179"/>
      <c r="P767" s="180">
        <v>2</v>
      </c>
      <c r="Q767" s="173" t="s">
        <v>583</v>
      </c>
      <c r="R767" s="173" t="s">
        <v>230</v>
      </c>
      <c r="S767" s="174">
        <v>44817</v>
      </c>
      <c r="T767" s="173" t="s">
        <v>33</v>
      </c>
      <c r="U767" s="182">
        <v>513.52666666666664</v>
      </c>
      <c r="V767" s="177">
        <f>IF(U767=0,0,IF(T767="MXN",1/HLOOKUP(YEAR(S767)+(MONTH(S767)/100),TC!$5:$37,DAY(S767)+2,FALSE),VLOOKUP(T767,Equivalencia!$1:$23,((MAX(Equivalencia!$3:$3)-YEAR(S767))*14)+MONTH(S767)+2,FALSE)))</f>
        <v>1</v>
      </c>
      <c r="W767" s="178">
        <f t="shared" si="119"/>
        <v>513.52666666666664</v>
      </c>
      <c r="X767" s="481">
        <f t="shared" si="115"/>
        <v>27.74666666666667</v>
      </c>
      <c r="Y767" s="179"/>
      <c r="Z767" s="466">
        <f t="shared" si="116"/>
        <v>523.62226199999998</v>
      </c>
      <c r="AA767" s="473">
        <f t="shared" si="117"/>
        <v>-10.095595333333335</v>
      </c>
      <c r="AB767" s="339">
        <f t="shared" si="118"/>
        <v>5.7117762498799296E-2</v>
      </c>
    </row>
    <row r="768" spans="2:28" ht="20.100000000000001" customHeight="1">
      <c r="B768" s="172">
        <v>1175000</v>
      </c>
      <c r="C768" s="174">
        <v>44483</v>
      </c>
      <c r="D768" s="181" t="s">
        <v>177</v>
      </c>
      <c r="E768" s="173" t="s">
        <v>33</v>
      </c>
      <c r="F768" s="176">
        <v>242.68625</v>
      </c>
      <c r="G768" s="175">
        <f t="shared" si="120"/>
        <v>1</v>
      </c>
      <c r="H768" s="175">
        <f t="shared" si="113"/>
        <v>242.68625</v>
      </c>
      <c r="I768" s="177">
        <f>IF(G768=0,0,IF(E768="MXN",1/HLOOKUP(YEAR(C768)+(MONTH(C768)/100),TC!$5:$37,DAY(C768)+2,FALSE),VLOOKUP(E768,Equivalencia!$5:$23,((MAX(Equivalencia!$3:$3)-YEAR(C768))*14)+MONTH(C768)+2,FALSE)))</f>
        <v>1</v>
      </c>
      <c r="J768" s="178">
        <f t="shared" si="121"/>
        <v>242.68625</v>
      </c>
      <c r="K768" s="462">
        <f>IF(C768=0,0,VLOOKUP(YEAR(C768),INPC!$B$4:$O$29,MONTH(C768)+1))</f>
        <v>115.56100000000001</v>
      </c>
      <c r="L768" s="462">
        <f>IF(S768=0,0,VLOOKUP(YEAR(S768),INPC!$B$4:$O$29,MONTH(S768)+1))</f>
        <v>124.571</v>
      </c>
      <c r="M768" s="463">
        <f t="shared" si="114"/>
        <v>1.0779000000000001</v>
      </c>
      <c r="N768" s="465">
        <f t="shared" si="122"/>
        <v>261.59150887500005</v>
      </c>
      <c r="O768" s="179"/>
      <c r="P768" s="180">
        <v>1</v>
      </c>
      <c r="Q768" s="173" t="s">
        <v>583</v>
      </c>
      <c r="R768" s="173" t="s">
        <v>230</v>
      </c>
      <c r="S768" s="174">
        <v>44817</v>
      </c>
      <c r="T768" s="173" t="s">
        <v>33</v>
      </c>
      <c r="U768" s="182">
        <v>256.76333333333332</v>
      </c>
      <c r="V768" s="177">
        <f>IF(U768=0,0,IF(T768="MXN",1/HLOOKUP(YEAR(S768)+(MONTH(S768)/100),TC!$5:$37,DAY(S768)+2,FALSE),VLOOKUP(T768,Equivalencia!$1:$23,((MAX(Equivalencia!$3:$3)-YEAR(S768))*14)+MONTH(S768)+2,FALSE)))</f>
        <v>1</v>
      </c>
      <c r="W768" s="178">
        <f t="shared" si="119"/>
        <v>256.76333333333332</v>
      </c>
      <c r="X768" s="481">
        <f t="shared" si="115"/>
        <v>14.07708333333332</v>
      </c>
      <c r="Y768" s="179"/>
      <c r="Z768" s="466">
        <f t="shared" si="116"/>
        <v>261.59150887500005</v>
      </c>
      <c r="AA768" s="473">
        <f t="shared" si="117"/>
        <v>-4.8281755416667238</v>
      </c>
      <c r="AB768" s="339">
        <f t="shared" si="118"/>
        <v>5.8005277733424565E-2</v>
      </c>
    </row>
    <row r="769" spans="2:28" ht="20.100000000000001" customHeight="1">
      <c r="B769" s="172">
        <v>1175000</v>
      </c>
      <c r="C769" s="174">
        <v>44483</v>
      </c>
      <c r="D769" s="181" t="s">
        <v>177</v>
      </c>
      <c r="E769" s="173" t="s">
        <v>33</v>
      </c>
      <c r="F769" s="176">
        <v>485.3725</v>
      </c>
      <c r="G769" s="175">
        <f t="shared" si="120"/>
        <v>2</v>
      </c>
      <c r="H769" s="175">
        <f t="shared" si="113"/>
        <v>485.3725</v>
      </c>
      <c r="I769" s="177">
        <f>IF(G769=0,0,IF(E769="MXN",1/HLOOKUP(YEAR(C769)+(MONTH(C769)/100),TC!$5:$37,DAY(C769)+2,FALSE),VLOOKUP(E769,Equivalencia!$5:$23,((MAX(Equivalencia!$3:$3)-YEAR(C769))*14)+MONTH(C769)+2,FALSE)))</f>
        <v>1</v>
      </c>
      <c r="J769" s="178">
        <f t="shared" si="121"/>
        <v>485.3725</v>
      </c>
      <c r="K769" s="462">
        <f>IF(C769=0,0,VLOOKUP(YEAR(C769),INPC!$B$4:$O$29,MONTH(C769)+1))</f>
        <v>115.56100000000001</v>
      </c>
      <c r="L769" s="462">
        <f>IF(S769=0,0,VLOOKUP(YEAR(S769),INPC!$B$4:$O$29,MONTH(S769)+1))</f>
        <v>124.571</v>
      </c>
      <c r="M769" s="463">
        <f t="shared" si="114"/>
        <v>1.0779000000000001</v>
      </c>
      <c r="N769" s="465">
        <f t="shared" si="122"/>
        <v>523.18301775000009</v>
      </c>
      <c r="O769" s="179"/>
      <c r="P769" s="180">
        <v>2</v>
      </c>
      <c r="Q769" s="173" t="s">
        <v>583</v>
      </c>
      <c r="R769" s="173" t="s">
        <v>230</v>
      </c>
      <c r="S769" s="174">
        <v>44817</v>
      </c>
      <c r="T769" s="173" t="s">
        <v>33</v>
      </c>
      <c r="U769" s="182">
        <v>521.33000000000004</v>
      </c>
      <c r="V769" s="177">
        <f>IF(U769=0,0,IF(T769="MXN",1/HLOOKUP(YEAR(S769)+(MONTH(S769)/100),TC!$5:$37,DAY(S769)+2,FALSE),VLOOKUP(T769,Equivalencia!$1:$23,((MAX(Equivalencia!$3:$3)-YEAR(S769))*14)+MONTH(S769)+2,FALSE)))</f>
        <v>1</v>
      </c>
      <c r="W769" s="178">
        <f t="shared" si="119"/>
        <v>521.33000000000004</v>
      </c>
      <c r="X769" s="481">
        <f t="shared" si="115"/>
        <v>35.957500000000039</v>
      </c>
      <c r="Y769" s="179"/>
      <c r="Z769" s="466">
        <f t="shared" si="116"/>
        <v>523.18301775000009</v>
      </c>
      <c r="AA769" s="473">
        <f t="shared" si="117"/>
        <v>-1.8530177500000491</v>
      </c>
      <c r="AB769" s="339">
        <f t="shared" si="118"/>
        <v>7.4082277014045905E-2</v>
      </c>
    </row>
    <row r="770" spans="2:28" ht="20.100000000000001" customHeight="1">
      <c r="B770" s="172">
        <v>1175000</v>
      </c>
      <c r="C770" s="174">
        <v>44483</v>
      </c>
      <c r="D770" s="181" t="s">
        <v>177</v>
      </c>
      <c r="E770" s="173" t="s">
        <v>33</v>
      </c>
      <c r="F770" s="176">
        <v>1213.4312500000001</v>
      </c>
      <c r="G770" s="175">
        <f t="shared" si="120"/>
        <v>5</v>
      </c>
      <c r="H770" s="175">
        <f t="shared" ref="H770:H833" si="123">IF(F770=0,0,(F770/G770)*P770)</f>
        <v>1213.4312500000001</v>
      </c>
      <c r="I770" s="177">
        <f>IF(G770=0,0,IF(E770="MXN",1/HLOOKUP(YEAR(C770)+(MONTH(C770)/100),TC!$5:$37,DAY(C770)+2,FALSE),VLOOKUP(E770,Equivalencia!$5:$23,((MAX(Equivalencia!$3:$3)-YEAR(C770))*14)+MONTH(C770)+2,FALSE)))</f>
        <v>1</v>
      </c>
      <c r="J770" s="178">
        <f t="shared" si="121"/>
        <v>1213.4312500000001</v>
      </c>
      <c r="K770" s="462">
        <f>IF(C770=0,0,VLOOKUP(YEAR(C770),INPC!$B$4:$O$29,MONTH(C770)+1))</f>
        <v>115.56100000000001</v>
      </c>
      <c r="L770" s="462">
        <f>IF(S770=0,0,VLOOKUP(YEAR(S770),INPC!$B$4:$O$29,MONTH(S770)+1))</f>
        <v>124.571</v>
      </c>
      <c r="M770" s="463">
        <f t="shared" ref="M770:M833" si="124">IF(H770=0,0,IF(R770=$AF$4,1,IF(TRUNC(L770/K770,4)&gt;=1,TRUNC(L770/K770,4),1)))</f>
        <v>1.0779000000000001</v>
      </c>
      <c r="N770" s="465">
        <f t="shared" si="122"/>
        <v>1307.9575443750002</v>
      </c>
      <c r="O770" s="179"/>
      <c r="P770" s="180">
        <v>5</v>
      </c>
      <c r="Q770" s="173" t="s">
        <v>583</v>
      </c>
      <c r="R770" s="173" t="s">
        <v>230</v>
      </c>
      <c r="S770" s="174">
        <v>44818</v>
      </c>
      <c r="T770" s="173" t="s">
        <v>33</v>
      </c>
      <c r="U770" s="182">
        <v>1299.18</v>
      </c>
      <c r="V770" s="177">
        <f>IF(U770=0,0,IF(T770="MXN",1/HLOOKUP(YEAR(S770)+(MONTH(S770)/100),TC!$5:$37,DAY(S770)+2,FALSE),VLOOKUP(T770,Equivalencia!$1:$23,((MAX(Equivalencia!$3:$3)-YEAR(S770))*14)+MONTH(S770)+2,FALSE)))</f>
        <v>1</v>
      </c>
      <c r="W770" s="178">
        <f t="shared" si="119"/>
        <v>1299.18</v>
      </c>
      <c r="X770" s="481">
        <f t="shared" ref="X770:X833" si="125">+W770-J770</f>
        <v>85.748749999999973</v>
      </c>
      <c r="Y770" s="179"/>
      <c r="Z770" s="466">
        <f t="shared" ref="Z770:Z833" si="126">N770</f>
        <v>1307.9575443750002</v>
      </c>
      <c r="AA770" s="473">
        <f t="shared" ref="AA770:AA833" si="127">+W770-Z770</f>
        <v>-8.7775443750001614</v>
      </c>
      <c r="AB770" s="339">
        <f t="shared" ref="AB770:AB833" si="128">+IF(P770=0,0,(U770/F770)-1)</f>
        <v>7.0666343890517069E-2</v>
      </c>
    </row>
    <row r="771" spans="2:28" ht="20.100000000000001" customHeight="1">
      <c r="B771" s="172">
        <v>1175000</v>
      </c>
      <c r="C771" s="174">
        <v>44544</v>
      </c>
      <c r="D771" s="181" t="s">
        <v>183</v>
      </c>
      <c r="E771" s="173" t="s">
        <v>33</v>
      </c>
      <c r="F771" s="176">
        <v>653.64499999999998</v>
      </c>
      <c r="G771" s="175">
        <f t="shared" si="120"/>
        <v>11</v>
      </c>
      <c r="H771" s="175">
        <f t="shared" si="123"/>
        <v>653.64499999999998</v>
      </c>
      <c r="I771" s="177">
        <f>IF(G771=0,0,IF(E771="MXN",1/HLOOKUP(YEAR(C771)+(MONTH(C771)/100),TC!$5:$37,DAY(C771)+2,FALSE),VLOOKUP(E771,Equivalencia!$5:$23,((MAX(Equivalencia!$3:$3)-YEAR(C771))*14)+MONTH(C771)+2,FALSE)))</f>
        <v>1</v>
      </c>
      <c r="J771" s="178">
        <f t="shared" si="121"/>
        <v>653.64499999999998</v>
      </c>
      <c r="K771" s="462">
        <f>IF(C771=0,0,VLOOKUP(YEAR(C771),INPC!$B$4:$O$29,MONTH(C771)+1))</f>
        <v>117.30800000000001</v>
      </c>
      <c r="L771" s="462">
        <f>IF(S771=0,0,VLOOKUP(YEAR(S771),INPC!$B$4:$O$29,MONTH(S771)+1))</f>
        <v>124.571</v>
      </c>
      <c r="M771" s="463">
        <f t="shared" si="124"/>
        <v>1.0619000000000001</v>
      </c>
      <c r="N771" s="465">
        <f t="shared" si="122"/>
        <v>694.10562549999997</v>
      </c>
      <c r="O771" s="179"/>
      <c r="P771" s="180">
        <v>11</v>
      </c>
      <c r="Q771" s="173" t="s">
        <v>583</v>
      </c>
      <c r="R771" s="173" t="s">
        <v>230</v>
      </c>
      <c r="S771" s="174">
        <v>44818</v>
      </c>
      <c r="T771" s="173" t="s">
        <v>33</v>
      </c>
      <c r="U771" s="182">
        <v>843.46</v>
      </c>
      <c r="V771" s="177">
        <f>IF(U771=0,0,IF(T771="MXN",1/HLOOKUP(YEAR(S771)+(MONTH(S771)/100),TC!$5:$37,DAY(S771)+2,FALSE),VLOOKUP(T771,Equivalencia!$1:$23,((MAX(Equivalencia!$3:$3)-YEAR(S771))*14)+MONTH(S771)+2,FALSE)))</f>
        <v>1</v>
      </c>
      <c r="W771" s="178">
        <f t="shared" ref="W771:W834" si="129">+V771*U771</f>
        <v>843.46</v>
      </c>
      <c r="X771" s="481">
        <f t="shared" si="125"/>
        <v>189.81500000000005</v>
      </c>
      <c r="Y771" s="179"/>
      <c r="Z771" s="466">
        <f t="shared" si="126"/>
        <v>694.10562549999997</v>
      </c>
      <c r="AA771" s="473">
        <f t="shared" si="127"/>
        <v>149.35437450000006</v>
      </c>
      <c r="AB771" s="339">
        <f t="shared" si="128"/>
        <v>0.29039463317244074</v>
      </c>
    </row>
    <row r="772" spans="2:28" ht="20.100000000000001" customHeight="1">
      <c r="B772" s="172">
        <v>1175000</v>
      </c>
      <c r="C772" s="174">
        <v>44544</v>
      </c>
      <c r="D772" s="181" t="s">
        <v>183</v>
      </c>
      <c r="E772" s="173" t="s">
        <v>33</v>
      </c>
      <c r="F772" s="176">
        <v>2733.4245454545453</v>
      </c>
      <c r="G772" s="175">
        <f t="shared" si="120"/>
        <v>46</v>
      </c>
      <c r="H772" s="175">
        <f t="shared" si="123"/>
        <v>2733.4245454545453</v>
      </c>
      <c r="I772" s="177">
        <f>IF(G772=0,0,IF(E772="MXN",1/HLOOKUP(YEAR(C772)+(MONTH(C772)/100),TC!$5:$37,DAY(C772)+2,FALSE),VLOOKUP(E772,Equivalencia!$5:$23,((MAX(Equivalencia!$3:$3)-YEAR(C772))*14)+MONTH(C772)+2,FALSE)))</f>
        <v>1</v>
      </c>
      <c r="J772" s="178">
        <f t="shared" si="121"/>
        <v>2733.4245454545453</v>
      </c>
      <c r="K772" s="462">
        <f>IF(C772=0,0,VLOOKUP(YEAR(C772),INPC!$B$4:$O$29,MONTH(C772)+1))</f>
        <v>117.30800000000001</v>
      </c>
      <c r="L772" s="462">
        <f>IF(S772=0,0,VLOOKUP(YEAR(S772),INPC!$B$4:$O$29,MONTH(S772)+1))</f>
        <v>124.571</v>
      </c>
      <c r="M772" s="463">
        <f t="shared" si="124"/>
        <v>1.0619000000000001</v>
      </c>
      <c r="N772" s="465">
        <f t="shared" si="122"/>
        <v>2902.623524818182</v>
      </c>
      <c r="O772" s="179"/>
      <c r="P772" s="180">
        <v>46</v>
      </c>
      <c r="Q772" s="173" t="s">
        <v>583</v>
      </c>
      <c r="R772" s="173" t="s">
        <v>230</v>
      </c>
      <c r="S772" s="174">
        <v>44818</v>
      </c>
      <c r="T772" s="173" t="s">
        <v>33</v>
      </c>
      <c r="U772" s="182">
        <v>3520.5162962962968</v>
      </c>
      <c r="V772" s="177">
        <f>IF(U772=0,0,IF(T772="MXN",1/HLOOKUP(YEAR(S772)+(MONTH(S772)/100),TC!$5:$37,DAY(S772)+2,FALSE),VLOOKUP(T772,Equivalencia!$1:$23,((MAX(Equivalencia!$3:$3)-YEAR(S772))*14)+MONTH(S772)+2,FALSE)))</f>
        <v>1</v>
      </c>
      <c r="W772" s="178">
        <f t="shared" si="129"/>
        <v>3520.5162962962968</v>
      </c>
      <c r="X772" s="481">
        <f t="shared" si="125"/>
        <v>787.09175084175149</v>
      </c>
      <c r="Y772" s="179"/>
      <c r="Z772" s="466">
        <f t="shared" si="126"/>
        <v>2902.623524818182</v>
      </c>
      <c r="AA772" s="473">
        <f t="shared" si="127"/>
        <v>617.89277147811481</v>
      </c>
      <c r="AB772" s="339">
        <f t="shared" si="128"/>
        <v>0.28795078764863602</v>
      </c>
    </row>
    <row r="773" spans="2:28" ht="20.100000000000001" customHeight="1">
      <c r="B773" s="172">
        <v>1175000</v>
      </c>
      <c r="C773" s="174">
        <v>44546</v>
      </c>
      <c r="D773" s="181" t="s">
        <v>183</v>
      </c>
      <c r="E773" s="173" t="s">
        <v>33</v>
      </c>
      <c r="F773" s="176">
        <v>183.54</v>
      </c>
      <c r="G773" s="175">
        <f t="shared" si="120"/>
        <v>3</v>
      </c>
      <c r="H773" s="175">
        <f t="shared" si="123"/>
        <v>183.54</v>
      </c>
      <c r="I773" s="177">
        <f>IF(G773=0,0,IF(E773="MXN",1/HLOOKUP(YEAR(C773)+(MONTH(C773)/100),TC!$5:$37,DAY(C773)+2,FALSE),VLOOKUP(E773,Equivalencia!$5:$23,((MAX(Equivalencia!$3:$3)-YEAR(C773))*14)+MONTH(C773)+2,FALSE)))</f>
        <v>1</v>
      </c>
      <c r="J773" s="178">
        <f t="shared" si="121"/>
        <v>183.54</v>
      </c>
      <c r="K773" s="462">
        <f>IF(C773=0,0,VLOOKUP(YEAR(C773),INPC!$B$4:$O$29,MONTH(C773)+1))</f>
        <v>117.30800000000001</v>
      </c>
      <c r="L773" s="462">
        <f>IF(S773=0,0,VLOOKUP(YEAR(S773),INPC!$B$4:$O$29,MONTH(S773)+1))</f>
        <v>124.571</v>
      </c>
      <c r="M773" s="463">
        <f t="shared" si="124"/>
        <v>1.0619000000000001</v>
      </c>
      <c r="N773" s="465">
        <f t="shared" si="122"/>
        <v>194.901126</v>
      </c>
      <c r="O773" s="179"/>
      <c r="P773" s="180">
        <v>3</v>
      </c>
      <c r="Q773" s="173" t="s">
        <v>583</v>
      </c>
      <c r="R773" s="173" t="s">
        <v>230</v>
      </c>
      <c r="S773" s="174">
        <v>44818</v>
      </c>
      <c r="T773" s="173" t="s">
        <v>33</v>
      </c>
      <c r="U773" s="182">
        <v>229.59888888888889</v>
      </c>
      <c r="V773" s="177">
        <f>IF(U773=0,0,IF(T773="MXN",1/HLOOKUP(YEAR(S773)+(MONTH(S773)/100),TC!$5:$37,DAY(S773)+2,FALSE),VLOOKUP(T773,Equivalencia!$1:$23,((MAX(Equivalencia!$3:$3)-YEAR(S773))*14)+MONTH(S773)+2,FALSE)))</f>
        <v>1</v>
      </c>
      <c r="W773" s="178">
        <f t="shared" si="129"/>
        <v>229.59888888888889</v>
      </c>
      <c r="X773" s="481">
        <f t="shared" si="125"/>
        <v>46.058888888888902</v>
      </c>
      <c r="Y773" s="179"/>
      <c r="Z773" s="466">
        <f t="shared" si="126"/>
        <v>194.901126</v>
      </c>
      <c r="AA773" s="473">
        <f t="shared" si="127"/>
        <v>34.697762888888889</v>
      </c>
      <c r="AB773" s="339">
        <f t="shared" si="128"/>
        <v>0.25094741685130706</v>
      </c>
    </row>
    <row r="774" spans="2:28" ht="20.100000000000001" customHeight="1">
      <c r="B774" s="172">
        <v>1175000</v>
      </c>
      <c r="C774" s="174">
        <v>44546</v>
      </c>
      <c r="D774" s="181" t="s">
        <v>183</v>
      </c>
      <c r="E774" s="173" t="s">
        <v>33</v>
      </c>
      <c r="F774" s="176">
        <v>122.51</v>
      </c>
      <c r="G774" s="175">
        <f t="shared" ref="G774:G837" si="130">+P774</f>
        <v>2</v>
      </c>
      <c r="H774" s="175">
        <f t="shared" si="123"/>
        <v>122.51</v>
      </c>
      <c r="I774" s="177">
        <f>IF(G774=0,0,IF(E774="MXN",1/HLOOKUP(YEAR(C774)+(MONTH(C774)/100),TC!$5:$37,DAY(C774)+2,FALSE),VLOOKUP(E774,Equivalencia!$5:$23,((MAX(Equivalencia!$3:$3)-YEAR(C774))*14)+MONTH(C774)+2,FALSE)))</f>
        <v>1</v>
      </c>
      <c r="J774" s="178">
        <f t="shared" ref="J774:J837" si="131">+H774*I774</f>
        <v>122.51</v>
      </c>
      <c r="K774" s="462">
        <f>IF(C774=0,0,VLOOKUP(YEAR(C774),INPC!$B$4:$O$29,MONTH(C774)+1))</f>
        <v>117.30800000000001</v>
      </c>
      <c r="L774" s="462">
        <f>IF(S774=0,0,VLOOKUP(YEAR(S774),INPC!$B$4:$O$29,MONTH(S774)+1))</f>
        <v>124.571</v>
      </c>
      <c r="M774" s="463">
        <f t="shared" si="124"/>
        <v>1.0619000000000001</v>
      </c>
      <c r="N774" s="465">
        <f t="shared" ref="N774:N837" si="132">+M774*J774</f>
        <v>130.09336900000002</v>
      </c>
      <c r="O774" s="179"/>
      <c r="P774" s="180">
        <v>2</v>
      </c>
      <c r="Q774" s="173" t="s">
        <v>583</v>
      </c>
      <c r="R774" s="173" t="s">
        <v>230</v>
      </c>
      <c r="S774" s="174">
        <v>44818</v>
      </c>
      <c r="T774" s="173" t="s">
        <v>33</v>
      </c>
      <c r="U774" s="182">
        <v>153.06592592592594</v>
      </c>
      <c r="V774" s="177">
        <f>IF(U774=0,0,IF(T774="MXN",1/HLOOKUP(YEAR(S774)+(MONTH(S774)/100),TC!$5:$37,DAY(S774)+2,FALSE),VLOOKUP(T774,Equivalencia!$1:$23,((MAX(Equivalencia!$3:$3)-YEAR(S774))*14)+MONTH(S774)+2,FALSE)))</f>
        <v>1</v>
      </c>
      <c r="W774" s="178">
        <f t="shared" si="129"/>
        <v>153.06592592592594</v>
      </c>
      <c r="X774" s="481">
        <f t="shared" si="125"/>
        <v>30.555925925925933</v>
      </c>
      <c r="Y774" s="179"/>
      <c r="Z774" s="466">
        <f t="shared" si="126"/>
        <v>130.09336900000002</v>
      </c>
      <c r="AA774" s="473">
        <f t="shared" si="127"/>
        <v>22.972556925925915</v>
      </c>
      <c r="AB774" s="339">
        <f t="shared" si="128"/>
        <v>0.24941576953657596</v>
      </c>
    </row>
    <row r="775" spans="2:28" ht="20.100000000000001" customHeight="1">
      <c r="B775" s="172">
        <v>1175000</v>
      </c>
      <c r="C775" s="174">
        <v>44546</v>
      </c>
      <c r="D775" s="181" t="s">
        <v>183</v>
      </c>
      <c r="E775" s="173" t="s">
        <v>33</v>
      </c>
      <c r="F775" s="176">
        <v>1045.5</v>
      </c>
      <c r="G775" s="175">
        <f t="shared" si="130"/>
        <v>17</v>
      </c>
      <c r="H775" s="175">
        <f t="shared" si="123"/>
        <v>1045.5</v>
      </c>
      <c r="I775" s="177">
        <f>IF(G775=0,0,IF(E775="MXN",1/HLOOKUP(YEAR(C775)+(MONTH(C775)/100),TC!$5:$37,DAY(C775)+2,FALSE),VLOOKUP(E775,Equivalencia!$5:$23,((MAX(Equivalencia!$3:$3)-YEAR(C775))*14)+MONTH(C775)+2,FALSE)))</f>
        <v>1</v>
      </c>
      <c r="J775" s="178">
        <f t="shared" si="131"/>
        <v>1045.5</v>
      </c>
      <c r="K775" s="462">
        <f>IF(C775=0,0,VLOOKUP(YEAR(C775),INPC!$B$4:$O$29,MONTH(C775)+1))</f>
        <v>117.30800000000001</v>
      </c>
      <c r="L775" s="462">
        <f>IF(S775=0,0,VLOOKUP(YEAR(S775),INPC!$B$4:$O$29,MONTH(S775)+1))</f>
        <v>124.571</v>
      </c>
      <c r="M775" s="463">
        <f t="shared" si="124"/>
        <v>1.0619000000000001</v>
      </c>
      <c r="N775" s="465">
        <f t="shared" si="132"/>
        <v>1110.2164500000001</v>
      </c>
      <c r="O775" s="179"/>
      <c r="P775" s="180">
        <v>17</v>
      </c>
      <c r="Q775" s="173" t="s">
        <v>583</v>
      </c>
      <c r="R775" s="173" t="s">
        <v>230</v>
      </c>
      <c r="S775" s="174">
        <v>44818</v>
      </c>
      <c r="T775" s="173" t="s">
        <v>33</v>
      </c>
      <c r="U775" s="182">
        <v>1301.0603703703705</v>
      </c>
      <c r="V775" s="177">
        <f>IF(U775=0,0,IF(T775="MXN",1/HLOOKUP(YEAR(S775)+(MONTH(S775)/100),TC!$5:$37,DAY(S775)+2,FALSE),VLOOKUP(T775,Equivalencia!$1:$23,((MAX(Equivalencia!$3:$3)-YEAR(S775))*14)+MONTH(S775)+2,FALSE)))</f>
        <v>1</v>
      </c>
      <c r="W775" s="178">
        <f t="shared" si="129"/>
        <v>1301.0603703703705</v>
      </c>
      <c r="X775" s="481">
        <f t="shared" si="125"/>
        <v>255.56037037037049</v>
      </c>
      <c r="Y775" s="179"/>
      <c r="Z775" s="466">
        <f t="shared" si="126"/>
        <v>1110.2164500000001</v>
      </c>
      <c r="AA775" s="473">
        <f t="shared" si="127"/>
        <v>190.84392037037037</v>
      </c>
      <c r="AB775" s="339">
        <f t="shared" si="128"/>
        <v>0.24443842216199951</v>
      </c>
    </row>
    <row r="776" spans="2:28" ht="20.100000000000001" customHeight="1">
      <c r="B776" s="172">
        <v>1175000</v>
      </c>
      <c r="C776" s="174">
        <v>44546</v>
      </c>
      <c r="D776" s="181" t="s">
        <v>183</v>
      </c>
      <c r="E776" s="173" t="s">
        <v>33</v>
      </c>
      <c r="F776" s="176">
        <v>796.6176076555023</v>
      </c>
      <c r="G776" s="175">
        <f t="shared" si="130"/>
        <v>13</v>
      </c>
      <c r="H776" s="175">
        <f t="shared" si="123"/>
        <v>796.6176076555023</v>
      </c>
      <c r="I776" s="177">
        <f>IF(G776=0,0,IF(E776="MXN",1/HLOOKUP(YEAR(C776)+(MONTH(C776)/100),TC!$5:$37,DAY(C776)+2,FALSE),VLOOKUP(E776,Equivalencia!$5:$23,((MAX(Equivalencia!$3:$3)-YEAR(C776))*14)+MONTH(C776)+2,FALSE)))</f>
        <v>1</v>
      </c>
      <c r="J776" s="178">
        <f t="shared" si="131"/>
        <v>796.6176076555023</v>
      </c>
      <c r="K776" s="462">
        <f>IF(C776=0,0,VLOOKUP(YEAR(C776),INPC!$B$4:$O$29,MONTH(C776)+1))</f>
        <v>117.30800000000001</v>
      </c>
      <c r="L776" s="462">
        <f>IF(S776=0,0,VLOOKUP(YEAR(S776),INPC!$B$4:$O$29,MONTH(S776)+1))</f>
        <v>124.571</v>
      </c>
      <c r="M776" s="463">
        <f t="shared" si="124"/>
        <v>1.0619000000000001</v>
      </c>
      <c r="N776" s="465">
        <f t="shared" si="132"/>
        <v>845.92823756937798</v>
      </c>
      <c r="O776" s="179"/>
      <c r="P776" s="180">
        <v>13</v>
      </c>
      <c r="Q776" s="173" t="s">
        <v>583</v>
      </c>
      <c r="R776" s="173" t="s">
        <v>230</v>
      </c>
      <c r="S776" s="174">
        <v>44818</v>
      </c>
      <c r="T776" s="173" t="s">
        <v>33</v>
      </c>
      <c r="U776" s="182">
        <v>994.92851851851856</v>
      </c>
      <c r="V776" s="177">
        <f>IF(U776=0,0,IF(T776="MXN",1/HLOOKUP(YEAR(S776)+(MONTH(S776)/100),TC!$5:$37,DAY(S776)+2,FALSE),VLOOKUP(T776,Equivalencia!$1:$23,((MAX(Equivalencia!$3:$3)-YEAR(S776))*14)+MONTH(S776)+2,FALSE)))</f>
        <v>1</v>
      </c>
      <c r="W776" s="178">
        <f t="shared" si="129"/>
        <v>994.92851851851856</v>
      </c>
      <c r="X776" s="481">
        <f t="shared" si="125"/>
        <v>198.31091086301626</v>
      </c>
      <c r="Y776" s="179"/>
      <c r="Z776" s="466">
        <f t="shared" si="126"/>
        <v>845.92823756937798</v>
      </c>
      <c r="AA776" s="473">
        <f t="shared" si="127"/>
        <v>149.00028094914057</v>
      </c>
      <c r="AB776" s="339">
        <f t="shared" si="128"/>
        <v>0.24894115941857997</v>
      </c>
    </row>
    <row r="777" spans="2:28" ht="20.100000000000001" customHeight="1">
      <c r="B777" s="172">
        <v>1175000</v>
      </c>
      <c r="C777" s="174">
        <v>44546</v>
      </c>
      <c r="D777" s="181" t="s">
        <v>183</v>
      </c>
      <c r="E777" s="173" t="s">
        <v>33</v>
      </c>
      <c r="F777" s="176">
        <v>122.55655502392344</v>
      </c>
      <c r="G777" s="175">
        <f t="shared" si="130"/>
        <v>2</v>
      </c>
      <c r="H777" s="175">
        <f t="shared" si="123"/>
        <v>122.55655502392344</v>
      </c>
      <c r="I777" s="177">
        <f>IF(G777=0,0,IF(E777="MXN",1/HLOOKUP(YEAR(C777)+(MONTH(C777)/100),TC!$5:$37,DAY(C777)+2,FALSE),VLOOKUP(E777,Equivalencia!$5:$23,((MAX(Equivalencia!$3:$3)-YEAR(C777))*14)+MONTH(C777)+2,FALSE)))</f>
        <v>1</v>
      </c>
      <c r="J777" s="178">
        <f t="shared" si="131"/>
        <v>122.55655502392344</v>
      </c>
      <c r="K777" s="462">
        <f>IF(C777=0,0,VLOOKUP(YEAR(C777),INPC!$B$4:$O$29,MONTH(C777)+1))</f>
        <v>117.30800000000001</v>
      </c>
      <c r="L777" s="462">
        <f>IF(S777=0,0,VLOOKUP(YEAR(S777),INPC!$B$4:$O$29,MONTH(S777)+1))</f>
        <v>124.571</v>
      </c>
      <c r="M777" s="463">
        <f t="shared" si="124"/>
        <v>1.0619000000000001</v>
      </c>
      <c r="N777" s="465">
        <f t="shared" si="132"/>
        <v>130.14280577990431</v>
      </c>
      <c r="O777" s="179"/>
      <c r="P777" s="180">
        <v>2</v>
      </c>
      <c r="Q777" s="173" t="s">
        <v>583</v>
      </c>
      <c r="R777" s="173" t="s">
        <v>230</v>
      </c>
      <c r="S777" s="174">
        <v>44818</v>
      </c>
      <c r="T777" s="173" t="s">
        <v>33</v>
      </c>
      <c r="U777" s="182">
        <v>153.26</v>
      </c>
      <c r="V777" s="177">
        <f>IF(U777=0,0,IF(T777="MXN",1/HLOOKUP(YEAR(S777)+(MONTH(S777)/100),TC!$5:$37,DAY(S777)+2,FALSE),VLOOKUP(T777,Equivalencia!$1:$23,((MAX(Equivalencia!$3:$3)-YEAR(S777))*14)+MONTH(S777)+2,FALSE)))</f>
        <v>1</v>
      </c>
      <c r="W777" s="178">
        <f t="shared" si="129"/>
        <v>153.26</v>
      </c>
      <c r="X777" s="481">
        <f t="shared" si="125"/>
        <v>30.703444976076554</v>
      </c>
      <c r="Y777" s="179"/>
      <c r="Z777" s="466">
        <f t="shared" si="126"/>
        <v>130.14280577990431</v>
      </c>
      <c r="AA777" s="473">
        <f t="shared" si="127"/>
        <v>23.117194220095683</v>
      </c>
      <c r="AB777" s="339">
        <f t="shared" si="128"/>
        <v>0.25052470649230596</v>
      </c>
    </row>
    <row r="778" spans="2:28" ht="20.100000000000001" customHeight="1">
      <c r="B778" s="172">
        <v>1175000</v>
      </c>
      <c r="C778" s="174">
        <v>43799</v>
      </c>
      <c r="D778" s="181" t="s">
        <v>155</v>
      </c>
      <c r="E778" s="173" t="s">
        <v>33</v>
      </c>
      <c r="F778" s="176">
        <v>200.97648745519714</v>
      </c>
      <c r="G778" s="175">
        <f t="shared" si="130"/>
        <v>2</v>
      </c>
      <c r="H778" s="175">
        <f t="shared" si="123"/>
        <v>200.97648745519714</v>
      </c>
      <c r="I778" s="177">
        <f>IF(G778=0,0,IF(E778="MXN",1/HLOOKUP(YEAR(C778)+(MONTH(C778)/100),TC!$5:$37,DAY(C778)+2,FALSE),VLOOKUP(E778,Equivalencia!$5:$23,((MAX(Equivalencia!$3:$3)-YEAR(C778))*14)+MONTH(C778)+2,FALSE)))</f>
        <v>1</v>
      </c>
      <c r="J778" s="178">
        <f t="shared" si="131"/>
        <v>200.97648745519714</v>
      </c>
      <c r="K778" s="462">
        <f>IF(C778=0,0,VLOOKUP(YEAR(C778),INPC!$B$4:$O$29,MONTH(C778)+1))</f>
        <v>105.346</v>
      </c>
      <c r="L778" s="462">
        <f>IF(S778=0,0,VLOOKUP(YEAR(S778),INPC!$B$4:$O$29,MONTH(S778)+1))</f>
        <v>124.571</v>
      </c>
      <c r="M778" s="463">
        <f t="shared" si="124"/>
        <v>1.1823999999999999</v>
      </c>
      <c r="N778" s="465">
        <f t="shared" si="132"/>
        <v>237.6345987670251</v>
      </c>
      <c r="O778" s="179"/>
      <c r="P778" s="180">
        <v>2</v>
      </c>
      <c r="Q778" s="173" t="s">
        <v>583</v>
      </c>
      <c r="R778" s="173" t="s">
        <v>230</v>
      </c>
      <c r="S778" s="174">
        <v>44818</v>
      </c>
      <c r="T778" s="173" t="s">
        <v>33</v>
      </c>
      <c r="U778" s="182">
        <v>399.67</v>
      </c>
      <c r="V778" s="177">
        <f>IF(U778=0,0,IF(T778="MXN",1/HLOOKUP(YEAR(S778)+(MONTH(S778)/100),TC!$5:$37,DAY(S778)+2,FALSE),VLOOKUP(T778,Equivalencia!$1:$23,((MAX(Equivalencia!$3:$3)-YEAR(S778))*14)+MONTH(S778)+2,FALSE)))</f>
        <v>1</v>
      </c>
      <c r="W778" s="178">
        <f t="shared" si="129"/>
        <v>399.67</v>
      </c>
      <c r="X778" s="481">
        <f t="shared" si="125"/>
        <v>198.69351254480287</v>
      </c>
      <c r="Y778" s="179"/>
      <c r="Z778" s="466">
        <f t="shared" si="126"/>
        <v>237.6345987670251</v>
      </c>
      <c r="AA778" s="473">
        <f t="shared" si="127"/>
        <v>162.03540123297492</v>
      </c>
      <c r="AB778" s="339">
        <f t="shared" si="128"/>
        <v>0.98864058706915547</v>
      </c>
    </row>
    <row r="779" spans="2:28" ht="20.100000000000001" customHeight="1">
      <c r="B779" s="172">
        <v>1175000</v>
      </c>
      <c r="C779" s="174">
        <v>43799</v>
      </c>
      <c r="D779" s="181" t="s">
        <v>155</v>
      </c>
      <c r="E779" s="173" t="s">
        <v>33</v>
      </c>
      <c r="F779" s="176">
        <v>502.44121863799285</v>
      </c>
      <c r="G779" s="175">
        <f t="shared" si="130"/>
        <v>5</v>
      </c>
      <c r="H779" s="175">
        <f t="shared" si="123"/>
        <v>502.44121863799285</v>
      </c>
      <c r="I779" s="177">
        <f>IF(G779=0,0,IF(E779="MXN",1/HLOOKUP(YEAR(C779)+(MONTH(C779)/100),TC!$5:$37,DAY(C779)+2,FALSE),VLOOKUP(E779,Equivalencia!$5:$23,((MAX(Equivalencia!$3:$3)-YEAR(C779))*14)+MONTH(C779)+2,FALSE)))</f>
        <v>1</v>
      </c>
      <c r="J779" s="178">
        <f t="shared" si="131"/>
        <v>502.44121863799285</v>
      </c>
      <c r="K779" s="462">
        <f>IF(C779=0,0,VLOOKUP(YEAR(C779),INPC!$B$4:$O$29,MONTH(C779)+1))</f>
        <v>105.346</v>
      </c>
      <c r="L779" s="462">
        <f>IF(S779=0,0,VLOOKUP(YEAR(S779),INPC!$B$4:$O$29,MONTH(S779)+1))</f>
        <v>124.571</v>
      </c>
      <c r="M779" s="463">
        <f t="shared" si="124"/>
        <v>1.1823999999999999</v>
      </c>
      <c r="N779" s="465">
        <f t="shared" si="132"/>
        <v>594.08649691756273</v>
      </c>
      <c r="O779" s="179"/>
      <c r="P779" s="180">
        <v>5</v>
      </c>
      <c r="Q779" s="173" t="s">
        <v>583</v>
      </c>
      <c r="R779" s="173" t="s">
        <v>230</v>
      </c>
      <c r="S779" s="174">
        <v>44818</v>
      </c>
      <c r="T779" s="173" t="s">
        <v>33</v>
      </c>
      <c r="U779" s="182">
        <v>997.0823529411764</v>
      </c>
      <c r="V779" s="177">
        <f>IF(U779=0,0,IF(T779="MXN",1/HLOOKUP(YEAR(S779)+(MONTH(S779)/100),TC!$5:$37,DAY(S779)+2,FALSE),VLOOKUP(T779,Equivalencia!$1:$23,((MAX(Equivalencia!$3:$3)-YEAR(S779))*14)+MONTH(S779)+2,FALSE)))</f>
        <v>1</v>
      </c>
      <c r="W779" s="178">
        <f t="shared" si="129"/>
        <v>997.0823529411764</v>
      </c>
      <c r="X779" s="481">
        <f t="shared" si="125"/>
        <v>494.64113430318355</v>
      </c>
      <c r="Y779" s="179"/>
      <c r="Z779" s="466">
        <f t="shared" si="126"/>
        <v>594.08649691756273</v>
      </c>
      <c r="AA779" s="473">
        <f t="shared" si="127"/>
        <v>402.99585602361367</v>
      </c>
      <c r="AB779" s="339">
        <f t="shared" si="128"/>
        <v>0.98447562810242051</v>
      </c>
    </row>
    <row r="780" spans="2:28" ht="20.100000000000001" customHeight="1">
      <c r="B780" s="172">
        <v>1175000</v>
      </c>
      <c r="C780" s="174">
        <v>44363</v>
      </c>
      <c r="D780" s="181" t="s">
        <v>155</v>
      </c>
      <c r="E780" s="173" t="s">
        <v>33</v>
      </c>
      <c r="F780" s="176">
        <v>2785.8156521739129</v>
      </c>
      <c r="G780" s="175">
        <f t="shared" si="130"/>
        <v>12</v>
      </c>
      <c r="H780" s="175">
        <f t="shared" si="123"/>
        <v>2785.8156521739129</v>
      </c>
      <c r="I780" s="177">
        <f>IF(G780=0,0,IF(E780="MXN",1/HLOOKUP(YEAR(C780)+(MONTH(C780)/100),TC!$5:$37,DAY(C780)+2,FALSE),VLOOKUP(E780,Equivalencia!$5:$23,((MAX(Equivalencia!$3:$3)-YEAR(C780))*14)+MONTH(C780)+2,FALSE)))</f>
        <v>1</v>
      </c>
      <c r="J780" s="178">
        <f t="shared" si="131"/>
        <v>2785.8156521739129</v>
      </c>
      <c r="K780" s="462">
        <f>IF(C780=0,0,VLOOKUP(YEAR(C780),INPC!$B$4:$O$29,MONTH(C780)+1))</f>
        <v>113.018</v>
      </c>
      <c r="L780" s="462">
        <f>IF(S780=0,0,VLOOKUP(YEAR(S780),INPC!$B$4:$O$29,MONTH(S780)+1))</f>
        <v>124.571</v>
      </c>
      <c r="M780" s="463">
        <f t="shared" si="124"/>
        <v>1.1022000000000001</v>
      </c>
      <c r="N780" s="465">
        <f t="shared" si="132"/>
        <v>3070.5260118260871</v>
      </c>
      <c r="O780" s="179"/>
      <c r="P780" s="180">
        <v>12</v>
      </c>
      <c r="Q780" s="173" t="s">
        <v>583</v>
      </c>
      <c r="R780" s="173" t="s">
        <v>230</v>
      </c>
      <c r="S780" s="174">
        <v>44818</v>
      </c>
      <c r="T780" s="173" t="s">
        <v>33</v>
      </c>
      <c r="U780" s="182">
        <v>2392.9976470588235</v>
      </c>
      <c r="V780" s="177">
        <f>IF(U780=0,0,IF(T780="MXN",1/HLOOKUP(YEAR(S780)+(MONTH(S780)/100),TC!$5:$37,DAY(S780)+2,FALSE),VLOOKUP(T780,Equivalencia!$1:$23,((MAX(Equivalencia!$3:$3)-YEAR(S780))*14)+MONTH(S780)+2,FALSE)))</f>
        <v>1</v>
      </c>
      <c r="W780" s="178">
        <f t="shared" si="129"/>
        <v>2392.9976470588235</v>
      </c>
      <c r="X780" s="481">
        <f t="shared" si="125"/>
        <v>-392.81800511508936</v>
      </c>
      <c r="Y780" s="179"/>
      <c r="Z780" s="466">
        <f t="shared" si="126"/>
        <v>3070.5260118260871</v>
      </c>
      <c r="AA780" s="473">
        <f t="shared" si="127"/>
        <v>-677.52836476726361</v>
      </c>
      <c r="AB780" s="339">
        <f t="shared" si="128"/>
        <v>-0.1410064606423449</v>
      </c>
    </row>
    <row r="781" spans="2:28" ht="20.100000000000001" customHeight="1">
      <c r="B781" s="172">
        <v>1175000</v>
      </c>
      <c r="C781" s="174">
        <v>44497</v>
      </c>
      <c r="D781" s="181" t="s">
        <v>178</v>
      </c>
      <c r="E781" s="173" t="s">
        <v>33</v>
      </c>
      <c r="F781" s="176">
        <v>329.19448275862067</v>
      </c>
      <c r="G781" s="175">
        <f t="shared" si="130"/>
        <v>2</v>
      </c>
      <c r="H781" s="175">
        <f t="shared" si="123"/>
        <v>329.19448275862067</v>
      </c>
      <c r="I781" s="177">
        <f>IF(G781=0,0,IF(E781="MXN",1/HLOOKUP(YEAR(C781)+(MONTH(C781)/100),TC!$5:$37,DAY(C781)+2,FALSE),VLOOKUP(E781,Equivalencia!$5:$23,((MAX(Equivalencia!$3:$3)-YEAR(C781))*14)+MONTH(C781)+2,FALSE)))</f>
        <v>1</v>
      </c>
      <c r="J781" s="178">
        <f t="shared" si="131"/>
        <v>329.19448275862067</v>
      </c>
      <c r="K781" s="462">
        <f>IF(C781=0,0,VLOOKUP(YEAR(C781),INPC!$B$4:$O$29,MONTH(C781)+1))</f>
        <v>115.56100000000001</v>
      </c>
      <c r="L781" s="462">
        <f>IF(S781=0,0,VLOOKUP(YEAR(S781),INPC!$B$4:$O$29,MONTH(S781)+1))</f>
        <v>124.571</v>
      </c>
      <c r="M781" s="463">
        <f t="shared" si="124"/>
        <v>1.0779000000000001</v>
      </c>
      <c r="N781" s="465">
        <f t="shared" si="132"/>
        <v>354.83873296551724</v>
      </c>
      <c r="O781" s="179"/>
      <c r="P781" s="180">
        <v>2</v>
      </c>
      <c r="Q781" s="173" t="s">
        <v>583</v>
      </c>
      <c r="R781" s="173" t="s">
        <v>230</v>
      </c>
      <c r="S781" s="174">
        <v>44826</v>
      </c>
      <c r="T781" s="173" t="s">
        <v>33</v>
      </c>
      <c r="U781" s="182">
        <v>270.23</v>
      </c>
      <c r="V781" s="177">
        <f>IF(U781=0,0,IF(T781="MXN",1/HLOOKUP(YEAR(S781)+(MONTH(S781)/100),TC!$5:$37,DAY(S781)+2,FALSE),VLOOKUP(T781,Equivalencia!$1:$23,((MAX(Equivalencia!$3:$3)-YEAR(S781))*14)+MONTH(S781)+2,FALSE)))</f>
        <v>1</v>
      </c>
      <c r="W781" s="178">
        <f t="shared" si="129"/>
        <v>270.23</v>
      </c>
      <c r="X781" s="481">
        <f t="shared" si="125"/>
        <v>-58.964482758620647</v>
      </c>
      <c r="Y781" s="179"/>
      <c r="Z781" s="466">
        <f t="shared" si="126"/>
        <v>354.83873296551724</v>
      </c>
      <c r="AA781" s="473">
        <f t="shared" si="127"/>
        <v>-84.60873296551722</v>
      </c>
      <c r="AB781" s="339">
        <f t="shared" si="128"/>
        <v>-0.17911746960187025</v>
      </c>
    </row>
    <row r="782" spans="2:28" ht="20.100000000000001" customHeight="1">
      <c r="B782" s="172">
        <v>1175000</v>
      </c>
      <c r="C782" s="174">
        <v>44497</v>
      </c>
      <c r="D782" s="181" t="s">
        <v>178</v>
      </c>
      <c r="E782" s="173" t="s">
        <v>33</v>
      </c>
      <c r="F782" s="176">
        <v>329.19448275862067</v>
      </c>
      <c r="G782" s="175">
        <f t="shared" si="130"/>
        <v>2</v>
      </c>
      <c r="H782" s="175">
        <f t="shared" si="123"/>
        <v>329.19448275862067</v>
      </c>
      <c r="I782" s="177">
        <f>IF(G782=0,0,IF(E782="MXN",1/HLOOKUP(YEAR(C782)+(MONTH(C782)/100),TC!$5:$37,DAY(C782)+2,FALSE),VLOOKUP(E782,Equivalencia!$5:$23,((MAX(Equivalencia!$3:$3)-YEAR(C782))*14)+MONTH(C782)+2,FALSE)))</f>
        <v>1</v>
      </c>
      <c r="J782" s="178">
        <f t="shared" si="131"/>
        <v>329.19448275862067</v>
      </c>
      <c r="K782" s="462">
        <f>IF(C782=0,0,VLOOKUP(YEAR(C782),INPC!$B$4:$O$29,MONTH(C782)+1))</f>
        <v>115.56100000000001</v>
      </c>
      <c r="L782" s="462">
        <f>IF(S782=0,0,VLOOKUP(YEAR(S782),INPC!$B$4:$O$29,MONTH(S782)+1))</f>
        <v>124.571</v>
      </c>
      <c r="M782" s="463">
        <f t="shared" si="124"/>
        <v>1.0779000000000001</v>
      </c>
      <c r="N782" s="465">
        <f t="shared" si="132"/>
        <v>354.83873296551724</v>
      </c>
      <c r="O782" s="179"/>
      <c r="P782" s="180">
        <v>2</v>
      </c>
      <c r="Q782" s="173" t="s">
        <v>583</v>
      </c>
      <c r="R782" s="173" t="s">
        <v>230</v>
      </c>
      <c r="S782" s="174">
        <v>44826</v>
      </c>
      <c r="T782" s="173" t="s">
        <v>33</v>
      </c>
      <c r="U782" s="182">
        <v>270.02999999999997</v>
      </c>
      <c r="V782" s="177">
        <f>IF(U782=0,0,IF(T782="MXN",1/HLOOKUP(YEAR(S782)+(MONTH(S782)/100),TC!$5:$37,DAY(S782)+2,FALSE),VLOOKUP(T782,Equivalencia!$1:$23,((MAX(Equivalencia!$3:$3)-YEAR(S782))*14)+MONTH(S782)+2,FALSE)))</f>
        <v>1</v>
      </c>
      <c r="W782" s="178">
        <f t="shared" si="129"/>
        <v>270.02999999999997</v>
      </c>
      <c r="X782" s="481">
        <f t="shared" si="125"/>
        <v>-59.164482758620693</v>
      </c>
      <c r="Y782" s="179"/>
      <c r="Z782" s="466">
        <f t="shared" si="126"/>
        <v>354.83873296551724</v>
      </c>
      <c r="AA782" s="473">
        <f t="shared" si="127"/>
        <v>-84.808732965517265</v>
      </c>
      <c r="AB782" s="339">
        <f t="shared" si="128"/>
        <v>-0.17972501319836087</v>
      </c>
    </row>
    <row r="783" spans="2:28" ht="20.100000000000001" customHeight="1">
      <c r="B783" s="172">
        <v>1175000</v>
      </c>
      <c r="C783" s="174">
        <v>44497</v>
      </c>
      <c r="D783" s="181" t="s">
        <v>178</v>
      </c>
      <c r="E783" s="173" t="s">
        <v>33</v>
      </c>
      <c r="F783" s="176">
        <v>329.19448275862067</v>
      </c>
      <c r="G783" s="175">
        <f t="shared" si="130"/>
        <v>2</v>
      </c>
      <c r="H783" s="175">
        <f t="shared" si="123"/>
        <v>329.19448275862067</v>
      </c>
      <c r="I783" s="177">
        <f>IF(G783=0,0,IF(E783="MXN",1/HLOOKUP(YEAR(C783)+(MONTH(C783)/100),TC!$5:$37,DAY(C783)+2,FALSE),VLOOKUP(E783,Equivalencia!$5:$23,((MAX(Equivalencia!$3:$3)-YEAR(C783))*14)+MONTH(C783)+2,FALSE)))</f>
        <v>1</v>
      </c>
      <c r="J783" s="178">
        <f t="shared" si="131"/>
        <v>329.19448275862067</v>
      </c>
      <c r="K783" s="462">
        <f>IF(C783=0,0,VLOOKUP(YEAR(C783),INPC!$B$4:$O$29,MONTH(C783)+1))</f>
        <v>115.56100000000001</v>
      </c>
      <c r="L783" s="462">
        <f>IF(S783=0,0,VLOOKUP(YEAR(S783),INPC!$B$4:$O$29,MONTH(S783)+1))</f>
        <v>124.571</v>
      </c>
      <c r="M783" s="463">
        <f t="shared" si="124"/>
        <v>1.0779000000000001</v>
      </c>
      <c r="N783" s="465">
        <f t="shared" si="132"/>
        <v>354.83873296551724</v>
      </c>
      <c r="O783" s="179"/>
      <c r="P783" s="180">
        <v>2</v>
      </c>
      <c r="Q783" s="173" t="s">
        <v>583</v>
      </c>
      <c r="R783" s="173" t="s">
        <v>230</v>
      </c>
      <c r="S783" s="174">
        <v>44826</v>
      </c>
      <c r="T783" s="173" t="s">
        <v>33</v>
      </c>
      <c r="U783" s="182">
        <v>270.55</v>
      </c>
      <c r="V783" s="177">
        <f>IF(U783=0,0,IF(T783="MXN",1/HLOOKUP(YEAR(S783)+(MONTH(S783)/100),TC!$5:$37,DAY(S783)+2,FALSE),VLOOKUP(T783,Equivalencia!$1:$23,((MAX(Equivalencia!$3:$3)-YEAR(S783))*14)+MONTH(S783)+2,FALSE)))</f>
        <v>1</v>
      </c>
      <c r="W783" s="178">
        <f t="shared" si="129"/>
        <v>270.55</v>
      </c>
      <c r="X783" s="481">
        <f t="shared" si="125"/>
        <v>-58.644482758620654</v>
      </c>
      <c r="Y783" s="179"/>
      <c r="Z783" s="466">
        <f t="shared" si="126"/>
        <v>354.83873296551724</v>
      </c>
      <c r="AA783" s="473">
        <f t="shared" si="127"/>
        <v>-84.288732965517227</v>
      </c>
      <c r="AB783" s="339">
        <f t="shared" si="128"/>
        <v>-0.17814539984748556</v>
      </c>
    </row>
    <row r="784" spans="2:28" ht="20.100000000000001" customHeight="1">
      <c r="B784" s="172">
        <v>1175000</v>
      </c>
      <c r="C784" s="174">
        <v>44497</v>
      </c>
      <c r="D784" s="181" t="s">
        <v>178</v>
      </c>
      <c r="E784" s="173" t="s">
        <v>33</v>
      </c>
      <c r="F784" s="176">
        <v>2304.3613793103445</v>
      </c>
      <c r="G784" s="175">
        <f t="shared" si="130"/>
        <v>14</v>
      </c>
      <c r="H784" s="175">
        <f t="shared" si="123"/>
        <v>2304.3613793103445</v>
      </c>
      <c r="I784" s="177">
        <f>IF(G784=0,0,IF(E784="MXN",1/HLOOKUP(YEAR(C784)+(MONTH(C784)/100),TC!$5:$37,DAY(C784)+2,FALSE),VLOOKUP(E784,Equivalencia!$5:$23,((MAX(Equivalencia!$3:$3)-YEAR(C784))*14)+MONTH(C784)+2,FALSE)))</f>
        <v>1</v>
      </c>
      <c r="J784" s="178">
        <f t="shared" si="131"/>
        <v>2304.3613793103445</v>
      </c>
      <c r="K784" s="462">
        <f>IF(C784=0,0,VLOOKUP(YEAR(C784),INPC!$B$4:$O$29,MONTH(C784)+1))</f>
        <v>115.56100000000001</v>
      </c>
      <c r="L784" s="462">
        <f>IF(S784=0,0,VLOOKUP(YEAR(S784),INPC!$B$4:$O$29,MONTH(S784)+1))</f>
        <v>124.571</v>
      </c>
      <c r="M784" s="463">
        <f t="shared" si="124"/>
        <v>1.0779000000000001</v>
      </c>
      <c r="N784" s="465">
        <f t="shared" si="132"/>
        <v>2483.8711307586204</v>
      </c>
      <c r="O784" s="179"/>
      <c r="P784" s="180">
        <v>14</v>
      </c>
      <c r="Q784" s="173" t="s">
        <v>583</v>
      </c>
      <c r="R784" s="173" t="s">
        <v>230</v>
      </c>
      <c r="S784" s="174">
        <v>44827</v>
      </c>
      <c r="T784" s="173" t="s">
        <v>33</v>
      </c>
      <c r="U784" s="182">
        <v>1892.7431250000002</v>
      </c>
      <c r="V784" s="177">
        <f>IF(U784=0,0,IF(T784="MXN",1/HLOOKUP(YEAR(S784)+(MONTH(S784)/100),TC!$5:$37,DAY(S784)+2,FALSE),VLOOKUP(T784,Equivalencia!$1:$23,((MAX(Equivalencia!$3:$3)-YEAR(S784))*14)+MONTH(S784)+2,FALSE)))</f>
        <v>1</v>
      </c>
      <c r="W784" s="178">
        <f t="shared" si="129"/>
        <v>1892.7431250000002</v>
      </c>
      <c r="X784" s="481">
        <f t="shared" si="125"/>
        <v>-411.61825431034435</v>
      </c>
      <c r="Y784" s="179"/>
      <c r="Z784" s="466">
        <f t="shared" si="126"/>
        <v>2483.8711307586204</v>
      </c>
      <c r="AA784" s="473">
        <f t="shared" si="127"/>
        <v>-591.12800575862025</v>
      </c>
      <c r="AB784" s="339">
        <f t="shared" si="128"/>
        <v>-0.17862573900346068</v>
      </c>
    </row>
    <row r="785" spans="2:28" ht="20.100000000000001" customHeight="1">
      <c r="B785" s="172">
        <v>1175000</v>
      </c>
      <c r="C785" s="174">
        <v>44498</v>
      </c>
      <c r="D785" s="181" t="s">
        <v>178</v>
      </c>
      <c r="E785" s="173" t="s">
        <v>33</v>
      </c>
      <c r="F785" s="176">
        <v>661.05</v>
      </c>
      <c r="G785" s="175">
        <f t="shared" si="130"/>
        <v>4</v>
      </c>
      <c r="H785" s="175">
        <f t="shared" si="123"/>
        <v>661.05</v>
      </c>
      <c r="I785" s="177">
        <f>IF(G785=0,0,IF(E785="MXN",1/HLOOKUP(YEAR(C785)+(MONTH(C785)/100),TC!$5:$37,DAY(C785)+2,FALSE),VLOOKUP(E785,Equivalencia!$5:$23,((MAX(Equivalencia!$3:$3)-YEAR(C785))*14)+MONTH(C785)+2,FALSE)))</f>
        <v>1</v>
      </c>
      <c r="J785" s="178">
        <f t="shared" si="131"/>
        <v>661.05</v>
      </c>
      <c r="K785" s="462">
        <f>IF(C785=0,0,VLOOKUP(YEAR(C785),INPC!$B$4:$O$29,MONTH(C785)+1))</f>
        <v>115.56100000000001</v>
      </c>
      <c r="L785" s="462">
        <f>IF(S785=0,0,VLOOKUP(YEAR(S785),INPC!$B$4:$O$29,MONTH(S785)+1))</f>
        <v>124.571</v>
      </c>
      <c r="M785" s="463">
        <f t="shared" si="124"/>
        <v>1.0779000000000001</v>
      </c>
      <c r="N785" s="465">
        <f t="shared" si="132"/>
        <v>712.545795</v>
      </c>
      <c r="O785" s="179"/>
      <c r="P785" s="180">
        <v>4</v>
      </c>
      <c r="Q785" s="173" t="s">
        <v>583</v>
      </c>
      <c r="R785" s="173" t="s">
        <v>230</v>
      </c>
      <c r="S785" s="174">
        <v>44827</v>
      </c>
      <c r="T785" s="173" t="s">
        <v>33</v>
      </c>
      <c r="U785" s="182">
        <v>540.78375000000005</v>
      </c>
      <c r="V785" s="177">
        <f>IF(U785=0,0,IF(T785="MXN",1/HLOOKUP(YEAR(S785)+(MONTH(S785)/100),TC!$5:$37,DAY(S785)+2,FALSE),VLOOKUP(T785,Equivalencia!$1:$23,((MAX(Equivalencia!$3:$3)-YEAR(S785))*14)+MONTH(S785)+2,FALSE)))</f>
        <v>1</v>
      </c>
      <c r="W785" s="178">
        <f t="shared" si="129"/>
        <v>540.78375000000005</v>
      </c>
      <c r="X785" s="481">
        <f t="shared" si="125"/>
        <v>-120.2662499999999</v>
      </c>
      <c r="Y785" s="179"/>
      <c r="Z785" s="466">
        <f t="shared" si="126"/>
        <v>712.545795</v>
      </c>
      <c r="AA785" s="473">
        <f t="shared" si="127"/>
        <v>-171.76204499999994</v>
      </c>
      <c r="AB785" s="339">
        <f t="shared" si="128"/>
        <v>-0.18193215339233026</v>
      </c>
    </row>
    <row r="786" spans="2:28" ht="20.100000000000001" customHeight="1">
      <c r="B786" s="172">
        <v>1175000</v>
      </c>
      <c r="C786" s="174">
        <v>44509</v>
      </c>
      <c r="D786" s="181" t="s">
        <v>178</v>
      </c>
      <c r="E786" s="173" t="s">
        <v>33</v>
      </c>
      <c r="F786" s="176">
        <v>2441.8939999999998</v>
      </c>
      <c r="G786" s="175">
        <f t="shared" si="130"/>
        <v>14</v>
      </c>
      <c r="H786" s="175">
        <f t="shared" si="123"/>
        <v>2441.8939999999998</v>
      </c>
      <c r="I786" s="177">
        <f>IF(G786=0,0,IF(E786="MXN",1/HLOOKUP(YEAR(C786)+(MONTH(C786)/100),TC!$5:$37,DAY(C786)+2,FALSE),VLOOKUP(E786,Equivalencia!$5:$23,((MAX(Equivalencia!$3:$3)-YEAR(C786))*14)+MONTH(C786)+2,FALSE)))</f>
        <v>1</v>
      </c>
      <c r="J786" s="178">
        <f t="shared" si="131"/>
        <v>2441.8939999999998</v>
      </c>
      <c r="K786" s="462">
        <f>IF(C786=0,0,VLOOKUP(YEAR(C786),INPC!$B$4:$O$29,MONTH(C786)+1))</f>
        <v>116.884</v>
      </c>
      <c r="L786" s="462">
        <f>IF(S786=0,0,VLOOKUP(YEAR(S786),INPC!$B$4:$O$29,MONTH(S786)+1))</f>
        <v>124.571</v>
      </c>
      <c r="M786" s="463">
        <f t="shared" si="124"/>
        <v>1.0657000000000001</v>
      </c>
      <c r="N786" s="465">
        <f t="shared" si="132"/>
        <v>2602.3264358000001</v>
      </c>
      <c r="O786" s="179"/>
      <c r="P786" s="180">
        <v>14</v>
      </c>
      <c r="Q786" s="173" t="s">
        <v>583</v>
      </c>
      <c r="R786" s="173" t="s">
        <v>230</v>
      </c>
      <c r="S786" s="174">
        <v>44827</v>
      </c>
      <c r="T786" s="173" t="s">
        <v>33</v>
      </c>
      <c r="U786" s="182">
        <v>1892.7431250000002</v>
      </c>
      <c r="V786" s="177">
        <f>IF(U786=0,0,IF(T786="MXN",1/HLOOKUP(YEAR(S786)+(MONTH(S786)/100),TC!$5:$37,DAY(S786)+2,FALSE),VLOOKUP(T786,Equivalencia!$1:$23,((MAX(Equivalencia!$3:$3)-YEAR(S786))*14)+MONTH(S786)+2,FALSE)))</f>
        <v>1</v>
      </c>
      <c r="W786" s="178">
        <f t="shared" si="129"/>
        <v>1892.7431250000002</v>
      </c>
      <c r="X786" s="481">
        <f t="shared" si="125"/>
        <v>-549.15087499999959</v>
      </c>
      <c r="Y786" s="179"/>
      <c r="Z786" s="466">
        <f t="shared" si="126"/>
        <v>2602.3264358000001</v>
      </c>
      <c r="AA786" s="473">
        <f t="shared" si="127"/>
        <v>-709.58331079999994</v>
      </c>
      <c r="AB786" s="339">
        <f t="shared" si="128"/>
        <v>-0.22488726988149343</v>
      </c>
    </row>
    <row r="787" spans="2:28" ht="20.100000000000001" customHeight="1">
      <c r="B787" s="172">
        <v>1175000</v>
      </c>
      <c r="C787" s="174">
        <v>44509</v>
      </c>
      <c r="D787" s="181" t="s">
        <v>178</v>
      </c>
      <c r="E787" s="173" t="s">
        <v>33</v>
      </c>
      <c r="F787" s="176">
        <v>1046.5259999999998</v>
      </c>
      <c r="G787" s="175">
        <f t="shared" si="130"/>
        <v>6</v>
      </c>
      <c r="H787" s="175">
        <f t="shared" si="123"/>
        <v>1046.5259999999998</v>
      </c>
      <c r="I787" s="177">
        <f>IF(G787=0,0,IF(E787="MXN",1/HLOOKUP(YEAR(C787)+(MONTH(C787)/100),TC!$5:$37,DAY(C787)+2,FALSE),VLOOKUP(E787,Equivalencia!$5:$23,((MAX(Equivalencia!$3:$3)-YEAR(C787))*14)+MONTH(C787)+2,FALSE)))</f>
        <v>1</v>
      </c>
      <c r="J787" s="178">
        <f t="shared" si="131"/>
        <v>1046.5259999999998</v>
      </c>
      <c r="K787" s="462">
        <f>IF(C787=0,0,VLOOKUP(YEAR(C787),INPC!$B$4:$O$29,MONTH(C787)+1))</f>
        <v>116.884</v>
      </c>
      <c r="L787" s="462">
        <f>IF(S787=0,0,VLOOKUP(YEAR(S787),INPC!$B$4:$O$29,MONTH(S787)+1))</f>
        <v>124.571</v>
      </c>
      <c r="M787" s="463">
        <f t="shared" si="124"/>
        <v>1.0657000000000001</v>
      </c>
      <c r="N787" s="465">
        <f t="shared" si="132"/>
        <v>1115.2827582</v>
      </c>
      <c r="O787" s="179"/>
      <c r="P787" s="180">
        <v>6</v>
      </c>
      <c r="Q787" s="173" t="s">
        <v>583</v>
      </c>
      <c r="R787" s="173" t="s">
        <v>230</v>
      </c>
      <c r="S787" s="174">
        <v>44831</v>
      </c>
      <c r="T787" s="173" t="s">
        <v>33</v>
      </c>
      <c r="U787" s="182">
        <v>786.2045454545455</v>
      </c>
      <c r="V787" s="177">
        <f>IF(U787=0,0,IF(T787="MXN",1/HLOOKUP(YEAR(S787)+(MONTH(S787)/100),TC!$5:$37,DAY(S787)+2,FALSE),VLOOKUP(T787,Equivalencia!$1:$23,((MAX(Equivalencia!$3:$3)-YEAR(S787))*14)+MONTH(S787)+2,FALSE)))</f>
        <v>1</v>
      </c>
      <c r="W787" s="178">
        <f t="shared" si="129"/>
        <v>786.2045454545455</v>
      </c>
      <c r="X787" s="481">
        <f t="shared" si="125"/>
        <v>-260.32145454545434</v>
      </c>
      <c r="Y787" s="179"/>
      <c r="Z787" s="466">
        <f t="shared" si="126"/>
        <v>1115.2827582</v>
      </c>
      <c r="AA787" s="473">
        <f t="shared" si="127"/>
        <v>-329.07821274545449</v>
      </c>
      <c r="AB787" s="339">
        <f t="shared" si="128"/>
        <v>-0.24874819597932052</v>
      </c>
    </row>
    <row r="788" spans="2:28" ht="20.100000000000001" customHeight="1">
      <c r="B788" s="172">
        <v>1175000</v>
      </c>
      <c r="C788" s="174">
        <v>44509</v>
      </c>
      <c r="D788" s="181" t="s">
        <v>178</v>
      </c>
      <c r="E788" s="173" t="s">
        <v>33</v>
      </c>
      <c r="F788" s="176">
        <v>697.9</v>
      </c>
      <c r="G788" s="175">
        <f t="shared" si="130"/>
        <v>4</v>
      </c>
      <c r="H788" s="175">
        <f t="shared" si="123"/>
        <v>697.9</v>
      </c>
      <c r="I788" s="177">
        <f>IF(G788=0,0,IF(E788="MXN",1/HLOOKUP(YEAR(C788)+(MONTH(C788)/100),TC!$5:$37,DAY(C788)+2,FALSE),VLOOKUP(E788,Equivalencia!$5:$23,((MAX(Equivalencia!$3:$3)-YEAR(C788))*14)+MONTH(C788)+2,FALSE)))</f>
        <v>1</v>
      </c>
      <c r="J788" s="178">
        <f t="shared" si="131"/>
        <v>697.9</v>
      </c>
      <c r="K788" s="462">
        <f>IF(C788=0,0,VLOOKUP(YEAR(C788),INPC!$B$4:$O$29,MONTH(C788)+1))</f>
        <v>116.884</v>
      </c>
      <c r="L788" s="462">
        <f>IF(S788=0,0,VLOOKUP(YEAR(S788),INPC!$B$4:$O$29,MONTH(S788)+1))</f>
        <v>124.571</v>
      </c>
      <c r="M788" s="463">
        <f t="shared" si="124"/>
        <v>1.0657000000000001</v>
      </c>
      <c r="N788" s="465">
        <f t="shared" si="132"/>
        <v>743.75202999999999</v>
      </c>
      <c r="O788" s="179"/>
      <c r="P788" s="180">
        <v>4</v>
      </c>
      <c r="Q788" s="173" t="s">
        <v>583</v>
      </c>
      <c r="R788" s="173" t="s">
        <v>230</v>
      </c>
      <c r="S788" s="174">
        <v>44831</v>
      </c>
      <c r="T788" s="173" t="s">
        <v>33</v>
      </c>
      <c r="U788" s="182">
        <v>524.13636363636363</v>
      </c>
      <c r="V788" s="177">
        <f>IF(U788=0,0,IF(T788="MXN",1/HLOOKUP(YEAR(S788)+(MONTH(S788)/100),TC!$5:$37,DAY(S788)+2,FALSE),VLOOKUP(T788,Equivalencia!$1:$23,((MAX(Equivalencia!$3:$3)-YEAR(S788))*14)+MONTH(S788)+2,FALSE)))</f>
        <v>1</v>
      </c>
      <c r="W788" s="178">
        <f t="shared" si="129"/>
        <v>524.13636363636363</v>
      </c>
      <c r="X788" s="481">
        <f t="shared" si="125"/>
        <v>-173.76363636363635</v>
      </c>
      <c r="Y788" s="179"/>
      <c r="Z788" s="466">
        <f t="shared" si="126"/>
        <v>743.75202999999999</v>
      </c>
      <c r="AA788" s="473">
        <f t="shared" si="127"/>
        <v>-219.61566636363636</v>
      </c>
      <c r="AB788" s="339">
        <f t="shared" si="128"/>
        <v>-0.24898070835884278</v>
      </c>
    </row>
    <row r="789" spans="2:28" ht="20.100000000000001" customHeight="1">
      <c r="B789" s="172">
        <v>1175000</v>
      </c>
      <c r="C789" s="174">
        <v>44509</v>
      </c>
      <c r="D789" s="181" t="s">
        <v>178</v>
      </c>
      <c r="E789" s="173" t="s">
        <v>33</v>
      </c>
      <c r="F789" s="176">
        <v>697.03</v>
      </c>
      <c r="G789" s="175">
        <f t="shared" si="130"/>
        <v>4</v>
      </c>
      <c r="H789" s="175">
        <f t="shared" si="123"/>
        <v>697.03</v>
      </c>
      <c r="I789" s="177">
        <f>IF(G789=0,0,IF(E789="MXN",1/HLOOKUP(YEAR(C789)+(MONTH(C789)/100),TC!$5:$37,DAY(C789)+2,FALSE),VLOOKUP(E789,Equivalencia!$5:$23,((MAX(Equivalencia!$3:$3)-YEAR(C789))*14)+MONTH(C789)+2,FALSE)))</f>
        <v>1</v>
      </c>
      <c r="J789" s="178">
        <f t="shared" si="131"/>
        <v>697.03</v>
      </c>
      <c r="K789" s="462">
        <f>IF(C789=0,0,VLOOKUP(YEAR(C789),INPC!$B$4:$O$29,MONTH(C789)+1))</f>
        <v>116.884</v>
      </c>
      <c r="L789" s="462">
        <f>IF(S789=0,0,VLOOKUP(YEAR(S789),INPC!$B$4:$O$29,MONTH(S789)+1))</f>
        <v>124.571</v>
      </c>
      <c r="M789" s="463">
        <f t="shared" si="124"/>
        <v>1.0657000000000001</v>
      </c>
      <c r="N789" s="465">
        <f t="shared" si="132"/>
        <v>742.82487100000003</v>
      </c>
      <c r="O789" s="179"/>
      <c r="P789" s="180">
        <v>4</v>
      </c>
      <c r="Q789" s="173" t="s">
        <v>583</v>
      </c>
      <c r="R789" s="173" t="s">
        <v>230</v>
      </c>
      <c r="S789" s="174">
        <v>44831</v>
      </c>
      <c r="T789" s="173" t="s">
        <v>33</v>
      </c>
      <c r="U789" s="182">
        <v>524.13636363636363</v>
      </c>
      <c r="V789" s="177">
        <f>IF(U789=0,0,IF(T789="MXN",1/HLOOKUP(YEAR(S789)+(MONTH(S789)/100),TC!$5:$37,DAY(S789)+2,FALSE),VLOOKUP(T789,Equivalencia!$1:$23,((MAX(Equivalencia!$3:$3)-YEAR(S789))*14)+MONTH(S789)+2,FALSE)))</f>
        <v>1</v>
      </c>
      <c r="W789" s="178">
        <f t="shared" si="129"/>
        <v>524.13636363636363</v>
      </c>
      <c r="X789" s="481">
        <f t="shared" si="125"/>
        <v>-172.89363636363635</v>
      </c>
      <c r="Y789" s="179"/>
      <c r="Z789" s="466">
        <f t="shared" si="126"/>
        <v>742.82487100000003</v>
      </c>
      <c r="AA789" s="473">
        <f t="shared" si="127"/>
        <v>-218.6885073636364</v>
      </c>
      <c r="AB789" s="339">
        <f t="shared" si="128"/>
        <v>-0.24804332146914243</v>
      </c>
    </row>
    <row r="790" spans="2:28" ht="20.100000000000001" customHeight="1">
      <c r="B790" s="172">
        <v>1175000</v>
      </c>
      <c r="C790" s="174">
        <v>44536</v>
      </c>
      <c r="D790" s="181" t="s">
        <v>178</v>
      </c>
      <c r="E790" s="173" t="s">
        <v>33</v>
      </c>
      <c r="F790" s="176">
        <v>167.5</v>
      </c>
      <c r="G790" s="175">
        <f t="shared" si="130"/>
        <v>1</v>
      </c>
      <c r="H790" s="175">
        <f t="shared" si="123"/>
        <v>167.5</v>
      </c>
      <c r="I790" s="177">
        <f>IF(G790=0,0,IF(E790="MXN",1/HLOOKUP(YEAR(C790)+(MONTH(C790)/100),TC!$5:$37,DAY(C790)+2,FALSE),VLOOKUP(E790,Equivalencia!$5:$23,((MAX(Equivalencia!$3:$3)-YEAR(C790))*14)+MONTH(C790)+2,FALSE)))</f>
        <v>1</v>
      </c>
      <c r="J790" s="178">
        <f t="shared" si="131"/>
        <v>167.5</v>
      </c>
      <c r="K790" s="462">
        <f>IF(C790=0,0,VLOOKUP(YEAR(C790),INPC!$B$4:$O$29,MONTH(C790)+1))</f>
        <v>117.30800000000001</v>
      </c>
      <c r="L790" s="462">
        <f>IF(S790=0,0,VLOOKUP(YEAR(S790),INPC!$B$4:$O$29,MONTH(S790)+1))</f>
        <v>124.571</v>
      </c>
      <c r="M790" s="463">
        <f t="shared" si="124"/>
        <v>1.0619000000000001</v>
      </c>
      <c r="N790" s="465">
        <f t="shared" si="132"/>
        <v>177.86825000000002</v>
      </c>
      <c r="O790" s="179"/>
      <c r="P790" s="180">
        <v>1</v>
      </c>
      <c r="Q790" s="173" t="s">
        <v>583</v>
      </c>
      <c r="R790" s="173" t="s">
        <v>230</v>
      </c>
      <c r="S790" s="174">
        <v>44831</v>
      </c>
      <c r="T790" s="173" t="s">
        <v>33</v>
      </c>
      <c r="U790" s="182">
        <v>131.03409090909091</v>
      </c>
      <c r="V790" s="177">
        <f>IF(U790=0,0,IF(T790="MXN",1/HLOOKUP(YEAR(S790)+(MONTH(S790)/100),TC!$5:$37,DAY(S790)+2,FALSE),VLOOKUP(T790,Equivalencia!$1:$23,((MAX(Equivalencia!$3:$3)-YEAR(S790))*14)+MONTH(S790)+2,FALSE)))</f>
        <v>1</v>
      </c>
      <c r="W790" s="178">
        <f t="shared" si="129"/>
        <v>131.03409090909091</v>
      </c>
      <c r="X790" s="481">
        <f t="shared" si="125"/>
        <v>-36.465909090909093</v>
      </c>
      <c r="Y790" s="179"/>
      <c r="Z790" s="466">
        <f t="shared" si="126"/>
        <v>177.86825000000002</v>
      </c>
      <c r="AA790" s="473">
        <f t="shared" si="127"/>
        <v>-46.834159090909111</v>
      </c>
      <c r="AB790" s="339">
        <f t="shared" si="128"/>
        <v>-0.21770691994572589</v>
      </c>
    </row>
    <row r="791" spans="2:28" ht="20.100000000000001" customHeight="1">
      <c r="B791" s="172">
        <v>1175000</v>
      </c>
      <c r="C791" s="174">
        <v>44536</v>
      </c>
      <c r="D791" s="181" t="s">
        <v>178</v>
      </c>
      <c r="E791" s="173" t="s">
        <v>33</v>
      </c>
      <c r="F791" s="176">
        <v>1188.1744736842106</v>
      </c>
      <c r="G791" s="175">
        <f t="shared" si="130"/>
        <v>7</v>
      </c>
      <c r="H791" s="175">
        <f t="shared" si="123"/>
        <v>1188.1744736842106</v>
      </c>
      <c r="I791" s="177">
        <f>IF(G791=0,0,IF(E791="MXN",1/HLOOKUP(YEAR(C791)+(MONTH(C791)/100),TC!$5:$37,DAY(C791)+2,FALSE),VLOOKUP(E791,Equivalencia!$5:$23,((MAX(Equivalencia!$3:$3)-YEAR(C791))*14)+MONTH(C791)+2,FALSE)))</f>
        <v>1</v>
      </c>
      <c r="J791" s="178">
        <f t="shared" si="131"/>
        <v>1188.1744736842106</v>
      </c>
      <c r="K791" s="462">
        <f>IF(C791=0,0,VLOOKUP(YEAR(C791),INPC!$B$4:$O$29,MONTH(C791)+1))</f>
        <v>117.30800000000001</v>
      </c>
      <c r="L791" s="462">
        <f>IF(S791=0,0,VLOOKUP(YEAR(S791),INPC!$B$4:$O$29,MONTH(S791)+1))</f>
        <v>124.571</v>
      </c>
      <c r="M791" s="463">
        <f t="shared" si="124"/>
        <v>1.0619000000000001</v>
      </c>
      <c r="N791" s="465">
        <f t="shared" si="132"/>
        <v>1261.7224736052633</v>
      </c>
      <c r="O791" s="179"/>
      <c r="P791" s="180">
        <v>7</v>
      </c>
      <c r="Q791" s="173" t="s">
        <v>583</v>
      </c>
      <c r="R791" s="173" t="s">
        <v>230</v>
      </c>
      <c r="S791" s="174">
        <v>44831</v>
      </c>
      <c r="T791" s="173" t="s">
        <v>33</v>
      </c>
      <c r="U791" s="182">
        <v>917.23863636363637</v>
      </c>
      <c r="V791" s="177">
        <f>IF(U791=0,0,IF(T791="MXN",1/HLOOKUP(YEAR(S791)+(MONTH(S791)/100),TC!$5:$37,DAY(S791)+2,FALSE),VLOOKUP(T791,Equivalencia!$1:$23,((MAX(Equivalencia!$3:$3)-YEAR(S791))*14)+MONTH(S791)+2,FALSE)))</f>
        <v>1</v>
      </c>
      <c r="W791" s="178">
        <f t="shared" si="129"/>
        <v>917.23863636363637</v>
      </c>
      <c r="X791" s="481">
        <f t="shared" si="125"/>
        <v>-270.93583732057425</v>
      </c>
      <c r="Y791" s="179"/>
      <c r="Z791" s="466">
        <f t="shared" si="126"/>
        <v>1261.7224736052633</v>
      </c>
      <c r="AA791" s="473">
        <f t="shared" si="127"/>
        <v>-344.48383724162693</v>
      </c>
      <c r="AB791" s="339">
        <f t="shared" si="128"/>
        <v>-0.2280269803141578</v>
      </c>
    </row>
    <row r="792" spans="2:28" ht="20.100000000000001" customHeight="1">
      <c r="B792" s="172">
        <v>1175000</v>
      </c>
      <c r="C792" s="174">
        <v>44536</v>
      </c>
      <c r="D792" s="181" t="s">
        <v>178</v>
      </c>
      <c r="E792" s="173" t="s">
        <v>33</v>
      </c>
      <c r="F792" s="176">
        <v>2376.3489473684212</v>
      </c>
      <c r="G792" s="175">
        <f t="shared" si="130"/>
        <v>14</v>
      </c>
      <c r="H792" s="175">
        <f t="shared" si="123"/>
        <v>2376.3489473684212</v>
      </c>
      <c r="I792" s="177">
        <f>IF(G792=0,0,IF(E792="MXN",1/HLOOKUP(YEAR(C792)+(MONTH(C792)/100),TC!$5:$37,DAY(C792)+2,FALSE),VLOOKUP(E792,Equivalencia!$5:$23,((MAX(Equivalencia!$3:$3)-YEAR(C792))*14)+MONTH(C792)+2,FALSE)))</f>
        <v>1</v>
      </c>
      <c r="J792" s="178">
        <f t="shared" si="131"/>
        <v>2376.3489473684212</v>
      </c>
      <c r="K792" s="462">
        <f>IF(C792=0,0,VLOOKUP(YEAR(C792),INPC!$B$4:$O$29,MONTH(C792)+1))</f>
        <v>117.30800000000001</v>
      </c>
      <c r="L792" s="462">
        <f>IF(S792=0,0,VLOOKUP(YEAR(S792),INPC!$B$4:$O$29,MONTH(S792)+1))</f>
        <v>124.571</v>
      </c>
      <c r="M792" s="463">
        <f t="shared" si="124"/>
        <v>1.0619000000000001</v>
      </c>
      <c r="N792" s="465">
        <f t="shared" si="132"/>
        <v>2523.4449472105266</v>
      </c>
      <c r="O792" s="179"/>
      <c r="P792" s="180">
        <v>14</v>
      </c>
      <c r="Q792" s="173" t="s">
        <v>583</v>
      </c>
      <c r="R792" s="173" t="s">
        <v>230</v>
      </c>
      <c r="S792" s="174">
        <v>44831</v>
      </c>
      <c r="T792" s="173" t="s">
        <v>33</v>
      </c>
      <c r="U792" s="182">
        <v>1853.18</v>
      </c>
      <c r="V792" s="177">
        <f>IF(U792=0,0,IF(T792="MXN",1/HLOOKUP(YEAR(S792)+(MONTH(S792)/100),TC!$5:$37,DAY(S792)+2,FALSE),VLOOKUP(T792,Equivalencia!$1:$23,((MAX(Equivalencia!$3:$3)-YEAR(S792))*14)+MONTH(S792)+2,FALSE)))</f>
        <v>1</v>
      </c>
      <c r="W792" s="178">
        <f t="shared" si="129"/>
        <v>1853.18</v>
      </c>
      <c r="X792" s="481">
        <f t="shared" si="125"/>
        <v>-523.16894736842119</v>
      </c>
      <c r="Y792" s="179"/>
      <c r="Z792" s="466">
        <f t="shared" si="126"/>
        <v>2523.4449472105266</v>
      </c>
      <c r="AA792" s="473">
        <f t="shared" si="127"/>
        <v>-670.26494721052654</v>
      </c>
      <c r="AB792" s="339">
        <f t="shared" si="128"/>
        <v>-0.22015661796967179</v>
      </c>
    </row>
    <row r="793" spans="2:28" ht="20.100000000000001" customHeight="1">
      <c r="B793" s="172">
        <v>1175000</v>
      </c>
      <c r="C793" s="174">
        <v>44601</v>
      </c>
      <c r="D793" s="181" t="s">
        <v>180</v>
      </c>
      <c r="E793" s="173" t="s">
        <v>33</v>
      </c>
      <c r="F793" s="176">
        <v>1884.1607999999999</v>
      </c>
      <c r="G793" s="175">
        <f t="shared" si="130"/>
        <v>9</v>
      </c>
      <c r="H793" s="175">
        <f t="shared" si="123"/>
        <v>1884.1607999999999</v>
      </c>
      <c r="I793" s="177">
        <f>IF(G793=0,0,IF(E793="MXN",1/HLOOKUP(YEAR(C793)+(MONTH(C793)/100),TC!$5:$37,DAY(C793)+2,FALSE),VLOOKUP(E793,Equivalencia!$5:$23,((MAX(Equivalencia!$3:$3)-YEAR(C793))*14)+MONTH(C793)+2,FALSE)))</f>
        <v>1</v>
      </c>
      <c r="J793" s="178">
        <f t="shared" si="131"/>
        <v>1884.1607999999999</v>
      </c>
      <c r="K793" s="462">
        <f>IF(C793=0,0,VLOOKUP(YEAR(C793),INPC!$B$4:$O$29,MONTH(C793)+1))</f>
        <v>118.98099999999999</v>
      </c>
      <c r="L793" s="462">
        <f>IF(S793=0,0,VLOOKUP(YEAR(S793),INPC!$B$4:$O$29,MONTH(S793)+1))</f>
        <v>124.571</v>
      </c>
      <c r="M793" s="463">
        <f t="shared" si="124"/>
        <v>1.0468999999999999</v>
      </c>
      <c r="N793" s="465">
        <f t="shared" si="132"/>
        <v>1972.5279415199998</v>
      </c>
      <c r="O793" s="179"/>
      <c r="P793" s="180">
        <v>9</v>
      </c>
      <c r="Q793" s="173" t="s">
        <v>583</v>
      </c>
      <c r="R793" s="173" t="s">
        <v>230</v>
      </c>
      <c r="S793" s="174">
        <v>44826</v>
      </c>
      <c r="T793" s="173" t="s">
        <v>33</v>
      </c>
      <c r="U793" s="182">
        <v>1391.58</v>
      </c>
      <c r="V793" s="177">
        <f>IF(U793=0,0,IF(T793="MXN",1/HLOOKUP(YEAR(S793)+(MONTH(S793)/100),TC!$5:$37,DAY(S793)+2,FALSE),VLOOKUP(T793,Equivalencia!$1:$23,((MAX(Equivalencia!$3:$3)-YEAR(S793))*14)+MONTH(S793)+2,FALSE)))</f>
        <v>1</v>
      </c>
      <c r="W793" s="178">
        <f t="shared" si="129"/>
        <v>1391.58</v>
      </c>
      <c r="X793" s="481">
        <f t="shared" si="125"/>
        <v>-492.58079999999995</v>
      </c>
      <c r="Y793" s="179"/>
      <c r="Z793" s="466">
        <f t="shared" si="126"/>
        <v>1972.5279415199998</v>
      </c>
      <c r="AA793" s="473">
        <f t="shared" si="127"/>
        <v>-580.94794151999986</v>
      </c>
      <c r="AB793" s="339">
        <f t="shared" si="128"/>
        <v>-0.26143246372602591</v>
      </c>
    </row>
    <row r="794" spans="2:28" ht="20.100000000000001" customHeight="1">
      <c r="B794" s="172">
        <v>1175000</v>
      </c>
      <c r="C794" s="174">
        <v>44601</v>
      </c>
      <c r="D794" s="181" t="s">
        <v>180</v>
      </c>
      <c r="E794" s="173" t="s">
        <v>33</v>
      </c>
      <c r="F794" s="176">
        <v>1046.7559999999999</v>
      </c>
      <c r="G794" s="175">
        <f t="shared" si="130"/>
        <v>5</v>
      </c>
      <c r="H794" s="175">
        <f t="shared" si="123"/>
        <v>1046.7559999999999</v>
      </c>
      <c r="I794" s="177">
        <f>IF(G794=0,0,IF(E794="MXN",1/HLOOKUP(YEAR(C794)+(MONTH(C794)/100),TC!$5:$37,DAY(C794)+2,FALSE),VLOOKUP(E794,Equivalencia!$5:$23,((MAX(Equivalencia!$3:$3)-YEAR(C794))*14)+MONTH(C794)+2,FALSE)))</f>
        <v>1</v>
      </c>
      <c r="J794" s="178">
        <f t="shared" si="131"/>
        <v>1046.7559999999999</v>
      </c>
      <c r="K794" s="462">
        <f>IF(C794=0,0,VLOOKUP(YEAR(C794),INPC!$B$4:$O$29,MONTH(C794)+1))</f>
        <v>118.98099999999999</v>
      </c>
      <c r="L794" s="462">
        <f>IF(S794=0,0,VLOOKUP(YEAR(S794),INPC!$B$4:$O$29,MONTH(S794)+1))</f>
        <v>124.571</v>
      </c>
      <c r="M794" s="463">
        <f t="shared" si="124"/>
        <v>1.0468999999999999</v>
      </c>
      <c r="N794" s="465">
        <f t="shared" si="132"/>
        <v>1095.8488563999997</v>
      </c>
      <c r="O794" s="179"/>
      <c r="P794" s="180">
        <v>5</v>
      </c>
      <c r="Q794" s="173" t="s">
        <v>583</v>
      </c>
      <c r="R794" s="173" t="s">
        <v>230</v>
      </c>
      <c r="S794" s="174">
        <v>44826</v>
      </c>
      <c r="T794" s="173" t="s">
        <v>33</v>
      </c>
      <c r="U794" s="182">
        <v>777.00749999999994</v>
      </c>
      <c r="V794" s="177">
        <f>IF(U794=0,0,IF(T794="MXN",1/HLOOKUP(YEAR(S794)+(MONTH(S794)/100),TC!$5:$37,DAY(S794)+2,FALSE),VLOOKUP(T794,Equivalencia!$1:$23,((MAX(Equivalencia!$3:$3)-YEAR(S794))*14)+MONTH(S794)+2,FALSE)))</f>
        <v>1</v>
      </c>
      <c r="W794" s="178">
        <f t="shared" si="129"/>
        <v>777.00749999999994</v>
      </c>
      <c r="X794" s="481">
        <f t="shared" si="125"/>
        <v>-269.74849999999992</v>
      </c>
      <c r="Y794" s="179"/>
      <c r="Z794" s="466">
        <f t="shared" si="126"/>
        <v>1095.8488563999997</v>
      </c>
      <c r="AA794" s="473">
        <f t="shared" si="127"/>
        <v>-318.84135639999977</v>
      </c>
      <c r="AB794" s="339">
        <f t="shared" si="128"/>
        <v>-0.25769950208071413</v>
      </c>
    </row>
    <row r="795" spans="2:28" ht="20.100000000000001" customHeight="1">
      <c r="B795" s="172">
        <v>1175000</v>
      </c>
      <c r="C795" s="174">
        <v>44601</v>
      </c>
      <c r="D795" s="181" t="s">
        <v>180</v>
      </c>
      <c r="E795" s="173" t="s">
        <v>33</v>
      </c>
      <c r="F795" s="176">
        <v>3104.5214285714283</v>
      </c>
      <c r="G795" s="175">
        <f t="shared" si="130"/>
        <v>15</v>
      </c>
      <c r="H795" s="175">
        <f t="shared" si="123"/>
        <v>3104.5214285714283</v>
      </c>
      <c r="I795" s="177">
        <f>IF(G795=0,0,IF(E795="MXN",1/HLOOKUP(YEAR(C795)+(MONTH(C795)/100),TC!$5:$37,DAY(C795)+2,FALSE),VLOOKUP(E795,Equivalencia!$5:$23,((MAX(Equivalencia!$3:$3)-YEAR(C795))*14)+MONTH(C795)+2,FALSE)))</f>
        <v>1</v>
      </c>
      <c r="J795" s="178">
        <f t="shared" si="131"/>
        <v>3104.5214285714283</v>
      </c>
      <c r="K795" s="462">
        <f>IF(C795=0,0,VLOOKUP(YEAR(C795),INPC!$B$4:$O$29,MONTH(C795)+1))</f>
        <v>118.98099999999999</v>
      </c>
      <c r="L795" s="462">
        <f>IF(S795=0,0,VLOOKUP(YEAR(S795),INPC!$B$4:$O$29,MONTH(S795)+1))</f>
        <v>124.571</v>
      </c>
      <c r="M795" s="463">
        <f t="shared" si="124"/>
        <v>1.0468999999999999</v>
      </c>
      <c r="N795" s="465">
        <f t="shared" si="132"/>
        <v>3250.1234835714281</v>
      </c>
      <c r="O795" s="179"/>
      <c r="P795" s="180">
        <v>15</v>
      </c>
      <c r="Q795" s="173" t="s">
        <v>583</v>
      </c>
      <c r="R795" s="173" t="s">
        <v>230</v>
      </c>
      <c r="S795" s="174">
        <v>44826</v>
      </c>
      <c r="T795" s="173" t="s">
        <v>33</v>
      </c>
      <c r="U795" s="182">
        <v>2331.0225</v>
      </c>
      <c r="V795" s="177">
        <f>IF(U795=0,0,IF(T795="MXN",1/HLOOKUP(YEAR(S795)+(MONTH(S795)/100),TC!$5:$37,DAY(S795)+2,FALSE),VLOOKUP(T795,Equivalencia!$1:$23,((MAX(Equivalencia!$3:$3)-YEAR(S795))*14)+MONTH(S795)+2,FALSE)))</f>
        <v>1</v>
      </c>
      <c r="W795" s="178">
        <f t="shared" si="129"/>
        <v>2331.0225</v>
      </c>
      <c r="X795" s="481">
        <f t="shared" si="125"/>
        <v>-773.49892857142822</v>
      </c>
      <c r="Y795" s="179"/>
      <c r="Z795" s="466">
        <f t="shared" si="126"/>
        <v>3250.1234835714281</v>
      </c>
      <c r="AA795" s="473">
        <f t="shared" si="127"/>
        <v>-919.10098357142806</v>
      </c>
      <c r="AB795" s="339">
        <f t="shared" si="128"/>
        <v>-0.24915238833682662</v>
      </c>
    </row>
    <row r="796" spans="2:28" ht="20.100000000000001" customHeight="1">
      <c r="B796" s="172">
        <v>1175000</v>
      </c>
      <c r="C796" s="174">
        <v>44601</v>
      </c>
      <c r="D796" s="181" t="s">
        <v>180</v>
      </c>
      <c r="E796" s="173" t="s">
        <v>33</v>
      </c>
      <c r="F796" s="176">
        <v>1034.8404761904762</v>
      </c>
      <c r="G796" s="175">
        <f t="shared" si="130"/>
        <v>5</v>
      </c>
      <c r="H796" s="175">
        <f t="shared" si="123"/>
        <v>1034.8404761904762</v>
      </c>
      <c r="I796" s="177">
        <f>IF(G796=0,0,IF(E796="MXN",1/HLOOKUP(YEAR(C796)+(MONTH(C796)/100),TC!$5:$37,DAY(C796)+2,FALSE),VLOOKUP(E796,Equivalencia!$5:$23,((MAX(Equivalencia!$3:$3)-YEAR(C796))*14)+MONTH(C796)+2,FALSE)))</f>
        <v>1</v>
      </c>
      <c r="J796" s="178">
        <f t="shared" si="131"/>
        <v>1034.8404761904762</v>
      </c>
      <c r="K796" s="462">
        <f>IF(C796=0,0,VLOOKUP(YEAR(C796),INPC!$B$4:$O$29,MONTH(C796)+1))</f>
        <v>118.98099999999999</v>
      </c>
      <c r="L796" s="462">
        <f>IF(S796=0,0,VLOOKUP(YEAR(S796),INPC!$B$4:$O$29,MONTH(S796)+1))</f>
        <v>124.571</v>
      </c>
      <c r="M796" s="463">
        <f t="shared" si="124"/>
        <v>1.0468999999999999</v>
      </c>
      <c r="N796" s="465">
        <f t="shared" si="132"/>
        <v>1083.3744945238095</v>
      </c>
      <c r="O796" s="179"/>
      <c r="P796" s="180">
        <v>5</v>
      </c>
      <c r="Q796" s="173" t="s">
        <v>583</v>
      </c>
      <c r="R796" s="173" t="s">
        <v>230</v>
      </c>
      <c r="S796" s="174">
        <v>44827</v>
      </c>
      <c r="T796" s="173" t="s">
        <v>33</v>
      </c>
      <c r="U796" s="182">
        <v>773.42</v>
      </c>
      <c r="V796" s="177">
        <f>IF(U796=0,0,IF(T796="MXN",1/HLOOKUP(YEAR(S796)+(MONTH(S796)/100),TC!$5:$37,DAY(S796)+2,FALSE),VLOOKUP(T796,Equivalencia!$1:$23,((MAX(Equivalencia!$3:$3)-YEAR(S796))*14)+MONTH(S796)+2,FALSE)))</f>
        <v>1</v>
      </c>
      <c r="W796" s="178">
        <f t="shared" si="129"/>
        <v>773.42</v>
      </c>
      <c r="X796" s="481">
        <f t="shared" si="125"/>
        <v>-261.42047619047628</v>
      </c>
      <c r="Y796" s="179"/>
      <c r="Z796" s="466">
        <f t="shared" si="126"/>
        <v>1083.3744945238095</v>
      </c>
      <c r="AA796" s="473">
        <f t="shared" si="127"/>
        <v>-309.95449452380956</v>
      </c>
      <c r="AB796" s="339">
        <f t="shared" si="128"/>
        <v>-0.25261910623445538</v>
      </c>
    </row>
    <row r="797" spans="2:28" ht="20.100000000000001" customHeight="1">
      <c r="B797" s="172">
        <v>1175000</v>
      </c>
      <c r="C797" s="174">
        <v>44601</v>
      </c>
      <c r="D797" s="181" t="s">
        <v>180</v>
      </c>
      <c r="E797" s="173" t="s">
        <v>33</v>
      </c>
      <c r="F797" s="176">
        <v>206.96809523809523</v>
      </c>
      <c r="G797" s="175">
        <f t="shared" si="130"/>
        <v>1</v>
      </c>
      <c r="H797" s="175">
        <f t="shared" si="123"/>
        <v>206.96809523809523</v>
      </c>
      <c r="I797" s="177">
        <f>IF(G797=0,0,IF(E797="MXN",1/HLOOKUP(YEAR(C797)+(MONTH(C797)/100),TC!$5:$37,DAY(C797)+2,FALSE),VLOOKUP(E797,Equivalencia!$5:$23,((MAX(Equivalencia!$3:$3)-YEAR(C797))*14)+MONTH(C797)+2,FALSE)))</f>
        <v>1</v>
      </c>
      <c r="J797" s="178">
        <f t="shared" si="131"/>
        <v>206.96809523809523</v>
      </c>
      <c r="K797" s="462">
        <f>IF(C797=0,0,VLOOKUP(YEAR(C797),INPC!$B$4:$O$29,MONTH(C797)+1))</f>
        <v>118.98099999999999</v>
      </c>
      <c r="L797" s="462">
        <f>IF(S797=0,0,VLOOKUP(YEAR(S797),INPC!$B$4:$O$29,MONTH(S797)+1))</f>
        <v>124.571</v>
      </c>
      <c r="M797" s="463">
        <f t="shared" si="124"/>
        <v>1.0468999999999999</v>
      </c>
      <c r="N797" s="465">
        <f t="shared" si="132"/>
        <v>216.67489890476187</v>
      </c>
      <c r="O797" s="179"/>
      <c r="P797" s="180">
        <v>1</v>
      </c>
      <c r="Q797" s="173" t="s">
        <v>583</v>
      </c>
      <c r="R797" s="173" t="s">
        <v>230</v>
      </c>
      <c r="S797" s="174">
        <v>44827</v>
      </c>
      <c r="T797" s="173" t="s">
        <v>33</v>
      </c>
      <c r="U797" s="182">
        <v>155.33666666666667</v>
      </c>
      <c r="V797" s="177">
        <f>IF(U797=0,0,IF(T797="MXN",1/HLOOKUP(YEAR(S797)+(MONTH(S797)/100),TC!$5:$37,DAY(S797)+2,FALSE),VLOOKUP(T797,Equivalencia!$1:$23,((MAX(Equivalencia!$3:$3)-YEAR(S797))*14)+MONTH(S797)+2,FALSE)))</f>
        <v>1</v>
      </c>
      <c r="W797" s="178">
        <f t="shared" si="129"/>
        <v>155.33666666666667</v>
      </c>
      <c r="X797" s="481">
        <f t="shared" si="125"/>
        <v>-51.631428571428557</v>
      </c>
      <c r="Y797" s="179"/>
      <c r="Z797" s="466">
        <f t="shared" si="126"/>
        <v>216.67489890476187</v>
      </c>
      <c r="AA797" s="473">
        <f t="shared" si="127"/>
        <v>-61.338232238095202</v>
      </c>
      <c r="AB797" s="339">
        <f t="shared" si="128"/>
        <v>-0.24946564112711178</v>
      </c>
    </row>
    <row r="798" spans="2:28" ht="20.100000000000001" customHeight="1">
      <c r="B798" s="172">
        <v>1175000</v>
      </c>
      <c r="C798" s="174">
        <v>44602</v>
      </c>
      <c r="D798" s="181" t="s">
        <v>180</v>
      </c>
      <c r="E798" s="173" t="s">
        <v>33</v>
      </c>
      <c r="F798" s="176">
        <v>417.38</v>
      </c>
      <c r="G798" s="175">
        <f t="shared" si="130"/>
        <v>2</v>
      </c>
      <c r="H798" s="175">
        <f t="shared" si="123"/>
        <v>417.38</v>
      </c>
      <c r="I798" s="177">
        <f>IF(G798=0,0,IF(E798="MXN",1/HLOOKUP(YEAR(C798)+(MONTH(C798)/100),TC!$5:$37,DAY(C798)+2,FALSE),VLOOKUP(E798,Equivalencia!$5:$23,((MAX(Equivalencia!$3:$3)-YEAR(C798))*14)+MONTH(C798)+2,FALSE)))</f>
        <v>1</v>
      </c>
      <c r="J798" s="178">
        <f t="shared" si="131"/>
        <v>417.38</v>
      </c>
      <c r="K798" s="462">
        <f>IF(C798=0,0,VLOOKUP(YEAR(C798),INPC!$B$4:$O$29,MONTH(C798)+1))</f>
        <v>118.98099999999999</v>
      </c>
      <c r="L798" s="462">
        <f>IF(S798=0,0,VLOOKUP(YEAR(S798),INPC!$B$4:$O$29,MONTH(S798)+1))</f>
        <v>124.571</v>
      </c>
      <c r="M798" s="463">
        <f t="shared" si="124"/>
        <v>1.0468999999999999</v>
      </c>
      <c r="N798" s="465">
        <f t="shared" si="132"/>
        <v>436.95512199999996</v>
      </c>
      <c r="O798" s="179"/>
      <c r="P798" s="180">
        <v>2</v>
      </c>
      <c r="Q798" s="173" t="s">
        <v>583</v>
      </c>
      <c r="R798" s="173" t="s">
        <v>230</v>
      </c>
      <c r="S798" s="174">
        <v>44827</v>
      </c>
      <c r="T798" s="173" t="s">
        <v>33</v>
      </c>
      <c r="U798" s="182">
        <v>310.67333333333335</v>
      </c>
      <c r="V798" s="177">
        <f>IF(U798=0,0,IF(T798="MXN",1/HLOOKUP(YEAR(S798)+(MONTH(S798)/100),TC!$5:$37,DAY(S798)+2,FALSE),VLOOKUP(T798,Equivalencia!$1:$23,((MAX(Equivalencia!$3:$3)-YEAR(S798))*14)+MONTH(S798)+2,FALSE)))</f>
        <v>1</v>
      </c>
      <c r="W798" s="178">
        <f t="shared" si="129"/>
        <v>310.67333333333335</v>
      </c>
      <c r="X798" s="481">
        <f t="shared" si="125"/>
        <v>-106.70666666666665</v>
      </c>
      <c r="Y798" s="179"/>
      <c r="Z798" s="466">
        <f t="shared" si="126"/>
        <v>436.95512199999996</v>
      </c>
      <c r="AA798" s="473">
        <f t="shared" si="127"/>
        <v>-126.28178866666661</v>
      </c>
      <c r="AB798" s="339">
        <f t="shared" si="128"/>
        <v>-0.25565831296819841</v>
      </c>
    </row>
    <row r="799" spans="2:28" ht="20.100000000000001" customHeight="1">
      <c r="B799" s="172">
        <v>1175000</v>
      </c>
      <c r="C799" s="174">
        <v>44608</v>
      </c>
      <c r="D799" s="181" t="s">
        <v>180</v>
      </c>
      <c r="E799" s="173" t="s">
        <v>33</v>
      </c>
      <c r="F799" s="176">
        <v>795.26</v>
      </c>
      <c r="G799" s="175">
        <f t="shared" si="130"/>
        <v>4</v>
      </c>
      <c r="H799" s="175">
        <f t="shared" si="123"/>
        <v>795.26</v>
      </c>
      <c r="I799" s="177">
        <f>IF(G799=0,0,IF(E799="MXN",1/HLOOKUP(YEAR(C799)+(MONTH(C799)/100),TC!$5:$37,DAY(C799)+2,FALSE),VLOOKUP(E799,Equivalencia!$5:$23,((MAX(Equivalencia!$3:$3)-YEAR(C799))*14)+MONTH(C799)+2,FALSE)))</f>
        <v>1</v>
      </c>
      <c r="J799" s="178">
        <f t="shared" si="131"/>
        <v>795.26</v>
      </c>
      <c r="K799" s="462">
        <f>IF(C799=0,0,VLOOKUP(YEAR(C799),INPC!$B$4:$O$29,MONTH(C799)+1))</f>
        <v>118.98099999999999</v>
      </c>
      <c r="L799" s="462">
        <f>IF(S799=0,0,VLOOKUP(YEAR(S799),INPC!$B$4:$O$29,MONTH(S799)+1))</f>
        <v>124.571</v>
      </c>
      <c r="M799" s="463">
        <f t="shared" si="124"/>
        <v>1.0468999999999999</v>
      </c>
      <c r="N799" s="465">
        <f t="shared" si="132"/>
        <v>832.55769399999997</v>
      </c>
      <c r="O799" s="179"/>
      <c r="P799" s="180">
        <v>4</v>
      </c>
      <c r="Q799" s="173" t="s">
        <v>583</v>
      </c>
      <c r="R799" s="173" t="s">
        <v>230</v>
      </c>
      <c r="S799" s="174">
        <v>44831</v>
      </c>
      <c r="T799" s="173" t="s">
        <v>33</v>
      </c>
      <c r="U799" s="182">
        <v>613.98666666666668</v>
      </c>
      <c r="V799" s="177">
        <f>IF(U799=0,0,IF(T799="MXN",1/HLOOKUP(YEAR(S799)+(MONTH(S799)/100),TC!$5:$37,DAY(S799)+2,FALSE),VLOOKUP(T799,Equivalencia!$1:$23,((MAX(Equivalencia!$3:$3)-YEAR(S799))*14)+MONTH(S799)+2,FALSE)))</f>
        <v>1</v>
      </c>
      <c r="W799" s="178">
        <f t="shared" si="129"/>
        <v>613.98666666666668</v>
      </c>
      <c r="X799" s="481">
        <f t="shared" si="125"/>
        <v>-181.27333333333331</v>
      </c>
      <c r="Y799" s="179"/>
      <c r="Z799" s="466">
        <f t="shared" si="126"/>
        <v>832.55769399999997</v>
      </c>
      <c r="AA799" s="473">
        <f t="shared" si="127"/>
        <v>-218.57102733333329</v>
      </c>
      <c r="AB799" s="339">
        <f t="shared" si="128"/>
        <v>-0.22794222434591616</v>
      </c>
    </row>
    <row r="800" spans="2:28" ht="20.100000000000001" customHeight="1">
      <c r="B800" s="172">
        <v>1175000</v>
      </c>
      <c r="C800" s="174">
        <v>44608</v>
      </c>
      <c r="D800" s="181" t="s">
        <v>180</v>
      </c>
      <c r="E800" s="173" t="s">
        <v>33</v>
      </c>
      <c r="F800" s="176">
        <v>399.34</v>
      </c>
      <c r="G800" s="175">
        <f t="shared" si="130"/>
        <v>2</v>
      </c>
      <c r="H800" s="175">
        <f t="shared" si="123"/>
        <v>399.34</v>
      </c>
      <c r="I800" s="177">
        <f>IF(G800=0,0,IF(E800="MXN",1/HLOOKUP(YEAR(C800)+(MONTH(C800)/100),TC!$5:$37,DAY(C800)+2,FALSE),VLOOKUP(E800,Equivalencia!$5:$23,((MAX(Equivalencia!$3:$3)-YEAR(C800))*14)+MONTH(C800)+2,FALSE)))</f>
        <v>1</v>
      </c>
      <c r="J800" s="178">
        <f t="shared" si="131"/>
        <v>399.34</v>
      </c>
      <c r="K800" s="462">
        <f>IF(C800=0,0,VLOOKUP(YEAR(C800),INPC!$B$4:$O$29,MONTH(C800)+1))</f>
        <v>118.98099999999999</v>
      </c>
      <c r="L800" s="462">
        <f>IF(S800=0,0,VLOOKUP(YEAR(S800),INPC!$B$4:$O$29,MONTH(S800)+1))</f>
        <v>124.571</v>
      </c>
      <c r="M800" s="463">
        <f t="shared" si="124"/>
        <v>1.0468999999999999</v>
      </c>
      <c r="N800" s="465">
        <f t="shared" si="132"/>
        <v>418.06904599999996</v>
      </c>
      <c r="O800" s="179"/>
      <c r="P800" s="180">
        <v>2</v>
      </c>
      <c r="Q800" s="173" t="s">
        <v>583</v>
      </c>
      <c r="R800" s="173" t="s">
        <v>230</v>
      </c>
      <c r="S800" s="174">
        <v>44831</v>
      </c>
      <c r="T800" s="173" t="s">
        <v>33</v>
      </c>
      <c r="U800" s="182">
        <v>306.99333333333334</v>
      </c>
      <c r="V800" s="177">
        <f>IF(U800=0,0,IF(T800="MXN",1/HLOOKUP(YEAR(S800)+(MONTH(S800)/100),TC!$5:$37,DAY(S800)+2,FALSE),VLOOKUP(T800,Equivalencia!$1:$23,((MAX(Equivalencia!$3:$3)-YEAR(S800))*14)+MONTH(S800)+2,FALSE)))</f>
        <v>1</v>
      </c>
      <c r="W800" s="178">
        <f t="shared" si="129"/>
        <v>306.99333333333334</v>
      </c>
      <c r="X800" s="481">
        <f t="shared" si="125"/>
        <v>-92.346666666666636</v>
      </c>
      <c r="Y800" s="179"/>
      <c r="Z800" s="466">
        <f t="shared" si="126"/>
        <v>418.06904599999996</v>
      </c>
      <c r="AA800" s="473">
        <f t="shared" si="127"/>
        <v>-111.07571266666662</v>
      </c>
      <c r="AB800" s="339">
        <f t="shared" si="128"/>
        <v>-0.23124822623996255</v>
      </c>
    </row>
    <row r="801" spans="2:28" ht="20.100000000000001" customHeight="1">
      <c r="B801" s="172">
        <v>1175000</v>
      </c>
      <c r="C801" s="174">
        <v>44608</v>
      </c>
      <c r="D801" s="181" t="s">
        <v>180</v>
      </c>
      <c r="E801" s="173" t="s">
        <v>33</v>
      </c>
      <c r="F801" s="176">
        <v>399.34</v>
      </c>
      <c r="G801" s="175">
        <f t="shared" si="130"/>
        <v>2</v>
      </c>
      <c r="H801" s="175">
        <f t="shared" si="123"/>
        <v>399.34</v>
      </c>
      <c r="I801" s="177">
        <f>IF(G801=0,0,IF(E801="MXN",1/HLOOKUP(YEAR(C801)+(MONTH(C801)/100),TC!$5:$37,DAY(C801)+2,FALSE),VLOOKUP(E801,Equivalencia!$5:$23,((MAX(Equivalencia!$3:$3)-YEAR(C801))*14)+MONTH(C801)+2,FALSE)))</f>
        <v>1</v>
      </c>
      <c r="J801" s="178">
        <f t="shared" si="131"/>
        <v>399.34</v>
      </c>
      <c r="K801" s="462">
        <f>IF(C801=0,0,VLOOKUP(YEAR(C801),INPC!$B$4:$O$29,MONTH(C801)+1))</f>
        <v>118.98099999999999</v>
      </c>
      <c r="L801" s="462">
        <f>IF(S801=0,0,VLOOKUP(YEAR(S801),INPC!$B$4:$O$29,MONTH(S801)+1))</f>
        <v>124.571</v>
      </c>
      <c r="M801" s="463">
        <f t="shared" si="124"/>
        <v>1.0468999999999999</v>
      </c>
      <c r="N801" s="465">
        <f t="shared" si="132"/>
        <v>418.06904599999996</v>
      </c>
      <c r="O801" s="179"/>
      <c r="P801" s="180">
        <v>2</v>
      </c>
      <c r="Q801" s="173" t="s">
        <v>583</v>
      </c>
      <c r="R801" s="173" t="s">
        <v>230</v>
      </c>
      <c r="S801" s="174">
        <v>44831</v>
      </c>
      <c r="T801" s="173" t="s">
        <v>33</v>
      </c>
      <c r="U801" s="182">
        <v>306.25473684210527</v>
      </c>
      <c r="V801" s="177">
        <f>IF(U801=0,0,IF(T801="MXN",1/HLOOKUP(YEAR(S801)+(MONTH(S801)/100),TC!$5:$37,DAY(S801)+2,FALSE),VLOOKUP(T801,Equivalencia!$1:$23,((MAX(Equivalencia!$3:$3)-YEAR(S801))*14)+MONTH(S801)+2,FALSE)))</f>
        <v>1</v>
      </c>
      <c r="W801" s="178">
        <f t="shared" si="129"/>
        <v>306.25473684210527</v>
      </c>
      <c r="X801" s="481">
        <f t="shared" si="125"/>
        <v>-93.085263157894701</v>
      </c>
      <c r="Y801" s="179"/>
      <c r="Z801" s="466">
        <f t="shared" si="126"/>
        <v>418.06904599999996</v>
      </c>
      <c r="AA801" s="473">
        <f t="shared" si="127"/>
        <v>-111.81430915789468</v>
      </c>
      <c r="AB801" s="339">
        <f t="shared" si="128"/>
        <v>-0.23309776921393977</v>
      </c>
    </row>
    <row r="802" spans="2:28" ht="20.100000000000001" customHeight="1">
      <c r="B802" s="172">
        <v>1175000</v>
      </c>
      <c r="C802" s="174">
        <v>44608</v>
      </c>
      <c r="D802" s="181" t="s">
        <v>180</v>
      </c>
      <c r="E802" s="173" t="s">
        <v>33</v>
      </c>
      <c r="F802" s="176">
        <v>3364.8640909090905</v>
      </c>
      <c r="G802" s="175">
        <f t="shared" si="130"/>
        <v>17</v>
      </c>
      <c r="H802" s="175">
        <f t="shared" si="123"/>
        <v>3364.8640909090905</v>
      </c>
      <c r="I802" s="177">
        <f>IF(G802=0,0,IF(E802="MXN",1/HLOOKUP(YEAR(C802)+(MONTH(C802)/100),TC!$5:$37,DAY(C802)+2,FALSE),VLOOKUP(E802,Equivalencia!$5:$23,((MAX(Equivalencia!$3:$3)-YEAR(C802))*14)+MONTH(C802)+2,FALSE)))</f>
        <v>1</v>
      </c>
      <c r="J802" s="178">
        <f t="shared" si="131"/>
        <v>3364.8640909090905</v>
      </c>
      <c r="K802" s="462">
        <f>IF(C802=0,0,VLOOKUP(YEAR(C802),INPC!$B$4:$O$29,MONTH(C802)+1))</f>
        <v>118.98099999999999</v>
      </c>
      <c r="L802" s="462">
        <f>IF(S802=0,0,VLOOKUP(YEAR(S802),INPC!$B$4:$O$29,MONTH(S802)+1))</f>
        <v>124.571</v>
      </c>
      <c r="M802" s="463">
        <f t="shared" si="124"/>
        <v>1.0468999999999999</v>
      </c>
      <c r="N802" s="465">
        <f t="shared" si="132"/>
        <v>3522.6762167727265</v>
      </c>
      <c r="O802" s="179"/>
      <c r="P802" s="180">
        <v>17</v>
      </c>
      <c r="Q802" s="173" t="s">
        <v>583</v>
      </c>
      <c r="R802" s="173" t="s">
        <v>230</v>
      </c>
      <c r="S802" s="174">
        <v>44831</v>
      </c>
      <c r="T802" s="173" t="s">
        <v>33</v>
      </c>
      <c r="U802" s="182">
        <v>2603.165263157895</v>
      </c>
      <c r="V802" s="177">
        <f>IF(U802=0,0,IF(T802="MXN",1/HLOOKUP(YEAR(S802)+(MONTH(S802)/100),TC!$5:$37,DAY(S802)+2,FALSE),VLOOKUP(T802,Equivalencia!$1:$23,((MAX(Equivalencia!$3:$3)-YEAR(S802))*14)+MONTH(S802)+2,FALSE)))</f>
        <v>1</v>
      </c>
      <c r="W802" s="178">
        <f t="shared" si="129"/>
        <v>2603.165263157895</v>
      </c>
      <c r="X802" s="481">
        <f t="shared" si="125"/>
        <v>-761.69882775119549</v>
      </c>
      <c r="Y802" s="179"/>
      <c r="Z802" s="466">
        <f t="shared" si="126"/>
        <v>3522.6762167727265</v>
      </c>
      <c r="AA802" s="473">
        <f t="shared" si="127"/>
        <v>-919.51095361483158</v>
      </c>
      <c r="AB802" s="339">
        <f t="shared" si="128"/>
        <v>-0.22636837838683888</v>
      </c>
    </row>
    <row r="803" spans="2:28" ht="20.100000000000001" customHeight="1">
      <c r="B803" s="172">
        <v>1175000</v>
      </c>
      <c r="C803" s="174">
        <v>44608</v>
      </c>
      <c r="D803" s="181" t="s">
        <v>180</v>
      </c>
      <c r="E803" s="173" t="s">
        <v>33</v>
      </c>
      <c r="F803" s="176">
        <v>1979.3318181818179</v>
      </c>
      <c r="G803" s="175">
        <f t="shared" si="130"/>
        <v>10</v>
      </c>
      <c r="H803" s="175">
        <f t="shared" si="123"/>
        <v>1979.3318181818179</v>
      </c>
      <c r="I803" s="177">
        <f>IF(G803=0,0,IF(E803="MXN",1/HLOOKUP(YEAR(C803)+(MONTH(C803)/100),TC!$5:$37,DAY(C803)+2,FALSE),VLOOKUP(E803,Equivalencia!$5:$23,((MAX(Equivalencia!$3:$3)-YEAR(C803))*14)+MONTH(C803)+2,FALSE)))</f>
        <v>1</v>
      </c>
      <c r="J803" s="178">
        <f t="shared" si="131"/>
        <v>1979.3318181818179</v>
      </c>
      <c r="K803" s="462">
        <f>IF(C803=0,0,VLOOKUP(YEAR(C803),INPC!$B$4:$O$29,MONTH(C803)+1))</f>
        <v>118.98099999999999</v>
      </c>
      <c r="L803" s="462">
        <f>IF(S803=0,0,VLOOKUP(YEAR(S803),INPC!$B$4:$O$29,MONTH(S803)+1))</f>
        <v>124.571</v>
      </c>
      <c r="M803" s="463">
        <f t="shared" si="124"/>
        <v>1.0468999999999999</v>
      </c>
      <c r="N803" s="465">
        <f t="shared" si="132"/>
        <v>2072.1624804545449</v>
      </c>
      <c r="O803" s="179"/>
      <c r="P803" s="180">
        <v>10</v>
      </c>
      <c r="Q803" s="173" t="s">
        <v>583</v>
      </c>
      <c r="R803" s="173" t="s">
        <v>230</v>
      </c>
      <c r="S803" s="174">
        <v>44831</v>
      </c>
      <c r="T803" s="173" t="s">
        <v>33</v>
      </c>
      <c r="U803" s="182">
        <v>1524.53</v>
      </c>
      <c r="V803" s="177">
        <f>IF(U803=0,0,IF(T803="MXN",1/HLOOKUP(YEAR(S803)+(MONTH(S803)/100),TC!$5:$37,DAY(S803)+2,FALSE),VLOOKUP(T803,Equivalencia!$1:$23,((MAX(Equivalencia!$3:$3)-YEAR(S803))*14)+MONTH(S803)+2,FALSE)))</f>
        <v>1</v>
      </c>
      <c r="W803" s="178">
        <f t="shared" si="129"/>
        <v>1524.53</v>
      </c>
      <c r="X803" s="481">
        <f t="shared" si="125"/>
        <v>-454.80181818181791</v>
      </c>
      <c r="Y803" s="179"/>
      <c r="Z803" s="466">
        <f t="shared" si="126"/>
        <v>2072.1624804545449</v>
      </c>
      <c r="AA803" s="473">
        <f t="shared" si="127"/>
        <v>-547.63248045454498</v>
      </c>
      <c r="AB803" s="339">
        <f t="shared" si="128"/>
        <v>-0.22977542926561523</v>
      </c>
    </row>
    <row r="804" spans="2:28" ht="20.100000000000001" customHeight="1">
      <c r="B804" s="172">
        <v>1175000</v>
      </c>
      <c r="C804" s="174">
        <v>44643</v>
      </c>
      <c r="D804" s="181" t="s">
        <v>232</v>
      </c>
      <c r="E804" s="173" t="s">
        <v>33</v>
      </c>
      <c r="F804" s="176">
        <v>5151.8115384615376</v>
      </c>
      <c r="G804" s="175">
        <f t="shared" si="130"/>
        <v>7</v>
      </c>
      <c r="H804" s="175">
        <f t="shared" si="123"/>
        <v>5151.8115384615376</v>
      </c>
      <c r="I804" s="177">
        <f>IF(G804=0,0,IF(E804="MXN",1/HLOOKUP(YEAR(C804)+(MONTH(C804)/100),TC!$5:$37,DAY(C804)+2,FALSE),VLOOKUP(E804,Equivalencia!$5:$23,((MAX(Equivalencia!$3:$3)-YEAR(C804))*14)+MONTH(C804)+2,FALSE)))</f>
        <v>1</v>
      </c>
      <c r="J804" s="178">
        <f t="shared" si="131"/>
        <v>5151.8115384615376</v>
      </c>
      <c r="K804" s="462">
        <f>IF(C804=0,0,VLOOKUP(YEAR(C804),INPC!$B$4:$O$29,MONTH(C804)+1))</f>
        <v>120.15900000000001</v>
      </c>
      <c r="L804" s="462">
        <f>IF(S804=0,0,VLOOKUP(YEAR(S804),INPC!$B$4:$O$29,MONTH(S804)+1))</f>
        <v>124.571</v>
      </c>
      <c r="M804" s="463">
        <f t="shared" si="124"/>
        <v>1.0367</v>
      </c>
      <c r="N804" s="465">
        <f t="shared" si="132"/>
        <v>5340.8830219230758</v>
      </c>
      <c r="O804" s="179"/>
      <c r="P804" s="180">
        <v>7</v>
      </c>
      <c r="Q804" s="173" t="s">
        <v>583</v>
      </c>
      <c r="R804" s="173" t="s">
        <v>230</v>
      </c>
      <c r="S804" s="174">
        <v>44833</v>
      </c>
      <c r="T804" s="173" t="s">
        <v>33</v>
      </c>
      <c r="U804" s="182">
        <v>4010.8094444444441</v>
      </c>
      <c r="V804" s="177">
        <f>IF(U804=0,0,IF(T804="MXN",1/HLOOKUP(YEAR(S804)+(MONTH(S804)/100),TC!$5:$37,DAY(S804)+2,FALSE),VLOOKUP(T804,Equivalencia!$1:$23,((MAX(Equivalencia!$3:$3)-YEAR(S804))*14)+MONTH(S804)+2,FALSE)))</f>
        <v>1</v>
      </c>
      <c r="W804" s="178">
        <f t="shared" si="129"/>
        <v>4010.8094444444441</v>
      </c>
      <c r="X804" s="481">
        <f t="shared" si="125"/>
        <v>-1141.0020940170934</v>
      </c>
      <c r="Y804" s="179"/>
      <c r="Z804" s="466">
        <f t="shared" si="126"/>
        <v>5340.8830219230758</v>
      </c>
      <c r="AA804" s="473">
        <f t="shared" si="127"/>
        <v>-1330.0735774786317</v>
      </c>
      <c r="AB804" s="339">
        <f t="shared" si="128"/>
        <v>-0.22147589939942292</v>
      </c>
    </row>
    <row r="805" spans="2:28" ht="20.100000000000001" customHeight="1">
      <c r="B805" s="172">
        <v>1175000</v>
      </c>
      <c r="C805" s="174">
        <v>44644</v>
      </c>
      <c r="D805" s="181" t="s">
        <v>232</v>
      </c>
      <c r="E805" s="173" t="s">
        <v>33</v>
      </c>
      <c r="F805" s="176">
        <v>7395.16</v>
      </c>
      <c r="G805" s="175">
        <f t="shared" si="130"/>
        <v>10</v>
      </c>
      <c r="H805" s="175">
        <f t="shared" si="123"/>
        <v>7395.16</v>
      </c>
      <c r="I805" s="177">
        <f>IF(G805=0,0,IF(E805="MXN",1/HLOOKUP(YEAR(C805)+(MONTH(C805)/100),TC!$5:$37,DAY(C805)+2,FALSE),VLOOKUP(E805,Equivalencia!$5:$23,((MAX(Equivalencia!$3:$3)-YEAR(C805))*14)+MONTH(C805)+2,FALSE)))</f>
        <v>1</v>
      </c>
      <c r="J805" s="178">
        <f t="shared" si="131"/>
        <v>7395.16</v>
      </c>
      <c r="K805" s="462">
        <f>IF(C805=0,0,VLOOKUP(YEAR(C805),INPC!$B$4:$O$29,MONTH(C805)+1))</f>
        <v>120.15900000000001</v>
      </c>
      <c r="L805" s="462">
        <f>IF(S805=0,0,VLOOKUP(YEAR(S805),INPC!$B$4:$O$29,MONTH(S805)+1))</f>
        <v>124.571</v>
      </c>
      <c r="M805" s="463">
        <f t="shared" si="124"/>
        <v>1.0367</v>
      </c>
      <c r="N805" s="465">
        <f t="shared" si="132"/>
        <v>7666.5623719999994</v>
      </c>
      <c r="O805" s="179"/>
      <c r="P805" s="180">
        <v>10</v>
      </c>
      <c r="Q805" s="173" t="s">
        <v>583</v>
      </c>
      <c r="R805" s="173" t="s">
        <v>230</v>
      </c>
      <c r="S805" s="174">
        <v>44833</v>
      </c>
      <c r="T805" s="173" t="s">
        <v>33</v>
      </c>
      <c r="U805" s="182">
        <v>5729.7277777777781</v>
      </c>
      <c r="V805" s="177">
        <f>IF(U805=0,0,IF(T805="MXN",1/HLOOKUP(YEAR(S805)+(MONTH(S805)/100),TC!$5:$37,DAY(S805)+2,FALSE),VLOOKUP(T805,Equivalencia!$1:$23,((MAX(Equivalencia!$3:$3)-YEAR(S805))*14)+MONTH(S805)+2,FALSE)))</f>
        <v>1</v>
      </c>
      <c r="W805" s="178">
        <f t="shared" si="129"/>
        <v>5729.7277777777781</v>
      </c>
      <c r="X805" s="481">
        <f t="shared" si="125"/>
        <v>-1665.4322222222218</v>
      </c>
      <c r="Y805" s="179"/>
      <c r="Z805" s="466">
        <f t="shared" si="126"/>
        <v>7666.5623719999994</v>
      </c>
      <c r="AA805" s="473">
        <f t="shared" si="127"/>
        <v>-1936.8345942222213</v>
      </c>
      <c r="AB805" s="339">
        <f t="shared" si="128"/>
        <v>-0.22520570511283355</v>
      </c>
    </row>
    <row r="806" spans="2:28" ht="20.100000000000001" customHeight="1">
      <c r="B806" s="172">
        <v>1175000</v>
      </c>
      <c r="C806" s="174">
        <v>44671</v>
      </c>
      <c r="D806" s="181" t="s">
        <v>232</v>
      </c>
      <c r="E806" s="173" t="s">
        <v>33</v>
      </c>
      <c r="F806" s="176">
        <v>699.44999999999993</v>
      </c>
      <c r="G806" s="175">
        <f t="shared" si="130"/>
        <v>1</v>
      </c>
      <c r="H806" s="175">
        <f t="shared" si="123"/>
        <v>699.44999999999993</v>
      </c>
      <c r="I806" s="177">
        <f>IF(G806=0,0,IF(E806="MXN",1/HLOOKUP(YEAR(C806)+(MONTH(C806)/100),TC!$5:$37,DAY(C806)+2,FALSE),VLOOKUP(E806,Equivalencia!$5:$23,((MAX(Equivalencia!$3:$3)-YEAR(C806))*14)+MONTH(C806)+2,FALSE)))</f>
        <v>1</v>
      </c>
      <c r="J806" s="178">
        <f t="shared" si="131"/>
        <v>699.44999999999993</v>
      </c>
      <c r="K806" s="462">
        <f>IF(C806=0,0,VLOOKUP(YEAR(C806),INPC!$B$4:$O$29,MONTH(C806)+1))</f>
        <v>120.809</v>
      </c>
      <c r="L806" s="462">
        <f>IF(S806=0,0,VLOOKUP(YEAR(S806),INPC!$B$4:$O$29,MONTH(S806)+1))</f>
        <v>124.571</v>
      </c>
      <c r="M806" s="463">
        <f t="shared" si="124"/>
        <v>1.0310999999999999</v>
      </c>
      <c r="N806" s="465">
        <f t="shared" si="132"/>
        <v>721.2028949999999</v>
      </c>
      <c r="O806" s="179"/>
      <c r="P806" s="180">
        <v>1</v>
      </c>
      <c r="Q806" s="173" t="s">
        <v>583</v>
      </c>
      <c r="R806" s="173" t="s">
        <v>230</v>
      </c>
      <c r="S806" s="174">
        <v>44833</v>
      </c>
      <c r="T806" s="173" t="s">
        <v>33</v>
      </c>
      <c r="U806" s="182">
        <v>572.97277777777776</v>
      </c>
      <c r="V806" s="177">
        <f>IF(U806=0,0,IF(T806="MXN",1/HLOOKUP(YEAR(S806)+(MONTH(S806)/100),TC!$5:$37,DAY(S806)+2,FALSE),VLOOKUP(T806,Equivalencia!$1:$23,((MAX(Equivalencia!$3:$3)-YEAR(S806))*14)+MONTH(S806)+2,FALSE)))</f>
        <v>1</v>
      </c>
      <c r="W806" s="178">
        <f t="shared" si="129"/>
        <v>572.97277777777776</v>
      </c>
      <c r="X806" s="481">
        <f t="shared" si="125"/>
        <v>-126.47722222222217</v>
      </c>
      <c r="Y806" s="179"/>
      <c r="Z806" s="466">
        <f t="shared" si="126"/>
        <v>721.2028949999999</v>
      </c>
      <c r="AA806" s="473">
        <f t="shared" si="127"/>
        <v>-148.23011722222213</v>
      </c>
      <c r="AB806" s="339">
        <f t="shared" si="128"/>
        <v>-0.18082382189180379</v>
      </c>
    </row>
    <row r="807" spans="2:28" ht="20.100000000000001" customHeight="1">
      <c r="B807" s="172">
        <v>1175000</v>
      </c>
      <c r="C807" s="174">
        <v>44363</v>
      </c>
      <c r="D807" s="181" t="s">
        <v>160</v>
      </c>
      <c r="E807" s="173" t="s">
        <v>33</v>
      </c>
      <c r="F807" s="176">
        <v>7347.8968421052641</v>
      </c>
      <c r="G807" s="175">
        <f t="shared" si="130"/>
        <v>20</v>
      </c>
      <c r="H807" s="175">
        <f t="shared" si="123"/>
        <v>7347.8968421052641</v>
      </c>
      <c r="I807" s="177">
        <f>IF(G807=0,0,IF(E807="MXN",1/HLOOKUP(YEAR(C807)+(MONTH(C807)/100),TC!$5:$37,DAY(C807)+2,FALSE),VLOOKUP(E807,Equivalencia!$5:$23,((MAX(Equivalencia!$3:$3)-YEAR(C807))*14)+MONTH(C807)+2,FALSE)))</f>
        <v>1</v>
      </c>
      <c r="J807" s="178">
        <f t="shared" si="131"/>
        <v>7347.8968421052641</v>
      </c>
      <c r="K807" s="462">
        <f>IF(C807=0,0,VLOOKUP(YEAR(C807),INPC!$B$4:$O$29,MONTH(C807)+1))</f>
        <v>113.018</v>
      </c>
      <c r="L807" s="462">
        <f>IF(S807=0,0,VLOOKUP(YEAR(S807),INPC!$B$4:$O$29,MONTH(S807)+1))</f>
        <v>124.571</v>
      </c>
      <c r="M807" s="463">
        <f t="shared" si="124"/>
        <v>1.1022000000000001</v>
      </c>
      <c r="N807" s="465">
        <f t="shared" si="132"/>
        <v>8098.8518993684229</v>
      </c>
      <c r="O807" s="179"/>
      <c r="P807" s="180">
        <v>20</v>
      </c>
      <c r="Q807" s="173" t="s">
        <v>583</v>
      </c>
      <c r="R807" s="173" t="s">
        <v>230</v>
      </c>
      <c r="S807" s="174">
        <v>44833</v>
      </c>
      <c r="T807" s="173" t="s">
        <v>33</v>
      </c>
      <c r="U807" s="182">
        <v>5761.78</v>
      </c>
      <c r="V807" s="177">
        <f>IF(U807=0,0,IF(T807="MXN",1/HLOOKUP(YEAR(S807)+(MONTH(S807)/100),TC!$5:$37,DAY(S807)+2,FALSE),VLOOKUP(T807,Equivalencia!$1:$23,((MAX(Equivalencia!$3:$3)-YEAR(S807))*14)+MONTH(S807)+2,FALSE)))</f>
        <v>1</v>
      </c>
      <c r="W807" s="178">
        <f t="shared" si="129"/>
        <v>5761.78</v>
      </c>
      <c r="X807" s="481">
        <f t="shared" si="125"/>
        <v>-1586.1168421052644</v>
      </c>
      <c r="Y807" s="179"/>
      <c r="Z807" s="466">
        <f t="shared" si="126"/>
        <v>8098.8518993684229</v>
      </c>
      <c r="AA807" s="473">
        <f t="shared" si="127"/>
        <v>-2337.0718993684231</v>
      </c>
      <c r="AB807" s="339">
        <f t="shared" si="128"/>
        <v>-0.21585997683261193</v>
      </c>
    </row>
    <row r="808" spans="2:28" ht="20.100000000000001" customHeight="1">
      <c r="B808" s="172">
        <v>1175000</v>
      </c>
      <c r="C808" s="174">
        <v>44536</v>
      </c>
      <c r="D808" s="181" t="s">
        <v>178</v>
      </c>
      <c r="E808" s="173" t="s">
        <v>33</v>
      </c>
      <c r="F808" s="176">
        <v>678.95684210526315</v>
      </c>
      <c r="G808" s="175">
        <f t="shared" si="130"/>
        <v>4</v>
      </c>
      <c r="H808" s="175">
        <f t="shared" si="123"/>
        <v>678.95684210526315</v>
      </c>
      <c r="I808" s="177">
        <f>IF(G808=0,0,IF(E808="MXN",1/HLOOKUP(YEAR(C808)+(MONTH(C808)/100),TC!$5:$37,DAY(C808)+2,FALSE),VLOOKUP(E808,Equivalencia!$5:$23,((MAX(Equivalencia!$3:$3)-YEAR(C808))*14)+MONTH(C808)+2,FALSE)))</f>
        <v>1</v>
      </c>
      <c r="J808" s="178">
        <f t="shared" si="131"/>
        <v>678.95684210526315</v>
      </c>
      <c r="K808" s="462">
        <f>IF(C808=0,0,VLOOKUP(YEAR(C808),INPC!$B$4:$O$29,MONTH(C808)+1))</f>
        <v>117.30800000000001</v>
      </c>
      <c r="L808" s="462">
        <f>IF(S808=0,0,VLOOKUP(YEAR(S808),INPC!$B$4:$O$29,MONTH(S808)+1))</f>
        <v>125.276</v>
      </c>
      <c r="M808" s="463">
        <f t="shared" si="124"/>
        <v>1.0679000000000001</v>
      </c>
      <c r="N808" s="465">
        <f t="shared" si="132"/>
        <v>725.05801168421056</v>
      </c>
      <c r="O808" s="179"/>
      <c r="P808" s="180">
        <v>4</v>
      </c>
      <c r="Q808" s="173" t="s">
        <v>583</v>
      </c>
      <c r="R808" s="173" t="s">
        <v>230</v>
      </c>
      <c r="S808" s="174">
        <v>44846</v>
      </c>
      <c r="T808" s="173" t="s">
        <v>33</v>
      </c>
      <c r="U808" s="182">
        <v>541.75</v>
      </c>
      <c r="V808" s="177">
        <f>IF(U808=0,0,IF(T808="MXN",1/HLOOKUP(YEAR(S808)+(MONTH(S808)/100),TC!$5:$37,DAY(S808)+2,FALSE),VLOOKUP(T808,Equivalencia!$1:$23,((MAX(Equivalencia!$3:$3)-YEAR(S808))*14)+MONTH(S808)+2,FALSE)))</f>
        <v>1</v>
      </c>
      <c r="W808" s="178">
        <f t="shared" si="129"/>
        <v>541.75</v>
      </c>
      <c r="X808" s="481">
        <f t="shared" si="125"/>
        <v>-137.20684210526315</v>
      </c>
      <c r="Y808" s="179"/>
      <c r="Z808" s="466">
        <f t="shared" si="126"/>
        <v>725.05801168421056</v>
      </c>
      <c r="AA808" s="473">
        <f t="shared" si="127"/>
        <v>-183.30801168421056</v>
      </c>
      <c r="AB808" s="339">
        <f t="shared" si="128"/>
        <v>-0.20208477711163719</v>
      </c>
    </row>
    <row r="809" spans="2:28" ht="20.100000000000001" customHeight="1">
      <c r="B809" s="172">
        <v>1175000</v>
      </c>
      <c r="C809" s="174">
        <v>44536</v>
      </c>
      <c r="D809" s="181" t="s">
        <v>178</v>
      </c>
      <c r="E809" s="173" t="s">
        <v>33</v>
      </c>
      <c r="F809" s="176">
        <v>339.47842105263157</v>
      </c>
      <c r="G809" s="175">
        <f t="shared" si="130"/>
        <v>2</v>
      </c>
      <c r="H809" s="175">
        <f t="shared" si="123"/>
        <v>339.47842105263157</v>
      </c>
      <c r="I809" s="177">
        <f>IF(G809=0,0,IF(E809="MXN",1/HLOOKUP(YEAR(C809)+(MONTH(C809)/100),TC!$5:$37,DAY(C809)+2,FALSE),VLOOKUP(E809,Equivalencia!$5:$23,((MAX(Equivalencia!$3:$3)-YEAR(C809))*14)+MONTH(C809)+2,FALSE)))</f>
        <v>1</v>
      </c>
      <c r="J809" s="178">
        <f t="shared" si="131"/>
        <v>339.47842105263157</v>
      </c>
      <c r="K809" s="462">
        <f>IF(C809=0,0,VLOOKUP(YEAR(C809),INPC!$B$4:$O$29,MONTH(C809)+1))</f>
        <v>117.30800000000001</v>
      </c>
      <c r="L809" s="462">
        <f>IF(S809=0,0,VLOOKUP(YEAR(S809),INPC!$B$4:$O$29,MONTH(S809)+1))</f>
        <v>125.276</v>
      </c>
      <c r="M809" s="463">
        <f t="shared" si="124"/>
        <v>1.0679000000000001</v>
      </c>
      <c r="N809" s="465">
        <f t="shared" si="132"/>
        <v>362.52900584210528</v>
      </c>
      <c r="O809" s="179"/>
      <c r="P809" s="180">
        <v>2</v>
      </c>
      <c r="Q809" s="173" t="s">
        <v>583</v>
      </c>
      <c r="R809" s="173" t="s">
        <v>230</v>
      </c>
      <c r="S809" s="174">
        <v>44846</v>
      </c>
      <c r="T809" s="173" t="s">
        <v>33</v>
      </c>
      <c r="U809" s="182">
        <v>271.55</v>
      </c>
      <c r="V809" s="177">
        <f>IF(U809=0,0,IF(T809="MXN",1/HLOOKUP(YEAR(S809)+(MONTH(S809)/100),TC!$5:$37,DAY(S809)+2,FALSE),VLOOKUP(T809,Equivalencia!$1:$23,((MAX(Equivalencia!$3:$3)-YEAR(S809))*14)+MONTH(S809)+2,FALSE)))</f>
        <v>1</v>
      </c>
      <c r="W809" s="178">
        <f t="shared" si="129"/>
        <v>271.55</v>
      </c>
      <c r="X809" s="481">
        <f t="shared" si="125"/>
        <v>-67.928421052631563</v>
      </c>
      <c r="Y809" s="179"/>
      <c r="Z809" s="466">
        <f t="shared" si="126"/>
        <v>362.52900584210528</v>
      </c>
      <c r="AA809" s="473">
        <f t="shared" si="127"/>
        <v>-90.979005842105266</v>
      </c>
      <c r="AB809" s="339">
        <f t="shared" si="128"/>
        <v>-0.20009643276295364</v>
      </c>
    </row>
    <row r="810" spans="2:28" ht="20.100000000000001" customHeight="1">
      <c r="B810" s="172">
        <v>1175000</v>
      </c>
      <c r="C810" s="174">
        <v>44536</v>
      </c>
      <c r="D810" s="181" t="s">
        <v>178</v>
      </c>
      <c r="E810" s="173" t="s">
        <v>33</v>
      </c>
      <c r="F810" s="176">
        <v>1867.1313157894738</v>
      </c>
      <c r="G810" s="175">
        <f t="shared" si="130"/>
        <v>11</v>
      </c>
      <c r="H810" s="175">
        <f t="shared" si="123"/>
        <v>1867.1313157894738</v>
      </c>
      <c r="I810" s="177">
        <f>IF(G810=0,0,IF(E810="MXN",1/HLOOKUP(YEAR(C810)+(MONTH(C810)/100),TC!$5:$37,DAY(C810)+2,FALSE),VLOOKUP(E810,Equivalencia!$5:$23,((MAX(Equivalencia!$3:$3)-YEAR(C810))*14)+MONTH(C810)+2,FALSE)))</f>
        <v>1</v>
      </c>
      <c r="J810" s="178">
        <f t="shared" si="131"/>
        <v>1867.1313157894738</v>
      </c>
      <c r="K810" s="462">
        <f>IF(C810=0,0,VLOOKUP(YEAR(C810),INPC!$B$4:$O$29,MONTH(C810)+1))</f>
        <v>117.30800000000001</v>
      </c>
      <c r="L810" s="462">
        <f>IF(S810=0,0,VLOOKUP(YEAR(S810),INPC!$B$4:$O$29,MONTH(S810)+1))</f>
        <v>125.276</v>
      </c>
      <c r="M810" s="463">
        <f t="shared" si="124"/>
        <v>1.0679000000000001</v>
      </c>
      <c r="N810" s="465">
        <f t="shared" si="132"/>
        <v>1993.9095321315792</v>
      </c>
      <c r="O810" s="179"/>
      <c r="P810" s="180">
        <v>11</v>
      </c>
      <c r="Q810" s="173" t="s">
        <v>583</v>
      </c>
      <c r="R810" s="173" t="s">
        <v>230</v>
      </c>
      <c r="S810" s="174">
        <v>44846</v>
      </c>
      <c r="T810" s="173" t="s">
        <v>33</v>
      </c>
      <c r="U810" s="182">
        <v>1493.4002439024391</v>
      </c>
      <c r="V810" s="177">
        <f>IF(U810=0,0,IF(T810="MXN",1/HLOOKUP(YEAR(S810)+(MONTH(S810)/100),TC!$5:$37,DAY(S810)+2,FALSE),VLOOKUP(T810,Equivalencia!$1:$23,((MAX(Equivalencia!$3:$3)-YEAR(S810))*14)+MONTH(S810)+2,FALSE)))</f>
        <v>1</v>
      </c>
      <c r="W810" s="178">
        <f t="shared" si="129"/>
        <v>1493.4002439024391</v>
      </c>
      <c r="X810" s="481">
        <f t="shared" si="125"/>
        <v>-373.73107188703466</v>
      </c>
      <c r="Y810" s="179"/>
      <c r="Z810" s="466">
        <f t="shared" si="126"/>
        <v>1993.9095321315792</v>
      </c>
      <c r="AA810" s="473">
        <f t="shared" si="127"/>
        <v>-500.50928822914011</v>
      </c>
      <c r="AB810" s="339">
        <f t="shared" si="128"/>
        <v>-0.20016324975461675</v>
      </c>
    </row>
    <row r="811" spans="2:28" ht="20.100000000000001" customHeight="1">
      <c r="B811" s="172">
        <v>1175000</v>
      </c>
      <c r="C811" s="174">
        <v>44536</v>
      </c>
      <c r="D811" s="181" t="s">
        <v>178</v>
      </c>
      <c r="E811" s="173" t="s">
        <v>33</v>
      </c>
      <c r="F811" s="176">
        <v>1358.72</v>
      </c>
      <c r="G811" s="175">
        <f t="shared" si="130"/>
        <v>8</v>
      </c>
      <c r="H811" s="175">
        <f t="shared" si="123"/>
        <v>1358.72</v>
      </c>
      <c r="I811" s="177">
        <f>IF(G811=0,0,IF(E811="MXN",1/HLOOKUP(YEAR(C811)+(MONTH(C811)/100),TC!$5:$37,DAY(C811)+2,FALSE),VLOOKUP(E811,Equivalencia!$5:$23,((MAX(Equivalencia!$3:$3)-YEAR(C811))*14)+MONTH(C811)+2,FALSE)))</f>
        <v>1</v>
      </c>
      <c r="J811" s="178">
        <f t="shared" si="131"/>
        <v>1358.72</v>
      </c>
      <c r="K811" s="462">
        <f>IF(C811=0,0,VLOOKUP(YEAR(C811),INPC!$B$4:$O$29,MONTH(C811)+1))</f>
        <v>117.30800000000001</v>
      </c>
      <c r="L811" s="462">
        <f>IF(S811=0,0,VLOOKUP(YEAR(S811),INPC!$B$4:$O$29,MONTH(S811)+1))</f>
        <v>125.276</v>
      </c>
      <c r="M811" s="463">
        <f t="shared" si="124"/>
        <v>1.0679000000000001</v>
      </c>
      <c r="N811" s="465">
        <f t="shared" si="132"/>
        <v>1450.9770880000001</v>
      </c>
      <c r="O811" s="179"/>
      <c r="P811" s="180">
        <v>8</v>
      </c>
      <c r="Q811" s="173" t="s">
        <v>583</v>
      </c>
      <c r="R811" s="173" t="s">
        <v>230</v>
      </c>
      <c r="S811" s="174">
        <v>44846</v>
      </c>
      <c r="T811" s="173" t="s">
        <v>33</v>
      </c>
      <c r="U811" s="182">
        <v>1086.1092682926831</v>
      </c>
      <c r="V811" s="177">
        <f>IF(U811=0,0,IF(T811="MXN",1/HLOOKUP(YEAR(S811)+(MONTH(S811)/100),TC!$5:$37,DAY(S811)+2,FALSE),VLOOKUP(T811,Equivalencia!$1:$23,((MAX(Equivalencia!$3:$3)-YEAR(S811))*14)+MONTH(S811)+2,FALSE)))</f>
        <v>1</v>
      </c>
      <c r="W811" s="178">
        <f t="shared" si="129"/>
        <v>1086.1092682926831</v>
      </c>
      <c r="X811" s="481">
        <f t="shared" si="125"/>
        <v>-272.61073170731697</v>
      </c>
      <c r="Y811" s="179"/>
      <c r="Z811" s="466">
        <f t="shared" si="126"/>
        <v>1450.9770880000001</v>
      </c>
      <c r="AA811" s="473">
        <f t="shared" si="127"/>
        <v>-364.86781970731704</v>
      </c>
      <c r="AB811" s="339">
        <f t="shared" si="128"/>
        <v>-0.20063790310536167</v>
      </c>
    </row>
    <row r="812" spans="2:28" ht="20.100000000000001" customHeight="1">
      <c r="B812" s="172">
        <v>1175000</v>
      </c>
      <c r="C812" s="174">
        <v>44537</v>
      </c>
      <c r="D812" s="181" t="s">
        <v>178</v>
      </c>
      <c r="E812" s="173" t="s">
        <v>33</v>
      </c>
      <c r="F812" s="176">
        <v>1562.08</v>
      </c>
      <c r="G812" s="175">
        <f t="shared" si="130"/>
        <v>9</v>
      </c>
      <c r="H812" s="175">
        <f t="shared" si="123"/>
        <v>1562.08</v>
      </c>
      <c r="I812" s="177">
        <f>IF(G812=0,0,IF(E812="MXN",1/HLOOKUP(YEAR(C812)+(MONTH(C812)/100),TC!$5:$37,DAY(C812)+2,FALSE),VLOOKUP(E812,Equivalencia!$5:$23,((MAX(Equivalencia!$3:$3)-YEAR(C812))*14)+MONTH(C812)+2,FALSE)))</f>
        <v>1</v>
      </c>
      <c r="J812" s="178">
        <f t="shared" si="131"/>
        <v>1562.08</v>
      </c>
      <c r="K812" s="462">
        <f>IF(C812=0,0,VLOOKUP(YEAR(C812),INPC!$B$4:$O$29,MONTH(C812)+1))</f>
        <v>117.30800000000001</v>
      </c>
      <c r="L812" s="462">
        <f>IF(S812=0,0,VLOOKUP(YEAR(S812),INPC!$B$4:$O$29,MONTH(S812)+1))</f>
        <v>125.276</v>
      </c>
      <c r="M812" s="463">
        <f t="shared" si="124"/>
        <v>1.0679000000000001</v>
      </c>
      <c r="N812" s="465">
        <f t="shared" si="132"/>
        <v>1668.1452320000001</v>
      </c>
      <c r="O812" s="179"/>
      <c r="P812" s="180">
        <v>9</v>
      </c>
      <c r="Q812" s="173" t="s">
        <v>583</v>
      </c>
      <c r="R812" s="173" t="s">
        <v>230</v>
      </c>
      <c r="S812" s="174">
        <v>44846</v>
      </c>
      <c r="T812" s="173" t="s">
        <v>33</v>
      </c>
      <c r="U812" s="182">
        <v>1221.8729268292684</v>
      </c>
      <c r="V812" s="177">
        <f>IF(U812=0,0,IF(T812="MXN",1/HLOOKUP(YEAR(S812)+(MONTH(S812)/100),TC!$5:$37,DAY(S812)+2,FALSE),VLOOKUP(T812,Equivalencia!$1:$23,((MAX(Equivalencia!$3:$3)-YEAR(S812))*14)+MONTH(S812)+2,FALSE)))</f>
        <v>1</v>
      </c>
      <c r="W812" s="178">
        <f t="shared" si="129"/>
        <v>1221.8729268292684</v>
      </c>
      <c r="X812" s="481">
        <f t="shared" si="125"/>
        <v>-340.20707317073152</v>
      </c>
      <c r="Y812" s="179"/>
      <c r="Z812" s="466">
        <f t="shared" si="126"/>
        <v>1668.1452320000001</v>
      </c>
      <c r="AA812" s="473">
        <f t="shared" si="127"/>
        <v>-446.27230517073167</v>
      </c>
      <c r="AB812" s="339">
        <f t="shared" si="128"/>
        <v>-0.21779106906863388</v>
      </c>
    </row>
    <row r="813" spans="2:28" ht="20.100000000000001" customHeight="1">
      <c r="B813" s="172">
        <v>1175000</v>
      </c>
      <c r="C813" s="174">
        <v>44551</v>
      </c>
      <c r="D813" s="181" t="s">
        <v>178</v>
      </c>
      <c r="E813" s="173" t="s">
        <v>33</v>
      </c>
      <c r="F813" s="176">
        <v>329.84</v>
      </c>
      <c r="G813" s="175">
        <f t="shared" si="130"/>
        <v>2</v>
      </c>
      <c r="H813" s="175">
        <f t="shared" si="123"/>
        <v>329.84</v>
      </c>
      <c r="I813" s="177">
        <f>IF(G813=0,0,IF(E813="MXN",1/HLOOKUP(YEAR(C813)+(MONTH(C813)/100),TC!$5:$37,DAY(C813)+2,FALSE),VLOOKUP(E813,Equivalencia!$5:$23,((MAX(Equivalencia!$3:$3)-YEAR(C813))*14)+MONTH(C813)+2,FALSE)))</f>
        <v>1</v>
      </c>
      <c r="J813" s="178">
        <f t="shared" si="131"/>
        <v>329.84</v>
      </c>
      <c r="K813" s="462">
        <f>IF(C813=0,0,VLOOKUP(YEAR(C813),INPC!$B$4:$O$29,MONTH(C813)+1))</f>
        <v>117.30800000000001</v>
      </c>
      <c r="L813" s="462">
        <f>IF(S813=0,0,VLOOKUP(YEAR(S813),INPC!$B$4:$O$29,MONTH(S813)+1))</f>
        <v>125.276</v>
      </c>
      <c r="M813" s="463">
        <f t="shared" si="124"/>
        <v>1.0679000000000001</v>
      </c>
      <c r="N813" s="465">
        <f t="shared" si="132"/>
        <v>352.23613599999999</v>
      </c>
      <c r="O813" s="179"/>
      <c r="P813" s="180">
        <v>2</v>
      </c>
      <c r="Q813" s="173" t="s">
        <v>583</v>
      </c>
      <c r="R813" s="173" t="s">
        <v>230</v>
      </c>
      <c r="S813" s="174">
        <v>44846</v>
      </c>
      <c r="T813" s="173" t="s">
        <v>33</v>
      </c>
      <c r="U813" s="182">
        <v>271.52731707317076</v>
      </c>
      <c r="V813" s="177">
        <f>IF(U813=0,0,IF(T813="MXN",1/HLOOKUP(YEAR(S813)+(MONTH(S813)/100),TC!$5:$37,DAY(S813)+2,FALSE),VLOOKUP(T813,Equivalencia!$1:$23,((MAX(Equivalencia!$3:$3)-YEAR(S813))*14)+MONTH(S813)+2,FALSE)))</f>
        <v>1</v>
      </c>
      <c r="W813" s="178">
        <f t="shared" si="129"/>
        <v>271.52731707317076</v>
      </c>
      <c r="X813" s="481">
        <f t="shared" si="125"/>
        <v>-58.312682926829211</v>
      </c>
      <c r="Y813" s="179"/>
      <c r="Z813" s="466">
        <f t="shared" si="126"/>
        <v>352.23613599999999</v>
      </c>
      <c r="AA813" s="473">
        <f t="shared" si="127"/>
        <v>-80.708818926829224</v>
      </c>
      <c r="AB813" s="339">
        <f t="shared" si="128"/>
        <v>-0.17679081653780382</v>
      </c>
    </row>
    <row r="814" spans="2:28" ht="20.100000000000001" customHeight="1">
      <c r="B814" s="172">
        <v>1175000</v>
      </c>
      <c r="C814" s="174">
        <v>44552</v>
      </c>
      <c r="D814" s="181" t="s">
        <v>178</v>
      </c>
      <c r="E814" s="173" t="s">
        <v>33</v>
      </c>
      <c r="F814" s="176">
        <v>1835.1943396226413</v>
      </c>
      <c r="G814" s="175">
        <f t="shared" si="130"/>
        <v>11</v>
      </c>
      <c r="H814" s="175">
        <f t="shared" si="123"/>
        <v>1835.1943396226413</v>
      </c>
      <c r="I814" s="177">
        <f>IF(G814=0,0,IF(E814="MXN",1/HLOOKUP(YEAR(C814)+(MONTH(C814)/100),TC!$5:$37,DAY(C814)+2,FALSE),VLOOKUP(E814,Equivalencia!$5:$23,((MAX(Equivalencia!$3:$3)-YEAR(C814))*14)+MONTH(C814)+2,FALSE)))</f>
        <v>1</v>
      </c>
      <c r="J814" s="178">
        <f t="shared" si="131"/>
        <v>1835.1943396226413</v>
      </c>
      <c r="K814" s="462">
        <f>IF(C814=0,0,VLOOKUP(YEAR(C814),INPC!$B$4:$O$29,MONTH(C814)+1))</f>
        <v>117.30800000000001</v>
      </c>
      <c r="L814" s="462">
        <f>IF(S814=0,0,VLOOKUP(YEAR(S814),INPC!$B$4:$O$29,MONTH(S814)+1))</f>
        <v>125.276</v>
      </c>
      <c r="M814" s="463">
        <f t="shared" si="124"/>
        <v>1.0679000000000001</v>
      </c>
      <c r="N814" s="465">
        <f t="shared" si="132"/>
        <v>1959.8040352830187</v>
      </c>
      <c r="O814" s="179"/>
      <c r="P814" s="180">
        <v>11</v>
      </c>
      <c r="Q814" s="173" t="s">
        <v>583</v>
      </c>
      <c r="R814" s="173" t="s">
        <v>230</v>
      </c>
      <c r="S814" s="174">
        <v>44846</v>
      </c>
      <c r="T814" s="173" t="s">
        <v>33</v>
      </c>
      <c r="U814" s="182">
        <v>1493.4002439024391</v>
      </c>
      <c r="V814" s="177">
        <f>IF(U814=0,0,IF(T814="MXN",1/HLOOKUP(YEAR(S814)+(MONTH(S814)/100),TC!$5:$37,DAY(S814)+2,FALSE),VLOOKUP(T814,Equivalencia!$1:$23,((MAX(Equivalencia!$3:$3)-YEAR(S814))*14)+MONTH(S814)+2,FALSE)))</f>
        <v>1</v>
      </c>
      <c r="W814" s="178">
        <f t="shared" si="129"/>
        <v>1493.4002439024391</v>
      </c>
      <c r="X814" s="481">
        <f t="shared" si="125"/>
        <v>-341.79409572020222</v>
      </c>
      <c r="Y814" s="179"/>
      <c r="Z814" s="466">
        <f t="shared" si="126"/>
        <v>1959.8040352830187</v>
      </c>
      <c r="AA814" s="473">
        <f t="shared" si="127"/>
        <v>-466.40379138057961</v>
      </c>
      <c r="AB814" s="339">
        <f t="shared" si="128"/>
        <v>-0.1862440878007956</v>
      </c>
    </row>
    <row r="815" spans="2:28" ht="20.100000000000001" customHeight="1">
      <c r="B815" s="172">
        <v>1175000</v>
      </c>
      <c r="C815" s="174">
        <v>44552</v>
      </c>
      <c r="D815" s="181" t="s">
        <v>178</v>
      </c>
      <c r="E815" s="173" t="s">
        <v>33</v>
      </c>
      <c r="F815" s="176">
        <v>500.50754716981129</v>
      </c>
      <c r="G815" s="175">
        <f t="shared" si="130"/>
        <v>3</v>
      </c>
      <c r="H815" s="175">
        <f t="shared" si="123"/>
        <v>500.50754716981129</v>
      </c>
      <c r="I815" s="177">
        <f>IF(G815=0,0,IF(E815="MXN",1/HLOOKUP(YEAR(C815)+(MONTH(C815)/100),TC!$5:$37,DAY(C815)+2,FALSE),VLOOKUP(E815,Equivalencia!$5:$23,((MAX(Equivalencia!$3:$3)-YEAR(C815))*14)+MONTH(C815)+2,FALSE)))</f>
        <v>1</v>
      </c>
      <c r="J815" s="178">
        <f t="shared" si="131"/>
        <v>500.50754716981129</v>
      </c>
      <c r="K815" s="462">
        <f>IF(C815=0,0,VLOOKUP(YEAR(C815),INPC!$B$4:$O$29,MONTH(C815)+1))</f>
        <v>117.30800000000001</v>
      </c>
      <c r="L815" s="462">
        <f>IF(S815=0,0,VLOOKUP(YEAR(S815),INPC!$B$4:$O$29,MONTH(S815)+1))</f>
        <v>125.276</v>
      </c>
      <c r="M815" s="463">
        <f t="shared" si="124"/>
        <v>1.0679000000000001</v>
      </c>
      <c r="N815" s="465">
        <f t="shared" si="132"/>
        <v>534.49200962264149</v>
      </c>
      <c r="O815" s="179"/>
      <c r="P815" s="180">
        <v>3</v>
      </c>
      <c r="Q815" s="173" t="s">
        <v>583</v>
      </c>
      <c r="R815" s="173" t="s">
        <v>230</v>
      </c>
      <c r="S815" s="174">
        <v>44846</v>
      </c>
      <c r="T815" s="173" t="s">
        <v>33</v>
      </c>
      <c r="U815" s="182">
        <v>407.37</v>
      </c>
      <c r="V815" s="177">
        <f>IF(U815=0,0,IF(T815="MXN",1/HLOOKUP(YEAR(S815)+(MONTH(S815)/100),TC!$5:$37,DAY(S815)+2,FALSE),VLOOKUP(T815,Equivalencia!$1:$23,((MAX(Equivalencia!$3:$3)-YEAR(S815))*14)+MONTH(S815)+2,FALSE)))</f>
        <v>1</v>
      </c>
      <c r="W815" s="178">
        <f t="shared" si="129"/>
        <v>407.37</v>
      </c>
      <c r="X815" s="481">
        <f t="shared" si="125"/>
        <v>-93.137547169811285</v>
      </c>
      <c r="Y815" s="179"/>
      <c r="Z815" s="466">
        <f t="shared" si="126"/>
        <v>534.49200962264149</v>
      </c>
      <c r="AA815" s="473">
        <f t="shared" si="127"/>
        <v>-127.12200962264149</v>
      </c>
      <c r="AB815" s="339">
        <f t="shared" si="128"/>
        <v>-0.18608619929203929</v>
      </c>
    </row>
    <row r="816" spans="2:28" ht="20.100000000000001" customHeight="1">
      <c r="B816" s="172">
        <v>1175000</v>
      </c>
      <c r="C816" s="174">
        <v>44552</v>
      </c>
      <c r="D816" s="181" t="s">
        <v>178</v>
      </c>
      <c r="E816" s="173" t="s">
        <v>33</v>
      </c>
      <c r="F816" s="176">
        <v>333.67169811320753</v>
      </c>
      <c r="G816" s="175">
        <f t="shared" si="130"/>
        <v>2</v>
      </c>
      <c r="H816" s="175">
        <f t="shared" si="123"/>
        <v>333.67169811320753</v>
      </c>
      <c r="I816" s="177">
        <f>IF(G816=0,0,IF(E816="MXN",1/HLOOKUP(YEAR(C816)+(MONTH(C816)/100),TC!$5:$37,DAY(C816)+2,FALSE),VLOOKUP(E816,Equivalencia!$5:$23,((MAX(Equivalencia!$3:$3)-YEAR(C816))*14)+MONTH(C816)+2,FALSE)))</f>
        <v>1</v>
      </c>
      <c r="J816" s="178">
        <f t="shared" si="131"/>
        <v>333.67169811320753</v>
      </c>
      <c r="K816" s="462">
        <f>IF(C816=0,0,VLOOKUP(YEAR(C816),INPC!$B$4:$O$29,MONTH(C816)+1))</f>
        <v>117.30800000000001</v>
      </c>
      <c r="L816" s="462">
        <f>IF(S816=0,0,VLOOKUP(YEAR(S816),INPC!$B$4:$O$29,MONTH(S816)+1))</f>
        <v>125.276</v>
      </c>
      <c r="M816" s="463">
        <f t="shared" si="124"/>
        <v>1.0679000000000001</v>
      </c>
      <c r="N816" s="465">
        <f t="shared" si="132"/>
        <v>356.32800641509436</v>
      </c>
      <c r="O816" s="179"/>
      <c r="P816" s="180">
        <v>2</v>
      </c>
      <c r="Q816" s="173" t="s">
        <v>583</v>
      </c>
      <c r="R816" s="173" t="s">
        <v>230</v>
      </c>
      <c r="S816" s="174">
        <v>44847</v>
      </c>
      <c r="T816" s="173" t="s">
        <v>33</v>
      </c>
      <c r="U816" s="182">
        <v>266.76</v>
      </c>
      <c r="V816" s="177">
        <f>IF(U816=0,0,IF(T816="MXN",1/HLOOKUP(YEAR(S816)+(MONTH(S816)/100),TC!$5:$37,DAY(S816)+2,FALSE),VLOOKUP(T816,Equivalencia!$1:$23,((MAX(Equivalencia!$3:$3)-YEAR(S816))*14)+MONTH(S816)+2,FALSE)))</f>
        <v>1</v>
      </c>
      <c r="W816" s="178">
        <f t="shared" si="129"/>
        <v>266.76</v>
      </c>
      <c r="X816" s="481">
        <f t="shared" si="125"/>
        <v>-66.911698113207535</v>
      </c>
      <c r="Y816" s="179"/>
      <c r="Z816" s="466">
        <f t="shared" si="126"/>
        <v>356.32800641509436</v>
      </c>
      <c r="AA816" s="473">
        <f t="shared" si="127"/>
        <v>-89.568006415094374</v>
      </c>
      <c r="AB816" s="339">
        <f t="shared" si="128"/>
        <v>-0.20053153591260187</v>
      </c>
    </row>
    <row r="817" spans="2:28" ht="20.100000000000001" customHeight="1">
      <c r="B817" s="172">
        <v>1175000</v>
      </c>
      <c r="C817" s="174">
        <v>44552</v>
      </c>
      <c r="D817" s="181" t="s">
        <v>178</v>
      </c>
      <c r="E817" s="173" t="s">
        <v>33</v>
      </c>
      <c r="F817" s="176">
        <v>333.67169811320753</v>
      </c>
      <c r="G817" s="175">
        <f t="shared" si="130"/>
        <v>2</v>
      </c>
      <c r="H817" s="175">
        <f t="shared" si="123"/>
        <v>333.67169811320753</v>
      </c>
      <c r="I817" s="177">
        <f>IF(G817=0,0,IF(E817="MXN",1/HLOOKUP(YEAR(C817)+(MONTH(C817)/100),TC!$5:$37,DAY(C817)+2,FALSE),VLOOKUP(E817,Equivalencia!$5:$23,((MAX(Equivalencia!$3:$3)-YEAR(C817))*14)+MONTH(C817)+2,FALSE)))</f>
        <v>1</v>
      </c>
      <c r="J817" s="178">
        <f t="shared" si="131"/>
        <v>333.67169811320753</v>
      </c>
      <c r="K817" s="462">
        <f>IF(C817=0,0,VLOOKUP(YEAR(C817),INPC!$B$4:$O$29,MONTH(C817)+1))</f>
        <v>117.30800000000001</v>
      </c>
      <c r="L817" s="462">
        <f>IF(S817=0,0,VLOOKUP(YEAR(S817),INPC!$B$4:$O$29,MONTH(S817)+1))</f>
        <v>125.276</v>
      </c>
      <c r="M817" s="463">
        <f t="shared" si="124"/>
        <v>1.0679000000000001</v>
      </c>
      <c r="N817" s="465">
        <f t="shared" si="132"/>
        <v>356.32800641509436</v>
      </c>
      <c r="O817" s="179"/>
      <c r="P817" s="180">
        <v>2</v>
      </c>
      <c r="Q817" s="173" t="s">
        <v>583</v>
      </c>
      <c r="R817" s="173" t="s">
        <v>230</v>
      </c>
      <c r="S817" s="174">
        <v>44852</v>
      </c>
      <c r="T817" s="173" t="s">
        <v>33</v>
      </c>
      <c r="U817" s="182">
        <v>278.85000000000002</v>
      </c>
      <c r="V817" s="177">
        <f>IF(U817=0,0,IF(T817="MXN",1/HLOOKUP(YEAR(S817)+(MONTH(S817)/100),TC!$5:$37,DAY(S817)+2,FALSE),VLOOKUP(T817,Equivalencia!$1:$23,((MAX(Equivalencia!$3:$3)-YEAR(S817))*14)+MONTH(S817)+2,FALSE)))</f>
        <v>1</v>
      </c>
      <c r="W817" s="178">
        <f t="shared" si="129"/>
        <v>278.85000000000002</v>
      </c>
      <c r="X817" s="481">
        <f t="shared" si="125"/>
        <v>-54.821698113207503</v>
      </c>
      <c r="Y817" s="179"/>
      <c r="Z817" s="466">
        <f t="shared" si="126"/>
        <v>356.32800641509436</v>
      </c>
      <c r="AA817" s="473">
        <f t="shared" si="127"/>
        <v>-77.478006415094342</v>
      </c>
      <c r="AB817" s="339">
        <f t="shared" si="128"/>
        <v>-0.1642983160489917</v>
      </c>
    </row>
    <row r="818" spans="2:28" ht="20.100000000000001" customHeight="1">
      <c r="B818" s="172">
        <v>1175000</v>
      </c>
      <c r="C818" s="174">
        <v>44552</v>
      </c>
      <c r="D818" s="181" t="s">
        <v>178</v>
      </c>
      <c r="E818" s="173" t="s">
        <v>33</v>
      </c>
      <c r="F818" s="176">
        <v>500.50754716981129</v>
      </c>
      <c r="G818" s="175">
        <f t="shared" si="130"/>
        <v>3</v>
      </c>
      <c r="H818" s="175">
        <f t="shared" si="123"/>
        <v>500.50754716981129</v>
      </c>
      <c r="I818" s="177">
        <f>IF(G818=0,0,IF(E818="MXN",1/HLOOKUP(YEAR(C818)+(MONTH(C818)/100),TC!$5:$37,DAY(C818)+2,FALSE),VLOOKUP(E818,Equivalencia!$5:$23,((MAX(Equivalencia!$3:$3)-YEAR(C818))*14)+MONTH(C818)+2,FALSE)))</f>
        <v>1</v>
      </c>
      <c r="J818" s="178">
        <f t="shared" si="131"/>
        <v>500.50754716981129</v>
      </c>
      <c r="K818" s="462">
        <f>IF(C818=0,0,VLOOKUP(YEAR(C818),INPC!$B$4:$O$29,MONTH(C818)+1))</f>
        <v>117.30800000000001</v>
      </c>
      <c r="L818" s="462">
        <f>IF(S818=0,0,VLOOKUP(YEAR(S818),INPC!$B$4:$O$29,MONTH(S818)+1))</f>
        <v>125.276</v>
      </c>
      <c r="M818" s="463">
        <f t="shared" si="124"/>
        <v>1.0679000000000001</v>
      </c>
      <c r="N818" s="465">
        <f t="shared" si="132"/>
        <v>534.49200962264149</v>
      </c>
      <c r="O818" s="179"/>
      <c r="P818" s="180">
        <v>3</v>
      </c>
      <c r="Q818" s="173" t="s">
        <v>583</v>
      </c>
      <c r="R818" s="173" t="s">
        <v>230</v>
      </c>
      <c r="S818" s="174">
        <v>44852</v>
      </c>
      <c r="T818" s="173" t="s">
        <v>33</v>
      </c>
      <c r="U818" s="182">
        <v>418.37</v>
      </c>
      <c r="V818" s="177">
        <f>IF(U818=0,0,IF(T818="MXN",1/HLOOKUP(YEAR(S818)+(MONTH(S818)/100),TC!$5:$37,DAY(S818)+2,FALSE),VLOOKUP(T818,Equivalencia!$1:$23,((MAX(Equivalencia!$3:$3)-YEAR(S818))*14)+MONTH(S818)+2,FALSE)))</f>
        <v>1</v>
      </c>
      <c r="W818" s="178">
        <f t="shared" si="129"/>
        <v>418.37</v>
      </c>
      <c r="X818" s="481">
        <f t="shared" si="125"/>
        <v>-82.137547169811285</v>
      </c>
      <c r="Y818" s="179"/>
      <c r="Z818" s="466">
        <f t="shared" si="126"/>
        <v>534.49200962264149</v>
      </c>
      <c r="AA818" s="473">
        <f t="shared" si="127"/>
        <v>-116.12200962264149</v>
      </c>
      <c r="AB818" s="339">
        <f t="shared" si="128"/>
        <v>-0.16410850872133564</v>
      </c>
    </row>
    <row r="819" spans="2:28" ht="20.100000000000001" customHeight="1">
      <c r="B819" s="172">
        <v>1175000</v>
      </c>
      <c r="C819" s="174">
        <v>44552</v>
      </c>
      <c r="D819" s="181" t="s">
        <v>178</v>
      </c>
      <c r="E819" s="173" t="s">
        <v>33</v>
      </c>
      <c r="F819" s="176">
        <v>1167.8509433962263</v>
      </c>
      <c r="G819" s="175">
        <f t="shared" si="130"/>
        <v>7</v>
      </c>
      <c r="H819" s="175">
        <f t="shared" si="123"/>
        <v>1167.8509433962263</v>
      </c>
      <c r="I819" s="177">
        <f>IF(G819=0,0,IF(E819="MXN",1/HLOOKUP(YEAR(C819)+(MONTH(C819)/100),TC!$5:$37,DAY(C819)+2,FALSE),VLOOKUP(E819,Equivalencia!$5:$23,((MAX(Equivalencia!$3:$3)-YEAR(C819))*14)+MONTH(C819)+2,FALSE)))</f>
        <v>1</v>
      </c>
      <c r="J819" s="178">
        <f t="shared" si="131"/>
        <v>1167.8509433962263</v>
      </c>
      <c r="K819" s="462">
        <f>IF(C819=0,0,VLOOKUP(YEAR(C819),INPC!$B$4:$O$29,MONTH(C819)+1))</f>
        <v>117.30800000000001</v>
      </c>
      <c r="L819" s="462">
        <f>IF(S819=0,0,VLOOKUP(YEAR(S819),INPC!$B$4:$O$29,MONTH(S819)+1))</f>
        <v>125.276</v>
      </c>
      <c r="M819" s="463">
        <f t="shared" si="124"/>
        <v>1.0679000000000001</v>
      </c>
      <c r="N819" s="465">
        <f t="shared" si="132"/>
        <v>1247.1480224528302</v>
      </c>
      <c r="O819" s="179"/>
      <c r="P819" s="180">
        <v>7</v>
      </c>
      <c r="Q819" s="173" t="s">
        <v>583</v>
      </c>
      <c r="R819" s="173" t="s">
        <v>230</v>
      </c>
      <c r="S819" s="174">
        <v>44852</v>
      </c>
      <c r="T819" s="173" t="s">
        <v>33</v>
      </c>
      <c r="U819" s="182">
        <v>977.06</v>
      </c>
      <c r="V819" s="177">
        <f>IF(U819=0,0,IF(T819="MXN",1/HLOOKUP(YEAR(S819)+(MONTH(S819)/100),TC!$5:$37,DAY(S819)+2,FALSE),VLOOKUP(T819,Equivalencia!$1:$23,((MAX(Equivalencia!$3:$3)-YEAR(S819))*14)+MONTH(S819)+2,FALSE)))</f>
        <v>1</v>
      </c>
      <c r="W819" s="178">
        <f t="shared" si="129"/>
        <v>977.06</v>
      </c>
      <c r="X819" s="481">
        <f t="shared" si="125"/>
        <v>-190.79094339622634</v>
      </c>
      <c r="Y819" s="179"/>
      <c r="Z819" s="466">
        <f t="shared" si="126"/>
        <v>1247.1480224528302</v>
      </c>
      <c r="AA819" s="473">
        <f t="shared" si="127"/>
        <v>-270.08802245283027</v>
      </c>
      <c r="AB819" s="339">
        <f t="shared" si="128"/>
        <v>-0.16336925912941203</v>
      </c>
    </row>
    <row r="820" spans="2:28" ht="20.100000000000001" customHeight="1">
      <c r="B820" s="172">
        <v>1175000</v>
      </c>
      <c r="C820" s="174">
        <v>44552</v>
      </c>
      <c r="D820" s="181" t="s">
        <v>178</v>
      </c>
      <c r="E820" s="173" t="s">
        <v>33</v>
      </c>
      <c r="F820" s="176">
        <v>333.67169811320753</v>
      </c>
      <c r="G820" s="175">
        <f t="shared" si="130"/>
        <v>2</v>
      </c>
      <c r="H820" s="175">
        <f t="shared" si="123"/>
        <v>333.67169811320753</v>
      </c>
      <c r="I820" s="177">
        <f>IF(G820=0,0,IF(E820="MXN",1/HLOOKUP(YEAR(C820)+(MONTH(C820)/100),TC!$5:$37,DAY(C820)+2,FALSE),VLOOKUP(E820,Equivalencia!$5:$23,((MAX(Equivalencia!$3:$3)-YEAR(C820))*14)+MONTH(C820)+2,FALSE)))</f>
        <v>1</v>
      </c>
      <c r="J820" s="178">
        <f t="shared" si="131"/>
        <v>333.67169811320753</v>
      </c>
      <c r="K820" s="462">
        <f>IF(C820=0,0,VLOOKUP(YEAR(C820),INPC!$B$4:$O$29,MONTH(C820)+1))</f>
        <v>117.30800000000001</v>
      </c>
      <c r="L820" s="462">
        <f>IF(S820=0,0,VLOOKUP(YEAR(S820),INPC!$B$4:$O$29,MONTH(S820)+1))</f>
        <v>125.276</v>
      </c>
      <c r="M820" s="463">
        <f t="shared" si="124"/>
        <v>1.0679000000000001</v>
      </c>
      <c r="N820" s="465">
        <f t="shared" si="132"/>
        <v>356.32800641509436</v>
      </c>
      <c r="O820" s="179"/>
      <c r="P820" s="180">
        <v>2</v>
      </c>
      <c r="Q820" s="173" t="s">
        <v>583</v>
      </c>
      <c r="R820" s="173" t="s">
        <v>230</v>
      </c>
      <c r="S820" s="174">
        <v>44852</v>
      </c>
      <c r="T820" s="173" t="s">
        <v>33</v>
      </c>
      <c r="U820" s="182">
        <v>279.56</v>
      </c>
      <c r="V820" s="177">
        <f>IF(U820=0,0,IF(T820="MXN",1/HLOOKUP(YEAR(S820)+(MONTH(S820)/100),TC!$5:$37,DAY(S820)+2,FALSE),VLOOKUP(T820,Equivalencia!$1:$23,((MAX(Equivalencia!$3:$3)-YEAR(S820))*14)+MONTH(S820)+2,FALSE)))</f>
        <v>1</v>
      </c>
      <c r="W820" s="178">
        <f t="shared" si="129"/>
        <v>279.56</v>
      </c>
      <c r="X820" s="481">
        <f t="shared" si="125"/>
        <v>-54.111698113207524</v>
      </c>
      <c r="Y820" s="179"/>
      <c r="Z820" s="466">
        <f t="shared" si="126"/>
        <v>356.32800641509436</v>
      </c>
      <c r="AA820" s="473">
        <f t="shared" si="127"/>
        <v>-76.768006415094362</v>
      </c>
      <c r="AB820" s="339">
        <f t="shared" si="128"/>
        <v>-0.16217047600737355</v>
      </c>
    </row>
    <row r="821" spans="2:28" ht="20.100000000000001" customHeight="1">
      <c r="B821" s="172">
        <v>1175000</v>
      </c>
      <c r="C821" s="174">
        <v>44552</v>
      </c>
      <c r="D821" s="181" t="s">
        <v>178</v>
      </c>
      <c r="E821" s="173" t="s">
        <v>33</v>
      </c>
      <c r="F821" s="176">
        <v>1001.0150943396226</v>
      </c>
      <c r="G821" s="175">
        <f t="shared" si="130"/>
        <v>6</v>
      </c>
      <c r="H821" s="175">
        <f t="shared" si="123"/>
        <v>1001.0150943396226</v>
      </c>
      <c r="I821" s="177">
        <f>IF(G821=0,0,IF(E821="MXN",1/HLOOKUP(YEAR(C821)+(MONTH(C821)/100),TC!$5:$37,DAY(C821)+2,FALSE),VLOOKUP(E821,Equivalencia!$5:$23,((MAX(Equivalencia!$3:$3)-YEAR(C821))*14)+MONTH(C821)+2,FALSE)))</f>
        <v>1</v>
      </c>
      <c r="J821" s="178">
        <f t="shared" si="131"/>
        <v>1001.0150943396226</v>
      </c>
      <c r="K821" s="462">
        <f>IF(C821=0,0,VLOOKUP(YEAR(C821),INPC!$B$4:$O$29,MONTH(C821)+1))</f>
        <v>117.30800000000001</v>
      </c>
      <c r="L821" s="462">
        <f>IF(S821=0,0,VLOOKUP(YEAR(S821),INPC!$B$4:$O$29,MONTH(S821)+1))</f>
        <v>125.276</v>
      </c>
      <c r="M821" s="463">
        <f t="shared" si="124"/>
        <v>1.0679000000000001</v>
      </c>
      <c r="N821" s="465">
        <f t="shared" si="132"/>
        <v>1068.984019245283</v>
      </c>
      <c r="O821" s="179"/>
      <c r="P821" s="180">
        <v>6</v>
      </c>
      <c r="Q821" s="173" t="s">
        <v>583</v>
      </c>
      <c r="R821" s="173" t="s">
        <v>230</v>
      </c>
      <c r="S821" s="174">
        <v>44852</v>
      </c>
      <c r="T821" s="173" t="s">
        <v>33</v>
      </c>
      <c r="U821" s="182">
        <v>843.76</v>
      </c>
      <c r="V821" s="177">
        <f>IF(U821=0,0,IF(T821="MXN",1/HLOOKUP(YEAR(S821)+(MONTH(S821)/100),TC!$5:$37,DAY(S821)+2,FALSE),VLOOKUP(T821,Equivalencia!$1:$23,((MAX(Equivalencia!$3:$3)-YEAR(S821))*14)+MONTH(S821)+2,FALSE)))</f>
        <v>1</v>
      </c>
      <c r="W821" s="178">
        <f t="shared" si="129"/>
        <v>843.76</v>
      </c>
      <c r="X821" s="481">
        <f t="shared" si="125"/>
        <v>-157.25509433962259</v>
      </c>
      <c r="Y821" s="179"/>
      <c r="Z821" s="466">
        <f t="shared" si="126"/>
        <v>1068.984019245283</v>
      </c>
      <c r="AA821" s="473">
        <f t="shared" si="127"/>
        <v>-225.22401924528299</v>
      </c>
      <c r="AB821" s="339">
        <f t="shared" si="128"/>
        <v>-0.15709562745741112</v>
      </c>
    </row>
    <row r="822" spans="2:28" ht="20.100000000000001" customHeight="1">
      <c r="B822" s="172">
        <v>1175000</v>
      </c>
      <c r="C822" s="174">
        <v>44552</v>
      </c>
      <c r="D822" s="181" t="s">
        <v>178</v>
      </c>
      <c r="E822" s="173" t="s">
        <v>33</v>
      </c>
      <c r="F822" s="176">
        <v>1001.0150943396226</v>
      </c>
      <c r="G822" s="175">
        <f t="shared" si="130"/>
        <v>6</v>
      </c>
      <c r="H822" s="175">
        <f t="shared" si="123"/>
        <v>1001.0150943396226</v>
      </c>
      <c r="I822" s="177">
        <f>IF(G822=0,0,IF(E822="MXN",1/HLOOKUP(YEAR(C822)+(MONTH(C822)/100),TC!$5:$37,DAY(C822)+2,FALSE),VLOOKUP(E822,Equivalencia!$5:$23,((MAX(Equivalencia!$3:$3)-YEAR(C822))*14)+MONTH(C822)+2,FALSE)))</f>
        <v>1</v>
      </c>
      <c r="J822" s="178">
        <f t="shared" si="131"/>
        <v>1001.0150943396226</v>
      </c>
      <c r="K822" s="462">
        <f>IF(C822=0,0,VLOOKUP(YEAR(C822),INPC!$B$4:$O$29,MONTH(C822)+1))</f>
        <v>117.30800000000001</v>
      </c>
      <c r="L822" s="462">
        <f>IF(S822=0,0,VLOOKUP(YEAR(S822),INPC!$B$4:$O$29,MONTH(S822)+1))</f>
        <v>125.276</v>
      </c>
      <c r="M822" s="463">
        <f t="shared" si="124"/>
        <v>1.0679000000000001</v>
      </c>
      <c r="N822" s="465">
        <f t="shared" si="132"/>
        <v>1068.984019245283</v>
      </c>
      <c r="O822" s="179"/>
      <c r="P822" s="180">
        <v>6</v>
      </c>
      <c r="Q822" s="173" t="s">
        <v>583</v>
      </c>
      <c r="R822" s="173" t="s">
        <v>230</v>
      </c>
      <c r="S822" s="174">
        <v>44852</v>
      </c>
      <c r="T822" s="173" t="s">
        <v>33</v>
      </c>
      <c r="U822" s="182">
        <v>843.65999999999985</v>
      </c>
      <c r="V822" s="177">
        <f>IF(U822=0,0,IF(T822="MXN",1/HLOOKUP(YEAR(S822)+(MONTH(S822)/100),TC!$5:$37,DAY(S822)+2,FALSE),VLOOKUP(T822,Equivalencia!$1:$23,((MAX(Equivalencia!$3:$3)-YEAR(S822))*14)+MONTH(S822)+2,FALSE)))</f>
        <v>1</v>
      </c>
      <c r="W822" s="178">
        <f t="shared" si="129"/>
        <v>843.65999999999985</v>
      </c>
      <c r="X822" s="481">
        <f t="shared" si="125"/>
        <v>-157.35509433962272</v>
      </c>
      <c r="Y822" s="179"/>
      <c r="Z822" s="466">
        <f t="shared" si="126"/>
        <v>1068.984019245283</v>
      </c>
      <c r="AA822" s="473">
        <f t="shared" si="127"/>
        <v>-225.32401924528313</v>
      </c>
      <c r="AB822" s="339">
        <f t="shared" si="128"/>
        <v>-0.15719552605091447</v>
      </c>
    </row>
    <row r="823" spans="2:28" ht="20.100000000000001" customHeight="1">
      <c r="B823" s="172">
        <v>1175000</v>
      </c>
      <c r="C823" s="174">
        <v>44552</v>
      </c>
      <c r="D823" s="181" t="s">
        <v>178</v>
      </c>
      <c r="E823" s="173" t="s">
        <v>33</v>
      </c>
      <c r="F823" s="176">
        <v>1835.1943396226413</v>
      </c>
      <c r="G823" s="175">
        <f t="shared" si="130"/>
        <v>11</v>
      </c>
      <c r="H823" s="175">
        <f t="shared" si="123"/>
        <v>1835.1943396226413</v>
      </c>
      <c r="I823" s="177">
        <f>IF(G823=0,0,IF(E823="MXN",1/HLOOKUP(YEAR(C823)+(MONTH(C823)/100),TC!$5:$37,DAY(C823)+2,FALSE),VLOOKUP(E823,Equivalencia!$5:$23,((MAX(Equivalencia!$3:$3)-YEAR(C823))*14)+MONTH(C823)+2,FALSE)))</f>
        <v>1</v>
      </c>
      <c r="J823" s="178">
        <f t="shared" si="131"/>
        <v>1835.1943396226413</v>
      </c>
      <c r="K823" s="462">
        <f>IF(C823=0,0,VLOOKUP(YEAR(C823),INPC!$B$4:$O$29,MONTH(C823)+1))</f>
        <v>117.30800000000001</v>
      </c>
      <c r="L823" s="462">
        <f>IF(S823=0,0,VLOOKUP(YEAR(S823),INPC!$B$4:$O$29,MONTH(S823)+1))</f>
        <v>125.276</v>
      </c>
      <c r="M823" s="463">
        <f t="shared" si="124"/>
        <v>1.0679000000000001</v>
      </c>
      <c r="N823" s="465">
        <f t="shared" si="132"/>
        <v>1959.8040352830187</v>
      </c>
      <c r="O823" s="179"/>
      <c r="P823" s="180">
        <v>11</v>
      </c>
      <c r="Q823" s="173" t="s">
        <v>583</v>
      </c>
      <c r="R823" s="173" t="s">
        <v>230</v>
      </c>
      <c r="S823" s="174">
        <v>44852</v>
      </c>
      <c r="T823" s="173" t="s">
        <v>33</v>
      </c>
      <c r="U823" s="182">
        <v>1544.5191666666667</v>
      </c>
      <c r="V823" s="177">
        <f>IF(U823=0,0,IF(T823="MXN",1/HLOOKUP(YEAR(S823)+(MONTH(S823)/100),TC!$5:$37,DAY(S823)+2,FALSE),VLOOKUP(T823,Equivalencia!$1:$23,((MAX(Equivalencia!$3:$3)-YEAR(S823))*14)+MONTH(S823)+2,FALSE)))</f>
        <v>1</v>
      </c>
      <c r="W823" s="178">
        <f t="shared" si="129"/>
        <v>1544.5191666666667</v>
      </c>
      <c r="X823" s="481">
        <f t="shared" si="125"/>
        <v>-290.67517295597463</v>
      </c>
      <c r="Y823" s="179"/>
      <c r="Z823" s="466">
        <f t="shared" si="126"/>
        <v>1959.8040352830187</v>
      </c>
      <c r="AA823" s="473">
        <f t="shared" si="127"/>
        <v>-415.28486861635201</v>
      </c>
      <c r="AB823" s="339">
        <f t="shared" si="128"/>
        <v>-0.15838931424327751</v>
      </c>
    </row>
    <row r="824" spans="2:28" ht="20.100000000000001" customHeight="1">
      <c r="B824" s="172">
        <v>1175000</v>
      </c>
      <c r="C824" s="174">
        <v>44575</v>
      </c>
      <c r="D824" s="181" t="s">
        <v>178</v>
      </c>
      <c r="E824" s="173" t="s">
        <v>33</v>
      </c>
      <c r="F824" s="176">
        <v>506.56999999999994</v>
      </c>
      <c r="G824" s="175">
        <f t="shared" si="130"/>
        <v>3</v>
      </c>
      <c r="H824" s="175">
        <f t="shared" si="123"/>
        <v>506.56999999999994</v>
      </c>
      <c r="I824" s="177">
        <f>IF(G824=0,0,IF(E824="MXN",1/HLOOKUP(YEAR(C824)+(MONTH(C824)/100),TC!$5:$37,DAY(C824)+2,FALSE),VLOOKUP(E824,Equivalencia!$5:$23,((MAX(Equivalencia!$3:$3)-YEAR(C824))*14)+MONTH(C824)+2,FALSE)))</f>
        <v>1</v>
      </c>
      <c r="J824" s="178">
        <f t="shared" si="131"/>
        <v>506.56999999999994</v>
      </c>
      <c r="K824" s="462">
        <f>IF(C824=0,0,VLOOKUP(YEAR(C824),INPC!$B$4:$O$29,MONTH(C824)+1))</f>
        <v>118.002</v>
      </c>
      <c r="L824" s="462">
        <f>IF(S824=0,0,VLOOKUP(YEAR(S824),INPC!$B$4:$O$29,MONTH(S824)+1))</f>
        <v>125.276</v>
      </c>
      <c r="M824" s="463">
        <f t="shared" si="124"/>
        <v>1.0616000000000001</v>
      </c>
      <c r="N824" s="465">
        <f t="shared" si="132"/>
        <v>537.77471200000002</v>
      </c>
      <c r="O824" s="179"/>
      <c r="P824" s="180">
        <v>3</v>
      </c>
      <c r="Q824" s="173" t="s">
        <v>583</v>
      </c>
      <c r="R824" s="173" t="s">
        <v>230</v>
      </c>
      <c r="S824" s="174">
        <v>44852</v>
      </c>
      <c r="T824" s="173" t="s">
        <v>33</v>
      </c>
      <c r="U824" s="182">
        <v>421.23249999999996</v>
      </c>
      <c r="V824" s="177">
        <f>IF(U824=0,0,IF(T824="MXN",1/HLOOKUP(YEAR(S824)+(MONTH(S824)/100),TC!$5:$37,DAY(S824)+2,FALSE),VLOOKUP(T824,Equivalencia!$1:$23,((MAX(Equivalencia!$3:$3)-YEAR(S824))*14)+MONTH(S824)+2,FALSE)))</f>
        <v>1</v>
      </c>
      <c r="W824" s="178">
        <f t="shared" si="129"/>
        <v>421.23249999999996</v>
      </c>
      <c r="X824" s="481">
        <f t="shared" si="125"/>
        <v>-85.337499999999977</v>
      </c>
      <c r="Y824" s="179"/>
      <c r="Z824" s="466">
        <f t="shared" si="126"/>
        <v>537.77471200000002</v>
      </c>
      <c r="AA824" s="473">
        <f t="shared" si="127"/>
        <v>-116.54221200000006</v>
      </c>
      <c r="AB824" s="339">
        <f t="shared" si="128"/>
        <v>-0.16846141698087136</v>
      </c>
    </row>
    <row r="825" spans="2:28" ht="20.100000000000001" customHeight="1">
      <c r="B825" s="172">
        <v>1175000</v>
      </c>
      <c r="C825" s="174">
        <v>44575</v>
      </c>
      <c r="D825" s="181" t="s">
        <v>178</v>
      </c>
      <c r="E825" s="173" t="s">
        <v>33</v>
      </c>
      <c r="F825" s="176">
        <v>1367.44</v>
      </c>
      <c r="G825" s="175">
        <f t="shared" si="130"/>
        <v>8</v>
      </c>
      <c r="H825" s="175">
        <f t="shared" si="123"/>
        <v>1367.44</v>
      </c>
      <c r="I825" s="177">
        <f>IF(G825=0,0,IF(E825="MXN",1/HLOOKUP(YEAR(C825)+(MONTH(C825)/100),TC!$5:$37,DAY(C825)+2,FALSE),VLOOKUP(E825,Equivalencia!$5:$23,((MAX(Equivalencia!$3:$3)-YEAR(C825))*14)+MONTH(C825)+2,FALSE)))</f>
        <v>1</v>
      </c>
      <c r="J825" s="178">
        <f t="shared" si="131"/>
        <v>1367.44</v>
      </c>
      <c r="K825" s="462">
        <f>IF(C825=0,0,VLOOKUP(YEAR(C825),INPC!$B$4:$O$29,MONTH(C825)+1))</f>
        <v>118.002</v>
      </c>
      <c r="L825" s="462">
        <f>IF(S825=0,0,VLOOKUP(YEAR(S825),INPC!$B$4:$O$29,MONTH(S825)+1))</f>
        <v>125.276</v>
      </c>
      <c r="M825" s="463">
        <f t="shared" si="124"/>
        <v>1.0616000000000001</v>
      </c>
      <c r="N825" s="465">
        <f t="shared" si="132"/>
        <v>1451.6743040000001</v>
      </c>
      <c r="O825" s="179"/>
      <c r="P825" s="180">
        <v>8</v>
      </c>
      <c r="Q825" s="173" t="s">
        <v>583</v>
      </c>
      <c r="R825" s="173" t="s">
        <v>230</v>
      </c>
      <c r="S825" s="174">
        <v>44852</v>
      </c>
      <c r="T825" s="173" t="s">
        <v>33</v>
      </c>
      <c r="U825" s="182">
        <v>1123.2866666666666</v>
      </c>
      <c r="V825" s="177">
        <f>IF(U825=0,0,IF(T825="MXN",1/HLOOKUP(YEAR(S825)+(MONTH(S825)/100),TC!$5:$37,DAY(S825)+2,FALSE),VLOOKUP(T825,Equivalencia!$1:$23,((MAX(Equivalencia!$3:$3)-YEAR(S825))*14)+MONTH(S825)+2,FALSE)))</f>
        <v>1</v>
      </c>
      <c r="W825" s="178">
        <f t="shared" si="129"/>
        <v>1123.2866666666666</v>
      </c>
      <c r="X825" s="481">
        <f t="shared" si="125"/>
        <v>-244.15333333333342</v>
      </c>
      <c r="Y825" s="179"/>
      <c r="Z825" s="466">
        <f t="shared" si="126"/>
        <v>1451.6743040000001</v>
      </c>
      <c r="AA825" s="473">
        <f t="shared" si="127"/>
        <v>-328.38763733333349</v>
      </c>
      <c r="AB825" s="339">
        <f t="shared" si="128"/>
        <v>-0.17854774859104128</v>
      </c>
    </row>
    <row r="826" spans="2:28" ht="20.100000000000001" customHeight="1">
      <c r="B826" s="172">
        <v>1175000</v>
      </c>
      <c r="C826" s="174">
        <v>44575</v>
      </c>
      <c r="D826" s="181" t="s">
        <v>178</v>
      </c>
      <c r="E826" s="173" t="s">
        <v>33</v>
      </c>
      <c r="F826" s="176">
        <v>339.61422222222222</v>
      </c>
      <c r="G826" s="175">
        <f t="shared" si="130"/>
        <v>2</v>
      </c>
      <c r="H826" s="175">
        <f t="shared" si="123"/>
        <v>339.61422222222222</v>
      </c>
      <c r="I826" s="177">
        <f>IF(G826=0,0,IF(E826="MXN",1/HLOOKUP(YEAR(C826)+(MONTH(C826)/100),TC!$5:$37,DAY(C826)+2,FALSE),VLOOKUP(E826,Equivalencia!$5:$23,((MAX(Equivalencia!$3:$3)-YEAR(C826))*14)+MONTH(C826)+2,FALSE)))</f>
        <v>1</v>
      </c>
      <c r="J826" s="178">
        <f t="shared" si="131"/>
        <v>339.61422222222222</v>
      </c>
      <c r="K826" s="462">
        <f>IF(C826=0,0,VLOOKUP(YEAR(C826),INPC!$B$4:$O$29,MONTH(C826)+1))</f>
        <v>118.002</v>
      </c>
      <c r="L826" s="462">
        <f>IF(S826=0,0,VLOOKUP(YEAR(S826),INPC!$B$4:$O$29,MONTH(S826)+1))</f>
        <v>125.276</v>
      </c>
      <c r="M826" s="463">
        <f t="shared" si="124"/>
        <v>1.0616000000000001</v>
      </c>
      <c r="N826" s="465">
        <f t="shared" si="132"/>
        <v>360.53445831111117</v>
      </c>
      <c r="O826" s="179"/>
      <c r="P826" s="180">
        <v>2</v>
      </c>
      <c r="Q826" s="173" t="s">
        <v>583</v>
      </c>
      <c r="R826" s="173" t="s">
        <v>230</v>
      </c>
      <c r="S826" s="174">
        <v>44852</v>
      </c>
      <c r="T826" s="173" t="s">
        <v>33</v>
      </c>
      <c r="U826" s="182">
        <v>280.82166666666666</v>
      </c>
      <c r="V826" s="177">
        <f>IF(U826=0,0,IF(T826="MXN",1/HLOOKUP(YEAR(S826)+(MONTH(S826)/100),TC!$5:$37,DAY(S826)+2,FALSE),VLOOKUP(T826,Equivalencia!$1:$23,((MAX(Equivalencia!$3:$3)-YEAR(S826))*14)+MONTH(S826)+2,FALSE)))</f>
        <v>1</v>
      </c>
      <c r="W826" s="178">
        <f t="shared" si="129"/>
        <v>280.82166666666666</v>
      </c>
      <c r="X826" s="481">
        <f t="shared" si="125"/>
        <v>-58.792555555555566</v>
      </c>
      <c r="Y826" s="179"/>
      <c r="Z826" s="466">
        <f t="shared" si="126"/>
        <v>360.53445831111117</v>
      </c>
      <c r="AA826" s="473">
        <f t="shared" si="127"/>
        <v>-79.712791644444508</v>
      </c>
      <c r="AB826" s="339">
        <f t="shared" si="128"/>
        <v>-0.17311570513994967</v>
      </c>
    </row>
    <row r="827" spans="2:28" ht="20.100000000000001" customHeight="1">
      <c r="B827" s="172">
        <v>1175000</v>
      </c>
      <c r="C827" s="174">
        <v>44575</v>
      </c>
      <c r="D827" s="181" t="s">
        <v>178</v>
      </c>
      <c r="E827" s="173" t="s">
        <v>33</v>
      </c>
      <c r="F827" s="176">
        <v>509.42133333333334</v>
      </c>
      <c r="G827" s="175">
        <f t="shared" si="130"/>
        <v>3</v>
      </c>
      <c r="H827" s="175">
        <f t="shared" si="123"/>
        <v>509.42133333333334</v>
      </c>
      <c r="I827" s="177">
        <f>IF(G827=0,0,IF(E827="MXN",1/HLOOKUP(YEAR(C827)+(MONTH(C827)/100),TC!$5:$37,DAY(C827)+2,FALSE),VLOOKUP(E827,Equivalencia!$5:$23,((MAX(Equivalencia!$3:$3)-YEAR(C827))*14)+MONTH(C827)+2,FALSE)))</f>
        <v>1</v>
      </c>
      <c r="J827" s="178">
        <f t="shared" si="131"/>
        <v>509.42133333333334</v>
      </c>
      <c r="K827" s="462">
        <f>IF(C827=0,0,VLOOKUP(YEAR(C827),INPC!$B$4:$O$29,MONTH(C827)+1))</f>
        <v>118.002</v>
      </c>
      <c r="L827" s="462">
        <f>IF(S827=0,0,VLOOKUP(YEAR(S827),INPC!$B$4:$O$29,MONTH(S827)+1))</f>
        <v>125.276</v>
      </c>
      <c r="M827" s="463">
        <f t="shared" si="124"/>
        <v>1.0616000000000001</v>
      </c>
      <c r="N827" s="465">
        <f t="shared" si="132"/>
        <v>540.80168746666675</v>
      </c>
      <c r="O827" s="179"/>
      <c r="P827" s="180">
        <v>3</v>
      </c>
      <c r="Q827" s="173" t="s">
        <v>583</v>
      </c>
      <c r="R827" s="173" t="s">
        <v>230</v>
      </c>
      <c r="S827" s="174">
        <v>44853</v>
      </c>
      <c r="T827" s="173" t="s">
        <v>33</v>
      </c>
      <c r="U827" s="182">
        <v>419.07</v>
      </c>
      <c r="V827" s="177">
        <f>IF(U827=0,0,IF(T827="MXN",1/HLOOKUP(YEAR(S827)+(MONTH(S827)/100),TC!$5:$37,DAY(S827)+2,FALSE),VLOOKUP(T827,Equivalencia!$1:$23,((MAX(Equivalencia!$3:$3)-YEAR(S827))*14)+MONTH(S827)+2,FALSE)))</f>
        <v>1</v>
      </c>
      <c r="W827" s="178">
        <f t="shared" si="129"/>
        <v>419.07</v>
      </c>
      <c r="X827" s="481">
        <f t="shared" si="125"/>
        <v>-90.351333333333343</v>
      </c>
      <c r="Y827" s="179"/>
      <c r="Z827" s="466">
        <f t="shared" si="126"/>
        <v>540.80168746666675</v>
      </c>
      <c r="AA827" s="473">
        <f t="shared" si="127"/>
        <v>-121.73168746666676</v>
      </c>
      <c r="AB827" s="339">
        <f t="shared" si="128"/>
        <v>-0.17736071778174456</v>
      </c>
    </row>
    <row r="828" spans="2:28" ht="20.100000000000001" customHeight="1">
      <c r="B828" s="172">
        <v>1175000</v>
      </c>
      <c r="C828" s="174">
        <v>44575</v>
      </c>
      <c r="D828" s="181" t="s">
        <v>178</v>
      </c>
      <c r="E828" s="173" t="s">
        <v>33</v>
      </c>
      <c r="F828" s="176">
        <v>1528.2640000000001</v>
      </c>
      <c r="G828" s="175">
        <f t="shared" si="130"/>
        <v>9</v>
      </c>
      <c r="H828" s="175">
        <f t="shared" si="123"/>
        <v>1528.2640000000001</v>
      </c>
      <c r="I828" s="177">
        <f>IF(G828=0,0,IF(E828="MXN",1/HLOOKUP(YEAR(C828)+(MONTH(C828)/100),TC!$5:$37,DAY(C828)+2,FALSE),VLOOKUP(E828,Equivalencia!$5:$23,((MAX(Equivalencia!$3:$3)-YEAR(C828))*14)+MONTH(C828)+2,FALSE)))</f>
        <v>1</v>
      </c>
      <c r="J828" s="178">
        <f t="shared" si="131"/>
        <v>1528.2640000000001</v>
      </c>
      <c r="K828" s="462">
        <f>IF(C828=0,0,VLOOKUP(YEAR(C828),INPC!$B$4:$O$29,MONTH(C828)+1))</f>
        <v>118.002</v>
      </c>
      <c r="L828" s="462">
        <f>IF(S828=0,0,VLOOKUP(YEAR(S828),INPC!$B$4:$O$29,MONTH(S828)+1))</f>
        <v>125.276</v>
      </c>
      <c r="M828" s="463">
        <f t="shared" si="124"/>
        <v>1.0616000000000001</v>
      </c>
      <c r="N828" s="465">
        <f t="shared" si="132"/>
        <v>1622.4050624000004</v>
      </c>
      <c r="O828" s="179"/>
      <c r="P828" s="180">
        <v>9</v>
      </c>
      <c r="Q828" s="173" t="s">
        <v>583</v>
      </c>
      <c r="R828" s="173" t="s">
        <v>230</v>
      </c>
      <c r="S828" s="174">
        <v>44859</v>
      </c>
      <c r="T828" s="173" t="s">
        <v>33</v>
      </c>
      <c r="U828" s="182">
        <v>1283.8900000000001</v>
      </c>
      <c r="V828" s="177">
        <f>IF(U828=0,0,IF(T828="MXN",1/HLOOKUP(YEAR(S828)+(MONTH(S828)/100),TC!$5:$37,DAY(S828)+2,FALSE),VLOOKUP(T828,Equivalencia!$1:$23,((MAX(Equivalencia!$3:$3)-YEAR(S828))*14)+MONTH(S828)+2,FALSE)))</f>
        <v>1</v>
      </c>
      <c r="W828" s="178">
        <f t="shared" si="129"/>
        <v>1283.8900000000001</v>
      </c>
      <c r="X828" s="481">
        <f t="shared" si="125"/>
        <v>-244.37400000000002</v>
      </c>
      <c r="Y828" s="179"/>
      <c r="Z828" s="466">
        <f t="shared" si="126"/>
        <v>1622.4050624000004</v>
      </c>
      <c r="AA828" s="473">
        <f t="shared" si="127"/>
        <v>-338.51506240000026</v>
      </c>
      <c r="AB828" s="339">
        <f t="shared" si="128"/>
        <v>-0.15990300105217425</v>
      </c>
    </row>
    <row r="829" spans="2:28" ht="20.100000000000001" customHeight="1">
      <c r="B829" s="172">
        <v>1175000</v>
      </c>
      <c r="C829" s="174">
        <v>44575</v>
      </c>
      <c r="D829" s="181" t="s">
        <v>178</v>
      </c>
      <c r="E829" s="173" t="s">
        <v>33</v>
      </c>
      <c r="F829" s="176">
        <v>5264.0204444444444</v>
      </c>
      <c r="G829" s="175">
        <f t="shared" si="130"/>
        <v>31</v>
      </c>
      <c r="H829" s="175">
        <f t="shared" si="123"/>
        <v>5264.0204444444444</v>
      </c>
      <c r="I829" s="177">
        <f>IF(G829=0,0,IF(E829="MXN",1/HLOOKUP(YEAR(C829)+(MONTH(C829)/100),TC!$5:$37,DAY(C829)+2,FALSE),VLOOKUP(E829,Equivalencia!$5:$23,((MAX(Equivalencia!$3:$3)-YEAR(C829))*14)+MONTH(C829)+2,FALSE)))</f>
        <v>1</v>
      </c>
      <c r="J829" s="178">
        <f t="shared" si="131"/>
        <v>5264.0204444444444</v>
      </c>
      <c r="K829" s="462">
        <f>IF(C829=0,0,VLOOKUP(YEAR(C829),INPC!$B$4:$O$29,MONTH(C829)+1))</f>
        <v>118.002</v>
      </c>
      <c r="L829" s="462">
        <f>IF(S829=0,0,VLOOKUP(YEAR(S829),INPC!$B$4:$O$29,MONTH(S829)+1))</f>
        <v>125.276</v>
      </c>
      <c r="M829" s="463">
        <f t="shared" si="124"/>
        <v>1.0616000000000001</v>
      </c>
      <c r="N829" s="465">
        <f t="shared" si="132"/>
        <v>5588.2841038222223</v>
      </c>
      <c r="O829" s="179"/>
      <c r="P829" s="180">
        <v>31</v>
      </c>
      <c r="Q829" s="173" t="s">
        <v>583</v>
      </c>
      <c r="R829" s="173" t="s">
        <v>230</v>
      </c>
      <c r="S829" s="174">
        <v>44859</v>
      </c>
      <c r="T829" s="173" t="s">
        <v>33</v>
      </c>
      <c r="U829" s="182">
        <v>4482.7596969696979</v>
      </c>
      <c r="V829" s="177">
        <f>IF(U829=0,0,IF(T829="MXN",1/HLOOKUP(YEAR(S829)+(MONTH(S829)/100),TC!$5:$37,DAY(S829)+2,FALSE),VLOOKUP(T829,Equivalencia!$1:$23,((MAX(Equivalencia!$3:$3)-YEAR(S829))*14)+MONTH(S829)+2,FALSE)))</f>
        <v>1</v>
      </c>
      <c r="W829" s="178">
        <f t="shared" si="129"/>
        <v>4482.7596969696979</v>
      </c>
      <c r="X829" s="481">
        <f t="shared" si="125"/>
        <v>-781.26074747474649</v>
      </c>
      <c r="Y829" s="179"/>
      <c r="Z829" s="466">
        <f t="shared" si="126"/>
        <v>5588.2841038222223</v>
      </c>
      <c r="AA829" s="473">
        <f t="shared" si="127"/>
        <v>-1105.5244068525244</v>
      </c>
      <c r="AB829" s="339">
        <f t="shared" si="128"/>
        <v>-0.14841521907447675</v>
      </c>
    </row>
    <row r="830" spans="2:28" ht="20.100000000000001" customHeight="1">
      <c r="B830" s="172">
        <v>1175000</v>
      </c>
      <c r="C830" s="174">
        <v>44617</v>
      </c>
      <c r="D830" s="181" t="s">
        <v>178</v>
      </c>
      <c r="E830" s="173" t="s">
        <v>33</v>
      </c>
      <c r="F830" s="176">
        <v>295.85846153846154</v>
      </c>
      <c r="G830" s="175">
        <f t="shared" si="130"/>
        <v>2</v>
      </c>
      <c r="H830" s="175">
        <f t="shared" si="123"/>
        <v>295.85846153846154</v>
      </c>
      <c r="I830" s="177">
        <f>IF(G830=0,0,IF(E830="MXN",1/HLOOKUP(YEAR(C830)+(MONTH(C830)/100),TC!$5:$37,DAY(C830)+2,FALSE),VLOOKUP(E830,Equivalencia!$5:$23,((MAX(Equivalencia!$3:$3)-YEAR(C830))*14)+MONTH(C830)+2,FALSE)))</f>
        <v>1</v>
      </c>
      <c r="J830" s="178">
        <f t="shared" si="131"/>
        <v>295.85846153846154</v>
      </c>
      <c r="K830" s="462">
        <f>IF(C830=0,0,VLOOKUP(YEAR(C830),INPC!$B$4:$O$29,MONTH(C830)+1))</f>
        <v>118.98099999999999</v>
      </c>
      <c r="L830" s="462">
        <f>IF(S830=0,0,VLOOKUP(YEAR(S830),INPC!$B$4:$O$29,MONTH(S830)+1))</f>
        <v>125.276</v>
      </c>
      <c r="M830" s="463">
        <f t="shared" si="124"/>
        <v>1.0528999999999999</v>
      </c>
      <c r="N830" s="465">
        <f t="shared" si="132"/>
        <v>311.50937415384612</v>
      </c>
      <c r="O830" s="179"/>
      <c r="P830" s="180">
        <v>2</v>
      </c>
      <c r="Q830" s="173" t="s">
        <v>583</v>
      </c>
      <c r="R830" s="173" t="s">
        <v>230</v>
      </c>
      <c r="S830" s="174">
        <v>44859</v>
      </c>
      <c r="T830" s="173" t="s">
        <v>33</v>
      </c>
      <c r="U830" s="182">
        <v>289.21030303030307</v>
      </c>
      <c r="V830" s="177">
        <f>IF(U830=0,0,IF(T830="MXN",1/HLOOKUP(YEAR(S830)+(MONTH(S830)/100),TC!$5:$37,DAY(S830)+2,FALSE),VLOOKUP(T830,Equivalencia!$1:$23,((MAX(Equivalencia!$3:$3)-YEAR(S830))*14)+MONTH(S830)+2,FALSE)))</f>
        <v>1</v>
      </c>
      <c r="W830" s="178">
        <f t="shared" si="129"/>
        <v>289.21030303030307</v>
      </c>
      <c r="X830" s="481">
        <f t="shared" si="125"/>
        <v>-6.648158508158474</v>
      </c>
      <c r="Y830" s="179"/>
      <c r="Z830" s="466">
        <f t="shared" si="126"/>
        <v>311.50937415384612</v>
      </c>
      <c r="AA830" s="473">
        <f t="shared" si="127"/>
        <v>-22.299071123543058</v>
      </c>
      <c r="AB830" s="339">
        <f t="shared" si="128"/>
        <v>-2.2470739804391959E-2</v>
      </c>
    </row>
    <row r="831" spans="2:28" ht="20.100000000000001" customHeight="1">
      <c r="B831" s="172">
        <v>1175000</v>
      </c>
      <c r="C831" s="174">
        <v>44617</v>
      </c>
      <c r="D831" s="181" t="s">
        <v>178</v>
      </c>
      <c r="E831" s="173" t="s">
        <v>33</v>
      </c>
      <c r="F831" s="176">
        <v>591.71692307692308</v>
      </c>
      <c r="G831" s="175">
        <f t="shared" si="130"/>
        <v>4</v>
      </c>
      <c r="H831" s="175">
        <f t="shared" si="123"/>
        <v>591.71692307692308</v>
      </c>
      <c r="I831" s="177">
        <f>IF(G831=0,0,IF(E831="MXN",1/HLOOKUP(YEAR(C831)+(MONTH(C831)/100),TC!$5:$37,DAY(C831)+2,FALSE),VLOOKUP(E831,Equivalencia!$5:$23,((MAX(Equivalencia!$3:$3)-YEAR(C831))*14)+MONTH(C831)+2,FALSE)))</f>
        <v>1</v>
      </c>
      <c r="J831" s="178">
        <f t="shared" si="131"/>
        <v>591.71692307692308</v>
      </c>
      <c r="K831" s="462">
        <f>IF(C831=0,0,VLOOKUP(YEAR(C831),INPC!$B$4:$O$29,MONTH(C831)+1))</f>
        <v>118.98099999999999</v>
      </c>
      <c r="L831" s="462">
        <f>IF(S831=0,0,VLOOKUP(YEAR(S831),INPC!$B$4:$O$29,MONTH(S831)+1))</f>
        <v>125.276</v>
      </c>
      <c r="M831" s="463">
        <f t="shared" si="124"/>
        <v>1.0528999999999999</v>
      </c>
      <c r="N831" s="465">
        <f t="shared" si="132"/>
        <v>623.01874830769225</v>
      </c>
      <c r="O831" s="179"/>
      <c r="P831" s="180">
        <v>4</v>
      </c>
      <c r="Q831" s="173" t="s">
        <v>583</v>
      </c>
      <c r="R831" s="173" t="s">
        <v>230</v>
      </c>
      <c r="S831" s="174">
        <v>44859</v>
      </c>
      <c r="T831" s="173" t="s">
        <v>33</v>
      </c>
      <c r="U831" s="182">
        <v>572.51</v>
      </c>
      <c r="V831" s="177">
        <f>IF(U831=0,0,IF(T831="MXN",1/HLOOKUP(YEAR(S831)+(MONTH(S831)/100),TC!$5:$37,DAY(S831)+2,FALSE),VLOOKUP(T831,Equivalencia!$1:$23,((MAX(Equivalencia!$3:$3)-YEAR(S831))*14)+MONTH(S831)+2,FALSE)))</f>
        <v>1</v>
      </c>
      <c r="W831" s="178">
        <f t="shared" si="129"/>
        <v>572.51</v>
      </c>
      <c r="X831" s="481">
        <f t="shared" si="125"/>
        <v>-19.20692307692309</v>
      </c>
      <c r="Y831" s="179"/>
      <c r="Z831" s="466">
        <f t="shared" si="126"/>
        <v>623.01874830769225</v>
      </c>
      <c r="AA831" s="473">
        <f t="shared" si="127"/>
        <v>-50.508748307692258</v>
      </c>
      <c r="AB831" s="339">
        <f t="shared" si="128"/>
        <v>-3.245964806456314E-2</v>
      </c>
    </row>
    <row r="832" spans="2:28" ht="20.100000000000001" customHeight="1">
      <c r="B832" s="172">
        <v>1175000</v>
      </c>
      <c r="C832" s="174">
        <v>44608</v>
      </c>
      <c r="D832" s="181" t="s">
        <v>180</v>
      </c>
      <c r="E832" s="173" t="s">
        <v>33</v>
      </c>
      <c r="F832" s="176">
        <v>784.28</v>
      </c>
      <c r="G832" s="175">
        <f t="shared" si="130"/>
        <v>4</v>
      </c>
      <c r="H832" s="175">
        <f t="shared" si="123"/>
        <v>784.28</v>
      </c>
      <c r="I832" s="177">
        <f>IF(G832=0,0,IF(E832="MXN",1/HLOOKUP(YEAR(C832)+(MONTH(C832)/100),TC!$5:$37,DAY(C832)+2,FALSE),VLOOKUP(E832,Equivalencia!$5:$23,((MAX(Equivalencia!$3:$3)-YEAR(C832))*14)+MONTH(C832)+2,FALSE)))</f>
        <v>1</v>
      </c>
      <c r="J832" s="178">
        <f t="shared" si="131"/>
        <v>784.28</v>
      </c>
      <c r="K832" s="462">
        <f>IF(C832=0,0,VLOOKUP(YEAR(C832),INPC!$B$4:$O$29,MONTH(C832)+1))</f>
        <v>118.98099999999999</v>
      </c>
      <c r="L832" s="462">
        <f>IF(S832=0,0,VLOOKUP(YEAR(S832),INPC!$B$4:$O$29,MONTH(S832)+1))</f>
        <v>125.276</v>
      </c>
      <c r="M832" s="463">
        <f t="shared" si="124"/>
        <v>1.0528999999999999</v>
      </c>
      <c r="N832" s="465">
        <f t="shared" si="132"/>
        <v>825.7684119999999</v>
      </c>
      <c r="O832" s="179"/>
      <c r="P832" s="180">
        <v>4</v>
      </c>
      <c r="Q832" s="173" t="s">
        <v>583</v>
      </c>
      <c r="R832" s="173" t="s">
        <v>230</v>
      </c>
      <c r="S832" s="174">
        <v>44846</v>
      </c>
      <c r="T832" s="173" t="s">
        <v>33</v>
      </c>
      <c r="U832" s="182">
        <v>567.98</v>
      </c>
      <c r="V832" s="177">
        <f>IF(U832=0,0,IF(T832="MXN",1/HLOOKUP(YEAR(S832)+(MONTH(S832)/100),TC!$5:$37,DAY(S832)+2,FALSE),VLOOKUP(T832,Equivalencia!$1:$23,((MAX(Equivalencia!$3:$3)-YEAR(S832))*14)+MONTH(S832)+2,FALSE)))</f>
        <v>1</v>
      </c>
      <c r="W832" s="178">
        <f t="shared" si="129"/>
        <v>567.98</v>
      </c>
      <c r="X832" s="481">
        <f t="shared" si="125"/>
        <v>-216.29999999999995</v>
      </c>
      <c r="Y832" s="179"/>
      <c r="Z832" s="466">
        <f t="shared" si="126"/>
        <v>825.7684119999999</v>
      </c>
      <c r="AA832" s="473">
        <f t="shared" si="127"/>
        <v>-257.78841199999988</v>
      </c>
      <c r="AB832" s="339">
        <f t="shared" si="128"/>
        <v>-0.27579435915744377</v>
      </c>
    </row>
    <row r="833" spans="2:28" ht="20.100000000000001" customHeight="1">
      <c r="B833" s="172">
        <v>1175000</v>
      </c>
      <c r="C833" s="174">
        <v>44608</v>
      </c>
      <c r="D833" s="181" t="s">
        <v>180</v>
      </c>
      <c r="E833" s="173" t="s">
        <v>33</v>
      </c>
      <c r="F833" s="176">
        <v>2548.91</v>
      </c>
      <c r="G833" s="175">
        <f t="shared" si="130"/>
        <v>13</v>
      </c>
      <c r="H833" s="175">
        <f t="shared" si="123"/>
        <v>2548.91</v>
      </c>
      <c r="I833" s="177">
        <f>IF(G833=0,0,IF(E833="MXN",1/HLOOKUP(YEAR(C833)+(MONTH(C833)/100),TC!$5:$37,DAY(C833)+2,FALSE),VLOOKUP(E833,Equivalencia!$5:$23,((MAX(Equivalencia!$3:$3)-YEAR(C833))*14)+MONTH(C833)+2,FALSE)))</f>
        <v>1</v>
      </c>
      <c r="J833" s="178">
        <f t="shared" si="131"/>
        <v>2548.91</v>
      </c>
      <c r="K833" s="462">
        <f>IF(C833=0,0,VLOOKUP(YEAR(C833),INPC!$B$4:$O$29,MONTH(C833)+1))</f>
        <v>118.98099999999999</v>
      </c>
      <c r="L833" s="462">
        <f>IF(S833=0,0,VLOOKUP(YEAR(S833),INPC!$B$4:$O$29,MONTH(S833)+1))</f>
        <v>125.276</v>
      </c>
      <c r="M833" s="463">
        <f t="shared" si="124"/>
        <v>1.0528999999999999</v>
      </c>
      <c r="N833" s="465">
        <f t="shared" si="132"/>
        <v>2683.7473389999996</v>
      </c>
      <c r="O833" s="179"/>
      <c r="P833" s="180">
        <v>13</v>
      </c>
      <c r="Q833" s="173" t="s">
        <v>583</v>
      </c>
      <c r="R833" s="173" t="s">
        <v>230</v>
      </c>
      <c r="S833" s="174">
        <v>44846</v>
      </c>
      <c r="T833" s="173" t="s">
        <v>33</v>
      </c>
      <c r="U833" s="182">
        <v>1836.3920930232557</v>
      </c>
      <c r="V833" s="177">
        <f>IF(U833=0,0,IF(T833="MXN",1/HLOOKUP(YEAR(S833)+(MONTH(S833)/100),TC!$5:$37,DAY(S833)+2,FALSE),VLOOKUP(T833,Equivalencia!$1:$23,((MAX(Equivalencia!$3:$3)-YEAR(S833))*14)+MONTH(S833)+2,FALSE)))</f>
        <v>1</v>
      </c>
      <c r="W833" s="178">
        <f t="shared" si="129"/>
        <v>1836.3920930232557</v>
      </c>
      <c r="X833" s="481">
        <f t="shared" si="125"/>
        <v>-712.51790697674414</v>
      </c>
      <c r="Y833" s="179"/>
      <c r="Z833" s="466">
        <f t="shared" si="126"/>
        <v>2683.7473389999996</v>
      </c>
      <c r="AA833" s="473">
        <f t="shared" si="127"/>
        <v>-847.35524597674384</v>
      </c>
      <c r="AB833" s="339">
        <f t="shared" si="128"/>
        <v>-0.27953827595981973</v>
      </c>
    </row>
    <row r="834" spans="2:28" ht="20.100000000000001" customHeight="1">
      <c r="B834" s="172">
        <v>1175000</v>
      </c>
      <c r="C834" s="174">
        <v>44609</v>
      </c>
      <c r="D834" s="181" t="s">
        <v>180</v>
      </c>
      <c r="E834" s="173" t="s">
        <v>33</v>
      </c>
      <c r="F834" s="176">
        <v>392.14</v>
      </c>
      <c r="G834" s="175">
        <f t="shared" si="130"/>
        <v>2</v>
      </c>
      <c r="H834" s="175">
        <f t="shared" ref="H834:H897" si="133">IF(F834=0,0,(F834/G834)*P834)</f>
        <v>392.14</v>
      </c>
      <c r="I834" s="177">
        <f>IF(G834=0,0,IF(E834="MXN",1/HLOOKUP(YEAR(C834)+(MONTH(C834)/100),TC!$5:$37,DAY(C834)+2,FALSE),VLOOKUP(E834,Equivalencia!$5:$23,((MAX(Equivalencia!$3:$3)-YEAR(C834))*14)+MONTH(C834)+2,FALSE)))</f>
        <v>1</v>
      </c>
      <c r="J834" s="178">
        <f t="shared" si="131"/>
        <v>392.14</v>
      </c>
      <c r="K834" s="462">
        <f>IF(C834=0,0,VLOOKUP(YEAR(C834),INPC!$B$4:$O$29,MONTH(C834)+1))</f>
        <v>118.98099999999999</v>
      </c>
      <c r="L834" s="462">
        <f>IF(S834=0,0,VLOOKUP(YEAR(S834),INPC!$B$4:$O$29,MONTH(S834)+1))</f>
        <v>125.276</v>
      </c>
      <c r="M834" s="463">
        <f t="shared" ref="M834:M897" si="134">IF(H834=0,0,IF(R834=$AF$4,1,IF(TRUNC(L834/K834,4)&gt;=1,TRUNC(L834/K834,4),1)))</f>
        <v>1.0528999999999999</v>
      </c>
      <c r="N834" s="465">
        <f t="shared" si="132"/>
        <v>412.88420599999995</v>
      </c>
      <c r="O834" s="179"/>
      <c r="P834" s="180">
        <v>2</v>
      </c>
      <c r="Q834" s="173" t="s">
        <v>583</v>
      </c>
      <c r="R834" s="173" t="s">
        <v>230</v>
      </c>
      <c r="S834" s="174">
        <v>44846</v>
      </c>
      <c r="T834" s="173" t="s">
        <v>33</v>
      </c>
      <c r="U834" s="182">
        <v>282.52186046511628</v>
      </c>
      <c r="V834" s="177">
        <f>IF(U834=0,0,IF(T834="MXN",1/HLOOKUP(YEAR(S834)+(MONTH(S834)/100),TC!$5:$37,DAY(S834)+2,FALSE),VLOOKUP(T834,Equivalencia!$1:$23,((MAX(Equivalencia!$3:$3)-YEAR(S834))*14)+MONTH(S834)+2,FALSE)))</f>
        <v>1</v>
      </c>
      <c r="W834" s="178">
        <f t="shared" si="129"/>
        <v>282.52186046511628</v>
      </c>
      <c r="X834" s="481">
        <f t="shared" ref="X834:X897" si="135">+W834-J834</f>
        <v>-109.61813953488371</v>
      </c>
      <c r="Y834" s="179"/>
      <c r="Z834" s="466">
        <f t="shared" ref="Z834:Z897" si="136">N834</f>
        <v>412.88420599999995</v>
      </c>
      <c r="AA834" s="473">
        <f t="shared" ref="AA834:AA897" si="137">+W834-Z834</f>
        <v>-130.36234553488367</v>
      </c>
      <c r="AB834" s="339">
        <f t="shared" ref="AB834:AB897" si="138">+IF(P834=0,0,(U834/F834)-1)</f>
        <v>-0.27953827595981973</v>
      </c>
    </row>
    <row r="835" spans="2:28" ht="20.100000000000001" customHeight="1">
      <c r="B835" s="172">
        <v>1175000</v>
      </c>
      <c r="C835" s="174">
        <v>44622</v>
      </c>
      <c r="D835" s="181" t="s">
        <v>180</v>
      </c>
      <c r="E835" s="173" t="s">
        <v>33</v>
      </c>
      <c r="F835" s="176">
        <v>378.33</v>
      </c>
      <c r="G835" s="175">
        <f t="shared" si="130"/>
        <v>2</v>
      </c>
      <c r="H835" s="175">
        <f t="shared" si="133"/>
        <v>378.33</v>
      </c>
      <c r="I835" s="177">
        <f>IF(G835=0,0,IF(E835="MXN",1/HLOOKUP(YEAR(C835)+(MONTH(C835)/100),TC!$5:$37,DAY(C835)+2,FALSE),VLOOKUP(E835,Equivalencia!$5:$23,((MAX(Equivalencia!$3:$3)-YEAR(C835))*14)+MONTH(C835)+2,FALSE)))</f>
        <v>1</v>
      </c>
      <c r="J835" s="178">
        <f t="shared" si="131"/>
        <v>378.33</v>
      </c>
      <c r="K835" s="462">
        <f>IF(C835=0,0,VLOOKUP(YEAR(C835),INPC!$B$4:$O$29,MONTH(C835)+1))</f>
        <v>120.15900000000001</v>
      </c>
      <c r="L835" s="462">
        <f>IF(S835=0,0,VLOOKUP(YEAR(S835),INPC!$B$4:$O$29,MONTH(S835)+1))</f>
        <v>125.276</v>
      </c>
      <c r="M835" s="463">
        <f t="shared" si="134"/>
        <v>1.0425</v>
      </c>
      <c r="N835" s="465">
        <f t="shared" si="132"/>
        <v>394.40902499999999</v>
      </c>
      <c r="O835" s="179"/>
      <c r="P835" s="180">
        <v>2</v>
      </c>
      <c r="Q835" s="173" t="s">
        <v>583</v>
      </c>
      <c r="R835" s="173" t="s">
        <v>230</v>
      </c>
      <c r="S835" s="174">
        <v>44846</v>
      </c>
      <c r="T835" s="173" t="s">
        <v>33</v>
      </c>
      <c r="U835" s="182">
        <v>282.52186046511628</v>
      </c>
      <c r="V835" s="177">
        <f>IF(U835=0,0,IF(T835="MXN",1/HLOOKUP(YEAR(S835)+(MONTH(S835)/100),TC!$5:$37,DAY(S835)+2,FALSE),VLOOKUP(T835,Equivalencia!$1:$23,((MAX(Equivalencia!$3:$3)-YEAR(S835))*14)+MONTH(S835)+2,FALSE)))</f>
        <v>1</v>
      </c>
      <c r="W835" s="178">
        <f t="shared" ref="W835:W898" si="139">+V835*U835</f>
        <v>282.52186046511628</v>
      </c>
      <c r="X835" s="481">
        <f t="shared" si="135"/>
        <v>-95.808139534883708</v>
      </c>
      <c r="Y835" s="179"/>
      <c r="Z835" s="466">
        <f t="shared" si="136"/>
        <v>394.40902499999999</v>
      </c>
      <c r="AA835" s="473">
        <f t="shared" si="137"/>
        <v>-111.88716453488371</v>
      </c>
      <c r="AB835" s="339">
        <f t="shared" si="138"/>
        <v>-0.25323960440589888</v>
      </c>
    </row>
    <row r="836" spans="2:28" ht="20.100000000000001" customHeight="1">
      <c r="B836" s="172">
        <v>1175000</v>
      </c>
      <c r="C836" s="174">
        <v>44622</v>
      </c>
      <c r="D836" s="181" t="s">
        <v>180</v>
      </c>
      <c r="E836" s="173" t="s">
        <v>33</v>
      </c>
      <c r="F836" s="176">
        <v>757.94</v>
      </c>
      <c r="G836" s="175">
        <f t="shared" si="130"/>
        <v>4</v>
      </c>
      <c r="H836" s="175">
        <f t="shared" si="133"/>
        <v>757.94</v>
      </c>
      <c r="I836" s="177">
        <f>IF(G836=0,0,IF(E836="MXN",1/HLOOKUP(YEAR(C836)+(MONTH(C836)/100),TC!$5:$37,DAY(C836)+2,FALSE),VLOOKUP(E836,Equivalencia!$5:$23,((MAX(Equivalencia!$3:$3)-YEAR(C836))*14)+MONTH(C836)+2,FALSE)))</f>
        <v>1</v>
      </c>
      <c r="J836" s="178">
        <f t="shared" si="131"/>
        <v>757.94</v>
      </c>
      <c r="K836" s="462">
        <f>IF(C836=0,0,VLOOKUP(YEAR(C836),INPC!$B$4:$O$29,MONTH(C836)+1))</f>
        <v>120.15900000000001</v>
      </c>
      <c r="L836" s="462">
        <f>IF(S836=0,0,VLOOKUP(YEAR(S836),INPC!$B$4:$O$29,MONTH(S836)+1))</f>
        <v>125.276</v>
      </c>
      <c r="M836" s="463">
        <f t="shared" si="134"/>
        <v>1.0425</v>
      </c>
      <c r="N836" s="465">
        <f t="shared" si="132"/>
        <v>790.15245000000004</v>
      </c>
      <c r="O836" s="179"/>
      <c r="P836" s="180">
        <v>4</v>
      </c>
      <c r="Q836" s="173" t="s">
        <v>583</v>
      </c>
      <c r="R836" s="173" t="s">
        <v>230</v>
      </c>
      <c r="S836" s="174">
        <v>44846</v>
      </c>
      <c r="T836" s="173" t="s">
        <v>33</v>
      </c>
      <c r="U836" s="182">
        <v>565.04372093023255</v>
      </c>
      <c r="V836" s="177">
        <f>IF(U836=0,0,IF(T836="MXN",1/HLOOKUP(YEAR(S836)+(MONTH(S836)/100),TC!$5:$37,DAY(S836)+2,FALSE),VLOOKUP(T836,Equivalencia!$1:$23,((MAX(Equivalencia!$3:$3)-YEAR(S836))*14)+MONTH(S836)+2,FALSE)))</f>
        <v>1</v>
      </c>
      <c r="W836" s="178">
        <f t="shared" si="139"/>
        <v>565.04372093023255</v>
      </c>
      <c r="X836" s="481">
        <f t="shared" si="135"/>
        <v>-192.8962790697675</v>
      </c>
      <c r="Y836" s="179"/>
      <c r="Z836" s="466">
        <f t="shared" si="136"/>
        <v>790.15245000000004</v>
      </c>
      <c r="AA836" s="473">
        <f t="shared" si="137"/>
        <v>-225.10872906976749</v>
      </c>
      <c r="AB836" s="339">
        <f t="shared" si="138"/>
        <v>-0.25450072442379013</v>
      </c>
    </row>
    <row r="837" spans="2:28" ht="20.100000000000001" customHeight="1">
      <c r="B837" s="172">
        <v>1175000</v>
      </c>
      <c r="C837" s="174">
        <v>44622</v>
      </c>
      <c r="D837" s="181" t="s">
        <v>180</v>
      </c>
      <c r="E837" s="173" t="s">
        <v>33</v>
      </c>
      <c r="F837" s="176">
        <v>565.08000000000004</v>
      </c>
      <c r="G837" s="175">
        <f t="shared" si="130"/>
        <v>3</v>
      </c>
      <c r="H837" s="175">
        <f t="shared" si="133"/>
        <v>565.08000000000004</v>
      </c>
      <c r="I837" s="177">
        <f>IF(G837=0,0,IF(E837="MXN",1/HLOOKUP(YEAR(C837)+(MONTH(C837)/100),TC!$5:$37,DAY(C837)+2,FALSE),VLOOKUP(E837,Equivalencia!$5:$23,((MAX(Equivalencia!$3:$3)-YEAR(C837))*14)+MONTH(C837)+2,FALSE)))</f>
        <v>1</v>
      </c>
      <c r="J837" s="178">
        <f t="shared" si="131"/>
        <v>565.08000000000004</v>
      </c>
      <c r="K837" s="462">
        <f>IF(C837=0,0,VLOOKUP(YEAR(C837),INPC!$B$4:$O$29,MONTH(C837)+1))</f>
        <v>120.15900000000001</v>
      </c>
      <c r="L837" s="462">
        <f>IF(S837=0,0,VLOOKUP(YEAR(S837),INPC!$B$4:$O$29,MONTH(S837)+1))</f>
        <v>125.276</v>
      </c>
      <c r="M837" s="463">
        <f t="shared" si="134"/>
        <v>1.0425</v>
      </c>
      <c r="N837" s="465">
        <f t="shared" si="132"/>
        <v>589.09590000000003</v>
      </c>
      <c r="O837" s="179"/>
      <c r="P837" s="180">
        <v>3</v>
      </c>
      <c r="Q837" s="173" t="s">
        <v>583</v>
      </c>
      <c r="R837" s="173" t="s">
        <v>230</v>
      </c>
      <c r="S837" s="174">
        <v>44846</v>
      </c>
      <c r="T837" s="173" t="s">
        <v>33</v>
      </c>
      <c r="U837" s="182">
        <v>423.78279069767439</v>
      </c>
      <c r="V837" s="177">
        <f>IF(U837=0,0,IF(T837="MXN",1/HLOOKUP(YEAR(S837)+(MONTH(S837)/100),TC!$5:$37,DAY(S837)+2,FALSE),VLOOKUP(T837,Equivalencia!$1:$23,((MAX(Equivalencia!$3:$3)-YEAR(S837))*14)+MONTH(S837)+2,FALSE)))</f>
        <v>1</v>
      </c>
      <c r="W837" s="178">
        <f t="shared" si="139"/>
        <v>423.78279069767439</v>
      </c>
      <c r="X837" s="481">
        <f t="shared" si="135"/>
        <v>-141.29720930232565</v>
      </c>
      <c r="Y837" s="179"/>
      <c r="Z837" s="466">
        <f t="shared" si="136"/>
        <v>589.09590000000003</v>
      </c>
      <c r="AA837" s="473">
        <f t="shared" si="137"/>
        <v>-165.31310930232564</v>
      </c>
      <c r="AB837" s="339">
        <f t="shared" si="138"/>
        <v>-0.25004815123933888</v>
      </c>
    </row>
    <row r="838" spans="2:28" ht="20.100000000000001" customHeight="1">
      <c r="B838" s="172">
        <v>1175000</v>
      </c>
      <c r="C838" s="174">
        <v>44622</v>
      </c>
      <c r="D838" s="181" t="s">
        <v>180</v>
      </c>
      <c r="E838" s="173" t="s">
        <v>33</v>
      </c>
      <c r="F838" s="176">
        <v>3593.85</v>
      </c>
      <c r="G838" s="175">
        <f t="shared" ref="G838:G901" si="140">+P838</f>
        <v>19</v>
      </c>
      <c r="H838" s="175">
        <f t="shared" si="133"/>
        <v>3593.85</v>
      </c>
      <c r="I838" s="177">
        <f>IF(G838=0,0,IF(E838="MXN",1/HLOOKUP(YEAR(C838)+(MONTH(C838)/100),TC!$5:$37,DAY(C838)+2,FALSE),VLOOKUP(E838,Equivalencia!$5:$23,((MAX(Equivalencia!$3:$3)-YEAR(C838))*14)+MONTH(C838)+2,FALSE)))</f>
        <v>1</v>
      </c>
      <c r="J838" s="178">
        <f t="shared" ref="J838:J901" si="141">+H838*I838</f>
        <v>3593.85</v>
      </c>
      <c r="K838" s="462">
        <f>IF(C838=0,0,VLOOKUP(YEAR(C838),INPC!$B$4:$O$29,MONTH(C838)+1))</f>
        <v>120.15900000000001</v>
      </c>
      <c r="L838" s="462">
        <f>IF(S838=0,0,VLOOKUP(YEAR(S838),INPC!$B$4:$O$29,MONTH(S838)+1))</f>
        <v>125.276</v>
      </c>
      <c r="M838" s="463">
        <f t="shared" si="134"/>
        <v>1.0425</v>
      </c>
      <c r="N838" s="465">
        <f t="shared" ref="N838:N901" si="142">+M838*J838</f>
        <v>3746.5886249999999</v>
      </c>
      <c r="O838" s="179"/>
      <c r="P838" s="180">
        <v>19</v>
      </c>
      <c r="Q838" s="173" t="s">
        <v>583</v>
      </c>
      <c r="R838" s="173" t="s">
        <v>230</v>
      </c>
      <c r="S838" s="174">
        <v>44846</v>
      </c>
      <c r="T838" s="173" t="s">
        <v>33</v>
      </c>
      <c r="U838" s="182">
        <v>2683.9576744186047</v>
      </c>
      <c r="V838" s="177">
        <f>IF(U838=0,0,IF(T838="MXN",1/HLOOKUP(YEAR(S838)+(MONTH(S838)/100),TC!$5:$37,DAY(S838)+2,FALSE),VLOOKUP(T838,Equivalencia!$1:$23,((MAX(Equivalencia!$3:$3)-YEAR(S838))*14)+MONTH(S838)+2,FALSE)))</f>
        <v>1</v>
      </c>
      <c r="W838" s="178">
        <f t="shared" si="139"/>
        <v>2683.9576744186047</v>
      </c>
      <c r="X838" s="481">
        <f t="shared" si="135"/>
        <v>-909.8923255813952</v>
      </c>
      <c r="Y838" s="179"/>
      <c r="Z838" s="466">
        <f t="shared" si="136"/>
        <v>3746.5886249999999</v>
      </c>
      <c r="AA838" s="473">
        <f t="shared" si="137"/>
        <v>-1062.6309505813952</v>
      </c>
      <c r="AB838" s="339">
        <f t="shared" si="138"/>
        <v>-0.25318038470759641</v>
      </c>
    </row>
    <row r="839" spans="2:28" ht="20.100000000000001" customHeight="1">
      <c r="B839" s="172">
        <v>1175000</v>
      </c>
      <c r="C839" s="174">
        <v>44622</v>
      </c>
      <c r="D839" s="181" t="s">
        <v>180</v>
      </c>
      <c r="E839" s="173" t="s">
        <v>33</v>
      </c>
      <c r="F839" s="176">
        <v>941</v>
      </c>
      <c r="G839" s="175">
        <f t="shared" si="140"/>
        <v>5</v>
      </c>
      <c r="H839" s="175">
        <f t="shared" si="133"/>
        <v>941</v>
      </c>
      <c r="I839" s="177">
        <f>IF(G839=0,0,IF(E839="MXN",1/HLOOKUP(YEAR(C839)+(MONTH(C839)/100),TC!$5:$37,DAY(C839)+2,FALSE),VLOOKUP(E839,Equivalencia!$5:$23,((MAX(Equivalencia!$3:$3)-YEAR(C839))*14)+MONTH(C839)+2,FALSE)))</f>
        <v>1</v>
      </c>
      <c r="J839" s="178">
        <f t="shared" si="141"/>
        <v>941</v>
      </c>
      <c r="K839" s="462">
        <f>IF(C839=0,0,VLOOKUP(YEAR(C839),INPC!$B$4:$O$29,MONTH(C839)+1))</f>
        <v>120.15900000000001</v>
      </c>
      <c r="L839" s="462">
        <f>IF(S839=0,0,VLOOKUP(YEAR(S839),INPC!$B$4:$O$29,MONTH(S839)+1))</f>
        <v>125.276</v>
      </c>
      <c r="M839" s="463">
        <f t="shared" si="134"/>
        <v>1.0425</v>
      </c>
      <c r="N839" s="465">
        <f t="shared" si="142"/>
        <v>980.99249999999995</v>
      </c>
      <c r="O839" s="179"/>
      <c r="P839" s="180">
        <v>5</v>
      </c>
      <c r="Q839" s="173" t="s">
        <v>583</v>
      </c>
      <c r="R839" s="173" t="s">
        <v>230</v>
      </c>
      <c r="S839" s="174">
        <v>44846</v>
      </c>
      <c r="T839" s="173" t="s">
        <v>33</v>
      </c>
      <c r="U839" s="182">
        <v>710.17</v>
      </c>
      <c r="V839" s="177">
        <f>IF(U839=0,0,IF(T839="MXN",1/HLOOKUP(YEAR(S839)+(MONTH(S839)/100),TC!$5:$37,DAY(S839)+2,FALSE),VLOOKUP(T839,Equivalencia!$1:$23,((MAX(Equivalencia!$3:$3)-YEAR(S839))*14)+MONTH(S839)+2,FALSE)))</f>
        <v>1</v>
      </c>
      <c r="W839" s="178">
        <f t="shared" si="139"/>
        <v>710.17</v>
      </c>
      <c r="X839" s="481">
        <f t="shared" si="135"/>
        <v>-230.83000000000004</v>
      </c>
      <c r="Y839" s="179"/>
      <c r="Z839" s="466">
        <f t="shared" si="136"/>
        <v>980.99249999999995</v>
      </c>
      <c r="AA839" s="473">
        <f t="shared" si="137"/>
        <v>-270.82249999999999</v>
      </c>
      <c r="AB839" s="339">
        <f t="shared" si="138"/>
        <v>-0.2453028692879915</v>
      </c>
    </row>
    <row r="840" spans="2:28" ht="20.100000000000001" customHeight="1">
      <c r="B840" s="172">
        <v>1175000</v>
      </c>
      <c r="C840" s="174">
        <v>44622</v>
      </c>
      <c r="D840" s="181" t="s">
        <v>180</v>
      </c>
      <c r="E840" s="173" t="s">
        <v>33</v>
      </c>
      <c r="F840" s="176">
        <v>564.59999999999991</v>
      </c>
      <c r="G840" s="175">
        <f t="shared" si="140"/>
        <v>3</v>
      </c>
      <c r="H840" s="175">
        <f t="shared" si="133"/>
        <v>564.59999999999991</v>
      </c>
      <c r="I840" s="177">
        <f>IF(G840=0,0,IF(E840="MXN",1/HLOOKUP(YEAR(C840)+(MONTH(C840)/100),TC!$5:$37,DAY(C840)+2,FALSE),VLOOKUP(E840,Equivalencia!$5:$23,((MAX(Equivalencia!$3:$3)-YEAR(C840))*14)+MONTH(C840)+2,FALSE)))</f>
        <v>1</v>
      </c>
      <c r="J840" s="178">
        <f t="shared" si="141"/>
        <v>564.59999999999991</v>
      </c>
      <c r="K840" s="462">
        <f>IF(C840=0,0,VLOOKUP(YEAR(C840),INPC!$B$4:$O$29,MONTH(C840)+1))</f>
        <v>120.15900000000001</v>
      </c>
      <c r="L840" s="462">
        <f>IF(S840=0,0,VLOOKUP(YEAR(S840),INPC!$B$4:$O$29,MONTH(S840)+1))</f>
        <v>125.276</v>
      </c>
      <c r="M840" s="463">
        <f t="shared" si="134"/>
        <v>1.0425</v>
      </c>
      <c r="N840" s="465">
        <f t="shared" si="142"/>
        <v>588.5954999999999</v>
      </c>
      <c r="O840" s="179"/>
      <c r="P840" s="180">
        <v>3</v>
      </c>
      <c r="Q840" s="173" t="s">
        <v>583</v>
      </c>
      <c r="R840" s="173" t="s">
        <v>230</v>
      </c>
      <c r="S840" s="174">
        <v>44852</v>
      </c>
      <c r="T840" s="173" t="s">
        <v>33</v>
      </c>
      <c r="U840" s="182">
        <v>420.78</v>
      </c>
      <c r="V840" s="177">
        <f>IF(U840=0,0,IF(T840="MXN",1/HLOOKUP(YEAR(S840)+(MONTH(S840)/100),TC!$5:$37,DAY(S840)+2,FALSE),VLOOKUP(T840,Equivalencia!$1:$23,((MAX(Equivalencia!$3:$3)-YEAR(S840))*14)+MONTH(S840)+2,FALSE)))</f>
        <v>1</v>
      </c>
      <c r="W840" s="178">
        <f t="shared" si="139"/>
        <v>420.78</v>
      </c>
      <c r="X840" s="481">
        <f t="shared" si="135"/>
        <v>-143.81999999999994</v>
      </c>
      <c r="Y840" s="179"/>
      <c r="Z840" s="466">
        <f t="shared" si="136"/>
        <v>588.5954999999999</v>
      </c>
      <c r="AA840" s="473">
        <f t="shared" si="137"/>
        <v>-167.81549999999993</v>
      </c>
      <c r="AB840" s="339">
        <f t="shared" si="138"/>
        <v>-0.25472901168969175</v>
      </c>
    </row>
    <row r="841" spans="2:28" ht="20.100000000000001" customHeight="1">
      <c r="B841" s="172">
        <v>1175000</v>
      </c>
      <c r="C841" s="174">
        <v>44622</v>
      </c>
      <c r="D841" s="181" t="s">
        <v>180</v>
      </c>
      <c r="E841" s="173" t="s">
        <v>33</v>
      </c>
      <c r="F841" s="176">
        <v>2446.6</v>
      </c>
      <c r="G841" s="175">
        <f t="shared" si="140"/>
        <v>13</v>
      </c>
      <c r="H841" s="175">
        <f t="shared" si="133"/>
        <v>2446.6</v>
      </c>
      <c r="I841" s="177">
        <f>IF(G841=0,0,IF(E841="MXN",1/HLOOKUP(YEAR(C841)+(MONTH(C841)/100),TC!$5:$37,DAY(C841)+2,FALSE),VLOOKUP(E841,Equivalencia!$5:$23,((MAX(Equivalencia!$3:$3)-YEAR(C841))*14)+MONTH(C841)+2,FALSE)))</f>
        <v>1</v>
      </c>
      <c r="J841" s="178">
        <f t="shared" si="141"/>
        <v>2446.6</v>
      </c>
      <c r="K841" s="462">
        <f>IF(C841=0,0,VLOOKUP(YEAR(C841),INPC!$B$4:$O$29,MONTH(C841)+1))</f>
        <v>120.15900000000001</v>
      </c>
      <c r="L841" s="462">
        <f>IF(S841=0,0,VLOOKUP(YEAR(S841),INPC!$B$4:$O$29,MONTH(S841)+1))</f>
        <v>125.276</v>
      </c>
      <c r="M841" s="463">
        <f t="shared" si="134"/>
        <v>1.0425</v>
      </c>
      <c r="N841" s="465">
        <f t="shared" si="142"/>
        <v>2550.5805</v>
      </c>
      <c r="O841" s="179"/>
      <c r="P841" s="180">
        <v>13</v>
      </c>
      <c r="Q841" s="173" t="s">
        <v>583</v>
      </c>
      <c r="R841" s="173" t="s">
        <v>230</v>
      </c>
      <c r="S841" s="174">
        <v>44852</v>
      </c>
      <c r="T841" s="173" t="s">
        <v>33</v>
      </c>
      <c r="U841" s="182">
        <v>1821.8747368421052</v>
      </c>
      <c r="V841" s="177">
        <f>IF(U841=0,0,IF(T841="MXN",1/HLOOKUP(YEAR(S841)+(MONTH(S841)/100),TC!$5:$37,DAY(S841)+2,FALSE),VLOOKUP(T841,Equivalencia!$1:$23,((MAX(Equivalencia!$3:$3)-YEAR(S841))*14)+MONTH(S841)+2,FALSE)))</f>
        <v>1</v>
      </c>
      <c r="W841" s="178">
        <f t="shared" si="139"/>
        <v>1821.8747368421052</v>
      </c>
      <c r="X841" s="481">
        <f t="shared" si="135"/>
        <v>-624.72526315789469</v>
      </c>
      <c r="Y841" s="179"/>
      <c r="Z841" s="466">
        <f t="shared" si="136"/>
        <v>2550.5805</v>
      </c>
      <c r="AA841" s="473">
        <f t="shared" si="137"/>
        <v>-728.70576315789481</v>
      </c>
      <c r="AB841" s="339">
        <f t="shared" si="138"/>
        <v>-0.25534425862744003</v>
      </c>
    </row>
    <row r="842" spans="2:28" ht="20.100000000000001" customHeight="1">
      <c r="B842" s="172">
        <v>1175000</v>
      </c>
      <c r="C842" s="174">
        <v>44622</v>
      </c>
      <c r="D842" s="181" t="s">
        <v>180</v>
      </c>
      <c r="E842" s="173" t="s">
        <v>33</v>
      </c>
      <c r="F842" s="176">
        <v>188.2</v>
      </c>
      <c r="G842" s="175">
        <f t="shared" si="140"/>
        <v>1</v>
      </c>
      <c r="H842" s="175">
        <f t="shared" si="133"/>
        <v>188.2</v>
      </c>
      <c r="I842" s="177">
        <f>IF(G842=0,0,IF(E842="MXN",1/HLOOKUP(YEAR(C842)+(MONTH(C842)/100),TC!$5:$37,DAY(C842)+2,FALSE),VLOOKUP(E842,Equivalencia!$5:$23,((MAX(Equivalencia!$3:$3)-YEAR(C842))*14)+MONTH(C842)+2,FALSE)))</f>
        <v>1</v>
      </c>
      <c r="J842" s="178">
        <f t="shared" si="141"/>
        <v>188.2</v>
      </c>
      <c r="K842" s="462">
        <f>IF(C842=0,0,VLOOKUP(YEAR(C842),INPC!$B$4:$O$29,MONTH(C842)+1))</f>
        <v>120.15900000000001</v>
      </c>
      <c r="L842" s="462">
        <f>IF(S842=0,0,VLOOKUP(YEAR(S842),INPC!$B$4:$O$29,MONTH(S842)+1))</f>
        <v>125.276</v>
      </c>
      <c r="M842" s="463">
        <f t="shared" si="134"/>
        <v>1.0425</v>
      </c>
      <c r="N842" s="465">
        <f t="shared" si="142"/>
        <v>196.1985</v>
      </c>
      <c r="O842" s="179"/>
      <c r="P842" s="180">
        <v>1</v>
      </c>
      <c r="Q842" s="173" t="s">
        <v>583</v>
      </c>
      <c r="R842" s="173" t="s">
        <v>230</v>
      </c>
      <c r="S842" s="174">
        <v>44852</v>
      </c>
      <c r="T842" s="173" t="s">
        <v>33</v>
      </c>
      <c r="U842" s="182">
        <v>140.14421052631579</v>
      </c>
      <c r="V842" s="177">
        <f>IF(U842=0,0,IF(T842="MXN",1/HLOOKUP(YEAR(S842)+(MONTH(S842)/100),TC!$5:$37,DAY(S842)+2,FALSE),VLOOKUP(T842,Equivalencia!$1:$23,((MAX(Equivalencia!$3:$3)-YEAR(S842))*14)+MONTH(S842)+2,FALSE)))</f>
        <v>1</v>
      </c>
      <c r="W842" s="178">
        <f t="shared" si="139"/>
        <v>140.14421052631579</v>
      </c>
      <c r="X842" s="481">
        <f t="shared" si="135"/>
        <v>-48.0557894736842</v>
      </c>
      <c r="Y842" s="179"/>
      <c r="Z842" s="466">
        <f t="shared" si="136"/>
        <v>196.1985</v>
      </c>
      <c r="AA842" s="473">
        <f t="shared" si="137"/>
        <v>-56.054289473684207</v>
      </c>
      <c r="AB842" s="339">
        <f t="shared" si="138"/>
        <v>-0.25534425862743992</v>
      </c>
    </row>
    <row r="843" spans="2:28" ht="20.100000000000001" customHeight="1">
      <c r="B843" s="172">
        <v>1175000</v>
      </c>
      <c r="C843" s="174">
        <v>44628</v>
      </c>
      <c r="D843" s="181" t="s">
        <v>180</v>
      </c>
      <c r="E843" s="173" t="s">
        <v>33</v>
      </c>
      <c r="F843" s="176">
        <v>184.73</v>
      </c>
      <c r="G843" s="175">
        <f t="shared" si="140"/>
        <v>1</v>
      </c>
      <c r="H843" s="175">
        <f t="shared" si="133"/>
        <v>184.73</v>
      </c>
      <c r="I843" s="177">
        <f>IF(G843=0,0,IF(E843="MXN",1/HLOOKUP(YEAR(C843)+(MONTH(C843)/100),TC!$5:$37,DAY(C843)+2,FALSE),VLOOKUP(E843,Equivalencia!$5:$23,((MAX(Equivalencia!$3:$3)-YEAR(C843))*14)+MONTH(C843)+2,FALSE)))</f>
        <v>1</v>
      </c>
      <c r="J843" s="178">
        <f t="shared" si="141"/>
        <v>184.73</v>
      </c>
      <c r="K843" s="462">
        <f>IF(C843=0,0,VLOOKUP(YEAR(C843),INPC!$B$4:$O$29,MONTH(C843)+1))</f>
        <v>120.15900000000001</v>
      </c>
      <c r="L843" s="462">
        <f>IF(S843=0,0,VLOOKUP(YEAR(S843),INPC!$B$4:$O$29,MONTH(S843)+1))</f>
        <v>125.276</v>
      </c>
      <c r="M843" s="463">
        <f t="shared" si="134"/>
        <v>1.0425</v>
      </c>
      <c r="N843" s="465">
        <f t="shared" si="142"/>
        <v>192.58102499999998</v>
      </c>
      <c r="O843" s="179"/>
      <c r="P843" s="180">
        <v>1</v>
      </c>
      <c r="Q843" s="173" t="s">
        <v>583</v>
      </c>
      <c r="R843" s="173" t="s">
        <v>230</v>
      </c>
      <c r="S843" s="174">
        <v>44852</v>
      </c>
      <c r="T843" s="173" t="s">
        <v>33</v>
      </c>
      <c r="U843" s="182">
        <v>140.14421052631579</v>
      </c>
      <c r="V843" s="177">
        <f>IF(U843=0,0,IF(T843="MXN",1/HLOOKUP(YEAR(S843)+(MONTH(S843)/100),TC!$5:$37,DAY(S843)+2,FALSE),VLOOKUP(T843,Equivalencia!$1:$23,((MAX(Equivalencia!$3:$3)-YEAR(S843))*14)+MONTH(S843)+2,FALSE)))</f>
        <v>1</v>
      </c>
      <c r="W843" s="178">
        <f t="shared" si="139"/>
        <v>140.14421052631579</v>
      </c>
      <c r="X843" s="481">
        <f t="shared" si="135"/>
        <v>-44.585789473684201</v>
      </c>
      <c r="Y843" s="179"/>
      <c r="Z843" s="466">
        <f t="shared" si="136"/>
        <v>192.58102499999998</v>
      </c>
      <c r="AA843" s="473">
        <f t="shared" si="137"/>
        <v>-52.436814473684194</v>
      </c>
      <c r="AB843" s="339">
        <f t="shared" si="138"/>
        <v>-0.24135651747785525</v>
      </c>
    </row>
    <row r="844" spans="2:28" ht="20.100000000000001" customHeight="1">
      <c r="B844" s="172">
        <v>1175000</v>
      </c>
      <c r="C844" s="174">
        <v>44628</v>
      </c>
      <c r="D844" s="181" t="s">
        <v>180</v>
      </c>
      <c r="E844" s="173" t="s">
        <v>33</v>
      </c>
      <c r="F844" s="176">
        <v>710.01</v>
      </c>
      <c r="G844" s="175">
        <f t="shared" si="140"/>
        <v>4</v>
      </c>
      <c r="H844" s="175">
        <f t="shared" si="133"/>
        <v>710.01</v>
      </c>
      <c r="I844" s="177">
        <f>IF(G844=0,0,IF(E844="MXN",1/HLOOKUP(YEAR(C844)+(MONTH(C844)/100),TC!$5:$37,DAY(C844)+2,FALSE),VLOOKUP(E844,Equivalencia!$5:$23,((MAX(Equivalencia!$3:$3)-YEAR(C844))*14)+MONTH(C844)+2,FALSE)))</f>
        <v>1</v>
      </c>
      <c r="J844" s="178">
        <f t="shared" si="141"/>
        <v>710.01</v>
      </c>
      <c r="K844" s="462">
        <f>IF(C844=0,0,VLOOKUP(YEAR(C844),INPC!$B$4:$O$29,MONTH(C844)+1))</f>
        <v>120.15900000000001</v>
      </c>
      <c r="L844" s="462">
        <f>IF(S844=0,0,VLOOKUP(YEAR(S844),INPC!$B$4:$O$29,MONTH(S844)+1))</f>
        <v>125.276</v>
      </c>
      <c r="M844" s="463">
        <f t="shared" si="134"/>
        <v>1.0425</v>
      </c>
      <c r="N844" s="465">
        <f t="shared" si="142"/>
        <v>740.18542500000001</v>
      </c>
      <c r="O844" s="179"/>
      <c r="P844" s="180">
        <v>4</v>
      </c>
      <c r="Q844" s="173" t="s">
        <v>583</v>
      </c>
      <c r="R844" s="173" t="s">
        <v>230</v>
      </c>
      <c r="S844" s="174">
        <v>44852</v>
      </c>
      <c r="T844" s="173" t="s">
        <v>33</v>
      </c>
      <c r="U844" s="182">
        <v>560.57684210526315</v>
      </c>
      <c r="V844" s="177">
        <f>IF(U844=0,0,IF(T844="MXN",1/HLOOKUP(YEAR(S844)+(MONTH(S844)/100),TC!$5:$37,DAY(S844)+2,FALSE),VLOOKUP(T844,Equivalencia!$1:$23,((MAX(Equivalencia!$3:$3)-YEAR(S844))*14)+MONTH(S844)+2,FALSE)))</f>
        <v>1</v>
      </c>
      <c r="W844" s="178">
        <f t="shared" si="139"/>
        <v>560.57684210526315</v>
      </c>
      <c r="X844" s="481">
        <f t="shared" si="135"/>
        <v>-149.43315789473684</v>
      </c>
      <c r="Y844" s="179"/>
      <c r="Z844" s="466">
        <f t="shared" si="136"/>
        <v>740.18542500000001</v>
      </c>
      <c r="AA844" s="473">
        <f t="shared" si="137"/>
        <v>-179.60858289473686</v>
      </c>
      <c r="AB844" s="339">
        <f t="shared" si="138"/>
        <v>-0.21046627215776792</v>
      </c>
    </row>
    <row r="845" spans="2:28" ht="20.100000000000001" customHeight="1">
      <c r="B845" s="172">
        <v>1175000</v>
      </c>
      <c r="C845" s="174">
        <v>44628</v>
      </c>
      <c r="D845" s="181" t="s">
        <v>180</v>
      </c>
      <c r="E845" s="173" t="s">
        <v>33</v>
      </c>
      <c r="F845" s="176">
        <v>169.76</v>
      </c>
      <c r="G845" s="175">
        <f t="shared" si="140"/>
        <v>1</v>
      </c>
      <c r="H845" s="175">
        <f t="shared" si="133"/>
        <v>169.76</v>
      </c>
      <c r="I845" s="177">
        <f>IF(G845=0,0,IF(E845="MXN",1/HLOOKUP(YEAR(C845)+(MONTH(C845)/100),TC!$5:$37,DAY(C845)+2,FALSE),VLOOKUP(E845,Equivalencia!$5:$23,((MAX(Equivalencia!$3:$3)-YEAR(C845))*14)+MONTH(C845)+2,FALSE)))</f>
        <v>1</v>
      </c>
      <c r="J845" s="178">
        <f t="shared" si="141"/>
        <v>169.76</v>
      </c>
      <c r="K845" s="462">
        <f>IF(C845=0,0,VLOOKUP(YEAR(C845),INPC!$B$4:$O$29,MONTH(C845)+1))</f>
        <v>120.15900000000001</v>
      </c>
      <c r="L845" s="462">
        <f>IF(S845=0,0,VLOOKUP(YEAR(S845),INPC!$B$4:$O$29,MONTH(S845)+1))</f>
        <v>125.276</v>
      </c>
      <c r="M845" s="463">
        <f t="shared" si="134"/>
        <v>1.0425</v>
      </c>
      <c r="N845" s="465">
        <f t="shared" si="142"/>
        <v>176.97479999999999</v>
      </c>
      <c r="O845" s="179"/>
      <c r="P845" s="180">
        <v>1</v>
      </c>
      <c r="Q845" s="173" t="s">
        <v>583</v>
      </c>
      <c r="R845" s="173" t="s">
        <v>230</v>
      </c>
      <c r="S845" s="174">
        <v>44852</v>
      </c>
      <c r="T845" s="173" t="s">
        <v>33</v>
      </c>
      <c r="U845" s="182">
        <v>140.70625000000001</v>
      </c>
      <c r="V845" s="177">
        <f>IF(U845=0,0,IF(T845="MXN",1/HLOOKUP(YEAR(S845)+(MONTH(S845)/100),TC!$5:$37,DAY(S845)+2,FALSE),VLOOKUP(T845,Equivalencia!$1:$23,((MAX(Equivalencia!$3:$3)-YEAR(S845))*14)+MONTH(S845)+2,FALSE)))</f>
        <v>1</v>
      </c>
      <c r="W845" s="178">
        <f t="shared" si="139"/>
        <v>140.70625000000001</v>
      </c>
      <c r="X845" s="481">
        <f t="shared" si="135"/>
        <v>-29.05374999999998</v>
      </c>
      <c r="Y845" s="179"/>
      <c r="Z845" s="466">
        <f t="shared" si="136"/>
        <v>176.97479999999999</v>
      </c>
      <c r="AA845" s="473">
        <f t="shared" si="137"/>
        <v>-36.268549999999976</v>
      </c>
      <c r="AB845" s="339">
        <f t="shared" si="138"/>
        <v>-0.17114602968897252</v>
      </c>
    </row>
    <row r="846" spans="2:28" ht="20.100000000000001" customHeight="1">
      <c r="B846" s="172">
        <v>1175000</v>
      </c>
      <c r="C846" s="174">
        <v>44628</v>
      </c>
      <c r="D846" s="181" t="s">
        <v>180</v>
      </c>
      <c r="E846" s="173" t="s">
        <v>33</v>
      </c>
      <c r="F846" s="176">
        <v>523.23</v>
      </c>
      <c r="G846" s="175">
        <f t="shared" si="140"/>
        <v>3</v>
      </c>
      <c r="H846" s="175">
        <f t="shared" si="133"/>
        <v>523.23</v>
      </c>
      <c r="I846" s="177">
        <f>IF(G846=0,0,IF(E846="MXN",1/HLOOKUP(YEAR(C846)+(MONTH(C846)/100),TC!$5:$37,DAY(C846)+2,FALSE),VLOOKUP(E846,Equivalencia!$5:$23,((MAX(Equivalencia!$3:$3)-YEAR(C846))*14)+MONTH(C846)+2,FALSE)))</f>
        <v>1</v>
      </c>
      <c r="J846" s="178">
        <f t="shared" si="141"/>
        <v>523.23</v>
      </c>
      <c r="K846" s="462">
        <f>IF(C846=0,0,VLOOKUP(YEAR(C846),INPC!$B$4:$O$29,MONTH(C846)+1))</f>
        <v>120.15900000000001</v>
      </c>
      <c r="L846" s="462">
        <f>IF(S846=0,0,VLOOKUP(YEAR(S846),INPC!$B$4:$O$29,MONTH(S846)+1))</f>
        <v>125.276</v>
      </c>
      <c r="M846" s="463">
        <f t="shared" si="134"/>
        <v>1.0425</v>
      </c>
      <c r="N846" s="465">
        <f t="shared" si="142"/>
        <v>545.46727499999997</v>
      </c>
      <c r="O846" s="179"/>
      <c r="P846" s="180">
        <v>3</v>
      </c>
      <c r="Q846" s="173" t="s">
        <v>583</v>
      </c>
      <c r="R846" s="173" t="s">
        <v>230</v>
      </c>
      <c r="S846" s="174">
        <v>44852</v>
      </c>
      <c r="T846" s="173" t="s">
        <v>33</v>
      </c>
      <c r="U846" s="182">
        <v>422.11875000000003</v>
      </c>
      <c r="V846" s="177">
        <f>IF(U846=0,0,IF(T846="MXN",1/HLOOKUP(YEAR(S846)+(MONTH(S846)/100),TC!$5:$37,DAY(S846)+2,FALSE),VLOOKUP(T846,Equivalencia!$1:$23,((MAX(Equivalencia!$3:$3)-YEAR(S846))*14)+MONTH(S846)+2,FALSE)))</f>
        <v>1</v>
      </c>
      <c r="W846" s="178">
        <f t="shared" si="139"/>
        <v>422.11875000000003</v>
      </c>
      <c r="X846" s="481">
        <f t="shared" si="135"/>
        <v>-101.11124999999998</v>
      </c>
      <c r="Y846" s="179"/>
      <c r="Z846" s="466">
        <f t="shared" si="136"/>
        <v>545.46727499999997</v>
      </c>
      <c r="AA846" s="473">
        <f t="shared" si="137"/>
        <v>-123.34852499999994</v>
      </c>
      <c r="AB846" s="339">
        <f t="shared" si="138"/>
        <v>-0.19324436672209155</v>
      </c>
    </row>
    <row r="847" spans="2:28" ht="20.100000000000001" customHeight="1">
      <c r="B847" s="172">
        <v>1175000</v>
      </c>
      <c r="C847" s="174">
        <v>44628</v>
      </c>
      <c r="D847" s="181" t="s">
        <v>180</v>
      </c>
      <c r="E847" s="173" t="s">
        <v>33</v>
      </c>
      <c r="F847" s="176">
        <v>920.76</v>
      </c>
      <c r="G847" s="175">
        <f t="shared" si="140"/>
        <v>5</v>
      </c>
      <c r="H847" s="175">
        <f t="shared" si="133"/>
        <v>920.76</v>
      </c>
      <c r="I847" s="177">
        <f>IF(G847=0,0,IF(E847="MXN",1/HLOOKUP(YEAR(C847)+(MONTH(C847)/100),TC!$5:$37,DAY(C847)+2,FALSE),VLOOKUP(E847,Equivalencia!$5:$23,((MAX(Equivalencia!$3:$3)-YEAR(C847))*14)+MONTH(C847)+2,FALSE)))</f>
        <v>1</v>
      </c>
      <c r="J847" s="178">
        <f t="shared" si="141"/>
        <v>920.76</v>
      </c>
      <c r="K847" s="462">
        <f>IF(C847=0,0,VLOOKUP(YEAR(C847),INPC!$B$4:$O$29,MONTH(C847)+1))</f>
        <v>120.15900000000001</v>
      </c>
      <c r="L847" s="462">
        <f>IF(S847=0,0,VLOOKUP(YEAR(S847),INPC!$B$4:$O$29,MONTH(S847)+1))</f>
        <v>125.276</v>
      </c>
      <c r="M847" s="463">
        <f t="shared" si="134"/>
        <v>1.0425</v>
      </c>
      <c r="N847" s="465">
        <f t="shared" si="142"/>
        <v>959.89229999999998</v>
      </c>
      <c r="O847" s="179"/>
      <c r="P847" s="180">
        <v>5</v>
      </c>
      <c r="Q847" s="173" t="s">
        <v>583</v>
      </c>
      <c r="R847" s="173" t="s">
        <v>230</v>
      </c>
      <c r="S847" s="174">
        <v>44852</v>
      </c>
      <c r="T847" s="173" t="s">
        <v>33</v>
      </c>
      <c r="U847" s="182">
        <v>703.53125</v>
      </c>
      <c r="V847" s="177">
        <f>IF(U847=0,0,IF(T847="MXN",1/HLOOKUP(YEAR(S847)+(MONTH(S847)/100),TC!$5:$37,DAY(S847)+2,FALSE),VLOOKUP(T847,Equivalencia!$1:$23,((MAX(Equivalencia!$3:$3)-YEAR(S847))*14)+MONTH(S847)+2,FALSE)))</f>
        <v>1</v>
      </c>
      <c r="W847" s="178">
        <f t="shared" si="139"/>
        <v>703.53125</v>
      </c>
      <c r="X847" s="481">
        <f t="shared" si="135"/>
        <v>-217.22874999999999</v>
      </c>
      <c r="Y847" s="179"/>
      <c r="Z847" s="466">
        <f t="shared" si="136"/>
        <v>959.89229999999998</v>
      </c>
      <c r="AA847" s="473">
        <f t="shared" si="137"/>
        <v>-256.36104999999998</v>
      </c>
      <c r="AB847" s="339">
        <f t="shared" si="138"/>
        <v>-0.2359233133498414</v>
      </c>
    </row>
    <row r="848" spans="2:28" ht="20.100000000000001" customHeight="1">
      <c r="B848" s="172">
        <v>1175000</v>
      </c>
      <c r="C848" s="174">
        <v>44629</v>
      </c>
      <c r="D848" s="181" t="s">
        <v>180</v>
      </c>
      <c r="E848" s="173" t="s">
        <v>33</v>
      </c>
      <c r="F848" s="176">
        <v>180.2</v>
      </c>
      <c r="G848" s="175">
        <f t="shared" si="140"/>
        <v>1</v>
      </c>
      <c r="H848" s="175">
        <f t="shared" si="133"/>
        <v>180.2</v>
      </c>
      <c r="I848" s="177">
        <f>IF(G848=0,0,IF(E848="MXN",1/HLOOKUP(YEAR(C848)+(MONTH(C848)/100),TC!$5:$37,DAY(C848)+2,FALSE),VLOOKUP(E848,Equivalencia!$5:$23,((MAX(Equivalencia!$3:$3)-YEAR(C848))*14)+MONTH(C848)+2,FALSE)))</f>
        <v>1</v>
      </c>
      <c r="J848" s="178">
        <f t="shared" si="141"/>
        <v>180.2</v>
      </c>
      <c r="K848" s="462">
        <f>IF(C848=0,0,VLOOKUP(YEAR(C848),INPC!$B$4:$O$29,MONTH(C848)+1))</f>
        <v>120.15900000000001</v>
      </c>
      <c r="L848" s="462">
        <f>IF(S848=0,0,VLOOKUP(YEAR(S848),INPC!$B$4:$O$29,MONTH(S848)+1))</f>
        <v>125.276</v>
      </c>
      <c r="M848" s="463">
        <f t="shared" si="134"/>
        <v>1.0425</v>
      </c>
      <c r="N848" s="465">
        <f t="shared" si="142"/>
        <v>187.85849999999999</v>
      </c>
      <c r="O848" s="179"/>
      <c r="P848" s="180">
        <v>1</v>
      </c>
      <c r="Q848" s="173" t="s">
        <v>583</v>
      </c>
      <c r="R848" s="173" t="s">
        <v>230</v>
      </c>
      <c r="S848" s="174">
        <v>44852</v>
      </c>
      <c r="T848" s="173" t="s">
        <v>33</v>
      </c>
      <c r="U848" s="182">
        <v>140.70625000000001</v>
      </c>
      <c r="V848" s="177">
        <f>IF(U848=0,0,IF(T848="MXN",1/HLOOKUP(YEAR(S848)+(MONTH(S848)/100),TC!$5:$37,DAY(S848)+2,FALSE),VLOOKUP(T848,Equivalencia!$1:$23,((MAX(Equivalencia!$3:$3)-YEAR(S848))*14)+MONTH(S848)+2,FALSE)))</f>
        <v>1</v>
      </c>
      <c r="W848" s="178">
        <f t="shared" si="139"/>
        <v>140.70625000000001</v>
      </c>
      <c r="X848" s="481">
        <f t="shared" si="135"/>
        <v>-39.493749999999977</v>
      </c>
      <c r="Y848" s="179"/>
      <c r="Z848" s="466">
        <f t="shared" si="136"/>
        <v>187.85849999999999</v>
      </c>
      <c r="AA848" s="473">
        <f t="shared" si="137"/>
        <v>-47.152249999999981</v>
      </c>
      <c r="AB848" s="339">
        <f t="shared" si="138"/>
        <v>-0.21916620421753596</v>
      </c>
    </row>
    <row r="849" spans="2:28" ht="20.100000000000001" customHeight="1">
      <c r="B849" s="172">
        <v>1175000</v>
      </c>
      <c r="C849" s="174">
        <v>44629</v>
      </c>
      <c r="D849" s="181" t="s">
        <v>180</v>
      </c>
      <c r="E849" s="173" t="s">
        <v>33</v>
      </c>
      <c r="F849" s="176">
        <v>1062.9927272727273</v>
      </c>
      <c r="G849" s="175">
        <f t="shared" si="140"/>
        <v>6</v>
      </c>
      <c r="H849" s="175">
        <f t="shared" si="133"/>
        <v>1062.9927272727273</v>
      </c>
      <c r="I849" s="177">
        <f>IF(G849=0,0,IF(E849="MXN",1/HLOOKUP(YEAR(C849)+(MONTH(C849)/100),TC!$5:$37,DAY(C849)+2,FALSE),VLOOKUP(E849,Equivalencia!$5:$23,((MAX(Equivalencia!$3:$3)-YEAR(C849))*14)+MONTH(C849)+2,FALSE)))</f>
        <v>1</v>
      </c>
      <c r="J849" s="178">
        <f t="shared" si="141"/>
        <v>1062.9927272727273</v>
      </c>
      <c r="K849" s="462">
        <f>IF(C849=0,0,VLOOKUP(YEAR(C849),INPC!$B$4:$O$29,MONTH(C849)+1))</f>
        <v>120.15900000000001</v>
      </c>
      <c r="L849" s="462">
        <f>IF(S849=0,0,VLOOKUP(YEAR(S849),INPC!$B$4:$O$29,MONTH(S849)+1))</f>
        <v>125.276</v>
      </c>
      <c r="M849" s="463">
        <f t="shared" si="134"/>
        <v>1.0425</v>
      </c>
      <c r="N849" s="465">
        <f t="shared" si="142"/>
        <v>1108.1699181818183</v>
      </c>
      <c r="O849" s="179"/>
      <c r="P849" s="180">
        <v>6</v>
      </c>
      <c r="Q849" s="173" t="s">
        <v>583</v>
      </c>
      <c r="R849" s="173" t="s">
        <v>230</v>
      </c>
      <c r="S849" s="174">
        <v>44852</v>
      </c>
      <c r="T849" s="173" t="s">
        <v>33</v>
      </c>
      <c r="U849" s="182">
        <v>844.23750000000007</v>
      </c>
      <c r="V849" s="177">
        <f>IF(U849=0,0,IF(T849="MXN",1/HLOOKUP(YEAR(S849)+(MONTH(S849)/100),TC!$5:$37,DAY(S849)+2,FALSE),VLOOKUP(T849,Equivalencia!$1:$23,((MAX(Equivalencia!$3:$3)-YEAR(S849))*14)+MONTH(S849)+2,FALSE)))</f>
        <v>1</v>
      </c>
      <c r="W849" s="178">
        <f t="shared" si="139"/>
        <v>844.23750000000007</v>
      </c>
      <c r="X849" s="481">
        <f t="shared" si="135"/>
        <v>-218.75522727272721</v>
      </c>
      <c r="Y849" s="179"/>
      <c r="Z849" s="466">
        <f t="shared" si="136"/>
        <v>1108.1699181818183</v>
      </c>
      <c r="AA849" s="473">
        <f t="shared" si="137"/>
        <v>-263.93241818181821</v>
      </c>
      <c r="AB849" s="339">
        <f t="shared" si="138"/>
        <v>-0.2057918381379501</v>
      </c>
    </row>
    <row r="850" spans="2:28" ht="20.100000000000001" customHeight="1">
      <c r="B850" s="172">
        <v>1175000</v>
      </c>
      <c r="C850" s="174">
        <v>44629</v>
      </c>
      <c r="D850" s="181" t="s">
        <v>180</v>
      </c>
      <c r="E850" s="173" t="s">
        <v>33</v>
      </c>
      <c r="F850" s="176">
        <v>885.82727272727266</v>
      </c>
      <c r="G850" s="175">
        <f t="shared" si="140"/>
        <v>5</v>
      </c>
      <c r="H850" s="175">
        <f t="shared" si="133"/>
        <v>885.82727272727266</v>
      </c>
      <c r="I850" s="177">
        <f>IF(G850=0,0,IF(E850="MXN",1/HLOOKUP(YEAR(C850)+(MONTH(C850)/100),TC!$5:$37,DAY(C850)+2,FALSE),VLOOKUP(E850,Equivalencia!$5:$23,((MAX(Equivalencia!$3:$3)-YEAR(C850))*14)+MONTH(C850)+2,FALSE)))</f>
        <v>1</v>
      </c>
      <c r="J850" s="178">
        <f t="shared" si="141"/>
        <v>885.82727272727266</v>
      </c>
      <c r="K850" s="462">
        <f>IF(C850=0,0,VLOOKUP(YEAR(C850),INPC!$B$4:$O$29,MONTH(C850)+1))</f>
        <v>120.15900000000001</v>
      </c>
      <c r="L850" s="462">
        <f>IF(S850=0,0,VLOOKUP(YEAR(S850),INPC!$B$4:$O$29,MONTH(S850)+1))</f>
        <v>125.276</v>
      </c>
      <c r="M850" s="463">
        <f t="shared" si="134"/>
        <v>1.0425</v>
      </c>
      <c r="N850" s="465">
        <f t="shared" si="142"/>
        <v>923.47493181818174</v>
      </c>
      <c r="O850" s="179"/>
      <c r="P850" s="180">
        <v>5</v>
      </c>
      <c r="Q850" s="173" t="s">
        <v>583</v>
      </c>
      <c r="R850" s="173" t="s">
        <v>230</v>
      </c>
      <c r="S850" s="174">
        <v>44852</v>
      </c>
      <c r="T850" s="173" t="s">
        <v>33</v>
      </c>
      <c r="U850" s="182">
        <v>704.05714285714282</v>
      </c>
      <c r="V850" s="177">
        <f>IF(U850=0,0,IF(T850="MXN",1/HLOOKUP(YEAR(S850)+(MONTH(S850)/100),TC!$5:$37,DAY(S850)+2,FALSE),VLOOKUP(T850,Equivalencia!$1:$23,((MAX(Equivalencia!$3:$3)-YEAR(S850))*14)+MONTH(S850)+2,FALSE)))</f>
        <v>1</v>
      </c>
      <c r="W850" s="178">
        <f t="shared" si="139"/>
        <v>704.05714285714282</v>
      </c>
      <c r="X850" s="481">
        <f t="shared" si="135"/>
        <v>-181.77012987012984</v>
      </c>
      <c r="Y850" s="179"/>
      <c r="Z850" s="466">
        <f t="shared" si="136"/>
        <v>923.47493181818174</v>
      </c>
      <c r="AA850" s="473">
        <f t="shared" si="137"/>
        <v>-219.41778896103892</v>
      </c>
      <c r="AB850" s="339">
        <f t="shared" si="138"/>
        <v>-0.20519816387059131</v>
      </c>
    </row>
    <row r="851" spans="2:28" ht="20.100000000000001" customHeight="1">
      <c r="B851" s="172">
        <v>1175000</v>
      </c>
      <c r="C851" s="174">
        <v>44629</v>
      </c>
      <c r="D851" s="181" t="s">
        <v>180</v>
      </c>
      <c r="E851" s="173" t="s">
        <v>33</v>
      </c>
      <c r="F851" s="176">
        <v>366.71999999999997</v>
      </c>
      <c r="G851" s="175">
        <f t="shared" si="140"/>
        <v>2</v>
      </c>
      <c r="H851" s="175">
        <f t="shared" si="133"/>
        <v>366.71999999999997</v>
      </c>
      <c r="I851" s="177">
        <f>IF(G851=0,0,IF(E851="MXN",1/HLOOKUP(YEAR(C851)+(MONTH(C851)/100),TC!$5:$37,DAY(C851)+2,FALSE),VLOOKUP(E851,Equivalencia!$5:$23,((MAX(Equivalencia!$3:$3)-YEAR(C851))*14)+MONTH(C851)+2,FALSE)))</f>
        <v>1</v>
      </c>
      <c r="J851" s="178">
        <f t="shared" si="141"/>
        <v>366.71999999999997</v>
      </c>
      <c r="K851" s="462">
        <f>IF(C851=0,0,VLOOKUP(YEAR(C851),INPC!$B$4:$O$29,MONTH(C851)+1))</f>
        <v>120.15900000000001</v>
      </c>
      <c r="L851" s="462">
        <f>IF(S851=0,0,VLOOKUP(YEAR(S851),INPC!$B$4:$O$29,MONTH(S851)+1))</f>
        <v>125.276</v>
      </c>
      <c r="M851" s="463">
        <f t="shared" si="134"/>
        <v>1.0425</v>
      </c>
      <c r="N851" s="465">
        <f t="shared" si="142"/>
        <v>382.30559999999997</v>
      </c>
      <c r="O851" s="179"/>
      <c r="P851" s="180">
        <v>2</v>
      </c>
      <c r="Q851" s="173" t="s">
        <v>583</v>
      </c>
      <c r="R851" s="173" t="s">
        <v>230</v>
      </c>
      <c r="S851" s="174">
        <v>44852</v>
      </c>
      <c r="T851" s="173" t="s">
        <v>33</v>
      </c>
      <c r="U851" s="182">
        <v>281.62285714285713</v>
      </c>
      <c r="V851" s="177">
        <f>IF(U851=0,0,IF(T851="MXN",1/HLOOKUP(YEAR(S851)+(MONTH(S851)/100),TC!$5:$37,DAY(S851)+2,FALSE),VLOOKUP(T851,Equivalencia!$1:$23,((MAX(Equivalencia!$3:$3)-YEAR(S851))*14)+MONTH(S851)+2,FALSE)))</f>
        <v>1</v>
      </c>
      <c r="W851" s="178">
        <f t="shared" si="139"/>
        <v>281.62285714285713</v>
      </c>
      <c r="X851" s="481">
        <f t="shared" si="135"/>
        <v>-85.097142857142842</v>
      </c>
      <c r="Y851" s="179"/>
      <c r="Z851" s="466">
        <f t="shared" si="136"/>
        <v>382.30559999999997</v>
      </c>
      <c r="AA851" s="473">
        <f t="shared" si="137"/>
        <v>-100.68274285714284</v>
      </c>
      <c r="AB851" s="339">
        <f t="shared" si="138"/>
        <v>-0.23204936424831712</v>
      </c>
    </row>
    <row r="852" spans="2:28" ht="20.100000000000001" customHeight="1">
      <c r="B852" s="172">
        <v>1175000</v>
      </c>
      <c r="C852" s="174">
        <v>44629</v>
      </c>
      <c r="D852" s="181" t="s">
        <v>180</v>
      </c>
      <c r="E852" s="173" t="s">
        <v>33</v>
      </c>
      <c r="F852" s="176">
        <v>550.07999999999993</v>
      </c>
      <c r="G852" s="175">
        <f t="shared" si="140"/>
        <v>3</v>
      </c>
      <c r="H852" s="175">
        <f t="shared" si="133"/>
        <v>550.07999999999993</v>
      </c>
      <c r="I852" s="177">
        <f>IF(G852=0,0,IF(E852="MXN",1/HLOOKUP(YEAR(C852)+(MONTH(C852)/100),TC!$5:$37,DAY(C852)+2,FALSE),VLOOKUP(E852,Equivalencia!$5:$23,((MAX(Equivalencia!$3:$3)-YEAR(C852))*14)+MONTH(C852)+2,FALSE)))</f>
        <v>1</v>
      </c>
      <c r="J852" s="178">
        <f t="shared" si="141"/>
        <v>550.07999999999993</v>
      </c>
      <c r="K852" s="462">
        <f>IF(C852=0,0,VLOOKUP(YEAR(C852),INPC!$B$4:$O$29,MONTH(C852)+1))</f>
        <v>120.15900000000001</v>
      </c>
      <c r="L852" s="462">
        <f>IF(S852=0,0,VLOOKUP(YEAR(S852),INPC!$B$4:$O$29,MONTH(S852)+1))</f>
        <v>125.276</v>
      </c>
      <c r="M852" s="463">
        <f t="shared" si="134"/>
        <v>1.0425</v>
      </c>
      <c r="N852" s="465">
        <f t="shared" si="142"/>
        <v>573.45839999999987</v>
      </c>
      <c r="O852" s="179"/>
      <c r="P852" s="180">
        <v>3</v>
      </c>
      <c r="Q852" s="173" t="s">
        <v>583</v>
      </c>
      <c r="R852" s="173" t="s">
        <v>230</v>
      </c>
      <c r="S852" s="174">
        <v>44852</v>
      </c>
      <c r="T852" s="173" t="s">
        <v>33</v>
      </c>
      <c r="U852" s="182">
        <v>419.09</v>
      </c>
      <c r="V852" s="177">
        <f>IF(U852=0,0,IF(T852="MXN",1/HLOOKUP(YEAR(S852)+(MONTH(S852)/100),TC!$5:$37,DAY(S852)+2,FALSE),VLOOKUP(T852,Equivalencia!$1:$23,((MAX(Equivalencia!$3:$3)-YEAR(S852))*14)+MONTH(S852)+2,FALSE)))</f>
        <v>1</v>
      </c>
      <c r="W852" s="178">
        <f t="shared" si="139"/>
        <v>419.09</v>
      </c>
      <c r="X852" s="481">
        <f t="shared" si="135"/>
        <v>-130.98999999999995</v>
      </c>
      <c r="Y852" s="179"/>
      <c r="Z852" s="466">
        <f t="shared" si="136"/>
        <v>573.45839999999987</v>
      </c>
      <c r="AA852" s="473">
        <f t="shared" si="137"/>
        <v>-154.36839999999989</v>
      </c>
      <c r="AB852" s="339">
        <f t="shared" si="138"/>
        <v>-0.23812899941826637</v>
      </c>
    </row>
    <row r="853" spans="2:28" ht="20.100000000000001" customHeight="1">
      <c r="B853" s="172">
        <v>1175000</v>
      </c>
      <c r="C853" s="174">
        <v>44629</v>
      </c>
      <c r="D853" s="181" t="s">
        <v>180</v>
      </c>
      <c r="E853" s="173" t="s">
        <v>33</v>
      </c>
      <c r="F853" s="176">
        <v>366.71999999999997</v>
      </c>
      <c r="G853" s="175">
        <f t="shared" si="140"/>
        <v>2</v>
      </c>
      <c r="H853" s="175">
        <f t="shared" si="133"/>
        <v>366.71999999999997</v>
      </c>
      <c r="I853" s="177">
        <f>IF(G853=0,0,IF(E853="MXN",1/HLOOKUP(YEAR(C853)+(MONTH(C853)/100),TC!$5:$37,DAY(C853)+2,FALSE),VLOOKUP(E853,Equivalencia!$5:$23,((MAX(Equivalencia!$3:$3)-YEAR(C853))*14)+MONTH(C853)+2,FALSE)))</f>
        <v>1</v>
      </c>
      <c r="J853" s="178">
        <f t="shared" si="141"/>
        <v>366.71999999999997</v>
      </c>
      <c r="K853" s="462">
        <f>IF(C853=0,0,VLOOKUP(YEAR(C853),INPC!$B$4:$O$29,MONTH(C853)+1))</f>
        <v>120.15900000000001</v>
      </c>
      <c r="L853" s="462">
        <f>IF(S853=0,0,VLOOKUP(YEAR(S853),INPC!$B$4:$O$29,MONTH(S853)+1))</f>
        <v>125.276</v>
      </c>
      <c r="M853" s="463">
        <f t="shared" si="134"/>
        <v>1.0425</v>
      </c>
      <c r="N853" s="465">
        <f t="shared" si="142"/>
        <v>382.30559999999997</v>
      </c>
      <c r="O853" s="179"/>
      <c r="P853" s="180">
        <v>2</v>
      </c>
      <c r="Q853" s="173" t="s">
        <v>583</v>
      </c>
      <c r="R853" s="173" t="s">
        <v>230</v>
      </c>
      <c r="S853" s="174">
        <v>44853</v>
      </c>
      <c r="T853" s="173" t="s">
        <v>33</v>
      </c>
      <c r="U853" s="182">
        <v>284.46799999999996</v>
      </c>
      <c r="V853" s="177">
        <f>IF(U853=0,0,IF(T853="MXN",1/HLOOKUP(YEAR(S853)+(MONTH(S853)/100),TC!$5:$37,DAY(S853)+2,FALSE),VLOOKUP(T853,Equivalencia!$1:$23,((MAX(Equivalencia!$3:$3)-YEAR(S853))*14)+MONTH(S853)+2,FALSE)))</f>
        <v>1</v>
      </c>
      <c r="W853" s="178">
        <f t="shared" si="139"/>
        <v>284.46799999999996</v>
      </c>
      <c r="X853" s="481">
        <f t="shared" si="135"/>
        <v>-82.25200000000001</v>
      </c>
      <c r="Y853" s="179"/>
      <c r="Z853" s="466">
        <f t="shared" si="136"/>
        <v>382.30559999999997</v>
      </c>
      <c r="AA853" s="473">
        <f t="shared" si="137"/>
        <v>-97.837600000000009</v>
      </c>
      <c r="AB853" s="339">
        <f t="shared" si="138"/>
        <v>-0.22429101221640491</v>
      </c>
    </row>
    <row r="854" spans="2:28" ht="20.100000000000001" customHeight="1">
      <c r="B854" s="172">
        <v>1175000</v>
      </c>
      <c r="C854" s="174">
        <v>44630</v>
      </c>
      <c r="D854" s="181" t="s">
        <v>180</v>
      </c>
      <c r="E854" s="173" t="s">
        <v>33</v>
      </c>
      <c r="F854" s="176">
        <v>552.48599999999988</v>
      </c>
      <c r="G854" s="175">
        <f t="shared" si="140"/>
        <v>3</v>
      </c>
      <c r="H854" s="175">
        <f t="shared" si="133"/>
        <v>552.48599999999988</v>
      </c>
      <c r="I854" s="177">
        <f>IF(G854=0,0,IF(E854="MXN",1/HLOOKUP(YEAR(C854)+(MONTH(C854)/100),TC!$5:$37,DAY(C854)+2,FALSE),VLOOKUP(E854,Equivalencia!$5:$23,((MAX(Equivalencia!$3:$3)-YEAR(C854))*14)+MONTH(C854)+2,FALSE)))</f>
        <v>1</v>
      </c>
      <c r="J854" s="178">
        <f t="shared" si="141"/>
        <v>552.48599999999988</v>
      </c>
      <c r="K854" s="462">
        <f>IF(C854=0,0,VLOOKUP(YEAR(C854),INPC!$B$4:$O$29,MONTH(C854)+1))</f>
        <v>120.15900000000001</v>
      </c>
      <c r="L854" s="462">
        <f>IF(S854=0,0,VLOOKUP(YEAR(S854),INPC!$B$4:$O$29,MONTH(S854)+1))</f>
        <v>125.276</v>
      </c>
      <c r="M854" s="463">
        <f t="shared" si="134"/>
        <v>1.0425</v>
      </c>
      <c r="N854" s="465">
        <f t="shared" si="142"/>
        <v>575.96665499999983</v>
      </c>
      <c r="O854" s="179"/>
      <c r="P854" s="180">
        <v>3</v>
      </c>
      <c r="Q854" s="173" t="s">
        <v>583</v>
      </c>
      <c r="R854" s="173" t="s">
        <v>230</v>
      </c>
      <c r="S854" s="174">
        <v>44853</v>
      </c>
      <c r="T854" s="173" t="s">
        <v>33</v>
      </c>
      <c r="U854" s="182">
        <v>426.70199999999994</v>
      </c>
      <c r="V854" s="177">
        <f>IF(U854=0,0,IF(T854="MXN",1/HLOOKUP(YEAR(S854)+(MONTH(S854)/100),TC!$5:$37,DAY(S854)+2,FALSE),VLOOKUP(T854,Equivalencia!$1:$23,((MAX(Equivalencia!$3:$3)-YEAR(S854))*14)+MONTH(S854)+2,FALSE)))</f>
        <v>1</v>
      </c>
      <c r="W854" s="178">
        <f t="shared" si="139"/>
        <v>426.70199999999994</v>
      </c>
      <c r="X854" s="481">
        <f t="shared" si="135"/>
        <v>-125.78399999999993</v>
      </c>
      <c r="Y854" s="179"/>
      <c r="Z854" s="466">
        <f t="shared" si="136"/>
        <v>575.96665499999983</v>
      </c>
      <c r="AA854" s="473">
        <f t="shared" si="137"/>
        <v>-149.26465499999989</v>
      </c>
      <c r="AB854" s="339">
        <f t="shared" si="138"/>
        <v>-0.22766911740749984</v>
      </c>
    </row>
    <row r="855" spans="2:28" ht="20.100000000000001" customHeight="1">
      <c r="B855" s="172">
        <v>1175000</v>
      </c>
      <c r="C855" s="174">
        <v>44630</v>
      </c>
      <c r="D855" s="181" t="s">
        <v>180</v>
      </c>
      <c r="E855" s="173" t="s">
        <v>33</v>
      </c>
      <c r="F855" s="176">
        <v>184.16199999999998</v>
      </c>
      <c r="G855" s="175">
        <f t="shared" si="140"/>
        <v>1</v>
      </c>
      <c r="H855" s="175">
        <f t="shared" si="133"/>
        <v>184.16199999999998</v>
      </c>
      <c r="I855" s="177">
        <f>IF(G855=0,0,IF(E855="MXN",1/HLOOKUP(YEAR(C855)+(MONTH(C855)/100),TC!$5:$37,DAY(C855)+2,FALSE),VLOOKUP(E855,Equivalencia!$5:$23,((MAX(Equivalencia!$3:$3)-YEAR(C855))*14)+MONTH(C855)+2,FALSE)))</f>
        <v>1</v>
      </c>
      <c r="J855" s="178">
        <f t="shared" si="141"/>
        <v>184.16199999999998</v>
      </c>
      <c r="K855" s="462">
        <f>IF(C855=0,0,VLOOKUP(YEAR(C855),INPC!$B$4:$O$29,MONTH(C855)+1))</f>
        <v>120.15900000000001</v>
      </c>
      <c r="L855" s="462">
        <f>IF(S855=0,0,VLOOKUP(YEAR(S855),INPC!$B$4:$O$29,MONTH(S855)+1))</f>
        <v>125.276</v>
      </c>
      <c r="M855" s="463">
        <f t="shared" si="134"/>
        <v>1.0425</v>
      </c>
      <c r="N855" s="465">
        <f t="shared" si="142"/>
        <v>191.98888499999998</v>
      </c>
      <c r="O855" s="179"/>
      <c r="P855" s="180">
        <v>1</v>
      </c>
      <c r="Q855" s="173" t="s">
        <v>583</v>
      </c>
      <c r="R855" s="173" t="s">
        <v>230</v>
      </c>
      <c r="S855" s="174">
        <v>44859</v>
      </c>
      <c r="T855" s="173" t="s">
        <v>33</v>
      </c>
      <c r="U855" s="182">
        <v>147.52000000000001</v>
      </c>
      <c r="V855" s="177">
        <f>IF(U855=0,0,IF(T855="MXN",1/HLOOKUP(YEAR(S855)+(MONTH(S855)/100),TC!$5:$37,DAY(S855)+2,FALSE),VLOOKUP(T855,Equivalencia!$1:$23,((MAX(Equivalencia!$3:$3)-YEAR(S855))*14)+MONTH(S855)+2,FALSE)))</f>
        <v>1</v>
      </c>
      <c r="W855" s="178">
        <f t="shared" si="139"/>
        <v>147.52000000000001</v>
      </c>
      <c r="X855" s="481">
        <f t="shared" si="135"/>
        <v>-36.641999999999967</v>
      </c>
      <c r="Y855" s="179"/>
      <c r="Z855" s="466">
        <f t="shared" si="136"/>
        <v>191.98888499999998</v>
      </c>
      <c r="AA855" s="473">
        <f t="shared" si="137"/>
        <v>-44.468884999999972</v>
      </c>
      <c r="AB855" s="339">
        <f t="shared" si="138"/>
        <v>-0.1989661276484832</v>
      </c>
    </row>
    <row r="856" spans="2:28" ht="20.100000000000001" customHeight="1">
      <c r="B856" s="172">
        <v>1175000</v>
      </c>
      <c r="C856" s="174">
        <v>44630</v>
      </c>
      <c r="D856" s="181" t="s">
        <v>180</v>
      </c>
      <c r="E856" s="173" t="s">
        <v>33</v>
      </c>
      <c r="F856" s="176">
        <v>184.16199999999998</v>
      </c>
      <c r="G856" s="175">
        <f t="shared" si="140"/>
        <v>1</v>
      </c>
      <c r="H856" s="175">
        <f t="shared" si="133"/>
        <v>184.16199999999998</v>
      </c>
      <c r="I856" s="177">
        <f>IF(G856=0,0,IF(E856="MXN",1/HLOOKUP(YEAR(C856)+(MONTH(C856)/100),TC!$5:$37,DAY(C856)+2,FALSE),VLOOKUP(E856,Equivalencia!$5:$23,((MAX(Equivalencia!$3:$3)-YEAR(C856))*14)+MONTH(C856)+2,FALSE)))</f>
        <v>1</v>
      </c>
      <c r="J856" s="178">
        <f t="shared" si="141"/>
        <v>184.16199999999998</v>
      </c>
      <c r="K856" s="462">
        <f>IF(C856=0,0,VLOOKUP(YEAR(C856),INPC!$B$4:$O$29,MONTH(C856)+1))</f>
        <v>120.15900000000001</v>
      </c>
      <c r="L856" s="462">
        <f>IF(S856=0,0,VLOOKUP(YEAR(S856),INPC!$B$4:$O$29,MONTH(S856)+1))</f>
        <v>125.276</v>
      </c>
      <c r="M856" s="463">
        <f t="shared" si="134"/>
        <v>1.0425</v>
      </c>
      <c r="N856" s="465">
        <f t="shared" si="142"/>
        <v>191.98888499999998</v>
      </c>
      <c r="O856" s="179"/>
      <c r="P856" s="180">
        <v>1</v>
      </c>
      <c r="Q856" s="173" t="s">
        <v>583</v>
      </c>
      <c r="R856" s="173" t="s">
        <v>230</v>
      </c>
      <c r="S856" s="174">
        <v>44859</v>
      </c>
      <c r="T856" s="173" t="s">
        <v>33</v>
      </c>
      <c r="U856" s="182">
        <v>148.27000000000001</v>
      </c>
      <c r="V856" s="177">
        <f>IF(U856=0,0,IF(T856="MXN",1/HLOOKUP(YEAR(S856)+(MONTH(S856)/100),TC!$5:$37,DAY(S856)+2,FALSE),VLOOKUP(T856,Equivalencia!$1:$23,((MAX(Equivalencia!$3:$3)-YEAR(S856))*14)+MONTH(S856)+2,FALSE)))</f>
        <v>1</v>
      </c>
      <c r="W856" s="178">
        <f t="shared" si="139"/>
        <v>148.27000000000001</v>
      </c>
      <c r="X856" s="481">
        <f t="shared" si="135"/>
        <v>-35.891999999999967</v>
      </c>
      <c r="Y856" s="179"/>
      <c r="Z856" s="466">
        <f t="shared" si="136"/>
        <v>191.98888499999998</v>
      </c>
      <c r="AA856" s="473">
        <f t="shared" si="137"/>
        <v>-43.718884999999972</v>
      </c>
      <c r="AB856" s="339">
        <f t="shared" si="138"/>
        <v>-0.19489362626383278</v>
      </c>
    </row>
    <row r="857" spans="2:28" ht="20.100000000000001" customHeight="1">
      <c r="B857" s="172">
        <v>1175000</v>
      </c>
      <c r="C857" s="174">
        <v>44630</v>
      </c>
      <c r="D857" s="181" t="s">
        <v>180</v>
      </c>
      <c r="E857" s="173" t="s">
        <v>33</v>
      </c>
      <c r="F857" s="176">
        <v>183.54333333333332</v>
      </c>
      <c r="G857" s="175">
        <f t="shared" si="140"/>
        <v>1</v>
      </c>
      <c r="H857" s="175">
        <f t="shared" si="133"/>
        <v>183.54333333333332</v>
      </c>
      <c r="I857" s="177">
        <f>IF(G857=0,0,IF(E857="MXN",1/HLOOKUP(YEAR(C857)+(MONTH(C857)/100),TC!$5:$37,DAY(C857)+2,FALSE),VLOOKUP(E857,Equivalencia!$5:$23,((MAX(Equivalencia!$3:$3)-YEAR(C857))*14)+MONTH(C857)+2,FALSE)))</f>
        <v>1</v>
      </c>
      <c r="J857" s="178">
        <f t="shared" si="141"/>
        <v>183.54333333333332</v>
      </c>
      <c r="K857" s="462">
        <f>IF(C857=0,0,VLOOKUP(YEAR(C857),INPC!$B$4:$O$29,MONTH(C857)+1))</f>
        <v>120.15900000000001</v>
      </c>
      <c r="L857" s="462">
        <f>IF(S857=0,0,VLOOKUP(YEAR(S857),INPC!$B$4:$O$29,MONTH(S857)+1))</f>
        <v>125.276</v>
      </c>
      <c r="M857" s="463">
        <f t="shared" si="134"/>
        <v>1.0425</v>
      </c>
      <c r="N857" s="465">
        <f t="shared" si="142"/>
        <v>191.34392499999998</v>
      </c>
      <c r="O857" s="179"/>
      <c r="P857" s="180">
        <v>1</v>
      </c>
      <c r="Q857" s="173" t="s">
        <v>583</v>
      </c>
      <c r="R857" s="173" t="s">
        <v>230</v>
      </c>
      <c r="S857" s="174">
        <v>44859</v>
      </c>
      <c r="T857" s="173" t="s">
        <v>33</v>
      </c>
      <c r="U857" s="182">
        <v>148.27000000000001</v>
      </c>
      <c r="V857" s="177">
        <f>IF(U857=0,0,IF(T857="MXN",1/HLOOKUP(YEAR(S857)+(MONTH(S857)/100),TC!$5:$37,DAY(S857)+2,FALSE),VLOOKUP(T857,Equivalencia!$1:$23,((MAX(Equivalencia!$3:$3)-YEAR(S857))*14)+MONTH(S857)+2,FALSE)))</f>
        <v>1</v>
      </c>
      <c r="W857" s="178">
        <f t="shared" si="139"/>
        <v>148.27000000000001</v>
      </c>
      <c r="X857" s="481">
        <f t="shared" si="135"/>
        <v>-35.273333333333312</v>
      </c>
      <c r="Y857" s="179"/>
      <c r="Z857" s="466">
        <f t="shared" si="136"/>
        <v>191.34392499999998</v>
      </c>
      <c r="AA857" s="473">
        <f t="shared" si="137"/>
        <v>-43.073924999999974</v>
      </c>
      <c r="AB857" s="339">
        <f t="shared" si="138"/>
        <v>-0.19217986669814568</v>
      </c>
    </row>
    <row r="858" spans="2:28" ht="20.100000000000001" customHeight="1">
      <c r="B858" s="172">
        <v>1175000</v>
      </c>
      <c r="C858" s="174">
        <v>44630</v>
      </c>
      <c r="D858" s="181" t="s">
        <v>180</v>
      </c>
      <c r="E858" s="173" t="s">
        <v>33</v>
      </c>
      <c r="F858" s="176">
        <v>367.08666666666664</v>
      </c>
      <c r="G858" s="175">
        <f t="shared" si="140"/>
        <v>2</v>
      </c>
      <c r="H858" s="175">
        <f t="shared" si="133"/>
        <v>367.08666666666664</v>
      </c>
      <c r="I858" s="177">
        <f>IF(G858=0,0,IF(E858="MXN",1/HLOOKUP(YEAR(C858)+(MONTH(C858)/100),TC!$5:$37,DAY(C858)+2,FALSE),VLOOKUP(E858,Equivalencia!$5:$23,((MAX(Equivalencia!$3:$3)-YEAR(C858))*14)+MONTH(C858)+2,FALSE)))</f>
        <v>1</v>
      </c>
      <c r="J858" s="178">
        <f t="shared" si="141"/>
        <v>367.08666666666664</v>
      </c>
      <c r="K858" s="462">
        <f>IF(C858=0,0,VLOOKUP(YEAR(C858),INPC!$B$4:$O$29,MONTH(C858)+1))</f>
        <v>120.15900000000001</v>
      </c>
      <c r="L858" s="462">
        <f>IF(S858=0,0,VLOOKUP(YEAR(S858),INPC!$B$4:$O$29,MONTH(S858)+1))</f>
        <v>125.276</v>
      </c>
      <c r="M858" s="463">
        <f t="shared" si="134"/>
        <v>1.0425</v>
      </c>
      <c r="N858" s="465">
        <f t="shared" si="142"/>
        <v>382.68784999999997</v>
      </c>
      <c r="O858" s="179"/>
      <c r="P858" s="180">
        <v>2</v>
      </c>
      <c r="Q858" s="173" t="s">
        <v>583</v>
      </c>
      <c r="R858" s="173" t="s">
        <v>230</v>
      </c>
      <c r="S858" s="174">
        <v>44859</v>
      </c>
      <c r="T858" s="173" t="s">
        <v>33</v>
      </c>
      <c r="U858" s="182">
        <v>295.85000000000002</v>
      </c>
      <c r="V858" s="177">
        <f>IF(U858=0,0,IF(T858="MXN",1/HLOOKUP(YEAR(S858)+(MONTH(S858)/100),TC!$5:$37,DAY(S858)+2,FALSE),VLOOKUP(T858,Equivalencia!$1:$23,((MAX(Equivalencia!$3:$3)-YEAR(S858))*14)+MONTH(S858)+2,FALSE)))</f>
        <v>1</v>
      </c>
      <c r="W858" s="178">
        <f t="shared" si="139"/>
        <v>295.85000000000002</v>
      </c>
      <c r="X858" s="481">
        <f t="shared" si="135"/>
        <v>-71.236666666666622</v>
      </c>
      <c r="Y858" s="179"/>
      <c r="Z858" s="466">
        <f t="shared" si="136"/>
        <v>382.68784999999997</v>
      </c>
      <c r="AA858" s="473">
        <f t="shared" si="137"/>
        <v>-86.837849999999946</v>
      </c>
      <c r="AB858" s="339">
        <f t="shared" si="138"/>
        <v>-0.19405953180901869</v>
      </c>
    </row>
    <row r="859" spans="2:28" ht="20.100000000000001" customHeight="1">
      <c r="B859" s="172">
        <v>1175000</v>
      </c>
      <c r="C859" s="174">
        <v>44630</v>
      </c>
      <c r="D859" s="181" t="s">
        <v>180</v>
      </c>
      <c r="E859" s="173" t="s">
        <v>33</v>
      </c>
      <c r="F859" s="176">
        <v>369.29599999999999</v>
      </c>
      <c r="G859" s="175">
        <f t="shared" si="140"/>
        <v>2</v>
      </c>
      <c r="H859" s="175">
        <f t="shared" si="133"/>
        <v>369.29599999999999</v>
      </c>
      <c r="I859" s="177">
        <f>IF(G859=0,0,IF(E859="MXN",1/HLOOKUP(YEAR(C859)+(MONTH(C859)/100),TC!$5:$37,DAY(C859)+2,FALSE),VLOOKUP(E859,Equivalencia!$5:$23,((MAX(Equivalencia!$3:$3)-YEAR(C859))*14)+MONTH(C859)+2,FALSE)))</f>
        <v>1</v>
      </c>
      <c r="J859" s="178">
        <f t="shared" si="141"/>
        <v>369.29599999999999</v>
      </c>
      <c r="K859" s="462">
        <f>IF(C859=0,0,VLOOKUP(YEAR(C859),INPC!$B$4:$O$29,MONTH(C859)+1))</f>
        <v>120.15900000000001</v>
      </c>
      <c r="L859" s="462">
        <f>IF(S859=0,0,VLOOKUP(YEAR(S859),INPC!$B$4:$O$29,MONTH(S859)+1))</f>
        <v>125.276</v>
      </c>
      <c r="M859" s="463">
        <f t="shared" si="134"/>
        <v>1.0425</v>
      </c>
      <c r="N859" s="465">
        <f t="shared" si="142"/>
        <v>384.99108000000001</v>
      </c>
      <c r="O859" s="179"/>
      <c r="P859" s="180">
        <v>2</v>
      </c>
      <c r="Q859" s="173" t="s">
        <v>583</v>
      </c>
      <c r="R859" s="173" t="s">
        <v>230</v>
      </c>
      <c r="S859" s="174">
        <v>44859</v>
      </c>
      <c r="T859" s="173" t="s">
        <v>33</v>
      </c>
      <c r="U859" s="182">
        <v>295.81744680851062</v>
      </c>
      <c r="V859" s="177">
        <f>IF(U859=0,0,IF(T859="MXN",1/HLOOKUP(YEAR(S859)+(MONTH(S859)/100),TC!$5:$37,DAY(S859)+2,FALSE),VLOOKUP(T859,Equivalencia!$1:$23,((MAX(Equivalencia!$3:$3)-YEAR(S859))*14)+MONTH(S859)+2,FALSE)))</f>
        <v>1</v>
      </c>
      <c r="W859" s="178">
        <f t="shared" si="139"/>
        <v>295.81744680851062</v>
      </c>
      <c r="X859" s="481">
        <f t="shared" si="135"/>
        <v>-73.478553191489368</v>
      </c>
      <c r="Y859" s="179"/>
      <c r="Z859" s="466">
        <f t="shared" si="136"/>
        <v>384.99108000000001</v>
      </c>
      <c r="AA859" s="473">
        <f t="shared" si="137"/>
        <v>-89.173633191489387</v>
      </c>
      <c r="AB859" s="339">
        <f t="shared" si="138"/>
        <v>-0.1989692636570376</v>
      </c>
    </row>
    <row r="860" spans="2:28" ht="20.100000000000001" customHeight="1">
      <c r="B860" s="172">
        <v>1175000</v>
      </c>
      <c r="C860" s="174">
        <v>44630</v>
      </c>
      <c r="D860" s="181" t="s">
        <v>180</v>
      </c>
      <c r="E860" s="173" t="s">
        <v>33</v>
      </c>
      <c r="F860" s="176">
        <v>550.63</v>
      </c>
      <c r="G860" s="175">
        <f t="shared" si="140"/>
        <v>3</v>
      </c>
      <c r="H860" s="175">
        <f t="shared" si="133"/>
        <v>550.63</v>
      </c>
      <c r="I860" s="177">
        <f>IF(G860=0,0,IF(E860="MXN",1/HLOOKUP(YEAR(C860)+(MONTH(C860)/100),TC!$5:$37,DAY(C860)+2,FALSE),VLOOKUP(E860,Equivalencia!$5:$23,((MAX(Equivalencia!$3:$3)-YEAR(C860))*14)+MONTH(C860)+2,FALSE)))</f>
        <v>1</v>
      </c>
      <c r="J860" s="178">
        <f t="shared" si="141"/>
        <v>550.63</v>
      </c>
      <c r="K860" s="462">
        <f>IF(C860=0,0,VLOOKUP(YEAR(C860),INPC!$B$4:$O$29,MONTH(C860)+1))</f>
        <v>120.15900000000001</v>
      </c>
      <c r="L860" s="462">
        <f>IF(S860=0,0,VLOOKUP(YEAR(S860),INPC!$B$4:$O$29,MONTH(S860)+1))</f>
        <v>125.276</v>
      </c>
      <c r="M860" s="463">
        <f t="shared" si="134"/>
        <v>1.0425</v>
      </c>
      <c r="N860" s="465">
        <f t="shared" si="142"/>
        <v>574.03177500000004</v>
      </c>
      <c r="O860" s="179"/>
      <c r="P860" s="180">
        <v>3</v>
      </c>
      <c r="Q860" s="173" t="s">
        <v>583</v>
      </c>
      <c r="R860" s="173" t="s">
        <v>230</v>
      </c>
      <c r="S860" s="174">
        <v>44859</v>
      </c>
      <c r="T860" s="173" t="s">
        <v>33</v>
      </c>
      <c r="U860" s="182">
        <v>443.72617021276596</v>
      </c>
      <c r="V860" s="177">
        <f>IF(U860=0,0,IF(T860="MXN",1/HLOOKUP(YEAR(S860)+(MONTH(S860)/100),TC!$5:$37,DAY(S860)+2,FALSE),VLOOKUP(T860,Equivalencia!$1:$23,((MAX(Equivalencia!$3:$3)-YEAR(S860))*14)+MONTH(S860)+2,FALSE)))</f>
        <v>1</v>
      </c>
      <c r="W860" s="178">
        <f t="shared" si="139"/>
        <v>443.72617021276596</v>
      </c>
      <c r="X860" s="481">
        <f t="shared" si="135"/>
        <v>-106.90382978723403</v>
      </c>
      <c r="Y860" s="179"/>
      <c r="Z860" s="466">
        <f t="shared" si="136"/>
        <v>574.03177500000004</v>
      </c>
      <c r="AA860" s="473">
        <f t="shared" si="137"/>
        <v>-130.30560478723407</v>
      </c>
      <c r="AB860" s="339">
        <f t="shared" si="138"/>
        <v>-0.19414821166161311</v>
      </c>
    </row>
    <row r="861" spans="2:28" ht="20.100000000000001" customHeight="1">
      <c r="B861" s="172">
        <v>1175000</v>
      </c>
      <c r="C861" s="174">
        <v>44630</v>
      </c>
      <c r="D861" s="181" t="s">
        <v>180</v>
      </c>
      <c r="E861" s="173" t="s">
        <v>33</v>
      </c>
      <c r="F861" s="176">
        <v>1107.51</v>
      </c>
      <c r="G861" s="175">
        <f t="shared" si="140"/>
        <v>6</v>
      </c>
      <c r="H861" s="175">
        <f t="shared" si="133"/>
        <v>1107.51</v>
      </c>
      <c r="I861" s="177">
        <f>IF(G861=0,0,IF(E861="MXN",1/HLOOKUP(YEAR(C861)+(MONTH(C861)/100),TC!$5:$37,DAY(C861)+2,FALSE),VLOOKUP(E861,Equivalencia!$5:$23,((MAX(Equivalencia!$3:$3)-YEAR(C861))*14)+MONTH(C861)+2,FALSE)))</f>
        <v>1</v>
      </c>
      <c r="J861" s="178">
        <f t="shared" si="141"/>
        <v>1107.51</v>
      </c>
      <c r="K861" s="462">
        <f>IF(C861=0,0,VLOOKUP(YEAR(C861),INPC!$B$4:$O$29,MONTH(C861)+1))</f>
        <v>120.15900000000001</v>
      </c>
      <c r="L861" s="462">
        <f>IF(S861=0,0,VLOOKUP(YEAR(S861),INPC!$B$4:$O$29,MONTH(S861)+1))</f>
        <v>125.276</v>
      </c>
      <c r="M861" s="463">
        <f t="shared" si="134"/>
        <v>1.0425</v>
      </c>
      <c r="N861" s="465">
        <f t="shared" si="142"/>
        <v>1154.5791750000001</v>
      </c>
      <c r="O861" s="179"/>
      <c r="P861" s="180">
        <v>6</v>
      </c>
      <c r="Q861" s="173" t="s">
        <v>583</v>
      </c>
      <c r="R861" s="173" t="s">
        <v>230</v>
      </c>
      <c r="S861" s="174">
        <v>44859</v>
      </c>
      <c r="T861" s="173" t="s">
        <v>33</v>
      </c>
      <c r="U861" s="182">
        <v>887.45234042553193</v>
      </c>
      <c r="V861" s="177">
        <f>IF(U861=0,0,IF(T861="MXN",1/HLOOKUP(YEAR(S861)+(MONTH(S861)/100),TC!$5:$37,DAY(S861)+2,FALSE),VLOOKUP(T861,Equivalencia!$1:$23,((MAX(Equivalencia!$3:$3)-YEAR(S861))*14)+MONTH(S861)+2,FALSE)))</f>
        <v>1</v>
      </c>
      <c r="W861" s="178">
        <f t="shared" si="139"/>
        <v>887.45234042553193</v>
      </c>
      <c r="X861" s="481">
        <f t="shared" si="135"/>
        <v>-220.05765957446806</v>
      </c>
      <c r="Y861" s="179"/>
      <c r="Z861" s="466">
        <f t="shared" si="136"/>
        <v>1154.5791750000001</v>
      </c>
      <c r="AA861" s="473">
        <f t="shared" si="137"/>
        <v>-267.12683457446815</v>
      </c>
      <c r="AB861" s="339">
        <f t="shared" si="138"/>
        <v>-0.19869586692171448</v>
      </c>
    </row>
    <row r="862" spans="2:28" ht="20.100000000000001" customHeight="1">
      <c r="B862" s="172">
        <v>1175000</v>
      </c>
      <c r="C862" s="174">
        <v>44634</v>
      </c>
      <c r="D862" s="181" t="s">
        <v>180</v>
      </c>
      <c r="E862" s="173" t="s">
        <v>33</v>
      </c>
      <c r="F862" s="176">
        <v>4517.3599999999997</v>
      </c>
      <c r="G862" s="175">
        <f t="shared" si="140"/>
        <v>25</v>
      </c>
      <c r="H862" s="175">
        <f t="shared" si="133"/>
        <v>4517.3599999999997</v>
      </c>
      <c r="I862" s="177">
        <f>IF(G862=0,0,IF(E862="MXN",1/HLOOKUP(YEAR(C862)+(MONTH(C862)/100),TC!$5:$37,DAY(C862)+2,FALSE),VLOOKUP(E862,Equivalencia!$5:$23,((MAX(Equivalencia!$3:$3)-YEAR(C862))*14)+MONTH(C862)+2,FALSE)))</f>
        <v>1</v>
      </c>
      <c r="J862" s="178">
        <f t="shared" si="141"/>
        <v>4517.3599999999997</v>
      </c>
      <c r="K862" s="462">
        <f>IF(C862=0,0,VLOOKUP(YEAR(C862),INPC!$B$4:$O$29,MONTH(C862)+1))</f>
        <v>120.15900000000001</v>
      </c>
      <c r="L862" s="462">
        <f>IF(S862=0,0,VLOOKUP(YEAR(S862),INPC!$B$4:$O$29,MONTH(S862)+1))</f>
        <v>125.276</v>
      </c>
      <c r="M862" s="463">
        <f t="shared" si="134"/>
        <v>1.0425</v>
      </c>
      <c r="N862" s="465">
        <f t="shared" si="142"/>
        <v>4709.3477999999996</v>
      </c>
      <c r="O862" s="179"/>
      <c r="P862" s="180">
        <v>25</v>
      </c>
      <c r="Q862" s="173" t="s">
        <v>583</v>
      </c>
      <c r="R862" s="173" t="s">
        <v>230</v>
      </c>
      <c r="S862" s="174">
        <v>44859</v>
      </c>
      <c r="T862" s="173" t="s">
        <v>33</v>
      </c>
      <c r="U862" s="182">
        <v>3697.7180851063827</v>
      </c>
      <c r="V862" s="177">
        <f>IF(U862=0,0,IF(T862="MXN",1/HLOOKUP(YEAR(S862)+(MONTH(S862)/100),TC!$5:$37,DAY(S862)+2,FALSE),VLOOKUP(T862,Equivalencia!$1:$23,((MAX(Equivalencia!$3:$3)-YEAR(S862))*14)+MONTH(S862)+2,FALSE)))</f>
        <v>1</v>
      </c>
      <c r="W862" s="178">
        <f t="shared" si="139"/>
        <v>3697.7180851063827</v>
      </c>
      <c r="X862" s="481">
        <f t="shared" si="135"/>
        <v>-819.64191489361701</v>
      </c>
      <c r="Y862" s="179"/>
      <c r="Z862" s="466">
        <f t="shared" si="136"/>
        <v>4709.3477999999996</v>
      </c>
      <c r="AA862" s="473">
        <f t="shared" si="137"/>
        <v>-1011.6297148936169</v>
      </c>
      <c r="AB862" s="339">
        <f t="shared" si="138"/>
        <v>-0.18144268220677939</v>
      </c>
    </row>
    <row r="863" spans="2:28" ht="20.100000000000001" customHeight="1">
      <c r="B863" s="172">
        <v>1175000</v>
      </c>
      <c r="C863" s="174">
        <v>44783</v>
      </c>
      <c r="D863" s="181" t="s">
        <v>180</v>
      </c>
      <c r="E863" s="173" t="s">
        <v>33</v>
      </c>
      <c r="F863" s="176">
        <v>357.74</v>
      </c>
      <c r="G863" s="175">
        <f t="shared" si="140"/>
        <v>2</v>
      </c>
      <c r="H863" s="175">
        <f t="shared" si="133"/>
        <v>357.74</v>
      </c>
      <c r="I863" s="177">
        <f>IF(G863=0,0,IF(E863="MXN",1/HLOOKUP(YEAR(C863)+(MONTH(C863)/100),TC!$5:$37,DAY(C863)+2,FALSE),VLOOKUP(E863,Equivalencia!$5:$23,((MAX(Equivalencia!$3:$3)-YEAR(C863))*14)+MONTH(C863)+2,FALSE)))</f>
        <v>1</v>
      </c>
      <c r="J863" s="178">
        <f t="shared" si="141"/>
        <v>357.74</v>
      </c>
      <c r="K863" s="462">
        <f>IF(C863=0,0,VLOOKUP(YEAR(C863),INPC!$B$4:$O$29,MONTH(C863)+1))</f>
        <v>123.803</v>
      </c>
      <c r="L863" s="462">
        <f>IF(S863=0,0,VLOOKUP(YEAR(S863),INPC!$B$4:$O$29,MONTH(S863)+1))</f>
        <v>125.276</v>
      </c>
      <c r="M863" s="463">
        <f t="shared" si="134"/>
        <v>1.0118</v>
      </c>
      <c r="N863" s="465">
        <f t="shared" si="142"/>
        <v>361.96133200000003</v>
      </c>
      <c r="O863" s="179"/>
      <c r="P863" s="180">
        <v>2</v>
      </c>
      <c r="Q863" s="173" t="s">
        <v>583</v>
      </c>
      <c r="R863" s="173" t="s">
        <v>230</v>
      </c>
      <c r="S863" s="174">
        <v>44859</v>
      </c>
      <c r="T863" s="173" t="s">
        <v>33</v>
      </c>
      <c r="U863" s="182">
        <v>295.81744680851062</v>
      </c>
      <c r="V863" s="177">
        <f>IF(U863=0,0,IF(T863="MXN",1/HLOOKUP(YEAR(S863)+(MONTH(S863)/100),TC!$5:$37,DAY(S863)+2,FALSE),VLOOKUP(T863,Equivalencia!$1:$23,((MAX(Equivalencia!$3:$3)-YEAR(S863))*14)+MONTH(S863)+2,FALSE)))</f>
        <v>1</v>
      </c>
      <c r="W863" s="178">
        <f t="shared" si="139"/>
        <v>295.81744680851062</v>
      </c>
      <c r="X863" s="481">
        <f t="shared" si="135"/>
        <v>-61.922553191489385</v>
      </c>
      <c r="Y863" s="179"/>
      <c r="Z863" s="466">
        <f t="shared" si="136"/>
        <v>361.96133200000003</v>
      </c>
      <c r="AA863" s="473">
        <f t="shared" si="137"/>
        <v>-66.143885191489403</v>
      </c>
      <c r="AB863" s="339">
        <f t="shared" si="138"/>
        <v>-0.17309373620922841</v>
      </c>
    </row>
    <row r="864" spans="2:28" ht="20.100000000000001" customHeight="1">
      <c r="B864" s="172">
        <v>1175000</v>
      </c>
      <c r="C864" s="174">
        <v>44783</v>
      </c>
      <c r="D864" s="181" t="s">
        <v>180</v>
      </c>
      <c r="E864" s="173" t="s">
        <v>33</v>
      </c>
      <c r="F864" s="176">
        <v>1439.84</v>
      </c>
      <c r="G864" s="175">
        <f t="shared" si="140"/>
        <v>8</v>
      </c>
      <c r="H864" s="175">
        <f t="shared" si="133"/>
        <v>1439.84</v>
      </c>
      <c r="I864" s="177">
        <f>IF(G864=0,0,IF(E864="MXN",1/HLOOKUP(YEAR(C864)+(MONTH(C864)/100),TC!$5:$37,DAY(C864)+2,FALSE),VLOOKUP(E864,Equivalencia!$5:$23,((MAX(Equivalencia!$3:$3)-YEAR(C864))*14)+MONTH(C864)+2,FALSE)))</f>
        <v>1</v>
      </c>
      <c r="J864" s="178">
        <f t="shared" si="141"/>
        <v>1439.84</v>
      </c>
      <c r="K864" s="462">
        <f>IF(C864=0,0,VLOOKUP(YEAR(C864),INPC!$B$4:$O$29,MONTH(C864)+1))</f>
        <v>123.803</v>
      </c>
      <c r="L864" s="462">
        <f>IF(S864=0,0,VLOOKUP(YEAR(S864),INPC!$B$4:$O$29,MONTH(S864)+1))</f>
        <v>125.276</v>
      </c>
      <c r="M864" s="463">
        <f t="shared" si="134"/>
        <v>1.0118</v>
      </c>
      <c r="N864" s="465">
        <f t="shared" si="142"/>
        <v>1456.8301119999999</v>
      </c>
      <c r="O864" s="179"/>
      <c r="P864" s="180">
        <v>8</v>
      </c>
      <c r="Q864" s="173" t="s">
        <v>583</v>
      </c>
      <c r="R864" s="173" t="s">
        <v>230</v>
      </c>
      <c r="S864" s="174">
        <v>44859</v>
      </c>
      <c r="T864" s="173" t="s">
        <v>33</v>
      </c>
      <c r="U864" s="182">
        <v>1183.2697872340425</v>
      </c>
      <c r="V864" s="177">
        <f>IF(U864=0,0,IF(T864="MXN",1/HLOOKUP(YEAR(S864)+(MONTH(S864)/100),TC!$5:$37,DAY(S864)+2,FALSE),VLOOKUP(T864,Equivalencia!$1:$23,((MAX(Equivalencia!$3:$3)-YEAR(S864))*14)+MONTH(S864)+2,FALSE)))</f>
        <v>1</v>
      </c>
      <c r="W864" s="178">
        <f t="shared" si="139"/>
        <v>1183.2697872340425</v>
      </c>
      <c r="X864" s="481">
        <f t="shared" si="135"/>
        <v>-256.57021276595742</v>
      </c>
      <c r="Y864" s="179"/>
      <c r="Z864" s="466">
        <f t="shared" si="136"/>
        <v>1456.8301119999999</v>
      </c>
      <c r="AA864" s="473">
        <f t="shared" si="137"/>
        <v>-273.56032476595738</v>
      </c>
      <c r="AB864" s="339">
        <f t="shared" si="138"/>
        <v>-0.17819355814948701</v>
      </c>
    </row>
    <row r="865" spans="2:28" ht="20.100000000000001" customHeight="1">
      <c r="B865" s="172">
        <v>1175000</v>
      </c>
      <c r="C865" s="174">
        <v>44783</v>
      </c>
      <c r="D865" s="181" t="s">
        <v>180</v>
      </c>
      <c r="E865" s="173" t="s">
        <v>33</v>
      </c>
      <c r="F865" s="176">
        <v>180.09</v>
      </c>
      <c r="G865" s="175">
        <f t="shared" si="140"/>
        <v>1</v>
      </c>
      <c r="H865" s="175">
        <f t="shared" si="133"/>
        <v>180.09</v>
      </c>
      <c r="I865" s="177">
        <f>IF(G865=0,0,IF(E865="MXN",1/HLOOKUP(YEAR(C865)+(MONTH(C865)/100),TC!$5:$37,DAY(C865)+2,FALSE),VLOOKUP(E865,Equivalencia!$5:$23,((MAX(Equivalencia!$3:$3)-YEAR(C865))*14)+MONTH(C865)+2,FALSE)))</f>
        <v>1</v>
      </c>
      <c r="J865" s="178">
        <f t="shared" si="141"/>
        <v>180.09</v>
      </c>
      <c r="K865" s="462">
        <f>IF(C865=0,0,VLOOKUP(YEAR(C865),INPC!$B$4:$O$29,MONTH(C865)+1))</f>
        <v>123.803</v>
      </c>
      <c r="L865" s="462">
        <f>IF(S865=0,0,VLOOKUP(YEAR(S865),INPC!$B$4:$O$29,MONTH(S865)+1))</f>
        <v>125.276</v>
      </c>
      <c r="M865" s="463">
        <f t="shared" si="134"/>
        <v>1.0118</v>
      </c>
      <c r="N865" s="465">
        <f t="shared" si="142"/>
        <v>182.21506200000002</v>
      </c>
      <c r="O865" s="179"/>
      <c r="P865" s="180">
        <v>1</v>
      </c>
      <c r="Q865" s="173" t="s">
        <v>583</v>
      </c>
      <c r="R865" s="173" t="s">
        <v>230</v>
      </c>
      <c r="S865" s="174">
        <v>44859</v>
      </c>
      <c r="T865" s="173" t="s">
        <v>33</v>
      </c>
      <c r="U865" s="182">
        <v>147.90872340425531</v>
      </c>
      <c r="V865" s="177">
        <f>IF(U865=0,0,IF(T865="MXN",1/HLOOKUP(YEAR(S865)+(MONTH(S865)/100),TC!$5:$37,DAY(S865)+2,FALSE),VLOOKUP(T865,Equivalencia!$1:$23,((MAX(Equivalencia!$3:$3)-YEAR(S865))*14)+MONTH(S865)+2,FALSE)))</f>
        <v>1</v>
      </c>
      <c r="W865" s="178">
        <f t="shared" si="139"/>
        <v>147.90872340425531</v>
      </c>
      <c r="X865" s="481">
        <f t="shared" si="135"/>
        <v>-32.181276595744691</v>
      </c>
      <c r="Y865" s="179"/>
      <c r="Z865" s="466">
        <f t="shared" si="136"/>
        <v>182.21506200000002</v>
      </c>
      <c r="AA865" s="473">
        <f t="shared" si="137"/>
        <v>-34.306338595744705</v>
      </c>
      <c r="AB865" s="339">
        <f t="shared" si="138"/>
        <v>-0.17869552221525176</v>
      </c>
    </row>
    <row r="866" spans="2:28" ht="20.100000000000001" customHeight="1">
      <c r="B866" s="172">
        <v>1175000</v>
      </c>
      <c r="C866" s="174">
        <v>44783</v>
      </c>
      <c r="D866" s="181" t="s">
        <v>180</v>
      </c>
      <c r="E866" s="173" t="s">
        <v>33</v>
      </c>
      <c r="F866" s="176">
        <v>180.09</v>
      </c>
      <c r="G866" s="175">
        <f t="shared" si="140"/>
        <v>1</v>
      </c>
      <c r="H866" s="175">
        <f t="shared" si="133"/>
        <v>180.09</v>
      </c>
      <c r="I866" s="177">
        <f>IF(G866=0,0,IF(E866="MXN",1/HLOOKUP(YEAR(C866)+(MONTH(C866)/100),TC!$5:$37,DAY(C866)+2,FALSE),VLOOKUP(E866,Equivalencia!$5:$23,((MAX(Equivalencia!$3:$3)-YEAR(C866))*14)+MONTH(C866)+2,FALSE)))</f>
        <v>1</v>
      </c>
      <c r="J866" s="178">
        <f t="shared" si="141"/>
        <v>180.09</v>
      </c>
      <c r="K866" s="462">
        <f>IF(C866=0,0,VLOOKUP(YEAR(C866),INPC!$B$4:$O$29,MONTH(C866)+1))</f>
        <v>123.803</v>
      </c>
      <c r="L866" s="462">
        <f>IF(S866=0,0,VLOOKUP(YEAR(S866),INPC!$B$4:$O$29,MONTH(S866)+1))</f>
        <v>125.276</v>
      </c>
      <c r="M866" s="463">
        <f t="shared" si="134"/>
        <v>1.0118</v>
      </c>
      <c r="N866" s="465">
        <f t="shared" si="142"/>
        <v>182.21506200000002</v>
      </c>
      <c r="O866" s="179"/>
      <c r="P866" s="180">
        <v>1</v>
      </c>
      <c r="Q866" s="173" t="s">
        <v>583</v>
      </c>
      <c r="R866" s="173" t="s">
        <v>230</v>
      </c>
      <c r="S866" s="174">
        <v>44859</v>
      </c>
      <c r="T866" s="173" t="s">
        <v>33</v>
      </c>
      <c r="U866" s="182">
        <v>147.48333333333332</v>
      </c>
      <c r="V866" s="177">
        <f>IF(U866=0,0,IF(T866="MXN",1/HLOOKUP(YEAR(S866)+(MONTH(S866)/100),TC!$5:$37,DAY(S866)+2,FALSE),VLOOKUP(T866,Equivalencia!$1:$23,((MAX(Equivalencia!$3:$3)-YEAR(S866))*14)+MONTH(S866)+2,FALSE)))</f>
        <v>1</v>
      </c>
      <c r="W866" s="178">
        <f t="shared" si="139"/>
        <v>147.48333333333332</v>
      </c>
      <c r="X866" s="481">
        <f t="shared" si="135"/>
        <v>-32.606666666666683</v>
      </c>
      <c r="Y866" s="179"/>
      <c r="Z866" s="466">
        <f t="shared" si="136"/>
        <v>182.21506200000002</v>
      </c>
      <c r="AA866" s="473">
        <f t="shared" si="137"/>
        <v>-34.731728666666697</v>
      </c>
      <c r="AB866" s="339">
        <f t="shared" si="138"/>
        <v>-0.18105761933847897</v>
      </c>
    </row>
    <row r="867" spans="2:28" ht="20.100000000000001" customHeight="1">
      <c r="B867" s="172">
        <v>1175000</v>
      </c>
      <c r="C867" s="174">
        <v>44783</v>
      </c>
      <c r="D867" s="181" t="s">
        <v>180</v>
      </c>
      <c r="E867" s="173" t="s">
        <v>33</v>
      </c>
      <c r="F867" s="176">
        <v>896.73846153846159</v>
      </c>
      <c r="G867" s="175">
        <f t="shared" si="140"/>
        <v>5</v>
      </c>
      <c r="H867" s="175">
        <f t="shared" si="133"/>
        <v>896.73846153846159</v>
      </c>
      <c r="I867" s="177">
        <f>IF(G867=0,0,IF(E867="MXN",1/HLOOKUP(YEAR(C867)+(MONTH(C867)/100),TC!$5:$37,DAY(C867)+2,FALSE),VLOOKUP(E867,Equivalencia!$5:$23,((MAX(Equivalencia!$3:$3)-YEAR(C867))*14)+MONTH(C867)+2,FALSE)))</f>
        <v>1</v>
      </c>
      <c r="J867" s="178">
        <f t="shared" si="141"/>
        <v>896.73846153846159</v>
      </c>
      <c r="K867" s="462">
        <f>IF(C867=0,0,VLOOKUP(YEAR(C867),INPC!$B$4:$O$29,MONTH(C867)+1))</f>
        <v>123.803</v>
      </c>
      <c r="L867" s="462">
        <f>IF(S867=0,0,VLOOKUP(YEAR(S867),INPC!$B$4:$O$29,MONTH(S867)+1))</f>
        <v>125.276</v>
      </c>
      <c r="M867" s="463">
        <f t="shared" si="134"/>
        <v>1.0118</v>
      </c>
      <c r="N867" s="465">
        <f t="shared" si="142"/>
        <v>907.31997538461542</v>
      </c>
      <c r="O867" s="179"/>
      <c r="P867" s="180">
        <v>5</v>
      </c>
      <c r="Q867" s="173" t="s">
        <v>583</v>
      </c>
      <c r="R867" s="173" t="s">
        <v>230</v>
      </c>
      <c r="S867" s="174">
        <v>44859</v>
      </c>
      <c r="T867" s="173" t="s">
        <v>33</v>
      </c>
      <c r="U867" s="182">
        <v>737.41666666666663</v>
      </c>
      <c r="V867" s="177">
        <f>IF(U867=0,0,IF(T867="MXN",1/HLOOKUP(YEAR(S867)+(MONTH(S867)/100),TC!$5:$37,DAY(S867)+2,FALSE),VLOOKUP(T867,Equivalencia!$1:$23,((MAX(Equivalencia!$3:$3)-YEAR(S867))*14)+MONTH(S867)+2,FALSE)))</f>
        <v>1</v>
      </c>
      <c r="W867" s="178">
        <f t="shared" si="139"/>
        <v>737.41666666666663</v>
      </c>
      <c r="X867" s="481">
        <f t="shared" si="135"/>
        <v>-159.32179487179496</v>
      </c>
      <c r="Y867" s="179"/>
      <c r="Z867" s="466">
        <f t="shared" si="136"/>
        <v>907.31997538461542</v>
      </c>
      <c r="AA867" s="473">
        <f t="shared" si="137"/>
        <v>-169.90330871794879</v>
      </c>
      <c r="AB867" s="339">
        <f t="shared" si="138"/>
        <v>-0.17766807347424296</v>
      </c>
    </row>
    <row r="868" spans="2:28" ht="20.100000000000001" customHeight="1">
      <c r="B868" s="172">
        <v>1175000</v>
      </c>
      <c r="C868" s="174">
        <v>44783</v>
      </c>
      <c r="D868" s="181" t="s">
        <v>180</v>
      </c>
      <c r="E868" s="173" t="s">
        <v>33</v>
      </c>
      <c r="F868" s="176">
        <v>717.39076923076925</v>
      </c>
      <c r="G868" s="175">
        <f t="shared" si="140"/>
        <v>4</v>
      </c>
      <c r="H868" s="175">
        <f t="shared" si="133"/>
        <v>717.39076923076925</v>
      </c>
      <c r="I868" s="177">
        <f>IF(G868=0,0,IF(E868="MXN",1/HLOOKUP(YEAR(C868)+(MONTH(C868)/100),TC!$5:$37,DAY(C868)+2,FALSE),VLOOKUP(E868,Equivalencia!$5:$23,((MAX(Equivalencia!$3:$3)-YEAR(C868))*14)+MONTH(C868)+2,FALSE)))</f>
        <v>1</v>
      </c>
      <c r="J868" s="178">
        <f t="shared" si="141"/>
        <v>717.39076923076925</v>
      </c>
      <c r="K868" s="462">
        <f>IF(C868=0,0,VLOOKUP(YEAR(C868),INPC!$B$4:$O$29,MONTH(C868)+1))</f>
        <v>123.803</v>
      </c>
      <c r="L868" s="462">
        <f>IF(S868=0,0,VLOOKUP(YEAR(S868),INPC!$B$4:$O$29,MONTH(S868)+1))</f>
        <v>125.276</v>
      </c>
      <c r="M868" s="463">
        <f t="shared" si="134"/>
        <v>1.0118</v>
      </c>
      <c r="N868" s="465">
        <f t="shared" si="142"/>
        <v>725.85598030769233</v>
      </c>
      <c r="O868" s="179"/>
      <c r="P868" s="180">
        <v>4</v>
      </c>
      <c r="Q868" s="173" t="s">
        <v>583</v>
      </c>
      <c r="R868" s="173" t="s">
        <v>230</v>
      </c>
      <c r="S868" s="174">
        <v>44859</v>
      </c>
      <c r="T868" s="173" t="s">
        <v>33</v>
      </c>
      <c r="U868" s="182">
        <v>593.19000000000005</v>
      </c>
      <c r="V868" s="177">
        <f>IF(U868=0,0,IF(T868="MXN",1/HLOOKUP(YEAR(S868)+(MONTH(S868)/100),TC!$5:$37,DAY(S868)+2,FALSE),VLOOKUP(T868,Equivalencia!$1:$23,((MAX(Equivalencia!$3:$3)-YEAR(S868))*14)+MONTH(S868)+2,FALSE)))</f>
        <v>1</v>
      </c>
      <c r="W868" s="178">
        <f t="shared" si="139"/>
        <v>593.19000000000005</v>
      </c>
      <c r="X868" s="481">
        <f t="shared" si="135"/>
        <v>-124.2007692307692</v>
      </c>
      <c r="Y868" s="179"/>
      <c r="Z868" s="466">
        <f t="shared" si="136"/>
        <v>725.85598030769233</v>
      </c>
      <c r="AA868" s="473">
        <f t="shared" si="137"/>
        <v>-132.66598030769228</v>
      </c>
      <c r="AB868" s="339">
        <f t="shared" si="138"/>
        <v>-0.17312847412846555</v>
      </c>
    </row>
    <row r="869" spans="2:28" ht="20.100000000000001" customHeight="1">
      <c r="B869" s="172">
        <v>1175000</v>
      </c>
      <c r="C869" s="174">
        <v>44783</v>
      </c>
      <c r="D869" s="181" t="s">
        <v>180</v>
      </c>
      <c r="E869" s="173" t="s">
        <v>33</v>
      </c>
      <c r="F869" s="176">
        <v>1434.7815384615385</v>
      </c>
      <c r="G869" s="175">
        <f t="shared" si="140"/>
        <v>8</v>
      </c>
      <c r="H869" s="175">
        <f t="shared" si="133"/>
        <v>1434.7815384615385</v>
      </c>
      <c r="I869" s="177">
        <f>IF(G869=0,0,IF(E869="MXN",1/HLOOKUP(YEAR(C869)+(MONTH(C869)/100),TC!$5:$37,DAY(C869)+2,FALSE),VLOOKUP(E869,Equivalencia!$5:$23,((MAX(Equivalencia!$3:$3)-YEAR(C869))*14)+MONTH(C869)+2,FALSE)))</f>
        <v>1</v>
      </c>
      <c r="J869" s="178">
        <f t="shared" si="141"/>
        <v>1434.7815384615385</v>
      </c>
      <c r="K869" s="462">
        <f>IF(C869=0,0,VLOOKUP(YEAR(C869),INPC!$B$4:$O$29,MONTH(C869)+1))</f>
        <v>123.803</v>
      </c>
      <c r="L869" s="462">
        <f>IF(S869=0,0,VLOOKUP(YEAR(S869),INPC!$B$4:$O$29,MONTH(S869)+1))</f>
        <v>125.276</v>
      </c>
      <c r="M869" s="463">
        <f t="shared" si="134"/>
        <v>1.0118</v>
      </c>
      <c r="N869" s="465">
        <f t="shared" si="142"/>
        <v>1451.7119606153847</v>
      </c>
      <c r="O869" s="179"/>
      <c r="P869" s="180">
        <v>8</v>
      </c>
      <c r="Q869" s="173" t="s">
        <v>583</v>
      </c>
      <c r="R869" s="173" t="s">
        <v>230</v>
      </c>
      <c r="S869" s="174">
        <v>44859</v>
      </c>
      <c r="T869" s="173" t="s">
        <v>33</v>
      </c>
      <c r="U869" s="182">
        <v>1184.77</v>
      </c>
      <c r="V869" s="177">
        <f>IF(U869=0,0,IF(T869="MXN",1/HLOOKUP(YEAR(S869)+(MONTH(S869)/100),TC!$5:$37,DAY(S869)+2,FALSE),VLOOKUP(T869,Equivalencia!$1:$23,((MAX(Equivalencia!$3:$3)-YEAR(S869))*14)+MONTH(S869)+2,FALSE)))</f>
        <v>1</v>
      </c>
      <c r="W869" s="178">
        <f t="shared" si="139"/>
        <v>1184.77</v>
      </c>
      <c r="X869" s="481">
        <f t="shared" si="135"/>
        <v>-250.01153846153852</v>
      </c>
      <c r="Y869" s="179"/>
      <c r="Z869" s="466">
        <f t="shared" si="136"/>
        <v>1451.7119606153847</v>
      </c>
      <c r="AA869" s="473">
        <f t="shared" si="137"/>
        <v>-266.94196061538469</v>
      </c>
      <c r="AB869" s="339">
        <f t="shared" si="138"/>
        <v>-0.17425059617760097</v>
      </c>
    </row>
    <row r="870" spans="2:28" ht="20.100000000000001" customHeight="1">
      <c r="B870" s="172">
        <v>1175000</v>
      </c>
      <c r="C870" s="174">
        <v>44617</v>
      </c>
      <c r="D870" s="181" t="s">
        <v>178</v>
      </c>
      <c r="E870" s="173" t="s">
        <v>33</v>
      </c>
      <c r="F870" s="176">
        <v>1035.5046153846154</v>
      </c>
      <c r="G870" s="175">
        <f t="shared" si="140"/>
        <v>7</v>
      </c>
      <c r="H870" s="175">
        <f t="shared" si="133"/>
        <v>1035.5046153846154</v>
      </c>
      <c r="I870" s="177">
        <f>IF(G870=0,0,IF(E870="MXN",1/HLOOKUP(YEAR(C870)+(MONTH(C870)/100),TC!$5:$37,DAY(C870)+2,FALSE),VLOOKUP(E870,Equivalencia!$5:$23,((MAX(Equivalencia!$3:$3)-YEAR(C870))*14)+MONTH(C870)+2,FALSE)))</f>
        <v>1</v>
      </c>
      <c r="J870" s="178">
        <f t="shared" si="141"/>
        <v>1035.5046153846154</v>
      </c>
      <c r="K870" s="462">
        <f>IF(C870=0,0,VLOOKUP(YEAR(C870),INPC!$B$4:$O$29,MONTH(C870)+1))</f>
        <v>118.98099999999999</v>
      </c>
      <c r="L870" s="462">
        <f>IF(S870=0,0,VLOOKUP(YEAR(S870),INPC!$B$4:$O$29,MONTH(S870)+1))</f>
        <v>125.997</v>
      </c>
      <c r="M870" s="463">
        <f t="shared" si="134"/>
        <v>1.0589</v>
      </c>
      <c r="N870" s="465">
        <f t="shared" si="142"/>
        <v>1096.4958372307692</v>
      </c>
      <c r="O870" s="179"/>
      <c r="P870" s="180">
        <v>7</v>
      </c>
      <c r="Q870" s="173" t="s">
        <v>583</v>
      </c>
      <c r="R870" s="173" t="s">
        <v>230</v>
      </c>
      <c r="S870" s="174">
        <v>44866</v>
      </c>
      <c r="T870" s="173" t="s">
        <v>33</v>
      </c>
      <c r="U870" s="182">
        <v>1032.6244444444444</v>
      </c>
      <c r="V870" s="177">
        <f>IF(U870=0,0,IF(T870="MXN",1/HLOOKUP(YEAR(S870)+(MONTH(S870)/100),TC!$5:$37,DAY(S870)+2,FALSE),VLOOKUP(T870,Equivalencia!$1:$23,((MAX(Equivalencia!$3:$3)-YEAR(S870))*14)+MONTH(S870)+2,FALSE)))</f>
        <v>1</v>
      </c>
      <c r="W870" s="178">
        <f t="shared" si="139"/>
        <v>1032.6244444444444</v>
      </c>
      <c r="X870" s="481">
        <f t="shared" si="135"/>
        <v>-2.8801709401709559</v>
      </c>
      <c r="Y870" s="179"/>
      <c r="Z870" s="466">
        <f t="shared" si="136"/>
        <v>1096.4958372307692</v>
      </c>
      <c r="AA870" s="473">
        <f t="shared" si="137"/>
        <v>-63.871392786324805</v>
      </c>
      <c r="AB870" s="339">
        <f t="shared" si="138"/>
        <v>-2.7814177719538424E-3</v>
      </c>
    </row>
    <row r="871" spans="2:28" ht="20.100000000000001" customHeight="1">
      <c r="B871" s="172">
        <v>1175000</v>
      </c>
      <c r="C871" s="174">
        <v>44617</v>
      </c>
      <c r="D871" s="181" t="s">
        <v>178</v>
      </c>
      <c r="E871" s="173" t="s">
        <v>33</v>
      </c>
      <c r="F871" s="176">
        <v>294.17</v>
      </c>
      <c r="G871" s="175">
        <f t="shared" si="140"/>
        <v>2</v>
      </c>
      <c r="H871" s="175">
        <f t="shared" si="133"/>
        <v>294.17</v>
      </c>
      <c r="I871" s="177">
        <f>IF(G871=0,0,IF(E871="MXN",1/HLOOKUP(YEAR(C871)+(MONTH(C871)/100),TC!$5:$37,DAY(C871)+2,FALSE),VLOOKUP(E871,Equivalencia!$5:$23,((MAX(Equivalencia!$3:$3)-YEAR(C871))*14)+MONTH(C871)+2,FALSE)))</f>
        <v>1</v>
      </c>
      <c r="J871" s="178">
        <f t="shared" si="141"/>
        <v>294.17</v>
      </c>
      <c r="K871" s="462">
        <f>IF(C871=0,0,VLOOKUP(YEAR(C871),INPC!$B$4:$O$29,MONTH(C871)+1))</f>
        <v>118.98099999999999</v>
      </c>
      <c r="L871" s="462">
        <f>IF(S871=0,0,VLOOKUP(YEAR(S871),INPC!$B$4:$O$29,MONTH(S871)+1))</f>
        <v>125.997</v>
      </c>
      <c r="M871" s="463">
        <f t="shared" si="134"/>
        <v>1.0589</v>
      </c>
      <c r="N871" s="465">
        <f t="shared" si="142"/>
        <v>311.49661300000002</v>
      </c>
      <c r="O871" s="179"/>
      <c r="P871" s="180">
        <v>2</v>
      </c>
      <c r="Q871" s="173" t="s">
        <v>583</v>
      </c>
      <c r="R871" s="173" t="s">
        <v>230</v>
      </c>
      <c r="S871" s="174">
        <v>44866</v>
      </c>
      <c r="T871" s="173" t="s">
        <v>33</v>
      </c>
      <c r="U871" s="182">
        <v>295.03555555555556</v>
      </c>
      <c r="V871" s="177">
        <f>IF(U871=0,0,IF(T871="MXN",1/HLOOKUP(YEAR(S871)+(MONTH(S871)/100),TC!$5:$37,DAY(S871)+2,FALSE),VLOOKUP(T871,Equivalencia!$1:$23,((MAX(Equivalencia!$3:$3)-YEAR(S871))*14)+MONTH(S871)+2,FALSE)))</f>
        <v>1</v>
      </c>
      <c r="W871" s="178">
        <f t="shared" si="139"/>
        <v>295.03555555555556</v>
      </c>
      <c r="X871" s="481">
        <f t="shared" si="135"/>
        <v>0.8655555555555452</v>
      </c>
      <c r="Y871" s="179"/>
      <c r="Z871" s="466">
        <f t="shared" si="136"/>
        <v>311.49661300000002</v>
      </c>
      <c r="AA871" s="473">
        <f t="shared" si="137"/>
        <v>-16.461057444444464</v>
      </c>
      <c r="AB871" s="339">
        <f t="shared" si="138"/>
        <v>2.9423651478925894E-3</v>
      </c>
    </row>
    <row r="872" spans="2:28" ht="20.100000000000001" customHeight="1">
      <c r="B872" s="172">
        <v>1175000</v>
      </c>
      <c r="C872" s="174">
        <v>44617</v>
      </c>
      <c r="D872" s="181" t="s">
        <v>178</v>
      </c>
      <c r="E872" s="173" t="s">
        <v>33</v>
      </c>
      <c r="F872" s="176">
        <v>882.51</v>
      </c>
      <c r="G872" s="175">
        <f t="shared" si="140"/>
        <v>6</v>
      </c>
      <c r="H872" s="175">
        <f t="shared" si="133"/>
        <v>882.51</v>
      </c>
      <c r="I872" s="177">
        <f>IF(G872=0,0,IF(E872="MXN",1/HLOOKUP(YEAR(C872)+(MONTH(C872)/100),TC!$5:$37,DAY(C872)+2,FALSE),VLOOKUP(E872,Equivalencia!$5:$23,((MAX(Equivalencia!$3:$3)-YEAR(C872))*14)+MONTH(C872)+2,FALSE)))</f>
        <v>1</v>
      </c>
      <c r="J872" s="178">
        <f t="shared" si="141"/>
        <v>882.51</v>
      </c>
      <c r="K872" s="462">
        <f>IF(C872=0,0,VLOOKUP(YEAR(C872),INPC!$B$4:$O$29,MONTH(C872)+1))</f>
        <v>118.98099999999999</v>
      </c>
      <c r="L872" s="462">
        <f>IF(S872=0,0,VLOOKUP(YEAR(S872),INPC!$B$4:$O$29,MONTH(S872)+1))</f>
        <v>125.997</v>
      </c>
      <c r="M872" s="463">
        <f t="shared" si="134"/>
        <v>1.0589</v>
      </c>
      <c r="N872" s="465">
        <f t="shared" si="142"/>
        <v>934.48983899999996</v>
      </c>
      <c r="O872" s="179"/>
      <c r="P872" s="180">
        <v>6</v>
      </c>
      <c r="Q872" s="173" t="s">
        <v>583</v>
      </c>
      <c r="R872" s="173" t="s">
        <v>230</v>
      </c>
      <c r="S872" s="174">
        <v>44866</v>
      </c>
      <c r="T872" s="173" t="s">
        <v>33</v>
      </c>
      <c r="U872" s="182">
        <v>897.28</v>
      </c>
      <c r="V872" s="177">
        <f>IF(U872=0,0,IF(T872="MXN",1/HLOOKUP(YEAR(S872)+(MONTH(S872)/100),TC!$5:$37,DAY(S872)+2,FALSE),VLOOKUP(T872,Equivalencia!$1:$23,((MAX(Equivalencia!$3:$3)-YEAR(S872))*14)+MONTH(S872)+2,FALSE)))</f>
        <v>1</v>
      </c>
      <c r="W872" s="178">
        <f t="shared" si="139"/>
        <v>897.28</v>
      </c>
      <c r="X872" s="481">
        <f t="shared" si="135"/>
        <v>14.769999999999982</v>
      </c>
      <c r="Y872" s="179"/>
      <c r="Z872" s="466">
        <f t="shared" si="136"/>
        <v>934.48983899999996</v>
      </c>
      <c r="AA872" s="473">
        <f t="shared" si="137"/>
        <v>-37.209838999999988</v>
      </c>
      <c r="AB872" s="339">
        <f t="shared" si="138"/>
        <v>1.6736354262274711E-2</v>
      </c>
    </row>
    <row r="873" spans="2:28" ht="20.100000000000001" customHeight="1">
      <c r="B873" s="172">
        <v>1175000</v>
      </c>
      <c r="C873" s="174">
        <v>44617</v>
      </c>
      <c r="D873" s="181" t="s">
        <v>178</v>
      </c>
      <c r="E873" s="173" t="s">
        <v>33</v>
      </c>
      <c r="F873" s="176">
        <v>588.34</v>
      </c>
      <c r="G873" s="175">
        <f t="shared" si="140"/>
        <v>4</v>
      </c>
      <c r="H873" s="175">
        <f t="shared" si="133"/>
        <v>588.34</v>
      </c>
      <c r="I873" s="177">
        <f>IF(G873=0,0,IF(E873="MXN",1/HLOOKUP(YEAR(C873)+(MONTH(C873)/100),TC!$5:$37,DAY(C873)+2,FALSE),VLOOKUP(E873,Equivalencia!$5:$23,((MAX(Equivalencia!$3:$3)-YEAR(C873))*14)+MONTH(C873)+2,FALSE)))</f>
        <v>1</v>
      </c>
      <c r="J873" s="178">
        <f t="shared" si="141"/>
        <v>588.34</v>
      </c>
      <c r="K873" s="462">
        <f>IF(C873=0,0,VLOOKUP(YEAR(C873),INPC!$B$4:$O$29,MONTH(C873)+1))</f>
        <v>118.98099999999999</v>
      </c>
      <c r="L873" s="462">
        <f>IF(S873=0,0,VLOOKUP(YEAR(S873),INPC!$B$4:$O$29,MONTH(S873)+1))</f>
        <v>125.997</v>
      </c>
      <c r="M873" s="463">
        <f t="shared" si="134"/>
        <v>1.0589</v>
      </c>
      <c r="N873" s="465">
        <f t="shared" si="142"/>
        <v>622.99322600000005</v>
      </c>
      <c r="O873" s="179"/>
      <c r="P873" s="180">
        <v>4</v>
      </c>
      <c r="Q873" s="173" t="s">
        <v>583</v>
      </c>
      <c r="R873" s="173" t="s">
        <v>230</v>
      </c>
      <c r="S873" s="174">
        <v>44866</v>
      </c>
      <c r="T873" s="173" t="s">
        <v>33</v>
      </c>
      <c r="U873" s="182">
        <v>593.57866666666666</v>
      </c>
      <c r="V873" s="177">
        <f>IF(U873=0,0,IF(T873="MXN",1/HLOOKUP(YEAR(S873)+(MONTH(S873)/100),TC!$5:$37,DAY(S873)+2,FALSE),VLOOKUP(T873,Equivalencia!$1:$23,((MAX(Equivalencia!$3:$3)-YEAR(S873))*14)+MONTH(S873)+2,FALSE)))</f>
        <v>1</v>
      </c>
      <c r="W873" s="178">
        <f t="shared" si="139"/>
        <v>593.57866666666666</v>
      </c>
      <c r="X873" s="481">
        <f t="shared" si="135"/>
        <v>5.2386666666666315</v>
      </c>
      <c r="Y873" s="179"/>
      <c r="Z873" s="466">
        <f t="shared" si="136"/>
        <v>622.99322600000005</v>
      </c>
      <c r="AA873" s="473">
        <f t="shared" si="137"/>
        <v>-29.414559333333386</v>
      </c>
      <c r="AB873" s="339">
        <f t="shared" si="138"/>
        <v>8.9041483949190425E-3</v>
      </c>
    </row>
    <row r="874" spans="2:28" ht="20.100000000000001" customHeight="1">
      <c r="B874" s="172">
        <v>1175000</v>
      </c>
      <c r="C874" s="174">
        <v>44855</v>
      </c>
      <c r="D874" s="181" t="s">
        <v>178</v>
      </c>
      <c r="E874" s="173" t="s">
        <v>33</v>
      </c>
      <c r="F874" s="176">
        <v>1489.62</v>
      </c>
      <c r="G874" s="175">
        <f t="shared" si="140"/>
        <v>11</v>
      </c>
      <c r="H874" s="175">
        <f t="shared" si="133"/>
        <v>1489.62</v>
      </c>
      <c r="I874" s="177">
        <f>IF(G874=0,0,IF(E874="MXN",1/HLOOKUP(YEAR(C874)+(MONTH(C874)/100),TC!$5:$37,DAY(C874)+2,FALSE),VLOOKUP(E874,Equivalencia!$5:$23,((MAX(Equivalencia!$3:$3)-YEAR(C874))*14)+MONTH(C874)+2,FALSE)))</f>
        <v>1</v>
      </c>
      <c r="J874" s="178">
        <f t="shared" si="141"/>
        <v>1489.62</v>
      </c>
      <c r="K874" s="462">
        <f>IF(C874=0,0,VLOOKUP(YEAR(C874),INPC!$B$4:$O$29,MONTH(C874)+1))</f>
        <v>125.276</v>
      </c>
      <c r="L874" s="462">
        <f>IF(S874=0,0,VLOOKUP(YEAR(S874),INPC!$B$4:$O$29,MONTH(S874)+1))</f>
        <v>125.997</v>
      </c>
      <c r="M874" s="463">
        <f t="shared" si="134"/>
        <v>1.0057</v>
      </c>
      <c r="N874" s="465">
        <f t="shared" si="142"/>
        <v>1498.1108339999998</v>
      </c>
      <c r="O874" s="179"/>
      <c r="P874" s="180">
        <v>11</v>
      </c>
      <c r="Q874" s="173" t="s">
        <v>583</v>
      </c>
      <c r="R874" s="173" t="s">
        <v>230</v>
      </c>
      <c r="S874" s="174">
        <v>44866</v>
      </c>
      <c r="T874" s="173" t="s">
        <v>33</v>
      </c>
      <c r="U874" s="182">
        <v>1632.3413333333333</v>
      </c>
      <c r="V874" s="177">
        <f>IF(U874=0,0,IF(T874="MXN",1/HLOOKUP(YEAR(S874)+(MONTH(S874)/100),TC!$5:$37,DAY(S874)+2,FALSE),VLOOKUP(T874,Equivalencia!$1:$23,((MAX(Equivalencia!$3:$3)-YEAR(S874))*14)+MONTH(S874)+2,FALSE)))</f>
        <v>1</v>
      </c>
      <c r="W874" s="178">
        <f t="shared" si="139"/>
        <v>1632.3413333333333</v>
      </c>
      <c r="X874" s="481">
        <f t="shared" si="135"/>
        <v>142.7213333333334</v>
      </c>
      <c r="Y874" s="179"/>
      <c r="Z874" s="466">
        <f t="shared" si="136"/>
        <v>1498.1108339999998</v>
      </c>
      <c r="AA874" s="473">
        <f t="shared" si="137"/>
        <v>134.23049933333346</v>
      </c>
      <c r="AB874" s="339">
        <f t="shared" si="138"/>
        <v>9.5810564663023845E-2</v>
      </c>
    </row>
    <row r="875" spans="2:28" ht="20.100000000000001" customHeight="1">
      <c r="B875" s="172">
        <v>1175000</v>
      </c>
      <c r="C875" s="174">
        <v>44855</v>
      </c>
      <c r="D875" s="181" t="s">
        <v>178</v>
      </c>
      <c r="E875" s="173" t="s">
        <v>33</v>
      </c>
      <c r="F875" s="176">
        <v>1083.3599999999999</v>
      </c>
      <c r="G875" s="175">
        <f t="shared" si="140"/>
        <v>8</v>
      </c>
      <c r="H875" s="175">
        <f t="shared" si="133"/>
        <v>1083.3599999999999</v>
      </c>
      <c r="I875" s="177">
        <f>IF(G875=0,0,IF(E875="MXN",1/HLOOKUP(YEAR(C875)+(MONTH(C875)/100),TC!$5:$37,DAY(C875)+2,FALSE),VLOOKUP(E875,Equivalencia!$5:$23,((MAX(Equivalencia!$3:$3)-YEAR(C875))*14)+MONTH(C875)+2,FALSE)))</f>
        <v>1</v>
      </c>
      <c r="J875" s="178">
        <f t="shared" si="141"/>
        <v>1083.3599999999999</v>
      </c>
      <c r="K875" s="462">
        <f>IF(C875=0,0,VLOOKUP(YEAR(C875),INPC!$B$4:$O$29,MONTH(C875)+1))</f>
        <v>125.276</v>
      </c>
      <c r="L875" s="462">
        <f>IF(S875=0,0,VLOOKUP(YEAR(S875),INPC!$B$4:$O$29,MONTH(S875)+1))</f>
        <v>125.997</v>
      </c>
      <c r="M875" s="463">
        <f t="shared" si="134"/>
        <v>1.0057</v>
      </c>
      <c r="N875" s="465">
        <f t="shared" si="142"/>
        <v>1089.5351519999999</v>
      </c>
      <c r="O875" s="179"/>
      <c r="P875" s="180">
        <v>8</v>
      </c>
      <c r="Q875" s="173" t="s">
        <v>583</v>
      </c>
      <c r="R875" s="173" t="s">
        <v>230</v>
      </c>
      <c r="S875" s="174">
        <v>44866</v>
      </c>
      <c r="T875" s="173" t="s">
        <v>33</v>
      </c>
      <c r="U875" s="182">
        <v>1203.21</v>
      </c>
      <c r="V875" s="177">
        <f>IF(U875=0,0,IF(T875="MXN",1/HLOOKUP(YEAR(S875)+(MONTH(S875)/100),TC!$5:$37,DAY(S875)+2,FALSE),VLOOKUP(T875,Equivalencia!$1:$23,((MAX(Equivalencia!$3:$3)-YEAR(S875))*14)+MONTH(S875)+2,FALSE)))</f>
        <v>1</v>
      </c>
      <c r="W875" s="178">
        <f t="shared" si="139"/>
        <v>1203.21</v>
      </c>
      <c r="X875" s="481">
        <f t="shared" si="135"/>
        <v>119.85000000000014</v>
      </c>
      <c r="Y875" s="179"/>
      <c r="Z875" s="466">
        <f t="shared" si="136"/>
        <v>1089.5351519999999</v>
      </c>
      <c r="AA875" s="473">
        <f t="shared" si="137"/>
        <v>113.67484800000011</v>
      </c>
      <c r="AB875" s="339">
        <f t="shared" si="138"/>
        <v>0.11062804607886578</v>
      </c>
    </row>
    <row r="876" spans="2:28" ht="20.100000000000001" customHeight="1">
      <c r="B876" s="172">
        <v>1175000</v>
      </c>
      <c r="C876" s="174">
        <v>44783</v>
      </c>
      <c r="D876" s="181" t="s">
        <v>180</v>
      </c>
      <c r="E876" s="173" t="s">
        <v>33</v>
      </c>
      <c r="F876" s="176">
        <v>1614.1292307692308</v>
      </c>
      <c r="G876" s="175">
        <f t="shared" si="140"/>
        <v>9</v>
      </c>
      <c r="H876" s="175">
        <f t="shared" si="133"/>
        <v>1614.1292307692308</v>
      </c>
      <c r="I876" s="177">
        <f>IF(G876=0,0,IF(E876="MXN",1/HLOOKUP(YEAR(C876)+(MONTH(C876)/100),TC!$5:$37,DAY(C876)+2,FALSE),VLOOKUP(E876,Equivalencia!$5:$23,((MAX(Equivalencia!$3:$3)-YEAR(C876))*14)+MONTH(C876)+2,FALSE)))</f>
        <v>1</v>
      </c>
      <c r="J876" s="178">
        <f t="shared" si="141"/>
        <v>1614.1292307692308</v>
      </c>
      <c r="K876" s="462">
        <f>IF(C876=0,0,VLOOKUP(YEAR(C876),INPC!$B$4:$O$29,MONTH(C876)+1))</f>
        <v>123.803</v>
      </c>
      <c r="L876" s="462">
        <f>IF(S876=0,0,VLOOKUP(YEAR(S876),INPC!$B$4:$O$29,MONTH(S876)+1))</f>
        <v>125.997</v>
      </c>
      <c r="M876" s="463">
        <f t="shared" si="134"/>
        <v>1.0177</v>
      </c>
      <c r="N876" s="465">
        <f t="shared" si="142"/>
        <v>1642.6993181538462</v>
      </c>
      <c r="O876" s="179"/>
      <c r="P876" s="180">
        <v>9</v>
      </c>
      <c r="Q876" s="173" t="s">
        <v>583</v>
      </c>
      <c r="R876" s="173" t="s">
        <v>230</v>
      </c>
      <c r="S876" s="174">
        <v>44866</v>
      </c>
      <c r="T876" s="173" t="s">
        <v>33</v>
      </c>
      <c r="U876" s="182">
        <v>1360.6334999999999</v>
      </c>
      <c r="V876" s="177">
        <f>IF(U876=0,0,IF(T876="MXN",1/HLOOKUP(YEAR(S876)+(MONTH(S876)/100),TC!$5:$37,DAY(S876)+2,FALSE),VLOOKUP(T876,Equivalencia!$1:$23,((MAX(Equivalencia!$3:$3)-YEAR(S876))*14)+MONTH(S876)+2,FALSE)))</f>
        <v>1</v>
      </c>
      <c r="W876" s="178">
        <f t="shared" si="139"/>
        <v>1360.6334999999999</v>
      </c>
      <c r="X876" s="481">
        <f t="shared" si="135"/>
        <v>-253.49573076923093</v>
      </c>
      <c r="Y876" s="179"/>
      <c r="Z876" s="466">
        <f t="shared" si="136"/>
        <v>1642.6993181538462</v>
      </c>
      <c r="AA876" s="473">
        <f t="shared" si="137"/>
        <v>-282.06581815384629</v>
      </c>
      <c r="AB876" s="339">
        <f t="shared" si="138"/>
        <v>-0.15704797728520459</v>
      </c>
    </row>
    <row r="877" spans="2:28" ht="20.100000000000001" customHeight="1">
      <c r="B877" s="172">
        <v>1175000</v>
      </c>
      <c r="C877" s="174">
        <v>44784</v>
      </c>
      <c r="D877" s="181" t="s">
        <v>180</v>
      </c>
      <c r="E877" s="173" t="s">
        <v>33</v>
      </c>
      <c r="F877" s="176">
        <v>183.17</v>
      </c>
      <c r="G877" s="175">
        <f t="shared" si="140"/>
        <v>1</v>
      </c>
      <c r="H877" s="175">
        <f t="shared" si="133"/>
        <v>183.17</v>
      </c>
      <c r="I877" s="177">
        <f>IF(G877=0,0,IF(E877="MXN",1/HLOOKUP(YEAR(C877)+(MONTH(C877)/100),TC!$5:$37,DAY(C877)+2,FALSE),VLOOKUP(E877,Equivalencia!$5:$23,((MAX(Equivalencia!$3:$3)-YEAR(C877))*14)+MONTH(C877)+2,FALSE)))</f>
        <v>1</v>
      </c>
      <c r="J877" s="178">
        <f t="shared" si="141"/>
        <v>183.17</v>
      </c>
      <c r="K877" s="462">
        <f>IF(C877=0,0,VLOOKUP(YEAR(C877),INPC!$B$4:$O$29,MONTH(C877)+1))</f>
        <v>123.803</v>
      </c>
      <c r="L877" s="462">
        <f>IF(S877=0,0,VLOOKUP(YEAR(S877),INPC!$B$4:$O$29,MONTH(S877)+1))</f>
        <v>125.997</v>
      </c>
      <c r="M877" s="463">
        <f t="shared" si="134"/>
        <v>1.0177</v>
      </c>
      <c r="N877" s="465">
        <f t="shared" si="142"/>
        <v>186.41210899999999</v>
      </c>
      <c r="O877" s="179"/>
      <c r="P877" s="180">
        <v>1</v>
      </c>
      <c r="Q877" s="173" t="s">
        <v>583</v>
      </c>
      <c r="R877" s="173" t="s">
        <v>230</v>
      </c>
      <c r="S877" s="174">
        <v>44866</v>
      </c>
      <c r="T877" s="173" t="s">
        <v>33</v>
      </c>
      <c r="U877" s="182">
        <v>151.1815</v>
      </c>
      <c r="V877" s="177">
        <f>IF(U877=0,0,IF(T877="MXN",1/HLOOKUP(YEAR(S877)+(MONTH(S877)/100),TC!$5:$37,DAY(S877)+2,FALSE),VLOOKUP(T877,Equivalencia!$1:$23,((MAX(Equivalencia!$3:$3)-YEAR(S877))*14)+MONTH(S877)+2,FALSE)))</f>
        <v>1</v>
      </c>
      <c r="W877" s="178">
        <f t="shared" si="139"/>
        <v>151.1815</v>
      </c>
      <c r="X877" s="481">
        <f t="shared" si="135"/>
        <v>-31.988499999999988</v>
      </c>
      <c r="Y877" s="179"/>
      <c r="Z877" s="466">
        <f t="shared" si="136"/>
        <v>186.41210899999999</v>
      </c>
      <c r="AA877" s="473">
        <f t="shared" si="137"/>
        <v>-35.230608999999987</v>
      </c>
      <c r="AB877" s="339">
        <f t="shared" si="138"/>
        <v>-0.17463831413441055</v>
      </c>
    </row>
    <row r="878" spans="2:28" ht="20.100000000000001" customHeight="1">
      <c r="B878" s="172">
        <v>1175000</v>
      </c>
      <c r="C878" s="174">
        <v>44855</v>
      </c>
      <c r="D878" s="181" t="s">
        <v>180</v>
      </c>
      <c r="E878" s="173" t="s">
        <v>33</v>
      </c>
      <c r="F878" s="176">
        <v>1405.1</v>
      </c>
      <c r="G878" s="175">
        <f t="shared" si="140"/>
        <v>10</v>
      </c>
      <c r="H878" s="175">
        <f t="shared" si="133"/>
        <v>1405.1</v>
      </c>
      <c r="I878" s="177">
        <f>IF(G878=0,0,IF(E878="MXN",1/HLOOKUP(YEAR(C878)+(MONTH(C878)/100),TC!$5:$37,DAY(C878)+2,FALSE),VLOOKUP(E878,Equivalencia!$5:$23,((MAX(Equivalencia!$3:$3)-YEAR(C878))*14)+MONTH(C878)+2,FALSE)))</f>
        <v>1</v>
      </c>
      <c r="J878" s="178">
        <f t="shared" si="141"/>
        <v>1405.1</v>
      </c>
      <c r="K878" s="462">
        <f>IF(C878=0,0,VLOOKUP(YEAR(C878),INPC!$B$4:$O$29,MONTH(C878)+1))</f>
        <v>125.276</v>
      </c>
      <c r="L878" s="462">
        <f>IF(S878=0,0,VLOOKUP(YEAR(S878),INPC!$B$4:$O$29,MONTH(S878)+1))</f>
        <v>125.997</v>
      </c>
      <c r="M878" s="463">
        <f t="shared" si="134"/>
        <v>1.0057</v>
      </c>
      <c r="N878" s="465">
        <f t="shared" si="142"/>
        <v>1413.10907</v>
      </c>
      <c r="O878" s="179"/>
      <c r="P878" s="180">
        <v>10</v>
      </c>
      <c r="Q878" s="173" t="s">
        <v>583</v>
      </c>
      <c r="R878" s="173" t="s">
        <v>230</v>
      </c>
      <c r="S878" s="174">
        <v>44866</v>
      </c>
      <c r="T878" s="173" t="s">
        <v>33</v>
      </c>
      <c r="U878" s="182">
        <v>1511.8150000000001</v>
      </c>
      <c r="V878" s="177">
        <f>IF(U878=0,0,IF(T878="MXN",1/HLOOKUP(YEAR(S878)+(MONTH(S878)/100),TC!$5:$37,DAY(S878)+2,FALSE),VLOOKUP(T878,Equivalencia!$1:$23,((MAX(Equivalencia!$3:$3)-YEAR(S878))*14)+MONTH(S878)+2,FALSE)))</f>
        <v>1</v>
      </c>
      <c r="W878" s="178">
        <f t="shared" si="139"/>
        <v>1511.8150000000001</v>
      </c>
      <c r="X878" s="481">
        <f t="shared" si="135"/>
        <v>106.71500000000015</v>
      </c>
      <c r="Y878" s="179"/>
      <c r="Z878" s="466">
        <f t="shared" si="136"/>
        <v>1413.10907</v>
      </c>
      <c r="AA878" s="473">
        <f t="shared" si="137"/>
        <v>98.70593000000008</v>
      </c>
      <c r="AB878" s="339">
        <f t="shared" si="138"/>
        <v>7.5948331079638498E-2</v>
      </c>
    </row>
    <row r="879" spans="2:28" ht="20.100000000000001" customHeight="1">
      <c r="B879" s="172">
        <v>1175000</v>
      </c>
      <c r="C879" s="174">
        <v>44855</v>
      </c>
      <c r="D879" s="181" t="s">
        <v>180</v>
      </c>
      <c r="E879" s="173" t="s">
        <v>33</v>
      </c>
      <c r="F879" s="176">
        <v>1686.12</v>
      </c>
      <c r="G879" s="175">
        <f t="shared" si="140"/>
        <v>12</v>
      </c>
      <c r="H879" s="175">
        <f t="shared" si="133"/>
        <v>1686.12</v>
      </c>
      <c r="I879" s="177">
        <f>IF(G879=0,0,IF(E879="MXN",1/HLOOKUP(YEAR(C879)+(MONTH(C879)/100),TC!$5:$37,DAY(C879)+2,FALSE),VLOOKUP(E879,Equivalencia!$5:$23,((MAX(Equivalencia!$3:$3)-YEAR(C879))*14)+MONTH(C879)+2,FALSE)))</f>
        <v>1</v>
      </c>
      <c r="J879" s="178">
        <f t="shared" si="141"/>
        <v>1686.12</v>
      </c>
      <c r="K879" s="462">
        <f>IF(C879=0,0,VLOOKUP(YEAR(C879),INPC!$B$4:$O$29,MONTH(C879)+1))</f>
        <v>125.276</v>
      </c>
      <c r="L879" s="462">
        <f>IF(S879=0,0,VLOOKUP(YEAR(S879),INPC!$B$4:$O$29,MONTH(S879)+1))</f>
        <v>125.997</v>
      </c>
      <c r="M879" s="463">
        <f t="shared" si="134"/>
        <v>1.0057</v>
      </c>
      <c r="N879" s="465">
        <f t="shared" si="142"/>
        <v>1695.7308840000001</v>
      </c>
      <c r="O879" s="179"/>
      <c r="P879" s="180">
        <v>12</v>
      </c>
      <c r="Q879" s="173" t="s">
        <v>583</v>
      </c>
      <c r="R879" s="173" t="s">
        <v>230</v>
      </c>
      <c r="S879" s="174">
        <v>44866</v>
      </c>
      <c r="T879" s="173" t="s">
        <v>33</v>
      </c>
      <c r="U879" s="182">
        <v>1829.7999999999997</v>
      </c>
      <c r="V879" s="177">
        <f>IF(U879=0,0,IF(T879="MXN",1/HLOOKUP(YEAR(S879)+(MONTH(S879)/100),TC!$5:$37,DAY(S879)+2,FALSE),VLOOKUP(T879,Equivalencia!$1:$23,((MAX(Equivalencia!$3:$3)-YEAR(S879))*14)+MONTH(S879)+2,FALSE)))</f>
        <v>1</v>
      </c>
      <c r="W879" s="178">
        <f t="shared" si="139"/>
        <v>1829.7999999999997</v>
      </c>
      <c r="X879" s="481">
        <f t="shared" si="135"/>
        <v>143.67999999999984</v>
      </c>
      <c r="Y879" s="179"/>
      <c r="Z879" s="466">
        <f t="shared" si="136"/>
        <v>1695.7308840000001</v>
      </c>
      <c r="AA879" s="473">
        <f t="shared" si="137"/>
        <v>134.06911599999967</v>
      </c>
      <c r="AB879" s="339">
        <f t="shared" si="138"/>
        <v>8.5213389319858557E-2</v>
      </c>
    </row>
    <row r="880" spans="2:28" ht="20.100000000000001" customHeight="1">
      <c r="B880" s="172">
        <v>1175000</v>
      </c>
      <c r="C880" s="174">
        <v>44866</v>
      </c>
      <c r="D880" s="181" t="s">
        <v>333</v>
      </c>
      <c r="E880" s="173" t="s">
        <v>33</v>
      </c>
      <c r="F880" s="176">
        <v>172.11</v>
      </c>
      <c r="G880" s="175">
        <f t="shared" si="140"/>
        <v>4</v>
      </c>
      <c r="H880" s="175">
        <f t="shared" si="133"/>
        <v>172.11</v>
      </c>
      <c r="I880" s="177">
        <f>IF(G880=0,0,IF(E880="MXN",1/HLOOKUP(YEAR(C880)+(MONTH(C880)/100),TC!$5:$37,DAY(C880)+2,FALSE),VLOOKUP(E880,Equivalencia!$5:$23,((MAX(Equivalencia!$3:$3)-YEAR(C880))*14)+MONTH(C880)+2,FALSE)))</f>
        <v>1</v>
      </c>
      <c r="J880" s="178">
        <f t="shared" si="141"/>
        <v>172.11</v>
      </c>
      <c r="K880" s="462">
        <f>IF(C880=0,0,VLOOKUP(YEAR(C880),INPC!$B$4:$O$29,MONTH(C880)+1))</f>
        <v>125.997</v>
      </c>
      <c r="L880" s="462">
        <f>IF(S880=0,0,VLOOKUP(YEAR(S880),INPC!$B$4:$O$29,MONTH(S880)+1))</f>
        <v>125.997</v>
      </c>
      <c r="M880" s="463">
        <f t="shared" si="134"/>
        <v>1</v>
      </c>
      <c r="N880" s="465">
        <f t="shared" si="142"/>
        <v>172.11</v>
      </c>
      <c r="O880" s="179"/>
      <c r="P880" s="180">
        <v>4</v>
      </c>
      <c r="Q880" s="173" t="s">
        <v>583</v>
      </c>
      <c r="R880" s="173" t="s">
        <v>230</v>
      </c>
      <c r="S880" s="174">
        <v>44875</v>
      </c>
      <c r="T880" s="173" t="s">
        <v>33</v>
      </c>
      <c r="U880" s="182">
        <v>178.61071129707113</v>
      </c>
      <c r="V880" s="177">
        <f>IF(U880=0,0,IF(T880="MXN",1/HLOOKUP(YEAR(S880)+(MONTH(S880)/100),TC!$5:$37,DAY(S880)+2,FALSE),VLOOKUP(T880,Equivalencia!$1:$23,((MAX(Equivalencia!$3:$3)-YEAR(S880))*14)+MONTH(S880)+2,FALSE)))</f>
        <v>1</v>
      </c>
      <c r="W880" s="178">
        <f t="shared" si="139"/>
        <v>178.61071129707113</v>
      </c>
      <c r="X880" s="481">
        <f t="shared" si="135"/>
        <v>6.5007112970711205</v>
      </c>
      <c r="Y880" s="179"/>
      <c r="Z880" s="466">
        <f t="shared" si="136"/>
        <v>172.11</v>
      </c>
      <c r="AA880" s="473">
        <f t="shared" si="137"/>
        <v>6.5007112970711205</v>
      </c>
      <c r="AB880" s="339">
        <f t="shared" si="138"/>
        <v>3.7770677456691271E-2</v>
      </c>
    </row>
    <row r="881" spans="2:28" ht="20.100000000000001" customHeight="1">
      <c r="B881" s="172">
        <v>1175000</v>
      </c>
      <c r="C881" s="174">
        <v>44866</v>
      </c>
      <c r="D881" s="181" t="s">
        <v>333</v>
      </c>
      <c r="E881" s="173" t="s">
        <v>33</v>
      </c>
      <c r="F881" s="176">
        <v>172.26</v>
      </c>
      <c r="G881" s="175">
        <f t="shared" si="140"/>
        <v>4</v>
      </c>
      <c r="H881" s="175">
        <f t="shared" si="133"/>
        <v>172.26</v>
      </c>
      <c r="I881" s="177">
        <f>IF(G881=0,0,IF(E881="MXN",1/HLOOKUP(YEAR(C881)+(MONTH(C881)/100),TC!$5:$37,DAY(C881)+2,FALSE),VLOOKUP(E881,Equivalencia!$5:$23,((MAX(Equivalencia!$3:$3)-YEAR(C881))*14)+MONTH(C881)+2,FALSE)))</f>
        <v>1</v>
      </c>
      <c r="J881" s="178">
        <f t="shared" si="141"/>
        <v>172.26</v>
      </c>
      <c r="K881" s="462">
        <f>IF(C881=0,0,VLOOKUP(YEAR(C881),INPC!$B$4:$O$29,MONTH(C881)+1))</f>
        <v>125.997</v>
      </c>
      <c r="L881" s="462">
        <f>IF(S881=0,0,VLOOKUP(YEAR(S881),INPC!$B$4:$O$29,MONTH(S881)+1))</f>
        <v>125.997</v>
      </c>
      <c r="M881" s="463">
        <f t="shared" si="134"/>
        <v>1</v>
      </c>
      <c r="N881" s="465">
        <f t="shared" si="142"/>
        <v>172.26</v>
      </c>
      <c r="O881" s="179"/>
      <c r="P881" s="180">
        <v>4</v>
      </c>
      <c r="Q881" s="173" t="s">
        <v>583</v>
      </c>
      <c r="R881" s="173" t="s">
        <v>230</v>
      </c>
      <c r="S881" s="174">
        <v>44875</v>
      </c>
      <c r="T881" s="173" t="s">
        <v>33</v>
      </c>
      <c r="U881" s="182">
        <v>178.61071129707113</v>
      </c>
      <c r="V881" s="177">
        <f>IF(U881=0,0,IF(T881="MXN",1/HLOOKUP(YEAR(S881)+(MONTH(S881)/100),TC!$5:$37,DAY(S881)+2,FALSE),VLOOKUP(T881,Equivalencia!$1:$23,((MAX(Equivalencia!$3:$3)-YEAR(S881))*14)+MONTH(S881)+2,FALSE)))</f>
        <v>1</v>
      </c>
      <c r="W881" s="178">
        <f t="shared" si="139"/>
        <v>178.61071129707113</v>
      </c>
      <c r="X881" s="481">
        <f t="shared" si="135"/>
        <v>6.3507112970711432</v>
      </c>
      <c r="Y881" s="179"/>
      <c r="Z881" s="466">
        <f t="shared" si="136"/>
        <v>172.26</v>
      </c>
      <c r="AA881" s="473">
        <f t="shared" si="137"/>
        <v>6.3507112970711432</v>
      </c>
      <c r="AB881" s="339">
        <f t="shared" si="138"/>
        <v>3.686701089673261E-2</v>
      </c>
    </row>
    <row r="882" spans="2:28" ht="20.100000000000001" customHeight="1">
      <c r="B882" s="172">
        <v>1175000</v>
      </c>
      <c r="C882" s="174">
        <v>44866</v>
      </c>
      <c r="D882" s="181" t="s">
        <v>333</v>
      </c>
      <c r="E882" s="173" t="s">
        <v>33</v>
      </c>
      <c r="F882" s="176">
        <v>1195.71</v>
      </c>
      <c r="G882" s="175">
        <f t="shared" si="140"/>
        <v>28</v>
      </c>
      <c r="H882" s="175">
        <f t="shared" si="133"/>
        <v>1195.71</v>
      </c>
      <c r="I882" s="177">
        <f>IF(G882=0,0,IF(E882="MXN",1/HLOOKUP(YEAR(C882)+(MONTH(C882)/100),TC!$5:$37,DAY(C882)+2,FALSE),VLOOKUP(E882,Equivalencia!$5:$23,((MAX(Equivalencia!$3:$3)-YEAR(C882))*14)+MONTH(C882)+2,FALSE)))</f>
        <v>1</v>
      </c>
      <c r="J882" s="178">
        <f t="shared" si="141"/>
        <v>1195.71</v>
      </c>
      <c r="K882" s="462">
        <f>IF(C882=0,0,VLOOKUP(YEAR(C882),INPC!$B$4:$O$29,MONTH(C882)+1))</f>
        <v>125.997</v>
      </c>
      <c r="L882" s="462">
        <f>IF(S882=0,0,VLOOKUP(YEAR(S882),INPC!$B$4:$O$29,MONTH(S882)+1))</f>
        <v>125.997</v>
      </c>
      <c r="M882" s="463">
        <f t="shared" si="134"/>
        <v>1</v>
      </c>
      <c r="N882" s="465">
        <f t="shared" si="142"/>
        <v>1195.71</v>
      </c>
      <c r="O882" s="179"/>
      <c r="P882" s="180">
        <v>28</v>
      </c>
      <c r="Q882" s="173" t="s">
        <v>583</v>
      </c>
      <c r="R882" s="173" t="s">
        <v>230</v>
      </c>
      <c r="S882" s="174">
        <v>44875</v>
      </c>
      <c r="T882" s="173" t="s">
        <v>33</v>
      </c>
      <c r="U882" s="182">
        <v>1250.2749790794978</v>
      </c>
      <c r="V882" s="177">
        <f>IF(U882=0,0,IF(T882="MXN",1/HLOOKUP(YEAR(S882)+(MONTH(S882)/100),TC!$5:$37,DAY(S882)+2,FALSE),VLOOKUP(T882,Equivalencia!$1:$23,((MAX(Equivalencia!$3:$3)-YEAR(S882))*14)+MONTH(S882)+2,FALSE)))</f>
        <v>1</v>
      </c>
      <c r="W882" s="178">
        <f t="shared" si="139"/>
        <v>1250.2749790794978</v>
      </c>
      <c r="X882" s="481">
        <f t="shared" si="135"/>
        <v>54.564979079497789</v>
      </c>
      <c r="Y882" s="179"/>
      <c r="Z882" s="466">
        <f t="shared" si="136"/>
        <v>1195.71</v>
      </c>
      <c r="AA882" s="473">
        <f t="shared" si="137"/>
        <v>54.564979079497789</v>
      </c>
      <c r="AB882" s="339">
        <f t="shared" si="138"/>
        <v>4.5633957296917993E-2</v>
      </c>
    </row>
    <row r="883" spans="2:28" ht="20.100000000000001" customHeight="1">
      <c r="B883" s="172">
        <v>1175000</v>
      </c>
      <c r="C883" s="174">
        <v>44866</v>
      </c>
      <c r="D883" s="181" t="s">
        <v>333</v>
      </c>
      <c r="E883" s="173" t="s">
        <v>33</v>
      </c>
      <c r="F883" s="176">
        <v>900.69</v>
      </c>
      <c r="G883" s="175">
        <f t="shared" si="140"/>
        <v>21</v>
      </c>
      <c r="H883" s="175">
        <f t="shared" si="133"/>
        <v>900.69</v>
      </c>
      <c r="I883" s="177">
        <f>IF(G883=0,0,IF(E883="MXN",1/HLOOKUP(YEAR(C883)+(MONTH(C883)/100),TC!$5:$37,DAY(C883)+2,FALSE),VLOOKUP(E883,Equivalencia!$5:$23,((MAX(Equivalencia!$3:$3)-YEAR(C883))*14)+MONTH(C883)+2,FALSE)))</f>
        <v>1</v>
      </c>
      <c r="J883" s="178">
        <f t="shared" si="141"/>
        <v>900.69</v>
      </c>
      <c r="K883" s="462">
        <f>IF(C883=0,0,VLOOKUP(YEAR(C883),INPC!$B$4:$O$29,MONTH(C883)+1))</f>
        <v>125.997</v>
      </c>
      <c r="L883" s="462">
        <f>IF(S883=0,0,VLOOKUP(YEAR(S883),INPC!$B$4:$O$29,MONTH(S883)+1))</f>
        <v>125.997</v>
      </c>
      <c r="M883" s="463">
        <f t="shared" si="134"/>
        <v>1</v>
      </c>
      <c r="N883" s="465">
        <f t="shared" si="142"/>
        <v>900.69</v>
      </c>
      <c r="O883" s="179"/>
      <c r="P883" s="180">
        <v>21</v>
      </c>
      <c r="Q883" s="173" t="s">
        <v>583</v>
      </c>
      <c r="R883" s="173" t="s">
        <v>230</v>
      </c>
      <c r="S883" s="174">
        <v>44875</v>
      </c>
      <c r="T883" s="173" t="s">
        <v>33</v>
      </c>
      <c r="U883" s="182">
        <v>937.70623430962348</v>
      </c>
      <c r="V883" s="177">
        <f>IF(U883=0,0,IF(T883="MXN",1/HLOOKUP(YEAR(S883)+(MONTH(S883)/100),TC!$5:$37,DAY(S883)+2,FALSE),VLOOKUP(T883,Equivalencia!$1:$23,((MAX(Equivalencia!$3:$3)-YEAR(S883))*14)+MONTH(S883)+2,FALSE)))</f>
        <v>1</v>
      </c>
      <c r="W883" s="178">
        <f t="shared" si="139"/>
        <v>937.70623430962348</v>
      </c>
      <c r="X883" s="481">
        <f t="shared" si="135"/>
        <v>37.016234309623428</v>
      </c>
      <c r="Y883" s="179"/>
      <c r="Z883" s="466">
        <f t="shared" si="136"/>
        <v>900.69</v>
      </c>
      <c r="AA883" s="473">
        <f t="shared" si="137"/>
        <v>37.016234309623428</v>
      </c>
      <c r="AB883" s="339">
        <f t="shared" si="138"/>
        <v>4.1097641041449862E-2</v>
      </c>
    </row>
    <row r="884" spans="2:28" ht="20.100000000000001" customHeight="1">
      <c r="B884" s="172">
        <v>1175000</v>
      </c>
      <c r="C884" s="174">
        <v>44866</v>
      </c>
      <c r="D884" s="181" t="s">
        <v>333</v>
      </c>
      <c r="E884" s="173" t="s">
        <v>33</v>
      </c>
      <c r="F884" s="176">
        <v>4641.9799999999996</v>
      </c>
      <c r="G884" s="175">
        <f t="shared" si="140"/>
        <v>108</v>
      </c>
      <c r="H884" s="175">
        <f t="shared" si="133"/>
        <v>4641.9799999999996</v>
      </c>
      <c r="I884" s="177">
        <f>IF(G884=0,0,IF(E884="MXN",1/HLOOKUP(YEAR(C884)+(MONTH(C884)/100),TC!$5:$37,DAY(C884)+2,FALSE),VLOOKUP(E884,Equivalencia!$5:$23,((MAX(Equivalencia!$3:$3)-YEAR(C884))*14)+MONTH(C884)+2,FALSE)))</f>
        <v>1</v>
      </c>
      <c r="J884" s="178">
        <f t="shared" si="141"/>
        <v>4641.9799999999996</v>
      </c>
      <c r="K884" s="462">
        <f>IF(C884=0,0,VLOOKUP(YEAR(C884),INPC!$B$4:$O$29,MONTH(C884)+1))</f>
        <v>125.997</v>
      </c>
      <c r="L884" s="462">
        <f>IF(S884=0,0,VLOOKUP(YEAR(S884),INPC!$B$4:$O$29,MONTH(S884)+1))</f>
        <v>125.997</v>
      </c>
      <c r="M884" s="463">
        <f t="shared" si="134"/>
        <v>1</v>
      </c>
      <c r="N884" s="465">
        <f t="shared" si="142"/>
        <v>4641.9799999999996</v>
      </c>
      <c r="O884" s="179"/>
      <c r="P884" s="180">
        <v>108</v>
      </c>
      <c r="Q884" s="173" t="s">
        <v>583</v>
      </c>
      <c r="R884" s="173" t="s">
        <v>230</v>
      </c>
      <c r="S884" s="174">
        <v>44875</v>
      </c>
      <c r="T884" s="173" t="s">
        <v>33</v>
      </c>
      <c r="U884" s="182">
        <v>4822.489205020921</v>
      </c>
      <c r="V884" s="177">
        <f>IF(U884=0,0,IF(T884="MXN",1/HLOOKUP(YEAR(S884)+(MONTH(S884)/100),TC!$5:$37,DAY(S884)+2,FALSE),VLOOKUP(T884,Equivalencia!$1:$23,((MAX(Equivalencia!$3:$3)-YEAR(S884))*14)+MONTH(S884)+2,FALSE)))</f>
        <v>1</v>
      </c>
      <c r="W884" s="178">
        <f t="shared" si="139"/>
        <v>4822.489205020921</v>
      </c>
      <c r="X884" s="481">
        <f t="shared" si="135"/>
        <v>180.5092050209214</v>
      </c>
      <c r="Y884" s="179"/>
      <c r="Z884" s="466">
        <f t="shared" si="136"/>
        <v>4641.9799999999996</v>
      </c>
      <c r="AA884" s="473">
        <f t="shared" si="137"/>
        <v>180.5092050209214</v>
      </c>
      <c r="AB884" s="339">
        <f t="shared" si="138"/>
        <v>3.8886252207230854E-2</v>
      </c>
    </row>
    <row r="885" spans="2:28" ht="20.100000000000001" customHeight="1">
      <c r="B885" s="172">
        <v>1175000</v>
      </c>
      <c r="C885" s="174">
        <v>44866</v>
      </c>
      <c r="D885" s="181" t="s">
        <v>333</v>
      </c>
      <c r="E885" s="173" t="s">
        <v>33</v>
      </c>
      <c r="F885" s="176">
        <v>2643.05</v>
      </c>
      <c r="G885" s="175">
        <f t="shared" si="140"/>
        <v>62</v>
      </c>
      <c r="H885" s="175">
        <f t="shared" si="133"/>
        <v>2643.05</v>
      </c>
      <c r="I885" s="177">
        <f>IF(G885=0,0,IF(E885="MXN",1/HLOOKUP(YEAR(C885)+(MONTH(C885)/100),TC!$5:$37,DAY(C885)+2,FALSE),VLOOKUP(E885,Equivalencia!$5:$23,((MAX(Equivalencia!$3:$3)-YEAR(C885))*14)+MONTH(C885)+2,FALSE)))</f>
        <v>1</v>
      </c>
      <c r="J885" s="178">
        <f t="shared" si="141"/>
        <v>2643.05</v>
      </c>
      <c r="K885" s="462">
        <f>IF(C885=0,0,VLOOKUP(YEAR(C885),INPC!$B$4:$O$29,MONTH(C885)+1))</f>
        <v>125.997</v>
      </c>
      <c r="L885" s="462">
        <f>IF(S885=0,0,VLOOKUP(YEAR(S885),INPC!$B$4:$O$29,MONTH(S885)+1))</f>
        <v>125.997</v>
      </c>
      <c r="M885" s="463">
        <f t="shared" si="134"/>
        <v>1</v>
      </c>
      <c r="N885" s="465">
        <f t="shared" si="142"/>
        <v>2643.05</v>
      </c>
      <c r="O885" s="179"/>
      <c r="P885" s="180">
        <v>62</v>
      </c>
      <c r="Q885" s="173" t="s">
        <v>583</v>
      </c>
      <c r="R885" s="173" t="s">
        <v>230</v>
      </c>
      <c r="S885" s="174">
        <v>44875</v>
      </c>
      <c r="T885" s="173" t="s">
        <v>33</v>
      </c>
      <c r="U885" s="182">
        <v>2768.4660251046025</v>
      </c>
      <c r="V885" s="177">
        <f>IF(U885=0,0,IF(T885="MXN",1/HLOOKUP(YEAR(S885)+(MONTH(S885)/100),TC!$5:$37,DAY(S885)+2,FALSE),VLOOKUP(T885,Equivalencia!$1:$23,((MAX(Equivalencia!$3:$3)-YEAR(S885))*14)+MONTH(S885)+2,FALSE)))</f>
        <v>1</v>
      </c>
      <c r="W885" s="178">
        <f t="shared" si="139"/>
        <v>2768.4660251046025</v>
      </c>
      <c r="X885" s="481">
        <f t="shared" si="135"/>
        <v>125.41602510460234</v>
      </c>
      <c r="Y885" s="179"/>
      <c r="Z885" s="466">
        <f t="shared" si="136"/>
        <v>2643.05</v>
      </c>
      <c r="AA885" s="473">
        <f t="shared" si="137"/>
        <v>125.41602510460234</v>
      </c>
      <c r="AB885" s="339">
        <f t="shared" si="138"/>
        <v>4.745124954299107E-2</v>
      </c>
    </row>
    <row r="886" spans="2:28" ht="20.100000000000001" customHeight="1">
      <c r="B886" s="172">
        <v>1175000</v>
      </c>
      <c r="C886" s="174">
        <v>44867</v>
      </c>
      <c r="D886" s="181" t="s">
        <v>333</v>
      </c>
      <c r="E886" s="173" t="s">
        <v>33</v>
      </c>
      <c r="F886" s="176">
        <v>512.70000000000005</v>
      </c>
      <c r="G886" s="175">
        <f t="shared" si="140"/>
        <v>12</v>
      </c>
      <c r="H886" s="175">
        <f t="shared" si="133"/>
        <v>512.70000000000005</v>
      </c>
      <c r="I886" s="177">
        <f>IF(G886=0,0,IF(E886="MXN",1/HLOOKUP(YEAR(C886)+(MONTH(C886)/100),TC!$5:$37,DAY(C886)+2,FALSE),VLOOKUP(E886,Equivalencia!$5:$23,((MAX(Equivalencia!$3:$3)-YEAR(C886))*14)+MONTH(C886)+2,FALSE)))</f>
        <v>1</v>
      </c>
      <c r="J886" s="178">
        <f t="shared" si="141"/>
        <v>512.70000000000005</v>
      </c>
      <c r="K886" s="462">
        <f>IF(C886=0,0,VLOOKUP(YEAR(C886),INPC!$B$4:$O$29,MONTH(C886)+1))</f>
        <v>125.997</v>
      </c>
      <c r="L886" s="462">
        <f>IF(S886=0,0,VLOOKUP(YEAR(S886),INPC!$B$4:$O$29,MONTH(S886)+1))</f>
        <v>125.997</v>
      </c>
      <c r="M886" s="463">
        <f t="shared" si="134"/>
        <v>1</v>
      </c>
      <c r="N886" s="465">
        <f t="shared" si="142"/>
        <v>512.70000000000005</v>
      </c>
      <c r="O886" s="179"/>
      <c r="P886" s="180">
        <v>12</v>
      </c>
      <c r="Q886" s="173" t="s">
        <v>583</v>
      </c>
      <c r="R886" s="173" t="s">
        <v>230</v>
      </c>
      <c r="S886" s="174">
        <v>44875</v>
      </c>
      <c r="T886" s="173" t="s">
        <v>33</v>
      </c>
      <c r="U886" s="182">
        <v>535.8321338912134</v>
      </c>
      <c r="V886" s="177">
        <f>IF(U886=0,0,IF(T886="MXN",1/HLOOKUP(YEAR(S886)+(MONTH(S886)/100),TC!$5:$37,DAY(S886)+2,FALSE),VLOOKUP(T886,Equivalencia!$1:$23,((MAX(Equivalencia!$3:$3)-YEAR(S886))*14)+MONTH(S886)+2,FALSE)))</f>
        <v>1</v>
      </c>
      <c r="W886" s="178">
        <f t="shared" si="139"/>
        <v>535.8321338912134</v>
      </c>
      <c r="X886" s="481">
        <f t="shared" si="135"/>
        <v>23.132133891213357</v>
      </c>
      <c r="Y886" s="179"/>
      <c r="Z886" s="466">
        <f t="shared" si="136"/>
        <v>512.70000000000005</v>
      </c>
      <c r="AA886" s="473">
        <f t="shared" si="137"/>
        <v>23.132133891213357</v>
      </c>
      <c r="AB886" s="339">
        <f t="shared" si="138"/>
        <v>4.5118263879877718E-2</v>
      </c>
    </row>
    <row r="887" spans="2:28" ht="20.100000000000001" customHeight="1">
      <c r="B887" s="172">
        <v>1175000</v>
      </c>
      <c r="C887" s="174">
        <v>43830</v>
      </c>
      <c r="D887" s="181" t="s">
        <v>235</v>
      </c>
      <c r="E887" s="173" t="s">
        <v>33</v>
      </c>
      <c r="F887" s="176">
        <v>1346.9314005876593</v>
      </c>
      <c r="G887" s="175">
        <f t="shared" si="140"/>
        <v>38</v>
      </c>
      <c r="H887" s="175">
        <f t="shared" si="133"/>
        <v>1346.9314005876593</v>
      </c>
      <c r="I887" s="177">
        <f>IF(G887=0,0,IF(E887="MXN",1/HLOOKUP(YEAR(C887)+(MONTH(C887)/100),TC!$5:$37,DAY(C887)+2,FALSE),VLOOKUP(E887,Equivalencia!$5:$23,((MAX(Equivalencia!$3:$3)-YEAR(C887))*14)+MONTH(C887)+2,FALSE)))</f>
        <v>1</v>
      </c>
      <c r="J887" s="178">
        <f t="shared" si="141"/>
        <v>1346.9314005876593</v>
      </c>
      <c r="K887" s="462">
        <f>IF(C887=0,0,VLOOKUP(YEAR(C887),INPC!$B$4:$O$29,MONTH(C887)+1))</f>
        <v>105.934</v>
      </c>
      <c r="L887" s="462">
        <f>IF(S887=0,0,VLOOKUP(YEAR(S887),INPC!$B$4:$O$29,MONTH(S887)+1))</f>
        <v>125.997</v>
      </c>
      <c r="M887" s="463">
        <f t="shared" si="134"/>
        <v>1.1893</v>
      </c>
      <c r="N887" s="465">
        <f t="shared" si="142"/>
        <v>1601.9055147189031</v>
      </c>
      <c r="O887" s="179"/>
      <c r="P887" s="180">
        <v>38</v>
      </c>
      <c r="Q887" s="173" t="s">
        <v>583</v>
      </c>
      <c r="R887" s="173" t="s">
        <v>230</v>
      </c>
      <c r="S887" s="174">
        <v>44880</v>
      </c>
      <c r="T887" s="173" t="s">
        <v>33</v>
      </c>
      <c r="U887" s="182">
        <v>1301.02</v>
      </c>
      <c r="V887" s="177">
        <f>IF(U887=0,0,IF(T887="MXN",1/HLOOKUP(YEAR(S887)+(MONTH(S887)/100),TC!$5:$37,DAY(S887)+2,FALSE),VLOOKUP(T887,Equivalencia!$1:$23,((MAX(Equivalencia!$3:$3)-YEAR(S887))*14)+MONTH(S887)+2,FALSE)))</f>
        <v>1</v>
      </c>
      <c r="W887" s="178">
        <f t="shared" si="139"/>
        <v>1301.02</v>
      </c>
      <c r="X887" s="481">
        <f t="shared" si="135"/>
        <v>-45.911400587659273</v>
      </c>
      <c r="Y887" s="179"/>
      <c r="Z887" s="466">
        <f t="shared" si="136"/>
        <v>1601.9055147189031</v>
      </c>
      <c r="AA887" s="473">
        <f t="shared" si="137"/>
        <v>-300.8855147189031</v>
      </c>
      <c r="AB887" s="339">
        <f t="shared" si="138"/>
        <v>-3.4085923431310894E-2</v>
      </c>
    </row>
    <row r="888" spans="2:28" ht="20.100000000000001" customHeight="1">
      <c r="B888" s="172">
        <v>1175000</v>
      </c>
      <c r="C888" s="174">
        <v>43830</v>
      </c>
      <c r="D888" s="181" t="s">
        <v>235</v>
      </c>
      <c r="E888" s="173" t="s">
        <v>33</v>
      </c>
      <c r="F888" s="176">
        <v>14958.027659157689</v>
      </c>
      <c r="G888" s="175">
        <f t="shared" si="140"/>
        <v>422</v>
      </c>
      <c r="H888" s="175">
        <f t="shared" si="133"/>
        <v>14958.027659157689</v>
      </c>
      <c r="I888" s="177">
        <f>IF(G888=0,0,IF(E888="MXN",1/HLOOKUP(YEAR(C888)+(MONTH(C888)/100),TC!$5:$37,DAY(C888)+2,FALSE),VLOOKUP(E888,Equivalencia!$5:$23,((MAX(Equivalencia!$3:$3)-YEAR(C888))*14)+MONTH(C888)+2,FALSE)))</f>
        <v>1</v>
      </c>
      <c r="J888" s="178">
        <f t="shared" si="141"/>
        <v>14958.027659157689</v>
      </c>
      <c r="K888" s="462">
        <f>IF(C888=0,0,VLOOKUP(YEAR(C888),INPC!$B$4:$O$29,MONTH(C888)+1))</f>
        <v>105.934</v>
      </c>
      <c r="L888" s="462">
        <f>IF(S888=0,0,VLOOKUP(YEAR(S888),INPC!$B$4:$O$29,MONTH(S888)+1))</f>
        <v>125.997</v>
      </c>
      <c r="M888" s="463">
        <f t="shared" si="134"/>
        <v>1.1893</v>
      </c>
      <c r="N888" s="465">
        <f t="shared" si="142"/>
        <v>17789.582295036242</v>
      </c>
      <c r="O888" s="179"/>
      <c r="P888" s="180">
        <v>422</v>
      </c>
      <c r="Q888" s="173" t="s">
        <v>583</v>
      </c>
      <c r="R888" s="173" t="s">
        <v>230</v>
      </c>
      <c r="S888" s="174">
        <v>44880</v>
      </c>
      <c r="T888" s="173" t="s">
        <v>33</v>
      </c>
      <c r="U888" s="182">
        <v>14533.141276595745</v>
      </c>
      <c r="V888" s="177">
        <f>IF(U888=0,0,IF(T888="MXN",1/HLOOKUP(YEAR(S888)+(MONTH(S888)/100),TC!$5:$37,DAY(S888)+2,FALSE),VLOOKUP(T888,Equivalencia!$1:$23,((MAX(Equivalencia!$3:$3)-YEAR(S888))*14)+MONTH(S888)+2,FALSE)))</f>
        <v>1</v>
      </c>
      <c r="W888" s="178">
        <f t="shared" si="139"/>
        <v>14533.141276595745</v>
      </c>
      <c r="X888" s="481">
        <f t="shared" si="135"/>
        <v>-424.88638256194463</v>
      </c>
      <c r="Y888" s="179"/>
      <c r="Z888" s="466">
        <f t="shared" si="136"/>
        <v>17789.582295036242</v>
      </c>
      <c r="AA888" s="473">
        <f t="shared" si="137"/>
        <v>-3256.4410184404969</v>
      </c>
      <c r="AB888" s="339">
        <f t="shared" si="138"/>
        <v>-2.8405241134971337E-2</v>
      </c>
    </row>
    <row r="889" spans="2:28" ht="20.100000000000001" customHeight="1">
      <c r="B889" s="172">
        <v>1175000</v>
      </c>
      <c r="C889" s="174">
        <v>44363</v>
      </c>
      <c r="D889" s="181" t="s">
        <v>235</v>
      </c>
      <c r="E889" s="173" t="s">
        <v>33</v>
      </c>
      <c r="F889" s="176">
        <v>2780.2176923076927</v>
      </c>
      <c r="G889" s="175">
        <f t="shared" si="140"/>
        <v>48</v>
      </c>
      <c r="H889" s="175">
        <f t="shared" si="133"/>
        <v>2780.2176923076927</v>
      </c>
      <c r="I889" s="177">
        <f>IF(G889=0,0,IF(E889="MXN",1/HLOOKUP(YEAR(C889)+(MONTH(C889)/100),TC!$5:$37,DAY(C889)+2,FALSE),VLOOKUP(E889,Equivalencia!$5:$23,((MAX(Equivalencia!$3:$3)-YEAR(C889))*14)+MONTH(C889)+2,FALSE)))</f>
        <v>1</v>
      </c>
      <c r="J889" s="178">
        <f t="shared" si="141"/>
        <v>2780.2176923076927</v>
      </c>
      <c r="K889" s="462">
        <f>IF(C889=0,0,VLOOKUP(YEAR(C889),INPC!$B$4:$O$29,MONTH(C889)+1))</f>
        <v>113.018</v>
      </c>
      <c r="L889" s="462">
        <f>IF(S889=0,0,VLOOKUP(YEAR(S889),INPC!$B$4:$O$29,MONTH(S889)+1))</f>
        <v>125.997</v>
      </c>
      <c r="M889" s="463">
        <f t="shared" si="134"/>
        <v>1.1148</v>
      </c>
      <c r="N889" s="465">
        <f t="shared" si="142"/>
        <v>3099.3866833846159</v>
      </c>
      <c r="O889" s="179"/>
      <c r="P889" s="180">
        <v>48</v>
      </c>
      <c r="Q889" s="173" t="s">
        <v>583</v>
      </c>
      <c r="R889" s="173" t="s">
        <v>230</v>
      </c>
      <c r="S889" s="174">
        <v>44880</v>
      </c>
      <c r="T889" s="173" t="s">
        <v>33</v>
      </c>
      <c r="U889" s="182">
        <v>1653.0587234042555</v>
      </c>
      <c r="V889" s="177">
        <f>IF(U889=0,0,IF(T889="MXN",1/HLOOKUP(YEAR(S889)+(MONTH(S889)/100),TC!$5:$37,DAY(S889)+2,FALSE),VLOOKUP(T889,Equivalencia!$1:$23,((MAX(Equivalencia!$3:$3)-YEAR(S889))*14)+MONTH(S889)+2,FALSE)))</f>
        <v>1</v>
      </c>
      <c r="W889" s="178">
        <f t="shared" si="139"/>
        <v>1653.0587234042555</v>
      </c>
      <c r="X889" s="481">
        <f t="shared" si="135"/>
        <v>-1127.1589689034372</v>
      </c>
      <c r="Y889" s="179"/>
      <c r="Z889" s="466">
        <f t="shared" si="136"/>
        <v>3099.3866833846159</v>
      </c>
      <c r="AA889" s="473">
        <f t="shared" si="137"/>
        <v>-1446.3279599803604</v>
      </c>
      <c r="AB889" s="339">
        <f t="shared" si="138"/>
        <v>-0.40542111936848002</v>
      </c>
    </row>
    <row r="890" spans="2:28" ht="20.100000000000001" customHeight="1">
      <c r="B890" s="172">
        <v>1175000</v>
      </c>
      <c r="C890" s="174">
        <v>44363</v>
      </c>
      <c r="D890" s="181" t="s">
        <v>235</v>
      </c>
      <c r="E890" s="173" t="s">
        <v>33</v>
      </c>
      <c r="F890" s="176">
        <v>7935.204663461539</v>
      </c>
      <c r="G890" s="175">
        <f t="shared" si="140"/>
        <v>137</v>
      </c>
      <c r="H890" s="175">
        <f t="shared" si="133"/>
        <v>7935.204663461539</v>
      </c>
      <c r="I890" s="177">
        <f>IF(G890=0,0,IF(E890="MXN",1/HLOOKUP(YEAR(C890)+(MONTH(C890)/100),TC!$5:$37,DAY(C890)+2,FALSE),VLOOKUP(E890,Equivalencia!$5:$23,((MAX(Equivalencia!$3:$3)-YEAR(C890))*14)+MONTH(C890)+2,FALSE)))</f>
        <v>1</v>
      </c>
      <c r="J890" s="178">
        <f t="shared" si="141"/>
        <v>7935.204663461539</v>
      </c>
      <c r="K890" s="462">
        <f>IF(C890=0,0,VLOOKUP(YEAR(C890),INPC!$B$4:$O$29,MONTH(C890)+1))</f>
        <v>113.018</v>
      </c>
      <c r="L890" s="462">
        <f>IF(S890=0,0,VLOOKUP(YEAR(S890),INPC!$B$4:$O$29,MONTH(S890)+1))</f>
        <v>125.997</v>
      </c>
      <c r="M890" s="463">
        <f t="shared" si="134"/>
        <v>1.1148</v>
      </c>
      <c r="N890" s="465">
        <f t="shared" si="142"/>
        <v>8846.1661588269235</v>
      </c>
      <c r="O890" s="179"/>
      <c r="P890" s="180">
        <v>137</v>
      </c>
      <c r="Q890" s="173" t="s">
        <v>583</v>
      </c>
      <c r="R890" s="173" t="s">
        <v>230</v>
      </c>
      <c r="S890" s="174">
        <v>44887</v>
      </c>
      <c r="T890" s="173" t="s">
        <v>33</v>
      </c>
      <c r="U890" s="182">
        <v>4767.3000000000011</v>
      </c>
      <c r="V890" s="177">
        <f>IF(U890=0,0,IF(T890="MXN",1/HLOOKUP(YEAR(S890)+(MONTH(S890)/100),TC!$5:$37,DAY(S890)+2,FALSE),VLOOKUP(T890,Equivalencia!$1:$23,((MAX(Equivalencia!$3:$3)-YEAR(S890))*14)+MONTH(S890)+2,FALSE)))</f>
        <v>1</v>
      </c>
      <c r="W890" s="178">
        <f t="shared" si="139"/>
        <v>4767.3000000000011</v>
      </c>
      <c r="X890" s="481">
        <f t="shared" si="135"/>
        <v>-3167.9046634615379</v>
      </c>
      <c r="Y890" s="179"/>
      <c r="Z890" s="466">
        <f t="shared" si="136"/>
        <v>8846.1661588269235</v>
      </c>
      <c r="AA890" s="473">
        <f t="shared" si="137"/>
        <v>-4078.8661588269224</v>
      </c>
      <c r="AB890" s="339">
        <f t="shared" si="138"/>
        <v>-0.39922154472568028</v>
      </c>
    </row>
    <row r="891" spans="2:28" ht="20.100000000000001" customHeight="1">
      <c r="B891" s="172">
        <v>1175000</v>
      </c>
      <c r="C891" s="174">
        <v>44363</v>
      </c>
      <c r="D891" s="181" t="s">
        <v>235</v>
      </c>
      <c r="E891" s="173" t="s">
        <v>33</v>
      </c>
      <c r="F891" s="176">
        <v>1853.4784615384617</v>
      </c>
      <c r="G891" s="175">
        <f t="shared" si="140"/>
        <v>32</v>
      </c>
      <c r="H891" s="175">
        <f t="shared" si="133"/>
        <v>1853.4784615384617</v>
      </c>
      <c r="I891" s="177">
        <f>IF(G891=0,0,IF(E891="MXN",1/HLOOKUP(YEAR(C891)+(MONTH(C891)/100),TC!$5:$37,DAY(C891)+2,FALSE),VLOOKUP(E891,Equivalencia!$5:$23,((MAX(Equivalencia!$3:$3)-YEAR(C891))*14)+MONTH(C891)+2,FALSE)))</f>
        <v>1</v>
      </c>
      <c r="J891" s="178">
        <f t="shared" si="141"/>
        <v>1853.4784615384617</v>
      </c>
      <c r="K891" s="462">
        <f>IF(C891=0,0,VLOOKUP(YEAR(C891),INPC!$B$4:$O$29,MONTH(C891)+1))</f>
        <v>113.018</v>
      </c>
      <c r="L891" s="462">
        <f>IF(S891=0,0,VLOOKUP(YEAR(S891),INPC!$B$4:$O$29,MONTH(S891)+1))</f>
        <v>125.997</v>
      </c>
      <c r="M891" s="463">
        <f t="shared" si="134"/>
        <v>1.1148</v>
      </c>
      <c r="N891" s="465">
        <f t="shared" si="142"/>
        <v>2066.257788923077</v>
      </c>
      <c r="O891" s="179"/>
      <c r="P891" s="180">
        <v>32</v>
      </c>
      <c r="Q891" s="173" t="s">
        <v>583</v>
      </c>
      <c r="R891" s="173" t="s">
        <v>230</v>
      </c>
      <c r="S891" s="174">
        <v>44887</v>
      </c>
      <c r="T891" s="173" t="s">
        <v>33</v>
      </c>
      <c r="U891" s="182">
        <v>1113.25</v>
      </c>
      <c r="V891" s="177">
        <f>IF(U891=0,0,IF(T891="MXN",1/HLOOKUP(YEAR(S891)+(MONTH(S891)/100),TC!$5:$37,DAY(S891)+2,FALSE),VLOOKUP(T891,Equivalencia!$1:$23,((MAX(Equivalencia!$3:$3)-YEAR(S891))*14)+MONTH(S891)+2,FALSE)))</f>
        <v>1</v>
      </c>
      <c r="W891" s="178">
        <f t="shared" si="139"/>
        <v>1113.25</v>
      </c>
      <c r="X891" s="481">
        <f t="shared" si="135"/>
        <v>-740.22846153846172</v>
      </c>
      <c r="Y891" s="179"/>
      <c r="Z891" s="466">
        <f t="shared" si="136"/>
        <v>2066.257788923077</v>
      </c>
      <c r="AA891" s="473">
        <f t="shared" si="137"/>
        <v>-953.00778892307699</v>
      </c>
      <c r="AB891" s="339">
        <f t="shared" si="138"/>
        <v>-0.39937257265133919</v>
      </c>
    </row>
    <row r="892" spans="2:28" ht="20.100000000000001" customHeight="1">
      <c r="B892" s="172">
        <v>1175000</v>
      </c>
      <c r="C892" s="174">
        <v>44363</v>
      </c>
      <c r="D892" s="181" t="s">
        <v>235</v>
      </c>
      <c r="E892" s="173" t="s">
        <v>33</v>
      </c>
      <c r="F892" s="176">
        <v>1679.714855769231</v>
      </c>
      <c r="G892" s="175">
        <f t="shared" si="140"/>
        <v>29</v>
      </c>
      <c r="H892" s="175">
        <f t="shared" si="133"/>
        <v>1679.714855769231</v>
      </c>
      <c r="I892" s="177">
        <f>IF(G892=0,0,IF(E892="MXN",1/HLOOKUP(YEAR(C892)+(MONTH(C892)/100),TC!$5:$37,DAY(C892)+2,FALSE),VLOOKUP(E892,Equivalencia!$5:$23,((MAX(Equivalencia!$3:$3)-YEAR(C892))*14)+MONTH(C892)+2,FALSE)))</f>
        <v>1</v>
      </c>
      <c r="J892" s="178">
        <f t="shared" si="141"/>
        <v>1679.714855769231</v>
      </c>
      <c r="K892" s="462">
        <f>IF(C892=0,0,VLOOKUP(YEAR(C892),INPC!$B$4:$O$29,MONTH(C892)+1))</f>
        <v>113.018</v>
      </c>
      <c r="L892" s="462">
        <f>IF(S892=0,0,VLOOKUP(YEAR(S892),INPC!$B$4:$O$29,MONTH(S892)+1))</f>
        <v>125.997</v>
      </c>
      <c r="M892" s="463">
        <f t="shared" si="134"/>
        <v>1.1148</v>
      </c>
      <c r="N892" s="465">
        <f t="shared" si="142"/>
        <v>1872.5461212115388</v>
      </c>
      <c r="O892" s="179"/>
      <c r="P892" s="180">
        <v>29</v>
      </c>
      <c r="Q892" s="173" t="s">
        <v>583</v>
      </c>
      <c r="R892" s="173" t="s">
        <v>230</v>
      </c>
      <c r="S892" s="174">
        <v>44887</v>
      </c>
      <c r="T892" s="173" t="s">
        <v>33</v>
      </c>
      <c r="U892" s="182">
        <v>1008.9300000000001</v>
      </c>
      <c r="V892" s="177">
        <f>IF(U892=0,0,IF(T892="MXN",1/HLOOKUP(YEAR(S892)+(MONTH(S892)/100),TC!$5:$37,DAY(S892)+2,FALSE),VLOOKUP(T892,Equivalencia!$1:$23,((MAX(Equivalencia!$3:$3)-YEAR(S892))*14)+MONTH(S892)+2,FALSE)))</f>
        <v>1</v>
      </c>
      <c r="W892" s="178">
        <f t="shared" si="139"/>
        <v>1008.9300000000001</v>
      </c>
      <c r="X892" s="481">
        <f t="shared" si="135"/>
        <v>-670.78485576923094</v>
      </c>
      <c r="Y892" s="179"/>
      <c r="Z892" s="466">
        <f t="shared" si="136"/>
        <v>1872.5461212115388</v>
      </c>
      <c r="AA892" s="473">
        <f t="shared" si="137"/>
        <v>-863.61612121153871</v>
      </c>
      <c r="AB892" s="339">
        <f t="shared" si="138"/>
        <v>-0.39934448008560519</v>
      </c>
    </row>
    <row r="893" spans="2:28" ht="20.100000000000001" customHeight="1">
      <c r="B893" s="172">
        <v>1175000</v>
      </c>
      <c r="C893" s="174">
        <v>44363</v>
      </c>
      <c r="D893" s="181" t="s">
        <v>235</v>
      </c>
      <c r="E893" s="173" t="s">
        <v>33</v>
      </c>
      <c r="F893" s="176">
        <v>1448.0300480769233</v>
      </c>
      <c r="G893" s="175">
        <f t="shared" si="140"/>
        <v>25</v>
      </c>
      <c r="H893" s="175">
        <f t="shared" si="133"/>
        <v>1448.0300480769233</v>
      </c>
      <c r="I893" s="177">
        <f>IF(G893=0,0,IF(E893="MXN",1/HLOOKUP(YEAR(C893)+(MONTH(C893)/100),TC!$5:$37,DAY(C893)+2,FALSE),VLOOKUP(E893,Equivalencia!$5:$23,((MAX(Equivalencia!$3:$3)-YEAR(C893))*14)+MONTH(C893)+2,FALSE)))</f>
        <v>1</v>
      </c>
      <c r="J893" s="178">
        <f t="shared" si="141"/>
        <v>1448.0300480769233</v>
      </c>
      <c r="K893" s="462">
        <f>IF(C893=0,0,VLOOKUP(YEAR(C893),INPC!$B$4:$O$29,MONTH(C893)+1))</f>
        <v>113.018</v>
      </c>
      <c r="L893" s="462">
        <f>IF(S893=0,0,VLOOKUP(YEAR(S893),INPC!$B$4:$O$29,MONTH(S893)+1))</f>
        <v>125.997</v>
      </c>
      <c r="M893" s="463">
        <f t="shared" si="134"/>
        <v>1.1148</v>
      </c>
      <c r="N893" s="465">
        <f t="shared" si="142"/>
        <v>1614.263897596154</v>
      </c>
      <c r="O893" s="179"/>
      <c r="P893" s="180">
        <v>25</v>
      </c>
      <c r="Q893" s="173" t="s">
        <v>583</v>
      </c>
      <c r="R893" s="173" t="s">
        <v>230</v>
      </c>
      <c r="S893" s="174">
        <v>44887</v>
      </c>
      <c r="T893" s="173" t="s">
        <v>33</v>
      </c>
      <c r="U893" s="182">
        <v>868.19</v>
      </c>
      <c r="V893" s="177">
        <f>IF(U893=0,0,IF(T893="MXN",1/HLOOKUP(YEAR(S893)+(MONTH(S893)/100),TC!$5:$37,DAY(S893)+2,FALSE),VLOOKUP(T893,Equivalencia!$1:$23,((MAX(Equivalencia!$3:$3)-YEAR(S893))*14)+MONTH(S893)+2,FALSE)))</f>
        <v>1</v>
      </c>
      <c r="W893" s="178">
        <f t="shared" si="139"/>
        <v>868.19</v>
      </c>
      <c r="X893" s="481">
        <f t="shared" si="135"/>
        <v>-579.84004807692327</v>
      </c>
      <c r="Y893" s="179"/>
      <c r="Z893" s="466">
        <f t="shared" si="136"/>
        <v>1614.263897596154</v>
      </c>
      <c r="AA893" s="473">
        <f t="shared" si="137"/>
        <v>-746.07389759615398</v>
      </c>
      <c r="AB893" s="339">
        <f t="shared" si="138"/>
        <v>-0.40043371257867755</v>
      </c>
    </row>
    <row r="894" spans="2:28" ht="20.100000000000001" customHeight="1">
      <c r="B894" s="172">
        <v>1175000</v>
      </c>
      <c r="C894" s="174">
        <v>44798</v>
      </c>
      <c r="D894" s="181" t="s">
        <v>188</v>
      </c>
      <c r="E894" s="173" t="s">
        <v>33</v>
      </c>
      <c r="F894" s="176">
        <v>456.33083333333337</v>
      </c>
      <c r="G894" s="175">
        <f t="shared" si="140"/>
        <v>5</v>
      </c>
      <c r="H894" s="175">
        <f t="shared" si="133"/>
        <v>456.33083333333337</v>
      </c>
      <c r="I894" s="177">
        <f>IF(G894=0,0,IF(E894="MXN",1/HLOOKUP(YEAR(C894)+(MONTH(C894)/100),TC!$5:$37,DAY(C894)+2,FALSE),VLOOKUP(E894,Equivalencia!$5:$23,((MAX(Equivalencia!$3:$3)-YEAR(C894))*14)+MONTH(C894)+2,FALSE)))</f>
        <v>1</v>
      </c>
      <c r="J894" s="178">
        <f t="shared" si="141"/>
        <v>456.33083333333337</v>
      </c>
      <c r="K894" s="462">
        <f>IF(C894=0,0,VLOOKUP(YEAR(C894),INPC!$B$4:$O$29,MONTH(C894)+1))</f>
        <v>123.803</v>
      </c>
      <c r="L894" s="462">
        <f>IF(S894=0,0,VLOOKUP(YEAR(S894),INPC!$B$4:$O$29,MONTH(S894)+1))</f>
        <v>125.997</v>
      </c>
      <c r="M894" s="463">
        <f t="shared" si="134"/>
        <v>1.0177</v>
      </c>
      <c r="N894" s="465">
        <f t="shared" si="142"/>
        <v>464.40788908333337</v>
      </c>
      <c r="O894" s="179"/>
      <c r="P894" s="180">
        <v>5</v>
      </c>
      <c r="Q894" s="173" t="s">
        <v>583</v>
      </c>
      <c r="R894" s="173" t="s">
        <v>230</v>
      </c>
      <c r="S894" s="174">
        <v>44880</v>
      </c>
      <c r="T894" s="173" t="s">
        <v>33</v>
      </c>
      <c r="U894" s="182">
        <v>414.71</v>
      </c>
      <c r="V894" s="177">
        <f>IF(U894=0,0,IF(T894="MXN",1/HLOOKUP(YEAR(S894)+(MONTH(S894)/100),TC!$5:$37,DAY(S894)+2,FALSE),VLOOKUP(T894,Equivalencia!$1:$23,((MAX(Equivalencia!$3:$3)-YEAR(S894))*14)+MONTH(S894)+2,FALSE)))</f>
        <v>1</v>
      </c>
      <c r="W894" s="178">
        <f t="shared" si="139"/>
        <v>414.71</v>
      </c>
      <c r="X894" s="481">
        <f t="shared" si="135"/>
        <v>-41.620833333333394</v>
      </c>
      <c r="Y894" s="179"/>
      <c r="Z894" s="466">
        <f t="shared" si="136"/>
        <v>464.40788908333337</v>
      </c>
      <c r="AA894" s="473">
        <f t="shared" si="137"/>
        <v>-49.697889083333394</v>
      </c>
      <c r="AB894" s="339">
        <f t="shared" si="138"/>
        <v>-9.1207585140167025E-2</v>
      </c>
    </row>
    <row r="895" spans="2:28" ht="20.100000000000001" customHeight="1">
      <c r="B895" s="172">
        <v>1175000</v>
      </c>
      <c r="C895" s="174">
        <v>44798</v>
      </c>
      <c r="D895" s="181" t="s">
        <v>188</v>
      </c>
      <c r="E895" s="173" t="s">
        <v>33</v>
      </c>
      <c r="F895" s="176">
        <v>912.66166666666675</v>
      </c>
      <c r="G895" s="175">
        <f t="shared" si="140"/>
        <v>10</v>
      </c>
      <c r="H895" s="175">
        <f t="shared" si="133"/>
        <v>912.66166666666675</v>
      </c>
      <c r="I895" s="177">
        <f>IF(G895=0,0,IF(E895="MXN",1/HLOOKUP(YEAR(C895)+(MONTH(C895)/100),TC!$5:$37,DAY(C895)+2,FALSE),VLOOKUP(E895,Equivalencia!$5:$23,((MAX(Equivalencia!$3:$3)-YEAR(C895))*14)+MONTH(C895)+2,FALSE)))</f>
        <v>1</v>
      </c>
      <c r="J895" s="178">
        <f t="shared" si="141"/>
        <v>912.66166666666675</v>
      </c>
      <c r="K895" s="462">
        <f>IF(C895=0,0,VLOOKUP(YEAR(C895),INPC!$B$4:$O$29,MONTH(C895)+1))</f>
        <v>123.803</v>
      </c>
      <c r="L895" s="462">
        <f>IF(S895=0,0,VLOOKUP(YEAR(S895),INPC!$B$4:$O$29,MONTH(S895)+1))</f>
        <v>125.997</v>
      </c>
      <c r="M895" s="463">
        <f t="shared" si="134"/>
        <v>1.0177</v>
      </c>
      <c r="N895" s="465">
        <f t="shared" si="142"/>
        <v>928.81577816666675</v>
      </c>
      <c r="O895" s="179"/>
      <c r="P895" s="180">
        <v>10</v>
      </c>
      <c r="Q895" s="173" t="s">
        <v>583</v>
      </c>
      <c r="R895" s="173" t="s">
        <v>230</v>
      </c>
      <c r="S895" s="174">
        <v>44880</v>
      </c>
      <c r="T895" s="173" t="s">
        <v>33</v>
      </c>
      <c r="U895" s="182">
        <v>829.95</v>
      </c>
      <c r="V895" s="177">
        <f>IF(U895=0,0,IF(T895="MXN",1/HLOOKUP(YEAR(S895)+(MONTH(S895)/100),TC!$5:$37,DAY(S895)+2,FALSE),VLOOKUP(T895,Equivalencia!$1:$23,((MAX(Equivalencia!$3:$3)-YEAR(S895))*14)+MONTH(S895)+2,FALSE)))</f>
        <v>1</v>
      </c>
      <c r="W895" s="178">
        <f t="shared" si="139"/>
        <v>829.95</v>
      </c>
      <c r="X895" s="481">
        <f t="shared" si="135"/>
        <v>-82.711666666666702</v>
      </c>
      <c r="Y895" s="179"/>
      <c r="Z895" s="466">
        <f t="shared" si="136"/>
        <v>928.81577816666675</v>
      </c>
      <c r="AA895" s="473">
        <f t="shared" si="137"/>
        <v>-98.865778166666701</v>
      </c>
      <c r="AB895" s="339">
        <f t="shared" si="138"/>
        <v>-9.0626866107739845E-2</v>
      </c>
    </row>
    <row r="896" spans="2:28" ht="20.100000000000001" customHeight="1">
      <c r="B896" s="172">
        <v>1175000</v>
      </c>
      <c r="C896" s="174">
        <v>44798</v>
      </c>
      <c r="D896" s="181" t="s">
        <v>188</v>
      </c>
      <c r="E896" s="173" t="s">
        <v>33</v>
      </c>
      <c r="F896" s="176">
        <v>273.79850000000005</v>
      </c>
      <c r="G896" s="175">
        <f t="shared" si="140"/>
        <v>3</v>
      </c>
      <c r="H896" s="175">
        <f t="shared" si="133"/>
        <v>273.79850000000005</v>
      </c>
      <c r="I896" s="177">
        <f>IF(G896=0,0,IF(E896="MXN",1/HLOOKUP(YEAR(C896)+(MONTH(C896)/100),TC!$5:$37,DAY(C896)+2,FALSE),VLOOKUP(E896,Equivalencia!$5:$23,((MAX(Equivalencia!$3:$3)-YEAR(C896))*14)+MONTH(C896)+2,FALSE)))</f>
        <v>1</v>
      </c>
      <c r="J896" s="178">
        <f t="shared" si="141"/>
        <v>273.79850000000005</v>
      </c>
      <c r="K896" s="462">
        <f>IF(C896=0,0,VLOOKUP(YEAR(C896),INPC!$B$4:$O$29,MONTH(C896)+1))</f>
        <v>123.803</v>
      </c>
      <c r="L896" s="462">
        <f>IF(S896=0,0,VLOOKUP(YEAR(S896),INPC!$B$4:$O$29,MONTH(S896)+1))</f>
        <v>125.997</v>
      </c>
      <c r="M896" s="463">
        <f t="shared" si="134"/>
        <v>1.0177</v>
      </c>
      <c r="N896" s="465">
        <f t="shared" si="142"/>
        <v>278.64473345000005</v>
      </c>
      <c r="O896" s="179"/>
      <c r="P896" s="180">
        <v>3</v>
      </c>
      <c r="Q896" s="173" t="s">
        <v>583</v>
      </c>
      <c r="R896" s="173" t="s">
        <v>230</v>
      </c>
      <c r="S896" s="174">
        <v>44880</v>
      </c>
      <c r="T896" s="173" t="s">
        <v>33</v>
      </c>
      <c r="U896" s="182">
        <v>250.82</v>
      </c>
      <c r="V896" s="177">
        <f>IF(U896=0,0,IF(T896="MXN",1/HLOOKUP(YEAR(S896)+(MONTH(S896)/100),TC!$5:$37,DAY(S896)+2,FALSE),VLOOKUP(T896,Equivalencia!$1:$23,((MAX(Equivalencia!$3:$3)-YEAR(S896))*14)+MONTH(S896)+2,FALSE)))</f>
        <v>1</v>
      </c>
      <c r="W896" s="178">
        <f t="shared" si="139"/>
        <v>250.82</v>
      </c>
      <c r="X896" s="481">
        <f t="shared" si="135"/>
        <v>-22.978500000000054</v>
      </c>
      <c r="Y896" s="179"/>
      <c r="Z896" s="466">
        <f t="shared" si="136"/>
        <v>278.64473345000005</v>
      </c>
      <c r="AA896" s="473">
        <f t="shared" si="137"/>
        <v>-27.824733450000053</v>
      </c>
      <c r="AB896" s="339">
        <f t="shared" si="138"/>
        <v>-8.3924857148596654E-2</v>
      </c>
    </row>
    <row r="897" spans="2:28" ht="20.100000000000001" customHeight="1">
      <c r="B897" s="172">
        <v>1175000</v>
      </c>
      <c r="C897" s="174">
        <v>44798</v>
      </c>
      <c r="D897" s="181" t="s">
        <v>188</v>
      </c>
      <c r="E897" s="173" t="s">
        <v>33</v>
      </c>
      <c r="F897" s="176">
        <v>3833.1790000000005</v>
      </c>
      <c r="G897" s="175">
        <f t="shared" si="140"/>
        <v>42</v>
      </c>
      <c r="H897" s="175">
        <f t="shared" si="133"/>
        <v>3833.1790000000005</v>
      </c>
      <c r="I897" s="177">
        <f>IF(G897=0,0,IF(E897="MXN",1/HLOOKUP(YEAR(C897)+(MONTH(C897)/100),TC!$5:$37,DAY(C897)+2,FALSE),VLOOKUP(E897,Equivalencia!$5:$23,((MAX(Equivalencia!$3:$3)-YEAR(C897))*14)+MONTH(C897)+2,FALSE)))</f>
        <v>1</v>
      </c>
      <c r="J897" s="178">
        <f t="shared" si="141"/>
        <v>3833.1790000000005</v>
      </c>
      <c r="K897" s="462">
        <f>IF(C897=0,0,VLOOKUP(YEAR(C897),INPC!$B$4:$O$29,MONTH(C897)+1))</f>
        <v>123.803</v>
      </c>
      <c r="L897" s="462">
        <f>IF(S897=0,0,VLOOKUP(YEAR(S897),INPC!$B$4:$O$29,MONTH(S897)+1))</f>
        <v>125.997</v>
      </c>
      <c r="M897" s="463">
        <f t="shared" si="134"/>
        <v>1.0177</v>
      </c>
      <c r="N897" s="465">
        <f t="shared" si="142"/>
        <v>3901.0262683000005</v>
      </c>
      <c r="O897" s="179"/>
      <c r="P897" s="180">
        <v>42</v>
      </c>
      <c r="Q897" s="173" t="s">
        <v>583</v>
      </c>
      <c r="R897" s="173" t="s">
        <v>230</v>
      </c>
      <c r="S897" s="174">
        <v>44880</v>
      </c>
      <c r="T897" s="173" t="s">
        <v>33</v>
      </c>
      <c r="U897" s="182">
        <v>3496.9082242990658</v>
      </c>
      <c r="V897" s="177">
        <f>IF(U897=0,0,IF(T897="MXN",1/HLOOKUP(YEAR(S897)+(MONTH(S897)/100),TC!$5:$37,DAY(S897)+2,FALSE),VLOOKUP(T897,Equivalencia!$1:$23,((MAX(Equivalencia!$3:$3)-YEAR(S897))*14)+MONTH(S897)+2,FALSE)))</f>
        <v>1</v>
      </c>
      <c r="W897" s="178">
        <f t="shared" si="139"/>
        <v>3496.9082242990658</v>
      </c>
      <c r="X897" s="481">
        <f t="shared" si="135"/>
        <v>-336.27077570093479</v>
      </c>
      <c r="Y897" s="179"/>
      <c r="Z897" s="466">
        <f t="shared" si="136"/>
        <v>3901.0262683000005</v>
      </c>
      <c r="AA897" s="473">
        <f t="shared" si="137"/>
        <v>-404.11804400093479</v>
      </c>
      <c r="AB897" s="339">
        <f t="shared" si="138"/>
        <v>-8.7726342991270356E-2</v>
      </c>
    </row>
    <row r="898" spans="2:28" ht="20.100000000000001" customHeight="1">
      <c r="B898" s="172">
        <v>1175000</v>
      </c>
      <c r="C898" s="174">
        <v>44804</v>
      </c>
      <c r="D898" s="181" t="s">
        <v>188</v>
      </c>
      <c r="E898" s="173" t="s">
        <v>33</v>
      </c>
      <c r="F898" s="176">
        <v>440.88</v>
      </c>
      <c r="G898" s="175">
        <f t="shared" si="140"/>
        <v>5</v>
      </c>
      <c r="H898" s="175">
        <f t="shared" ref="H898:H961" si="143">IF(F898=0,0,(F898/G898)*P898)</f>
        <v>440.88</v>
      </c>
      <c r="I898" s="177">
        <f>IF(G898=0,0,IF(E898="MXN",1/HLOOKUP(YEAR(C898)+(MONTH(C898)/100),TC!$5:$37,DAY(C898)+2,FALSE),VLOOKUP(E898,Equivalencia!$5:$23,((MAX(Equivalencia!$3:$3)-YEAR(C898))*14)+MONTH(C898)+2,FALSE)))</f>
        <v>1</v>
      </c>
      <c r="J898" s="178">
        <f t="shared" si="141"/>
        <v>440.88</v>
      </c>
      <c r="K898" s="462">
        <f>IF(C898=0,0,VLOOKUP(YEAR(C898),INPC!$B$4:$O$29,MONTH(C898)+1))</f>
        <v>123.803</v>
      </c>
      <c r="L898" s="462">
        <f>IF(S898=0,0,VLOOKUP(YEAR(S898),INPC!$B$4:$O$29,MONTH(S898)+1))</f>
        <v>125.997</v>
      </c>
      <c r="M898" s="463">
        <f t="shared" ref="M898:M961" si="144">IF(H898=0,0,IF(R898=$AF$4,1,IF(TRUNC(L898/K898,4)&gt;=1,TRUNC(L898/K898,4),1)))</f>
        <v>1.0177</v>
      </c>
      <c r="N898" s="465">
        <f t="shared" si="142"/>
        <v>448.68357600000002</v>
      </c>
      <c r="O898" s="179"/>
      <c r="P898" s="180">
        <v>5</v>
      </c>
      <c r="Q898" s="173" t="s">
        <v>583</v>
      </c>
      <c r="R898" s="173" t="s">
        <v>230</v>
      </c>
      <c r="S898" s="174">
        <v>44880</v>
      </c>
      <c r="T898" s="173" t="s">
        <v>33</v>
      </c>
      <c r="U898" s="182">
        <v>416.29859813084119</v>
      </c>
      <c r="V898" s="177">
        <f>IF(U898=0,0,IF(T898="MXN",1/HLOOKUP(YEAR(S898)+(MONTH(S898)/100),TC!$5:$37,DAY(S898)+2,FALSE),VLOOKUP(T898,Equivalencia!$1:$23,((MAX(Equivalencia!$3:$3)-YEAR(S898))*14)+MONTH(S898)+2,FALSE)))</f>
        <v>1</v>
      </c>
      <c r="W898" s="178">
        <f t="shared" si="139"/>
        <v>416.29859813084119</v>
      </c>
      <c r="X898" s="481">
        <f t="shared" ref="X898:X961" si="145">+W898-J898</f>
        <v>-24.58140186915881</v>
      </c>
      <c r="Y898" s="179"/>
      <c r="Z898" s="466">
        <f t="shared" ref="Z898:Z961" si="146">N898</f>
        <v>448.68357600000002</v>
      </c>
      <c r="AA898" s="473">
        <f t="shared" ref="AA898:AA961" si="147">+W898-Z898</f>
        <v>-32.384977869158831</v>
      </c>
      <c r="AB898" s="339">
        <f t="shared" ref="AB898:AB961" si="148">+IF(P898=0,0,(U898/F898)-1)</f>
        <v>-5.5755311806293784E-2</v>
      </c>
    </row>
    <row r="899" spans="2:28" ht="20.100000000000001" customHeight="1">
      <c r="B899" s="172">
        <v>1175000</v>
      </c>
      <c r="C899" s="174">
        <v>44804</v>
      </c>
      <c r="D899" s="181" t="s">
        <v>188</v>
      </c>
      <c r="E899" s="173" t="s">
        <v>33</v>
      </c>
      <c r="F899" s="176">
        <v>264.5</v>
      </c>
      <c r="G899" s="175">
        <f t="shared" si="140"/>
        <v>3</v>
      </c>
      <c r="H899" s="175">
        <f t="shared" si="143"/>
        <v>264.5</v>
      </c>
      <c r="I899" s="177">
        <f>IF(G899=0,0,IF(E899="MXN",1/HLOOKUP(YEAR(C899)+(MONTH(C899)/100),TC!$5:$37,DAY(C899)+2,FALSE),VLOOKUP(E899,Equivalencia!$5:$23,((MAX(Equivalencia!$3:$3)-YEAR(C899))*14)+MONTH(C899)+2,FALSE)))</f>
        <v>1</v>
      </c>
      <c r="J899" s="178">
        <f t="shared" si="141"/>
        <v>264.5</v>
      </c>
      <c r="K899" s="462">
        <f>IF(C899=0,0,VLOOKUP(YEAR(C899),INPC!$B$4:$O$29,MONTH(C899)+1))</f>
        <v>123.803</v>
      </c>
      <c r="L899" s="462">
        <f>IF(S899=0,0,VLOOKUP(YEAR(S899),INPC!$B$4:$O$29,MONTH(S899)+1))</f>
        <v>125.997</v>
      </c>
      <c r="M899" s="463">
        <f t="shared" si="144"/>
        <v>1.0177</v>
      </c>
      <c r="N899" s="465">
        <f t="shared" si="142"/>
        <v>269.18164999999999</v>
      </c>
      <c r="O899" s="179"/>
      <c r="P899" s="180">
        <v>3</v>
      </c>
      <c r="Q899" s="173" t="s">
        <v>583</v>
      </c>
      <c r="R899" s="173" t="s">
        <v>230</v>
      </c>
      <c r="S899" s="174">
        <v>44880</v>
      </c>
      <c r="T899" s="173" t="s">
        <v>33</v>
      </c>
      <c r="U899" s="182">
        <v>249.77915887850469</v>
      </c>
      <c r="V899" s="177">
        <f>IF(U899=0,0,IF(T899="MXN",1/HLOOKUP(YEAR(S899)+(MONTH(S899)/100),TC!$5:$37,DAY(S899)+2,FALSE),VLOOKUP(T899,Equivalencia!$1:$23,((MAX(Equivalencia!$3:$3)-YEAR(S899))*14)+MONTH(S899)+2,FALSE)))</f>
        <v>1</v>
      </c>
      <c r="W899" s="178">
        <f t="shared" ref="W899:W962" si="149">+V899*U899</f>
        <v>249.77915887850469</v>
      </c>
      <c r="X899" s="481">
        <f t="shared" si="145"/>
        <v>-14.720841121495312</v>
      </c>
      <c r="Y899" s="179"/>
      <c r="Z899" s="466">
        <f t="shared" si="146"/>
        <v>269.18164999999999</v>
      </c>
      <c r="AA899" s="473">
        <f t="shared" si="147"/>
        <v>-19.402491121495302</v>
      </c>
      <c r="AB899" s="339">
        <f t="shared" si="148"/>
        <v>-5.5655353956504006E-2</v>
      </c>
    </row>
    <row r="900" spans="2:28" ht="20.100000000000001" customHeight="1">
      <c r="B900" s="172">
        <v>1175000</v>
      </c>
      <c r="C900" s="174">
        <v>44804</v>
      </c>
      <c r="D900" s="181" t="s">
        <v>188</v>
      </c>
      <c r="E900" s="173" t="s">
        <v>33</v>
      </c>
      <c r="F900" s="176">
        <v>175.86</v>
      </c>
      <c r="G900" s="175">
        <f t="shared" si="140"/>
        <v>2</v>
      </c>
      <c r="H900" s="175">
        <f t="shared" si="143"/>
        <v>175.86</v>
      </c>
      <c r="I900" s="177">
        <f>IF(G900=0,0,IF(E900="MXN",1/HLOOKUP(YEAR(C900)+(MONTH(C900)/100),TC!$5:$37,DAY(C900)+2,FALSE),VLOOKUP(E900,Equivalencia!$5:$23,((MAX(Equivalencia!$3:$3)-YEAR(C900))*14)+MONTH(C900)+2,FALSE)))</f>
        <v>1</v>
      </c>
      <c r="J900" s="178">
        <f t="shared" si="141"/>
        <v>175.86</v>
      </c>
      <c r="K900" s="462">
        <f>IF(C900=0,0,VLOOKUP(YEAR(C900),INPC!$B$4:$O$29,MONTH(C900)+1))</f>
        <v>123.803</v>
      </c>
      <c r="L900" s="462">
        <f>IF(S900=0,0,VLOOKUP(YEAR(S900),INPC!$B$4:$O$29,MONTH(S900)+1))</f>
        <v>125.997</v>
      </c>
      <c r="M900" s="463">
        <f t="shared" si="144"/>
        <v>1.0177</v>
      </c>
      <c r="N900" s="465">
        <f t="shared" si="142"/>
        <v>178.97272200000003</v>
      </c>
      <c r="O900" s="179"/>
      <c r="P900" s="180">
        <v>2</v>
      </c>
      <c r="Q900" s="173" t="s">
        <v>583</v>
      </c>
      <c r="R900" s="173" t="s">
        <v>230</v>
      </c>
      <c r="S900" s="174">
        <v>44880</v>
      </c>
      <c r="T900" s="173" t="s">
        <v>33</v>
      </c>
      <c r="U900" s="182">
        <v>166.51943925233647</v>
      </c>
      <c r="V900" s="177">
        <f>IF(U900=0,0,IF(T900="MXN",1/HLOOKUP(YEAR(S900)+(MONTH(S900)/100),TC!$5:$37,DAY(S900)+2,FALSE),VLOOKUP(T900,Equivalencia!$1:$23,((MAX(Equivalencia!$3:$3)-YEAR(S900))*14)+MONTH(S900)+2,FALSE)))</f>
        <v>1</v>
      </c>
      <c r="W900" s="178">
        <f t="shared" si="149"/>
        <v>166.51943925233647</v>
      </c>
      <c r="X900" s="481">
        <f t="shared" si="145"/>
        <v>-9.3405607476635453</v>
      </c>
      <c r="Y900" s="179"/>
      <c r="Z900" s="466">
        <f t="shared" si="146"/>
        <v>178.97272200000003</v>
      </c>
      <c r="AA900" s="473">
        <f t="shared" si="147"/>
        <v>-12.453282747663565</v>
      </c>
      <c r="AB900" s="339">
        <f t="shared" si="148"/>
        <v>-5.3113617352800735E-2</v>
      </c>
    </row>
    <row r="901" spans="2:28" ht="20.100000000000001" customHeight="1">
      <c r="B901" s="172">
        <v>1175000</v>
      </c>
      <c r="C901" s="174">
        <v>44804</v>
      </c>
      <c r="D901" s="181" t="s">
        <v>188</v>
      </c>
      <c r="E901" s="173" t="s">
        <v>33</v>
      </c>
      <c r="F901" s="176">
        <v>4848.3991525423735</v>
      </c>
      <c r="G901" s="175">
        <f t="shared" si="140"/>
        <v>55</v>
      </c>
      <c r="H901" s="175">
        <f t="shared" si="143"/>
        <v>4848.3991525423735</v>
      </c>
      <c r="I901" s="177">
        <f>IF(G901=0,0,IF(E901="MXN",1/HLOOKUP(YEAR(C901)+(MONTH(C901)/100),TC!$5:$37,DAY(C901)+2,FALSE),VLOOKUP(E901,Equivalencia!$5:$23,((MAX(Equivalencia!$3:$3)-YEAR(C901))*14)+MONTH(C901)+2,FALSE)))</f>
        <v>1</v>
      </c>
      <c r="J901" s="178">
        <f t="shared" si="141"/>
        <v>4848.3991525423735</v>
      </c>
      <c r="K901" s="462">
        <f>IF(C901=0,0,VLOOKUP(YEAR(C901),INPC!$B$4:$O$29,MONTH(C901)+1))</f>
        <v>123.803</v>
      </c>
      <c r="L901" s="462">
        <f>IF(S901=0,0,VLOOKUP(YEAR(S901),INPC!$B$4:$O$29,MONTH(S901)+1))</f>
        <v>125.997</v>
      </c>
      <c r="M901" s="463">
        <f t="shared" si="144"/>
        <v>1.0177</v>
      </c>
      <c r="N901" s="465">
        <f t="shared" si="142"/>
        <v>4934.2158175423738</v>
      </c>
      <c r="O901" s="179"/>
      <c r="P901" s="180">
        <v>55</v>
      </c>
      <c r="Q901" s="173" t="s">
        <v>583</v>
      </c>
      <c r="R901" s="173" t="s">
        <v>230</v>
      </c>
      <c r="S901" s="174">
        <v>44880</v>
      </c>
      <c r="T901" s="173" t="s">
        <v>33</v>
      </c>
      <c r="U901" s="182">
        <v>4579.2845794392533</v>
      </c>
      <c r="V901" s="177">
        <f>IF(U901=0,0,IF(T901="MXN",1/HLOOKUP(YEAR(S901)+(MONTH(S901)/100),TC!$5:$37,DAY(S901)+2,FALSE),VLOOKUP(T901,Equivalencia!$1:$23,((MAX(Equivalencia!$3:$3)-YEAR(S901))*14)+MONTH(S901)+2,FALSE)))</f>
        <v>1</v>
      </c>
      <c r="W901" s="178">
        <f t="shared" si="149"/>
        <v>4579.2845794392533</v>
      </c>
      <c r="X901" s="481">
        <f t="shared" si="145"/>
        <v>-269.11457310312016</v>
      </c>
      <c r="Y901" s="179"/>
      <c r="Z901" s="466">
        <f t="shared" si="146"/>
        <v>4934.2158175423738</v>
      </c>
      <c r="AA901" s="473">
        <f t="shared" si="147"/>
        <v>-354.93123810312045</v>
      </c>
      <c r="AB901" s="339">
        <f t="shared" si="148"/>
        <v>-5.5505861756865338E-2</v>
      </c>
    </row>
    <row r="902" spans="2:28" ht="20.100000000000001" customHeight="1">
      <c r="B902" s="172">
        <v>1175000</v>
      </c>
      <c r="C902" s="174">
        <v>44804</v>
      </c>
      <c r="D902" s="181" t="s">
        <v>188</v>
      </c>
      <c r="E902" s="173" t="s">
        <v>33</v>
      </c>
      <c r="F902" s="176">
        <v>352.61084745762713</v>
      </c>
      <c r="G902" s="175">
        <f t="shared" ref="G902:G965" si="150">+P902</f>
        <v>4</v>
      </c>
      <c r="H902" s="175">
        <f t="shared" si="143"/>
        <v>352.61084745762713</v>
      </c>
      <c r="I902" s="177">
        <f>IF(G902=0,0,IF(E902="MXN",1/HLOOKUP(YEAR(C902)+(MONTH(C902)/100),TC!$5:$37,DAY(C902)+2,FALSE),VLOOKUP(E902,Equivalencia!$5:$23,((MAX(Equivalencia!$3:$3)-YEAR(C902))*14)+MONTH(C902)+2,FALSE)))</f>
        <v>1</v>
      </c>
      <c r="J902" s="178">
        <f t="shared" ref="J902:J965" si="151">+H902*I902</f>
        <v>352.61084745762713</v>
      </c>
      <c r="K902" s="462">
        <f>IF(C902=0,0,VLOOKUP(YEAR(C902),INPC!$B$4:$O$29,MONTH(C902)+1))</f>
        <v>123.803</v>
      </c>
      <c r="L902" s="462">
        <f>IF(S902=0,0,VLOOKUP(YEAR(S902),INPC!$B$4:$O$29,MONTH(S902)+1))</f>
        <v>125.997</v>
      </c>
      <c r="M902" s="463">
        <f t="shared" si="144"/>
        <v>1.0177</v>
      </c>
      <c r="N902" s="465">
        <f t="shared" ref="N902:N965" si="152">+M902*J902</f>
        <v>358.85205945762715</v>
      </c>
      <c r="O902" s="179"/>
      <c r="P902" s="180">
        <v>4</v>
      </c>
      <c r="Q902" s="173" t="s">
        <v>583</v>
      </c>
      <c r="R902" s="173" t="s">
        <v>230</v>
      </c>
      <c r="S902" s="174">
        <v>44887</v>
      </c>
      <c r="T902" s="173" t="s">
        <v>33</v>
      </c>
      <c r="U902" s="182">
        <v>310.14716049382713</v>
      </c>
      <c r="V902" s="177">
        <f>IF(U902=0,0,IF(T902="MXN",1/HLOOKUP(YEAR(S902)+(MONTH(S902)/100),TC!$5:$37,DAY(S902)+2,FALSE),VLOOKUP(T902,Equivalencia!$1:$23,((MAX(Equivalencia!$3:$3)-YEAR(S902))*14)+MONTH(S902)+2,FALSE)))</f>
        <v>1</v>
      </c>
      <c r="W902" s="178">
        <f t="shared" si="149"/>
        <v>310.14716049382713</v>
      </c>
      <c r="X902" s="481">
        <f t="shared" si="145"/>
        <v>-42.463686963800001</v>
      </c>
      <c r="Y902" s="179"/>
      <c r="Z902" s="466">
        <f t="shared" si="146"/>
        <v>358.85205945762715</v>
      </c>
      <c r="AA902" s="473">
        <f t="shared" si="147"/>
        <v>-48.704898963800019</v>
      </c>
      <c r="AB902" s="339">
        <f t="shared" si="148"/>
        <v>-0.12042649076161172</v>
      </c>
    </row>
    <row r="903" spans="2:28" ht="20.100000000000001" customHeight="1">
      <c r="B903" s="172">
        <v>1175000</v>
      </c>
      <c r="C903" s="174">
        <v>44804</v>
      </c>
      <c r="D903" s="181" t="s">
        <v>188</v>
      </c>
      <c r="E903" s="173" t="s">
        <v>33</v>
      </c>
      <c r="F903" s="176">
        <v>352.65</v>
      </c>
      <c r="G903" s="175">
        <f t="shared" si="150"/>
        <v>4</v>
      </c>
      <c r="H903" s="175">
        <f t="shared" si="143"/>
        <v>352.65</v>
      </c>
      <c r="I903" s="177">
        <f>IF(G903=0,0,IF(E903="MXN",1/HLOOKUP(YEAR(C903)+(MONTH(C903)/100),TC!$5:$37,DAY(C903)+2,FALSE),VLOOKUP(E903,Equivalencia!$5:$23,((MAX(Equivalencia!$3:$3)-YEAR(C903))*14)+MONTH(C903)+2,FALSE)))</f>
        <v>1</v>
      </c>
      <c r="J903" s="178">
        <f t="shared" si="151"/>
        <v>352.65</v>
      </c>
      <c r="K903" s="462">
        <f>IF(C903=0,0,VLOOKUP(YEAR(C903),INPC!$B$4:$O$29,MONTH(C903)+1))</f>
        <v>123.803</v>
      </c>
      <c r="L903" s="462">
        <f>IF(S903=0,0,VLOOKUP(YEAR(S903),INPC!$B$4:$O$29,MONTH(S903)+1))</f>
        <v>125.997</v>
      </c>
      <c r="M903" s="463">
        <f t="shared" si="144"/>
        <v>1.0177</v>
      </c>
      <c r="N903" s="465">
        <f t="shared" si="152"/>
        <v>358.89190500000001</v>
      </c>
      <c r="O903" s="179"/>
      <c r="P903" s="180">
        <v>4</v>
      </c>
      <c r="Q903" s="173" t="s">
        <v>583</v>
      </c>
      <c r="R903" s="173" t="s">
        <v>230</v>
      </c>
      <c r="S903" s="174">
        <v>44887</v>
      </c>
      <c r="T903" s="173" t="s">
        <v>33</v>
      </c>
      <c r="U903" s="182">
        <v>310.14716049382713</v>
      </c>
      <c r="V903" s="177">
        <f>IF(U903=0,0,IF(T903="MXN",1/HLOOKUP(YEAR(S903)+(MONTH(S903)/100),TC!$5:$37,DAY(S903)+2,FALSE),VLOOKUP(T903,Equivalencia!$1:$23,((MAX(Equivalencia!$3:$3)-YEAR(S903))*14)+MONTH(S903)+2,FALSE)))</f>
        <v>1</v>
      </c>
      <c r="W903" s="178">
        <f t="shared" si="149"/>
        <v>310.14716049382713</v>
      </c>
      <c r="X903" s="481">
        <f t="shared" si="145"/>
        <v>-42.502839506172847</v>
      </c>
      <c r="Y903" s="179"/>
      <c r="Z903" s="466">
        <f t="shared" si="146"/>
        <v>358.89190500000001</v>
      </c>
      <c r="AA903" s="473">
        <f t="shared" si="147"/>
        <v>-48.744744506172879</v>
      </c>
      <c r="AB903" s="339">
        <f t="shared" si="148"/>
        <v>-0.12052414435324788</v>
      </c>
    </row>
    <row r="904" spans="2:28" ht="20.100000000000001" customHeight="1">
      <c r="B904" s="172">
        <v>1175000</v>
      </c>
      <c r="C904" s="174">
        <v>44804</v>
      </c>
      <c r="D904" s="181" t="s">
        <v>188</v>
      </c>
      <c r="E904" s="173" t="s">
        <v>33</v>
      </c>
      <c r="F904" s="176">
        <v>176.31</v>
      </c>
      <c r="G904" s="175">
        <f t="shared" si="150"/>
        <v>2</v>
      </c>
      <c r="H904" s="175">
        <f t="shared" si="143"/>
        <v>176.31</v>
      </c>
      <c r="I904" s="177">
        <f>IF(G904=0,0,IF(E904="MXN",1/HLOOKUP(YEAR(C904)+(MONTH(C904)/100),TC!$5:$37,DAY(C904)+2,FALSE),VLOOKUP(E904,Equivalencia!$5:$23,((MAX(Equivalencia!$3:$3)-YEAR(C904))*14)+MONTH(C904)+2,FALSE)))</f>
        <v>1</v>
      </c>
      <c r="J904" s="178">
        <f t="shared" si="151"/>
        <v>176.31</v>
      </c>
      <c r="K904" s="462">
        <f>IF(C904=0,0,VLOOKUP(YEAR(C904),INPC!$B$4:$O$29,MONTH(C904)+1))</f>
        <v>123.803</v>
      </c>
      <c r="L904" s="462">
        <f>IF(S904=0,0,VLOOKUP(YEAR(S904),INPC!$B$4:$O$29,MONTH(S904)+1))</f>
        <v>125.997</v>
      </c>
      <c r="M904" s="463">
        <f t="shared" si="144"/>
        <v>1.0177</v>
      </c>
      <c r="N904" s="465">
        <f t="shared" si="152"/>
        <v>179.43068700000001</v>
      </c>
      <c r="O904" s="179"/>
      <c r="P904" s="180">
        <v>2</v>
      </c>
      <c r="Q904" s="173" t="s">
        <v>583</v>
      </c>
      <c r="R904" s="173" t="s">
        <v>230</v>
      </c>
      <c r="S904" s="174">
        <v>44887</v>
      </c>
      <c r="T904" s="173" t="s">
        <v>33</v>
      </c>
      <c r="U904" s="182">
        <v>155.07358024691356</v>
      </c>
      <c r="V904" s="177">
        <f>IF(U904=0,0,IF(T904="MXN",1/HLOOKUP(YEAR(S904)+(MONTH(S904)/100),TC!$5:$37,DAY(S904)+2,FALSE),VLOOKUP(T904,Equivalencia!$1:$23,((MAX(Equivalencia!$3:$3)-YEAR(S904))*14)+MONTH(S904)+2,FALSE)))</f>
        <v>1</v>
      </c>
      <c r="W904" s="178">
        <f t="shared" si="149"/>
        <v>155.07358024691356</v>
      </c>
      <c r="X904" s="481">
        <f t="shared" si="145"/>
        <v>-21.236419753086437</v>
      </c>
      <c r="Y904" s="179"/>
      <c r="Z904" s="466">
        <f t="shared" si="146"/>
        <v>179.43068700000001</v>
      </c>
      <c r="AA904" s="473">
        <f t="shared" si="147"/>
        <v>-24.357106753086441</v>
      </c>
      <c r="AB904" s="339">
        <f t="shared" si="148"/>
        <v>-0.12044932081609916</v>
      </c>
    </row>
    <row r="905" spans="2:28" ht="20.100000000000001" customHeight="1">
      <c r="B905" s="172">
        <v>1175000</v>
      </c>
      <c r="C905" s="174">
        <v>44817</v>
      </c>
      <c r="D905" s="181" t="s">
        <v>188</v>
      </c>
      <c r="E905" s="173" t="s">
        <v>33</v>
      </c>
      <c r="F905" s="176">
        <v>181.75</v>
      </c>
      <c r="G905" s="175">
        <f t="shared" si="150"/>
        <v>2</v>
      </c>
      <c r="H905" s="175">
        <f t="shared" si="143"/>
        <v>181.75</v>
      </c>
      <c r="I905" s="177">
        <f>IF(G905=0,0,IF(E905="MXN",1/HLOOKUP(YEAR(C905)+(MONTH(C905)/100),TC!$5:$37,DAY(C905)+2,FALSE),VLOOKUP(E905,Equivalencia!$5:$23,((MAX(Equivalencia!$3:$3)-YEAR(C905))*14)+MONTH(C905)+2,FALSE)))</f>
        <v>1</v>
      </c>
      <c r="J905" s="178">
        <f t="shared" si="151"/>
        <v>181.75</v>
      </c>
      <c r="K905" s="462">
        <f>IF(C905=0,0,VLOOKUP(YEAR(C905),INPC!$B$4:$O$29,MONTH(C905)+1))</f>
        <v>124.571</v>
      </c>
      <c r="L905" s="462">
        <f>IF(S905=0,0,VLOOKUP(YEAR(S905),INPC!$B$4:$O$29,MONTH(S905)+1))</f>
        <v>125.997</v>
      </c>
      <c r="M905" s="463">
        <f t="shared" si="144"/>
        <v>1.0114000000000001</v>
      </c>
      <c r="N905" s="465">
        <f t="shared" si="152"/>
        <v>183.82195000000002</v>
      </c>
      <c r="O905" s="179"/>
      <c r="P905" s="180">
        <v>2</v>
      </c>
      <c r="Q905" s="173" t="s">
        <v>583</v>
      </c>
      <c r="R905" s="173" t="s">
        <v>230</v>
      </c>
      <c r="S905" s="174">
        <v>44887</v>
      </c>
      <c r="T905" s="173" t="s">
        <v>33</v>
      </c>
      <c r="U905" s="182">
        <v>155.07358024691356</v>
      </c>
      <c r="V905" s="177">
        <f>IF(U905=0,0,IF(T905="MXN",1/HLOOKUP(YEAR(S905)+(MONTH(S905)/100),TC!$5:$37,DAY(S905)+2,FALSE),VLOOKUP(T905,Equivalencia!$1:$23,((MAX(Equivalencia!$3:$3)-YEAR(S905))*14)+MONTH(S905)+2,FALSE)))</f>
        <v>1</v>
      </c>
      <c r="W905" s="178">
        <f t="shared" si="149"/>
        <v>155.07358024691356</v>
      </c>
      <c r="X905" s="481">
        <f t="shared" si="145"/>
        <v>-26.676419753086435</v>
      </c>
      <c r="Y905" s="179"/>
      <c r="Z905" s="466">
        <f t="shared" si="146"/>
        <v>183.82195000000002</v>
      </c>
      <c r="AA905" s="473">
        <f t="shared" si="147"/>
        <v>-28.74836975308645</v>
      </c>
      <c r="AB905" s="339">
        <f t="shared" si="148"/>
        <v>-0.14677534939799963</v>
      </c>
    </row>
    <row r="906" spans="2:28" ht="20.100000000000001" customHeight="1">
      <c r="B906" s="172">
        <v>1175000</v>
      </c>
      <c r="C906" s="174">
        <v>44817</v>
      </c>
      <c r="D906" s="181" t="s">
        <v>188</v>
      </c>
      <c r="E906" s="173" t="s">
        <v>33</v>
      </c>
      <c r="F906" s="176">
        <v>10535.96</v>
      </c>
      <c r="G906" s="175">
        <f t="shared" si="150"/>
        <v>116</v>
      </c>
      <c r="H906" s="175">
        <f t="shared" si="143"/>
        <v>10535.96</v>
      </c>
      <c r="I906" s="177">
        <f>IF(G906=0,0,IF(E906="MXN",1/HLOOKUP(YEAR(C906)+(MONTH(C906)/100),TC!$5:$37,DAY(C906)+2,FALSE),VLOOKUP(E906,Equivalencia!$5:$23,((MAX(Equivalencia!$3:$3)-YEAR(C906))*14)+MONTH(C906)+2,FALSE)))</f>
        <v>1</v>
      </c>
      <c r="J906" s="178">
        <f t="shared" si="151"/>
        <v>10535.96</v>
      </c>
      <c r="K906" s="462">
        <f>IF(C906=0,0,VLOOKUP(YEAR(C906),INPC!$B$4:$O$29,MONTH(C906)+1))</f>
        <v>124.571</v>
      </c>
      <c r="L906" s="462">
        <f>IF(S906=0,0,VLOOKUP(YEAR(S906),INPC!$B$4:$O$29,MONTH(S906)+1))</f>
        <v>125.997</v>
      </c>
      <c r="M906" s="463">
        <f t="shared" si="144"/>
        <v>1.0114000000000001</v>
      </c>
      <c r="N906" s="465">
        <f t="shared" si="152"/>
        <v>10656.069944000001</v>
      </c>
      <c r="O906" s="179"/>
      <c r="P906" s="180">
        <v>116</v>
      </c>
      <c r="Q906" s="173" t="s">
        <v>583</v>
      </c>
      <c r="R906" s="173" t="s">
        <v>230</v>
      </c>
      <c r="S906" s="174">
        <v>44887</v>
      </c>
      <c r="T906" s="173" t="s">
        <v>33</v>
      </c>
      <c r="U906" s="182">
        <v>8994.2676543209873</v>
      </c>
      <c r="V906" s="177">
        <f>IF(U906=0,0,IF(T906="MXN",1/HLOOKUP(YEAR(S906)+(MONTH(S906)/100),TC!$5:$37,DAY(S906)+2,FALSE),VLOOKUP(T906,Equivalencia!$1:$23,((MAX(Equivalencia!$3:$3)-YEAR(S906))*14)+MONTH(S906)+2,FALSE)))</f>
        <v>1</v>
      </c>
      <c r="W906" s="178">
        <f t="shared" si="149"/>
        <v>8994.2676543209873</v>
      </c>
      <c r="X906" s="481">
        <f t="shared" si="145"/>
        <v>-1541.6923456790119</v>
      </c>
      <c r="Y906" s="179"/>
      <c r="Z906" s="466">
        <f t="shared" si="146"/>
        <v>10656.069944000001</v>
      </c>
      <c r="AA906" s="473">
        <f t="shared" si="147"/>
        <v>-1661.8022896790135</v>
      </c>
      <c r="AB906" s="339">
        <f t="shared" si="148"/>
        <v>-0.14632670830935313</v>
      </c>
    </row>
    <row r="907" spans="2:28" ht="20.100000000000001" customHeight="1">
      <c r="B907" s="172">
        <v>1175000</v>
      </c>
      <c r="C907" s="174">
        <v>44833</v>
      </c>
      <c r="D907" s="181" t="s">
        <v>188</v>
      </c>
      <c r="E907" s="173" t="s">
        <v>33</v>
      </c>
      <c r="F907" s="176">
        <v>2793.4762666666666</v>
      </c>
      <c r="G907" s="175">
        <f t="shared" si="150"/>
        <v>34</v>
      </c>
      <c r="H907" s="175">
        <f t="shared" si="143"/>
        <v>2793.4762666666666</v>
      </c>
      <c r="I907" s="177">
        <f>IF(G907=0,0,IF(E907="MXN",1/HLOOKUP(YEAR(C907)+(MONTH(C907)/100),TC!$5:$37,DAY(C907)+2,FALSE),VLOOKUP(E907,Equivalencia!$5:$23,((MAX(Equivalencia!$3:$3)-YEAR(C907))*14)+MONTH(C907)+2,FALSE)))</f>
        <v>1</v>
      </c>
      <c r="J907" s="178">
        <f t="shared" si="151"/>
        <v>2793.4762666666666</v>
      </c>
      <c r="K907" s="462">
        <f>IF(C907=0,0,VLOOKUP(YEAR(C907),INPC!$B$4:$O$29,MONTH(C907)+1))</f>
        <v>124.571</v>
      </c>
      <c r="L907" s="462">
        <f>IF(S907=0,0,VLOOKUP(YEAR(S907),INPC!$B$4:$O$29,MONTH(S907)+1))</f>
        <v>125.997</v>
      </c>
      <c r="M907" s="463">
        <f t="shared" si="144"/>
        <v>1.0114000000000001</v>
      </c>
      <c r="N907" s="465">
        <f t="shared" si="152"/>
        <v>2825.3218961066668</v>
      </c>
      <c r="O907" s="179"/>
      <c r="P907" s="180">
        <v>34</v>
      </c>
      <c r="Q907" s="173" t="s">
        <v>583</v>
      </c>
      <c r="R907" s="173" t="s">
        <v>230</v>
      </c>
      <c r="S907" s="174">
        <v>44887</v>
      </c>
      <c r="T907" s="173" t="s">
        <v>33</v>
      </c>
      <c r="U907" s="182">
        <v>2636.2508641975305</v>
      </c>
      <c r="V907" s="177">
        <f>IF(U907=0,0,IF(T907="MXN",1/HLOOKUP(YEAR(S907)+(MONTH(S907)/100),TC!$5:$37,DAY(S907)+2,FALSE),VLOOKUP(T907,Equivalencia!$1:$23,((MAX(Equivalencia!$3:$3)-YEAR(S907))*14)+MONTH(S907)+2,FALSE)))</f>
        <v>1</v>
      </c>
      <c r="W907" s="178">
        <f t="shared" si="149"/>
        <v>2636.2508641975305</v>
      </c>
      <c r="X907" s="481">
        <f t="shared" si="145"/>
        <v>-157.22540246913604</v>
      </c>
      <c r="Y907" s="179"/>
      <c r="Z907" s="466">
        <f t="shared" si="146"/>
        <v>2825.3218961066668</v>
      </c>
      <c r="AA907" s="473">
        <f t="shared" si="147"/>
        <v>-189.07103190913631</v>
      </c>
      <c r="AB907" s="339">
        <f t="shared" si="148"/>
        <v>-5.6283063631231922E-2</v>
      </c>
    </row>
    <row r="908" spans="2:28" ht="20.100000000000001" customHeight="1">
      <c r="B908" s="172">
        <v>1175000</v>
      </c>
      <c r="C908" s="174">
        <v>44833</v>
      </c>
      <c r="D908" s="181" t="s">
        <v>188</v>
      </c>
      <c r="E908" s="173" t="s">
        <v>33</v>
      </c>
      <c r="F908" s="176">
        <v>3368.6037333333334</v>
      </c>
      <c r="G908" s="175">
        <f t="shared" si="150"/>
        <v>41</v>
      </c>
      <c r="H908" s="175">
        <f t="shared" si="143"/>
        <v>3368.6037333333334</v>
      </c>
      <c r="I908" s="177">
        <f>IF(G908=0,0,IF(E908="MXN",1/HLOOKUP(YEAR(C908)+(MONTH(C908)/100),TC!$5:$37,DAY(C908)+2,FALSE),VLOOKUP(E908,Equivalencia!$5:$23,((MAX(Equivalencia!$3:$3)-YEAR(C908))*14)+MONTH(C908)+2,FALSE)))</f>
        <v>1</v>
      </c>
      <c r="J908" s="178">
        <f t="shared" si="151"/>
        <v>3368.6037333333334</v>
      </c>
      <c r="K908" s="462">
        <f>IF(C908=0,0,VLOOKUP(YEAR(C908),INPC!$B$4:$O$29,MONTH(C908)+1))</f>
        <v>124.571</v>
      </c>
      <c r="L908" s="462">
        <f>IF(S908=0,0,VLOOKUP(YEAR(S908),INPC!$B$4:$O$29,MONTH(S908)+1))</f>
        <v>125.997</v>
      </c>
      <c r="M908" s="463">
        <f t="shared" si="144"/>
        <v>1.0114000000000001</v>
      </c>
      <c r="N908" s="465">
        <f t="shared" si="152"/>
        <v>3407.0058158933334</v>
      </c>
      <c r="O908" s="179"/>
      <c r="P908" s="180">
        <v>41</v>
      </c>
      <c r="Q908" s="173" t="s">
        <v>583</v>
      </c>
      <c r="R908" s="173" t="s">
        <v>230</v>
      </c>
      <c r="S908" s="174">
        <v>44887</v>
      </c>
      <c r="T908" s="173" t="s">
        <v>33</v>
      </c>
      <c r="U908" s="182">
        <v>3149.3330000000001</v>
      </c>
      <c r="V908" s="177">
        <f>IF(U908=0,0,IF(T908="MXN",1/HLOOKUP(YEAR(S908)+(MONTH(S908)/100),TC!$5:$37,DAY(S908)+2,FALSE),VLOOKUP(T908,Equivalencia!$1:$23,((MAX(Equivalencia!$3:$3)-YEAR(S908))*14)+MONTH(S908)+2,FALSE)))</f>
        <v>1</v>
      </c>
      <c r="W908" s="178">
        <f t="shared" si="149"/>
        <v>3149.3330000000001</v>
      </c>
      <c r="X908" s="481">
        <f t="shared" si="145"/>
        <v>-219.27073333333328</v>
      </c>
      <c r="Y908" s="179"/>
      <c r="Z908" s="466">
        <f t="shared" si="146"/>
        <v>3407.0058158933334</v>
      </c>
      <c r="AA908" s="473">
        <f t="shared" si="147"/>
        <v>-257.67281589333334</v>
      </c>
      <c r="AB908" s="339">
        <f t="shared" si="148"/>
        <v>-6.5092468776776657E-2</v>
      </c>
    </row>
    <row r="909" spans="2:28" ht="20.100000000000001" customHeight="1">
      <c r="B909" s="172">
        <v>1175000</v>
      </c>
      <c r="C909" s="174">
        <v>44833</v>
      </c>
      <c r="D909" s="181" t="s">
        <v>188</v>
      </c>
      <c r="E909" s="173" t="s">
        <v>33</v>
      </c>
      <c r="F909" s="176">
        <v>993.82000000000016</v>
      </c>
      <c r="G909" s="175">
        <f t="shared" si="150"/>
        <v>12</v>
      </c>
      <c r="H909" s="175">
        <f t="shared" si="143"/>
        <v>993.82000000000016</v>
      </c>
      <c r="I909" s="177">
        <f>IF(G909=0,0,IF(E909="MXN",1/HLOOKUP(YEAR(C909)+(MONTH(C909)/100),TC!$5:$37,DAY(C909)+2,FALSE),VLOOKUP(E909,Equivalencia!$5:$23,((MAX(Equivalencia!$3:$3)-YEAR(C909))*14)+MONTH(C909)+2,FALSE)))</f>
        <v>1</v>
      </c>
      <c r="J909" s="178">
        <f t="shared" si="151"/>
        <v>993.82000000000016</v>
      </c>
      <c r="K909" s="462">
        <f>IF(C909=0,0,VLOOKUP(YEAR(C909),INPC!$B$4:$O$29,MONTH(C909)+1))</f>
        <v>124.571</v>
      </c>
      <c r="L909" s="462">
        <f>IF(S909=0,0,VLOOKUP(YEAR(S909),INPC!$B$4:$O$29,MONTH(S909)+1))</f>
        <v>125.997</v>
      </c>
      <c r="M909" s="463">
        <f t="shared" si="144"/>
        <v>1.0114000000000001</v>
      </c>
      <c r="N909" s="465">
        <f t="shared" si="152"/>
        <v>1005.1495480000002</v>
      </c>
      <c r="O909" s="179"/>
      <c r="P909" s="180">
        <v>12</v>
      </c>
      <c r="Q909" s="173" t="s">
        <v>583</v>
      </c>
      <c r="R909" s="173" t="s">
        <v>230</v>
      </c>
      <c r="S909" s="174">
        <v>44887</v>
      </c>
      <c r="T909" s="173" t="s">
        <v>33</v>
      </c>
      <c r="U909" s="182">
        <v>921.75600000000009</v>
      </c>
      <c r="V909" s="177">
        <f>IF(U909=0,0,IF(T909="MXN",1/HLOOKUP(YEAR(S909)+(MONTH(S909)/100),TC!$5:$37,DAY(S909)+2,FALSE),VLOOKUP(T909,Equivalencia!$1:$23,((MAX(Equivalencia!$3:$3)-YEAR(S909))*14)+MONTH(S909)+2,FALSE)))</f>
        <v>1</v>
      </c>
      <c r="W909" s="178">
        <f t="shared" si="149"/>
        <v>921.75600000000009</v>
      </c>
      <c r="X909" s="481">
        <f t="shared" si="145"/>
        <v>-72.064000000000078</v>
      </c>
      <c r="Y909" s="179"/>
      <c r="Z909" s="466">
        <f t="shared" si="146"/>
        <v>1005.1495480000002</v>
      </c>
      <c r="AA909" s="473">
        <f t="shared" si="147"/>
        <v>-83.393548000000123</v>
      </c>
      <c r="AB909" s="339">
        <f t="shared" si="148"/>
        <v>-7.2512124932080368E-2</v>
      </c>
    </row>
    <row r="910" spans="2:28" ht="20.100000000000001" customHeight="1">
      <c r="B910" s="172">
        <v>1175000</v>
      </c>
      <c r="C910" s="174">
        <v>44852</v>
      </c>
      <c r="D910" s="181" t="s">
        <v>188</v>
      </c>
      <c r="E910" s="173" t="s">
        <v>33</v>
      </c>
      <c r="F910" s="176">
        <v>168.83</v>
      </c>
      <c r="G910" s="175">
        <f t="shared" si="150"/>
        <v>2</v>
      </c>
      <c r="H910" s="175">
        <f t="shared" si="143"/>
        <v>168.83</v>
      </c>
      <c r="I910" s="177">
        <f>IF(G910=0,0,IF(E910="MXN",1/HLOOKUP(YEAR(C910)+(MONTH(C910)/100),TC!$5:$37,DAY(C910)+2,FALSE),VLOOKUP(E910,Equivalencia!$5:$23,((MAX(Equivalencia!$3:$3)-YEAR(C910))*14)+MONTH(C910)+2,FALSE)))</f>
        <v>1</v>
      </c>
      <c r="J910" s="178">
        <f t="shared" si="151"/>
        <v>168.83</v>
      </c>
      <c r="K910" s="462">
        <f>IF(C910=0,0,VLOOKUP(YEAR(C910),INPC!$B$4:$O$29,MONTH(C910)+1))</f>
        <v>125.276</v>
      </c>
      <c r="L910" s="462">
        <f>IF(S910=0,0,VLOOKUP(YEAR(S910),INPC!$B$4:$O$29,MONTH(S910)+1))</f>
        <v>125.997</v>
      </c>
      <c r="M910" s="463">
        <f t="shared" si="144"/>
        <v>1.0057</v>
      </c>
      <c r="N910" s="465">
        <f t="shared" si="152"/>
        <v>169.79233100000002</v>
      </c>
      <c r="O910" s="179"/>
      <c r="P910" s="180">
        <v>2</v>
      </c>
      <c r="Q910" s="173" t="s">
        <v>583</v>
      </c>
      <c r="R910" s="173" t="s">
        <v>230</v>
      </c>
      <c r="S910" s="174">
        <v>44887</v>
      </c>
      <c r="T910" s="173" t="s">
        <v>33</v>
      </c>
      <c r="U910" s="182">
        <v>153.626</v>
      </c>
      <c r="V910" s="177">
        <f>IF(U910=0,0,IF(T910="MXN",1/HLOOKUP(YEAR(S910)+(MONTH(S910)/100),TC!$5:$37,DAY(S910)+2,FALSE),VLOOKUP(T910,Equivalencia!$1:$23,((MAX(Equivalencia!$3:$3)-YEAR(S910))*14)+MONTH(S910)+2,FALSE)))</f>
        <v>1</v>
      </c>
      <c r="W910" s="178">
        <f t="shared" si="149"/>
        <v>153.626</v>
      </c>
      <c r="X910" s="481">
        <f t="shared" si="145"/>
        <v>-15.204000000000008</v>
      </c>
      <c r="Y910" s="179"/>
      <c r="Z910" s="466">
        <f t="shared" si="146"/>
        <v>169.79233100000002</v>
      </c>
      <c r="AA910" s="473">
        <f t="shared" si="147"/>
        <v>-16.166331000000014</v>
      </c>
      <c r="AB910" s="339">
        <f t="shared" si="148"/>
        <v>-9.0055084996742307E-2</v>
      </c>
    </row>
    <row r="911" spans="2:28" ht="20.100000000000001" customHeight="1">
      <c r="B911" s="172">
        <v>1175000</v>
      </c>
      <c r="C911" s="174">
        <v>44852</v>
      </c>
      <c r="D911" s="181" t="s">
        <v>188</v>
      </c>
      <c r="E911" s="173" t="s">
        <v>33</v>
      </c>
      <c r="F911" s="176">
        <v>420.52870370370374</v>
      </c>
      <c r="G911" s="175">
        <f t="shared" si="150"/>
        <v>5</v>
      </c>
      <c r="H911" s="175">
        <f t="shared" si="143"/>
        <v>420.52870370370374</v>
      </c>
      <c r="I911" s="177">
        <f>IF(G911=0,0,IF(E911="MXN",1/HLOOKUP(YEAR(C911)+(MONTH(C911)/100),TC!$5:$37,DAY(C911)+2,FALSE),VLOOKUP(E911,Equivalencia!$5:$23,((MAX(Equivalencia!$3:$3)-YEAR(C911))*14)+MONTH(C911)+2,FALSE)))</f>
        <v>1</v>
      </c>
      <c r="J911" s="178">
        <f t="shared" si="151"/>
        <v>420.52870370370374</v>
      </c>
      <c r="K911" s="462">
        <f>IF(C911=0,0,VLOOKUP(YEAR(C911),INPC!$B$4:$O$29,MONTH(C911)+1))</f>
        <v>125.276</v>
      </c>
      <c r="L911" s="462">
        <f>IF(S911=0,0,VLOOKUP(YEAR(S911),INPC!$B$4:$O$29,MONTH(S911)+1))</f>
        <v>125.997</v>
      </c>
      <c r="M911" s="463">
        <f t="shared" si="144"/>
        <v>1.0057</v>
      </c>
      <c r="N911" s="465">
        <f t="shared" si="152"/>
        <v>422.92571731481485</v>
      </c>
      <c r="O911" s="179"/>
      <c r="P911" s="180">
        <v>5</v>
      </c>
      <c r="Q911" s="173" t="s">
        <v>583</v>
      </c>
      <c r="R911" s="173" t="s">
        <v>230</v>
      </c>
      <c r="S911" s="174">
        <v>44887</v>
      </c>
      <c r="T911" s="173" t="s">
        <v>33</v>
      </c>
      <c r="U911" s="182">
        <v>384.065</v>
      </c>
      <c r="V911" s="177">
        <f>IF(U911=0,0,IF(T911="MXN",1/HLOOKUP(YEAR(S911)+(MONTH(S911)/100),TC!$5:$37,DAY(S911)+2,FALSE),VLOOKUP(T911,Equivalencia!$1:$23,((MAX(Equivalencia!$3:$3)-YEAR(S911))*14)+MONTH(S911)+2,FALSE)))</f>
        <v>1</v>
      </c>
      <c r="W911" s="178">
        <f t="shared" si="149"/>
        <v>384.065</v>
      </c>
      <c r="X911" s="481">
        <f t="shared" si="145"/>
        <v>-36.463703703703743</v>
      </c>
      <c r="Y911" s="179"/>
      <c r="Z911" s="466">
        <f t="shared" si="146"/>
        <v>422.92571731481485</v>
      </c>
      <c r="AA911" s="473">
        <f t="shared" si="147"/>
        <v>-38.860717314814849</v>
      </c>
      <c r="AB911" s="339">
        <f t="shared" si="148"/>
        <v>-8.6709191031571931E-2</v>
      </c>
    </row>
    <row r="912" spans="2:28" ht="20.100000000000001" customHeight="1">
      <c r="B912" s="172">
        <v>1175000</v>
      </c>
      <c r="C912" s="174">
        <v>44852</v>
      </c>
      <c r="D912" s="181" t="s">
        <v>188</v>
      </c>
      <c r="E912" s="173" t="s">
        <v>33</v>
      </c>
      <c r="F912" s="176">
        <v>168.21148148148148</v>
      </c>
      <c r="G912" s="175">
        <f t="shared" si="150"/>
        <v>2</v>
      </c>
      <c r="H912" s="175">
        <f t="shared" si="143"/>
        <v>168.21148148148148</v>
      </c>
      <c r="I912" s="177">
        <f>IF(G912=0,0,IF(E912="MXN",1/HLOOKUP(YEAR(C912)+(MONTH(C912)/100),TC!$5:$37,DAY(C912)+2,FALSE),VLOOKUP(E912,Equivalencia!$5:$23,((MAX(Equivalencia!$3:$3)-YEAR(C912))*14)+MONTH(C912)+2,FALSE)))</f>
        <v>1</v>
      </c>
      <c r="J912" s="178">
        <f t="shared" si="151"/>
        <v>168.21148148148148</v>
      </c>
      <c r="K912" s="462">
        <f>IF(C912=0,0,VLOOKUP(YEAR(C912),INPC!$B$4:$O$29,MONTH(C912)+1))</f>
        <v>125.276</v>
      </c>
      <c r="L912" s="462">
        <f>IF(S912=0,0,VLOOKUP(YEAR(S912),INPC!$B$4:$O$29,MONTH(S912)+1))</f>
        <v>125.997</v>
      </c>
      <c r="M912" s="463">
        <f t="shared" si="144"/>
        <v>1.0057</v>
      </c>
      <c r="N912" s="465">
        <f t="shared" si="152"/>
        <v>169.17028692592592</v>
      </c>
      <c r="O912" s="179"/>
      <c r="P912" s="180">
        <v>2</v>
      </c>
      <c r="Q912" s="173" t="s">
        <v>583</v>
      </c>
      <c r="R912" s="173" t="s">
        <v>230</v>
      </c>
      <c r="S912" s="174">
        <v>44888</v>
      </c>
      <c r="T912" s="173" t="s">
        <v>33</v>
      </c>
      <c r="U912" s="182">
        <v>154.68</v>
      </c>
      <c r="V912" s="177">
        <f>IF(U912=0,0,IF(T912="MXN",1/HLOOKUP(YEAR(S912)+(MONTH(S912)/100),TC!$5:$37,DAY(S912)+2,FALSE),VLOOKUP(T912,Equivalencia!$1:$23,((MAX(Equivalencia!$3:$3)-YEAR(S912))*14)+MONTH(S912)+2,FALSE)))</f>
        <v>1</v>
      </c>
      <c r="W912" s="178">
        <f t="shared" si="149"/>
        <v>154.68</v>
      </c>
      <c r="X912" s="481">
        <f t="shared" si="145"/>
        <v>-13.531481481481478</v>
      </c>
      <c r="Y912" s="179"/>
      <c r="Z912" s="466">
        <f t="shared" si="146"/>
        <v>169.17028692592592</v>
      </c>
      <c r="AA912" s="473">
        <f t="shared" si="147"/>
        <v>-14.490286925925915</v>
      </c>
      <c r="AB912" s="339">
        <f t="shared" si="148"/>
        <v>-8.044326916513822E-2</v>
      </c>
    </row>
    <row r="913" spans="2:28" ht="20.100000000000001" customHeight="1">
      <c r="B913" s="172">
        <v>1175000</v>
      </c>
      <c r="C913" s="174">
        <v>44852</v>
      </c>
      <c r="D913" s="181" t="s">
        <v>188</v>
      </c>
      <c r="E913" s="173" t="s">
        <v>33</v>
      </c>
      <c r="F913" s="176">
        <v>504.63444444444445</v>
      </c>
      <c r="G913" s="175">
        <f t="shared" si="150"/>
        <v>6</v>
      </c>
      <c r="H913" s="175">
        <f t="shared" si="143"/>
        <v>504.63444444444445</v>
      </c>
      <c r="I913" s="177">
        <f>IF(G913=0,0,IF(E913="MXN",1/HLOOKUP(YEAR(C913)+(MONTH(C913)/100),TC!$5:$37,DAY(C913)+2,FALSE),VLOOKUP(E913,Equivalencia!$5:$23,((MAX(Equivalencia!$3:$3)-YEAR(C913))*14)+MONTH(C913)+2,FALSE)))</f>
        <v>1</v>
      </c>
      <c r="J913" s="178">
        <f t="shared" si="151"/>
        <v>504.63444444444445</v>
      </c>
      <c r="K913" s="462">
        <f>IF(C913=0,0,VLOOKUP(YEAR(C913),INPC!$B$4:$O$29,MONTH(C913)+1))</f>
        <v>125.276</v>
      </c>
      <c r="L913" s="462">
        <f>IF(S913=0,0,VLOOKUP(YEAR(S913),INPC!$B$4:$O$29,MONTH(S913)+1))</f>
        <v>125.997</v>
      </c>
      <c r="M913" s="463">
        <f t="shared" si="144"/>
        <v>1.0057</v>
      </c>
      <c r="N913" s="465">
        <f t="shared" si="152"/>
        <v>507.51086077777779</v>
      </c>
      <c r="O913" s="179"/>
      <c r="P913" s="180">
        <v>6</v>
      </c>
      <c r="Q913" s="173" t="s">
        <v>583</v>
      </c>
      <c r="R913" s="173" t="s">
        <v>230</v>
      </c>
      <c r="S913" s="174">
        <v>44894</v>
      </c>
      <c r="T913" s="173" t="s">
        <v>33</v>
      </c>
      <c r="U913" s="182">
        <v>458.08</v>
      </c>
      <c r="V913" s="177">
        <f>IF(U913=0,0,IF(T913="MXN",1/HLOOKUP(YEAR(S913)+(MONTH(S913)/100),TC!$5:$37,DAY(S913)+2,FALSE),VLOOKUP(T913,Equivalencia!$1:$23,((MAX(Equivalencia!$3:$3)-YEAR(S913))*14)+MONTH(S913)+2,FALSE)))</f>
        <v>1</v>
      </c>
      <c r="W913" s="178">
        <f t="shared" si="149"/>
        <v>458.08</v>
      </c>
      <c r="X913" s="481">
        <f t="shared" si="145"/>
        <v>-46.554444444444471</v>
      </c>
      <c r="Y913" s="179"/>
      <c r="Z913" s="466">
        <f t="shared" si="146"/>
        <v>507.51086077777779</v>
      </c>
      <c r="AA913" s="473">
        <f t="shared" si="147"/>
        <v>-49.430860777777809</v>
      </c>
      <c r="AB913" s="339">
        <f t="shared" si="148"/>
        <v>-9.2253798679352128E-2</v>
      </c>
    </row>
    <row r="914" spans="2:28" ht="20.100000000000001" customHeight="1">
      <c r="B914" s="172">
        <v>1175000</v>
      </c>
      <c r="C914" s="174">
        <v>44852</v>
      </c>
      <c r="D914" s="181" t="s">
        <v>188</v>
      </c>
      <c r="E914" s="173" t="s">
        <v>33</v>
      </c>
      <c r="F914" s="176">
        <v>1429.7975925925925</v>
      </c>
      <c r="G914" s="175">
        <f t="shared" si="150"/>
        <v>17</v>
      </c>
      <c r="H914" s="175">
        <f t="shared" si="143"/>
        <v>1429.7975925925925</v>
      </c>
      <c r="I914" s="177">
        <f>IF(G914=0,0,IF(E914="MXN",1/HLOOKUP(YEAR(C914)+(MONTH(C914)/100),TC!$5:$37,DAY(C914)+2,FALSE),VLOOKUP(E914,Equivalencia!$5:$23,((MAX(Equivalencia!$3:$3)-YEAR(C914))*14)+MONTH(C914)+2,FALSE)))</f>
        <v>1</v>
      </c>
      <c r="J914" s="178">
        <f t="shared" si="151"/>
        <v>1429.7975925925925</v>
      </c>
      <c r="K914" s="462">
        <f>IF(C914=0,0,VLOOKUP(YEAR(C914),INPC!$B$4:$O$29,MONTH(C914)+1))</f>
        <v>125.276</v>
      </c>
      <c r="L914" s="462">
        <f>IF(S914=0,0,VLOOKUP(YEAR(S914),INPC!$B$4:$O$29,MONTH(S914)+1))</f>
        <v>125.997</v>
      </c>
      <c r="M914" s="463">
        <f t="shared" si="144"/>
        <v>1.0057</v>
      </c>
      <c r="N914" s="465">
        <f t="shared" si="152"/>
        <v>1437.9474388703704</v>
      </c>
      <c r="O914" s="179"/>
      <c r="P914" s="180">
        <v>17</v>
      </c>
      <c r="Q914" s="173" t="s">
        <v>583</v>
      </c>
      <c r="R914" s="173" t="s">
        <v>230</v>
      </c>
      <c r="S914" s="174">
        <v>44894</v>
      </c>
      <c r="T914" s="173" t="s">
        <v>33</v>
      </c>
      <c r="U914" s="182">
        <v>1296.24</v>
      </c>
      <c r="V914" s="177">
        <f>IF(U914=0,0,IF(T914="MXN",1/HLOOKUP(YEAR(S914)+(MONTH(S914)/100),TC!$5:$37,DAY(S914)+2,FALSE),VLOOKUP(T914,Equivalencia!$1:$23,((MAX(Equivalencia!$3:$3)-YEAR(S914))*14)+MONTH(S914)+2,FALSE)))</f>
        <v>1</v>
      </c>
      <c r="W914" s="178">
        <f t="shared" si="149"/>
        <v>1296.24</v>
      </c>
      <c r="X914" s="481">
        <f t="shared" si="145"/>
        <v>-133.55759259259253</v>
      </c>
      <c r="Y914" s="179"/>
      <c r="Z914" s="466">
        <f t="shared" si="146"/>
        <v>1437.9474388703704</v>
      </c>
      <c r="AA914" s="473">
        <f t="shared" si="147"/>
        <v>-141.70743887037042</v>
      </c>
      <c r="AB914" s="339">
        <f t="shared" si="148"/>
        <v>-9.3410139508220968E-2</v>
      </c>
    </row>
    <row r="915" spans="2:28" ht="20.100000000000001" customHeight="1">
      <c r="B915" s="172">
        <v>1175000</v>
      </c>
      <c r="C915" s="174">
        <v>44852</v>
      </c>
      <c r="D915" s="181" t="s">
        <v>188</v>
      </c>
      <c r="E915" s="173" t="s">
        <v>33</v>
      </c>
      <c r="F915" s="176">
        <v>2018.5377777777778</v>
      </c>
      <c r="G915" s="175">
        <f t="shared" si="150"/>
        <v>24</v>
      </c>
      <c r="H915" s="175">
        <f t="shared" si="143"/>
        <v>2018.5377777777778</v>
      </c>
      <c r="I915" s="177">
        <f>IF(G915=0,0,IF(E915="MXN",1/HLOOKUP(YEAR(C915)+(MONTH(C915)/100),TC!$5:$37,DAY(C915)+2,FALSE),VLOOKUP(E915,Equivalencia!$5:$23,((MAX(Equivalencia!$3:$3)-YEAR(C915))*14)+MONTH(C915)+2,FALSE)))</f>
        <v>1</v>
      </c>
      <c r="J915" s="178">
        <f t="shared" si="151"/>
        <v>2018.5377777777778</v>
      </c>
      <c r="K915" s="462">
        <f>IF(C915=0,0,VLOOKUP(YEAR(C915),INPC!$B$4:$O$29,MONTH(C915)+1))</f>
        <v>125.276</v>
      </c>
      <c r="L915" s="462">
        <f>IF(S915=0,0,VLOOKUP(YEAR(S915),INPC!$B$4:$O$29,MONTH(S915)+1))</f>
        <v>125.997</v>
      </c>
      <c r="M915" s="463">
        <f t="shared" si="144"/>
        <v>1.0057</v>
      </c>
      <c r="N915" s="465">
        <f t="shared" si="152"/>
        <v>2030.0434431111112</v>
      </c>
      <c r="O915" s="179"/>
      <c r="P915" s="180">
        <v>24</v>
      </c>
      <c r="Q915" s="173" t="s">
        <v>583</v>
      </c>
      <c r="R915" s="173" t="s">
        <v>230</v>
      </c>
      <c r="S915" s="174">
        <v>44894</v>
      </c>
      <c r="T915" s="173" t="s">
        <v>33</v>
      </c>
      <c r="U915" s="182">
        <v>1831.1701694915255</v>
      </c>
      <c r="V915" s="177">
        <f>IF(U915=0,0,IF(T915="MXN",1/HLOOKUP(YEAR(S915)+(MONTH(S915)/100),TC!$5:$37,DAY(S915)+2,FALSE),VLOOKUP(T915,Equivalencia!$1:$23,((MAX(Equivalencia!$3:$3)-YEAR(S915))*14)+MONTH(S915)+2,FALSE)))</f>
        <v>1</v>
      </c>
      <c r="W915" s="178">
        <f t="shared" si="149"/>
        <v>1831.1701694915255</v>
      </c>
      <c r="X915" s="481">
        <f t="shared" si="145"/>
        <v>-187.36760828625233</v>
      </c>
      <c r="Y915" s="179"/>
      <c r="Z915" s="466">
        <f t="shared" si="146"/>
        <v>2030.0434431111112</v>
      </c>
      <c r="AA915" s="473">
        <f t="shared" si="147"/>
        <v>-198.87327361958569</v>
      </c>
      <c r="AB915" s="339">
        <f t="shared" si="148"/>
        <v>-9.282343404666249E-2</v>
      </c>
    </row>
    <row r="916" spans="2:28" ht="20.100000000000001" customHeight="1">
      <c r="B916" s="172">
        <v>1175000</v>
      </c>
      <c r="C916" s="174">
        <v>44852</v>
      </c>
      <c r="D916" s="181" t="s">
        <v>188</v>
      </c>
      <c r="E916" s="173" t="s">
        <v>33</v>
      </c>
      <c r="F916" s="176">
        <v>2700.36</v>
      </c>
      <c r="G916" s="175">
        <f t="shared" si="150"/>
        <v>32</v>
      </c>
      <c r="H916" s="175">
        <f t="shared" si="143"/>
        <v>2700.36</v>
      </c>
      <c r="I916" s="177">
        <f>IF(G916=0,0,IF(E916="MXN",1/HLOOKUP(YEAR(C916)+(MONTH(C916)/100),TC!$5:$37,DAY(C916)+2,FALSE),VLOOKUP(E916,Equivalencia!$5:$23,((MAX(Equivalencia!$3:$3)-YEAR(C916))*14)+MONTH(C916)+2,FALSE)))</f>
        <v>1</v>
      </c>
      <c r="J916" s="178">
        <f t="shared" si="151"/>
        <v>2700.36</v>
      </c>
      <c r="K916" s="462">
        <f>IF(C916=0,0,VLOOKUP(YEAR(C916),INPC!$B$4:$O$29,MONTH(C916)+1))</f>
        <v>125.276</v>
      </c>
      <c r="L916" s="462">
        <f>IF(S916=0,0,VLOOKUP(YEAR(S916),INPC!$B$4:$O$29,MONTH(S916)+1))</f>
        <v>125.997</v>
      </c>
      <c r="M916" s="463">
        <f t="shared" si="144"/>
        <v>1.0057</v>
      </c>
      <c r="N916" s="465">
        <f t="shared" si="152"/>
        <v>2715.7520520000003</v>
      </c>
      <c r="O916" s="179"/>
      <c r="P916" s="180">
        <v>32</v>
      </c>
      <c r="Q916" s="173" t="s">
        <v>583</v>
      </c>
      <c r="R916" s="173" t="s">
        <v>230</v>
      </c>
      <c r="S916" s="174">
        <v>44894</v>
      </c>
      <c r="T916" s="173" t="s">
        <v>33</v>
      </c>
      <c r="U916" s="182">
        <v>2441.5602259887005</v>
      </c>
      <c r="V916" s="177">
        <f>IF(U916=0,0,IF(T916="MXN",1/HLOOKUP(YEAR(S916)+(MONTH(S916)/100),TC!$5:$37,DAY(S916)+2,FALSE),VLOOKUP(T916,Equivalencia!$1:$23,((MAX(Equivalencia!$3:$3)-YEAR(S916))*14)+MONTH(S916)+2,FALSE)))</f>
        <v>1</v>
      </c>
      <c r="W916" s="178">
        <f t="shared" si="149"/>
        <v>2441.5602259887005</v>
      </c>
      <c r="X916" s="481">
        <f t="shared" si="145"/>
        <v>-258.79977401129963</v>
      </c>
      <c r="Y916" s="179"/>
      <c r="Z916" s="466">
        <f t="shared" si="146"/>
        <v>2715.7520520000003</v>
      </c>
      <c r="AA916" s="473">
        <f t="shared" si="147"/>
        <v>-274.19182601129978</v>
      </c>
      <c r="AB916" s="339">
        <f t="shared" si="148"/>
        <v>-9.5838989620383841E-2</v>
      </c>
    </row>
    <row r="917" spans="2:28" ht="20.100000000000001" customHeight="1">
      <c r="B917" s="172">
        <v>1175000</v>
      </c>
      <c r="C917" s="174">
        <v>44855</v>
      </c>
      <c r="D917" s="181" t="s">
        <v>188</v>
      </c>
      <c r="E917" s="173" t="s">
        <v>33</v>
      </c>
      <c r="F917" s="176">
        <v>9848.19</v>
      </c>
      <c r="G917" s="175">
        <f t="shared" si="150"/>
        <v>121</v>
      </c>
      <c r="H917" s="175">
        <f t="shared" si="143"/>
        <v>9848.19</v>
      </c>
      <c r="I917" s="177">
        <f>IF(G917=0,0,IF(E917="MXN",1/HLOOKUP(YEAR(C917)+(MONTH(C917)/100),TC!$5:$37,DAY(C917)+2,FALSE),VLOOKUP(E917,Equivalencia!$5:$23,((MAX(Equivalencia!$3:$3)-YEAR(C917))*14)+MONTH(C917)+2,FALSE)))</f>
        <v>1</v>
      </c>
      <c r="J917" s="178">
        <f t="shared" si="151"/>
        <v>9848.19</v>
      </c>
      <c r="K917" s="462">
        <f>IF(C917=0,0,VLOOKUP(YEAR(C917),INPC!$B$4:$O$29,MONTH(C917)+1))</f>
        <v>125.276</v>
      </c>
      <c r="L917" s="462">
        <f>IF(S917=0,0,VLOOKUP(YEAR(S917),INPC!$B$4:$O$29,MONTH(S917)+1))</f>
        <v>125.997</v>
      </c>
      <c r="M917" s="463">
        <f t="shared" si="144"/>
        <v>1.0057</v>
      </c>
      <c r="N917" s="465">
        <f t="shared" si="152"/>
        <v>9904.3246830000007</v>
      </c>
      <c r="O917" s="179"/>
      <c r="P917" s="180">
        <v>121</v>
      </c>
      <c r="Q917" s="173" t="s">
        <v>583</v>
      </c>
      <c r="R917" s="173" t="s">
        <v>230</v>
      </c>
      <c r="S917" s="174">
        <v>44894</v>
      </c>
      <c r="T917" s="173" t="s">
        <v>33</v>
      </c>
      <c r="U917" s="182">
        <v>9232.1496045197746</v>
      </c>
      <c r="V917" s="177">
        <f>IF(U917=0,0,IF(T917="MXN",1/HLOOKUP(YEAR(S917)+(MONTH(S917)/100),TC!$5:$37,DAY(S917)+2,FALSE),VLOOKUP(T917,Equivalencia!$1:$23,((MAX(Equivalencia!$3:$3)-YEAR(S917))*14)+MONTH(S917)+2,FALSE)))</f>
        <v>1</v>
      </c>
      <c r="W917" s="178">
        <f t="shared" si="149"/>
        <v>9232.1496045197746</v>
      </c>
      <c r="X917" s="481">
        <f t="shared" si="145"/>
        <v>-616.04039548022592</v>
      </c>
      <c r="Y917" s="179"/>
      <c r="Z917" s="466">
        <f t="shared" si="146"/>
        <v>9904.3246830000007</v>
      </c>
      <c r="AA917" s="473">
        <f t="shared" si="147"/>
        <v>-672.17507848022615</v>
      </c>
      <c r="AB917" s="339">
        <f t="shared" si="148"/>
        <v>-6.2553666763153992E-2</v>
      </c>
    </row>
    <row r="918" spans="2:28" ht="20.100000000000001" customHeight="1">
      <c r="B918" s="172">
        <v>1175000</v>
      </c>
      <c r="C918" s="174">
        <v>44546</v>
      </c>
      <c r="D918" s="181" t="s">
        <v>183</v>
      </c>
      <c r="E918" s="173" t="s">
        <v>33</v>
      </c>
      <c r="F918" s="176">
        <v>367.66966507177028</v>
      </c>
      <c r="G918" s="175">
        <f t="shared" si="150"/>
        <v>6</v>
      </c>
      <c r="H918" s="175">
        <f t="shared" si="143"/>
        <v>367.66966507177028</v>
      </c>
      <c r="I918" s="177">
        <f>IF(G918=0,0,IF(E918="MXN",1/HLOOKUP(YEAR(C918)+(MONTH(C918)/100),TC!$5:$37,DAY(C918)+2,FALSE),VLOOKUP(E918,Equivalencia!$5:$23,((MAX(Equivalencia!$3:$3)-YEAR(C918))*14)+MONTH(C918)+2,FALSE)))</f>
        <v>1</v>
      </c>
      <c r="J918" s="178">
        <f t="shared" si="151"/>
        <v>367.66966507177028</v>
      </c>
      <c r="K918" s="462">
        <f>IF(C918=0,0,VLOOKUP(YEAR(C918),INPC!$B$4:$O$29,MONTH(C918)+1))</f>
        <v>117.30800000000001</v>
      </c>
      <c r="L918" s="462">
        <f>IF(S918=0,0,VLOOKUP(YEAR(S918),INPC!$B$4:$O$29,MONTH(S918)+1))</f>
        <v>125.997</v>
      </c>
      <c r="M918" s="463">
        <f t="shared" si="144"/>
        <v>1.0740000000000001</v>
      </c>
      <c r="N918" s="465">
        <f t="shared" si="152"/>
        <v>394.87722028708129</v>
      </c>
      <c r="O918" s="179"/>
      <c r="P918" s="180">
        <v>6</v>
      </c>
      <c r="Q918" s="173" t="s">
        <v>583</v>
      </c>
      <c r="R918" s="173" t="s">
        <v>230</v>
      </c>
      <c r="S918" s="174">
        <v>44887</v>
      </c>
      <c r="T918" s="173" t="s">
        <v>33</v>
      </c>
      <c r="U918" s="182">
        <v>452.17999999999995</v>
      </c>
      <c r="V918" s="177">
        <f>IF(U918=0,0,IF(T918="MXN",1/HLOOKUP(YEAR(S918)+(MONTH(S918)/100),TC!$5:$37,DAY(S918)+2,FALSE),VLOOKUP(T918,Equivalencia!$1:$23,((MAX(Equivalencia!$3:$3)-YEAR(S918))*14)+MONTH(S918)+2,FALSE)))</f>
        <v>1</v>
      </c>
      <c r="W918" s="178">
        <f t="shared" si="149"/>
        <v>452.17999999999995</v>
      </c>
      <c r="X918" s="481">
        <f t="shared" si="145"/>
        <v>84.510334928229668</v>
      </c>
      <c r="Y918" s="179"/>
      <c r="Z918" s="466">
        <f t="shared" si="146"/>
        <v>394.87722028708129</v>
      </c>
      <c r="AA918" s="473">
        <f t="shared" si="147"/>
        <v>57.302779712918664</v>
      </c>
      <c r="AB918" s="339">
        <f t="shared" si="148"/>
        <v>0.22985397751466108</v>
      </c>
    </row>
    <row r="919" spans="2:28" ht="20.100000000000001" customHeight="1">
      <c r="B919" s="172">
        <v>1175000</v>
      </c>
      <c r="C919" s="174">
        <v>44546</v>
      </c>
      <c r="D919" s="181" t="s">
        <v>183</v>
      </c>
      <c r="E919" s="173" t="s">
        <v>33</v>
      </c>
      <c r="F919" s="176">
        <v>919.17416267942576</v>
      </c>
      <c r="G919" s="175">
        <f t="shared" si="150"/>
        <v>15</v>
      </c>
      <c r="H919" s="175">
        <f t="shared" si="143"/>
        <v>919.17416267942576</v>
      </c>
      <c r="I919" s="177">
        <f>IF(G919=0,0,IF(E919="MXN",1/HLOOKUP(YEAR(C919)+(MONTH(C919)/100),TC!$5:$37,DAY(C919)+2,FALSE),VLOOKUP(E919,Equivalencia!$5:$23,((MAX(Equivalencia!$3:$3)-YEAR(C919))*14)+MONTH(C919)+2,FALSE)))</f>
        <v>1</v>
      </c>
      <c r="J919" s="178">
        <f t="shared" si="151"/>
        <v>919.17416267942576</v>
      </c>
      <c r="K919" s="462">
        <f>IF(C919=0,0,VLOOKUP(YEAR(C919),INPC!$B$4:$O$29,MONTH(C919)+1))</f>
        <v>117.30800000000001</v>
      </c>
      <c r="L919" s="462">
        <f>IF(S919=0,0,VLOOKUP(YEAR(S919),INPC!$B$4:$O$29,MONTH(S919)+1))</f>
        <v>125.997</v>
      </c>
      <c r="M919" s="463">
        <f t="shared" si="144"/>
        <v>1.0740000000000001</v>
      </c>
      <c r="N919" s="465">
        <f t="shared" si="152"/>
        <v>987.19305071770339</v>
      </c>
      <c r="O919" s="179"/>
      <c r="P919" s="180">
        <v>15</v>
      </c>
      <c r="Q919" s="173" t="s">
        <v>583</v>
      </c>
      <c r="R919" s="173" t="s">
        <v>230</v>
      </c>
      <c r="S919" s="174">
        <v>44887</v>
      </c>
      <c r="T919" s="173" t="s">
        <v>33</v>
      </c>
      <c r="U919" s="182">
        <v>1134.1199999999999</v>
      </c>
      <c r="V919" s="177">
        <f>IF(U919=0,0,IF(T919="MXN",1/HLOOKUP(YEAR(S919)+(MONTH(S919)/100),TC!$5:$37,DAY(S919)+2,FALSE),VLOOKUP(T919,Equivalencia!$1:$23,((MAX(Equivalencia!$3:$3)-YEAR(S919))*14)+MONTH(S919)+2,FALSE)))</f>
        <v>1</v>
      </c>
      <c r="W919" s="178">
        <f t="shared" si="149"/>
        <v>1134.1199999999999</v>
      </c>
      <c r="X919" s="481">
        <f t="shared" si="145"/>
        <v>214.94583732057413</v>
      </c>
      <c r="Y919" s="179"/>
      <c r="Z919" s="466">
        <f t="shared" si="146"/>
        <v>987.19305071770339</v>
      </c>
      <c r="AA919" s="473">
        <f t="shared" si="147"/>
        <v>146.9269492822965</v>
      </c>
      <c r="AB919" s="339">
        <f t="shared" si="148"/>
        <v>0.23384669200665886</v>
      </c>
    </row>
    <row r="920" spans="2:28" ht="20.100000000000001" customHeight="1">
      <c r="B920" s="172">
        <v>1175000</v>
      </c>
      <c r="C920" s="174">
        <v>44546</v>
      </c>
      <c r="D920" s="181" t="s">
        <v>183</v>
      </c>
      <c r="E920" s="173" t="s">
        <v>33</v>
      </c>
      <c r="F920" s="176">
        <v>6066.5494736842102</v>
      </c>
      <c r="G920" s="175">
        <f t="shared" si="150"/>
        <v>99</v>
      </c>
      <c r="H920" s="175">
        <f t="shared" si="143"/>
        <v>6066.5494736842102</v>
      </c>
      <c r="I920" s="177">
        <f>IF(G920=0,0,IF(E920="MXN",1/HLOOKUP(YEAR(C920)+(MONTH(C920)/100),TC!$5:$37,DAY(C920)+2,FALSE),VLOOKUP(E920,Equivalencia!$5:$23,((MAX(Equivalencia!$3:$3)-YEAR(C920))*14)+MONTH(C920)+2,FALSE)))</f>
        <v>1</v>
      </c>
      <c r="J920" s="178">
        <f t="shared" si="151"/>
        <v>6066.5494736842102</v>
      </c>
      <c r="K920" s="462">
        <f>IF(C920=0,0,VLOOKUP(YEAR(C920),INPC!$B$4:$O$29,MONTH(C920)+1))</f>
        <v>117.30800000000001</v>
      </c>
      <c r="L920" s="462">
        <f>IF(S920=0,0,VLOOKUP(YEAR(S920),INPC!$B$4:$O$29,MONTH(S920)+1))</f>
        <v>125.997</v>
      </c>
      <c r="M920" s="463">
        <f t="shared" si="144"/>
        <v>1.0740000000000001</v>
      </c>
      <c r="N920" s="465">
        <f t="shared" si="152"/>
        <v>6515.4741347368417</v>
      </c>
      <c r="O920" s="179"/>
      <c r="P920" s="180">
        <v>99</v>
      </c>
      <c r="Q920" s="173" t="s">
        <v>583</v>
      </c>
      <c r="R920" s="173" t="s">
        <v>230</v>
      </c>
      <c r="S920" s="174">
        <v>44887</v>
      </c>
      <c r="T920" s="173" t="s">
        <v>33</v>
      </c>
      <c r="U920" s="182">
        <v>7490.170000000001</v>
      </c>
      <c r="V920" s="177">
        <f>IF(U920=0,0,IF(T920="MXN",1/HLOOKUP(YEAR(S920)+(MONTH(S920)/100),TC!$5:$37,DAY(S920)+2,FALSE),VLOOKUP(T920,Equivalencia!$1:$23,((MAX(Equivalencia!$3:$3)-YEAR(S920))*14)+MONTH(S920)+2,FALSE)))</f>
        <v>1</v>
      </c>
      <c r="W920" s="178">
        <f t="shared" si="149"/>
        <v>7490.170000000001</v>
      </c>
      <c r="X920" s="481">
        <f t="shared" si="145"/>
        <v>1423.6205263157908</v>
      </c>
      <c r="Y920" s="179"/>
      <c r="Z920" s="466">
        <f t="shared" si="146"/>
        <v>6515.4741347368417</v>
      </c>
      <c r="AA920" s="473">
        <f t="shared" si="147"/>
        <v>974.69586526315925</v>
      </c>
      <c r="AB920" s="339">
        <f t="shared" si="148"/>
        <v>0.23466725730849891</v>
      </c>
    </row>
    <row r="921" spans="2:28" ht="20.100000000000001" customHeight="1">
      <c r="B921" s="172">
        <v>1175000</v>
      </c>
      <c r="C921" s="174">
        <v>44546</v>
      </c>
      <c r="D921" s="181" t="s">
        <v>183</v>
      </c>
      <c r="E921" s="173" t="s">
        <v>33</v>
      </c>
      <c r="F921" s="176">
        <v>306.39138755980861</v>
      </c>
      <c r="G921" s="175">
        <f t="shared" si="150"/>
        <v>5</v>
      </c>
      <c r="H921" s="175">
        <f t="shared" si="143"/>
        <v>306.39138755980861</v>
      </c>
      <c r="I921" s="177">
        <f>IF(G921=0,0,IF(E921="MXN",1/HLOOKUP(YEAR(C921)+(MONTH(C921)/100),TC!$5:$37,DAY(C921)+2,FALSE),VLOOKUP(E921,Equivalencia!$5:$23,((MAX(Equivalencia!$3:$3)-YEAR(C921))*14)+MONTH(C921)+2,FALSE)))</f>
        <v>1</v>
      </c>
      <c r="J921" s="178">
        <f t="shared" si="151"/>
        <v>306.39138755980861</v>
      </c>
      <c r="K921" s="462">
        <f>IF(C921=0,0,VLOOKUP(YEAR(C921),INPC!$B$4:$O$29,MONTH(C921)+1))</f>
        <v>117.30800000000001</v>
      </c>
      <c r="L921" s="462">
        <f>IF(S921=0,0,VLOOKUP(YEAR(S921),INPC!$B$4:$O$29,MONTH(S921)+1))</f>
        <v>125.997</v>
      </c>
      <c r="M921" s="463">
        <f t="shared" si="144"/>
        <v>1.0740000000000001</v>
      </c>
      <c r="N921" s="465">
        <f t="shared" si="152"/>
        <v>329.06435023923444</v>
      </c>
      <c r="O921" s="179"/>
      <c r="P921" s="180">
        <v>5</v>
      </c>
      <c r="Q921" s="173" t="s">
        <v>583</v>
      </c>
      <c r="R921" s="173" t="s">
        <v>230</v>
      </c>
      <c r="S921" s="174">
        <v>44887</v>
      </c>
      <c r="T921" s="173" t="s">
        <v>33</v>
      </c>
      <c r="U921" s="182">
        <v>376.71</v>
      </c>
      <c r="V921" s="177">
        <f>IF(U921=0,0,IF(T921="MXN",1/HLOOKUP(YEAR(S921)+(MONTH(S921)/100),TC!$5:$37,DAY(S921)+2,FALSE),VLOOKUP(T921,Equivalencia!$1:$23,((MAX(Equivalencia!$3:$3)-YEAR(S921))*14)+MONTH(S921)+2,FALSE)))</f>
        <v>1</v>
      </c>
      <c r="W921" s="178">
        <f t="shared" si="149"/>
        <v>376.71</v>
      </c>
      <c r="X921" s="481">
        <f t="shared" si="145"/>
        <v>70.318612440191373</v>
      </c>
      <c r="Y921" s="179"/>
      <c r="Z921" s="466">
        <f t="shared" si="146"/>
        <v>329.06435023923444</v>
      </c>
      <c r="AA921" s="473">
        <f t="shared" si="147"/>
        <v>47.645649760765536</v>
      </c>
      <c r="AB921" s="339">
        <f t="shared" si="148"/>
        <v>0.22950583892135334</v>
      </c>
    </row>
    <row r="922" spans="2:28" ht="20.100000000000001" customHeight="1">
      <c r="B922" s="172">
        <v>1175000</v>
      </c>
      <c r="C922" s="174">
        <v>44546</v>
      </c>
      <c r="D922" s="181" t="s">
        <v>183</v>
      </c>
      <c r="E922" s="173" t="s">
        <v>33</v>
      </c>
      <c r="F922" s="176">
        <v>1531.9569377990429</v>
      </c>
      <c r="G922" s="175">
        <f t="shared" si="150"/>
        <v>25</v>
      </c>
      <c r="H922" s="175">
        <f t="shared" si="143"/>
        <v>1531.9569377990429</v>
      </c>
      <c r="I922" s="177">
        <f>IF(G922=0,0,IF(E922="MXN",1/HLOOKUP(YEAR(C922)+(MONTH(C922)/100),TC!$5:$37,DAY(C922)+2,FALSE),VLOOKUP(E922,Equivalencia!$5:$23,((MAX(Equivalencia!$3:$3)-YEAR(C922))*14)+MONTH(C922)+2,FALSE)))</f>
        <v>1</v>
      </c>
      <c r="J922" s="178">
        <f t="shared" si="151"/>
        <v>1531.9569377990429</v>
      </c>
      <c r="K922" s="462">
        <f>IF(C922=0,0,VLOOKUP(YEAR(C922),INPC!$B$4:$O$29,MONTH(C922)+1))</f>
        <v>117.30800000000001</v>
      </c>
      <c r="L922" s="462">
        <f>IF(S922=0,0,VLOOKUP(YEAR(S922),INPC!$B$4:$O$29,MONTH(S922)+1))</f>
        <v>125.997</v>
      </c>
      <c r="M922" s="463">
        <f t="shared" si="144"/>
        <v>1.0740000000000001</v>
      </c>
      <c r="N922" s="465">
        <f t="shared" si="152"/>
        <v>1645.321751196172</v>
      </c>
      <c r="O922" s="179"/>
      <c r="P922" s="180">
        <v>25</v>
      </c>
      <c r="Q922" s="173" t="s">
        <v>583</v>
      </c>
      <c r="R922" s="173" t="s">
        <v>230</v>
      </c>
      <c r="S922" s="174">
        <v>44895</v>
      </c>
      <c r="T922" s="173" t="s">
        <v>33</v>
      </c>
      <c r="U922" s="182">
        <v>1840.2</v>
      </c>
      <c r="V922" s="177">
        <f>IF(U922=0,0,IF(T922="MXN",1/HLOOKUP(YEAR(S922)+(MONTH(S922)/100),TC!$5:$37,DAY(S922)+2,FALSE),VLOOKUP(T922,Equivalencia!$1:$23,((MAX(Equivalencia!$3:$3)-YEAR(S922))*14)+MONTH(S922)+2,FALSE)))</f>
        <v>1</v>
      </c>
      <c r="W922" s="178">
        <f t="shared" si="149"/>
        <v>1840.2</v>
      </c>
      <c r="X922" s="481">
        <f t="shared" si="145"/>
        <v>308.24306220095718</v>
      </c>
      <c r="Y922" s="179"/>
      <c r="Z922" s="466">
        <f t="shared" si="146"/>
        <v>1645.321751196172</v>
      </c>
      <c r="AA922" s="473">
        <f t="shared" si="147"/>
        <v>194.878248803828</v>
      </c>
      <c r="AB922" s="339">
        <f t="shared" si="148"/>
        <v>0.20120869888406201</v>
      </c>
    </row>
    <row r="923" spans="2:28" ht="20.100000000000001" customHeight="1">
      <c r="B923" s="172">
        <v>1175000</v>
      </c>
      <c r="C923" s="174">
        <v>44546</v>
      </c>
      <c r="D923" s="181" t="s">
        <v>183</v>
      </c>
      <c r="E923" s="173" t="s">
        <v>33</v>
      </c>
      <c r="F923" s="176">
        <v>2696.2442105263158</v>
      </c>
      <c r="G923" s="175">
        <f t="shared" si="150"/>
        <v>44</v>
      </c>
      <c r="H923" s="175">
        <f t="shared" si="143"/>
        <v>2696.2442105263158</v>
      </c>
      <c r="I923" s="177">
        <f>IF(G923=0,0,IF(E923="MXN",1/HLOOKUP(YEAR(C923)+(MONTH(C923)/100),TC!$5:$37,DAY(C923)+2,FALSE),VLOOKUP(E923,Equivalencia!$5:$23,((MAX(Equivalencia!$3:$3)-YEAR(C923))*14)+MONTH(C923)+2,FALSE)))</f>
        <v>1</v>
      </c>
      <c r="J923" s="178">
        <f t="shared" si="151"/>
        <v>2696.2442105263158</v>
      </c>
      <c r="K923" s="462">
        <f>IF(C923=0,0,VLOOKUP(YEAR(C923),INPC!$B$4:$O$29,MONTH(C923)+1))</f>
        <v>117.30800000000001</v>
      </c>
      <c r="L923" s="462">
        <f>IF(S923=0,0,VLOOKUP(YEAR(S923),INPC!$B$4:$O$29,MONTH(S923)+1))</f>
        <v>125.997</v>
      </c>
      <c r="M923" s="463">
        <f t="shared" si="144"/>
        <v>1.0740000000000001</v>
      </c>
      <c r="N923" s="465">
        <f t="shared" si="152"/>
        <v>2895.7662821052631</v>
      </c>
      <c r="O923" s="179"/>
      <c r="P923" s="180">
        <v>44</v>
      </c>
      <c r="Q923" s="173" t="s">
        <v>583</v>
      </c>
      <c r="R923" s="173" t="s">
        <v>230</v>
      </c>
      <c r="S923" s="174">
        <v>44895</v>
      </c>
      <c r="T923" s="173" t="s">
        <v>33</v>
      </c>
      <c r="U923" s="182">
        <v>3245.6045801526716</v>
      </c>
      <c r="V923" s="177">
        <f>IF(U923=0,0,IF(T923="MXN",1/HLOOKUP(YEAR(S923)+(MONTH(S923)/100),TC!$5:$37,DAY(S923)+2,FALSE),VLOOKUP(T923,Equivalencia!$1:$23,((MAX(Equivalencia!$3:$3)-YEAR(S923))*14)+MONTH(S923)+2,FALSE)))</f>
        <v>1</v>
      </c>
      <c r="W923" s="178">
        <f t="shared" si="149"/>
        <v>3245.6045801526716</v>
      </c>
      <c r="X923" s="481">
        <f t="shared" si="145"/>
        <v>549.3603696263558</v>
      </c>
      <c r="Y923" s="179"/>
      <c r="Z923" s="466">
        <f t="shared" si="146"/>
        <v>2895.7662821052631</v>
      </c>
      <c r="AA923" s="473">
        <f t="shared" si="147"/>
        <v>349.83829804740844</v>
      </c>
      <c r="AB923" s="339">
        <f t="shared" si="148"/>
        <v>0.20375022688286792</v>
      </c>
    </row>
    <row r="924" spans="2:28" ht="20.100000000000001" customHeight="1">
      <c r="B924" s="172">
        <v>1175000</v>
      </c>
      <c r="C924" s="174">
        <v>44551</v>
      </c>
      <c r="D924" s="181" t="s">
        <v>183</v>
      </c>
      <c r="E924" s="173" t="s">
        <v>33</v>
      </c>
      <c r="F924" s="176">
        <v>3276.9</v>
      </c>
      <c r="G924" s="175">
        <f t="shared" si="150"/>
        <v>52</v>
      </c>
      <c r="H924" s="175">
        <f t="shared" si="143"/>
        <v>3276.9</v>
      </c>
      <c r="I924" s="177">
        <f>IF(G924=0,0,IF(E924="MXN",1/HLOOKUP(YEAR(C924)+(MONTH(C924)/100),TC!$5:$37,DAY(C924)+2,FALSE),VLOOKUP(E924,Equivalencia!$5:$23,((MAX(Equivalencia!$3:$3)-YEAR(C924))*14)+MONTH(C924)+2,FALSE)))</f>
        <v>1</v>
      </c>
      <c r="J924" s="178">
        <f t="shared" si="151"/>
        <v>3276.9</v>
      </c>
      <c r="K924" s="462">
        <f>IF(C924=0,0,VLOOKUP(YEAR(C924),INPC!$B$4:$O$29,MONTH(C924)+1))</f>
        <v>117.30800000000001</v>
      </c>
      <c r="L924" s="462">
        <f>IF(S924=0,0,VLOOKUP(YEAR(S924),INPC!$B$4:$O$29,MONTH(S924)+1))</f>
        <v>125.997</v>
      </c>
      <c r="M924" s="463">
        <f t="shared" si="144"/>
        <v>1.0740000000000001</v>
      </c>
      <c r="N924" s="465">
        <f t="shared" si="152"/>
        <v>3519.3906000000002</v>
      </c>
      <c r="O924" s="179"/>
      <c r="P924" s="180">
        <v>52</v>
      </c>
      <c r="Q924" s="173" t="s">
        <v>583</v>
      </c>
      <c r="R924" s="173" t="s">
        <v>230</v>
      </c>
      <c r="S924" s="174">
        <v>44895</v>
      </c>
      <c r="T924" s="173" t="s">
        <v>33</v>
      </c>
      <c r="U924" s="182">
        <v>3835.7145038167937</v>
      </c>
      <c r="V924" s="177">
        <f>IF(U924=0,0,IF(T924="MXN",1/HLOOKUP(YEAR(S924)+(MONTH(S924)/100),TC!$5:$37,DAY(S924)+2,FALSE),VLOOKUP(T924,Equivalencia!$1:$23,((MAX(Equivalencia!$3:$3)-YEAR(S924))*14)+MONTH(S924)+2,FALSE)))</f>
        <v>1</v>
      </c>
      <c r="W924" s="178">
        <f t="shared" si="149"/>
        <v>3835.7145038167937</v>
      </c>
      <c r="X924" s="481">
        <f t="shared" si="145"/>
        <v>558.8145038167936</v>
      </c>
      <c r="Y924" s="179"/>
      <c r="Z924" s="466">
        <f t="shared" si="146"/>
        <v>3519.3906000000002</v>
      </c>
      <c r="AA924" s="473">
        <f t="shared" si="147"/>
        <v>316.32390381679352</v>
      </c>
      <c r="AB924" s="339">
        <f t="shared" si="148"/>
        <v>0.17053144856931657</v>
      </c>
    </row>
    <row r="925" spans="2:28" ht="20.100000000000001" customHeight="1">
      <c r="B925" s="172">
        <v>1175000</v>
      </c>
      <c r="C925" s="174">
        <v>44685</v>
      </c>
      <c r="D925" s="181" t="s">
        <v>183</v>
      </c>
      <c r="E925" s="173" t="s">
        <v>33</v>
      </c>
      <c r="F925" s="176">
        <v>78.8</v>
      </c>
      <c r="G925" s="175">
        <f t="shared" si="150"/>
        <v>1</v>
      </c>
      <c r="H925" s="175">
        <f t="shared" si="143"/>
        <v>78.8</v>
      </c>
      <c r="I925" s="177">
        <f>IF(G925=0,0,IF(E925="MXN",1/HLOOKUP(YEAR(C925)+(MONTH(C925)/100),TC!$5:$37,DAY(C925)+2,FALSE),VLOOKUP(E925,Equivalencia!$5:$23,((MAX(Equivalencia!$3:$3)-YEAR(C925))*14)+MONTH(C925)+2,FALSE)))</f>
        <v>1</v>
      </c>
      <c r="J925" s="178">
        <f t="shared" si="151"/>
        <v>78.8</v>
      </c>
      <c r="K925" s="462">
        <f>IF(C925=0,0,VLOOKUP(YEAR(C925),INPC!$B$4:$O$29,MONTH(C925)+1))</f>
        <v>121.02200000000001</v>
      </c>
      <c r="L925" s="462">
        <f>IF(S925=0,0,VLOOKUP(YEAR(S925),INPC!$B$4:$O$29,MONTH(S925)+1))</f>
        <v>125.997</v>
      </c>
      <c r="M925" s="463">
        <f t="shared" si="144"/>
        <v>1.0410999999999999</v>
      </c>
      <c r="N925" s="465">
        <f t="shared" si="152"/>
        <v>82.038679999999985</v>
      </c>
      <c r="O925" s="179"/>
      <c r="P925" s="180">
        <v>1</v>
      </c>
      <c r="Q925" s="173" t="s">
        <v>583</v>
      </c>
      <c r="R925" s="173" t="s">
        <v>230</v>
      </c>
      <c r="S925" s="174">
        <v>44895</v>
      </c>
      <c r="T925" s="173" t="s">
        <v>33</v>
      </c>
      <c r="U925" s="182">
        <v>73.763740458015263</v>
      </c>
      <c r="V925" s="177">
        <f>IF(U925=0,0,IF(T925="MXN",1/HLOOKUP(YEAR(S925)+(MONTH(S925)/100),TC!$5:$37,DAY(S925)+2,FALSE),VLOOKUP(T925,Equivalencia!$1:$23,((MAX(Equivalencia!$3:$3)-YEAR(S925))*14)+MONTH(S925)+2,FALSE)))</f>
        <v>1</v>
      </c>
      <c r="W925" s="178">
        <f t="shared" si="149"/>
        <v>73.763740458015263</v>
      </c>
      <c r="X925" s="481">
        <f t="shared" si="145"/>
        <v>-5.0362595419847338</v>
      </c>
      <c r="Y925" s="179"/>
      <c r="Z925" s="466">
        <f t="shared" si="146"/>
        <v>82.038679999999985</v>
      </c>
      <c r="AA925" s="473">
        <f t="shared" si="147"/>
        <v>-8.2749395419847218</v>
      </c>
      <c r="AB925" s="339">
        <f t="shared" si="148"/>
        <v>-6.3911923121633629E-2</v>
      </c>
    </row>
    <row r="926" spans="2:28" ht="20.100000000000001" customHeight="1">
      <c r="B926" s="172">
        <v>1175000</v>
      </c>
      <c r="C926" s="174">
        <v>44855</v>
      </c>
      <c r="D926" s="181" t="s">
        <v>183</v>
      </c>
      <c r="E926" s="173" t="s">
        <v>33</v>
      </c>
      <c r="F926" s="176">
        <v>2475.1999999999998</v>
      </c>
      <c r="G926" s="175">
        <f t="shared" si="150"/>
        <v>34</v>
      </c>
      <c r="H926" s="175">
        <f t="shared" si="143"/>
        <v>2475.1999999999998</v>
      </c>
      <c r="I926" s="177">
        <f>IF(G926=0,0,IF(E926="MXN",1/HLOOKUP(YEAR(C926)+(MONTH(C926)/100),TC!$5:$37,DAY(C926)+2,FALSE),VLOOKUP(E926,Equivalencia!$5:$23,((MAX(Equivalencia!$3:$3)-YEAR(C926))*14)+MONTH(C926)+2,FALSE)))</f>
        <v>1</v>
      </c>
      <c r="J926" s="178">
        <f t="shared" si="151"/>
        <v>2475.1999999999998</v>
      </c>
      <c r="K926" s="462">
        <f>IF(C926=0,0,VLOOKUP(YEAR(C926),INPC!$B$4:$O$29,MONTH(C926)+1))</f>
        <v>125.276</v>
      </c>
      <c r="L926" s="462">
        <f>IF(S926=0,0,VLOOKUP(YEAR(S926),INPC!$B$4:$O$29,MONTH(S926)+1))</f>
        <v>125.997</v>
      </c>
      <c r="M926" s="463">
        <f t="shared" si="144"/>
        <v>1.0057</v>
      </c>
      <c r="N926" s="465">
        <f t="shared" si="152"/>
        <v>2489.3086399999997</v>
      </c>
      <c r="O926" s="179"/>
      <c r="P926" s="180">
        <v>34</v>
      </c>
      <c r="Q926" s="173" t="s">
        <v>583</v>
      </c>
      <c r="R926" s="173" t="s">
        <v>230</v>
      </c>
      <c r="S926" s="174">
        <v>44895</v>
      </c>
      <c r="T926" s="173" t="s">
        <v>33</v>
      </c>
      <c r="U926" s="182">
        <v>2507.967175572519</v>
      </c>
      <c r="V926" s="177">
        <f>IF(U926=0,0,IF(T926="MXN",1/HLOOKUP(YEAR(S926)+(MONTH(S926)/100),TC!$5:$37,DAY(S926)+2,FALSE),VLOOKUP(T926,Equivalencia!$1:$23,((MAX(Equivalencia!$3:$3)-YEAR(S926))*14)+MONTH(S926)+2,FALSE)))</f>
        <v>1</v>
      </c>
      <c r="W926" s="178">
        <f t="shared" si="149"/>
        <v>2507.967175572519</v>
      </c>
      <c r="X926" s="481">
        <f t="shared" si="145"/>
        <v>32.767175572519136</v>
      </c>
      <c r="Y926" s="179"/>
      <c r="Z926" s="466">
        <f t="shared" si="146"/>
        <v>2489.3086399999997</v>
      </c>
      <c r="AA926" s="473">
        <f t="shared" si="147"/>
        <v>18.658535572519213</v>
      </c>
      <c r="AB926" s="339">
        <f t="shared" si="148"/>
        <v>1.3238193104605278E-2</v>
      </c>
    </row>
    <row r="927" spans="2:28" ht="20.100000000000001" customHeight="1">
      <c r="B927" s="172">
        <v>1175000</v>
      </c>
      <c r="C927" s="174">
        <v>44855</v>
      </c>
      <c r="D927" s="181" t="s">
        <v>183</v>
      </c>
      <c r="E927" s="173" t="s">
        <v>33</v>
      </c>
      <c r="F927" s="176">
        <v>291.2</v>
      </c>
      <c r="G927" s="175">
        <f t="shared" si="150"/>
        <v>4</v>
      </c>
      <c r="H927" s="175">
        <f t="shared" si="143"/>
        <v>291.2</v>
      </c>
      <c r="I927" s="177">
        <f>IF(G927=0,0,IF(E927="MXN",1/HLOOKUP(YEAR(C927)+(MONTH(C927)/100),TC!$5:$37,DAY(C927)+2,FALSE),VLOOKUP(E927,Equivalencia!$5:$23,((MAX(Equivalencia!$3:$3)-YEAR(C927))*14)+MONTH(C927)+2,FALSE)))</f>
        <v>1</v>
      </c>
      <c r="J927" s="178">
        <f t="shared" si="151"/>
        <v>291.2</v>
      </c>
      <c r="K927" s="462">
        <f>IF(C927=0,0,VLOOKUP(YEAR(C927),INPC!$B$4:$O$29,MONTH(C927)+1))</f>
        <v>125.276</v>
      </c>
      <c r="L927" s="462">
        <f>IF(S927=0,0,VLOOKUP(YEAR(S927),INPC!$B$4:$O$29,MONTH(S927)+1))</f>
        <v>125.997</v>
      </c>
      <c r="M927" s="463">
        <f t="shared" si="144"/>
        <v>1.0057</v>
      </c>
      <c r="N927" s="465">
        <f t="shared" si="152"/>
        <v>292.85984000000002</v>
      </c>
      <c r="O927" s="179"/>
      <c r="P927" s="180">
        <v>4</v>
      </c>
      <c r="Q927" s="173" t="s">
        <v>583</v>
      </c>
      <c r="R927" s="173" t="s">
        <v>230</v>
      </c>
      <c r="S927" s="174">
        <v>44895</v>
      </c>
      <c r="T927" s="173" t="s">
        <v>33</v>
      </c>
      <c r="U927" s="182">
        <v>294.79000000000002</v>
      </c>
      <c r="V927" s="177">
        <f>IF(U927=0,0,IF(T927="MXN",1/HLOOKUP(YEAR(S927)+(MONTH(S927)/100),TC!$5:$37,DAY(S927)+2,FALSE),VLOOKUP(T927,Equivalencia!$1:$23,((MAX(Equivalencia!$3:$3)-YEAR(S927))*14)+MONTH(S927)+2,FALSE)))</f>
        <v>1</v>
      </c>
      <c r="W927" s="178">
        <f t="shared" si="149"/>
        <v>294.79000000000002</v>
      </c>
      <c r="X927" s="481">
        <f t="shared" si="145"/>
        <v>3.5900000000000318</v>
      </c>
      <c r="Y927" s="179"/>
      <c r="Z927" s="466">
        <f t="shared" si="146"/>
        <v>292.85984000000002</v>
      </c>
      <c r="AA927" s="473">
        <f t="shared" si="147"/>
        <v>1.9301600000000008</v>
      </c>
      <c r="AB927" s="339">
        <f t="shared" si="148"/>
        <v>1.2328296703296715E-2</v>
      </c>
    </row>
    <row r="928" spans="2:28" ht="20.100000000000001" customHeight="1">
      <c r="B928" s="172">
        <v>1179000</v>
      </c>
      <c r="C928" s="174">
        <v>43830</v>
      </c>
      <c r="D928" s="181" t="s">
        <v>240</v>
      </c>
      <c r="E928" s="173" t="s">
        <v>33</v>
      </c>
      <c r="F928" s="176">
        <v>38638.780737137509</v>
      </c>
      <c r="G928" s="175">
        <f t="shared" si="150"/>
        <v>144</v>
      </c>
      <c r="H928" s="175">
        <f t="shared" si="143"/>
        <v>38638.780737137509</v>
      </c>
      <c r="I928" s="177">
        <f>IF(G928=0,0,IF(E928="MXN",1/HLOOKUP(YEAR(C928)+(MONTH(C928)/100),TC!$5:$37,DAY(C928)+2,FALSE),VLOOKUP(E928,Equivalencia!$5:$23,((MAX(Equivalencia!$3:$3)-YEAR(C928))*14)+MONTH(C928)+2,FALSE)))</f>
        <v>1</v>
      </c>
      <c r="J928" s="178">
        <f t="shared" si="151"/>
        <v>38638.780737137509</v>
      </c>
      <c r="K928" s="462">
        <f>IF(C928=0,0,VLOOKUP(YEAR(C928),INPC!$B$4:$O$29,MONTH(C928)+1))</f>
        <v>105.934</v>
      </c>
      <c r="L928" s="462">
        <f>IF(S928=0,0,VLOOKUP(YEAR(S928),INPC!$B$4:$O$29,MONTH(S928)+1))</f>
        <v>125.276</v>
      </c>
      <c r="M928" s="463">
        <f t="shared" si="144"/>
        <v>1.1825000000000001</v>
      </c>
      <c r="N928" s="465">
        <f t="shared" si="152"/>
        <v>45690.358221665112</v>
      </c>
      <c r="O928" s="179"/>
      <c r="P928" s="180">
        <v>144</v>
      </c>
      <c r="Q928" s="173" t="s">
        <v>583</v>
      </c>
      <c r="R928" s="173" t="s">
        <v>230</v>
      </c>
      <c r="S928" s="174">
        <v>44840</v>
      </c>
      <c r="T928" s="173" t="s">
        <v>33</v>
      </c>
      <c r="U928" s="182">
        <v>56130.49</v>
      </c>
      <c r="V928" s="177">
        <f>IF(U928=0,0,IF(T928="MXN",1/HLOOKUP(YEAR(S928)+(MONTH(S928)/100),TC!$5:$37,DAY(S928)+2,FALSE),VLOOKUP(T928,Equivalencia!$1:$23,((MAX(Equivalencia!$3:$3)-YEAR(S928))*14)+MONTH(S928)+2,FALSE)))</f>
        <v>1</v>
      </c>
      <c r="W928" s="178">
        <f t="shared" si="149"/>
        <v>56130.49</v>
      </c>
      <c r="X928" s="481">
        <f t="shared" si="145"/>
        <v>17491.709262862489</v>
      </c>
      <c r="Y928" s="179"/>
      <c r="Z928" s="466">
        <f t="shared" si="146"/>
        <v>45690.358221665112</v>
      </c>
      <c r="AA928" s="473">
        <f t="shared" si="147"/>
        <v>10440.131778334886</v>
      </c>
      <c r="AB928" s="339">
        <f t="shared" si="148"/>
        <v>0.45269827176638633</v>
      </c>
    </row>
    <row r="929" spans="2:28" ht="20.100000000000001" customHeight="1">
      <c r="B929" s="172">
        <v>1179000</v>
      </c>
      <c r="C929" s="174">
        <v>43830</v>
      </c>
      <c r="D929" s="181" t="s">
        <v>366</v>
      </c>
      <c r="E929" s="173" t="s">
        <v>33</v>
      </c>
      <c r="F929" s="176">
        <v>16024.45381404324</v>
      </c>
      <c r="G929" s="175">
        <f t="shared" si="150"/>
        <v>338</v>
      </c>
      <c r="H929" s="175">
        <f t="shared" si="143"/>
        <v>16024.45381404324</v>
      </c>
      <c r="I929" s="177">
        <f>IF(G929=0,0,IF(E929="MXN",1/HLOOKUP(YEAR(C929)+(MONTH(C929)/100),TC!$5:$37,DAY(C929)+2,FALSE),VLOOKUP(E929,Equivalencia!$5:$23,((MAX(Equivalencia!$3:$3)-YEAR(C929))*14)+MONTH(C929)+2,FALSE)))</f>
        <v>1</v>
      </c>
      <c r="J929" s="178">
        <f t="shared" si="151"/>
        <v>16024.45381404324</v>
      </c>
      <c r="K929" s="462">
        <f>IF(C929=0,0,VLOOKUP(YEAR(C929),INPC!$B$4:$O$29,MONTH(C929)+1))</f>
        <v>105.934</v>
      </c>
      <c r="L929" s="462">
        <f>IF(S929=0,0,VLOOKUP(YEAR(S929),INPC!$B$4:$O$29,MONTH(S929)+1))</f>
        <v>125.276</v>
      </c>
      <c r="M929" s="463">
        <f t="shared" si="144"/>
        <v>1.1825000000000001</v>
      </c>
      <c r="N929" s="465">
        <f t="shared" si="152"/>
        <v>18948.916635106132</v>
      </c>
      <c r="O929" s="179"/>
      <c r="P929" s="180">
        <v>338</v>
      </c>
      <c r="Q929" s="173" t="s">
        <v>583</v>
      </c>
      <c r="R929" s="173" t="s">
        <v>230</v>
      </c>
      <c r="S929" s="174">
        <v>44840</v>
      </c>
      <c r="T929" s="173" t="s">
        <v>33</v>
      </c>
      <c r="U929" s="182">
        <v>24204.23</v>
      </c>
      <c r="V929" s="177">
        <f>IF(U929=0,0,IF(T929="MXN",1/HLOOKUP(YEAR(S929)+(MONTH(S929)/100),TC!$5:$37,DAY(S929)+2,FALSE),VLOOKUP(T929,Equivalencia!$1:$23,((MAX(Equivalencia!$3:$3)-YEAR(S929))*14)+MONTH(S929)+2,FALSE)))</f>
        <v>1</v>
      </c>
      <c r="W929" s="178">
        <f t="shared" si="149"/>
        <v>24204.23</v>
      </c>
      <c r="X929" s="481">
        <f t="shared" si="145"/>
        <v>8179.7761859567599</v>
      </c>
      <c r="Y929" s="179"/>
      <c r="Z929" s="466">
        <f t="shared" si="146"/>
        <v>18948.916635106132</v>
      </c>
      <c r="AA929" s="473">
        <f t="shared" si="147"/>
        <v>5255.3133648938674</v>
      </c>
      <c r="AB929" s="339">
        <f t="shared" si="148"/>
        <v>0.51045584959584112</v>
      </c>
    </row>
    <row r="930" spans="2:28" ht="20.100000000000001" customHeight="1">
      <c r="B930" s="172">
        <v>1179000</v>
      </c>
      <c r="C930" s="174">
        <v>44490</v>
      </c>
      <c r="D930" s="181" t="s">
        <v>256</v>
      </c>
      <c r="E930" s="173" t="s">
        <v>337</v>
      </c>
      <c r="F930" s="176">
        <v>95248.723387656617</v>
      </c>
      <c r="G930" s="175">
        <f t="shared" si="150"/>
        <v>589.4</v>
      </c>
      <c r="H930" s="175">
        <f t="shared" si="143"/>
        <v>95248.723387656617</v>
      </c>
      <c r="I930" s="177">
        <f>IF(G930=0,0,IF(E930="MXN",1/HLOOKUP(YEAR(C930)+(MONTH(C930)/100),TC!$5:$37,DAY(C930)+2,FALSE),VLOOKUP(E930,Equivalencia!$5:$23,((MAX(Equivalencia!$3:$3)-YEAR(C930))*14)+MONTH(C930)+2,FALSE)))</f>
        <v>1.1572499999999999</v>
      </c>
      <c r="J930" s="178">
        <f t="shared" si="151"/>
        <v>110226.58514036561</v>
      </c>
      <c r="K930" s="462">
        <f>IF(C930=0,0,VLOOKUP(YEAR(C930),INPC!$B$4:$O$29,MONTH(C930)+1))</f>
        <v>115.56100000000001</v>
      </c>
      <c r="L930" s="462">
        <f>IF(S930=0,0,VLOOKUP(YEAR(S930),INPC!$B$4:$O$29,MONTH(S930)+1))</f>
        <v>125.276</v>
      </c>
      <c r="M930" s="463">
        <f t="shared" si="144"/>
        <v>1.0840000000000001</v>
      </c>
      <c r="N930" s="465">
        <f t="shared" si="152"/>
        <v>119485.61829215633</v>
      </c>
      <c r="O930" s="179"/>
      <c r="P930" s="180">
        <v>589.4</v>
      </c>
      <c r="Q930" s="173" t="s">
        <v>583</v>
      </c>
      <c r="R930" s="173" t="s">
        <v>230</v>
      </c>
      <c r="S930" s="174">
        <v>44841</v>
      </c>
      <c r="T930" s="173" t="s">
        <v>337</v>
      </c>
      <c r="U930" s="182">
        <v>84096.567504474879</v>
      </c>
      <c r="V930" s="177">
        <f>IF(U930=0,0,IF(T930="MXN",1/HLOOKUP(YEAR(S930)+(MONTH(S930)/100),TC!$5:$37,DAY(S930)+2,FALSE),VLOOKUP(T930,Equivalencia!$1:$23,((MAX(Equivalencia!$3:$3)-YEAR(S930))*14)+MONTH(S930)+2,FALSE)))</f>
        <v>0.98885000000000001</v>
      </c>
      <c r="W930" s="178">
        <f t="shared" si="149"/>
        <v>83158.890776799977</v>
      </c>
      <c r="X930" s="481">
        <f t="shared" si="145"/>
        <v>-27067.694363565635</v>
      </c>
      <c r="Y930" s="179"/>
      <c r="Z930" s="466">
        <f t="shared" si="146"/>
        <v>119485.61829215633</v>
      </c>
      <c r="AA930" s="473">
        <f t="shared" si="147"/>
        <v>-36326.727515356353</v>
      </c>
      <c r="AB930" s="339">
        <f t="shared" si="148"/>
        <v>-0.11708457065396172</v>
      </c>
    </row>
    <row r="931" spans="2:28" ht="20.100000000000001" customHeight="1">
      <c r="B931" s="172">
        <v>1179000</v>
      </c>
      <c r="C931" s="174">
        <v>44595</v>
      </c>
      <c r="D931" s="181" t="s">
        <v>256</v>
      </c>
      <c r="E931" s="173" t="s">
        <v>337</v>
      </c>
      <c r="F931" s="176">
        <v>99979.409347413806</v>
      </c>
      <c r="G931" s="175">
        <f t="shared" si="150"/>
        <v>611.75</v>
      </c>
      <c r="H931" s="175">
        <f t="shared" si="143"/>
        <v>99979.409347413806</v>
      </c>
      <c r="I931" s="177">
        <f>IF(G931=0,0,IF(E931="MXN",1/HLOOKUP(YEAR(C931)+(MONTH(C931)/100),TC!$5:$37,DAY(C931)+2,FALSE),VLOOKUP(E931,Equivalencia!$5:$23,((MAX(Equivalencia!$3:$3)-YEAR(C931))*14)+MONTH(C931)+2,FALSE)))</f>
        <v>1.1228499999999999</v>
      </c>
      <c r="J931" s="178">
        <f t="shared" si="151"/>
        <v>112261.87978574359</v>
      </c>
      <c r="K931" s="462">
        <f>IF(C931=0,0,VLOOKUP(YEAR(C931),INPC!$B$4:$O$29,MONTH(C931)+1))</f>
        <v>118.98099999999999</v>
      </c>
      <c r="L931" s="462">
        <f>IF(S931=0,0,VLOOKUP(YEAR(S931),INPC!$B$4:$O$29,MONTH(S931)+1))</f>
        <v>125.276</v>
      </c>
      <c r="M931" s="463">
        <f t="shared" si="144"/>
        <v>1.0528999999999999</v>
      </c>
      <c r="N931" s="465">
        <f t="shared" si="152"/>
        <v>118200.53322640942</v>
      </c>
      <c r="O931" s="179"/>
      <c r="P931" s="180">
        <v>611.75</v>
      </c>
      <c r="Q931" s="173" t="s">
        <v>583</v>
      </c>
      <c r="R931" s="173" t="s">
        <v>230</v>
      </c>
      <c r="S931" s="174">
        <v>44841</v>
      </c>
      <c r="T931" s="173" t="s">
        <v>337</v>
      </c>
      <c r="U931" s="182">
        <v>87285.502495525128</v>
      </c>
      <c r="V931" s="177">
        <f>IF(U931=0,0,IF(T931="MXN",1/HLOOKUP(YEAR(S931)+(MONTH(S931)/100),TC!$5:$37,DAY(S931)+2,FALSE),VLOOKUP(T931,Equivalencia!$1:$23,((MAX(Equivalencia!$3:$3)-YEAR(S931))*14)+MONTH(S931)+2,FALSE)))</f>
        <v>0.98885000000000001</v>
      </c>
      <c r="W931" s="178">
        <f t="shared" si="149"/>
        <v>86312.269142700025</v>
      </c>
      <c r="X931" s="481">
        <f t="shared" si="145"/>
        <v>-25949.610643043561</v>
      </c>
      <c r="Y931" s="179"/>
      <c r="Z931" s="466">
        <f t="shared" si="146"/>
        <v>118200.53322640942</v>
      </c>
      <c r="AA931" s="473">
        <f t="shared" si="147"/>
        <v>-31888.264083709393</v>
      </c>
      <c r="AB931" s="339">
        <f t="shared" si="148"/>
        <v>-0.12696521148448892</v>
      </c>
    </row>
    <row r="932" spans="2:28" ht="20.100000000000001" customHeight="1">
      <c r="B932" s="172">
        <v>1179000</v>
      </c>
      <c r="C932" s="174">
        <v>44469</v>
      </c>
      <c r="D932" s="181" t="s">
        <v>358</v>
      </c>
      <c r="E932" s="173" t="s">
        <v>33</v>
      </c>
      <c r="F932" s="176">
        <v>7540.4813999999997</v>
      </c>
      <c r="G932" s="175">
        <f t="shared" si="150"/>
        <v>8667.2199999999993</v>
      </c>
      <c r="H932" s="175">
        <f t="shared" si="143"/>
        <v>7540.4813999999997</v>
      </c>
      <c r="I932" s="177">
        <f>IF(G932=0,0,IF(E932="MXN",1/HLOOKUP(YEAR(C932)+(MONTH(C932)/100),TC!$5:$37,DAY(C932)+2,FALSE),VLOOKUP(E932,Equivalencia!$5:$23,((MAX(Equivalencia!$3:$3)-YEAR(C932))*14)+MONTH(C932)+2,FALSE)))</f>
        <v>1</v>
      </c>
      <c r="J932" s="178">
        <f t="shared" si="151"/>
        <v>7540.4813999999997</v>
      </c>
      <c r="K932" s="462">
        <f>IF(C932=0,0,VLOOKUP(YEAR(C932),INPC!$B$4:$O$29,MONTH(C932)+1))</f>
        <v>114.601</v>
      </c>
      <c r="L932" s="462">
        <f>IF(S932=0,0,VLOOKUP(YEAR(S932),INPC!$B$4:$O$29,MONTH(S932)+1))</f>
        <v>125.276</v>
      </c>
      <c r="M932" s="463">
        <f t="shared" si="144"/>
        <v>1.0931</v>
      </c>
      <c r="N932" s="465">
        <f t="shared" si="152"/>
        <v>8242.5002183399993</v>
      </c>
      <c r="O932" s="179"/>
      <c r="P932" s="180">
        <v>8667.2199999999993</v>
      </c>
      <c r="Q932" s="173" t="s">
        <v>583</v>
      </c>
      <c r="R932" s="173" t="s">
        <v>230</v>
      </c>
      <c r="S932" s="174">
        <v>44853</v>
      </c>
      <c r="T932" s="173" t="s">
        <v>33</v>
      </c>
      <c r="U932" s="182">
        <v>8667.2199999999993</v>
      </c>
      <c r="V932" s="177">
        <f>IF(U932=0,0,IF(T932="MXN",1/HLOOKUP(YEAR(S932)+(MONTH(S932)/100),TC!$5:$37,DAY(S932)+2,FALSE),VLOOKUP(T932,Equivalencia!$1:$23,((MAX(Equivalencia!$3:$3)-YEAR(S932))*14)+MONTH(S932)+2,FALSE)))</f>
        <v>1</v>
      </c>
      <c r="W932" s="178">
        <f t="shared" si="149"/>
        <v>8667.2199999999993</v>
      </c>
      <c r="X932" s="481">
        <f t="shared" si="145"/>
        <v>1126.7385999999997</v>
      </c>
      <c r="Y932" s="179"/>
      <c r="Z932" s="466">
        <f t="shared" si="146"/>
        <v>8242.5002183399993</v>
      </c>
      <c r="AA932" s="473">
        <f t="shared" si="147"/>
        <v>424.71978166000008</v>
      </c>
      <c r="AB932" s="339">
        <f t="shared" si="148"/>
        <v>0.14942528735632177</v>
      </c>
    </row>
    <row r="933" spans="2:28" ht="20.100000000000001" customHeight="1">
      <c r="B933" s="172">
        <v>1179000</v>
      </c>
      <c r="C933" s="174">
        <v>43830</v>
      </c>
      <c r="D933" s="181" t="s">
        <v>347</v>
      </c>
      <c r="E933" s="173" t="s">
        <v>33</v>
      </c>
      <c r="F933" s="176">
        <v>154083.79006966163</v>
      </c>
      <c r="G933" s="175">
        <f t="shared" si="150"/>
        <v>3535</v>
      </c>
      <c r="H933" s="175">
        <f t="shared" si="143"/>
        <v>154083.79006966163</v>
      </c>
      <c r="I933" s="177">
        <f>IF(G933=0,0,IF(E933="MXN",1/HLOOKUP(YEAR(C933)+(MONTH(C933)/100),TC!$5:$37,DAY(C933)+2,FALSE),VLOOKUP(E933,Equivalencia!$5:$23,((MAX(Equivalencia!$3:$3)-YEAR(C933))*14)+MONTH(C933)+2,FALSE)))</f>
        <v>1</v>
      </c>
      <c r="J933" s="178">
        <f t="shared" si="151"/>
        <v>154083.79006966163</v>
      </c>
      <c r="K933" s="462">
        <f>IF(C933=0,0,VLOOKUP(YEAR(C933),INPC!$B$4:$O$29,MONTH(C933)+1))</f>
        <v>105.934</v>
      </c>
      <c r="L933" s="462">
        <f>IF(S933=0,0,VLOOKUP(YEAR(S933),INPC!$B$4:$O$29,MONTH(S933)+1))</f>
        <v>125.997</v>
      </c>
      <c r="M933" s="463">
        <f t="shared" si="144"/>
        <v>1.1893</v>
      </c>
      <c r="N933" s="465">
        <f t="shared" si="152"/>
        <v>183251.85152984859</v>
      </c>
      <c r="O933" s="179"/>
      <c r="P933" s="180">
        <v>3535</v>
      </c>
      <c r="Q933" s="173" t="s">
        <v>583</v>
      </c>
      <c r="R933" s="173" t="s">
        <v>230</v>
      </c>
      <c r="S933" s="174">
        <v>44876</v>
      </c>
      <c r="T933" s="173" t="s">
        <v>33</v>
      </c>
      <c r="U933" s="182">
        <v>142782.39999999999</v>
      </c>
      <c r="V933" s="177">
        <f>IF(U933=0,0,IF(T933="MXN",1/HLOOKUP(YEAR(S933)+(MONTH(S933)/100),TC!$5:$37,DAY(S933)+2,FALSE),VLOOKUP(T933,Equivalencia!$1:$23,((MAX(Equivalencia!$3:$3)-YEAR(S933))*14)+MONTH(S933)+2,FALSE)))</f>
        <v>1</v>
      </c>
      <c r="W933" s="178">
        <f t="shared" si="149"/>
        <v>142782.39999999999</v>
      </c>
      <c r="X933" s="481">
        <f t="shared" si="145"/>
        <v>-11301.390069661633</v>
      </c>
      <c r="Y933" s="179"/>
      <c r="Z933" s="466">
        <f t="shared" si="146"/>
        <v>183251.85152984859</v>
      </c>
      <c r="AA933" s="473">
        <f t="shared" si="147"/>
        <v>-40469.451529848593</v>
      </c>
      <c r="AB933" s="339">
        <f t="shared" si="148"/>
        <v>-7.3345743017823262E-2</v>
      </c>
    </row>
    <row r="934" spans="2:28" ht="20.100000000000001" customHeight="1">
      <c r="B934" s="172">
        <v>1179000</v>
      </c>
      <c r="C934" s="174">
        <v>43708</v>
      </c>
      <c r="D934" s="181" t="s">
        <v>356</v>
      </c>
      <c r="E934" s="173" t="s">
        <v>33</v>
      </c>
      <c r="F934" s="176">
        <v>770427.99134002114</v>
      </c>
      <c r="G934" s="175">
        <f t="shared" si="150"/>
        <v>7678.04</v>
      </c>
      <c r="H934" s="175">
        <f t="shared" si="143"/>
        <v>770427.99134002114</v>
      </c>
      <c r="I934" s="177">
        <f>IF(G934=0,0,IF(E934="MXN",1/HLOOKUP(YEAR(C934)+(MONTH(C934)/100),TC!$5:$37,DAY(C934)+2,FALSE),VLOOKUP(E934,Equivalencia!$5:$23,((MAX(Equivalencia!$3:$3)-YEAR(C934))*14)+MONTH(C934)+2,FALSE)))</f>
        <v>1</v>
      </c>
      <c r="J934" s="178">
        <f t="shared" si="151"/>
        <v>770427.99134002114</v>
      </c>
      <c r="K934" s="462">
        <f>IF(C934=0,0,VLOOKUP(YEAR(C934),INPC!$B$4:$O$29,MONTH(C934)+1))</f>
        <v>103.67</v>
      </c>
      <c r="L934" s="462">
        <f>IF(S934=0,0,VLOOKUP(YEAR(S934),INPC!$B$4:$O$29,MONTH(S934)+1))</f>
        <v>125.997</v>
      </c>
      <c r="M934" s="463">
        <f t="shared" si="144"/>
        <v>1.2153</v>
      </c>
      <c r="N934" s="465">
        <f t="shared" si="152"/>
        <v>936301.13787552773</v>
      </c>
      <c r="O934" s="179"/>
      <c r="P934" s="180">
        <v>7678.04</v>
      </c>
      <c r="Q934" s="173" t="s">
        <v>583</v>
      </c>
      <c r="R934" s="173" t="s">
        <v>230</v>
      </c>
      <c r="S934" s="174">
        <v>44883</v>
      </c>
      <c r="T934" s="173" t="s">
        <v>33</v>
      </c>
      <c r="U934" s="182">
        <v>783160.26</v>
      </c>
      <c r="V934" s="177">
        <f>IF(U934=0,0,IF(T934="MXN",1/HLOOKUP(YEAR(S934)+(MONTH(S934)/100),TC!$5:$37,DAY(S934)+2,FALSE),VLOOKUP(T934,Equivalencia!$1:$23,((MAX(Equivalencia!$3:$3)-YEAR(S934))*14)+MONTH(S934)+2,FALSE)))</f>
        <v>1</v>
      </c>
      <c r="W934" s="178">
        <f t="shared" si="149"/>
        <v>783160.26</v>
      </c>
      <c r="X934" s="481">
        <f t="shared" si="145"/>
        <v>12732.268659978872</v>
      </c>
      <c r="Y934" s="179"/>
      <c r="Z934" s="466">
        <f t="shared" si="146"/>
        <v>936301.13787552773</v>
      </c>
      <c r="AA934" s="473">
        <f t="shared" si="147"/>
        <v>-153140.87787552772</v>
      </c>
      <c r="AB934" s="339">
        <f t="shared" si="148"/>
        <v>1.652622802272985E-2</v>
      </c>
    </row>
    <row r="935" spans="2:28" ht="20.100000000000001" customHeight="1">
      <c r="B935" s="172">
        <v>1427200</v>
      </c>
      <c r="C935" s="174">
        <v>44503</v>
      </c>
      <c r="D935" s="181" t="s">
        <v>262</v>
      </c>
      <c r="E935" s="173" t="s">
        <v>33</v>
      </c>
      <c r="F935" s="176">
        <v>3007.4</v>
      </c>
      <c r="G935" s="175">
        <f t="shared" si="150"/>
        <v>20</v>
      </c>
      <c r="H935" s="175">
        <f t="shared" si="143"/>
        <v>3007.4</v>
      </c>
      <c r="I935" s="177">
        <f>IF(G935=0,0,IF(E935="MXN",1/HLOOKUP(YEAR(C935)+(MONTH(C935)/100),TC!$5:$37,DAY(C935)+2,FALSE),VLOOKUP(E935,Equivalencia!$5:$23,((MAX(Equivalencia!$3:$3)-YEAR(C935))*14)+MONTH(C935)+2,FALSE)))</f>
        <v>1</v>
      </c>
      <c r="J935" s="178">
        <f t="shared" si="151"/>
        <v>3007.4</v>
      </c>
      <c r="K935" s="462">
        <f>IF(C935=0,0,VLOOKUP(YEAR(C935),INPC!$B$4:$O$29,MONTH(C935)+1))</f>
        <v>116.884</v>
      </c>
      <c r="L935" s="462">
        <f>IF(S935=0,0,VLOOKUP(YEAR(S935),INPC!$B$4:$O$29,MONTH(S935)+1))</f>
        <v>125.276</v>
      </c>
      <c r="M935" s="463">
        <f t="shared" si="144"/>
        <v>1.0717000000000001</v>
      </c>
      <c r="N935" s="465">
        <f t="shared" si="152"/>
        <v>3223.0305800000006</v>
      </c>
      <c r="O935" s="179"/>
      <c r="P935" s="180">
        <v>20</v>
      </c>
      <c r="Q935" s="173" t="s">
        <v>583</v>
      </c>
      <c r="R935" s="173" t="s">
        <v>230</v>
      </c>
      <c r="S935" s="174">
        <v>44837</v>
      </c>
      <c r="T935" s="173" t="s">
        <v>33</v>
      </c>
      <c r="U935" s="182">
        <v>2838.24</v>
      </c>
      <c r="V935" s="177">
        <f>IF(U935=0,0,IF(T935="MXN",1/HLOOKUP(YEAR(S935)+(MONTH(S935)/100),TC!$5:$37,DAY(S935)+2,FALSE),VLOOKUP(T935,Equivalencia!$1:$23,((MAX(Equivalencia!$3:$3)-YEAR(S935))*14)+MONTH(S935)+2,FALSE)))</f>
        <v>1</v>
      </c>
      <c r="W935" s="178">
        <f t="shared" si="149"/>
        <v>2838.24</v>
      </c>
      <c r="X935" s="481">
        <f t="shared" si="145"/>
        <v>-169.16000000000031</v>
      </c>
      <c r="Y935" s="179"/>
      <c r="Z935" s="466">
        <f t="shared" si="146"/>
        <v>3223.0305800000006</v>
      </c>
      <c r="AA935" s="473">
        <f t="shared" si="147"/>
        <v>-384.79058000000077</v>
      </c>
      <c r="AB935" s="339">
        <f t="shared" si="148"/>
        <v>-5.6247921792910938E-2</v>
      </c>
    </row>
    <row r="936" spans="2:28" ht="20.100000000000001" customHeight="1">
      <c r="B936" s="172">
        <v>1427200</v>
      </c>
      <c r="C936" s="174">
        <v>44503</v>
      </c>
      <c r="D936" s="181" t="s">
        <v>262</v>
      </c>
      <c r="E936" s="173" t="s">
        <v>33</v>
      </c>
      <c r="F936" s="176">
        <v>1503.7</v>
      </c>
      <c r="G936" s="175">
        <f t="shared" si="150"/>
        <v>10</v>
      </c>
      <c r="H936" s="175">
        <f t="shared" si="143"/>
        <v>1503.7</v>
      </c>
      <c r="I936" s="177">
        <f>IF(G936=0,0,IF(E936="MXN",1/HLOOKUP(YEAR(C936)+(MONTH(C936)/100),TC!$5:$37,DAY(C936)+2,FALSE),VLOOKUP(E936,Equivalencia!$5:$23,((MAX(Equivalencia!$3:$3)-YEAR(C936))*14)+MONTH(C936)+2,FALSE)))</f>
        <v>1</v>
      </c>
      <c r="J936" s="178">
        <f t="shared" si="151"/>
        <v>1503.7</v>
      </c>
      <c r="K936" s="462">
        <f>IF(C936=0,0,VLOOKUP(YEAR(C936),INPC!$B$4:$O$29,MONTH(C936)+1))</f>
        <v>116.884</v>
      </c>
      <c r="L936" s="462">
        <f>IF(S936=0,0,VLOOKUP(YEAR(S936),INPC!$B$4:$O$29,MONTH(S936)+1))</f>
        <v>125.276</v>
      </c>
      <c r="M936" s="463">
        <f t="shared" si="144"/>
        <v>1.0717000000000001</v>
      </c>
      <c r="N936" s="465">
        <f t="shared" si="152"/>
        <v>1611.5152900000003</v>
      </c>
      <c r="O936" s="179"/>
      <c r="P936" s="180">
        <v>10</v>
      </c>
      <c r="Q936" s="173" t="s">
        <v>583</v>
      </c>
      <c r="R936" s="173" t="s">
        <v>230</v>
      </c>
      <c r="S936" s="174">
        <v>44847</v>
      </c>
      <c r="T936" s="173" t="s">
        <v>33</v>
      </c>
      <c r="U936" s="182">
        <v>1374.23</v>
      </c>
      <c r="V936" s="177">
        <f>IF(U936=0,0,IF(T936="MXN",1/HLOOKUP(YEAR(S936)+(MONTH(S936)/100),TC!$5:$37,DAY(S936)+2,FALSE),VLOOKUP(T936,Equivalencia!$1:$23,((MAX(Equivalencia!$3:$3)-YEAR(S936))*14)+MONTH(S936)+2,FALSE)))</f>
        <v>1</v>
      </c>
      <c r="W936" s="178">
        <f t="shared" si="149"/>
        <v>1374.23</v>
      </c>
      <c r="X936" s="481">
        <f t="shared" si="145"/>
        <v>-129.47000000000003</v>
      </c>
      <c r="Y936" s="179"/>
      <c r="Z936" s="466">
        <f t="shared" si="146"/>
        <v>1611.5152900000003</v>
      </c>
      <c r="AA936" s="473">
        <f t="shared" si="147"/>
        <v>-237.28529000000026</v>
      </c>
      <c r="AB936" s="339">
        <f t="shared" si="148"/>
        <v>-8.6100950987563984E-2</v>
      </c>
    </row>
    <row r="937" spans="2:28" ht="20.100000000000001" customHeight="1">
      <c r="B937" s="172">
        <v>1427200</v>
      </c>
      <c r="C937" s="174">
        <v>44503</v>
      </c>
      <c r="D937" s="181" t="s">
        <v>272</v>
      </c>
      <c r="E937" s="173" t="s">
        <v>33</v>
      </c>
      <c r="F937" s="176">
        <v>2793.2831999999999</v>
      </c>
      <c r="G937" s="175">
        <f t="shared" si="150"/>
        <v>8</v>
      </c>
      <c r="H937" s="175">
        <f t="shared" si="143"/>
        <v>2793.2831999999999</v>
      </c>
      <c r="I937" s="177">
        <f>IF(G937=0,0,IF(E937="MXN",1/HLOOKUP(YEAR(C937)+(MONTH(C937)/100),TC!$5:$37,DAY(C937)+2,FALSE),VLOOKUP(E937,Equivalencia!$5:$23,((MAX(Equivalencia!$3:$3)-YEAR(C937))*14)+MONTH(C937)+2,FALSE)))</f>
        <v>1</v>
      </c>
      <c r="J937" s="178">
        <f t="shared" si="151"/>
        <v>2793.2831999999999</v>
      </c>
      <c r="K937" s="462">
        <f>IF(C937=0,0,VLOOKUP(YEAR(C937),INPC!$B$4:$O$29,MONTH(C937)+1))</f>
        <v>116.884</v>
      </c>
      <c r="L937" s="462">
        <f>IF(S937=0,0,VLOOKUP(YEAR(S937),INPC!$B$4:$O$29,MONTH(S937)+1))</f>
        <v>125.276</v>
      </c>
      <c r="M937" s="463">
        <f t="shared" si="144"/>
        <v>1.0717000000000001</v>
      </c>
      <c r="N937" s="465">
        <f t="shared" si="152"/>
        <v>2993.5616054400002</v>
      </c>
      <c r="O937" s="179"/>
      <c r="P937" s="180">
        <v>8</v>
      </c>
      <c r="Q937" s="173" t="s">
        <v>583</v>
      </c>
      <c r="R937" s="173" t="s">
        <v>230</v>
      </c>
      <c r="S937" s="174">
        <v>44837</v>
      </c>
      <c r="T937" s="173" t="s">
        <v>33</v>
      </c>
      <c r="U937" s="182">
        <v>1849.75</v>
      </c>
      <c r="V937" s="177">
        <f>IF(U937=0,0,IF(T937="MXN",1/HLOOKUP(YEAR(S937)+(MONTH(S937)/100),TC!$5:$37,DAY(S937)+2,FALSE),VLOOKUP(T937,Equivalencia!$1:$23,((MAX(Equivalencia!$3:$3)-YEAR(S937))*14)+MONTH(S937)+2,FALSE)))</f>
        <v>1</v>
      </c>
      <c r="W937" s="178">
        <f>+V937*U937</f>
        <v>1849.75</v>
      </c>
      <c r="X937" s="481">
        <f t="shared" si="145"/>
        <v>-943.53319999999985</v>
      </c>
      <c r="Y937" s="179"/>
      <c r="Z937" s="466">
        <f t="shared" si="146"/>
        <v>2993.5616054400002</v>
      </c>
      <c r="AA937" s="473">
        <f t="shared" si="147"/>
        <v>-1143.8116054400002</v>
      </c>
      <c r="AB937" s="339">
        <f>+IF(P937=0,0,(U937/F937)-1)</f>
        <v>-0.33778644428176841</v>
      </c>
    </row>
    <row r="938" spans="2:28" ht="20.100000000000001" customHeight="1">
      <c r="B938" s="172">
        <v>1427200</v>
      </c>
      <c r="C938" s="174">
        <v>44503</v>
      </c>
      <c r="D938" s="181" t="s">
        <v>263</v>
      </c>
      <c r="E938" s="173" t="s">
        <v>33</v>
      </c>
      <c r="F938" s="176">
        <v>255.5</v>
      </c>
      <c r="G938" s="175">
        <f t="shared" si="150"/>
        <v>2</v>
      </c>
      <c r="H938" s="175">
        <f t="shared" si="143"/>
        <v>255.5</v>
      </c>
      <c r="I938" s="177">
        <f>IF(G938=0,0,IF(E938="MXN",1/HLOOKUP(YEAR(C938)+(MONTH(C938)/100),TC!$5:$37,DAY(C938)+2,FALSE),VLOOKUP(E938,Equivalencia!$5:$23,((MAX(Equivalencia!$3:$3)-YEAR(C938))*14)+MONTH(C938)+2,FALSE)))</f>
        <v>1</v>
      </c>
      <c r="J938" s="178">
        <f t="shared" si="151"/>
        <v>255.5</v>
      </c>
      <c r="K938" s="462">
        <f>IF(C938=0,0,VLOOKUP(YEAR(C938),INPC!$B$4:$O$29,MONTH(C938)+1))</f>
        <v>116.884</v>
      </c>
      <c r="L938" s="462">
        <f>IF(S938=0,0,VLOOKUP(YEAR(S938),INPC!$B$4:$O$29,MONTH(S938)+1))</f>
        <v>125.276</v>
      </c>
      <c r="M938" s="463">
        <f t="shared" si="144"/>
        <v>1.0717000000000001</v>
      </c>
      <c r="N938" s="465">
        <f t="shared" si="152"/>
        <v>273.81935000000004</v>
      </c>
      <c r="O938" s="179"/>
      <c r="P938" s="180">
        <v>2</v>
      </c>
      <c r="Q938" s="173" t="s">
        <v>583</v>
      </c>
      <c r="R938" s="173" t="s">
        <v>230</v>
      </c>
      <c r="S938" s="174">
        <v>44845</v>
      </c>
      <c r="T938" s="173" t="s">
        <v>33</v>
      </c>
      <c r="U938" s="182">
        <v>214.08</v>
      </c>
      <c r="V938" s="177">
        <f>IF(U938=0,0,IF(T938="MXN",1/HLOOKUP(YEAR(S938)+(MONTH(S938)/100),TC!$5:$37,DAY(S938)+2,FALSE),VLOOKUP(T938,Equivalencia!$1:$23,((MAX(Equivalencia!$3:$3)-YEAR(S938))*14)+MONTH(S938)+2,FALSE)))</f>
        <v>1</v>
      </c>
      <c r="W938" s="178">
        <f>+V938*U938</f>
        <v>214.08</v>
      </c>
      <c r="X938" s="481">
        <f t="shared" si="145"/>
        <v>-41.419999999999987</v>
      </c>
      <c r="Y938" s="179"/>
      <c r="Z938" s="466">
        <f t="shared" si="146"/>
        <v>273.81935000000004</v>
      </c>
      <c r="AA938" s="473">
        <f t="shared" si="147"/>
        <v>-59.73935000000003</v>
      </c>
      <c r="AB938" s="339">
        <f>+IF(P938=0,0,(U938/F938)-1)</f>
        <v>-0.16211350293542071</v>
      </c>
    </row>
    <row r="939" spans="2:28" ht="20.100000000000001" customHeight="1">
      <c r="B939" s="172">
        <v>1427200</v>
      </c>
      <c r="C939" s="174">
        <v>44503</v>
      </c>
      <c r="D939" s="181" t="s">
        <v>263</v>
      </c>
      <c r="E939" s="173" t="s">
        <v>33</v>
      </c>
      <c r="F939" s="176">
        <v>1788.5</v>
      </c>
      <c r="G939" s="175">
        <f t="shared" si="150"/>
        <v>14</v>
      </c>
      <c r="H939" s="175">
        <f t="shared" si="143"/>
        <v>1788.5</v>
      </c>
      <c r="I939" s="177">
        <f>IF(G939=0,0,IF(E939="MXN",1/HLOOKUP(YEAR(C939)+(MONTH(C939)/100),TC!$5:$37,DAY(C939)+2,FALSE),VLOOKUP(E939,Equivalencia!$5:$23,((MAX(Equivalencia!$3:$3)-YEAR(C939))*14)+MONTH(C939)+2,FALSE)))</f>
        <v>1</v>
      </c>
      <c r="J939" s="178">
        <f t="shared" si="151"/>
        <v>1788.5</v>
      </c>
      <c r="K939" s="462">
        <f>IF(C939=0,0,VLOOKUP(YEAR(C939),INPC!$B$4:$O$29,MONTH(C939)+1))</f>
        <v>116.884</v>
      </c>
      <c r="L939" s="462">
        <f>IF(S939=0,0,VLOOKUP(YEAR(S939),INPC!$B$4:$O$29,MONTH(S939)+1))</f>
        <v>125.276</v>
      </c>
      <c r="M939" s="463">
        <f t="shared" si="144"/>
        <v>1.0717000000000001</v>
      </c>
      <c r="N939" s="465">
        <f t="shared" si="152"/>
        <v>1916.7354500000001</v>
      </c>
      <c r="O939" s="179"/>
      <c r="P939" s="180">
        <v>14</v>
      </c>
      <c r="Q939" s="173" t="s">
        <v>583</v>
      </c>
      <c r="R939" s="173" t="s">
        <v>230</v>
      </c>
      <c r="S939" s="174">
        <v>44845</v>
      </c>
      <c r="T939" s="173" t="s">
        <v>33</v>
      </c>
      <c r="U939" s="182">
        <v>1501.26</v>
      </c>
      <c r="V939" s="177">
        <f>IF(U939=0,0,IF(T939="MXN",1/HLOOKUP(YEAR(S939)+(MONTH(S939)/100),TC!$5:$37,DAY(S939)+2,FALSE),VLOOKUP(T939,Equivalencia!$1:$23,((MAX(Equivalencia!$3:$3)-YEAR(S939))*14)+MONTH(S939)+2,FALSE)))</f>
        <v>1</v>
      </c>
      <c r="W939" s="178">
        <f t="shared" si="149"/>
        <v>1501.26</v>
      </c>
      <c r="X939" s="481">
        <f t="shared" si="145"/>
        <v>-287.24</v>
      </c>
      <c r="Y939" s="179"/>
      <c r="Z939" s="466">
        <f t="shared" si="146"/>
        <v>1916.7354500000001</v>
      </c>
      <c r="AA939" s="473">
        <f t="shared" si="147"/>
        <v>-415.47545000000014</v>
      </c>
      <c r="AB939" s="339">
        <f t="shared" si="148"/>
        <v>-0.16060385798154875</v>
      </c>
    </row>
    <row r="940" spans="2:28" ht="20.100000000000001" customHeight="1">
      <c r="B940" s="172">
        <v>1427200</v>
      </c>
      <c r="C940" s="174">
        <v>44503</v>
      </c>
      <c r="D940" s="181" t="s">
        <v>263</v>
      </c>
      <c r="E940" s="173" t="s">
        <v>33</v>
      </c>
      <c r="F940" s="176">
        <v>511</v>
      </c>
      <c r="G940" s="175">
        <f t="shared" si="150"/>
        <v>4</v>
      </c>
      <c r="H940" s="175">
        <f t="shared" si="143"/>
        <v>511</v>
      </c>
      <c r="I940" s="177">
        <f>IF(G940=0,0,IF(E940="MXN",1/HLOOKUP(YEAR(C940)+(MONTH(C940)/100),TC!$5:$37,DAY(C940)+2,FALSE),VLOOKUP(E940,Equivalencia!$5:$23,((MAX(Equivalencia!$3:$3)-YEAR(C940))*14)+MONTH(C940)+2,FALSE)))</f>
        <v>1</v>
      </c>
      <c r="J940" s="178">
        <f t="shared" si="151"/>
        <v>511</v>
      </c>
      <c r="K940" s="462">
        <f>IF(C940=0,0,VLOOKUP(YEAR(C940),INPC!$B$4:$O$29,MONTH(C940)+1))</f>
        <v>116.884</v>
      </c>
      <c r="L940" s="462">
        <f>IF(S940=0,0,VLOOKUP(YEAR(S940),INPC!$B$4:$O$29,MONTH(S940)+1))</f>
        <v>125.276</v>
      </c>
      <c r="M940" s="463">
        <f t="shared" si="144"/>
        <v>1.0717000000000001</v>
      </c>
      <c r="N940" s="465">
        <f t="shared" si="152"/>
        <v>547.63870000000009</v>
      </c>
      <c r="O940" s="179"/>
      <c r="P940" s="180">
        <v>4</v>
      </c>
      <c r="Q940" s="173" t="s">
        <v>583</v>
      </c>
      <c r="R940" s="173" t="s">
        <v>230</v>
      </c>
      <c r="S940" s="174">
        <v>44847</v>
      </c>
      <c r="T940" s="173" t="s">
        <v>33</v>
      </c>
      <c r="U940" s="182">
        <v>416.21</v>
      </c>
      <c r="V940" s="177">
        <f>IF(U940=0,0,IF(T940="MXN",1/HLOOKUP(YEAR(S940)+(MONTH(S940)/100),TC!$5:$37,DAY(S940)+2,FALSE),VLOOKUP(T940,Equivalencia!$1:$23,((MAX(Equivalencia!$3:$3)-YEAR(S940))*14)+MONTH(S940)+2,FALSE)))</f>
        <v>1</v>
      </c>
      <c r="W940" s="178">
        <f t="shared" si="149"/>
        <v>416.21</v>
      </c>
      <c r="X940" s="481">
        <f t="shared" si="145"/>
        <v>-94.79000000000002</v>
      </c>
      <c r="Y940" s="179"/>
      <c r="Z940" s="466">
        <f t="shared" si="146"/>
        <v>547.63870000000009</v>
      </c>
      <c r="AA940" s="473">
        <f t="shared" si="147"/>
        <v>-131.42870000000011</v>
      </c>
      <c r="AB940" s="339">
        <f t="shared" si="148"/>
        <v>-0.18549902152641884</v>
      </c>
    </row>
    <row r="941" spans="2:28" ht="20.100000000000001" customHeight="1">
      <c r="B941" s="172">
        <v>1427200</v>
      </c>
      <c r="C941" s="174">
        <v>44503</v>
      </c>
      <c r="D941" s="181" t="s">
        <v>263</v>
      </c>
      <c r="E941" s="173" t="s">
        <v>33</v>
      </c>
      <c r="F941" s="176">
        <v>1277.5</v>
      </c>
      <c r="G941" s="175">
        <f t="shared" si="150"/>
        <v>10</v>
      </c>
      <c r="H941" s="175">
        <f t="shared" si="143"/>
        <v>1277.5</v>
      </c>
      <c r="I941" s="177">
        <f>IF(G941=0,0,IF(E941="MXN",1/HLOOKUP(YEAR(C941)+(MONTH(C941)/100),TC!$5:$37,DAY(C941)+2,FALSE),VLOOKUP(E941,Equivalencia!$5:$23,((MAX(Equivalencia!$3:$3)-YEAR(C941))*14)+MONTH(C941)+2,FALSE)))</f>
        <v>1</v>
      </c>
      <c r="J941" s="178">
        <f t="shared" si="151"/>
        <v>1277.5</v>
      </c>
      <c r="K941" s="462">
        <f>IF(C941=0,0,VLOOKUP(YEAR(C941),INPC!$B$4:$O$29,MONTH(C941)+1))</f>
        <v>116.884</v>
      </c>
      <c r="L941" s="462">
        <f>IF(S941=0,0,VLOOKUP(YEAR(S941),INPC!$B$4:$O$29,MONTH(S941)+1))</f>
        <v>125.276</v>
      </c>
      <c r="M941" s="463">
        <f t="shared" si="144"/>
        <v>1.0717000000000001</v>
      </c>
      <c r="N941" s="465">
        <f t="shared" si="152"/>
        <v>1369.0967500000002</v>
      </c>
      <c r="O941" s="179"/>
      <c r="P941" s="180">
        <v>10</v>
      </c>
      <c r="Q941" s="173" t="s">
        <v>583</v>
      </c>
      <c r="R941" s="173" t="s">
        <v>230</v>
      </c>
      <c r="S941" s="174">
        <v>44847</v>
      </c>
      <c r="T941" s="173" t="s">
        <v>33</v>
      </c>
      <c r="U941" s="182">
        <v>1031.52</v>
      </c>
      <c r="V941" s="177">
        <f>IF(U941=0,0,IF(T941="MXN",1/HLOOKUP(YEAR(S941)+(MONTH(S941)/100),TC!$5:$37,DAY(S941)+2,FALSE),VLOOKUP(T941,Equivalencia!$1:$23,((MAX(Equivalencia!$3:$3)-YEAR(S941))*14)+MONTH(S941)+2,FALSE)))</f>
        <v>1</v>
      </c>
      <c r="W941" s="178">
        <f t="shared" si="149"/>
        <v>1031.52</v>
      </c>
      <c r="X941" s="481">
        <f t="shared" si="145"/>
        <v>-245.98000000000002</v>
      </c>
      <c r="Y941" s="179"/>
      <c r="Z941" s="466">
        <f t="shared" si="146"/>
        <v>1369.0967500000002</v>
      </c>
      <c r="AA941" s="473">
        <f t="shared" si="147"/>
        <v>-337.57675000000017</v>
      </c>
      <c r="AB941" s="339">
        <f t="shared" si="148"/>
        <v>-0.19254794520547946</v>
      </c>
    </row>
    <row r="942" spans="2:28" ht="20.100000000000001" customHeight="1">
      <c r="B942" s="172">
        <v>1427200</v>
      </c>
      <c r="C942" s="174">
        <v>44503</v>
      </c>
      <c r="D942" s="181" t="s">
        <v>263</v>
      </c>
      <c r="E942" s="173" t="s">
        <v>33</v>
      </c>
      <c r="F942" s="176">
        <v>127.75</v>
      </c>
      <c r="G942" s="175">
        <f t="shared" si="150"/>
        <v>1</v>
      </c>
      <c r="H942" s="175">
        <f t="shared" si="143"/>
        <v>127.75</v>
      </c>
      <c r="I942" s="177">
        <f>IF(G942=0,0,IF(E942="MXN",1/HLOOKUP(YEAR(C942)+(MONTH(C942)/100),TC!$5:$37,DAY(C942)+2,FALSE),VLOOKUP(E942,Equivalencia!$5:$23,((MAX(Equivalencia!$3:$3)-YEAR(C942))*14)+MONTH(C942)+2,FALSE)))</f>
        <v>1</v>
      </c>
      <c r="J942" s="178">
        <f t="shared" si="151"/>
        <v>127.75</v>
      </c>
      <c r="K942" s="462">
        <f>IF(C942=0,0,VLOOKUP(YEAR(C942),INPC!$B$4:$O$29,MONTH(C942)+1))</f>
        <v>116.884</v>
      </c>
      <c r="L942" s="462">
        <f>IF(S942=0,0,VLOOKUP(YEAR(S942),INPC!$B$4:$O$29,MONTH(S942)+1))</f>
        <v>125.276</v>
      </c>
      <c r="M942" s="463">
        <f t="shared" si="144"/>
        <v>1.0717000000000001</v>
      </c>
      <c r="N942" s="465">
        <f t="shared" si="152"/>
        <v>136.90967500000002</v>
      </c>
      <c r="O942" s="179"/>
      <c r="P942" s="180">
        <v>1</v>
      </c>
      <c r="Q942" s="173" t="s">
        <v>583</v>
      </c>
      <c r="R942" s="173" t="s">
        <v>230</v>
      </c>
      <c r="S942" s="174">
        <v>44848</v>
      </c>
      <c r="T942" s="173" t="s">
        <v>33</v>
      </c>
      <c r="U942" s="182">
        <v>101.69</v>
      </c>
      <c r="V942" s="177">
        <f>IF(U942=0,0,IF(T942="MXN",1/HLOOKUP(YEAR(S942)+(MONTH(S942)/100),TC!$5:$37,DAY(S942)+2,FALSE),VLOOKUP(T942,Equivalencia!$1:$23,((MAX(Equivalencia!$3:$3)-YEAR(S942))*14)+MONTH(S942)+2,FALSE)))</f>
        <v>1</v>
      </c>
      <c r="W942" s="178">
        <f t="shared" si="149"/>
        <v>101.69</v>
      </c>
      <c r="X942" s="481">
        <f t="shared" si="145"/>
        <v>-26.060000000000002</v>
      </c>
      <c r="Y942" s="179"/>
      <c r="Z942" s="466">
        <f t="shared" si="146"/>
        <v>136.90967500000002</v>
      </c>
      <c r="AA942" s="473">
        <f t="shared" si="147"/>
        <v>-35.219675000000024</v>
      </c>
      <c r="AB942" s="339">
        <f t="shared" si="148"/>
        <v>-0.20399217221135035</v>
      </c>
    </row>
    <row r="943" spans="2:28" ht="20.100000000000001" customHeight="1">
      <c r="B943" s="172">
        <v>1427200</v>
      </c>
      <c r="C943" s="174">
        <v>44503</v>
      </c>
      <c r="D943" s="181" t="s">
        <v>263</v>
      </c>
      <c r="E943" s="173" t="s">
        <v>33</v>
      </c>
      <c r="F943" s="176">
        <v>255.5</v>
      </c>
      <c r="G943" s="175">
        <f t="shared" si="150"/>
        <v>2</v>
      </c>
      <c r="H943" s="175">
        <f t="shared" si="143"/>
        <v>255.5</v>
      </c>
      <c r="I943" s="177">
        <f>IF(G943=0,0,IF(E943="MXN",1/HLOOKUP(YEAR(C943)+(MONTH(C943)/100),TC!$5:$37,DAY(C943)+2,FALSE),VLOOKUP(E943,Equivalencia!$5:$23,((MAX(Equivalencia!$3:$3)-YEAR(C943))*14)+MONTH(C943)+2,FALSE)))</f>
        <v>1</v>
      </c>
      <c r="J943" s="178">
        <f t="shared" si="151"/>
        <v>255.5</v>
      </c>
      <c r="K943" s="462">
        <f>IF(C943=0,0,VLOOKUP(YEAR(C943),INPC!$B$4:$O$29,MONTH(C943)+1))</f>
        <v>116.884</v>
      </c>
      <c r="L943" s="462">
        <f>IF(S943=0,0,VLOOKUP(YEAR(S943),INPC!$B$4:$O$29,MONTH(S943)+1))</f>
        <v>125.276</v>
      </c>
      <c r="M943" s="463">
        <f t="shared" si="144"/>
        <v>1.0717000000000001</v>
      </c>
      <c r="N943" s="465">
        <f t="shared" si="152"/>
        <v>273.81935000000004</v>
      </c>
      <c r="O943" s="179"/>
      <c r="P943" s="180">
        <v>2</v>
      </c>
      <c r="Q943" s="173" t="s">
        <v>583</v>
      </c>
      <c r="R943" s="173" t="s">
        <v>230</v>
      </c>
      <c r="S943" s="174">
        <v>44848</v>
      </c>
      <c r="T943" s="173" t="s">
        <v>33</v>
      </c>
      <c r="U943" s="182">
        <v>202.15</v>
      </c>
      <c r="V943" s="177">
        <f>IF(U943=0,0,IF(T943="MXN",1/HLOOKUP(YEAR(S943)+(MONTH(S943)/100),TC!$5:$37,DAY(S943)+2,FALSE),VLOOKUP(T943,Equivalencia!$1:$23,((MAX(Equivalencia!$3:$3)-YEAR(S943))*14)+MONTH(S943)+2,FALSE)))</f>
        <v>1</v>
      </c>
      <c r="W943" s="178">
        <f t="shared" si="149"/>
        <v>202.15</v>
      </c>
      <c r="X943" s="481">
        <f t="shared" si="145"/>
        <v>-53.349999999999994</v>
      </c>
      <c r="Y943" s="179"/>
      <c r="Z943" s="466">
        <f t="shared" si="146"/>
        <v>273.81935000000004</v>
      </c>
      <c r="AA943" s="473">
        <f t="shared" si="147"/>
        <v>-71.669350000000037</v>
      </c>
      <c r="AB943" s="339">
        <f t="shared" si="148"/>
        <v>-0.20880626223091969</v>
      </c>
    </row>
    <row r="944" spans="2:28" ht="20.100000000000001" customHeight="1">
      <c r="B944" s="172">
        <v>1427200</v>
      </c>
      <c r="C944" s="174">
        <v>44503</v>
      </c>
      <c r="D944" s="181" t="s">
        <v>263</v>
      </c>
      <c r="E944" s="173" t="s">
        <v>33</v>
      </c>
      <c r="F944" s="176">
        <v>127.75</v>
      </c>
      <c r="G944" s="175">
        <f t="shared" si="150"/>
        <v>1</v>
      </c>
      <c r="H944" s="175">
        <f t="shared" si="143"/>
        <v>127.75</v>
      </c>
      <c r="I944" s="177">
        <f>IF(G944=0,0,IF(E944="MXN",1/HLOOKUP(YEAR(C944)+(MONTH(C944)/100),TC!$5:$37,DAY(C944)+2,FALSE),VLOOKUP(E944,Equivalencia!$5:$23,((MAX(Equivalencia!$3:$3)-YEAR(C944))*14)+MONTH(C944)+2,FALSE)))</f>
        <v>1</v>
      </c>
      <c r="J944" s="178">
        <f t="shared" si="151"/>
        <v>127.75</v>
      </c>
      <c r="K944" s="462">
        <f>IF(C944=0,0,VLOOKUP(YEAR(C944),INPC!$B$4:$O$29,MONTH(C944)+1))</f>
        <v>116.884</v>
      </c>
      <c r="L944" s="462">
        <f>IF(S944=0,0,VLOOKUP(YEAR(S944),INPC!$B$4:$O$29,MONTH(S944)+1))</f>
        <v>125.276</v>
      </c>
      <c r="M944" s="463">
        <f t="shared" si="144"/>
        <v>1.0717000000000001</v>
      </c>
      <c r="N944" s="465">
        <f t="shared" si="152"/>
        <v>136.90967500000002</v>
      </c>
      <c r="O944" s="179"/>
      <c r="P944" s="180">
        <v>1</v>
      </c>
      <c r="Q944" s="173" t="s">
        <v>583</v>
      </c>
      <c r="R944" s="173" t="s">
        <v>230</v>
      </c>
      <c r="S944" s="174">
        <v>44851</v>
      </c>
      <c r="T944" s="173" t="s">
        <v>33</v>
      </c>
      <c r="U944" s="182">
        <v>105.05</v>
      </c>
      <c r="V944" s="177">
        <f>IF(U944=0,0,IF(T944="MXN",1/HLOOKUP(YEAR(S944)+(MONTH(S944)/100),TC!$5:$37,DAY(S944)+2,FALSE),VLOOKUP(T944,Equivalencia!$1:$23,((MAX(Equivalencia!$3:$3)-YEAR(S944))*14)+MONTH(S944)+2,FALSE)))</f>
        <v>1</v>
      </c>
      <c r="W944" s="178">
        <f t="shared" si="149"/>
        <v>105.05</v>
      </c>
      <c r="X944" s="481">
        <f t="shared" si="145"/>
        <v>-22.700000000000003</v>
      </c>
      <c r="Y944" s="179"/>
      <c r="Z944" s="466">
        <f t="shared" si="146"/>
        <v>136.90967500000002</v>
      </c>
      <c r="AA944" s="473">
        <f t="shared" si="147"/>
        <v>-31.859675000000024</v>
      </c>
      <c r="AB944" s="339">
        <f t="shared" si="148"/>
        <v>-0.17769080234833656</v>
      </c>
    </row>
    <row r="945" spans="2:28" ht="20.100000000000001" customHeight="1">
      <c r="B945" s="172">
        <v>1427200</v>
      </c>
      <c r="C945" s="174">
        <v>44736</v>
      </c>
      <c r="D945" s="181" t="s">
        <v>395</v>
      </c>
      <c r="E945" s="173" t="s">
        <v>33</v>
      </c>
      <c r="F945" s="176">
        <v>229.99071428571429</v>
      </c>
      <c r="G945" s="175">
        <f t="shared" si="150"/>
        <v>3</v>
      </c>
      <c r="H945" s="175">
        <f t="shared" si="143"/>
        <v>229.99071428571429</v>
      </c>
      <c r="I945" s="177">
        <f>IF(G945=0,0,IF(E945="MXN",1/HLOOKUP(YEAR(C945)+(MONTH(C945)/100),TC!$5:$37,DAY(C945)+2,FALSE),VLOOKUP(E945,Equivalencia!$5:$23,((MAX(Equivalencia!$3:$3)-YEAR(C945))*14)+MONTH(C945)+2,FALSE)))</f>
        <v>1</v>
      </c>
      <c r="J945" s="178">
        <f t="shared" si="151"/>
        <v>229.99071428571429</v>
      </c>
      <c r="K945" s="462">
        <f>IF(C945=0,0,VLOOKUP(YEAR(C945),INPC!$B$4:$O$29,MONTH(C945)+1))</f>
        <v>122.044</v>
      </c>
      <c r="L945" s="462">
        <f>IF(S945=0,0,VLOOKUP(YEAR(S945),INPC!$B$4:$O$29,MONTH(S945)+1))</f>
        <v>125.276</v>
      </c>
      <c r="M945" s="463">
        <f t="shared" si="144"/>
        <v>1.0264</v>
      </c>
      <c r="N945" s="465">
        <f t="shared" si="152"/>
        <v>236.06246914285714</v>
      </c>
      <c r="O945" s="179"/>
      <c r="P945" s="180">
        <v>3</v>
      </c>
      <c r="Q945" s="173" t="s">
        <v>583</v>
      </c>
      <c r="R945" s="173" t="s">
        <v>230</v>
      </c>
      <c r="S945" s="174">
        <v>44845</v>
      </c>
      <c r="T945" s="173" t="s">
        <v>33</v>
      </c>
      <c r="U945" s="182">
        <v>195.47</v>
      </c>
      <c r="V945" s="177">
        <f>IF(U945=0,0,IF(T945="MXN",1/HLOOKUP(YEAR(S945)+(MONTH(S945)/100),TC!$5:$37,DAY(S945)+2,FALSE),VLOOKUP(T945,Equivalencia!$1:$23,((MAX(Equivalencia!$3:$3)-YEAR(S945))*14)+MONTH(S945)+2,FALSE)))</f>
        <v>1</v>
      </c>
      <c r="W945" s="178">
        <f t="shared" si="149"/>
        <v>195.47</v>
      </c>
      <c r="X945" s="481">
        <f t="shared" si="145"/>
        <v>-34.520714285714291</v>
      </c>
      <c r="Y945" s="179"/>
      <c r="Z945" s="466">
        <f t="shared" si="146"/>
        <v>236.06246914285714</v>
      </c>
      <c r="AA945" s="473">
        <f t="shared" si="147"/>
        <v>-40.592469142857141</v>
      </c>
      <c r="AB945" s="339">
        <f t="shared" si="148"/>
        <v>-0.15009612189311994</v>
      </c>
    </row>
    <row r="946" spans="2:28" ht="20.100000000000001" customHeight="1">
      <c r="B946" s="172">
        <v>1427200</v>
      </c>
      <c r="C946" s="174">
        <v>44736</v>
      </c>
      <c r="D946" s="181" t="s">
        <v>395</v>
      </c>
      <c r="E946" s="173" t="s">
        <v>33</v>
      </c>
      <c r="F946" s="176">
        <v>229.99071428571429</v>
      </c>
      <c r="G946" s="175">
        <f t="shared" si="150"/>
        <v>3</v>
      </c>
      <c r="H946" s="175">
        <f t="shared" si="143"/>
        <v>229.99071428571429</v>
      </c>
      <c r="I946" s="177">
        <f>IF(G946=0,0,IF(E946="MXN",1/HLOOKUP(YEAR(C946)+(MONTH(C946)/100),TC!$5:$37,DAY(C946)+2,FALSE),VLOOKUP(E946,Equivalencia!$5:$23,((MAX(Equivalencia!$3:$3)-YEAR(C946))*14)+MONTH(C946)+2,FALSE)))</f>
        <v>1</v>
      </c>
      <c r="J946" s="178">
        <f t="shared" si="151"/>
        <v>229.99071428571429</v>
      </c>
      <c r="K946" s="462">
        <f>IF(C946=0,0,VLOOKUP(YEAR(C946),INPC!$B$4:$O$29,MONTH(C946)+1))</f>
        <v>122.044</v>
      </c>
      <c r="L946" s="462">
        <f>IF(S946=0,0,VLOOKUP(YEAR(S946),INPC!$B$4:$O$29,MONTH(S946)+1))</f>
        <v>125.276</v>
      </c>
      <c r="M946" s="463">
        <f t="shared" si="144"/>
        <v>1.0264</v>
      </c>
      <c r="N946" s="465">
        <f t="shared" si="152"/>
        <v>236.06246914285714</v>
      </c>
      <c r="O946" s="179"/>
      <c r="P946" s="180">
        <v>3</v>
      </c>
      <c r="Q946" s="173" t="s">
        <v>583</v>
      </c>
      <c r="R946" s="173" t="s">
        <v>230</v>
      </c>
      <c r="S946" s="174">
        <v>44845</v>
      </c>
      <c r="T946" s="173" t="s">
        <v>33</v>
      </c>
      <c r="U946" s="182">
        <v>192.44</v>
      </c>
      <c r="V946" s="177">
        <f>IF(U946=0,0,IF(T946="MXN",1/HLOOKUP(YEAR(S946)+(MONTH(S946)/100),TC!$5:$37,DAY(S946)+2,FALSE),VLOOKUP(T946,Equivalencia!$1:$23,((MAX(Equivalencia!$3:$3)-YEAR(S946))*14)+MONTH(S946)+2,FALSE)))</f>
        <v>1</v>
      </c>
      <c r="W946" s="178">
        <f t="shared" si="149"/>
        <v>192.44</v>
      </c>
      <c r="X946" s="481">
        <f t="shared" si="145"/>
        <v>-37.550714285714292</v>
      </c>
      <c r="Y946" s="179"/>
      <c r="Z946" s="466">
        <f t="shared" si="146"/>
        <v>236.06246914285714</v>
      </c>
      <c r="AA946" s="473">
        <f t="shared" si="147"/>
        <v>-43.622469142857142</v>
      </c>
      <c r="AB946" s="339">
        <f t="shared" si="148"/>
        <v>-0.16327056682412644</v>
      </c>
    </row>
    <row r="947" spans="2:28" ht="20.100000000000001" customHeight="1">
      <c r="B947" s="172">
        <v>1427200</v>
      </c>
      <c r="C947" s="174">
        <v>44736</v>
      </c>
      <c r="D947" s="181" t="s">
        <v>395</v>
      </c>
      <c r="E947" s="173" t="s">
        <v>33</v>
      </c>
      <c r="F947" s="176">
        <v>613.30857142857144</v>
      </c>
      <c r="G947" s="175">
        <f t="shared" si="150"/>
        <v>8</v>
      </c>
      <c r="H947" s="175">
        <f t="shared" si="143"/>
        <v>613.30857142857144</v>
      </c>
      <c r="I947" s="177">
        <f>IF(G947=0,0,IF(E947="MXN",1/HLOOKUP(YEAR(C947)+(MONTH(C947)/100),TC!$5:$37,DAY(C947)+2,FALSE),VLOOKUP(E947,Equivalencia!$5:$23,((MAX(Equivalencia!$3:$3)-YEAR(C947))*14)+MONTH(C947)+2,FALSE)))</f>
        <v>1</v>
      </c>
      <c r="J947" s="178">
        <f t="shared" si="151"/>
        <v>613.30857142857144</v>
      </c>
      <c r="K947" s="462">
        <f>IF(C947=0,0,VLOOKUP(YEAR(C947),INPC!$B$4:$O$29,MONTH(C947)+1))</f>
        <v>122.044</v>
      </c>
      <c r="L947" s="462">
        <f>IF(S947=0,0,VLOOKUP(YEAR(S947),INPC!$B$4:$O$29,MONTH(S947)+1))</f>
        <v>125.276</v>
      </c>
      <c r="M947" s="463">
        <f t="shared" si="144"/>
        <v>1.0264</v>
      </c>
      <c r="N947" s="465">
        <f t="shared" si="152"/>
        <v>629.49991771428574</v>
      </c>
      <c r="O947" s="179"/>
      <c r="P947" s="180">
        <v>8</v>
      </c>
      <c r="Q947" s="173" t="s">
        <v>583</v>
      </c>
      <c r="R947" s="173" t="s">
        <v>230</v>
      </c>
      <c r="S947" s="174">
        <v>44845</v>
      </c>
      <c r="T947" s="173" t="s">
        <v>33</v>
      </c>
      <c r="U947" s="182">
        <v>517.0577777777778</v>
      </c>
      <c r="V947" s="177">
        <f>IF(U947=0,0,IF(T947="MXN",1/HLOOKUP(YEAR(S947)+(MONTH(S947)/100),TC!$5:$37,DAY(S947)+2,FALSE),VLOOKUP(T947,Equivalencia!$1:$23,((MAX(Equivalencia!$3:$3)-YEAR(S947))*14)+MONTH(S947)+2,FALSE)))</f>
        <v>1</v>
      </c>
      <c r="W947" s="178">
        <f t="shared" si="149"/>
        <v>517.0577777777778</v>
      </c>
      <c r="X947" s="481">
        <f t="shared" si="145"/>
        <v>-96.250793650793639</v>
      </c>
      <c r="Y947" s="179"/>
      <c r="Z947" s="466">
        <f t="shared" si="146"/>
        <v>629.49991771428574</v>
      </c>
      <c r="AA947" s="473">
        <f t="shared" si="147"/>
        <v>-112.44213993650794</v>
      </c>
      <c r="AB947" s="339">
        <f t="shared" si="148"/>
        <v>-0.15693697778688787</v>
      </c>
    </row>
    <row r="948" spans="2:28" ht="20.100000000000001" customHeight="1">
      <c r="B948" s="172">
        <v>1427200</v>
      </c>
      <c r="C948" s="174">
        <v>44739</v>
      </c>
      <c r="D948" s="181" t="s">
        <v>395</v>
      </c>
      <c r="E948" s="173" t="s">
        <v>33</v>
      </c>
      <c r="F948" s="176">
        <v>76.709999999999994</v>
      </c>
      <c r="G948" s="175">
        <f t="shared" si="150"/>
        <v>1</v>
      </c>
      <c r="H948" s="175">
        <f t="shared" si="143"/>
        <v>76.709999999999994</v>
      </c>
      <c r="I948" s="177">
        <f>IF(G948=0,0,IF(E948="MXN",1/HLOOKUP(YEAR(C948)+(MONTH(C948)/100),TC!$5:$37,DAY(C948)+2,FALSE),VLOOKUP(E948,Equivalencia!$5:$23,((MAX(Equivalencia!$3:$3)-YEAR(C948))*14)+MONTH(C948)+2,FALSE)))</f>
        <v>1</v>
      </c>
      <c r="J948" s="178">
        <f t="shared" si="151"/>
        <v>76.709999999999994</v>
      </c>
      <c r="K948" s="462">
        <f>IF(C948=0,0,VLOOKUP(YEAR(C948),INPC!$B$4:$O$29,MONTH(C948)+1))</f>
        <v>122.044</v>
      </c>
      <c r="L948" s="462">
        <f>IF(S948=0,0,VLOOKUP(YEAR(S948),INPC!$B$4:$O$29,MONTH(S948)+1))</f>
        <v>125.276</v>
      </c>
      <c r="M948" s="463">
        <f t="shared" si="144"/>
        <v>1.0264</v>
      </c>
      <c r="N948" s="465">
        <f t="shared" si="152"/>
        <v>78.735143999999991</v>
      </c>
      <c r="O948" s="179"/>
      <c r="P948" s="180">
        <v>1</v>
      </c>
      <c r="Q948" s="173" t="s">
        <v>583</v>
      </c>
      <c r="R948" s="173" t="s">
        <v>230</v>
      </c>
      <c r="S948" s="174">
        <v>44845</v>
      </c>
      <c r="T948" s="173" t="s">
        <v>33</v>
      </c>
      <c r="U948" s="182">
        <v>64.632222222222225</v>
      </c>
      <c r="V948" s="177">
        <f>IF(U948=0,0,IF(T948="MXN",1/HLOOKUP(YEAR(S948)+(MONTH(S948)/100),TC!$5:$37,DAY(S948)+2,FALSE),VLOOKUP(T948,Equivalencia!$1:$23,((MAX(Equivalencia!$3:$3)-YEAR(S948))*14)+MONTH(S948)+2,FALSE)))</f>
        <v>1</v>
      </c>
      <c r="W948" s="178">
        <f t="shared" si="149"/>
        <v>64.632222222222225</v>
      </c>
      <c r="X948" s="481">
        <f t="shared" si="145"/>
        <v>-12.077777777777769</v>
      </c>
      <c r="Y948" s="179"/>
      <c r="Z948" s="466">
        <f t="shared" si="146"/>
        <v>78.735143999999991</v>
      </c>
      <c r="AA948" s="473">
        <f t="shared" si="147"/>
        <v>-14.102921777777766</v>
      </c>
      <c r="AB948" s="339">
        <f t="shared" si="148"/>
        <v>-0.15744723996581633</v>
      </c>
    </row>
    <row r="949" spans="2:28" ht="20.100000000000001" customHeight="1">
      <c r="B949" s="172">
        <v>1427200</v>
      </c>
      <c r="C949" s="174">
        <v>44740</v>
      </c>
      <c r="D949" s="181" t="s">
        <v>395</v>
      </c>
      <c r="E949" s="173" t="s">
        <v>33</v>
      </c>
      <c r="F949" s="176">
        <v>150.89090909090908</v>
      </c>
      <c r="G949" s="175">
        <f t="shared" si="150"/>
        <v>2</v>
      </c>
      <c r="H949" s="175">
        <f t="shared" si="143"/>
        <v>150.89090909090908</v>
      </c>
      <c r="I949" s="177">
        <f>IF(G949=0,0,IF(E949="MXN",1/HLOOKUP(YEAR(C949)+(MONTH(C949)/100),TC!$5:$37,DAY(C949)+2,FALSE),VLOOKUP(E949,Equivalencia!$5:$23,((MAX(Equivalencia!$3:$3)-YEAR(C949))*14)+MONTH(C949)+2,FALSE)))</f>
        <v>1</v>
      </c>
      <c r="J949" s="178">
        <f t="shared" si="151"/>
        <v>150.89090909090908</v>
      </c>
      <c r="K949" s="462">
        <f>IF(C949=0,0,VLOOKUP(YEAR(C949),INPC!$B$4:$O$29,MONTH(C949)+1))</f>
        <v>122.044</v>
      </c>
      <c r="L949" s="462">
        <f>IF(S949=0,0,VLOOKUP(YEAR(S949),INPC!$B$4:$O$29,MONTH(S949)+1))</f>
        <v>125.276</v>
      </c>
      <c r="M949" s="463">
        <f t="shared" si="144"/>
        <v>1.0264</v>
      </c>
      <c r="N949" s="465">
        <f t="shared" si="152"/>
        <v>154.87442909090908</v>
      </c>
      <c r="O949" s="179"/>
      <c r="P949" s="180">
        <v>2</v>
      </c>
      <c r="Q949" s="173" t="s">
        <v>583</v>
      </c>
      <c r="R949" s="173" t="s">
        <v>230</v>
      </c>
      <c r="S949" s="174">
        <v>44845</v>
      </c>
      <c r="T949" s="173" t="s">
        <v>33</v>
      </c>
      <c r="U949" s="182">
        <v>128.16</v>
      </c>
      <c r="V949" s="177">
        <f>IF(U949=0,0,IF(T949="MXN",1/HLOOKUP(YEAR(S949)+(MONTH(S949)/100),TC!$5:$37,DAY(S949)+2,FALSE),VLOOKUP(T949,Equivalencia!$1:$23,((MAX(Equivalencia!$3:$3)-YEAR(S949))*14)+MONTH(S949)+2,FALSE)))</f>
        <v>1</v>
      </c>
      <c r="W949" s="178">
        <f t="shared" si="149"/>
        <v>128.16</v>
      </c>
      <c r="X949" s="481">
        <f t="shared" si="145"/>
        <v>-22.73090909090908</v>
      </c>
      <c r="Y949" s="179"/>
      <c r="Z949" s="466">
        <f t="shared" si="146"/>
        <v>154.87442909090908</v>
      </c>
      <c r="AA949" s="473">
        <f t="shared" si="147"/>
        <v>-26.714429090909078</v>
      </c>
      <c r="AB949" s="339">
        <f t="shared" si="148"/>
        <v>-0.15064465598264842</v>
      </c>
    </row>
    <row r="950" spans="2:28" ht="20.100000000000001" customHeight="1">
      <c r="B950" s="172">
        <v>1427200</v>
      </c>
      <c r="C950" s="174">
        <v>44740</v>
      </c>
      <c r="D950" s="181" t="s">
        <v>395</v>
      </c>
      <c r="E950" s="173" t="s">
        <v>33</v>
      </c>
      <c r="F950" s="176">
        <v>75.445454545454538</v>
      </c>
      <c r="G950" s="175">
        <f t="shared" si="150"/>
        <v>1</v>
      </c>
      <c r="H950" s="175">
        <f t="shared" si="143"/>
        <v>75.445454545454538</v>
      </c>
      <c r="I950" s="177">
        <f>IF(G950=0,0,IF(E950="MXN",1/HLOOKUP(YEAR(C950)+(MONTH(C950)/100),TC!$5:$37,DAY(C950)+2,FALSE),VLOOKUP(E950,Equivalencia!$5:$23,((MAX(Equivalencia!$3:$3)-YEAR(C950))*14)+MONTH(C950)+2,FALSE)))</f>
        <v>1</v>
      </c>
      <c r="J950" s="178">
        <f t="shared" si="151"/>
        <v>75.445454545454538</v>
      </c>
      <c r="K950" s="462">
        <f>IF(C950=0,0,VLOOKUP(YEAR(C950),INPC!$B$4:$O$29,MONTH(C950)+1))</f>
        <v>122.044</v>
      </c>
      <c r="L950" s="462">
        <f>IF(S950=0,0,VLOOKUP(YEAR(S950),INPC!$B$4:$O$29,MONTH(S950)+1))</f>
        <v>125.276</v>
      </c>
      <c r="M950" s="463">
        <f t="shared" si="144"/>
        <v>1.0264</v>
      </c>
      <c r="N950" s="465">
        <f t="shared" si="152"/>
        <v>77.437214545454538</v>
      </c>
      <c r="O950" s="179"/>
      <c r="P950" s="180">
        <v>1</v>
      </c>
      <c r="Q950" s="173" t="s">
        <v>583</v>
      </c>
      <c r="R950" s="173" t="s">
        <v>230</v>
      </c>
      <c r="S950" s="174">
        <v>44845</v>
      </c>
      <c r="T950" s="173" t="s">
        <v>33</v>
      </c>
      <c r="U950" s="182">
        <v>64.959999999999994</v>
      </c>
      <c r="V950" s="177">
        <f>IF(U950=0,0,IF(T950="MXN",1/HLOOKUP(YEAR(S950)+(MONTH(S950)/100),TC!$5:$37,DAY(S950)+2,FALSE),VLOOKUP(T950,Equivalencia!$1:$23,((MAX(Equivalencia!$3:$3)-YEAR(S950))*14)+MONTH(S950)+2,FALSE)))</f>
        <v>1</v>
      </c>
      <c r="W950" s="178">
        <f t="shared" si="149"/>
        <v>64.959999999999994</v>
      </c>
      <c r="X950" s="481">
        <f t="shared" si="145"/>
        <v>-10.485454545454544</v>
      </c>
      <c r="Y950" s="179"/>
      <c r="Z950" s="466">
        <f t="shared" si="146"/>
        <v>77.437214545454538</v>
      </c>
      <c r="AA950" s="473">
        <f t="shared" si="147"/>
        <v>-12.477214545454544</v>
      </c>
      <c r="AB950" s="339">
        <f t="shared" si="148"/>
        <v>-0.13898060007229784</v>
      </c>
    </row>
    <row r="951" spans="2:28" ht="20.100000000000001" customHeight="1">
      <c r="B951" s="172">
        <v>1427200</v>
      </c>
      <c r="C951" s="174">
        <v>44740</v>
      </c>
      <c r="D951" s="181" t="s">
        <v>395</v>
      </c>
      <c r="E951" s="173" t="s">
        <v>33</v>
      </c>
      <c r="F951" s="176">
        <v>226.33636363636361</v>
      </c>
      <c r="G951" s="175">
        <f t="shared" si="150"/>
        <v>3</v>
      </c>
      <c r="H951" s="175">
        <f t="shared" si="143"/>
        <v>226.33636363636361</v>
      </c>
      <c r="I951" s="177">
        <f>IF(G951=0,0,IF(E951="MXN",1/HLOOKUP(YEAR(C951)+(MONTH(C951)/100),TC!$5:$37,DAY(C951)+2,FALSE),VLOOKUP(E951,Equivalencia!$5:$23,((MAX(Equivalencia!$3:$3)-YEAR(C951))*14)+MONTH(C951)+2,FALSE)))</f>
        <v>1</v>
      </c>
      <c r="J951" s="178">
        <f t="shared" si="151"/>
        <v>226.33636363636361</v>
      </c>
      <c r="K951" s="462">
        <f>IF(C951=0,0,VLOOKUP(YEAR(C951),INPC!$B$4:$O$29,MONTH(C951)+1))</f>
        <v>122.044</v>
      </c>
      <c r="L951" s="462">
        <f>IF(S951=0,0,VLOOKUP(YEAR(S951),INPC!$B$4:$O$29,MONTH(S951)+1))</f>
        <v>125.276</v>
      </c>
      <c r="M951" s="463">
        <f t="shared" si="144"/>
        <v>1.0264</v>
      </c>
      <c r="N951" s="465">
        <f t="shared" si="152"/>
        <v>232.31164363636361</v>
      </c>
      <c r="O951" s="179"/>
      <c r="P951" s="180">
        <v>3</v>
      </c>
      <c r="Q951" s="173" t="s">
        <v>583</v>
      </c>
      <c r="R951" s="173" t="s">
        <v>230</v>
      </c>
      <c r="S951" s="174">
        <v>44846</v>
      </c>
      <c r="T951" s="173" t="s">
        <v>33</v>
      </c>
      <c r="U951" s="182">
        <v>188.57</v>
      </c>
      <c r="V951" s="177">
        <f>IF(U951=0,0,IF(T951="MXN",1/HLOOKUP(YEAR(S951)+(MONTH(S951)/100),TC!$5:$37,DAY(S951)+2,FALSE),VLOOKUP(T951,Equivalencia!$1:$23,((MAX(Equivalencia!$3:$3)-YEAR(S951))*14)+MONTH(S951)+2,FALSE)))</f>
        <v>1</v>
      </c>
      <c r="W951" s="178">
        <f t="shared" si="149"/>
        <v>188.57</v>
      </c>
      <c r="X951" s="481">
        <f t="shared" si="145"/>
        <v>-37.766363636363621</v>
      </c>
      <c r="Y951" s="179"/>
      <c r="Z951" s="466">
        <f t="shared" si="146"/>
        <v>232.31164363636361</v>
      </c>
      <c r="AA951" s="473">
        <f t="shared" si="147"/>
        <v>-43.741643636363619</v>
      </c>
      <c r="AB951" s="339">
        <f t="shared" si="148"/>
        <v>-0.16685946097923443</v>
      </c>
    </row>
    <row r="952" spans="2:28" ht="20.100000000000001" customHeight="1">
      <c r="B952" s="172">
        <v>1427200</v>
      </c>
      <c r="C952" s="174">
        <v>44740</v>
      </c>
      <c r="D952" s="181" t="s">
        <v>395</v>
      </c>
      <c r="E952" s="173" t="s">
        <v>33</v>
      </c>
      <c r="F952" s="176">
        <v>301.78181818181815</v>
      </c>
      <c r="G952" s="175">
        <f t="shared" si="150"/>
        <v>4</v>
      </c>
      <c r="H952" s="175">
        <f t="shared" si="143"/>
        <v>301.78181818181815</v>
      </c>
      <c r="I952" s="177">
        <f>IF(G952=0,0,IF(E952="MXN",1/HLOOKUP(YEAR(C952)+(MONTH(C952)/100),TC!$5:$37,DAY(C952)+2,FALSE),VLOOKUP(E952,Equivalencia!$5:$23,((MAX(Equivalencia!$3:$3)-YEAR(C952))*14)+MONTH(C952)+2,FALSE)))</f>
        <v>1</v>
      </c>
      <c r="J952" s="178">
        <f t="shared" si="151"/>
        <v>301.78181818181815</v>
      </c>
      <c r="K952" s="462">
        <f>IF(C952=0,0,VLOOKUP(YEAR(C952),INPC!$B$4:$O$29,MONTH(C952)+1))</f>
        <v>122.044</v>
      </c>
      <c r="L952" s="462">
        <f>IF(S952=0,0,VLOOKUP(YEAR(S952),INPC!$B$4:$O$29,MONTH(S952)+1))</f>
        <v>125.276</v>
      </c>
      <c r="M952" s="463">
        <f t="shared" si="144"/>
        <v>1.0264</v>
      </c>
      <c r="N952" s="465">
        <f t="shared" si="152"/>
        <v>309.74885818181815</v>
      </c>
      <c r="O952" s="179"/>
      <c r="P952" s="180">
        <v>4</v>
      </c>
      <c r="Q952" s="173" t="s">
        <v>583</v>
      </c>
      <c r="R952" s="173" t="s">
        <v>230</v>
      </c>
      <c r="S952" s="174">
        <v>44846</v>
      </c>
      <c r="T952" s="173" t="s">
        <v>33</v>
      </c>
      <c r="U952" s="182">
        <v>251.85</v>
      </c>
      <c r="V952" s="177">
        <f>IF(U952=0,0,IF(T952="MXN",1/HLOOKUP(YEAR(S952)+(MONTH(S952)/100),TC!$5:$37,DAY(S952)+2,FALSE),VLOOKUP(T952,Equivalencia!$1:$23,((MAX(Equivalencia!$3:$3)-YEAR(S952))*14)+MONTH(S952)+2,FALSE)))</f>
        <v>1</v>
      </c>
      <c r="W952" s="178">
        <f t="shared" si="149"/>
        <v>251.85</v>
      </c>
      <c r="X952" s="481">
        <f t="shared" si="145"/>
        <v>-49.931818181818159</v>
      </c>
      <c r="Y952" s="179"/>
      <c r="Z952" s="466">
        <f t="shared" si="146"/>
        <v>309.74885818181815</v>
      </c>
      <c r="AA952" s="473">
        <f t="shared" si="147"/>
        <v>-57.898858181818156</v>
      </c>
      <c r="AB952" s="339">
        <f t="shared" si="148"/>
        <v>-0.16545668152789483</v>
      </c>
    </row>
    <row r="953" spans="2:28" ht="20.100000000000001" customHeight="1">
      <c r="B953" s="172">
        <v>1427200</v>
      </c>
      <c r="C953" s="174">
        <v>44740</v>
      </c>
      <c r="D953" s="181" t="s">
        <v>395</v>
      </c>
      <c r="E953" s="173" t="s">
        <v>33</v>
      </c>
      <c r="F953" s="176">
        <v>75.445454545454538</v>
      </c>
      <c r="G953" s="175">
        <f t="shared" si="150"/>
        <v>1</v>
      </c>
      <c r="H953" s="175">
        <f t="shared" si="143"/>
        <v>75.445454545454538</v>
      </c>
      <c r="I953" s="177">
        <f>IF(G953=0,0,IF(E953="MXN",1/HLOOKUP(YEAR(C953)+(MONTH(C953)/100),TC!$5:$37,DAY(C953)+2,FALSE),VLOOKUP(E953,Equivalencia!$5:$23,((MAX(Equivalencia!$3:$3)-YEAR(C953))*14)+MONTH(C953)+2,FALSE)))</f>
        <v>1</v>
      </c>
      <c r="J953" s="178">
        <f t="shared" si="151"/>
        <v>75.445454545454538</v>
      </c>
      <c r="K953" s="462">
        <f>IF(C953=0,0,VLOOKUP(YEAR(C953),INPC!$B$4:$O$29,MONTH(C953)+1))</f>
        <v>122.044</v>
      </c>
      <c r="L953" s="462">
        <f>IF(S953=0,0,VLOOKUP(YEAR(S953),INPC!$B$4:$O$29,MONTH(S953)+1))</f>
        <v>125.276</v>
      </c>
      <c r="M953" s="463">
        <f t="shared" si="144"/>
        <v>1.0264</v>
      </c>
      <c r="N953" s="465">
        <f t="shared" si="152"/>
        <v>77.437214545454538</v>
      </c>
      <c r="O953" s="179"/>
      <c r="P953" s="180">
        <v>1</v>
      </c>
      <c r="Q953" s="173" t="s">
        <v>583</v>
      </c>
      <c r="R953" s="173" t="s">
        <v>230</v>
      </c>
      <c r="S953" s="174">
        <v>44846</v>
      </c>
      <c r="T953" s="173" t="s">
        <v>33</v>
      </c>
      <c r="U953" s="182">
        <v>63.465000000000003</v>
      </c>
      <c r="V953" s="177">
        <f>IF(U953=0,0,IF(T953="MXN",1/HLOOKUP(YEAR(S953)+(MONTH(S953)/100),TC!$5:$37,DAY(S953)+2,FALSE),VLOOKUP(T953,Equivalencia!$1:$23,((MAX(Equivalencia!$3:$3)-YEAR(S953))*14)+MONTH(S953)+2,FALSE)))</f>
        <v>1</v>
      </c>
      <c r="W953" s="178">
        <f t="shared" si="149"/>
        <v>63.465000000000003</v>
      </c>
      <c r="X953" s="481">
        <f t="shared" si="145"/>
        <v>-11.980454545454535</v>
      </c>
      <c r="Y953" s="179"/>
      <c r="Z953" s="466">
        <f t="shared" si="146"/>
        <v>77.437214545454538</v>
      </c>
      <c r="AA953" s="473">
        <f t="shared" si="147"/>
        <v>-13.972214545454534</v>
      </c>
      <c r="AB953" s="339">
        <f t="shared" si="148"/>
        <v>-0.1587962405109048</v>
      </c>
    </row>
    <row r="954" spans="2:28" ht="20.100000000000001" customHeight="1">
      <c r="B954" s="172">
        <v>1427200</v>
      </c>
      <c r="C954" s="174">
        <v>44740</v>
      </c>
      <c r="D954" s="181" t="s">
        <v>395</v>
      </c>
      <c r="E954" s="173" t="s">
        <v>33</v>
      </c>
      <c r="F954" s="176">
        <v>75.45</v>
      </c>
      <c r="G954" s="175">
        <f t="shared" si="150"/>
        <v>1</v>
      </c>
      <c r="H954" s="175">
        <f t="shared" si="143"/>
        <v>75.45</v>
      </c>
      <c r="I954" s="177">
        <f>IF(G954=0,0,IF(E954="MXN",1/HLOOKUP(YEAR(C954)+(MONTH(C954)/100),TC!$5:$37,DAY(C954)+2,FALSE),VLOOKUP(E954,Equivalencia!$5:$23,((MAX(Equivalencia!$3:$3)-YEAR(C954))*14)+MONTH(C954)+2,FALSE)))</f>
        <v>1</v>
      </c>
      <c r="J954" s="178">
        <f t="shared" si="151"/>
        <v>75.45</v>
      </c>
      <c r="K954" s="462">
        <f>IF(C954=0,0,VLOOKUP(YEAR(C954),INPC!$B$4:$O$29,MONTH(C954)+1))</f>
        <v>122.044</v>
      </c>
      <c r="L954" s="462">
        <f>IF(S954=0,0,VLOOKUP(YEAR(S954),INPC!$B$4:$O$29,MONTH(S954)+1))</f>
        <v>125.276</v>
      </c>
      <c r="M954" s="463">
        <f t="shared" si="144"/>
        <v>1.0264</v>
      </c>
      <c r="N954" s="465">
        <f t="shared" si="152"/>
        <v>77.441879999999998</v>
      </c>
      <c r="O954" s="179"/>
      <c r="P954" s="180">
        <v>1</v>
      </c>
      <c r="Q954" s="173" t="s">
        <v>583</v>
      </c>
      <c r="R954" s="173" t="s">
        <v>230</v>
      </c>
      <c r="S954" s="174">
        <v>44846</v>
      </c>
      <c r="T954" s="173" t="s">
        <v>33</v>
      </c>
      <c r="U954" s="182">
        <v>63.465000000000003</v>
      </c>
      <c r="V954" s="177">
        <f>IF(U954=0,0,IF(T954="MXN",1/HLOOKUP(YEAR(S954)+(MONTH(S954)/100),TC!$5:$37,DAY(S954)+2,FALSE),VLOOKUP(T954,Equivalencia!$1:$23,((MAX(Equivalencia!$3:$3)-YEAR(S954))*14)+MONTH(S954)+2,FALSE)))</f>
        <v>1</v>
      </c>
      <c r="W954" s="178">
        <f t="shared" si="149"/>
        <v>63.465000000000003</v>
      </c>
      <c r="X954" s="481">
        <f t="shared" si="145"/>
        <v>-11.984999999999999</v>
      </c>
      <c r="Y954" s="179"/>
      <c r="Z954" s="466">
        <f t="shared" si="146"/>
        <v>77.441879999999998</v>
      </c>
      <c r="AA954" s="473">
        <f t="shared" si="147"/>
        <v>-13.976879999999994</v>
      </c>
      <c r="AB954" s="339">
        <f t="shared" si="148"/>
        <v>-0.15884691848906562</v>
      </c>
    </row>
    <row r="955" spans="2:28" ht="20.100000000000001" customHeight="1">
      <c r="B955" s="172">
        <v>1427200</v>
      </c>
      <c r="C955" s="174">
        <v>44740</v>
      </c>
      <c r="D955" s="181" t="s">
        <v>395</v>
      </c>
      <c r="E955" s="173" t="s">
        <v>33</v>
      </c>
      <c r="F955" s="176">
        <v>73.064999999999998</v>
      </c>
      <c r="G955" s="175">
        <f t="shared" si="150"/>
        <v>1</v>
      </c>
      <c r="H955" s="175">
        <f t="shared" si="143"/>
        <v>73.064999999999998</v>
      </c>
      <c r="I955" s="177">
        <f>IF(G955=0,0,IF(E955="MXN",1/HLOOKUP(YEAR(C955)+(MONTH(C955)/100),TC!$5:$37,DAY(C955)+2,FALSE),VLOOKUP(E955,Equivalencia!$5:$23,((MAX(Equivalencia!$3:$3)-YEAR(C955))*14)+MONTH(C955)+2,FALSE)))</f>
        <v>1</v>
      </c>
      <c r="J955" s="178">
        <f t="shared" si="151"/>
        <v>73.064999999999998</v>
      </c>
      <c r="K955" s="462">
        <f>IF(C955=0,0,VLOOKUP(YEAR(C955),INPC!$B$4:$O$29,MONTH(C955)+1))</f>
        <v>122.044</v>
      </c>
      <c r="L955" s="462">
        <f>IF(S955=0,0,VLOOKUP(YEAR(S955),INPC!$B$4:$O$29,MONTH(S955)+1))</f>
        <v>125.276</v>
      </c>
      <c r="M955" s="463">
        <f t="shared" si="144"/>
        <v>1.0264</v>
      </c>
      <c r="N955" s="465">
        <f t="shared" si="152"/>
        <v>74.993915999999999</v>
      </c>
      <c r="O955" s="179"/>
      <c r="P955" s="180">
        <v>1</v>
      </c>
      <c r="Q955" s="173" t="s">
        <v>583</v>
      </c>
      <c r="R955" s="173" t="s">
        <v>230</v>
      </c>
      <c r="S955" s="174">
        <v>44846</v>
      </c>
      <c r="T955" s="173" t="s">
        <v>33</v>
      </c>
      <c r="U955" s="182">
        <v>63.02</v>
      </c>
      <c r="V955" s="177">
        <f>IF(U955=0,0,IF(T955="MXN",1/HLOOKUP(YEAR(S955)+(MONTH(S955)/100),TC!$5:$37,DAY(S955)+2,FALSE),VLOOKUP(T955,Equivalencia!$1:$23,((MAX(Equivalencia!$3:$3)-YEAR(S955))*14)+MONTH(S955)+2,FALSE)))</f>
        <v>1</v>
      </c>
      <c r="W955" s="178">
        <f t="shared" si="149"/>
        <v>63.02</v>
      </c>
      <c r="X955" s="481">
        <f t="shared" si="145"/>
        <v>-10.044999999999995</v>
      </c>
      <c r="Y955" s="179"/>
      <c r="Z955" s="466">
        <f t="shared" si="146"/>
        <v>74.993915999999999</v>
      </c>
      <c r="AA955" s="473">
        <f t="shared" si="147"/>
        <v>-11.973915999999996</v>
      </c>
      <c r="AB955" s="339">
        <f t="shared" si="148"/>
        <v>-0.13748032573735702</v>
      </c>
    </row>
    <row r="956" spans="2:28" ht="20.100000000000001" customHeight="1">
      <c r="B956" s="172">
        <v>1427200</v>
      </c>
      <c r="C956" s="174">
        <v>44740</v>
      </c>
      <c r="D956" s="181" t="s">
        <v>395</v>
      </c>
      <c r="E956" s="173" t="s">
        <v>33</v>
      </c>
      <c r="F956" s="176">
        <v>73.064999999999998</v>
      </c>
      <c r="G956" s="175">
        <f t="shared" si="150"/>
        <v>1</v>
      </c>
      <c r="H956" s="175">
        <f t="shared" si="143"/>
        <v>73.064999999999998</v>
      </c>
      <c r="I956" s="177">
        <f>IF(G956=0,0,IF(E956="MXN",1/HLOOKUP(YEAR(C956)+(MONTH(C956)/100),TC!$5:$37,DAY(C956)+2,FALSE),VLOOKUP(E956,Equivalencia!$5:$23,((MAX(Equivalencia!$3:$3)-YEAR(C956))*14)+MONTH(C956)+2,FALSE)))</f>
        <v>1</v>
      </c>
      <c r="J956" s="178">
        <f t="shared" si="151"/>
        <v>73.064999999999998</v>
      </c>
      <c r="K956" s="462">
        <f>IF(C956=0,0,VLOOKUP(YEAR(C956),INPC!$B$4:$O$29,MONTH(C956)+1))</f>
        <v>122.044</v>
      </c>
      <c r="L956" s="462">
        <f>IF(S956=0,0,VLOOKUP(YEAR(S956),INPC!$B$4:$O$29,MONTH(S956)+1))</f>
        <v>125.276</v>
      </c>
      <c r="M956" s="463">
        <f t="shared" si="144"/>
        <v>1.0264</v>
      </c>
      <c r="N956" s="465">
        <f t="shared" si="152"/>
        <v>74.993915999999999</v>
      </c>
      <c r="O956" s="179"/>
      <c r="P956" s="180">
        <v>1</v>
      </c>
      <c r="Q956" s="173" t="s">
        <v>583</v>
      </c>
      <c r="R956" s="173" t="s">
        <v>230</v>
      </c>
      <c r="S956" s="174">
        <v>44846</v>
      </c>
      <c r="T956" s="173" t="s">
        <v>33</v>
      </c>
      <c r="U956" s="182">
        <v>63.02</v>
      </c>
      <c r="V956" s="177">
        <f>IF(U956=0,0,IF(T956="MXN",1/HLOOKUP(YEAR(S956)+(MONTH(S956)/100),TC!$5:$37,DAY(S956)+2,FALSE),VLOOKUP(T956,Equivalencia!$1:$23,((MAX(Equivalencia!$3:$3)-YEAR(S956))*14)+MONTH(S956)+2,FALSE)))</f>
        <v>1</v>
      </c>
      <c r="W956" s="178">
        <f t="shared" si="149"/>
        <v>63.02</v>
      </c>
      <c r="X956" s="481">
        <f t="shared" si="145"/>
        <v>-10.044999999999995</v>
      </c>
      <c r="Y956" s="179"/>
      <c r="Z956" s="466">
        <f t="shared" si="146"/>
        <v>74.993915999999999</v>
      </c>
      <c r="AA956" s="473">
        <f t="shared" si="147"/>
        <v>-11.973915999999996</v>
      </c>
      <c r="AB956" s="339">
        <f t="shared" si="148"/>
        <v>-0.13748032573735702</v>
      </c>
    </row>
    <row r="957" spans="2:28" ht="20.100000000000001" customHeight="1">
      <c r="B957" s="172">
        <v>1427200</v>
      </c>
      <c r="C957" s="174">
        <v>44740</v>
      </c>
      <c r="D957" s="181" t="s">
        <v>395</v>
      </c>
      <c r="E957" s="173" t="s">
        <v>33</v>
      </c>
      <c r="F957" s="176">
        <v>146.13</v>
      </c>
      <c r="G957" s="175">
        <f t="shared" si="150"/>
        <v>2</v>
      </c>
      <c r="H957" s="175">
        <f t="shared" si="143"/>
        <v>146.13</v>
      </c>
      <c r="I957" s="177">
        <f>IF(G957=0,0,IF(E957="MXN",1/HLOOKUP(YEAR(C957)+(MONTH(C957)/100),TC!$5:$37,DAY(C957)+2,FALSE),VLOOKUP(E957,Equivalencia!$5:$23,((MAX(Equivalencia!$3:$3)-YEAR(C957))*14)+MONTH(C957)+2,FALSE)))</f>
        <v>1</v>
      </c>
      <c r="J957" s="178">
        <f t="shared" si="151"/>
        <v>146.13</v>
      </c>
      <c r="K957" s="462">
        <f>IF(C957=0,0,VLOOKUP(YEAR(C957),INPC!$B$4:$O$29,MONTH(C957)+1))</f>
        <v>122.044</v>
      </c>
      <c r="L957" s="462">
        <f>IF(S957=0,0,VLOOKUP(YEAR(S957),INPC!$B$4:$O$29,MONTH(S957)+1))</f>
        <v>125.276</v>
      </c>
      <c r="M957" s="463">
        <f t="shared" si="144"/>
        <v>1.0264</v>
      </c>
      <c r="N957" s="465">
        <f t="shared" si="152"/>
        <v>149.987832</v>
      </c>
      <c r="O957" s="179"/>
      <c r="P957" s="180">
        <v>2</v>
      </c>
      <c r="Q957" s="173" t="s">
        <v>583</v>
      </c>
      <c r="R957" s="173" t="s">
        <v>230</v>
      </c>
      <c r="S957" s="174">
        <v>44846</v>
      </c>
      <c r="T957" s="173" t="s">
        <v>33</v>
      </c>
      <c r="U957" s="182">
        <v>123.17</v>
      </c>
      <c r="V957" s="177">
        <f>IF(U957=0,0,IF(T957="MXN",1/HLOOKUP(YEAR(S957)+(MONTH(S957)/100),TC!$5:$37,DAY(S957)+2,FALSE),VLOOKUP(T957,Equivalencia!$1:$23,((MAX(Equivalencia!$3:$3)-YEAR(S957))*14)+MONTH(S957)+2,FALSE)))</f>
        <v>1</v>
      </c>
      <c r="W957" s="178">
        <f t="shared" si="149"/>
        <v>123.17</v>
      </c>
      <c r="X957" s="481">
        <f t="shared" si="145"/>
        <v>-22.959999999999994</v>
      </c>
      <c r="Y957" s="179"/>
      <c r="Z957" s="466">
        <f t="shared" si="146"/>
        <v>149.987832</v>
      </c>
      <c r="AA957" s="473">
        <f t="shared" si="147"/>
        <v>-26.817831999999996</v>
      </c>
      <c r="AB957" s="339">
        <f t="shared" si="148"/>
        <v>-0.1571203722712653</v>
      </c>
    </row>
    <row r="958" spans="2:28" ht="20.100000000000001" customHeight="1">
      <c r="B958" s="172">
        <v>1427200</v>
      </c>
      <c r="C958" s="174">
        <v>44740</v>
      </c>
      <c r="D958" s="181" t="s">
        <v>395</v>
      </c>
      <c r="E958" s="173" t="s">
        <v>33</v>
      </c>
      <c r="F958" s="176">
        <v>427.13</v>
      </c>
      <c r="G958" s="175">
        <f t="shared" si="150"/>
        <v>6</v>
      </c>
      <c r="H958" s="175">
        <f t="shared" si="143"/>
        <v>427.13</v>
      </c>
      <c r="I958" s="177">
        <f>IF(G958=0,0,IF(E958="MXN",1/HLOOKUP(YEAR(C958)+(MONTH(C958)/100),TC!$5:$37,DAY(C958)+2,FALSE),VLOOKUP(E958,Equivalencia!$5:$23,((MAX(Equivalencia!$3:$3)-YEAR(C958))*14)+MONTH(C958)+2,FALSE)))</f>
        <v>1</v>
      </c>
      <c r="J958" s="178">
        <f t="shared" si="151"/>
        <v>427.13</v>
      </c>
      <c r="K958" s="462">
        <f>IF(C958=0,0,VLOOKUP(YEAR(C958),INPC!$B$4:$O$29,MONTH(C958)+1))</f>
        <v>122.044</v>
      </c>
      <c r="L958" s="462">
        <f>IF(S958=0,0,VLOOKUP(YEAR(S958),INPC!$B$4:$O$29,MONTH(S958)+1))</f>
        <v>125.276</v>
      </c>
      <c r="M958" s="463">
        <f t="shared" si="144"/>
        <v>1.0264</v>
      </c>
      <c r="N958" s="465">
        <f t="shared" si="152"/>
        <v>438.40623199999999</v>
      </c>
      <c r="O958" s="179"/>
      <c r="P958" s="180">
        <v>6</v>
      </c>
      <c r="Q958" s="173" t="s">
        <v>583</v>
      </c>
      <c r="R958" s="173" t="s">
        <v>230</v>
      </c>
      <c r="S958" s="174">
        <v>44846</v>
      </c>
      <c r="T958" s="173" t="s">
        <v>33</v>
      </c>
      <c r="U958" s="182">
        <v>376.92923076923074</v>
      </c>
      <c r="V958" s="177">
        <f>IF(U958=0,0,IF(T958="MXN",1/HLOOKUP(YEAR(S958)+(MONTH(S958)/100),TC!$5:$37,DAY(S958)+2,FALSE),VLOOKUP(T958,Equivalencia!$1:$23,((MAX(Equivalencia!$3:$3)-YEAR(S958))*14)+MONTH(S958)+2,FALSE)))</f>
        <v>1</v>
      </c>
      <c r="W958" s="178">
        <f t="shared" si="149"/>
        <v>376.92923076923074</v>
      </c>
      <c r="X958" s="481">
        <f t="shared" si="145"/>
        <v>-50.200769230769254</v>
      </c>
      <c r="Y958" s="179"/>
      <c r="Z958" s="466">
        <f t="shared" si="146"/>
        <v>438.40623199999999</v>
      </c>
      <c r="AA958" s="473">
        <f t="shared" si="147"/>
        <v>-61.477001230769247</v>
      </c>
      <c r="AB958" s="339">
        <f t="shared" si="148"/>
        <v>-0.11753042219176657</v>
      </c>
    </row>
    <row r="959" spans="2:28" ht="20.100000000000001" customHeight="1">
      <c r="B959" s="172">
        <v>1427200</v>
      </c>
      <c r="C959" s="174">
        <v>44748</v>
      </c>
      <c r="D959" s="181" t="s">
        <v>395</v>
      </c>
      <c r="E959" s="173" t="s">
        <v>33</v>
      </c>
      <c r="F959" s="176">
        <v>75.53</v>
      </c>
      <c r="G959" s="175">
        <f t="shared" si="150"/>
        <v>1</v>
      </c>
      <c r="H959" s="175">
        <f t="shared" si="143"/>
        <v>75.53</v>
      </c>
      <c r="I959" s="177">
        <f>IF(G959=0,0,IF(E959="MXN",1/HLOOKUP(YEAR(C959)+(MONTH(C959)/100),TC!$5:$37,DAY(C959)+2,FALSE),VLOOKUP(E959,Equivalencia!$5:$23,((MAX(Equivalencia!$3:$3)-YEAR(C959))*14)+MONTH(C959)+2,FALSE)))</f>
        <v>1</v>
      </c>
      <c r="J959" s="178">
        <f t="shared" si="151"/>
        <v>75.53</v>
      </c>
      <c r="K959" s="462">
        <f>IF(C959=0,0,VLOOKUP(YEAR(C959),INPC!$B$4:$O$29,MONTH(C959)+1))</f>
        <v>122.94799999999999</v>
      </c>
      <c r="L959" s="462">
        <f>IF(S959=0,0,VLOOKUP(YEAR(S959),INPC!$B$4:$O$29,MONTH(S959)+1))</f>
        <v>125.276</v>
      </c>
      <c r="M959" s="463">
        <f t="shared" si="144"/>
        <v>1.0188999999999999</v>
      </c>
      <c r="N959" s="465">
        <f t="shared" si="152"/>
        <v>76.957516999999996</v>
      </c>
      <c r="O959" s="179"/>
      <c r="P959" s="180">
        <v>1</v>
      </c>
      <c r="Q959" s="173" t="s">
        <v>583</v>
      </c>
      <c r="R959" s="173" t="s">
        <v>230</v>
      </c>
      <c r="S959" s="174">
        <v>44846</v>
      </c>
      <c r="T959" s="173" t="s">
        <v>33</v>
      </c>
      <c r="U959" s="182">
        <v>62.821538461538459</v>
      </c>
      <c r="V959" s="177">
        <f>IF(U959=0,0,IF(T959="MXN",1/HLOOKUP(YEAR(S959)+(MONTH(S959)/100),TC!$5:$37,DAY(S959)+2,FALSE),VLOOKUP(T959,Equivalencia!$1:$23,((MAX(Equivalencia!$3:$3)-YEAR(S959))*14)+MONTH(S959)+2,FALSE)))</f>
        <v>1</v>
      </c>
      <c r="W959" s="178">
        <f t="shared" si="149"/>
        <v>62.821538461538459</v>
      </c>
      <c r="X959" s="481">
        <f t="shared" si="145"/>
        <v>-12.708461538461542</v>
      </c>
      <c r="Y959" s="179"/>
      <c r="Z959" s="466">
        <f t="shared" si="146"/>
        <v>76.957516999999996</v>
      </c>
      <c r="AA959" s="473">
        <f t="shared" si="147"/>
        <v>-14.135978538461536</v>
      </c>
      <c r="AB959" s="339">
        <f t="shared" si="148"/>
        <v>-0.1682571367464788</v>
      </c>
    </row>
    <row r="960" spans="2:28" ht="20.100000000000001" customHeight="1">
      <c r="B960" s="172">
        <v>1427200</v>
      </c>
      <c r="C960" s="174">
        <v>44748</v>
      </c>
      <c r="D960" s="181" t="s">
        <v>395</v>
      </c>
      <c r="E960" s="173" t="s">
        <v>33</v>
      </c>
      <c r="F960" s="176">
        <v>151.29</v>
      </c>
      <c r="G960" s="175">
        <f t="shared" si="150"/>
        <v>2</v>
      </c>
      <c r="H960" s="175">
        <f t="shared" si="143"/>
        <v>151.29</v>
      </c>
      <c r="I960" s="177">
        <f>IF(G960=0,0,IF(E960="MXN",1/HLOOKUP(YEAR(C960)+(MONTH(C960)/100),TC!$5:$37,DAY(C960)+2,FALSE),VLOOKUP(E960,Equivalencia!$5:$23,((MAX(Equivalencia!$3:$3)-YEAR(C960))*14)+MONTH(C960)+2,FALSE)))</f>
        <v>1</v>
      </c>
      <c r="J960" s="178">
        <f t="shared" si="151"/>
        <v>151.29</v>
      </c>
      <c r="K960" s="462">
        <f>IF(C960=0,0,VLOOKUP(YEAR(C960),INPC!$B$4:$O$29,MONTH(C960)+1))</f>
        <v>122.94799999999999</v>
      </c>
      <c r="L960" s="462">
        <f>IF(S960=0,0,VLOOKUP(YEAR(S960),INPC!$B$4:$O$29,MONTH(S960)+1))</f>
        <v>125.276</v>
      </c>
      <c r="M960" s="463">
        <f t="shared" si="144"/>
        <v>1.0188999999999999</v>
      </c>
      <c r="N960" s="465">
        <f t="shared" si="152"/>
        <v>154.14938099999998</v>
      </c>
      <c r="O960" s="179"/>
      <c r="P960" s="180">
        <v>2</v>
      </c>
      <c r="Q960" s="173" t="s">
        <v>583</v>
      </c>
      <c r="R960" s="173" t="s">
        <v>230</v>
      </c>
      <c r="S960" s="174">
        <v>44846</v>
      </c>
      <c r="T960" s="173" t="s">
        <v>33</v>
      </c>
      <c r="U960" s="182">
        <v>125.64307692307692</v>
      </c>
      <c r="V960" s="177">
        <f>IF(U960=0,0,IF(T960="MXN",1/HLOOKUP(YEAR(S960)+(MONTH(S960)/100),TC!$5:$37,DAY(S960)+2,FALSE),VLOOKUP(T960,Equivalencia!$1:$23,((MAX(Equivalencia!$3:$3)-YEAR(S960))*14)+MONTH(S960)+2,FALSE)))</f>
        <v>1</v>
      </c>
      <c r="W960" s="178">
        <f t="shared" si="149"/>
        <v>125.64307692307692</v>
      </c>
      <c r="X960" s="481">
        <f t="shared" si="145"/>
        <v>-25.646923076923073</v>
      </c>
      <c r="Y960" s="179"/>
      <c r="Z960" s="466">
        <f t="shared" si="146"/>
        <v>154.14938099999998</v>
      </c>
      <c r="AA960" s="473">
        <f t="shared" si="147"/>
        <v>-28.506304076923058</v>
      </c>
      <c r="AB960" s="339">
        <f t="shared" si="148"/>
        <v>-0.1695216014073837</v>
      </c>
    </row>
    <row r="961" spans="2:28" ht="20.100000000000001" customHeight="1">
      <c r="B961" s="172">
        <v>1427200</v>
      </c>
      <c r="C961" s="174">
        <v>44748</v>
      </c>
      <c r="D961" s="181" t="s">
        <v>395</v>
      </c>
      <c r="E961" s="173" t="s">
        <v>33</v>
      </c>
      <c r="F961" s="176">
        <v>150.5</v>
      </c>
      <c r="G961" s="175">
        <f t="shared" si="150"/>
        <v>2</v>
      </c>
      <c r="H961" s="175">
        <f t="shared" si="143"/>
        <v>150.5</v>
      </c>
      <c r="I961" s="177">
        <f>IF(G961=0,0,IF(E961="MXN",1/HLOOKUP(YEAR(C961)+(MONTH(C961)/100),TC!$5:$37,DAY(C961)+2,FALSE),VLOOKUP(E961,Equivalencia!$5:$23,((MAX(Equivalencia!$3:$3)-YEAR(C961))*14)+MONTH(C961)+2,FALSE)))</f>
        <v>1</v>
      </c>
      <c r="J961" s="178">
        <f t="shared" si="151"/>
        <v>150.5</v>
      </c>
      <c r="K961" s="462">
        <f>IF(C961=0,0,VLOOKUP(YEAR(C961),INPC!$B$4:$O$29,MONTH(C961)+1))</f>
        <v>122.94799999999999</v>
      </c>
      <c r="L961" s="462">
        <f>IF(S961=0,0,VLOOKUP(YEAR(S961),INPC!$B$4:$O$29,MONTH(S961)+1))</f>
        <v>125.276</v>
      </c>
      <c r="M961" s="463">
        <f t="shared" si="144"/>
        <v>1.0188999999999999</v>
      </c>
      <c r="N961" s="465">
        <f t="shared" si="152"/>
        <v>153.34444999999999</v>
      </c>
      <c r="O961" s="179"/>
      <c r="P961" s="180">
        <v>2</v>
      </c>
      <c r="Q961" s="173" t="s">
        <v>583</v>
      </c>
      <c r="R961" s="173" t="s">
        <v>230</v>
      </c>
      <c r="S961" s="174">
        <v>44846</v>
      </c>
      <c r="T961" s="173" t="s">
        <v>33</v>
      </c>
      <c r="U961" s="182">
        <v>125.64307692307692</v>
      </c>
      <c r="V961" s="177">
        <f>IF(U961=0,0,IF(T961="MXN",1/HLOOKUP(YEAR(S961)+(MONTH(S961)/100),TC!$5:$37,DAY(S961)+2,FALSE),VLOOKUP(T961,Equivalencia!$1:$23,((MAX(Equivalencia!$3:$3)-YEAR(S961))*14)+MONTH(S961)+2,FALSE)))</f>
        <v>1</v>
      </c>
      <c r="W961" s="178">
        <f t="shared" si="149"/>
        <v>125.64307692307692</v>
      </c>
      <c r="X961" s="481">
        <f t="shared" si="145"/>
        <v>-24.856923076923081</v>
      </c>
      <c r="Y961" s="179"/>
      <c r="Z961" s="466">
        <f t="shared" si="146"/>
        <v>153.34444999999999</v>
      </c>
      <c r="AA961" s="473">
        <f t="shared" si="147"/>
        <v>-27.701373076923076</v>
      </c>
      <c r="AB961" s="339">
        <f t="shared" si="148"/>
        <v>-0.16516227958088425</v>
      </c>
    </row>
    <row r="962" spans="2:28" ht="20.100000000000001" customHeight="1">
      <c r="B962" s="172">
        <v>1427200</v>
      </c>
      <c r="C962" s="174">
        <v>44748</v>
      </c>
      <c r="D962" s="181" t="s">
        <v>395</v>
      </c>
      <c r="E962" s="173" t="s">
        <v>33</v>
      </c>
      <c r="F962" s="176">
        <v>151.00399999999999</v>
      </c>
      <c r="G962" s="175">
        <f t="shared" si="150"/>
        <v>2</v>
      </c>
      <c r="H962" s="175">
        <f t="shared" ref="H962:H4024" si="153">IF(F962=0,0,(F962/G962)*P962)</f>
        <v>151.00399999999999</v>
      </c>
      <c r="I962" s="177">
        <f>IF(G962=0,0,IF(E962="MXN",1/HLOOKUP(YEAR(C962)+(MONTH(C962)/100),TC!$5:$37,DAY(C962)+2,FALSE),VLOOKUP(E962,Equivalencia!$5:$23,((MAX(Equivalencia!$3:$3)-YEAR(C962))*14)+MONTH(C962)+2,FALSE)))</f>
        <v>1</v>
      </c>
      <c r="J962" s="178">
        <f t="shared" si="151"/>
        <v>151.00399999999999</v>
      </c>
      <c r="K962" s="462">
        <f>IF(C962=0,0,VLOOKUP(YEAR(C962),INPC!$B$4:$O$29,MONTH(C962)+1))</f>
        <v>122.94799999999999</v>
      </c>
      <c r="L962" s="462">
        <f>IF(S962=0,0,VLOOKUP(YEAR(S962),INPC!$B$4:$O$29,MONTH(S962)+1))</f>
        <v>125.276</v>
      </c>
      <c r="M962" s="463">
        <f t="shared" ref="M962:M4024" si="154">IF(H962=0,0,IF(R962=$AF$4,1,IF(TRUNC(L962/K962,4)&gt;=1,TRUNC(L962/K962,4),1)))</f>
        <v>1.0188999999999999</v>
      </c>
      <c r="N962" s="465">
        <f t="shared" si="152"/>
        <v>153.85797559999997</v>
      </c>
      <c r="O962" s="179"/>
      <c r="P962" s="180">
        <v>2</v>
      </c>
      <c r="Q962" s="173" t="s">
        <v>583</v>
      </c>
      <c r="R962" s="173" t="s">
        <v>230</v>
      </c>
      <c r="S962" s="174">
        <v>44846</v>
      </c>
      <c r="T962" s="173" t="s">
        <v>33</v>
      </c>
      <c r="U962" s="182">
        <v>125.64307692307692</v>
      </c>
      <c r="V962" s="177">
        <f>IF(U962=0,0,IF(T962="MXN",1/HLOOKUP(YEAR(S962)+(MONTH(S962)/100),TC!$5:$37,DAY(S962)+2,FALSE),VLOOKUP(T962,Equivalencia!$1:$23,((MAX(Equivalencia!$3:$3)-YEAR(S962))*14)+MONTH(S962)+2,FALSE)))</f>
        <v>1</v>
      </c>
      <c r="W962" s="178">
        <f t="shared" si="149"/>
        <v>125.64307692307692</v>
      </c>
      <c r="X962" s="481">
        <f t="shared" ref="X962:X4024" si="155">+W962-J962</f>
        <v>-25.360923076923072</v>
      </c>
      <c r="Y962" s="179"/>
      <c r="Z962" s="466">
        <f t="shared" ref="Z962:Z4024" si="156">N962</f>
        <v>153.85797559999997</v>
      </c>
      <c r="AA962" s="473">
        <f t="shared" ref="AA962:AA4024" si="157">+W962-Z962</f>
        <v>-28.214898676923056</v>
      </c>
      <c r="AB962" s="339">
        <f t="shared" ref="AB962:AB4024" si="158">+IF(P962=0,0,(U962/F962)-1)</f>
        <v>-0.16794868398799423</v>
      </c>
    </row>
    <row r="963" spans="2:28" ht="20.100000000000001" customHeight="1">
      <c r="B963" s="172">
        <v>1427200</v>
      </c>
      <c r="C963" s="174">
        <v>44748</v>
      </c>
      <c r="D963" s="181" t="s">
        <v>395</v>
      </c>
      <c r="E963" s="173" t="s">
        <v>33</v>
      </c>
      <c r="F963" s="176">
        <v>75.501999999999995</v>
      </c>
      <c r="G963" s="175">
        <f t="shared" si="150"/>
        <v>1</v>
      </c>
      <c r="H963" s="175">
        <f t="shared" si="153"/>
        <v>75.501999999999995</v>
      </c>
      <c r="I963" s="177">
        <f>IF(G963=0,0,IF(E963="MXN",1/HLOOKUP(YEAR(C963)+(MONTH(C963)/100),TC!$5:$37,DAY(C963)+2,FALSE),VLOOKUP(E963,Equivalencia!$5:$23,((MAX(Equivalencia!$3:$3)-YEAR(C963))*14)+MONTH(C963)+2,FALSE)))</f>
        <v>1</v>
      </c>
      <c r="J963" s="178">
        <f t="shared" si="151"/>
        <v>75.501999999999995</v>
      </c>
      <c r="K963" s="462">
        <f>IF(C963=0,0,VLOOKUP(YEAR(C963),INPC!$B$4:$O$29,MONTH(C963)+1))</f>
        <v>122.94799999999999</v>
      </c>
      <c r="L963" s="462">
        <f>IF(S963=0,0,VLOOKUP(YEAR(S963),INPC!$B$4:$O$29,MONTH(S963)+1))</f>
        <v>125.276</v>
      </c>
      <c r="M963" s="463">
        <f t="shared" si="154"/>
        <v>1.0188999999999999</v>
      </c>
      <c r="N963" s="465">
        <f t="shared" si="152"/>
        <v>76.928987799999987</v>
      </c>
      <c r="O963" s="179"/>
      <c r="P963" s="180">
        <v>1</v>
      </c>
      <c r="Q963" s="173" t="s">
        <v>583</v>
      </c>
      <c r="R963" s="173" t="s">
        <v>230</v>
      </c>
      <c r="S963" s="174">
        <v>44846</v>
      </c>
      <c r="T963" s="173" t="s">
        <v>33</v>
      </c>
      <c r="U963" s="182">
        <v>63.01</v>
      </c>
      <c r="V963" s="177">
        <f>IF(U963=0,0,IF(T963="MXN",1/HLOOKUP(YEAR(S963)+(MONTH(S963)/100),TC!$5:$37,DAY(S963)+2,FALSE),VLOOKUP(T963,Equivalencia!$1:$23,((MAX(Equivalencia!$3:$3)-YEAR(S963))*14)+MONTH(S963)+2,FALSE)))</f>
        <v>1</v>
      </c>
      <c r="W963" s="178">
        <f t="shared" ref="W963:W4024" si="159">+V963*U963</f>
        <v>63.01</v>
      </c>
      <c r="X963" s="481">
        <f t="shared" si="155"/>
        <v>-12.491999999999997</v>
      </c>
      <c r="Y963" s="179"/>
      <c r="Z963" s="466">
        <f t="shared" si="156"/>
        <v>76.928987799999987</v>
      </c>
      <c r="AA963" s="473">
        <f t="shared" si="157"/>
        <v>-13.918987799999989</v>
      </c>
      <c r="AB963" s="339">
        <f t="shared" si="158"/>
        <v>-0.1654525707928266</v>
      </c>
    </row>
    <row r="964" spans="2:28" ht="20.100000000000001" customHeight="1">
      <c r="B964" s="172">
        <v>1427200</v>
      </c>
      <c r="C964" s="174">
        <v>44748</v>
      </c>
      <c r="D964" s="181" t="s">
        <v>395</v>
      </c>
      <c r="E964" s="173" t="s">
        <v>33</v>
      </c>
      <c r="F964" s="176">
        <v>151.00399999999999</v>
      </c>
      <c r="G964" s="175">
        <f t="shared" si="150"/>
        <v>2</v>
      </c>
      <c r="H964" s="175">
        <f t="shared" si="153"/>
        <v>151.00399999999999</v>
      </c>
      <c r="I964" s="177">
        <f>IF(G964=0,0,IF(E964="MXN",1/HLOOKUP(YEAR(C964)+(MONTH(C964)/100),TC!$5:$37,DAY(C964)+2,FALSE),VLOOKUP(E964,Equivalencia!$5:$23,((MAX(Equivalencia!$3:$3)-YEAR(C964))*14)+MONTH(C964)+2,FALSE)))</f>
        <v>1</v>
      </c>
      <c r="J964" s="178">
        <f t="shared" si="151"/>
        <v>151.00399999999999</v>
      </c>
      <c r="K964" s="462">
        <f>IF(C964=0,0,VLOOKUP(YEAR(C964),INPC!$B$4:$O$29,MONTH(C964)+1))</f>
        <v>122.94799999999999</v>
      </c>
      <c r="L964" s="462">
        <f>IF(S964=0,0,VLOOKUP(YEAR(S964),INPC!$B$4:$O$29,MONTH(S964)+1))</f>
        <v>125.276</v>
      </c>
      <c r="M964" s="463">
        <f t="shared" si="154"/>
        <v>1.0188999999999999</v>
      </c>
      <c r="N964" s="465">
        <f t="shared" si="152"/>
        <v>153.85797559999997</v>
      </c>
      <c r="O964" s="179"/>
      <c r="P964" s="180">
        <v>2</v>
      </c>
      <c r="Q964" s="173" t="s">
        <v>583</v>
      </c>
      <c r="R964" s="173" t="s">
        <v>230</v>
      </c>
      <c r="S964" s="174">
        <v>44847</v>
      </c>
      <c r="T964" s="173" t="s">
        <v>33</v>
      </c>
      <c r="U964" s="182">
        <v>120.77</v>
      </c>
      <c r="V964" s="177">
        <f>IF(U964=0,0,IF(T964="MXN",1/HLOOKUP(YEAR(S964)+(MONTH(S964)/100),TC!$5:$37,DAY(S964)+2,FALSE),VLOOKUP(T964,Equivalencia!$1:$23,((MAX(Equivalencia!$3:$3)-YEAR(S964))*14)+MONTH(S964)+2,FALSE)))</f>
        <v>1</v>
      </c>
      <c r="W964" s="178">
        <f t="shared" si="159"/>
        <v>120.77</v>
      </c>
      <c r="X964" s="481">
        <f t="shared" si="155"/>
        <v>-30.233999999999995</v>
      </c>
      <c r="Y964" s="179"/>
      <c r="Z964" s="466">
        <f t="shared" si="156"/>
        <v>153.85797559999997</v>
      </c>
      <c r="AA964" s="473">
        <f t="shared" si="157"/>
        <v>-33.087975599999979</v>
      </c>
      <c r="AB964" s="339">
        <f t="shared" si="158"/>
        <v>-0.2002198617255172</v>
      </c>
    </row>
    <row r="965" spans="2:28" ht="20.100000000000001" customHeight="1">
      <c r="B965" s="172">
        <v>1427200</v>
      </c>
      <c r="C965" s="174">
        <v>44503</v>
      </c>
      <c r="D965" s="181" t="s">
        <v>420</v>
      </c>
      <c r="E965" s="173" t="s">
        <v>33</v>
      </c>
      <c r="F965" s="176">
        <v>2150.5855072463769</v>
      </c>
      <c r="G965" s="175">
        <f t="shared" si="150"/>
        <v>10</v>
      </c>
      <c r="H965" s="175">
        <f t="shared" si="153"/>
        <v>2150.5855072463769</v>
      </c>
      <c r="I965" s="177">
        <f>IF(G965=0,0,IF(E965="MXN",1/HLOOKUP(YEAR(C965)+(MONTH(C965)/100),TC!$5:$37,DAY(C965)+2,FALSE),VLOOKUP(E965,Equivalencia!$5:$23,((MAX(Equivalencia!$3:$3)-YEAR(C965))*14)+MONTH(C965)+2,FALSE)))</f>
        <v>1</v>
      </c>
      <c r="J965" s="178">
        <f t="shared" si="151"/>
        <v>2150.5855072463769</v>
      </c>
      <c r="K965" s="462">
        <f>IF(C965=0,0,VLOOKUP(YEAR(C965),INPC!$B$4:$O$29,MONTH(C965)+1))</f>
        <v>116.884</v>
      </c>
      <c r="L965" s="462">
        <f>IF(S965=0,0,VLOOKUP(YEAR(S965),INPC!$B$4:$O$29,MONTH(S965)+1))</f>
        <v>118.002</v>
      </c>
      <c r="M965" s="463">
        <f t="shared" si="154"/>
        <v>1.0095000000000001</v>
      </c>
      <c r="N965" s="465">
        <f t="shared" si="152"/>
        <v>2171.0160695652175</v>
      </c>
      <c r="O965" s="179"/>
      <c r="P965" s="180">
        <v>10</v>
      </c>
      <c r="Q965" s="173" t="s">
        <v>583</v>
      </c>
      <c r="R965" s="173" t="s">
        <v>230</v>
      </c>
      <c r="S965" s="174">
        <v>44581</v>
      </c>
      <c r="T965" s="173" t="s">
        <v>33</v>
      </c>
      <c r="U965" s="182">
        <v>2070.73</v>
      </c>
      <c r="V965" s="177">
        <f>IF(U965=0,0,IF(T965="MXN",1/HLOOKUP(YEAR(S965)+(MONTH(S965)/100),TC!$5:$37,DAY(S965)+2,FALSE),VLOOKUP(T965,Equivalencia!$1:$23,((MAX(Equivalencia!$3:$3)-YEAR(S965))*14)+MONTH(S965)+2,FALSE)))</f>
        <v>1</v>
      </c>
      <c r="W965" s="178">
        <f t="shared" si="159"/>
        <v>2070.73</v>
      </c>
      <c r="X965" s="481">
        <f t="shared" si="155"/>
        <v>-79.855507246376874</v>
      </c>
      <c r="Y965" s="179"/>
      <c r="Z965" s="466">
        <f t="shared" si="156"/>
        <v>2171.0160695652175</v>
      </c>
      <c r="AA965" s="473">
        <f t="shared" si="157"/>
        <v>-100.28606956521753</v>
      </c>
      <c r="AB965" s="339">
        <f t="shared" si="158"/>
        <v>-3.7131984279306529E-2</v>
      </c>
    </row>
    <row r="966" spans="2:28" ht="20.100000000000001" customHeight="1">
      <c r="B966" s="172">
        <v>1427200</v>
      </c>
      <c r="C966" s="174">
        <v>44503</v>
      </c>
      <c r="D966" s="181" t="s">
        <v>420</v>
      </c>
      <c r="E966" s="173" t="s">
        <v>33</v>
      </c>
      <c r="F966" s="176">
        <v>860.23420289855073</v>
      </c>
      <c r="G966" s="175">
        <f t="shared" ref="G966:G4024" si="160">+P966</f>
        <v>4</v>
      </c>
      <c r="H966" s="175">
        <f t="shared" si="153"/>
        <v>860.23420289855073</v>
      </c>
      <c r="I966" s="177">
        <f>IF(G966=0,0,IF(E966="MXN",1/HLOOKUP(YEAR(C966)+(MONTH(C966)/100),TC!$5:$37,DAY(C966)+2,FALSE),VLOOKUP(E966,Equivalencia!$5:$23,((MAX(Equivalencia!$3:$3)-YEAR(C966))*14)+MONTH(C966)+2,FALSE)))</f>
        <v>1</v>
      </c>
      <c r="J966" s="178">
        <f t="shared" ref="J966:J4024" si="161">+H966*I966</f>
        <v>860.23420289855073</v>
      </c>
      <c r="K966" s="462">
        <f>IF(C966=0,0,VLOOKUP(YEAR(C966),INPC!$B$4:$O$29,MONTH(C966)+1))</f>
        <v>116.884</v>
      </c>
      <c r="L966" s="462">
        <f>IF(S966=0,0,VLOOKUP(YEAR(S966),INPC!$B$4:$O$29,MONTH(S966)+1))</f>
        <v>121.02200000000001</v>
      </c>
      <c r="M966" s="463">
        <f t="shared" si="154"/>
        <v>1.0354000000000001</v>
      </c>
      <c r="N966" s="465">
        <f t="shared" ref="N966:N4024" si="162">+M966*J966</f>
        <v>890.6864936811595</v>
      </c>
      <c r="O966" s="179"/>
      <c r="P966" s="180">
        <v>4</v>
      </c>
      <c r="Q966" s="173" t="s">
        <v>583</v>
      </c>
      <c r="R966" s="173" t="s">
        <v>230</v>
      </c>
      <c r="S966" s="174">
        <v>44712</v>
      </c>
      <c r="T966" s="173" t="s">
        <v>33</v>
      </c>
      <c r="U966" s="182">
        <v>766.67</v>
      </c>
      <c r="V966" s="177">
        <f>IF(U966=0,0,IF(T966="MXN",1/HLOOKUP(YEAR(S966)+(MONTH(S966)/100),TC!$5:$37,DAY(S966)+2,FALSE),VLOOKUP(T966,Equivalencia!$1:$23,((MAX(Equivalencia!$3:$3)-YEAR(S966))*14)+MONTH(S966)+2,FALSE)))</f>
        <v>1</v>
      </c>
      <c r="W966" s="178">
        <f t="shared" si="159"/>
        <v>766.67</v>
      </c>
      <c r="X966" s="481">
        <f t="shared" si="155"/>
        <v>-93.564202898550775</v>
      </c>
      <c r="Y966" s="179"/>
      <c r="Z966" s="466">
        <f t="shared" si="156"/>
        <v>890.6864936811595</v>
      </c>
      <c r="AA966" s="473">
        <f t="shared" si="157"/>
        <v>-124.01649368115955</v>
      </c>
      <c r="AB966" s="339">
        <f t="shared" si="158"/>
        <v>-0.10876596464461319</v>
      </c>
    </row>
    <row r="967" spans="2:28" ht="20.100000000000001" customHeight="1">
      <c r="B967" s="172">
        <v>1427200</v>
      </c>
      <c r="C967" s="174">
        <v>44503</v>
      </c>
      <c r="D967" s="181" t="s">
        <v>420</v>
      </c>
      <c r="E967" s="173" t="s">
        <v>33</v>
      </c>
      <c r="F967" s="176">
        <v>860.23420289855073</v>
      </c>
      <c r="G967" s="175">
        <f t="shared" si="160"/>
        <v>4</v>
      </c>
      <c r="H967" s="175">
        <f t="shared" si="153"/>
        <v>860.23420289855073</v>
      </c>
      <c r="I967" s="177">
        <f>IF(G967=0,0,IF(E967="MXN",1/HLOOKUP(YEAR(C967)+(MONTH(C967)/100),TC!$5:$37,DAY(C967)+2,FALSE),VLOOKUP(E967,Equivalencia!$5:$23,((MAX(Equivalencia!$3:$3)-YEAR(C967))*14)+MONTH(C967)+2,FALSE)))</f>
        <v>1</v>
      </c>
      <c r="J967" s="178">
        <f t="shared" si="161"/>
        <v>860.23420289855073</v>
      </c>
      <c r="K967" s="462">
        <f>IF(C967=0,0,VLOOKUP(YEAR(C967),INPC!$B$4:$O$29,MONTH(C967)+1))</f>
        <v>116.884</v>
      </c>
      <c r="L967" s="462">
        <f>IF(S967=0,0,VLOOKUP(YEAR(S967),INPC!$B$4:$O$29,MONTH(S967)+1))</f>
        <v>122.044</v>
      </c>
      <c r="M967" s="463">
        <f t="shared" si="154"/>
        <v>1.0441</v>
      </c>
      <c r="N967" s="465">
        <f t="shared" si="162"/>
        <v>898.17053124637687</v>
      </c>
      <c r="O967" s="179"/>
      <c r="P967" s="180">
        <v>4</v>
      </c>
      <c r="Q967" s="173" t="s">
        <v>583</v>
      </c>
      <c r="R967" s="173" t="s">
        <v>230</v>
      </c>
      <c r="S967" s="174">
        <v>44713</v>
      </c>
      <c r="T967" s="173" t="s">
        <v>33</v>
      </c>
      <c r="U967" s="182">
        <v>758.88</v>
      </c>
      <c r="V967" s="177">
        <f>IF(U967=0,0,IF(T967="MXN",1/HLOOKUP(YEAR(S967)+(MONTH(S967)/100),TC!$5:$37,DAY(S967)+2,FALSE),VLOOKUP(T967,Equivalencia!$1:$23,((MAX(Equivalencia!$3:$3)-YEAR(S967))*14)+MONTH(S967)+2,FALSE)))</f>
        <v>1</v>
      </c>
      <c r="W967" s="178">
        <f t="shared" si="159"/>
        <v>758.88</v>
      </c>
      <c r="X967" s="481">
        <f t="shared" si="155"/>
        <v>-101.35420289855074</v>
      </c>
      <c r="Y967" s="179"/>
      <c r="Z967" s="466">
        <f t="shared" si="156"/>
        <v>898.17053124637687</v>
      </c>
      <c r="AA967" s="473">
        <f t="shared" si="157"/>
        <v>-139.29053124637687</v>
      </c>
      <c r="AB967" s="339">
        <f t="shared" si="158"/>
        <v>-0.1178216380574485</v>
      </c>
    </row>
    <row r="968" spans="2:28" ht="20.100000000000001" customHeight="1">
      <c r="B968" s="172">
        <v>1427200</v>
      </c>
      <c r="C968" s="174">
        <v>44503</v>
      </c>
      <c r="D968" s="181" t="s">
        <v>420</v>
      </c>
      <c r="E968" s="173" t="s">
        <v>33</v>
      </c>
      <c r="F968" s="176">
        <v>215.05855072463768</v>
      </c>
      <c r="G968" s="175">
        <f t="shared" si="160"/>
        <v>1</v>
      </c>
      <c r="H968" s="175">
        <f t="shared" si="153"/>
        <v>215.05855072463768</v>
      </c>
      <c r="I968" s="177">
        <f>IF(G968=0,0,IF(E968="MXN",1/HLOOKUP(YEAR(C968)+(MONTH(C968)/100),TC!$5:$37,DAY(C968)+2,FALSE),VLOOKUP(E968,Equivalencia!$5:$23,((MAX(Equivalencia!$3:$3)-YEAR(C968))*14)+MONTH(C968)+2,FALSE)))</f>
        <v>1</v>
      </c>
      <c r="J968" s="178">
        <f t="shared" si="161"/>
        <v>215.05855072463768</v>
      </c>
      <c r="K968" s="462">
        <f>IF(C968=0,0,VLOOKUP(YEAR(C968),INPC!$B$4:$O$29,MONTH(C968)+1))</f>
        <v>116.884</v>
      </c>
      <c r="L968" s="462">
        <f>IF(S968=0,0,VLOOKUP(YEAR(S968),INPC!$B$4:$O$29,MONTH(S968)+1))</f>
        <v>125.276</v>
      </c>
      <c r="M968" s="463">
        <f t="shared" si="154"/>
        <v>1.0717000000000001</v>
      </c>
      <c r="N968" s="465">
        <f t="shared" si="162"/>
        <v>230.47824881159423</v>
      </c>
      <c r="O968" s="179"/>
      <c r="P968" s="180">
        <v>1</v>
      </c>
      <c r="Q968" s="173" t="s">
        <v>583</v>
      </c>
      <c r="R968" s="173" t="s">
        <v>230</v>
      </c>
      <c r="S968" s="174">
        <v>44845</v>
      </c>
      <c r="T968" s="173" t="s">
        <v>33</v>
      </c>
      <c r="U968" s="182">
        <v>144.4</v>
      </c>
      <c r="V968" s="177">
        <f>IF(U968=0,0,IF(T968="MXN",1/HLOOKUP(YEAR(S968)+(MONTH(S968)/100),TC!$5:$37,DAY(S968)+2,FALSE),VLOOKUP(T968,Equivalencia!$1:$23,((MAX(Equivalencia!$3:$3)-YEAR(S968))*14)+MONTH(S968)+2,FALSE)))</f>
        <v>1</v>
      </c>
      <c r="W968" s="178">
        <f t="shared" si="159"/>
        <v>144.4</v>
      </c>
      <c r="X968" s="481">
        <f t="shared" si="155"/>
        <v>-70.658550724637678</v>
      </c>
      <c r="Y968" s="179"/>
      <c r="Z968" s="466">
        <f t="shared" si="156"/>
        <v>230.47824881159423</v>
      </c>
      <c r="AA968" s="473">
        <f t="shared" si="157"/>
        <v>-86.078248811594221</v>
      </c>
      <c r="AB968" s="339">
        <f t="shared" si="158"/>
        <v>-0.32855494695074616</v>
      </c>
    </row>
    <row r="969" spans="2:28" ht="20.100000000000001" customHeight="1">
      <c r="B969" s="172">
        <v>1427200</v>
      </c>
      <c r="C969" s="174">
        <v>44503</v>
      </c>
      <c r="D969" s="181" t="s">
        <v>420</v>
      </c>
      <c r="E969" s="173" t="s">
        <v>33</v>
      </c>
      <c r="F969" s="176">
        <v>430.11710144927537</v>
      </c>
      <c r="G969" s="175">
        <f t="shared" si="160"/>
        <v>2</v>
      </c>
      <c r="H969" s="175">
        <f t="shared" si="153"/>
        <v>430.11710144927537</v>
      </c>
      <c r="I969" s="177">
        <f>IF(G969=0,0,IF(E969="MXN",1/HLOOKUP(YEAR(C969)+(MONTH(C969)/100),TC!$5:$37,DAY(C969)+2,FALSE),VLOOKUP(E969,Equivalencia!$5:$23,((MAX(Equivalencia!$3:$3)-YEAR(C969))*14)+MONTH(C969)+2,FALSE)))</f>
        <v>1</v>
      </c>
      <c r="J969" s="178">
        <f t="shared" si="161"/>
        <v>430.11710144927537</v>
      </c>
      <c r="K969" s="462">
        <f>IF(C969=0,0,VLOOKUP(YEAR(C969),INPC!$B$4:$O$29,MONTH(C969)+1))</f>
        <v>116.884</v>
      </c>
      <c r="L969" s="462">
        <f>IF(S969=0,0,VLOOKUP(YEAR(S969),INPC!$B$4:$O$29,MONTH(S969)+1))</f>
        <v>125.276</v>
      </c>
      <c r="M969" s="463">
        <f t="shared" si="154"/>
        <v>1.0717000000000001</v>
      </c>
      <c r="N969" s="465">
        <f t="shared" si="162"/>
        <v>460.95649762318845</v>
      </c>
      <c r="O969" s="179"/>
      <c r="P969" s="180">
        <v>2</v>
      </c>
      <c r="Q969" s="173" t="s">
        <v>583</v>
      </c>
      <c r="R969" s="173" t="s">
        <v>230</v>
      </c>
      <c r="S969" s="174">
        <v>44845</v>
      </c>
      <c r="T969" s="173" t="s">
        <v>33</v>
      </c>
      <c r="U969" s="182">
        <v>287.29000000000002</v>
      </c>
      <c r="V969" s="177">
        <f>IF(U969=0,0,IF(T969="MXN",1/HLOOKUP(YEAR(S969)+(MONTH(S969)/100),TC!$5:$37,DAY(S969)+2,FALSE),VLOOKUP(T969,Equivalencia!$1:$23,((MAX(Equivalencia!$3:$3)-YEAR(S969))*14)+MONTH(S969)+2,FALSE)))</f>
        <v>1</v>
      </c>
      <c r="W969" s="178">
        <f t="shared" si="159"/>
        <v>287.29000000000002</v>
      </c>
      <c r="X969" s="481">
        <f t="shared" si="155"/>
        <v>-142.82710144927535</v>
      </c>
      <c r="Y969" s="179"/>
      <c r="Z969" s="466">
        <f t="shared" si="156"/>
        <v>460.95649762318845</v>
      </c>
      <c r="AA969" s="473">
        <f t="shared" si="157"/>
        <v>-173.66649762318843</v>
      </c>
      <c r="AB969" s="339">
        <f t="shared" si="158"/>
        <v>-0.33206561880013796</v>
      </c>
    </row>
    <row r="970" spans="2:28" ht="20.100000000000001" customHeight="1">
      <c r="B970" s="172">
        <v>1427200</v>
      </c>
      <c r="C970" s="174">
        <v>44503</v>
      </c>
      <c r="D970" s="181" t="s">
        <v>420</v>
      </c>
      <c r="E970" s="173" t="s">
        <v>33</v>
      </c>
      <c r="F970" s="176">
        <v>215.05855072463768</v>
      </c>
      <c r="G970" s="175">
        <f t="shared" si="160"/>
        <v>1</v>
      </c>
      <c r="H970" s="175">
        <f t="shared" si="153"/>
        <v>215.05855072463768</v>
      </c>
      <c r="I970" s="177">
        <f>IF(G970=0,0,IF(E970="MXN",1/HLOOKUP(YEAR(C970)+(MONTH(C970)/100),TC!$5:$37,DAY(C970)+2,FALSE),VLOOKUP(E970,Equivalencia!$5:$23,((MAX(Equivalencia!$3:$3)-YEAR(C970))*14)+MONTH(C970)+2,FALSE)))</f>
        <v>1</v>
      </c>
      <c r="J970" s="178">
        <f t="shared" si="161"/>
        <v>215.05855072463768</v>
      </c>
      <c r="K970" s="462">
        <f>IF(C970=0,0,VLOOKUP(YEAR(C970),INPC!$B$4:$O$29,MONTH(C970)+1))</f>
        <v>116.884</v>
      </c>
      <c r="L970" s="462">
        <f>IF(S970=0,0,VLOOKUP(YEAR(S970),INPC!$B$4:$O$29,MONTH(S970)+1))</f>
        <v>125.276</v>
      </c>
      <c r="M970" s="463">
        <f t="shared" si="154"/>
        <v>1.0717000000000001</v>
      </c>
      <c r="N970" s="465">
        <f t="shared" si="162"/>
        <v>230.47824881159423</v>
      </c>
      <c r="O970" s="179"/>
      <c r="P970" s="180">
        <v>1</v>
      </c>
      <c r="Q970" s="173" t="s">
        <v>583</v>
      </c>
      <c r="R970" s="173" t="s">
        <v>230</v>
      </c>
      <c r="S970" s="174">
        <v>44845</v>
      </c>
      <c r="T970" s="173" t="s">
        <v>33</v>
      </c>
      <c r="U970" s="182">
        <v>142.38999999999999</v>
      </c>
      <c r="V970" s="177">
        <f>IF(U970=0,0,IF(T970="MXN",1/HLOOKUP(YEAR(S970)+(MONTH(S970)/100),TC!$5:$37,DAY(S970)+2,FALSE),VLOOKUP(T970,Equivalencia!$1:$23,((MAX(Equivalencia!$3:$3)-YEAR(S970))*14)+MONTH(S970)+2,FALSE)))</f>
        <v>1</v>
      </c>
      <c r="W970" s="178">
        <f t="shared" si="159"/>
        <v>142.38999999999999</v>
      </c>
      <c r="X970" s="481">
        <f t="shared" si="155"/>
        <v>-72.668550724637697</v>
      </c>
      <c r="Y970" s="179"/>
      <c r="Z970" s="466">
        <f t="shared" si="156"/>
        <v>230.47824881159423</v>
      </c>
      <c r="AA970" s="473">
        <f t="shared" si="157"/>
        <v>-88.088248811594241</v>
      </c>
      <c r="AB970" s="339">
        <f t="shared" si="158"/>
        <v>-0.33790123889416035</v>
      </c>
    </row>
    <row r="971" spans="2:28" ht="20.100000000000001" customHeight="1">
      <c r="B971" s="172">
        <v>1427200</v>
      </c>
      <c r="C971" s="174">
        <v>44503</v>
      </c>
      <c r="D971" s="181" t="s">
        <v>420</v>
      </c>
      <c r="E971" s="173" t="s">
        <v>33</v>
      </c>
      <c r="F971" s="176">
        <v>3225.8782608695651</v>
      </c>
      <c r="G971" s="175">
        <f t="shared" si="160"/>
        <v>15</v>
      </c>
      <c r="H971" s="175">
        <f t="shared" si="153"/>
        <v>3225.8782608695651</v>
      </c>
      <c r="I971" s="177">
        <f>IF(G971=0,0,IF(E971="MXN",1/HLOOKUP(YEAR(C971)+(MONTH(C971)/100),TC!$5:$37,DAY(C971)+2,FALSE),VLOOKUP(E971,Equivalencia!$5:$23,((MAX(Equivalencia!$3:$3)-YEAR(C971))*14)+MONTH(C971)+2,FALSE)))</f>
        <v>1</v>
      </c>
      <c r="J971" s="178">
        <f t="shared" si="161"/>
        <v>3225.8782608695651</v>
      </c>
      <c r="K971" s="462">
        <f>IF(C971=0,0,VLOOKUP(YEAR(C971),INPC!$B$4:$O$29,MONTH(C971)+1))</f>
        <v>116.884</v>
      </c>
      <c r="L971" s="462">
        <f>IF(S971=0,0,VLOOKUP(YEAR(S971),INPC!$B$4:$O$29,MONTH(S971)+1))</f>
        <v>125.276</v>
      </c>
      <c r="M971" s="463">
        <f t="shared" si="154"/>
        <v>1.0717000000000001</v>
      </c>
      <c r="N971" s="465">
        <f t="shared" si="162"/>
        <v>3457.1737321739133</v>
      </c>
      <c r="O971" s="179"/>
      <c r="P971" s="180">
        <v>15</v>
      </c>
      <c r="Q971" s="173" t="s">
        <v>583</v>
      </c>
      <c r="R971" s="173" t="s">
        <v>230</v>
      </c>
      <c r="S971" s="174">
        <v>44846</v>
      </c>
      <c r="T971" s="173" t="s">
        <v>33</v>
      </c>
      <c r="U971" s="182">
        <v>2149.84</v>
      </c>
      <c r="V971" s="177">
        <f>IF(U971=0,0,IF(T971="MXN",1/HLOOKUP(YEAR(S971)+(MONTH(S971)/100),TC!$5:$37,DAY(S971)+2,FALSE),VLOOKUP(T971,Equivalencia!$1:$23,((MAX(Equivalencia!$3:$3)-YEAR(S971))*14)+MONTH(S971)+2,FALSE)))</f>
        <v>1</v>
      </c>
      <c r="W971" s="178">
        <f t="shared" si="159"/>
        <v>2149.84</v>
      </c>
      <c r="X971" s="481">
        <f t="shared" si="155"/>
        <v>-1076.038260869565</v>
      </c>
      <c r="Y971" s="179"/>
      <c r="Z971" s="466">
        <f t="shared" si="156"/>
        <v>3457.1737321739133</v>
      </c>
      <c r="AA971" s="473">
        <f t="shared" si="157"/>
        <v>-1307.3337321739132</v>
      </c>
      <c r="AB971" s="339">
        <f t="shared" si="158"/>
        <v>-0.33356443543517633</v>
      </c>
    </row>
    <row r="972" spans="2:28" ht="20.100000000000001" customHeight="1">
      <c r="B972" s="172">
        <v>1427200</v>
      </c>
      <c r="C972" s="174">
        <v>44503</v>
      </c>
      <c r="D972" s="181" t="s">
        <v>420</v>
      </c>
      <c r="E972" s="173" t="s">
        <v>33</v>
      </c>
      <c r="F972" s="176">
        <v>215.05855072463768</v>
      </c>
      <c r="G972" s="175">
        <f t="shared" si="160"/>
        <v>1</v>
      </c>
      <c r="H972" s="175">
        <f t="shared" si="153"/>
        <v>215.05855072463768</v>
      </c>
      <c r="I972" s="177">
        <f>IF(G972=0,0,IF(E972="MXN",1/HLOOKUP(YEAR(C972)+(MONTH(C972)/100),TC!$5:$37,DAY(C972)+2,FALSE),VLOOKUP(E972,Equivalencia!$5:$23,((MAX(Equivalencia!$3:$3)-YEAR(C972))*14)+MONTH(C972)+2,FALSE)))</f>
        <v>1</v>
      </c>
      <c r="J972" s="178">
        <f t="shared" si="161"/>
        <v>215.05855072463768</v>
      </c>
      <c r="K972" s="462">
        <f>IF(C972=0,0,VLOOKUP(YEAR(C972),INPC!$B$4:$O$29,MONTH(C972)+1))</f>
        <v>116.884</v>
      </c>
      <c r="L972" s="462">
        <f>IF(S972=0,0,VLOOKUP(YEAR(S972),INPC!$B$4:$O$29,MONTH(S972)+1))</f>
        <v>125.276</v>
      </c>
      <c r="M972" s="463">
        <f t="shared" si="154"/>
        <v>1.0717000000000001</v>
      </c>
      <c r="N972" s="465">
        <f t="shared" si="162"/>
        <v>230.47824881159423</v>
      </c>
      <c r="O972" s="179"/>
      <c r="P972" s="180">
        <v>1</v>
      </c>
      <c r="Q972" s="173" t="s">
        <v>583</v>
      </c>
      <c r="R972" s="173" t="s">
        <v>230</v>
      </c>
      <c r="S972" s="174">
        <v>44847</v>
      </c>
      <c r="T972" s="173" t="s">
        <v>33</v>
      </c>
      <c r="U972" s="182">
        <v>143.99</v>
      </c>
      <c r="V972" s="177">
        <f>IF(U972=0,0,IF(T972="MXN",1/HLOOKUP(YEAR(S972)+(MONTH(S972)/100),TC!$5:$37,DAY(S972)+2,FALSE),VLOOKUP(T972,Equivalencia!$1:$23,((MAX(Equivalencia!$3:$3)-YEAR(S972))*14)+MONTH(S972)+2,FALSE)))</f>
        <v>1</v>
      </c>
      <c r="W972" s="178">
        <f t="shared" si="159"/>
        <v>143.99</v>
      </c>
      <c r="X972" s="481">
        <f t="shared" si="155"/>
        <v>-71.068550724637674</v>
      </c>
      <c r="Y972" s="179"/>
      <c r="Z972" s="466">
        <f t="shared" si="156"/>
        <v>230.47824881159423</v>
      </c>
      <c r="AA972" s="473">
        <f t="shared" si="157"/>
        <v>-86.488248811594218</v>
      </c>
      <c r="AB972" s="339">
        <f t="shared" si="158"/>
        <v>-0.33046140451134298</v>
      </c>
    </row>
    <row r="973" spans="2:28" ht="20.100000000000001" customHeight="1">
      <c r="B973" s="172">
        <v>1427200</v>
      </c>
      <c r="C973" s="174">
        <v>44503</v>
      </c>
      <c r="D973" s="181" t="s">
        <v>420</v>
      </c>
      <c r="E973" s="173" t="s">
        <v>33</v>
      </c>
      <c r="F973" s="176">
        <v>430.11710144927537</v>
      </c>
      <c r="G973" s="175">
        <f t="shared" si="160"/>
        <v>2</v>
      </c>
      <c r="H973" s="175">
        <f t="shared" si="153"/>
        <v>430.11710144927537</v>
      </c>
      <c r="I973" s="177">
        <f>IF(G973=0,0,IF(E973="MXN",1/HLOOKUP(YEAR(C973)+(MONTH(C973)/100),TC!$5:$37,DAY(C973)+2,FALSE),VLOOKUP(E973,Equivalencia!$5:$23,((MAX(Equivalencia!$3:$3)-YEAR(C973))*14)+MONTH(C973)+2,FALSE)))</f>
        <v>1</v>
      </c>
      <c r="J973" s="178">
        <f t="shared" si="161"/>
        <v>430.11710144927537</v>
      </c>
      <c r="K973" s="462">
        <f>IF(C973=0,0,VLOOKUP(YEAR(C973),INPC!$B$4:$O$29,MONTH(C973)+1))</f>
        <v>116.884</v>
      </c>
      <c r="L973" s="462">
        <f>IF(S973=0,0,VLOOKUP(YEAR(S973),INPC!$B$4:$O$29,MONTH(S973)+1))</f>
        <v>125.276</v>
      </c>
      <c r="M973" s="463">
        <f t="shared" si="154"/>
        <v>1.0717000000000001</v>
      </c>
      <c r="N973" s="465">
        <f t="shared" si="162"/>
        <v>460.95649762318845</v>
      </c>
      <c r="O973" s="179"/>
      <c r="P973" s="180">
        <v>2</v>
      </c>
      <c r="Q973" s="173" t="s">
        <v>583</v>
      </c>
      <c r="R973" s="173" t="s">
        <v>230</v>
      </c>
      <c r="S973" s="174">
        <v>44847</v>
      </c>
      <c r="T973" s="173" t="s">
        <v>33</v>
      </c>
      <c r="U973" s="182">
        <v>286.31</v>
      </c>
      <c r="V973" s="177">
        <f>IF(U973=0,0,IF(T973="MXN",1/HLOOKUP(YEAR(S973)+(MONTH(S973)/100),TC!$5:$37,DAY(S973)+2,FALSE),VLOOKUP(T973,Equivalencia!$1:$23,((MAX(Equivalencia!$3:$3)-YEAR(S973))*14)+MONTH(S973)+2,FALSE)))</f>
        <v>1</v>
      </c>
      <c r="W973" s="178">
        <f t="shared" si="159"/>
        <v>286.31</v>
      </c>
      <c r="X973" s="481">
        <f t="shared" si="155"/>
        <v>-143.80710144927536</v>
      </c>
      <c r="Y973" s="179"/>
      <c r="Z973" s="466">
        <f t="shared" si="156"/>
        <v>460.95649762318845</v>
      </c>
      <c r="AA973" s="473">
        <f t="shared" si="157"/>
        <v>-174.64649762318845</v>
      </c>
      <c r="AB973" s="339">
        <f t="shared" si="158"/>
        <v>-0.33434406807987582</v>
      </c>
    </row>
    <row r="974" spans="2:28" ht="20.100000000000001" customHeight="1">
      <c r="B974" s="172">
        <v>1427200</v>
      </c>
      <c r="C974" s="174">
        <v>44503</v>
      </c>
      <c r="D974" s="181" t="s">
        <v>420</v>
      </c>
      <c r="E974" s="173" t="s">
        <v>33</v>
      </c>
      <c r="F974" s="176">
        <v>4301.1710144927538</v>
      </c>
      <c r="G974" s="175">
        <f t="shared" si="160"/>
        <v>20</v>
      </c>
      <c r="H974" s="175">
        <f t="shared" si="153"/>
        <v>4301.1710144927538</v>
      </c>
      <c r="I974" s="177">
        <f>IF(G974=0,0,IF(E974="MXN",1/HLOOKUP(YEAR(C974)+(MONTH(C974)/100),TC!$5:$37,DAY(C974)+2,FALSE),VLOOKUP(E974,Equivalencia!$5:$23,((MAX(Equivalencia!$3:$3)-YEAR(C974))*14)+MONTH(C974)+2,FALSE)))</f>
        <v>1</v>
      </c>
      <c r="J974" s="178">
        <f t="shared" si="161"/>
        <v>4301.1710144927538</v>
      </c>
      <c r="K974" s="462">
        <f>IF(C974=0,0,VLOOKUP(YEAR(C974),INPC!$B$4:$O$29,MONTH(C974)+1))</f>
        <v>116.884</v>
      </c>
      <c r="L974" s="462">
        <f>IF(S974=0,0,VLOOKUP(YEAR(S974),INPC!$B$4:$O$29,MONTH(S974)+1))</f>
        <v>125.276</v>
      </c>
      <c r="M974" s="463">
        <f t="shared" si="154"/>
        <v>1.0717000000000001</v>
      </c>
      <c r="N974" s="465">
        <f t="shared" si="162"/>
        <v>4609.5649762318844</v>
      </c>
      <c r="O974" s="179"/>
      <c r="P974" s="180">
        <v>20</v>
      </c>
      <c r="Q974" s="173" t="s">
        <v>583</v>
      </c>
      <c r="R974" s="173" t="s">
        <v>230</v>
      </c>
      <c r="S974" s="174">
        <v>44847</v>
      </c>
      <c r="T974" s="173" t="s">
        <v>33</v>
      </c>
      <c r="U974" s="182">
        <v>2848.5181818181813</v>
      </c>
      <c r="V974" s="177">
        <f>IF(U974=0,0,IF(T974="MXN",1/HLOOKUP(YEAR(S974)+(MONTH(S974)/100),TC!$5:$37,DAY(S974)+2,FALSE),VLOOKUP(T974,Equivalencia!$1:$23,((MAX(Equivalencia!$3:$3)-YEAR(S974))*14)+MONTH(S974)+2,FALSE)))</f>
        <v>1</v>
      </c>
      <c r="W974" s="178">
        <f t="shared" si="159"/>
        <v>2848.5181818181813</v>
      </c>
      <c r="X974" s="481">
        <f t="shared" si="155"/>
        <v>-1452.6528326745724</v>
      </c>
      <c r="Y974" s="179"/>
      <c r="Z974" s="466">
        <f t="shared" si="156"/>
        <v>4609.5649762318844</v>
      </c>
      <c r="AA974" s="473">
        <f t="shared" si="157"/>
        <v>-1761.0467944137031</v>
      </c>
      <c r="AB974" s="339">
        <f t="shared" si="158"/>
        <v>-0.33773426533840967</v>
      </c>
    </row>
    <row r="975" spans="2:28" ht="20.100000000000001" customHeight="1">
      <c r="B975" s="172">
        <v>1427200</v>
      </c>
      <c r="C975" s="174">
        <v>44628</v>
      </c>
      <c r="D975" s="181" t="s">
        <v>420</v>
      </c>
      <c r="E975" s="173" t="s">
        <v>33</v>
      </c>
      <c r="F975" s="176">
        <v>361.9</v>
      </c>
      <c r="G975" s="175">
        <f t="shared" si="160"/>
        <v>1</v>
      </c>
      <c r="H975" s="175">
        <f t="shared" si="153"/>
        <v>361.9</v>
      </c>
      <c r="I975" s="177">
        <f>IF(G975=0,0,IF(E975="MXN",1/HLOOKUP(YEAR(C975)+(MONTH(C975)/100),TC!$5:$37,DAY(C975)+2,FALSE),VLOOKUP(E975,Equivalencia!$5:$23,((MAX(Equivalencia!$3:$3)-YEAR(C975))*14)+MONTH(C975)+2,FALSE)))</f>
        <v>1</v>
      </c>
      <c r="J975" s="178">
        <f t="shared" si="161"/>
        <v>361.9</v>
      </c>
      <c r="K975" s="462">
        <f>IF(C975=0,0,VLOOKUP(YEAR(C975),INPC!$B$4:$O$29,MONTH(C975)+1))</f>
        <v>120.15900000000001</v>
      </c>
      <c r="L975" s="462">
        <f>IF(S975=0,0,VLOOKUP(YEAR(S975),INPC!$B$4:$O$29,MONTH(S975)+1))</f>
        <v>125.276</v>
      </c>
      <c r="M975" s="463">
        <f t="shared" si="154"/>
        <v>1.0425</v>
      </c>
      <c r="N975" s="465">
        <f t="shared" si="162"/>
        <v>377.28074999999995</v>
      </c>
      <c r="O975" s="179"/>
      <c r="P975" s="180">
        <v>1</v>
      </c>
      <c r="Q975" s="173" t="s">
        <v>583</v>
      </c>
      <c r="R975" s="173" t="s">
        <v>230</v>
      </c>
      <c r="S975" s="174">
        <v>44847</v>
      </c>
      <c r="T975" s="173" t="s">
        <v>33</v>
      </c>
      <c r="U975" s="182">
        <v>142.42590909090907</v>
      </c>
      <c r="V975" s="177">
        <f>IF(U975=0,0,IF(T975="MXN",1/HLOOKUP(YEAR(S975)+(MONTH(S975)/100),TC!$5:$37,DAY(S975)+2,FALSE),VLOOKUP(T975,Equivalencia!$1:$23,((MAX(Equivalencia!$3:$3)-YEAR(S975))*14)+MONTH(S975)+2,FALSE)))</f>
        <v>1</v>
      </c>
      <c r="W975" s="178">
        <f t="shared" si="159"/>
        <v>142.42590909090907</v>
      </c>
      <c r="X975" s="481">
        <f t="shared" si="155"/>
        <v>-219.4740909090909</v>
      </c>
      <c r="Y975" s="179"/>
      <c r="Z975" s="466">
        <f t="shared" si="156"/>
        <v>377.28074999999995</v>
      </c>
      <c r="AA975" s="473">
        <f t="shared" si="157"/>
        <v>-234.85484090909088</v>
      </c>
      <c r="AB975" s="339">
        <f t="shared" si="158"/>
        <v>-0.6064495465849431</v>
      </c>
    </row>
    <row r="976" spans="2:28" ht="20.100000000000001" customHeight="1">
      <c r="B976" s="172">
        <v>1427200</v>
      </c>
      <c r="C976" s="174">
        <v>44629</v>
      </c>
      <c r="D976" s="181" t="s">
        <v>420</v>
      </c>
      <c r="E976" s="173" t="s">
        <v>33</v>
      </c>
      <c r="F976" s="176">
        <v>552.17000000000007</v>
      </c>
      <c r="G976" s="175">
        <f t="shared" si="160"/>
        <v>1</v>
      </c>
      <c r="H976" s="175">
        <f t="shared" si="153"/>
        <v>552.17000000000007</v>
      </c>
      <c r="I976" s="177">
        <f>IF(G976=0,0,IF(E976="MXN",1/HLOOKUP(YEAR(C976)+(MONTH(C976)/100),TC!$5:$37,DAY(C976)+2,FALSE),VLOOKUP(E976,Equivalencia!$5:$23,((MAX(Equivalencia!$3:$3)-YEAR(C976))*14)+MONTH(C976)+2,FALSE)))</f>
        <v>1</v>
      </c>
      <c r="J976" s="178">
        <f t="shared" si="161"/>
        <v>552.17000000000007</v>
      </c>
      <c r="K976" s="462">
        <f>IF(C976=0,0,VLOOKUP(YEAR(C976),INPC!$B$4:$O$29,MONTH(C976)+1))</f>
        <v>120.15900000000001</v>
      </c>
      <c r="L976" s="462">
        <f>IF(S976=0,0,VLOOKUP(YEAR(S976),INPC!$B$4:$O$29,MONTH(S976)+1))</f>
        <v>125.276</v>
      </c>
      <c r="M976" s="463">
        <f t="shared" si="154"/>
        <v>1.0425</v>
      </c>
      <c r="N976" s="465">
        <f t="shared" si="162"/>
        <v>575.63722500000006</v>
      </c>
      <c r="O976" s="179"/>
      <c r="P976" s="180">
        <v>1</v>
      </c>
      <c r="Q976" s="173" t="s">
        <v>583</v>
      </c>
      <c r="R976" s="173" t="s">
        <v>230</v>
      </c>
      <c r="S976" s="174">
        <v>44847</v>
      </c>
      <c r="T976" s="173" t="s">
        <v>33</v>
      </c>
      <c r="U976" s="182">
        <v>142.42590909090907</v>
      </c>
      <c r="V976" s="177">
        <f>IF(U976=0,0,IF(T976="MXN",1/HLOOKUP(YEAR(S976)+(MONTH(S976)/100),TC!$5:$37,DAY(S976)+2,FALSE),VLOOKUP(T976,Equivalencia!$1:$23,((MAX(Equivalencia!$3:$3)-YEAR(S976))*14)+MONTH(S976)+2,FALSE)))</f>
        <v>1</v>
      </c>
      <c r="W976" s="178">
        <f t="shared" si="159"/>
        <v>142.42590909090907</v>
      </c>
      <c r="X976" s="481">
        <f t="shared" si="155"/>
        <v>-409.74409090909103</v>
      </c>
      <c r="Y976" s="179"/>
      <c r="Z976" s="466">
        <f t="shared" si="156"/>
        <v>575.63722500000006</v>
      </c>
      <c r="AA976" s="473">
        <f t="shared" si="157"/>
        <v>-433.21131590909101</v>
      </c>
      <c r="AB976" s="339">
        <f t="shared" si="158"/>
        <v>-0.74206148633408353</v>
      </c>
    </row>
    <row r="977" spans="2:28" ht="20.100000000000001" customHeight="1">
      <c r="B977" s="172">
        <v>1427200</v>
      </c>
      <c r="C977" s="174">
        <v>44628</v>
      </c>
      <c r="D977" s="181" t="s">
        <v>420</v>
      </c>
      <c r="E977" s="173" t="s">
        <v>33</v>
      </c>
      <c r="F977" s="176">
        <v>184.73</v>
      </c>
      <c r="G977" s="175">
        <f t="shared" si="160"/>
        <v>1</v>
      </c>
      <c r="H977" s="175">
        <f t="shared" si="153"/>
        <v>184.73</v>
      </c>
      <c r="I977" s="177">
        <f>IF(G977=0,0,IF(E977="MXN",1/HLOOKUP(YEAR(C977)+(MONTH(C977)/100),TC!$5:$37,DAY(C977)+2,FALSE),VLOOKUP(E977,Equivalencia!$5:$23,((MAX(Equivalencia!$3:$3)-YEAR(C977))*14)+MONTH(C977)+2,FALSE)))</f>
        <v>1</v>
      </c>
      <c r="J977" s="178">
        <f t="shared" si="161"/>
        <v>184.73</v>
      </c>
      <c r="K977" s="462">
        <f>IF(C977=0,0,VLOOKUP(YEAR(C977),INPC!$B$4:$O$29,MONTH(C977)+1))</f>
        <v>120.15900000000001</v>
      </c>
      <c r="L977" s="462">
        <f>IF(S977=0,0,VLOOKUP(YEAR(S977),INPC!$B$4:$O$29,MONTH(S977)+1))</f>
        <v>125.276</v>
      </c>
      <c r="M977" s="463">
        <f t="shared" si="154"/>
        <v>1.0425</v>
      </c>
      <c r="N977" s="465">
        <f t="shared" si="162"/>
        <v>192.58102499999998</v>
      </c>
      <c r="O977" s="179"/>
      <c r="P977" s="180">
        <v>1</v>
      </c>
      <c r="Q977" s="173" t="s">
        <v>583</v>
      </c>
      <c r="R977" s="173" t="s">
        <v>230</v>
      </c>
      <c r="S977" s="174">
        <v>44847</v>
      </c>
      <c r="T977" s="173" t="s">
        <v>33</v>
      </c>
      <c r="U977" s="182">
        <v>140.16</v>
      </c>
      <c r="V977" s="177">
        <f>IF(U977=0,0,IF(T977="MXN",1/HLOOKUP(YEAR(S977)+(MONTH(S977)/100),TC!$5:$37,DAY(S977)+2,FALSE),VLOOKUP(T977,Equivalencia!$1:$23,((MAX(Equivalencia!$3:$3)-YEAR(S977))*14)+MONTH(S977)+2,FALSE)))</f>
        <v>1</v>
      </c>
      <c r="W977" s="178">
        <f t="shared" si="159"/>
        <v>140.16</v>
      </c>
      <c r="X977" s="481">
        <f t="shared" si="155"/>
        <v>-44.569999999999993</v>
      </c>
      <c r="Y977" s="179"/>
      <c r="Z977" s="466">
        <f t="shared" si="156"/>
        <v>192.58102499999998</v>
      </c>
      <c r="AA977" s="473">
        <f t="shared" si="157"/>
        <v>-52.421024999999986</v>
      </c>
      <c r="AB977" s="339">
        <f t="shared" si="158"/>
        <v>-0.2412710442267092</v>
      </c>
    </row>
    <row r="978" spans="2:28" ht="20.100000000000001" customHeight="1">
      <c r="B978" s="172">
        <v>1427200</v>
      </c>
      <c r="C978" s="174">
        <v>44630</v>
      </c>
      <c r="D978" s="181" t="s">
        <v>420</v>
      </c>
      <c r="E978" s="173" t="s">
        <v>33</v>
      </c>
      <c r="F978" s="176">
        <v>184.16</v>
      </c>
      <c r="G978" s="175">
        <f t="shared" si="160"/>
        <v>1</v>
      </c>
      <c r="H978" s="175">
        <f t="shared" si="153"/>
        <v>184.16</v>
      </c>
      <c r="I978" s="177">
        <f>IF(G978=0,0,IF(E978="MXN",1/HLOOKUP(YEAR(C978)+(MONTH(C978)/100),TC!$5:$37,DAY(C978)+2,FALSE),VLOOKUP(E978,Equivalencia!$5:$23,((MAX(Equivalencia!$3:$3)-YEAR(C978))*14)+MONTH(C978)+2,FALSE)))</f>
        <v>1</v>
      </c>
      <c r="J978" s="178">
        <f t="shared" si="161"/>
        <v>184.16</v>
      </c>
      <c r="K978" s="462">
        <f>IF(C978=0,0,VLOOKUP(YEAR(C978),INPC!$B$4:$O$29,MONTH(C978)+1))</f>
        <v>120.15900000000001</v>
      </c>
      <c r="L978" s="462">
        <f>IF(S978=0,0,VLOOKUP(YEAR(S978),INPC!$B$4:$O$29,MONTH(S978)+1))</f>
        <v>125.276</v>
      </c>
      <c r="M978" s="463">
        <f t="shared" si="154"/>
        <v>1.0425</v>
      </c>
      <c r="N978" s="465">
        <f t="shared" si="162"/>
        <v>191.98679999999999</v>
      </c>
      <c r="O978" s="179"/>
      <c r="P978" s="180">
        <v>1</v>
      </c>
      <c r="Q978" s="173" t="s">
        <v>583</v>
      </c>
      <c r="R978" s="173" t="s">
        <v>230</v>
      </c>
      <c r="S978" s="174">
        <v>44847</v>
      </c>
      <c r="T978" s="173" t="s">
        <v>33</v>
      </c>
      <c r="U978" s="182">
        <v>140.16</v>
      </c>
      <c r="V978" s="177">
        <f>IF(U978=0,0,IF(T978="MXN",1/HLOOKUP(YEAR(S978)+(MONTH(S978)/100),TC!$5:$37,DAY(S978)+2,FALSE),VLOOKUP(T978,Equivalencia!$1:$23,((MAX(Equivalencia!$3:$3)-YEAR(S978))*14)+MONTH(S978)+2,FALSE)))</f>
        <v>1</v>
      </c>
      <c r="W978" s="178">
        <f t="shared" si="159"/>
        <v>140.16</v>
      </c>
      <c r="X978" s="481">
        <f t="shared" si="155"/>
        <v>-44</v>
      </c>
      <c r="Y978" s="179"/>
      <c r="Z978" s="466">
        <f t="shared" si="156"/>
        <v>191.98679999999999</v>
      </c>
      <c r="AA978" s="473">
        <f t="shared" si="157"/>
        <v>-51.826799999999992</v>
      </c>
      <c r="AB978" s="339">
        <f t="shared" si="158"/>
        <v>-0.23892267593397043</v>
      </c>
    </row>
    <row r="979" spans="2:28" ht="20.100000000000001" customHeight="1">
      <c r="B979" s="172">
        <v>1427200</v>
      </c>
      <c r="C979" s="174">
        <v>44630</v>
      </c>
      <c r="D979" s="181" t="s">
        <v>420</v>
      </c>
      <c r="E979" s="173" t="s">
        <v>33</v>
      </c>
      <c r="F979" s="176">
        <v>184.65</v>
      </c>
      <c r="G979" s="175">
        <f t="shared" si="160"/>
        <v>1</v>
      </c>
      <c r="H979" s="175">
        <f t="shared" si="153"/>
        <v>184.65</v>
      </c>
      <c r="I979" s="177">
        <f>IF(G979=0,0,IF(E979="MXN",1/HLOOKUP(YEAR(C979)+(MONTH(C979)/100),TC!$5:$37,DAY(C979)+2,FALSE),VLOOKUP(E979,Equivalencia!$5:$23,((MAX(Equivalencia!$3:$3)-YEAR(C979))*14)+MONTH(C979)+2,FALSE)))</f>
        <v>1</v>
      </c>
      <c r="J979" s="178">
        <f t="shared" si="161"/>
        <v>184.65</v>
      </c>
      <c r="K979" s="462">
        <f>IF(C979=0,0,VLOOKUP(YEAR(C979),INPC!$B$4:$O$29,MONTH(C979)+1))</f>
        <v>120.15900000000001</v>
      </c>
      <c r="L979" s="462">
        <f>IF(S979=0,0,VLOOKUP(YEAR(S979),INPC!$B$4:$O$29,MONTH(S979)+1))</f>
        <v>125.276</v>
      </c>
      <c r="M979" s="463">
        <f t="shared" si="154"/>
        <v>1.0425</v>
      </c>
      <c r="N979" s="465">
        <f t="shared" si="162"/>
        <v>192.497625</v>
      </c>
      <c r="O979" s="179"/>
      <c r="P979" s="180">
        <v>1</v>
      </c>
      <c r="Q979" s="173" t="s">
        <v>583</v>
      </c>
      <c r="R979" s="173" t="s">
        <v>230</v>
      </c>
      <c r="S979" s="174">
        <v>44848</v>
      </c>
      <c r="T979" s="173" t="s">
        <v>33</v>
      </c>
      <c r="U979" s="182">
        <v>144.22</v>
      </c>
      <c r="V979" s="177">
        <f>IF(U979=0,0,IF(T979="MXN",1/HLOOKUP(YEAR(S979)+(MONTH(S979)/100),TC!$5:$37,DAY(S979)+2,FALSE),VLOOKUP(T979,Equivalencia!$1:$23,((MAX(Equivalencia!$3:$3)-YEAR(S979))*14)+MONTH(S979)+2,FALSE)))</f>
        <v>1</v>
      </c>
      <c r="W979" s="178">
        <f t="shared" si="159"/>
        <v>144.22</v>
      </c>
      <c r="X979" s="481">
        <f t="shared" si="155"/>
        <v>-40.430000000000007</v>
      </c>
      <c r="Y979" s="179"/>
      <c r="Z979" s="466">
        <f t="shared" si="156"/>
        <v>192.497625</v>
      </c>
      <c r="AA979" s="473">
        <f t="shared" si="157"/>
        <v>-48.277625</v>
      </c>
      <c r="AB979" s="339">
        <f t="shared" si="158"/>
        <v>-0.2189547793122123</v>
      </c>
    </row>
    <row r="980" spans="2:28" ht="20.100000000000001" customHeight="1">
      <c r="B980" s="172">
        <v>1427200</v>
      </c>
      <c r="C980" s="174">
        <v>44503</v>
      </c>
      <c r="D980" s="181" t="s">
        <v>408</v>
      </c>
      <c r="E980" s="173" t="s">
        <v>33</v>
      </c>
      <c r="F980" s="176">
        <v>1371.6000000000001</v>
      </c>
      <c r="G980" s="175">
        <f t="shared" si="160"/>
        <v>9</v>
      </c>
      <c r="H980" s="175">
        <f t="shared" si="153"/>
        <v>1371.6000000000001</v>
      </c>
      <c r="I980" s="177">
        <f>IF(G980=0,0,IF(E980="MXN",1/HLOOKUP(YEAR(C980)+(MONTH(C980)/100),TC!$5:$37,DAY(C980)+2,FALSE),VLOOKUP(E980,Equivalencia!$5:$23,((MAX(Equivalencia!$3:$3)-YEAR(C980))*14)+MONTH(C980)+2,FALSE)))</f>
        <v>1</v>
      </c>
      <c r="J980" s="178">
        <f t="shared" si="161"/>
        <v>1371.6000000000001</v>
      </c>
      <c r="K980" s="462">
        <f>IF(C980=0,0,VLOOKUP(YEAR(C980),INPC!$B$4:$O$29,MONTH(C980)+1))</f>
        <v>116.884</v>
      </c>
      <c r="L980" s="462">
        <f>IF(S980=0,0,VLOOKUP(YEAR(S980),INPC!$B$4:$O$29,MONTH(S980)+1))</f>
        <v>125.276</v>
      </c>
      <c r="M980" s="463">
        <f t="shared" si="154"/>
        <v>1.0717000000000001</v>
      </c>
      <c r="N980" s="465">
        <f t="shared" si="162"/>
        <v>1469.9437200000002</v>
      </c>
      <c r="O980" s="179"/>
      <c r="P980" s="180">
        <v>9</v>
      </c>
      <c r="Q980" s="173" t="s">
        <v>583</v>
      </c>
      <c r="R980" s="173" t="s">
        <v>230</v>
      </c>
      <c r="S980" s="174">
        <v>44854</v>
      </c>
      <c r="T980" s="173" t="s">
        <v>33</v>
      </c>
      <c r="U980" s="182">
        <v>391.5</v>
      </c>
      <c r="V980" s="177">
        <f>IF(U980=0,0,IF(T980="MXN",1/HLOOKUP(YEAR(S980)+(MONTH(S980)/100),TC!$5:$37,DAY(S980)+2,FALSE),VLOOKUP(T980,Equivalencia!$1:$23,((MAX(Equivalencia!$3:$3)-YEAR(S980))*14)+MONTH(S980)+2,FALSE)))</f>
        <v>1</v>
      </c>
      <c r="W980" s="178">
        <f t="shared" si="159"/>
        <v>391.5</v>
      </c>
      <c r="X980" s="481">
        <f t="shared" si="155"/>
        <v>-980.10000000000014</v>
      </c>
      <c r="Y980" s="179"/>
      <c r="Z980" s="466">
        <f t="shared" si="156"/>
        <v>1469.9437200000002</v>
      </c>
      <c r="AA980" s="473">
        <f t="shared" si="157"/>
        <v>-1078.4437200000002</v>
      </c>
      <c r="AB980" s="339">
        <f t="shared" si="158"/>
        <v>-0.71456692913385833</v>
      </c>
    </row>
    <row r="981" spans="2:28" ht="20.100000000000001" customHeight="1">
      <c r="B981" s="172">
        <v>1427200</v>
      </c>
      <c r="C981" s="174">
        <v>44503</v>
      </c>
      <c r="D981" s="181" t="s">
        <v>408</v>
      </c>
      <c r="E981" s="173" t="s">
        <v>33</v>
      </c>
      <c r="F981" s="176">
        <v>6553.2</v>
      </c>
      <c r="G981" s="175">
        <f t="shared" si="160"/>
        <v>43</v>
      </c>
      <c r="H981" s="175">
        <f t="shared" si="153"/>
        <v>6553.2</v>
      </c>
      <c r="I981" s="177">
        <f>IF(G981=0,0,IF(E981="MXN",1/HLOOKUP(YEAR(C981)+(MONTH(C981)/100),TC!$5:$37,DAY(C981)+2,FALSE),VLOOKUP(E981,Equivalencia!$5:$23,((MAX(Equivalencia!$3:$3)-YEAR(C981))*14)+MONTH(C981)+2,FALSE)))</f>
        <v>1</v>
      </c>
      <c r="J981" s="178">
        <f t="shared" si="161"/>
        <v>6553.2</v>
      </c>
      <c r="K981" s="462">
        <f>IF(C981=0,0,VLOOKUP(YEAR(C981),INPC!$B$4:$O$29,MONTH(C981)+1))</f>
        <v>116.884</v>
      </c>
      <c r="L981" s="462">
        <f>IF(S981=0,0,VLOOKUP(YEAR(S981),INPC!$B$4:$O$29,MONTH(S981)+1))</f>
        <v>125.276</v>
      </c>
      <c r="M981" s="463">
        <f t="shared" si="154"/>
        <v>1.0717000000000001</v>
      </c>
      <c r="N981" s="465">
        <f t="shared" si="162"/>
        <v>7023.0644400000001</v>
      </c>
      <c r="O981" s="179"/>
      <c r="P981" s="180">
        <v>43</v>
      </c>
      <c r="Q981" s="173" t="s">
        <v>583</v>
      </c>
      <c r="R981" s="173" t="s">
        <v>230</v>
      </c>
      <c r="S981" s="174">
        <v>44854</v>
      </c>
      <c r="T981" s="173" t="s">
        <v>33</v>
      </c>
      <c r="U981" s="182">
        <v>1860.43</v>
      </c>
      <c r="V981" s="177">
        <f>IF(U981=0,0,IF(T981="MXN",1/HLOOKUP(YEAR(S981)+(MONTH(S981)/100),TC!$5:$37,DAY(S981)+2,FALSE),VLOOKUP(T981,Equivalencia!$1:$23,((MAX(Equivalencia!$3:$3)-YEAR(S981))*14)+MONTH(S981)+2,FALSE)))</f>
        <v>1</v>
      </c>
      <c r="W981" s="178">
        <f t="shared" si="159"/>
        <v>1860.43</v>
      </c>
      <c r="X981" s="481">
        <f t="shared" si="155"/>
        <v>-4692.7699999999995</v>
      </c>
      <c r="Y981" s="179"/>
      <c r="Z981" s="466">
        <f t="shared" si="156"/>
        <v>7023.0644400000001</v>
      </c>
      <c r="AA981" s="473">
        <f t="shared" si="157"/>
        <v>-5162.6344399999998</v>
      </c>
      <c r="AB981" s="339">
        <f t="shared" si="158"/>
        <v>-0.71610358298235977</v>
      </c>
    </row>
    <row r="982" spans="2:28" ht="20.100000000000001" customHeight="1">
      <c r="B982" s="172">
        <v>1427200</v>
      </c>
      <c r="C982" s="174">
        <v>44503</v>
      </c>
      <c r="D982" s="181" t="s">
        <v>408</v>
      </c>
      <c r="E982" s="173" t="s">
        <v>33</v>
      </c>
      <c r="F982" s="176">
        <v>609.6</v>
      </c>
      <c r="G982" s="175">
        <f t="shared" si="160"/>
        <v>4</v>
      </c>
      <c r="H982" s="175">
        <f t="shared" si="153"/>
        <v>609.6</v>
      </c>
      <c r="I982" s="177">
        <f>IF(G982=0,0,IF(E982="MXN",1/HLOOKUP(YEAR(C982)+(MONTH(C982)/100),TC!$5:$37,DAY(C982)+2,FALSE),VLOOKUP(E982,Equivalencia!$5:$23,((MAX(Equivalencia!$3:$3)-YEAR(C982))*14)+MONTH(C982)+2,FALSE)))</f>
        <v>1</v>
      </c>
      <c r="J982" s="178">
        <f t="shared" si="161"/>
        <v>609.6</v>
      </c>
      <c r="K982" s="462">
        <f>IF(C982=0,0,VLOOKUP(YEAR(C982),INPC!$B$4:$O$29,MONTH(C982)+1))</f>
        <v>116.884</v>
      </c>
      <c r="L982" s="462">
        <f>IF(S982=0,0,VLOOKUP(YEAR(S982),INPC!$B$4:$O$29,MONTH(S982)+1))</f>
        <v>125.276</v>
      </c>
      <c r="M982" s="463">
        <f t="shared" si="154"/>
        <v>1.0717000000000001</v>
      </c>
      <c r="N982" s="465">
        <f t="shared" si="162"/>
        <v>653.30832000000009</v>
      </c>
      <c r="O982" s="179"/>
      <c r="P982" s="180">
        <v>4</v>
      </c>
      <c r="Q982" s="173" t="s">
        <v>583</v>
      </c>
      <c r="R982" s="173" t="s">
        <v>230</v>
      </c>
      <c r="S982" s="174">
        <v>44855</v>
      </c>
      <c r="T982" s="173" t="s">
        <v>33</v>
      </c>
      <c r="U982" s="182">
        <v>164.02</v>
      </c>
      <c r="V982" s="177">
        <f>IF(U982=0,0,IF(T982="MXN",1/HLOOKUP(YEAR(S982)+(MONTH(S982)/100),TC!$5:$37,DAY(S982)+2,FALSE),VLOOKUP(T982,Equivalencia!$1:$23,((MAX(Equivalencia!$3:$3)-YEAR(S982))*14)+MONTH(S982)+2,FALSE)))</f>
        <v>1</v>
      </c>
      <c r="W982" s="178">
        <f t="shared" si="159"/>
        <v>164.02</v>
      </c>
      <c r="X982" s="481">
        <f t="shared" si="155"/>
        <v>-445.58000000000004</v>
      </c>
      <c r="Y982" s="179"/>
      <c r="Z982" s="466">
        <f t="shared" si="156"/>
        <v>653.30832000000009</v>
      </c>
      <c r="AA982" s="473">
        <f t="shared" si="157"/>
        <v>-489.28832000000011</v>
      </c>
      <c r="AB982" s="339">
        <f t="shared" si="158"/>
        <v>-0.73093832020997374</v>
      </c>
    </row>
    <row r="983" spans="2:28" ht="20.100000000000001" customHeight="1">
      <c r="B983" s="172">
        <v>1427200</v>
      </c>
      <c r="C983" s="174">
        <v>44503</v>
      </c>
      <c r="D983" s="181" t="s">
        <v>408</v>
      </c>
      <c r="E983" s="173" t="s">
        <v>33</v>
      </c>
      <c r="F983" s="176">
        <v>152.4</v>
      </c>
      <c r="G983" s="175">
        <f t="shared" si="160"/>
        <v>1</v>
      </c>
      <c r="H983" s="175">
        <f t="shared" si="153"/>
        <v>152.4</v>
      </c>
      <c r="I983" s="177">
        <f>IF(G983=0,0,IF(E983="MXN",1/HLOOKUP(YEAR(C983)+(MONTH(C983)/100),TC!$5:$37,DAY(C983)+2,FALSE),VLOOKUP(E983,Equivalencia!$5:$23,((MAX(Equivalencia!$3:$3)-YEAR(C983))*14)+MONTH(C983)+2,FALSE)))</f>
        <v>1</v>
      </c>
      <c r="J983" s="178">
        <f t="shared" si="161"/>
        <v>152.4</v>
      </c>
      <c r="K983" s="462">
        <f>IF(C983=0,0,VLOOKUP(YEAR(C983),INPC!$B$4:$O$29,MONTH(C983)+1))</f>
        <v>116.884</v>
      </c>
      <c r="L983" s="462">
        <f>IF(S983=0,0,VLOOKUP(YEAR(S983),INPC!$B$4:$O$29,MONTH(S983)+1))</f>
        <v>125.276</v>
      </c>
      <c r="M983" s="463">
        <f t="shared" si="154"/>
        <v>1.0717000000000001</v>
      </c>
      <c r="N983" s="465">
        <f t="shared" si="162"/>
        <v>163.32708000000002</v>
      </c>
      <c r="O983" s="179"/>
      <c r="P983" s="180">
        <v>1</v>
      </c>
      <c r="Q983" s="173" t="s">
        <v>583</v>
      </c>
      <c r="R983" s="173" t="s">
        <v>230</v>
      </c>
      <c r="S983" s="174">
        <v>44855</v>
      </c>
      <c r="T983" s="173" t="s">
        <v>33</v>
      </c>
      <c r="U983" s="182">
        <v>40.94</v>
      </c>
      <c r="V983" s="177">
        <f>IF(U983=0,0,IF(T983="MXN",1/HLOOKUP(YEAR(S983)+(MONTH(S983)/100),TC!$5:$37,DAY(S983)+2,FALSE),VLOOKUP(T983,Equivalencia!$1:$23,((MAX(Equivalencia!$3:$3)-YEAR(S983))*14)+MONTH(S983)+2,FALSE)))</f>
        <v>1</v>
      </c>
      <c r="W983" s="178">
        <f t="shared" si="159"/>
        <v>40.94</v>
      </c>
      <c r="X983" s="481">
        <f t="shared" si="155"/>
        <v>-111.46000000000001</v>
      </c>
      <c r="Y983" s="179"/>
      <c r="Z983" s="466">
        <f t="shared" si="156"/>
        <v>163.32708000000002</v>
      </c>
      <c r="AA983" s="473">
        <f t="shared" si="157"/>
        <v>-122.38708000000003</v>
      </c>
      <c r="AB983" s="339">
        <f t="shared" si="158"/>
        <v>-0.73136482939632552</v>
      </c>
    </row>
    <row r="984" spans="2:28" ht="20.100000000000001" customHeight="1">
      <c r="B984" s="172">
        <v>1427200</v>
      </c>
      <c r="C984" s="174">
        <v>44503</v>
      </c>
      <c r="D984" s="181" t="s">
        <v>408</v>
      </c>
      <c r="E984" s="173" t="s">
        <v>33</v>
      </c>
      <c r="F984" s="176">
        <v>1219.2</v>
      </c>
      <c r="G984" s="175">
        <f t="shared" si="160"/>
        <v>8</v>
      </c>
      <c r="H984" s="175">
        <f t="shared" si="153"/>
        <v>1219.2</v>
      </c>
      <c r="I984" s="177">
        <f>IF(G984=0,0,IF(E984="MXN",1/HLOOKUP(YEAR(C984)+(MONTH(C984)/100),TC!$5:$37,DAY(C984)+2,FALSE),VLOOKUP(E984,Equivalencia!$5:$23,((MAX(Equivalencia!$3:$3)-YEAR(C984))*14)+MONTH(C984)+2,FALSE)))</f>
        <v>1</v>
      </c>
      <c r="J984" s="178">
        <f t="shared" si="161"/>
        <v>1219.2</v>
      </c>
      <c r="K984" s="462">
        <f>IF(C984=0,0,VLOOKUP(YEAR(C984),INPC!$B$4:$O$29,MONTH(C984)+1))</f>
        <v>116.884</v>
      </c>
      <c r="L984" s="462">
        <f>IF(S984=0,0,VLOOKUP(YEAR(S984),INPC!$B$4:$O$29,MONTH(S984)+1))</f>
        <v>125.276</v>
      </c>
      <c r="M984" s="463">
        <f t="shared" si="154"/>
        <v>1.0717000000000001</v>
      </c>
      <c r="N984" s="465">
        <f t="shared" si="162"/>
        <v>1306.6166400000002</v>
      </c>
      <c r="O984" s="179"/>
      <c r="P984" s="180">
        <v>8</v>
      </c>
      <c r="Q984" s="173" t="s">
        <v>583</v>
      </c>
      <c r="R984" s="173" t="s">
        <v>230</v>
      </c>
      <c r="S984" s="174">
        <v>44855</v>
      </c>
      <c r="T984" s="173" t="s">
        <v>33</v>
      </c>
      <c r="U984" s="182">
        <v>331.72750000000002</v>
      </c>
      <c r="V984" s="177">
        <f>IF(U984=0,0,IF(T984="MXN",1/HLOOKUP(YEAR(S984)+(MONTH(S984)/100),TC!$5:$37,DAY(S984)+2,FALSE),VLOOKUP(T984,Equivalencia!$1:$23,((MAX(Equivalencia!$3:$3)-YEAR(S984))*14)+MONTH(S984)+2,FALSE)))</f>
        <v>1</v>
      </c>
      <c r="W984" s="178">
        <f t="shared" si="159"/>
        <v>331.72750000000002</v>
      </c>
      <c r="X984" s="481">
        <f t="shared" si="155"/>
        <v>-887.47250000000008</v>
      </c>
      <c r="Y984" s="179"/>
      <c r="Z984" s="466">
        <f t="shared" si="156"/>
        <v>1306.6166400000002</v>
      </c>
      <c r="AA984" s="473">
        <f t="shared" si="157"/>
        <v>-974.88914000000022</v>
      </c>
      <c r="AB984" s="339">
        <f t="shared" si="158"/>
        <v>-0.72791379593175853</v>
      </c>
    </row>
    <row r="985" spans="2:28" ht="20.100000000000001" customHeight="1">
      <c r="B985" s="172">
        <v>1427200</v>
      </c>
      <c r="C985" s="174">
        <v>44775</v>
      </c>
      <c r="D985" s="181" t="s">
        <v>408</v>
      </c>
      <c r="E985" s="173" t="s">
        <v>33</v>
      </c>
      <c r="F985" s="176">
        <v>76.88</v>
      </c>
      <c r="G985" s="175">
        <f t="shared" si="160"/>
        <v>1</v>
      </c>
      <c r="H985" s="175">
        <f t="shared" si="153"/>
        <v>76.88</v>
      </c>
      <c r="I985" s="177">
        <f>IF(G985=0,0,IF(E985="MXN",1/HLOOKUP(YEAR(C985)+(MONTH(C985)/100),TC!$5:$37,DAY(C985)+2,FALSE),VLOOKUP(E985,Equivalencia!$5:$23,((MAX(Equivalencia!$3:$3)-YEAR(C985))*14)+MONTH(C985)+2,FALSE)))</f>
        <v>1</v>
      </c>
      <c r="J985" s="178">
        <f t="shared" si="161"/>
        <v>76.88</v>
      </c>
      <c r="K985" s="462">
        <f>IF(C985=0,0,VLOOKUP(YEAR(C985),INPC!$B$4:$O$29,MONTH(C985)+1))</f>
        <v>123.803</v>
      </c>
      <c r="L985" s="462">
        <f>IF(S985=0,0,VLOOKUP(YEAR(S985),INPC!$B$4:$O$29,MONTH(S985)+1))</f>
        <v>125.276</v>
      </c>
      <c r="M985" s="463">
        <f t="shared" si="154"/>
        <v>1.0118</v>
      </c>
      <c r="N985" s="465">
        <f t="shared" si="162"/>
        <v>77.787183999999996</v>
      </c>
      <c r="O985" s="179"/>
      <c r="P985" s="180">
        <v>1</v>
      </c>
      <c r="Q985" s="173" t="s">
        <v>583</v>
      </c>
      <c r="R985" s="173" t="s">
        <v>230</v>
      </c>
      <c r="S985" s="174">
        <v>44855</v>
      </c>
      <c r="T985" s="173" t="s">
        <v>33</v>
      </c>
      <c r="U985" s="182">
        <v>41.465937500000003</v>
      </c>
      <c r="V985" s="177">
        <f>IF(U985=0,0,IF(T985="MXN",1/HLOOKUP(YEAR(S985)+(MONTH(S985)/100),TC!$5:$37,DAY(S985)+2,FALSE),VLOOKUP(T985,Equivalencia!$1:$23,((MAX(Equivalencia!$3:$3)-YEAR(S985))*14)+MONTH(S985)+2,FALSE)))</f>
        <v>1</v>
      </c>
      <c r="W985" s="178">
        <f t="shared" si="159"/>
        <v>41.465937500000003</v>
      </c>
      <c r="X985" s="481">
        <f t="shared" si="155"/>
        <v>-35.414062499999993</v>
      </c>
      <c r="Y985" s="179"/>
      <c r="Z985" s="466">
        <f t="shared" si="156"/>
        <v>77.787183999999996</v>
      </c>
      <c r="AA985" s="473">
        <f t="shared" si="157"/>
        <v>-36.321246499999994</v>
      </c>
      <c r="AB985" s="339">
        <f t="shared" si="158"/>
        <v>-0.46064077133194581</v>
      </c>
    </row>
    <row r="986" spans="2:28" ht="20.100000000000001" customHeight="1">
      <c r="B986" s="172">
        <v>1427200</v>
      </c>
      <c r="C986" s="174">
        <v>44775</v>
      </c>
      <c r="D986" s="181" t="s">
        <v>408</v>
      </c>
      <c r="E986" s="173" t="s">
        <v>33</v>
      </c>
      <c r="F986" s="176">
        <v>76.91</v>
      </c>
      <c r="G986" s="175">
        <f t="shared" si="160"/>
        <v>1</v>
      </c>
      <c r="H986" s="175">
        <f t="shared" si="153"/>
        <v>76.91</v>
      </c>
      <c r="I986" s="177">
        <f>IF(G986=0,0,IF(E986="MXN",1/HLOOKUP(YEAR(C986)+(MONTH(C986)/100),TC!$5:$37,DAY(C986)+2,FALSE),VLOOKUP(E986,Equivalencia!$5:$23,((MAX(Equivalencia!$3:$3)-YEAR(C986))*14)+MONTH(C986)+2,FALSE)))</f>
        <v>1</v>
      </c>
      <c r="J986" s="178">
        <f t="shared" si="161"/>
        <v>76.91</v>
      </c>
      <c r="K986" s="462">
        <f>IF(C986=0,0,VLOOKUP(YEAR(C986),INPC!$B$4:$O$29,MONTH(C986)+1))</f>
        <v>123.803</v>
      </c>
      <c r="L986" s="462">
        <f>IF(S986=0,0,VLOOKUP(YEAR(S986),INPC!$B$4:$O$29,MONTH(S986)+1))</f>
        <v>125.276</v>
      </c>
      <c r="M986" s="463">
        <f t="shared" si="154"/>
        <v>1.0118</v>
      </c>
      <c r="N986" s="465">
        <f t="shared" si="162"/>
        <v>77.817537999999999</v>
      </c>
      <c r="O986" s="179"/>
      <c r="P986" s="180">
        <v>1</v>
      </c>
      <c r="Q986" s="173" t="s">
        <v>583</v>
      </c>
      <c r="R986" s="173" t="s">
        <v>230</v>
      </c>
      <c r="S986" s="174">
        <v>44855</v>
      </c>
      <c r="T986" s="173" t="s">
        <v>33</v>
      </c>
      <c r="U986" s="182">
        <v>41.465937500000003</v>
      </c>
      <c r="V986" s="177">
        <f>IF(U986=0,0,IF(T986="MXN",1/HLOOKUP(YEAR(S986)+(MONTH(S986)/100),TC!$5:$37,DAY(S986)+2,FALSE),VLOOKUP(T986,Equivalencia!$1:$23,((MAX(Equivalencia!$3:$3)-YEAR(S986))*14)+MONTH(S986)+2,FALSE)))</f>
        <v>1</v>
      </c>
      <c r="W986" s="178">
        <f t="shared" si="159"/>
        <v>41.465937500000003</v>
      </c>
      <c r="X986" s="481">
        <f t="shared" si="155"/>
        <v>-35.444062499999994</v>
      </c>
      <c r="Y986" s="179"/>
      <c r="Z986" s="466">
        <f t="shared" si="156"/>
        <v>77.817537999999999</v>
      </c>
      <c r="AA986" s="473">
        <f t="shared" si="157"/>
        <v>-36.351600499999996</v>
      </c>
      <c r="AB986" s="339">
        <f t="shared" si="158"/>
        <v>-0.46085115719672343</v>
      </c>
    </row>
    <row r="987" spans="2:28" ht="20.100000000000001" customHeight="1">
      <c r="B987" s="172">
        <v>1427200</v>
      </c>
      <c r="C987" s="174">
        <v>44775</v>
      </c>
      <c r="D987" s="181" t="s">
        <v>408</v>
      </c>
      <c r="E987" s="173" t="s">
        <v>33</v>
      </c>
      <c r="F987" s="176">
        <v>769.88</v>
      </c>
      <c r="G987" s="175">
        <f t="shared" si="160"/>
        <v>10</v>
      </c>
      <c r="H987" s="175">
        <f t="shared" si="153"/>
        <v>769.88</v>
      </c>
      <c r="I987" s="177">
        <f>IF(G987=0,0,IF(E987="MXN",1/HLOOKUP(YEAR(C987)+(MONTH(C987)/100),TC!$5:$37,DAY(C987)+2,FALSE),VLOOKUP(E987,Equivalencia!$5:$23,((MAX(Equivalencia!$3:$3)-YEAR(C987))*14)+MONTH(C987)+2,FALSE)))</f>
        <v>1</v>
      </c>
      <c r="J987" s="178">
        <f t="shared" si="161"/>
        <v>769.88</v>
      </c>
      <c r="K987" s="462">
        <f>IF(C987=0,0,VLOOKUP(YEAR(C987),INPC!$B$4:$O$29,MONTH(C987)+1))</f>
        <v>123.803</v>
      </c>
      <c r="L987" s="462">
        <f>IF(S987=0,0,VLOOKUP(YEAR(S987),INPC!$B$4:$O$29,MONTH(S987)+1))</f>
        <v>125.276</v>
      </c>
      <c r="M987" s="463">
        <f t="shared" si="154"/>
        <v>1.0118</v>
      </c>
      <c r="N987" s="465">
        <f t="shared" si="162"/>
        <v>778.96458400000006</v>
      </c>
      <c r="O987" s="179"/>
      <c r="P987" s="180">
        <v>10</v>
      </c>
      <c r="Q987" s="173" t="s">
        <v>583</v>
      </c>
      <c r="R987" s="173" t="s">
        <v>230</v>
      </c>
      <c r="S987" s="174">
        <v>44855</v>
      </c>
      <c r="T987" s="173" t="s">
        <v>33</v>
      </c>
      <c r="U987" s="182">
        <v>414.65937500000001</v>
      </c>
      <c r="V987" s="177">
        <f>IF(U987=0,0,IF(T987="MXN",1/HLOOKUP(YEAR(S987)+(MONTH(S987)/100),TC!$5:$37,DAY(S987)+2,FALSE),VLOOKUP(T987,Equivalencia!$1:$23,((MAX(Equivalencia!$3:$3)-YEAR(S987))*14)+MONTH(S987)+2,FALSE)))</f>
        <v>1</v>
      </c>
      <c r="W987" s="178">
        <f t="shared" si="159"/>
        <v>414.65937500000001</v>
      </c>
      <c r="X987" s="481">
        <f t="shared" si="155"/>
        <v>-355.22062499999998</v>
      </c>
      <c r="Y987" s="179"/>
      <c r="Z987" s="466">
        <f t="shared" si="156"/>
        <v>778.96458400000006</v>
      </c>
      <c r="AA987" s="473">
        <f t="shared" si="157"/>
        <v>-364.30520900000005</v>
      </c>
      <c r="AB987" s="339">
        <f t="shared" si="158"/>
        <v>-0.46139739310022343</v>
      </c>
    </row>
    <row r="988" spans="2:28" ht="20.100000000000001" customHeight="1">
      <c r="B988" s="172">
        <v>1427200</v>
      </c>
      <c r="C988" s="174">
        <v>44777</v>
      </c>
      <c r="D988" s="181" t="s">
        <v>408</v>
      </c>
      <c r="E988" s="173" t="s">
        <v>33</v>
      </c>
      <c r="F988" s="176">
        <v>784.3599999999999</v>
      </c>
      <c r="G988" s="175">
        <f t="shared" si="160"/>
        <v>12</v>
      </c>
      <c r="H988" s="175">
        <f t="shared" si="153"/>
        <v>784.3599999999999</v>
      </c>
      <c r="I988" s="177">
        <f>IF(G988=0,0,IF(E988="MXN",1/HLOOKUP(YEAR(C988)+(MONTH(C988)/100),TC!$5:$37,DAY(C988)+2,FALSE),VLOOKUP(E988,Equivalencia!$5:$23,((MAX(Equivalencia!$3:$3)-YEAR(C988))*14)+MONTH(C988)+2,FALSE)))</f>
        <v>1</v>
      </c>
      <c r="J988" s="178">
        <f t="shared" si="161"/>
        <v>784.3599999999999</v>
      </c>
      <c r="K988" s="462">
        <f>IF(C988=0,0,VLOOKUP(YEAR(C988),INPC!$B$4:$O$29,MONTH(C988)+1))</f>
        <v>123.803</v>
      </c>
      <c r="L988" s="462">
        <f>IF(S988=0,0,VLOOKUP(YEAR(S988),INPC!$B$4:$O$29,MONTH(S988)+1))</f>
        <v>125.276</v>
      </c>
      <c r="M988" s="463">
        <f t="shared" si="154"/>
        <v>1.0118</v>
      </c>
      <c r="N988" s="465">
        <f t="shared" si="162"/>
        <v>793.6154479999999</v>
      </c>
      <c r="O988" s="179"/>
      <c r="P988" s="180">
        <v>12</v>
      </c>
      <c r="Q988" s="173" t="s">
        <v>583</v>
      </c>
      <c r="R988" s="173" t="s">
        <v>230</v>
      </c>
      <c r="S988" s="174">
        <v>44855</v>
      </c>
      <c r="T988" s="173" t="s">
        <v>33</v>
      </c>
      <c r="U988" s="182">
        <v>497.59125000000006</v>
      </c>
      <c r="V988" s="177">
        <f>IF(U988=0,0,IF(T988="MXN",1/HLOOKUP(YEAR(S988)+(MONTH(S988)/100),TC!$5:$37,DAY(S988)+2,FALSE),VLOOKUP(T988,Equivalencia!$1:$23,((MAX(Equivalencia!$3:$3)-YEAR(S988))*14)+MONTH(S988)+2,FALSE)))</f>
        <v>1</v>
      </c>
      <c r="W988" s="178">
        <f t="shared" si="159"/>
        <v>497.59125000000006</v>
      </c>
      <c r="X988" s="481">
        <f t="shared" si="155"/>
        <v>-286.76874999999984</v>
      </c>
      <c r="Y988" s="179"/>
      <c r="Z988" s="466">
        <f t="shared" si="156"/>
        <v>793.6154479999999</v>
      </c>
      <c r="AA988" s="473">
        <f t="shared" si="157"/>
        <v>-296.02419799999984</v>
      </c>
      <c r="AB988" s="339">
        <f t="shared" si="158"/>
        <v>-0.36560858534346463</v>
      </c>
    </row>
    <row r="989" spans="2:28" ht="20.100000000000001" customHeight="1">
      <c r="B989" s="172">
        <v>1427200</v>
      </c>
      <c r="C989" s="174">
        <v>44503</v>
      </c>
      <c r="D989" s="181" t="s">
        <v>266</v>
      </c>
      <c r="E989" s="173" t="s">
        <v>33</v>
      </c>
      <c r="F989" s="176">
        <v>10801.066410256411</v>
      </c>
      <c r="G989" s="175">
        <f t="shared" si="160"/>
        <v>33</v>
      </c>
      <c r="H989" s="175">
        <f t="shared" si="153"/>
        <v>10801.066410256411</v>
      </c>
      <c r="I989" s="177">
        <f>IF(G989=0,0,IF(E989="MXN",1/HLOOKUP(YEAR(C989)+(MONTH(C989)/100),TC!$5:$37,DAY(C989)+2,FALSE),VLOOKUP(E989,Equivalencia!$5:$23,((MAX(Equivalencia!$3:$3)-YEAR(C989))*14)+MONTH(C989)+2,FALSE)))</f>
        <v>1</v>
      </c>
      <c r="J989" s="178">
        <f t="shared" si="161"/>
        <v>10801.066410256411</v>
      </c>
      <c r="K989" s="462">
        <f>IF(C989=0,0,VLOOKUP(YEAR(C989),INPC!$B$4:$O$29,MONTH(C989)+1))</f>
        <v>116.884</v>
      </c>
      <c r="L989" s="462">
        <f>IF(S989=0,0,VLOOKUP(YEAR(S989),INPC!$B$4:$O$29,MONTH(S989)+1))</f>
        <v>125.276</v>
      </c>
      <c r="M989" s="463">
        <f t="shared" si="154"/>
        <v>1.0717000000000001</v>
      </c>
      <c r="N989" s="465">
        <f t="shared" si="162"/>
        <v>11575.502871871797</v>
      </c>
      <c r="O989" s="179"/>
      <c r="P989" s="180">
        <v>33</v>
      </c>
      <c r="Q989" s="173" t="s">
        <v>583</v>
      </c>
      <c r="R989" s="173" t="s">
        <v>230</v>
      </c>
      <c r="S989" s="174">
        <v>44861</v>
      </c>
      <c r="T989" s="173" t="s">
        <v>33</v>
      </c>
      <c r="U989" s="182">
        <v>3302.2597826086953</v>
      </c>
      <c r="V989" s="177">
        <f>IF(U989=0,0,IF(T989="MXN",1/HLOOKUP(YEAR(S989)+(MONTH(S989)/100),TC!$5:$37,DAY(S989)+2,FALSE),VLOOKUP(T989,Equivalencia!$1:$23,((MAX(Equivalencia!$3:$3)-YEAR(S989))*14)+MONTH(S989)+2,FALSE)))</f>
        <v>1</v>
      </c>
      <c r="W989" s="178">
        <f t="shared" si="159"/>
        <v>3302.2597826086953</v>
      </c>
      <c r="X989" s="481">
        <f t="shared" si="155"/>
        <v>-7498.8066276477166</v>
      </c>
      <c r="Y989" s="179"/>
      <c r="Z989" s="466">
        <f t="shared" si="156"/>
        <v>11575.502871871797</v>
      </c>
      <c r="AA989" s="473">
        <f t="shared" si="157"/>
        <v>-8273.2430892631019</v>
      </c>
      <c r="AB989" s="339">
        <f t="shared" si="158"/>
        <v>-0.694265394065816</v>
      </c>
    </row>
    <row r="990" spans="2:28" ht="20.100000000000001" customHeight="1">
      <c r="B990" s="172">
        <v>1427200</v>
      </c>
      <c r="C990" s="174">
        <v>44769</v>
      </c>
      <c r="D990" s="181" t="s">
        <v>266</v>
      </c>
      <c r="E990" s="173" t="s">
        <v>33</v>
      </c>
      <c r="F990" s="176">
        <v>167.98</v>
      </c>
      <c r="G990" s="175">
        <f t="shared" si="160"/>
        <v>1</v>
      </c>
      <c r="H990" s="175">
        <f t="shared" si="153"/>
        <v>167.98</v>
      </c>
      <c r="I990" s="177">
        <f>IF(G990=0,0,IF(E990="MXN",1/HLOOKUP(YEAR(C990)+(MONTH(C990)/100),TC!$5:$37,DAY(C990)+2,FALSE),VLOOKUP(E990,Equivalencia!$5:$23,((MAX(Equivalencia!$3:$3)-YEAR(C990))*14)+MONTH(C990)+2,FALSE)))</f>
        <v>1</v>
      </c>
      <c r="J990" s="178">
        <f t="shared" si="161"/>
        <v>167.98</v>
      </c>
      <c r="K990" s="462">
        <f>IF(C990=0,0,VLOOKUP(YEAR(C990),INPC!$B$4:$O$29,MONTH(C990)+1))</f>
        <v>122.94799999999999</v>
      </c>
      <c r="L990" s="462">
        <f>IF(S990=0,0,VLOOKUP(YEAR(S990),INPC!$B$4:$O$29,MONTH(S990)+1))</f>
        <v>125.276</v>
      </c>
      <c r="M990" s="463">
        <f t="shared" si="154"/>
        <v>1.0188999999999999</v>
      </c>
      <c r="N990" s="465">
        <f t="shared" si="162"/>
        <v>171.15482199999997</v>
      </c>
      <c r="O990" s="179"/>
      <c r="P990" s="180">
        <v>1</v>
      </c>
      <c r="Q990" s="173" t="s">
        <v>583</v>
      </c>
      <c r="R990" s="173" t="s">
        <v>230</v>
      </c>
      <c r="S990" s="174">
        <v>44861</v>
      </c>
      <c r="T990" s="173" t="s">
        <v>33</v>
      </c>
      <c r="U990" s="182">
        <v>100.06847826086955</v>
      </c>
      <c r="V990" s="177">
        <f>IF(U990=0,0,IF(T990="MXN",1/HLOOKUP(YEAR(S990)+(MONTH(S990)/100),TC!$5:$37,DAY(S990)+2,FALSE),VLOOKUP(T990,Equivalencia!$1:$23,((MAX(Equivalencia!$3:$3)-YEAR(S990))*14)+MONTH(S990)+2,FALSE)))</f>
        <v>1</v>
      </c>
      <c r="W990" s="178">
        <f t="shared" si="159"/>
        <v>100.06847826086955</v>
      </c>
      <c r="X990" s="481">
        <f t="shared" si="155"/>
        <v>-67.911521739130436</v>
      </c>
      <c r="Y990" s="179"/>
      <c r="Z990" s="466">
        <f t="shared" si="156"/>
        <v>171.15482199999997</v>
      </c>
      <c r="AA990" s="473">
        <f t="shared" si="157"/>
        <v>-71.086343739130413</v>
      </c>
      <c r="AB990" s="339">
        <f t="shared" si="158"/>
        <v>-0.40428337742070741</v>
      </c>
    </row>
    <row r="991" spans="2:28" ht="20.100000000000001" customHeight="1">
      <c r="B991" s="172">
        <v>1427200</v>
      </c>
      <c r="C991" s="174">
        <v>44769</v>
      </c>
      <c r="D991" s="181" t="s">
        <v>266</v>
      </c>
      <c r="E991" s="173" t="s">
        <v>33</v>
      </c>
      <c r="F991" s="176">
        <v>3018.53</v>
      </c>
      <c r="G991" s="175">
        <f t="shared" si="160"/>
        <v>18</v>
      </c>
      <c r="H991" s="175">
        <f t="shared" si="153"/>
        <v>3018.53</v>
      </c>
      <c r="I991" s="177">
        <f>IF(G991=0,0,IF(E991="MXN",1/HLOOKUP(YEAR(C991)+(MONTH(C991)/100),TC!$5:$37,DAY(C991)+2,FALSE),VLOOKUP(E991,Equivalencia!$5:$23,((MAX(Equivalencia!$3:$3)-YEAR(C991))*14)+MONTH(C991)+2,FALSE)))</f>
        <v>1</v>
      </c>
      <c r="J991" s="178">
        <f t="shared" si="161"/>
        <v>3018.53</v>
      </c>
      <c r="K991" s="462">
        <f>IF(C991=0,0,VLOOKUP(YEAR(C991),INPC!$B$4:$O$29,MONTH(C991)+1))</f>
        <v>122.94799999999999</v>
      </c>
      <c r="L991" s="462">
        <f>IF(S991=0,0,VLOOKUP(YEAR(S991),INPC!$B$4:$O$29,MONTH(S991)+1))</f>
        <v>125.276</v>
      </c>
      <c r="M991" s="463">
        <f t="shared" si="154"/>
        <v>1.0188999999999999</v>
      </c>
      <c r="N991" s="465">
        <f t="shared" si="162"/>
        <v>3075.5802170000002</v>
      </c>
      <c r="O991" s="179"/>
      <c r="P991" s="180">
        <v>18</v>
      </c>
      <c r="Q991" s="173" t="s">
        <v>583</v>
      </c>
      <c r="R991" s="173" t="s">
        <v>230</v>
      </c>
      <c r="S991" s="174">
        <v>44861</v>
      </c>
      <c r="T991" s="173" t="s">
        <v>33</v>
      </c>
      <c r="U991" s="182">
        <v>1801.2326086956521</v>
      </c>
      <c r="V991" s="177">
        <f>IF(U991=0,0,IF(T991="MXN",1/HLOOKUP(YEAR(S991)+(MONTH(S991)/100),TC!$5:$37,DAY(S991)+2,FALSE),VLOOKUP(T991,Equivalencia!$1:$23,((MAX(Equivalencia!$3:$3)-YEAR(S991))*14)+MONTH(S991)+2,FALSE)))</f>
        <v>1</v>
      </c>
      <c r="W991" s="178">
        <f t="shared" si="159"/>
        <v>1801.2326086956521</v>
      </c>
      <c r="X991" s="481">
        <f t="shared" si="155"/>
        <v>-1217.2973913043481</v>
      </c>
      <c r="Y991" s="179"/>
      <c r="Z991" s="466">
        <f t="shared" si="156"/>
        <v>3075.5802170000002</v>
      </c>
      <c r="AA991" s="473">
        <f t="shared" si="157"/>
        <v>-1274.3476083043481</v>
      </c>
      <c r="AB991" s="339">
        <f t="shared" si="158"/>
        <v>-0.40327490245395869</v>
      </c>
    </row>
    <row r="992" spans="2:28" ht="20.100000000000001" customHeight="1">
      <c r="B992" s="172">
        <v>1427200</v>
      </c>
      <c r="C992" s="174">
        <v>44769</v>
      </c>
      <c r="D992" s="181" t="s">
        <v>266</v>
      </c>
      <c r="E992" s="173" t="s">
        <v>33</v>
      </c>
      <c r="F992" s="176">
        <v>3201.98</v>
      </c>
      <c r="G992" s="175">
        <f t="shared" si="160"/>
        <v>19</v>
      </c>
      <c r="H992" s="175">
        <f t="shared" si="153"/>
        <v>3201.98</v>
      </c>
      <c r="I992" s="177">
        <f>IF(G992=0,0,IF(E992="MXN",1/HLOOKUP(YEAR(C992)+(MONTH(C992)/100),TC!$5:$37,DAY(C992)+2,FALSE),VLOOKUP(E992,Equivalencia!$5:$23,((MAX(Equivalencia!$3:$3)-YEAR(C992))*14)+MONTH(C992)+2,FALSE)))</f>
        <v>1</v>
      </c>
      <c r="J992" s="178">
        <f t="shared" si="161"/>
        <v>3201.98</v>
      </c>
      <c r="K992" s="462">
        <f>IF(C992=0,0,VLOOKUP(YEAR(C992),INPC!$B$4:$O$29,MONTH(C992)+1))</f>
        <v>122.94799999999999</v>
      </c>
      <c r="L992" s="462">
        <f>IF(S992=0,0,VLOOKUP(YEAR(S992),INPC!$B$4:$O$29,MONTH(S992)+1))</f>
        <v>125.276</v>
      </c>
      <c r="M992" s="463">
        <f t="shared" si="154"/>
        <v>1.0188999999999999</v>
      </c>
      <c r="N992" s="465">
        <f t="shared" si="162"/>
        <v>3262.4974219999999</v>
      </c>
      <c r="O992" s="179"/>
      <c r="P992" s="180">
        <v>19</v>
      </c>
      <c r="Q992" s="173" t="s">
        <v>583</v>
      </c>
      <c r="R992" s="173" t="s">
        <v>230</v>
      </c>
      <c r="S992" s="174">
        <v>44861</v>
      </c>
      <c r="T992" s="173" t="s">
        <v>33</v>
      </c>
      <c r="U992" s="182">
        <v>1901.3010869565214</v>
      </c>
      <c r="V992" s="177">
        <f>IF(U992=0,0,IF(T992="MXN",1/HLOOKUP(YEAR(S992)+(MONTH(S992)/100),TC!$5:$37,DAY(S992)+2,FALSE),VLOOKUP(T992,Equivalencia!$1:$23,((MAX(Equivalencia!$3:$3)-YEAR(S992))*14)+MONTH(S992)+2,FALSE)))</f>
        <v>1</v>
      </c>
      <c r="W992" s="178">
        <f t="shared" si="159"/>
        <v>1901.3010869565214</v>
      </c>
      <c r="X992" s="481">
        <f t="shared" si="155"/>
        <v>-1300.6789130434786</v>
      </c>
      <c r="Y992" s="179"/>
      <c r="Z992" s="466">
        <f t="shared" si="156"/>
        <v>3262.4974219999999</v>
      </c>
      <c r="AA992" s="473">
        <f t="shared" si="157"/>
        <v>-1361.1963350434785</v>
      </c>
      <c r="AB992" s="339">
        <f t="shared" si="158"/>
        <v>-0.40621081738283138</v>
      </c>
    </row>
    <row r="993" spans="2:28" ht="20.100000000000001" customHeight="1">
      <c r="B993" s="172">
        <v>1427200</v>
      </c>
      <c r="C993" s="174">
        <v>44777</v>
      </c>
      <c r="D993" s="181" t="s">
        <v>266</v>
      </c>
      <c r="E993" s="173" t="s">
        <v>33</v>
      </c>
      <c r="F993" s="176">
        <v>1693.55</v>
      </c>
      <c r="G993" s="175">
        <f t="shared" si="160"/>
        <v>10</v>
      </c>
      <c r="H993" s="175">
        <f t="shared" si="153"/>
        <v>1693.55</v>
      </c>
      <c r="I993" s="177">
        <f>IF(G993=0,0,IF(E993="MXN",1/HLOOKUP(YEAR(C993)+(MONTH(C993)/100),TC!$5:$37,DAY(C993)+2,FALSE),VLOOKUP(E993,Equivalencia!$5:$23,((MAX(Equivalencia!$3:$3)-YEAR(C993))*14)+MONTH(C993)+2,FALSE)))</f>
        <v>1</v>
      </c>
      <c r="J993" s="178">
        <f t="shared" si="161"/>
        <v>1693.55</v>
      </c>
      <c r="K993" s="462">
        <f>IF(C993=0,0,VLOOKUP(YEAR(C993),INPC!$B$4:$O$29,MONTH(C993)+1))</f>
        <v>123.803</v>
      </c>
      <c r="L993" s="462">
        <f>IF(S993=0,0,VLOOKUP(YEAR(S993),INPC!$B$4:$O$29,MONTH(S993)+1))</f>
        <v>125.276</v>
      </c>
      <c r="M993" s="463">
        <f t="shared" si="154"/>
        <v>1.0118</v>
      </c>
      <c r="N993" s="465">
        <f t="shared" si="162"/>
        <v>1713.5338899999999</v>
      </c>
      <c r="O993" s="179"/>
      <c r="P993" s="180">
        <v>10</v>
      </c>
      <c r="Q993" s="173" t="s">
        <v>583</v>
      </c>
      <c r="R993" s="173" t="s">
        <v>230</v>
      </c>
      <c r="S993" s="174">
        <v>44861</v>
      </c>
      <c r="T993" s="173" t="s">
        <v>33</v>
      </c>
      <c r="U993" s="182">
        <v>1000.6847826086955</v>
      </c>
      <c r="V993" s="177">
        <f>IF(U993=0,0,IF(T993="MXN",1/HLOOKUP(YEAR(S993)+(MONTH(S993)/100),TC!$5:$37,DAY(S993)+2,FALSE),VLOOKUP(T993,Equivalencia!$1:$23,((MAX(Equivalencia!$3:$3)-YEAR(S993))*14)+MONTH(S993)+2,FALSE)))</f>
        <v>1</v>
      </c>
      <c r="W993" s="178">
        <f t="shared" si="159"/>
        <v>1000.6847826086955</v>
      </c>
      <c r="X993" s="481">
        <f t="shared" si="155"/>
        <v>-692.86521739130444</v>
      </c>
      <c r="Y993" s="179"/>
      <c r="Z993" s="466">
        <f t="shared" si="156"/>
        <v>1713.5338899999999</v>
      </c>
      <c r="AA993" s="473">
        <f t="shared" si="157"/>
        <v>-712.84910739130441</v>
      </c>
      <c r="AB993" s="339">
        <f t="shared" si="158"/>
        <v>-0.40912002444055651</v>
      </c>
    </row>
    <row r="994" spans="2:28" ht="20.100000000000001" customHeight="1">
      <c r="B994" s="172">
        <v>1427200</v>
      </c>
      <c r="C994" s="174">
        <v>44781</v>
      </c>
      <c r="D994" s="181" t="s">
        <v>266</v>
      </c>
      <c r="E994" s="173" t="s">
        <v>33</v>
      </c>
      <c r="F994" s="176">
        <v>1891.15</v>
      </c>
      <c r="G994" s="175">
        <f t="shared" si="160"/>
        <v>11</v>
      </c>
      <c r="H994" s="175">
        <f t="shared" si="153"/>
        <v>1891.15</v>
      </c>
      <c r="I994" s="177">
        <f>IF(G994=0,0,IF(E994="MXN",1/HLOOKUP(YEAR(C994)+(MONTH(C994)/100),TC!$5:$37,DAY(C994)+2,FALSE),VLOOKUP(E994,Equivalencia!$5:$23,((MAX(Equivalencia!$3:$3)-YEAR(C994))*14)+MONTH(C994)+2,FALSE)))</f>
        <v>1</v>
      </c>
      <c r="J994" s="178">
        <f t="shared" si="161"/>
        <v>1891.15</v>
      </c>
      <c r="K994" s="462">
        <f>IF(C994=0,0,VLOOKUP(YEAR(C994),INPC!$B$4:$O$29,MONTH(C994)+1))</f>
        <v>123.803</v>
      </c>
      <c r="L994" s="462">
        <f>IF(S994=0,0,VLOOKUP(YEAR(S994),INPC!$B$4:$O$29,MONTH(S994)+1))</f>
        <v>125.276</v>
      </c>
      <c r="M994" s="463">
        <f t="shared" si="154"/>
        <v>1.0118</v>
      </c>
      <c r="N994" s="465">
        <f t="shared" si="162"/>
        <v>1913.4655700000001</v>
      </c>
      <c r="O994" s="179"/>
      <c r="P994" s="180">
        <v>11</v>
      </c>
      <c r="Q994" s="173" t="s">
        <v>583</v>
      </c>
      <c r="R994" s="173" t="s">
        <v>230</v>
      </c>
      <c r="S994" s="174">
        <v>44861</v>
      </c>
      <c r="T994" s="173" t="s">
        <v>33</v>
      </c>
      <c r="U994" s="182">
        <v>1100.7532608695651</v>
      </c>
      <c r="V994" s="177">
        <f>IF(U994=0,0,IF(T994="MXN",1/HLOOKUP(YEAR(S994)+(MONTH(S994)/100),TC!$5:$37,DAY(S994)+2,FALSE),VLOOKUP(T994,Equivalencia!$1:$23,((MAX(Equivalencia!$3:$3)-YEAR(S994))*14)+MONTH(S994)+2,FALSE)))</f>
        <v>1</v>
      </c>
      <c r="W994" s="178">
        <f t="shared" si="159"/>
        <v>1100.7532608695651</v>
      </c>
      <c r="X994" s="481">
        <f t="shared" si="155"/>
        <v>-790.39673913043498</v>
      </c>
      <c r="Y994" s="179"/>
      <c r="Z994" s="466">
        <f t="shared" si="156"/>
        <v>1913.4655700000001</v>
      </c>
      <c r="AA994" s="473">
        <f t="shared" si="157"/>
        <v>-812.71230913043496</v>
      </c>
      <c r="AB994" s="339">
        <f t="shared" si="158"/>
        <v>-0.41794502769766273</v>
      </c>
    </row>
    <row r="995" spans="2:28" ht="20.100000000000001" customHeight="1">
      <c r="B995" s="172">
        <v>1427200</v>
      </c>
      <c r="C995" s="174">
        <v>44581</v>
      </c>
      <c r="D995" s="181" t="s">
        <v>442</v>
      </c>
      <c r="E995" s="173" t="s">
        <v>33</v>
      </c>
      <c r="F995" s="176">
        <v>277.95</v>
      </c>
      <c r="G995" s="175">
        <f t="shared" si="160"/>
        <v>3</v>
      </c>
      <c r="H995" s="175">
        <f t="shared" si="153"/>
        <v>277.95</v>
      </c>
      <c r="I995" s="177">
        <f>IF(G995=0,0,IF(E995="MXN",1/HLOOKUP(YEAR(C995)+(MONTH(C995)/100),TC!$5:$37,DAY(C995)+2,FALSE),VLOOKUP(E995,Equivalencia!$5:$23,((MAX(Equivalencia!$3:$3)-YEAR(C995))*14)+MONTH(C995)+2,FALSE)))</f>
        <v>1</v>
      </c>
      <c r="J995" s="178">
        <f t="shared" si="161"/>
        <v>277.95</v>
      </c>
      <c r="K995" s="462">
        <f>IF(C995=0,0,VLOOKUP(YEAR(C995),INPC!$B$4:$O$29,MONTH(C995)+1))</f>
        <v>118.002</v>
      </c>
      <c r="L995" s="462">
        <f>IF(S995=0,0,VLOOKUP(YEAR(S995),INPC!$B$4:$O$29,MONTH(S995)+1))</f>
        <v>125.276</v>
      </c>
      <c r="M995" s="463">
        <f t="shared" si="154"/>
        <v>1.0616000000000001</v>
      </c>
      <c r="N995" s="465">
        <f t="shared" si="162"/>
        <v>295.07172000000003</v>
      </c>
      <c r="O995" s="179"/>
      <c r="P995" s="180">
        <v>3</v>
      </c>
      <c r="Q995" s="173" t="s">
        <v>583</v>
      </c>
      <c r="R995" s="173" t="s">
        <v>230</v>
      </c>
      <c r="S995" s="174">
        <v>44861</v>
      </c>
      <c r="T995" s="173" t="s">
        <v>33</v>
      </c>
      <c r="U995" s="182">
        <v>264.58071428571429</v>
      </c>
      <c r="V995" s="177">
        <f>IF(U995=0,0,IF(T995="MXN",1/HLOOKUP(YEAR(S995)+(MONTH(S995)/100),TC!$5:$37,DAY(S995)+2,FALSE),VLOOKUP(T995,Equivalencia!$1:$23,((MAX(Equivalencia!$3:$3)-YEAR(S995))*14)+MONTH(S995)+2,FALSE)))</f>
        <v>1</v>
      </c>
      <c r="W995" s="178">
        <f t="shared" si="159"/>
        <v>264.58071428571429</v>
      </c>
      <c r="X995" s="481">
        <f t="shared" si="155"/>
        <v>-13.369285714285695</v>
      </c>
      <c r="Y995" s="179"/>
      <c r="Z995" s="466">
        <f t="shared" si="156"/>
        <v>295.07172000000003</v>
      </c>
      <c r="AA995" s="473">
        <f t="shared" si="157"/>
        <v>-30.491005714285734</v>
      </c>
      <c r="AB995" s="339">
        <f t="shared" si="158"/>
        <v>-4.8099606815203089E-2</v>
      </c>
    </row>
    <row r="996" spans="2:28" ht="20.100000000000001" customHeight="1">
      <c r="B996" s="172">
        <v>1427200</v>
      </c>
      <c r="C996" s="174">
        <v>44581</v>
      </c>
      <c r="D996" s="181" t="s">
        <v>442</v>
      </c>
      <c r="E996" s="173" t="s">
        <v>33</v>
      </c>
      <c r="F996" s="176">
        <v>759.73</v>
      </c>
      <c r="G996" s="175">
        <f t="shared" si="160"/>
        <v>8</v>
      </c>
      <c r="H996" s="175">
        <f t="shared" si="153"/>
        <v>759.73</v>
      </c>
      <c r="I996" s="177">
        <f>IF(G996=0,0,IF(E996="MXN",1/HLOOKUP(YEAR(C996)+(MONTH(C996)/100),TC!$5:$37,DAY(C996)+2,FALSE),VLOOKUP(E996,Equivalencia!$5:$23,((MAX(Equivalencia!$3:$3)-YEAR(C996))*14)+MONTH(C996)+2,FALSE)))</f>
        <v>1</v>
      </c>
      <c r="J996" s="178">
        <f t="shared" si="161"/>
        <v>759.73</v>
      </c>
      <c r="K996" s="462">
        <f>IF(C996=0,0,VLOOKUP(YEAR(C996),INPC!$B$4:$O$29,MONTH(C996)+1))</f>
        <v>118.002</v>
      </c>
      <c r="L996" s="462">
        <f>IF(S996=0,0,VLOOKUP(YEAR(S996),INPC!$B$4:$O$29,MONTH(S996)+1))</f>
        <v>125.276</v>
      </c>
      <c r="M996" s="463">
        <f t="shared" si="154"/>
        <v>1.0616000000000001</v>
      </c>
      <c r="N996" s="465">
        <f t="shared" si="162"/>
        <v>806.52936800000009</v>
      </c>
      <c r="O996" s="179"/>
      <c r="P996" s="180">
        <v>8</v>
      </c>
      <c r="Q996" s="173" t="s">
        <v>583</v>
      </c>
      <c r="R996" s="173" t="s">
        <v>230</v>
      </c>
      <c r="S996" s="174">
        <v>44861</v>
      </c>
      <c r="T996" s="173" t="s">
        <v>33</v>
      </c>
      <c r="U996" s="182">
        <v>705.54857142857145</v>
      </c>
      <c r="V996" s="177">
        <f>IF(U996=0,0,IF(T996="MXN",1/HLOOKUP(YEAR(S996)+(MONTH(S996)/100),TC!$5:$37,DAY(S996)+2,FALSE),VLOOKUP(T996,Equivalencia!$1:$23,((MAX(Equivalencia!$3:$3)-YEAR(S996))*14)+MONTH(S996)+2,FALSE)))</f>
        <v>1</v>
      </c>
      <c r="W996" s="178">
        <f t="shared" si="159"/>
        <v>705.54857142857145</v>
      </c>
      <c r="X996" s="481">
        <f t="shared" si="155"/>
        <v>-54.181428571428569</v>
      </c>
      <c r="Y996" s="179"/>
      <c r="Z996" s="466">
        <f t="shared" si="156"/>
        <v>806.52936800000009</v>
      </c>
      <c r="AA996" s="473">
        <f t="shared" si="157"/>
        <v>-100.98079657142864</v>
      </c>
      <c r="AB996" s="339">
        <f t="shared" si="158"/>
        <v>-7.1316689575807946E-2</v>
      </c>
    </row>
    <row r="997" spans="2:28" ht="20.100000000000001" customHeight="1">
      <c r="B997" s="172">
        <v>1427200</v>
      </c>
      <c r="C997" s="174">
        <v>44582</v>
      </c>
      <c r="D997" s="181" t="s">
        <v>442</v>
      </c>
      <c r="E997" s="173" t="s">
        <v>33</v>
      </c>
      <c r="F997" s="176">
        <v>183.87</v>
      </c>
      <c r="G997" s="175">
        <f t="shared" si="160"/>
        <v>2</v>
      </c>
      <c r="H997" s="175">
        <f t="shared" si="153"/>
        <v>183.87</v>
      </c>
      <c r="I997" s="177">
        <f>IF(G997=0,0,IF(E997="MXN",1/HLOOKUP(YEAR(C997)+(MONTH(C997)/100),TC!$5:$37,DAY(C997)+2,FALSE),VLOOKUP(E997,Equivalencia!$5:$23,((MAX(Equivalencia!$3:$3)-YEAR(C997))*14)+MONTH(C997)+2,FALSE)))</f>
        <v>1</v>
      </c>
      <c r="J997" s="178">
        <f t="shared" si="161"/>
        <v>183.87</v>
      </c>
      <c r="K997" s="462">
        <f>IF(C997=0,0,VLOOKUP(YEAR(C997),INPC!$B$4:$O$29,MONTH(C997)+1))</f>
        <v>118.002</v>
      </c>
      <c r="L997" s="462">
        <f>IF(S997=0,0,VLOOKUP(YEAR(S997),INPC!$B$4:$O$29,MONTH(S997)+1))</f>
        <v>125.276</v>
      </c>
      <c r="M997" s="463">
        <f t="shared" si="154"/>
        <v>1.0616000000000001</v>
      </c>
      <c r="N997" s="465">
        <f t="shared" si="162"/>
        <v>195.19639200000003</v>
      </c>
      <c r="O997" s="179"/>
      <c r="P997" s="180">
        <v>2</v>
      </c>
      <c r="Q997" s="173" t="s">
        <v>583</v>
      </c>
      <c r="R997" s="173" t="s">
        <v>230</v>
      </c>
      <c r="S997" s="174">
        <v>44861</v>
      </c>
      <c r="T997" s="173" t="s">
        <v>33</v>
      </c>
      <c r="U997" s="182">
        <v>176.38714285714286</v>
      </c>
      <c r="V997" s="177">
        <f>IF(U997=0,0,IF(T997="MXN",1/HLOOKUP(YEAR(S997)+(MONTH(S997)/100),TC!$5:$37,DAY(S997)+2,FALSE),VLOOKUP(T997,Equivalencia!$1:$23,((MAX(Equivalencia!$3:$3)-YEAR(S997))*14)+MONTH(S997)+2,FALSE)))</f>
        <v>1</v>
      </c>
      <c r="W997" s="178">
        <f t="shared" si="159"/>
        <v>176.38714285714286</v>
      </c>
      <c r="X997" s="481">
        <f t="shared" si="155"/>
        <v>-7.4828571428571422</v>
      </c>
      <c r="Y997" s="179"/>
      <c r="Z997" s="466">
        <f t="shared" si="156"/>
        <v>195.19639200000003</v>
      </c>
      <c r="AA997" s="473">
        <f t="shared" si="157"/>
        <v>-18.809249142857169</v>
      </c>
      <c r="AB997" s="339">
        <f t="shared" si="158"/>
        <v>-4.069645479337114E-2</v>
      </c>
    </row>
    <row r="998" spans="2:28" ht="20.100000000000001" customHeight="1">
      <c r="B998" s="172">
        <v>1427200</v>
      </c>
      <c r="C998" s="174">
        <v>44582</v>
      </c>
      <c r="D998" s="181" t="s">
        <v>442</v>
      </c>
      <c r="E998" s="173" t="s">
        <v>33</v>
      </c>
      <c r="F998" s="176">
        <v>89.78</v>
      </c>
      <c r="G998" s="175">
        <f t="shared" si="160"/>
        <v>1</v>
      </c>
      <c r="H998" s="175">
        <f t="shared" si="153"/>
        <v>89.78</v>
      </c>
      <c r="I998" s="177">
        <f>IF(G998=0,0,IF(E998="MXN",1/HLOOKUP(YEAR(C998)+(MONTH(C998)/100),TC!$5:$37,DAY(C998)+2,FALSE),VLOOKUP(E998,Equivalencia!$5:$23,((MAX(Equivalencia!$3:$3)-YEAR(C998))*14)+MONTH(C998)+2,FALSE)))</f>
        <v>1</v>
      </c>
      <c r="J998" s="178">
        <f t="shared" si="161"/>
        <v>89.78</v>
      </c>
      <c r="K998" s="462">
        <f>IF(C998=0,0,VLOOKUP(YEAR(C998),INPC!$B$4:$O$29,MONTH(C998)+1))</f>
        <v>118.002</v>
      </c>
      <c r="L998" s="462">
        <f>IF(S998=0,0,VLOOKUP(YEAR(S998),INPC!$B$4:$O$29,MONTH(S998)+1))</f>
        <v>125.276</v>
      </c>
      <c r="M998" s="463">
        <f t="shared" si="154"/>
        <v>1.0616000000000001</v>
      </c>
      <c r="N998" s="465">
        <f t="shared" si="162"/>
        <v>95.310448000000008</v>
      </c>
      <c r="O998" s="179"/>
      <c r="P998" s="180">
        <v>1</v>
      </c>
      <c r="Q998" s="173" t="s">
        <v>583</v>
      </c>
      <c r="R998" s="173" t="s">
        <v>230</v>
      </c>
      <c r="S998" s="174">
        <v>44861</v>
      </c>
      <c r="T998" s="173" t="s">
        <v>33</v>
      </c>
      <c r="U998" s="182">
        <v>88.193571428571431</v>
      </c>
      <c r="V998" s="177">
        <f>IF(U998=0,0,IF(T998="MXN",1/HLOOKUP(YEAR(S998)+(MONTH(S998)/100),TC!$5:$37,DAY(S998)+2,FALSE),VLOOKUP(T998,Equivalencia!$1:$23,((MAX(Equivalencia!$3:$3)-YEAR(S998))*14)+MONTH(S998)+2,FALSE)))</f>
        <v>1</v>
      </c>
      <c r="W998" s="178">
        <f t="shared" si="159"/>
        <v>88.193571428571431</v>
      </c>
      <c r="X998" s="481">
        <f t="shared" si="155"/>
        <v>-1.58642857142857</v>
      </c>
      <c r="Y998" s="179"/>
      <c r="Z998" s="466">
        <f t="shared" si="156"/>
        <v>95.310448000000008</v>
      </c>
      <c r="AA998" s="473">
        <f t="shared" si="157"/>
        <v>-7.1168765714285769</v>
      </c>
      <c r="AB998" s="339">
        <f t="shared" si="158"/>
        <v>-1.7670177895172334E-2</v>
      </c>
    </row>
    <row r="999" spans="2:28" ht="20.100000000000001" customHeight="1">
      <c r="B999" s="172">
        <v>1427200</v>
      </c>
      <c r="C999" s="174">
        <v>44503</v>
      </c>
      <c r="D999" s="181" t="s">
        <v>406</v>
      </c>
      <c r="E999" s="173" t="s">
        <v>33</v>
      </c>
      <c r="F999" s="176">
        <v>3451.3370370370367</v>
      </c>
      <c r="G999" s="175">
        <f t="shared" ref="G999:G1253" si="163">+P999</f>
        <v>70</v>
      </c>
      <c r="H999" s="175">
        <f t="shared" ref="H999:H1253" si="164">IF(F999=0,0,(F999/G999)*P999)</f>
        <v>3451.3370370370367</v>
      </c>
      <c r="I999" s="177">
        <f>IF(G999=0,0,IF(E999="MXN",1/HLOOKUP(YEAR(C999)+(MONTH(C999)/100),TC!$5:$37,DAY(C999)+2,FALSE),VLOOKUP(E999,Equivalencia!$5:$23,((MAX(Equivalencia!$3:$3)-YEAR(C999))*14)+MONTH(C999)+2,FALSE)))</f>
        <v>1</v>
      </c>
      <c r="J999" s="178">
        <f t="shared" ref="J999:J1253" si="165">+H999*I999</f>
        <v>3451.3370370370367</v>
      </c>
      <c r="K999" s="462">
        <f>IF(C999=0,0,VLOOKUP(YEAR(C999),INPC!$B$4:$O$29,MONTH(C999)+1))</f>
        <v>116.884</v>
      </c>
      <c r="L999" s="462">
        <f>IF(S999=0,0,VLOOKUP(YEAR(S999),INPC!$B$4:$O$29,MONTH(S999)+1))</f>
        <v>125.997</v>
      </c>
      <c r="M999" s="463">
        <f t="shared" ref="M999:M1253" si="166">IF(H999=0,0,IF(R999=$AF$4,1,IF(TRUNC(L999/K999,4)&gt;=1,TRUNC(L999/K999,4),1)))</f>
        <v>1.0779000000000001</v>
      </c>
      <c r="N999" s="465">
        <f t="shared" ref="N999:N1253" si="167">+M999*J999</f>
        <v>3720.1961922222222</v>
      </c>
      <c r="O999" s="179"/>
      <c r="P999" s="180">
        <v>70</v>
      </c>
      <c r="Q999" s="173" t="s">
        <v>583</v>
      </c>
      <c r="R999" s="173" t="s">
        <v>230</v>
      </c>
      <c r="S999" s="174">
        <v>44866</v>
      </c>
      <c r="T999" s="173" t="s">
        <v>33</v>
      </c>
      <c r="U999" s="182">
        <v>1069.98</v>
      </c>
      <c r="V999" s="177">
        <f>IF(U999=0,0,IF(T999="MXN",1/HLOOKUP(YEAR(S999)+(MONTH(S999)/100),TC!$5:$37,DAY(S999)+2,FALSE),VLOOKUP(T999,Equivalencia!$1:$23,((MAX(Equivalencia!$3:$3)-YEAR(S999))*14)+MONTH(S999)+2,FALSE)))</f>
        <v>1</v>
      </c>
      <c r="W999" s="178">
        <f t="shared" ref="W999:W1253" si="168">+V999*U999</f>
        <v>1069.98</v>
      </c>
      <c r="X999" s="481">
        <f t="shared" ref="X999:X1253" si="169">+W999-J999</f>
        <v>-2381.3570370370367</v>
      </c>
      <c r="Y999" s="179"/>
      <c r="Z999" s="466">
        <f t="shared" ref="Z999:Z1253" si="170">N999</f>
        <v>3720.1961922222222</v>
      </c>
      <c r="AA999" s="473">
        <f t="shared" ref="AA999:AA1253" si="171">+W999-Z999</f>
        <v>-2650.2161922222222</v>
      </c>
      <c r="AB999" s="339">
        <f t="shared" ref="AB999:AB1253" si="172">+IF(P999=0,0,(U999/F999)-1)</f>
        <v>-0.68998101648207188</v>
      </c>
    </row>
    <row r="1000" spans="2:28" ht="20.100000000000001" customHeight="1">
      <c r="B1000" s="172">
        <v>1427200</v>
      </c>
      <c r="C1000" s="174">
        <v>44503</v>
      </c>
      <c r="D1000" s="181" t="s">
        <v>406</v>
      </c>
      <c r="E1000" s="173" t="s">
        <v>33</v>
      </c>
      <c r="F1000" s="176">
        <v>2317.3262962962963</v>
      </c>
      <c r="G1000" s="175">
        <f t="shared" si="163"/>
        <v>47</v>
      </c>
      <c r="H1000" s="175">
        <f t="shared" si="164"/>
        <v>2317.3262962962963</v>
      </c>
      <c r="I1000" s="177">
        <f>IF(G1000=0,0,IF(E1000="MXN",1/HLOOKUP(YEAR(C1000)+(MONTH(C1000)/100),TC!$5:$37,DAY(C1000)+2,FALSE),VLOOKUP(E1000,Equivalencia!$5:$23,((MAX(Equivalencia!$3:$3)-YEAR(C1000))*14)+MONTH(C1000)+2,FALSE)))</f>
        <v>1</v>
      </c>
      <c r="J1000" s="178">
        <f t="shared" si="165"/>
        <v>2317.3262962962963</v>
      </c>
      <c r="K1000" s="462">
        <f>IF(C1000=0,0,VLOOKUP(YEAR(C1000),INPC!$B$4:$O$29,MONTH(C1000)+1))</f>
        <v>116.884</v>
      </c>
      <c r="L1000" s="462">
        <f>IF(S1000=0,0,VLOOKUP(YEAR(S1000),INPC!$B$4:$O$29,MONTH(S1000)+1))</f>
        <v>125.997</v>
      </c>
      <c r="M1000" s="463">
        <f t="shared" si="166"/>
        <v>1.0779000000000001</v>
      </c>
      <c r="N1000" s="465">
        <f t="shared" si="167"/>
        <v>2497.8460147777778</v>
      </c>
      <c r="O1000" s="179"/>
      <c r="P1000" s="180">
        <v>47</v>
      </c>
      <c r="Q1000" s="173" t="s">
        <v>583</v>
      </c>
      <c r="R1000" s="173" t="s">
        <v>230</v>
      </c>
      <c r="S1000" s="174">
        <v>44873</v>
      </c>
      <c r="T1000" s="173" t="s">
        <v>33</v>
      </c>
      <c r="U1000" s="182">
        <v>525.05999999999995</v>
      </c>
      <c r="V1000" s="177">
        <f>IF(U1000=0,0,IF(T1000="MXN",1/HLOOKUP(YEAR(S1000)+(MONTH(S1000)/100),TC!$5:$37,DAY(S1000)+2,FALSE),VLOOKUP(T1000,Equivalencia!$1:$23,((MAX(Equivalencia!$3:$3)-YEAR(S1000))*14)+MONTH(S1000)+2,FALSE)))</f>
        <v>1</v>
      </c>
      <c r="W1000" s="178">
        <f t="shared" si="168"/>
        <v>525.05999999999995</v>
      </c>
      <c r="X1000" s="481">
        <f t="shared" si="169"/>
        <v>-1792.2662962962963</v>
      </c>
      <c r="Y1000" s="179"/>
      <c r="Z1000" s="466">
        <f t="shared" si="170"/>
        <v>2497.8460147777778</v>
      </c>
      <c r="AA1000" s="473">
        <f t="shared" si="171"/>
        <v>-1972.7860147777778</v>
      </c>
      <c r="AB1000" s="339">
        <f t="shared" si="172"/>
        <v>-0.77341991033408397</v>
      </c>
    </row>
    <row r="1001" spans="2:28" ht="20.100000000000001" customHeight="1">
      <c r="B1001" s="172">
        <v>1427200</v>
      </c>
      <c r="C1001" s="174">
        <v>44503</v>
      </c>
      <c r="D1001" s="181" t="s">
        <v>406</v>
      </c>
      <c r="E1001" s="173" t="s">
        <v>33</v>
      </c>
      <c r="F1001" s="176">
        <v>7543.6366666666663</v>
      </c>
      <c r="G1001" s="175">
        <f t="shared" si="163"/>
        <v>153</v>
      </c>
      <c r="H1001" s="175">
        <f t="shared" si="164"/>
        <v>7543.6366666666663</v>
      </c>
      <c r="I1001" s="177">
        <f>IF(G1001=0,0,IF(E1001="MXN",1/HLOOKUP(YEAR(C1001)+(MONTH(C1001)/100),TC!$5:$37,DAY(C1001)+2,FALSE),VLOOKUP(E1001,Equivalencia!$5:$23,((MAX(Equivalencia!$3:$3)-YEAR(C1001))*14)+MONTH(C1001)+2,FALSE)))</f>
        <v>1</v>
      </c>
      <c r="J1001" s="178">
        <f t="shared" si="165"/>
        <v>7543.6366666666663</v>
      </c>
      <c r="K1001" s="462">
        <f>IF(C1001=0,0,VLOOKUP(YEAR(C1001),INPC!$B$4:$O$29,MONTH(C1001)+1))</f>
        <v>116.884</v>
      </c>
      <c r="L1001" s="462">
        <f>IF(S1001=0,0,VLOOKUP(YEAR(S1001),INPC!$B$4:$O$29,MONTH(S1001)+1))</f>
        <v>125.997</v>
      </c>
      <c r="M1001" s="463">
        <f t="shared" si="166"/>
        <v>1.0779000000000001</v>
      </c>
      <c r="N1001" s="465">
        <f t="shared" si="167"/>
        <v>8131.2859630000003</v>
      </c>
      <c r="O1001" s="179"/>
      <c r="P1001" s="180">
        <v>153</v>
      </c>
      <c r="Q1001" s="173" t="s">
        <v>583</v>
      </c>
      <c r="R1001" s="173" t="s">
        <v>230</v>
      </c>
      <c r="S1001" s="174">
        <v>44873</v>
      </c>
      <c r="T1001" s="173" t="s">
        <v>33</v>
      </c>
      <c r="U1001" s="182">
        <v>1668.6109248554912</v>
      </c>
      <c r="V1001" s="177">
        <f>IF(U1001=0,0,IF(T1001="MXN",1/HLOOKUP(YEAR(S1001)+(MONTH(S1001)/100),TC!$5:$37,DAY(S1001)+2,FALSE),VLOOKUP(T1001,Equivalencia!$1:$23,((MAX(Equivalencia!$3:$3)-YEAR(S1001))*14)+MONTH(S1001)+2,FALSE)))</f>
        <v>1</v>
      </c>
      <c r="W1001" s="178">
        <f t="shared" si="168"/>
        <v>1668.6109248554912</v>
      </c>
      <c r="X1001" s="481">
        <f t="shared" si="169"/>
        <v>-5875.0257418111751</v>
      </c>
      <c r="Y1001" s="179"/>
      <c r="Z1001" s="466">
        <f t="shared" si="170"/>
        <v>8131.2859630000003</v>
      </c>
      <c r="AA1001" s="473">
        <f t="shared" si="171"/>
        <v>-6462.675038144509</v>
      </c>
      <c r="AB1001" s="339">
        <f t="shared" si="172"/>
        <v>-0.77880550209574095</v>
      </c>
    </row>
    <row r="1002" spans="2:28" ht="20.100000000000001" customHeight="1">
      <c r="B1002" s="172">
        <v>1427200</v>
      </c>
      <c r="C1002" s="174">
        <v>44601</v>
      </c>
      <c r="D1002" s="181" t="s">
        <v>406</v>
      </c>
      <c r="E1002" s="173" t="s">
        <v>33</v>
      </c>
      <c r="F1002" s="176">
        <v>42.41</v>
      </c>
      <c r="G1002" s="175">
        <f t="shared" si="163"/>
        <v>1</v>
      </c>
      <c r="H1002" s="175">
        <f t="shared" si="164"/>
        <v>42.41</v>
      </c>
      <c r="I1002" s="177">
        <f>IF(G1002=0,0,IF(E1002="MXN",1/HLOOKUP(YEAR(C1002)+(MONTH(C1002)/100),TC!$5:$37,DAY(C1002)+2,FALSE),VLOOKUP(E1002,Equivalencia!$5:$23,((MAX(Equivalencia!$3:$3)-YEAR(C1002))*14)+MONTH(C1002)+2,FALSE)))</f>
        <v>1</v>
      </c>
      <c r="J1002" s="178">
        <f t="shared" si="165"/>
        <v>42.41</v>
      </c>
      <c r="K1002" s="462">
        <f>IF(C1002=0,0,VLOOKUP(YEAR(C1002),INPC!$B$4:$O$29,MONTH(C1002)+1))</f>
        <v>118.98099999999999</v>
      </c>
      <c r="L1002" s="462">
        <f>IF(S1002=0,0,VLOOKUP(YEAR(S1002),INPC!$B$4:$O$29,MONTH(S1002)+1))</f>
        <v>125.997</v>
      </c>
      <c r="M1002" s="463">
        <f t="shared" si="166"/>
        <v>1.0589</v>
      </c>
      <c r="N1002" s="465">
        <f t="shared" si="167"/>
        <v>44.907948999999995</v>
      </c>
      <c r="O1002" s="179"/>
      <c r="P1002" s="180">
        <v>1</v>
      </c>
      <c r="Q1002" s="173" t="s">
        <v>583</v>
      </c>
      <c r="R1002" s="173" t="s">
        <v>230</v>
      </c>
      <c r="S1002" s="174">
        <v>44873</v>
      </c>
      <c r="T1002" s="173" t="s">
        <v>33</v>
      </c>
      <c r="U1002" s="182">
        <v>10.905953757225433</v>
      </c>
      <c r="V1002" s="177">
        <f>IF(U1002=0,0,IF(T1002="MXN",1/HLOOKUP(YEAR(S1002)+(MONTH(S1002)/100),TC!$5:$37,DAY(S1002)+2,FALSE),VLOOKUP(T1002,Equivalencia!$1:$23,((MAX(Equivalencia!$3:$3)-YEAR(S1002))*14)+MONTH(S1002)+2,FALSE)))</f>
        <v>1</v>
      </c>
      <c r="W1002" s="178">
        <f t="shared" si="168"/>
        <v>10.905953757225433</v>
      </c>
      <c r="X1002" s="481">
        <f t="shared" si="169"/>
        <v>-31.504046242774564</v>
      </c>
      <c r="Y1002" s="179"/>
      <c r="Z1002" s="466">
        <f t="shared" si="170"/>
        <v>44.907948999999995</v>
      </c>
      <c r="AA1002" s="473">
        <f t="shared" si="171"/>
        <v>-34.001995242774562</v>
      </c>
      <c r="AB1002" s="339">
        <f t="shared" si="172"/>
        <v>-0.74284475932031513</v>
      </c>
    </row>
    <row r="1003" spans="2:28" ht="20.100000000000001" customHeight="1">
      <c r="B1003" s="172">
        <v>1427200</v>
      </c>
      <c r="C1003" s="174">
        <v>44601</v>
      </c>
      <c r="D1003" s="181" t="s">
        <v>406</v>
      </c>
      <c r="E1003" s="173" t="s">
        <v>33</v>
      </c>
      <c r="F1003" s="176">
        <v>568.65</v>
      </c>
      <c r="G1003" s="175">
        <f t="shared" si="163"/>
        <v>13</v>
      </c>
      <c r="H1003" s="175">
        <f t="shared" si="164"/>
        <v>568.65</v>
      </c>
      <c r="I1003" s="177">
        <f>IF(G1003=0,0,IF(E1003="MXN",1/HLOOKUP(YEAR(C1003)+(MONTH(C1003)/100),TC!$5:$37,DAY(C1003)+2,FALSE),VLOOKUP(E1003,Equivalencia!$5:$23,((MAX(Equivalencia!$3:$3)-YEAR(C1003))*14)+MONTH(C1003)+2,FALSE)))</f>
        <v>1</v>
      </c>
      <c r="J1003" s="178">
        <f t="shared" si="165"/>
        <v>568.65</v>
      </c>
      <c r="K1003" s="462">
        <f>IF(C1003=0,0,VLOOKUP(YEAR(C1003),INPC!$B$4:$O$29,MONTH(C1003)+1))</f>
        <v>118.98099999999999</v>
      </c>
      <c r="L1003" s="462">
        <f>IF(S1003=0,0,VLOOKUP(YEAR(S1003),INPC!$B$4:$O$29,MONTH(S1003)+1))</f>
        <v>125.997</v>
      </c>
      <c r="M1003" s="463">
        <f t="shared" si="166"/>
        <v>1.0589</v>
      </c>
      <c r="N1003" s="465">
        <f t="shared" si="167"/>
        <v>602.14348499999994</v>
      </c>
      <c r="O1003" s="179"/>
      <c r="P1003" s="180">
        <v>13</v>
      </c>
      <c r="Q1003" s="173" t="s">
        <v>583</v>
      </c>
      <c r="R1003" s="173" t="s">
        <v>230</v>
      </c>
      <c r="S1003" s="174">
        <v>44873</v>
      </c>
      <c r="T1003" s="173" t="s">
        <v>33</v>
      </c>
      <c r="U1003" s="182">
        <v>141.77739884393063</v>
      </c>
      <c r="V1003" s="177">
        <f>IF(U1003=0,0,IF(T1003="MXN",1/HLOOKUP(YEAR(S1003)+(MONTH(S1003)/100),TC!$5:$37,DAY(S1003)+2,FALSE),VLOOKUP(T1003,Equivalencia!$1:$23,((MAX(Equivalencia!$3:$3)-YEAR(S1003))*14)+MONTH(S1003)+2,FALSE)))</f>
        <v>1</v>
      </c>
      <c r="W1003" s="178">
        <f t="shared" si="168"/>
        <v>141.77739884393063</v>
      </c>
      <c r="X1003" s="481">
        <f t="shared" si="169"/>
        <v>-426.87260115606932</v>
      </c>
      <c r="Y1003" s="179"/>
      <c r="Z1003" s="466">
        <f t="shared" si="170"/>
        <v>602.14348499999994</v>
      </c>
      <c r="AA1003" s="473">
        <f t="shared" si="171"/>
        <v>-460.36608615606929</v>
      </c>
      <c r="AB1003" s="339">
        <f t="shared" si="172"/>
        <v>-0.75067722000539761</v>
      </c>
    </row>
    <row r="1004" spans="2:28" ht="20.100000000000001" customHeight="1">
      <c r="B1004" s="172">
        <v>1427200</v>
      </c>
      <c r="C1004" s="174">
        <v>44601</v>
      </c>
      <c r="D1004" s="181" t="s">
        <v>406</v>
      </c>
      <c r="E1004" s="173" t="s">
        <v>33</v>
      </c>
      <c r="F1004" s="176">
        <v>130.53</v>
      </c>
      <c r="G1004" s="175">
        <f t="shared" si="163"/>
        <v>3</v>
      </c>
      <c r="H1004" s="175">
        <f t="shared" si="164"/>
        <v>130.53</v>
      </c>
      <c r="I1004" s="177">
        <f>IF(G1004=0,0,IF(E1004="MXN",1/HLOOKUP(YEAR(C1004)+(MONTH(C1004)/100),TC!$5:$37,DAY(C1004)+2,FALSE),VLOOKUP(E1004,Equivalencia!$5:$23,((MAX(Equivalencia!$3:$3)-YEAR(C1004))*14)+MONTH(C1004)+2,FALSE)))</f>
        <v>1</v>
      </c>
      <c r="J1004" s="178">
        <f t="shared" si="165"/>
        <v>130.53</v>
      </c>
      <c r="K1004" s="462">
        <f>IF(C1004=0,0,VLOOKUP(YEAR(C1004),INPC!$B$4:$O$29,MONTH(C1004)+1))</f>
        <v>118.98099999999999</v>
      </c>
      <c r="L1004" s="462">
        <f>IF(S1004=0,0,VLOOKUP(YEAR(S1004),INPC!$B$4:$O$29,MONTH(S1004)+1))</f>
        <v>125.997</v>
      </c>
      <c r="M1004" s="463">
        <f t="shared" si="166"/>
        <v>1.0589</v>
      </c>
      <c r="N1004" s="465">
        <f t="shared" si="167"/>
        <v>138.21821699999998</v>
      </c>
      <c r="O1004" s="179"/>
      <c r="P1004" s="180">
        <v>3</v>
      </c>
      <c r="Q1004" s="173" t="s">
        <v>583</v>
      </c>
      <c r="R1004" s="173" t="s">
        <v>230</v>
      </c>
      <c r="S1004" s="174">
        <v>44873</v>
      </c>
      <c r="T1004" s="173" t="s">
        <v>33</v>
      </c>
      <c r="U1004" s="182">
        <v>32.717861271676298</v>
      </c>
      <c r="V1004" s="177">
        <f>IF(U1004=0,0,IF(T1004="MXN",1/HLOOKUP(YEAR(S1004)+(MONTH(S1004)/100),TC!$5:$37,DAY(S1004)+2,FALSE),VLOOKUP(T1004,Equivalencia!$1:$23,((MAX(Equivalencia!$3:$3)-YEAR(S1004))*14)+MONTH(S1004)+2,FALSE)))</f>
        <v>1</v>
      </c>
      <c r="W1004" s="178">
        <f t="shared" si="168"/>
        <v>32.717861271676298</v>
      </c>
      <c r="X1004" s="481">
        <f t="shared" si="169"/>
        <v>-97.812138728323703</v>
      </c>
      <c r="Y1004" s="179"/>
      <c r="Z1004" s="466">
        <f t="shared" si="170"/>
        <v>138.21821699999998</v>
      </c>
      <c r="AA1004" s="473">
        <f t="shared" si="171"/>
        <v>-105.50035572832368</v>
      </c>
      <c r="AB1004" s="339">
        <f t="shared" si="172"/>
        <v>-0.74934604097390412</v>
      </c>
    </row>
    <row r="1005" spans="2:28" ht="20.100000000000001" customHeight="1">
      <c r="B1005" s="172">
        <v>1427200</v>
      </c>
      <c r="C1005" s="174">
        <v>44601</v>
      </c>
      <c r="D1005" s="181" t="s">
        <v>406</v>
      </c>
      <c r="E1005" s="173" t="s">
        <v>33</v>
      </c>
      <c r="F1005" s="176">
        <v>127.47</v>
      </c>
      <c r="G1005" s="175">
        <f t="shared" si="163"/>
        <v>3</v>
      </c>
      <c r="H1005" s="175">
        <f t="shared" si="164"/>
        <v>127.47</v>
      </c>
      <c r="I1005" s="177">
        <f>IF(G1005=0,0,IF(E1005="MXN",1/HLOOKUP(YEAR(C1005)+(MONTH(C1005)/100),TC!$5:$37,DAY(C1005)+2,FALSE),VLOOKUP(E1005,Equivalencia!$5:$23,((MAX(Equivalencia!$3:$3)-YEAR(C1005))*14)+MONTH(C1005)+2,FALSE)))</f>
        <v>1</v>
      </c>
      <c r="J1005" s="178">
        <f t="shared" si="165"/>
        <v>127.47</v>
      </c>
      <c r="K1005" s="462">
        <f>IF(C1005=0,0,VLOOKUP(YEAR(C1005),INPC!$B$4:$O$29,MONTH(C1005)+1))</f>
        <v>118.98099999999999</v>
      </c>
      <c r="L1005" s="462">
        <f>IF(S1005=0,0,VLOOKUP(YEAR(S1005),INPC!$B$4:$O$29,MONTH(S1005)+1))</f>
        <v>125.997</v>
      </c>
      <c r="M1005" s="463">
        <f t="shared" si="166"/>
        <v>1.0589</v>
      </c>
      <c r="N1005" s="465">
        <f t="shared" si="167"/>
        <v>134.97798299999999</v>
      </c>
      <c r="O1005" s="179"/>
      <c r="P1005" s="180">
        <v>3</v>
      </c>
      <c r="Q1005" s="173" t="s">
        <v>583</v>
      </c>
      <c r="R1005" s="173" t="s">
        <v>230</v>
      </c>
      <c r="S1005" s="174">
        <v>44873</v>
      </c>
      <c r="T1005" s="173" t="s">
        <v>33</v>
      </c>
      <c r="U1005" s="182">
        <v>32.717861271676298</v>
      </c>
      <c r="V1005" s="177">
        <f>IF(U1005=0,0,IF(T1005="MXN",1/HLOOKUP(YEAR(S1005)+(MONTH(S1005)/100),TC!$5:$37,DAY(S1005)+2,FALSE),VLOOKUP(T1005,Equivalencia!$1:$23,((MAX(Equivalencia!$3:$3)-YEAR(S1005))*14)+MONTH(S1005)+2,FALSE)))</f>
        <v>1</v>
      </c>
      <c r="W1005" s="178">
        <f t="shared" si="168"/>
        <v>32.717861271676298</v>
      </c>
      <c r="X1005" s="481">
        <f t="shared" si="169"/>
        <v>-94.7521387283237</v>
      </c>
      <c r="Y1005" s="179"/>
      <c r="Z1005" s="466">
        <f t="shared" si="170"/>
        <v>134.97798299999999</v>
      </c>
      <c r="AA1005" s="473">
        <f t="shared" si="171"/>
        <v>-102.2601217283237</v>
      </c>
      <c r="AB1005" s="339">
        <f t="shared" si="172"/>
        <v>-0.74332893016649959</v>
      </c>
    </row>
    <row r="1006" spans="2:28" ht="20.100000000000001" customHeight="1">
      <c r="B1006" s="172">
        <v>1427200</v>
      </c>
      <c r="C1006" s="174">
        <v>44592</v>
      </c>
      <c r="D1006" s="181" t="s">
        <v>448</v>
      </c>
      <c r="E1006" s="173" t="s">
        <v>33</v>
      </c>
      <c r="F1006" s="176">
        <v>52.075000000000003</v>
      </c>
      <c r="G1006" s="175">
        <f t="shared" si="163"/>
        <v>1</v>
      </c>
      <c r="H1006" s="175">
        <f t="shared" si="164"/>
        <v>52.075000000000003</v>
      </c>
      <c r="I1006" s="177">
        <f>IF(G1006=0,0,IF(E1006="MXN",1/HLOOKUP(YEAR(C1006)+(MONTH(C1006)/100),TC!$5:$37,DAY(C1006)+2,FALSE),VLOOKUP(E1006,Equivalencia!$5:$23,((MAX(Equivalencia!$3:$3)-YEAR(C1006))*14)+MONTH(C1006)+2,FALSE)))</f>
        <v>1</v>
      </c>
      <c r="J1006" s="178">
        <f t="shared" si="165"/>
        <v>52.075000000000003</v>
      </c>
      <c r="K1006" s="462">
        <f>IF(C1006=0,0,VLOOKUP(YEAR(C1006),INPC!$B$4:$O$29,MONTH(C1006)+1))</f>
        <v>118.002</v>
      </c>
      <c r="L1006" s="462">
        <f>IF(S1006=0,0,VLOOKUP(YEAR(S1006),INPC!$B$4:$O$29,MONTH(S1006)+1))</f>
        <v>120.15900000000001</v>
      </c>
      <c r="M1006" s="463">
        <f t="shared" si="166"/>
        <v>1.0182</v>
      </c>
      <c r="N1006" s="465">
        <f t="shared" si="167"/>
        <v>53.022765</v>
      </c>
      <c r="O1006" s="179"/>
      <c r="P1006" s="180">
        <v>1</v>
      </c>
      <c r="Q1006" s="173" t="s">
        <v>583</v>
      </c>
      <c r="R1006" s="173" t="s">
        <v>230</v>
      </c>
      <c r="S1006" s="174">
        <v>44634</v>
      </c>
      <c r="T1006" s="173" t="s">
        <v>33</v>
      </c>
      <c r="U1006" s="182">
        <v>49.11</v>
      </c>
      <c r="V1006" s="177">
        <f>IF(U1006=0,0,IF(T1006="MXN",1/HLOOKUP(YEAR(S1006)+(MONTH(S1006)/100),TC!$5:$37,DAY(S1006)+2,FALSE),VLOOKUP(T1006,Equivalencia!$1:$23,((MAX(Equivalencia!$3:$3)-YEAR(S1006))*14)+MONTH(S1006)+2,FALSE)))</f>
        <v>1</v>
      </c>
      <c r="W1006" s="178">
        <f t="shared" si="168"/>
        <v>49.11</v>
      </c>
      <c r="X1006" s="481">
        <f t="shared" si="169"/>
        <v>-2.9650000000000034</v>
      </c>
      <c r="Y1006" s="179"/>
      <c r="Z1006" s="466">
        <f t="shared" si="170"/>
        <v>53.022765</v>
      </c>
      <c r="AA1006" s="473">
        <f t="shared" si="171"/>
        <v>-3.9127650000000003</v>
      </c>
      <c r="AB1006" s="339">
        <f t="shared" si="172"/>
        <v>-5.6937109937590047E-2</v>
      </c>
    </row>
    <row r="1007" spans="2:28" ht="20.100000000000001" customHeight="1">
      <c r="B1007" s="172">
        <v>1427200</v>
      </c>
      <c r="C1007" s="174">
        <v>44592</v>
      </c>
      <c r="D1007" s="181" t="s">
        <v>448</v>
      </c>
      <c r="E1007" s="173" t="s">
        <v>33</v>
      </c>
      <c r="F1007" s="176">
        <v>52.075000000000003</v>
      </c>
      <c r="G1007" s="175">
        <f t="shared" si="163"/>
        <v>1</v>
      </c>
      <c r="H1007" s="175">
        <f t="shared" si="164"/>
        <v>52.075000000000003</v>
      </c>
      <c r="I1007" s="177">
        <f>IF(G1007=0,0,IF(E1007="MXN",1/HLOOKUP(YEAR(C1007)+(MONTH(C1007)/100),TC!$5:$37,DAY(C1007)+2,FALSE),VLOOKUP(E1007,Equivalencia!$5:$23,((MAX(Equivalencia!$3:$3)-YEAR(C1007))*14)+MONTH(C1007)+2,FALSE)))</f>
        <v>1</v>
      </c>
      <c r="J1007" s="178">
        <f t="shared" si="165"/>
        <v>52.075000000000003</v>
      </c>
      <c r="K1007" s="462">
        <f>IF(C1007=0,0,VLOOKUP(YEAR(C1007),INPC!$B$4:$O$29,MONTH(C1007)+1))</f>
        <v>118.002</v>
      </c>
      <c r="L1007" s="462">
        <f>IF(S1007=0,0,VLOOKUP(YEAR(S1007),INPC!$B$4:$O$29,MONTH(S1007)+1))</f>
        <v>120.15900000000001</v>
      </c>
      <c r="M1007" s="463">
        <f t="shared" si="166"/>
        <v>1.0182</v>
      </c>
      <c r="N1007" s="465">
        <f t="shared" si="167"/>
        <v>53.022765</v>
      </c>
      <c r="O1007" s="179"/>
      <c r="P1007" s="180">
        <v>1</v>
      </c>
      <c r="Q1007" s="173" t="s">
        <v>583</v>
      </c>
      <c r="R1007" s="173" t="s">
        <v>230</v>
      </c>
      <c r="S1007" s="174">
        <v>44634</v>
      </c>
      <c r="T1007" s="173" t="s">
        <v>33</v>
      </c>
      <c r="U1007" s="182">
        <v>48.712499999999999</v>
      </c>
      <c r="V1007" s="177">
        <f>IF(U1007=0,0,IF(T1007="MXN",1/HLOOKUP(YEAR(S1007)+(MONTH(S1007)/100),TC!$5:$37,DAY(S1007)+2,FALSE),VLOOKUP(T1007,Equivalencia!$1:$23,((MAX(Equivalencia!$3:$3)-YEAR(S1007))*14)+MONTH(S1007)+2,FALSE)))</f>
        <v>1</v>
      </c>
      <c r="W1007" s="178">
        <f t="shared" si="168"/>
        <v>48.712499999999999</v>
      </c>
      <c r="X1007" s="481">
        <f t="shared" si="169"/>
        <v>-3.3625000000000043</v>
      </c>
      <c r="Y1007" s="179"/>
      <c r="Z1007" s="466">
        <f t="shared" si="170"/>
        <v>53.022765</v>
      </c>
      <c r="AA1007" s="473">
        <f t="shared" si="171"/>
        <v>-4.3102650000000011</v>
      </c>
      <c r="AB1007" s="339">
        <f t="shared" si="172"/>
        <v>-6.4570331253000601E-2</v>
      </c>
    </row>
    <row r="1008" spans="2:28" ht="20.100000000000001" customHeight="1">
      <c r="B1008" s="172">
        <v>1427200</v>
      </c>
      <c r="C1008" s="174">
        <v>44592</v>
      </c>
      <c r="D1008" s="181" t="s">
        <v>448</v>
      </c>
      <c r="E1008" s="173" t="s">
        <v>33</v>
      </c>
      <c r="F1008" s="176">
        <v>156.00264705882353</v>
      </c>
      <c r="G1008" s="175">
        <f t="shared" si="163"/>
        <v>3</v>
      </c>
      <c r="H1008" s="175">
        <f t="shared" si="164"/>
        <v>156.00264705882353</v>
      </c>
      <c r="I1008" s="177">
        <f>IF(G1008=0,0,IF(E1008="MXN",1/HLOOKUP(YEAR(C1008)+(MONTH(C1008)/100),TC!$5:$37,DAY(C1008)+2,FALSE),VLOOKUP(E1008,Equivalencia!$5:$23,((MAX(Equivalencia!$3:$3)-YEAR(C1008))*14)+MONTH(C1008)+2,FALSE)))</f>
        <v>1</v>
      </c>
      <c r="J1008" s="178">
        <f t="shared" si="165"/>
        <v>156.00264705882353</v>
      </c>
      <c r="K1008" s="462">
        <f>IF(C1008=0,0,VLOOKUP(YEAR(C1008),INPC!$B$4:$O$29,MONTH(C1008)+1))</f>
        <v>118.002</v>
      </c>
      <c r="L1008" s="462">
        <f>IF(S1008=0,0,VLOOKUP(YEAR(S1008),INPC!$B$4:$O$29,MONTH(S1008)+1))</f>
        <v>120.15900000000001</v>
      </c>
      <c r="M1008" s="463">
        <f t="shared" si="166"/>
        <v>1.0182</v>
      </c>
      <c r="N1008" s="465">
        <f t="shared" si="167"/>
        <v>158.84189523529412</v>
      </c>
      <c r="O1008" s="179"/>
      <c r="P1008" s="180">
        <v>3</v>
      </c>
      <c r="Q1008" s="173" t="s">
        <v>583</v>
      </c>
      <c r="R1008" s="173" t="s">
        <v>230</v>
      </c>
      <c r="S1008" s="174">
        <v>44634</v>
      </c>
      <c r="T1008" s="173" t="s">
        <v>33</v>
      </c>
      <c r="U1008" s="182">
        <v>146.13749999999999</v>
      </c>
      <c r="V1008" s="177">
        <f>IF(U1008=0,0,IF(T1008="MXN",1/HLOOKUP(YEAR(S1008)+(MONTH(S1008)/100),TC!$5:$37,DAY(S1008)+2,FALSE),VLOOKUP(T1008,Equivalencia!$1:$23,((MAX(Equivalencia!$3:$3)-YEAR(S1008))*14)+MONTH(S1008)+2,FALSE)))</f>
        <v>1</v>
      </c>
      <c r="W1008" s="178">
        <f t="shared" si="168"/>
        <v>146.13749999999999</v>
      </c>
      <c r="X1008" s="481">
        <f t="shared" si="169"/>
        <v>-9.8651470588235384</v>
      </c>
      <c r="Y1008" s="179"/>
      <c r="Z1008" s="466">
        <f t="shared" si="170"/>
        <v>158.84189523529412</v>
      </c>
      <c r="AA1008" s="473">
        <f t="shared" si="171"/>
        <v>-12.704395235294129</v>
      </c>
      <c r="AB1008" s="339">
        <f t="shared" si="172"/>
        <v>-6.323704914509376E-2</v>
      </c>
    </row>
    <row r="1009" spans="2:28" ht="20.100000000000001" customHeight="1">
      <c r="B1009" s="172">
        <v>1427200</v>
      </c>
      <c r="C1009" s="174">
        <v>44592</v>
      </c>
      <c r="D1009" s="181" t="s">
        <v>448</v>
      </c>
      <c r="E1009" s="173" t="s">
        <v>33</v>
      </c>
      <c r="F1009" s="176">
        <v>416.00705882352941</v>
      </c>
      <c r="G1009" s="175">
        <f t="shared" si="163"/>
        <v>8</v>
      </c>
      <c r="H1009" s="175">
        <f t="shared" si="164"/>
        <v>416.00705882352941</v>
      </c>
      <c r="I1009" s="177">
        <f>IF(G1009=0,0,IF(E1009="MXN",1/HLOOKUP(YEAR(C1009)+(MONTH(C1009)/100),TC!$5:$37,DAY(C1009)+2,FALSE),VLOOKUP(E1009,Equivalencia!$5:$23,((MAX(Equivalencia!$3:$3)-YEAR(C1009))*14)+MONTH(C1009)+2,FALSE)))</f>
        <v>1</v>
      </c>
      <c r="J1009" s="178">
        <f t="shared" si="165"/>
        <v>416.00705882352941</v>
      </c>
      <c r="K1009" s="462">
        <f>IF(C1009=0,0,VLOOKUP(YEAR(C1009),INPC!$B$4:$O$29,MONTH(C1009)+1))</f>
        <v>118.002</v>
      </c>
      <c r="L1009" s="462">
        <f>IF(S1009=0,0,VLOOKUP(YEAR(S1009),INPC!$B$4:$O$29,MONTH(S1009)+1))</f>
        <v>120.15900000000001</v>
      </c>
      <c r="M1009" s="463">
        <f t="shared" si="166"/>
        <v>1.0182</v>
      </c>
      <c r="N1009" s="465">
        <f t="shared" si="167"/>
        <v>423.57838729411765</v>
      </c>
      <c r="O1009" s="179"/>
      <c r="P1009" s="180">
        <v>8</v>
      </c>
      <c r="Q1009" s="173" t="s">
        <v>583</v>
      </c>
      <c r="R1009" s="173" t="s">
        <v>230</v>
      </c>
      <c r="S1009" s="174">
        <v>44634</v>
      </c>
      <c r="T1009" s="173" t="s">
        <v>33</v>
      </c>
      <c r="U1009" s="182">
        <v>389.28</v>
      </c>
      <c r="V1009" s="177">
        <f>IF(U1009=0,0,IF(T1009="MXN",1/HLOOKUP(YEAR(S1009)+(MONTH(S1009)/100),TC!$5:$37,DAY(S1009)+2,FALSE),VLOOKUP(T1009,Equivalencia!$1:$23,((MAX(Equivalencia!$3:$3)-YEAR(S1009))*14)+MONTH(S1009)+2,FALSE)))</f>
        <v>1</v>
      </c>
      <c r="W1009" s="178">
        <f t="shared" si="168"/>
        <v>389.28</v>
      </c>
      <c r="X1009" s="481">
        <f t="shared" si="169"/>
        <v>-26.727058823529433</v>
      </c>
      <c r="Y1009" s="179"/>
      <c r="Z1009" s="466">
        <f t="shared" si="170"/>
        <v>423.57838729411765</v>
      </c>
      <c r="AA1009" s="473">
        <f t="shared" si="171"/>
        <v>-34.298387294117674</v>
      </c>
      <c r="AB1009" s="339">
        <f t="shared" si="172"/>
        <v>-6.4246647398517043E-2</v>
      </c>
    </row>
    <row r="1010" spans="2:28" ht="20.100000000000001" customHeight="1">
      <c r="B1010" s="172">
        <v>1427200</v>
      </c>
      <c r="C1010" s="174">
        <v>44592</v>
      </c>
      <c r="D1010" s="181" t="s">
        <v>448</v>
      </c>
      <c r="E1010" s="173" t="s">
        <v>33</v>
      </c>
      <c r="F1010" s="176">
        <v>104.00176470588235</v>
      </c>
      <c r="G1010" s="175">
        <f t="shared" si="163"/>
        <v>2</v>
      </c>
      <c r="H1010" s="175">
        <f t="shared" si="164"/>
        <v>104.00176470588235</v>
      </c>
      <c r="I1010" s="177">
        <f>IF(G1010=0,0,IF(E1010="MXN",1/HLOOKUP(YEAR(C1010)+(MONTH(C1010)/100),TC!$5:$37,DAY(C1010)+2,FALSE),VLOOKUP(E1010,Equivalencia!$5:$23,((MAX(Equivalencia!$3:$3)-YEAR(C1010))*14)+MONTH(C1010)+2,FALSE)))</f>
        <v>1</v>
      </c>
      <c r="J1010" s="178">
        <f t="shared" si="165"/>
        <v>104.00176470588235</v>
      </c>
      <c r="K1010" s="462">
        <f>IF(C1010=0,0,VLOOKUP(YEAR(C1010),INPC!$B$4:$O$29,MONTH(C1010)+1))</f>
        <v>118.002</v>
      </c>
      <c r="L1010" s="462">
        <f>IF(S1010=0,0,VLOOKUP(YEAR(S1010),INPC!$B$4:$O$29,MONTH(S1010)+1))</f>
        <v>120.15900000000001</v>
      </c>
      <c r="M1010" s="463">
        <f t="shared" si="166"/>
        <v>1.0182</v>
      </c>
      <c r="N1010" s="465">
        <f t="shared" si="167"/>
        <v>105.89459682352941</v>
      </c>
      <c r="O1010" s="179"/>
      <c r="P1010" s="180">
        <v>2</v>
      </c>
      <c r="Q1010" s="173" t="s">
        <v>583</v>
      </c>
      <c r="R1010" s="173" t="s">
        <v>230</v>
      </c>
      <c r="S1010" s="174">
        <v>44635</v>
      </c>
      <c r="T1010" s="173" t="s">
        <v>33</v>
      </c>
      <c r="U1010" s="182">
        <v>99.52</v>
      </c>
      <c r="V1010" s="177">
        <f>IF(U1010=0,0,IF(T1010="MXN",1/HLOOKUP(YEAR(S1010)+(MONTH(S1010)/100),TC!$5:$37,DAY(S1010)+2,FALSE),VLOOKUP(T1010,Equivalencia!$1:$23,((MAX(Equivalencia!$3:$3)-YEAR(S1010))*14)+MONTH(S1010)+2,FALSE)))</f>
        <v>1</v>
      </c>
      <c r="W1010" s="178">
        <f t="shared" si="168"/>
        <v>99.52</v>
      </c>
      <c r="X1010" s="481">
        <f t="shared" si="169"/>
        <v>-4.4817647058823553</v>
      </c>
      <c r="Y1010" s="179"/>
      <c r="Z1010" s="466">
        <f t="shared" si="170"/>
        <v>105.89459682352941</v>
      </c>
      <c r="AA1010" s="473">
        <f t="shared" si="171"/>
        <v>-6.3745968235294157</v>
      </c>
      <c r="AB1010" s="339">
        <f t="shared" si="172"/>
        <v>-4.3093160183933499E-2</v>
      </c>
    </row>
    <row r="1011" spans="2:28" ht="20.100000000000001" customHeight="1">
      <c r="B1011" s="172">
        <v>1427200</v>
      </c>
      <c r="C1011" s="174">
        <v>44592</v>
      </c>
      <c r="D1011" s="181" t="s">
        <v>448</v>
      </c>
      <c r="E1011" s="173" t="s">
        <v>33</v>
      </c>
      <c r="F1011" s="176">
        <v>208.0035294117647</v>
      </c>
      <c r="G1011" s="175">
        <f t="shared" si="163"/>
        <v>4</v>
      </c>
      <c r="H1011" s="175">
        <f t="shared" si="164"/>
        <v>208.0035294117647</v>
      </c>
      <c r="I1011" s="177">
        <f>IF(G1011=0,0,IF(E1011="MXN",1/HLOOKUP(YEAR(C1011)+(MONTH(C1011)/100),TC!$5:$37,DAY(C1011)+2,FALSE),VLOOKUP(E1011,Equivalencia!$5:$23,((MAX(Equivalencia!$3:$3)-YEAR(C1011))*14)+MONTH(C1011)+2,FALSE)))</f>
        <v>1</v>
      </c>
      <c r="J1011" s="178">
        <f t="shared" si="165"/>
        <v>208.0035294117647</v>
      </c>
      <c r="K1011" s="462">
        <f>IF(C1011=0,0,VLOOKUP(YEAR(C1011),INPC!$B$4:$O$29,MONTH(C1011)+1))</f>
        <v>118.002</v>
      </c>
      <c r="L1011" s="462">
        <f>IF(S1011=0,0,VLOOKUP(YEAR(S1011),INPC!$B$4:$O$29,MONTH(S1011)+1))</f>
        <v>120.15900000000001</v>
      </c>
      <c r="M1011" s="463">
        <f t="shared" si="166"/>
        <v>1.0182</v>
      </c>
      <c r="N1011" s="465">
        <f t="shared" si="167"/>
        <v>211.78919364705882</v>
      </c>
      <c r="O1011" s="179"/>
      <c r="P1011" s="180">
        <v>4</v>
      </c>
      <c r="Q1011" s="173" t="s">
        <v>583</v>
      </c>
      <c r="R1011" s="173" t="s">
        <v>230</v>
      </c>
      <c r="S1011" s="174">
        <v>44635</v>
      </c>
      <c r="T1011" s="173" t="s">
        <v>33</v>
      </c>
      <c r="U1011" s="182">
        <v>203.05</v>
      </c>
      <c r="V1011" s="177">
        <f>IF(U1011=0,0,IF(T1011="MXN",1/HLOOKUP(YEAR(S1011)+(MONTH(S1011)/100),TC!$5:$37,DAY(S1011)+2,FALSE),VLOOKUP(T1011,Equivalencia!$1:$23,((MAX(Equivalencia!$3:$3)-YEAR(S1011))*14)+MONTH(S1011)+2,FALSE)))</f>
        <v>1</v>
      </c>
      <c r="W1011" s="178">
        <f t="shared" si="168"/>
        <v>203.05</v>
      </c>
      <c r="X1011" s="481">
        <f t="shared" si="169"/>
        <v>-4.9535294117646913</v>
      </c>
      <c r="Y1011" s="179"/>
      <c r="Z1011" s="466">
        <f t="shared" si="170"/>
        <v>211.78919364705882</v>
      </c>
      <c r="AA1011" s="473">
        <f t="shared" si="171"/>
        <v>-8.7391936470588121</v>
      </c>
      <c r="AB1011" s="339">
        <f t="shared" si="172"/>
        <v>-2.3814641154279004E-2</v>
      </c>
    </row>
    <row r="1012" spans="2:28" ht="20.100000000000001" customHeight="1">
      <c r="B1012" s="172">
        <v>1427200</v>
      </c>
      <c r="C1012" s="174">
        <v>44592</v>
      </c>
      <c r="D1012" s="181" t="s">
        <v>448</v>
      </c>
      <c r="E1012" s="173" t="s">
        <v>33</v>
      </c>
      <c r="F1012" s="176">
        <v>156.00264705882353</v>
      </c>
      <c r="G1012" s="175">
        <f t="shared" si="163"/>
        <v>3</v>
      </c>
      <c r="H1012" s="175">
        <f t="shared" si="164"/>
        <v>156.00264705882353</v>
      </c>
      <c r="I1012" s="177">
        <f>IF(G1012=0,0,IF(E1012="MXN",1/HLOOKUP(YEAR(C1012)+(MONTH(C1012)/100),TC!$5:$37,DAY(C1012)+2,FALSE),VLOOKUP(E1012,Equivalencia!$5:$23,((MAX(Equivalencia!$3:$3)-YEAR(C1012))*14)+MONTH(C1012)+2,FALSE)))</f>
        <v>1</v>
      </c>
      <c r="J1012" s="178">
        <f t="shared" si="165"/>
        <v>156.00264705882353</v>
      </c>
      <c r="K1012" s="462">
        <f>IF(C1012=0,0,VLOOKUP(YEAR(C1012),INPC!$B$4:$O$29,MONTH(C1012)+1))</f>
        <v>118.002</v>
      </c>
      <c r="L1012" s="462">
        <f>IF(S1012=0,0,VLOOKUP(YEAR(S1012),INPC!$B$4:$O$29,MONTH(S1012)+1))</f>
        <v>125.997</v>
      </c>
      <c r="M1012" s="463">
        <f t="shared" si="166"/>
        <v>1.0677000000000001</v>
      </c>
      <c r="N1012" s="465">
        <f t="shared" si="167"/>
        <v>166.56402626470589</v>
      </c>
      <c r="O1012" s="179"/>
      <c r="P1012" s="180">
        <v>3</v>
      </c>
      <c r="Q1012" s="173" t="s">
        <v>583</v>
      </c>
      <c r="R1012" s="173" t="s">
        <v>230</v>
      </c>
      <c r="S1012" s="174">
        <v>44866</v>
      </c>
      <c r="T1012" s="173" t="s">
        <v>33</v>
      </c>
      <c r="U1012" s="182">
        <v>131.47999999999999</v>
      </c>
      <c r="V1012" s="177">
        <f>IF(U1012=0,0,IF(T1012="MXN",1/HLOOKUP(YEAR(S1012)+(MONTH(S1012)/100),TC!$5:$37,DAY(S1012)+2,FALSE),VLOOKUP(T1012,Equivalencia!$1:$23,((MAX(Equivalencia!$3:$3)-YEAR(S1012))*14)+MONTH(S1012)+2,FALSE)))</f>
        <v>1</v>
      </c>
      <c r="W1012" s="178">
        <f t="shared" si="168"/>
        <v>131.47999999999999</v>
      </c>
      <c r="X1012" s="481">
        <f t="shared" si="169"/>
        <v>-24.522647058823537</v>
      </c>
      <c r="Y1012" s="179"/>
      <c r="Z1012" s="466">
        <f t="shared" si="170"/>
        <v>166.56402626470589</v>
      </c>
      <c r="AA1012" s="473">
        <f t="shared" si="171"/>
        <v>-35.084026264705898</v>
      </c>
      <c r="AB1012" s="339">
        <f t="shared" si="172"/>
        <v>-0.15719378818986862</v>
      </c>
    </row>
    <row r="1013" spans="2:28" ht="20.100000000000001" customHeight="1">
      <c r="B1013" s="172">
        <v>1427200</v>
      </c>
      <c r="C1013" s="174">
        <v>44592</v>
      </c>
      <c r="D1013" s="181" t="s">
        <v>448</v>
      </c>
      <c r="E1013" s="173" t="s">
        <v>33</v>
      </c>
      <c r="F1013" s="176">
        <v>728.01235294117646</v>
      </c>
      <c r="G1013" s="175">
        <f t="shared" si="163"/>
        <v>14</v>
      </c>
      <c r="H1013" s="175">
        <f t="shared" si="164"/>
        <v>728.01235294117646</v>
      </c>
      <c r="I1013" s="177">
        <f>IF(G1013=0,0,IF(E1013="MXN",1/HLOOKUP(YEAR(C1013)+(MONTH(C1013)/100),TC!$5:$37,DAY(C1013)+2,FALSE),VLOOKUP(E1013,Equivalencia!$5:$23,((MAX(Equivalencia!$3:$3)-YEAR(C1013))*14)+MONTH(C1013)+2,FALSE)))</f>
        <v>1</v>
      </c>
      <c r="J1013" s="178">
        <f t="shared" si="165"/>
        <v>728.01235294117646</v>
      </c>
      <c r="K1013" s="462">
        <f>IF(C1013=0,0,VLOOKUP(YEAR(C1013),INPC!$B$4:$O$29,MONTH(C1013)+1))</f>
        <v>118.002</v>
      </c>
      <c r="L1013" s="462">
        <f>IF(S1013=0,0,VLOOKUP(YEAR(S1013),INPC!$B$4:$O$29,MONTH(S1013)+1))</f>
        <v>125.997</v>
      </c>
      <c r="M1013" s="463">
        <f t="shared" si="166"/>
        <v>1.0677000000000001</v>
      </c>
      <c r="N1013" s="465">
        <f t="shared" si="167"/>
        <v>777.29878923529418</v>
      </c>
      <c r="O1013" s="179"/>
      <c r="P1013" s="180">
        <v>14</v>
      </c>
      <c r="Q1013" s="173" t="s">
        <v>583</v>
      </c>
      <c r="R1013" s="173" t="s">
        <v>230</v>
      </c>
      <c r="S1013" s="174">
        <v>44866</v>
      </c>
      <c r="T1013" s="173" t="s">
        <v>33</v>
      </c>
      <c r="U1013" s="182">
        <v>612.58400000000006</v>
      </c>
      <c r="V1013" s="177">
        <f>IF(U1013=0,0,IF(T1013="MXN",1/HLOOKUP(YEAR(S1013)+(MONTH(S1013)/100),TC!$5:$37,DAY(S1013)+2,FALSE),VLOOKUP(T1013,Equivalencia!$1:$23,((MAX(Equivalencia!$3:$3)-YEAR(S1013))*14)+MONTH(S1013)+2,FALSE)))</f>
        <v>1</v>
      </c>
      <c r="W1013" s="178">
        <f t="shared" si="168"/>
        <v>612.58400000000006</v>
      </c>
      <c r="X1013" s="481">
        <f t="shared" si="169"/>
        <v>-115.4283529411764</v>
      </c>
      <c r="Y1013" s="179"/>
      <c r="Z1013" s="466">
        <f t="shared" si="170"/>
        <v>777.29878923529418</v>
      </c>
      <c r="AA1013" s="473">
        <f t="shared" si="171"/>
        <v>-164.71478923529412</v>
      </c>
      <c r="AB1013" s="339">
        <f t="shared" si="172"/>
        <v>-0.15855273948971449</v>
      </c>
    </row>
    <row r="1014" spans="2:28" ht="20.100000000000001" customHeight="1">
      <c r="B1014" s="172">
        <v>1427200</v>
      </c>
      <c r="C1014" s="174">
        <v>44593</v>
      </c>
      <c r="D1014" s="181" t="s">
        <v>448</v>
      </c>
      <c r="E1014" s="173" t="s">
        <v>33</v>
      </c>
      <c r="F1014" s="176">
        <v>53.83</v>
      </c>
      <c r="G1014" s="175">
        <f t="shared" si="163"/>
        <v>1</v>
      </c>
      <c r="H1014" s="175">
        <f t="shared" si="164"/>
        <v>53.83</v>
      </c>
      <c r="I1014" s="177">
        <f>IF(G1014=0,0,IF(E1014="MXN",1/HLOOKUP(YEAR(C1014)+(MONTH(C1014)/100),TC!$5:$37,DAY(C1014)+2,FALSE),VLOOKUP(E1014,Equivalencia!$5:$23,((MAX(Equivalencia!$3:$3)-YEAR(C1014))*14)+MONTH(C1014)+2,FALSE)))</f>
        <v>1</v>
      </c>
      <c r="J1014" s="178">
        <f t="shared" si="165"/>
        <v>53.83</v>
      </c>
      <c r="K1014" s="462">
        <f>IF(C1014=0,0,VLOOKUP(YEAR(C1014),INPC!$B$4:$O$29,MONTH(C1014)+1))</f>
        <v>118.98099999999999</v>
      </c>
      <c r="L1014" s="462">
        <f>IF(S1014=0,0,VLOOKUP(YEAR(S1014),INPC!$B$4:$O$29,MONTH(S1014)+1))</f>
        <v>125.997</v>
      </c>
      <c r="M1014" s="463">
        <f t="shared" si="166"/>
        <v>1.0589</v>
      </c>
      <c r="N1014" s="465">
        <f t="shared" si="167"/>
        <v>57.000586999999996</v>
      </c>
      <c r="O1014" s="179"/>
      <c r="P1014" s="180">
        <v>1</v>
      </c>
      <c r="Q1014" s="173" t="s">
        <v>583</v>
      </c>
      <c r="R1014" s="173" t="s">
        <v>230</v>
      </c>
      <c r="S1014" s="174">
        <v>44866</v>
      </c>
      <c r="T1014" s="173" t="s">
        <v>33</v>
      </c>
      <c r="U1014" s="182">
        <v>43.756</v>
      </c>
      <c r="V1014" s="177">
        <f>IF(U1014=0,0,IF(T1014="MXN",1/HLOOKUP(YEAR(S1014)+(MONTH(S1014)/100),TC!$5:$37,DAY(S1014)+2,FALSE),VLOOKUP(T1014,Equivalencia!$1:$23,((MAX(Equivalencia!$3:$3)-YEAR(S1014))*14)+MONTH(S1014)+2,FALSE)))</f>
        <v>1</v>
      </c>
      <c r="W1014" s="178">
        <f t="shared" si="168"/>
        <v>43.756</v>
      </c>
      <c r="X1014" s="481">
        <f t="shared" si="169"/>
        <v>-10.073999999999998</v>
      </c>
      <c r="Y1014" s="179"/>
      <c r="Z1014" s="466">
        <f t="shared" si="170"/>
        <v>57.000586999999996</v>
      </c>
      <c r="AA1014" s="473">
        <f t="shared" si="171"/>
        <v>-13.244586999999996</v>
      </c>
      <c r="AB1014" s="339">
        <f t="shared" si="172"/>
        <v>-0.18714471484302431</v>
      </c>
    </row>
    <row r="1015" spans="2:28" ht="20.100000000000001" customHeight="1">
      <c r="B1015" s="172">
        <v>1427200</v>
      </c>
      <c r="C1015" s="174">
        <v>44593</v>
      </c>
      <c r="D1015" s="181" t="s">
        <v>448</v>
      </c>
      <c r="E1015" s="173" t="s">
        <v>33</v>
      </c>
      <c r="F1015" s="176">
        <v>270.68571428571425</v>
      </c>
      <c r="G1015" s="175">
        <f t="shared" si="163"/>
        <v>5</v>
      </c>
      <c r="H1015" s="175">
        <f t="shared" si="164"/>
        <v>270.68571428571425</v>
      </c>
      <c r="I1015" s="177">
        <f>IF(G1015=0,0,IF(E1015="MXN",1/HLOOKUP(YEAR(C1015)+(MONTH(C1015)/100),TC!$5:$37,DAY(C1015)+2,FALSE),VLOOKUP(E1015,Equivalencia!$5:$23,((MAX(Equivalencia!$3:$3)-YEAR(C1015))*14)+MONTH(C1015)+2,FALSE)))</f>
        <v>1</v>
      </c>
      <c r="J1015" s="178">
        <f t="shared" si="165"/>
        <v>270.68571428571425</v>
      </c>
      <c r="K1015" s="462">
        <f>IF(C1015=0,0,VLOOKUP(YEAR(C1015),INPC!$B$4:$O$29,MONTH(C1015)+1))</f>
        <v>118.98099999999999</v>
      </c>
      <c r="L1015" s="462">
        <f>IF(S1015=0,0,VLOOKUP(YEAR(S1015),INPC!$B$4:$O$29,MONTH(S1015)+1))</f>
        <v>125.997</v>
      </c>
      <c r="M1015" s="463">
        <f t="shared" si="166"/>
        <v>1.0589</v>
      </c>
      <c r="N1015" s="465">
        <f t="shared" si="167"/>
        <v>286.62910285714281</v>
      </c>
      <c r="O1015" s="179"/>
      <c r="P1015" s="180">
        <v>5</v>
      </c>
      <c r="Q1015" s="173" t="s">
        <v>583</v>
      </c>
      <c r="R1015" s="173" t="s">
        <v>230</v>
      </c>
      <c r="S1015" s="174">
        <v>44866</v>
      </c>
      <c r="T1015" s="173" t="s">
        <v>33</v>
      </c>
      <c r="U1015" s="182">
        <v>218.78</v>
      </c>
      <c r="V1015" s="177">
        <f>IF(U1015=0,0,IF(T1015="MXN",1/HLOOKUP(YEAR(S1015)+(MONTH(S1015)/100),TC!$5:$37,DAY(S1015)+2,FALSE),VLOOKUP(T1015,Equivalencia!$1:$23,((MAX(Equivalencia!$3:$3)-YEAR(S1015))*14)+MONTH(S1015)+2,FALSE)))</f>
        <v>1</v>
      </c>
      <c r="W1015" s="178">
        <f t="shared" si="168"/>
        <v>218.78</v>
      </c>
      <c r="X1015" s="481">
        <f t="shared" si="169"/>
        <v>-51.905714285714254</v>
      </c>
      <c r="Y1015" s="179"/>
      <c r="Z1015" s="466">
        <f t="shared" si="170"/>
        <v>286.62910285714281</v>
      </c>
      <c r="AA1015" s="473">
        <f t="shared" si="171"/>
        <v>-67.84910285714281</v>
      </c>
      <c r="AB1015" s="339">
        <f t="shared" si="172"/>
        <v>-0.19175638589824773</v>
      </c>
    </row>
    <row r="1016" spans="2:28" ht="20.100000000000001" customHeight="1">
      <c r="B1016" s="172">
        <v>1427200</v>
      </c>
      <c r="C1016" s="174">
        <v>44511</v>
      </c>
      <c r="D1016" s="181" t="s">
        <v>437</v>
      </c>
      <c r="E1016" s="173" t="s">
        <v>33</v>
      </c>
      <c r="F1016" s="176">
        <v>48.704999999999998</v>
      </c>
      <c r="G1016" s="175">
        <f t="shared" si="163"/>
        <v>1</v>
      </c>
      <c r="H1016" s="175">
        <f t="shared" si="164"/>
        <v>48.704999999999998</v>
      </c>
      <c r="I1016" s="177">
        <f>IF(G1016=0,0,IF(E1016="MXN",1/HLOOKUP(YEAR(C1016)+(MONTH(C1016)/100),TC!$5:$37,DAY(C1016)+2,FALSE),VLOOKUP(E1016,Equivalencia!$5:$23,((MAX(Equivalencia!$3:$3)-YEAR(C1016))*14)+MONTH(C1016)+2,FALSE)))</f>
        <v>1</v>
      </c>
      <c r="J1016" s="178">
        <f t="shared" si="165"/>
        <v>48.704999999999998</v>
      </c>
      <c r="K1016" s="462">
        <f>IF(C1016=0,0,VLOOKUP(YEAR(C1016),INPC!$B$4:$O$29,MONTH(C1016)+1))</f>
        <v>116.884</v>
      </c>
      <c r="L1016" s="462">
        <f>IF(S1016=0,0,VLOOKUP(YEAR(S1016),INPC!$B$4:$O$29,MONTH(S1016)+1))</f>
        <v>118.002</v>
      </c>
      <c r="M1016" s="463">
        <f t="shared" si="166"/>
        <v>1.0095000000000001</v>
      </c>
      <c r="N1016" s="465">
        <f t="shared" si="167"/>
        <v>49.167697500000003</v>
      </c>
      <c r="O1016" s="179"/>
      <c r="P1016" s="180">
        <v>1</v>
      </c>
      <c r="Q1016" s="173" t="s">
        <v>583</v>
      </c>
      <c r="R1016" s="173" t="s">
        <v>230</v>
      </c>
      <c r="S1016" s="174">
        <v>44589</v>
      </c>
      <c r="T1016" s="173" t="s">
        <v>33</v>
      </c>
      <c r="U1016" s="182">
        <v>19.8</v>
      </c>
      <c r="V1016" s="177">
        <f>IF(U1016=0,0,IF(T1016="MXN",1/HLOOKUP(YEAR(S1016)+(MONTH(S1016)/100),TC!$5:$37,DAY(S1016)+2,FALSE),VLOOKUP(T1016,Equivalencia!$1:$23,((MAX(Equivalencia!$3:$3)-YEAR(S1016))*14)+MONTH(S1016)+2,FALSE)))</f>
        <v>1</v>
      </c>
      <c r="W1016" s="178">
        <f t="shared" si="168"/>
        <v>19.8</v>
      </c>
      <c r="X1016" s="481">
        <f t="shared" si="169"/>
        <v>-28.904999999999998</v>
      </c>
      <c r="Y1016" s="179"/>
      <c r="Z1016" s="466">
        <f t="shared" si="170"/>
        <v>49.167697500000003</v>
      </c>
      <c r="AA1016" s="473">
        <f t="shared" si="171"/>
        <v>-29.367697500000002</v>
      </c>
      <c r="AB1016" s="339">
        <f t="shared" si="172"/>
        <v>-0.59347089621188787</v>
      </c>
    </row>
    <row r="1017" spans="2:28" ht="20.100000000000001" customHeight="1">
      <c r="B1017" s="172">
        <v>1427200</v>
      </c>
      <c r="C1017" s="174">
        <v>44511</v>
      </c>
      <c r="D1017" s="181" t="s">
        <v>437</v>
      </c>
      <c r="E1017" s="173" t="s">
        <v>33</v>
      </c>
      <c r="F1017" s="176">
        <v>48.704999999999998</v>
      </c>
      <c r="G1017" s="175">
        <f t="shared" si="163"/>
        <v>1</v>
      </c>
      <c r="H1017" s="175">
        <f t="shared" si="164"/>
        <v>48.704999999999998</v>
      </c>
      <c r="I1017" s="177">
        <f>IF(G1017=0,0,IF(E1017="MXN",1/HLOOKUP(YEAR(C1017)+(MONTH(C1017)/100),TC!$5:$37,DAY(C1017)+2,FALSE),VLOOKUP(E1017,Equivalencia!$5:$23,((MAX(Equivalencia!$3:$3)-YEAR(C1017))*14)+MONTH(C1017)+2,FALSE)))</f>
        <v>1</v>
      </c>
      <c r="J1017" s="178">
        <f t="shared" si="165"/>
        <v>48.704999999999998</v>
      </c>
      <c r="K1017" s="462">
        <f>IF(C1017=0,0,VLOOKUP(YEAR(C1017),INPC!$B$4:$O$29,MONTH(C1017)+1))</f>
        <v>116.884</v>
      </c>
      <c r="L1017" s="462">
        <f>IF(S1017=0,0,VLOOKUP(YEAR(S1017),INPC!$B$4:$O$29,MONTH(S1017)+1))</f>
        <v>118.002</v>
      </c>
      <c r="M1017" s="463">
        <f t="shared" si="166"/>
        <v>1.0095000000000001</v>
      </c>
      <c r="N1017" s="465">
        <f t="shared" si="167"/>
        <v>49.167697500000003</v>
      </c>
      <c r="O1017" s="179"/>
      <c r="P1017" s="180">
        <v>1</v>
      </c>
      <c r="Q1017" s="173" t="s">
        <v>583</v>
      </c>
      <c r="R1017" s="173" t="s">
        <v>230</v>
      </c>
      <c r="S1017" s="174">
        <v>44589</v>
      </c>
      <c r="T1017" s="173" t="s">
        <v>33</v>
      </c>
      <c r="U1017" s="182">
        <v>20.197014925373136</v>
      </c>
      <c r="V1017" s="177">
        <f>IF(U1017=0,0,IF(T1017="MXN",1/HLOOKUP(YEAR(S1017)+(MONTH(S1017)/100),TC!$5:$37,DAY(S1017)+2,FALSE),VLOOKUP(T1017,Equivalencia!$1:$23,((MAX(Equivalencia!$3:$3)-YEAR(S1017))*14)+MONTH(S1017)+2,FALSE)))</f>
        <v>1</v>
      </c>
      <c r="W1017" s="178">
        <f t="shared" si="168"/>
        <v>20.197014925373136</v>
      </c>
      <c r="X1017" s="481">
        <f t="shared" si="169"/>
        <v>-28.507985074626863</v>
      </c>
      <c r="Y1017" s="179"/>
      <c r="Z1017" s="466">
        <f t="shared" si="170"/>
        <v>49.167697500000003</v>
      </c>
      <c r="AA1017" s="473">
        <f t="shared" si="171"/>
        <v>-28.970682574626867</v>
      </c>
      <c r="AB1017" s="339">
        <f t="shared" si="172"/>
        <v>-0.58531947591883515</v>
      </c>
    </row>
    <row r="1018" spans="2:28" ht="20.100000000000001" customHeight="1">
      <c r="B1018" s="172">
        <v>1427200</v>
      </c>
      <c r="C1018" s="174">
        <v>44511</v>
      </c>
      <c r="D1018" s="181" t="s">
        <v>437</v>
      </c>
      <c r="E1018" s="173" t="s">
        <v>33</v>
      </c>
      <c r="F1018" s="176">
        <v>146.12</v>
      </c>
      <c r="G1018" s="175">
        <f t="shared" si="163"/>
        <v>3</v>
      </c>
      <c r="H1018" s="175">
        <f t="shared" si="164"/>
        <v>146.12</v>
      </c>
      <c r="I1018" s="177">
        <f>IF(G1018=0,0,IF(E1018="MXN",1/HLOOKUP(YEAR(C1018)+(MONTH(C1018)/100),TC!$5:$37,DAY(C1018)+2,FALSE),VLOOKUP(E1018,Equivalencia!$5:$23,((MAX(Equivalencia!$3:$3)-YEAR(C1018))*14)+MONTH(C1018)+2,FALSE)))</f>
        <v>1</v>
      </c>
      <c r="J1018" s="178">
        <f t="shared" si="165"/>
        <v>146.12</v>
      </c>
      <c r="K1018" s="462">
        <f>IF(C1018=0,0,VLOOKUP(YEAR(C1018),INPC!$B$4:$O$29,MONTH(C1018)+1))</f>
        <v>116.884</v>
      </c>
      <c r="L1018" s="462">
        <f>IF(S1018=0,0,VLOOKUP(YEAR(S1018),INPC!$B$4:$O$29,MONTH(S1018)+1))</f>
        <v>118.002</v>
      </c>
      <c r="M1018" s="463">
        <f t="shared" si="166"/>
        <v>1.0095000000000001</v>
      </c>
      <c r="N1018" s="465">
        <f t="shared" si="167"/>
        <v>147.50814000000003</v>
      </c>
      <c r="O1018" s="179"/>
      <c r="P1018" s="180">
        <v>3</v>
      </c>
      <c r="Q1018" s="173" t="s">
        <v>583</v>
      </c>
      <c r="R1018" s="173" t="s">
        <v>230</v>
      </c>
      <c r="S1018" s="174">
        <v>44589</v>
      </c>
      <c r="T1018" s="173" t="s">
        <v>33</v>
      </c>
      <c r="U1018" s="182">
        <v>60.591044776119404</v>
      </c>
      <c r="V1018" s="177">
        <f>IF(U1018=0,0,IF(T1018="MXN",1/HLOOKUP(YEAR(S1018)+(MONTH(S1018)/100),TC!$5:$37,DAY(S1018)+2,FALSE),VLOOKUP(T1018,Equivalencia!$1:$23,((MAX(Equivalencia!$3:$3)-YEAR(S1018))*14)+MONTH(S1018)+2,FALSE)))</f>
        <v>1</v>
      </c>
      <c r="W1018" s="178">
        <f t="shared" si="168"/>
        <v>60.591044776119404</v>
      </c>
      <c r="X1018" s="481">
        <f t="shared" si="169"/>
        <v>-85.528955223880601</v>
      </c>
      <c r="Y1018" s="179"/>
      <c r="Z1018" s="466">
        <f t="shared" si="170"/>
        <v>147.50814000000003</v>
      </c>
      <c r="AA1018" s="473">
        <f t="shared" si="171"/>
        <v>-86.917095223880622</v>
      </c>
      <c r="AB1018" s="339">
        <f t="shared" si="172"/>
        <v>-0.58533366564385847</v>
      </c>
    </row>
    <row r="1019" spans="2:28" ht="20.100000000000001" customHeight="1">
      <c r="B1019" s="172">
        <v>1427200</v>
      </c>
      <c r="C1019" s="174">
        <v>44511</v>
      </c>
      <c r="D1019" s="181" t="s">
        <v>437</v>
      </c>
      <c r="E1019" s="173" t="s">
        <v>33</v>
      </c>
      <c r="F1019" s="176">
        <v>1218.8399999999999</v>
      </c>
      <c r="G1019" s="175">
        <f t="shared" si="163"/>
        <v>25</v>
      </c>
      <c r="H1019" s="175">
        <f t="shared" si="164"/>
        <v>1218.8399999999999</v>
      </c>
      <c r="I1019" s="177">
        <f>IF(G1019=0,0,IF(E1019="MXN",1/HLOOKUP(YEAR(C1019)+(MONTH(C1019)/100),TC!$5:$37,DAY(C1019)+2,FALSE),VLOOKUP(E1019,Equivalencia!$5:$23,((MAX(Equivalencia!$3:$3)-YEAR(C1019))*14)+MONTH(C1019)+2,FALSE)))</f>
        <v>1</v>
      </c>
      <c r="J1019" s="178">
        <f t="shared" si="165"/>
        <v>1218.8399999999999</v>
      </c>
      <c r="K1019" s="462">
        <f>IF(C1019=0,0,VLOOKUP(YEAR(C1019),INPC!$B$4:$O$29,MONTH(C1019)+1))</f>
        <v>116.884</v>
      </c>
      <c r="L1019" s="462">
        <f>IF(S1019=0,0,VLOOKUP(YEAR(S1019),INPC!$B$4:$O$29,MONTH(S1019)+1))</f>
        <v>118.002</v>
      </c>
      <c r="M1019" s="463">
        <f t="shared" si="166"/>
        <v>1.0095000000000001</v>
      </c>
      <c r="N1019" s="465">
        <f t="shared" si="167"/>
        <v>1230.4189799999999</v>
      </c>
      <c r="O1019" s="179"/>
      <c r="P1019" s="180">
        <v>25</v>
      </c>
      <c r="Q1019" s="173" t="s">
        <v>583</v>
      </c>
      <c r="R1019" s="173" t="s">
        <v>230</v>
      </c>
      <c r="S1019" s="174">
        <v>44589</v>
      </c>
      <c r="T1019" s="173" t="s">
        <v>33</v>
      </c>
      <c r="U1019" s="182">
        <v>504.92537313432837</v>
      </c>
      <c r="V1019" s="177">
        <f>IF(U1019=0,0,IF(T1019="MXN",1/HLOOKUP(YEAR(S1019)+(MONTH(S1019)/100),TC!$5:$37,DAY(S1019)+2,FALSE),VLOOKUP(T1019,Equivalencia!$1:$23,((MAX(Equivalencia!$3:$3)-YEAR(S1019))*14)+MONTH(S1019)+2,FALSE)))</f>
        <v>1</v>
      </c>
      <c r="W1019" s="178">
        <f t="shared" si="168"/>
        <v>504.92537313432837</v>
      </c>
      <c r="X1019" s="481">
        <f t="shared" si="169"/>
        <v>-713.91462686567161</v>
      </c>
      <c r="Y1019" s="179"/>
      <c r="Z1019" s="466">
        <f t="shared" si="170"/>
        <v>1230.4189799999999</v>
      </c>
      <c r="AA1019" s="473">
        <f t="shared" si="171"/>
        <v>-725.49360686567161</v>
      </c>
      <c r="AB1019" s="339">
        <f t="shared" si="172"/>
        <v>-0.5857328499767579</v>
      </c>
    </row>
    <row r="1020" spans="2:28" ht="20.100000000000001" customHeight="1">
      <c r="B1020" s="172">
        <v>1427200</v>
      </c>
      <c r="C1020" s="174">
        <v>44511</v>
      </c>
      <c r="D1020" s="181" t="s">
        <v>437</v>
      </c>
      <c r="E1020" s="173" t="s">
        <v>33</v>
      </c>
      <c r="F1020" s="176">
        <v>1072.58</v>
      </c>
      <c r="G1020" s="175">
        <f t="shared" si="163"/>
        <v>22</v>
      </c>
      <c r="H1020" s="175">
        <f t="shared" si="164"/>
        <v>1072.58</v>
      </c>
      <c r="I1020" s="177">
        <f>IF(G1020=0,0,IF(E1020="MXN",1/HLOOKUP(YEAR(C1020)+(MONTH(C1020)/100),TC!$5:$37,DAY(C1020)+2,FALSE),VLOOKUP(E1020,Equivalencia!$5:$23,((MAX(Equivalencia!$3:$3)-YEAR(C1020))*14)+MONTH(C1020)+2,FALSE)))</f>
        <v>1</v>
      </c>
      <c r="J1020" s="178">
        <f t="shared" si="165"/>
        <v>1072.58</v>
      </c>
      <c r="K1020" s="462">
        <f>IF(C1020=0,0,VLOOKUP(YEAR(C1020),INPC!$B$4:$O$29,MONTH(C1020)+1))</f>
        <v>116.884</v>
      </c>
      <c r="L1020" s="462">
        <f>IF(S1020=0,0,VLOOKUP(YEAR(S1020),INPC!$B$4:$O$29,MONTH(S1020)+1))</f>
        <v>118.002</v>
      </c>
      <c r="M1020" s="463">
        <f t="shared" si="166"/>
        <v>1.0095000000000001</v>
      </c>
      <c r="N1020" s="465">
        <f t="shared" si="167"/>
        <v>1082.7695100000001</v>
      </c>
      <c r="O1020" s="179"/>
      <c r="P1020" s="180">
        <v>22</v>
      </c>
      <c r="Q1020" s="173" t="s">
        <v>583</v>
      </c>
      <c r="R1020" s="173" t="s">
        <v>230</v>
      </c>
      <c r="S1020" s="174">
        <v>44589</v>
      </c>
      <c r="T1020" s="173" t="s">
        <v>33</v>
      </c>
      <c r="U1020" s="182">
        <v>444.33432835820901</v>
      </c>
      <c r="V1020" s="177">
        <f>IF(U1020=0,0,IF(T1020="MXN",1/HLOOKUP(YEAR(S1020)+(MONTH(S1020)/100),TC!$5:$37,DAY(S1020)+2,FALSE),VLOOKUP(T1020,Equivalencia!$1:$23,((MAX(Equivalencia!$3:$3)-YEAR(S1020))*14)+MONTH(S1020)+2,FALSE)))</f>
        <v>1</v>
      </c>
      <c r="W1020" s="178">
        <f t="shared" si="168"/>
        <v>444.33432835820901</v>
      </c>
      <c r="X1020" s="481">
        <f t="shared" si="169"/>
        <v>-628.24567164179098</v>
      </c>
      <c r="Y1020" s="179"/>
      <c r="Z1020" s="466">
        <f t="shared" si="170"/>
        <v>1082.7695100000001</v>
      </c>
      <c r="AA1020" s="473">
        <f t="shared" si="171"/>
        <v>-638.43518164179113</v>
      </c>
      <c r="AB1020" s="339">
        <f t="shared" si="172"/>
        <v>-0.58573315896417144</v>
      </c>
    </row>
    <row r="1021" spans="2:28" ht="20.100000000000001" customHeight="1">
      <c r="B1021" s="172">
        <v>1427200</v>
      </c>
      <c r="C1021" s="174">
        <v>44511</v>
      </c>
      <c r="D1021" s="181" t="s">
        <v>437</v>
      </c>
      <c r="E1021" s="173" t="s">
        <v>33</v>
      </c>
      <c r="F1021" s="176">
        <v>99.31</v>
      </c>
      <c r="G1021" s="175">
        <f t="shared" si="163"/>
        <v>2</v>
      </c>
      <c r="H1021" s="175">
        <f t="shared" si="164"/>
        <v>99.31</v>
      </c>
      <c r="I1021" s="177">
        <f>IF(G1021=0,0,IF(E1021="MXN",1/HLOOKUP(YEAR(C1021)+(MONTH(C1021)/100),TC!$5:$37,DAY(C1021)+2,FALSE),VLOOKUP(E1021,Equivalencia!$5:$23,((MAX(Equivalencia!$3:$3)-YEAR(C1021))*14)+MONTH(C1021)+2,FALSE)))</f>
        <v>1</v>
      </c>
      <c r="J1021" s="178">
        <f t="shared" si="165"/>
        <v>99.31</v>
      </c>
      <c r="K1021" s="462">
        <f>IF(C1021=0,0,VLOOKUP(YEAR(C1021),INPC!$B$4:$O$29,MONTH(C1021)+1))</f>
        <v>116.884</v>
      </c>
      <c r="L1021" s="462">
        <f>IF(S1021=0,0,VLOOKUP(YEAR(S1021),INPC!$B$4:$O$29,MONTH(S1021)+1))</f>
        <v>118.002</v>
      </c>
      <c r="M1021" s="463">
        <f t="shared" si="166"/>
        <v>1.0095000000000001</v>
      </c>
      <c r="N1021" s="465">
        <f t="shared" si="167"/>
        <v>100.25344500000001</v>
      </c>
      <c r="O1021" s="179"/>
      <c r="P1021" s="180">
        <v>2</v>
      </c>
      <c r="Q1021" s="173" t="s">
        <v>583</v>
      </c>
      <c r="R1021" s="173" t="s">
        <v>230</v>
      </c>
      <c r="S1021" s="174">
        <v>44589</v>
      </c>
      <c r="T1021" s="173" t="s">
        <v>33</v>
      </c>
      <c r="U1021" s="182">
        <v>40.394029850746271</v>
      </c>
      <c r="V1021" s="177">
        <f>IF(U1021=0,0,IF(T1021="MXN",1/HLOOKUP(YEAR(S1021)+(MONTH(S1021)/100),TC!$5:$37,DAY(S1021)+2,FALSE),VLOOKUP(T1021,Equivalencia!$1:$23,((MAX(Equivalencia!$3:$3)-YEAR(S1021))*14)+MONTH(S1021)+2,FALSE)))</f>
        <v>1</v>
      </c>
      <c r="W1021" s="178">
        <f t="shared" si="168"/>
        <v>40.394029850746271</v>
      </c>
      <c r="X1021" s="481">
        <f t="shared" si="169"/>
        <v>-58.915970149253731</v>
      </c>
      <c r="Y1021" s="179"/>
      <c r="Z1021" s="466">
        <f t="shared" si="170"/>
        <v>100.25344500000001</v>
      </c>
      <c r="AA1021" s="473">
        <f t="shared" si="171"/>
        <v>-59.859415149253742</v>
      </c>
      <c r="AB1021" s="339">
        <f t="shared" si="172"/>
        <v>-0.59325314821522235</v>
      </c>
    </row>
    <row r="1022" spans="2:28" ht="20.100000000000001" customHeight="1">
      <c r="B1022" s="172">
        <v>1427200</v>
      </c>
      <c r="C1022" s="174">
        <v>44511</v>
      </c>
      <c r="D1022" s="181" t="s">
        <v>437</v>
      </c>
      <c r="E1022" s="173" t="s">
        <v>33</v>
      </c>
      <c r="F1022" s="176">
        <v>99.31</v>
      </c>
      <c r="G1022" s="175">
        <f t="shared" si="163"/>
        <v>2</v>
      </c>
      <c r="H1022" s="175">
        <f t="shared" si="164"/>
        <v>99.31</v>
      </c>
      <c r="I1022" s="177">
        <f>IF(G1022=0,0,IF(E1022="MXN",1/HLOOKUP(YEAR(C1022)+(MONTH(C1022)/100),TC!$5:$37,DAY(C1022)+2,FALSE),VLOOKUP(E1022,Equivalencia!$5:$23,((MAX(Equivalencia!$3:$3)-YEAR(C1022))*14)+MONTH(C1022)+2,FALSE)))</f>
        <v>1</v>
      </c>
      <c r="J1022" s="178">
        <f t="shared" si="165"/>
        <v>99.31</v>
      </c>
      <c r="K1022" s="462">
        <f>IF(C1022=0,0,VLOOKUP(YEAR(C1022),INPC!$B$4:$O$29,MONTH(C1022)+1))</f>
        <v>116.884</v>
      </c>
      <c r="L1022" s="462">
        <f>IF(S1022=0,0,VLOOKUP(YEAR(S1022),INPC!$B$4:$O$29,MONTH(S1022)+1))</f>
        <v>118.002</v>
      </c>
      <c r="M1022" s="463">
        <f t="shared" si="166"/>
        <v>1.0095000000000001</v>
      </c>
      <c r="N1022" s="465">
        <f t="shared" si="167"/>
        <v>100.25344500000001</v>
      </c>
      <c r="O1022" s="179"/>
      <c r="P1022" s="180">
        <v>2</v>
      </c>
      <c r="Q1022" s="173" t="s">
        <v>583</v>
      </c>
      <c r="R1022" s="173" t="s">
        <v>230</v>
      </c>
      <c r="S1022" s="174">
        <v>44589</v>
      </c>
      <c r="T1022" s="173" t="s">
        <v>33</v>
      </c>
      <c r="U1022" s="182">
        <v>40.394029850746271</v>
      </c>
      <c r="V1022" s="177">
        <f>IF(U1022=0,0,IF(T1022="MXN",1/HLOOKUP(YEAR(S1022)+(MONTH(S1022)/100),TC!$5:$37,DAY(S1022)+2,FALSE),VLOOKUP(T1022,Equivalencia!$1:$23,((MAX(Equivalencia!$3:$3)-YEAR(S1022))*14)+MONTH(S1022)+2,FALSE)))</f>
        <v>1</v>
      </c>
      <c r="W1022" s="178">
        <f t="shared" si="168"/>
        <v>40.394029850746271</v>
      </c>
      <c r="X1022" s="481">
        <f t="shared" si="169"/>
        <v>-58.915970149253731</v>
      </c>
      <c r="Y1022" s="179"/>
      <c r="Z1022" s="466">
        <f t="shared" si="170"/>
        <v>100.25344500000001</v>
      </c>
      <c r="AA1022" s="473">
        <f t="shared" si="171"/>
        <v>-59.859415149253742</v>
      </c>
      <c r="AB1022" s="339">
        <f t="shared" si="172"/>
        <v>-0.59325314821522235</v>
      </c>
    </row>
    <row r="1023" spans="2:28" ht="20.100000000000001" customHeight="1">
      <c r="B1023" s="172">
        <v>1427200</v>
      </c>
      <c r="C1023" s="174">
        <v>44512</v>
      </c>
      <c r="D1023" s="181" t="s">
        <v>437</v>
      </c>
      <c r="E1023" s="173" t="s">
        <v>33</v>
      </c>
      <c r="F1023" s="176">
        <v>539.20000000000005</v>
      </c>
      <c r="G1023" s="175">
        <f t="shared" si="163"/>
        <v>11</v>
      </c>
      <c r="H1023" s="175">
        <f t="shared" si="164"/>
        <v>539.20000000000005</v>
      </c>
      <c r="I1023" s="177">
        <f>IF(G1023=0,0,IF(E1023="MXN",1/HLOOKUP(YEAR(C1023)+(MONTH(C1023)/100),TC!$5:$37,DAY(C1023)+2,FALSE),VLOOKUP(E1023,Equivalencia!$5:$23,((MAX(Equivalencia!$3:$3)-YEAR(C1023))*14)+MONTH(C1023)+2,FALSE)))</f>
        <v>1</v>
      </c>
      <c r="J1023" s="178">
        <f t="shared" si="165"/>
        <v>539.20000000000005</v>
      </c>
      <c r="K1023" s="462">
        <f>IF(C1023=0,0,VLOOKUP(YEAR(C1023),INPC!$B$4:$O$29,MONTH(C1023)+1))</f>
        <v>116.884</v>
      </c>
      <c r="L1023" s="462">
        <f>IF(S1023=0,0,VLOOKUP(YEAR(S1023),INPC!$B$4:$O$29,MONTH(S1023)+1))</f>
        <v>118.002</v>
      </c>
      <c r="M1023" s="463">
        <f t="shared" si="166"/>
        <v>1.0095000000000001</v>
      </c>
      <c r="N1023" s="465">
        <f t="shared" si="167"/>
        <v>544.32240000000013</v>
      </c>
      <c r="O1023" s="179"/>
      <c r="P1023" s="180">
        <v>11</v>
      </c>
      <c r="Q1023" s="173" t="s">
        <v>583</v>
      </c>
      <c r="R1023" s="173" t="s">
        <v>230</v>
      </c>
      <c r="S1023" s="174">
        <v>44589</v>
      </c>
      <c r="T1023" s="173" t="s">
        <v>33</v>
      </c>
      <c r="U1023" s="182">
        <v>222.1671641791045</v>
      </c>
      <c r="V1023" s="177">
        <f>IF(U1023=0,0,IF(T1023="MXN",1/HLOOKUP(YEAR(S1023)+(MONTH(S1023)/100),TC!$5:$37,DAY(S1023)+2,FALSE),VLOOKUP(T1023,Equivalencia!$1:$23,((MAX(Equivalencia!$3:$3)-YEAR(S1023))*14)+MONTH(S1023)+2,FALSE)))</f>
        <v>1</v>
      </c>
      <c r="W1023" s="178">
        <f t="shared" si="168"/>
        <v>222.1671641791045</v>
      </c>
      <c r="X1023" s="481">
        <f t="shared" si="169"/>
        <v>-317.03283582089557</v>
      </c>
      <c r="Y1023" s="179"/>
      <c r="Z1023" s="466">
        <f t="shared" si="170"/>
        <v>544.32240000000013</v>
      </c>
      <c r="AA1023" s="473">
        <f t="shared" si="171"/>
        <v>-322.15523582089565</v>
      </c>
      <c r="AB1023" s="339">
        <f t="shared" si="172"/>
        <v>-0.58796890916338196</v>
      </c>
    </row>
    <row r="1024" spans="2:28" ht="20.100000000000001" customHeight="1">
      <c r="B1024" s="172">
        <v>1427200</v>
      </c>
      <c r="C1024" s="174">
        <v>44512</v>
      </c>
      <c r="D1024" s="181" t="s">
        <v>437</v>
      </c>
      <c r="E1024" s="173" t="s">
        <v>33</v>
      </c>
      <c r="F1024" s="176">
        <v>49.234999999999999</v>
      </c>
      <c r="G1024" s="175">
        <f t="shared" si="163"/>
        <v>1</v>
      </c>
      <c r="H1024" s="175">
        <f t="shared" si="164"/>
        <v>49.234999999999999</v>
      </c>
      <c r="I1024" s="177">
        <f>IF(G1024=0,0,IF(E1024="MXN",1/HLOOKUP(YEAR(C1024)+(MONTH(C1024)/100),TC!$5:$37,DAY(C1024)+2,FALSE),VLOOKUP(E1024,Equivalencia!$5:$23,((MAX(Equivalencia!$3:$3)-YEAR(C1024))*14)+MONTH(C1024)+2,FALSE)))</f>
        <v>1</v>
      </c>
      <c r="J1024" s="178">
        <f t="shared" si="165"/>
        <v>49.234999999999999</v>
      </c>
      <c r="K1024" s="462">
        <f>IF(C1024=0,0,VLOOKUP(YEAR(C1024),INPC!$B$4:$O$29,MONTH(C1024)+1))</f>
        <v>116.884</v>
      </c>
      <c r="L1024" s="462">
        <f>IF(S1024=0,0,VLOOKUP(YEAR(S1024),INPC!$B$4:$O$29,MONTH(S1024)+1))</f>
        <v>118.002</v>
      </c>
      <c r="M1024" s="463">
        <f t="shared" si="166"/>
        <v>1.0095000000000001</v>
      </c>
      <c r="N1024" s="465">
        <f t="shared" si="167"/>
        <v>49.702732500000003</v>
      </c>
      <c r="O1024" s="179"/>
      <c r="P1024" s="180">
        <v>1</v>
      </c>
      <c r="Q1024" s="173" t="s">
        <v>583</v>
      </c>
      <c r="R1024" s="173" t="s">
        <v>230</v>
      </c>
      <c r="S1024" s="174">
        <v>44589</v>
      </c>
      <c r="T1024" s="173" t="s">
        <v>33</v>
      </c>
      <c r="U1024" s="182">
        <v>20.197014925373136</v>
      </c>
      <c r="V1024" s="177">
        <f>IF(U1024=0,0,IF(T1024="MXN",1/HLOOKUP(YEAR(S1024)+(MONTH(S1024)/100),TC!$5:$37,DAY(S1024)+2,FALSE),VLOOKUP(T1024,Equivalencia!$1:$23,((MAX(Equivalencia!$3:$3)-YEAR(S1024))*14)+MONTH(S1024)+2,FALSE)))</f>
        <v>1</v>
      </c>
      <c r="W1024" s="178">
        <f t="shared" si="168"/>
        <v>20.197014925373136</v>
      </c>
      <c r="X1024" s="481">
        <f t="shared" si="169"/>
        <v>-29.037985074626864</v>
      </c>
      <c r="Y1024" s="179"/>
      <c r="Z1024" s="466">
        <f t="shared" si="170"/>
        <v>49.702732500000003</v>
      </c>
      <c r="AA1024" s="473">
        <f t="shared" si="171"/>
        <v>-29.505717574626868</v>
      </c>
      <c r="AB1024" s="339">
        <f t="shared" si="172"/>
        <v>-0.58978338731851054</v>
      </c>
    </row>
    <row r="1025" spans="2:28" ht="20.100000000000001" customHeight="1">
      <c r="B1025" s="172">
        <v>1427200</v>
      </c>
      <c r="C1025" s="174">
        <v>44512</v>
      </c>
      <c r="D1025" s="181" t="s">
        <v>437</v>
      </c>
      <c r="E1025" s="173" t="s">
        <v>33</v>
      </c>
      <c r="F1025" s="176">
        <v>344.64499999999998</v>
      </c>
      <c r="G1025" s="175">
        <f t="shared" si="163"/>
        <v>7</v>
      </c>
      <c r="H1025" s="175">
        <f t="shared" si="164"/>
        <v>344.64499999999998</v>
      </c>
      <c r="I1025" s="177">
        <f>IF(G1025=0,0,IF(E1025="MXN",1/HLOOKUP(YEAR(C1025)+(MONTH(C1025)/100),TC!$5:$37,DAY(C1025)+2,FALSE),VLOOKUP(E1025,Equivalencia!$5:$23,((MAX(Equivalencia!$3:$3)-YEAR(C1025))*14)+MONTH(C1025)+2,FALSE)))</f>
        <v>1</v>
      </c>
      <c r="J1025" s="178">
        <f t="shared" si="165"/>
        <v>344.64499999999998</v>
      </c>
      <c r="K1025" s="462">
        <f>IF(C1025=0,0,VLOOKUP(YEAR(C1025),INPC!$B$4:$O$29,MONTH(C1025)+1))</f>
        <v>116.884</v>
      </c>
      <c r="L1025" s="462">
        <f>IF(S1025=0,0,VLOOKUP(YEAR(S1025),INPC!$B$4:$O$29,MONTH(S1025)+1))</f>
        <v>118.002</v>
      </c>
      <c r="M1025" s="463">
        <f t="shared" si="166"/>
        <v>1.0095000000000001</v>
      </c>
      <c r="N1025" s="465">
        <f t="shared" si="167"/>
        <v>347.9191275</v>
      </c>
      <c r="O1025" s="179"/>
      <c r="P1025" s="180">
        <v>7</v>
      </c>
      <c r="Q1025" s="173" t="s">
        <v>583</v>
      </c>
      <c r="R1025" s="173" t="s">
        <v>230</v>
      </c>
      <c r="S1025" s="174">
        <v>44589</v>
      </c>
      <c r="T1025" s="173" t="s">
        <v>33</v>
      </c>
      <c r="U1025" s="182">
        <v>140.83000000000001</v>
      </c>
      <c r="V1025" s="177">
        <f>IF(U1025=0,0,IF(T1025="MXN",1/HLOOKUP(YEAR(S1025)+(MONTH(S1025)/100),TC!$5:$37,DAY(S1025)+2,FALSE),VLOOKUP(T1025,Equivalencia!$1:$23,((MAX(Equivalencia!$3:$3)-YEAR(S1025))*14)+MONTH(S1025)+2,FALSE)))</f>
        <v>1</v>
      </c>
      <c r="W1025" s="178">
        <f t="shared" si="168"/>
        <v>140.83000000000001</v>
      </c>
      <c r="X1025" s="481">
        <f t="shared" si="169"/>
        <v>-203.81499999999997</v>
      </c>
      <c r="Y1025" s="179"/>
      <c r="Z1025" s="466">
        <f t="shared" si="170"/>
        <v>347.9191275</v>
      </c>
      <c r="AA1025" s="473">
        <f t="shared" si="171"/>
        <v>-207.08912749999999</v>
      </c>
      <c r="AB1025" s="339">
        <f t="shared" si="172"/>
        <v>-0.59137663392766471</v>
      </c>
    </row>
    <row r="1026" spans="2:28" ht="20.100000000000001" customHeight="1">
      <c r="B1026" s="172">
        <v>1427200</v>
      </c>
      <c r="C1026" s="174">
        <v>44512</v>
      </c>
      <c r="D1026" s="181" t="s">
        <v>437</v>
      </c>
      <c r="E1026" s="173" t="s">
        <v>33</v>
      </c>
      <c r="F1026" s="176">
        <v>98.47</v>
      </c>
      <c r="G1026" s="175">
        <f t="shared" si="163"/>
        <v>2</v>
      </c>
      <c r="H1026" s="175">
        <f t="shared" si="164"/>
        <v>98.47</v>
      </c>
      <c r="I1026" s="177">
        <f>IF(G1026=0,0,IF(E1026="MXN",1/HLOOKUP(YEAR(C1026)+(MONTH(C1026)/100),TC!$5:$37,DAY(C1026)+2,FALSE),VLOOKUP(E1026,Equivalencia!$5:$23,((MAX(Equivalencia!$3:$3)-YEAR(C1026))*14)+MONTH(C1026)+2,FALSE)))</f>
        <v>1</v>
      </c>
      <c r="J1026" s="178">
        <f t="shared" si="165"/>
        <v>98.47</v>
      </c>
      <c r="K1026" s="462">
        <f>IF(C1026=0,0,VLOOKUP(YEAR(C1026),INPC!$B$4:$O$29,MONTH(C1026)+1))</f>
        <v>116.884</v>
      </c>
      <c r="L1026" s="462">
        <f>IF(S1026=0,0,VLOOKUP(YEAR(S1026),INPC!$B$4:$O$29,MONTH(S1026)+1))</f>
        <v>118.002</v>
      </c>
      <c r="M1026" s="463">
        <f t="shared" si="166"/>
        <v>1.0095000000000001</v>
      </c>
      <c r="N1026" s="465">
        <f t="shared" si="167"/>
        <v>99.405465000000007</v>
      </c>
      <c r="O1026" s="179"/>
      <c r="P1026" s="180">
        <v>2</v>
      </c>
      <c r="Q1026" s="173" t="s">
        <v>583</v>
      </c>
      <c r="R1026" s="173" t="s">
        <v>230</v>
      </c>
      <c r="S1026" s="174">
        <v>44589</v>
      </c>
      <c r="T1026" s="173" t="s">
        <v>33</v>
      </c>
      <c r="U1026" s="182">
        <v>40.542499999999997</v>
      </c>
      <c r="V1026" s="177">
        <f>IF(U1026=0,0,IF(T1026="MXN",1/HLOOKUP(YEAR(S1026)+(MONTH(S1026)/100),TC!$5:$37,DAY(S1026)+2,FALSE),VLOOKUP(T1026,Equivalencia!$1:$23,((MAX(Equivalencia!$3:$3)-YEAR(S1026))*14)+MONTH(S1026)+2,FALSE)))</f>
        <v>1</v>
      </c>
      <c r="W1026" s="178">
        <f t="shared" si="168"/>
        <v>40.542499999999997</v>
      </c>
      <c r="X1026" s="481">
        <f t="shared" si="169"/>
        <v>-57.927500000000002</v>
      </c>
      <c r="Y1026" s="179"/>
      <c r="Z1026" s="466">
        <f t="shared" si="170"/>
        <v>99.405465000000007</v>
      </c>
      <c r="AA1026" s="473">
        <f t="shared" si="171"/>
        <v>-58.86296500000001</v>
      </c>
      <c r="AB1026" s="339">
        <f t="shared" si="172"/>
        <v>-0.5882756169391693</v>
      </c>
    </row>
    <row r="1027" spans="2:28" ht="20.100000000000001" customHeight="1">
      <c r="B1027" s="172">
        <v>1427200</v>
      </c>
      <c r="C1027" s="174">
        <v>44516</v>
      </c>
      <c r="D1027" s="181" t="s">
        <v>437</v>
      </c>
      <c r="E1027" s="173" t="s">
        <v>33</v>
      </c>
      <c r="F1027" s="176">
        <v>47.95</v>
      </c>
      <c r="G1027" s="175">
        <f t="shared" si="163"/>
        <v>1</v>
      </c>
      <c r="H1027" s="175">
        <f t="shared" si="164"/>
        <v>47.95</v>
      </c>
      <c r="I1027" s="177">
        <f>IF(G1027=0,0,IF(E1027="MXN",1/HLOOKUP(YEAR(C1027)+(MONTH(C1027)/100),TC!$5:$37,DAY(C1027)+2,FALSE),VLOOKUP(E1027,Equivalencia!$5:$23,((MAX(Equivalencia!$3:$3)-YEAR(C1027))*14)+MONTH(C1027)+2,FALSE)))</f>
        <v>1</v>
      </c>
      <c r="J1027" s="178">
        <f t="shared" si="165"/>
        <v>47.95</v>
      </c>
      <c r="K1027" s="462">
        <f>IF(C1027=0,0,VLOOKUP(YEAR(C1027),INPC!$B$4:$O$29,MONTH(C1027)+1))</f>
        <v>116.884</v>
      </c>
      <c r="L1027" s="462">
        <f>IF(S1027=0,0,VLOOKUP(YEAR(S1027),INPC!$B$4:$O$29,MONTH(S1027)+1))</f>
        <v>118.002</v>
      </c>
      <c r="M1027" s="463">
        <f t="shared" si="166"/>
        <v>1.0095000000000001</v>
      </c>
      <c r="N1027" s="465">
        <f t="shared" si="167"/>
        <v>48.405525000000004</v>
      </c>
      <c r="O1027" s="179"/>
      <c r="P1027" s="180">
        <v>1</v>
      </c>
      <c r="Q1027" s="173" t="s">
        <v>583</v>
      </c>
      <c r="R1027" s="173" t="s">
        <v>230</v>
      </c>
      <c r="S1027" s="174">
        <v>44589</v>
      </c>
      <c r="T1027" s="173" t="s">
        <v>33</v>
      </c>
      <c r="U1027" s="182">
        <v>20.271249999999998</v>
      </c>
      <c r="V1027" s="177">
        <f>IF(U1027=0,0,IF(T1027="MXN",1/HLOOKUP(YEAR(S1027)+(MONTH(S1027)/100),TC!$5:$37,DAY(S1027)+2,FALSE),VLOOKUP(T1027,Equivalencia!$1:$23,((MAX(Equivalencia!$3:$3)-YEAR(S1027))*14)+MONTH(S1027)+2,FALSE)))</f>
        <v>1</v>
      </c>
      <c r="W1027" s="178">
        <f t="shared" si="168"/>
        <v>20.271249999999998</v>
      </c>
      <c r="X1027" s="481">
        <f t="shared" si="169"/>
        <v>-27.678750000000004</v>
      </c>
      <c r="Y1027" s="179"/>
      <c r="Z1027" s="466">
        <f t="shared" si="170"/>
        <v>48.405525000000004</v>
      </c>
      <c r="AA1027" s="473">
        <f t="shared" si="171"/>
        <v>-28.134275000000006</v>
      </c>
      <c r="AB1027" s="339">
        <f t="shared" si="172"/>
        <v>-0.57724191866527641</v>
      </c>
    </row>
    <row r="1028" spans="2:28" ht="20.100000000000001" customHeight="1">
      <c r="B1028" s="172">
        <v>1427200</v>
      </c>
      <c r="C1028" s="174">
        <v>44516</v>
      </c>
      <c r="D1028" s="181" t="s">
        <v>437</v>
      </c>
      <c r="E1028" s="173" t="s">
        <v>33</v>
      </c>
      <c r="F1028" s="176">
        <v>239.96153846153845</v>
      </c>
      <c r="G1028" s="175">
        <f t="shared" si="163"/>
        <v>5</v>
      </c>
      <c r="H1028" s="175">
        <f t="shared" si="164"/>
        <v>239.96153846153845</v>
      </c>
      <c r="I1028" s="177">
        <f>IF(G1028=0,0,IF(E1028="MXN",1/HLOOKUP(YEAR(C1028)+(MONTH(C1028)/100),TC!$5:$37,DAY(C1028)+2,FALSE),VLOOKUP(E1028,Equivalencia!$5:$23,((MAX(Equivalencia!$3:$3)-YEAR(C1028))*14)+MONTH(C1028)+2,FALSE)))</f>
        <v>1</v>
      </c>
      <c r="J1028" s="178">
        <f t="shared" si="165"/>
        <v>239.96153846153845</v>
      </c>
      <c r="K1028" s="462">
        <f>IF(C1028=0,0,VLOOKUP(YEAR(C1028),INPC!$B$4:$O$29,MONTH(C1028)+1))</f>
        <v>116.884</v>
      </c>
      <c r="L1028" s="462">
        <f>IF(S1028=0,0,VLOOKUP(YEAR(S1028),INPC!$B$4:$O$29,MONTH(S1028)+1))</f>
        <v>118.002</v>
      </c>
      <c r="M1028" s="463">
        <f t="shared" si="166"/>
        <v>1.0095000000000001</v>
      </c>
      <c r="N1028" s="465">
        <f t="shared" si="167"/>
        <v>242.24117307692308</v>
      </c>
      <c r="O1028" s="179"/>
      <c r="P1028" s="180">
        <v>5</v>
      </c>
      <c r="Q1028" s="173" t="s">
        <v>583</v>
      </c>
      <c r="R1028" s="173" t="s">
        <v>230</v>
      </c>
      <c r="S1028" s="174">
        <v>44589</v>
      </c>
      <c r="T1028" s="173" t="s">
        <v>33</v>
      </c>
      <c r="U1028" s="182">
        <v>101.35624999999999</v>
      </c>
      <c r="V1028" s="177">
        <f>IF(U1028=0,0,IF(T1028="MXN",1/HLOOKUP(YEAR(S1028)+(MONTH(S1028)/100),TC!$5:$37,DAY(S1028)+2,FALSE),VLOOKUP(T1028,Equivalencia!$1:$23,((MAX(Equivalencia!$3:$3)-YEAR(S1028))*14)+MONTH(S1028)+2,FALSE)))</f>
        <v>1</v>
      </c>
      <c r="W1028" s="178">
        <f t="shared" si="168"/>
        <v>101.35624999999999</v>
      </c>
      <c r="X1028" s="481">
        <f t="shared" si="169"/>
        <v>-138.60528846153846</v>
      </c>
      <c r="Y1028" s="179"/>
      <c r="Z1028" s="466">
        <f t="shared" si="170"/>
        <v>242.24117307692308</v>
      </c>
      <c r="AA1028" s="473">
        <f t="shared" si="171"/>
        <v>-140.88492307692309</v>
      </c>
      <c r="AB1028" s="339">
        <f t="shared" si="172"/>
        <v>-0.57761460169899026</v>
      </c>
    </row>
    <row r="1029" spans="2:28" ht="20.100000000000001" customHeight="1">
      <c r="B1029" s="172">
        <v>1427200</v>
      </c>
      <c r="C1029" s="174">
        <v>44516</v>
      </c>
      <c r="D1029" s="181" t="s">
        <v>437</v>
      </c>
      <c r="E1029" s="173" t="s">
        <v>33</v>
      </c>
      <c r="F1029" s="176">
        <v>47.992307692307691</v>
      </c>
      <c r="G1029" s="175">
        <f t="shared" si="163"/>
        <v>1</v>
      </c>
      <c r="H1029" s="175">
        <f t="shared" si="164"/>
        <v>47.992307692307691</v>
      </c>
      <c r="I1029" s="177">
        <f>IF(G1029=0,0,IF(E1029="MXN",1/HLOOKUP(YEAR(C1029)+(MONTH(C1029)/100),TC!$5:$37,DAY(C1029)+2,FALSE),VLOOKUP(E1029,Equivalencia!$5:$23,((MAX(Equivalencia!$3:$3)-YEAR(C1029))*14)+MONTH(C1029)+2,FALSE)))</f>
        <v>1</v>
      </c>
      <c r="J1029" s="178">
        <f t="shared" si="165"/>
        <v>47.992307692307691</v>
      </c>
      <c r="K1029" s="462">
        <f>IF(C1029=0,0,VLOOKUP(YEAR(C1029),INPC!$B$4:$O$29,MONTH(C1029)+1))</f>
        <v>116.884</v>
      </c>
      <c r="L1029" s="462">
        <f>IF(S1029=0,0,VLOOKUP(YEAR(S1029),INPC!$B$4:$O$29,MONTH(S1029)+1))</f>
        <v>118.002</v>
      </c>
      <c r="M1029" s="463">
        <f t="shared" si="166"/>
        <v>1.0095000000000001</v>
      </c>
      <c r="N1029" s="465">
        <f t="shared" si="167"/>
        <v>48.448234615384614</v>
      </c>
      <c r="O1029" s="179"/>
      <c r="P1029" s="180">
        <v>1</v>
      </c>
      <c r="Q1029" s="173" t="s">
        <v>583</v>
      </c>
      <c r="R1029" s="173" t="s">
        <v>230</v>
      </c>
      <c r="S1029" s="174">
        <v>44592</v>
      </c>
      <c r="T1029" s="173" t="s">
        <v>33</v>
      </c>
      <c r="U1029" s="182">
        <v>22.57</v>
      </c>
      <c r="V1029" s="177">
        <f>IF(U1029=0,0,IF(T1029="MXN",1/HLOOKUP(YEAR(S1029)+(MONTH(S1029)/100),TC!$5:$37,DAY(S1029)+2,FALSE),VLOOKUP(T1029,Equivalencia!$1:$23,((MAX(Equivalencia!$3:$3)-YEAR(S1029))*14)+MONTH(S1029)+2,FALSE)))</f>
        <v>1</v>
      </c>
      <c r="W1029" s="178">
        <f t="shared" si="168"/>
        <v>22.57</v>
      </c>
      <c r="X1029" s="481">
        <f t="shared" si="169"/>
        <v>-25.42230769230769</v>
      </c>
      <c r="Y1029" s="179"/>
      <c r="Z1029" s="466">
        <f t="shared" si="170"/>
        <v>48.448234615384614</v>
      </c>
      <c r="AA1029" s="473">
        <f t="shared" si="171"/>
        <v>-25.878234615384613</v>
      </c>
      <c r="AB1029" s="339">
        <f t="shared" si="172"/>
        <v>-0.52971630068921294</v>
      </c>
    </row>
    <row r="1030" spans="2:28" ht="20.100000000000001" customHeight="1">
      <c r="B1030" s="172">
        <v>1427200</v>
      </c>
      <c r="C1030" s="174">
        <v>44516</v>
      </c>
      <c r="D1030" s="181" t="s">
        <v>437</v>
      </c>
      <c r="E1030" s="173" t="s">
        <v>33</v>
      </c>
      <c r="F1030" s="176">
        <v>335.94615384615383</v>
      </c>
      <c r="G1030" s="175">
        <f t="shared" si="163"/>
        <v>7</v>
      </c>
      <c r="H1030" s="175">
        <f t="shared" si="164"/>
        <v>335.94615384615383</v>
      </c>
      <c r="I1030" s="177">
        <f>IF(G1030=0,0,IF(E1030="MXN",1/HLOOKUP(YEAR(C1030)+(MONTH(C1030)/100),TC!$5:$37,DAY(C1030)+2,FALSE),VLOOKUP(E1030,Equivalencia!$5:$23,((MAX(Equivalencia!$3:$3)-YEAR(C1030))*14)+MONTH(C1030)+2,FALSE)))</f>
        <v>1</v>
      </c>
      <c r="J1030" s="178">
        <f t="shared" si="165"/>
        <v>335.94615384615383</v>
      </c>
      <c r="K1030" s="462">
        <f>IF(C1030=0,0,VLOOKUP(YEAR(C1030),INPC!$B$4:$O$29,MONTH(C1030)+1))</f>
        <v>116.884</v>
      </c>
      <c r="L1030" s="462">
        <f>IF(S1030=0,0,VLOOKUP(YEAR(S1030),INPC!$B$4:$O$29,MONTH(S1030)+1))</f>
        <v>118.002</v>
      </c>
      <c r="M1030" s="463">
        <f t="shared" si="166"/>
        <v>1.0095000000000001</v>
      </c>
      <c r="N1030" s="465">
        <f t="shared" si="167"/>
        <v>339.13764230769232</v>
      </c>
      <c r="O1030" s="179"/>
      <c r="P1030" s="180">
        <v>7</v>
      </c>
      <c r="Q1030" s="173" t="s">
        <v>583</v>
      </c>
      <c r="R1030" s="173" t="s">
        <v>230</v>
      </c>
      <c r="S1030" s="174">
        <v>44592</v>
      </c>
      <c r="T1030" s="173" t="s">
        <v>33</v>
      </c>
      <c r="U1030" s="182">
        <v>152.40166666666664</v>
      </c>
      <c r="V1030" s="177">
        <f>IF(U1030=0,0,IF(T1030="MXN",1/HLOOKUP(YEAR(S1030)+(MONTH(S1030)/100),TC!$5:$37,DAY(S1030)+2,FALSE),VLOOKUP(T1030,Equivalencia!$1:$23,((MAX(Equivalencia!$3:$3)-YEAR(S1030))*14)+MONTH(S1030)+2,FALSE)))</f>
        <v>1</v>
      </c>
      <c r="W1030" s="178">
        <f t="shared" si="168"/>
        <v>152.40166666666664</v>
      </c>
      <c r="X1030" s="481">
        <f t="shared" si="169"/>
        <v>-183.54448717948719</v>
      </c>
      <c r="Y1030" s="179"/>
      <c r="Z1030" s="466">
        <f t="shared" si="170"/>
        <v>339.13764230769232</v>
      </c>
      <c r="AA1030" s="473">
        <f t="shared" si="171"/>
        <v>-186.73597564102568</v>
      </c>
      <c r="AB1030" s="339">
        <f t="shared" si="172"/>
        <v>-0.54635091093658184</v>
      </c>
    </row>
    <row r="1031" spans="2:28" ht="20.100000000000001" customHeight="1">
      <c r="B1031" s="172">
        <v>1427200</v>
      </c>
      <c r="C1031" s="174">
        <v>44516</v>
      </c>
      <c r="D1031" s="181" t="s">
        <v>437</v>
      </c>
      <c r="E1031" s="173" t="s">
        <v>33</v>
      </c>
      <c r="F1031" s="176">
        <v>48.12</v>
      </c>
      <c r="G1031" s="175">
        <f t="shared" si="163"/>
        <v>1</v>
      </c>
      <c r="H1031" s="175">
        <f t="shared" si="164"/>
        <v>48.12</v>
      </c>
      <c r="I1031" s="177">
        <f>IF(G1031=0,0,IF(E1031="MXN",1/HLOOKUP(YEAR(C1031)+(MONTH(C1031)/100),TC!$5:$37,DAY(C1031)+2,FALSE),VLOOKUP(E1031,Equivalencia!$5:$23,((MAX(Equivalencia!$3:$3)-YEAR(C1031))*14)+MONTH(C1031)+2,FALSE)))</f>
        <v>1</v>
      </c>
      <c r="J1031" s="178">
        <f t="shared" si="165"/>
        <v>48.12</v>
      </c>
      <c r="K1031" s="462">
        <f>IF(C1031=0,0,VLOOKUP(YEAR(C1031),INPC!$B$4:$O$29,MONTH(C1031)+1))</f>
        <v>116.884</v>
      </c>
      <c r="L1031" s="462">
        <f>IF(S1031=0,0,VLOOKUP(YEAR(S1031),INPC!$B$4:$O$29,MONTH(S1031)+1))</f>
        <v>118.002</v>
      </c>
      <c r="M1031" s="463">
        <f t="shared" si="166"/>
        <v>1.0095000000000001</v>
      </c>
      <c r="N1031" s="465">
        <f t="shared" si="167"/>
        <v>48.57714</v>
      </c>
      <c r="O1031" s="179"/>
      <c r="P1031" s="180">
        <v>1</v>
      </c>
      <c r="Q1031" s="173" t="s">
        <v>583</v>
      </c>
      <c r="R1031" s="173" t="s">
        <v>230</v>
      </c>
      <c r="S1031" s="174">
        <v>44592</v>
      </c>
      <c r="T1031" s="173" t="s">
        <v>33</v>
      </c>
      <c r="U1031" s="182">
        <v>21.771666666666665</v>
      </c>
      <c r="V1031" s="177">
        <f>IF(U1031=0,0,IF(T1031="MXN",1/HLOOKUP(YEAR(S1031)+(MONTH(S1031)/100),TC!$5:$37,DAY(S1031)+2,FALSE),VLOOKUP(T1031,Equivalencia!$1:$23,((MAX(Equivalencia!$3:$3)-YEAR(S1031))*14)+MONTH(S1031)+2,FALSE)))</f>
        <v>1</v>
      </c>
      <c r="W1031" s="178">
        <f t="shared" si="168"/>
        <v>21.771666666666665</v>
      </c>
      <c r="X1031" s="481">
        <f t="shared" si="169"/>
        <v>-26.348333333333333</v>
      </c>
      <c r="Y1031" s="179"/>
      <c r="Z1031" s="466">
        <f t="shared" si="170"/>
        <v>48.57714</v>
      </c>
      <c r="AA1031" s="473">
        <f t="shared" si="171"/>
        <v>-26.805473333333335</v>
      </c>
      <c r="AB1031" s="339">
        <f t="shared" si="172"/>
        <v>-0.54755472430036023</v>
      </c>
    </row>
    <row r="1032" spans="2:28" ht="20.100000000000001" customHeight="1">
      <c r="B1032" s="172">
        <v>1427200</v>
      </c>
      <c r="C1032" s="174">
        <v>44519</v>
      </c>
      <c r="D1032" s="181" t="s">
        <v>437</v>
      </c>
      <c r="E1032" s="173" t="s">
        <v>33</v>
      </c>
      <c r="F1032" s="176">
        <v>44.91</v>
      </c>
      <c r="G1032" s="175">
        <f t="shared" si="163"/>
        <v>1</v>
      </c>
      <c r="H1032" s="175">
        <f t="shared" si="164"/>
        <v>44.91</v>
      </c>
      <c r="I1032" s="177">
        <f>IF(G1032=0,0,IF(E1032="MXN",1/HLOOKUP(YEAR(C1032)+(MONTH(C1032)/100),TC!$5:$37,DAY(C1032)+2,FALSE),VLOOKUP(E1032,Equivalencia!$5:$23,((MAX(Equivalencia!$3:$3)-YEAR(C1032))*14)+MONTH(C1032)+2,FALSE)))</f>
        <v>1</v>
      </c>
      <c r="J1032" s="178">
        <f t="shared" si="165"/>
        <v>44.91</v>
      </c>
      <c r="K1032" s="462">
        <f>IF(C1032=0,0,VLOOKUP(YEAR(C1032),INPC!$B$4:$O$29,MONTH(C1032)+1))</f>
        <v>116.884</v>
      </c>
      <c r="L1032" s="462">
        <f>IF(S1032=0,0,VLOOKUP(YEAR(S1032),INPC!$B$4:$O$29,MONTH(S1032)+1))</f>
        <v>118.002</v>
      </c>
      <c r="M1032" s="463">
        <f t="shared" si="166"/>
        <v>1.0095000000000001</v>
      </c>
      <c r="N1032" s="465">
        <f t="shared" si="167"/>
        <v>45.336644999999997</v>
      </c>
      <c r="O1032" s="179"/>
      <c r="P1032" s="180">
        <v>1</v>
      </c>
      <c r="Q1032" s="173" t="s">
        <v>583</v>
      </c>
      <c r="R1032" s="173" t="s">
        <v>230</v>
      </c>
      <c r="S1032" s="174">
        <v>44592</v>
      </c>
      <c r="T1032" s="173" t="s">
        <v>33</v>
      </c>
      <c r="U1032" s="182">
        <v>21.771666666666665</v>
      </c>
      <c r="V1032" s="177">
        <f>IF(U1032=0,0,IF(T1032="MXN",1/HLOOKUP(YEAR(S1032)+(MONTH(S1032)/100),TC!$5:$37,DAY(S1032)+2,FALSE),VLOOKUP(T1032,Equivalencia!$1:$23,((MAX(Equivalencia!$3:$3)-YEAR(S1032))*14)+MONTH(S1032)+2,FALSE)))</f>
        <v>1</v>
      </c>
      <c r="W1032" s="178">
        <f t="shared" si="168"/>
        <v>21.771666666666665</v>
      </c>
      <c r="X1032" s="481">
        <f t="shared" si="169"/>
        <v>-23.138333333333332</v>
      </c>
      <c r="Y1032" s="179"/>
      <c r="Z1032" s="466">
        <f t="shared" si="170"/>
        <v>45.336644999999997</v>
      </c>
      <c r="AA1032" s="473">
        <f t="shared" si="171"/>
        <v>-23.564978333333332</v>
      </c>
      <c r="AB1032" s="339">
        <f t="shared" si="172"/>
        <v>-0.51521561641802127</v>
      </c>
    </row>
    <row r="1033" spans="2:28" ht="20.100000000000001" customHeight="1">
      <c r="B1033" s="172">
        <v>1427200</v>
      </c>
      <c r="C1033" s="174">
        <v>44519</v>
      </c>
      <c r="D1033" s="181" t="s">
        <v>437</v>
      </c>
      <c r="E1033" s="173" t="s">
        <v>33</v>
      </c>
      <c r="F1033" s="176">
        <v>90.05</v>
      </c>
      <c r="G1033" s="175">
        <f t="shared" si="163"/>
        <v>2</v>
      </c>
      <c r="H1033" s="175">
        <f t="shared" si="164"/>
        <v>90.05</v>
      </c>
      <c r="I1033" s="177">
        <f>IF(G1033=0,0,IF(E1033="MXN",1/HLOOKUP(YEAR(C1033)+(MONTH(C1033)/100),TC!$5:$37,DAY(C1033)+2,FALSE),VLOOKUP(E1033,Equivalencia!$5:$23,((MAX(Equivalencia!$3:$3)-YEAR(C1033))*14)+MONTH(C1033)+2,FALSE)))</f>
        <v>1</v>
      </c>
      <c r="J1033" s="178">
        <f t="shared" si="165"/>
        <v>90.05</v>
      </c>
      <c r="K1033" s="462">
        <f>IF(C1033=0,0,VLOOKUP(YEAR(C1033),INPC!$B$4:$O$29,MONTH(C1033)+1))</f>
        <v>116.884</v>
      </c>
      <c r="L1033" s="462">
        <f>IF(S1033=0,0,VLOOKUP(YEAR(S1033),INPC!$B$4:$O$29,MONTH(S1033)+1))</f>
        <v>118.002</v>
      </c>
      <c r="M1033" s="463">
        <f t="shared" si="166"/>
        <v>1.0095000000000001</v>
      </c>
      <c r="N1033" s="465">
        <f t="shared" si="167"/>
        <v>90.90547500000001</v>
      </c>
      <c r="O1033" s="179"/>
      <c r="P1033" s="180">
        <v>2</v>
      </c>
      <c r="Q1033" s="173" t="s">
        <v>583</v>
      </c>
      <c r="R1033" s="173" t="s">
        <v>230</v>
      </c>
      <c r="S1033" s="174">
        <v>44592</v>
      </c>
      <c r="T1033" s="173" t="s">
        <v>33</v>
      </c>
      <c r="U1033" s="182">
        <v>43.543333333333329</v>
      </c>
      <c r="V1033" s="177">
        <f>IF(U1033=0,0,IF(T1033="MXN",1/HLOOKUP(YEAR(S1033)+(MONTH(S1033)/100),TC!$5:$37,DAY(S1033)+2,FALSE),VLOOKUP(T1033,Equivalencia!$1:$23,((MAX(Equivalencia!$3:$3)-YEAR(S1033))*14)+MONTH(S1033)+2,FALSE)))</f>
        <v>1</v>
      </c>
      <c r="W1033" s="178">
        <f t="shared" si="168"/>
        <v>43.543333333333329</v>
      </c>
      <c r="X1033" s="481">
        <f t="shared" si="169"/>
        <v>-46.506666666666668</v>
      </c>
      <c r="Y1033" s="179"/>
      <c r="Z1033" s="466">
        <f t="shared" si="170"/>
        <v>90.90547500000001</v>
      </c>
      <c r="AA1033" s="473">
        <f t="shared" si="171"/>
        <v>-47.36214166666668</v>
      </c>
      <c r="AB1033" s="339">
        <f t="shared" si="172"/>
        <v>-0.51645382195076817</v>
      </c>
    </row>
    <row r="1034" spans="2:28" ht="20.100000000000001" customHeight="1">
      <c r="B1034" s="172">
        <v>1427200</v>
      </c>
      <c r="C1034" s="174">
        <v>44519</v>
      </c>
      <c r="D1034" s="181" t="s">
        <v>437</v>
      </c>
      <c r="E1034" s="173" t="s">
        <v>33</v>
      </c>
      <c r="F1034" s="176">
        <v>44.872727272727275</v>
      </c>
      <c r="G1034" s="175">
        <f t="shared" si="163"/>
        <v>1</v>
      </c>
      <c r="H1034" s="175">
        <f t="shared" si="164"/>
        <v>44.872727272727275</v>
      </c>
      <c r="I1034" s="177">
        <f>IF(G1034=0,0,IF(E1034="MXN",1/HLOOKUP(YEAR(C1034)+(MONTH(C1034)/100),TC!$5:$37,DAY(C1034)+2,FALSE),VLOOKUP(E1034,Equivalencia!$5:$23,((MAX(Equivalencia!$3:$3)-YEAR(C1034))*14)+MONTH(C1034)+2,FALSE)))</f>
        <v>1</v>
      </c>
      <c r="J1034" s="178">
        <f t="shared" si="165"/>
        <v>44.872727272727275</v>
      </c>
      <c r="K1034" s="462">
        <f>IF(C1034=0,0,VLOOKUP(YEAR(C1034),INPC!$B$4:$O$29,MONTH(C1034)+1))</f>
        <v>116.884</v>
      </c>
      <c r="L1034" s="462">
        <f>IF(S1034=0,0,VLOOKUP(YEAR(S1034),INPC!$B$4:$O$29,MONTH(S1034)+1))</f>
        <v>118.002</v>
      </c>
      <c r="M1034" s="463">
        <f t="shared" si="166"/>
        <v>1.0095000000000001</v>
      </c>
      <c r="N1034" s="465">
        <f t="shared" si="167"/>
        <v>45.299018181818184</v>
      </c>
      <c r="O1034" s="179"/>
      <c r="P1034" s="180">
        <v>1</v>
      </c>
      <c r="Q1034" s="173" t="s">
        <v>583</v>
      </c>
      <c r="R1034" s="173" t="s">
        <v>230</v>
      </c>
      <c r="S1034" s="174">
        <v>44592</v>
      </c>
      <c r="T1034" s="173" t="s">
        <v>33</v>
      </c>
      <c r="U1034" s="182">
        <v>21.771666666666665</v>
      </c>
      <c r="V1034" s="177">
        <f>IF(U1034=0,0,IF(T1034="MXN",1/HLOOKUP(YEAR(S1034)+(MONTH(S1034)/100),TC!$5:$37,DAY(S1034)+2,FALSE),VLOOKUP(T1034,Equivalencia!$1:$23,((MAX(Equivalencia!$3:$3)-YEAR(S1034))*14)+MONTH(S1034)+2,FALSE)))</f>
        <v>1</v>
      </c>
      <c r="W1034" s="178">
        <f t="shared" si="168"/>
        <v>21.771666666666665</v>
      </c>
      <c r="X1034" s="481">
        <f t="shared" si="169"/>
        <v>-23.10106060606061</v>
      </c>
      <c r="Y1034" s="179"/>
      <c r="Z1034" s="466">
        <f t="shared" si="170"/>
        <v>45.299018181818184</v>
      </c>
      <c r="AA1034" s="473">
        <f t="shared" si="171"/>
        <v>-23.527351515151519</v>
      </c>
      <c r="AB1034" s="339">
        <f t="shared" si="172"/>
        <v>-0.51481293895191793</v>
      </c>
    </row>
    <row r="1035" spans="2:28" ht="20.100000000000001" customHeight="1">
      <c r="B1035" s="172">
        <v>1427200</v>
      </c>
      <c r="C1035" s="174">
        <v>44519</v>
      </c>
      <c r="D1035" s="181" t="s">
        <v>437</v>
      </c>
      <c r="E1035" s="173" t="s">
        <v>33</v>
      </c>
      <c r="F1035" s="176">
        <v>448.72727272727275</v>
      </c>
      <c r="G1035" s="175">
        <f t="shared" si="163"/>
        <v>10</v>
      </c>
      <c r="H1035" s="175">
        <f t="shared" si="164"/>
        <v>448.72727272727275</v>
      </c>
      <c r="I1035" s="177">
        <f>IF(G1035=0,0,IF(E1035="MXN",1/HLOOKUP(YEAR(C1035)+(MONTH(C1035)/100),TC!$5:$37,DAY(C1035)+2,FALSE),VLOOKUP(E1035,Equivalencia!$5:$23,((MAX(Equivalencia!$3:$3)-YEAR(C1035))*14)+MONTH(C1035)+2,FALSE)))</f>
        <v>1</v>
      </c>
      <c r="J1035" s="178">
        <f t="shared" si="165"/>
        <v>448.72727272727275</v>
      </c>
      <c r="K1035" s="462">
        <f>IF(C1035=0,0,VLOOKUP(YEAR(C1035),INPC!$B$4:$O$29,MONTH(C1035)+1))</f>
        <v>116.884</v>
      </c>
      <c r="L1035" s="462">
        <f>IF(S1035=0,0,VLOOKUP(YEAR(S1035),INPC!$B$4:$O$29,MONTH(S1035)+1))</f>
        <v>118.002</v>
      </c>
      <c r="M1035" s="463">
        <f t="shared" si="166"/>
        <v>1.0095000000000001</v>
      </c>
      <c r="N1035" s="465">
        <f t="shared" si="167"/>
        <v>452.9901818181819</v>
      </c>
      <c r="O1035" s="179"/>
      <c r="P1035" s="180">
        <v>10</v>
      </c>
      <c r="Q1035" s="173" t="s">
        <v>583</v>
      </c>
      <c r="R1035" s="173" t="s">
        <v>230</v>
      </c>
      <c r="S1035" s="174">
        <v>44592</v>
      </c>
      <c r="T1035" s="173" t="s">
        <v>33</v>
      </c>
      <c r="U1035" s="182">
        <v>226.66842105263157</v>
      </c>
      <c r="V1035" s="177">
        <f>IF(U1035=0,0,IF(T1035="MXN",1/HLOOKUP(YEAR(S1035)+(MONTH(S1035)/100),TC!$5:$37,DAY(S1035)+2,FALSE),VLOOKUP(T1035,Equivalencia!$1:$23,((MAX(Equivalencia!$3:$3)-YEAR(S1035))*14)+MONTH(S1035)+2,FALSE)))</f>
        <v>1</v>
      </c>
      <c r="W1035" s="178">
        <f t="shared" si="168"/>
        <v>226.66842105263157</v>
      </c>
      <c r="X1035" s="481">
        <f t="shared" si="169"/>
        <v>-222.05885167464118</v>
      </c>
      <c r="Y1035" s="179"/>
      <c r="Z1035" s="466">
        <f t="shared" si="170"/>
        <v>452.9901818181819</v>
      </c>
      <c r="AA1035" s="473">
        <f t="shared" si="171"/>
        <v>-226.32176076555032</v>
      </c>
      <c r="AB1035" s="339">
        <f t="shared" si="172"/>
        <v>-0.49486372942079682</v>
      </c>
    </row>
    <row r="1036" spans="2:28" ht="20.100000000000001" customHeight="1">
      <c r="B1036" s="172">
        <v>1427200</v>
      </c>
      <c r="C1036" s="174">
        <v>44519</v>
      </c>
      <c r="D1036" s="181" t="s">
        <v>437</v>
      </c>
      <c r="E1036" s="173" t="s">
        <v>33</v>
      </c>
      <c r="F1036" s="176">
        <v>405.21600000000001</v>
      </c>
      <c r="G1036" s="175">
        <f t="shared" si="163"/>
        <v>9</v>
      </c>
      <c r="H1036" s="175">
        <f t="shared" si="164"/>
        <v>405.21600000000001</v>
      </c>
      <c r="I1036" s="177">
        <f>IF(G1036=0,0,IF(E1036="MXN",1/HLOOKUP(YEAR(C1036)+(MONTH(C1036)/100),TC!$5:$37,DAY(C1036)+2,FALSE),VLOOKUP(E1036,Equivalencia!$5:$23,((MAX(Equivalencia!$3:$3)-YEAR(C1036))*14)+MONTH(C1036)+2,FALSE)))</f>
        <v>1</v>
      </c>
      <c r="J1036" s="178">
        <f t="shared" si="165"/>
        <v>405.21600000000001</v>
      </c>
      <c r="K1036" s="462">
        <f>IF(C1036=0,0,VLOOKUP(YEAR(C1036),INPC!$B$4:$O$29,MONTH(C1036)+1))</f>
        <v>116.884</v>
      </c>
      <c r="L1036" s="462">
        <f>IF(S1036=0,0,VLOOKUP(YEAR(S1036),INPC!$B$4:$O$29,MONTH(S1036)+1))</f>
        <v>118.002</v>
      </c>
      <c r="M1036" s="463">
        <f t="shared" si="166"/>
        <v>1.0095000000000001</v>
      </c>
      <c r="N1036" s="465">
        <f t="shared" si="167"/>
        <v>409.06555200000003</v>
      </c>
      <c r="O1036" s="179"/>
      <c r="P1036" s="180">
        <v>9</v>
      </c>
      <c r="Q1036" s="173" t="s">
        <v>583</v>
      </c>
      <c r="R1036" s="173" t="s">
        <v>230</v>
      </c>
      <c r="S1036" s="174">
        <v>44592</v>
      </c>
      <c r="T1036" s="173" t="s">
        <v>33</v>
      </c>
      <c r="U1036" s="182">
        <v>204.00157894736842</v>
      </c>
      <c r="V1036" s="177">
        <f>IF(U1036=0,0,IF(T1036="MXN",1/HLOOKUP(YEAR(S1036)+(MONTH(S1036)/100),TC!$5:$37,DAY(S1036)+2,FALSE),VLOOKUP(T1036,Equivalencia!$1:$23,((MAX(Equivalencia!$3:$3)-YEAR(S1036))*14)+MONTH(S1036)+2,FALSE)))</f>
        <v>1</v>
      </c>
      <c r="W1036" s="178">
        <f t="shared" si="168"/>
        <v>204.00157894736842</v>
      </c>
      <c r="X1036" s="481">
        <f t="shared" si="169"/>
        <v>-201.21442105263159</v>
      </c>
      <c r="Y1036" s="179"/>
      <c r="Z1036" s="466">
        <f t="shared" si="170"/>
        <v>409.06555200000003</v>
      </c>
      <c r="AA1036" s="473">
        <f t="shared" si="171"/>
        <v>-205.06397305263161</v>
      </c>
      <c r="AB1036" s="339">
        <f t="shared" si="172"/>
        <v>-0.49656089851494412</v>
      </c>
    </row>
    <row r="1037" spans="2:28" ht="20.100000000000001" customHeight="1">
      <c r="B1037" s="172">
        <v>1427200</v>
      </c>
      <c r="C1037" s="174">
        <v>44519</v>
      </c>
      <c r="D1037" s="181" t="s">
        <v>437</v>
      </c>
      <c r="E1037" s="173" t="s">
        <v>33</v>
      </c>
      <c r="F1037" s="176">
        <v>45.024000000000001</v>
      </c>
      <c r="G1037" s="175">
        <f t="shared" si="163"/>
        <v>1</v>
      </c>
      <c r="H1037" s="175">
        <f t="shared" si="164"/>
        <v>45.024000000000001</v>
      </c>
      <c r="I1037" s="177">
        <f>IF(G1037=0,0,IF(E1037="MXN",1/HLOOKUP(YEAR(C1037)+(MONTH(C1037)/100),TC!$5:$37,DAY(C1037)+2,FALSE),VLOOKUP(E1037,Equivalencia!$5:$23,((MAX(Equivalencia!$3:$3)-YEAR(C1037))*14)+MONTH(C1037)+2,FALSE)))</f>
        <v>1</v>
      </c>
      <c r="J1037" s="178">
        <f t="shared" si="165"/>
        <v>45.024000000000001</v>
      </c>
      <c r="K1037" s="462">
        <f>IF(C1037=0,0,VLOOKUP(YEAR(C1037),INPC!$B$4:$O$29,MONTH(C1037)+1))</f>
        <v>116.884</v>
      </c>
      <c r="L1037" s="462">
        <f>IF(S1037=0,0,VLOOKUP(YEAR(S1037),INPC!$B$4:$O$29,MONTH(S1037)+1))</f>
        <v>118.002</v>
      </c>
      <c r="M1037" s="463">
        <f t="shared" si="166"/>
        <v>1.0095000000000001</v>
      </c>
      <c r="N1037" s="465">
        <f t="shared" si="167"/>
        <v>45.451728000000003</v>
      </c>
      <c r="O1037" s="179"/>
      <c r="P1037" s="180">
        <v>1</v>
      </c>
      <c r="Q1037" s="173" t="s">
        <v>583</v>
      </c>
      <c r="R1037" s="173" t="s">
        <v>230</v>
      </c>
      <c r="S1037" s="174">
        <v>44592</v>
      </c>
      <c r="T1037" s="173" t="s">
        <v>33</v>
      </c>
      <c r="U1037" s="182">
        <v>21.88</v>
      </c>
      <c r="V1037" s="177">
        <f>IF(U1037=0,0,IF(T1037="MXN",1/HLOOKUP(YEAR(S1037)+(MONTH(S1037)/100),TC!$5:$37,DAY(S1037)+2,FALSE),VLOOKUP(T1037,Equivalencia!$1:$23,((MAX(Equivalencia!$3:$3)-YEAR(S1037))*14)+MONTH(S1037)+2,FALSE)))</f>
        <v>1</v>
      </c>
      <c r="W1037" s="178">
        <f t="shared" si="168"/>
        <v>21.88</v>
      </c>
      <c r="X1037" s="481">
        <f t="shared" si="169"/>
        <v>-23.144000000000002</v>
      </c>
      <c r="Y1037" s="179"/>
      <c r="Z1037" s="466">
        <f t="shared" si="170"/>
        <v>45.451728000000003</v>
      </c>
      <c r="AA1037" s="473">
        <f t="shared" si="171"/>
        <v>-23.571728000000004</v>
      </c>
      <c r="AB1037" s="339">
        <f t="shared" si="172"/>
        <v>-0.51403695806680882</v>
      </c>
    </row>
    <row r="1038" spans="2:28" ht="20.100000000000001" customHeight="1">
      <c r="B1038" s="172">
        <v>1427200</v>
      </c>
      <c r="C1038" s="174">
        <v>44559</v>
      </c>
      <c r="D1038" s="181" t="s">
        <v>437</v>
      </c>
      <c r="E1038" s="173" t="s">
        <v>33</v>
      </c>
      <c r="F1038" s="176">
        <v>35.67</v>
      </c>
      <c r="G1038" s="175">
        <f t="shared" si="163"/>
        <v>1</v>
      </c>
      <c r="H1038" s="175">
        <f t="shared" si="164"/>
        <v>35.67</v>
      </c>
      <c r="I1038" s="177">
        <f>IF(G1038=0,0,IF(E1038="MXN",1/HLOOKUP(YEAR(C1038)+(MONTH(C1038)/100),TC!$5:$37,DAY(C1038)+2,FALSE),VLOOKUP(E1038,Equivalencia!$5:$23,((MAX(Equivalencia!$3:$3)-YEAR(C1038))*14)+MONTH(C1038)+2,FALSE)))</f>
        <v>1</v>
      </c>
      <c r="J1038" s="178">
        <f t="shared" si="165"/>
        <v>35.67</v>
      </c>
      <c r="K1038" s="462">
        <f>IF(C1038=0,0,VLOOKUP(YEAR(C1038),INPC!$B$4:$O$29,MONTH(C1038)+1))</f>
        <v>117.30800000000001</v>
      </c>
      <c r="L1038" s="462">
        <f>IF(S1038=0,0,VLOOKUP(YEAR(S1038),INPC!$B$4:$O$29,MONTH(S1038)+1))</f>
        <v>118.002</v>
      </c>
      <c r="M1038" s="463">
        <f t="shared" si="166"/>
        <v>1.0059</v>
      </c>
      <c r="N1038" s="465">
        <f t="shared" si="167"/>
        <v>35.880453000000003</v>
      </c>
      <c r="O1038" s="179"/>
      <c r="P1038" s="180">
        <v>1</v>
      </c>
      <c r="Q1038" s="173" t="s">
        <v>583</v>
      </c>
      <c r="R1038" s="173" t="s">
        <v>230</v>
      </c>
      <c r="S1038" s="174">
        <v>44592</v>
      </c>
      <c r="T1038" s="173" t="s">
        <v>33</v>
      </c>
      <c r="U1038" s="182">
        <v>21.88</v>
      </c>
      <c r="V1038" s="177">
        <f>IF(U1038=0,0,IF(T1038="MXN",1/HLOOKUP(YEAR(S1038)+(MONTH(S1038)/100),TC!$5:$37,DAY(S1038)+2,FALSE),VLOOKUP(T1038,Equivalencia!$1:$23,((MAX(Equivalencia!$3:$3)-YEAR(S1038))*14)+MONTH(S1038)+2,FALSE)))</f>
        <v>1</v>
      </c>
      <c r="W1038" s="178">
        <f t="shared" si="168"/>
        <v>21.88</v>
      </c>
      <c r="X1038" s="481">
        <f t="shared" si="169"/>
        <v>-13.790000000000003</v>
      </c>
      <c r="Y1038" s="179"/>
      <c r="Z1038" s="466">
        <f t="shared" si="170"/>
        <v>35.880453000000003</v>
      </c>
      <c r="AA1038" s="473">
        <f t="shared" si="171"/>
        <v>-14.000453000000004</v>
      </c>
      <c r="AB1038" s="339">
        <f t="shared" si="172"/>
        <v>-0.3865993832352117</v>
      </c>
    </row>
    <row r="1039" spans="2:28" ht="20.100000000000001" customHeight="1">
      <c r="B1039" s="172">
        <v>1427200</v>
      </c>
      <c r="C1039" s="174">
        <v>44559</v>
      </c>
      <c r="D1039" s="181" t="s">
        <v>437</v>
      </c>
      <c r="E1039" s="173" t="s">
        <v>33</v>
      </c>
      <c r="F1039" s="176">
        <v>35.67</v>
      </c>
      <c r="G1039" s="175">
        <f t="shared" si="163"/>
        <v>1</v>
      </c>
      <c r="H1039" s="175">
        <f t="shared" si="164"/>
        <v>35.67</v>
      </c>
      <c r="I1039" s="177">
        <f>IF(G1039=0,0,IF(E1039="MXN",1/HLOOKUP(YEAR(C1039)+(MONTH(C1039)/100),TC!$5:$37,DAY(C1039)+2,FALSE),VLOOKUP(E1039,Equivalencia!$5:$23,((MAX(Equivalencia!$3:$3)-YEAR(C1039))*14)+MONTH(C1039)+2,FALSE)))</f>
        <v>1</v>
      </c>
      <c r="J1039" s="178">
        <f t="shared" si="165"/>
        <v>35.67</v>
      </c>
      <c r="K1039" s="462">
        <f>IF(C1039=0,0,VLOOKUP(YEAR(C1039),INPC!$B$4:$O$29,MONTH(C1039)+1))</f>
        <v>117.30800000000001</v>
      </c>
      <c r="L1039" s="462">
        <f>IF(S1039=0,0,VLOOKUP(YEAR(S1039),INPC!$B$4:$O$29,MONTH(S1039)+1))</f>
        <v>118.002</v>
      </c>
      <c r="M1039" s="463">
        <f t="shared" si="166"/>
        <v>1.0059</v>
      </c>
      <c r="N1039" s="465">
        <f t="shared" si="167"/>
        <v>35.880453000000003</v>
      </c>
      <c r="O1039" s="179"/>
      <c r="P1039" s="180">
        <v>1</v>
      </c>
      <c r="Q1039" s="173" t="s">
        <v>583</v>
      </c>
      <c r="R1039" s="173" t="s">
        <v>230</v>
      </c>
      <c r="S1039" s="174">
        <v>44592</v>
      </c>
      <c r="T1039" s="173" t="s">
        <v>33</v>
      </c>
      <c r="U1039" s="182">
        <v>22.856666666666666</v>
      </c>
      <c r="V1039" s="177">
        <f>IF(U1039=0,0,IF(T1039="MXN",1/HLOOKUP(YEAR(S1039)+(MONTH(S1039)/100),TC!$5:$37,DAY(S1039)+2,FALSE),VLOOKUP(T1039,Equivalencia!$1:$23,((MAX(Equivalencia!$3:$3)-YEAR(S1039))*14)+MONTH(S1039)+2,FALSE)))</f>
        <v>1</v>
      </c>
      <c r="W1039" s="178">
        <f t="shared" si="168"/>
        <v>22.856666666666666</v>
      </c>
      <c r="X1039" s="481">
        <f t="shared" si="169"/>
        <v>-12.813333333333336</v>
      </c>
      <c r="Y1039" s="179"/>
      <c r="Z1039" s="466">
        <f t="shared" si="170"/>
        <v>35.880453000000003</v>
      </c>
      <c r="AA1039" s="473">
        <f t="shared" si="171"/>
        <v>-13.023786333333337</v>
      </c>
      <c r="AB1039" s="339">
        <f t="shared" si="172"/>
        <v>-0.3592187646014392</v>
      </c>
    </row>
    <row r="1040" spans="2:28" ht="20.100000000000001" customHeight="1">
      <c r="B1040" s="172">
        <v>1427200</v>
      </c>
      <c r="C1040" s="174">
        <v>44559</v>
      </c>
      <c r="D1040" s="181" t="s">
        <v>437</v>
      </c>
      <c r="E1040" s="173" t="s">
        <v>33</v>
      </c>
      <c r="F1040" s="176">
        <v>72.083529411764715</v>
      </c>
      <c r="G1040" s="175">
        <f t="shared" si="163"/>
        <v>2</v>
      </c>
      <c r="H1040" s="175">
        <f t="shared" si="164"/>
        <v>72.083529411764715</v>
      </c>
      <c r="I1040" s="177">
        <f>IF(G1040=0,0,IF(E1040="MXN",1/HLOOKUP(YEAR(C1040)+(MONTH(C1040)/100),TC!$5:$37,DAY(C1040)+2,FALSE),VLOOKUP(E1040,Equivalencia!$5:$23,((MAX(Equivalencia!$3:$3)-YEAR(C1040))*14)+MONTH(C1040)+2,FALSE)))</f>
        <v>1</v>
      </c>
      <c r="J1040" s="178">
        <f t="shared" si="165"/>
        <v>72.083529411764715</v>
      </c>
      <c r="K1040" s="462">
        <f>IF(C1040=0,0,VLOOKUP(YEAR(C1040),INPC!$B$4:$O$29,MONTH(C1040)+1))</f>
        <v>117.30800000000001</v>
      </c>
      <c r="L1040" s="462">
        <f>IF(S1040=0,0,VLOOKUP(YEAR(S1040),INPC!$B$4:$O$29,MONTH(S1040)+1))</f>
        <v>118.002</v>
      </c>
      <c r="M1040" s="463">
        <f t="shared" si="166"/>
        <v>1.0059</v>
      </c>
      <c r="N1040" s="465">
        <f t="shared" si="167"/>
        <v>72.508822235294133</v>
      </c>
      <c r="O1040" s="179"/>
      <c r="P1040" s="180">
        <v>2</v>
      </c>
      <c r="Q1040" s="173" t="s">
        <v>583</v>
      </c>
      <c r="R1040" s="173" t="s">
        <v>230</v>
      </c>
      <c r="S1040" s="174">
        <v>44592</v>
      </c>
      <c r="T1040" s="173" t="s">
        <v>33</v>
      </c>
      <c r="U1040" s="182">
        <v>45.713333333333331</v>
      </c>
      <c r="V1040" s="177">
        <f>IF(U1040=0,0,IF(T1040="MXN",1/HLOOKUP(YEAR(S1040)+(MONTH(S1040)/100),TC!$5:$37,DAY(S1040)+2,FALSE),VLOOKUP(T1040,Equivalencia!$1:$23,((MAX(Equivalencia!$3:$3)-YEAR(S1040))*14)+MONTH(S1040)+2,FALSE)))</f>
        <v>1</v>
      </c>
      <c r="W1040" s="178">
        <f t="shared" si="168"/>
        <v>45.713333333333331</v>
      </c>
      <c r="X1040" s="481">
        <f t="shared" si="169"/>
        <v>-26.370196078431384</v>
      </c>
      <c r="Y1040" s="179"/>
      <c r="Z1040" s="466">
        <f t="shared" si="170"/>
        <v>72.508822235294133</v>
      </c>
      <c r="AA1040" s="473">
        <f t="shared" si="171"/>
        <v>-26.795488901960802</v>
      </c>
      <c r="AB1040" s="339">
        <f t="shared" si="172"/>
        <v>-0.36582831464586307</v>
      </c>
    </row>
    <row r="1041" spans="2:28" ht="20.100000000000001" customHeight="1">
      <c r="B1041" s="172">
        <v>1427200</v>
      </c>
      <c r="C1041" s="174">
        <v>44559</v>
      </c>
      <c r="D1041" s="181" t="s">
        <v>437</v>
      </c>
      <c r="E1041" s="173" t="s">
        <v>33</v>
      </c>
      <c r="F1041" s="176">
        <v>180.2088235294118</v>
      </c>
      <c r="G1041" s="175">
        <f t="shared" si="163"/>
        <v>5</v>
      </c>
      <c r="H1041" s="175">
        <f t="shared" si="164"/>
        <v>180.2088235294118</v>
      </c>
      <c r="I1041" s="177">
        <f>IF(G1041=0,0,IF(E1041="MXN",1/HLOOKUP(YEAR(C1041)+(MONTH(C1041)/100),TC!$5:$37,DAY(C1041)+2,FALSE),VLOOKUP(E1041,Equivalencia!$5:$23,((MAX(Equivalencia!$3:$3)-YEAR(C1041))*14)+MONTH(C1041)+2,FALSE)))</f>
        <v>1</v>
      </c>
      <c r="J1041" s="178">
        <f t="shared" si="165"/>
        <v>180.2088235294118</v>
      </c>
      <c r="K1041" s="462">
        <f>IF(C1041=0,0,VLOOKUP(YEAR(C1041),INPC!$B$4:$O$29,MONTH(C1041)+1))</f>
        <v>117.30800000000001</v>
      </c>
      <c r="L1041" s="462">
        <f>IF(S1041=0,0,VLOOKUP(YEAR(S1041),INPC!$B$4:$O$29,MONTH(S1041)+1))</f>
        <v>118.002</v>
      </c>
      <c r="M1041" s="463">
        <f t="shared" si="166"/>
        <v>1.0059</v>
      </c>
      <c r="N1041" s="465">
        <f t="shared" si="167"/>
        <v>181.27205558823533</v>
      </c>
      <c r="O1041" s="179"/>
      <c r="P1041" s="180">
        <v>5</v>
      </c>
      <c r="Q1041" s="173" t="s">
        <v>583</v>
      </c>
      <c r="R1041" s="173" t="s">
        <v>230</v>
      </c>
      <c r="S1041" s="174">
        <v>44592</v>
      </c>
      <c r="T1041" s="173" t="s">
        <v>33</v>
      </c>
      <c r="U1041" s="182">
        <v>109.15</v>
      </c>
      <c r="V1041" s="177">
        <f>IF(U1041=0,0,IF(T1041="MXN",1/HLOOKUP(YEAR(S1041)+(MONTH(S1041)/100),TC!$5:$37,DAY(S1041)+2,FALSE),VLOOKUP(T1041,Equivalencia!$1:$23,((MAX(Equivalencia!$3:$3)-YEAR(S1041))*14)+MONTH(S1041)+2,FALSE)))</f>
        <v>1</v>
      </c>
      <c r="W1041" s="178">
        <f t="shared" si="168"/>
        <v>109.15</v>
      </c>
      <c r="X1041" s="481">
        <f t="shared" si="169"/>
        <v>-71.058823529411796</v>
      </c>
      <c r="Y1041" s="179"/>
      <c r="Z1041" s="466">
        <f t="shared" si="170"/>
        <v>181.27205558823533</v>
      </c>
      <c r="AA1041" s="473">
        <f t="shared" si="171"/>
        <v>-72.122055588235327</v>
      </c>
      <c r="AB1041" s="339">
        <f t="shared" si="172"/>
        <v>-0.39431378629367897</v>
      </c>
    </row>
    <row r="1042" spans="2:28" ht="20.100000000000001" customHeight="1">
      <c r="B1042" s="172">
        <v>1427200</v>
      </c>
      <c r="C1042" s="174">
        <v>44559</v>
      </c>
      <c r="D1042" s="181" t="s">
        <v>437</v>
      </c>
      <c r="E1042" s="173" t="s">
        <v>33</v>
      </c>
      <c r="F1042" s="176">
        <v>216.25058823529415</v>
      </c>
      <c r="G1042" s="175">
        <f t="shared" si="163"/>
        <v>6</v>
      </c>
      <c r="H1042" s="175">
        <f t="shared" si="164"/>
        <v>216.25058823529415</v>
      </c>
      <c r="I1042" s="177">
        <f>IF(G1042=0,0,IF(E1042="MXN",1/HLOOKUP(YEAR(C1042)+(MONTH(C1042)/100),TC!$5:$37,DAY(C1042)+2,FALSE),VLOOKUP(E1042,Equivalencia!$5:$23,((MAX(Equivalencia!$3:$3)-YEAR(C1042))*14)+MONTH(C1042)+2,FALSE)))</f>
        <v>1</v>
      </c>
      <c r="J1042" s="178">
        <f t="shared" si="165"/>
        <v>216.25058823529415</v>
      </c>
      <c r="K1042" s="462">
        <f>IF(C1042=0,0,VLOOKUP(YEAR(C1042),INPC!$B$4:$O$29,MONTH(C1042)+1))</f>
        <v>117.30800000000001</v>
      </c>
      <c r="L1042" s="462">
        <f>IF(S1042=0,0,VLOOKUP(YEAR(S1042),INPC!$B$4:$O$29,MONTH(S1042)+1))</f>
        <v>118.002</v>
      </c>
      <c r="M1042" s="463">
        <f t="shared" si="166"/>
        <v>1.0059</v>
      </c>
      <c r="N1042" s="465">
        <f t="shared" si="167"/>
        <v>217.52646670588237</v>
      </c>
      <c r="O1042" s="179"/>
      <c r="P1042" s="180">
        <v>6</v>
      </c>
      <c r="Q1042" s="173" t="s">
        <v>583</v>
      </c>
      <c r="R1042" s="173" t="s">
        <v>230</v>
      </c>
      <c r="S1042" s="174">
        <v>44592</v>
      </c>
      <c r="T1042" s="173" t="s">
        <v>33</v>
      </c>
      <c r="U1042" s="182">
        <v>137.55000000000001</v>
      </c>
      <c r="V1042" s="177">
        <f>IF(U1042=0,0,IF(T1042="MXN",1/HLOOKUP(YEAR(S1042)+(MONTH(S1042)/100),TC!$5:$37,DAY(S1042)+2,FALSE),VLOOKUP(T1042,Equivalencia!$1:$23,((MAX(Equivalencia!$3:$3)-YEAR(S1042))*14)+MONTH(S1042)+2,FALSE)))</f>
        <v>1</v>
      </c>
      <c r="W1042" s="178">
        <f t="shared" si="168"/>
        <v>137.55000000000001</v>
      </c>
      <c r="X1042" s="481">
        <f t="shared" si="169"/>
        <v>-78.700588235294134</v>
      </c>
      <c r="Y1042" s="179"/>
      <c r="Z1042" s="466">
        <f t="shared" si="170"/>
        <v>217.52646670588237</v>
      </c>
      <c r="AA1042" s="473">
        <f t="shared" si="171"/>
        <v>-79.976466705882359</v>
      </c>
      <c r="AB1042" s="339">
        <f t="shared" si="172"/>
        <v>-0.36393236604592716</v>
      </c>
    </row>
    <row r="1043" spans="2:28" ht="20.100000000000001" customHeight="1">
      <c r="B1043" s="172">
        <v>1427200</v>
      </c>
      <c r="C1043" s="174">
        <v>44559</v>
      </c>
      <c r="D1043" s="181" t="s">
        <v>437</v>
      </c>
      <c r="E1043" s="173" t="s">
        <v>33</v>
      </c>
      <c r="F1043" s="176">
        <v>36.041764705882358</v>
      </c>
      <c r="G1043" s="175">
        <f t="shared" si="163"/>
        <v>1</v>
      </c>
      <c r="H1043" s="175">
        <f t="shared" si="164"/>
        <v>36.041764705882358</v>
      </c>
      <c r="I1043" s="177">
        <f>IF(G1043=0,0,IF(E1043="MXN",1/HLOOKUP(YEAR(C1043)+(MONTH(C1043)/100),TC!$5:$37,DAY(C1043)+2,FALSE),VLOOKUP(E1043,Equivalencia!$5:$23,((MAX(Equivalencia!$3:$3)-YEAR(C1043))*14)+MONTH(C1043)+2,FALSE)))</f>
        <v>1</v>
      </c>
      <c r="J1043" s="178">
        <f t="shared" si="165"/>
        <v>36.041764705882358</v>
      </c>
      <c r="K1043" s="462">
        <f>IF(C1043=0,0,VLOOKUP(YEAR(C1043),INPC!$B$4:$O$29,MONTH(C1043)+1))</f>
        <v>117.30800000000001</v>
      </c>
      <c r="L1043" s="462">
        <f>IF(S1043=0,0,VLOOKUP(YEAR(S1043),INPC!$B$4:$O$29,MONTH(S1043)+1))</f>
        <v>118.98099999999999</v>
      </c>
      <c r="M1043" s="463">
        <f t="shared" si="166"/>
        <v>1.0142</v>
      </c>
      <c r="N1043" s="465">
        <f t="shared" si="167"/>
        <v>36.553557764705886</v>
      </c>
      <c r="O1043" s="179"/>
      <c r="P1043" s="180">
        <v>1</v>
      </c>
      <c r="Q1043" s="173" t="s">
        <v>583</v>
      </c>
      <c r="R1043" s="173" t="s">
        <v>230</v>
      </c>
      <c r="S1043" s="174">
        <v>44593</v>
      </c>
      <c r="T1043" s="173" t="s">
        <v>33</v>
      </c>
      <c r="U1043" s="182">
        <v>23.8</v>
      </c>
      <c r="V1043" s="177">
        <f>IF(U1043=0,0,IF(T1043="MXN",1/HLOOKUP(YEAR(S1043)+(MONTH(S1043)/100),TC!$5:$37,DAY(S1043)+2,FALSE),VLOOKUP(T1043,Equivalencia!$1:$23,((MAX(Equivalencia!$3:$3)-YEAR(S1043))*14)+MONTH(S1043)+2,FALSE)))</f>
        <v>1</v>
      </c>
      <c r="W1043" s="178">
        <f t="shared" si="168"/>
        <v>23.8</v>
      </c>
      <c r="X1043" s="481">
        <f t="shared" si="169"/>
        <v>-12.241764705882357</v>
      </c>
      <c r="Y1043" s="179"/>
      <c r="Z1043" s="466">
        <f t="shared" si="170"/>
        <v>36.553557764705886</v>
      </c>
      <c r="AA1043" s="473">
        <f t="shared" si="171"/>
        <v>-12.753557764705885</v>
      </c>
      <c r="AB1043" s="339">
        <f t="shared" si="172"/>
        <v>-0.33965497543699308</v>
      </c>
    </row>
    <row r="1044" spans="2:28" ht="20.100000000000001" customHeight="1">
      <c r="B1044" s="172">
        <v>1427200</v>
      </c>
      <c r="C1044" s="174">
        <v>44559</v>
      </c>
      <c r="D1044" s="181" t="s">
        <v>437</v>
      </c>
      <c r="E1044" s="173" t="s">
        <v>33</v>
      </c>
      <c r="F1044" s="176">
        <v>36.041764705882358</v>
      </c>
      <c r="G1044" s="175">
        <f t="shared" si="163"/>
        <v>1</v>
      </c>
      <c r="H1044" s="175">
        <f t="shared" si="164"/>
        <v>36.041764705882358</v>
      </c>
      <c r="I1044" s="177">
        <f>IF(G1044=0,0,IF(E1044="MXN",1/HLOOKUP(YEAR(C1044)+(MONTH(C1044)/100),TC!$5:$37,DAY(C1044)+2,FALSE),VLOOKUP(E1044,Equivalencia!$5:$23,((MAX(Equivalencia!$3:$3)-YEAR(C1044))*14)+MONTH(C1044)+2,FALSE)))</f>
        <v>1</v>
      </c>
      <c r="J1044" s="178">
        <f t="shared" si="165"/>
        <v>36.041764705882358</v>
      </c>
      <c r="K1044" s="462">
        <f>IF(C1044=0,0,VLOOKUP(YEAR(C1044),INPC!$B$4:$O$29,MONTH(C1044)+1))</f>
        <v>117.30800000000001</v>
      </c>
      <c r="L1044" s="462">
        <f>IF(S1044=0,0,VLOOKUP(YEAR(S1044),INPC!$B$4:$O$29,MONTH(S1044)+1))</f>
        <v>118.98099999999999</v>
      </c>
      <c r="M1044" s="463">
        <f t="shared" si="166"/>
        <v>1.0142</v>
      </c>
      <c r="N1044" s="465">
        <f t="shared" si="167"/>
        <v>36.553557764705886</v>
      </c>
      <c r="O1044" s="179"/>
      <c r="P1044" s="180">
        <v>1</v>
      </c>
      <c r="Q1044" s="173" t="s">
        <v>583</v>
      </c>
      <c r="R1044" s="173" t="s">
        <v>230</v>
      </c>
      <c r="S1044" s="174">
        <v>44593</v>
      </c>
      <c r="T1044" s="173" t="s">
        <v>33</v>
      </c>
      <c r="U1044" s="182">
        <v>24.32</v>
      </c>
      <c r="V1044" s="177">
        <f>IF(U1044=0,0,IF(T1044="MXN",1/HLOOKUP(YEAR(S1044)+(MONTH(S1044)/100),TC!$5:$37,DAY(S1044)+2,FALSE),VLOOKUP(T1044,Equivalencia!$1:$23,((MAX(Equivalencia!$3:$3)-YEAR(S1044))*14)+MONTH(S1044)+2,FALSE)))</f>
        <v>1</v>
      </c>
      <c r="W1044" s="178">
        <f t="shared" si="168"/>
        <v>24.32</v>
      </c>
      <c r="X1044" s="481">
        <f t="shared" si="169"/>
        <v>-11.721764705882357</v>
      </c>
      <c r="Y1044" s="179"/>
      <c r="Z1044" s="466">
        <f t="shared" si="170"/>
        <v>36.553557764705886</v>
      </c>
      <c r="AA1044" s="473">
        <f t="shared" si="171"/>
        <v>-12.233557764705886</v>
      </c>
      <c r="AB1044" s="339">
        <f t="shared" si="172"/>
        <v>-0.32522726901796939</v>
      </c>
    </row>
    <row r="1045" spans="2:28" ht="20.100000000000001" customHeight="1">
      <c r="B1045" s="172">
        <v>1427200</v>
      </c>
      <c r="C1045" s="174">
        <v>44559</v>
      </c>
      <c r="D1045" s="181" t="s">
        <v>437</v>
      </c>
      <c r="E1045" s="173" t="s">
        <v>33</v>
      </c>
      <c r="F1045" s="176">
        <v>72.083529411764715</v>
      </c>
      <c r="G1045" s="175">
        <f t="shared" si="163"/>
        <v>2</v>
      </c>
      <c r="H1045" s="175">
        <f t="shared" si="164"/>
        <v>72.083529411764715</v>
      </c>
      <c r="I1045" s="177">
        <f>IF(G1045=0,0,IF(E1045="MXN",1/HLOOKUP(YEAR(C1045)+(MONTH(C1045)/100),TC!$5:$37,DAY(C1045)+2,FALSE),VLOOKUP(E1045,Equivalencia!$5:$23,((MAX(Equivalencia!$3:$3)-YEAR(C1045))*14)+MONTH(C1045)+2,FALSE)))</f>
        <v>1</v>
      </c>
      <c r="J1045" s="178">
        <f t="shared" si="165"/>
        <v>72.083529411764715</v>
      </c>
      <c r="K1045" s="462">
        <f>IF(C1045=0,0,VLOOKUP(YEAR(C1045),INPC!$B$4:$O$29,MONTH(C1045)+1))</f>
        <v>117.30800000000001</v>
      </c>
      <c r="L1045" s="462">
        <f>IF(S1045=0,0,VLOOKUP(YEAR(S1045),INPC!$B$4:$O$29,MONTH(S1045)+1))</f>
        <v>118.98099999999999</v>
      </c>
      <c r="M1045" s="463">
        <f t="shared" si="166"/>
        <v>1.0142</v>
      </c>
      <c r="N1045" s="465">
        <f t="shared" si="167"/>
        <v>73.107115529411772</v>
      </c>
      <c r="O1045" s="179"/>
      <c r="P1045" s="180">
        <v>2</v>
      </c>
      <c r="Q1045" s="173" t="s">
        <v>583</v>
      </c>
      <c r="R1045" s="173" t="s">
        <v>230</v>
      </c>
      <c r="S1045" s="174">
        <v>44593</v>
      </c>
      <c r="T1045" s="173" t="s">
        <v>33</v>
      </c>
      <c r="U1045" s="182">
        <v>50.117073170731715</v>
      </c>
      <c r="V1045" s="177">
        <f>IF(U1045=0,0,IF(T1045="MXN",1/HLOOKUP(YEAR(S1045)+(MONTH(S1045)/100),TC!$5:$37,DAY(S1045)+2,FALSE),VLOOKUP(T1045,Equivalencia!$1:$23,((MAX(Equivalencia!$3:$3)-YEAR(S1045))*14)+MONTH(S1045)+2,FALSE)))</f>
        <v>1</v>
      </c>
      <c r="W1045" s="178">
        <f t="shared" si="168"/>
        <v>50.117073170731715</v>
      </c>
      <c r="X1045" s="481">
        <f t="shared" si="169"/>
        <v>-21.966456241033001</v>
      </c>
      <c r="Y1045" s="179"/>
      <c r="Z1045" s="466">
        <f t="shared" si="170"/>
        <v>73.107115529411772</v>
      </c>
      <c r="AA1045" s="473">
        <f t="shared" si="171"/>
        <v>-22.990042358680057</v>
      </c>
      <c r="AB1045" s="339">
        <f t="shared" si="172"/>
        <v>-0.30473613626149476</v>
      </c>
    </row>
    <row r="1046" spans="2:28" ht="20.100000000000001" customHeight="1">
      <c r="B1046" s="172">
        <v>1427200</v>
      </c>
      <c r="C1046" s="174">
        <v>44564</v>
      </c>
      <c r="D1046" s="181" t="s">
        <v>437</v>
      </c>
      <c r="E1046" s="173" t="s">
        <v>33</v>
      </c>
      <c r="F1046" s="176">
        <v>32.9</v>
      </c>
      <c r="G1046" s="175">
        <f t="shared" si="163"/>
        <v>1</v>
      </c>
      <c r="H1046" s="175">
        <f t="shared" si="164"/>
        <v>32.9</v>
      </c>
      <c r="I1046" s="177">
        <f>IF(G1046=0,0,IF(E1046="MXN",1/HLOOKUP(YEAR(C1046)+(MONTH(C1046)/100),TC!$5:$37,DAY(C1046)+2,FALSE),VLOOKUP(E1046,Equivalencia!$5:$23,((MAX(Equivalencia!$3:$3)-YEAR(C1046))*14)+MONTH(C1046)+2,FALSE)))</f>
        <v>1</v>
      </c>
      <c r="J1046" s="178">
        <f t="shared" si="165"/>
        <v>32.9</v>
      </c>
      <c r="K1046" s="462">
        <f>IF(C1046=0,0,VLOOKUP(YEAR(C1046),INPC!$B$4:$O$29,MONTH(C1046)+1))</f>
        <v>118.002</v>
      </c>
      <c r="L1046" s="462">
        <f>IF(S1046=0,0,VLOOKUP(YEAR(S1046),INPC!$B$4:$O$29,MONTH(S1046)+1))</f>
        <v>118.98099999999999</v>
      </c>
      <c r="M1046" s="463">
        <f t="shared" si="166"/>
        <v>1.0082</v>
      </c>
      <c r="N1046" s="465">
        <f t="shared" si="167"/>
        <v>33.169779999999996</v>
      </c>
      <c r="O1046" s="179"/>
      <c r="P1046" s="180">
        <v>1</v>
      </c>
      <c r="Q1046" s="173" t="s">
        <v>583</v>
      </c>
      <c r="R1046" s="173" t="s">
        <v>230</v>
      </c>
      <c r="S1046" s="174">
        <v>44593</v>
      </c>
      <c r="T1046" s="173" t="s">
        <v>33</v>
      </c>
      <c r="U1046" s="182">
        <v>25.058536585365857</v>
      </c>
      <c r="V1046" s="177">
        <f>IF(U1046=0,0,IF(T1046="MXN",1/HLOOKUP(YEAR(S1046)+(MONTH(S1046)/100),TC!$5:$37,DAY(S1046)+2,FALSE),VLOOKUP(T1046,Equivalencia!$1:$23,((MAX(Equivalencia!$3:$3)-YEAR(S1046))*14)+MONTH(S1046)+2,FALSE)))</f>
        <v>1</v>
      </c>
      <c r="W1046" s="178">
        <f t="shared" si="168"/>
        <v>25.058536585365857</v>
      </c>
      <c r="X1046" s="481">
        <f t="shared" si="169"/>
        <v>-7.8414634146341413</v>
      </c>
      <c r="Y1046" s="179"/>
      <c r="Z1046" s="466">
        <f t="shared" si="170"/>
        <v>33.169779999999996</v>
      </c>
      <c r="AA1046" s="473">
        <f t="shared" si="171"/>
        <v>-8.1112434146341386</v>
      </c>
      <c r="AB1046" s="339">
        <f t="shared" si="172"/>
        <v>-0.23834235302839335</v>
      </c>
    </row>
    <row r="1047" spans="2:28" ht="20.100000000000001" customHeight="1">
      <c r="B1047" s="172">
        <v>1427200</v>
      </c>
      <c r="C1047" s="174">
        <v>44564</v>
      </c>
      <c r="D1047" s="181" t="s">
        <v>437</v>
      </c>
      <c r="E1047" s="173" t="s">
        <v>33</v>
      </c>
      <c r="F1047" s="176">
        <v>99.14</v>
      </c>
      <c r="G1047" s="175">
        <f t="shared" si="163"/>
        <v>3</v>
      </c>
      <c r="H1047" s="175">
        <f t="shared" si="164"/>
        <v>99.14</v>
      </c>
      <c r="I1047" s="177">
        <f>IF(G1047=0,0,IF(E1047="MXN",1/HLOOKUP(YEAR(C1047)+(MONTH(C1047)/100),TC!$5:$37,DAY(C1047)+2,FALSE),VLOOKUP(E1047,Equivalencia!$5:$23,((MAX(Equivalencia!$3:$3)-YEAR(C1047))*14)+MONTH(C1047)+2,FALSE)))</f>
        <v>1</v>
      </c>
      <c r="J1047" s="178">
        <f t="shared" si="165"/>
        <v>99.14</v>
      </c>
      <c r="K1047" s="462">
        <f>IF(C1047=0,0,VLOOKUP(YEAR(C1047),INPC!$B$4:$O$29,MONTH(C1047)+1))</f>
        <v>118.002</v>
      </c>
      <c r="L1047" s="462">
        <f>IF(S1047=0,0,VLOOKUP(YEAR(S1047),INPC!$B$4:$O$29,MONTH(S1047)+1))</f>
        <v>118.98099999999999</v>
      </c>
      <c r="M1047" s="463">
        <f t="shared" si="166"/>
        <v>1.0082</v>
      </c>
      <c r="N1047" s="465">
        <f t="shared" si="167"/>
        <v>99.952947999999992</v>
      </c>
      <c r="O1047" s="179"/>
      <c r="P1047" s="180">
        <v>3</v>
      </c>
      <c r="Q1047" s="173" t="s">
        <v>583</v>
      </c>
      <c r="R1047" s="173" t="s">
        <v>230</v>
      </c>
      <c r="S1047" s="174">
        <v>44593</v>
      </c>
      <c r="T1047" s="173" t="s">
        <v>33</v>
      </c>
      <c r="U1047" s="182">
        <v>75.175609756097572</v>
      </c>
      <c r="V1047" s="177">
        <f>IF(U1047=0,0,IF(T1047="MXN",1/HLOOKUP(YEAR(S1047)+(MONTH(S1047)/100),TC!$5:$37,DAY(S1047)+2,FALSE),VLOOKUP(T1047,Equivalencia!$1:$23,((MAX(Equivalencia!$3:$3)-YEAR(S1047))*14)+MONTH(S1047)+2,FALSE)))</f>
        <v>1</v>
      </c>
      <c r="W1047" s="178">
        <f t="shared" si="168"/>
        <v>75.175609756097572</v>
      </c>
      <c r="X1047" s="481">
        <f t="shared" si="169"/>
        <v>-23.964390243902429</v>
      </c>
      <c r="Y1047" s="179"/>
      <c r="Z1047" s="466">
        <f t="shared" si="170"/>
        <v>99.952947999999992</v>
      </c>
      <c r="AA1047" s="473">
        <f t="shared" si="171"/>
        <v>-24.77733824390242</v>
      </c>
      <c r="AB1047" s="339">
        <f t="shared" si="172"/>
        <v>-0.24172271781220933</v>
      </c>
    </row>
    <row r="1048" spans="2:28" ht="20.100000000000001" customHeight="1">
      <c r="B1048" s="172">
        <v>1427200</v>
      </c>
      <c r="C1048" s="174">
        <v>44564</v>
      </c>
      <c r="D1048" s="181" t="s">
        <v>437</v>
      </c>
      <c r="E1048" s="173" t="s">
        <v>33</v>
      </c>
      <c r="F1048" s="176">
        <v>165.07</v>
      </c>
      <c r="G1048" s="175">
        <f t="shared" si="163"/>
        <v>5</v>
      </c>
      <c r="H1048" s="175">
        <f t="shared" si="164"/>
        <v>165.07</v>
      </c>
      <c r="I1048" s="177">
        <f>IF(G1048=0,0,IF(E1048="MXN",1/HLOOKUP(YEAR(C1048)+(MONTH(C1048)/100),TC!$5:$37,DAY(C1048)+2,FALSE),VLOOKUP(E1048,Equivalencia!$5:$23,((MAX(Equivalencia!$3:$3)-YEAR(C1048))*14)+MONTH(C1048)+2,FALSE)))</f>
        <v>1</v>
      </c>
      <c r="J1048" s="178">
        <f t="shared" si="165"/>
        <v>165.07</v>
      </c>
      <c r="K1048" s="462">
        <f>IF(C1048=0,0,VLOOKUP(YEAR(C1048),INPC!$B$4:$O$29,MONTH(C1048)+1))</f>
        <v>118.002</v>
      </c>
      <c r="L1048" s="462">
        <f>IF(S1048=0,0,VLOOKUP(YEAR(S1048),INPC!$B$4:$O$29,MONTH(S1048)+1))</f>
        <v>118.98099999999999</v>
      </c>
      <c r="M1048" s="463">
        <f t="shared" si="166"/>
        <v>1.0082</v>
      </c>
      <c r="N1048" s="465">
        <f t="shared" si="167"/>
        <v>166.423574</v>
      </c>
      <c r="O1048" s="179"/>
      <c r="P1048" s="180">
        <v>5</v>
      </c>
      <c r="Q1048" s="173" t="s">
        <v>583</v>
      </c>
      <c r="R1048" s="173" t="s">
        <v>230</v>
      </c>
      <c r="S1048" s="174">
        <v>44593</v>
      </c>
      <c r="T1048" s="173" t="s">
        <v>33</v>
      </c>
      <c r="U1048" s="182">
        <v>125.29268292682929</v>
      </c>
      <c r="V1048" s="177">
        <f>IF(U1048=0,0,IF(T1048="MXN",1/HLOOKUP(YEAR(S1048)+(MONTH(S1048)/100),TC!$5:$37,DAY(S1048)+2,FALSE),VLOOKUP(T1048,Equivalencia!$1:$23,((MAX(Equivalencia!$3:$3)-YEAR(S1048))*14)+MONTH(S1048)+2,FALSE)))</f>
        <v>1</v>
      </c>
      <c r="W1048" s="178">
        <f t="shared" si="168"/>
        <v>125.29268292682929</v>
      </c>
      <c r="X1048" s="481">
        <f t="shared" si="169"/>
        <v>-39.777317073170707</v>
      </c>
      <c r="Y1048" s="179"/>
      <c r="Z1048" s="466">
        <f t="shared" si="170"/>
        <v>166.423574</v>
      </c>
      <c r="AA1048" s="473">
        <f t="shared" si="171"/>
        <v>-41.130891073170716</v>
      </c>
      <c r="AB1048" s="339">
        <f t="shared" si="172"/>
        <v>-0.24097241820543225</v>
      </c>
    </row>
    <row r="1049" spans="2:28" ht="20.100000000000001" customHeight="1">
      <c r="B1049" s="172">
        <v>1427200</v>
      </c>
      <c r="C1049" s="174">
        <v>44564</v>
      </c>
      <c r="D1049" s="181" t="s">
        <v>437</v>
      </c>
      <c r="E1049" s="173" t="s">
        <v>33</v>
      </c>
      <c r="F1049" s="176">
        <v>230.72</v>
      </c>
      <c r="G1049" s="175">
        <f t="shared" si="163"/>
        <v>7</v>
      </c>
      <c r="H1049" s="175">
        <f t="shared" si="164"/>
        <v>230.72</v>
      </c>
      <c r="I1049" s="177">
        <f>IF(G1049=0,0,IF(E1049="MXN",1/HLOOKUP(YEAR(C1049)+(MONTH(C1049)/100),TC!$5:$37,DAY(C1049)+2,FALSE),VLOOKUP(E1049,Equivalencia!$5:$23,((MAX(Equivalencia!$3:$3)-YEAR(C1049))*14)+MONTH(C1049)+2,FALSE)))</f>
        <v>1</v>
      </c>
      <c r="J1049" s="178">
        <f t="shared" si="165"/>
        <v>230.72</v>
      </c>
      <c r="K1049" s="462">
        <f>IF(C1049=0,0,VLOOKUP(YEAR(C1049),INPC!$B$4:$O$29,MONTH(C1049)+1))</f>
        <v>118.002</v>
      </c>
      <c r="L1049" s="462">
        <f>IF(S1049=0,0,VLOOKUP(YEAR(S1049),INPC!$B$4:$O$29,MONTH(S1049)+1))</f>
        <v>118.98099999999999</v>
      </c>
      <c r="M1049" s="463">
        <f t="shared" si="166"/>
        <v>1.0082</v>
      </c>
      <c r="N1049" s="465">
        <f t="shared" si="167"/>
        <v>232.61190399999998</v>
      </c>
      <c r="O1049" s="179"/>
      <c r="P1049" s="180">
        <v>7</v>
      </c>
      <c r="Q1049" s="173" t="s">
        <v>583</v>
      </c>
      <c r="R1049" s="173" t="s">
        <v>230</v>
      </c>
      <c r="S1049" s="174">
        <v>44593</v>
      </c>
      <c r="T1049" s="173" t="s">
        <v>33</v>
      </c>
      <c r="U1049" s="182">
        <v>175.409756097561</v>
      </c>
      <c r="V1049" s="177">
        <f>IF(U1049=0,0,IF(T1049="MXN",1/HLOOKUP(YEAR(S1049)+(MONTH(S1049)/100),TC!$5:$37,DAY(S1049)+2,FALSE),VLOOKUP(T1049,Equivalencia!$1:$23,((MAX(Equivalencia!$3:$3)-YEAR(S1049))*14)+MONTH(S1049)+2,FALSE)))</f>
        <v>1</v>
      </c>
      <c r="W1049" s="178">
        <f t="shared" si="168"/>
        <v>175.409756097561</v>
      </c>
      <c r="X1049" s="481">
        <f t="shared" si="169"/>
        <v>-55.310243902438998</v>
      </c>
      <c r="Y1049" s="179"/>
      <c r="Z1049" s="466">
        <f t="shared" si="170"/>
        <v>232.61190399999998</v>
      </c>
      <c r="AA1049" s="473">
        <f t="shared" si="171"/>
        <v>-57.202147902438981</v>
      </c>
      <c r="AB1049" s="339">
        <f t="shared" si="172"/>
        <v>-0.2397288657352592</v>
      </c>
    </row>
    <row r="1050" spans="2:28" ht="20.100000000000001" customHeight="1">
      <c r="B1050" s="172">
        <v>1427200</v>
      </c>
      <c r="C1050" s="174">
        <v>44564</v>
      </c>
      <c r="D1050" s="181" t="s">
        <v>437</v>
      </c>
      <c r="E1050" s="173" t="s">
        <v>33</v>
      </c>
      <c r="F1050" s="176">
        <v>32.85</v>
      </c>
      <c r="G1050" s="175">
        <f t="shared" si="163"/>
        <v>1</v>
      </c>
      <c r="H1050" s="175">
        <f t="shared" si="164"/>
        <v>32.85</v>
      </c>
      <c r="I1050" s="177">
        <f>IF(G1050=0,0,IF(E1050="MXN",1/HLOOKUP(YEAR(C1050)+(MONTH(C1050)/100),TC!$5:$37,DAY(C1050)+2,FALSE),VLOOKUP(E1050,Equivalencia!$5:$23,((MAX(Equivalencia!$3:$3)-YEAR(C1050))*14)+MONTH(C1050)+2,FALSE)))</f>
        <v>1</v>
      </c>
      <c r="J1050" s="178">
        <f t="shared" si="165"/>
        <v>32.85</v>
      </c>
      <c r="K1050" s="462">
        <f>IF(C1050=0,0,VLOOKUP(YEAR(C1050),INPC!$B$4:$O$29,MONTH(C1050)+1))</f>
        <v>118.002</v>
      </c>
      <c r="L1050" s="462">
        <f>IF(S1050=0,0,VLOOKUP(YEAR(S1050),INPC!$B$4:$O$29,MONTH(S1050)+1))</f>
        <v>118.98099999999999</v>
      </c>
      <c r="M1050" s="463">
        <f t="shared" si="166"/>
        <v>1.0082</v>
      </c>
      <c r="N1050" s="465">
        <f t="shared" si="167"/>
        <v>33.119370000000004</v>
      </c>
      <c r="O1050" s="179"/>
      <c r="P1050" s="180">
        <v>1</v>
      </c>
      <c r="Q1050" s="173" t="s">
        <v>583</v>
      </c>
      <c r="R1050" s="173" t="s">
        <v>230</v>
      </c>
      <c r="S1050" s="174">
        <v>44593</v>
      </c>
      <c r="T1050" s="173" t="s">
        <v>33</v>
      </c>
      <c r="U1050" s="182">
        <v>25.058536585365857</v>
      </c>
      <c r="V1050" s="177">
        <f>IF(U1050=0,0,IF(T1050="MXN",1/HLOOKUP(YEAR(S1050)+(MONTH(S1050)/100),TC!$5:$37,DAY(S1050)+2,FALSE),VLOOKUP(T1050,Equivalencia!$1:$23,((MAX(Equivalencia!$3:$3)-YEAR(S1050))*14)+MONTH(S1050)+2,FALSE)))</f>
        <v>1</v>
      </c>
      <c r="W1050" s="178">
        <f t="shared" si="168"/>
        <v>25.058536585365857</v>
      </c>
      <c r="X1050" s="481">
        <f t="shared" si="169"/>
        <v>-7.7914634146341442</v>
      </c>
      <c r="Y1050" s="179"/>
      <c r="Z1050" s="466">
        <f t="shared" si="170"/>
        <v>33.119370000000004</v>
      </c>
      <c r="AA1050" s="473">
        <f t="shared" si="171"/>
        <v>-8.0608334146341463</v>
      </c>
      <c r="AB1050" s="339">
        <f t="shared" si="172"/>
        <v>-0.23718305676207441</v>
      </c>
    </row>
    <row r="1051" spans="2:28" ht="20.100000000000001" customHeight="1">
      <c r="B1051" s="172">
        <v>1427200</v>
      </c>
      <c r="C1051" s="174">
        <v>44564</v>
      </c>
      <c r="D1051" s="181" t="s">
        <v>437</v>
      </c>
      <c r="E1051" s="173" t="s">
        <v>33</v>
      </c>
      <c r="F1051" s="176">
        <v>98.69</v>
      </c>
      <c r="G1051" s="175">
        <f t="shared" si="163"/>
        <v>3</v>
      </c>
      <c r="H1051" s="175">
        <f t="shared" si="164"/>
        <v>98.69</v>
      </c>
      <c r="I1051" s="177">
        <f>IF(G1051=0,0,IF(E1051="MXN",1/HLOOKUP(YEAR(C1051)+(MONTH(C1051)/100),TC!$5:$37,DAY(C1051)+2,FALSE),VLOOKUP(E1051,Equivalencia!$5:$23,((MAX(Equivalencia!$3:$3)-YEAR(C1051))*14)+MONTH(C1051)+2,FALSE)))</f>
        <v>1</v>
      </c>
      <c r="J1051" s="178">
        <f t="shared" si="165"/>
        <v>98.69</v>
      </c>
      <c r="K1051" s="462">
        <f>IF(C1051=0,0,VLOOKUP(YEAR(C1051),INPC!$B$4:$O$29,MONTH(C1051)+1))</f>
        <v>118.002</v>
      </c>
      <c r="L1051" s="462">
        <f>IF(S1051=0,0,VLOOKUP(YEAR(S1051),INPC!$B$4:$O$29,MONTH(S1051)+1))</f>
        <v>118.98099999999999</v>
      </c>
      <c r="M1051" s="463">
        <f t="shared" si="166"/>
        <v>1.0082</v>
      </c>
      <c r="N1051" s="465">
        <f t="shared" si="167"/>
        <v>99.499257999999998</v>
      </c>
      <c r="O1051" s="179"/>
      <c r="P1051" s="180">
        <v>3</v>
      </c>
      <c r="Q1051" s="173" t="s">
        <v>583</v>
      </c>
      <c r="R1051" s="173" t="s">
        <v>230</v>
      </c>
      <c r="S1051" s="174">
        <v>44593</v>
      </c>
      <c r="T1051" s="173" t="s">
        <v>33</v>
      </c>
      <c r="U1051" s="182">
        <v>75.175609756097572</v>
      </c>
      <c r="V1051" s="177">
        <f>IF(U1051=0,0,IF(T1051="MXN",1/HLOOKUP(YEAR(S1051)+(MONTH(S1051)/100),TC!$5:$37,DAY(S1051)+2,FALSE),VLOOKUP(T1051,Equivalencia!$1:$23,((MAX(Equivalencia!$3:$3)-YEAR(S1051))*14)+MONTH(S1051)+2,FALSE)))</f>
        <v>1</v>
      </c>
      <c r="W1051" s="178">
        <f t="shared" si="168"/>
        <v>75.175609756097572</v>
      </c>
      <c r="X1051" s="481">
        <f t="shared" si="169"/>
        <v>-23.514390243902426</v>
      </c>
      <c r="Y1051" s="179"/>
      <c r="Z1051" s="466">
        <f t="shared" si="170"/>
        <v>99.499257999999998</v>
      </c>
      <c r="AA1051" s="473">
        <f t="shared" si="171"/>
        <v>-24.323648243902426</v>
      </c>
      <c r="AB1051" s="339">
        <f t="shared" si="172"/>
        <v>-0.23826517624787136</v>
      </c>
    </row>
    <row r="1052" spans="2:28" ht="20.100000000000001" customHeight="1">
      <c r="B1052" s="172">
        <v>1427200</v>
      </c>
      <c r="C1052" s="174">
        <v>44573</v>
      </c>
      <c r="D1052" s="181" t="s">
        <v>437</v>
      </c>
      <c r="E1052" s="173" t="s">
        <v>33</v>
      </c>
      <c r="F1052" s="176">
        <v>28.88</v>
      </c>
      <c r="G1052" s="175">
        <f t="shared" si="163"/>
        <v>1</v>
      </c>
      <c r="H1052" s="175">
        <f t="shared" si="164"/>
        <v>28.88</v>
      </c>
      <c r="I1052" s="177">
        <f>IF(G1052=0,0,IF(E1052="MXN",1/HLOOKUP(YEAR(C1052)+(MONTH(C1052)/100),TC!$5:$37,DAY(C1052)+2,FALSE),VLOOKUP(E1052,Equivalencia!$5:$23,((MAX(Equivalencia!$3:$3)-YEAR(C1052))*14)+MONTH(C1052)+2,FALSE)))</f>
        <v>1</v>
      </c>
      <c r="J1052" s="178">
        <f t="shared" si="165"/>
        <v>28.88</v>
      </c>
      <c r="K1052" s="462">
        <f>IF(C1052=0,0,VLOOKUP(YEAR(C1052),INPC!$B$4:$O$29,MONTH(C1052)+1))</f>
        <v>118.002</v>
      </c>
      <c r="L1052" s="462">
        <f>IF(S1052=0,0,VLOOKUP(YEAR(S1052),INPC!$B$4:$O$29,MONTH(S1052)+1))</f>
        <v>118.98099999999999</v>
      </c>
      <c r="M1052" s="463">
        <f t="shared" si="166"/>
        <v>1.0082</v>
      </c>
      <c r="N1052" s="465">
        <f t="shared" si="167"/>
        <v>29.116816</v>
      </c>
      <c r="O1052" s="179"/>
      <c r="P1052" s="180">
        <v>1</v>
      </c>
      <c r="Q1052" s="173" t="s">
        <v>583</v>
      </c>
      <c r="R1052" s="173" t="s">
        <v>230</v>
      </c>
      <c r="S1052" s="174">
        <v>44593</v>
      </c>
      <c r="T1052" s="173" t="s">
        <v>33</v>
      </c>
      <c r="U1052" s="182">
        <v>25.058536585365857</v>
      </c>
      <c r="V1052" s="177">
        <f>IF(U1052=0,0,IF(T1052="MXN",1/HLOOKUP(YEAR(S1052)+(MONTH(S1052)/100),TC!$5:$37,DAY(S1052)+2,FALSE),VLOOKUP(T1052,Equivalencia!$1:$23,((MAX(Equivalencia!$3:$3)-YEAR(S1052))*14)+MONTH(S1052)+2,FALSE)))</f>
        <v>1</v>
      </c>
      <c r="W1052" s="178">
        <f t="shared" si="168"/>
        <v>25.058536585365857</v>
      </c>
      <c r="X1052" s="481">
        <f t="shared" si="169"/>
        <v>-3.8214634146341417</v>
      </c>
      <c r="Y1052" s="179"/>
      <c r="Z1052" s="466">
        <f t="shared" si="170"/>
        <v>29.116816</v>
      </c>
      <c r="AA1052" s="473">
        <f t="shared" si="171"/>
        <v>-4.0582794146341428</v>
      </c>
      <c r="AB1052" s="339">
        <f t="shared" si="172"/>
        <v>-0.13232214039591905</v>
      </c>
    </row>
    <row r="1053" spans="2:28" ht="20.100000000000001" customHeight="1">
      <c r="B1053" s="172">
        <v>1427200</v>
      </c>
      <c r="C1053" s="174">
        <v>44573</v>
      </c>
      <c r="D1053" s="181" t="s">
        <v>437</v>
      </c>
      <c r="E1053" s="173" t="s">
        <v>33</v>
      </c>
      <c r="F1053" s="176">
        <v>56.84</v>
      </c>
      <c r="G1053" s="175">
        <f t="shared" si="163"/>
        <v>2</v>
      </c>
      <c r="H1053" s="175">
        <f t="shared" si="164"/>
        <v>56.84</v>
      </c>
      <c r="I1053" s="177">
        <f>IF(G1053=0,0,IF(E1053="MXN",1/HLOOKUP(YEAR(C1053)+(MONTH(C1053)/100),TC!$5:$37,DAY(C1053)+2,FALSE),VLOOKUP(E1053,Equivalencia!$5:$23,((MAX(Equivalencia!$3:$3)-YEAR(C1053))*14)+MONTH(C1053)+2,FALSE)))</f>
        <v>1</v>
      </c>
      <c r="J1053" s="178">
        <f t="shared" si="165"/>
        <v>56.84</v>
      </c>
      <c r="K1053" s="462">
        <f>IF(C1053=0,0,VLOOKUP(YEAR(C1053),INPC!$B$4:$O$29,MONTH(C1053)+1))</f>
        <v>118.002</v>
      </c>
      <c r="L1053" s="462">
        <f>IF(S1053=0,0,VLOOKUP(YEAR(S1053),INPC!$B$4:$O$29,MONTH(S1053)+1))</f>
        <v>118.98099999999999</v>
      </c>
      <c r="M1053" s="463">
        <f t="shared" si="166"/>
        <v>1.0082</v>
      </c>
      <c r="N1053" s="465">
        <f t="shared" si="167"/>
        <v>57.306088000000003</v>
      </c>
      <c r="O1053" s="179"/>
      <c r="P1053" s="180">
        <v>2</v>
      </c>
      <c r="Q1053" s="173" t="s">
        <v>583</v>
      </c>
      <c r="R1053" s="173" t="s">
        <v>230</v>
      </c>
      <c r="S1053" s="174">
        <v>44593</v>
      </c>
      <c r="T1053" s="173" t="s">
        <v>33</v>
      </c>
      <c r="U1053" s="182">
        <v>50.117073170731715</v>
      </c>
      <c r="V1053" s="177">
        <f>IF(U1053=0,0,IF(T1053="MXN",1/HLOOKUP(YEAR(S1053)+(MONTH(S1053)/100),TC!$5:$37,DAY(S1053)+2,FALSE),VLOOKUP(T1053,Equivalencia!$1:$23,((MAX(Equivalencia!$3:$3)-YEAR(S1053))*14)+MONTH(S1053)+2,FALSE)))</f>
        <v>1</v>
      </c>
      <c r="W1053" s="178">
        <f t="shared" si="168"/>
        <v>50.117073170731715</v>
      </c>
      <c r="X1053" s="481">
        <f t="shared" si="169"/>
        <v>-6.7229268292682889</v>
      </c>
      <c r="Y1053" s="179"/>
      <c r="Z1053" s="466">
        <f t="shared" si="170"/>
        <v>57.306088000000003</v>
      </c>
      <c r="AA1053" s="473">
        <f t="shared" si="171"/>
        <v>-7.1890148292682881</v>
      </c>
      <c r="AB1053" s="339">
        <f t="shared" si="172"/>
        <v>-0.11827809340725348</v>
      </c>
    </row>
    <row r="1054" spans="2:28" ht="20.100000000000001" customHeight="1">
      <c r="B1054" s="172">
        <v>1427200</v>
      </c>
      <c r="C1054" s="174">
        <v>44573</v>
      </c>
      <c r="D1054" s="181" t="s">
        <v>437</v>
      </c>
      <c r="E1054" s="173" t="s">
        <v>33</v>
      </c>
      <c r="F1054" s="176">
        <v>112.65</v>
      </c>
      <c r="G1054" s="175">
        <f t="shared" si="163"/>
        <v>4</v>
      </c>
      <c r="H1054" s="175">
        <f t="shared" si="164"/>
        <v>112.65</v>
      </c>
      <c r="I1054" s="177">
        <f>IF(G1054=0,0,IF(E1054="MXN",1/HLOOKUP(YEAR(C1054)+(MONTH(C1054)/100),TC!$5:$37,DAY(C1054)+2,FALSE),VLOOKUP(E1054,Equivalencia!$5:$23,((MAX(Equivalencia!$3:$3)-YEAR(C1054))*14)+MONTH(C1054)+2,FALSE)))</f>
        <v>1</v>
      </c>
      <c r="J1054" s="178">
        <f t="shared" si="165"/>
        <v>112.65</v>
      </c>
      <c r="K1054" s="462">
        <f>IF(C1054=0,0,VLOOKUP(YEAR(C1054),INPC!$B$4:$O$29,MONTH(C1054)+1))</f>
        <v>118.002</v>
      </c>
      <c r="L1054" s="462">
        <f>IF(S1054=0,0,VLOOKUP(YEAR(S1054),INPC!$B$4:$O$29,MONTH(S1054)+1))</f>
        <v>118.98099999999999</v>
      </c>
      <c r="M1054" s="463">
        <f t="shared" si="166"/>
        <v>1.0082</v>
      </c>
      <c r="N1054" s="465">
        <f t="shared" si="167"/>
        <v>113.57373</v>
      </c>
      <c r="O1054" s="179"/>
      <c r="P1054" s="180">
        <v>4</v>
      </c>
      <c r="Q1054" s="173" t="s">
        <v>583</v>
      </c>
      <c r="R1054" s="173" t="s">
        <v>230</v>
      </c>
      <c r="S1054" s="174">
        <v>44593</v>
      </c>
      <c r="T1054" s="173" t="s">
        <v>33</v>
      </c>
      <c r="U1054" s="182">
        <v>100.23414634146343</v>
      </c>
      <c r="V1054" s="177">
        <f>IF(U1054=0,0,IF(T1054="MXN",1/HLOOKUP(YEAR(S1054)+(MONTH(S1054)/100),TC!$5:$37,DAY(S1054)+2,FALSE),VLOOKUP(T1054,Equivalencia!$1:$23,((MAX(Equivalencia!$3:$3)-YEAR(S1054))*14)+MONTH(S1054)+2,FALSE)))</f>
        <v>1</v>
      </c>
      <c r="W1054" s="178">
        <f t="shared" si="168"/>
        <v>100.23414634146343</v>
      </c>
      <c r="X1054" s="481">
        <f t="shared" si="169"/>
        <v>-12.415853658536577</v>
      </c>
      <c r="Y1054" s="179"/>
      <c r="Z1054" s="466">
        <f t="shared" si="170"/>
        <v>113.57373</v>
      </c>
      <c r="AA1054" s="473">
        <f t="shared" si="171"/>
        <v>-13.339583658536569</v>
      </c>
      <c r="AB1054" s="339">
        <f t="shared" si="172"/>
        <v>-0.11021618871315197</v>
      </c>
    </row>
    <row r="1055" spans="2:28" ht="20.100000000000001" customHeight="1">
      <c r="B1055" s="172">
        <v>1427200</v>
      </c>
      <c r="C1055" s="174">
        <v>44573</v>
      </c>
      <c r="D1055" s="181" t="s">
        <v>437</v>
      </c>
      <c r="E1055" s="173" t="s">
        <v>33</v>
      </c>
      <c r="F1055" s="176">
        <v>205.11</v>
      </c>
      <c r="G1055" s="175">
        <f t="shared" si="163"/>
        <v>7</v>
      </c>
      <c r="H1055" s="175">
        <f t="shared" si="164"/>
        <v>205.11</v>
      </c>
      <c r="I1055" s="177">
        <f>IF(G1055=0,0,IF(E1055="MXN",1/HLOOKUP(YEAR(C1055)+(MONTH(C1055)/100),TC!$5:$37,DAY(C1055)+2,FALSE),VLOOKUP(E1055,Equivalencia!$5:$23,((MAX(Equivalencia!$3:$3)-YEAR(C1055))*14)+MONTH(C1055)+2,FALSE)))</f>
        <v>1</v>
      </c>
      <c r="J1055" s="178">
        <f t="shared" si="165"/>
        <v>205.11</v>
      </c>
      <c r="K1055" s="462">
        <f>IF(C1055=0,0,VLOOKUP(YEAR(C1055),INPC!$B$4:$O$29,MONTH(C1055)+1))</f>
        <v>118.002</v>
      </c>
      <c r="L1055" s="462">
        <f>IF(S1055=0,0,VLOOKUP(YEAR(S1055),INPC!$B$4:$O$29,MONTH(S1055)+1))</f>
        <v>118.98099999999999</v>
      </c>
      <c r="M1055" s="463">
        <f t="shared" si="166"/>
        <v>1.0082</v>
      </c>
      <c r="N1055" s="465">
        <f t="shared" si="167"/>
        <v>206.79190200000002</v>
      </c>
      <c r="O1055" s="179"/>
      <c r="P1055" s="180">
        <v>7</v>
      </c>
      <c r="Q1055" s="173" t="s">
        <v>583</v>
      </c>
      <c r="R1055" s="173" t="s">
        <v>230</v>
      </c>
      <c r="S1055" s="174">
        <v>44593</v>
      </c>
      <c r="T1055" s="173" t="s">
        <v>33</v>
      </c>
      <c r="U1055" s="182">
        <v>175.409756097561</v>
      </c>
      <c r="V1055" s="177">
        <f>IF(U1055=0,0,IF(T1055="MXN",1/HLOOKUP(YEAR(S1055)+(MONTH(S1055)/100),TC!$5:$37,DAY(S1055)+2,FALSE),VLOOKUP(T1055,Equivalencia!$1:$23,((MAX(Equivalencia!$3:$3)-YEAR(S1055))*14)+MONTH(S1055)+2,FALSE)))</f>
        <v>1</v>
      </c>
      <c r="W1055" s="178">
        <f t="shared" si="168"/>
        <v>175.409756097561</v>
      </c>
      <c r="X1055" s="481">
        <f t="shared" si="169"/>
        <v>-29.700243902439013</v>
      </c>
      <c r="Y1055" s="179"/>
      <c r="Z1055" s="466">
        <f t="shared" si="170"/>
        <v>206.79190200000002</v>
      </c>
      <c r="AA1055" s="473">
        <f t="shared" si="171"/>
        <v>-31.382145902439021</v>
      </c>
      <c r="AB1055" s="339">
        <f t="shared" si="172"/>
        <v>-0.14480154016107949</v>
      </c>
    </row>
    <row r="1056" spans="2:28" ht="20.100000000000001" customHeight="1">
      <c r="B1056" s="172">
        <v>1427200</v>
      </c>
      <c r="C1056" s="174">
        <v>44574</v>
      </c>
      <c r="D1056" s="181" t="s">
        <v>437</v>
      </c>
      <c r="E1056" s="173" t="s">
        <v>33</v>
      </c>
      <c r="F1056" s="176">
        <v>140.93333333333334</v>
      </c>
      <c r="G1056" s="175">
        <f t="shared" si="163"/>
        <v>5</v>
      </c>
      <c r="H1056" s="175">
        <f t="shared" si="164"/>
        <v>140.93333333333334</v>
      </c>
      <c r="I1056" s="177">
        <f>IF(G1056=0,0,IF(E1056="MXN",1/HLOOKUP(YEAR(C1056)+(MONTH(C1056)/100),TC!$5:$37,DAY(C1056)+2,FALSE),VLOOKUP(E1056,Equivalencia!$5:$23,((MAX(Equivalencia!$3:$3)-YEAR(C1056))*14)+MONTH(C1056)+2,FALSE)))</f>
        <v>1</v>
      </c>
      <c r="J1056" s="178">
        <f t="shared" si="165"/>
        <v>140.93333333333334</v>
      </c>
      <c r="K1056" s="462">
        <f>IF(C1056=0,0,VLOOKUP(YEAR(C1056),INPC!$B$4:$O$29,MONTH(C1056)+1))</f>
        <v>118.002</v>
      </c>
      <c r="L1056" s="462">
        <f>IF(S1056=0,0,VLOOKUP(YEAR(S1056),INPC!$B$4:$O$29,MONTH(S1056)+1))</f>
        <v>118.98099999999999</v>
      </c>
      <c r="M1056" s="463">
        <f t="shared" si="166"/>
        <v>1.0082</v>
      </c>
      <c r="N1056" s="465">
        <f t="shared" si="167"/>
        <v>142.08898666666667</v>
      </c>
      <c r="O1056" s="179"/>
      <c r="P1056" s="180">
        <v>5</v>
      </c>
      <c r="Q1056" s="173" t="s">
        <v>583</v>
      </c>
      <c r="R1056" s="173" t="s">
        <v>230</v>
      </c>
      <c r="S1056" s="174">
        <v>44593</v>
      </c>
      <c r="T1056" s="173" t="s">
        <v>33</v>
      </c>
      <c r="U1056" s="182">
        <v>125.29268292682929</v>
      </c>
      <c r="V1056" s="177">
        <f>IF(U1056=0,0,IF(T1056="MXN",1/HLOOKUP(YEAR(S1056)+(MONTH(S1056)/100),TC!$5:$37,DAY(S1056)+2,FALSE),VLOOKUP(T1056,Equivalencia!$1:$23,((MAX(Equivalencia!$3:$3)-YEAR(S1056))*14)+MONTH(S1056)+2,FALSE)))</f>
        <v>1</v>
      </c>
      <c r="W1056" s="178">
        <f t="shared" si="168"/>
        <v>125.29268292682929</v>
      </c>
      <c r="X1056" s="481">
        <f t="shared" si="169"/>
        <v>-15.640650406504051</v>
      </c>
      <c r="Y1056" s="179"/>
      <c r="Z1056" s="466">
        <f t="shared" si="170"/>
        <v>142.08898666666667</v>
      </c>
      <c r="AA1056" s="473">
        <f t="shared" si="171"/>
        <v>-16.796303739837384</v>
      </c>
      <c r="AB1056" s="339">
        <f t="shared" si="172"/>
        <v>-0.11097907100168436</v>
      </c>
    </row>
    <row r="1057" spans="2:28" ht="20.100000000000001" customHeight="1">
      <c r="B1057" s="172">
        <v>1427200</v>
      </c>
      <c r="C1057" s="174">
        <v>44574</v>
      </c>
      <c r="D1057" s="181" t="s">
        <v>437</v>
      </c>
      <c r="E1057" s="173" t="s">
        <v>33</v>
      </c>
      <c r="F1057" s="176">
        <v>112.74666666666667</v>
      </c>
      <c r="G1057" s="175">
        <f t="shared" si="163"/>
        <v>4</v>
      </c>
      <c r="H1057" s="175">
        <f t="shared" si="164"/>
        <v>112.74666666666667</v>
      </c>
      <c r="I1057" s="177">
        <f>IF(G1057=0,0,IF(E1057="MXN",1/HLOOKUP(YEAR(C1057)+(MONTH(C1057)/100),TC!$5:$37,DAY(C1057)+2,FALSE),VLOOKUP(E1057,Equivalencia!$5:$23,((MAX(Equivalencia!$3:$3)-YEAR(C1057))*14)+MONTH(C1057)+2,FALSE)))</f>
        <v>1</v>
      </c>
      <c r="J1057" s="178">
        <f t="shared" si="165"/>
        <v>112.74666666666667</v>
      </c>
      <c r="K1057" s="462">
        <f>IF(C1057=0,0,VLOOKUP(YEAR(C1057),INPC!$B$4:$O$29,MONTH(C1057)+1))</f>
        <v>118.002</v>
      </c>
      <c r="L1057" s="462">
        <f>IF(S1057=0,0,VLOOKUP(YEAR(S1057),INPC!$B$4:$O$29,MONTH(S1057)+1))</f>
        <v>118.98099999999999</v>
      </c>
      <c r="M1057" s="463">
        <f t="shared" si="166"/>
        <v>1.0082</v>
      </c>
      <c r="N1057" s="465">
        <f t="shared" si="167"/>
        <v>113.67118933333333</v>
      </c>
      <c r="O1057" s="179"/>
      <c r="P1057" s="180">
        <v>4</v>
      </c>
      <c r="Q1057" s="173" t="s">
        <v>583</v>
      </c>
      <c r="R1057" s="173" t="s">
        <v>230</v>
      </c>
      <c r="S1057" s="174">
        <v>44593</v>
      </c>
      <c r="T1057" s="173" t="s">
        <v>33</v>
      </c>
      <c r="U1057" s="182">
        <v>98.36</v>
      </c>
      <c r="V1057" s="177">
        <f>IF(U1057=0,0,IF(T1057="MXN",1/HLOOKUP(YEAR(S1057)+(MONTH(S1057)/100),TC!$5:$37,DAY(S1057)+2,FALSE),VLOOKUP(T1057,Equivalencia!$1:$23,((MAX(Equivalencia!$3:$3)-YEAR(S1057))*14)+MONTH(S1057)+2,FALSE)))</f>
        <v>1</v>
      </c>
      <c r="W1057" s="178">
        <f t="shared" si="168"/>
        <v>98.36</v>
      </c>
      <c r="X1057" s="481">
        <f t="shared" si="169"/>
        <v>-14.38666666666667</v>
      </c>
      <c r="Y1057" s="179"/>
      <c r="Z1057" s="466">
        <f t="shared" si="170"/>
        <v>113.67118933333333</v>
      </c>
      <c r="AA1057" s="473">
        <f t="shared" si="171"/>
        <v>-15.311189333333331</v>
      </c>
      <c r="AB1057" s="339">
        <f t="shared" si="172"/>
        <v>-0.1276017029328288</v>
      </c>
    </row>
    <row r="1058" spans="2:28" ht="20.100000000000001" customHeight="1">
      <c r="B1058" s="172">
        <v>1427200</v>
      </c>
      <c r="C1058" s="174">
        <v>44574</v>
      </c>
      <c r="D1058" s="181" t="s">
        <v>437</v>
      </c>
      <c r="E1058" s="173" t="s">
        <v>33</v>
      </c>
      <c r="F1058" s="176">
        <v>28.29</v>
      </c>
      <c r="G1058" s="175">
        <f t="shared" si="163"/>
        <v>1</v>
      </c>
      <c r="H1058" s="175">
        <f t="shared" si="164"/>
        <v>28.29</v>
      </c>
      <c r="I1058" s="177">
        <f>IF(G1058=0,0,IF(E1058="MXN",1/HLOOKUP(YEAR(C1058)+(MONTH(C1058)/100),TC!$5:$37,DAY(C1058)+2,FALSE),VLOOKUP(E1058,Equivalencia!$5:$23,((MAX(Equivalencia!$3:$3)-YEAR(C1058))*14)+MONTH(C1058)+2,FALSE)))</f>
        <v>1</v>
      </c>
      <c r="J1058" s="178">
        <f t="shared" si="165"/>
        <v>28.29</v>
      </c>
      <c r="K1058" s="462">
        <f>IF(C1058=0,0,VLOOKUP(YEAR(C1058),INPC!$B$4:$O$29,MONTH(C1058)+1))</f>
        <v>118.002</v>
      </c>
      <c r="L1058" s="462">
        <f>IF(S1058=0,0,VLOOKUP(YEAR(S1058),INPC!$B$4:$O$29,MONTH(S1058)+1))</f>
        <v>118.98099999999999</v>
      </c>
      <c r="M1058" s="463">
        <f t="shared" si="166"/>
        <v>1.0082</v>
      </c>
      <c r="N1058" s="465">
        <f t="shared" si="167"/>
        <v>28.521977999999997</v>
      </c>
      <c r="O1058" s="179"/>
      <c r="P1058" s="180">
        <v>1</v>
      </c>
      <c r="Q1058" s="173" t="s">
        <v>583</v>
      </c>
      <c r="R1058" s="173" t="s">
        <v>230</v>
      </c>
      <c r="S1058" s="174">
        <v>44593</v>
      </c>
      <c r="T1058" s="173" t="s">
        <v>33</v>
      </c>
      <c r="U1058" s="182">
        <v>24.59</v>
      </c>
      <c r="V1058" s="177">
        <f>IF(U1058=0,0,IF(T1058="MXN",1/HLOOKUP(YEAR(S1058)+(MONTH(S1058)/100),TC!$5:$37,DAY(S1058)+2,FALSE),VLOOKUP(T1058,Equivalencia!$1:$23,((MAX(Equivalencia!$3:$3)-YEAR(S1058))*14)+MONTH(S1058)+2,FALSE)))</f>
        <v>1</v>
      </c>
      <c r="W1058" s="178">
        <f t="shared" si="168"/>
        <v>24.59</v>
      </c>
      <c r="X1058" s="481">
        <f t="shared" si="169"/>
        <v>-3.6999999999999993</v>
      </c>
      <c r="Y1058" s="179"/>
      <c r="Z1058" s="466">
        <f t="shared" si="170"/>
        <v>28.521977999999997</v>
      </c>
      <c r="AA1058" s="473">
        <f t="shared" si="171"/>
        <v>-3.9319779999999973</v>
      </c>
      <c r="AB1058" s="339">
        <f t="shared" si="172"/>
        <v>-0.13078826440438318</v>
      </c>
    </row>
    <row r="1059" spans="2:28" ht="20.100000000000001" customHeight="1">
      <c r="B1059" s="172">
        <v>1427200</v>
      </c>
      <c r="C1059" s="174">
        <v>44781</v>
      </c>
      <c r="D1059" s="181" t="s">
        <v>437</v>
      </c>
      <c r="E1059" s="173" t="s">
        <v>33</v>
      </c>
      <c r="F1059" s="176">
        <v>212.68</v>
      </c>
      <c r="G1059" s="175">
        <f t="shared" si="163"/>
        <v>12</v>
      </c>
      <c r="H1059" s="175">
        <f t="shared" si="164"/>
        <v>212.68</v>
      </c>
      <c r="I1059" s="177">
        <f>IF(G1059=0,0,IF(E1059="MXN",1/HLOOKUP(YEAR(C1059)+(MONTH(C1059)/100),TC!$5:$37,DAY(C1059)+2,FALSE),VLOOKUP(E1059,Equivalencia!$5:$23,((MAX(Equivalencia!$3:$3)-YEAR(C1059))*14)+MONTH(C1059)+2,FALSE)))</f>
        <v>1</v>
      </c>
      <c r="J1059" s="178">
        <f t="shared" si="165"/>
        <v>212.68</v>
      </c>
      <c r="K1059" s="462">
        <f>IF(C1059=0,0,VLOOKUP(YEAR(C1059),INPC!$B$4:$O$29,MONTH(C1059)+1))</f>
        <v>123.803</v>
      </c>
      <c r="L1059" s="462">
        <f>IF(S1059=0,0,VLOOKUP(YEAR(S1059),INPC!$B$4:$O$29,MONTH(S1059)+1))</f>
        <v>125.997</v>
      </c>
      <c r="M1059" s="463">
        <f t="shared" si="166"/>
        <v>1.0177</v>
      </c>
      <c r="N1059" s="465">
        <f t="shared" si="167"/>
        <v>216.44443600000002</v>
      </c>
      <c r="O1059" s="179"/>
      <c r="P1059" s="180">
        <v>12</v>
      </c>
      <c r="Q1059" s="173" t="s">
        <v>583</v>
      </c>
      <c r="R1059" s="173" t="s">
        <v>230</v>
      </c>
      <c r="S1059" s="174">
        <v>44868</v>
      </c>
      <c r="T1059" s="173" t="s">
        <v>33</v>
      </c>
      <c r="U1059" s="182">
        <v>237.43874999999997</v>
      </c>
      <c r="V1059" s="177">
        <f>IF(U1059=0,0,IF(T1059="MXN",1/HLOOKUP(YEAR(S1059)+(MONTH(S1059)/100),TC!$5:$37,DAY(S1059)+2,FALSE),VLOOKUP(T1059,Equivalencia!$1:$23,((MAX(Equivalencia!$3:$3)-YEAR(S1059))*14)+MONTH(S1059)+2,FALSE)))</f>
        <v>1</v>
      </c>
      <c r="W1059" s="178">
        <f t="shared" si="168"/>
        <v>237.43874999999997</v>
      </c>
      <c r="X1059" s="481">
        <f t="shared" si="169"/>
        <v>24.758749999999964</v>
      </c>
      <c r="Y1059" s="179"/>
      <c r="Z1059" s="466">
        <f t="shared" si="170"/>
        <v>216.44443600000002</v>
      </c>
      <c r="AA1059" s="473">
        <f t="shared" si="171"/>
        <v>20.994313999999946</v>
      </c>
      <c r="AB1059" s="339">
        <f t="shared" si="172"/>
        <v>0.11641315591498946</v>
      </c>
    </row>
    <row r="1060" spans="2:28" ht="20.100000000000001" customHeight="1">
      <c r="B1060" s="172">
        <v>1427200</v>
      </c>
      <c r="C1060" s="174">
        <v>44781</v>
      </c>
      <c r="D1060" s="181" t="s">
        <v>437</v>
      </c>
      <c r="E1060" s="173" t="s">
        <v>33</v>
      </c>
      <c r="F1060" s="176">
        <v>17.649999999999999</v>
      </c>
      <c r="G1060" s="175">
        <f t="shared" si="163"/>
        <v>1</v>
      </c>
      <c r="H1060" s="175">
        <f t="shared" si="164"/>
        <v>17.649999999999999</v>
      </c>
      <c r="I1060" s="177">
        <f>IF(G1060=0,0,IF(E1060="MXN",1/HLOOKUP(YEAR(C1060)+(MONTH(C1060)/100),TC!$5:$37,DAY(C1060)+2,FALSE),VLOOKUP(E1060,Equivalencia!$5:$23,((MAX(Equivalencia!$3:$3)-YEAR(C1060))*14)+MONTH(C1060)+2,FALSE)))</f>
        <v>1</v>
      </c>
      <c r="J1060" s="178">
        <f t="shared" si="165"/>
        <v>17.649999999999999</v>
      </c>
      <c r="K1060" s="462">
        <f>IF(C1060=0,0,VLOOKUP(YEAR(C1060),INPC!$B$4:$O$29,MONTH(C1060)+1))</f>
        <v>123.803</v>
      </c>
      <c r="L1060" s="462">
        <f>IF(S1060=0,0,VLOOKUP(YEAR(S1060),INPC!$B$4:$O$29,MONTH(S1060)+1))</f>
        <v>125.997</v>
      </c>
      <c r="M1060" s="463">
        <f t="shared" si="166"/>
        <v>1.0177</v>
      </c>
      <c r="N1060" s="465">
        <f t="shared" si="167"/>
        <v>17.962405</v>
      </c>
      <c r="O1060" s="179"/>
      <c r="P1060" s="180">
        <v>1</v>
      </c>
      <c r="Q1060" s="173" t="s">
        <v>583</v>
      </c>
      <c r="R1060" s="173" t="s">
        <v>230</v>
      </c>
      <c r="S1060" s="174">
        <v>44868</v>
      </c>
      <c r="T1060" s="173" t="s">
        <v>33</v>
      </c>
      <c r="U1060" s="182">
        <v>19.786562499999999</v>
      </c>
      <c r="V1060" s="177">
        <f>IF(U1060=0,0,IF(T1060="MXN",1/HLOOKUP(YEAR(S1060)+(MONTH(S1060)/100),TC!$5:$37,DAY(S1060)+2,FALSE),VLOOKUP(T1060,Equivalencia!$1:$23,((MAX(Equivalencia!$3:$3)-YEAR(S1060))*14)+MONTH(S1060)+2,FALSE)))</f>
        <v>1</v>
      </c>
      <c r="W1060" s="178">
        <f t="shared" si="168"/>
        <v>19.786562499999999</v>
      </c>
      <c r="X1060" s="481">
        <f t="shared" si="169"/>
        <v>2.1365625000000001</v>
      </c>
      <c r="Y1060" s="179"/>
      <c r="Z1060" s="466">
        <f t="shared" si="170"/>
        <v>17.962405</v>
      </c>
      <c r="AA1060" s="473">
        <f t="shared" si="171"/>
        <v>1.8241574999999983</v>
      </c>
      <c r="AB1060" s="339">
        <f t="shared" si="172"/>
        <v>0.12105169971671392</v>
      </c>
    </row>
    <row r="1061" spans="2:28" ht="20.100000000000001" customHeight="1">
      <c r="B1061" s="172">
        <v>1427200</v>
      </c>
      <c r="C1061" s="174">
        <v>44781</v>
      </c>
      <c r="D1061" s="181" t="s">
        <v>437</v>
      </c>
      <c r="E1061" s="173" t="s">
        <v>33</v>
      </c>
      <c r="F1061" s="176">
        <v>35.299999999999997</v>
      </c>
      <c r="G1061" s="175">
        <f t="shared" si="163"/>
        <v>2</v>
      </c>
      <c r="H1061" s="175">
        <f t="shared" si="164"/>
        <v>35.299999999999997</v>
      </c>
      <c r="I1061" s="177">
        <f>IF(G1061=0,0,IF(E1061="MXN",1/HLOOKUP(YEAR(C1061)+(MONTH(C1061)/100),TC!$5:$37,DAY(C1061)+2,FALSE),VLOOKUP(E1061,Equivalencia!$5:$23,((MAX(Equivalencia!$3:$3)-YEAR(C1061))*14)+MONTH(C1061)+2,FALSE)))</f>
        <v>1</v>
      </c>
      <c r="J1061" s="178">
        <f t="shared" si="165"/>
        <v>35.299999999999997</v>
      </c>
      <c r="K1061" s="462">
        <f>IF(C1061=0,0,VLOOKUP(YEAR(C1061),INPC!$B$4:$O$29,MONTH(C1061)+1))</f>
        <v>123.803</v>
      </c>
      <c r="L1061" s="462">
        <f>IF(S1061=0,0,VLOOKUP(YEAR(S1061),INPC!$B$4:$O$29,MONTH(S1061)+1))</f>
        <v>125.997</v>
      </c>
      <c r="M1061" s="463">
        <f t="shared" si="166"/>
        <v>1.0177</v>
      </c>
      <c r="N1061" s="465">
        <f t="shared" si="167"/>
        <v>35.924810000000001</v>
      </c>
      <c r="O1061" s="179"/>
      <c r="P1061" s="180">
        <v>2</v>
      </c>
      <c r="Q1061" s="173" t="s">
        <v>583</v>
      </c>
      <c r="R1061" s="173" t="s">
        <v>230</v>
      </c>
      <c r="S1061" s="174">
        <v>44868</v>
      </c>
      <c r="T1061" s="173" t="s">
        <v>33</v>
      </c>
      <c r="U1061" s="182">
        <v>39.573124999999997</v>
      </c>
      <c r="V1061" s="177">
        <f>IF(U1061=0,0,IF(T1061="MXN",1/HLOOKUP(YEAR(S1061)+(MONTH(S1061)/100),TC!$5:$37,DAY(S1061)+2,FALSE),VLOOKUP(T1061,Equivalencia!$1:$23,((MAX(Equivalencia!$3:$3)-YEAR(S1061))*14)+MONTH(S1061)+2,FALSE)))</f>
        <v>1</v>
      </c>
      <c r="W1061" s="178">
        <f t="shared" si="168"/>
        <v>39.573124999999997</v>
      </c>
      <c r="X1061" s="481">
        <f t="shared" si="169"/>
        <v>4.2731250000000003</v>
      </c>
      <c r="Y1061" s="179"/>
      <c r="Z1061" s="466">
        <f t="shared" si="170"/>
        <v>35.924810000000001</v>
      </c>
      <c r="AA1061" s="473">
        <f t="shared" si="171"/>
        <v>3.6483149999999966</v>
      </c>
      <c r="AB1061" s="339">
        <f t="shared" si="172"/>
        <v>0.12105169971671392</v>
      </c>
    </row>
    <row r="1062" spans="2:28" ht="20.100000000000001" customHeight="1">
      <c r="B1062" s="172">
        <v>1427200</v>
      </c>
      <c r="C1062" s="174">
        <v>44781</v>
      </c>
      <c r="D1062" s="181" t="s">
        <v>437</v>
      </c>
      <c r="E1062" s="173" t="s">
        <v>33</v>
      </c>
      <c r="F1062" s="176">
        <v>17.64</v>
      </c>
      <c r="G1062" s="175">
        <f t="shared" si="163"/>
        <v>1</v>
      </c>
      <c r="H1062" s="175">
        <f t="shared" si="164"/>
        <v>17.64</v>
      </c>
      <c r="I1062" s="177">
        <f>IF(G1062=0,0,IF(E1062="MXN",1/HLOOKUP(YEAR(C1062)+(MONTH(C1062)/100),TC!$5:$37,DAY(C1062)+2,FALSE),VLOOKUP(E1062,Equivalencia!$5:$23,((MAX(Equivalencia!$3:$3)-YEAR(C1062))*14)+MONTH(C1062)+2,FALSE)))</f>
        <v>1</v>
      </c>
      <c r="J1062" s="178">
        <f t="shared" si="165"/>
        <v>17.64</v>
      </c>
      <c r="K1062" s="462">
        <f>IF(C1062=0,0,VLOOKUP(YEAR(C1062),INPC!$B$4:$O$29,MONTH(C1062)+1))</f>
        <v>123.803</v>
      </c>
      <c r="L1062" s="462">
        <f>IF(S1062=0,0,VLOOKUP(YEAR(S1062),INPC!$B$4:$O$29,MONTH(S1062)+1))</f>
        <v>125.997</v>
      </c>
      <c r="M1062" s="463">
        <f t="shared" si="166"/>
        <v>1.0177</v>
      </c>
      <c r="N1062" s="465">
        <f t="shared" si="167"/>
        <v>17.952228000000002</v>
      </c>
      <c r="O1062" s="179"/>
      <c r="P1062" s="180">
        <v>1</v>
      </c>
      <c r="Q1062" s="173" t="s">
        <v>583</v>
      </c>
      <c r="R1062" s="173" t="s">
        <v>230</v>
      </c>
      <c r="S1062" s="174">
        <v>44868</v>
      </c>
      <c r="T1062" s="173" t="s">
        <v>33</v>
      </c>
      <c r="U1062" s="182">
        <v>19.786562499999999</v>
      </c>
      <c r="V1062" s="177">
        <f>IF(U1062=0,0,IF(T1062="MXN",1/HLOOKUP(YEAR(S1062)+(MONTH(S1062)/100),TC!$5:$37,DAY(S1062)+2,FALSE),VLOOKUP(T1062,Equivalencia!$1:$23,((MAX(Equivalencia!$3:$3)-YEAR(S1062))*14)+MONTH(S1062)+2,FALSE)))</f>
        <v>1</v>
      </c>
      <c r="W1062" s="178">
        <f t="shared" si="168"/>
        <v>19.786562499999999</v>
      </c>
      <c r="X1062" s="481">
        <f t="shared" si="169"/>
        <v>2.1465624999999982</v>
      </c>
      <c r="Y1062" s="179"/>
      <c r="Z1062" s="466">
        <f t="shared" si="170"/>
        <v>17.952228000000002</v>
      </c>
      <c r="AA1062" s="473">
        <f t="shared" si="171"/>
        <v>1.8343344999999971</v>
      </c>
      <c r="AB1062" s="339">
        <f t="shared" si="172"/>
        <v>0.12168721655328785</v>
      </c>
    </row>
    <row r="1063" spans="2:28" ht="20.100000000000001" customHeight="1">
      <c r="B1063" s="172">
        <v>1427200</v>
      </c>
      <c r="C1063" s="174">
        <v>44781</v>
      </c>
      <c r="D1063" s="181" t="s">
        <v>437</v>
      </c>
      <c r="E1063" s="173" t="s">
        <v>33</v>
      </c>
      <c r="F1063" s="176">
        <v>283.18222222222221</v>
      </c>
      <c r="G1063" s="175">
        <f t="shared" si="163"/>
        <v>16</v>
      </c>
      <c r="H1063" s="175">
        <f t="shared" si="164"/>
        <v>283.18222222222221</v>
      </c>
      <c r="I1063" s="177">
        <f>IF(G1063=0,0,IF(E1063="MXN",1/HLOOKUP(YEAR(C1063)+(MONTH(C1063)/100),TC!$5:$37,DAY(C1063)+2,FALSE),VLOOKUP(E1063,Equivalencia!$5:$23,((MAX(Equivalencia!$3:$3)-YEAR(C1063))*14)+MONTH(C1063)+2,FALSE)))</f>
        <v>1</v>
      </c>
      <c r="J1063" s="178">
        <f t="shared" si="165"/>
        <v>283.18222222222221</v>
      </c>
      <c r="K1063" s="462">
        <f>IF(C1063=0,0,VLOOKUP(YEAR(C1063),INPC!$B$4:$O$29,MONTH(C1063)+1))</f>
        <v>123.803</v>
      </c>
      <c r="L1063" s="462">
        <f>IF(S1063=0,0,VLOOKUP(YEAR(S1063),INPC!$B$4:$O$29,MONTH(S1063)+1))</f>
        <v>125.997</v>
      </c>
      <c r="M1063" s="463">
        <f t="shared" si="166"/>
        <v>1.0177</v>
      </c>
      <c r="N1063" s="465">
        <f t="shared" si="167"/>
        <v>288.19454755555557</v>
      </c>
      <c r="O1063" s="179"/>
      <c r="P1063" s="180">
        <v>16</v>
      </c>
      <c r="Q1063" s="173" t="s">
        <v>583</v>
      </c>
      <c r="R1063" s="173" t="s">
        <v>230</v>
      </c>
      <c r="S1063" s="174">
        <v>44868</v>
      </c>
      <c r="T1063" s="173" t="s">
        <v>33</v>
      </c>
      <c r="U1063" s="182">
        <v>316.58499999999998</v>
      </c>
      <c r="V1063" s="177">
        <f>IF(U1063=0,0,IF(T1063="MXN",1/HLOOKUP(YEAR(S1063)+(MONTH(S1063)/100),TC!$5:$37,DAY(S1063)+2,FALSE),VLOOKUP(T1063,Equivalencia!$1:$23,((MAX(Equivalencia!$3:$3)-YEAR(S1063))*14)+MONTH(S1063)+2,FALSE)))</f>
        <v>1</v>
      </c>
      <c r="W1063" s="178">
        <f t="shared" si="168"/>
        <v>316.58499999999998</v>
      </c>
      <c r="X1063" s="481">
        <f t="shared" si="169"/>
        <v>33.402777777777771</v>
      </c>
      <c r="Y1063" s="179"/>
      <c r="Z1063" s="466">
        <f t="shared" si="170"/>
        <v>288.19454755555557</v>
      </c>
      <c r="AA1063" s="473">
        <f t="shared" si="171"/>
        <v>28.390452444444406</v>
      </c>
      <c r="AB1063" s="339">
        <f t="shared" si="172"/>
        <v>0.11795506623140173</v>
      </c>
    </row>
    <row r="1064" spans="2:28" ht="20.100000000000001" customHeight="1">
      <c r="B1064" s="172">
        <v>1427200</v>
      </c>
      <c r="C1064" s="174">
        <v>44781</v>
      </c>
      <c r="D1064" s="181" t="s">
        <v>437</v>
      </c>
      <c r="E1064" s="173" t="s">
        <v>33</v>
      </c>
      <c r="F1064" s="176">
        <v>35.397777777777776</v>
      </c>
      <c r="G1064" s="175">
        <f t="shared" si="163"/>
        <v>2</v>
      </c>
      <c r="H1064" s="175">
        <f t="shared" si="164"/>
        <v>35.397777777777776</v>
      </c>
      <c r="I1064" s="177">
        <f>IF(G1064=0,0,IF(E1064="MXN",1/HLOOKUP(YEAR(C1064)+(MONTH(C1064)/100),TC!$5:$37,DAY(C1064)+2,FALSE),VLOOKUP(E1064,Equivalencia!$5:$23,((MAX(Equivalencia!$3:$3)-YEAR(C1064))*14)+MONTH(C1064)+2,FALSE)))</f>
        <v>1</v>
      </c>
      <c r="J1064" s="178">
        <f t="shared" si="165"/>
        <v>35.397777777777776</v>
      </c>
      <c r="K1064" s="462">
        <f>IF(C1064=0,0,VLOOKUP(YEAR(C1064),INPC!$B$4:$O$29,MONTH(C1064)+1))</f>
        <v>123.803</v>
      </c>
      <c r="L1064" s="462">
        <f>IF(S1064=0,0,VLOOKUP(YEAR(S1064),INPC!$B$4:$O$29,MONTH(S1064)+1))</f>
        <v>125.997</v>
      </c>
      <c r="M1064" s="463">
        <f t="shared" si="166"/>
        <v>1.0177</v>
      </c>
      <c r="N1064" s="465">
        <f t="shared" si="167"/>
        <v>36.024318444444447</v>
      </c>
      <c r="O1064" s="179"/>
      <c r="P1064" s="180">
        <v>2</v>
      </c>
      <c r="Q1064" s="173" t="s">
        <v>583</v>
      </c>
      <c r="R1064" s="173" t="s">
        <v>230</v>
      </c>
      <c r="S1064" s="174">
        <v>44868</v>
      </c>
      <c r="T1064" s="173" t="s">
        <v>33</v>
      </c>
      <c r="U1064" s="182">
        <v>39.76</v>
      </c>
      <c r="V1064" s="177">
        <f>IF(U1064=0,0,IF(T1064="MXN",1/HLOOKUP(YEAR(S1064)+(MONTH(S1064)/100),TC!$5:$37,DAY(S1064)+2,FALSE),VLOOKUP(T1064,Equivalencia!$1:$23,((MAX(Equivalencia!$3:$3)-YEAR(S1064))*14)+MONTH(S1064)+2,FALSE)))</f>
        <v>1</v>
      </c>
      <c r="W1064" s="178">
        <f t="shared" si="168"/>
        <v>39.76</v>
      </c>
      <c r="X1064" s="481">
        <f t="shared" si="169"/>
        <v>4.362222222222222</v>
      </c>
      <c r="Y1064" s="179"/>
      <c r="Z1064" s="466">
        <f t="shared" si="170"/>
        <v>36.024318444444447</v>
      </c>
      <c r="AA1064" s="473">
        <f t="shared" si="171"/>
        <v>3.7356815555555514</v>
      </c>
      <c r="AB1064" s="339">
        <f t="shared" si="172"/>
        <v>0.12323435243894787</v>
      </c>
    </row>
    <row r="1065" spans="2:28" ht="20.100000000000001" customHeight="1">
      <c r="B1065" s="172">
        <v>1427200</v>
      </c>
      <c r="C1065" s="174">
        <v>44707</v>
      </c>
      <c r="D1065" s="181" t="s">
        <v>446</v>
      </c>
      <c r="E1065" s="173" t="s">
        <v>33</v>
      </c>
      <c r="F1065" s="176">
        <v>106.87</v>
      </c>
      <c r="G1065" s="175">
        <f t="shared" si="163"/>
        <v>1</v>
      </c>
      <c r="H1065" s="175">
        <f t="shared" si="164"/>
        <v>106.87</v>
      </c>
      <c r="I1065" s="177">
        <f>IF(G1065=0,0,IF(E1065="MXN",1/HLOOKUP(YEAR(C1065)+(MONTH(C1065)/100),TC!$5:$37,DAY(C1065)+2,FALSE),VLOOKUP(E1065,Equivalencia!$5:$23,((MAX(Equivalencia!$3:$3)-YEAR(C1065))*14)+MONTH(C1065)+2,FALSE)))</f>
        <v>1</v>
      </c>
      <c r="J1065" s="178">
        <f t="shared" si="165"/>
        <v>106.87</v>
      </c>
      <c r="K1065" s="462">
        <f>IF(C1065=0,0,VLOOKUP(YEAR(C1065),INPC!$B$4:$O$29,MONTH(C1065)+1))</f>
        <v>121.02200000000001</v>
      </c>
      <c r="L1065" s="462">
        <f>IF(S1065=0,0,VLOOKUP(YEAR(S1065),INPC!$B$4:$O$29,MONTH(S1065)+1))</f>
        <v>125.997</v>
      </c>
      <c r="M1065" s="463">
        <f t="shared" si="166"/>
        <v>1.0410999999999999</v>
      </c>
      <c r="N1065" s="465">
        <f t="shared" si="167"/>
        <v>111.26235699999999</v>
      </c>
      <c r="O1065" s="179"/>
      <c r="P1065" s="180">
        <v>1</v>
      </c>
      <c r="Q1065" s="173" t="s">
        <v>583</v>
      </c>
      <c r="R1065" s="173" t="s">
        <v>230</v>
      </c>
      <c r="S1065" s="174">
        <v>44868</v>
      </c>
      <c r="T1065" s="173" t="s">
        <v>33</v>
      </c>
      <c r="U1065" s="182">
        <v>78.86333333333333</v>
      </c>
      <c r="V1065" s="177">
        <f>IF(U1065=0,0,IF(T1065="MXN",1/HLOOKUP(YEAR(S1065)+(MONTH(S1065)/100),TC!$5:$37,DAY(S1065)+2,FALSE),VLOOKUP(T1065,Equivalencia!$1:$23,((MAX(Equivalencia!$3:$3)-YEAR(S1065))*14)+MONTH(S1065)+2,FALSE)))</f>
        <v>1</v>
      </c>
      <c r="W1065" s="178">
        <f t="shared" si="168"/>
        <v>78.86333333333333</v>
      </c>
      <c r="X1065" s="481">
        <f t="shared" si="169"/>
        <v>-28.006666666666675</v>
      </c>
      <c r="Y1065" s="179"/>
      <c r="Z1065" s="466">
        <f t="shared" si="170"/>
        <v>111.26235699999999</v>
      </c>
      <c r="AA1065" s="473">
        <f t="shared" si="171"/>
        <v>-32.399023666666665</v>
      </c>
      <c r="AB1065" s="339">
        <f t="shared" si="172"/>
        <v>-0.26206294251582929</v>
      </c>
    </row>
    <row r="1066" spans="2:28" ht="20.100000000000001" customHeight="1">
      <c r="B1066" s="172">
        <v>1427200</v>
      </c>
      <c r="C1066" s="174">
        <v>44707</v>
      </c>
      <c r="D1066" s="181" t="s">
        <v>446</v>
      </c>
      <c r="E1066" s="173" t="s">
        <v>33</v>
      </c>
      <c r="F1066" s="176">
        <v>213.82545454545453</v>
      </c>
      <c r="G1066" s="175">
        <f t="shared" si="163"/>
        <v>2</v>
      </c>
      <c r="H1066" s="175">
        <f t="shared" si="164"/>
        <v>213.82545454545453</v>
      </c>
      <c r="I1066" s="177">
        <f>IF(G1066=0,0,IF(E1066="MXN",1/HLOOKUP(YEAR(C1066)+(MONTH(C1066)/100),TC!$5:$37,DAY(C1066)+2,FALSE),VLOOKUP(E1066,Equivalencia!$5:$23,((MAX(Equivalencia!$3:$3)-YEAR(C1066))*14)+MONTH(C1066)+2,FALSE)))</f>
        <v>1</v>
      </c>
      <c r="J1066" s="178">
        <f t="shared" si="165"/>
        <v>213.82545454545453</v>
      </c>
      <c r="K1066" s="462">
        <f>IF(C1066=0,0,VLOOKUP(YEAR(C1066),INPC!$B$4:$O$29,MONTH(C1066)+1))</f>
        <v>121.02200000000001</v>
      </c>
      <c r="L1066" s="462">
        <f>IF(S1066=0,0,VLOOKUP(YEAR(S1066),INPC!$B$4:$O$29,MONTH(S1066)+1))</f>
        <v>125.997</v>
      </c>
      <c r="M1066" s="463">
        <f t="shared" si="166"/>
        <v>1.0410999999999999</v>
      </c>
      <c r="N1066" s="465">
        <f t="shared" si="167"/>
        <v>222.61368072727271</v>
      </c>
      <c r="O1066" s="179"/>
      <c r="P1066" s="180">
        <v>2</v>
      </c>
      <c r="Q1066" s="173" t="s">
        <v>583</v>
      </c>
      <c r="R1066" s="173" t="s">
        <v>230</v>
      </c>
      <c r="S1066" s="174">
        <v>44868</v>
      </c>
      <c r="T1066" s="173" t="s">
        <v>33</v>
      </c>
      <c r="U1066" s="182">
        <v>157.72666666666666</v>
      </c>
      <c r="V1066" s="177">
        <f>IF(U1066=0,0,IF(T1066="MXN",1/HLOOKUP(YEAR(S1066)+(MONTH(S1066)/100),TC!$5:$37,DAY(S1066)+2,FALSE),VLOOKUP(T1066,Equivalencia!$1:$23,((MAX(Equivalencia!$3:$3)-YEAR(S1066))*14)+MONTH(S1066)+2,FALSE)))</f>
        <v>1</v>
      </c>
      <c r="W1066" s="178">
        <f t="shared" si="168"/>
        <v>157.72666666666666</v>
      </c>
      <c r="X1066" s="481">
        <f t="shared" si="169"/>
        <v>-56.098787878787874</v>
      </c>
      <c r="Y1066" s="179"/>
      <c r="Z1066" s="466">
        <f t="shared" si="170"/>
        <v>222.61368072727271</v>
      </c>
      <c r="AA1066" s="473">
        <f t="shared" si="171"/>
        <v>-64.887014060606049</v>
      </c>
      <c r="AB1066" s="339">
        <f t="shared" si="172"/>
        <v>-0.26235785630874231</v>
      </c>
    </row>
    <row r="1067" spans="2:28" ht="20.100000000000001" customHeight="1">
      <c r="B1067" s="172">
        <v>1427200</v>
      </c>
      <c r="C1067" s="174">
        <v>44707</v>
      </c>
      <c r="D1067" s="181" t="s">
        <v>446</v>
      </c>
      <c r="E1067" s="173" t="s">
        <v>33</v>
      </c>
      <c r="F1067" s="176">
        <v>962.21454545454537</v>
      </c>
      <c r="G1067" s="175">
        <f t="shared" si="163"/>
        <v>9</v>
      </c>
      <c r="H1067" s="175">
        <f t="shared" si="164"/>
        <v>962.21454545454537</v>
      </c>
      <c r="I1067" s="177">
        <f>IF(G1067=0,0,IF(E1067="MXN",1/HLOOKUP(YEAR(C1067)+(MONTH(C1067)/100),TC!$5:$37,DAY(C1067)+2,FALSE),VLOOKUP(E1067,Equivalencia!$5:$23,((MAX(Equivalencia!$3:$3)-YEAR(C1067))*14)+MONTH(C1067)+2,FALSE)))</f>
        <v>1</v>
      </c>
      <c r="J1067" s="178">
        <f t="shared" si="165"/>
        <v>962.21454545454537</v>
      </c>
      <c r="K1067" s="462">
        <f>IF(C1067=0,0,VLOOKUP(YEAR(C1067),INPC!$B$4:$O$29,MONTH(C1067)+1))</f>
        <v>121.02200000000001</v>
      </c>
      <c r="L1067" s="462">
        <f>IF(S1067=0,0,VLOOKUP(YEAR(S1067),INPC!$B$4:$O$29,MONTH(S1067)+1))</f>
        <v>125.997</v>
      </c>
      <c r="M1067" s="463">
        <f t="shared" si="166"/>
        <v>1.0410999999999999</v>
      </c>
      <c r="N1067" s="465">
        <f t="shared" si="167"/>
        <v>1001.7615632727271</v>
      </c>
      <c r="O1067" s="179"/>
      <c r="P1067" s="180">
        <v>9</v>
      </c>
      <c r="Q1067" s="173" t="s">
        <v>583</v>
      </c>
      <c r="R1067" s="173" t="s">
        <v>230</v>
      </c>
      <c r="S1067" s="174">
        <v>44868</v>
      </c>
      <c r="T1067" s="173" t="s">
        <v>33</v>
      </c>
      <c r="U1067" s="182">
        <v>708.99750000000006</v>
      </c>
      <c r="V1067" s="177">
        <f>IF(U1067=0,0,IF(T1067="MXN",1/HLOOKUP(YEAR(S1067)+(MONTH(S1067)/100),TC!$5:$37,DAY(S1067)+2,FALSE),VLOOKUP(T1067,Equivalencia!$1:$23,((MAX(Equivalencia!$3:$3)-YEAR(S1067))*14)+MONTH(S1067)+2,FALSE)))</f>
        <v>1</v>
      </c>
      <c r="W1067" s="178">
        <f t="shared" si="168"/>
        <v>708.99750000000006</v>
      </c>
      <c r="X1067" s="481">
        <f t="shared" si="169"/>
        <v>-253.21704545454531</v>
      </c>
      <c r="Y1067" s="179"/>
      <c r="Z1067" s="466">
        <f t="shared" si="170"/>
        <v>1001.7615632727271</v>
      </c>
      <c r="AA1067" s="473">
        <f t="shared" si="171"/>
        <v>-292.76406327272707</v>
      </c>
      <c r="AB1067" s="339">
        <f t="shared" si="172"/>
        <v>-0.26316069181320356</v>
      </c>
    </row>
    <row r="1068" spans="2:28" ht="20.100000000000001" customHeight="1">
      <c r="B1068" s="172">
        <v>1427200</v>
      </c>
      <c r="C1068" s="174">
        <v>44707</v>
      </c>
      <c r="D1068" s="181" t="s">
        <v>446</v>
      </c>
      <c r="E1068" s="173" t="s">
        <v>33</v>
      </c>
      <c r="F1068" s="176">
        <v>321.36</v>
      </c>
      <c r="G1068" s="175">
        <f t="shared" si="163"/>
        <v>3</v>
      </c>
      <c r="H1068" s="175">
        <f t="shared" si="164"/>
        <v>321.36</v>
      </c>
      <c r="I1068" s="177">
        <f>IF(G1068=0,0,IF(E1068="MXN",1/HLOOKUP(YEAR(C1068)+(MONTH(C1068)/100),TC!$5:$37,DAY(C1068)+2,FALSE),VLOOKUP(E1068,Equivalencia!$5:$23,((MAX(Equivalencia!$3:$3)-YEAR(C1068))*14)+MONTH(C1068)+2,FALSE)))</f>
        <v>1</v>
      </c>
      <c r="J1068" s="178">
        <f t="shared" si="165"/>
        <v>321.36</v>
      </c>
      <c r="K1068" s="462">
        <f>IF(C1068=0,0,VLOOKUP(YEAR(C1068),INPC!$B$4:$O$29,MONTH(C1068)+1))</f>
        <v>121.02200000000001</v>
      </c>
      <c r="L1068" s="462">
        <f>IF(S1068=0,0,VLOOKUP(YEAR(S1068),INPC!$B$4:$O$29,MONTH(S1068)+1))</f>
        <v>125.997</v>
      </c>
      <c r="M1068" s="463">
        <f t="shared" si="166"/>
        <v>1.0410999999999999</v>
      </c>
      <c r="N1068" s="465">
        <f t="shared" si="167"/>
        <v>334.56789599999996</v>
      </c>
      <c r="O1068" s="179"/>
      <c r="P1068" s="180">
        <v>3</v>
      </c>
      <c r="Q1068" s="173" t="s">
        <v>583</v>
      </c>
      <c r="R1068" s="173" t="s">
        <v>230</v>
      </c>
      <c r="S1068" s="174">
        <v>44868</v>
      </c>
      <c r="T1068" s="173" t="s">
        <v>33</v>
      </c>
      <c r="U1068" s="182">
        <v>236.33250000000001</v>
      </c>
      <c r="V1068" s="177">
        <f>IF(U1068=0,0,IF(T1068="MXN",1/HLOOKUP(YEAR(S1068)+(MONTH(S1068)/100),TC!$5:$37,DAY(S1068)+2,FALSE),VLOOKUP(T1068,Equivalencia!$1:$23,((MAX(Equivalencia!$3:$3)-YEAR(S1068))*14)+MONTH(S1068)+2,FALSE)))</f>
        <v>1</v>
      </c>
      <c r="W1068" s="178">
        <f t="shared" si="168"/>
        <v>236.33250000000001</v>
      </c>
      <c r="X1068" s="481">
        <f t="shared" si="169"/>
        <v>-85.027500000000003</v>
      </c>
      <c r="Y1068" s="179"/>
      <c r="Z1068" s="466">
        <f t="shared" si="170"/>
        <v>334.56789599999996</v>
      </c>
      <c r="AA1068" s="473">
        <f t="shared" si="171"/>
        <v>-98.235395999999952</v>
      </c>
      <c r="AB1068" s="339">
        <f t="shared" si="172"/>
        <v>-0.26458644510828977</v>
      </c>
    </row>
    <row r="1069" spans="2:28" ht="20.100000000000001" customHeight="1">
      <c r="B1069" s="172">
        <v>1427200</v>
      </c>
      <c r="C1069" s="174">
        <v>44708</v>
      </c>
      <c r="D1069" s="181" t="s">
        <v>446</v>
      </c>
      <c r="E1069" s="173" t="s">
        <v>33</v>
      </c>
      <c r="F1069" s="176">
        <v>1321.49</v>
      </c>
      <c r="G1069" s="175">
        <f t="shared" si="163"/>
        <v>12</v>
      </c>
      <c r="H1069" s="175">
        <f t="shared" si="164"/>
        <v>1321.49</v>
      </c>
      <c r="I1069" s="177">
        <f>IF(G1069=0,0,IF(E1069="MXN",1/HLOOKUP(YEAR(C1069)+(MONTH(C1069)/100),TC!$5:$37,DAY(C1069)+2,FALSE),VLOOKUP(E1069,Equivalencia!$5:$23,((MAX(Equivalencia!$3:$3)-YEAR(C1069))*14)+MONTH(C1069)+2,FALSE)))</f>
        <v>1</v>
      </c>
      <c r="J1069" s="178">
        <f t="shared" si="165"/>
        <v>1321.49</v>
      </c>
      <c r="K1069" s="462">
        <f>IF(C1069=0,0,VLOOKUP(YEAR(C1069),INPC!$B$4:$O$29,MONTH(C1069)+1))</f>
        <v>121.02200000000001</v>
      </c>
      <c r="L1069" s="462">
        <f>IF(S1069=0,0,VLOOKUP(YEAR(S1069),INPC!$B$4:$O$29,MONTH(S1069)+1))</f>
        <v>125.997</v>
      </c>
      <c r="M1069" s="463">
        <f t="shared" si="166"/>
        <v>1.0410999999999999</v>
      </c>
      <c r="N1069" s="465">
        <f t="shared" si="167"/>
        <v>1375.8032389999998</v>
      </c>
      <c r="O1069" s="179"/>
      <c r="P1069" s="180">
        <v>12</v>
      </c>
      <c r="Q1069" s="173" t="s">
        <v>583</v>
      </c>
      <c r="R1069" s="173" t="s">
        <v>230</v>
      </c>
      <c r="S1069" s="174">
        <v>44868</v>
      </c>
      <c r="T1069" s="173" t="s">
        <v>33</v>
      </c>
      <c r="U1069" s="182">
        <v>945.33</v>
      </c>
      <c r="V1069" s="177">
        <f>IF(U1069=0,0,IF(T1069="MXN",1/HLOOKUP(YEAR(S1069)+(MONTH(S1069)/100),TC!$5:$37,DAY(S1069)+2,FALSE),VLOOKUP(T1069,Equivalencia!$1:$23,((MAX(Equivalencia!$3:$3)-YEAR(S1069))*14)+MONTH(S1069)+2,FALSE)))</f>
        <v>1</v>
      </c>
      <c r="W1069" s="178">
        <f t="shared" si="168"/>
        <v>945.33</v>
      </c>
      <c r="X1069" s="481">
        <f t="shared" si="169"/>
        <v>-376.15999999999997</v>
      </c>
      <c r="Y1069" s="179"/>
      <c r="Z1069" s="466">
        <f t="shared" si="170"/>
        <v>1375.8032389999998</v>
      </c>
      <c r="AA1069" s="473">
        <f t="shared" si="171"/>
        <v>-430.47323899999981</v>
      </c>
      <c r="AB1069" s="339">
        <f t="shared" si="172"/>
        <v>-0.2846483893181182</v>
      </c>
    </row>
    <row r="1070" spans="2:28" ht="20.100000000000001" customHeight="1">
      <c r="B1070" s="172">
        <v>1427200</v>
      </c>
      <c r="C1070" s="174">
        <v>44722</v>
      </c>
      <c r="D1070" s="181" t="s">
        <v>446</v>
      </c>
      <c r="E1070" s="173" t="s">
        <v>33</v>
      </c>
      <c r="F1070" s="176">
        <v>436.38285714285712</v>
      </c>
      <c r="G1070" s="175">
        <f t="shared" si="163"/>
        <v>4</v>
      </c>
      <c r="H1070" s="175">
        <f t="shared" si="164"/>
        <v>436.38285714285712</v>
      </c>
      <c r="I1070" s="177">
        <f>IF(G1070=0,0,IF(E1070="MXN",1/HLOOKUP(YEAR(C1070)+(MONTH(C1070)/100),TC!$5:$37,DAY(C1070)+2,FALSE),VLOOKUP(E1070,Equivalencia!$5:$23,((MAX(Equivalencia!$3:$3)-YEAR(C1070))*14)+MONTH(C1070)+2,FALSE)))</f>
        <v>1</v>
      </c>
      <c r="J1070" s="178">
        <f t="shared" si="165"/>
        <v>436.38285714285712</v>
      </c>
      <c r="K1070" s="462">
        <f>IF(C1070=0,0,VLOOKUP(YEAR(C1070),INPC!$B$4:$O$29,MONTH(C1070)+1))</f>
        <v>122.044</v>
      </c>
      <c r="L1070" s="462">
        <f>IF(S1070=0,0,VLOOKUP(YEAR(S1070),INPC!$B$4:$O$29,MONTH(S1070)+1))</f>
        <v>125.997</v>
      </c>
      <c r="M1070" s="463">
        <f t="shared" si="166"/>
        <v>1.0323</v>
      </c>
      <c r="N1070" s="465">
        <f t="shared" si="167"/>
        <v>450.47802342857142</v>
      </c>
      <c r="O1070" s="179"/>
      <c r="P1070" s="180">
        <v>4</v>
      </c>
      <c r="Q1070" s="173" t="s">
        <v>583</v>
      </c>
      <c r="R1070" s="173" t="s">
        <v>230</v>
      </c>
      <c r="S1070" s="174">
        <v>44868</v>
      </c>
      <c r="T1070" s="173" t="s">
        <v>33</v>
      </c>
      <c r="U1070" s="182">
        <v>315.11</v>
      </c>
      <c r="V1070" s="177">
        <f>IF(U1070=0,0,IF(T1070="MXN",1/HLOOKUP(YEAR(S1070)+(MONTH(S1070)/100),TC!$5:$37,DAY(S1070)+2,FALSE),VLOOKUP(T1070,Equivalencia!$1:$23,((MAX(Equivalencia!$3:$3)-YEAR(S1070))*14)+MONTH(S1070)+2,FALSE)))</f>
        <v>1</v>
      </c>
      <c r="W1070" s="178">
        <f t="shared" si="168"/>
        <v>315.11</v>
      </c>
      <c r="X1070" s="481">
        <f t="shared" si="169"/>
        <v>-121.27285714285711</v>
      </c>
      <c r="Y1070" s="179"/>
      <c r="Z1070" s="466">
        <f t="shared" si="170"/>
        <v>450.47802342857142</v>
      </c>
      <c r="AA1070" s="473">
        <f t="shared" si="171"/>
        <v>-135.36802342857141</v>
      </c>
      <c r="AB1070" s="339">
        <f t="shared" si="172"/>
        <v>-0.27790472324433324</v>
      </c>
    </row>
    <row r="1071" spans="2:28" ht="20.100000000000001" customHeight="1">
      <c r="B1071" s="172">
        <v>1427200</v>
      </c>
      <c r="C1071" s="174">
        <v>44722</v>
      </c>
      <c r="D1071" s="181" t="s">
        <v>446</v>
      </c>
      <c r="E1071" s="173" t="s">
        <v>33</v>
      </c>
      <c r="F1071" s="176">
        <v>327.28714285714284</v>
      </c>
      <c r="G1071" s="175">
        <f t="shared" si="163"/>
        <v>3</v>
      </c>
      <c r="H1071" s="175">
        <f t="shared" si="164"/>
        <v>327.28714285714284</v>
      </c>
      <c r="I1071" s="177">
        <f>IF(G1071=0,0,IF(E1071="MXN",1/HLOOKUP(YEAR(C1071)+(MONTH(C1071)/100),TC!$5:$37,DAY(C1071)+2,FALSE),VLOOKUP(E1071,Equivalencia!$5:$23,((MAX(Equivalencia!$3:$3)-YEAR(C1071))*14)+MONTH(C1071)+2,FALSE)))</f>
        <v>1</v>
      </c>
      <c r="J1071" s="178">
        <f t="shared" si="165"/>
        <v>327.28714285714284</v>
      </c>
      <c r="K1071" s="462">
        <f>IF(C1071=0,0,VLOOKUP(YEAR(C1071),INPC!$B$4:$O$29,MONTH(C1071)+1))</f>
        <v>122.044</v>
      </c>
      <c r="L1071" s="462">
        <f>IF(S1071=0,0,VLOOKUP(YEAR(S1071),INPC!$B$4:$O$29,MONTH(S1071)+1))</f>
        <v>125.997</v>
      </c>
      <c r="M1071" s="463">
        <f t="shared" si="166"/>
        <v>1.0323</v>
      </c>
      <c r="N1071" s="465">
        <f t="shared" si="167"/>
        <v>337.85851757142854</v>
      </c>
      <c r="O1071" s="179"/>
      <c r="P1071" s="180">
        <v>3</v>
      </c>
      <c r="Q1071" s="173" t="s">
        <v>583</v>
      </c>
      <c r="R1071" s="173" t="s">
        <v>230</v>
      </c>
      <c r="S1071" s="174">
        <v>44869</v>
      </c>
      <c r="T1071" s="173" t="s">
        <v>33</v>
      </c>
      <c r="U1071" s="182">
        <v>231.23000000000002</v>
      </c>
      <c r="V1071" s="177">
        <f>IF(U1071=0,0,IF(T1071="MXN",1/HLOOKUP(YEAR(S1071)+(MONTH(S1071)/100),TC!$5:$37,DAY(S1071)+2,FALSE),VLOOKUP(T1071,Equivalencia!$1:$23,((MAX(Equivalencia!$3:$3)-YEAR(S1071))*14)+MONTH(S1071)+2,FALSE)))</f>
        <v>1</v>
      </c>
      <c r="W1071" s="178">
        <f t="shared" si="168"/>
        <v>231.23000000000002</v>
      </c>
      <c r="X1071" s="481">
        <f t="shared" si="169"/>
        <v>-96.057142857142821</v>
      </c>
      <c r="Y1071" s="179"/>
      <c r="Z1071" s="466">
        <f t="shared" si="170"/>
        <v>337.85851757142854</v>
      </c>
      <c r="AA1071" s="473">
        <f t="shared" si="171"/>
        <v>-106.62851757142852</v>
      </c>
      <c r="AB1071" s="339">
        <f t="shared" si="172"/>
        <v>-0.29349500875159851</v>
      </c>
    </row>
    <row r="1072" spans="2:28" ht="20.100000000000001" customHeight="1">
      <c r="B1072" s="172">
        <v>1427200</v>
      </c>
      <c r="C1072" s="174">
        <v>44636</v>
      </c>
      <c r="D1072" s="181" t="s">
        <v>282</v>
      </c>
      <c r="E1072" s="173" t="s">
        <v>33</v>
      </c>
      <c r="F1072" s="176">
        <v>650.79142857142847</v>
      </c>
      <c r="G1072" s="175">
        <f t="shared" si="163"/>
        <v>11</v>
      </c>
      <c r="H1072" s="175">
        <f t="shared" si="164"/>
        <v>650.79142857142847</v>
      </c>
      <c r="I1072" s="177">
        <f>IF(G1072=0,0,IF(E1072="MXN",1/HLOOKUP(YEAR(C1072)+(MONTH(C1072)/100),TC!$5:$37,DAY(C1072)+2,FALSE),VLOOKUP(E1072,Equivalencia!$5:$23,((MAX(Equivalencia!$3:$3)-YEAR(C1072))*14)+MONTH(C1072)+2,FALSE)))</f>
        <v>1</v>
      </c>
      <c r="J1072" s="178">
        <f t="shared" si="165"/>
        <v>650.79142857142847</v>
      </c>
      <c r="K1072" s="462">
        <f>IF(C1072=0,0,VLOOKUP(YEAR(C1072),INPC!$B$4:$O$29,MONTH(C1072)+1))</f>
        <v>120.15900000000001</v>
      </c>
      <c r="L1072" s="462">
        <f>IF(S1072=0,0,VLOOKUP(YEAR(S1072),INPC!$B$4:$O$29,MONTH(S1072)+1))</f>
        <v>125.997</v>
      </c>
      <c r="M1072" s="463">
        <f t="shared" si="166"/>
        <v>1.0485</v>
      </c>
      <c r="N1072" s="465">
        <f t="shared" si="167"/>
        <v>682.35481285714275</v>
      </c>
      <c r="O1072" s="179"/>
      <c r="P1072" s="180">
        <v>11</v>
      </c>
      <c r="Q1072" s="173" t="s">
        <v>583</v>
      </c>
      <c r="R1072" s="173" t="s">
        <v>230</v>
      </c>
      <c r="S1072" s="174">
        <v>44875</v>
      </c>
      <c r="T1072" s="173" t="s">
        <v>33</v>
      </c>
      <c r="U1072" s="182">
        <v>526.35578947368424</v>
      </c>
      <c r="V1072" s="177">
        <f>IF(U1072=0,0,IF(T1072="MXN",1/HLOOKUP(YEAR(S1072)+(MONTH(S1072)/100),TC!$5:$37,DAY(S1072)+2,FALSE),VLOOKUP(T1072,Equivalencia!$1:$23,((MAX(Equivalencia!$3:$3)-YEAR(S1072))*14)+MONTH(S1072)+2,FALSE)))</f>
        <v>1</v>
      </c>
      <c r="W1072" s="178">
        <f t="shared" si="168"/>
        <v>526.35578947368424</v>
      </c>
      <c r="X1072" s="481">
        <f t="shared" si="169"/>
        <v>-124.43563909774423</v>
      </c>
      <c r="Y1072" s="179"/>
      <c r="Z1072" s="466">
        <f t="shared" si="170"/>
        <v>682.35481285714275</v>
      </c>
      <c r="AA1072" s="473">
        <f t="shared" si="171"/>
        <v>-155.99902338345851</v>
      </c>
      <c r="AB1072" s="339">
        <f t="shared" si="172"/>
        <v>-0.19120663492894585</v>
      </c>
    </row>
    <row r="1073" spans="2:28" ht="20.100000000000001" customHeight="1">
      <c r="B1073" s="172">
        <v>1427200</v>
      </c>
      <c r="C1073" s="174">
        <v>44637</v>
      </c>
      <c r="D1073" s="181" t="s">
        <v>282</v>
      </c>
      <c r="E1073" s="173" t="s">
        <v>33</v>
      </c>
      <c r="F1073" s="176">
        <v>508.37538461538463</v>
      </c>
      <c r="G1073" s="175">
        <f t="shared" si="163"/>
        <v>8</v>
      </c>
      <c r="H1073" s="175">
        <f t="shared" si="164"/>
        <v>508.37538461538463</v>
      </c>
      <c r="I1073" s="177">
        <f>IF(G1073=0,0,IF(E1073="MXN",1/HLOOKUP(YEAR(C1073)+(MONTH(C1073)/100),TC!$5:$37,DAY(C1073)+2,FALSE),VLOOKUP(E1073,Equivalencia!$5:$23,((MAX(Equivalencia!$3:$3)-YEAR(C1073))*14)+MONTH(C1073)+2,FALSE)))</f>
        <v>1</v>
      </c>
      <c r="J1073" s="178">
        <f t="shared" si="165"/>
        <v>508.37538461538463</v>
      </c>
      <c r="K1073" s="462">
        <f>IF(C1073=0,0,VLOOKUP(YEAR(C1073),INPC!$B$4:$O$29,MONTH(C1073)+1))</f>
        <v>120.15900000000001</v>
      </c>
      <c r="L1073" s="462">
        <f>IF(S1073=0,0,VLOOKUP(YEAR(S1073),INPC!$B$4:$O$29,MONTH(S1073)+1))</f>
        <v>125.997</v>
      </c>
      <c r="M1073" s="463">
        <f t="shared" si="166"/>
        <v>1.0485</v>
      </c>
      <c r="N1073" s="465">
        <f t="shared" si="167"/>
        <v>533.03159076923077</v>
      </c>
      <c r="O1073" s="179"/>
      <c r="P1073" s="180">
        <v>8</v>
      </c>
      <c r="Q1073" s="173" t="s">
        <v>583</v>
      </c>
      <c r="R1073" s="173" t="s">
        <v>230</v>
      </c>
      <c r="S1073" s="174">
        <v>44875</v>
      </c>
      <c r="T1073" s="173" t="s">
        <v>33</v>
      </c>
      <c r="U1073" s="182">
        <v>382.80421052631579</v>
      </c>
      <c r="V1073" s="177">
        <f>IF(U1073=0,0,IF(T1073="MXN",1/HLOOKUP(YEAR(S1073)+(MONTH(S1073)/100),TC!$5:$37,DAY(S1073)+2,FALSE),VLOOKUP(T1073,Equivalencia!$1:$23,((MAX(Equivalencia!$3:$3)-YEAR(S1073))*14)+MONTH(S1073)+2,FALSE)))</f>
        <v>1</v>
      </c>
      <c r="W1073" s="178">
        <f t="shared" si="168"/>
        <v>382.80421052631579</v>
      </c>
      <c r="X1073" s="481">
        <f t="shared" si="169"/>
        <v>-125.57117408906885</v>
      </c>
      <c r="Y1073" s="179"/>
      <c r="Z1073" s="466">
        <f t="shared" si="170"/>
        <v>533.03159076923077</v>
      </c>
      <c r="AA1073" s="473">
        <f t="shared" si="171"/>
        <v>-150.22738024291499</v>
      </c>
      <c r="AB1073" s="339">
        <f t="shared" si="172"/>
        <v>-0.24700482731686679</v>
      </c>
    </row>
    <row r="1074" spans="2:28" ht="20.100000000000001" customHeight="1">
      <c r="B1074" s="172">
        <v>1427200</v>
      </c>
      <c r="C1074" s="174">
        <v>44637</v>
      </c>
      <c r="D1074" s="181" t="s">
        <v>282</v>
      </c>
      <c r="E1074" s="173" t="s">
        <v>33</v>
      </c>
      <c r="F1074" s="176">
        <v>317.73461538461538</v>
      </c>
      <c r="G1074" s="175">
        <f t="shared" si="163"/>
        <v>5</v>
      </c>
      <c r="H1074" s="175">
        <f t="shared" si="164"/>
        <v>317.73461538461538</v>
      </c>
      <c r="I1074" s="177">
        <f>IF(G1074=0,0,IF(E1074="MXN",1/HLOOKUP(YEAR(C1074)+(MONTH(C1074)/100),TC!$5:$37,DAY(C1074)+2,FALSE),VLOOKUP(E1074,Equivalencia!$5:$23,((MAX(Equivalencia!$3:$3)-YEAR(C1074))*14)+MONTH(C1074)+2,FALSE)))</f>
        <v>1</v>
      </c>
      <c r="J1074" s="178">
        <f t="shared" si="165"/>
        <v>317.73461538461538</v>
      </c>
      <c r="K1074" s="462">
        <f>IF(C1074=0,0,VLOOKUP(YEAR(C1074),INPC!$B$4:$O$29,MONTH(C1074)+1))</f>
        <v>120.15900000000001</v>
      </c>
      <c r="L1074" s="462">
        <f>IF(S1074=0,0,VLOOKUP(YEAR(S1074),INPC!$B$4:$O$29,MONTH(S1074)+1))</f>
        <v>125.997</v>
      </c>
      <c r="M1074" s="463">
        <f t="shared" si="166"/>
        <v>1.0485</v>
      </c>
      <c r="N1074" s="465">
        <f t="shared" si="167"/>
        <v>333.14474423076922</v>
      </c>
      <c r="O1074" s="179"/>
      <c r="P1074" s="180">
        <v>5</v>
      </c>
      <c r="Q1074" s="173" t="s">
        <v>583</v>
      </c>
      <c r="R1074" s="173" t="s">
        <v>230</v>
      </c>
      <c r="S1074" s="174">
        <v>44876</v>
      </c>
      <c r="T1074" s="173" t="s">
        <v>33</v>
      </c>
      <c r="U1074" s="182">
        <v>243.495</v>
      </c>
      <c r="V1074" s="177">
        <f>IF(U1074=0,0,IF(T1074="MXN",1/HLOOKUP(YEAR(S1074)+(MONTH(S1074)/100),TC!$5:$37,DAY(S1074)+2,FALSE),VLOOKUP(T1074,Equivalencia!$1:$23,((MAX(Equivalencia!$3:$3)-YEAR(S1074))*14)+MONTH(S1074)+2,FALSE)))</f>
        <v>1</v>
      </c>
      <c r="W1074" s="178">
        <f t="shared" si="168"/>
        <v>243.495</v>
      </c>
      <c r="X1074" s="481">
        <f t="shared" si="169"/>
        <v>-74.239615384615377</v>
      </c>
      <c r="Y1074" s="179"/>
      <c r="Z1074" s="466">
        <f t="shared" si="170"/>
        <v>333.14474423076922</v>
      </c>
      <c r="AA1074" s="473">
        <f t="shared" si="171"/>
        <v>-89.649744230769215</v>
      </c>
      <c r="AB1074" s="339">
        <f t="shared" si="172"/>
        <v>-0.23365290336637978</v>
      </c>
    </row>
    <row r="1075" spans="2:28" ht="20.100000000000001" customHeight="1">
      <c r="B1075" s="172">
        <v>1427200</v>
      </c>
      <c r="C1075" s="174">
        <v>44641</v>
      </c>
      <c r="D1075" s="181" t="s">
        <v>282</v>
      </c>
      <c r="E1075" s="173" t="s">
        <v>33</v>
      </c>
      <c r="F1075" s="176">
        <v>804.61999999999989</v>
      </c>
      <c r="G1075" s="175">
        <f t="shared" si="163"/>
        <v>12</v>
      </c>
      <c r="H1075" s="175">
        <f t="shared" si="164"/>
        <v>804.61999999999989</v>
      </c>
      <c r="I1075" s="177">
        <f>IF(G1075=0,0,IF(E1075="MXN",1/HLOOKUP(YEAR(C1075)+(MONTH(C1075)/100),TC!$5:$37,DAY(C1075)+2,FALSE),VLOOKUP(E1075,Equivalencia!$5:$23,((MAX(Equivalencia!$3:$3)-YEAR(C1075))*14)+MONTH(C1075)+2,FALSE)))</f>
        <v>1</v>
      </c>
      <c r="J1075" s="178">
        <f t="shared" si="165"/>
        <v>804.61999999999989</v>
      </c>
      <c r="K1075" s="462">
        <f>IF(C1075=0,0,VLOOKUP(YEAR(C1075),INPC!$B$4:$O$29,MONTH(C1075)+1))</f>
        <v>120.15900000000001</v>
      </c>
      <c r="L1075" s="462">
        <f>IF(S1075=0,0,VLOOKUP(YEAR(S1075),INPC!$B$4:$O$29,MONTH(S1075)+1))</f>
        <v>125.997</v>
      </c>
      <c r="M1075" s="463">
        <f t="shared" si="166"/>
        <v>1.0485</v>
      </c>
      <c r="N1075" s="465">
        <f t="shared" si="167"/>
        <v>843.64406999999983</v>
      </c>
      <c r="O1075" s="179"/>
      <c r="P1075" s="180">
        <v>12</v>
      </c>
      <c r="Q1075" s="173" t="s">
        <v>583</v>
      </c>
      <c r="R1075" s="173" t="s">
        <v>230</v>
      </c>
      <c r="S1075" s="174">
        <v>44876</v>
      </c>
      <c r="T1075" s="173" t="s">
        <v>33</v>
      </c>
      <c r="U1075" s="182">
        <v>584.38799999999992</v>
      </c>
      <c r="V1075" s="177">
        <f>IF(U1075=0,0,IF(T1075="MXN",1/HLOOKUP(YEAR(S1075)+(MONTH(S1075)/100),TC!$5:$37,DAY(S1075)+2,FALSE),VLOOKUP(T1075,Equivalencia!$1:$23,((MAX(Equivalencia!$3:$3)-YEAR(S1075))*14)+MONTH(S1075)+2,FALSE)))</f>
        <v>1</v>
      </c>
      <c r="W1075" s="178">
        <f t="shared" si="168"/>
        <v>584.38799999999992</v>
      </c>
      <c r="X1075" s="481">
        <f t="shared" si="169"/>
        <v>-220.23199999999997</v>
      </c>
      <c r="Y1075" s="179"/>
      <c r="Z1075" s="466">
        <f t="shared" si="170"/>
        <v>843.64406999999983</v>
      </c>
      <c r="AA1075" s="473">
        <f t="shared" si="171"/>
        <v>-259.25606999999991</v>
      </c>
      <c r="AB1075" s="339">
        <f t="shared" si="172"/>
        <v>-0.27370932862717801</v>
      </c>
    </row>
    <row r="1076" spans="2:28" ht="20.100000000000001" customHeight="1">
      <c r="B1076" s="172">
        <v>1427200</v>
      </c>
      <c r="C1076" s="174">
        <v>44642</v>
      </c>
      <c r="D1076" s="181" t="s">
        <v>282</v>
      </c>
      <c r="E1076" s="173" t="s">
        <v>33</v>
      </c>
      <c r="F1076" s="176">
        <v>205.05250000000001</v>
      </c>
      <c r="G1076" s="175">
        <f t="shared" si="163"/>
        <v>3</v>
      </c>
      <c r="H1076" s="175">
        <f t="shared" si="164"/>
        <v>205.05250000000001</v>
      </c>
      <c r="I1076" s="177">
        <f>IF(G1076=0,0,IF(E1076="MXN",1/HLOOKUP(YEAR(C1076)+(MONTH(C1076)/100),TC!$5:$37,DAY(C1076)+2,FALSE),VLOOKUP(E1076,Equivalencia!$5:$23,((MAX(Equivalencia!$3:$3)-YEAR(C1076))*14)+MONTH(C1076)+2,FALSE)))</f>
        <v>1</v>
      </c>
      <c r="J1076" s="178">
        <f t="shared" si="165"/>
        <v>205.05250000000001</v>
      </c>
      <c r="K1076" s="462">
        <f>IF(C1076=0,0,VLOOKUP(YEAR(C1076),INPC!$B$4:$O$29,MONTH(C1076)+1))</f>
        <v>120.15900000000001</v>
      </c>
      <c r="L1076" s="462">
        <f>IF(S1076=0,0,VLOOKUP(YEAR(S1076),INPC!$B$4:$O$29,MONTH(S1076)+1))</f>
        <v>125.997</v>
      </c>
      <c r="M1076" s="463">
        <f t="shared" si="166"/>
        <v>1.0485</v>
      </c>
      <c r="N1076" s="465">
        <f t="shared" si="167"/>
        <v>214.99754625</v>
      </c>
      <c r="O1076" s="179"/>
      <c r="P1076" s="180">
        <v>3</v>
      </c>
      <c r="Q1076" s="173" t="s">
        <v>583</v>
      </c>
      <c r="R1076" s="173" t="s">
        <v>230</v>
      </c>
      <c r="S1076" s="174">
        <v>44876</v>
      </c>
      <c r="T1076" s="173" t="s">
        <v>33</v>
      </c>
      <c r="U1076" s="182">
        <v>146.09699999999998</v>
      </c>
      <c r="V1076" s="177">
        <f>IF(U1076=0,0,IF(T1076="MXN",1/HLOOKUP(YEAR(S1076)+(MONTH(S1076)/100),TC!$5:$37,DAY(S1076)+2,FALSE),VLOOKUP(T1076,Equivalencia!$1:$23,((MAX(Equivalencia!$3:$3)-YEAR(S1076))*14)+MONTH(S1076)+2,FALSE)))</f>
        <v>1</v>
      </c>
      <c r="W1076" s="178">
        <f t="shared" si="168"/>
        <v>146.09699999999998</v>
      </c>
      <c r="X1076" s="481">
        <f t="shared" si="169"/>
        <v>-58.955500000000029</v>
      </c>
      <c r="Y1076" s="179"/>
      <c r="Z1076" s="466">
        <f t="shared" si="170"/>
        <v>214.99754625</v>
      </c>
      <c r="AA1076" s="473">
        <f t="shared" si="171"/>
        <v>-68.900546250000019</v>
      </c>
      <c r="AB1076" s="339">
        <f t="shared" si="172"/>
        <v>-0.28751417319954664</v>
      </c>
    </row>
    <row r="1077" spans="2:28" ht="20.100000000000001" customHeight="1">
      <c r="B1077" s="172">
        <v>1427200</v>
      </c>
      <c r="C1077" s="174">
        <v>44503</v>
      </c>
      <c r="D1077" s="181" t="s">
        <v>277</v>
      </c>
      <c r="E1077" s="173" t="s">
        <v>33</v>
      </c>
      <c r="F1077" s="176">
        <v>59.959696969696971</v>
      </c>
      <c r="G1077" s="175">
        <f t="shared" si="163"/>
        <v>1</v>
      </c>
      <c r="H1077" s="175">
        <f t="shared" si="164"/>
        <v>59.959696969696971</v>
      </c>
      <c r="I1077" s="177">
        <f>IF(G1077=0,0,IF(E1077="MXN",1/HLOOKUP(YEAR(C1077)+(MONTH(C1077)/100),TC!$5:$37,DAY(C1077)+2,FALSE),VLOOKUP(E1077,Equivalencia!$5:$23,((MAX(Equivalencia!$3:$3)-YEAR(C1077))*14)+MONTH(C1077)+2,FALSE)))</f>
        <v>1</v>
      </c>
      <c r="J1077" s="178">
        <f t="shared" si="165"/>
        <v>59.959696969696971</v>
      </c>
      <c r="K1077" s="462">
        <f>IF(C1077=0,0,VLOOKUP(YEAR(C1077),INPC!$B$4:$O$29,MONTH(C1077)+1))</f>
        <v>116.884</v>
      </c>
      <c r="L1077" s="462">
        <f>IF(S1077=0,0,VLOOKUP(YEAR(S1077),INPC!$B$4:$O$29,MONTH(S1077)+1))</f>
        <v>125.997</v>
      </c>
      <c r="M1077" s="463">
        <f t="shared" si="166"/>
        <v>1.0779000000000001</v>
      </c>
      <c r="N1077" s="465">
        <f t="shared" si="167"/>
        <v>64.63055736363637</v>
      </c>
      <c r="O1077" s="179"/>
      <c r="P1077" s="180">
        <v>1</v>
      </c>
      <c r="Q1077" s="173" t="s">
        <v>583</v>
      </c>
      <c r="R1077" s="173" t="s">
        <v>230</v>
      </c>
      <c r="S1077" s="174">
        <v>44876</v>
      </c>
      <c r="T1077" s="173" t="s">
        <v>33</v>
      </c>
      <c r="U1077" s="182">
        <v>48.15</v>
      </c>
      <c r="V1077" s="177">
        <f>IF(U1077=0,0,IF(T1077="MXN",1/HLOOKUP(YEAR(S1077)+(MONTH(S1077)/100),TC!$5:$37,DAY(S1077)+2,FALSE),VLOOKUP(T1077,Equivalencia!$1:$23,((MAX(Equivalencia!$3:$3)-YEAR(S1077))*14)+MONTH(S1077)+2,FALSE)))</f>
        <v>1</v>
      </c>
      <c r="W1077" s="178">
        <f t="shared" si="168"/>
        <v>48.15</v>
      </c>
      <c r="X1077" s="481">
        <f t="shared" si="169"/>
        <v>-11.809696969696972</v>
      </c>
      <c r="Y1077" s="179"/>
      <c r="Z1077" s="466">
        <f t="shared" si="170"/>
        <v>64.63055736363637</v>
      </c>
      <c r="AA1077" s="473">
        <f t="shared" si="171"/>
        <v>-16.480557363636372</v>
      </c>
      <c r="AB1077" s="339">
        <f t="shared" si="172"/>
        <v>-0.19696058463513377</v>
      </c>
    </row>
    <row r="1078" spans="2:28" ht="20.100000000000001" customHeight="1">
      <c r="B1078" s="172">
        <v>1427200</v>
      </c>
      <c r="C1078" s="174">
        <v>44503</v>
      </c>
      <c r="D1078" s="181" t="s">
        <v>277</v>
      </c>
      <c r="E1078" s="173" t="s">
        <v>33</v>
      </c>
      <c r="F1078" s="176">
        <v>59.959696969696971</v>
      </c>
      <c r="G1078" s="175">
        <f t="shared" si="163"/>
        <v>1</v>
      </c>
      <c r="H1078" s="175">
        <f t="shared" si="164"/>
        <v>59.959696969696971</v>
      </c>
      <c r="I1078" s="177">
        <f>IF(G1078=0,0,IF(E1078="MXN",1/HLOOKUP(YEAR(C1078)+(MONTH(C1078)/100),TC!$5:$37,DAY(C1078)+2,FALSE),VLOOKUP(E1078,Equivalencia!$5:$23,((MAX(Equivalencia!$3:$3)-YEAR(C1078))*14)+MONTH(C1078)+2,FALSE)))</f>
        <v>1</v>
      </c>
      <c r="J1078" s="178">
        <f t="shared" si="165"/>
        <v>59.959696969696971</v>
      </c>
      <c r="K1078" s="462">
        <f>IF(C1078=0,0,VLOOKUP(YEAR(C1078),INPC!$B$4:$O$29,MONTH(C1078)+1))</f>
        <v>116.884</v>
      </c>
      <c r="L1078" s="462">
        <f>IF(S1078=0,0,VLOOKUP(YEAR(S1078),INPC!$B$4:$O$29,MONTH(S1078)+1))</f>
        <v>125.997</v>
      </c>
      <c r="M1078" s="463">
        <f t="shared" si="166"/>
        <v>1.0779000000000001</v>
      </c>
      <c r="N1078" s="465">
        <f t="shared" si="167"/>
        <v>64.63055736363637</v>
      </c>
      <c r="O1078" s="179"/>
      <c r="P1078" s="180">
        <v>1</v>
      </c>
      <c r="Q1078" s="173" t="s">
        <v>583</v>
      </c>
      <c r="R1078" s="173" t="s">
        <v>230</v>
      </c>
      <c r="S1078" s="174">
        <v>44876</v>
      </c>
      <c r="T1078" s="173" t="s">
        <v>33</v>
      </c>
      <c r="U1078" s="182">
        <v>47.29</v>
      </c>
      <c r="V1078" s="177">
        <f>IF(U1078=0,0,IF(T1078="MXN",1/HLOOKUP(YEAR(S1078)+(MONTH(S1078)/100),TC!$5:$37,DAY(S1078)+2,FALSE),VLOOKUP(T1078,Equivalencia!$1:$23,((MAX(Equivalencia!$3:$3)-YEAR(S1078))*14)+MONTH(S1078)+2,FALSE)))</f>
        <v>1</v>
      </c>
      <c r="W1078" s="178">
        <f t="shared" si="168"/>
        <v>47.29</v>
      </c>
      <c r="X1078" s="481">
        <f t="shared" si="169"/>
        <v>-12.669696969696972</v>
      </c>
      <c r="Y1078" s="179"/>
      <c r="Z1078" s="466">
        <f t="shared" si="170"/>
        <v>64.63055736363637</v>
      </c>
      <c r="AA1078" s="473">
        <f t="shared" si="171"/>
        <v>-17.340557363636371</v>
      </c>
      <c r="AB1078" s="339">
        <f t="shared" si="172"/>
        <v>-0.2113035523861988</v>
      </c>
    </row>
    <row r="1079" spans="2:28" ht="20.100000000000001" customHeight="1">
      <c r="B1079" s="172">
        <v>1427200</v>
      </c>
      <c r="C1079" s="174">
        <v>44503</v>
      </c>
      <c r="D1079" s="181" t="s">
        <v>277</v>
      </c>
      <c r="E1079" s="173" t="s">
        <v>33</v>
      </c>
      <c r="F1079" s="176">
        <v>899.39545454545453</v>
      </c>
      <c r="G1079" s="175">
        <f t="shared" si="163"/>
        <v>15</v>
      </c>
      <c r="H1079" s="175">
        <f t="shared" si="164"/>
        <v>899.39545454545453</v>
      </c>
      <c r="I1079" s="177">
        <f>IF(G1079=0,0,IF(E1079="MXN",1/HLOOKUP(YEAR(C1079)+(MONTH(C1079)/100),TC!$5:$37,DAY(C1079)+2,FALSE),VLOOKUP(E1079,Equivalencia!$5:$23,((MAX(Equivalencia!$3:$3)-YEAR(C1079))*14)+MONTH(C1079)+2,FALSE)))</f>
        <v>1</v>
      </c>
      <c r="J1079" s="178">
        <f t="shared" si="165"/>
        <v>899.39545454545453</v>
      </c>
      <c r="K1079" s="462">
        <f>IF(C1079=0,0,VLOOKUP(YEAR(C1079),INPC!$B$4:$O$29,MONTH(C1079)+1))</f>
        <v>116.884</v>
      </c>
      <c r="L1079" s="462">
        <f>IF(S1079=0,0,VLOOKUP(YEAR(S1079),INPC!$B$4:$O$29,MONTH(S1079)+1))</f>
        <v>125.997</v>
      </c>
      <c r="M1079" s="463">
        <f t="shared" si="166"/>
        <v>1.0779000000000001</v>
      </c>
      <c r="N1079" s="465">
        <f t="shared" si="167"/>
        <v>969.45836045454553</v>
      </c>
      <c r="O1079" s="179"/>
      <c r="P1079" s="180">
        <v>15</v>
      </c>
      <c r="Q1079" s="173" t="s">
        <v>583</v>
      </c>
      <c r="R1079" s="173" t="s">
        <v>230</v>
      </c>
      <c r="S1079" s="174">
        <v>44876</v>
      </c>
      <c r="T1079" s="173" t="s">
        <v>33</v>
      </c>
      <c r="U1079" s="182">
        <v>715.85</v>
      </c>
      <c r="V1079" s="177">
        <f>IF(U1079=0,0,IF(T1079="MXN",1/HLOOKUP(YEAR(S1079)+(MONTH(S1079)/100),TC!$5:$37,DAY(S1079)+2,FALSE),VLOOKUP(T1079,Equivalencia!$1:$23,((MAX(Equivalencia!$3:$3)-YEAR(S1079))*14)+MONTH(S1079)+2,FALSE)))</f>
        <v>1</v>
      </c>
      <c r="W1079" s="178">
        <f t="shared" si="168"/>
        <v>715.85</v>
      </c>
      <c r="X1079" s="481">
        <f t="shared" si="169"/>
        <v>-183.5454545454545</v>
      </c>
      <c r="Y1079" s="179"/>
      <c r="Z1079" s="466">
        <f t="shared" si="170"/>
        <v>969.45836045454553</v>
      </c>
      <c r="AA1079" s="473">
        <f t="shared" si="171"/>
        <v>-253.6083604545455</v>
      </c>
      <c r="AB1079" s="339">
        <f t="shared" si="172"/>
        <v>-0.20407647561240627</v>
      </c>
    </row>
    <row r="1080" spans="2:28" ht="20.100000000000001" customHeight="1">
      <c r="B1080" s="172">
        <v>1427200</v>
      </c>
      <c r="C1080" s="174">
        <v>44503</v>
      </c>
      <c r="D1080" s="181" t="s">
        <v>277</v>
      </c>
      <c r="E1080" s="173" t="s">
        <v>33</v>
      </c>
      <c r="F1080" s="176">
        <v>59.959696969696971</v>
      </c>
      <c r="G1080" s="175">
        <f t="shared" si="163"/>
        <v>1</v>
      </c>
      <c r="H1080" s="175">
        <f t="shared" si="164"/>
        <v>59.959696969696971</v>
      </c>
      <c r="I1080" s="177">
        <f>IF(G1080=0,0,IF(E1080="MXN",1/HLOOKUP(YEAR(C1080)+(MONTH(C1080)/100),TC!$5:$37,DAY(C1080)+2,FALSE),VLOOKUP(E1080,Equivalencia!$5:$23,((MAX(Equivalencia!$3:$3)-YEAR(C1080))*14)+MONTH(C1080)+2,FALSE)))</f>
        <v>1</v>
      </c>
      <c r="J1080" s="178">
        <f t="shared" si="165"/>
        <v>59.959696969696971</v>
      </c>
      <c r="K1080" s="462">
        <f>IF(C1080=0,0,VLOOKUP(YEAR(C1080),INPC!$B$4:$O$29,MONTH(C1080)+1))</f>
        <v>116.884</v>
      </c>
      <c r="L1080" s="462">
        <f>IF(S1080=0,0,VLOOKUP(YEAR(S1080),INPC!$B$4:$O$29,MONTH(S1080)+1))</f>
        <v>125.997</v>
      </c>
      <c r="M1080" s="463">
        <f t="shared" si="166"/>
        <v>1.0779000000000001</v>
      </c>
      <c r="N1080" s="465">
        <f t="shared" si="167"/>
        <v>64.63055736363637</v>
      </c>
      <c r="O1080" s="179"/>
      <c r="P1080" s="180">
        <v>1</v>
      </c>
      <c r="Q1080" s="173" t="s">
        <v>583</v>
      </c>
      <c r="R1080" s="173" t="s">
        <v>230</v>
      </c>
      <c r="S1080" s="174">
        <v>44876</v>
      </c>
      <c r="T1080" s="173" t="s">
        <v>33</v>
      </c>
      <c r="U1080" s="182">
        <v>47.74</v>
      </c>
      <c r="V1080" s="177">
        <f>IF(U1080=0,0,IF(T1080="MXN",1/HLOOKUP(YEAR(S1080)+(MONTH(S1080)/100),TC!$5:$37,DAY(S1080)+2,FALSE),VLOOKUP(T1080,Equivalencia!$1:$23,((MAX(Equivalencia!$3:$3)-YEAR(S1080))*14)+MONTH(S1080)+2,FALSE)))</f>
        <v>1</v>
      </c>
      <c r="W1080" s="178">
        <f t="shared" si="168"/>
        <v>47.74</v>
      </c>
      <c r="X1080" s="481">
        <f t="shared" si="169"/>
        <v>-12.219696969696969</v>
      </c>
      <c r="Y1080" s="179"/>
      <c r="Z1080" s="466">
        <f t="shared" si="170"/>
        <v>64.63055736363637</v>
      </c>
      <c r="AA1080" s="473">
        <f t="shared" si="171"/>
        <v>-16.890557363636368</v>
      </c>
      <c r="AB1080" s="339">
        <f t="shared" si="172"/>
        <v>-0.20379851112110658</v>
      </c>
    </row>
    <row r="1081" spans="2:28" ht="20.100000000000001" customHeight="1">
      <c r="B1081" s="172">
        <v>1427200</v>
      </c>
      <c r="C1081" s="174">
        <v>44503</v>
      </c>
      <c r="D1081" s="181" t="s">
        <v>277</v>
      </c>
      <c r="E1081" s="173" t="s">
        <v>33</v>
      </c>
      <c r="F1081" s="176">
        <v>59.959696969696971</v>
      </c>
      <c r="G1081" s="175">
        <f t="shared" si="163"/>
        <v>1</v>
      </c>
      <c r="H1081" s="175">
        <f t="shared" si="164"/>
        <v>59.959696969696971</v>
      </c>
      <c r="I1081" s="177">
        <f>IF(G1081=0,0,IF(E1081="MXN",1/HLOOKUP(YEAR(C1081)+(MONTH(C1081)/100),TC!$5:$37,DAY(C1081)+2,FALSE),VLOOKUP(E1081,Equivalencia!$5:$23,((MAX(Equivalencia!$3:$3)-YEAR(C1081))*14)+MONTH(C1081)+2,FALSE)))</f>
        <v>1</v>
      </c>
      <c r="J1081" s="178">
        <f t="shared" si="165"/>
        <v>59.959696969696971</v>
      </c>
      <c r="K1081" s="462">
        <f>IF(C1081=0,0,VLOOKUP(YEAR(C1081),INPC!$B$4:$O$29,MONTH(C1081)+1))</f>
        <v>116.884</v>
      </c>
      <c r="L1081" s="462">
        <f>IF(S1081=0,0,VLOOKUP(YEAR(S1081),INPC!$B$4:$O$29,MONTH(S1081)+1))</f>
        <v>125.997</v>
      </c>
      <c r="M1081" s="463">
        <f t="shared" si="166"/>
        <v>1.0779000000000001</v>
      </c>
      <c r="N1081" s="465">
        <f t="shared" si="167"/>
        <v>64.63055736363637</v>
      </c>
      <c r="O1081" s="179"/>
      <c r="P1081" s="180">
        <v>1</v>
      </c>
      <c r="Q1081" s="173" t="s">
        <v>583</v>
      </c>
      <c r="R1081" s="173" t="s">
        <v>230</v>
      </c>
      <c r="S1081" s="174">
        <v>44879</v>
      </c>
      <c r="T1081" s="173" t="s">
        <v>33</v>
      </c>
      <c r="U1081" s="182">
        <v>46.06</v>
      </c>
      <c r="V1081" s="177">
        <f>IF(U1081=0,0,IF(T1081="MXN",1/HLOOKUP(YEAR(S1081)+(MONTH(S1081)/100),TC!$5:$37,DAY(S1081)+2,FALSE),VLOOKUP(T1081,Equivalencia!$1:$23,((MAX(Equivalencia!$3:$3)-YEAR(S1081))*14)+MONTH(S1081)+2,FALSE)))</f>
        <v>1</v>
      </c>
      <c r="W1081" s="178">
        <f t="shared" si="168"/>
        <v>46.06</v>
      </c>
      <c r="X1081" s="481">
        <f t="shared" si="169"/>
        <v>-13.899696969696969</v>
      </c>
      <c r="Y1081" s="179"/>
      <c r="Z1081" s="466">
        <f t="shared" si="170"/>
        <v>64.63055736363637</v>
      </c>
      <c r="AA1081" s="473">
        <f t="shared" si="171"/>
        <v>-18.570557363636368</v>
      </c>
      <c r="AB1081" s="339">
        <f t="shared" si="172"/>
        <v>-0.23181733184411746</v>
      </c>
    </row>
    <row r="1082" spans="2:28" ht="20.100000000000001" customHeight="1">
      <c r="B1082" s="172">
        <v>1427200</v>
      </c>
      <c r="C1082" s="174">
        <v>44638</v>
      </c>
      <c r="D1082" s="181" t="s">
        <v>390</v>
      </c>
      <c r="E1082" s="173" t="s">
        <v>33</v>
      </c>
      <c r="F1082" s="176">
        <v>903.81666666666661</v>
      </c>
      <c r="G1082" s="175">
        <f t="shared" si="163"/>
        <v>10</v>
      </c>
      <c r="H1082" s="175">
        <f t="shared" si="164"/>
        <v>903.81666666666661</v>
      </c>
      <c r="I1082" s="177">
        <f>IF(G1082=0,0,IF(E1082="MXN",1/HLOOKUP(YEAR(C1082)+(MONTH(C1082)/100),TC!$5:$37,DAY(C1082)+2,FALSE),VLOOKUP(E1082,Equivalencia!$5:$23,((MAX(Equivalencia!$3:$3)-YEAR(C1082))*14)+MONTH(C1082)+2,FALSE)))</f>
        <v>1</v>
      </c>
      <c r="J1082" s="178">
        <f t="shared" si="165"/>
        <v>903.81666666666661</v>
      </c>
      <c r="K1082" s="462">
        <f>IF(C1082=0,0,VLOOKUP(YEAR(C1082),INPC!$B$4:$O$29,MONTH(C1082)+1))</f>
        <v>120.15900000000001</v>
      </c>
      <c r="L1082" s="462">
        <f>IF(S1082=0,0,VLOOKUP(YEAR(S1082),INPC!$B$4:$O$29,MONTH(S1082)+1))</f>
        <v>122.044</v>
      </c>
      <c r="M1082" s="463">
        <f t="shared" si="166"/>
        <v>1.0156000000000001</v>
      </c>
      <c r="N1082" s="465">
        <f t="shared" si="167"/>
        <v>917.91620666666665</v>
      </c>
      <c r="O1082" s="179"/>
      <c r="P1082" s="180">
        <v>10</v>
      </c>
      <c r="Q1082" s="173" t="s">
        <v>583</v>
      </c>
      <c r="R1082" s="173" t="s">
        <v>230</v>
      </c>
      <c r="S1082" s="174">
        <v>44725</v>
      </c>
      <c r="T1082" s="173" t="s">
        <v>33</v>
      </c>
      <c r="U1082" s="182">
        <v>550.63</v>
      </c>
      <c r="V1082" s="177">
        <f>IF(U1082=0,0,IF(T1082="MXN",1/HLOOKUP(YEAR(S1082)+(MONTH(S1082)/100),TC!$5:$37,DAY(S1082)+2,FALSE),VLOOKUP(T1082,Equivalencia!$1:$23,((MAX(Equivalencia!$3:$3)-YEAR(S1082))*14)+MONTH(S1082)+2,FALSE)))</f>
        <v>1</v>
      </c>
      <c r="W1082" s="178">
        <f t="shared" si="168"/>
        <v>550.63</v>
      </c>
      <c r="X1082" s="481">
        <f t="shared" si="169"/>
        <v>-353.18666666666661</v>
      </c>
      <c r="Y1082" s="179"/>
      <c r="Z1082" s="466">
        <f t="shared" si="170"/>
        <v>917.91620666666665</v>
      </c>
      <c r="AA1082" s="473">
        <f t="shared" si="171"/>
        <v>-367.28620666666666</v>
      </c>
      <c r="AB1082" s="339">
        <f t="shared" si="172"/>
        <v>-0.39077246491729511</v>
      </c>
    </row>
    <row r="1083" spans="2:28" ht="20.100000000000001" customHeight="1">
      <c r="B1083" s="172">
        <v>1427200</v>
      </c>
      <c r="C1083" s="174">
        <v>44638</v>
      </c>
      <c r="D1083" s="181" t="s">
        <v>390</v>
      </c>
      <c r="E1083" s="173" t="s">
        <v>33</v>
      </c>
      <c r="F1083" s="176">
        <v>632.67166666666662</v>
      </c>
      <c r="G1083" s="175">
        <f t="shared" si="163"/>
        <v>7</v>
      </c>
      <c r="H1083" s="175">
        <f t="shared" si="164"/>
        <v>632.67166666666662</v>
      </c>
      <c r="I1083" s="177">
        <f>IF(G1083=0,0,IF(E1083="MXN",1/HLOOKUP(YEAR(C1083)+(MONTH(C1083)/100),TC!$5:$37,DAY(C1083)+2,FALSE),VLOOKUP(E1083,Equivalencia!$5:$23,((MAX(Equivalencia!$3:$3)-YEAR(C1083))*14)+MONTH(C1083)+2,FALSE)))</f>
        <v>1</v>
      </c>
      <c r="J1083" s="178">
        <f t="shared" si="165"/>
        <v>632.67166666666662</v>
      </c>
      <c r="K1083" s="462">
        <f>IF(C1083=0,0,VLOOKUP(YEAR(C1083),INPC!$B$4:$O$29,MONTH(C1083)+1))</f>
        <v>120.15900000000001</v>
      </c>
      <c r="L1083" s="462">
        <f>IF(S1083=0,0,VLOOKUP(YEAR(S1083),INPC!$B$4:$O$29,MONTH(S1083)+1))</f>
        <v>122.044</v>
      </c>
      <c r="M1083" s="463">
        <f t="shared" si="166"/>
        <v>1.0156000000000001</v>
      </c>
      <c r="N1083" s="465">
        <f t="shared" si="167"/>
        <v>642.54134466666665</v>
      </c>
      <c r="O1083" s="179"/>
      <c r="P1083" s="180">
        <v>7</v>
      </c>
      <c r="Q1083" s="173" t="s">
        <v>583</v>
      </c>
      <c r="R1083" s="173" t="s">
        <v>230</v>
      </c>
      <c r="S1083" s="174">
        <v>44725</v>
      </c>
      <c r="T1083" s="173" t="s">
        <v>33</v>
      </c>
      <c r="U1083" s="182">
        <v>386.82</v>
      </c>
      <c r="V1083" s="177">
        <f>IF(U1083=0,0,IF(T1083="MXN",1/HLOOKUP(YEAR(S1083)+(MONTH(S1083)/100),TC!$5:$37,DAY(S1083)+2,FALSE),VLOOKUP(T1083,Equivalencia!$1:$23,((MAX(Equivalencia!$3:$3)-YEAR(S1083))*14)+MONTH(S1083)+2,FALSE)))</f>
        <v>1</v>
      </c>
      <c r="W1083" s="178">
        <f t="shared" si="168"/>
        <v>386.82</v>
      </c>
      <c r="X1083" s="481">
        <f t="shared" si="169"/>
        <v>-245.85166666666663</v>
      </c>
      <c r="Y1083" s="179"/>
      <c r="Z1083" s="466">
        <f t="shared" si="170"/>
        <v>642.54134466666665</v>
      </c>
      <c r="AA1083" s="473">
        <f t="shared" si="171"/>
        <v>-255.72134466666665</v>
      </c>
      <c r="AB1083" s="339">
        <f t="shared" si="172"/>
        <v>-0.3885928193402054</v>
      </c>
    </row>
    <row r="1084" spans="2:28" ht="20.100000000000001" customHeight="1">
      <c r="B1084" s="172">
        <v>1427200</v>
      </c>
      <c r="C1084" s="174">
        <v>44638</v>
      </c>
      <c r="D1084" s="181" t="s">
        <v>390</v>
      </c>
      <c r="E1084" s="173" t="s">
        <v>33</v>
      </c>
      <c r="F1084" s="176">
        <v>632.67166666666662</v>
      </c>
      <c r="G1084" s="175">
        <f t="shared" si="163"/>
        <v>7</v>
      </c>
      <c r="H1084" s="175">
        <f t="shared" si="164"/>
        <v>632.67166666666662</v>
      </c>
      <c r="I1084" s="177">
        <f>IF(G1084=0,0,IF(E1084="MXN",1/HLOOKUP(YEAR(C1084)+(MONTH(C1084)/100),TC!$5:$37,DAY(C1084)+2,FALSE),VLOOKUP(E1084,Equivalencia!$5:$23,((MAX(Equivalencia!$3:$3)-YEAR(C1084))*14)+MONTH(C1084)+2,FALSE)))</f>
        <v>1</v>
      </c>
      <c r="J1084" s="178">
        <f t="shared" si="165"/>
        <v>632.67166666666662</v>
      </c>
      <c r="K1084" s="462">
        <f>IF(C1084=0,0,VLOOKUP(YEAR(C1084),INPC!$B$4:$O$29,MONTH(C1084)+1))</f>
        <v>120.15900000000001</v>
      </c>
      <c r="L1084" s="462">
        <f>IF(S1084=0,0,VLOOKUP(YEAR(S1084),INPC!$B$4:$O$29,MONTH(S1084)+1))</f>
        <v>122.044</v>
      </c>
      <c r="M1084" s="463">
        <f t="shared" si="166"/>
        <v>1.0156000000000001</v>
      </c>
      <c r="N1084" s="465">
        <f t="shared" si="167"/>
        <v>642.54134466666665</v>
      </c>
      <c r="O1084" s="179"/>
      <c r="P1084" s="180">
        <v>7</v>
      </c>
      <c r="Q1084" s="173" t="s">
        <v>583</v>
      </c>
      <c r="R1084" s="173" t="s">
        <v>230</v>
      </c>
      <c r="S1084" s="174">
        <v>44725</v>
      </c>
      <c r="T1084" s="173" t="s">
        <v>33</v>
      </c>
      <c r="U1084" s="182">
        <v>382.83</v>
      </c>
      <c r="V1084" s="177">
        <f>IF(U1084=0,0,IF(T1084="MXN",1/HLOOKUP(YEAR(S1084)+(MONTH(S1084)/100),TC!$5:$37,DAY(S1084)+2,FALSE),VLOOKUP(T1084,Equivalencia!$1:$23,((MAX(Equivalencia!$3:$3)-YEAR(S1084))*14)+MONTH(S1084)+2,FALSE)))</f>
        <v>1</v>
      </c>
      <c r="W1084" s="178">
        <f t="shared" si="168"/>
        <v>382.83</v>
      </c>
      <c r="X1084" s="481">
        <f t="shared" si="169"/>
        <v>-249.84166666666664</v>
      </c>
      <c r="Y1084" s="179"/>
      <c r="Z1084" s="466">
        <f t="shared" si="170"/>
        <v>642.54134466666665</v>
      </c>
      <c r="AA1084" s="473">
        <f t="shared" si="171"/>
        <v>-259.71134466666666</v>
      </c>
      <c r="AB1084" s="339">
        <f t="shared" si="172"/>
        <v>-0.39489940806579504</v>
      </c>
    </row>
    <row r="1085" spans="2:28" ht="20.100000000000001" customHeight="1">
      <c r="B1085" s="172">
        <v>1427200</v>
      </c>
      <c r="C1085" s="174">
        <v>44641</v>
      </c>
      <c r="D1085" s="181" t="s">
        <v>390</v>
      </c>
      <c r="E1085" s="173" t="s">
        <v>33</v>
      </c>
      <c r="F1085" s="176">
        <v>100.265</v>
      </c>
      <c r="G1085" s="175">
        <f t="shared" si="163"/>
        <v>1</v>
      </c>
      <c r="H1085" s="175">
        <f t="shared" si="164"/>
        <v>100.265</v>
      </c>
      <c r="I1085" s="177">
        <f>IF(G1085=0,0,IF(E1085="MXN",1/HLOOKUP(YEAR(C1085)+(MONTH(C1085)/100),TC!$5:$37,DAY(C1085)+2,FALSE),VLOOKUP(E1085,Equivalencia!$5:$23,((MAX(Equivalencia!$3:$3)-YEAR(C1085))*14)+MONTH(C1085)+2,FALSE)))</f>
        <v>1</v>
      </c>
      <c r="J1085" s="178">
        <f t="shared" si="165"/>
        <v>100.265</v>
      </c>
      <c r="K1085" s="462">
        <f>IF(C1085=0,0,VLOOKUP(YEAR(C1085),INPC!$B$4:$O$29,MONTH(C1085)+1))</f>
        <v>120.15900000000001</v>
      </c>
      <c r="L1085" s="462">
        <f>IF(S1085=0,0,VLOOKUP(YEAR(S1085),INPC!$B$4:$O$29,MONTH(S1085)+1))</f>
        <v>122.044</v>
      </c>
      <c r="M1085" s="463">
        <f t="shared" si="166"/>
        <v>1.0156000000000001</v>
      </c>
      <c r="N1085" s="465">
        <f t="shared" si="167"/>
        <v>101.82913400000001</v>
      </c>
      <c r="O1085" s="179"/>
      <c r="P1085" s="180">
        <v>1</v>
      </c>
      <c r="Q1085" s="173" t="s">
        <v>583</v>
      </c>
      <c r="R1085" s="173" t="s">
        <v>230</v>
      </c>
      <c r="S1085" s="174">
        <v>44725</v>
      </c>
      <c r="T1085" s="173" t="s">
        <v>33</v>
      </c>
      <c r="U1085" s="182">
        <v>54.69</v>
      </c>
      <c r="V1085" s="177">
        <f>IF(U1085=0,0,IF(T1085="MXN",1/HLOOKUP(YEAR(S1085)+(MONTH(S1085)/100),TC!$5:$37,DAY(S1085)+2,FALSE),VLOOKUP(T1085,Equivalencia!$1:$23,((MAX(Equivalencia!$3:$3)-YEAR(S1085))*14)+MONTH(S1085)+2,FALSE)))</f>
        <v>1</v>
      </c>
      <c r="W1085" s="178">
        <f t="shared" si="168"/>
        <v>54.69</v>
      </c>
      <c r="X1085" s="481">
        <f t="shared" si="169"/>
        <v>-45.575000000000003</v>
      </c>
      <c r="Y1085" s="179"/>
      <c r="Z1085" s="466">
        <f t="shared" si="170"/>
        <v>101.82913400000001</v>
      </c>
      <c r="AA1085" s="473">
        <f t="shared" si="171"/>
        <v>-47.139134000000013</v>
      </c>
      <c r="AB1085" s="339">
        <f t="shared" si="172"/>
        <v>-0.45454545454545459</v>
      </c>
    </row>
    <row r="1086" spans="2:28" ht="20.100000000000001" customHeight="1">
      <c r="B1086" s="172">
        <v>1427200</v>
      </c>
      <c r="C1086" s="174">
        <v>44641</v>
      </c>
      <c r="D1086" s="181" t="s">
        <v>390</v>
      </c>
      <c r="E1086" s="173" t="s">
        <v>33</v>
      </c>
      <c r="F1086" s="176">
        <v>100.265</v>
      </c>
      <c r="G1086" s="175">
        <f t="shared" si="163"/>
        <v>1</v>
      </c>
      <c r="H1086" s="175">
        <f t="shared" si="164"/>
        <v>100.265</v>
      </c>
      <c r="I1086" s="177">
        <f>IF(G1086=0,0,IF(E1086="MXN",1/HLOOKUP(YEAR(C1086)+(MONTH(C1086)/100),TC!$5:$37,DAY(C1086)+2,FALSE),VLOOKUP(E1086,Equivalencia!$5:$23,((MAX(Equivalencia!$3:$3)-YEAR(C1086))*14)+MONTH(C1086)+2,FALSE)))</f>
        <v>1</v>
      </c>
      <c r="J1086" s="178">
        <f t="shared" si="165"/>
        <v>100.265</v>
      </c>
      <c r="K1086" s="462">
        <f>IF(C1086=0,0,VLOOKUP(YEAR(C1086),INPC!$B$4:$O$29,MONTH(C1086)+1))</f>
        <v>120.15900000000001</v>
      </c>
      <c r="L1086" s="462">
        <f>IF(S1086=0,0,VLOOKUP(YEAR(S1086),INPC!$B$4:$O$29,MONTH(S1086)+1))</f>
        <v>122.044</v>
      </c>
      <c r="M1086" s="463">
        <f t="shared" si="166"/>
        <v>1.0156000000000001</v>
      </c>
      <c r="N1086" s="465">
        <f t="shared" si="167"/>
        <v>101.82913400000001</v>
      </c>
      <c r="O1086" s="179"/>
      <c r="P1086" s="180">
        <v>1</v>
      </c>
      <c r="Q1086" s="173" t="s">
        <v>583</v>
      </c>
      <c r="R1086" s="173" t="s">
        <v>230</v>
      </c>
      <c r="S1086" s="174">
        <v>44726</v>
      </c>
      <c r="T1086" s="173" t="s">
        <v>33</v>
      </c>
      <c r="U1086" s="182">
        <v>54.361428571428569</v>
      </c>
      <c r="V1086" s="177">
        <f>IF(U1086=0,0,IF(T1086="MXN",1/HLOOKUP(YEAR(S1086)+(MONTH(S1086)/100),TC!$5:$37,DAY(S1086)+2,FALSE),VLOOKUP(T1086,Equivalencia!$1:$23,((MAX(Equivalencia!$3:$3)-YEAR(S1086))*14)+MONTH(S1086)+2,FALSE)))</f>
        <v>1</v>
      </c>
      <c r="W1086" s="178">
        <f t="shared" si="168"/>
        <v>54.361428571428569</v>
      </c>
      <c r="X1086" s="481">
        <f t="shared" si="169"/>
        <v>-45.903571428571432</v>
      </c>
      <c r="Y1086" s="179"/>
      <c r="Z1086" s="466">
        <f t="shared" si="170"/>
        <v>101.82913400000001</v>
      </c>
      <c r="AA1086" s="473">
        <f t="shared" si="171"/>
        <v>-47.467705428571442</v>
      </c>
      <c r="AB1086" s="339">
        <f t="shared" si="172"/>
        <v>-0.45782248470125597</v>
      </c>
    </row>
    <row r="1087" spans="2:28" ht="20.100000000000001" customHeight="1">
      <c r="B1087" s="172">
        <v>1427200</v>
      </c>
      <c r="C1087" s="174">
        <v>44641</v>
      </c>
      <c r="D1087" s="181" t="s">
        <v>390</v>
      </c>
      <c r="E1087" s="173" t="s">
        <v>33</v>
      </c>
      <c r="F1087" s="176">
        <v>303.55</v>
      </c>
      <c r="G1087" s="175">
        <f t="shared" si="163"/>
        <v>3</v>
      </c>
      <c r="H1087" s="175">
        <f t="shared" si="164"/>
        <v>303.55</v>
      </c>
      <c r="I1087" s="177">
        <f>IF(G1087=0,0,IF(E1087="MXN",1/HLOOKUP(YEAR(C1087)+(MONTH(C1087)/100),TC!$5:$37,DAY(C1087)+2,FALSE),VLOOKUP(E1087,Equivalencia!$5:$23,((MAX(Equivalencia!$3:$3)-YEAR(C1087))*14)+MONTH(C1087)+2,FALSE)))</f>
        <v>1</v>
      </c>
      <c r="J1087" s="178">
        <f t="shared" si="165"/>
        <v>303.55</v>
      </c>
      <c r="K1087" s="462">
        <f>IF(C1087=0,0,VLOOKUP(YEAR(C1087),INPC!$B$4:$O$29,MONTH(C1087)+1))</f>
        <v>120.15900000000001</v>
      </c>
      <c r="L1087" s="462">
        <f>IF(S1087=0,0,VLOOKUP(YEAR(S1087),INPC!$B$4:$O$29,MONTH(S1087)+1))</f>
        <v>122.044</v>
      </c>
      <c r="M1087" s="463">
        <f t="shared" si="166"/>
        <v>1.0156000000000001</v>
      </c>
      <c r="N1087" s="465">
        <f t="shared" si="167"/>
        <v>308.28538000000003</v>
      </c>
      <c r="O1087" s="179"/>
      <c r="P1087" s="180">
        <v>3</v>
      </c>
      <c r="Q1087" s="173" t="s">
        <v>583</v>
      </c>
      <c r="R1087" s="173" t="s">
        <v>230</v>
      </c>
      <c r="S1087" s="174">
        <v>44726</v>
      </c>
      <c r="T1087" s="173" t="s">
        <v>33</v>
      </c>
      <c r="U1087" s="182">
        <v>163.0842857142857</v>
      </c>
      <c r="V1087" s="177">
        <f>IF(U1087=0,0,IF(T1087="MXN",1/HLOOKUP(YEAR(S1087)+(MONTH(S1087)/100),TC!$5:$37,DAY(S1087)+2,FALSE),VLOOKUP(T1087,Equivalencia!$1:$23,((MAX(Equivalencia!$3:$3)-YEAR(S1087))*14)+MONTH(S1087)+2,FALSE)))</f>
        <v>1</v>
      </c>
      <c r="W1087" s="178">
        <f t="shared" si="168"/>
        <v>163.0842857142857</v>
      </c>
      <c r="X1087" s="481">
        <f t="shared" si="169"/>
        <v>-140.46571428571431</v>
      </c>
      <c r="Y1087" s="179"/>
      <c r="Z1087" s="466">
        <f t="shared" si="170"/>
        <v>308.28538000000003</v>
      </c>
      <c r="AA1087" s="473">
        <f t="shared" si="171"/>
        <v>-145.20109428571433</v>
      </c>
      <c r="AB1087" s="339">
        <f t="shared" si="172"/>
        <v>-0.46274325246487991</v>
      </c>
    </row>
    <row r="1088" spans="2:28" ht="20.100000000000001" customHeight="1">
      <c r="B1088" s="172">
        <v>1427200</v>
      </c>
      <c r="C1088" s="174">
        <v>44641</v>
      </c>
      <c r="D1088" s="181" t="s">
        <v>390</v>
      </c>
      <c r="E1088" s="173" t="s">
        <v>33</v>
      </c>
      <c r="F1088" s="176">
        <v>887.38</v>
      </c>
      <c r="G1088" s="175">
        <f t="shared" si="163"/>
        <v>9</v>
      </c>
      <c r="H1088" s="175">
        <f t="shared" si="164"/>
        <v>887.38</v>
      </c>
      <c r="I1088" s="177">
        <f>IF(G1088=0,0,IF(E1088="MXN",1/HLOOKUP(YEAR(C1088)+(MONTH(C1088)/100),TC!$5:$37,DAY(C1088)+2,FALSE),VLOOKUP(E1088,Equivalencia!$5:$23,((MAX(Equivalencia!$3:$3)-YEAR(C1088))*14)+MONTH(C1088)+2,FALSE)))</f>
        <v>1</v>
      </c>
      <c r="J1088" s="178">
        <f t="shared" si="165"/>
        <v>887.38</v>
      </c>
      <c r="K1088" s="462">
        <f>IF(C1088=0,0,VLOOKUP(YEAR(C1088),INPC!$B$4:$O$29,MONTH(C1088)+1))</f>
        <v>120.15900000000001</v>
      </c>
      <c r="L1088" s="462">
        <f>IF(S1088=0,0,VLOOKUP(YEAR(S1088),INPC!$B$4:$O$29,MONTH(S1088)+1))</f>
        <v>122.044</v>
      </c>
      <c r="M1088" s="463">
        <f t="shared" si="166"/>
        <v>1.0156000000000001</v>
      </c>
      <c r="N1088" s="465">
        <f t="shared" si="167"/>
        <v>901.22312800000009</v>
      </c>
      <c r="O1088" s="179"/>
      <c r="P1088" s="180">
        <v>9</v>
      </c>
      <c r="Q1088" s="173" t="s">
        <v>583</v>
      </c>
      <c r="R1088" s="173" t="s">
        <v>230</v>
      </c>
      <c r="S1088" s="174">
        <v>44726</v>
      </c>
      <c r="T1088" s="173" t="s">
        <v>33</v>
      </c>
      <c r="U1088" s="182">
        <v>489.25285714285712</v>
      </c>
      <c r="V1088" s="177">
        <f>IF(U1088=0,0,IF(T1088="MXN",1/HLOOKUP(YEAR(S1088)+(MONTH(S1088)/100),TC!$5:$37,DAY(S1088)+2,FALSE),VLOOKUP(T1088,Equivalencia!$1:$23,((MAX(Equivalencia!$3:$3)-YEAR(S1088))*14)+MONTH(S1088)+2,FALSE)))</f>
        <v>1</v>
      </c>
      <c r="W1088" s="178">
        <f t="shared" si="168"/>
        <v>489.25285714285712</v>
      </c>
      <c r="X1088" s="481">
        <f t="shared" si="169"/>
        <v>-398.12714285714287</v>
      </c>
      <c r="Y1088" s="179"/>
      <c r="Z1088" s="466">
        <f t="shared" si="170"/>
        <v>901.22312800000009</v>
      </c>
      <c r="AA1088" s="473">
        <f t="shared" si="171"/>
        <v>-411.97027085714296</v>
      </c>
      <c r="AB1088" s="339">
        <f t="shared" si="172"/>
        <v>-0.44865462694352232</v>
      </c>
    </row>
    <row r="1089" spans="2:28" ht="20.100000000000001" customHeight="1">
      <c r="B1089" s="172">
        <v>1427200</v>
      </c>
      <c r="C1089" s="174">
        <v>44642</v>
      </c>
      <c r="D1089" s="181" t="s">
        <v>390</v>
      </c>
      <c r="E1089" s="173" t="s">
        <v>33</v>
      </c>
      <c r="F1089" s="176">
        <v>99.01</v>
      </c>
      <c r="G1089" s="175">
        <f t="shared" si="163"/>
        <v>1</v>
      </c>
      <c r="H1089" s="175">
        <f t="shared" si="164"/>
        <v>99.01</v>
      </c>
      <c r="I1089" s="177">
        <f>IF(G1089=0,0,IF(E1089="MXN",1/HLOOKUP(YEAR(C1089)+(MONTH(C1089)/100),TC!$5:$37,DAY(C1089)+2,FALSE),VLOOKUP(E1089,Equivalencia!$5:$23,((MAX(Equivalencia!$3:$3)-YEAR(C1089))*14)+MONTH(C1089)+2,FALSE)))</f>
        <v>1</v>
      </c>
      <c r="J1089" s="178">
        <f t="shared" si="165"/>
        <v>99.01</v>
      </c>
      <c r="K1089" s="462">
        <f>IF(C1089=0,0,VLOOKUP(YEAR(C1089),INPC!$B$4:$O$29,MONTH(C1089)+1))</f>
        <v>120.15900000000001</v>
      </c>
      <c r="L1089" s="462">
        <f>IF(S1089=0,0,VLOOKUP(YEAR(S1089),INPC!$B$4:$O$29,MONTH(S1089)+1))</f>
        <v>122.044</v>
      </c>
      <c r="M1089" s="463">
        <f t="shared" si="166"/>
        <v>1.0156000000000001</v>
      </c>
      <c r="N1089" s="465">
        <f t="shared" si="167"/>
        <v>100.55455600000001</v>
      </c>
      <c r="O1089" s="179"/>
      <c r="P1089" s="180">
        <v>1</v>
      </c>
      <c r="Q1089" s="173" t="s">
        <v>583</v>
      </c>
      <c r="R1089" s="173" t="s">
        <v>230</v>
      </c>
      <c r="S1089" s="174">
        <v>44726</v>
      </c>
      <c r="T1089" s="173" t="s">
        <v>33</v>
      </c>
      <c r="U1089" s="182">
        <v>54.361428571428569</v>
      </c>
      <c r="V1089" s="177">
        <f>IF(U1089=0,0,IF(T1089="MXN",1/HLOOKUP(YEAR(S1089)+(MONTH(S1089)/100),TC!$5:$37,DAY(S1089)+2,FALSE),VLOOKUP(T1089,Equivalencia!$1:$23,((MAX(Equivalencia!$3:$3)-YEAR(S1089))*14)+MONTH(S1089)+2,FALSE)))</f>
        <v>1</v>
      </c>
      <c r="W1089" s="178">
        <f t="shared" si="168"/>
        <v>54.361428571428569</v>
      </c>
      <c r="X1089" s="481">
        <f t="shared" si="169"/>
        <v>-44.648571428571437</v>
      </c>
      <c r="Y1089" s="179"/>
      <c r="Z1089" s="466">
        <f t="shared" si="170"/>
        <v>100.55455600000001</v>
      </c>
      <c r="AA1089" s="473">
        <f t="shared" si="171"/>
        <v>-46.193127428571437</v>
      </c>
      <c r="AB1089" s="339">
        <f t="shared" si="172"/>
        <v>-0.45095012047845096</v>
      </c>
    </row>
    <row r="1090" spans="2:28" ht="20.100000000000001" customHeight="1">
      <c r="B1090" s="172">
        <v>1427200</v>
      </c>
      <c r="C1090" s="174">
        <v>44642</v>
      </c>
      <c r="D1090" s="181" t="s">
        <v>390</v>
      </c>
      <c r="E1090" s="173" t="s">
        <v>33</v>
      </c>
      <c r="F1090" s="176">
        <v>99.01</v>
      </c>
      <c r="G1090" s="175">
        <f t="shared" si="163"/>
        <v>1</v>
      </c>
      <c r="H1090" s="175">
        <f t="shared" si="164"/>
        <v>99.01</v>
      </c>
      <c r="I1090" s="177">
        <f>IF(G1090=0,0,IF(E1090="MXN",1/HLOOKUP(YEAR(C1090)+(MONTH(C1090)/100),TC!$5:$37,DAY(C1090)+2,FALSE),VLOOKUP(E1090,Equivalencia!$5:$23,((MAX(Equivalencia!$3:$3)-YEAR(C1090))*14)+MONTH(C1090)+2,FALSE)))</f>
        <v>1</v>
      </c>
      <c r="J1090" s="178">
        <f t="shared" si="165"/>
        <v>99.01</v>
      </c>
      <c r="K1090" s="462">
        <f>IF(C1090=0,0,VLOOKUP(YEAR(C1090),INPC!$B$4:$O$29,MONTH(C1090)+1))</f>
        <v>120.15900000000001</v>
      </c>
      <c r="L1090" s="462">
        <f>IF(S1090=0,0,VLOOKUP(YEAR(S1090),INPC!$B$4:$O$29,MONTH(S1090)+1))</f>
        <v>122.044</v>
      </c>
      <c r="M1090" s="463">
        <f t="shared" si="166"/>
        <v>1.0156000000000001</v>
      </c>
      <c r="N1090" s="465">
        <f t="shared" si="167"/>
        <v>100.55455600000001</v>
      </c>
      <c r="O1090" s="179"/>
      <c r="P1090" s="180">
        <v>1</v>
      </c>
      <c r="Q1090" s="173" t="s">
        <v>583</v>
      </c>
      <c r="R1090" s="173" t="s">
        <v>230</v>
      </c>
      <c r="S1090" s="174">
        <v>44726</v>
      </c>
      <c r="T1090" s="173" t="s">
        <v>33</v>
      </c>
      <c r="U1090" s="182">
        <v>53.4</v>
      </c>
      <c r="V1090" s="177">
        <f>IF(U1090=0,0,IF(T1090="MXN",1/HLOOKUP(YEAR(S1090)+(MONTH(S1090)/100),TC!$5:$37,DAY(S1090)+2,FALSE),VLOOKUP(T1090,Equivalencia!$1:$23,((MAX(Equivalencia!$3:$3)-YEAR(S1090))*14)+MONTH(S1090)+2,FALSE)))</f>
        <v>1</v>
      </c>
      <c r="W1090" s="178">
        <f t="shared" si="168"/>
        <v>53.4</v>
      </c>
      <c r="X1090" s="481">
        <f t="shared" si="169"/>
        <v>-45.610000000000007</v>
      </c>
      <c r="Y1090" s="179"/>
      <c r="Z1090" s="466">
        <f t="shared" si="170"/>
        <v>100.55455600000001</v>
      </c>
      <c r="AA1090" s="473">
        <f t="shared" si="171"/>
        <v>-47.154556000000007</v>
      </c>
      <c r="AB1090" s="339">
        <f t="shared" si="172"/>
        <v>-0.46066053933946072</v>
      </c>
    </row>
    <row r="1091" spans="2:28" ht="20.100000000000001" customHeight="1">
      <c r="B1091" s="172">
        <v>1427200</v>
      </c>
      <c r="C1091" s="174">
        <v>44642</v>
      </c>
      <c r="D1091" s="181" t="s">
        <v>390</v>
      </c>
      <c r="E1091" s="173" t="s">
        <v>33</v>
      </c>
      <c r="F1091" s="176">
        <v>103.32</v>
      </c>
      <c r="G1091" s="175">
        <f t="shared" si="163"/>
        <v>1</v>
      </c>
      <c r="H1091" s="175">
        <f t="shared" si="164"/>
        <v>103.32</v>
      </c>
      <c r="I1091" s="177">
        <f>IF(G1091=0,0,IF(E1091="MXN",1/HLOOKUP(YEAR(C1091)+(MONTH(C1091)/100),TC!$5:$37,DAY(C1091)+2,FALSE),VLOOKUP(E1091,Equivalencia!$5:$23,((MAX(Equivalencia!$3:$3)-YEAR(C1091))*14)+MONTH(C1091)+2,FALSE)))</f>
        <v>1</v>
      </c>
      <c r="J1091" s="178">
        <f t="shared" si="165"/>
        <v>103.32</v>
      </c>
      <c r="K1091" s="462">
        <f>IF(C1091=0,0,VLOOKUP(YEAR(C1091),INPC!$B$4:$O$29,MONTH(C1091)+1))</f>
        <v>120.15900000000001</v>
      </c>
      <c r="L1091" s="462">
        <f>IF(S1091=0,0,VLOOKUP(YEAR(S1091),INPC!$B$4:$O$29,MONTH(S1091)+1))</f>
        <v>122.044</v>
      </c>
      <c r="M1091" s="463">
        <f t="shared" si="166"/>
        <v>1.0156000000000001</v>
      </c>
      <c r="N1091" s="465">
        <f t="shared" si="167"/>
        <v>104.931792</v>
      </c>
      <c r="O1091" s="179"/>
      <c r="P1091" s="180">
        <v>1</v>
      </c>
      <c r="Q1091" s="173" t="s">
        <v>583</v>
      </c>
      <c r="R1091" s="173" t="s">
        <v>230</v>
      </c>
      <c r="S1091" s="174">
        <v>44726</v>
      </c>
      <c r="T1091" s="173" t="s">
        <v>33</v>
      </c>
      <c r="U1091" s="182">
        <v>53.4</v>
      </c>
      <c r="V1091" s="177">
        <f>IF(U1091=0,0,IF(T1091="MXN",1/HLOOKUP(YEAR(S1091)+(MONTH(S1091)/100),TC!$5:$37,DAY(S1091)+2,FALSE),VLOOKUP(T1091,Equivalencia!$1:$23,((MAX(Equivalencia!$3:$3)-YEAR(S1091))*14)+MONTH(S1091)+2,FALSE)))</f>
        <v>1</v>
      </c>
      <c r="W1091" s="178">
        <f t="shared" si="168"/>
        <v>53.4</v>
      </c>
      <c r="X1091" s="481">
        <f t="shared" si="169"/>
        <v>-49.919999999999995</v>
      </c>
      <c r="Y1091" s="179"/>
      <c r="Z1091" s="466">
        <f t="shared" si="170"/>
        <v>104.931792</v>
      </c>
      <c r="AA1091" s="473">
        <f t="shared" si="171"/>
        <v>-51.531792000000003</v>
      </c>
      <c r="AB1091" s="339">
        <f t="shared" si="172"/>
        <v>-0.4831591173054588</v>
      </c>
    </row>
    <row r="1092" spans="2:28" ht="20.100000000000001" customHeight="1">
      <c r="B1092" s="172">
        <v>1427200</v>
      </c>
      <c r="C1092" s="174">
        <v>44642</v>
      </c>
      <c r="D1092" s="181" t="s">
        <v>390</v>
      </c>
      <c r="E1092" s="173" t="s">
        <v>33</v>
      </c>
      <c r="F1092" s="176">
        <v>99.66</v>
      </c>
      <c r="G1092" s="175">
        <f t="shared" si="163"/>
        <v>1</v>
      </c>
      <c r="H1092" s="175">
        <f t="shared" si="164"/>
        <v>99.66</v>
      </c>
      <c r="I1092" s="177">
        <f>IF(G1092=0,0,IF(E1092="MXN",1/HLOOKUP(YEAR(C1092)+(MONTH(C1092)/100),TC!$5:$37,DAY(C1092)+2,FALSE),VLOOKUP(E1092,Equivalencia!$5:$23,((MAX(Equivalencia!$3:$3)-YEAR(C1092))*14)+MONTH(C1092)+2,FALSE)))</f>
        <v>1</v>
      </c>
      <c r="J1092" s="178">
        <f t="shared" si="165"/>
        <v>99.66</v>
      </c>
      <c r="K1092" s="462">
        <f>IF(C1092=0,0,VLOOKUP(YEAR(C1092),INPC!$B$4:$O$29,MONTH(C1092)+1))</f>
        <v>120.15900000000001</v>
      </c>
      <c r="L1092" s="462">
        <f>IF(S1092=0,0,VLOOKUP(YEAR(S1092),INPC!$B$4:$O$29,MONTH(S1092)+1))</f>
        <v>122.044</v>
      </c>
      <c r="M1092" s="463">
        <f t="shared" si="166"/>
        <v>1.0156000000000001</v>
      </c>
      <c r="N1092" s="465">
        <f t="shared" si="167"/>
        <v>101.214696</v>
      </c>
      <c r="O1092" s="179"/>
      <c r="P1092" s="180">
        <v>1</v>
      </c>
      <c r="Q1092" s="173" t="s">
        <v>583</v>
      </c>
      <c r="R1092" s="173" t="s">
        <v>230</v>
      </c>
      <c r="S1092" s="174">
        <v>44726</v>
      </c>
      <c r="T1092" s="173" t="s">
        <v>33</v>
      </c>
      <c r="U1092" s="182">
        <v>54.303999999999995</v>
      </c>
      <c r="V1092" s="177">
        <f>IF(U1092=0,0,IF(T1092="MXN",1/HLOOKUP(YEAR(S1092)+(MONTH(S1092)/100),TC!$5:$37,DAY(S1092)+2,FALSE),VLOOKUP(T1092,Equivalencia!$1:$23,((MAX(Equivalencia!$3:$3)-YEAR(S1092))*14)+MONTH(S1092)+2,FALSE)))</f>
        <v>1</v>
      </c>
      <c r="W1092" s="178">
        <f t="shared" si="168"/>
        <v>54.303999999999995</v>
      </c>
      <c r="X1092" s="481">
        <f t="shared" si="169"/>
        <v>-45.356000000000002</v>
      </c>
      <c r="Y1092" s="179"/>
      <c r="Z1092" s="466">
        <f t="shared" si="170"/>
        <v>101.214696</v>
      </c>
      <c r="AA1092" s="473">
        <f t="shared" si="171"/>
        <v>-46.910696000000009</v>
      </c>
      <c r="AB1092" s="339">
        <f t="shared" si="172"/>
        <v>-0.45510736504113991</v>
      </c>
    </row>
    <row r="1093" spans="2:28" ht="20.100000000000001" customHeight="1">
      <c r="B1093" s="172">
        <v>1427200</v>
      </c>
      <c r="C1093" s="174">
        <v>44642</v>
      </c>
      <c r="D1093" s="181" t="s">
        <v>390</v>
      </c>
      <c r="E1093" s="173" t="s">
        <v>33</v>
      </c>
      <c r="F1093" s="176">
        <v>409.08000000000004</v>
      </c>
      <c r="G1093" s="175">
        <f t="shared" si="163"/>
        <v>4</v>
      </c>
      <c r="H1093" s="175">
        <f t="shared" si="164"/>
        <v>409.08000000000004</v>
      </c>
      <c r="I1093" s="177">
        <f>IF(G1093=0,0,IF(E1093="MXN",1/HLOOKUP(YEAR(C1093)+(MONTH(C1093)/100),TC!$5:$37,DAY(C1093)+2,FALSE),VLOOKUP(E1093,Equivalencia!$5:$23,((MAX(Equivalencia!$3:$3)-YEAR(C1093))*14)+MONTH(C1093)+2,FALSE)))</f>
        <v>1</v>
      </c>
      <c r="J1093" s="178">
        <f t="shared" si="165"/>
        <v>409.08000000000004</v>
      </c>
      <c r="K1093" s="462">
        <f>IF(C1093=0,0,VLOOKUP(YEAR(C1093),INPC!$B$4:$O$29,MONTH(C1093)+1))</f>
        <v>120.15900000000001</v>
      </c>
      <c r="L1093" s="462">
        <f>IF(S1093=0,0,VLOOKUP(YEAR(S1093),INPC!$B$4:$O$29,MONTH(S1093)+1))</f>
        <v>122.044</v>
      </c>
      <c r="M1093" s="463">
        <f t="shared" si="166"/>
        <v>1.0156000000000001</v>
      </c>
      <c r="N1093" s="465">
        <f t="shared" si="167"/>
        <v>415.46164800000008</v>
      </c>
      <c r="O1093" s="179"/>
      <c r="P1093" s="180">
        <v>4</v>
      </c>
      <c r="Q1093" s="173" t="s">
        <v>583</v>
      </c>
      <c r="R1093" s="173" t="s">
        <v>230</v>
      </c>
      <c r="S1093" s="174">
        <v>44726</v>
      </c>
      <c r="T1093" s="173" t="s">
        <v>33</v>
      </c>
      <c r="U1093" s="182">
        <v>217.21599999999998</v>
      </c>
      <c r="V1093" s="177">
        <f>IF(U1093=0,0,IF(T1093="MXN",1/HLOOKUP(YEAR(S1093)+(MONTH(S1093)/100),TC!$5:$37,DAY(S1093)+2,FALSE),VLOOKUP(T1093,Equivalencia!$1:$23,((MAX(Equivalencia!$3:$3)-YEAR(S1093))*14)+MONTH(S1093)+2,FALSE)))</f>
        <v>1</v>
      </c>
      <c r="W1093" s="178">
        <f t="shared" si="168"/>
        <v>217.21599999999998</v>
      </c>
      <c r="X1093" s="481">
        <f t="shared" si="169"/>
        <v>-191.86400000000006</v>
      </c>
      <c r="Y1093" s="179"/>
      <c r="Z1093" s="466">
        <f t="shared" si="170"/>
        <v>415.46164800000008</v>
      </c>
      <c r="AA1093" s="473">
        <f t="shared" si="171"/>
        <v>-198.2456480000001</v>
      </c>
      <c r="AB1093" s="339">
        <f t="shared" si="172"/>
        <v>-0.46901339591278002</v>
      </c>
    </row>
    <row r="1094" spans="2:28" ht="20.100000000000001" customHeight="1">
      <c r="B1094" s="172">
        <v>1427200</v>
      </c>
      <c r="C1094" s="174">
        <v>44642</v>
      </c>
      <c r="D1094" s="181" t="s">
        <v>390</v>
      </c>
      <c r="E1094" s="173" t="s">
        <v>33</v>
      </c>
      <c r="F1094" s="176">
        <v>102.27000000000001</v>
      </c>
      <c r="G1094" s="175">
        <f t="shared" si="163"/>
        <v>1</v>
      </c>
      <c r="H1094" s="175">
        <f t="shared" si="164"/>
        <v>102.27000000000001</v>
      </c>
      <c r="I1094" s="177">
        <f>IF(G1094=0,0,IF(E1094="MXN",1/HLOOKUP(YEAR(C1094)+(MONTH(C1094)/100),TC!$5:$37,DAY(C1094)+2,FALSE),VLOOKUP(E1094,Equivalencia!$5:$23,((MAX(Equivalencia!$3:$3)-YEAR(C1094))*14)+MONTH(C1094)+2,FALSE)))</f>
        <v>1</v>
      </c>
      <c r="J1094" s="178">
        <f t="shared" si="165"/>
        <v>102.27000000000001</v>
      </c>
      <c r="K1094" s="462">
        <f>IF(C1094=0,0,VLOOKUP(YEAR(C1094),INPC!$B$4:$O$29,MONTH(C1094)+1))</f>
        <v>120.15900000000001</v>
      </c>
      <c r="L1094" s="462">
        <f>IF(S1094=0,0,VLOOKUP(YEAR(S1094),INPC!$B$4:$O$29,MONTH(S1094)+1))</f>
        <v>122.044</v>
      </c>
      <c r="M1094" s="463">
        <f t="shared" si="166"/>
        <v>1.0156000000000001</v>
      </c>
      <c r="N1094" s="465">
        <f t="shared" si="167"/>
        <v>103.86541200000002</v>
      </c>
      <c r="O1094" s="179"/>
      <c r="P1094" s="180">
        <v>1</v>
      </c>
      <c r="Q1094" s="173" t="s">
        <v>583</v>
      </c>
      <c r="R1094" s="173" t="s">
        <v>230</v>
      </c>
      <c r="S1094" s="174">
        <v>44727</v>
      </c>
      <c r="T1094" s="173" t="s">
        <v>33</v>
      </c>
      <c r="U1094" s="182">
        <v>54.898181818181818</v>
      </c>
      <c r="V1094" s="177">
        <f>IF(U1094=0,0,IF(T1094="MXN",1/HLOOKUP(YEAR(S1094)+(MONTH(S1094)/100),TC!$5:$37,DAY(S1094)+2,FALSE),VLOOKUP(T1094,Equivalencia!$1:$23,((MAX(Equivalencia!$3:$3)-YEAR(S1094))*14)+MONTH(S1094)+2,FALSE)))</f>
        <v>1</v>
      </c>
      <c r="W1094" s="178">
        <f t="shared" si="168"/>
        <v>54.898181818181818</v>
      </c>
      <c r="X1094" s="481">
        <f t="shared" si="169"/>
        <v>-47.371818181818192</v>
      </c>
      <c r="Y1094" s="179"/>
      <c r="Z1094" s="466">
        <f t="shared" si="170"/>
        <v>103.86541200000002</v>
      </c>
      <c r="AA1094" s="473">
        <f t="shared" si="171"/>
        <v>-48.967230181818202</v>
      </c>
      <c r="AB1094" s="339">
        <f t="shared" si="172"/>
        <v>-0.46320346320346328</v>
      </c>
    </row>
    <row r="1095" spans="2:28" ht="20.100000000000001" customHeight="1">
      <c r="B1095" s="172">
        <v>1427200</v>
      </c>
      <c r="C1095" s="174">
        <v>44678</v>
      </c>
      <c r="D1095" s="181" t="s">
        <v>390</v>
      </c>
      <c r="E1095" s="173" t="s">
        <v>33</v>
      </c>
      <c r="F1095" s="176">
        <v>264.32</v>
      </c>
      <c r="G1095" s="175">
        <f t="shared" si="163"/>
        <v>3</v>
      </c>
      <c r="H1095" s="175">
        <f t="shared" si="164"/>
        <v>264.32</v>
      </c>
      <c r="I1095" s="177">
        <f>IF(G1095=0,0,IF(E1095="MXN",1/HLOOKUP(YEAR(C1095)+(MONTH(C1095)/100),TC!$5:$37,DAY(C1095)+2,FALSE),VLOOKUP(E1095,Equivalencia!$5:$23,((MAX(Equivalencia!$3:$3)-YEAR(C1095))*14)+MONTH(C1095)+2,FALSE)))</f>
        <v>1</v>
      </c>
      <c r="J1095" s="178">
        <f t="shared" si="165"/>
        <v>264.32</v>
      </c>
      <c r="K1095" s="462">
        <f>IF(C1095=0,0,VLOOKUP(YEAR(C1095),INPC!$B$4:$O$29,MONTH(C1095)+1))</f>
        <v>120.809</v>
      </c>
      <c r="L1095" s="462">
        <f>IF(S1095=0,0,VLOOKUP(YEAR(S1095),INPC!$B$4:$O$29,MONTH(S1095)+1))</f>
        <v>122.044</v>
      </c>
      <c r="M1095" s="463">
        <f t="shared" si="166"/>
        <v>1.0102</v>
      </c>
      <c r="N1095" s="465">
        <f t="shared" si="167"/>
        <v>267.01606399999997</v>
      </c>
      <c r="O1095" s="179"/>
      <c r="P1095" s="180">
        <v>3</v>
      </c>
      <c r="Q1095" s="173" t="s">
        <v>583</v>
      </c>
      <c r="R1095" s="173" t="s">
        <v>230</v>
      </c>
      <c r="S1095" s="174">
        <v>44727</v>
      </c>
      <c r="T1095" s="173" t="s">
        <v>33</v>
      </c>
      <c r="U1095" s="182">
        <v>164.69454545454545</v>
      </c>
      <c r="V1095" s="177">
        <f>IF(U1095=0,0,IF(T1095="MXN",1/HLOOKUP(YEAR(S1095)+(MONTH(S1095)/100),TC!$5:$37,DAY(S1095)+2,FALSE),VLOOKUP(T1095,Equivalencia!$1:$23,((MAX(Equivalencia!$3:$3)-YEAR(S1095))*14)+MONTH(S1095)+2,FALSE)))</f>
        <v>1</v>
      </c>
      <c r="W1095" s="178">
        <f t="shared" si="168"/>
        <v>164.69454545454545</v>
      </c>
      <c r="X1095" s="481">
        <f t="shared" si="169"/>
        <v>-99.625454545454545</v>
      </c>
      <c r="Y1095" s="179"/>
      <c r="Z1095" s="466">
        <f t="shared" si="170"/>
        <v>267.01606399999997</v>
      </c>
      <c r="AA1095" s="473">
        <f t="shared" si="171"/>
        <v>-102.32151854545452</v>
      </c>
      <c r="AB1095" s="339">
        <f t="shared" si="172"/>
        <v>-0.37691228263262166</v>
      </c>
    </row>
    <row r="1096" spans="2:28" ht="20.100000000000001" customHeight="1">
      <c r="B1096" s="172">
        <v>1427200</v>
      </c>
      <c r="C1096" s="174">
        <v>44678</v>
      </c>
      <c r="D1096" s="181" t="s">
        <v>390</v>
      </c>
      <c r="E1096" s="173" t="s">
        <v>33</v>
      </c>
      <c r="F1096" s="176">
        <v>434.22</v>
      </c>
      <c r="G1096" s="175">
        <f t="shared" si="163"/>
        <v>5</v>
      </c>
      <c r="H1096" s="175">
        <f t="shared" si="164"/>
        <v>434.22</v>
      </c>
      <c r="I1096" s="177">
        <f>IF(G1096=0,0,IF(E1096="MXN",1/HLOOKUP(YEAR(C1096)+(MONTH(C1096)/100),TC!$5:$37,DAY(C1096)+2,FALSE),VLOOKUP(E1096,Equivalencia!$5:$23,((MAX(Equivalencia!$3:$3)-YEAR(C1096))*14)+MONTH(C1096)+2,FALSE)))</f>
        <v>1</v>
      </c>
      <c r="J1096" s="178">
        <f t="shared" si="165"/>
        <v>434.22</v>
      </c>
      <c r="K1096" s="462">
        <f>IF(C1096=0,0,VLOOKUP(YEAR(C1096),INPC!$B$4:$O$29,MONTH(C1096)+1))</f>
        <v>120.809</v>
      </c>
      <c r="L1096" s="462">
        <f>IF(S1096=0,0,VLOOKUP(YEAR(S1096),INPC!$B$4:$O$29,MONTH(S1096)+1))</f>
        <v>122.044</v>
      </c>
      <c r="M1096" s="463">
        <f t="shared" si="166"/>
        <v>1.0102</v>
      </c>
      <c r="N1096" s="465">
        <f t="shared" si="167"/>
        <v>438.649044</v>
      </c>
      <c r="O1096" s="179"/>
      <c r="P1096" s="180">
        <v>5</v>
      </c>
      <c r="Q1096" s="173" t="s">
        <v>583</v>
      </c>
      <c r="R1096" s="173" t="s">
        <v>230</v>
      </c>
      <c r="S1096" s="174">
        <v>44727</v>
      </c>
      <c r="T1096" s="173" t="s">
        <v>33</v>
      </c>
      <c r="U1096" s="182">
        <v>274.4909090909091</v>
      </c>
      <c r="V1096" s="177">
        <f>IF(U1096=0,0,IF(T1096="MXN",1/HLOOKUP(YEAR(S1096)+(MONTH(S1096)/100),TC!$5:$37,DAY(S1096)+2,FALSE),VLOOKUP(T1096,Equivalencia!$1:$23,((MAX(Equivalencia!$3:$3)-YEAR(S1096))*14)+MONTH(S1096)+2,FALSE)))</f>
        <v>1</v>
      </c>
      <c r="W1096" s="178">
        <f t="shared" si="168"/>
        <v>274.4909090909091</v>
      </c>
      <c r="X1096" s="481">
        <f t="shared" si="169"/>
        <v>-159.72909090909093</v>
      </c>
      <c r="Y1096" s="179"/>
      <c r="Z1096" s="466">
        <f t="shared" si="170"/>
        <v>438.649044</v>
      </c>
      <c r="AA1096" s="473">
        <f t="shared" si="171"/>
        <v>-164.1581349090909</v>
      </c>
      <c r="AB1096" s="339">
        <f t="shared" si="172"/>
        <v>-0.36785291075742921</v>
      </c>
    </row>
    <row r="1097" spans="2:28" ht="20.100000000000001" customHeight="1">
      <c r="B1097" s="172">
        <v>1427200</v>
      </c>
      <c r="C1097" s="174">
        <v>44679</v>
      </c>
      <c r="D1097" s="181" t="s">
        <v>390</v>
      </c>
      <c r="E1097" s="173" t="s">
        <v>33</v>
      </c>
      <c r="F1097" s="176">
        <v>171.74</v>
      </c>
      <c r="G1097" s="175">
        <f t="shared" si="163"/>
        <v>2</v>
      </c>
      <c r="H1097" s="175">
        <f t="shared" si="164"/>
        <v>171.74</v>
      </c>
      <c r="I1097" s="177">
        <f>IF(G1097=0,0,IF(E1097="MXN",1/HLOOKUP(YEAR(C1097)+(MONTH(C1097)/100),TC!$5:$37,DAY(C1097)+2,FALSE),VLOOKUP(E1097,Equivalencia!$5:$23,((MAX(Equivalencia!$3:$3)-YEAR(C1097))*14)+MONTH(C1097)+2,FALSE)))</f>
        <v>1</v>
      </c>
      <c r="J1097" s="178">
        <f t="shared" si="165"/>
        <v>171.74</v>
      </c>
      <c r="K1097" s="462">
        <f>IF(C1097=0,0,VLOOKUP(YEAR(C1097),INPC!$B$4:$O$29,MONTH(C1097)+1))</f>
        <v>120.809</v>
      </c>
      <c r="L1097" s="462">
        <f>IF(S1097=0,0,VLOOKUP(YEAR(S1097),INPC!$B$4:$O$29,MONTH(S1097)+1))</f>
        <v>122.044</v>
      </c>
      <c r="M1097" s="463">
        <f t="shared" si="166"/>
        <v>1.0102</v>
      </c>
      <c r="N1097" s="465">
        <f t="shared" si="167"/>
        <v>173.491748</v>
      </c>
      <c r="O1097" s="179"/>
      <c r="P1097" s="180">
        <v>2</v>
      </c>
      <c r="Q1097" s="173" t="s">
        <v>583</v>
      </c>
      <c r="R1097" s="173" t="s">
        <v>230</v>
      </c>
      <c r="S1097" s="174">
        <v>44727</v>
      </c>
      <c r="T1097" s="173" t="s">
        <v>33</v>
      </c>
      <c r="U1097" s="182">
        <v>109.79636363636364</v>
      </c>
      <c r="V1097" s="177">
        <f>IF(U1097=0,0,IF(T1097="MXN",1/HLOOKUP(YEAR(S1097)+(MONTH(S1097)/100),TC!$5:$37,DAY(S1097)+2,FALSE),VLOOKUP(T1097,Equivalencia!$1:$23,((MAX(Equivalencia!$3:$3)-YEAR(S1097))*14)+MONTH(S1097)+2,FALSE)))</f>
        <v>1</v>
      </c>
      <c r="W1097" s="178">
        <f t="shared" si="168"/>
        <v>109.79636363636364</v>
      </c>
      <c r="X1097" s="481">
        <f t="shared" si="169"/>
        <v>-61.943636363636372</v>
      </c>
      <c r="Y1097" s="179"/>
      <c r="Z1097" s="466">
        <f t="shared" si="170"/>
        <v>173.491748</v>
      </c>
      <c r="AA1097" s="473">
        <f t="shared" si="171"/>
        <v>-63.695384363636364</v>
      </c>
      <c r="AB1097" s="339">
        <f t="shared" si="172"/>
        <v>-0.36068263866097805</v>
      </c>
    </row>
    <row r="1098" spans="2:28" ht="20.100000000000001" customHeight="1">
      <c r="B1098" s="172">
        <v>1427200</v>
      </c>
      <c r="C1098" s="174">
        <v>44679</v>
      </c>
      <c r="D1098" s="181" t="s">
        <v>390</v>
      </c>
      <c r="E1098" s="173" t="s">
        <v>33</v>
      </c>
      <c r="F1098" s="176">
        <v>171.74</v>
      </c>
      <c r="G1098" s="175">
        <f t="shared" si="163"/>
        <v>2</v>
      </c>
      <c r="H1098" s="175">
        <f t="shared" si="164"/>
        <v>171.74</v>
      </c>
      <c r="I1098" s="177">
        <f>IF(G1098=0,0,IF(E1098="MXN",1/HLOOKUP(YEAR(C1098)+(MONTH(C1098)/100),TC!$5:$37,DAY(C1098)+2,FALSE),VLOOKUP(E1098,Equivalencia!$5:$23,((MAX(Equivalencia!$3:$3)-YEAR(C1098))*14)+MONTH(C1098)+2,FALSE)))</f>
        <v>1</v>
      </c>
      <c r="J1098" s="178">
        <f t="shared" si="165"/>
        <v>171.74</v>
      </c>
      <c r="K1098" s="462">
        <f>IF(C1098=0,0,VLOOKUP(YEAR(C1098),INPC!$B$4:$O$29,MONTH(C1098)+1))</f>
        <v>120.809</v>
      </c>
      <c r="L1098" s="462">
        <f>IF(S1098=0,0,VLOOKUP(YEAR(S1098),INPC!$B$4:$O$29,MONTH(S1098)+1))</f>
        <v>122.044</v>
      </c>
      <c r="M1098" s="463">
        <f t="shared" si="166"/>
        <v>1.0102</v>
      </c>
      <c r="N1098" s="465">
        <f t="shared" si="167"/>
        <v>173.491748</v>
      </c>
      <c r="O1098" s="179"/>
      <c r="P1098" s="180">
        <v>2</v>
      </c>
      <c r="Q1098" s="173" t="s">
        <v>583</v>
      </c>
      <c r="R1098" s="173" t="s">
        <v>230</v>
      </c>
      <c r="S1098" s="174">
        <v>44727</v>
      </c>
      <c r="T1098" s="173" t="s">
        <v>33</v>
      </c>
      <c r="U1098" s="182">
        <v>109.72</v>
      </c>
      <c r="V1098" s="177">
        <f>IF(U1098=0,0,IF(T1098="MXN",1/HLOOKUP(YEAR(S1098)+(MONTH(S1098)/100),TC!$5:$37,DAY(S1098)+2,FALSE),VLOOKUP(T1098,Equivalencia!$1:$23,((MAX(Equivalencia!$3:$3)-YEAR(S1098))*14)+MONTH(S1098)+2,FALSE)))</f>
        <v>1</v>
      </c>
      <c r="W1098" s="178">
        <f t="shared" si="168"/>
        <v>109.72</v>
      </c>
      <c r="X1098" s="481">
        <f t="shared" si="169"/>
        <v>-62.02000000000001</v>
      </c>
      <c r="Y1098" s="179"/>
      <c r="Z1098" s="466">
        <f t="shared" si="170"/>
        <v>173.491748</v>
      </c>
      <c r="AA1098" s="473">
        <f t="shared" si="171"/>
        <v>-63.771748000000002</v>
      </c>
      <c r="AB1098" s="339">
        <f t="shared" si="172"/>
        <v>-0.36112728543146622</v>
      </c>
    </row>
    <row r="1099" spans="2:28" ht="20.100000000000001" customHeight="1">
      <c r="B1099" s="172">
        <v>1427200</v>
      </c>
      <c r="C1099" s="174">
        <v>44679</v>
      </c>
      <c r="D1099" s="181" t="s">
        <v>390</v>
      </c>
      <c r="E1099" s="173" t="s">
        <v>33</v>
      </c>
      <c r="F1099" s="176">
        <v>343.48</v>
      </c>
      <c r="G1099" s="175">
        <f t="shared" si="163"/>
        <v>4</v>
      </c>
      <c r="H1099" s="175">
        <f t="shared" si="164"/>
        <v>343.48</v>
      </c>
      <c r="I1099" s="177">
        <f>IF(G1099=0,0,IF(E1099="MXN",1/HLOOKUP(YEAR(C1099)+(MONTH(C1099)/100),TC!$5:$37,DAY(C1099)+2,FALSE),VLOOKUP(E1099,Equivalencia!$5:$23,((MAX(Equivalencia!$3:$3)-YEAR(C1099))*14)+MONTH(C1099)+2,FALSE)))</f>
        <v>1</v>
      </c>
      <c r="J1099" s="178">
        <f t="shared" si="165"/>
        <v>343.48</v>
      </c>
      <c r="K1099" s="462">
        <f>IF(C1099=0,0,VLOOKUP(YEAR(C1099),INPC!$B$4:$O$29,MONTH(C1099)+1))</f>
        <v>120.809</v>
      </c>
      <c r="L1099" s="462">
        <f>IF(S1099=0,0,VLOOKUP(YEAR(S1099),INPC!$B$4:$O$29,MONTH(S1099)+1))</f>
        <v>122.044</v>
      </c>
      <c r="M1099" s="463">
        <f t="shared" si="166"/>
        <v>1.0102</v>
      </c>
      <c r="N1099" s="465">
        <f t="shared" si="167"/>
        <v>346.983496</v>
      </c>
      <c r="O1099" s="179"/>
      <c r="P1099" s="180">
        <v>4</v>
      </c>
      <c r="Q1099" s="173" t="s">
        <v>583</v>
      </c>
      <c r="R1099" s="173" t="s">
        <v>230</v>
      </c>
      <c r="S1099" s="174">
        <v>44727</v>
      </c>
      <c r="T1099" s="173" t="s">
        <v>33</v>
      </c>
      <c r="U1099" s="182">
        <v>215.36</v>
      </c>
      <c r="V1099" s="177">
        <f>IF(U1099=0,0,IF(T1099="MXN",1/HLOOKUP(YEAR(S1099)+(MONTH(S1099)/100),TC!$5:$37,DAY(S1099)+2,FALSE),VLOOKUP(T1099,Equivalencia!$1:$23,((MAX(Equivalencia!$3:$3)-YEAR(S1099))*14)+MONTH(S1099)+2,FALSE)))</f>
        <v>1</v>
      </c>
      <c r="W1099" s="178">
        <f t="shared" si="168"/>
        <v>215.36</v>
      </c>
      <c r="X1099" s="481">
        <f t="shared" si="169"/>
        <v>-128.12</v>
      </c>
      <c r="Y1099" s="179"/>
      <c r="Z1099" s="466">
        <f t="shared" si="170"/>
        <v>346.983496</v>
      </c>
      <c r="AA1099" s="473">
        <f t="shared" si="171"/>
        <v>-131.62349599999999</v>
      </c>
      <c r="AB1099" s="339">
        <f t="shared" si="172"/>
        <v>-0.37300570630022123</v>
      </c>
    </row>
    <row r="1100" spans="2:28" ht="20.100000000000001" customHeight="1">
      <c r="B1100" s="172">
        <v>1427200</v>
      </c>
      <c r="C1100" s="174">
        <v>44847</v>
      </c>
      <c r="D1100" s="181" t="s">
        <v>390</v>
      </c>
      <c r="E1100" s="173" t="s">
        <v>33</v>
      </c>
      <c r="F1100" s="176">
        <v>50.63</v>
      </c>
      <c r="G1100" s="175">
        <f t="shared" si="163"/>
        <v>1</v>
      </c>
      <c r="H1100" s="175">
        <f t="shared" si="164"/>
        <v>50.63</v>
      </c>
      <c r="I1100" s="177">
        <f>IF(G1100=0,0,IF(E1100="MXN",1/HLOOKUP(YEAR(C1100)+(MONTH(C1100)/100),TC!$5:$37,DAY(C1100)+2,FALSE),VLOOKUP(E1100,Equivalencia!$5:$23,((MAX(Equivalencia!$3:$3)-YEAR(C1100))*14)+MONTH(C1100)+2,FALSE)))</f>
        <v>1</v>
      </c>
      <c r="J1100" s="178">
        <f t="shared" si="165"/>
        <v>50.63</v>
      </c>
      <c r="K1100" s="462">
        <f>IF(C1100=0,0,VLOOKUP(YEAR(C1100),INPC!$B$4:$O$29,MONTH(C1100)+1))</f>
        <v>125.276</v>
      </c>
      <c r="L1100" s="462">
        <f>IF(S1100=0,0,VLOOKUP(YEAR(S1100),INPC!$B$4:$O$29,MONTH(S1100)+1))</f>
        <v>125.997</v>
      </c>
      <c r="M1100" s="463">
        <f t="shared" si="166"/>
        <v>1.0057</v>
      </c>
      <c r="N1100" s="465">
        <f t="shared" si="167"/>
        <v>50.918591000000006</v>
      </c>
      <c r="O1100" s="179"/>
      <c r="P1100" s="180">
        <v>1</v>
      </c>
      <c r="Q1100" s="173" t="s">
        <v>583</v>
      </c>
      <c r="R1100" s="173" t="s">
        <v>230</v>
      </c>
      <c r="S1100" s="174">
        <v>44893</v>
      </c>
      <c r="T1100" s="173" t="s">
        <v>33</v>
      </c>
      <c r="U1100" s="182">
        <v>62.03</v>
      </c>
      <c r="V1100" s="177">
        <f>IF(U1100=0,0,IF(T1100="MXN",1/HLOOKUP(YEAR(S1100)+(MONTH(S1100)/100),TC!$5:$37,DAY(S1100)+2,FALSE),VLOOKUP(T1100,Equivalencia!$1:$23,((MAX(Equivalencia!$3:$3)-YEAR(S1100))*14)+MONTH(S1100)+2,FALSE)))</f>
        <v>1</v>
      </c>
      <c r="W1100" s="178">
        <f t="shared" si="168"/>
        <v>62.03</v>
      </c>
      <c r="X1100" s="481">
        <f t="shared" si="169"/>
        <v>11.399999999999999</v>
      </c>
      <c r="Y1100" s="179"/>
      <c r="Z1100" s="466">
        <f t="shared" si="170"/>
        <v>50.918591000000006</v>
      </c>
      <c r="AA1100" s="473">
        <f t="shared" si="171"/>
        <v>11.111408999999995</v>
      </c>
      <c r="AB1100" s="339">
        <f t="shared" si="172"/>
        <v>0.22516294686944494</v>
      </c>
    </row>
    <row r="1101" spans="2:28" ht="20.100000000000001" customHeight="1">
      <c r="B1101" s="172">
        <v>1427200</v>
      </c>
      <c r="C1101" s="174">
        <v>44847</v>
      </c>
      <c r="D1101" s="181" t="s">
        <v>390</v>
      </c>
      <c r="E1101" s="173" t="s">
        <v>33</v>
      </c>
      <c r="F1101" s="176">
        <v>99.13</v>
      </c>
      <c r="G1101" s="175">
        <f t="shared" si="163"/>
        <v>2</v>
      </c>
      <c r="H1101" s="175">
        <f t="shared" si="164"/>
        <v>99.13</v>
      </c>
      <c r="I1101" s="177">
        <f>IF(G1101=0,0,IF(E1101="MXN",1/HLOOKUP(YEAR(C1101)+(MONTH(C1101)/100),TC!$5:$37,DAY(C1101)+2,FALSE),VLOOKUP(E1101,Equivalencia!$5:$23,((MAX(Equivalencia!$3:$3)-YEAR(C1101))*14)+MONTH(C1101)+2,FALSE)))</f>
        <v>1</v>
      </c>
      <c r="J1101" s="178">
        <f t="shared" si="165"/>
        <v>99.13</v>
      </c>
      <c r="K1101" s="462">
        <f>IF(C1101=0,0,VLOOKUP(YEAR(C1101),INPC!$B$4:$O$29,MONTH(C1101)+1))</f>
        <v>125.276</v>
      </c>
      <c r="L1101" s="462">
        <f>IF(S1101=0,0,VLOOKUP(YEAR(S1101),INPC!$B$4:$O$29,MONTH(S1101)+1))</f>
        <v>125.997</v>
      </c>
      <c r="M1101" s="463">
        <f t="shared" si="166"/>
        <v>1.0057</v>
      </c>
      <c r="N1101" s="465">
        <f t="shared" si="167"/>
        <v>99.695041000000003</v>
      </c>
      <c r="O1101" s="179"/>
      <c r="P1101" s="180">
        <v>2</v>
      </c>
      <c r="Q1101" s="173" t="s">
        <v>583</v>
      </c>
      <c r="R1101" s="173" t="s">
        <v>230</v>
      </c>
      <c r="S1101" s="174">
        <v>44893</v>
      </c>
      <c r="T1101" s="173" t="s">
        <v>33</v>
      </c>
      <c r="U1101" s="182">
        <v>124.06</v>
      </c>
      <c r="V1101" s="177">
        <f>IF(U1101=0,0,IF(T1101="MXN",1/HLOOKUP(YEAR(S1101)+(MONTH(S1101)/100),TC!$5:$37,DAY(S1101)+2,FALSE),VLOOKUP(T1101,Equivalencia!$1:$23,((MAX(Equivalencia!$3:$3)-YEAR(S1101))*14)+MONTH(S1101)+2,FALSE)))</f>
        <v>1</v>
      </c>
      <c r="W1101" s="178">
        <f t="shared" si="168"/>
        <v>124.06</v>
      </c>
      <c r="X1101" s="481">
        <f t="shared" si="169"/>
        <v>24.930000000000007</v>
      </c>
      <c r="Y1101" s="179"/>
      <c r="Z1101" s="466">
        <f t="shared" si="170"/>
        <v>99.695041000000003</v>
      </c>
      <c r="AA1101" s="473">
        <f t="shared" si="171"/>
        <v>24.364958999999999</v>
      </c>
      <c r="AB1101" s="339">
        <f t="shared" si="172"/>
        <v>0.25148794512256645</v>
      </c>
    </row>
    <row r="1102" spans="2:28" ht="20.100000000000001" customHeight="1">
      <c r="B1102" s="172">
        <v>1427200</v>
      </c>
      <c r="C1102" s="174">
        <v>44847</v>
      </c>
      <c r="D1102" s="181" t="s">
        <v>390</v>
      </c>
      <c r="E1102" s="173" t="s">
        <v>33</v>
      </c>
      <c r="F1102" s="176">
        <v>150.91999999999999</v>
      </c>
      <c r="G1102" s="175">
        <f t="shared" si="163"/>
        <v>3</v>
      </c>
      <c r="H1102" s="175">
        <f t="shared" si="164"/>
        <v>150.91999999999999</v>
      </c>
      <c r="I1102" s="177">
        <f>IF(G1102=0,0,IF(E1102="MXN",1/HLOOKUP(YEAR(C1102)+(MONTH(C1102)/100),TC!$5:$37,DAY(C1102)+2,FALSE),VLOOKUP(E1102,Equivalencia!$5:$23,((MAX(Equivalencia!$3:$3)-YEAR(C1102))*14)+MONTH(C1102)+2,FALSE)))</f>
        <v>1</v>
      </c>
      <c r="J1102" s="178">
        <f t="shared" si="165"/>
        <v>150.91999999999999</v>
      </c>
      <c r="K1102" s="462">
        <f>IF(C1102=0,0,VLOOKUP(YEAR(C1102),INPC!$B$4:$O$29,MONTH(C1102)+1))</f>
        <v>125.276</v>
      </c>
      <c r="L1102" s="462">
        <f>IF(S1102=0,0,VLOOKUP(YEAR(S1102),INPC!$B$4:$O$29,MONTH(S1102)+1))</f>
        <v>125.997</v>
      </c>
      <c r="M1102" s="463">
        <f t="shared" si="166"/>
        <v>1.0057</v>
      </c>
      <c r="N1102" s="465">
        <f t="shared" si="167"/>
        <v>151.78024399999998</v>
      </c>
      <c r="O1102" s="179"/>
      <c r="P1102" s="180">
        <v>3</v>
      </c>
      <c r="Q1102" s="173" t="s">
        <v>583</v>
      </c>
      <c r="R1102" s="173" t="s">
        <v>230</v>
      </c>
      <c r="S1102" s="174">
        <v>44893</v>
      </c>
      <c r="T1102" s="173" t="s">
        <v>33</v>
      </c>
      <c r="U1102" s="182">
        <v>186.09</v>
      </c>
      <c r="V1102" s="177">
        <f>IF(U1102=0,0,IF(T1102="MXN",1/HLOOKUP(YEAR(S1102)+(MONTH(S1102)/100),TC!$5:$37,DAY(S1102)+2,FALSE),VLOOKUP(T1102,Equivalencia!$1:$23,((MAX(Equivalencia!$3:$3)-YEAR(S1102))*14)+MONTH(S1102)+2,FALSE)))</f>
        <v>1</v>
      </c>
      <c r="W1102" s="178">
        <f t="shared" si="168"/>
        <v>186.09</v>
      </c>
      <c r="X1102" s="481">
        <f t="shared" si="169"/>
        <v>35.170000000000016</v>
      </c>
      <c r="Y1102" s="179"/>
      <c r="Z1102" s="466">
        <f t="shared" si="170"/>
        <v>151.78024399999998</v>
      </c>
      <c r="AA1102" s="473">
        <f t="shared" si="171"/>
        <v>34.309756000000021</v>
      </c>
      <c r="AB1102" s="339">
        <f t="shared" si="172"/>
        <v>0.23303737079247289</v>
      </c>
    </row>
    <row r="1103" spans="2:28" ht="20.100000000000001" customHeight="1">
      <c r="B1103" s="172">
        <v>1427200</v>
      </c>
      <c r="C1103" s="174">
        <v>44847</v>
      </c>
      <c r="D1103" s="181" t="s">
        <v>390</v>
      </c>
      <c r="E1103" s="173" t="s">
        <v>33</v>
      </c>
      <c r="F1103" s="176">
        <v>49.67</v>
      </c>
      <c r="G1103" s="175">
        <f t="shared" si="163"/>
        <v>1</v>
      </c>
      <c r="H1103" s="175">
        <f t="shared" si="164"/>
        <v>49.67</v>
      </c>
      <c r="I1103" s="177">
        <f>IF(G1103=0,0,IF(E1103="MXN",1/HLOOKUP(YEAR(C1103)+(MONTH(C1103)/100),TC!$5:$37,DAY(C1103)+2,FALSE),VLOOKUP(E1103,Equivalencia!$5:$23,((MAX(Equivalencia!$3:$3)-YEAR(C1103))*14)+MONTH(C1103)+2,FALSE)))</f>
        <v>1</v>
      </c>
      <c r="J1103" s="178">
        <f t="shared" si="165"/>
        <v>49.67</v>
      </c>
      <c r="K1103" s="462">
        <f>IF(C1103=0,0,VLOOKUP(YEAR(C1103),INPC!$B$4:$O$29,MONTH(C1103)+1))</f>
        <v>125.276</v>
      </c>
      <c r="L1103" s="462">
        <f>IF(S1103=0,0,VLOOKUP(YEAR(S1103),INPC!$B$4:$O$29,MONTH(S1103)+1))</f>
        <v>125.997</v>
      </c>
      <c r="M1103" s="463">
        <f t="shared" si="166"/>
        <v>1.0057</v>
      </c>
      <c r="N1103" s="465">
        <f t="shared" si="167"/>
        <v>49.953119000000001</v>
      </c>
      <c r="O1103" s="179"/>
      <c r="P1103" s="180">
        <v>1</v>
      </c>
      <c r="Q1103" s="173" t="s">
        <v>583</v>
      </c>
      <c r="R1103" s="173" t="s">
        <v>230</v>
      </c>
      <c r="S1103" s="174">
        <v>44893</v>
      </c>
      <c r="T1103" s="173" t="s">
        <v>33</v>
      </c>
      <c r="U1103" s="182">
        <v>62.03</v>
      </c>
      <c r="V1103" s="177">
        <f>IF(U1103=0,0,IF(T1103="MXN",1/HLOOKUP(YEAR(S1103)+(MONTH(S1103)/100),TC!$5:$37,DAY(S1103)+2,FALSE),VLOOKUP(T1103,Equivalencia!$1:$23,((MAX(Equivalencia!$3:$3)-YEAR(S1103))*14)+MONTH(S1103)+2,FALSE)))</f>
        <v>1</v>
      </c>
      <c r="W1103" s="178">
        <f t="shared" si="168"/>
        <v>62.03</v>
      </c>
      <c r="X1103" s="481">
        <f t="shared" si="169"/>
        <v>12.36</v>
      </c>
      <c r="Y1103" s="179"/>
      <c r="Z1103" s="466">
        <f t="shared" si="170"/>
        <v>49.953119000000001</v>
      </c>
      <c r="AA1103" s="473">
        <f t="shared" si="171"/>
        <v>12.076881</v>
      </c>
      <c r="AB1103" s="339">
        <f t="shared" si="172"/>
        <v>0.24884235957318301</v>
      </c>
    </row>
    <row r="1104" spans="2:28" ht="20.100000000000001" customHeight="1">
      <c r="B1104" s="172">
        <v>1427200</v>
      </c>
      <c r="C1104" s="174">
        <v>44847</v>
      </c>
      <c r="D1104" s="181" t="s">
        <v>390</v>
      </c>
      <c r="E1104" s="173" t="s">
        <v>33</v>
      </c>
      <c r="F1104" s="176">
        <v>751.42499999999995</v>
      </c>
      <c r="G1104" s="175">
        <f t="shared" si="163"/>
        <v>15</v>
      </c>
      <c r="H1104" s="175">
        <f t="shared" si="164"/>
        <v>751.42499999999995</v>
      </c>
      <c r="I1104" s="177">
        <f>IF(G1104=0,0,IF(E1104="MXN",1/HLOOKUP(YEAR(C1104)+(MONTH(C1104)/100),TC!$5:$37,DAY(C1104)+2,FALSE),VLOOKUP(E1104,Equivalencia!$5:$23,((MAX(Equivalencia!$3:$3)-YEAR(C1104))*14)+MONTH(C1104)+2,FALSE)))</f>
        <v>1</v>
      </c>
      <c r="J1104" s="178">
        <f t="shared" si="165"/>
        <v>751.42499999999995</v>
      </c>
      <c r="K1104" s="462">
        <f>IF(C1104=0,0,VLOOKUP(YEAR(C1104),INPC!$B$4:$O$29,MONTH(C1104)+1))</f>
        <v>125.276</v>
      </c>
      <c r="L1104" s="462">
        <f>IF(S1104=0,0,VLOOKUP(YEAR(S1104),INPC!$B$4:$O$29,MONTH(S1104)+1))</f>
        <v>125.997</v>
      </c>
      <c r="M1104" s="463">
        <f t="shared" si="166"/>
        <v>1.0057</v>
      </c>
      <c r="N1104" s="465">
        <f t="shared" si="167"/>
        <v>755.70812249999994</v>
      </c>
      <c r="O1104" s="179"/>
      <c r="P1104" s="180">
        <v>15</v>
      </c>
      <c r="Q1104" s="173" t="s">
        <v>583</v>
      </c>
      <c r="R1104" s="173" t="s">
        <v>230</v>
      </c>
      <c r="S1104" s="174">
        <v>44893</v>
      </c>
      <c r="T1104" s="173" t="s">
        <v>33</v>
      </c>
      <c r="U1104" s="182">
        <v>930.45</v>
      </c>
      <c r="V1104" s="177">
        <f>IF(U1104=0,0,IF(T1104="MXN",1/HLOOKUP(YEAR(S1104)+(MONTH(S1104)/100),TC!$5:$37,DAY(S1104)+2,FALSE),VLOOKUP(T1104,Equivalencia!$1:$23,((MAX(Equivalencia!$3:$3)-YEAR(S1104))*14)+MONTH(S1104)+2,FALSE)))</f>
        <v>1</v>
      </c>
      <c r="W1104" s="178">
        <f t="shared" si="168"/>
        <v>930.45</v>
      </c>
      <c r="X1104" s="481">
        <f t="shared" si="169"/>
        <v>179.02500000000009</v>
      </c>
      <c r="Y1104" s="179"/>
      <c r="Z1104" s="466">
        <f t="shared" si="170"/>
        <v>755.70812249999994</v>
      </c>
      <c r="AA1104" s="473">
        <f t="shared" si="171"/>
        <v>174.7418775000001</v>
      </c>
      <c r="AB1104" s="339">
        <f t="shared" si="172"/>
        <v>0.23824733007286181</v>
      </c>
    </row>
    <row r="1105" spans="2:28" ht="20.100000000000001" customHeight="1">
      <c r="B1105" s="172">
        <v>1427200</v>
      </c>
      <c r="C1105" s="174">
        <v>44503</v>
      </c>
      <c r="D1105" s="181" t="s">
        <v>370</v>
      </c>
      <c r="E1105" s="173" t="s">
        <v>33</v>
      </c>
      <c r="F1105" s="176">
        <v>5124.4000000000005</v>
      </c>
      <c r="G1105" s="175">
        <f t="shared" si="163"/>
        <v>40</v>
      </c>
      <c r="H1105" s="175">
        <f t="shared" si="164"/>
        <v>5124.4000000000005</v>
      </c>
      <c r="I1105" s="177">
        <f>IF(G1105=0,0,IF(E1105="MXN",1/HLOOKUP(YEAR(C1105)+(MONTH(C1105)/100),TC!$5:$37,DAY(C1105)+2,FALSE),VLOOKUP(E1105,Equivalencia!$5:$23,((MAX(Equivalencia!$3:$3)-YEAR(C1105))*14)+MONTH(C1105)+2,FALSE)))</f>
        <v>1</v>
      </c>
      <c r="J1105" s="178">
        <f t="shared" si="165"/>
        <v>5124.4000000000005</v>
      </c>
      <c r="K1105" s="462">
        <f>IF(C1105=0,0,VLOOKUP(YEAR(C1105),INPC!$B$4:$O$29,MONTH(C1105)+1))</f>
        <v>116.884</v>
      </c>
      <c r="L1105" s="462">
        <f>IF(S1105=0,0,VLOOKUP(YEAR(S1105),INPC!$B$4:$O$29,MONTH(S1105)+1))</f>
        <v>126.47799999999999</v>
      </c>
      <c r="M1105" s="463">
        <f t="shared" si="166"/>
        <v>1.0820000000000001</v>
      </c>
      <c r="N1105" s="465">
        <f t="shared" si="167"/>
        <v>5544.6008000000011</v>
      </c>
      <c r="O1105" s="179"/>
      <c r="P1105" s="180">
        <v>40</v>
      </c>
      <c r="Q1105" s="173" t="s">
        <v>583</v>
      </c>
      <c r="R1105" s="173" t="s">
        <v>230</v>
      </c>
      <c r="S1105" s="174">
        <v>44901</v>
      </c>
      <c r="T1105" s="173" t="s">
        <v>33</v>
      </c>
      <c r="U1105" s="182">
        <v>2842.66</v>
      </c>
      <c r="V1105" s="177">
        <f>IF(U1105=0,0,IF(T1105="MXN",1/HLOOKUP(YEAR(S1105)+(MONTH(S1105)/100),TC!$5:$37,DAY(S1105)+2,FALSE),VLOOKUP(T1105,Equivalencia!$1:$23,((MAX(Equivalencia!$3:$3)-YEAR(S1105))*14)+MONTH(S1105)+2,FALSE)))</f>
        <v>1</v>
      </c>
      <c r="W1105" s="178">
        <f t="shared" si="168"/>
        <v>2842.66</v>
      </c>
      <c r="X1105" s="481">
        <f t="shared" si="169"/>
        <v>-2281.7400000000007</v>
      </c>
      <c r="Y1105" s="179"/>
      <c r="Z1105" s="466">
        <f t="shared" si="170"/>
        <v>5544.6008000000011</v>
      </c>
      <c r="AA1105" s="473">
        <f t="shared" si="171"/>
        <v>-2701.9408000000012</v>
      </c>
      <c r="AB1105" s="339">
        <f t="shared" si="172"/>
        <v>-0.44526969011006179</v>
      </c>
    </row>
    <row r="1106" spans="2:28" ht="20.100000000000001" customHeight="1">
      <c r="B1106" s="172">
        <v>1427200</v>
      </c>
      <c r="C1106" s="174">
        <v>44847</v>
      </c>
      <c r="D1106" s="181" t="s">
        <v>390</v>
      </c>
      <c r="E1106" s="173" t="s">
        <v>33</v>
      </c>
      <c r="F1106" s="176">
        <v>100.19</v>
      </c>
      <c r="G1106" s="175">
        <f t="shared" si="163"/>
        <v>2</v>
      </c>
      <c r="H1106" s="175">
        <f t="shared" si="164"/>
        <v>100.19</v>
      </c>
      <c r="I1106" s="177">
        <f>IF(G1106=0,0,IF(E1106="MXN",1/HLOOKUP(YEAR(C1106)+(MONTH(C1106)/100),TC!$5:$37,DAY(C1106)+2,FALSE),VLOOKUP(E1106,Equivalencia!$5:$23,((MAX(Equivalencia!$3:$3)-YEAR(C1106))*14)+MONTH(C1106)+2,FALSE)))</f>
        <v>1</v>
      </c>
      <c r="J1106" s="178">
        <f t="shared" si="165"/>
        <v>100.19</v>
      </c>
      <c r="K1106" s="462">
        <f>IF(C1106=0,0,VLOOKUP(YEAR(C1106),INPC!$B$4:$O$29,MONTH(C1106)+1))</f>
        <v>125.276</v>
      </c>
      <c r="L1106" s="462">
        <f>IF(S1106=0,0,VLOOKUP(YEAR(S1106),INPC!$B$4:$O$29,MONTH(S1106)+1))</f>
        <v>126.47799999999999</v>
      </c>
      <c r="M1106" s="463">
        <f t="shared" si="166"/>
        <v>1.0095000000000001</v>
      </c>
      <c r="N1106" s="465">
        <f t="shared" si="167"/>
        <v>101.14180500000001</v>
      </c>
      <c r="O1106" s="179"/>
      <c r="P1106" s="180">
        <v>2</v>
      </c>
      <c r="Q1106" s="173" t="s">
        <v>583</v>
      </c>
      <c r="R1106" s="173" t="s">
        <v>230</v>
      </c>
      <c r="S1106" s="174">
        <v>44908</v>
      </c>
      <c r="T1106" s="173" t="s">
        <v>33</v>
      </c>
      <c r="U1106" s="182">
        <v>157.16999999999999</v>
      </c>
      <c r="V1106" s="177">
        <f>IF(U1106=0,0,IF(T1106="MXN",1/HLOOKUP(YEAR(S1106)+(MONTH(S1106)/100),TC!$5:$37,DAY(S1106)+2,FALSE),VLOOKUP(T1106,Equivalencia!$1:$23,((MAX(Equivalencia!$3:$3)-YEAR(S1106))*14)+MONTH(S1106)+2,FALSE)))</f>
        <v>1</v>
      </c>
      <c r="W1106" s="178">
        <f t="shared" si="168"/>
        <v>157.16999999999999</v>
      </c>
      <c r="X1106" s="481">
        <f t="shared" si="169"/>
        <v>56.97999999999999</v>
      </c>
      <c r="Y1106" s="179"/>
      <c r="Z1106" s="466">
        <f t="shared" si="170"/>
        <v>101.14180500000001</v>
      </c>
      <c r="AA1106" s="473">
        <f t="shared" si="171"/>
        <v>56.028194999999982</v>
      </c>
      <c r="AB1106" s="339">
        <f t="shared" si="172"/>
        <v>0.56871943307715322</v>
      </c>
    </row>
    <row r="1107" spans="2:28" ht="20.100000000000001" customHeight="1">
      <c r="B1107" s="172">
        <v>1427200</v>
      </c>
      <c r="C1107" s="174">
        <v>44847</v>
      </c>
      <c r="D1107" s="181" t="s">
        <v>390</v>
      </c>
      <c r="E1107" s="173" t="s">
        <v>33</v>
      </c>
      <c r="F1107" s="176">
        <v>50.094999999999999</v>
      </c>
      <c r="G1107" s="175">
        <f t="shared" si="163"/>
        <v>1</v>
      </c>
      <c r="H1107" s="175">
        <f t="shared" si="164"/>
        <v>50.094999999999999</v>
      </c>
      <c r="I1107" s="177">
        <f>IF(G1107=0,0,IF(E1107="MXN",1/HLOOKUP(YEAR(C1107)+(MONTH(C1107)/100),TC!$5:$37,DAY(C1107)+2,FALSE),VLOOKUP(E1107,Equivalencia!$5:$23,((MAX(Equivalencia!$3:$3)-YEAR(C1107))*14)+MONTH(C1107)+2,FALSE)))</f>
        <v>1</v>
      </c>
      <c r="J1107" s="178">
        <f t="shared" si="165"/>
        <v>50.094999999999999</v>
      </c>
      <c r="K1107" s="462">
        <f>IF(C1107=0,0,VLOOKUP(YEAR(C1107),INPC!$B$4:$O$29,MONTH(C1107)+1))</f>
        <v>125.276</v>
      </c>
      <c r="L1107" s="462">
        <f>IF(S1107=0,0,VLOOKUP(YEAR(S1107),INPC!$B$4:$O$29,MONTH(S1107)+1))</f>
        <v>126.47799999999999</v>
      </c>
      <c r="M1107" s="463">
        <f t="shared" si="166"/>
        <v>1.0095000000000001</v>
      </c>
      <c r="N1107" s="465">
        <f t="shared" si="167"/>
        <v>50.570902500000003</v>
      </c>
      <c r="O1107" s="179"/>
      <c r="P1107" s="180">
        <v>1</v>
      </c>
      <c r="Q1107" s="173" t="s">
        <v>583</v>
      </c>
      <c r="R1107" s="173" t="s">
        <v>230</v>
      </c>
      <c r="S1107" s="174">
        <v>44908</v>
      </c>
      <c r="T1107" s="173" t="s">
        <v>33</v>
      </c>
      <c r="U1107" s="182">
        <v>78.599615384615376</v>
      </c>
      <c r="V1107" s="177">
        <f>IF(U1107=0,0,IF(T1107="MXN",1/HLOOKUP(YEAR(S1107)+(MONTH(S1107)/100),TC!$5:$37,DAY(S1107)+2,FALSE),VLOOKUP(T1107,Equivalencia!$1:$23,((MAX(Equivalencia!$3:$3)-YEAR(S1107))*14)+MONTH(S1107)+2,FALSE)))</f>
        <v>1</v>
      </c>
      <c r="W1107" s="178">
        <f t="shared" si="168"/>
        <v>78.599615384615376</v>
      </c>
      <c r="X1107" s="481">
        <f t="shared" si="169"/>
        <v>28.504615384615377</v>
      </c>
      <c r="Y1107" s="179"/>
      <c r="Z1107" s="466">
        <f t="shared" si="170"/>
        <v>50.570902500000003</v>
      </c>
      <c r="AA1107" s="473">
        <f t="shared" si="171"/>
        <v>28.028712884615373</v>
      </c>
      <c r="AB1107" s="339">
        <f t="shared" si="172"/>
        <v>0.56901118643807513</v>
      </c>
    </row>
    <row r="1108" spans="2:28" ht="20.100000000000001" customHeight="1">
      <c r="B1108" s="172">
        <v>1427200</v>
      </c>
      <c r="C1108" s="174">
        <v>44848</v>
      </c>
      <c r="D1108" s="181" t="s">
        <v>390</v>
      </c>
      <c r="E1108" s="173" t="s">
        <v>33</v>
      </c>
      <c r="F1108" s="176">
        <v>102.5</v>
      </c>
      <c r="G1108" s="175">
        <f t="shared" si="163"/>
        <v>2</v>
      </c>
      <c r="H1108" s="175">
        <f t="shared" si="164"/>
        <v>102.5</v>
      </c>
      <c r="I1108" s="177">
        <f>IF(G1108=0,0,IF(E1108="MXN",1/HLOOKUP(YEAR(C1108)+(MONTH(C1108)/100),TC!$5:$37,DAY(C1108)+2,FALSE),VLOOKUP(E1108,Equivalencia!$5:$23,((MAX(Equivalencia!$3:$3)-YEAR(C1108))*14)+MONTH(C1108)+2,FALSE)))</f>
        <v>1</v>
      </c>
      <c r="J1108" s="178">
        <f t="shared" si="165"/>
        <v>102.5</v>
      </c>
      <c r="K1108" s="462">
        <f>IF(C1108=0,0,VLOOKUP(YEAR(C1108),INPC!$B$4:$O$29,MONTH(C1108)+1))</f>
        <v>125.276</v>
      </c>
      <c r="L1108" s="462">
        <f>IF(S1108=0,0,VLOOKUP(YEAR(S1108),INPC!$B$4:$O$29,MONTH(S1108)+1))</f>
        <v>126.47799999999999</v>
      </c>
      <c r="M1108" s="463">
        <f t="shared" si="166"/>
        <v>1.0095000000000001</v>
      </c>
      <c r="N1108" s="465">
        <f t="shared" si="167"/>
        <v>103.47375000000001</v>
      </c>
      <c r="O1108" s="179"/>
      <c r="P1108" s="180">
        <v>2</v>
      </c>
      <c r="Q1108" s="173" t="s">
        <v>583</v>
      </c>
      <c r="R1108" s="173" t="s">
        <v>230</v>
      </c>
      <c r="S1108" s="174">
        <v>44908</v>
      </c>
      <c r="T1108" s="173" t="s">
        <v>33</v>
      </c>
      <c r="U1108" s="182">
        <v>157.19923076923075</v>
      </c>
      <c r="V1108" s="177">
        <f>IF(U1108=0,0,IF(T1108="MXN",1/HLOOKUP(YEAR(S1108)+(MONTH(S1108)/100),TC!$5:$37,DAY(S1108)+2,FALSE),VLOOKUP(T1108,Equivalencia!$1:$23,((MAX(Equivalencia!$3:$3)-YEAR(S1108))*14)+MONTH(S1108)+2,FALSE)))</f>
        <v>1</v>
      </c>
      <c r="W1108" s="178">
        <f t="shared" si="168"/>
        <v>157.19923076923075</v>
      </c>
      <c r="X1108" s="481">
        <f t="shared" si="169"/>
        <v>54.699230769230752</v>
      </c>
      <c r="Y1108" s="179"/>
      <c r="Z1108" s="466">
        <f t="shared" si="170"/>
        <v>103.47375000000001</v>
      </c>
      <c r="AA1108" s="473">
        <f t="shared" si="171"/>
        <v>53.725480769230742</v>
      </c>
      <c r="AB1108" s="339">
        <f t="shared" si="172"/>
        <v>0.53365103189493412</v>
      </c>
    </row>
    <row r="1109" spans="2:28" ht="20.100000000000001" customHeight="1">
      <c r="B1109" s="172">
        <v>1427200</v>
      </c>
      <c r="C1109" s="174">
        <v>44852</v>
      </c>
      <c r="D1109" s="181" t="s">
        <v>390</v>
      </c>
      <c r="E1109" s="173" t="s">
        <v>33</v>
      </c>
      <c r="F1109" s="176">
        <v>606.95000000000005</v>
      </c>
      <c r="G1109" s="175">
        <f t="shared" si="163"/>
        <v>11</v>
      </c>
      <c r="H1109" s="175">
        <f t="shared" si="164"/>
        <v>606.95000000000005</v>
      </c>
      <c r="I1109" s="177">
        <f>IF(G1109=0,0,IF(E1109="MXN",1/HLOOKUP(YEAR(C1109)+(MONTH(C1109)/100),TC!$5:$37,DAY(C1109)+2,FALSE),VLOOKUP(E1109,Equivalencia!$5:$23,((MAX(Equivalencia!$3:$3)-YEAR(C1109))*14)+MONTH(C1109)+2,FALSE)))</f>
        <v>1</v>
      </c>
      <c r="J1109" s="178">
        <f t="shared" si="165"/>
        <v>606.95000000000005</v>
      </c>
      <c r="K1109" s="462">
        <f>IF(C1109=0,0,VLOOKUP(YEAR(C1109),INPC!$B$4:$O$29,MONTH(C1109)+1))</f>
        <v>125.276</v>
      </c>
      <c r="L1109" s="462">
        <f>IF(S1109=0,0,VLOOKUP(YEAR(S1109),INPC!$B$4:$O$29,MONTH(S1109)+1))</f>
        <v>126.47799999999999</v>
      </c>
      <c r="M1109" s="463">
        <f t="shared" si="166"/>
        <v>1.0095000000000001</v>
      </c>
      <c r="N1109" s="465">
        <f t="shared" si="167"/>
        <v>612.71602500000006</v>
      </c>
      <c r="O1109" s="179"/>
      <c r="P1109" s="180">
        <v>11</v>
      </c>
      <c r="Q1109" s="173" t="s">
        <v>583</v>
      </c>
      <c r="R1109" s="173" t="s">
        <v>230</v>
      </c>
      <c r="S1109" s="174">
        <v>44908</v>
      </c>
      <c r="T1109" s="173" t="s">
        <v>33</v>
      </c>
      <c r="U1109" s="182">
        <v>864.59576923076918</v>
      </c>
      <c r="V1109" s="177">
        <f>IF(U1109=0,0,IF(T1109="MXN",1/HLOOKUP(YEAR(S1109)+(MONTH(S1109)/100),TC!$5:$37,DAY(S1109)+2,FALSE),VLOOKUP(T1109,Equivalencia!$1:$23,((MAX(Equivalencia!$3:$3)-YEAR(S1109))*14)+MONTH(S1109)+2,FALSE)))</f>
        <v>1</v>
      </c>
      <c r="W1109" s="178">
        <f t="shared" si="168"/>
        <v>864.59576923076918</v>
      </c>
      <c r="X1109" s="481">
        <f t="shared" si="169"/>
        <v>257.64576923076913</v>
      </c>
      <c r="Y1109" s="179"/>
      <c r="Z1109" s="466">
        <f t="shared" si="170"/>
        <v>612.71602500000006</v>
      </c>
      <c r="AA1109" s="473">
        <f t="shared" si="171"/>
        <v>251.87974423076912</v>
      </c>
      <c r="AB1109" s="339">
        <f t="shared" si="172"/>
        <v>0.42449257637493876</v>
      </c>
    </row>
    <row r="1110" spans="2:28" ht="20.100000000000001" customHeight="1">
      <c r="B1110" s="172">
        <v>1427200</v>
      </c>
      <c r="C1110" s="174">
        <v>44854</v>
      </c>
      <c r="D1110" s="181" t="s">
        <v>390</v>
      </c>
      <c r="E1110" s="173" t="s">
        <v>33</v>
      </c>
      <c r="F1110" s="176">
        <v>473.25</v>
      </c>
      <c r="G1110" s="175">
        <f t="shared" si="163"/>
        <v>9</v>
      </c>
      <c r="H1110" s="175">
        <f t="shared" si="164"/>
        <v>473.25</v>
      </c>
      <c r="I1110" s="177">
        <f>IF(G1110=0,0,IF(E1110="MXN",1/HLOOKUP(YEAR(C1110)+(MONTH(C1110)/100),TC!$5:$37,DAY(C1110)+2,FALSE),VLOOKUP(E1110,Equivalencia!$5:$23,((MAX(Equivalencia!$3:$3)-YEAR(C1110))*14)+MONTH(C1110)+2,FALSE)))</f>
        <v>1</v>
      </c>
      <c r="J1110" s="178">
        <f t="shared" si="165"/>
        <v>473.25</v>
      </c>
      <c r="K1110" s="462">
        <f>IF(C1110=0,0,VLOOKUP(YEAR(C1110),INPC!$B$4:$O$29,MONTH(C1110)+1))</f>
        <v>125.276</v>
      </c>
      <c r="L1110" s="462">
        <f>IF(S1110=0,0,VLOOKUP(YEAR(S1110),INPC!$B$4:$O$29,MONTH(S1110)+1))</f>
        <v>126.47799999999999</v>
      </c>
      <c r="M1110" s="463">
        <f t="shared" si="166"/>
        <v>1.0095000000000001</v>
      </c>
      <c r="N1110" s="465">
        <f t="shared" si="167"/>
        <v>477.74587500000001</v>
      </c>
      <c r="O1110" s="179"/>
      <c r="P1110" s="180">
        <v>9</v>
      </c>
      <c r="Q1110" s="173" t="s">
        <v>583</v>
      </c>
      <c r="R1110" s="173" t="s">
        <v>230</v>
      </c>
      <c r="S1110" s="174">
        <v>44908</v>
      </c>
      <c r="T1110" s="173" t="s">
        <v>33</v>
      </c>
      <c r="U1110" s="182">
        <v>707.3965384615384</v>
      </c>
      <c r="V1110" s="177">
        <f>IF(U1110=0,0,IF(T1110="MXN",1/HLOOKUP(YEAR(S1110)+(MONTH(S1110)/100),TC!$5:$37,DAY(S1110)+2,FALSE),VLOOKUP(T1110,Equivalencia!$1:$23,((MAX(Equivalencia!$3:$3)-YEAR(S1110))*14)+MONTH(S1110)+2,FALSE)))</f>
        <v>1</v>
      </c>
      <c r="W1110" s="178">
        <f t="shared" si="168"/>
        <v>707.3965384615384</v>
      </c>
      <c r="X1110" s="481">
        <f t="shared" si="169"/>
        <v>234.1465384615384</v>
      </c>
      <c r="Y1110" s="179"/>
      <c r="Z1110" s="466">
        <f t="shared" si="170"/>
        <v>477.74587500000001</v>
      </c>
      <c r="AA1110" s="473">
        <f t="shared" si="171"/>
        <v>229.65066346153839</v>
      </c>
      <c r="AB1110" s="339">
        <f t="shared" si="172"/>
        <v>0.49476289162501508</v>
      </c>
    </row>
    <row r="1111" spans="2:28" ht="20.100000000000001" customHeight="1">
      <c r="B1111" s="172">
        <v>1427200</v>
      </c>
      <c r="C1111" s="174">
        <v>44854</v>
      </c>
      <c r="D1111" s="181" t="s">
        <v>390</v>
      </c>
      <c r="E1111" s="173" t="s">
        <v>33</v>
      </c>
      <c r="F1111" s="176">
        <v>157.75285714285712</v>
      </c>
      <c r="G1111" s="175">
        <f t="shared" si="163"/>
        <v>3</v>
      </c>
      <c r="H1111" s="175">
        <f t="shared" si="164"/>
        <v>157.75285714285712</v>
      </c>
      <c r="I1111" s="177">
        <f>IF(G1111=0,0,IF(E1111="MXN",1/HLOOKUP(YEAR(C1111)+(MONTH(C1111)/100),TC!$5:$37,DAY(C1111)+2,FALSE),VLOOKUP(E1111,Equivalencia!$5:$23,((MAX(Equivalencia!$3:$3)-YEAR(C1111))*14)+MONTH(C1111)+2,FALSE)))</f>
        <v>1</v>
      </c>
      <c r="J1111" s="178">
        <f t="shared" si="165"/>
        <v>157.75285714285712</v>
      </c>
      <c r="K1111" s="462">
        <f>IF(C1111=0,0,VLOOKUP(YEAR(C1111),INPC!$B$4:$O$29,MONTH(C1111)+1))</f>
        <v>125.276</v>
      </c>
      <c r="L1111" s="462">
        <f>IF(S1111=0,0,VLOOKUP(YEAR(S1111),INPC!$B$4:$O$29,MONTH(S1111)+1))</f>
        <v>126.47799999999999</v>
      </c>
      <c r="M1111" s="463">
        <f t="shared" si="166"/>
        <v>1.0095000000000001</v>
      </c>
      <c r="N1111" s="465">
        <f t="shared" si="167"/>
        <v>159.25150928571426</v>
      </c>
      <c r="O1111" s="179"/>
      <c r="P1111" s="180">
        <v>3</v>
      </c>
      <c r="Q1111" s="173" t="s">
        <v>583</v>
      </c>
      <c r="R1111" s="173" t="s">
        <v>230</v>
      </c>
      <c r="S1111" s="174">
        <v>44908</v>
      </c>
      <c r="T1111" s="173" t="s">
        <v>33</v>
      </c>
      <c r="U1111" s="182">
        <v>235.79884615384611</v>
      </c>
      <c r="V1111" s="177">
        <f>IF(U1111=0,0,IF(T1111="MXN",1/HLOOKUP(YEAR(S1111)+(MONTH(S1111)/100),TC!$5:$37,DAY(S1111)+2,FALSE),VLOOKUP(T1111,Equivalencia!$1:$23,((MAX(Equivalencia!$3:$3)-YEAR(S1111))*14)+MONTH(S1111)+2,FALSE)))</f>
        <v>1</v>
      </c>
      <c r="W1111" s="178">
        <f t="shared" si="168"/>
        <v>235.79884615384611</v>
      </c>
      <c r="X1111" s="481">
        <f t="shared" si="169"/>
        <v>78.04598901098899</v>
      </c>
      <c r="Y1111" s="179"/>
      <c r="Z1111" s="466">
        <f t="shared" si="170"/>
        <v>159.25150928571426</v>
      </c>
      <c r="AA1111" s="473">
        <f t="shared" si="171"/>
        <v>76.54733686813185</v>
      </c>
      <c r="AB1111" s="339">
        <f t="shared" si="172"/>
        <v>0.49473581920809484</v>
      </c>
    </row>
    <row r="1112" spans="2:28" ht="20.100000000000001" customHeight="1">
      <c r="B1112" s="172">
        <v>1427200</v>
      </c>
      <c r="C1112" s="174">
        <v>44854</v>
      </c>
      <c r="D1112" s="181" t="s">
        <v>390</v>
      </c>
      <c r="E1112" s="173" t="s">
        <v>33</v>
      </c>
      <c r="F1112" s="176">
        <v>210.33714285714285</v>
      </c>
      <c r="G1112" s="175">
        <f t="shared" si="163"/>
        <v>4</v>
      </c>
      <c r="H1112" s="175">
        <f t="shared" si="164"/>
        <v>210.33714285714285</v>
      </c>
      <c r="I1112" s="177">
        <f>IF(G1112=0,0,IF(E1112="MXN",1/HLOOKUP(YEAR(C1112)+(MONTH(C1112)/100),TC!$5:$37,DAY(C1112)+2,FALSE),VLOOKUP(E1112,Equivalencia!$5:$23,((MAX(Equivalencia!$3:$3)-YEAR(C1112))*14)+MONTH(C1112)+2,FALSE)))</f>
        <v>1</v>
      </c>
      <c r="J1112" s="178">
        <f t="shared" si="165"/>
        <v>210.33714285714285</v>
      </c>
      <c r="K1112" s="462">
        <f>IF(C1112=0,0,VLOOKUP(YEAR(C1112),INPC!$B$4:$O$29,MONTH(C1112)+1))</f>
        <v>125.276</v>
      </c>
      <c r="L1112" s="462">
        <f>IF(S1112=0,0,VLOOKUP(YEAR(S1112),INPC!$B$4:$O$29,MONTH(S1112)+1))</f>
        <v>126.47799999999999</v>
      </c>
      <c r="M1112" s="463">
        <f t="shared" si="166"/>
        <v>1.0095000000000001</v>
      </c>
      <c r="N1112" s="465">
        <f t="shared" si="167"/>
        <v>212.33534571428572</v>
      </c>
      <c r="O1112" s="179"/>
      <c r="P1112" s="180">
        <v>4</v>
      </c>
      <c r="Q1112" s="173" t="s">
        <v>583</v>
      </c>
      <c r="R1112" s="173" t="s">
        <v>230</v>
      </c>
      <c r="S1112" s="174">
        <v>44908</v>
      </c>
      <c r="T1112" s="173" t="s">
        <v>33</v>
      </c>
      <c r="U1112" s="182">
        <v>314.21999999999997</v>
      </c>
      <c r="V1112" s="177">
        <f>IF(U1112=0,0,IF(T1112="MXN",1/HLOOKUP(YEAR(S1112)+(MONTH(S1112)/100),TC!$5:$37,DAY(S1112)+2,FALSE),VLOOKUP(T1112,Equivalencia!$1:$23,((MAX(Equivalencia!$3:$3)-YEAR(S1112))*14)+MONTH(S1112)+2,FALSE)))</f>
        <v>1</v>
      </c>
      <c r="W1112" s="178">
        <f t="shared" si="168"/>
        <v>314.21999999999997</v>
      </c>
      <c r="X1112" s="481">
        <f t="shared" si="169"/>
        <v>103.88285714285712</v>
      </c>
      <c r="Y1112" s="179"/>
      <c r="Z1112" s="466">
        <f t="shared" si="170"/>
        <v>212.33534571428572</v>
      </c>
      <c r="AA1112" s="473">
        <f t="shared" si="171"/>
        <v>101.88465428571425</v>
      </c>
      <c r="AB1112" s="339">
        <f t="shared" si="172"/>
        <v>0.49388736450324644</v>
      </c>
    </row>
    <row r="1113" spans="2:28" ht="20.100000000000001" customHeight="1">
      <c r="B1113" s="172">
        <v>1427200</v>
      </c>
      <c r="C1113" s="174">
        <v>44854</v>
      </c>
      <c r="D1113" s="181" t="s">
        <v>390</v>
      </c>
      <c r="E1113" s="173" t="s">
        <v>33</v>
      </c>
      <c r="F1113" s="176">
        <v>51.99</v>
      </c>
      <c r="G1113" s="175">
        <f t="shared" si="163"/>
        <v>1</v>
      </c>
      <c r="H1113" s="175">
        <f t="shared" si="164"/>
        <v>51.99</v>
      </c>
      <c r="I1113" s="177">
        <f>IF(G1113=0,0,IF(E1113="MXN",1/HLOOKUP(YEAR(C1113)+(MONTH(C1113)/100),TC!$5:$37,DAY(C1113)+2,FALSE),VLOOKUP(E1113,Equivalencia!$5:$23,((MAX(Equivalencia!$3:$3)-YEAR(C1113))*14)+MONTH(C1113)+2,FALSE)))</f>
        <v>1</v>
      </c>
      <c r="J1113" s="178">
        <f t="shared" si="165"/>
        <v>51.99</v>
      </c>
      <c r="K1113" s="462">
        <f>IF(C1113=0,0,VLOOKUP(YEAR(C1113),INPC!$B$4:$O$29,MONTH(C1113)+1))</f>
        <v>125.276</v>
      </c>
      <c r="L1113" s="462">
        <f>IF(S1113=0,0,VLOOKUP(YEAR(S1113),INPC!$B$4:$O$29,MONTH(S1113)+1))</f>
        <v>126.47799999999999</v>
      </c>
      <c r="M1113" s="463">
        <f t="shared" si="166"/>
        <v>1.0095000000000001</v>
      </c>
      <c r="N1113" s="465">
        <f t="shared" si="167"/>
        <v>52.483905000000007</v>
      </c>
      <c r="O1113" s="179"/>
      <c r="P1113" s="180">
        <v>1</v>
      </c>
      <c r="Q1113" s="173" t="s">
        <v>583</v>
      </c>
      <c r="R1113" s="173" t="s">
        <v>230</v>
      </c>
      <c r="S1113" s="174">
        <v>44908</v>
      </c>
      <c r="T1113" s="173" t="s">
        <v>33</v>
      </c>
      <c r="U1113" s="182">
        <v>78.554999999999993</v>
      </c>
      <c r="V1113" s="177">
        <f>IF(U1113=0,0,IF(T1113="MXN",1/HLOOKUP(YEAR(S1113)+(MONTH(S1113)/100),TC!$5:$37,DAY(S1113)+2,FALSE),VLOOKUP(T1113,Equivalencia!$1:$23,((MAX(Equivalencia!$3:$3)-YEAR(S1113))*14)+MONTH(S1113)+2,FALSE)))</f>
        <v>1</v>
      </c>
      <c r="W1113" s="178">
        <f t="shared" si="168"/>
        <v>78.554999999999993</v>
      </c>
      <c r="X1113" s="481">
        <f t="shared" si="169"/>
        <v>26.564999999999991</v>
      </c>
      <c r="Y1113" s="179"/>
      <c r="Z1113" s="466">
        <f t="shared" si="170"/>
        <v>52.483905000000007</v>
      </c>
      <c r="AA1113" s="473">
        <f t="shared" si="171"/>
        <v>26.071094999999985</v>
      </c>
      <c r="AB1113" s="339">
        <f t="shared" si="172"/>
        <v>0.51096364685516416</v>
      </c>
    </row>
    <row r="1114" spans="2:28" ht="20.100000000000001" customHeight="1">
      <c r="B1114" s="172">
        <v>1427200</v>
      </c>
      <c r="C1114" s="174">
        <v>44854</v>
      </c>
      <c r="D1114" s="181" t="s">
        <v>390</v>
      </c>
      <c r="E1114" s="173" t="s">
        <v>33</v>
      </c>
      <c r="F1114" s="176">
        <v>51.99</v>
      </c>
      <c r="G1114" s="175">
        <f t="shared" si="163"/>
        <v>1</v>
      </c>
      <c r="H1114" s="175">
        <f t="shared" si="164"/>
        <v>51.99</v>
      </c>
      <c r="I1114" s="177">
        <f>IF(G1114=0,0,IF(E1114="MXN",1/HLOOKUP(YEAR(C1114)+(MONTH(C1114)/100),TC!$5:$37,DAY(C1114)+2,FALSE),VLOOKUP(E1114,Equivalencia!$5:$23,((MAX(Equivalencia!$3:$3)-YEAR(C1114))*14)+MONTH(C1114)+2,FALSE)))</f>
        <v>1</v>
      </c>
      <c r="J1114" s="178">
        <f t="shared" si="165"/>
        <v>51.99</v>
      </c>
      <c r="K1114" s="462">
        <f>IF(C1114=0,0,VLOOKUP(YEAR(C1114),INPC!$B$4:$O$29,MONTH(C1114)+1))</f>
        <v>125.276</v>
      </c>
      <c r="L1114" s="462">
        <f>IF(S1114=0,0,VLOOKUP(YEAR(S1114),INPC!$B$4:$O$29,MONTH(S1114)+1))</f>
        <v>126.47799999999999</v>
      </c>
      <c r="M1114" s="463">
        <f t="shared" si="166"/>
        <v>1.0095000000000001</v>
      </c>
      <c r="N1114" s="465">
        <f t="shared" si="167"/>
        <v>52.483905000000007</v>
      </c>
      <c r="O1114" s="179"/>
      <c r="P1114" s="180">
        <v>1</v>
      </c>
      <c r="Q1114" s="173" t="s">
        <v>583</v>
      </c>
      <c r="R1114" s="173" t="s">
        <v>230</v>
      </c>
      <c r="S1114" s="174">
        <v>44908</v>
      </c>
      <c r="T1114" s="173" t="s">
        <v>33</v>
      </c>
      <c r="U1114" s="182">
        <v>78.554999999999993</v>
      </c>
      <c r="V1114" s="177">
        <f>IF(U1114=0,0,IF(T1114="MXN",1/HLOOKUP(YEAR(S1114)+(MONTH(S1114)/100),TC!$5:$37,DAY(S1114)+2,FALSE),VLOOKUP(T1114,Equivalencia!$1:$23,((MAX(Equivalencia!$3:$3)-YEAR(S1114))*14)+MONTH(S1114)+2,FALSE)))</f>
        <v>1</v>
      </c>
      <c r="W1114" s="178">
        <f t="shared" si="168"/>
        <v>78.554999999999993</v>
      </c>
      <c r="X1114" s="481">
        <f t="shared" si="169"/>
        <v>26.564999999999991</v>
      </c>
      <c r="Y1114" s="179"/>
      <c r="Z1114" s="466">
        <f t="shared" si="170"/>
        <v>52.483905000000007</v>
      </c>
      <c r="AA1114" s="473">
        <f t="shared" si="171"/>
        <v>26.071094999999985</v>
      </c>
      <c r="AB1114" s="339">
        <f t="shared" si="172"/>
        <v>0.51096364685516416</v>
      </c>
    </row>
    <row r="1115" spans="2:28" ht="20.100000000000001" customHeight="1">
      <c r="B1115" s="172">
        <v>1427200</v>
      </c>
      <c r="C1115" s="174">
        <v>44644</v>
      </c>
      <c r="D1115" s="181" t="s">
        <v>279</v>
      </c>
      <c r="E1115" s="173" t="s">
        <v>33</v>
      </c>
      <c r="F1115" s="176">
        <v>65.147999999999996</v>
      </c>
      <c r="G1115" s="175">
        <f t="shared" si="163"/>
        <v>3</v>
      </c>
      <c r="H1115" s="175">
        <f t="shared" si="164"/>
        <v>65.147999999999996</v>
      </c>
      <c r="I1115" s="177">
        <f>IF(G1115=0,0,IF(E1115="MXN",1/HLOOKUP(YEAR(C1115)+(MONTH(C1115)/100),TC!$5:$37,DAY(C1115)+2,FALSE),VLOOKUP(E1115,Equivalencia!$5:$23,((MAX(Equivalencia!$3:$3)-YEAR(C1115))*14)+MONTH(C1115)+2,FALSE)))</f>
        <v>1</v>
      </c>
      <c r="J1115" s="178">
        <f t="shared" si="165"/>
        <v>65.147999999999996</v>
      </c>
      <c r="K1115" s="462">
        <f>IF(C1115=0,0,VLOOKUP(YEAR(C1115),INPC!$B$4:$O$29,MONTH(C1115)+1))</f>
        <v>120.15900000000001</v>
      </c>
      <c r="L1115" s="462">
        <f>IF(S1115=0,0,VLOOKUP(YEAR(S1115),INPC!$B$4:$O$29,MONTH(S1115)+1))</f>
        <v>126.47799999999999</v>
      </c>
      <c r="M1115" s="463">
        <f t="shared" si="166"/>
        <v>1.0525</v>
      </c>
      <c r="N1115" s="465">
        <f t="shared" si="167"/>
        <v>68.568269999999998</v>
      </c>
      <c r="O1115" s="179"/>
      <c r="P1115" s="180">
        <v>3</v>
      </c>
      <c r="Q1115" s="173" t="s">
        <v>583</v>
      </c>
      <c r="R1115" s="173" t="s">
        <v>230</v>
      </c>
      <c r="S1115" s="174">
        <v>44908</v>
      </c>
      <c r="T1115" s="173" t="s">
        <v>33</v>
      </c>
      <c r="U1115" s="182">
        <v>25.330263157894741</v>
      </c>
      <c r="V1115" s="177">
        <f>IF(U1115=0,0,IF(T1115="MXN",1/HLOOKUP(YEAR(S1115)+(MONTH(S1115)/100),TC!$5:$37,DAY(S1115)+2,FALSE),VLOOKUP(T1115,Equivalencia!$1:$23,((MAX(Equivalencia!$3:$3)-YEAR(S1115))*14)+MONTH(S1115)+2,FALSE)))</f>
        <v>1</v>
      </c>
      <c r="W1115" s="178">
        <f t="shared" si="168"/>
        <v>25.330263157894741</v>
      </c>
      <c r="X1115" s="481">
        <f t="shared" si="169"/>
        <v>-39.817736842105255</v>
      </c>
      <c r="Y1115" s="179"/>
      <c r="Z1115" s="466">
        <f t="shared" si="170"/>
        <v>68.568269999999998</v>
      </c>
      <c r="AA1115" s="473">
        <f t="shared" si="171"/>
        <v>-43.238006842105257</v>
      </c>
      <c r="AB1115" s="339">
        <f t="shared" si="172"/>
        <v>-0.61118893660749762</v>
      </c>
    </row>
    <row r="1116" spans="2:28" ht="20.100000000000001" customHeight="1">
      <c r="B1116" s="172">
        <v>1427200</v>
      </c>
      <c r="C1116" s="174">
        <v>44645</v>
      </c>
      <c r="D1116" s="181" t="s">
        <v>279</v>
      </c>
      <c r="E1116" s="173" t="s">
        <v>33</v>
      </c>
      <c r="F1116" s="176">
        <v>20.059999999999999</v>
      </c>
      <c r="G1116" s="175">
        <f t="shared" si="163"/>
        <v>1</v>
      </c>
      <c r="H1116" s="175">
        <f t="shared" si="164"/>
        <v>20.059999999999999</v>
      </c>
      <c r="I1116" s="177">
        <f>IF(G1116=0,0,IF(E1116="MXN",1/HLOOKUP(YEAR(C1116)+(MONTH(C1116)/100),TC!$5:$37,DAY(C1116)+2,FALSE),VLOOKUP(E1116,Equivalencia!$5:$23,((MAX(Equivalencia!$3:$3)-YEAR(C1116))*14)+MONTH(C1116)+2,FALSE)))</f>
        <v>1</v>
      </c>
      <c r="J1116" s="178">
        <f t="shared" si="165"/>
        <v>20.059999999999999</v>
      </c>
      <c r="K1116" s="462">
        <f>IF(C1116=0,0,VLOOKUP(YEAR(C1116),INPC!$B$4:$O$29,MONTH(C1116)+1))</f>
        <v>120.15900000000001</v>
      </c>
      <c r="L1116" s="462">
        <f>IF(S1116=0,0,VLOOKUP(YEAR(S1116),INPC!$B$4:$O$29,MONTH(S1116)+1))</f>
        <v>126.47799999999999</v>
      </c>
      <c r="M1116" s="463">
        <f t="shared" si="166"/>
        <v>1.0525</v>
      </c>
      <c r="N1116" s="465">
        <f t="shared" si="167"/>
        <v>21.113149999999997</v>
      </c>
      <c r="O1116" s="179"/>
      <c r="P1116" s="180">
        <v>1</v>
      </c>
      <c r="Q1116" s="173" t="s">
        <v>583</v>
      </c>
      <c r="R1116" s="173" t="s">
        <v>230</v>
      </c>
      <c r="S1116" s="174">
        <v>44908</v>
      </c>
      <c r="T1116" s="173" t="s">
        <v>33</v>
      </c>
      <c r="U1116" s="182">
        <v>8.4434210526315798</v>
      </c>
      <c r="V1116" s="177">
        <f>IF(U1116=0,0,IF(T1116="MXN",1/HLOOKUP(YEAR(S1116)+(MONTH(S1116)/100),TC!$5:$37,DAY(S1116)+2,FALSE),VLOOKUP(T1116,Equivalencia!$1:$23,((MAX(Equivalencia!$3:$3)-YEAR(S1116))*14)+MONTH(S1116)+2,FALSE)))</f>
        <v>1</v>
      </c>
      <c r="W1116" s="178">
        <f t="shared" si="168"/>
        <v>8.4434210526315798</v>
      </c>
      <c r="X1116" s="481">
        <f t="shared" si="169"/>
        <v>-11.616578947368419</v>
      </c>
      <c r="Y1116" s="179"/>
      <c r="Z1116" s="466">
        <f t="shared" si="170"/>
        <v>21.113149999999997</v>
      </c>
      <c r="AA1116" s="473">
        <f t="shared" si="171"/>
        <v>-12.669728947368418</v>
      </c>
      <c r="AB1116" s="339">
        <f t="shared" si="172"/>
        <v>-0.57909167235136683</v>
      </c>
    </row>
    <row r="1117" spans="2:28" ht="20.100000000000001" customHeight="1">
      <c r="B1117" s="172">
        <v>1427200</v>
      </c>
      <c r="C1117" s="174">
        <v>44645</v>
      </c>
      <c r="D1117" s="181" t="s">
        <v>279</v>
      </c>
      <c r="E1117" s="173" t="s">
        <v>33</v>
      </c>
      <c r="F1117" s="176">
        <v>666.04</v>
      </c>
      <c r="G1117" s="175">
        <f t="shared" si="163"/>
        <v>33</v>
      </c>
      <c r="H1117" s="175">
        <f t="shared" si="164"/>
        <v>666.04</v>
      </c>
      <c r="I1117" s="177">
        <f>IF(G1117=0,0,IF(E1117="MXN",1/HLOOKUP(YEAR(C1117)+(MONTH(C1117)/100),TC!$5:$37,DAY(C1117)+2,FALSE),VLOOKUP(E1117,Equivalencia!$5:$23,((MAX(Equivalencia!$3:$3)-YEAR(C1117))*14)+MONTH(C1117)+2,FALSE)))</f>
        <v>1</v>
      </c>
      <c r="J1117" s="178">
        <f t="shared" si="165"/>
        <v>666.04</v>
      </c>
      <c r="K1117" s="462">
        <f>IF(C1117=0,0,VLOOKUP(YEAR(C1117),INPC!$B$4:$O$29,MONTH(C1117)+1))</f>
        <v>120.15900000000001</v>
      </c>
      <c r="L1117" s="462">
        <f>IF(S1117=0,0,VLOOKUP(YEAR(S1117),INPC!$B$4:$O$29,MONTH(S1117)+1))</f>
        <v>126.47799999999999</v>
      </c>
      <c r="M1117" s="463">
        <f t="shared" si="166"/>
        <v>1.0525</v>
      </c>
      <c r="N1117" s="465">
        <f t="shared" si="167"/>
        <v>701.00709999999992</v>
      </c>
      <c r="O1117" s="179"/>
      <c r="P1117" s="180">
        <v>33</v>
      </c>
      <c r="Q1117" s="173" t="s">
        <v>583</v>
      </c>
      <c r="R1117" s="173" t="s">
        <v>230</v>
      </c>
      <c r="S1117" s="174">
        <v>44908</v>
      </c>
      <c r="T1117" s="173" t="s">
        <v>33</v>
      </c>
      <c r="U1117" s="182">
        <v>278.63289473684216</v>
      </c>
      <c r="V1117" s="177">
        <f>IF(U1117=0,0,IF(T1117="MXN",1/HLOOKUP(YEAR(S1117)+(MONTH(S1117)/100),TC!$5:$37,DAY(S1117)+2,FALSE),VLOOKUP(T1117,Equivalencia!$1:$23,((MAX(Equivalencia!$3:$3)-YEAR(S1117))*14)+MONTH(S1117)+2,FALSE)))</f>
        <v>1</v>
      </c>
      <c r="W1117" s="178">
        <f t="shared" si="168"/>
        <v>278.63289473684216</v>
      </c>
      <c r="X1117" s="481">
        <f t="shared" si="169"/>
        <v>-387.4071052631578</v>
      </c>
      <c r="Y1117" s="179"/>
      <c r="Z1117" s="466">
        <f t="shared" si="170"/>
        <v>701.00709999999992</v>
      </c>
      <c r="AA1117" s="473">
        <f t="shared" si="171"/>
        <v>-422.37420526315776</v>
      </c>
      <c r="AB1117" s="339">
        <f t="shared" si="172"/>
        <v>-0.58165741586565045</v>
      </c>
    </row>
    <row r="1118" spans="2:28" ht="20.100000000000001" customHeight="1">
      <c r="B1118" s="172">
        <v>1427200</v>
      </c>
      <c r="C1118" s="174">
        <v>44645</v>
      </c>
      <c r="D1118" s="181" t="s">
        <v>279</v>
      </c>
      <c r="E1118" s="173" t="s">
        <v>33</v>
      </c>
      <c r="F1118" s="176">
        <v>20.059999999999999</v>
      </c>
      <c r="G1118" s="175">
        <f t="shared" si="163"/>
        <v>1</v>
      </c>
      <c r="H1118" s="175">
        <f t="shared" si="164"/>
        <v>20.059999999999999</v>
      </c>
      <c r="I1118" s="177">
        <f>IF(G1118=0,0,IF(E1118="MXN",1/HLOOKUP(YEAR(C1118)+(MONTH(C1118)/100),TC!$5:$37,DAY(C1118)+2,FALSE),VLOOKUP(E1118,Equivalencia!$5:$23,((MAX(Equivalencia!$3:$3)-YEAR(C1118))*14)+MONTH(C1118)+2,FALSE)))</f>
        <v>1</v>
      </c>
      <c r="J1118" s="178">
        <f t="shared" si="165"/>
        <v>20.059999999999999</v>
      </c>
      <c r="K1118" s="462">
        <f>IF(C1118=0,0,VLOOKUP(YEAR(C1118),INPC!$B$4:$O$29,MONTH(C1118)+1))</f>
        <v>120.15900000000001</v>
      </c>
      <c r="L1118" s="462">
        <f>IF(S1118=0,0,VLOOKUP(YEAR(S1118),INPC!$B$4:$O$29,MONTH(S1118)+1))</f>
        <v>126.47799999999999</v>
      </c>
      <c r="M1118" s="463">
        <f t="shared" si="166"/>
        <v>1.0525</v>
      </c>
      <c r="N1118" s="465">
        <f t="shared" si="167"/>
        <v>21.113149999999997</v>
      </c>
      <c r="O1118" s="179"/>
      <c r="P1118" s="180">
        <v>1</v>
      </c>
      <c r="Q1118" s="173" t="s">
        <v>583</v>
      </c>
      <c r="R1118" s="173" t="s">
        <v>230</v>
      </c>
      <c r="S1118" s="174">
        <v>44908</v>
      </c>
      <c r="T1118" s="173" t="s">
        <v>33</v>
      </c>
      <c r="U1118" s="182">
        <v>8.4434210526315798</v>
      </c>
      <c r="V1118" s="177">
        <f>IF(U1118=0,0,IF(T1118="MXN",1/HLOOKUP(YEAR(S1118)+(MONTH(S1118)/100),TC!$5:$37,DAY(S1118)+2,FALSE),VLOOKUP(T1118,Equivalencia!$1:$23,((MAX(Equivalencia!$3:$3)-YEAR(S1118))*14)+MONTH(S1118)+2,FALSE)))</f>
        <v>1</v>
      </c>
      <c r="W1118" s="178">
        <f t="shared" si="168"/>
        <v>8.4434210526315798</v>
      </c>
      <c r="X1118" s="481">
        <f t="shared" si="169"/>
        <v>-11.616578947368419</v>
      </c>
      <c r="Y1118" s="179"/>
      <c r="Z1118" s="466">
        <f t="shared" si="170"/>
        <v>21.113149999999997</v>
      </c>
      <c r="AA1118" s="473">
        <f t="shared" si="171"/>
        <v>-12.669728947368418</v>
      </c>
      <c r="AB1118" s="339">
        <f t="shared" si="172"/>
        <v>-0.57909167235136683</v>
      </c>
    </row>
    <row r="1119" spans="2:28" ht="20.100000000000001" customHeight="1">
      <c r="B1119" s="172">
        <v>1427200</v>
      </c>
      <c r="C1119" s="174">
        <v>44645</v>
      </c>
      <c r="D1119" s="181" t="s">
        <v>279</v>
      </c>
      <c r="E1119" s="173" t="s">
        <v>33</v>
      </c>
      <c r="F1119" s="176">
        <v>20.260000000000002</v>
      </c>
      <c r="G1119" s="175">
        <f t="shared" si="163"/>
        <v>1</v>
      </c>
      <c r="H1119" s="175">
        <f t="shared" si="164"/>
        <v>20.260000000000002</v>
      </c>
      <c r="I1119" s="177">
        <f>IF(G1119=0,0,IF(E1119="MXN",1/HLOOKUP(YEAR(C1119)+(MONTH(C1119)/100),TC!$5:$37,DAY(C1119)+2,FALSE),VLOOKUP(E1119,Equivalencia!$5:$23,((MAX(Equivalencia!$3:$3)-YEAR(C1119))*14)+MONTH(C1119)+2,FALSE)))</f>
        <v>1</v>
      </c>
      <c r="J1119" s="178">
        <f t="shared" si="165"/>
        <v>20.260000000000002</v>
      </c>
      <c r="K1119" s="462">
        <f>IF(C1119=0,0,VLOOKUP(YEAR(C1119),INPC!$B$4:$O$29,MONTH(C1119)+1))</f>
        <v>120.15900000000001</v>
      </c>
      <c r="L1119" s="462">
        <f>IF(S1119=0,0,VLOOKUP(YEAR(S1119),INPC!$B$4:$O$29,MONTH(S1119)+1))</f>
        <v>126.47799999999999</v>
      </c>
      <c r="M1119" s="463">
        <f t="shared" si="166"/>
        <v>1.0525</v>
      </c>
      <c r="N1119" s="465">
        <f t="shared" si="167"/>
        <v>21.323650000000001</v>
      </c>
      <c r="O1119" s="179"/>
      <c r="P1119" s="180">
        <v>1</v>
      </c>
      <c r="Q1119" s="173" t="s">
        <v>583</v>
      </c>
      <c r="R1119" s="173" t="s">
        <v>230</v>
      </c>
      <c r="S1119" s="174">
        <v>44908</v>
      </c>
      <c r="T1119" s="173" t="s">
        <v>33</v>
      </c>
      <c r="U1119" s="182">
        <v>8.7889130434782619</v>
      </c>
      <c r="V1119" s="177">
        <f>IF(U1119=0,0,IF(T1119="MXN",1/HLOOKUP(YEAR(S1119)+(MONTH(S1119)/100),TC!$5:$37,DAY(S1119)+2,FALSE),VLOOKUP(T1119,Equivalencia!$1:$23,((MAX(Equivalencia!$3:$3)-YEAR(S1119))*14)+MONTH(S1119)+2,FALSE)))</f>
        <v>1</v>
      </c>
      <c r="W1119" s="178">
        <f t="shared" si="168"/>
        <v>8.7889130434782619</v>
      </c>
      <c r="X1119" s="481">
        <f t="shared" si="169"/>
        <v>-11.47108695652174</v>
      </c>
      <c r="Y1119" s="179"/>
      <c r="Z1119" s="466">
        <f t="shared" si="170"/>
        <v>21.323650000000001</v>
      </c>
      <c r="AA1119" s="473">
        <f t="shared" si="171"/>
        <v>-12.534736956521739</v>
      </c>
      <c r="AB1119" s="339">
        <f t="shared" si="172"/>
        <v>-0.56619382806129015</v>
      </c>
    </row>
    <row r="1120" spans="2:28" ht="20.100000000000001" customHeight="1">
      <c r="B1120" s="172">
        <v>1427200</v>
      </c>
      <c r="C1120" s="174">
        <v>44649</v>
      </c>
      <c r="D1120" s="181" t="s">
        <v>279</v>
      </c>
      <c r="E1120" s="173" t="s">
        <v>33</v>
      </c>
      <c r="F1120" s="176">
        <v>20.010000000000002</v>
      </c>
      <c r="G1120" s="175">
        <f t="shared" si="163"/>
        <v>1</v>
      </c>
      <c r="H1120" s="175">
        <f t="shared" si="164"/>
        <v>20.010000000000002</v>
      </c>
      <c r="I1120" s="177">
        <f>IF(G1120=0,0,IF(E1120="MXN",1/HLOOKUP(YEAR(C1120)+(MONTH(C1120)/100),TC!$5:$37,DAY(C1120)+2,FALSE),VLOOKUP(E1120,Equivalencia!$5:$23,((MAX(Equivalencia!$3:$3)-YEAR(C1120))*14)+MONTH(C1120)+2,FALSE)))</f>
        <v>1</v>
      </c>
      <c r="J1120" s="178">
        <f t="shared" si="165"/>
        <v>20.010000000000002</v>
      </c>
      <c r="K1120" s="462">
        <f>IF(C1120=0,0,VLOOKUP(YEAR(C1120),INPC!$B$4:$O$29,MONTH(C1120)+1))</f>
        <v>120.15900000000001</v>
      </c>
      <c r="L1120" s="462">
        <f>IF(S1120=0,0,VLOOKUP(YEAR(S1120),INPC!$B$4:$O$29,MONTH(S1120)+1))</f>
        <v>126.47799999999999</v>
      </c>
      <c r="M1120" s="463">
        <f t="shared" si="166"/>
        <v>1.0525</v>
      </c>
      <c r="N1120" s="465">
        <f t="shared" si="167"/>
        <v>21.060525000000002</v>
      </c>
      <c r="O1120" s="179"/>
      <c r="P1120" s="180">
        <v>1</v>
      </c>
      <c r="Q1120" s="173" t="s">
        <v>583</v>
      </c>
      <c r="R1120" s="173" t="s">
        <v>230</v>
      </c>
      <c r="S1120" s="174">
        <v>44908</v>
      </c>
      <c r="T1120" s="173" t="s">
        <v>33</v>
      </c>
      <c r="U1120" s="182">
        <v>8.7889130434782619</v>
      </c>
      <c r="V1120" s="177">
        <f>IF(U1120=0,0,IF(T1120="MXN",1/HLOOKUP(YEAR(S1120)+(MONTH(S1120)/100),TC!$5:$37,DAY(S1120)+2,FALSE),VLOOKUP(T1120,Equivalencia!$1:$23,((MAX(Equivalencia!$3:$3)-YEAR(S1120))*14)+MONTH(S1120)+2,FALSE)))</f>
        <v>1</v>
      </c>
      <c r="W1120" s="178">
        <f t="shared" si="168"/>
        <v>8.7889130434782619</v>
      </c>
      <c r="X1120" s="481">
        <f t="shared" si="169"/>
        <v>-11.22108695652174</v>
      </c>
      <c r="Y1120" s="179"/>
      <c r="Z1120" s="466">
        <f t="shared" si="170"/>
        <v>21.060525000000002</v>
      </c>
      <c r="AA1120" s="473">
        <f t="shared" si="171"/>
        <v>-12.27161195652174</v>
      </c>
      <c r="AB1120" s="339">
        <f t="shared" si="172"/>
        <v>-0.56077396084566411</v>
      </c>
    </row>
    <row r="1121" spans="2:28" ht="20.100000000000001" customHeight="1">
      <c r="B1121" s="172">
        <v>1427200</v>
      </c>
      <c r="C1121" s="174">
        <v>44649</v>
      </c>
      <c r="D1121" s="181" t="s">
        <v>279</v>
      </c>
      <c r="E1121" s="173" t="s">
        <v>33</v>
      </c>
      <c r="F1121" s="176">
        <v>40.020000000000003</v>
      </c>
      <c r="G1121" s="175">
        <f t="shared" si="163"/>
        <v>2</v>
      </c>
      <c r="H1121" s="175">
        <f t="shared" si="164"/>
        <v>40.020000000000003</v>
      </c>
      <c r="I1121" s="177">
        <f>IF(G1121=0,0,IF(E1121="MXN",1/HLOOKUP(YEAR(C1121)+(MONTH(C1121)/100),TC!$5:$37,DAY(C1121)+2,FALSE),VLOOKUP(E1121,Equivalencia!$5:$23,((MAX(Equivalencia!$3:$3)-YEAR(C1121))*14)+MONTH(C1121)+2,FALSE)))</f>
        <v>1</v>
      </c>
      <c r="J1121" s="178">
        <f t="shared" si="165"/>
        <v>40.020000000000003</v>
      </c>
      <c r="K1121" s="462">
        <f>IF(C1121=0,0,VLOOKUP(YEAR(C1121),INPC!$B$4:$O$29,MONTH(C1121)+1))</f>
        <v>120.15900000000001</v>
      </c>
      <c r="L1121" s="462">
        <f>IF(S1121=0,0,VLOOKUP(YEAR(S1121),INPC!$B$4:$O$29,MONTH(S1121)+1))</f>
        <v>126.47799999999999</v>
      </c>
      <c r="M1121" s="463">
        <f t="shared" si="166"/>
        <v>1.0525</v>
      </c>
      <c r="N1121" s="465">
        <f t="shared" si="167"/>
        <v>42.121050000000004</v>
      </c>
      <c r="O1121" s="179"/>
      <c r="P1121" s="180">
        <v>2</v>
      </c>
      <c r="Q1121" s="173" t="s">
        <v>583</v>
      </c>
      <c r="R1121" s="173" t="s">
        <v>230</v>
      </c>
      <c r="S1121" s="174">
        <v>44908</v>
      </c>
      <c r="T1121" s="173" t="s">
        <v>33</v>
      </c>
      <c r="U1121" s="182">
        <v>17.577826086956524</v>
      </c>
      <c r="V1121" s="177">
        <f>IF(U1121=0,0,IF(T1121="MXN",1/HLOOKUP(YEAR(S1121)+(MONTH(S1121)/100),TC!$5:$37,DAY(S1121)+2,FALSE),VLOOKUP(T1121,Equivalencia!$1:$23,((MAX(Equivalencia!$3:$3)-YEAR(S1121))*14)+MONTH(S1121)+2,FALSE)))</f>
        <v>1</v>
      </c>
      <c r="W1121" s="178">
        <f t="shared" si="168"/>
        <v>17.577826086956524</v>
      </c>
      <c r="X1121" s="481">
        <f t="shared" si="169"/>
        <v>-22.442173913043479</v>
      </c>
      <c r="Y1121" s="179"/>
      <c r="Z1121" s="466">
        <f t="shared" si="170"/>
        <v>42.121050000000004</v>
      </c>
      <c r="AA1121" s="473">
        <f t="shared" si="171"/>
        <v>-24.54322391304348</v>
      </c>
      <c r="AB1121" s="339">
        <f t="shared" si="172"/>
        <v>-0.56077396084566411</v>
      </c>
    </row>
    <row r="1122" spans="2:28" ht="20.100000000000001" customHeight="1">
      <c r="B1122" s="172">
        <v>1427200</v>
      </c>
      <c r="C1122" s="174">
        <v>44649</v>
      </c>
      <c r="D1122" s="181" t="s">
        <v>279</v>
      </c>
      <c r="E1122" s="173" t="s">
        <v>33</v>
      </c>
      <c r="F1122" s="176">
        <v>605.98</v>
      </c>
      <c r="G1122" s="175">
        <f t="shared" si="163"/>
        <v>30</v>
      </c>
      <c r="H1122" s="175">
        <f t="shared" si="164"/>
        <v>605.98</v>
      </c>
      <c r="I1122" s="177">
        <f>IF(G1122=0,0,IF(E1122="MXN",1/HLOOKUP(YEAR(C1122)+(MONTH(C1122)/100),TC!$5:$37,DAY(C1122)+2,FALSE),VLOOKUP(E1122,Equivalencia!$5:$23,((MAX(Equivalencia!$3:$3)-YEAR(C1122))*14)+MONTH(C1122)+2,FALSE)))</f>
        <v>1</v>
      </c>
      <c r="J1122" s="178">
        <f t="shared" si="165"/>
        <v>605.98</v>
      </c>
      <c r="K1122" s="462">
        <f>IF(C1122=0,0,VLOOKUP(YEAR(C1122),INPC!$B$4:$O$29,MONTH(C1122)+1))</f>
        <v>120.15900000000001</v>
      </c>
      <c r="L1122" s="462">
        <f>IF(S1122=0,0,VLOOKUP(YEAR(S1122),INPC!$B$4:$O$29,MONTH(S1122)+1))</f>
        <v>126.47799999999999</v>
      </c>
      <c r="M1122" s="463">
        <f t="shared" si="166"/>
        <v>1.0525</v>
      </c>
      <c r="N1122" s="465">
        <f t="shared" si="167"/>
        <v>637.79395</v>
      </c>
      <c r="O1122" s="179"/>
      <c r="P1122" s="180">
        <v>30</v>
      </c>
      <c r="Q1122" s="173" t="s">
        <v>583</v>
      </c>
      <c r="R1122" s="173" t="s">
        <v>230</v>
      </c>
      <c r="S1122" s="174">
        <v>44908</v>
      </c>
      <c r="T1122" s="173" t="s">
        <v>33</v>
      </c>
      <c r="U1122" s="182">
        <v>263.66739130434786</v>
      </c>
      <c r="V1122" s="177">
        <f>IF(U1122=0,0,IF(T1122="MXN",1/HLOOKUP(YEAR(S1122)+(MONTH(S1122)/100),TC!$5:$37,DAY(S1122)+2,FALSE),VLOOKUP(T1122,Equivalencia!$1:$23,((MAX(Equivalencia!$3:$3)-YEAR(S1122))*14)+MONTH(S1122)+2,FALSE)))</f>
        <v>1</v>
      </c>
      <c r="W1122" s="178">
        <f t="shared" si="168"/>
        <v>263.66739130434786</v>
      </c>
      <c r="X1122" s="481">
        <f t="shared" si="169"/>
        <v>-342.31260869565216</v>
      </c>
      <c r="Y1122" s="179"/>
      <c r="Z1122" s="466">
        <f t="shared" si="170"/>
        <v>637.79395</v>
      </c>
      <c r="AA1122" s="473">
        <f t="shared" si="171"/>
        <v>-374.12655869565214</v>
      </c>
      <c r="AB1122" s="339">
        <f t="shared" si="172"/>
        <v>-0.56489093484216002</v>
      </c>
    </row>
    <row r="1123" spans="2:28" ht="20.100000000000001" customHeight="1">
      <c r="B1123" s="172">
        <v>1427200</v>
      </c>
      <c r="C1123" s="174">
        <v>44649</v>
      </c>
      <c r="D1123" s="181" t="s">
        <v>279</v>
      </c>
      <c r="E1123" s="173" t="s">
        <v>33</v>
      </c>
      <c r="F1123" s="176">
        <v>242.39052631578949</v>
      </c>
      <c r="G1123" s="175">
        <f t="shared" si="163"/>
        <v>12</v>
      </c>
      <c r="H1123" s="175">
        <f t="shared" si="164"/>
        <v>242.39052631578949</v>
      </c>
      <c r="I1123" s="177">
        <f>IF(G1123=0,0,IF(E1123="MXN",1/HLOOKUP(YEAR(C1123)+(MONTH(C1123)/100),TC!$5:$37,DAY(C1123)+2,FALSE),VLOOKUP(E1123,Equivalencia!$5:$23,((MAX(Equivalencia!$3:$3)-YEAR(C1123))*14)+MONTH(C1123)+2,FALSE)))</f>
        <v>1</v>
      </c>
      <c r="J1123" s="178">
        <f t="shared" si="165"/>
        <v>242.39052631578949</v>
      </c>
      <c r="K1123" s="462">
        <f>IF(C1123=0,0,VLOOKUP(YEAR(C1123),INPC!$B$4:$O$29,MONTH(C1123)+1))</f>
        <v>120.15900000000001</v>
      </c>
      <c r="L1123" s="462">
        <f>IF(S1123=0,0,VLOOKUP(YEAR(S1123),INPC!$B$4:$O$29,MONTH(S1123)+1))</f>
        <v>126.47799999999999</v>
      </c>
      <c r="M1123" s="463">
        <f t="shared" si="166"/>
        <v>1.0525</v>
      </c>
      <c r="N1123" s="465">
        <f t="shared" si="167"/>
        <v>255.11602894736842</v>
      </c>
      <c r="O1123" s="179"/>
      <c r="P1123" s="180">
        <v>12</v>
      </c>
      <c r="Q1123" s="173" t="s">
        <v>583</v>
      </c>
      <c r="R1123" s="173" t="s">
        <v>230</v>
      </c>
      <c r="S1123" s="174">
        <v>44908</v>
      </c>
      <c r="T1123" s="173" t="s">
        <v>33</v>
      </c>
      <c r="U1123" s="182">
        <v>105.46695652173915</v>
      </c>
      <c r="V1123" s="177">
        <f>IF(U1123=0,0,IF(T1123="MXN",1/HLOOKUP(YEAR(S1123)+(MONTH(S1123)/100),TC!$5:$37,DAY(S1123)+2,FALSE),VLOOKUP(T1123,Equivalencia!$1:$23,((MAX(Equivalencia!$3:$3)-YEAR(S1123))*14)+MONTH(S1123)+2,FALSE)))</f>
        <v>1</v>
      </c>
      <c r="W1123" s="178">
        <f t="shared" si="168"/>
        <v>105.46695652173915</v>
      </c>
      <c r="X1123" s="481">
        <f t="shared" si="169"/>
        <v>-136.92356979405034</v>
      </c>
      <c r="Y1123" s="179"/>
      <c r="Z1123" s="466">
        <f t="shared" si="170"/>
        <v>255.11602894736842</v>
      </c>
      <c r="AA1123" s="473">
        <f t="shared" si="171"/>
        <v>-149.64907242562927</v>
      </c>
      <c r="AB1123" s="339">
        <f t="shared" si="172"/>
        <v>-0.56488828946913772</v>
      </c>
    </row>
    <row r="1124" spans="2:28" ht="20.100000000000001" customHeight="1">
      <c r="B1124" s="172">
        <v>1427200</v>
      </c>
      <c r="C1124" s="174">
        <v>44649</v>
      </c>
      <c r="D1124" s="181" t="s">
        <v>279</v>
      </c>
      <c r="E1124" s="173" t="s">
        <v>33</v>
      </c>
      <c r="F1124" s="176">
        <v>525.17947368421062</v>
      </c>
      <c r="G1124" s="175">
        <f t="shared" si="163"/>
        <v>26</v>
      </c>
      <c r="H1124" s="175">
        <f t="shared" si="164"/>
        <v>525.17947368421062</v>
      </c>
      <c r="I1124" s="177">
        <f>IF(G1124=0,0,IF(E1124="MXN",1/HLOOKUP(YEAR(C1124)+(MONTH(C1124)/100),TC!$5:$37,DAY(C1124)+2,FALSE),VLOOKUP(E1124,Equivalencia!$5:$23,((MAX(Equivalencia!$3:$3)-YEAR(C1124))*14)+MONTH(C1124)+2,FALSE)))</f>
        <v>1</v>
      </c>
      <c r="J1124" s="178">
        <f t="shared" si="165"/>
        <v>525.17947368421062</v>
      </c>
      <c r="K1124" s="462">
        <f>IF(C1124=0,0,VLOOKUP(YEAR(C1124),INPC!$B$4:$O$29,MONTH(C1124)+1))</f>
        <v>120.15900000000001</v>
      </c>
      <c r="L1124" s="462">
        <f>IF(S1124=0,0,VLOOKUP(YEAR(S1124),INPC!$B$4:$O$29,MONTH(S1124)+1))</f>
        <v>126.47799999999999</v>
      </c>
      <c r="M1124" s="463">
        <f t="shared" si="166"/>
        <v>1.0525</v>
      </c>
      <c r="N1124" s="465">
        <f t="shared" si="167"/>
        <v>552.75139605263166</v>
      </c>
      <c r="O1124" s="179"/>
      <c r="P1124" s="180">
        <v>26</v>
      </c>
      <c r="Q1124" s="173" t="s">
        <v>583</v>
      </c>
      <c r="R1124" s="173" t="s">
        <v>230</v>
      </c>
      <c r="S1124" s="174">
        <v>44909</v>
      </c>
      <c r="T1124" s="173" t="s">
        <v>33</v>
      </c>
      <c r="U1124" s="182">
        <v>215.37208333333334</v>
      </c>
      <c r="V1124" s="177">
        <f>IF(U1124=0,0,IF(T1124="MXN",1/HLOOKUP(YEAR(S1124)+(MONTH(S1124)/100),TC!$5:$37,DAY(S1124)+2,FALSE),VLOOKUP(T1124,Equivalencia!$1:$23,((MAX(Equivalencia!$3:$3)-YEAR(S1124))*14)+MONTH(S1124)+2,FALSE)))</f>
        <v>1</v>
      </c>
      <c r="W1124" s="178">
        <f t="shared" si="168"/>
        <v>215.37208333333334</v>
      </c>
      <c r="X1124" s="481">
        <f t="shared" si="169"/>
        <v>-309.80739035087731</v>
      </c>
      <c r="Y1124" s="179"/>
      <c r="Z1124" s="466">
        <f t="shared" si="170"/>
        <v>552.75139605263166</v>
      </c>
      <c r="AA1124" s="473">
        <f t="shared" si="171"/>
        <v>-337.37931271929835</v>
      </c>
      <c r="AB1124" s="339">
        <f t="shared" si="172"/>
        <v>-0.5899076522879565</v>
      </c>
    </row>
    <row r="1125" spans="2:28" ht="20.100000000000001" customHeight="1">
      <c r="B1125" s="172">
        <v>1427200</v>
      </c>
      <c r="C1125" s="174">
        <v>44649</v>
      </c>
      <c r="D1125" s="181" t="s">
        <v>279</v>
      </c>
      <c r="E1125" s="173" t="s">
        <v>33</v>
      </c>
      <c r="F1125" s="176">
        <v>121.27</v>
      </c>
      <c r="G1125" s="175">
        <f t="shared" si="163"/>
        <v>6</v>
      </c>
      <c r="H1125" s="175">
        <f t="shared" si="164"/>
        <v>121.27</v>
      </c>
      <c r="I1125" s="177">
        <f>IF(G1125=0,0,IF(E1125="MXN",1/HLOOKUP(YEAR(C1125)+(MONTH(C1125)/100),TC!$5:$37,DAY(C1125)+2,FALSE),VLOOKUP(E1125,Equivalencia!$5:$23,((MAX(Equivalencia!$3:$3)-YEAR(C1125))*14)+MONTH(C1125)+2,FALSE)))</f>
        <v>1</v>
      </c>
      <c r="J1125" s="178">
        <f t="shared" si="165"/>
        <v>121.27</v>
      </c>
      <c r="K1125" s="462">
        <f>IF(C1125=0,0,VLOOKUP(YEAR(C1125),INPC!$B$4:$O$29,MONTH(C1125)+1))</f>
        <v>120.15900000000001</v>
      </c>
      <c r="L1125" s="462">
        <f>IF(S1125=0,0,VLOOKUP(YEAR(S1125),INPC!$B$4:$O$29,MONTH(S1125)+1))</f>
        <v>126.47799999999999</v>
      </c>
      <c r="M1125" s="463">
        <f t="shared" si="166"/>
        <v>1.0525</v>
      </c>
      <c r="N1125" s="465">
        <f t="shared" si="167"/>
        <v>127.636675</v>
      </c>
      <c r="O1125" s="179"/>
      <c r="P1125" s="180">
        <v>6</v>
      </c>
      <c r="Q1125" s="173" t="s">
        <v>583</v>
      </c>
      <c r="R1125" s="173" t="s">
        <v>230</v>
      </c>
      <c r="S1125" s="174">
        <v>44909</v>
      </c>
      <c r="T1125" s="173" t="s">
        <v>33</v>
      </c>
      <c r="U1125" s="182">
        <v>49.701250000000002</v>
      </c>
      <c r="V1125" s="177">
        <f>IF(U1125=0,0,IF(T1125="MXN",1/HLOOKUP(YEAR(S1125)+(MONTH(S1125)/100),TC!$5:$37,DAY(S1125)+2,FALSE),VLOOKUP(T1125,Equivalencia!$1:$23,((MAX(Equivalencia!$3:$3)-YEAR(S1125))*14)+MONTH(S1125)+2,FALSE)))</f>
        <v>1</v>
      </c>
      <c r="W1125" s="178">
        <f t="shared" si="168"/>
        <v>49.701250000000002</v>
      </c>
      <c r="X1125" s="481">
        <f t="shared" si="169"/>
        <v>-71.568749999999994</v>
      </c>
      <c r="Y1125" s="179"/>
      <c r="Z1125" s="466">
        <f t="shared" si="170"/>
        <v>127.636675</v>
      </c>
      <c r="AA1125" s="473">
        <f t="shared" si="171"/>
        <v>-77.935424999999995</v>
      </c>
      <c r="AB1125" s="339">
        <f t="shared" si="172"/>
        <v>-0.59016038591572517</v>
      </c>
    </row>
    <row r="1126" spans="2:28" ht="20.100000000000001" customHeight="1">
      <c r="B1126" s="172">
        <v>1427200</v>
      </c>
      <c r="C1126" s="174">
        <v>44649</v>
      </c>
      <c r="D1126" s="181" t="s">
        <v>279</v>
      </c>
      <c r="E1126" s="173" t="s">
        <v>33</v>
      </c>
      <c r="F1126" s="176">
        <v>141.47999999999999</v>
      </c>
      <c r="G1126" s="175">
        <f t="shared" si="163"/>
        <v>7</v>
      </c>
      <c r="H1126" s="175">
        <f t="shared" si="164"/>
        <v>141.47999999999999</v>
      </c>
      <c r="I1126" s="177">
        <f>IF(G1126=0,0,IF(E1126="MXN",1/HLOOKUP(YEAR(C1126)+(MONTH(C1126)/100),TC!$5:$37,DAY(C1126)+2,FALSE),VLOOKUP(E1126,Equivalencia!$5:$23,((MAX(Equivalencia!$3:$3)-YEAR(C1126))*14)+MONTH(C1126)+2,FALSE)))</f>
        <v>1</v>
      </c>
      <c r="J1126" s="178">
        <f t="shared" si="165"/>
        <v>141.47999999999999</v>
      </c>
      <c r="K1126" s="462">
        <f>IF(C1126=0,0,VLOOKUP(YEAR(C1126),INPC!$B$4:$O$29,MONTH(C1126)+1))</f>
        <v>120.15900000000001</v>
      </c>
      <c r="L1126" s="462">
        <f>IF(S1126=0,0,VLOOKUP(YEAR(S1126),INPC!$B$4:$O$29,MONTH(S1126)+1))</f>
        <v>126.47799999999999</v>
      </c>
      <c r="M1126" s="463">
        <f t="shared" si="166"/>
        <v>1.0525</v>
      </c>
      <c r="N1126" s="465">
        <f t="shared" si="167"/>
        <v>148.90769999999998</v>
      </c>
      <c r="O1126" s="179"/>
      <c r="P1126" s="180">
        <v>7</v>
      </c>
      <c r="Q1126" s="173" t="s">
        <v>583</v>
      </c>
      <c r="R1126" s="173" t="s">
        <v>230</v>
      </c>
      <c r="S1126" s="174">
        <v>44909</v>
      </c>
      <c r="T1126" s="173" t="s">
        <v>33</v>
      </c>
      <c r="U1126" s="182">
        <v>57.984791666666666</v>
      </c>
      <c r="V1126" s="177">
        <f>IF(U1126=0,0,IF(T1126="MXN",1/HLOOKUP(YEAR(S1126)+(MONTH(S1126)/100),TC!$5:$37,DAY(S1126)+2,FALSE),VLOOKUP(T1126,Equivalencia!$1:$23,((MAX(Equivalencia!$3:$3)-YEAR(S1126))*14)+MONTH(S1126)+2,FALSE)))</f>
        <v>1</v>
      </c>
      <c r="W1126" s="178">
        <f t="shared" si="168"/>
        <v>57.984791666666666</v>
      </c>
      <c r="X1126" s="481">
        <f t="shared" si="169"/>
        <v>-83.495208333333323</v>
      </c>
      <c r="Y1126" s="179"/>
      <c r="Z1126" s="466">
        <f t="shared" si="170"/>
        <v>148.90769999999998</v>
      </c>
      <c r="AA1126" s="473">
        <f t="shared" si="171"/>
        <v>-90.922908333333311</v>
      </c>
      <c r="AB1126" s="339">
        <f t="shared" si="172"/>
        <v>-0.59015555791160113</v>
      </c>
    </row>
    <row r="1127" spans="2:28" ht="20.100000000000001" customHeight="1">
      <c r="B1127" s="172">
        <v>1427200</v>
      </c>
      <c r="C1127" s="174">
        <v>44649</v>
      </c>
      <c r="D1127" s="181" t="s">
        <v>279</v>
      </c>
      <c r="E1127" s="173" t="s">
        <v>33</v>
      </c>
      <c r="F1127" s="176">
        <v>20.149999999999999</v>
      </c>
      <c r="G1127" s="175">
        <f t="shared" si="163"/>
        <v>1</v>
      </c>
      <c r="H1127" s="175">
        <f t="shared" si="164"/>
        <v>20.149999999999999</v>
      </c>
      <c r="I1127" s="177">
        <f>IF(G1127=0,0,IF(E1127="MXN",1/HLOOKUP(YEAR(C1127)+(MONTH(C1127)/100),TC!$5:$37,DAY(C1127)+2,FALSE),VLOOKUP(E1127,Equivalencia!$5:$23,((MAX(Equivalencia!$3:$3)-YEAR(C1127))*14)+MONTH(C1127)+2,FALSE)))</f>
        <v>1</v>
      </c>
      <c r="J1127" s="178">
        <f t="shared" si="165"/>
        <v>20.149999999999999</v>
      </c>
      <c r="K1127" s="462">
        <f>IF(C1127=0,0,VLOOKUP(YEAR(C1127),INPC!$B$4:$O$29,MONTH(C1127)+1))</f>
        <v>120.15900000000001</v>
      </c>
      <c r="L1127" s="462">
        <f>IF(S1127=0,0,VLOOKUP(YEAR(S1127),INPC!$B$4:$O$29,MONTH(S1127)+1))</f>
        <v>126.47799999999999</v>
      </c>
      <c r="M1127" s="463">
        <f t="shared" si="166"/>
        <v>1.0525</v>
      </c>
      <c r="N1127" s="465">
        <f t="shared" si="167"/>
        <v>21.207874999999998</v>
      </c>
      <c r="O1127" s="179"/>
      <c r="P1127" s="180">
        <v>1</v>
      </c>
      <c r="Q1127" s="173" t="s">
        <v>583</v>
      </c>
      <c r="R1127" s="173" t="s">
        <v>230</v>
      </c>
      <c r="S1127" s="174">
        <v>44909</v>
      </c>
      <c r="T1127" s="173" t="s">
        <v>33</v>
      </c>
      <c r="U1127" s="182">
        <v>8.2835416666666664</v>
      </c>
      <c r="V1127" s="177">
        <f>IF(U1127=0,0,IF(T1127="MXN",1/HLOOKUP(YEAR(S1127)+(MONTH(S1127)/100),TC!$5:$37,DAY(S1127)+2,FALSE),VLOOKUP(T1127,Equivalencia!$1:$23,((MAX(Equivalencia!$3:$3)-YEAR(S1127))*14)+MONTH(S1127)+2,FALSE)))</f>
        <v>1</v>
      </c>
      <c r="W1127" s="178">
        <f t="shared" si="168"/>
        <v>8.2835416666666664</v>
      </c>
      <c r="X1127" s="481">
        <f t="shared" si="169"/>
        <v>-11.866458333333332</v>
      </c>
      <c r="Y1127" s="179"/>
      <c r="Z1127" s="466">
        <f t="shared" si="170"/>
        <v>21.207874999999998</v>
      </c>
      <c r="AA1127" s="473">
        <f t="shared" si="171"/>
        <v>-12.924333333333331</v>
      </c>
      <c r="AB1127" s="339">
        <f t="shared" si="172"/>
        <v>-0.58890612076095938</v>
      </c>
    </row>
    <row r="1128" spans="2:28" ht="20.100000000000001" customHeight="1">
      <c r="B1128" s="172">
        <v>1427200</v>
      </c>
      <c r="C1128" s="174">
        <v>44649</v>
      </c>
      <c r="D1128" s="181" t="s">
        <v>279</v>
      </c>
      <c r="E1128" s="173" t="s">
        <v>33</v>
      </c>
      <c r="F1128" s="176">
        <v>20.149999999999999</v>
      </c>
      <c r="G1128" s="175">
        <f t="shared" si="163"/>
        <v>1</v>
      </c>
      <c r="H1128" s="175">
        <f t="shared" si="164"/>
        <v>20.149999999999999</v>
      </c>
      <c r="I1128" s="177">
        <f>IF(G1128=0,0,IF(E1128="MXN",1/HLOOKUP(YEAR(C1128)+(MONTH(C1128)/100),TC!$5:$37,DAY(C1128)+2,FALSE),VLOOKUP(E1128,Equivalencia!$5:$23,((MAX(Equivalencia!$3:$3)-YEAR(C1128))*14)+MONTH(C1128)+2,FALSE)))</f>
        <v>1</v>
      </c>
      <c r="J1128" s="178">
        <f t="shared" si="165"/>
        <v>20.149999999999999</v>
      </c>
      <c r="K1128" s="462">
        <f>IF(C1128=0,0,VLOOKUP(YEAR(C1128),INPC!$B$4:$O$29,MONTH(C1128)+1))</f>
        <v>120.15900000000001</v>
      </c>
      <c r="L1128" s="462">
        <f>IF(S1128=0,0,VLOOKUP(YEAR(S1128),INPC!$B$4:$O$29,MONTH(S1128)+1))</f>
        <v>126.47799999999999</v>
      </c>
      <c r="M1128" s="463">
        <f t="shared" si="166"/>
        <v>1.0525</v>
      </c>
      <c r="N1128" s="465">
        <f t="shared" si="167"/>
        <v>21.207874999999998</v>
      </c>
      <c r="O1128" s="179"/>
      <c r="P1128" s="180">
        <v>1</v>
      </c>
      <c r="Q1128" s="173" t="s">
        <v>583</v>
      </c>
      <c r="R1128" s="173" t="s">
        <v>230</v>
      </c>
      <c r="S1128" s="174">
        <v>44909</v>
      </c>
      <c r="T1128" s="173" t="s">
        <v>33</v>
      </c>
      <c r="U1128" s="182">
        <v>8.2835416666666664</v>
      </c>
      <c r="V1128" s="177">
        <f>IF(U1128=0,0,IF(T1128="MXN",1/HLOOKUP(YEAR(S1128)+(MONTH(S1128)/100),TC!$5:$37,DAY(S1128)+2,FALSE),VLOOKUP(T1128,Equivalencia!$1:$23,((MAX(Equivalencia!$3:$3)-YEAR(S1128))*14)+MONTH(S1128)+2,FALSE)))</f>
        <v>1</v>
      </c>
      <c r="W1128" s="178">
        <f t="shared" si="168"/>
        <v>8.2835416666666664</v>
      </c>
      <c r="X1128" s="481">
        <f t="shared" si="169"/>
        <v>-11.866458333333332</v>
      </c>
      <c r="Y1128" s="179"/>
      <c r="Z1128" s="466">
        <f t="shared" si="170"/>
        <v>21.207874999999998</v>
      </c>
      <c r="AA1128" s="473">
        <f t="shared" si="171"/>
        <v>-12.924333333333331</v>
      </c>
      <c r="AB1128" s="339">
        <f t="shared" si="172"/>
        <v>-0.58890612076095938</v>
      </c>
    </row>
    <row r="1129" spans="2:28" ht="20.100000000000001" customHeight="1">
      <c r="B1129" s="172">
        <v>1427200</v>
      </c>
      <c r="C1129" s="174">
        <v>44649</v>
      </c>
      <c r="D1129" s="181" t="s">
        <v>279</v>
      </c>
      <c r="E1129" s="173" t="s">
        <v>33</v>
      </c>
      <c r="F1129" s="176">
        <v>119.54000000000002</v>
      </c>
      <c r="G1129" s="175">
        <f t="shared" si="163"/>
        <v>6</v>
      </c>
      <c r="H1129" s="175">
        <f t="shared" si="164"/>
        <v>119.54000000000002</v>
      </c>
      <c r="I1129" s="177">
        <f>IF(G1129=0,0,IF(E1129="MXN",1/HLOOKUP(YEAR(C1129)+(MONTH(C1129)/100),TC!$5:$37,DAY(C1129)+2,FALSE),VLOOKUP(E1129,Equivalencia!$5:$23,((MAX(Equivalencia!$3:$3)-YEAR(C1129))*14)+MONTH(C1129)+2,FALSE)))</f>
        <v>1</v>
      </c>
      <c r="J1129" s="178">
        <f t="shared" si="165"/>
        <v>119.54000000000002</v>
      </c>
      <c r="K1129" s="462">
        <f>IF(C1129=0,0,VLOOKUP(YEAR(C1129),INPC!$B$4:$O$29,MONTH(C1129)+1))</f>
        <v>120.15900000000001</v>
      </c>
      <c r="L1129" s="462">
        <f>IF(S1129=0,0,VLOOKUP(YEAR(S1129),INPC!$B$4:$O$29,MONTH(S1129)+1))</f>
        <v>126.47799999999999</v>
      </c>
      <c r="M1129" s="463">
        <f t="shared" si="166"/>
        <v>1.0525</v>
      </c>
      <c r="N1129" s="465">
        <f t="shared" si="167"/>
        <v>125.81585000000003</v>
      </c>
      <c r="O1129" s="179"/>
      <c r="P1129" s="180">
        <v>6</v>
      </c>
      <c r="Q1129" s="173" t="s">
        <v>583</v>
      </c>
      <c r="R1129" s="173" t="s">
        <v>230</v>
      </c>
      <c r="S1129" s="174">
        <v>44909</v>
      </c>
      <c r="T1129" s="173" t="s">
        <v>33</v>
      </c>
      <c r="U1129" s="182">
        <v>49.701250000000002</v>
      </c>
      <c r="V1129" s="177">
        <f>IF(U1129=0,0,IF(T1129="MXN",1/HLOOKUP(YEAR(S1129)+(MONTH(S1129)/100),TC!$5:$37,DAY(S1129)+2,FALSE),VLOOKUP(T1129,Equivalencia!$1:$23,((MAX(Equivalencia!$3:$3)-YEAR(S1129))*14)+MONTH(S1129)+2,FALSE)))</f>
        <v>1</v>
      </c>
      <c r="W1129" s="178">
        <f t="shared" si="168"/>
        <v>49.701250000000002</v>
      </c>
      <c r="X1129" s="481">
        <f t="shared" si="169"/>
        <v>-69.838750000000019</v>
      </c>
      <c r="Y1129" s="179"/>
      <c r="Z1129" s="466">
        <f t="shared" si="170"/>
        <v>125.81585000000003</v>
      </c>
      <c r="AA1129" s="473">
        <f t="shared" si="171"/>
        <v>-76.114600000000024</v>
      </c>
      <c r="AB1129" s="339">
        <f t="shared" si="172"/>
        <v>-0.58422912832524676</v>
      </c>
    </row>
    <row r="1130" spans="2:28" ht="20.100000000000001" customHeight="1">
      <c r="B1130" s="172">
        <v>1427200</v>
      </c>
      <c r="C1130" s="174">
        <v>44649</v>
      </c>
      <c r="D1130" s="181" t="s">
        <v>279</v>
      </c>
      <c r="E1130" s="173" t="s">
        <v>33</v>
      </c>
      <c r="F1130" s="176">
        <v>119.54000000000002</v>
      </c>
      <c r="G1130" s="175">
        <f t="shared" si="163"/>
        <v>6</v>
      </c>
      <c r="H1130" s="175">
        <f t="shared" si="164"/>
        <v>119.54000000000002</v>
      </c>
      <c r="I1130" s="177">
        <f>IF(G1130=0,0,IF(E1130="MXN",1/HLOOKUP(YEAR(C1130)+(MONTH(C1130)/100),TC!$5:$37,DAY(C1130)+2,FALSE),VLOOKUP(E1130,Equivalencia!$5:$23,((MAX(Equivalencia!$3:$3)-YEAR(C1130))*14)+MONTH(C1130)+2,FALSE)))</f>
        <v>1</v>
      </c>
      <c r="J1130" s="178">
        <f t="shared" si="165"/>
        <v>119.54000000000002</v>
      </c>
      <c r="K1130" s="462">
        <f>IF(C1130=0,0,VLOOKUP(YEAR(C1130),INPC!$B$4:$O$29,MONTH(C1130)+1))</f>
        <v>120.15900000000001</v>
      </c>
      <c r="L1130" s="462">
        <f>IF(S1130=0,0,VLOOKUP(YEAR(S1130),INPC!$B$4:$O$29,MONTH(S1130)+1))</f>
        <v>126.47799999999999</v>
      </c>
      <c r="M1130" s="463">
        <f t="shared" si="166"/>
        <v>1.0525</v>
      </c>
      <c r="N1130" s="465">
        <f t="shared" si="167"/>
        <v>125.81585000000003</v>
      </c>
      <c r="O1130" s="179"/>
      <c r="P1130" s="180">
        <v>6</v>
      </c>
      <c r="Q1130" s="173" t="s">
        <v>583</v>
      </c>
      <c r="R1130" s="173" t="s">
        <v>230</v>
      </c>
      <c r="S1130" s="174">
        <v>44909</v>
      </c>
      <c r="T1130" s="173" t="s">
        <v>33</v>
      </c>
      <c r="U1130" s="182">
        <v>49.701250000000002</v>
      </c>
      <c r="V1130" s="177">
        <f>IF(U1130=0,0,IF(T1130="MXN",1/HLOOKUP(YEAR(S1130)+(MONTH(S1130)/100),TC!$5:$37,DAY(S1130)+2,FALSE),VLOOKUP(T1130,Equivalencia!$1:$23,((MAX(Equivalencia!$3:$3)-YEAR(S1130))*14)+MONTH(S1130)+2,FALSE)))</f>
        <v>1</v>
      </c>
      <c r="W1130" s="178">
        <f t="shared" si="168"/>
        <v>49.701250000000002</v>
      </c>
      <c r="X1130" s="481">
        <f t="shared" si="169"/>
        <v>-69.838750000000019</v>
      </c>
      <c r="Y1130" s="179"/>
      <c r="Z1130" s="466">
        <f t="shared" si="170"/>
        <v>125.81585000000003</v>
      </c>
      <c r="AA1130" s="473">
        <f t="shared" si="171"/>
        <v>-76.114600000000024</v>
      </c>
      <c r="AB1130" s="339">
        <f t="shared" si="172"/>
        <v>-0.58422912832524676</v>
      </c>
    </row>
    <row r="1131" spans="2:28" ht="20.100000000000001" customHeight="1">
      <c r="B1131" s="172">
        <v>1427200</v>
      </c>
      <c r="C1131" s="174">
        <v>44650</v>
      </c>
      <c r="D1131" s="181" t="s">
        <v>279</v>
      </c>
      <c r="E1131" s="173" t="s">
        <v>33</v>
      </c>
      <c r="F1131" s="176">
        <v>21.35</v>
      </c>
      <c r="G1131" s="175">
        <f t="shared" si="163"/>
        <v>1</v>
      </c>
      <c r="H1131" s="175">
        <f t="shared" si="164"/>
        <v>21.35</v>
      </c>
      <c r="I1131" s="177">
        <f>IF(G1131=0,0,IF(E1131="MXN",1/HLOOKUP(YEAR(C1131)+(MONTH(C1131)/100),TC!$5:$37,DAY(C1131)+2,FALSE),VLOOKUP(E1131,Equivalencia!$5:$23,((MAX(Equivalencia!$3:$3)-YEAR(C1131))*14)+MONTH(C1131)+2,FALSE)))</f>
        <v>1</v>
      </c>
      <c r="J1131" s="178">
        <f t="shared" si="165"/>
        <v>21.35</v>
      </c>
      <c r="K1131" s="462">
        <f>IF(C1131=0,0,VLOOKUP(YEAR(C1131),INPC!$B$4:$O$29,MONTH(C1131)+1))</f>
        <v>120.15900000000001</v>
      </c>
      <c r="L1131" s="462">
        <f>IF(S1131=0,0,VLOOKUP(YEAR(S1131),INPC!$B$4:$O$29,MONTH(S1131)+1))</f>
        <v>126.47799999999999</v>
      </c>
      <c r="M1131" s="463">
        <f t="shared" si="166"/>
        <v>1.0525</v>
      </c>
      <c r="N1131" s="465">
        <f t="shared" si="167"/>
        <v>22.470875000000003</v>
      </c>
      <c r="O1131" s="179"/>
      <c r="P1131" s="180">
        <v>1</v>
      </c>
      <c r="Q1131" s="173" t="s">
        <v>583</v>
      </c>
      <c r="R1131" s="173" t="s">
        <v>230</v>
      </c>
      <c r="S1131" s="174">
        <v>44909</v>
      </c>
      <c r="T1131" s="173" t="s">
        <v>33</v>
      </c>
      <c r="U1131" s="182">
        <v>8.2835416666666664</v>
      </c>
      <c r="V1131" s="177">
        <f>IF(U1131=0,0,IF(T1131="MXN",1/HLOOKUP(YEAR(S1131)+(MONTH(S1131)/100),TC!$5:$37,DAY(S1131)+2,FALSE),VLOOKUP(T1131,Equivalencia!$1:$23,((MAX(Equivalencia!$3:$3)-YEAR(S1131))*14)+MONTH(S1131)+2,FALSE)))</f>
        <v>1</v>
      </c>
      <c r="W1131" s="178">
        <f t="shared" si="168"/>
        <v>8.2835416666666664</v>
      </c>
      <c r="X1131" s="481">
        <f t="shared" si="169"/>
        <v>-13.066458333333335</v>
      </c>
      <c r="Y1131" s="179"/>
      <c r="Z1131" s="466">
        <f t="shared" si="170"/>
        <v>22.470875000000003</v>
      </c>
      <c r="AA1131" s="473">
        <f t="shared" si="171"/>
        <v>-14.187333333333337</v>
      </c>
      <c r="AB1131" s="339">
        <f t="shared" si="172"/>
        <v>-0.61201209992193606</v>
      </c>
    </row>
    <row r="1132" spans="2:28" ht="20.100000000000001" customHeight="1">
      <c r="B1132" s="172">
        <v>1427200</v>
      </c>
      <c r="C1132" s="174">
        <v>44650</v>
      </c>
      <c r="D1132" s="181" t="s">
        <v>279</v>
      </c>
      <c r="E1132" s="173" t="s">
        <v>33</v>
      </c>
      <c r="F1132" s="176">
        <v>41.41</v>
      </c>
      <c r="G1132" s="175">
        <f t="shared" si="163"/>
        <v>2</v>
      </c>
      <c r="H1132" s="175">
        <f t="shared" si="164"/>
        <v>41.41</v>
      </c>
      <c r="I1132" s="177">
        <f>IF(G1132=0,0,IF(E1132="MXN",1/HLOOKUP(YEAR(C1132)+(MONTH(C1132)/100),TC!$5:$37,DAY(C1132)+2,FALSE),VLOOKUP(E1132,Equivalencia!$5:$23,((MAX(Equivalencia!$3:$3)-YEAR(C1132))*14)+MONTH(C1132)+2,FALSE)))</f>
        <v>1</v>
      </c>
      <c r="J1132" s="178">
        <f t="shared" si="165"/>
        <v>41.41</v>
      </c>
      <c r="K1132" s="462">
        <f>IF(C1132=0,0,VLOOKUP(YEAR(C1132),INPC!$B$4:$O$29,MONTH(C1132)+1))</f>
        <v>120.15900000000001</v>
      </c>
      <c r="L1132" s="462">
        <f>IF(S1132=0,0,VLOOKUP(YEAR(S1132),INPC!$B$4:$O$29,MONTH(S1132)+1))</f>
        <v>126.47799999999999</v>
      </c>
      <c r="M1132" s="463">
        <f t="shared" si="166"/>
        <v>1.0525</v>
      </c>
      <c r="N1132" s="465">
        <f t="shared" si="167"/>
        <v>43.584024999999997</v>
      </c>
      <c r="O1132" s="179"/>
      <c r="P1132" s="180">
        <v>2</v>
      </c>
      <c r="Q1132" s="173" t="s">
        <v>583</v>
      </c>
      <c r="R1132" s="173" t="s">
        <v>230</v>
      </c>
      <c r="S1132" s="174">
        <v>44909</v>
      </c>
      <c r="T1132" s="173" t="s">
        <v>33</v>
      </c>
      <c r="U1132" s="182">
        <v>16.567083333333333</v>
      </c>
      <c r="V1132" s="177">
        <f>IF(U1132=0,0,IF(T1132="MXN",1/HLOOKUP(YEAR(S1132)+(MONTH(S1132)/100),TC!$5:$37,DAY(S1132)+2,FALSE),VLOOKUP(T1132,Equivalencia!$1:$23,((MAX(Equivalencia!$3:$3)-YEAR(S1132))*14)+MONTH(S1132)+2,FALSE)))</f>
        <v>1</v>
      </c>
      <c r="W1132" s="178">
        <f t="shared" si="168"/>
        <v>16.567083333333333</v>
      </c>
      <c r="X1132" s="481">
        <f t="shared" si="169"/>
        <v>-24.842916666666664</v>
      </c>
      <c r="Y1132" s="179"/>
      <c r="Z1132" s="466">
        <f t="shared" si="170"/>
        <v>43.584024999999997</v>
      </c>
      <c r="AA1132" s="473">
        <f t="shared" si="171"/>
        <v>-27.016941666666664</v>
      </c>
      <c r="AB1132" s="339">
        <f t="shared" si="172"/>
        <v>-0.59992554133462117</v>
      </c>
    </row>
    <row r="1133" spans="2:28" ht="20.100000000000001" customHeight="1">
      <c r="B1133" s="172">
        <v>1427200</v>
      </c>
      <c r="C1133" s="174">
        <v>44650</v>
      </c>
      <c r="D1133" s="181" t="s">
        <v>279</v>
      </c>
      <c r="E1133" s="173" t="s">
        <v>33</v>
      </c>
      <c r="F1133" s="176">
        <v>42.66</v>
      </c>
      <c r="G1133" s="175">
        <f t="shared" si="163"/>
        <v>2</v>
      </c>
      <c r="H1133" s="175">
        <f t="shared" si="164"/>
        <v>42.66</v>
      </c>
      <c r="I1133" s="177">
        <f>IF(G1133=0,0,IF(E1133="MXN",1/HLOOKUP(YEAR(C1133)+(MONTH(C1133)/100),TC!$5:$37,DAY(C1133)+2,FALSE),VLOOKUP(E1133,Equivalencia!$5:$23,((MAX(Equivalencia!$3:$3)-YEAR(C1133))*14)+MONTH(C1133)+2,FALSE)))</f>
        <v>1</v>
      </c>
      <c r="J1133" s="178">
        <f t="shared" si="165"/>
        <v>42.66</v>
      </c>
      <c r="K1133" s="462">
        <f>IF(C1133=0,0,VLOOKUP(YEAR(C1133),INPC!$B$4:$O$29,MONTH(C1133)+1))</f>
        <v>120.15900000000001</v>
      </c>
      <c r="L1133" s="462">
        <f>IF(S1133=0,0,VLOOKUP(YEAR(S1133),INPC!$B$4:$O$29,MONTH(S1133)+1))</f>
        <v>126.47799999999999</v>
      </c>
      <c r="M1133" s="463">
        <f t="shared" si="166"/>
        <v>1.0525</v>
      </c>
      <c r="N1133" s="465">
        <f t="shared" si="167"/>
        <v>44.899649999999994</v>
      </c>
      <c r="O1133" s="179"/>
      <c r="P1133" s="180">
        <v>2</v>
      </c>
      <c r="Q1133" s="173" t="s">
        <v>583</v>
      </c>
      <c r="R1133" s="173" t="s">
        <v>230</v>
      </c>
      <c r="S1133" s="174">
        <v>44909</v>
      </c>
      <c r="T1133" s="173" t="s">
        <v>33</v>
      </c>
      <c r="U1133" s="182">
        <v>16.567083333333333</v>
      </c>
      <c r="V1133" s="177">
        <f>IF(U1133=0,0,IF(T1133="MXN",1/HLOOKUP(YEAR(S1133)+(MONTH(S1133)/100),TC!$5:$37,DAY(S1133)+2,FALSE),VLOOKUP(T1133,Equivalencia!$1:$23,((MAX(Equivalencia!$3:$3)-YEAR(S1133))*14)+MONTH(S1133)+2,FALSE)))</f>
        <v>1</v>
      </c>
      <c r="W1133" s="178">
        <f t="shared" si="168"/>
        <v>16.567083333333333</v>
      </c>
      <c r="X1133" s="481">
        <f t="shared" si="169"/>
        <v>-26.092916666666664</v>
      </c>
      <c r="Y1133" s="179"/>
      <c r="Z1133" s="466">
        <f t="shared" si="170"/>
        <v>44.899649999999994</v>
      </c>
      <c r="AA1133" s="473">
        <f t="shared" si="171"/>
        <v>-28.332566666666661</v>
      </c>
      <c r="AB1133" s="339">
        <f t="shared" si="172"/>
        <v>-0.61164830442256601</v>
      </c>
    </row>
    <row r="1134" spans="2:28" ht="20.100000000000001" customHeight="1">
      <c r="B1134" s="172">
        <v>1427200</v>
      </c>
      <c r="C1134" s="174">
        <v>44650</v>
      </c>
      <c r="D1134" s="181" t="s">
        <v>279</v>
      </c>
      <c r="E1134" s="173" t="s">
        <v>33</v>
      </c>
      <c r="F1134" s="176">
        <v>783.89476190476182</v>
      </c>
      <c r="G1134" s="175">
        <f t="shared" si="163"/>
        <v>38</v>
      </c>
      <c r="H1134" s="175">
        <f t="shared" si="164"/>
        <v>783.89476190476182</v>
      </c>
      <c r="I1134" s="177">
        <f>IF(G1134=0,0,IF(E1134="MXN",1/HLOOKUP(YEAR(C1134)+(MONTH(C1134)/100),TC!$5:$37,DAY(C1134)+2,FALSE),VLOOKUP(E1134,Equivalencia!$5:$23,((MAX(Equivalencia!$3:$3)-YEAR(C1134))*14)+MONTH(C1134)+2,FALSE)))</f>
        <v>1</v>
      </c>
      <c r="J1134" s="178">
        <f t="shared" si="165"/>
        <v>783.89476190476182</v>
      </c>
      <c r="K1134" s="462">
        <f>IF(C1134=0,0,VLOOKUP(YEAR(C1134),INPC!$B$4:$O$29,MONTH(C1134)+1))</f>
        <v>120.15900000000001</v>
      </c>
      <c r="L1134" s="462">
        <f>IF(S1134=0,0,VLOOKUP(YEAR(S1134),INPC!$B$4:$O$29,MONTH(S1134)+1))</f>
        <v>126.47799999999999</v>
      </c>
      <c r="M1134" s="463">
        <f t="shared" si="166"/>
        <v>1.0525</v>
      </c>
      <c r="N1134" s="465">
        <f t="shared" si="167"/>
        <v>825.04923690476176</v>
      </c>
      <c r="O1134" s="179"/>
      <c r="P1134" s="180">
        <v>38</v>
      </c>
      <c r="Q1134" s="173" t="s">
        <v>583</v>
      </c>
      <c r="R1134" s="173" t="s">
        <v>230</v>
      </c>
      <c r="S1134" s="174">
        <v>44909</v>
      </c>
      <c r="T1134" s="173" t="s">
        <v>33</v>
      </c>
      <c r="U1134" s="182">
        <v>314.77458333333334</v>
      </c>
      <c r="V1134" s="177">
        <f>IF(U1134=0,0,IF(T1134="MXN",1/HLOOKUP(YEAR(S1134)+(MONTH(S1134)/100),TC!$5:$37,DAY(S1134)+2,FALSE),VLOOKUP(T1134,Equivalencia!$1:$23,((MAX(Equivalencia!$3:$3)-YEAR(S1134))*14)+MONTH(S1134)+2,FALSE)))</f>
        <v>1</v>
      </c>
      <c r="W1134" s="178">
        <f t="shared" si="168"/>
        <v>314.77458333333334</v>
      </c>
      <c r="X1134" s="481">
        <f t="shared" si="169"/>
        <v>-469.12017857142848</v>
      </c>
      <c r="Y1134" s="179"/>
      <c r="Z1134" s="466">
        <f t="shared" si="170"/>
        <v>825.04923690476176</v>
      </c>
      <c r="AA1134" s="473">
        <f t="shared" si="171"/>
        <v>-510.27465357142842</v>
      </c>
      <c r="AB1134" s="339">
        <f t="shared" si="172"/>
        <v>-0.59844790572592643</v>
      </c>
    </row>
    <row r="1135" spans="2:28" ht="20.100000000000001" customHeight="1">
      <c r="B1135" s="172">
        <v>1427200</v>
      </c>
      <c r="C1135" s="174">
        <v>44650</v>
      </c>
      <c r="D1135" s="181" t="s">
        <v>279</v>
      </c>
      <c r="E1135" s="173" t="s">
        <v>33</v>
      </c>
      <c r="F1135" s="176">
        <v>82.515238095238089</v>
      </c>
      <c r="G1135" s="175">
        <f t="shared" si="163"/>
        <v>4</v>
      </c>
      <c r="H1135" s="175">
        <f t="shared" si="164"/>
        <v>82.515238095238089</v>
      </c>
      <c r="I1135" s="177">
        <f>IF(G1135=0,0,IF(E1135="MXN",1/HLOOKUP(YEAR(C1135)+(MONTH(C1135)/100),TC!$5:$37,DAY(C1135)+2,FALSE),VLOOKUP(E1135,Equivalencia!$5:$23,((MAX(Equivalencia!$3:$3)-YEAR(C1135))*14)+MONTH(C1135)+2,FALSE)))</f>
        <v>1</v>
      </c>
      <c r="J1135" s="178">
        <f t="shared" si="165"/>
        <v>82.515238095238089</v>
      </c>
      <c r="K1135" s="462">
        <f>IF(C1135=0,0,VLOOKUP(YEAR(C1135),INPC!$B$4:$O$29,MONTH(C1135)+1))</f>
        <v>120.15900000000001</v>
      </c>
      <c r="L1135" s="462">
        <f>IF(S1135=0,0,VLOOKUP(YEAR(S1135),INPC!$B$4:$O$29,MONTH(S1135)+1))</f>
        <v>126.47799999999999</v>
      </c>
      <c r="M1135" s="463">
        <f t="shared" si="166"/>
        <v>1.0525</v>
      </c>
      <c r="N1135" s="465">
        <f t="shared" si="167"/>
        <v>86.847288095238085</v>
      </c>
      <c r="O1135" s="179"/>
      <c r="P1135" s="180">
        <v>4</v>
      </c>
      <c r="Q1135" s="173" t="s">
        <v>583</v>
      </c>
      <c r="R1135" s="173" t="s">
        <v>230</v>
      </c>
      <c r="S1135" s="174">
        <v>44909</v>
      </c>
      <c r="T1135" s="173" t="s">
        <v>33</v>
      </c>
      <c r="U1135" s="182">
        <v>32.657586206896553</v>
      </c>
      <c r="V1135" s="177">
        <f>IF(U1135=0,0,IF(T1135="MXN",1/HLOOKUP(YEAR(S1135)+(MONTH(S1135)/100),TC!$5:$37,DAY(S1135)+2,FALSE),VLOOKUP(T1135,Equivalencia!$1:$23,((MAX(Equivalencia!$3:$3)-YEAR(S1135))*14)+MONTH(S1135)+2,FALSE)))</f>
        <v>1</v>
      </c>
      <c r="W1135" s="178">
        <f t="shared" si="168"/>
        <v>32.657586206896553</v>
      </c>
      <c r="X1135" s="481">
        <f t="shared" si="169"/>
        <v>-49.857651888341536</v>
      </c>
      <c r="Y1135" s="179"/>
      <c r="Z1135" s="466">
        <f t="shared" si="170"/>
        <v>86.847288095238085</v>
      </c>
      <c r="AA1135" s="473">
        <f t="shared" si="171"/>
        <v>-54.189701888341531</v>
      </c>
      <c r="AB1135" s="339">
        <f t="shared" si="172"/>
        <v>-0.60422357178193487</v>
      </c>
    </row>
    <row r="1136" spans="2:28" ht="20.100000000000001" customHeight="1">
      <c r="B1136" s="172">
        <v>1427200</v>
      </c>
      <c r="C1136" s="174">
        <v>44650</v>
      </c>
      <c r="D1136" s="181" t="s">
        <v>279</v>
      </c>
      <c r="E1136" s="173" t="s">
        <v>33</v>
      </c>
      <c r="F1136" s="176">
        <v>20.27</v>
      </c>
      <c r="G1136" s="175">
        <f t="shared" si="163"/>
        <v>1</v>
      </c>
      <c r="H1136" s="175">
        <f t="shared" si="164"/>
        <v>20.27</v>
      </c>
      <c r="I1136" s="177">
        <f>IF(G1136=0,0,IF(E1136="MXN",1/HLOOKUP(YEAR(C1136)+(MONTH(C1136)/100),TC!$5:$37,DAY(C1136)+2,FALSE),VLOOKUP(E1136,Equivalencia!$5:$23,((MAX(Equivalencia!$3:$3)-YEAR(C1136))*14)+MONTH(C1136)+2,FALSE)))</f>
        <v>1</v>
      </c>
      <c r="J1136" s="178">
        <f t="shared" si="165"/>
        <v>20.27</v>
      </c>
      <c r="K1136" s="462">
        <f>IF(C1136=0,0,VLOOKUP(YEAR(C1136),INPC!$B$4:$O$29,MONTH(C1136)+1))</f>
        <v>120.15900000000001</v>
      </c>
      <c r="L1136" s="462">
        <f>IF(S1136=0,0,VLOOKUP(YEAR(S1136),INPC!$B$4:$O$29,MONTH(S1136)+1))</f>
        <v>126.47799999999999</v>
      </c>
      <c r="M1136" s="463">
        <f t="shared" si="166"/>
        <v>1.0525</v>
      </c>
      <c r="N1136" s="465">
        <f t="shared" si="167"/>
        <v>21.334174999999998</v>
      </c>
      <c r="O1136" s="179"/>
      <c r="P1136" s="180">
        <v>1</v>
      </c>
      <c r="Q1136" s="173" t="s">
        <v>583</v>
      </c>
      <c r="R1136" s="173" t="s">
        <v>230</v>
      </c>
      <c r="S1136" s="174">
        <v>44909</v>
      </c>
      <c r="T1136" s="173" t="s">
        <v>33</v>
      </c>
      <c r="U1136" s="182">
        <v>8.1643965517241384</v>
      </c>
      <c r="V1136" s="177">
        <f>IF(U1136=0,0,IF(T1136="MXN",1/HLOOKUP(YEAR(S1136)+(MONTH(S1136)/100),TC!$5:$37,DAY(S1136)+2,FALSE),VLOOKUP(T1136,Equivalencia!$1:$23,((MAX(Equivalencia!$3:$3)-YEAR(S1136))*14)+MONTH(S1136)+2,FALSE)))</f>
        <v>1</v>
      </c>
      <c r="W1136" s="178">
        <f t="shared" si="168"/>
        <v>8.1643965517241384</v>
      </c>
      <c r="X1136" s="481">
        <f t="shared" si="169"/>
        <v>-12.105603448275861</v>
      </c>
      <c r="Y1136" s="179"/>
      <c r="Z1136" s="466">
        <f t="shared" si="170"/>
        <v>21.334174999999998</v>
      </c>
      <c r="AA1136" s="473">
        <f t="shared" si="171"/>
        <v>-13.16977844827586</v>
      </c>
      <c r="AB1136" s="339">
        <f t="shared" si="172"/>
        <v>-0.59721773301804948</v>
      </c>
    </row>
    <row r="1137" spans="2:28" ht="20.100000000000001" customHeight="1">
      <c r="B1137" s="172">
        <v>1427200</v>
      </c>
      <c r="C1137" s="174">
        <v>44650</v>
      </c>
      <c r="D1137" s="181" t="s">
        <v>279</v>
      </c>
      <c r="E1137" s="173" t="s">
        <v>33</v>
      </c>
      <c r="F1137" s="176">
        <v>42.86</v>
      </c>
      <c r="G1137" s="175">
        <f t="shared" si="163"/>
        <v>2</v>
      </c>
      <c r="H1137" s="175">
        <f t="shared" si="164"/>
        <v>42.86</v>
      </c>
      <c r="I1137" s="177">
        <f>IF(G1137=0,0,IF(E1137="MXN",1/HLOOKUP(YEAR(C1137)+(MONTH(C1137)/100),TC!$5:$37,DAY(C1137)+2,FALSE),VLOOKUP(E1137,Equivalencia!$5:$23,((MAX(Equivalencia!$3:$3)-YEAR(C1137))*14)+MONTH(C1137)+2,FALSE)))</f>
        <v>1</v>
      </c>
      <c r="J1137" s="178">
        <f t="shared" si="165"/>
        <v>42.86</v>
      </c>
      <c r="K1137" s="462">
        <f>IF(C1137=0,0,VLOOKUP(YEAR(C1137),INPC!$B$4:$O$29,MONTH(C1137)+1))</f>
        <v>120.15900000000001</v>
      </c>
      <c r="L1137" s="462">
        <f>IF(S1137=0,0,VLOOKUP(YEAR(S1137),INPC!$B$4:$O$29,MONTH(S1137)+1))</f>
        <v>126.47799999999999</v>
      </c>
      <c r="M1137" s="463">
        <f t="shared" si="166"/>
        <v>1.0525</v>
      </c>
      <c r="N1137" s="465">
        <f t="shared" si="167"/>
        <v>45.110149999999997</v>
      </c>
      <c r="O1137" s="179"/>
      <c r="P1137" s="180">
        <v>2</v>
      </c>
      <c r="Q1137" s="173" t="s">
        <v>583</v>
      </c>
      <c r="R1137" s="173" t="s">
        <v>230</v>
      </c>
      <c r="S1137" s="174">
        <v>44909</v>
      </c>
      <c r="T1137" s="173" t="s">
        <v>33</v>
      </c>
      <c r="U1137" s="182">
        <v>16.328793103448277</v>
      </c>
      <c r="V1137" s="177">
        <f>IF(U1137=0,0,IF(T1137="MXN",1/HLOOKUP(YEAR(S1137)+(MONTH(S1137)/100),TC!$5:$37,DAY(S1137)+2,FALSE),VLOOKUP(T1137,Equivalencia!$1:$23,((MAX(Equivalencia!$3:$3)-YEAR(S1137))*14)+MONTH(S1137)+2,FALSE)))</f>
        <v>1</v>
      </c>
      <c r="W1137" s="178">
        <f t="shared" si="168"/>
        <v>16.328793103448277</v>
      </c>
      <c r="X1137" s="481">
        <f t="shared" si="169"/>
        <v>-26.531206896551723</v>
      </c>
      <c r="Y1137" s="179"/>
      <c r="Z1137" s="466">
        <f t="shared" si="170"/>
        <v>45.110149999999997</v>
      </c>
      <c r="AA1137" s="473">
        <f t="shared" si="171"/>
        <v>-28.781356896551721</v>
      </c>
      <c r="AB1137" s="339">
        <f t="shared" si="172"/>
        <v>-0.61902022623779107</v>
      </c>
    </row>
    <row r="1138" spans="2:28" ht="20.100000000000001" customHeight="1">
      <c r="B1138" s="172">
        <v>1427200</v>
      </c>
      <c r="C1138" s="174">
        <v>44652</v>
      </c>
      <c r="D1138" s="181" t="s">
        <v>279</v>
      </c>
      <c r="E1138" s="173" t="s">
        <v>33</v>
      </c>
      <c r="F1138" s="176">
        <v>20.079999999999998</v>
      </c>
      <c r="G1138" s="175">
        <f t="shared" si="163"/>
        <v>1</v>
      </c>
      <c r="H1138" s="175">
        <f t="shared" si="164"/>
        <v>20.079999999999998</v>
      </c>
      <c r="I1138" s="177">
        <f>IF(G1138=0,0,IF(E1138="MXN",1/HLOOKUP(YEAR(C1138)+(MONTH(C1138)/100),TC!$5:$37,DAY(C1138)+2,FALSE),VLOOKUP(E1138,Equivalencia!$5:$23,((MAX(Equivalencia!$3:$3)-YEAR(C1138))*14)+MONTH(C1138)+2,FALSE)))</f>
        <v>1</v>
      </c>
      <c r="J1138" s="178">
        <f t="shared" si="165"/>
        <v>20.079999999999998</v>
      </c>
      <c r="K1138" s="462">
        <f>IF(C1138=0,0,VLOOKUP(YEAR(C1138),INPC!$B$4:$O$29,MONTH(C1138)+1))</f>
        <v>120.809</v>
      </c>
      <c r="L1138" s="462">
        <f>IF(S1138=0,0,VLOOKUP(YEAR(S1138),INPC!$B$4:$O$29,MONTH(S1138)+1))</f>
        <v>126.47799999999999</v>
      </c>
      <c r="M1138" s="463">
        <f t="shared" si="166"/>
        <v>1.0468999999999999</v>
      </c>
      <c r="N1138" s="465">
        <f t="shared" si="167"/>
        <v>21.021751999999996</v>
      </c>
      <c r="O1138" s="179"/>
      <c r="P1138" s="180">
        <v>1</v>
      </c>
      <c r="Q1138" s="173" t="s">
        <v>583</v>
      </c>
      <c r="R1138" s="173" t="s">
        <v>230</v>
      </c>
      <c r="S1138" s="174">
        <v>44909</v>
      </c>
      <c r="T1138" s="173" t="s">
        <v>33</v>
      </c>
      <c r="U1138" s="182">
        <v>8.1643965517241384</v>
      </c>
      <c r="V1138" s="177">
        <f>IF(U1138=0,0,IF(T1138="MXN",1/HLOOKUP(YEAR(S1138)+(MONTH(S1138)/100),TC!$5:$37,DAY(S1138)+2,FALSE),VLOOKUP(T1138,Equivalencia!$1:$23,((MAX(Equivalencia!$3:$3)-YEAR(S1138))*14)+MONTH(S1138)+2,FALSE)))</f>
        <v>1</v>
      </c>
      <c r="W1138" s="178">
        <f t="shared" si="168"/>
        <v>8.1643965517241384</v>
      </c>
      <c r="X1138" s="481">
        <f t="shared" si="169"/>
        <v>-11.91560344827586</v>
      </c>
      <c r="Y1138" s="179"/>
      <c r="Z1138" s="466">
        <f t="shared" si="170"/>
        <v>21.021751999999996</v>
      </c>
      <c r="AA1138" s="473">
        <f t="shared" si="171"/>
        <v>-12.857355448275857</v>
      </c>
      <c r="AB1138" s="339">
        <f t="shared" si="172"/>
        <v>-0.59340654622887756</v>
      </c>
    </row>
    <row r="1139" spans="2:28" ht="20.100000000000001" customHeight="1">
      <c r="B1139" s="172">
        <v>1427200</v>
      </c>
      <c r="C1139" s="174">
        <v>44652</v>
      </c>
      <c r="D1139" s="181" t="s">
        <v>279</v>
      </c>
      <c r="E1139" s="173" t="s">
        <v>33</v>
      </c>
      <c r="F1139" s="176">
        <v>39.880000000000003</v>
      </c>
      <c r="G1139" s="175">
        <f t="shared" si="163"/>
        <v>2</v>
      </c>
      <c r="H1139" s="175">
        <f t="shared" si="164"/>
        <v>39.880000000000003</v>
      </c>
      <c r="I1139" s="177">
        <f>IF(G1139=0,0,IF(E1139="MXN",1/HLOOKUP(YEAR(C1139)+(MONTH(C1139)/100),TC!$5:$37,DAY(C1139)+2,FALSE),VLOOKUP(E1139,Equivalencia!$5:$23,((MAX(Equivalencia!$3:$3)-YEAR(C1139))*14)+MONTH(C1139)+2,FALSE)))</f>
        <v>1</v>
      </c>
      <c r="J1139" s="178">
        <f t="shared" si="165"/>
        <v>39.880000000000003</v>
      </c>
      <c r="K1139" s="462">
        <f>IF(C1139=0,0,VLOOKUP(YEAR(C1139),INPC!$B$4:$O$29,MONTH(C1139)+1))</f>
        <v>120.809</v>
      </c>
      <c r="L1139" s="462">
        <f>IF(S1139=0,0,VLOOKUP(YEAR(S1139),INPC!$B$4:$O$29,MONTH(S1139)+1))</f>
        <v>126.47799999999999</v>
      </c>
      <c r="M1139" s="463">
        <f t="shared" si="166"/>
        <v>1.0468999999999999</v>
      </c>
      <c r="N1139" s="465">
        <f t="shared" si="167"/>
        <v>41.750371999999999</v>
      </c>
      <c r="O1139" s="179"/>
      <c r="P1139" s="180">
        <v>2</v>
      </c>
      <c r="Q1139" s="173" t="s">
        <v>583</v>
      </c>
      <c r="R1139" s="173" t="s">
        <v>230</v>
      </c>
      <c r="S1139" s="174">
        <v>44909</v>
      </c>
      <c r="T1139" s="173" t="s">
        <v>33</v>
      </c>
      <c r="U1139" s="182">
        <v>16.328793103448277</v>
      </c>
      <c r="V1139" s="177">
        <f>IF(U1139=0,0,IF(T1139="MXN",1/HLOOKUP(YEAR(S1139)+(MONTH(S1139)/100),TC!$5:$37,DAY(S1139)+2,FALSE),VLOOKUP(T1139,Equivalencia!$1:$23,((MAX(Equivalencia!$3:$3)-YEAR(S1139))*14)+MONTH(S1139)+2,FALSE)))</f>
        <v>1</v>
      </c>
      <c r="W1139" s="178">
        <f t="shared" si="168"/>
        <v>16.328793103448277</v>
      </c>
      <c r="X1139" s="481">
        <f t="shared" si="169"/>
        <v>-23.551206896551726</v>
      </c>
      <c r="Y1139" s="179"/>
      <c r="Z1139" s="466">
        <f t="shared" si="170"/>
        <v>41.750371999999999</v>
      </c>
      <c r="AA1139" s="473">
        <f t="shared" si="171"/>
        <v>-25.421578896551722</v>
      </c>
      <c r="AB1139" s="339">
        <f t="shared" si="172"/>
        <v>-0.5905518278974855</v>
      </c>
    </row>
    <row r="1140" spans="2:28" ht="20.100000000000001" customHeight="1">
      <c r="B1140" s="172">
        <v>1427200</v>
      </c>
      <c r="C1140" s="174">
        <v>44658</v>
      </c>
      <c r="D1140" s="181" t="s">
        <v>279</v>
      </c>
      <c r="E1140" s="173" t="s">
        <v>33</v>
      </c>
      <c r="F1140" s="176">
        <v>19.2</v>
      </c>
      <c r="G1140" s="175">
        <f t="shared" si="163"/>
        <v>1</v>
      </c>
      <c r="H1140" s="175">
        <f t="shared" si="164"/>
        <v>19.2</v>
      </c>
      <c r="I1140" s="177">
        <f>IF(G1140=0,0,IF(E1140="MXN",1/HLOOKUP(YEAR(C1140)+(MONTH(C1140)/100),TC!$5:$37,DAY(C1140)+2,FALSE),VLOOKUP(E1140,Equivalencia!$5:$23,((MAX(Equivalencia!$3:$3)-YEAR(C1140))*14)+MONTH(C1140)+2,FALSE)))</f>
        <v>1</v>
      </c>
      <c r="J1140" s="178">
        <f t="shared" si="165"/>
        <v>19.2</v>
      </c>
      <c r="K1140" s="462">
        <f>IF(C1140=0,0,VLOOKUP(YEAR(C1140),INPC!$B$4:$O$29,MONTH(C1140)+1))</f>
        <v>120.809</v>
      </c>
      <c r="L1140" s="462">
        <f>IF(S1140=0,0,VLOOKUP(YEAR(S1140),INPC!$B$4:$O$29,MONTH(S1140)+1))</f>
        <v>126.47799999999999</v>
      </c>
      <c r="M1140" s="463">
        <f t="shared" si="166"/>
        <v>1.0468999999999999</v>
      </c>
      <c r="N1140" s="465">
        <f t="shared" si="167"/>
        <v>20.100479999999997</v>
      </c>
      <c r="O1140" s="179"/>
      <c r="P1140" s="180">
        <v>1</v>
      </c>
      <c r="Q1140" s="173" t="s">
        <v>583</v>
      </c>
      <c r="R1140" s="173" t="s">
        <v>230</v>
      </c>
      <c r="S1140" s="174">
        <v>44909</v>
      </c>
      <c r="T1140" s="173" t="s">
        <v>33</v>
      </c>
      <c r="U1140" s="182">
        <v>8.1643965517241384</v>
      </c>
      <c r="V1140" s="177">
        <f>IF(U1140=0,0,IF(T1140="MXN",1/HLOOKUP(YEAR(S1140)+(MONTH(S1140)/100),TC!$5:$37,DAY(S1140)+2,FALSE),VLOOKUP(T1140,Equivalencia!$1:$23,((MAX(Equivalencia!$3:$3)-YEAR(S1140))*14)+MONTH(S1140)+2,FALSE)))</f>
        <v>1</v>
      </c>
      <c r="W1140" s="178">
        <f t="shared" si="168"/>
        <v>8.1643965517241384</v>
      </c>
      <c r="X1140" s="481">
        <f t="shared" si="169"/>
        <v>-11.035603448275861</v>
      </c>
      <c r="Y1140" s="179"/>
      <c r="Z1140" s="466">
        <f t="shared" si="170"/>
        <v>20.100479999999997</v>
      </c>
      <c r="AA1140" s="473">
        <f t="shared" si="171"/>
        <v>-11.936083448275859</v>
      </c>
      <c r="AB1140" s="339">
        <f t="shared" si="172"/>
        <v>-0.57477101293103439</v>
      </c>
    </row>
    <row r="1141" spans="2:28" ht="20.100000000000001" customHeight="1">
      <c r="B1141" s="172">
        <v>1427200</v>
      </c>
      <c r="C1141" s="174">
        <v>44658</v>
      </c>
      <c r="D1141" s="181" t="s">
        <v>279</v>
      </c>
      <c r="E1141" s="173" t="s">
        <v>33</v>
      </c>
      <c r="F1141" s="176">
        <v>411.04</v>
      </c>
      <c r="G1141" s="175">
        <f t="shared" si="163"/>
        <v>22</v>
      </c>
      <c r="H1141" s="175">
        <f t="shared" si="164"/>
        <v>411.04</v>
      </c>
      <c r="I1141" s="177">
        <f>IF(G1141=0,0,IF(E1141="MXN",1/HLOOKUP(YEAR(C1141)+(MONTH(C1141)/100),TC!$5:$37,DAY(C1141)+2,FALSE),VLOOKUP(E1141,Equivalencia!$5:$23,((MAX(Equivalencia!$3:$3)-YEAR(C1141))*14)+MONTH(C1141)+2,FALSE)))</f>
        <v>1</v>
      </c>
      <c r="J1141" s="178">
        <f t="shared" si="165"/>
        <v>411.04</v>
      </c>
      <c r="K1141" s="462">
        <f>IF(C1141=0,0,VLOOKUP(YEAR(C1141),INPC!$B$4:$O$29,MONTH(C1141)+1))</f>
        <v>120.809</v>
      </c>
      <c r="L1141" s="462">
        <f>IF(S1141=0,0,VLOOKUP(YEAR(S1141),INPC!$B$4:$O$29,MONTH(S1141)+1))</f>
        <v>126.47799999999999</v>
      </c>
      <c r="M1141" s="463">
        <f t="shared" si="166"/>
        <v>1.0468999999999999</v>
      </c>
      <c r="N1141" s="465">
        <f t="shared" si="167"/>
        <v>430.31777599999998</v>
      </c>
      <c r="O1141" s="179"/>
      <c r="P1141" s="180">
        <v>22</v>
      </c>
      <c r="Q1141" s="173" t="s">
        <v>583</v>
      </c>
      <c r="R1141" s="173" t="s">
        <v>230</v>
      </c>
      <c r="S1141" s="174">
        <v>44909</v>
      </c>
      <c r="T1141" s="173" t="s">
        <v>33</v>
      </c>
      <c r="U1141" s="182">
        <v>179.61672413793104</v>
      </c>
      <c r="V1141" s="177">
        <f>IF(U1141=0,0,IF(T1141="MXN",1/HLOOKUP(YEAR(S1141)+(MONTH(S1141)/100),TC!$5:$37,DAY(S1141)+2,FALSE),VLOOKUP(T1141,Equivalencia!$1:$23,((MAX(Equivalencia!$3:$3)-YEAR(S1141))*14)+MONTH(S1141)+2,FALSE)))</f>
        <v>1</v>
      </c>
      <c r="W1141" s="178">
        <f t="shared" si="168"/>
        <v>179.61672413793104</v>
      </c>
      <c r="X1141" s="481">
        <f t="shared" si="169"/>
        <v>-231.42327586206898</v>
      </c>
      <c r="Y1141" s="179"/>
      <c r="Z1141" s="466">
        <f t="shared" si="170"/>
        <v>430.31777599999998</v>
      </c>
      <c r="AA1141" s="473">
        <f t="shared" si="171"/>
        <v>-250.70105186206894</v>
      </c>
      <c r="AB1141" s="339">
        <f t="shared" si="172"/>
        <v>-0.56301886887424324</v>
      </c>
    </row>
    <row r="1142" spans="2:28" ht="20.100000000000001" customHeight="1">
      <c r="B1142" s="172">
        <v>1427200</v>
      </c>
      <c r="C1142" s="174">
        <v>44658</v>
      </c>
      <c r="D1142" s="181" t="s">
        <v>279</v>
      </c>
      <c r="E1142" s="173" t="s">
        <v>33</v>
      </c>
      <c r="F1142" s="176">
        <v>114.25999999999999</v>
      </c>
      <c r="G1142" s="175">
        <f t="shared" si="163"/>
        <v>6</v>
      </c>
      <c r="H1142" s="175">
        <f t="shared" si="164"/>
        <v>114.25999999999999</v>
      </c>
      <c r="I1142" s="177">
        <f>IF(G1142=0,0,IF(E1142="MXN",1/HLOOKUP(YEAR(C1142)+(MONTH(C1142)/100),TC!$5:$37,DAY(C1142)+2,FALSE),VLOOKUP(E1142,Equivalencia!$5:$23,((MAX(Equivalencia!$3:$3)-YEAR(C1142))*14)+MONTH(C1142)+2,FALSE)))</f>
        <v>1</v>
      </c>
      <c r="J1142" s="178">
        <f t="shared" si="165"/>
        <v>114.25999999999999</v>
      </c>
      <c r="K1142" s="462">
        <f>IF(C1142=0,0,VLOOKUP(YEAR(C1142),INPC!$B$4:$O$29,MONTH(C1142)+1))</f>
        <v>120.809</v>
      </c>
      <c r="L1142" s="462">
        <f>IF(S1142=0,0,VLOOKUP(YEAR(S1142),INPC!$B$4:$O$29,MONTH(S1142)+1))</f>
        <v>126.47799999999999</v>
      </c>
      <c r="M1142" s="463">
        <f t="shared" si="166"/>
        <v>1.0468999999999999</v>
      </c>
      <c r="N1142" s="465">
        <f t="shared" si="167"/>
        <v>119.61879399999998</v>
      </c>
      <c r="O1142" s="179"/>
      <c r="P1142" s="180">
        <v>6</v>
      </c>
      <c r="Q1142" s="173" t="s">
        <v>583</v>
      </c>
      <c r="R1142" s="173" t="s">
        <v>230</v>
      </c>
      <c r="S1142" s="174">
        <v>44909</v>
      </c>
      <c r="T1142" s="173" t="s">
        <v>33</v>
      </c>
      <c r="U1142" s="182">
        <v>48.98637931034483</v>
      </c>
      <c r="V1142" s="177">
        <f>IF(U1142=0,0,IF(T1142="MXN",1/HLOOKUP(YEAR(S1142)+(MONTH(S1142)/100),TC!$5:$37,DAY(S1142)+2,FALSE),VLOOKUP(T1142,Equivalencia!$1:$23,((MAX(Equivalencia!$3:$3)-YEAR(S1142))*14)+MONTH(S1142)+2,FALSE)))</f>
        <v>1</v>
      </c>
      <c r="W1142" s="178">
        <f t="shared" si="168"/>
        <v>48.98637931034483</v>
      </c>
      <c r="X1142" s="481">
        <f t="shared" si="169"/>
        <v>-65.273620689655161</v>
      </c>
      <c r="Y1142" s="179"/>
      <c r="Z1142" s="466">
        <f t="shared" si="170"/>
        <v>119.61879399999998</v>
      </c>
      <c r="AA1142" s="473">
        <f t="shared" si="171"/>
        <v>-70.63241468965515</v>
      </c>
      <c r="AB1142" s="339">
        <f t="shared" si="172"/>
        <v>-0.5712727173958968</v>
      </c>
    </row>
    <row r="1143" spans="2:28" ht="20.100000000000001" customHeight="1">
      <c r="B1143" s="172">
        <v>1427200</v>
      </c>
      <c r="C1143" s="174">
        <v>44679</v>
      </c>
      <c r="D1143" s="181" t="s">
        <v>279</v>
      </c>
      <c r="E1143" s="173" t="s">
        <v>33</v>
      </c>
      <c r="F1143" s="176">
        <v>15.24</v>
      </c>
      <c r="G1143" s="175">
        <f t="shared" si="163"/>
        <v>1</v>
      </c>
      <c r="H1143" s="175">
        <f t="shared" si="164"/>
        <v>15.24</v>
      </c>
      <c r="I1143" s="177">
        <f>IF(G1143=0,0,IF(E1143="MXN",1/HLOOKUP(YEAR(C1143)+(MONTH(C1143)/100),TC!$5:$37,DAY(C1143)+2,FALSE),VLOOKUP(E1143,Equivalencia!$5:$23,((MAX(Equivalencia!$3:$3)-YEAR(C1143))*14)+MONTH(C1143)+2,FALSE)))</f>
        <v>1</v>
      </c>
      <c r="J1143" s="178">
        <f t="shared" si="165"/>
        <v>15.24</v>
      </c>
      <c r="K1143" s="462">
        <f>IF(C1143=0,0,VLOOKUP(YEAR(C1143),INPC!$B$4:$O$29,MONTH(C1143)+1))</f>
        <v>120.809</v>
      </c>
      <c r="L1143" s="462">
        <f>IF(S1143=0,0,VLOOKUP(YEAR(S1143),INPC!$B$4:$O$29,MONTH(S1143)+1))</f>
        <v>126.47799999999999</v>
      </c>
      <c r="M1143" s="463">
        <f t="shared" si="166"/>
        <v>1.0468999999999999</v>
      </c>
      <c r="N1143" s="465">
        <f t="shared" si="167"/>
        <v>15.954756</v>
      </c>
      <c r="O1143" s="179"/>
      <c r="P1143" s="180">
        <v>1</v>
      </c>
      <c r="Q1143" s="173" t="s">
        <v>583</v>
      </c>
      <c r="R1143" s="173" t="s">
        <v>230</v>
      </c>
      <c r="S1143" s="174">
        <v>44909</v>
      </c>
      <c r="T1143" s="173" t="s">
        <v>33</v>
      </c>
      <c r="U1143" s="182">
        <v>8.1643965517241384</v>
      </c>
      <c r="V1143" s="177">
        <f>IF(U1143=0,0,IF(T1143="MXN",1/HLOOKUP(YEAR(S1143)+(MONTH(S1143)/100),TC!$5:$37,DAY(S1143)+2,FALSE),VLOOKUP(T1143,Equivalencia!$1:$23,((MAX(Equivalencia!$3:$3)-YEAR(S1143))*14)+MONTH(S1143)+2,FALSE)))</f>
        <v>1</v>
      </c>
      <c r="W1143" s="178">
        <f t="shared" si="168"/>
        <v>8.1643965517241384</v>
      </c>
      <c r="X1143" s="481">
        <f t="shared" si="169"/>
        <v>-7.0756034482758619</v>
      </c>
      <c r="Y1143" s="179"/>
      <c r="Z1143" s="466">
        <f t="shared" si="170"/>
        <v>15.954756</v>
      </c>
      <c r="AA1143" s="473">
        <f t="shared" si="171"/>
        <v>-7.7903594482758614</v>
      </c>
      <c r="AB1143" s="339">
        <f t="shared" si="172"/>
        <v>-0.46427844148791741</v>
      </c>
    </row>
    <row r="1144" spans="2:28" ht="20.100000000000001" customHeight="1">
      <c r="B1144" s="172">
        <v>1427200</v>
      </c>
      <c r="C1144" s="174">
        <v>44679</v>
      </c>
      <c r="D1144" s="181" t="s">
        <v>279</v>
      </c>
      <c r="E1144" s="173" t="s">
        <v>33</v>
      </c>
      <c r="F1144" s="176">
        <v>181.42</v>
      </c>
      <c r="G1144" s="175">
        <f t="shared" si="163"/>
        <v>12</v>
      </c>
      <c r="H1144" s="175">
        <f t="shared" si="164"/>
        <v>181.42</v>
      </c>
      <c r="I1144" s="177">
        <f>IF(G1144=0,0,IF(E1144="MXN",1/HLOOKUP(YEAR(C1144)+(MONTH(C1144)/100),TC!$5:$37,DAY(C1144)+2,FALSE),VLOOKUP(E1144,Equivalencia!$5:$23,((MAX(Equivalencia!$3:$3)-YEAR(C1144))*14)+MONTH(C1144)+2,FALSE)))</f>
        <v>1</v>
      </c>
      <c r="J1144" s="178">
        <f t="shared" si="165"/>
        <v>181.42</v>
      </c>
      <c r="K1144" s="462">
        <f>IF(C1144=0,0,VLOOKUP(YEAR(C1144),INPC!$B$4:$O$29,MONTH(C1144)+1))</f>
        <v>120.809</v>
      </c>
      <c r="L1144" s="462">
        <f>IF(S1144=0,0,VLOOKUP(YEAR(S1144),INPC!$B$4:$O$29,MONTH(S1144)+1))</f>
        <v>126.47799999999999</v>
      </c>
      <c r="M1144" s="463">
        <f t="shared" si="166"/>
        <v>1.0468999999999999</v>
      </c>
      <c r="N1144" s="465">
        <f t="shared" si="167"/>
        <v>189.92859799999997</v>
      </c>
      <c r="O1144" s="179"/>
      <c r="P1144" s="180">
        <v>12</v>
      </c>
      <c r="Q1144" s="173" t="s">
        <v>583</v>
      </c>
      <c r="R1144" s="173" t="s">
        <v>230</v>
      </c>
      <c r="S1144" s="174">
        <v>44909</v>
      </c>
      <c r="T1144" s="173" t="s">
        <v>33</v>
      </c>
      <c r="U1144" s="182">
        <v>97.97275862068966</v>
      </c>
      <c r="V1144" s="177">
        <f>IF(U1144=0,0,IF(T1144="MXN",1/HLOOKUP(YEAR(S1144)+(MONTH(S1144)/100),TC!$5:$37,DAY(S1144)+2,FALSE),VLOOKUP(T1144,Equivalencia!$1:$23,((MAX(Equivalencia!$3:$3)-YEAR(S1144))*14)+MONTH(S1144)+2,FALSE)))</f>
        <v>1</v>
      </c>
      <c r="W1144" s="178">
        <f t="shared" si="168"/>
        <v>97.97275862068966</v>
      </c>
      <c r="X1144" s="481">
        <f t="shared" si="169"/>
        <v>-83.447241379310327</v>
      </c>
      <c r="Y1144" s="179"/>
      <c r="Z1144" s="466">
        <f t="shared" si="170"/>
        <v>189.92859799999997</v>
      </c>
      <c r="AA1144" s="473">
        <f t="shared" si="171"/>
        <v>-91.955839379310305</v>
      </c>
      <c r="AB1144" s="339">
        <f t="shared" si="172"/>
        <v>-0.45996715565709589</v>
      </c>
    </row>
    <row r="1145" spans="2:28" ht="20.100000000000001" customHeight="1">
      <c r="B1145" s="172">
        <v>1427200</v>
      </c>
      <c r="C1145" s="174">
        <v>44679</v>
      </c>
      <c r="D1145" s="181" t="s">
        <v>279</v>
      </c>
      <c r="E1145" s="173" t="s">
        <v>33</v>
      </c>
      <c r="F1145" s="176">
        <v>328.48</v>
      </c>
      <c r="G1145" s="175">
        <f t="shared" si="163"/>
        <v>22</v>
      </c>
      <c r="H1145" s="175">
        <f t="shared" si="164"/>
        <v>328.48</v>
      </c>
      <c r="I1145" s="177">
        <f>IF(G1145=0,0,IF(E1145="MXN",1/HLOOKUP(YEAR(C1145)+(MONTH(C1145)/100),TC!$5:$37,DAY(C1145)+2,FALSE),VLOOKUP(E1145,Equivalencia!$5:$23,((MAX(Equivalencia!$3:$3)-YEAR(C1145))*14)+MONTH(C1145)+2,FALSE)))</f>
        <v>1</v>
      </c>
      <c r="J1145" s="178">
        <f t="shared" si="165"/>
        <v>328.48</v>
      </c>
      <c r="K1145" s="462">
        <f>IF(C1145=0,0,VLOOKUP(YEAR(C1145),INPC!$B$4:$O$29,MONTH(C1145)+1))</f>
        <v>120.809</v>
      </c>
      <c r="L1145" s="462">
        <f>IF(S1145=0,0,VLOOKUP(YEAR(S1145),INPC!$B$4:$O$29,MONTH(S1145)+1))</f>
        <v>126.47799999999999</v>
      </c>
      <c r="M1145" s="463">
        <f t="shared" si="166"/>
        <v>1.0468999999999999</v>
      </c>
      <c r="N1145" s="465">
        <f t="shared" si="167"/>
        <v>343.88571200000001</v>
      </c>
      <c r="O1145" s="179"/>
      <c r="P1145" s="180">
        <v>22</v>
      </c>
      <c r="Q1145" s="173" t="s">
        <v>583</v>
      </c>
      <c r="R1145" s="173" t="s">
        <v>230</v>
      </c>
      <c r="S1145" s="174">
        <v>44909</v>
      </c>
      <c r="T1145" s="173" t="s">
        <v>33</v>
      </c>
      <c r="U1145" s="182">
        <v>179.61672413793104</v>
      </c>
      <c r="V1145" s="177">
        <f>IF(U1145=0,0,IF(T1145="MXN",1/HLOOKUP(YEAR(S1145)+(MONTH(S1145)/100),TC!$5:$37,DAY(S1145)+2,FALSE),VLOOKUP(T1145,Equivalencia!$1:$23,((MAX(Equivalencia!$3:$3)-YEAR(S1145))*14)+MONTH(S1145)+2,FALSE)))</f>
        <v>1</v>
      </c>
      <c r="W1145" s="178">
        <f t="shared" si="168"/>
        <v>179.61672413793104</v>
      </c>
      <c r="X1145" s="481">
        <f t="shared" si="169"/>
        <v>-148.86327586206897</v>
      </c>
      <c r="Y1145" s="179"/>
      <c r="Z1145" s="466">
        <f t="shared" si="170"/>
        <v>343.88571200000001</v>
      </c>
      <c r="AA1145" s="473">
        <f t="shared" si="171"/>
        <v>-164.26898786206897</v>
      </c>
      <c r="AB1145" s="339">
        <f t="shared" si="172"/>
        <v>-0.45318824848413597</v>
      </c>
    </row>
    <row r="1146" spans="2:28" ht="20.100000000000001" customHeight="1">
      <c r="B1146" s="172">
        <v>1427200</v>
      </c>
      <c r="C1146" s="174">
        <v>44694</v>
      </c>
      <c r="D1146" s="181" t="s">
        <v>279</v>
      </c>
      <c r="E1146" s="173" t="s">
        <v>33</v>
      </c>
      <c r="F1146" s="176">
        <v>12.78</v>
      </c>
      <c r="G1146" s="175">
        <f t="shared" si="163"/>
        <v>1</v>
      </c>
      <c r="H1146" s="175">
        <f t="shared" si="164"/>
        <v>12.78</v>
      </c>
      <c r="I1146" s="177">
        <f>IF(G1146=0,0,IF(E1146="MXN",1/HLOOKUP(YEAR(C1146)+(MONTH(C1146)/100),TC!$5:$37,DAY(C1146)+2,FALSE),VLOOKUP(E1146,Equivalencia!$5:$23,((MAX(Equivalencia!$3:$3)-YEAR(C1146))*14)+MONTH(C1146)+2,FALSE)))</f>
        <v>1</v>
      </c>
      <c r="J1146" s="178">
        <f t="shared" si="165"/>
        <v>12.78</v>
      </c>
      <c r="K1146" s="462">
        <f>IF(C1146=0,0,VLOOKUP(YEAR(C1146),INPC!$B$4:$O$29,MONTH(C1146)+1))</f>
        <v>121.02200000000001</v>
      </c>
      <c r="L1146" s="462">
        <f>IF(S1146=0,0,VLOOKUP(YEAR(S1146),INPC!$B$4:$O$29,MONTH(S1146)+1))</f>
        <v>126.47799999999999</v>
      </c>
      <c r="M1146" s="463">
        <f t="shared" si="166"/>
        <v>1.0449999999999999</v>
      </c>
      <c r="N1146" s="465">
        <f t="shared" si="167"/>
        <v>13.355099999999998</v>
      </c>
      <c r="O1146" s="179"/>
      <c r="P1146" s="180">
        <v>1</v>
      </c>
      <c r="Q1146" s="173" t="s">
        <v>583</v>
      </c>
      <c r="R1146" s="173" t="s">
        <v>230</v>
      </c>
      <c r="S1146" s="174">
        <v>44909</v>
      </c>
      <c r="T1146" s="173" t="s">
        <v>33</v>
      </c>
      <c r="U1146" s="182">
        <v>8.1643965517241384</v>
      </c>
      <c r="V1146" s="177">
        <f>IF(U1146=0,0,IF(T1146="MXN",1/HLOOKUP(YEAR(S1146)+(MONTH(S1146)/100),TC!$5:$37,DAY(S1146)+2,FALSE),VLOOKUP(T1146,Equivalencia!$1:$23,((MAX(Equivalencia!$3:$3)-YEAR(S1146))*14)+MONTH(S1146)+2,FALSE)))</f>
        <v>1</v>
      </c>
      <c r="W1146" s="178">
        <f t="shared" si="168"/>
        <v>8.1643965517241384</v>
      </c>
      <c r="X1146" s="481">
        <f t="shared" si="169"/>
        <v>-4.615603448275861</v>
      </c>
      <c r="Y1146" s="179"/>
      <c r="Z1146" s="466">
        <f t="shared" si="170"/>
        <v>13.355099999999998</v>
      </c>
      <c r="AA1146" s="473">
        <f t="shared" si="171"/>
        <v>-5.1907034482758601</v>
      </c>
      <c r="AB1146" s="339">
        <f t="shared" si="172"/>
        <v>-0.36115832928606117</v>
      </c>
    </row>
    <row r="1147" spans="2:28" ht="20.100000000000001" customHeight="1">
      <c r="B1147" s="172">
        <v>1427200</v>
      </c>
      <c r="C1147" s="174">
        <v>44694</v>
      </c>
      <c r="D1147" s="181" t="s">
        <v>279</v>
      </c>
      <c r="E1147" s="173" t="s">
        <v>33</v>
      </c>
      <c r="F1147" s="176">
        <v>516.74260869565217</v>
      </c>
      <c r="G1147" s="175">
        <f t="shared" si="163"/>
        <v>41</v>
      </c>
      <c r="H1147" s="175">
        <f t="shared" si="164"/>
        <v>516.74260869565217</v>
      </c>
      <c r="I1147" s="177">
        <f>IF(G1147=0,0,IF(E1147="MXN",1/HLOOKUP(YEAR(C1147)+(MONTH(C1147)/100),TC!$5:$37,DAY(C1147)+2,FALSE),VLOOKUP(E1147,Equivalencia!$5:$23,((MAX(Equivalencia!$3:$3)-YEAR(C1147))*14)+MONTH(C1147)+2,FALSE)))</f>
        <v>1</v>
      </c>
      <c r="J1147" s="178">
        <f t="shared" si="165"/>
        <v>516.74260869565217</v>
      </c>
      <c r="K1147" s="462">
        <f>IF(C1147=0,0,VLOOKUP(YEAR(C1147),INPC!$B$4:$O$29,MONTH(C1147)+1))</f>
        <v>121.02200000000001</v>
      </c>
      <c r="L1147" s="462">
        <f>IF(S1147=0,0,VLOOKUP(YEAR(S1147),INPC!$B$4:$O$29,MONTH(S1147)+1))</f>
        <v>126.47799999999999</v>
      </c>
      <c r="M1147" s="463">
        <f t="shared" si="166"/>
        <v>1.0449999999999999</v>
      </c>
      <c r="N1147" s="465">
        <f t="shared" si="167"/>
        <v>539.99602608695648</v>
      </c>
      <c r="O1147" s="179"/>
      <c r="P1147" s="180">
        <v>41</v>
      </c>
      <c r="Q1147" s="173" t="s">
        <v>583</v>
      </c>
      <c r="R1147" s="173" t="s">
        <v>230</v>
      </c>
      <c r="S1147" s="174">
        <v>44909</v>
      </c>
      <c r="T1147" s="173" t="s">
        <v>33</v>
      </c>
      <c r="U1147" s="182">
        <v>334.7402586206897</v>
      </c>
      <c r="V1147" s="177">
        <f>IF(U1147=0,0,IF(T1147="MXN",1/HLOOKUP(YEAR(S1147)+(MONTH(S1147)/100),TC!$5:$37,DAY(S1147)+2,FALSE),VLOOKUP(T1147,Equivalencia!$1:$23,((MAX(Equivalencia!$3:$3)-YEAR(S1147))*14)+MONTH(S1147)+2,FALSE)))</f>
        <v>1</v>
      </c>
      <c r="W1147" s="178">
        <f t="shared" si="168"/>
        <v>334.7402586206897</v>
      </c>
      <c r="X1147" s="481">
        <f t="shared" si="169"/>
        <v>-182.00235007496246</v>
      </c>
      <c r="Y1147" s="179"/>
      <c r="Z1147" s="466">
        <f t="shared" si="170"/>
        <v>539.99602608695648</v>
      </c>
      <c r="AA1147" s="473">
        <f t="shared" si="171"/>
        <v>-205.25576746626678</v>
      </c>
      <c r="AB1147" s="339">
        <f t="shared" si="172"/>
        <v>-0.35221084348814957</v>
      </c>
    </row>
    <row r="1148" spans="2:28" ht="20.100000000000001" customHeight="1">
      <c r="B1148" s="172">
        <v>1427200</v>
      </c>
      <c r="C1148" s="174">
        <v>44694</v>
      </c>
      <c r="D1148" s="181" t="s">
        <v>279</v>
      </c>
      <c r="E1148" s="173" t="s">
        <v>33</v>
      </c>
      <c r="F1148" s="176">
        <v>63.017391304347825</v>
      </c>
      <c r="G1148" s="175">
        <f t="shared" si="163"/>
        <v>5</v>
      </c>
      <c r="H1148" s="175">
        <f t="shared" si="164"/>
        <v>63.017391304347825</v>
      </c>
      <c r="I1148" s="177">
        <f>IF(G1148=0,0,IF(E1148="MXN",1/HLOOKUP(YEAR(C1148)+(MONTH(C1148)/100),TC!$5:$37,DAY(C1148)+2,FALSE),VLOOKUP(E1148,Equivalencia!$5:$23,((MAX(Equivalencia!$3:$3)-YEAR(C1148))*14)+MONTH(C1148)+2,FALSE)))</f>
        <v>1</v>
      </c>
      <c r="J1148" s="178">
        <f t="shared" si="165"/>
        <v>63.017391304347825</v>
      </c>
      <c r="K1148" s="462">
        <f>IF(C1148=0,0,VLOOKUP(YEAR(C1148),INPC!$B$4:$O$29,MONTH(C1148)+1))</f>
        <v>121.02200000000001</v>
      </c>
      <c r="L1148" s="462">
        <f>IF(S1148=0,0,VLOOKUP(YEAR(S1148),INPC!$B$4:$O$29,MONTH(S1148)+1))</f>
        <v>126.47799999999999</v>
      </c>
      <c r="M1148" s="463">
        <f t="shared" si="166"/>
        <v>1.0449999999999999</v>
      </c>
      <c r="N1148" s="465">
        <f t="shared" si="167"/>
        <v>65.853173913043477</v>
      </c>
      <c r="O1148" s="179"/>
      <c r="P1148" s="180">
        <v>5</v>
      </c>
      <c r="Q1148" s="173" t="s">
        <v>583</v>
      </c>
      <c r="R1148" s="173" t="s">
        <v>230</v>
      </c>
      <c r="S1148" s="174">
        <v>44910</v>
      </c>
      <c r="T1148" s="173" t="s">
        <v>33</v>
      </c>
      <c r="U1148" s="182">
        <v>40.31</v>
      </c>
      <c r="V1148" s="177">
        <f>IF(U1148=0,0,IF(T1148="MXN",1/HLOOKUP(YEAR(S1148)+(MONTH(S1148)/100),TC!$5:$37,DAY(S1148)+2,FALSE),VLOOKUP(T1148,Equivalencia!$1:$23,((MAX(Equivalencia!$3:$3)-YEAR(S1148))*14)+MONTH(S1148)+2,FALSE)))</f>
        <v>1</v>
      </c>
      <c r="W1148" s="178">
        <f t="shared" si="168"/>
        <v>40.31</v>
      </c>
      <c r="X1148" s="481">
        <f t="shared" si="169"/>
        <v>-22.707391304347823</v>
      </c>
      <c r="Y1148" s="179"/>
      <c r="Z1148" s="466">
        <f t="shared" si="170"/>
        <v>65.853173913043477</v>
      </c>
      <c r="AA1148" s="473">
        <f t="shared" si="171"/>
        <v>-25.543173913043475</v>
      </c>
      <c r="AB1148" s="339">
        <f t="shared" si="172"/>
        <v>-0.36033531116323991</v>
      </c>
    </row>
    <row r="1149" spans="2:28" ht="20.100000000000001" customHeight="1">
      <c r="B1149" s="172">
        <v>1427200</v>
      </c>
      <c r="C1149" s="174">
        <v>44503</v>
      </c>
      <c r="D1149" s="181" t="s">
        <v>277</v>
      </c>
      <c r="E1149" s="173" t="s">
        <v>33</v>
      </c>
      <c r="F1149" s="176">
        <v>59.959696969696971</v>
      </c>
      <c r="G1149" s="175">
        <f t="shared" si="163"/>
        <v>1</v>
      </c>
      <c r="H1149" s="175">
        <f t="shared" si="164"/>
        <v>59.959696969696971</v>
      </c>
      <c r="I1149" s="177">
        <f>IF(G1149=0,0,IF(E1149="MXN",1/HLOOKUP(YEAR(C1149)+(MONTH(C1149)/100),TC!$5:$37,DAY(C1149)+2,FALSE),VLOOKUP(E1149,Equivalencia!$5:$23,((MAX(Equivalencia!$3:$3)-YEAR(C1149))*14)+MONTH(C1149)+2,FALSE)))</f>
        <v>1</v>
      </c>
      <c r="J1149" s="178">
        <f t="shared" si="165"/>
        <v>59.959696969696971</v>
      </c>
      <c r="K1149" s="462">
        <f>IF(C1149=0,0,VLOOKUP(YEAR(C1149),INPC!$B$4:$O$29,MONTH(C1149)+1))</f>
        <v>116.884</v>
      </c>
      <c r="L1149" s="462">
        <f>IF(S1149=0,0,VLOOKUP(YEAR(S1149),INPC!$B$4:$O$29,MONTH(S1149)+1))</f>
        <v>126.47799999999999</v>
      </c>
      <c r="M1149" s="463">
        <f t="shared" si="166"/>
        <v>1.0820000000000001</v>
      </c>
      <c r="N1149" s="465">
        <f t="shared" si="167"/>
        <v>64.87639212121212</v>
      </c>
      <c r="O1149" s="179"/>
      <c r="P1149" s="180">
        <v>1</v>
      </c>
      <c r="Q1149" s="173" t="s">
        <v>583</v>
      </c>
      <c r="R1149" s="173" t="s">
        <v>230</v>
      </c>
      <c r="S1149" s="174">
        <v>44909</v>
      </c>
      <c r="T1149" s="173" t="s">
        <v>33</v>
      </c>
      <c r="U1149" s="182">
        <v>52.12</v>
      </c>
      <c r="V1149" s="177">
        <f>IF(U1149=0,0,IF(T1149="MXN",1/HLOOKUP(YEAR(S1149)+(MONTH(S1149)/100),TC!$5:$37,DAY(S1149)+2,FALSE),VLOOKUP(T1149,Equivalencia!$1:$23,((MAX(Equivalencia!$3:$3)-YEAR(S1149))*14)+MONTH(S1149)+2,FALSE)))</f>
        <v>1</v>
      </c>
      <c r="W1149" s="178">
        <f t="shared" si="168"/>
        <v>52.12</v>
      </c>
      <c r="X1149" s="481">
        <f t="shared" si="169"/>
        <v>-7.8396969696969734</v>
      </c>
      <c r="Y1149" s="179"/>
      <c r="Z1149" s="466">
        <f t="shared" si="170"/>
        <v>64.87639212121212</v>
      </c>
      <c r="AA1149" s="473">
        <f t="shared" si="171"/>
        <v>-12.756392121212123</v>
      </c>
      <c r="AB1149" s="339">
        <f t="shared" si="172"/>
        <v>-0.13074944280754253</v>
      </c>
    </row>
    <row r="1150" spans="2:28" ht="20.100000000000001" customHeight="1">
      <c r="B1150" s="172">
        <v>1427200</v>
      </c>
      <c r="C1150" s="174">
        <v>44503</v>
      </c>
      <c r="D1150" s="181" t="s">
        <v>277</v>
      </c>
      <c r="E1150" s="173" t="s">
        <v>33</v>
      </c>
      <c r="F1150" s="176">
        <v>59.959696969696971</v>
      </c>
      <c r="G1150" s="175">
        <f t="shared" si="163"/>
        <v>1</v>
      </c>
      <c r="H1150" s="175">
        <f t="shared" si="164"/>
        <v>59.959696969696971</v>
      </c>
      <c r="I1150" s="177">
        <f>IF(G1150=0,0,IF(E1150="MXN",1/HLOOKUP(YEAR(C1150)+(MONTH(C1150)/100),TC!$5:$37,DAY(C1150)+2,FALSE),VLOOKUP(E1150,Equivalencia!$5:$23,((MAX(Equivalencia!$3:$3)-YEAR(C1150))*14)+MONTH(C1150)+2,FALSE)))</f>
        <v>1</v>
      </c>
      <c r="J1150" s="178">
        <f t="shared" si="165"/>
        <v>59.959696969696971</v>
      </c>
      <c r="K1150" s="462">
        <f>IF(C1150=0,0,VLOOKUP(YEAR(C1150),INPC!$B$4:$O$29,MONTH(C1150)+1))</f>
        <v>116.884</v>
      </c>
      <c r="L1150" s="462">
        <f>IF(S1150=0,0,VLOOKUP(YEAR(S1150),INPC!$B$4:$O$29,MONTH(S1150)+1))</f>
        <v>126.47799999999999</v>
      </c>
      <c r="M1150" s="463">
        <f t="shared" si="166"/>
        <v>1.0820000000000001</v>
      </c>
      <c r="N1150" s="465">
        <f t="shared" si="167"/>
        <v>64.87639212121212</v>
      </c>
      <c r="O1150" s="179"/>
      <c r="P1150" s="180">
        <v>1</v>
      </c>
      <c r="Q1150" s="173" t="s">
        <v>583</v>
      </c>
      <c r="R1150" s="173" t="s">
        <v>230</v>
      </c>
      <c r="S1150" s="174">
        <v>44909</v>
      </c>
      <c r="T1150" s="173" t="s">
        <v>33</v>
      </c>
      <c r="U1150" s="182">
        <v>52.46</v>
      </c>
      <c r="V1150" s="177">
        <f>IF(U1150=0,0,IF(T1150="MXN",1/HLOOKUP(YEAR(S1150)+(MONTH(S1150)/100),TC!$5:$37,DAY(S1150)+2,FALSE),VLOOKUP(T1150,Equivalencia!$1:$23,((MAX(Equivalencia!$3:$3)-YEAR(S1150))*14)+MONTH(S1150)+2,FALSE)))</f>
        <v>1</v>
      </c>
      <c r="W1150" s="178">
        <f t="shared" si="168"/>
        <v>52.46</v>
      </c>
      <c r="X1150" s="481">
        <f t="shared" si="169"/>
        <v>-7.49969696969697</v>
      </c>
      <c r="Y1150" s="179"/>
      <c r="Z1150" s="466">
        <f t="shared" si="170"/>
        <v>64.87639212121212</v>
      </c>
      <c r="AA1150" s="473">
        <f t="shared" si="171"/>
        <v>-12.41639212121212</v>
      </c>
      <c r="AB1150" s="339">
        <f t="shared" si="172"/>
        <v>-0.12507896718502831</v>
      </c>
    </row>
    <row r="1151" spans="2:28" ht="20.100000000000001" customHeight="1">
      <c r="B1151" s="172">
        <v>1427200</v>
      </c>
      <c r="C1151" s="174">
        <v>44503</v>
      </c>
      <c r="D1151" s="181" t="s">
        <v>277</v>
      </c>
      <c r="E1151" s="173" t="s">
        <v>33</v>
      </c>
      <c r="F1151" s="176">
        <v>59.959696969696971</v>
      </c>
      <c r="G1151" s="175">
        <f t="shared" si="163"/>
        <v>1</v>
      </c>
      <c r="H1151" s="175">
        <f t="shared" si="164"/>
        <v>59.959696969696971</v>
      </c>
      <c r="I1151" s="177">
        <f>IF(G1151=0,0,IF(E1151="MXN",1/HLOOKUP(YEAR(C1151)+(MONTH(C1151)/100),TC!$5:$37,DAY(C1151)+2,FALSE),VLOOKUP(E1151,Equivalencia!$5:$23,((MAX(Equivalencia!$3:$3)-YEAR(C1151))*14)+MONTH(C1151)+2,FALSE)))</f>
        <v>1</v>
      </c>
      <c r="J1151" s="178">
        <f t="shared" si="165"/>
        <v>59.959696969696971</v>
      </c>
      <c r="K1151" s="462">
        <f>IF(C1151=0,0,VLOOKUP(YEAR(C1151),INPC!$B$4:$O$29,MONTH(C1151)+1))</f>
        <v>116.884</v>
      </c>
      <c r="L1151" s="462">
        <f>IF(S1151=0,0,VLOOKUP(YEAR(S1151),INPC!$B$4:$O$29,MONTH(S1151)+1))</f>
        <v>126.47799999999999</v>
      </c>
      <c r="M1151" s="463">
        <f t="shared" si="166"/>
        <v>1.0820000000000001</v>
      </c>
      <c r="N1151" s="465">
        <f t="shared" si="167"/>
        <v>64.87639212121212</v>
      </c>
      <c r="O1151" s="179"/>
      <c r="P1151" s="180">
        <v>1</v>
      </c>
      <c r="Q1151" s="173" t="s">
        <v>583</v>
      </c>
      <c r="R1151" s="173" t="s">
        <v>230</v>
      </c>
      <c r="S1151" s="174">
        <v>44909</v>
      </c>
      <c r="T1151" s="173" t="s">
        <v>33</v>
      </c>
      <c r="U1151" s="182">
        <v>52.46</v>
      </c>
      <c r="V1151" s="177">
        <f>IF(U1151=0,0,IF(T1151="MXN",1/HLOOKUP(YEAR(S1151)+(MONTH(S1151)/100),TC!$5:$37,DAY(S1151)+2,FALSE),VLOOKUP(T1151,Equivalencia!$1:$23,((MAX(Equivalencia!$3:$3)-YEAR(S1151))*14)+MONTH(S1151)+2,FALSE)))</f>
        <v>1</v>
      </c>
      <c r="W1151" s="178">
        <f t="shared" si="168"/>
        <v>52.46</v>
      </c>
      <c r="X1151" s="481">
        <f t="shared" si="169"/>
        <v>-7.49969696969697</v>
      </c>
      <c r="Y1151" s="179"/>
      <c r="Z1151" s="466">
        <f t="shared" si="170"/>
        <v>64.87639212121212</v>
      </c>
      <c r="AA1151" s="473">
        <f t="shared" si="171"/>
        <v>-12.41639212121212</v>
      </c>
      <c r="AB1151" s="339">
        <f t="shared" si="172"/>
        <v>-0.12507896718502831</v>
      </c>
    </row>
    <row r="1152" spans="2:28" ht="20.100000000000001" customHeight="1">
      <c r="B1152" s="172">
        <v>1427200</v>
      </c>
      <c r="C1152" s="174">
        <v>44503</v>
      </c>
      <c r="D1152" s="181" t="s">
        <v>277</v>
      </c>
      <c r="E1152" s="173" t="s">
        <v>33</v>
      </c>
      <c r="F1152" s="176">
        <v>59.959696969696971</v>
      </c>
      <c r="G1152" s="175">
        <f t="shared" si="163"/>
        <v>1</v>
      </c>
      <c r="H1152" s="175">
        <f t="shared" si="164"/>
        <v>59.959696969696971</v>
      </c>
      <c r="I1152" s="177">
        <f>IF(G1152=0,0,IF(E1152="MXN",1/HLOOKUP(YEAR(C1152)+(MONTH(C1152)/100),TC!$5:$37,DAY(C1152)+2,FALSE),VLOOKUP(E1152,Equivalencia!$5:$23,((MAX(Equivalencia!$3:$3)-YEAR(C1152))*14)+MONTH(C1152)+2,FALSE)))</f>
        <v>1</v>
      </c>
      <c r="J1152" s="178">
        <f t="shared" si="165"/>
        <v>59.959696969696971</v>
      </c>
      <c r="K1152" s="462">
        <f>IF(C1152=0,0,VLOOKUP(YEAR(C1152),INPC!$B$4:$O$29,MONTH(C1152)+1))</f>
        <v>116.884</v>
      </c>
      <c r="L1152" s="462">
        <f>IF(S1152=0,0,VLOOKUP(YEAR(S1152),INPC!$B$4:$O$29,MONTH(S1152)+1))</f>
        <v>126.47799999999999</v>
      </c>
      <c r="M1152" s="463">
        <f t="shared" si="166"/>
        <v>1.0820000000000001</v>
      </c>
      <c r="N1152" s="465">
        <f t="shared" si="167"/>
        <v>64.87639212121212</v>
      </c>
      <c r="O1152" s="179"/>
      <c r="P1152" s="180">
        <v>1</v>
      </c>
      <c r="Q1152" s="173" t="s">
        <v>583</v>
      </c>
      <c r="R1152" s="173" t="s">
        <v>230</v>
      </c>
      <c r="S1152" s="174">
        <v>44909</v>
      </c>
      <c r="T1152" s="173" t="s">
        <v>33</v>
      </c>
      <c r="U1152" s="182">
        <v>52.93</v>
      </c>
      <c r="V1152" s="177">
        <f>IF(U1152=0,0,IF(T1152="MXN",1/HLOOKUP(YEAR(S1152)+(MONTH(S1152)/100),TC!$5:$37,DAY(S1152)+2,FALSE),VLOOKUP(T1152,Equivalencia!$1:$23,((MAX(Equivalencia!$3:$3)-YEAR(S1152))*14)+MONTH(S1152)+2,FALSE)))</f>
        <v>1</v>
      </c>
      <c r="W1152" s="178">
        <f t="shared" si="168"/>
        <v>52.93</v>
      </c>
      <c r="X1152" s="481">
        <f t="shared" si="169"/>
        <v>-7.0296969696969711</v>
      </c>
      <c r="Y1152" s="179"/>
      <c r="Z1152" s="466">
        <f t="shared" si="170"/>
        <v>64.87639212121212</v>
      </c>
      <c r="AA1152" s="473">
        <f t="shared" si="171"/>
        <v>-11.946392121212121</v>
      </c>
      <c r="AB1152" s="339">
        <f t="shared" si="172"/>
        <v>-0.11724036853037645</v>
      </c>
    </row>
    <row r="1153" spans="2:28" ht="20.100000000000001" customHeight="1">
      <c r="B1153" s="172">
        <v>1427200</v>
      </c>
      <c r="C1153" s="174">
        <v>44503</v>
      </c>
      <c r="D1153" s="181" t="s">
        <v>277</v>
      </c>
      <c r="E1153" s="173" t="s">
        <v>33</v>
      </c>
      <c r="F1153" s="176">
        <v>419.71787878787882</v>
      </c>
      <c r="G1153" s="175">
        <f t="shared" si="163"/>
        <v>7</v>
      </c>
      <c r="H1153" s="175">
        <f t="shared" si="164"/>
        <v>419.71787878787882</v>
      </c>
      <c r="I1153" s="177">
        <f>IF(G1153=0,0,IF(E1153="MXN",1/HLOOKUP(YEAR(C1153)+(MONTH(C1153)/100),TC!$5:$37,DAY(C1153)+2,FALSE),VLOOKUP(E1153,Equivalencia!$5:$23,((MAX(Equivalencia!$3:$3)-YEAR(C1153))*14)+MONTH(C1153)+2,FALSE)))</f>
        <v>1</v>
      </c>
      <c r="J1153" s="178">
        <f t="shared" si="165"/>
        <v>419.71787878787882</v>
      </c>
      <c r="K1153" s="462">
        <f>IF(C1153=0,0,VLOOKUP(YEAR(C1153),INPC!$B$4:$O$29,MONTH(C1153)+1))</f>
        <v>116.884</v>
      </c>
      <c r="L1153" s="462">
        <f>IF(S1153=0,0,VLOOKUP(YEAR(S1153),INPC!$B$4:$O$29,MONTH(S1153)+1))</f>
        <v>126.47799999999999</v>
      </c>
      <c r="M1153" s="463">
        <f t="shared" si="166"/>
        <v>1.0820000000000001</v>
      </c>
      <c r="N1153" s="465">
        <f t="shared" si="167"/>
        <v>454.1347448484849</v>
      </c>
      <c r="O1153" s="179"/>
      <c r="P1153" s="180">
        <v>7</v>
      </c>
      <c r="Q1153" s="173" t="s">
        <v>583</v>
      </c>
      <c r="R1153" s="173" t="s">
        <v>230</v>
      </c>
      <c r="S1153" s="174">
        <v>44909</v>
      </c>
      <c r="T1153" s="173" t="s">
        <v>33</v>
      </c>
      <c r="U1153" s="182">
        <v>364.05</v>
      </c>
      <c r="V1153" s="177">
        <f>IF(U1153=0,0,IF(T1153="MXN",1/HLOOKUP(YEAR(S1153)+(MONTH(S1153)/100),TC!$5:$37,DAY(S1153)+2,FALSE),VLOOKUP(T1153,Equivalencia!$1:$23,((MAX(Equivalencia!$3:$3)-YEAR(S1153))*14)+MONTH(S1153)+2,FALSE)))</f>
        <v>1</v>
      </c>
      <c r="W1153" s="178">
        <f t="shared" si="168"/>
        <v>364.05</v>
      </c>
      <c r="X1153" s="481">
        <f t="shared" si="169"/>
        <v>-55.667878787878806</v>
      </c>
      <c r="Y1153" s="179"/>
      <c r="Z1153" s="466">
        <f t="shared" si="170"/>
        <v>454.1347448484849</v>
      </c>
      <c r="AA1153" s="473">
        <f t="shared" si="171"/>
        <v>-90.084744848484888</v>
      </c>
      <c r="AB1153" s="339">
        <f t="shared" si="172"/>
        <v>-0.13263165950577194</v>
      </c>
    </row>
    <row r="1154" spans="2:28" ht="20.100000000000001" customHeight="1">
      <c r="B1154" s="172">
        <v>1427200</v>
      </c>
      <c r="C1154" s="174">
        <v>44503</v>
      </c>
      <c r="D1154" s="181" t="s">
        <v>444</v>
      </c>
      <c r="E1154" s="173" t="s">
        <v>33</v>
      </c>
      <c r="F1154" s="176">
        <v>1444.4499999999998</v>
      </c>
      <c r="G1154" s="175">
        <f t="shared" si="163"/>
        <v>5</v>
      </c>
      <c r="H1154" s="175">
        <f t="shared" si="164"/>
        <v>1444.4499999999998</v>
      </c>
      <c r="I1154" s="177">
        <f>IF(G1154=0,0,IF(E1154="MXN",1/HLOOKUP(YEAR(C1154)+(MONTH(C1154)/100),TC!$5:$37,DAY(C1154)+2,FALSE),VLOOKUP(E1154,Equivalencia!$5:$23,((MAX(Equivalencia!$3:$3)-YEAR(C1154))*14)+MONTH(C1154)+2,FALSE)))</f>
        <v>1</v>
      </c>
      <c r="J1154" s="178">
        <f t="shared" si="165"/>
        <v>1444.4499999999998</v>
      </c>
      <c r="K1154" s="462">
        <f>IF(C1154=0,0,VLOOKUP(YEAR(C1154),INPC!$B$4:$O$29,MONTH(C1154)+1))</f>
        <v>116.884</v>
      </c>
      <c r="L1154" s="462">
        <f>IF(S1154=0,0,VLOOKUP(YEAR(S1154),INPC!$B$4:$O$29,MONTH(S1154)+1))</f>
        <v>126.47799999999999</v>
      </c>
      <c r="M1154" s="463">
        <f t="shared" si="166"/>
        <v>1.0820000000000001</v>
      </c>
      <c r="N1154" s="465">
        <f t="shared" si="167"/>
        <v>1562.8949</v>
      </c>
      <c r="O1154" s="179"/>
      <c r="P1154" s="180">
        <v>5</v>
      </c>
      <c r="Q1154" s="173" t="s">
        <v>583</v>
      </c>
      <c r="R1154" s="173" t="s">
        <v>230</v>
      </c>
      <c r="S1154" s="174">
        <v>44909</v>
      </c>
      <c r="T1154" s="173" t="s">
        <v>33</v>
      </c>
      <c r="U1154" s="182">
        <v>899.67</v>
      </c>
      <c r="V1154" s="177">
        <f>IF(U1154=0,0,IF(T1154="MXN",1/HLOOKUP(YEAR(S1154)+(MONTH(S1154)/100),TC!$5:$37,DAY(S1154)+2,FALSE),VLOOKUP(T1154,Equivalencia!$1:$23,((MAX(Equivalencia!$3:$3)-YEAR(S1154))*14)+MONTH(S1154)+2,FALSE)))</f>
        <v>1</v>
      </c>
      <c r="W1154" s="178">
        <f t="shared" si="168"/>
        <v>899.67</v>
      </c>
      <c r="X1154" s="481">
        <f t="shared" si="169"/>
        <v>-544.77999999999986</v>
      </c>
      <c r="Y1154" s="179"/>
      <c r="Z1154" s="466">
        <f t="shared" si="170"/>
        <v>1562.8949</v>
      </c>
      <c r="AA1154" s="473">
        <f t="shared" si="171"/>
        <v>-663.22490000000005</v>
      </c>
      <c r="AB1154" s="339">
        <f t="shared" si="172"/>
        <v>-0.37715393402333064</v>
      </c>
    </row>
    <row r="1155" spans="2:28" ht="20.100000000000001" customHeight="1">
      <c r="B1155" s="172">
        <v>1427200</v>
      </c>
      <c r="C1155" s="174">
        <v>44503</v>
      </c>
      <c r="D1155" s="181" t="s">
        <v>444</v>
      </c>
      <c r="E1155" s="173" t="s">
        <v>33</v>
      </c>
      <c r="F1155" s="176">
        <v>1155.56</v>
      </c>
      <c r="G1155" s="175">
        <f t="shared" si="163"/>
        <v>4</v>
      </c>
      <c r="H1155" s="175">
        <f t="shared" si="164"/>
        <v>1155.56</v>
      </c>
      <c r="I1155" s="177">
        <f>IF(G1155=0,0,IF(E1155="MXN",1/HLOOKUP(YEAR(C1155)+(MONTH(C1155)/100),TC!$5:$37,DAY(C1155)+2,FALSE),VLOOKUP(E1155,Equivalencia!$5:$23,((MAX(Equivalencia!$3:$3)-YEAR(C1155))*14)+MONTH(C1155)+2,FALSE)))</f>
        <v>1</v>
      </c>
      <c r="J1155" s="178">
        <f t="shared" si="165"/>
        <v>1155.56</v>
      </c>
      <c r="K1155" s="462">
        <f>IF(C1155=0,0,VLOOKUP(YEAR(C1155),INPC!$B$4:$O$29,MONTH(C1155)+1))</f>
        <v>116.884</v>
      </c>
      <c r="L1155" s="462">
        <f>IF(S1155=0,0,VLOOKUP(YEAR(S1155),INPC!$B$4:$O$29,MONTH(S1155)+1))</f>
        <v>126.47799999999999</v>
      </c>
      <c r="M1155" s="463">
        <f t="shared" si="166"/>
        <v>1.0820000000000001</v>
      </c>
      <c r="N1155" s="465">
        <f t="shared" si="167"/>
        <v>1250.31592</v>
      </c>
      <c r="O1155" s="179"/>
      <c r="P1155" s="180">
        <v>4</v>
      </c>
      <c r="Q1155" s="173" t="s">
        <v>583</v>
      </c>
      <c r="R1155" s="173" t="s">
        <v>230</v>
      </c>
      <c r="S1155" s="174">
        <v>44915</v>
      </c>
      <c r="T1155" s="173" t="s">
        <v>33</v>
      </c>
      <c r="U1155" s="182">
        <v>688.59</v>
      </c>
      <c r="V1155" s="177">
        <f>IF(U1155=0,0,IF(T1155="MXN",1/HLOOKUP(YEAR(S1155)+(MONTH(S1155)/100),TC!$5:$37,DAY(S1155)+2,FALSE),VLOOKUP(T1155,Equivalencia!$1:$23,((MAX(Equivalencia!$3:$3)-YEAR(S1155))*14)+MONTH(S1155)+2,FALSE)))</f>
        <v>1</v>
      </c>
      <c r="W1155" s="178">
        <f t="shared" si="168"/>
        <v>688.59</v>
      </c>
      <c r="X1155" s="481">
        <f t="shared" si="169"/>
        <v>-466.96999999999991</v>
      </c>
      <c r="Y1155" s="179"/>
      <c r="Z1155" s="466">
        <f t="shared" si="170"/>
        <v>1250.31592</v>
      </c>
      <c r="AA1155" s="473">
        <f t="shared" si="171"/>
        <v>-561.72591999999997</v>
      </c>
      <c r="AB1155" s="339">
        <f t="shared" si="172"/>
        <v>-0.40410709958807844</v>
      </c>
    </row>
    <row r="1156" spans="2:28" ht="20.100000000000001" customHeight="1">
      <c r="B1156" s="172">
        <v>1427200</v>
      </c>
      <c r="C1156" s="174">
        <v>44503</v>
      </c>
      <c r="D1156" s="181" t="s">
        <v>444</v>
      </c>
      <c r="E1156" s="173" t="s">
        <v>33</v>
      </c>
      <c r="F1156" s="176">
        <v>1155.56</v>
      </c>
      <c r="G1156" s="175">
        <f t="shared" si="163"/>
        <v>4</v>
      </c>
      <c r="H1156" s="175">
        <f t="shared" si="164"/>
        <v>1155.56</v>
      </c>
      <c r="I1156" s="177">
        <f>IF(G1156=0,0,IF(E1156="MXN",1/HLOOKUP(YEAR(C1156)+(MONTH(C1156)/100),TC!$5:$37,DAY(C1156)+2,FALSE),VLOOKUP(E1156,Equivalencia!$5:$23,((MAX(Equivalencia!$3:$3)-YEAR(C1156))*14)+MONTH(C1156)+2,FALSE)))</f>
        <v>1</v>
      </c>
      <c r="J1156" s="178">
        <f t="shared" si="165"/>
        <v>1155.56</v>
      </c>
      <c r="K1156" s="462">
        <f>IF(C1156=0,0,VLOOKUP(YEAR(C1156),INPC!$B$4:$O$29,MONTH(C1156)+1))</f>
        <v>116.884</v>
      </c>
      <c r="L1156" s="462">
        <f>IF(S1156=0,0,VLOOKUP(YEAR(S1156),INPC!$B$4:$O$29,MONTH(S1156)+1))</f>
        <v>126.47799999999999</v>
      </c>
      <c r="M1156" s="463">
        <f t="shared" si="166"/>
        <v>1.0820000000000001</v>
      </c>
      <c r="N1156" s="465">
        <f t="shared" si="167"/>
        <v>1250.31592</v>
      </c>
      <c r="O1156" s="179"/>
      <c r="P1156" s="180">
        <v>4</v>
      </c>
      <c r="Q1156" s="173" t="s">
        <v>583</v>
      </c>
      <c r="R1156" s="173" t="s">
        <v>230</v>
      </c>
      <c r="S1156" s="174">
        <v>44915</v>
      </c>
      <c r="T1156" s="173" t="s">
        <v>33</v>
      </c>
      <c r="U1156" s="182">
        <v>684.81</v>
      </c>
      <c r="V1156" s="177">
        <f>IF(U1156=0,0,IF(T1156="MXN",1/HLOOKUP(YEAR(S1156)+(MONTH(S1156)/100),TC!$5:$37,DAY(S1156)+2,FALSE),VLOOKUP(T1156,Equivalencia!$1:$23,((MAX(Equivalencia!$3:$3)-YEAR(S1156))*14)+MONTH(S1156)+2,FALSE)))</f>
        <v>1</v>
      </c>
      <c r="W1156" s="178">
        <f t="shared" si="168"/>
        <v>684.81</v>
      </c>
      <c r="X1156" s="481">
        <f t="shared" si="169"/>
        <v>-470.75</v>
      </c>
      <c r="Y1156" s="179"/>
      <c r="Z1156" s="466">
        <f t="shared" si="170"/>
        <v>1250.31592</v>
      </c>
      <c r="AA1156" s="473">
        <f t="shared" si="171"/>
        <v>-565.50592000000006</v>
      </c>
      <c r="AB1156" s="339">
        <f t="shared" si="172"/>
        <v>-0.40737824085291985</v>
      </c>
    </row>
    <row r="1157" spans="2:28" ht="20.100000000000001" customHeight="1">
      <c r="B1157" s="172">
        <v>1427200</v>
      </c>
      <c r="C1157" s="174">
        <v>44847</v>
      </c>
      <c r="D1157" s="181" t="s">
        <v>401</v>
      </c>
      <c r="E1157" s="173" t="s">
        <v>33</v>
      </c>
      <c r="F1157" s="176">
        <v>47.61</v>
      </c>
      <c r="G1157" s="175">
        <f t="shared" si="163"/>
        <v>1</v>
      </c>
      <c r="H1157" s="175">
        <f t="shared" si="164"/>
        <v>47.61</v>
      </c>
      <c r="I1157" s="177">
        <f>IF(G1157=0,0,IF(E1157="MXN",1/HLOOKUP(YEAR(C1157)+(MONTH(C1157)/100),TC!$5:$37,DAY(C1157)+2,FALSE),VLOOKUP(E1157,Equivalencia!$5:$23,((MAX(Equivalencia!$3:$3)-YEAR(C1157))*14)+MONTH(C1157)+2,FALSE)))</f>
        <v>1</v>
      </c>
      <c r="J1157" s="178">
        <f t="shared" si="165"/>
        <v>47.61</v>
      </c>
      <c r="K1157" s="462">
        <f>IF(C1157=0,0,VLOOKUP(YEAR(C1157),INPC!$B$4:$O$29,MONTH(C1157)+1))</f>
        <v>125.276</v>
      </c>
      <c r="L1157" s="462">
        <f>IF(S1157=0,0,VLOOKUP(YEAR(S1157),INPC!$B$4:$O$29,MONTH(S1157)+1))</f>
        <v>126.47799999999999</v>
      </c>
      <c r="M1157" s="463">
        <f t="shared" si="166"/>
        <v>1.0095000000000001</v>
      </c>
      <c r="N1157" s="465">
        <f t="shared" si="167"/>
        <v>48.062295000000006</v>
      </c>
      <c r="O1157" s="179"/>
      <c r="P1157" s="180">
        <v>1</v>
      </c>
      <c r="Q1157" s="173" t="s">
        <v>583</v>
      </c>
      <c r="R1157" s="173" t="s">
        <v>230</v>
      </c>
      <c r="S1157" s="174">
        <v>44914</v>
      </c>
      <c r="T1157" s="173" t="s">
        <v>33</v>
      </c>
      <c r="U1157" s="182">
        <v>45.191212121212118</v>
      </c>
      <c r="V1157" s="177">
        <f>IF(U1157=0,0,IF(T1157="MXN",1/HLOOKUP(YEAR(S1157)+(MONTH(S1157)/100),TC!$5:$37,DAY(S1157)+2,FALSE),VLOOKUP(T1157,Equivalencia!$1:$23,((MAX(Equivalencia!$3:$3)-YEAR(S1157))*14)+MONTH(S1157)+2,FALSE)))</f>
        <v>1</v>
      </c>
      <c r="W1157" s="178">
        <f t="shared" si="168"/>
        <v>45.191212121212118</v>
      </c>
      <c r="X1157" s="481">
        <f t="shared" si="169"/>
        <v>-2.4187878787878816</v>
      </c>
      <c r="Y1157" s="179"/>
      <c r="Z1157" s="466">
        <f t="shared" si="170"/>
        <v>48.062295000000006</v>
      </c>
      <c r="AA1157" s="473">
        <f t="shared" si="171"/>
        <v>-2.8710828787878881</v>
      </c>
      <c r="AB1157" s="339">
        <f t="shared" si="172"/>
        <v>-5.0804198252213384E-2</v>
      </c>
    </row>
    <row r="1158" spans="2:28" ht="20.100000000000001" customHeight="1">
      <c r="B1158" s="172">
        <v>1427200</v>
      </c>
      <c r="C1158" s="174">
        <v>44847</v>
      </c>
      <c r="D1158" s="181" t="s">
        <v>401</v>
      </c>
      <c r="E1158" s="173" t="s">
        <v>33</v>
      </c>
      <c r="F1158" s="176">
        <v>433.02</v>
      </c>
      <c r="G1158" s="175">
        <f t="shared" si="163"/>
        <v>9</v>
      </c>
      <c r="H1158" s="175">
        <f t="shared" si="164"/>
        <v>433.02</v>
      </c>
      <c r="I1158" s="177">
        <f>IF(G1158=0,0,IF(E1158="MXN",1/HLOOKUP(YEAR(C1158)+(MONTH(C1158)/100),TC!$5:$37,DAY(C1158)+2,FALSE),VLOOKUP(E1158,Equivalencia!$5:$23,((MAX(Equivalencia!$3:$3)-YEAR(C1158))*14)+MONTH(C1158)+2,FALSE)))</f>
        <v>1</v>
      </c>
      <c r="J1158" s="178">
        <f t="shared" si="165"/>
        <v>433.02</v>
      </c>
      <c r="K1158" s="462">
        <f>IF(C1158=0,0,VLOOKUP(YEAR(C1158),INPC!$B$4:$O$29,MONTH(C1158)+1))</f>
        <v>125.276</v>
      </c>
      <c r="L1158" s="462">
        <f>IF(S1158=0,0,VLOOKUP(YEAR(S1158),INPC!$B$4:$O$29,MONTH(S1158)+1))</f>
        <v>126.47799999999999</v>
      </c>
      <c r="M1158" s="463">
        <f t="shared" si="166"/>
        <v>1.0095000000000001</v>
      </c>
      <c r="N1158" s="465">
        <f t="shared" si="167"/>
        <v>437.13369</v>
      </c>
      <c r="O1158" s="179"/>
      <c r="P1158" s="180">
        <v>9</v>
      </c>
      <c r="Q1158" s="173" t="s">
        <v>583</v>
      </c>
      <c r="R1158" s="173" t="s">
        <v>230</v>
      </c>
      <c r="S1158" s="174">
        <v>44914</v>
      </c>
      <c r="T1158" s="173" t="s">
        <v>33</v>
      </c>
      <c r="U1158" s="182">
        <v>406.72090909090906</v>
      </c>
      <c r="V1158" s="177">
        <f>IF(U1158=0,0,IF(T1158="MXN",1/HLOOKUP(YEAR(S1158)+(MONTH(S1158)/100),TC!$5:$37,DAY(S1158)+2,FALSE),VLOOKUP(T1158,Equivalencia!$1:$23,((MAX(Equivalencia!$3:$3)-YEAR(S1158))*14)+MONTH(S1158)+2,FALSE)))</f>
        <v>1</v>
      </c>
      <c r="W1158" s="178">
        <f t="shared" si="168"/>
        <v>406.72090909090906</v>
      </c>
      <c r="X1158" s="481">
        <f t="shared" si="169"/>
        <v>-26.299090909090921</v>
      </c>
      <c r="Y1158" s="179"/>
      <c r="Z1158" s="466">
        <f t="shared" si="170"/>
        <v>437.13369</v>
      </c>
      <c r="AA1158" s="473">
        <f t="shared" si="171"/>
        <v>-30.412780909090941</v>
      </c>
      <c r="AB1158" s="339">
        <f t="shared" si="172"/>
        <v>-6.0734125234610192E-2</v>
      </c>
    </row>
    <row r="1159" spans="2:28" ht="20.100000000000001" customHeight="1">
      <c r="B1159" s="172">
        <v>1427200</v>
      </c>
      <c r="C1159" s="174">
        <v>44848</v>
      </c>
      <c r="D1159" s="181" t="s">
        <v>401</v>
      </c>
      <c r="E1159" s="173" t="s">
        <v>33</v>
      </c>
      <c r="F1159" s="176">
        <v>43.55</v>
      </c>
      <c r="G1159" s="175">
        <f t="shared" si="163"/>
        <v>1</v>
      </c>
      <c r="H1159" s="175">
        <f t="shared" si="164"/>
        <v>43.55</v>
      </c>
      <c r="I1159" s="177">
        <f>IF(G1159=0,0,IF(E1159="MXN",1/HLOOKUP(YEAR(C1159)+(MONTH(C1159)/100),TC!$5:$37,DAY(C1159)+2,FALSE),VLOOKUP(E1159,Equivalencia!$5:$23,((MAX(Equivalencia!$3:$3)-YEAR(C1159))*14)+MONTH(C1159)+2,FALSE)))</f>
        <v>1</v>
      </c>
      <c r="J1159" s="178">
        <f t="shared" si="165"/>
        <v>43.55</v>
      </c>
      <c r="K1159" s="462">
        <f>IF(C1159=0,0,VLOOKUP(YEAR(C1159),INPC!$B$4:$O$29,MONTH(C1159)+1))</f>
        <v>125.276</v>
      </c>
      <c r="L1159" s="462">
        <f>IF(S1159=0,0,VLOOKUP(YEAR(S1159),INPC!$B$4:$O$29,MONTH(S1159)+1))</f>
        <v>126.47799999999999</v>
      </c>
      <c r="M1159" s="463">
        <f t="shared" si="166"/>
        <v>1.0095000000000001</v>
      </c>
      <c r="N1159" s="465">
        <f t="shared" si="167"/>
        <v>43.963724999999997</v>
      </c>
      <c r="O1159" s="179"/>
      <c r="P1159" s="180">
        <v>1</v>
      </c>
      <c r="Q1159" s="173" t="s">
        <v>583</v>
      </c>
      <c r="R1159" s="173" t="s">
        <v>230</v>
      </c>
      <c r="S1159" s="174">
        <v>44914</v>
      </c>
      <c r="T1159" s="173" t="s">
        <v>33</v>
      </c>
      <c r="U1159" s="182">
        <v>45.191212121212118</v>
      </c>
      <c r="V1159" s="177">
        <f>IF(U1159=0,0,IF(T1159="MXN",1/HLOOKUP(YEAR(S1159)+(MONTH(S1159)/100),TC!$5:$37,DAY(S1159)+2,FALSE),VLOOKUP(T1159,Equivalencia!$1:$23,((MAX(Equivalencia!$3:$3)-YEAR(S1159))*14)+MONTH(S1159)+2,FALSE)))</f>
        <v>1</v>
      </c>
      <c r="W1159" s="178">
        <f t="shared" si="168"/>
        <v>45.191212121212118</v>
      </c>
      <c r="X1159" s="481">
        <f t="shared" si="169"/>
        <v>1.6412121212121207</v>
      </c>
      <c r="Y1159" s="179"/>
      <c r="Z1159" s="466">
        <f t="shared" si="170"/>
        <v>43.963724999999997</v>
      </c>
      <c r="AA1159" s="473">
        <f t="shared" si="171"/>
        <v>1.2274871212121212</v>
      </c>
      <c r="AB1159" s="339">
        <f t="shared" si="172"/>
        <v>3.7685697387189965E-2</v>
      </c>
    </row>
    <row r="1160" spans="2:28" ht="20.100000000000001" customHeight="1">
      <c r="B1160" s="172">
        <v>1427200</v>
      </c>
      <c r="C1160" s="174">
        <v>44848</v>
      </c>
      <c r="D1160" s="181" t="s">
        <v>401</v>
      </c>
      <c r="E1160" s="173" t="s">
        <v>33</v>
      </c>
      <c r="F1160" s="176">
        <v>356.11</v>
      </c>
      <c r="G1160" s="175">
        <f t="shared" si="163"/>
        <v>8</v>
      </c>
      <c r="H1160" s="175">
        <f t="shared" si="164"/>
        <v>356.11</v>
      </c>
      <c r="I1160" s="177">
        <f>IF(G1160=0,0,IF(E1160="MXN",1/HLOOKUP(YEAR(C1160)+(MONTH(C1160)/100),TC!$5:$37,DAY(C1160)+2,FALSE),VLOOKUP(E1160,Equivalencia!$5:$23,((MAX(Equivalencia!$3:$3)-YEAR(C1160))*14)+MONTH(C1160)+2,FALSE)))</f>
        <v>1</v>
      </c>
      <c r="J1160" s="178">
        <f t="shared" si="165"/>
        <v>356.11</v>
      </c>
      <c r="K1160" s="462">
        <f>IF(C1160=0,0,VLOOKUP(YEAR(C1160),INPC!$B$4:$O$29,MONTH(C1160)+1))</f>
        <v>125.276</v>
      </c>
      <c r="L1160" s="462">
        <f>IF(S1160=0,0,VLOOKUP(YEAR(S1160),INPC!$B$4:$O$29,MONTH(S1160)+1))</f>
        <v>126.47799999999999</v>
      </c>
      <c r="M1160" s="463">
        <f t="shared" si="166"/>
        <v>1.0095000000000001</v>
      </c>
      <c r="N1160" s="465">
        <f t="shared" si="167"/>
        <v>359.49304500000005</v>
      </c>
      <c r="O1160" s="179"/>
      <c r="P1160" s="180">
        <v>8</v>
      </c>
      <c r="Q1160" s="173" t="s">
        <v>583</v>
      </c>
      <c r="R1160" s="173" t="s">
        <v>230</v>
      </c>
      <c r="S1160" s="174">
        <v>44914</v>
      </c>
      <c r="T1160" s="173" t="s">
        <v>33</v>
      </c>
      <c r="U1160" s="182">
        <v>361.52969696969694</v>
      </c>
      <c r="V1160" s="177">
        <f>IF(U1160=0,0,IF(T1160="MXN",1/HLOOKUP(YEAR(S1160)+(MONTH(S1160)/100),TC!$5:$37,DAY(S1160)+2,FALSE),VLOOKUP(T1160,Equivalencia!$1:$23,((MAX(Equivalencia!$3:$3)-YEAR(S1160))*14)+MONTH(S1160)+2,FALSE)))</f>
        <v>1</v>
      </c>
      <c r="W1160" s="178">
        <f t="shared" si="168"/>
        <v>361.52969696969694</v>
      </c>
      <c r="X1160" s="481">
        <f t="shared" si="169"/>
        <v>5.419696969696929</v>
      </c>
      <c r="Y1160" s="179"/>
      <c r="Z1160" s="466">
        <f t="shared" si="170"/>
        <v>359.49304500000005</v>
      </c>
      <c r="AA1160" s="473">
        <f t="shared" si="171"/>
        <v>2.0366519696968908</v>
      </c>
      <c r="AB1160" s="339">
        <f t="shared" si="172"/>
        <v>1.5219165341318508E-2</v>
      </c>
    </row>
    <row r="1161" spans="2:28" ht="20.100000000000001" customHeight="1">
      <c r="B1161" s="172">
        <v>1427200</v>
      </c>
      <c r="C1161" s="174">
        <v>44848</v>
      </c>
      <c r="D1161" s="181" t="s">
        <v>401</v>
      </c>
      <c r="E1161" s="173" t="s">
        <v>33</v>
      </c>
      <c r="F1161" s="176">
        <v>426.9</v>
      </c>
      <c r="G1161" s="175">
        <f t="shared" si="163"/>
        <v>10</v>
      </c>
      <c r="H1161" s="175">
        <f t="shared" si="164"/>
        <v>426.9</v>
      </c>
      <c r="I1161" s="177">
        <f>IF(G1161=0,0,IF(E1161="MXN",1/HLOOKUP(YEAR(C1161)+(MONTH(C1161)/100),TC!$5:$37,DAY(C1161)+2,FALSE),VLOOKUP(E1161,Equivalencia!$5:$23,((MAX(Equivalencia!$3:$3)-YEAR(C1161))*14)+MONTH(C1161)+2,FALSE)))</f>
        <v>1</v>
      </c>
      <c r="J1161" s="178">
        <f t="shared" si="165"/>
        <v>426.9</v>
      </c>
      <c r="K1161" s="462">
        <f>IF(C1161=0,0,VLOOKUP(YEAR(C1161),INPC!$B$4:$O$29,MONTH(C1161)+1))</f>
        <v>125.276</v>
      </c>
      <c r="L1161" s="462">
        <f>IF(S1161=0,0,VLOOKUP(YEAR(S1161),INPC!$B$4:$O$29,MONTH(S1161)+1))</f>
        <v>126.47799999999999</v>
      </c>
      <c r="M1161" s="463">
        <f t="shared" si="166"/>
        <v>1.0095000000000001</v>
      </c>
      <c r="N1161" s="465">
        <f t="shared" si="167"/>
        <v>430.95555000000002</v>
      </c>
      <c r="O1161" s="179"/>
      <c r="P1161" s="180">
        <v>10</v>
      </c>
      <c r="Q1161" s="173" t="s">
        <v>583</v>
      </c>
      <c r="R1161" s="173" t="s">
        <v>230</v>
      </c>
      <c r="S1161" s="174">
        <v>44914</v>
      </c>
      <c r="T1161" s="173" t="s">
        <v>33</v>
      </c>
      <c r="U1161" s="182">
        <v>451.91212121212118</v>
      </c>
      <c r="V1161" s="177">
        <f>IF(U1161=0,0,IF(T1161="MXN",1/HLOOKUP(YEAR(S1161)+(MONTH(S1161)/100),TC!$5:$37,DAY(S1161)+2,FALSE),VLOOKUP(T1161,Equivalencia!$1:$23,((MAX(Equivalencia!$3:$3)-YEAR(S1161))*14)+MONTH(S1161)+2,FALSE)))</f>
        <v>1</v>
      </c>
      <c r="W1161" s="178">
        <f t="shared" si="168"/>
        <v>451.91212121212118</v>
      </c>
      <c r="X1161" s="481">
        <f t="shared" si="169"/>
        <v>25.012121212121201</v>
      </c>
      <c r="Y1161" s="179"/>
      <c r="Z1161" s="466">
        <f t="shared" si="170"/>
        <v>430.95555000000002</v>
      </c>
      <c r="AA1161" s="473">
        <f t="shared" si="171"/>
        <v>20.956571212121162</v>
      </c>
      <c r="AB1161" s="339">
        <f t="shared" si="172"/>
        <v>5.8590117620335391E-2</v>
      </c>
    </row>
    <row r="1162" spans="2:28" ht="20.100000000000001" customHeight="1">
      <c r="B1162" s="172">
        <v>1427200</v>
      </c>
      <c r="C1162" s="174">
        <v>44851</v>
      </c>
      <c r="D1162" s="181" t="s">
        <v>401</v>
      </c>
      <c r="E1162" s="173" t="s">
        <v>33</v>
      </c>
      <c r="F1162" s="176">
        <v>182.29333333333335</v>
      </c>
      <c r="G1162" s="175">
        <f t="shared" si="163"/>
        <v>4</v>
      </c>
      <c r="H1162" s="175">
        <f t="shared" si="164"/>
        <v>182.29333333333335</v>
      </c>
      <c r="I1162" s="177">
        <f>IF(G1162=0,0,IF(E1162="MXN",1/HLOOKUP(YEAR(C1162)+(MONTH(C1162)/100),TC!$5:$37,DAY(C1162)+2,FALSE),VLOOKUP(E1162,Equivalencia!$5:$23,((MAX(Equivalencia!$3:$3)-YEAR(C1162))*14)+MONTH(C1162)+2,FALSE)))</f>
        <v>1</v>
      </c>
      <c r="J1162" s="178">
        <f t="shared" si="165"/>
        <v>182.29333333333335</v>
      </c>
      <c r="K1162" s="462">
        <f>IF(C1162=0,0,VLOOKUP(YEAR(C1162),INPC!$B$4:$O$29,MONTH(C1162)+1))</f>
        <v>125.276</v>
      </c>
      <c r="L1162" s="462">
        <f>IF(S1162=0,0,VLOOKUP(YEAR(S1162),INPC!$B$4:$O$29,MONTH(S1162)+1))</f>
        <v>126.47799999999999</v>
      </c>
      <c r="M1162" s="463">
        <f t="shared" si="166"/>
        <v>1.0095000000000001</v>
      </c>
      <c r="N1162" s="465">
        <f t="shared" si="167"/>
        <v>184.02512000000002</v>
      </c>
      <c r="O1162" s="179"/>
      <c r="P1162" s="180">
        <v>4</v>
      </c>
      <c r="Q1162" s="173" t="s">
        <v>583</v>
      </c>
      <c r="R1162" s="173" t="s">
        <v>230</v>
      </c>
      <c r="S1162" s="174">
        <v>44914</v>
      </c>
      <c r="T1162" s="173" t="s">
        <v>33</v>
      </c>
      <c r="U1162" s="182">
        <v>180.76484848484847</v>
      </c>
      <c r="V1162" s="177">
        <f>IF(U1162=0,0,IF(T1162="MXN",1/HLOOKUP(YEAR(S1162)+(MONTH(S1162)/100),TC!$5:$37,DAY(S1162)+2,FALSE),VLOOKUP(T1162,Equivalencia!$1:$23,((MAX(Equivalencia!$3:$3)-YEAR(S1162))*14)+MONTH(S1162)+2,FALSE)))</f>
        <v>1</v>
      </c>
      <c r="W1162" s="178">
        <f t="shared" si="168"/>
        <v>180.76484848484847</v>
      </c>
      <c r="X1162" s="481">
        <f t="shared" si="169"/>
        <v>-1.5284848484848794</v>
      </c>
      <c r="Y1162" s="179"/>
      <c r="Z1162" s="466">
        <f t="shared" si="170"/>
        <v>184.02512000000002</v>
      </c>
      <c r="AA1162" s="473">
        <f t="shared" si="171"/>
        <v>-3.260271515151544</v>
      </c>
      <c r="AB1162" s="339">
        <f t="shared" si="172"/>
        <v>-8.3847545082187391E-3</v>
      </c>
    </row>
    <row r="1163" spans="2:28" ht="20.100000000000001" customHeight="1">
      <c r="B1163" s="172">
        <v>1427200</v>
      </c>
      <c r="C1163" s="174">
        <v>44851</v>
      </c>
      <c r="D1163" s="181" t="s">
        <v>401</v>
      </c>
      <c r="E1163" s="173" t="s">
        <v>33</v>
      </c>
      <c r="F1163" s="176">
        <v>182.29333333333335</v>
      </c>
      <c r="G1163" s="175">
        <f t="shared" si="163"/>
        <v>4</v>
      </c>
      <c r="H1163" s="175">
        <f t="shared" si="164"/>
        <v>182.29333333333335</v>
      </c>
      <c r="I1163" s="177">
        <f>IF(G1163=0,0,IF(E1163="MXN",1/HLOOKUP(YEAR(C1163)+(MONTH(C1163)/100),TC!$5:$37,DAY(C1163)+2,FALSE),VLOOKUP(E1163,Equivalencia!$5:$23,((MAX(Equivalencia!$3:$3)-YEAR(C1163))*14)+MONTH(C1163)+2,FALSE)))</f>
        <v>1</v>
      </c>
      <c r="J1163" s="178">
        <f t="shared" si="165"/>
        <v>182.29333333333335</v>
      </c>
      <c r="K1163" s="462">
        <f>IF(C1163=0,0,VLOOKUP(YEAR(C1163),INPC!$B$4:$O$29,MONTH(C1163)+1))</f>
        <v>125.276</v>
      </c>
      <c r="L1163" s="462">
        <f>IF(S1163=0,0,VLOOKUP(YEAR(S1163),INPC!$B$4:$O$29,MONTH(S1163)+1))</f>
        <v>126.47799999999999</v>
      </c>
      <c r="M1163" s="463">
        <f t="shared" si="166"/>
        <v>1.0095000000000001</v>
      </c>
      <c r="N1163" s="465">
        <f t="shared" si="167"/>
        <v>184.02512000000002</v>
      </c>
      <c r="O1163" s="179"/>
      <c r="P1163" s="180">
        <v>4</v>
      </c>
      <c r="Q1163" s="173" t="s">
        <v>583</v>
      </c>
      <c r="R1163" s="173" t="s">
        <v>230</v>
      </c>
      <c r="S1163" s="174">
        <v>44914</v>
      </c>
      <c r="T1163" s="173" t="s">
        <v>33</v>
      </c>
      <c r="U1163" s="182">
        <v>189.35</v>
      </c>
      <c r="V1163" s="177">
        <f>IF(U1163=0,0,IF(T1163="MXN",1/HLOOKUP(YEAR(S1163)+(MONTH(S1163)/100),TC!$5:$37,DAY(S1163)+2,FALSE),VLOOKUP(T1163,Equivalencia!$1:$23,((MAX(Equivalencia!$3:$3)-YEAR(S1163))*14)+MONTH(S1163)+2,FALSE)))</f>
        <v>1</v>
      </c>
      <c r="W1163" s="178">
        <f t="shared" si="168"/>
        <v>189.35</v>
      </c>
      <c r="X1163" s="481">
        <f t="shared" si="169"/>
        <v>7.0566666666666436</v>
      </c>
      <c r="Y1163" s="179"/>
      <c r="Z1163" s="466">
        <f t="shared" si="170"/>
        <v>184.02512000000002</v>
      </c>
      <c r="AA1163" s="473">
        <f t="shared" si="171"/>
        <v>5.324879999999979</v>
      </c>
      <c r="AB1163" s="339">
        <f t="shared" si="172"/>
        <v>3.8710503218256198E-2</v>
      </c>
    </row>
    <row r="1164" spans="2:28" ht="20.100000000000001" customHeight="1">
      <c r="B1164" s="172">
        <v>1427200</v>
      </c>
      <c r="C1164" s="174">
        <v>44851</v>
      </c>
      <c r="D1164" s="181" t="s">
        <v>401</v>
      </c>
      <c r="E1164" s="173" t="s">
        <v>33</v>
      </c>
      <c r="F1164" s="176">
        <v>45.573333333333338</v>
      </c>
      <c r="G1164" s="175">
        <f t="shared" si="163"/>
        <v>1</v>
      </c>
      <c r="H1164" s="175">
        <f t="shared" si="164"/>
        <v>45.573333333333338</v>
      </c>
      <c r="I1164" s="177">
        <f>IF(G1164=0,0,IF(E1164="MXN",1/HLOOKUP(YEAR(C1164)+(MONTH(C1164)/100),TC!$5:$37,DAY(C1164)+2,FALSE),VLOOKUP(E1164,Equivalencia!$5:$23,((MAX(Equivalencia!$3:$3)-YEAR(C1164))*14)+MONTH(C1164)+2,FALSE)))</f>
        <v>1</v>
      </c>
      <c r="J1164" s="178">
        <f t="shared" si="165"/>
        <v>45.573333333333338</v>
      </c>
      <c r="K1164" s="462">
        <f>IF(C1164=0,0,VLOOKUP(YEAR(C1164),INPC!$B$4:$O$29,MONTH(C1164)+1))</f>
        <v>125.276</v>
      </c>
      <c r="L1164" s="462">
        <f>IF(S1164=0,0,VLOOKUP(YEAR(S1164),INPC!$B$4:$O$29,MONTH(S1164)+1))</f>
        <v>126.47799999999999</v>
      </c>
      <c r="M1164" s="463">
        <f t="shared" si="166"/>
        <v>1.0095000000000001</v>
      </c>
      <c r="N1164" s="465">
        <f t="shared" si="167"/>
        <v>46.006280000000004</v>
      </c>
      <c r="O1164" s="179"/>
      <c r="P1164" s="180">
        <v>1</v>
      </c>
      <c r="Q1164" s="173" t="s">
        <v>583</v>
      </c>
      <c r="R1164" s="173" t="s">
        <v>230</v>
      </c>
      <c r="S1164" s="174">
        <v>44915</v>
      </c>
      <c r="T1164" s="173" t="s">
        <v>33</v>
      </c>
      <c r="U1164" s="182">
        <v>45.49</v>
      </c>
      <c r="V1164" s="177">
        <f>IF(U1164=0,0,IF(T1164="MXN",1/HLOOKUP(YEAR(S1164)+(MONTH(S1164)/100),TC!$5:$37,DAY(S1164)+2,FALSE),VLOOKUP(T1164,Equivalencia!$1:$23,((MAX(Equivalencia!$3:$3)-YEAR(S1164))*14)+MONTH(S1164)+2,FALSE)))</f>
        <v>1</v>
      </c>
      <c r="W1164" s="178">
        <f t="shared" si="168"/>
        <v>45.49</v>
      </c>
      <c r="X1164" s="481">
        <f t="shared" si="169"/>
        <v>-8.3333333333335702E-2</v>
      </c>
      <c r="Y1164" s="179"/>
      <c r="Z1164" s="466">
        <f t="shared" si="170"/>
        <v>46.006280000000004</v>
      </c>
      <c r="AA1164" s="473">
        <f t="shared" si="171"/>
        <v>-0.51628000000000185</v>
      </c>
      <c r="AB1164" s="339">
        <f t="shared" si="172"/>
        <v>-1.8285547103570332E-3</v>
      </c>
    </row>
    <row r="1165" spans="2:28" ht="20.100000000000001" customHeight="1">
      <c r="B1165" s="172">
        <v>1427200</v>
      </c>
      <c r="C1165" s="174">
        <v>44855</v>
      </c>
      <c r="D1165" s="181" t="s">
        <v>401</v>
      </c>
      <c r="E1165" s="173" t="s">
        <v>33</v>
      </c>
      <c r="F1165" s="176">
        <v>46.657499999999999</v>
      </c>
      <c r="G1165" s="175">
        <f t="shared" si="163"/>
        <v>1</v>
      </c>
      <c r="H1165" s="175">
        <f t="shared" si="164"/>
        <v>46.657499999999999</v>
      </c>
      <c r="I1165" s="177">
        <f>IF(G1165=0,0,IF(E1165="MXN",1/HLOOKUP(YEAR(C1165)+(MONTH(C1165)/100),TC!$5:$37,DAY(C1165)+2,FALSE),VLOOKUP(E1165,Equivalencia!$5:$23,((MAX(Equivalencia!$3:$3)-YEAR(C1165))*14)+MONTH(C1165)+2,FALSE)))</f>
        <v>1</v>
      </c>
      <c r="J1165" s="178">
        <f t="shared" si="165"/>
        <v>46.657499999999999</v>
      </c>
      <c r="K1165" s="462">
        <f>IF(C1165=0,0,VLOOKUP(YEAR(C1165),INPC!$B$4:$O$29,MONTH(C1165)+1))</f>
        <v>125.276</v>
      </c>
      <c r="L1165" s="462">
        <f>IF(S1165=0,0,VLOOKUP(YEAR(S1165),INPC!$B$4:$O$29,MONTH(S1165)+1))</f>
        <v>126.47799999999999</v>
      </c>
      <c r="M1165" s="463">
        <f t="shared" si="166"/>
        <v>1.0095000000000001</v>
      </c>
      <c r="N1165" s="465">
        <f t="shared" si="167"/>
        <v>47.10074625</v>
      </c>
      <c r="O1165" s="179"/>
      <c r="P1165" s="180">
        <v>1</v>
      </c>
      <c r="Q1165" s="173" t="s">
        <v>583</v>
      </c>
      <c r="R1165" s="173" t="s">
        <v>230</v>
      </c>
      <c r="S1165" s="174">
        <v>44915</v>
      </c>
      <c r="T1165" s="173" t="s">
        <v>33</v>
      </c>
      <c r="U1165" s="182">
        <v>45.49</v>
      </c>
      <c r="V1165" s="177">
        <f>IF(U1165=0,0,IF(T1165="MXN",1/HLOOKUP(YEAR(S1165)+(MONTH(S1165)/100),TC!$5:$37,DAY(S1165)+2,FALSE),VLOOKUP(T1165,Equivalencia!$1:$23,((MAX(Equivalencia!$3:$3)-YEAR(S1165))*14)+MONTH(S1165)+2,FALSE)))</f>
        <v>1</v>
      </c>
      <c r="W1165" s="178">
        <f t="shared" si="168"/>
        <v>45.49</v>
      </c>
      <c r="X1165" s="481">
        <f t="shared" si="169"/>
        <v>-1.1674999999999969</v>
      </c>
      <c r="Y1165" s="179"/>
      <c r="Z1165" s="466">
        <f t="shared" si="170"/>
        <v>47.10074625</v>
      </c>
      <c r="AA1165" s="473">
        <f t="shared" si="171"/>
        <v>-1.6107462499999983</v>
      </c>
      <c r="AB1165" s="339">
        <f t="shared" si="172"/>
        <v>-2.5022772330279053E-2</v>
      </c>
    </row>
    <row r="1166" spans="2:28" ht="20.100000000000001" customHeight="1">
      <c r="B1166" s="172">
        <v>1427200</v>
      </c>
      <c r="C1166" s="174">
        <v>44855</v>
      </c>
      <c r="D1166" s="181" t="s">
        <v>401</v>
      </c>
      <c r="E1166" s="173" t="s">
        <v>33</v>
      </c>
      <c r="F1166" s="176">
        <v>326.60249999999996</v>
      </c>
      <c r="G1166" s="175">
        <f t="shared" si="163"/>
        <v>7</v>
      </c>
      <c r="H1166" s="175">
        <f t="shared" si="164"/>
        <v>326.60249999999996</v>
      </c>
      <c r="I1166" s="177">
        <f>IF(G1166=0,0,IF(E1166="MXN",1/HLOOKUP(YEAR(C1166)+(MONTH(C1166)/100),TC!$5:$37,DAY(C1166)+2,FALSE),VLOOKUP(E1166,Equivalencia!$5:$23,((MAX(Equivalencia!$3:$3)-YEAR(C1166))*14)+MONTH(C1166)+2,FALSE)))</f>
        <v>1</v>
      </c>
      <c r="J1166" s="178">
        <f t="shared" si="165"/>
        <v>326.60249999999996</v>
      </c>
      <c r="K1166" s="462">
        <f>IF(C1166=0,0,VLOOKUP(YEAR(C1166),INPC!$B$4:$O$29,MONTH(C1166)+1))</f>
        <v>125.276</v>
      </c>
      <c r="L1166" s="462">
        <f>IF(S1166=0,0,VLOOKUP(YEAR(S1166),INPC!$B$4:$O$29,MONTH(S1166)+1))</f>
        <v>126.47799999999999</v>
      </c>
      <c r="M1166" s="463">
        <f t="shared" si="166"/>
        <v>1.0095000000000001</v>
      </c>
      <c r="N1166" s="465">
        <f t="shared" si="167"/>
        <v>329.70522374999996</v>
      </c>
      <c r="O1166" s="179"/>
      <c r="P1166" s="180">
        <v>7</v>
      </c>
      <c r="Q1166" s="173" t="s">
        <v>583</v>
      </c>
      <c r="R1166" s="173" t="s">
        <v>230</v>
      </c>
      <c r="S1166" s="174">
        <v>44915</v>
      </c>
      <c r="T1166" s="173" t="s">
        <v>33</v>
      </c>
      <c r="U1166" s="182">
        <v>312.14</v>
      </c>
      <c r="V1166" s="177">
        <f>IF(U1166=0,0,IF(T1166="MXN",1/HLOOKUP(YEAR(S1166)+(MONTH(S1166)/100),TC!$5:$37,DAY(S1166)+2,FALSE),VLOOKUP(T1166,Equivalencia!$1:$23,((MAX(Equivalencia!$3:$3)-YEAR(S1166))*14)+MONTH(S1166)+2,FALSE)))</f>
        <v>1</v>
      </c>
      <c r="W1166" s="178">
        <f t="shared" si="168"/>
        <v>312.14</v>
      </c>
      <c r="X1166" s="481">
        <f t="shared" si="169"/>
        <v>-14.462499999999977</v>
      </c>
      <c r="Y1166" s="179"/>
      <c r="Z1166" s="466">
        <f t="shared" si="170"/>
        <v>329.70522374999996</v>
      </c>
      <c r="AA1166" s="473">
        <f t="shared" si="171"/>
        <v>-17.565223749999973</v>
      </c>
      <c r="AB1166" s="339">
        <f t="shared" si="172"/>
        <v>-4.4281657366370353E-2</v>
      </c>
    </row>
    <row r="1167" spans="2:28" ht="20.100000000000001" customHeight="1">
      <c r="B1167" s="172">
        <v>1427200</v>
      </c>
      <c r="C1167" s="174">
        <v>44698</v>
      </c>
      <c r="D1167" s="181" t="s">
        <v>404</v>
      </c>
      <c r="E1167" s="173" t="s">
        <v>33</v>
      </c>
      <c r="F1167" s="176">
        <v>499.94</v>
      </c>
      <c r="G1167" s="175">
        <f t="shared" si="163"/>
        <v>1</v>
      </c>
      <c r="H1167" s="175">
        <f t="shared" si="164"/>
        <v>499.94</v>
      </c>
      <c r="I1167" s="177">
        <f>IF(G1167=0,0,IF(E1167="MXN",1/HLOOKUP(YEAR(C1167)+(MONTH(C1167)/100),TC!$5:$37,DAY(C1167)+2,FALSE),VLOOKUP(E1167,Equivalencia!$5:$23,((MAX(Equivalencia!$3:$3)-YEAR(C1167))*14)+MONTH(C1167)+2,FALSE)))</f>
        <v>1</v>
      </c>
      <c r="J1167" s="178">
        <f t="shared" si="165"/>
        <v>499.94</v>
      </c>
      <c r="K1167" s="462">
        <f>IF(C1167=0,0,VLOOKUP(YEAR(C1167),INPC!$B$4:$O$29,MONTH(C1167)+1))</f>
        <v>121.02200000000001</v>
      </c>
      <c r="L1167" s="462">
        <f>IF(S1167=0,0,VLOOKUP(YEAR(S1167),INPC!$B$4:$O$29,MONTH(S1167)+1))</f>
        <v>126.47799999999999</v>
      </c>
      <c r="M1167" s="463">
        <f t="shared" si="166"/>
        <v>1.0449999999999999</v>
      </c>
      <c r="N1167" s="465">
        <f t="shared" si="167"/>
        <v>522.43729999999994</v>
      </c>
      <c r="O1167" s="179"/>
      <c r="P1167" s="180">
        <v>1</v>
      </c>
      <c r="Q1167" s="173" t="s">
        <v>583</v>
      </c>
      <c r="R1167" s="173" t="s">
        <v>230</v>
      </c>
      <c r="S1167" s="174">
        <v>44914</v>
      </c>
      <c r="T1167" s="173" t="s">
        <v>33</v>
      </c>
      <c r="U1167" s="182">
        <v>437.13</v>
      </c>
      <c r="V1167" s="177">
        <f>IF(U1167=0,0,IF(T1167="MXN",1/HLOOKUP(YEAR(S1167)+(MONTH(S1167)/100),TC!$5:$37,DAY(S1167)+2,FALSE),VLOOKUP(T1167,Equivalencia!$1:$23,((MAX(Equivalencia!$3:$3)-YEAR(S1167))*14)+MONTH(S1167)+2,FALSE)))</f>
        <v>1</v>
      </c>
      <c r="W1167" s="178">
        <f t="shared" si="168"/>
        <v>437.13</v>
      </c>
      <c r="X1167" s="481">
        <f t="shared" si="169"/>
        <v>-62.81</v>
      </c>
      <c r="Y1167" s="179"/>
      <c r="Z1167" s="466">
        <f t="shared" si="170"/>
        <v>522.43729999999994</v>
      </c>
      <c r="AA1167" s="473">
        <f t="shared" si="171"/>
        <v>-85.307299999999941</v>
      </c>
      <c r="AB1167" s="339">
        <f t="shared" si="172"/>
        <v>-0.12563507620914516</v>
      </c>
    </row>
    <row r="1168" spans="2:28" ht="20.100000000000001" customHeight="1">
      <c r="B1168" s="172">
        <v>1427200</v>
      </c>
      <c r="C1168" s="174">
        <v>44698</v>
      </c>
      <c r="D1168" s="181" t="s">
        <v>404</v>
      </c>
      <c r="E1168" s="173" t="s">
        <v>33</v>
      </c>
      <c r="F1168" s="176">
        <v>1019.1479999999999</v>
      </c>
      <c r="G1168" s="175">
        <f t="shared" si="163"/>
        <v>2</v>
      </c>
      <c r="H1168" s="175">
        <f t="shared" si="164"/>
        <v>1019.1479999999999</v>
      </c>
      <c r="I1168" s="177">
        <f>IF(G1168=0,0,IF(E1168="MXN",1/HLOOKUP(YEAR(C1168)+(MONTH(C1168)/100),TC!$5:$37,DAY(C1168)+2,FALSE),VLOOKUP(E1168,Equivalencia!$5:$23,((MAX(Equivalencia!$3:$3)-YEAR(C1168))*14)+MONTH(C1168)+2,FALSE)))</f>
        <v>1</v>
      </c>
      <c r="J1168" s="178">
        <f t="shared" si="165"/>
        <v>1019.1479999999999</v>
      </c>
      <c r="K1168" s="462">
        <f>IF(C1168=0,0,VLOOKUP(YEAR(C1168),INPC!$B$4:$O$29,MONTH(C1168)+1))</f>
        <v>121.02200000000001</v>
      </c>
      <c r="L1168" s="462">
        <f>IF(S1168=0,0,VLOOKUP(YEAR(S1168),INPC!$B$4:$O$29,MONTH(S1168)+1))</f>
        <v>126.47799999999999</v>
      </c>
      <c r="M1168" s="463">
        <f t="shared" si="166"/>
        <v>1.0449999999999999</v>
      </c>
      <c r="N1168" s="465">
        <f t="shared" si="167"/>
        <v>1065.0096599999999</v>
      </c>
      <c r="O1168" s="179"/>
      <c r="P1168" s="180">
        <v>2</v>
      </c>
      <c r="Q1168" s="173" t="s">
        <v>583</v>
      </c>
      <c r="R1168" s="173" t="s">
        <v>230</v>
      </c>
      <c r="S1168" s="174">
        <v>44914</v>
      </c>
      <c r="T1168" s="173" t="s">
        <v>33</v>
      </c>
      <c r="U1168" s="182">
        <v>878.81</v>
      </c>
      <c r="V1168" s="177">
        <f>IF(U1168=0,0,IF(T1168="MXN",1/HLOOKUP(YEAR(S1168)+(MONTH(S1168)/100),TC!$5:$37,DAY(S1168)+2,FALSE),VLOOKUP(T1168,Equivalencia!$1:$23,((MAX(Equivalencia!$3:$3)-YEAR(S1168))*14)+MONTH(S1168)+2,FALSE)))</f>
        <v>1</v>
      </c>
      <c r="W1168" s="178">
        <f t="shared" si="168"/>
        <v>878.81</v>
      </c>
      <c r="X1168" s="481">
        <f t="shared" si="169"/>
        <v>-140.33799999999997</v>
      </c>
      <c r="Y1168" s="179"/>
      <c r="Z1168" s="466">
        <f t="shared" si="170"/>
        <v>1065.0096599999999</v>
      </c>
      <c r="AA1168" s="473">
        <f t="shared" si="171"/>
        <v>-186.19965999999999</v>
      </c>
      <c r="AB1168" s="339">
        <f t="shared" si="172"/>
        <v>-0.13770129559200428</v>
      </c>
    </row>
    <row r="1169" spans="2:28" ht="20.100000000000001" customHeight="1">
      <c r="B1169" s="172">
        <v>1427200</v>
      </c>
      <c r="C1169" s="174">
        <v>44698</v>
      </c>
      <c r="D1169" s="181" t="s">
        <v>404</v>
      </c>
      <c r="E1169" s="173" t="s">
        <v>33</v>
      </c>
      <c r="F1169" s="176">
        <v>509.57399999999996</v>
      </c>
      <c r="G1169" s="175">
        <f t="shared" si="163"/>
        <v>1</v>
      </c>
      <c r="H1169" s="175">
        <f t="shared" si="164"/>
        <v>509.57399999999996</v>
      </c>
      <c r="I1169" s="177">
        <f>IF(G1169=0,0,IF(E1169="MXN",1/HLOOKUP(YEAR(C1169)+(MONTH(C1169)/100),TC!$5:$37,DAY(C1169)+2,FALSE),VLOOKUP(E1169,Equivalencia!$5:$23,((MAX(Equivalencia!$3:$3)-YEAR(C1169))*14)+MONTH(C1169)+2,FALSE)))</f>
        <v>1</v>
      </c>
      <c r="J1169" s="178">
        <f t="shared" si="165"/>
        <v>509.57399999999996</v>
      </c>
      <c r="K1169" s="462">
        <f>IF(C1169=0,0,VLOOKUP(YEAR(C1169),INPC!$B$4:$O$29,MONTH(C1169)+1))</f>
        <v>121.02200000000001</v>
      </c>
      <c r="L1169" s="462">
        <f>IF(S1169=0,0,VLOOKUP(YEAR(S1169),INPC!$B$4:$O$29,MONTH(S1169)+1))</f>
        <v>126.47799999999999</v>
      </c>
      <c r="M1169" s="463">
        <f t="shared" si="166"/>
        <v>1.0449999999999999</v>
      </c>
      <c r="N1169" s="465">
        <f t="shared" si="167"/>
        <v>532.50482999999997</v>
      </c>
      <c r="O1169" s="179"/>
      <c r="P1169" s="180">
        <v>1</v>
      </c>
      <c r="Q1169" s="173" t="s">
        <v>583</v>
      </c>
      <c r="R1169" s="173" t="s">
        <v>230</v>
      </c>
      <c r="S1169" s="174">
        <v>44914</v>
      </c>
      <c r="T1169" s="173" t="s">
        <v>33</v>
      </c>
      <c r="U1169" s="182">
        <v>437.94</v>
      </c>
      <c r="V1169" s="177">
        <f>IF(U1169=0,0,IF(T1169="MXN",1/HLOOKUP(YEAR(S1169)+(MONTH(S1169)/100),TC!$5:$37,DAY(S1169)+2,FALSE),VLOOKUP(T1169,Equivalencia!$1:$23,((MAX(Equivalencia!$3:$3)-YEAR(S1169))*14)+MONTH(S1169)+2,FALSE)))</f>
        <v>1</v>
      </c>
      <c r="W1169" s="178">
        <f t="shared" si="168"/>
        <v>437.94</v>
      </c>
      <c r="X1169" s="481">
        <f t="shared" si="169"/>
        <v>-71.633999999999958</v>
      </c>
      <c r="Y1169" s="179"/>
      <c r="Z1169" s="466">
        <f t="shared" si="170"/>
        <v>532.50482999999997</v>
      </c>
      <c r="AA1169" s="473">
        <f t="shared" si="171"/>
        <v>-94.564829999999972</v>
      </c>
      <c r="AB1169" s="339">
        <f t="shared" si="172"/>
        <v>-0.14057624604081054</v>
      </c>
    </row>
    <row r="1170" spans="2:28" ht="20.100000000000001" customHeight="1">
      <c r="B1170" s="172">
        <v>1427200</v>
      </c>
      <c r="C1170" s="174">
        <v>44509</v>
      </c>
      <c r="D1170" s="181" t="s">
        <v>416</v>
      </c>
      <c r="E1170" s="173" t="s">
        <v>33</v>
      </c>
      <c r="F1170" s="176">
        <v>401.77</v>
      </c>
      <c r="G1170" s="175">
        <f t="shared" si="163"/>
        <v>1</v>
      </c>
      <c r="H1170" s="175">
        <f t="shared" si="164"/>
        <v>401.77</v>
      </c>
      <c r="I1170" s="177">
        <f>IF(G1170=0,0,IF(E1170="MXN",1/HLOOKUP(YEAR(C1170)+(MONTH(C1170)/100),TC!$5:$37,DAY(C1170)+2,FALSE),VLOOKUP(E1170,Equivalencia!$5:$23,((MAX(Equivalencia!$3:$3)-YEAR(C1170))*14)+MONTH(C1170)+2,FALSE)))</f>
        <v>1</v>
      </c>
      <c r="J1170" s="178">
        <f t="shared" si="165"/>
        <v>401.77</v>
      </c>
      <c r="K1170" s="462">
        <f>IF(C1170=0,0,VLOOKUP(YEAR(C1170),INPC!$B$4:$O$29,MONTH(C1170)+1))</f>
        <v>116.884</v>
      </c>
      <c r="L1170" s="462">
        <f>IF(S1170=0,0,VLOOKUP(YEAR(S1170),INPC!$B$4:$O$29,MONTH(S1170)+1))</f>
        <v>118.002</v>
      </c>
      <c r="M1170" s="463">
        <f t="shared" si="166"/>
        <v>1.0095000000000001</v>
      </c>
      <c r="N1170" s="465">
        <f t="shared" si="167"/>
        <v>405.586815</v>
      </c>
      <c r="O1170" s="179"/>
      <c r="P1170" s="180">
        <v>1</v>
      </c>
      <c r="Q1170" s="173" t="s">
        <v>583</v>
      </c>
      <c r="R1170" s="173" t="s">
        <v>230</v>
      </c>
      <c r="S1170" s="174">
        <v>44567</v>
      </c>
      <c r="T1170" s="173" t="s">
        <v>33</v>
      </c>
      <c r="U1170" s="182">
        <v>239.78</v>
      </c>
      <c r="V1170" s="177">
        <f>IF(U1170=0,0,IF(T1170="MXN",1/HLOOKUP(YEAR(S1170)+(MONTH(S1170)/100),TC!$5:$37,DAY(S1170)+2,FALSE),VLOOKUP(T1170,Equivalencia!$1:$23,((MAX(Equivalencia!$3:$3)-YEAR(S1170))*14)+MONTH(S1170)+2,FALSE)))</f>
        <v>1</v>
      </c>
      <c r="W1170" s="178">
        <f t="shared" si="168"/>
        <v>239.78</v>
      </c>
      <c r="X1170" s="481">
        <f t="shared" si="169"/>
        <v>-161.98999999999998</v>
      </c>
      <c r="Y1170" s="179"/>
      <c r="Z1170" s="466">
        <f t="shared" si="170"/>
        <v>405.586815</v>
      </c>
      <c r="AA1170" s="473">
        <f t="shared" si="171"/>
        <v>-165.806815</v>
      </c>
      <c r="AB1170" s="339">
        <f t="shared" si="172"/>
        <v>-0.40319088035443162</v>
      </c>
    </row>
    <row r="1171" spans="2:28" ht="20.100000000000001" customHeight="1">
      <c r="B1171" s="172">
        <v>1427200</v>
      </c>
      <c r="C1171" s="174">
        <v>44509</v>
      </c>
      <c r="D1171" s="181" t="s">
        <v>416</v>
      </c>
      <c r="E1171" s="173" t="s">
        <v>33</v>
      </c>
      <c r="F1171" s="176">
        <v>421.45375000000001</v>
      </c>
      <c r="G1171" s="175">
        <f t="shared" si="163"/>
        <v>1</v>
      </c>
      <c r="H1171" s="175">
        <f t="shared" si="164"/>
        <v>421.45375000000001</v>
      </c>
      <c r="I1171" s="177">
        <f>IF(G1171=0,0,IF(E1171="MXN",1/HLOOKUP(YEAR(C1171)+(MONTH(C1171)/100),TC!$5:$37,DAY(C1171)+2,FALSE),VLOOKUP(E1171,Equivalencia!$5:$23,((MAX(Equivalencia!$3:$3)-YEAR(C1171))*14)+MONTH(C1171)+2,FALSE)))</f>
        <v>1</v>
      </c>
      <c r="J1171" s="178">
        <f t="shared" si="165"/>
        <v>421.45375000000001</v>
      </c>
      <c r="K1171" s="462">
        <f>IF(C1171=0,0,VLOOKUP(YEAR(C1171),INPC!$B$4:$O$29,MONTH(C1171)+1))</f>
        <v>116.884</v>
      </c>
      <c r="L1171" s="462">
        <f>IF(S1171=0,0,VLOOKUP(YEAR(S1171),INPC!$B$4:$O$29,MONTH(S1171)+1))</f>
        <v>118.002</v>
      </c>
      <c r="M1171" s="463">
        <f t="shared" si="166"/>
        <v>1.0095000000000001</v>
      </c>
      <c r="N1171" s="465">
        <f t="shared" si="167"/>
        <v>425.45756062500004</v>
      </c>
      <c r="O1171" s="179"/>
      <c r="P1171" s="180">
        <v>1</v>
      </c>
      <c r="Q1171" s="173" t="s">
        <v>583</v>
      </c>
      <c r="R1171" s="173" t="s">
        <v>230</v>
      </c>
      <c r="S1171" s="174">
        <v>44567</v>
      </c>
      <c r="T1171" s="173" t="s">
        <v>33</v>
      </c>
      <c r="U1171" s="182">
        <v>238.09</v>
      </c>
      <c r="V1171" s="177">
        <f>IF(U1171=0,0,IF(T1171="MXN",1/HLOOKUP(YEAR(S1171)+(MONTH(S1171)/100),TC!$5:$37,DAY(S1171)+2,FALSE),VLOOKUP(T1171,Equivalencia!$1:$23,((MAX(Equivalencia!$3:$3)-YEAR(S1171))*14)+MONTH(S1171)+2,FALSE)))</f>
        <v>1</v>
      </c>
      <c r="W1171" s="178">
        <f t="shared" si="168"/>
        <v>238.09</v>
      </c>
      <c r="X1171" s="481">
        <f t="shared" si="169"/>
        <v>-183.36375000000001</v>
      </c>
      <c r="Y1171" s="179"/>
      <c r="Z1171" s="466">
        <f t="shared" si="170"/>
        <v>425.45756062500004</v>
      </c>
      <c r="AA1171" s="473">
        <f t="shared" si="171"/>
        <v>-187.36756062500004</v>
      </c>
      <c r="AB1171" s="339">
        <f t="shared" si="172"/>
        <v>-0.4350744298751642</v>
      </c>
    </row>
    <row r="1172" spans="2:28" ht="20.100000000000001" customHeight="1">
      <c r="B1172" s="172">
        <v>1427200</v>
      </c>
      <c r="C1172" s="174">
        <v>44509</v>
      </c>
      <c r="D1172" s="181" t="s">
        <v>416</v>
      </c>
      <c r="E1172" s="173" t="s">
        <v>33</v>
      </c>
      <c r="F1172" s="176">
        <v>421.45375000000001</v>
      </c>
      <c r="G1172" s="175">
        <f t="shared" si="163"/>
        <v>1</v>
      </c>
      <c r="H1172" s="175">
        <f t="shared" si="164"/>
        <v>421.45375000000001</v>
      </c>
      <c r="I1172" s="177">
        <f>IF(G1172=0,0,IF(E1172="MXN",1/HLOOKUP(YEAR(C1172)+(MONTH(C1172)/100),TC!$5:$37,DAY(C1172)+2,FALSE),VLOOKUP(E1172,Equivalencia!$5:$23,((MAX(Equivalencia!$3:$3)-YEAR(C1172))*14)+MONTH(C1172)+2,FALSE)))</f>
        <v>1</v>
      </c>
      <c r="J1172" s="178">
        <f t="shared" si="165"/>
        <v>421.45375000000001</v>
      </c>
      <c r="K1172" s="462">
        <f>IF(C1172=0,0,VLOOKUP(YEAR(C1172),INPC!$B$4:$O$29,MONTH(C1172)+1))</f>
        <v>116.884</v>
      </c>
      <c r="L1172" s="462">
        <f>IF(S1172=0,0,VLOOKUP(YEAR(S1172),INPC!$B$4:$O$29,MONTH(S1172)+1))</f>
        <v>118.002</v>
      </c>
      <c r="M1172" s="463">
        <f t="shared" si="166"/>
        <v>1.0095000000000001</v>
      </c>
      <c r="N1172" s="465">
        <f t="shared" si="167"/>
        <v>425.45756062500004</v>
      </c>
      <c r="O1172" s="179"/>
      <c r="P1172" s="180">
        <v>1</v>
      </c>
      <c r="Q1172" s="173" t="s">
        <v>583</v>
      </c>
      <c r="R1172" s="173" t="s">
        <v>230</v>
      </c>
      <c r="S1172" s="174">
        <v>44567</v>
      </c>
      <c r="T1172" s="173" t="s">
        <v>33</v>
      </c>
      <c r="U1172" s="182">
        <v>247.72</v>
      </c>
      <c r="V1172" s="177">
        <f>IF(U1172=0,0,IF(T1172="MXN",1/HLOOKUP(YEAR(S1172)+(MONTH(S1172)/100),TC!$5:$37,DAY(S1172)+2,FALSE),VLOOKUP(T1172,Equivalencia!$1:$23,((MAX(Equivalencia!$3:$3)-YEAR(S1172))*14)+MONTH(S1172)+2,FALSE)))</f>
        <v>1</v>
      </c>
      <c r="W1172" s="178">
        <f t="shared" si="168"/>
        <v>247.72</v>
      </c>
      <c r="X1172" s="481">
        <f t="shared" si="169"/>
        <v>-173.73375000000001</v>
      </c>
      <c r="Y1172" s="179"/>
      <c r="Z1172" s="466">
        <f t="shared" si="170"/>
        <v>425.45756062500004</v>
      </c>
      <c r="AA1172" s="473">
        <f t="shared" si="171"/>
        <v>-177.73756062500004</v>
      </c>
      <c r="AB1172" s="339">
        <f t="shared" si="172"/>
        <v>-0.41222494757728456</v>
      </c>
    </row>
    <row r="1173" spans="2:28" ht="20.100000000000001" customHeight="1">
      <c r="B1173" s="172">
        <v>1427200</v>
      </c>
      <c r="C1173" s="174">
        <v>44509</v>
      </c>
      <c r="D1173" s="181" t="s">
        <v>416</v>
      </c>
      <c r="E1173" s="173" t="s">
        <v>33</v>
      </c>
      <c r="F1173" s="176">
        <v>421.45375000000001</v>
      </c>
      <c r="G1173" s="175">
        <f t="shared" si="163"/>
        <v>1</v>
      </c>
      <c r="H1173" s="175">
        <f t="shared" si="164"/>
        <v>421.45375000000001</v>
      </c>
      <c r="I1173" s="177">
        <f>IF(G1173=0,0,IF(E1173="MXN",1/HLOOKUP(YEAR(C1173)+(MONTH(C1173)/100),TC!$5:$37,DAY(C1173)+2,FALSE),VLOOKUP(E1173,Equivalencia!$5:$23,((MAX(Equivalencia!$3:$3)-YEAR(C1173))*14)+MONTH(C1173)+2,FALSE)))</f>
        <v>1</v>
      </c>
      <c r="J1173" s="178">
        <f t="shared" si="165"/>
        <v>421.45375000000001</v>
      </c>
      <c r="K1173" s="462">
        <f>IF(C1173=0,0,VLOOKUP(YEAR(C1173),INPC!$B$4:$O$29,MONTH(C1173)+1))</f>
        <v>116.884</v>
      </c>
      <c r="L1173" s="462">
        <f>IF(S1173=0,0,VLOOKUP(YEAR(S1173),INPC!$B$4:$O$29,MONTH(S1173)+1))</f>
        <v>118.002</v>
      </c>
      <c r="M1173" s="463">
        <f t="shared" si="166"/>
        <v>1.0095000000000001</v>
      </c>
      <c r="N1173" s="465">
        <f t="shared" si="167"/>
        <v>425.45756062500004</v>
      </c>
      <c r="O1173" s="179"/>
      <c r="P1173" s="180">
        <v>1</v>
      </c>
      <c r="Q1173" s="173" t="s">
        <v>583</v>
      </c>
      <c r="R1173" s="173" t="s">
        <v>230</v>
      </c>
      <c r="S1173" s="174">
        <v>44568</v>
      </c>
      <c r="T1173" s="173" t="s">
        <v>33</v>
      </c>
      <c r="U1173" s="182">
        <v>239.08</v>
      </c>
      <c r="V1173" s="177">
        <f>IF(U1173=0,0,IF(T1173="MXN",1/HLOOKUP(YEAR(S1173)+(MONTH(S1173)/100),TC!$5:$37,DAY(S1173)+2,FALSE),VLOOKUP(T1173,Equivalencia!$1:$23,((MAX(Equivalencia!$3:$3)-YEAR(S1173))*14)+MONTH(S1173)+2,FALSE)))</f>
        <v>1</v>
      </c>
      <c r="W1173" s="178">
        <f t="shared" si="168"/>
        <v>239.08</v>
      </c>
      <c r="X1173" s="481">
        <f t="shared" si="169"/>
        <v>-182.37375</v>
      </c>
      <c r="Y1173" s="179"/>
      <c r="Z1173" s="466">
        <f t="shared" si="170"/>
        <v>425.45756062500004</v>
      </c>
      <c r="AA1173" s="473">
        <f t="shared" si="171"/>
        <v>-186.37756062500003</v>
      </c>
      <c r="AB1173" s="339">
        <f t="shared" si="172"/>
        <v>-0.43272541767631678</v>
      </c>
    </row>
    <row r="1174" spans="2:28" ht="20.100000000000001" customHeight="1">
      <c r="B1174" s="172">
        <v>1427200</v>
      </c>
      <c r="C1174" s="174">
        <v>44509</v>
      </c>
      <c r="D1174" s="181" t="s">
        <v>416</v>
      </c>
      <c r="E1174" s="173" t="s">
        <v>33</v>
      </c>
      <c r="F1174" s="176">
        <v>2107.2687500000002</v>
      </c>
      <c r="G1174" s="175">
        <f t="shared" si="163"/>
        <v>5</v>
      </c>
      <c r="H1174" s="175">
        <f t="shared" si="164"/>
        <v>2107.2687500000002</v>
      </c>
      <c r="I1174" s="177">
        <f>IF(G1174=0,0,IF(E1174="MXN",1/HLOOKUP(YEAR(C1174)+(MONTH(C1174)/100),TC!$5:$37,DAY(C1174)+2,FALSE),VLOOKUP(E1174,Equivalencia!$5:$23,((MAX(Equivalencia!$3:$3)-YEAR(C1174))*14)+MONTH(C1174)+2,FALSE)))</f>
        <v>1</v>
      </c>
      <c r="J1174" s="178">
        <f t="shared" si="165"/>
        <v>2107.2687500000002</v>
      </c>
      <c r="K1174" s="462">
        <f>IF(C1174=0,0,VLOOKUP(YEAR(C1174),INPC!$B$4:$O$29,MONTH(C1174)+1))</f>
        <v>116.884</v>
      </c>
      <c r="L1174" s="462">
        <f>IF(S1174=0,0,VLOOKUP(YEAR(S1174),INPC!$B$4:$O$29,MONTH(S1174)+1))</f>
        <v>118.002</v>
      </c>
      <c r="M1174" s="463">
        <f t="shared" si="166"/>
        <v>1.0095000000000001</v>
      </c>
      <c r="N1174" s="465">
        <f t="shared" si="167"/>
        <v>2127.2878031250002</v>
      </c>
      <c r="O1174" s="179"/>
      <c r="P1174" s="180">
        <v>5</v>
      </c>
      <c r="Q1174" s="173" t="s">
        <v>583</v>
      </c>
      <c r="R1174" s="173" t="s">
        <v>230</v>
      </c>
      <c r="S1174" s="174">
        <v>44568</v>
      </c>
      <c r="T1174" s="173" t="s">
        <v>33</v>
      </c>
      <c r="U1174" s="182">
        <v>1199.9100000000001</v>
      </c>
      <c r="V1174" s="177">
        <f>IF(U1174=0,0,IF(T1174="MXN",1/HLOOKUP(YEAR(S1174)+(MONTH(S1174)/100),TC!$5:$37,DAY(S1174)+2,FALSE),VLOOKUP(T1174,Equivalencia!$1:$23,((MAX(Equivalencia!$3:$3)-YEAR(S1174))*14)+MONTH(S1174)+2,FALSE)))</f>
        <v>1</v>
      </c>
      <c r="W1174" s="178">
        <f t="shared" si="168"/>
        <v>1199.9100000000001</v>
      </c>
      <c r="X1174" s="481">
        <f t="shared" si="169"/>
        <v>-907.3587500000001</v>
      </c>
      <c r="Y1174" s="179"/>
      <c r="Z1174" s="466">
        <f t="shared" si="170"/>
        <v>2127.2878031250002</v>
      </c>
      <c r="AA1174" s="473">
        <f t="shared" si="171"/>
        <v>-927.37780312500013</v>
      </c>
      <c r="AB1174" s="339">
        <f t="shared" si="172"/>
        <v>-0.43058520656181132</v>
      </c>
    </row>
    <row r="1175" spans="2:28" ht="20.100000000000001" customHeight="1">
      <c r="B1175" s="172">
        <v>1427200</v>
      </c>
      <c r="C1175" s="174">
        <v>44510</v>
      </c>
      <c r="D1175" s="181" t="s">
        <v>416</v>
      </c>
      <c r="E1175" s="173" t="s">
        <v>33</v>
      </c>
      <c r="F1175" s="176">
        <v>1085.1300000000001</v>
      </c>
      <c r="G1175" s="175">
        <f t="shared" si="163"/>
        <v>3</v>
      </c>
      <c r="H1175" s="175">
        <f t="shared" si="164"/>
        <v>1085.1300000000001</v>
      </c>
      <c r="I1175" s="177">
        <f>IF(G1175=0,0,IF(E1175="MXN",1/HLOOKUP(YEAR(C1175)+(MONTH(C1175)/100),TC!$5:$37,DAY(C1175)+2,FALSE),VLOOKUP(E1175,Equivalencia!$5:$23,((MAX(Equivalencia!$3:$3)-YEAR(C1175))*14)+MONTH(C1175)+2,FALSE)))</f>
        <v>1</v>
      </c>
      <c r="J1175" s="178">
        <f t="shared" si="165"/>
        <v>1085.1300000000001</v>
      </c>
      <c r="K1175" s="462">
        <f>IF(C1175=0,0,VLOOKUP(YEAR(C1175),INPC!$B$4:$O$29,MONTH(C1175)+1))</f>
        <v>116.884</v>
      </c>
      <c r="L1175" s="462">
        <f>IF(S1175=0,0,VLOOKUP(YEAR(S1175),INPC!$B$4:$O$29,MONTH(S1175)+1))</f>
        <v>118.002</v>
      </c>
      <c r="M1175" s="463">
        <f t="shared" si="166"/>
        <v>1.0095000000000001</v>
      </c>
      <c r="N1175" s="465">
        <f t="shared" si="167"/>
        <v>1095.4387350000002</v>
      </c>
      <c r="O1175" s="179"/>
      <c r="P1175" s="180">
        <v>3</v>
      </c>
      <c r="Q1175" s="173" t="s">
        <v>583</v>
      </c>
      <c r="R1175" s="173" t="s">
        <v>230</v>
      </c>
      <c r="S1175" s="174">
        <v>44568</v>
      </c>
      <c r="T1175" s="173" t="s">
        <v>33</v>
      </c>
      <c r="U1175" s="182">
        <v>719.94600000000014</v>
      </c>
      <c r="V1175" s="177">
        <f>IF(U1175=0,0,IF(T1175="MXN",1/HLOOKUP(YEAR(S1175)+(MONTH(S1175)/100),TC!$5:$37,DAY(S1175)+2,FALSE),VLOOKUP(T1175,Equivalencia!$1:$23,((MAX(Equivalencia!$3:$3)-YEAR(S1175))*14)+MONTH(S1175)+2,FALSE)))</f>
        <v>1</v>
      </c>
      <c r="W1175" s="178">
        <f t="shared" si="168"/>
        <v>719.94600000000014</v>
      </c>
      <c r="X1175" s="481">
        <f t="shared" si="169"/>
        <v>-365.18399999999997</v>
      </c>
      <c r="Y1175" s="179"/>
      <c r="Z1175" s="466">
        <f t="shared" si="170"/>
        <v>1095.4387350000002</v>
      </c>
      <c r="AA1175" s="473">
        <f t="shared" si="171"/>
        <v>-375.49273500000004</v>
      </c>
      <c r="AB1175" s="339">
        <f t="shared" si="172"/>
        <v>-0.33653479306626854</v>
      </c>
    </row>
    <row r="1176" spans="2:28" ht="20.100000000000001" customHeight="1">
      <c r="B1176" s="172">
        <v>1427200</v>
      </c>
      <c r="C1176" s="174">
        <v>44537</v>
      </c>
      <c r="D1176" s="181" t="s">
        <v>416</v>
      </c>
      <c r="E1176" s="173" t="s">
        <v>33</v>
      </c>
      <c r="F1176" s="176">
        <v>641.48</v>
      </c>
      <c r="G1176" s="175">
        <f t="shared" si="163"/>
        <v>2</v>
      </c>
      <c r="H1176" s="175">
        <f t="shared" si="164"/>
        <v>641.48</v>
      </c>
      <c r="I1176" s="177">
        <f>IF(G1176=0,0,IF(E1176="MXN",1/HLOOKUP(YEAR(C1176)+(MONTH(C1176)/100),TC!$5:$37,DAY(C1176)+2,FALSE),VLOOKUP(E1176,Equivalencia!$5:$23,((MAX(Equivalencia!$3:$3)-YEAR(C1176))*14)+MONTH(C1176)+2,FALSE)))</f>
        <v>1</v>
      </c>
      <c r="J1176" s="178">
        <f t="shared" si="165"/>
        <v>641.48</v>
      </c>
      <c r="K1176" s="462">
        <f>IF(C1176=0,0,VLOOKUP(YEAR(C1176),INPC!$B$4:$O$29,MONTH(C1176)+1))</f>
        <v>117.30800000000001</v>
      </c>
      <c r="L1176" s="462">
        <f>IF(S1176=0,0,VLOOKUP(YEAR(S1176),INPC!$B$4:$O$29,MONTH(S1176)+1))</f>
        <v>118.002</v>
      </c>
      <c r="M1176" s="463">
        <f t="shared" si="166"/>
        <v>1.0059</v>
      </c>
      <c r="N1176" s="465">
        <f t="shared" si="167"/>
        <v>645.26473199999998</v>
      </c>
      <c r="O1176" s="179"/>
      <c r="P1176" s="180">
        <v>2</v>
      </c>
      <c r="Q1176" s="173" t="s">
        <v>583</v>
      </c>
      <c r="R1176" s="173" t="s">
        <v>230</v>
      </c>
      <c r="S1176" s="174">
        <v>44568</v>
      </c>
      <c r="T1176" s="173" t="s">
        <v>33</v>
      </c>
      <c r="U1176" s="182">
        <v>479.96400000000006</v>
      </c>
      <c r="V1176" s="177">
        <f>IF(U1176=0,0,IF(T1176="MXN",1/HLOOKUP(YEAR(S1176)+(MONTH(S1176)/100),TC!$5:$37,DAY(S1176)+2,FALSE),VLOOKUP(T1176,Equivalencia!$1:$23,((MAX(Equivalencia!$3:$3)-YEAR(S1176))*14)+MONTH(S1176)+2,FALSE)))</f>
        <v>1</v>
      </c>
      <c r="W1176" s="178">
        <f t="shared" si="168"/>
        <v>479.96400000000006</v>
      </c>
      <c r="X1176" s="481">
        <f t="shared" si="169"/>
        <v>-161.51599999999996</v>
      </c>
      <c r="Y1176" s="179"/>
      <c r="Z1176" s="466">
        <f t="shared" si="170"/>
        <v>645.26473199999998</v>
      </c>
      <c r="AA1176" s="473">
        <f t="shared" si="171"/>
        <v>-165.30073199999993</v>
      </c>
      <c r="AB1176" s="339">
        <f t="shared" si="172"/>
        <v>-0.2517864937332418</v>
      </c>
    </row>
    <row r="1177" spans="2:28" ht="20.100000000000001" customHeight="1">
      <c r="B1177" s="172">
        <v>1427200</v>
      </c>
      <c r="C1177" s="174">
        <v>44587</v>
      </c>
      <c r="D1177" s="181" t="s">
        <v>268</v>
      </c>
      <c r="E1177" s="173" t="s">
        <v>33</v>
      </c>
      <c r="F1177" s="176">
        <v>363.88</v>
      </c>
      <c r="G1177" s="175">
        <f t="shared" si="163"/>
        <v>1</v>
      </c>
      <c r="H1177" s="175">
        <f t="shared" si="164"/>
        <v>363.88</v>
      </c>
      <c r="I1177" s="177">
        <f>IF(G1177=0,0,IF(E1177="MXN",1/HLOOKUP(YEAR(C1177)+(MONTH(C1177)/100),TC!$5:$37,DAY(C1177)+2,FALSE),VLOOKUP(E1177,Equivalencia!$5:$23,((MAX(Equivalencia!$3:$3)-YEAR(C1177))*14)+MONTH(C1177)+2,FALSE)))</f>
        <v>1</v>
      </c>
      <c r="J1177" s="178">
        <f t="shared" si="165"/>
        <v>363.88</v>
      </c>
      <c r="K1177" s="462">
        <f>IF(C1177=0,0,VLOOKUP(YEAR(C1177),INPC!$B$4:$O$29,MONTH(C1177)+1))</f>
        <v>118.002</v>
      </c>
      <c r="L1177" s="462">
        <f>IF(S1177=0,0,VLOOKUP(YEAR(S1177),INPC!$B$4:$O$29,MONTH(S1177)+1))</f>
        <v>126.47799999999999</v>
      </c>
      <c r="M1177" s="463">
        <f t="shared" si="166"/>
        <v>1.0718000000000001</v>
      </c>
      <c r="N1177" s="465">
        <f t="shared" si="167"/>
        <v>390.00658400000003</v>
      </c>
      <c r="O1177" s="179"/>
      <c r="P1177" s="180">
        <v>1</v>
      </c>
      <c r="Q1177" s="173" t="s">
        <v>583</v>
      </c>
      <c r="R1177" s="173" t="s">
        <v>230</v>
      </c>
      <c r="S1177" s="174">
        <v>44914</v>
      </c>
      <c r="T1177" s="173" t="s">
        <v>33</v>
      </c>
      <c r="U1177" s="182">
        <v>191.64</v>
      </c>
      <c r="V1177" s="177">
        <f>IF(U1177=0,0,IF(T1177="MXN",1/HLOOKUP(YEAR(S1177)+(MONTH(S1177)/100),TC!$5:$37,DAY(S1177)+2,FALSE),VLOOKUP(T1177,Equivalencia!$1:$23,((MAX(Equivalencia!$3:$3)-YEAR(S1177))*14)+MONTH(S1177)+2,FALSE)))</f>
        <v>1</v>
      </c>
      <c r="W1177" s="178">
        <f t="shared" si="168"/>
        <v>191.64</v>
      </c>
      <c r="X1177" s="481">
        <f t="shared" si="169"/>
        <v>-172.24</v>
      </c>
      <c r="Y1177" s="179"/>
      <c r="Z1177" s="466">
        <f t="shared" si="170"/>
        <v>390.00658400000003</v>
      </c>
      <c r="AA1177" s="473">
        <f t="shared" si="171"/>
        <v>-198.36658400000005</v>
      </c>
      <c r="AB1177" s="339">
        <f t="shared" si="172"/>
        <v>-0.47334286028361006</v>
      </c>
    </row>
    <row r="1178" spans="2:28" ht="20.100000000000001" customHeight="1">
      <c r="B1178" s="172">
        <v>1427200</v>
      </c>
      <c r="C1178" s="174">
        <v>44587</v>
      </c>
      <c r="D1178" s="181" t="s">
        <v>268</v>
      </c>
      <c r="E1178" s="173" t="s">
        <v>33</v>
      </c>
      <c r="F1178" s="176">
        <v>734.94</v>
      </c>
      <c r="G1178" s="175">
        <f t="shared" si="163"/>
        <v>2</v>
      </c>
      <c r="H1178" s="175">
        <f t="shared" si="164"/>
        <v>734.94</v>
      </c>
      <c r="I1178" s="177">
        <f>IF(G1178=0,0,IF(E1178="MXN",1/HLOOKUP(YEAR(C1178)+(MONTH(C1178)/100),TC!$5:$37,DAY(C1178)+2,FALSE),VLOOKUP(E1178,Equivalencia!$5:$23,((MAX(Equivalencia!$3:$3)-YEAR(C1178))*14)+MONTH(C1178)+2,FALSE)))</f>
        <v>1</v>
      </c>
      <c r="J1178" s="178">
        <f t="shared" si="165"/>
        <v>734.94</v>
      </c>
      <c r="K1178" s="462">
        <f>IF(C1178=0,0,VLOOKUP(YEAR(C1178),INPC!$B$4:$O$29,MONTH(C1178)+1))</f>
        <v>118.002</v>
      </c>
      <c r="L1178" s="462">
        <f>IF(S1178=0,0,VLOOKUP(YEAR(S1178),INPC!$B$4:$O$29,MONTH(S1178)+1))</f>
        <v>126.47799999999999</v>
      </c>
      <c r="M1178" s="463">
        <f t="shared" si="166"/>
        <v>1.0718000000000001</v>
      </c>
      <c r="N1178" s="465">
        <f t="shared" si="167"/>
        <v>787.70869200000016</v>
      </c>
      <c r="O1178" s="179"/>
      <c r="P1178" s="180">
        <v>2</v>
      </c>
      <c r="Q1178" s="173" t="s">
        <v>583</v>
      </c>
      <c r="R1178" s="173" t="s">
        <v>230</v>
      </c>
      <c r="S1178" s="174">
        <v>44914</v>
      </c>
      <c r="T1178" s="173" t="s">
        <v>33</v>
      </c>
      <c r="U1178" s="182">
        <v>383.28</v>
      </c>
      <c r="V1178" s="177">
        <f>IF(U1178=0,0,IF(T1178="MXN",1/HLOOKUP(YEAR(S1178)+(MONTH(S1178)/100),TC!$5:$37,DAY(S1178)+2,FALSE),VLOOKUP(T1178,Equivalencia!$1:$23,((MAX(Equivalencia!$3:$3)-YEAR(S1178))*14)+MONTH(S1178)+2,FALSE)))</f>
        <v>1</v>
      </c>
      <c r="W1178" s="178">
        <f t="shared" si="168"/>
        <v>383.28</v>
      </c>
      <c r="X1178" s="481">
        <f t="shared" si="169"/>
        <v>-351.66000000000008</v>
      </c>
      <c r="Y1178" s="179"/>
      <c r="Z1178" s="466">
        <f t="shared" si="170"/>
        <v>787.70869200000016</v>
      </c>
      <c r="AA1178" s="473">
        <f t="shared" si="171"/>
        <v>-404.42869200000018</v>
      </c>
      <c r="AB1178" s="339">
        <f t="shared" si="172"/>
        <v>-0.478488039839987</v>
      </c>
    </row>
    <row r="1179" spans="2:28" ht="20.100000000000001" customHeight="1">
      <c r="B1179" s="172">
        <v>1427200</v>
      </c>
      <c r="C1179" s="174">
        <v>44589</v>
      </c>
      <c r="D1179" s="181" t="s">
        <v>268</v>
      </c>
      <c r="E1179" s="173" t="s">
        <v>33</v>
      </c>
      <c r="F1179" s="176">
        <v>1090.6199999999999</v>
      </c>
      <c r="G1179" s="175">
        <f t="shared" si="163"/>
        <v>3</v>
      </c>
      <c r="H1179" s="175">
        <f t="shared" si="164"/>
        <v>1090.6199999999999</v>
      </c>
      <c r="I1179" s="177">
        <f>IF(G1179=0,0,IF(E1179="MXN",1/HLOOKUP(YEAR(C1179)+(MONTH(C1179)/100),TC!$5:$37,DAY(C1179)+2,FALSE),VLOOKUP(E1179,Equivalencia!$5:$23,((MAX(Equivalencia!$3:$3)-YEAR(C1179))*14)+MONTH(C1179)+2,FALSE)))</f>
        <v>1</v>
      </c>
      <c r="J1179" s="178">
        <f t="shared" si="165"/>
        <v>1090.6199999999999</v>
      </c>
      <c r="K1179" s="462">
        <f>IF(C1179=0,0,VLOOKUP(YEAR(C1179),INPC!$B$4:$O$29,MONTH(C1179)+1))</f>
        <v>118.002</v>
      </c>
      <c r="L1179" s="462">
        <f>IF(S1179=0,0,VLOOKUP(YEAR(S1179),INPC!$B$4:$O$29,MONTH(S1179)+1))</f>
        <v>126.47799999999999</v>
      </c>
      <c r="M1179" s="463">
        <f t="shared" si="166"/>
        <v>1.0718000000000001</v>
      </c>
      <c r="N1179" s="465">
        <f t="shared" si="167"/>
        <v>1168.926516</v>
      </c>
      <c r="O1179" s="179"/>
      <c r="P1179" s="180">
        <v>3</v>
      </c>
      <c r="Q1179" s="173" t="s">
        <v>583</v>
      </c>
      <c r="R1179" s="173" t="s">
        <v>230</v>
      </c>
      <c r="S1179" s="174">
        <v>44914</v>
      </c>
      <c r="T1179" s="173" t="s">
        <v>33</v>
      </c>
      <c r="U1179" s="182">
        <v>584.40750000000003</v>
      </c>
      <c r="V1179" s="177">
        <f>IF(U1179=0,0,IF(T1179="MXN",1/HLOOKUP(YEAR(S1179)+(MONTH(S1179)/100),TC!$5:$37,DAY(S1179)+2,FALSE),VLOOKUP(T1179,Equivalencia!$1:$23,((MAX(Equivalencia!$3:$3)-YEAR(S1179))*14)+MONTH(S1179)+2,FALSE)))</f>
        <v>1</v>
      </c>
      <c r="W1179" s="178">
        <f t="shared" si="168"/>
        <v>584.40750000000003</v>
      </c>
      <c r="X1179" s="481">
        <f t="shared" si="169"/>
        <v>-506.21249999999986</v>
      </c>
      <c r="Y1179" s="179"/>
      <c r="Z1179" s="466">
        <f t="shared" si="170"/>
        <v>1168.926516</v>
      </c>
      <c r="AA1179" s="473">
        <f t="shared" si="171"/>
        <v>-584.51901599999997</v>
      </c>
      <c r="AB1179" s="339">
        <f t="shared" si="172"/>
        <v>-0.46415112504813771</v>
      </c>
    </row>
    <row r="1180" spans="2:28" ht="20.100000000000001" customHeight="1">
      <c r="B1180" s="172">
        <v>1427200</v>
      </c>
      <c r="C1180" s="174">
        <v>44592</v>
      </c>
      <c r="D1180" s="181" t="s">
        <v>268</v>
      </c>
      <c r="E1180" s="173" t="s">
        <v>33</v>
      </c>
      <c r="F1180" s="176">
        <v>399.45333333333332</v>
      </c>
      <c r="G1180" s="175">
        <f t="shared" si="163"/>
        <v>1</v>
      </c>
      <c r="H1180" s="175">
        <f t="shared" si="164"/>
        <v>399.45333333333332</v>
      </c>
      <c r="I1180" s="177">
        <f>IF(G1180=0,0,IF(E1180="MXN",1/HLOOKUP(YEAR(C1180)+(MONTH(C1180)/100),TC!$5:$37,DAY(C1180)+2,FALSE),VLOOKUP(E1180,Equivalencia!$5:$23,((MAX(Equivalencia!$3:$3)-YEAR(C1180))*14)+MONTH(C1180)+2,FALSE)))</f>
        <v>1</v>
      </c>
      <c r="J1180" s="178">
        <f t="shared" si="165"/>
        <v>399.45333333333332</v>
      </c>
      <c r="K1180" s="462">
        <f>IF(C1180=0,0,VLOOKUP(YEAR(C1180),INPC!$B$4:$O$29,MONTH(C1180)+1))</f>
        <v>118.002</v>
      </c>
      <c r="L1180" s="462">
        <f>IF(S1180=0,0,VLOOKUP(YEAR(S1180),INPC!$B$4:$O$29,MONTH(S1180)+1))</f>
        <v>126.47799999999999</v>
      </c>
      <c r="M1180" s="463">
        <f t="shared" si="166"/>
        <v>1.0718000000000001</v>
      </c>
      <c r="N1180" s="465">
        <f t="shared" si="167"/>
        <v>428.1340826666667</v>
      </c>
      <c r="O1180" s="179"/>
      <c r="P1180" s="180">
        <v>1</v>
      </c>
      <c r="Q1180" s="173" t="s">
        <v>583</v>
      </c>
      <c r="R1180" s="173" t="s">
        <v>230</v>
      </c>
      <c r="S1180" s="174">
        <v>44914</v>
      </c>
      <c r="T1180" s="173" t="s">
        <v>33</v>
      </c>
      <c r="U1180" s="182">
        <v>194.80250000000001</v>
      </c>
      <c r="V1180" s="177">
        <f>IF(U1180=0,0,IF(T1180="MXN",1/HLOOKUP(YEAR(S1180)+(MONTH(S1180)/100),TC!$5:$37,DAY(S1180)+2,FALSE),VLOOKUP(T1180,Equivalencia!$1:$23,((MAX(Equivalencia!$3:$3)-YEAR(S1180))*14)+MONTH(S1180)+2,FALSE)))</f>
        <v>1</v>
      </c>
      <c r="W1180" s="178">
        <f t="shared" si="168"/>
        <v>194.80250000000001</v>
      </c>
      <c r="X1180" s="481">
        <f t="shared" si="169"/>
        <v>-204.65083333333331</v>
      </c>
      <c r="Y1180" s="179"/>
      <c r="Z1180" s="466">
        <f t="shared" si="170"/>
        <v>428.1340826666667</v>
      </c>
      <c r="AA1180" s="473">
        <f t="shared" si="171"/>
        <v>-233.33158266666669</v>
      </c>
      <c r="AB1180" s="339">
        <f t="shared" si="172"/>
        <v>-0.51232726392736738</v>
      </c>
    </row>
    <row r="1181" spans="2:28" ht="20.100000000000001" customHeight="1">
      <c r="B1181" s="172">
        <v>1427200</v>
      </c>
      <c r="C1181" s="174">
        <v>44781</v>
      </c>
      <c r="D1181" s="181" t="s">
        <v>437</v>
      </c>
      <c r="E1181" s="173" t="s">
        <v>33</v>
      </c>
      <c r="F1181" s="176">
        <v>318.58</v>
      </c>
      <c r="G1181" s="175">
        <f t="shared" si="163"/>
        <v>18</v>
      </c>
      <c r="H1181" s="175">
        <f t="shared" si="164"/>
        <v>318.58</v>
      </c>
      <c r="I1181" s="177">
        <f>IF(G1181=0,0,IF(E1181="MXN",1/HLOOKUP(YEAR(C1181)+(MONTH(C1181)/100),TC!$5:$37,DAY(C1181)+2,FALSE),VLOOKUP(E1181,Equivalencia!$5:$23,((MAX(Equivalencia!$3:$3)-YEAR(C1181))*14)+MONTH(C1181)+2,FALSE)))</f>
        <v>1</v>
      </c>
      <c r="J1181" s="178">
        <f t="shared" si="165"/>
        <v>318.58</v>
      </c>
      <c r="K1181" s="462">
        <f>IF(C1181=0,0,VLOOKUP(YEAR(C1181),INPC!$B$4:$O$29,MONTH(C1181)+1))</f>
        <v>123.803</v>
      </c>
      <c r="L1181" s="462">
        <f>IF(S1181=0,0,VLOOKUP(YEAR(S1181),INPC!$B$4:$O$29,MONTH(S1181)+1))</f>
        <v>126.47799999999999</v>
      </c>
      <c r="M1181" s="463">
        <f t="shared" si="166"/>
        <v>1.0216000000000001</v>
      </c>
      <c r="N1181" s="465">
        <f t="shared" si="167"/>
        <v>325.46132799999998</v>
      </c>
      <c r="O1181" s="179"/>
      <c r="P1181" s="180">
        <v>18</v>
      </c>
      <c r="Q1181" s="173" t="s">
        <v>583</v>
      </c>
      <c r="R1181" s="173" t="s">
        <v>230</v>
      </c>
      <c r="S1181" s="174">
        <v>44914</v>
      </c>
      <c r="T1181" s="173" t="s">
        <v>33</v>
      </c>
      <c r="U1181" s="182">
        <v>320.88272727272727</v>
      </c>
      <c r="V1181" s="177">
        <f>IF(U1181=0,0,IF(T1181="MXN",1/HLOOKUP(YEAR(S1181)+(MONTH(S1181)/100),TC!$5:$37,DAY(S1181)+2,FALSE),VLOOKUP(T1181,Equivalencia!$1:$23,((MAX(Equivalencia!$3:$3)-YEAR(S1181))*14)+MONTH(S1181)+2,FALSE)))</f>
        <v>1</v>
      </c>
      <c r="W1181" s="178">
        <f t="shared" si="168"/>
        <v>320.88272727272727</v>
      </c>
      <c r="X1181" s="481">
        <f t="shared" si="169"/>
        <v>2.3027272727272816</v>
      </c>
      <c r="Y1181" s="179"/>
      <c r="Z1181" s="466">
        <f t="shared" si="170"/>
        <v>325.46132799999998</v>
      </c>
      <c r="AA1181" s="473">
        <f t="shared" si="171"/>
        <v>-4.5786007272727147</v>
      </c>
      <c r="AB1181" s="339">
        <f t="shared" si="172"/>
        <v>7.2280974095275674E-3</v>
      </c>
    </row>
    <row r="1182" spans="2:28" ht="20.100000000000001" customHeight="1">
      <c r="B1182" s="172">
        <v>1427200</v>
      </c>
      <c r="C1182" s="174">
        <v>44782</v>
      </c>
      <c r="D1182" s="181" t="s">
        <v>437</v>
      </c>
      <c r="E1182" s="173" t="s">
        <v>33</v>
      </c>
      <c r="F1182" s="176">
        <v>16.71</v>
      </c>
      <c r="G1182" s="175">
        <f t="shared" si="163"/>
        <v>1</v>
      </c>
      <c r="H1182" s="175">
        <f t="shared" si="164"/>
        <v>16.71</v>
      </c>
      <c r="I1182" s="177">
        <f>IF(G1182=0,0,IF(E1182="MXN",1/HLOOKUP(YEAR(C1182)+(MONTH(C1182)/100),TC!$5:$37,DAY(C1182)+2,FALSE),VLOOKUP(E1182,Equivalencia!$5:$23,((MAX(Equivalencia!$3:$3)-YEAR(C1182))*14)+MONTH(C1182)+2,FALSE)))</f>
        <v>1</v>
      </c>
      <c r="J1182" s="178">
        <f t="shared" si="165"/>
        <v>16.71</v>
      </c>
      <c r="K1182" s="462">
        <f>IF(C1182=0,0,VLOOKUP(YEAR(C1182),INPC!$B$4:$O$29,MONTH(C1182)+1))</f>
        <v>123.803</v>
      </c>
      <c r="L1182" s="462">
        <f>IF(S1182=0,0,VLOOKUP(YEAR(S1182),INPC!$B$4:$O$29,MONTH(S1182)+1))</f>
        <v>126.47799999999999</v>
      </c>
      <c r="M1182" s="463">
        <f t="shared" si="166"/>
        <v>1.0216000000000001</v>
      </c>
      <c r="N1182" s="465">
        <f t="shared" si="167"/>
        <v>17.070936000000003</v>
      </c>
      <c r="O1182" s="179"/>
      <c r="P1182" s="180">
        <v>1</v>
      </c>
      <c r="Q1182" s="173" t="s">
        <v>583</v>
      </c>
      <c r="R1182" s="173" t="s">
        <v>230</v>
      </c>
      <c r="S1182" s="174">
        <v>44914</v>
      </c>
      <c r="T1182" s="173" t="s">
        <v>33</v>
      </c>
      <c r="U1182" s="182">
        <v>17.826818181818183</v>
      </c>
      <c r="V1182" s="177">
        <f>IF(U1182=0,0,IF(T1182="MXN",1/HLOOKUP(YEAR(S1182)+(MONTH(S1182)/100),TC!$5:$37,DAY(S1182)+2,FALSE),VLOOKUP(T1182,Equivalencia!$1:$23,((MAX(Equivalencia!$3:$3)-YEAR(S1182))*14)+MONTH(S1182)+2,FALSE)))</f>
        <v>1</v>
      </c>
      <c r="W1182" s="178">
        <f t="shared" si="168"/>
        <v>17.826818181818183</v>
      </c>
      <c r="X1182" s="481">
        <f t="shared" si="169"/>
        <v>1.1168181818181822</v>
      </c>
      <c r="Y1182" s="179"/>
      <c r="Z1182" s="466">
        <f t="shared" si="170"/>
        <v>17.070936000000003</v>
      </c>
      <c r="AA1182" s="473">
        <f t="shared" si="171"/>
        <v>0.75588218181817979</v>
      </c>
      <c r="AB1182" s="339">
        <f t="shared" si="172"/>
        <v>6.6835319079484368E-2</v>
      </c>
    </row>
    <row r="1183" spans="2:28" ht="20.100000000000001" customHeight="1">
      <c r="B1183" s="172">
        <v>1427200</v>
      </c>
      <c r="C1183" s="174">
        <v>44782</v>
      </c>
      <c r="D1183" s="181" t="s">
        <v>437</v>
      </c>
      <c r="E1183" s="173" t="s">
        <v>33</v>
      </c>
      <c r="F1183" s="176">
        <v>50.931428571428576</v>
      </c>
      <c r="G1183" s="175">
        <f t="shared" si="163"/>
        <v>3</v>
      </c>
      <c r="H1183" s="175">
        <f t="shared" si="164"/>
        <v>50.931428571428576</v>
      </c>
      <c r="I1183" s="177">
        <f>IF(G1183=0,0,IF(E1183="MXN",1/HLOOKUP(YEAR(C1183)+(MONTH(C1183)/100),TC!$5:$37,DAY(C1183)+2,FALSE),VLOOKUP(E1183,Equivalencia!$5:$23,((MAX(Equivalencia!$3:$3)-YEAR(C1183))*14)+MONTH(C1183)+2,FALSE)))</f>
        <v>1</v>
      </c>
      <c r="J1183" s="178">
        <f t="shared" si="165"/>
        <v>50.931428571428576</v>
      </c>
      <c r="K1183" s="462">
        <f>IF(C1183=0,0,VLOOKUP(YEAR(C1183),INPC!$B$4:$O$29,MONTH(C1183)+1))</f>
        <v>123.803</v>
      </c>
      <c r="L1183" s="462">
        <f>IF(S1183=0,0,VLOOKUP(YEAR(S1183),INPC!$B$4:$O$29,MONTH(S1183)+1))</f>
        <v>126.47799999999999</v>
      </c>
      <c r="M1183" s="463">
        <f t="shared" si="166"/>
        <v>1.0216000000000001</v>
      </c>
      <c r="N1183" s="465">
        <f t="shared" si="167"/>
        <v>52.031547428571436</v>
      </c>
      <c r="O1183" s="179"/>
      <c r="P1183" s="180">
        <v>3</v>
      </c>
      <c r="Q1183" s="173" t="s">
        <v>583</v>
      </c>
      <c r="R1183" s="173" t="s">
        <v>230</v>
      </c>
      <c r="S1183" s="174">
        <v>44914</v>
      </c>
      <c r="T1183" s="173" t="s">
        <v>33</v>
      </c>
      <c r="U1183" s="182">
        <v>53.480454545454549</v>
      </c>
      <c r="V1183" s="177">
        <f>IF(U1183=0,0,IF(T1183="MXN",1/HLOOKUP(YEAR(S1183)+(MONTH(S1183)/100),TC!$5:$37,DAY(S1183)+2,FALSE),VLOOKUP(T1183,Equivalencia!$1:$23,((MAX(Equivalencia!$3:$3)-YEAR(S1183))*14)+MONTH(S1183)+2,FALSE)))</f>
        <v>1</v>
      </c>
      <c r="W1183" s="178">
        <f t="shared" si="168"/>
        <v>53.480454545454549</v>
      </c>
      <c r="X1183" s="481">
        <f t="shared" si="169"/>
        <v>2.5490259740259731</v>
      </c>
      <c r="Y1183" s="179"/>
      <c r="Z1183" s="466">
        <f t="shared" si="170"/>
        <v>52.031547428571436</v>
      </c>
      <c r="AA1183" s="473">
        <f t="shared" si="171"/>
        <v>1.4489071168831131</v>
      </c>
      <c r="AB1183" s="339">
        <f t="shared" si="172"/>
        <v>5.0048193139744734E-2</v>
      </c>
    </row>
    <row r="1184" spans="2:28" ht="20.100000000000001" customHeight="1">
      <c r="B1184" s="172">
        <v>1427200</v>
      </c>
      <c r="C1184" s="174">
        <v>44782</v>
      </c>
      <c r="D1184" s="181" t="s">
        <v>437</v>
      </c>
      <c r="E1184" s="173" t="s">
        <v>33</v>
      </c>
      <c r="F1184" s="176">
        <v>67.908571428571435</v>
      </c>
      <c r="G1184" s="175">
        <f t="shared" si="163"/>
        <v>4</v>
      </c>
      <c r="H1184" s="175">
        <f t="shared" si="164"/>
        <v>67.908571428571435</v>
      </c>
      <c r="I1184" s="177">
        <f>IF(G1184=0,0,IF(E1184="MXN",1/HLOOKUP(YEAR(C1184)+(MONTH(C1184)/100),TC!$5:$37,DAY(C1184)+2,FALSE),VLOOKUP(E1184,Equivalencia!$5:$23,((MAX(Equivalencia!$3:$3)-YEAR(C1184))*14)+MONTH(C1184)+2,FALSE)))</f>
        <v>1</v>
      </c>
      <c r="J1184" s="178">
        <f t="shared" si="165"/>
        <v>67.908571428571435</v>
      </c>
      <c r="K1184" s="462">
        <f>IF(C1184=0,0,VLOOKUP(YEAR(C1184),INPC!$B$4:$O$29,MONTH(C1184)+1))</f>
        <v>123.803</v>
      </c>
      <c r="L1184" s="462">
        <f>IF(S1184=0,0,VLOOKUP(YEAR(S1184),INPC!$B$4:$O$29,MONTH(S1184)+1))</f>
        <v>126.47799999999999</v>
      </c>
      <c r="M1184" s="463">
        <f t="shared" si="166"/>
        <v>1.0216000000000001</v>
      </c>
      <c r="N1184" s="465">
        <f t="shared" si="167"/>
        <v>69.375396571428581</v>
      </c>
      <c r="O1184" s="179"/>
      <c r="P1184" s="180">
        <v>4</v>
      </c>
      <c r="Q1184" s="173" t="s">
        <v>583</v>
      </c>
      <c r="R1184" s="173" t="s">
        <v>230</v>
      </c>
      <c r="S1184" s="174">
        <v>44914</v>
      </c>
      <c r="T1184" s="173" t="s">
        <v>33</v>
      </c>
      <c r="U1184" s="182">
        <v>71.131428571428572</v>
      </c>
      <c r="V1184" s="177">
        <f>IF(U1184=0,0,IF(T1184="MXN",1/HLOOKUP(YEAR(S1184)+(MONTH(S1184)/100),TC!$5:$37,DAY(S1184)+2,FALSE),VLOOKUP(T1184,Equivalencia!$1:$23,((MAX(Equivalencia!$3:$3)-YEAR(S1184))*14)+MONTH(S1184)+2,FALSE)))</f>
        <v>1</v>
      </c>
      <c r="W1184" s="178">
        <f t="shared" si="168"/>
        <v>71.131428571428572</v>
      </c>
      <c r="X1184" s="481">
        <f t="shared" si="169"/>
        <v>3.2228571428571371</v>
      </c>
      <c r="Y1184" s="179"/>
      <c r="Z1184" s="466">
        <f t="shared" si="170"/>
        <v>69.375396571428581</v>
      </c>
      <c r="AA1184" s="473">
        <f t="shared" si="171"/>
        <v>1.7560319999999905</v>
      </c>
      <c r="AB1184" s="339">
        <f t="shared" si="172"/>
        <v>4.7458768091551473E-2</v>
      </c>
    </row>
    <row r="1185" spans="2:28" ht="20.100000000000001" customHeight="1">
      <c r="B1185" s="172">
        <v>1427200</v>
      </c>
      <c r="C1185" s="174">
        <v>44782</v>
      </c>
      <c r="D1185" s="181" t="s">
        <v>437</v>
      </c>
      <c r="E1185" s="173" t="s">
        <v>33</v>
      </c>
      <c r="F1185" s="176">
        <v>167.78571428571428</v>
      </c>
      <c r="G1185" s="175">
        <f t="shared" si="163"/>
        <v>10</v>
      </c>
      <c r="H1185" s="175">
        <f t="shared" si="164"/>
        <v>167.78571428571428</v>
      </c>
      <c r="I1185" s="177">
        <f>IF(G1185=0,0,IF(E1185="MXN",1/HLOOKUP(YEAR(C1185)+(MONTH(C1185)/100),TC!$5:$37,DAY(C1185)+2,FALSE),VLOOKUP(E1185,Equivalencia!$5:$23,((MAX(Equivalencia!$3:$3)-YEAR(C1185))*14)+MONTH(C1185)+2,FALSE)))</f>
        <v>1</v>
      </c>
      <c r="J1185" s="178">
        <f t="shared" si="165"/>
        <v>167.78571428571428</v>
      </c>
      <c r="K1185" s="462">
        <f>IF(C1185=0,0,VLOOKUP(YEAR(C1185),INPC!$B$4:$O$29,MONTH(C1185)+1))</f>
        <v>123.803</v>
      </c>
      <c r="L1185" s="462">
        <f>IF(S1185=0,0,VLOOKUP(YEAR(S1185),INPC!$B$4:$O$29,MONTH(S1185)+1))</f>
        <v>126.47799999999999</v>
      </c>
      <c r="M1185" s="463">
        <f t="shared" si="166"/>
        <v>1.0216000000000001</v>
      </c>
      <c r="N1185" s="465">
        <f t="shared" si="167"/>
        <v>171.40988571428571</v>
      </c>
      <c r="O1185" s="179"/>
      <c r="P1185" s="180">
        <v>10</v>
      </c>
      <c r="Q1185" s="173" t="s">
        <v>583</v>
      </c>
      <c r="R1185" s="173" t="s">
        <v>230</v>
      </c>
      <c r="S1185" s="174">
        <v>44914</v>
      </c>
      <c r="T1185" s="173" t="s">
        <v>33</v>
      </c>
      <c r="U1185" s="182">
        <v>177.82857142857142</v>
      </c>
      <c r="V1185" s="177">
        <f>IF(U1185=0,0,IF(T1185="MXN",1/HLOOKUP(YEAR(S1185)+(MONTH(S1185)/100),TC!$5:$37,DAY(S1185)+2,FALSE),VLOOKUP(T1185,Equivalencia!$1:$23,((MAX(Equivalencia!$3:$3)-YEAR(S1185))*14)+MONTH(S1185)+2,FALSE)))</f>
        <v>1</v>
      </c>
      <c r="W1185" s="178">
        <f t="shared" si="168"/>
        <v>177.82857142857142</v>
      </c>
      <c r="X1185" s="481">
        <f t="shared" si="169"/>
        <v>10.042857142857144</v>
      </c>
      <c r="Y1185" s="179"/>
      <c r="Z1185" s="466">
        <f t="shared" si="170"/>
        <v>171.40988571428571</v>
      </c>
      <c r="AA1185" s="473">
        <f t="shared" si="171"/>
        <v>6.418685714285715</v>
      </c>
      <c r="AB1185" s="339">
        <f t="shared" si="172"/>
        <v>5.9855257556407082E-2</v>
      </c>
    </row>
    <row r="1186" spans="2:28" ht="20.100000000000001" customHeight="1">
      <c r="B1186" s="172">
        <v>1427200</v>
      </c>
      <c r="C1186" s="174">
        <v>44782</v>
      </c>
      <c r="D1186" s="181" t="s">
        <v>437</v>
      </c>
      <c r="E1186" s="173" t="s">
        <v>33</v>
      </c>
      <c r="F1186" s="176">
        <v>67.114285714285714</v>
      </c>
      <c r="G1186" s="175">
        <f t="shared" si="163"/>
        <v>4</v>
      </c>
      <c r="H1186" s="175">
        <f t="shared" si="164"/>
        <v>67.114285714285714</v>
      </c>
      <c r="I1186" s="177">
        <f>IF(G1186=0,0,IF(E1186="MXN",1/HLOOKUP(YEAR(C1186)+(MONTH(C1186)/100),TC!$5:$37,DAY(C1186)+2,FALSE),VLOOKUP(E1186,Equivalencia!$5:$23,((MAX(Equivalencia!$3:$3)-YEAR(C1186))*14)+MONTH(C1186)+2,FALSE)))</f>
        <v>1</v>
      </c>
      <c r="J1186" s="178">
        <f t="shared" si="165"/>
        <v>67.114285714285714</v>
      </c>
      <c r="K1186" s="462">
        <f>IF(C1186=0,0,VLOOKUP(YEAR(C1186),INPC!$B$4:$O$29,MONTH(C1186)+1))</f>
        <v>123.803</v>
      </c>
      <c r="L1186" s="462">
        <f>IF(S1186=0,0,VLOOKUP(YEAR(S1186),INPC!$B$4:$O$29,MONTH(S1186)+1))</f>
        <v>126.47799999999999</v>
      </c>
      <c r="M1186" s="463">
        <f t="shared" si="166"/>
        <v>1.0216000000000001</v>
      </c>
      <c r="N1186" s="465">
        <f t="shared" si="167"/>
        <v>68.563954285714289</v>
      </c>
      <c r="O1186" s="179"/>
      <c r="P1186" s="180">
        <v>4</v>
      </c>
      <c r="Q1186" s="173" t="s">
        <v>583</v>
      </c>
      <c r="R1186" s="173" t="s">
        <v>230</v>
      </c>
      <c r="S1186" s="174">
        <v>44915</v>
      </c>
      <c r="T1186" s="173" t="s">
        <v>33</v>
      </c>
      <c r="U1186" s="182">
        <v>71.351111111111109</v>
      </c>
      <c r="V1186" s="177">
        <f>IF(U1186=0,0,IF(T1186="MXN",1/HLOOKUP(YEAR(S1186)+(MONTH(S1186)/100),TC!$5:$37,DAY(S1186)+2,FALSE),VLOOKUP(T1186,Equivalencia!$1:$23,((MAX(Equivalencia!$3:$3)-YEAR(S1186))*14)+MONTH(S1186)+2,FALSE)))</f>
        <v>1</v>
      </c>
      <c r="W1186" s="178">
        <f t="shared" si="168"/>
        <v>71.351111111111109</v>
      </c>
      <c r="X1186" s="481">
        <f t="shared" si="169"/>
        <v>4.2368253968253953</v>
      </c>
      <c r="Y1186" s="179"/>
      <c r="Z1186" s="466">
        <f t="shared" si="170"/>
        <v>68.563954285714289</v>
      </c>
      <c r="AA1186" s="473">
        <f t="shared" si="171"/>
        <v>2.7871568253968206</v>
      </c>
      <c r="AB1186" s="339">
        <f t="shared" si="172"/>
        <v>6.3128518045503901E-2</v>
      </c>
    </row>
    <row r="1187" spans="2:28" ht="20.100000000000001" customHeight="1">
      <c r="B1187" s="172">
        <v>1427200</v>
      </c>
      <c r="C1187" s="174">
        <v>44783</v>
      </c>
      <c r="D1187" s="181" t="s">
        <v>437</v>
      </c>
      <c r="E1187" s="173" t="s">
        <v>33</v>
      </c>
      <c r="F1187" s="176">
        <v>18.63</v>
      </c>
      <c r="G1187" s="175">
        <f t="shared" si="163"/>
        <v>1</v>
      </c>
      <c r="H1187" s="175">
        <f t="shared" si="164"/>
        <v>18.63</v>
      </c>
      <c r="I1187" s="177">
        <f>IF(G1187=0,0,IF(E1187="MXN",1/HLOOKUP(YEAR(C1187)+(MONTH(C1187)/100),TC!$5:$37,DAY(C1187)+2,FALSE),VLOOKUP(E1187,Equivalencia!$5:$23,((MAX(Equivalencia!$3:$3)-YEAR(C1187))*14)+MONTH(C1187)+2,FALSE)))</f>
        <v>1</v>
      </c>
      <c r="J1187" s="178">
        <f t="shared" si="165"/>
        <v>18.63</v>
      </c>
      <c r="K1187" s="462">
        <f>IF(C1187=0,0,VLOOKUP(YEAR(C1187),INPC!$B$4:$O$29,MONTH(C1187)+1))</f>
        <v>123.803</v>
      </c>
      <c r="L1187" s="462">
        <f>IF(S1187=0,0,VLOOKUP(YEAR(S1187),INPC!$B$4:$O$29,MONTH(S1187)+1))</f>
        <v>126.47799999999999</v>
      </c>
      <c r="M1187" s="463">
        <f t="shared" si="166"/>
        <v>1.0216000000000001</v>
      </c>
      <c r="N1187" s="465">
        <f t="shared" si="167"/>
        <v>19.032408</v>
      </c>
      <c r="O1187" s="179"/>
      <c r="P1187" s="180">
        <v>1</v>
      </c>
      <c r="Q1187" s="173" t="s">
        <v>583</v>
      </c>
      <c r="R1187" s="173" t="s">
        <v>230</v>
      </c>
      <c r="S1187" s="174">
        <v>44915</v>
      </c>
      <c r="T1187" s="173" t="s">
        <v>33</v>
      </c>
      <c r="U1187" s="182">
        <v>17.837777777777777</v>
      </c>
      <c r="V1187" s="177">
        <f>IF(U1187=0,0,IF(T1187="MXN",1/HLOOKUP(YEAR(S1187)+(MONTH(S1187)/100),TC!$5:$37,DAY(S1187)+2,FALSE),VLOOKUP(T1187,Equivalencia!$1:$23,((MAX(Equivalencia!$3:$3)-YEAR(S1187))*14)+MONTH(S1187)+2,FALSE)))</f>
        <v>1</v>
      </c>
      <c r="W1187" s="178">
        <f t="shared" si="168"/>
        <v>17.837777777777777</v>
      </c>
      <c r="X1187" s="481">
        <f t="shared" si="169"/>
        <v>-0.79222222222222172</v>
      </c>
      <c r="Y1187" s="179"/>
      <c r="Z1187" s="466">
        <f t="shared" si="170"/>
        <v>19.032408</v>
      </c>
      <c r="AA1187" s="473">
        <f t="shared" si="171"/>
        <v>-1.1946302222222229</v>
      </c>
      <c r="AB1187" s="339">
        <f t="shared" si="172"/>
        <v>-4.2524005486968441E-2</v>
      </c>
    </row>
    <row r="1188" spans="2:28" ht="20.100000000000001" customHeight="1">
      <c r="B1188" s="172">
        <v>1427200</v>
      </c>
      <c r="C1188" s="174">
        <v>44783</v>
      </c>
      <c r="D1188" s="181" t="s">
        <v>437</v>
      </c>
      <c r="E1188" s="173" t="s">
        <v>33</v>
      </c>
      <c r="F1188" s="176">
        <v>18.63</v>
      </c>
      <c r="G1188" s="175">
        <f t="shared" si="163"/>
        <v>1</v>
      </c>
      <c r="H1188" s="175">
        <f t="shared" si="164"/>
        <v>18.63</v>
      </c>
      <c r="I1188" s="177">
        <f>IF(G1188=0,0,IF(E1188="MXN",1/HLOOKUP(YEAR(C1188)+(MONTH(C1188)/100),TC!$5:$37,DAY(C1188)+2,FALSE),VLOOKUP(E1188,Equivalencia!$5:$23,((MAX(Equivalencia!$3:$3)-YEAR(C1188))*14)+MONTH(C1188)+2,FALSE)))</f>
        <v>1</v>
      </c>
      <c r="J1188" s="178">
        <f t="shared" si="165"/>
        <v>18.63</v>
      </c>
      <c r="K1188" s="462">
        <f>IF(C1188=0,0,VLOOKUP(YEAR(C1188),INPC!$B$4:$O$29,MONTH(C1188)+1))</f>
        <v>123.803</v>
      </c>
      <c r="L1188" s="462">
        <f>IF(S1188=0,0,VLOOKUP(YEAR(S1188),INPC!$B$4:$O$29,MONTH(S1188)+1))</f>
        <v>126.47799999999999</v>
      </c>
      <c r="M1188" s="463">
        <f t="shared" si="166"/>
        <v>1.0216000000000001</v>
      </c>
      <c r="N1188" s="465">
        <f t="shared" si="167"/>
        <v>19.032408</v>
      </c>
      <c r="O1188" s="179"/>
      <c r="P1188" s="180">
        <v>1</v>
      </c>
      <c r="Q1188" s="173" t="s">
        <v>583</v>
      </c>
      <c r="R1188" s="173" t="s">
        <v>230</v>
      </c>
      <c r="S1188" s="174">
        <v>44915</v>
      </c>
      <c r="T1188" s="173" t="s">
        <v>33</v>
      </c>
      <c r="U1188" s="182">
        <v>17.837777777777777</v>
      </c>
      <c r="V1188" s="177">
        <f>IF(U1188=0,0,IF(T1188="MXN",1/HLOOKUP(YEAR(S1188)+(MONTH(S1188)/100),TC!$5:$37,DAY(S1188)+2,FALSE),VLOOKUP(T1188,Equivalencia!$1:$23,((MAX(Equivalencia!$3:$3)-YEAR(S1188))*14)+MONTH(S1188)+2,FALSE)))</f>
        <v>1</v>
      </c>
      <c r="W1188" s="178">
        <f t="shared" si="168"/>
        <v>17.837777777777777</v>
      </c>
      <c r="X1188" s="481">
        <f t="shared" si="169"/>
        <v>-0.79222222222222172</v>
      </c>
      <c r="Y1188" s="179"/>
      <c r="Z1188" s="466">
        <f t="shared" si="170"/>
        <v>19.032408</v>
      </c>
      <c r="AA1188" s="473">
        <f t="shared" si="171"/>
        <v>-1.1946302222222229</v>
      </c>
      <c r="AB1188" s="339">
        <f t="shared" si="172"/>
        <v>-4.2524005486968441E-2</v>
      </c>
    </row>
    <row r="1189" spans="2:28" ht="20.100000000000001" customHeight="1">
      <c r="B1189" s="172">
        <v>1427200</v>
      </c>
      <c r="C1189" s="174">
        <v>44783</v>
      </c>
      <c r="D1189" s="181" t="s">
        <v>437</v>
      </c>
      <c r="E1189" s="173" t="s">
        <v>33</v>
      </c>
      <c r="F1189" s="176">
        <v>18.62</v>
      </c>
      <c r="G1189" s="175">
        <f t="shared" si="163"/>
        <v>1</v>
      </c>
      <c r="H1189" s="175">
        <f t="shared" si="164"/>
        <v>18.62</v>
      </c>
      <c r="I1189" s="177">
        <f>IF(G1189=0,0,IF(E1189="MXN",1/HLOOKUP(YEAR(C1189)+(MONTH(C1189)/100),TC!$5:$37,DAY(C1189)+2,FALSE),VLOOKUP(E1189,Equivalencia!$5:$23,((MAX(Equivalencia!$3:$3)-YEAR(C1189))*14)+MONTH(C1189)+2,FALSE)))</f>
        <v>1</v>
      </c>
      <c r="J1189" s="178">
        <f t="shared" si="165"/>
        <v>18.62</v>
      </c>
      <c r="K1189" s="462">
        <f>IF(C1189=0,0,VLOOKUP(YEAR(C1189),INPC!$B$4:$O$29,MONTH(C1189)+1))</f>
        <v>123.803</v>
      </c>
      <c r="L1189" s="462">
        <f>IF(S1189=0,0,VLOOKUP(YEAR(S1189),INPC!$B$4:$O$29,MONTH(S1189)+1))</f>
        <v>126.47799999999999</v>
      </c>
      <c r="M1189" s="463">
        <f t="shared" si="166"/>
        <v>1.0216000000000001</v>
      </c>
      <c r="N1189" s="465">
        <f t="shared" si="167"/>
        <v>19.022192</v>
      </c>
      <c r="O1189" s="179"/>
      <c r="P1189" s="180">
        <v>1</v>
      </c>
      <c r="Q1189" s="173" t="s">
        <v>583</v>
      </c>
      <c r="R1189" s="173" t="s">
        <v>230</v>
      </c>
      <c r="S1189" s="174">
        <v>44915</v>
      </c>
      <c r="T1189" s="173" t="s">
        <v>33</v>
      </c>
      <c r="U1189" s="182">
        <v>17.837777777777777</v>
      </c>
      <c r="V1189" s="177">
        <f>IF(U1189=0,0,IF(T1189="MXN",1/HLOOKUP(YEAR(S1189)+(MONTH(S1189)/100),TC!$5:$37,DAY(S1189)+2,FALSE),VLOOKUP(T1189,Equivalencia!$1:$23,((MAX(Equivalencia!$3:$3)-YEAR(S1189))*14)+MONTH(S1189)+2,FALSE)))</f>
        <v>1</v>
      </c>
      <c r="W1189" s="178">
        <f t="shared" si="168"/>
        <v>17.837777777777777</v>
      </c>
      <c r="X1189" s="481">
        <f t="shared" si="169"/>
        <v>-0.78222222222222371</v>
      </c>
      <c r="Y1189" s="179"/>
      <c r="Z1189" s="466">
        <f t="shared" si="170"/>
        <v>19.022192</v>
      </c>
      <c r="AA1189" s="473">
        <f t="shared" si="171"/>
        <v>-1.1844142222222231</v>
      </c>
      <c r="AB1189" s="339">
        <f t="shared" si="172"/>
        <v>-4.2009786370688751E-2</v>
      </c>
    </row>
    <row r="1190" spans="2:28" ht="20.100000000000001" customHeight="1">
      <c r="B1190" s="172">
        <v>1427200</v>
      </c>
      <c r="C1190" s="174">
        <v>44783</v>
      </c>
      <c r="D1190" s="181" t="s">
        <v>437</v>
      </c>
      <c r="E1190" s="173" t="s">
        <v>33</v>
      </c>
      <c r="F1190" s="176">
        <v>37.24</v>
      </c>
      <c r="G1190" s="175">
        <f t="shared" si="163"/>
        <v>2</v>
      </c>
      <c r="H1190" s="175">
        <f t="shared" si="164"/>
        <v>37.24</v>
      </c>
      <c r="I1190" s="177">
        <f>IF(G1190=0,0,IF(E1190="MXN",1/HLOOKUP(YEAR(C1190)+(MONTH(C1190)/100),TC!$5:$37,DAY(C1190)+2,FALSE),VLOOKUP(E1190,Equivalencia!$5:$23,((MAX(Equivalencia!$3:$3)-YEAR(C1190))*14)+MONTH(C1190)+2,FALSE)))</f>
        <v>1</v>
      </c>
      <c r="J1190" s="178">
        <f t="shared" si="165"/>
        <v>37.24</v>
      </c>
      <c r="K1190" s="462">
        <f>IF(C1190=0,0,VLOOKUP(YEAR(C1190),INPC!$B$4:$O$29,MONTH(C1190)+1))</f>
        <v>123.803</v>
      </c>
      <c r="L1190" s="462">
        <f>IF(S1190=0,0,VLOOKUP(YEAR(S1190),INPC!$B$4:$O$29,MONTH(S1190)+1))</f>
        <v>126.47799999999999</v>
      </c>
      <c r="M1190" s="463">
        <f t="shared" si="166"/>
        <v>1.0216000000000001</v>
      </c>
      <c r="N1190" s="465">
        <f t="shared" si="167"/>
        <v>38.044384000000001</v>
      </c>
      <c r="O1190" s="179"/>
      <c r="P1190" s="180">
        <v>2</v>
      </c>
      <c r="Q1190" s="173" t="s">
        <v>583</v>
      </c>
      <c r="R1190" s="173" t="s">
        <v>230</v>
      </c>
      <c r="S1190" s="174">
        <v>44915</v>
      </c>
      <c r="T1190" s="173" t="s">
        <v>33</v>
      </c>
      <c r="U1190" s="182">
        <v>35.675555555555555</v>
      </c>
      <c r="V1190" s="177">
        <f>IF(U1190=0,0,IF(T1190="MXN",1/HLOOKUP(YEAR(S1190)+(MONTH(S1190)/100),TC!$5:$37,DAY(S1190)+2,FALSE),VLOOKUP(T1190,Equivalencia!$1:$23,((MAX(Equivalencia!$3:$3)-YEAR(S1190))*14)+MONTH(S1190)+2,FALSE)))</f>
        <v>1</v>
      </c>
      <c r="W1190" s="178">
        <f t="shared" si="168"/>
        <v>35.675555555555555</v>
      </c>
      <c r="X1190" s="481">
        <f t="shared" si="169"/>
        <v>-1.5644444444444474</v>
      </c>
      <c r="Y1190" s="179"/>
      <c r="Z1190" s="466">
        <f t="shared" si="170"/>
        <v>38.044384000000001</v>
      </c>
      <c r="AA1190" s="473">
        <f t="shared" si="171"/>
        <v>-2.3688284444444463</v>
      </c>
      <c r="AB1190" s="339">
        <f t="shared" si="172"/>
        <v>-4.2009786370688751E-2</v>
      </c>
    </row>
    <row r="1191" spans="2:28" ht="20.100000000000001" customHeight="1">
      <c r="B1191" s="172">
        <v>1427200</v>
      </c>
      <c r="C1191" s="174">
        <v>44783</v>
      </c>
      <c r="D1191" s="181" t="s">
        <v>437</v>
      </c>
      <c r="E1191" s="173" t="s">
        <v>33</v>
      </c>
      <c r="F1191" s="176">
        <v>36.93</v>
      </c>
      <c r="G1191" s="175">
        <f t="shared" si="163"/>
        <v>2</v>
      </c>
      <c r="H1191" s="175">
        <f t="shared" si="164"/>
        <v>36.93</v>
      </c>
      <c r="I1191" s="177">
        <f>IF(G1191=0,0,IF(E1191="MXN",1/HLOOKUP(YEAR(C1191)+(MONTH(C1191)/100),TC!$5:$37,DAY(C1191)+2,FALSE),VLOOKUP(E1191,Equivalencia!$5:$23,((MAX(Equivalencia!$3:$3)-YEAR(C1191))*14)+MONTH(C1191)+2,FALSE)))</f>
        <v>1</v>
      </c>
      <c r="J1191" s="178">
        <f t="shared" si="165"/>
        <v>36.93</v>
      </c>
      <c r="K1191" s="462">
        <f>IF(C1191=0,0,VLOOKUP(YEAR(C1191),INPC!$B$4:$O$29,MONTH(C1191)+1))</f>
        <v>123.803</v>
      </c>
      <c r="L1191" s="462">
        <f>IF(S1191=0,0,VLOOKUP(YEAR(S1191),INPC!$B$4:$O$29,MONTH(S1191)+1))</f>
        <v>126.47799999999999</v>
      </c>
      <c r="M1191" s="463">
        <f t="shared" si="166"/>
        <v>1.0216000000000001</v>
      </c>
      <c r="N1191" s="465">
        <f t="shared" si="167"/>
        <v>37.727688000000001</v>
      </c>
      <c r="O1191" s="179"/>
      <c r="P1191" s="180">
        <v>2</v>
      </c>
      <c r="Q1191" s="173" t="s">
        <v>583</v>
      </c>
      <c r="R1191" s="173" t="s">
        <v>230</v>
      </c>
      <c r="S1191" s="174">
        <v>44915</v>
      </c>
      <c r="T1191" s="173" t="s">
        <v>33</v>
      </c>
      <c r="U1191" s="182">
        <v>35.366153846153843</v>
      </c>
      <c r="V1191" s="177">
        <f>IF(U1191=0,0,IF(T1191="MXN",1/HLOOKUP(YEAR(S1191)+(MONTH(S1191)/100),TC!$5:$37,DAY(S1191)+2,FALSE),VLOOKUP(T1191,Equivalencia!$1:$23,((MAX(Equivalencia!$3:$3)-YEAR(S1191))*14)+MONTH(S1191)+2,FALSE)))</f>
        <v>1</v>
      </c>
      <c r="W1191" s="178">
        <f t="shared" si="168"/>
        <v>35.366153846153843</v>
      </c>
      <c r="X1191" s="481">
        <f t="shared" si="169"/>
        <v>-1.563846153846157</v>
      </c>
      <c r="Y1191" s="179"/>
      <c r="Z1191" s="466">
        <f t="shared" si="170"/>
        <v>37.727688000000001</v>
      </c>
      <c r="AA1191" s="473">
        <f t="shared" si="171"/>
        <v>-2.3615341538461578</v>
      </c>
      <c r="AB1191" s="339">
        <f t="shared" si="172"/>
        <v>-4.2346226749151339E-2</v>
      </c>
    </row>
    <row r="1192" spans="2:28" ht="20.100000000000001" customHeight="1">
      <c r="B1192" s="172">
        <v>1427200</v>
      </c>
      <c r="C1192" s="174">
        <v>44783</v>
      </c>
      <c r="D1192" s="181" t="s">
        <v>437</v>
      </c>
      <c r="E1192" s="173" t="s">
        <v>33</v>
      </c>
      <c r="F1192" s="176">
        <v>129.27000000000001</v>
      </c>
      <c r="G1192" s="175">
        <f t="shared" si="163"/>
        <v>7</v>
      </c>
      <c r="H1192" s="175">
        <f t="shared" si="164"/>
        <v>129.27000000000001</v>
      </c>
      <c r="I1192" s="177">
        <f>IF(G1192=0,0,IF(E1192="MXN",1/HLOOKUP(YEAR(C1192)+(MONTH(C1192)/100),TC!$5:$37,DAY(C1192)+2,FALSE),VLOOKUP(E1192,Equivalencia!$5:$23,((MAX(Equivalencia!$3:$3)-YEAR(C1192))*14)+MONTH(C1192)+2,FALSE)))</f>
        <v>1</v>
      </c>
      <c r="J1192" s="178">
        <f t="shared" si="165"/>
        <v>129.27000000000001</v>
      </c>
      <c r="K1192" s="462">
        <f>IF(C1192=0,0,VLOOKUP(YEAR(C1192),INPC!$B$4:$O$29,MONTH(C1192)+1))</f>
        <v>123.803</v>
      </c>
      <c r="L1192" s="462">
        <f>IF(S1192=0,0,VLOOKUP(YEAR(S1192),INPC!$B$4:$O$29,MONTH(S1192)+1))</f>
        <v>126.47799999999999</v>
      </c>
      <c r="M1192" s="463">
        <f t="shared" si="166"/>
        <v>1.0216000000000001</v>
      </c>
      <c r="N1192" s="465">
        <f t="shared" si="167"/>
        <v>132.06223200000002</v>
      </c>
      <c r="O1192" s="179"/>
      <c r="P1192" s="180">
        <v>7</v>
      </c>
      <c r="Q1192" s="173" t="s">
        <v>583</v>
      </c>
      <c r="R1192" s="173" t="s">
        <v>230</v>
      </c>
      <c r="S1192" s="174">
        <v>44915</v>
      </c>
      <c r="T1192" s="173" t="s">
        <v>33</v>
      </c>
      <c r="U1192" s="182">
        <v>123.78153846153845</v>
      </c>
      <c r="V1192" s="177">
        <f>IF(U1192=0,0,IF(T1192="MXN",1/HLOOKUP(YEAR(S1192)+(MONTH(S1192)/100),TC!$5:$37,DAY(S1192)+2,FALSE),VLOOKUP(T1192,Equivalencia!$1:$23,((MAX(Equivalencia!$3:$3)-YEAR(S1192))*14)+MONTH(S1192)+2,FALSE)))</f>
        <v>1</v>
      </c>
      <c r="W1192" s="178">
        <f t="shared" si="168"/>
        <v>123.78153846153845</v>
      </c>
      <c r="X1192" s="481">
        <f t="shared" si="169"/>
        <v>-5.4884615384615643</v>
      </c>
      <c r="Y1192" s="179"/>
      <c r="Z1192" s="466">
        <f t="shared" si="170"/>
        <v>132.06223200000002</v>
      </c>
      <c r="AA1192" s="473">
        <f t="shared" si="171"/>
        <v>-8.280693538461577</v>
      </c>
      <c r="AB1192" s="339">
        <f t="shared" si="172"/>
        <v>-4.2457349257071009E-2</v>
      </c>
    </row>
    <row r="1193" spans="2:28" ht="20.100000000000001" customHeight="1">
      <c r="B1193" s="172">
        <v>1427200</v>
      </c>
      <c r="C1193" s="174">
        <v>44783</v>
      </c>
      <c r="D1193" s="181" t="s">
        <v>437</v>
      </c>
      <c r="E1193" s="173" t="s">
        <v>33</v>
      </c>
      <c r="F1193" s="176">
        <v>18.649999999999999</v>
      </c>
      <c r="G1193" s="175">
        <f t="shared" si="163"/>
        <v>1</v>
      </c>
      <c r="H1193" s="175">
        <f t="shared" si="164"/>
        <v>18.649999999999999</v>
      </c>
      <c r="I1193" s="177">
        <f>IF(G1193=0,0,IF(E1193="MXN",1/HLOOKUP(YEAR(C1193)+(MONTH(C1193)/100),TC!$5:$37,DAY(C1193)+2,FALSE),VLOOKUP(E1193,Equivalencia!$5:$23,((MAX(Equivalencia!$3:$3)-YEAR(C1193))*14)+MONTH(C1193)+2,FALSE)))</f>
        <v>1</v>
      </c>
      <c r="J1193" s="178">
        <f t="shared" si="165"/>
        <v>18.649999999999999</v>
      </c>
      <c r="K1193" s="462">
        <f>IF(C1193=0,0,VLOOKUP(YEAR(C1193),INPC!$B$4:$O$29,MONTH(C1193)+1))</f>
        <v>123.803</v>
      </c>
      <c r="L1193" s="462">
        <f>IF(S1193=0,0,VLOOKUP(YEAR(S1193),INPC!$B$4:$O$29,MONTH(S1193)+1))</f>
        <v>126.47799999999999</v>
      </c>
      <c r="M1193" s="463">
        <f t="shared" si="166"/>
        <v>1.0216000000000001</v>
      </c>
      <c r="N1193" s="465">
        <f t="shared" si="167"/>
        <v>19.05284</v>
      </c>
      <c r="O1193" s="179"/>
      <c r="P1193" s="180">
        <v>1</v>
      </c>
      <c r="Q1193" s="173" t="s">
        <v>583</v>
      </c>
      <c r="R1193" s="173" t="s">
        <v>230</v>
      </c>
      <c r="S1193" s="174">
        <v>44915</v>
      </c>
      <c r="T1193" s="173" t="s">
        <v>33</v>
      </c>
      <c r="U1193" s="182">
        <v>17.683076923076921</v>
      </c>
      <c r="V1193" s="177">
        <f>IF(U1193=0,0,IF(T1193="MXN",1/HLOOKUP(YEAR(S1193)+(MONTH(S1193)/100),TC!$5:$37,DAY(S1193)+2,FALSE),VLOOKUP(T1193,Equivalencia!$1:$23,((MAX(Equivalencia!$3:$3)-YEAR(S1193))*14)+MONTH(S1193)+2,FALSE)))</f>
        <v>1</v>
      </c>
      <c r="W1193" s="178">
        <f t="shared" si="168"/>
        <v>17.683076923076921</v>
      </c>
      <c r="X1193" s="481">
        <f t="shared" si="169"/>
        <v>-0.96692307692307722</v>
      </c>
      <c r="Y1193" s="179"/>
      <c r="Z1193" s="466">
        <f t="shared" si="170"/>
        <v>19.05284</v>
      </c>
      <c r="AA1193" s="473">
        <f t="shared" si="171"/>
        <v>-1.3697630769230784</v>
      </c>
      <c r="AB1193" s="339">
        <f t="shared" si="172"/>
        <v>-5.1845741389977329E-2</v>
      </c>
    </row>
    <row r="1194" spans="2:28" ht="20.100000000000001" customHeight="1">
      <c r="B1194" s="172">
        <v>1427200</v>
      </c>
      <c r="C1194" s="174">
        <v>44783</v>
      </c>
      <c r="D1194" s="181" t="s">
        <v>437</v>
      </c>
      <c r="E1194" s="173" t="s">
        <v>33</v>
      </c>
      <c r="F1194" s="176">
        <v>55.95</v>
      </c>
      <c r="G1194" s="175">
        <f t="shared" si="163"/>
        <v>3</v>
      </c>
      <c r="H1194" s="175">
        <f t="shared" si="164"/>
        <v>55.95</v>
      </c>
      <c r="I1194" s="177">
        <f>IF(G1194=0,0,IF(E1194="MXN",1/HLOOKUP(YEAR(C1194)+(MONTH(C1194)/100),TC!$5:$37,DAY(C1194)+2,FALSE),VLOOKUP(E1194,Equivalencia!$5:$23,((MAX(Equivalencia!$3:$3)-YEAR(C1194))*14)+MONTH(C1194)+2,FALSE)))</f>
        <v>1</v>
      </c>
      <c r="J1194" s="178">
        <f t="shared" si="165"/>
        <v>55.95</v>
      </c>
      <c r="K1194" s="462">
        <f>IF(C1194=0,0,VLOOKUP(YEAR(C1194),INPC!$B$4:$O$29,MONTH(C1194)+1))</f>
        <v>123.803</v>
      </c>
      <c r="L1194" s="462">
        <f>IF(S1194=0,0,VLOOKUP(YEAR(S1194),INPC!$B$4:$O$29,MONTH(S1194)+1))</f>
        <v>126.47799999999999</v>
      </c>
      <c r="M1194" s="463">
        <f t="shared" si="166"/>
        <v>1.0216000000000001</v>
      </c>
      <c r="N1194" s="465">
        <f t="shared" si="167"/>
        <v>57.15852000000001</v>
      </c>
      <c r="O1194" s="179"/>
      <c r="P1194" s="180">
        <v>3</v>
      </c>
      <c r="Q1194" s="173" t="s">
        <v>583</v>
      </c>
      <c r="R1194" s="173" t="s">
        <v>230</v>
      </c>
      <c r="S1194" s="174">
        <v>44915</v>
      </c>
      <c r="T1194" s="173" t="s">
        <v>33</v>
      </c>
      <c r="U1194" s="182">
        <v>53.049230769230761</v>
      </c>
      <c r="V1194" s="177">
        <f>IF(U1194=0,0,IF(T1194="MXN",1/HLOOKUP(YEAR(S1194)+(MONTH(S1194)/100),TC!$5:$37,DAY(S1194)+2,FALSE),VLOOKUP(T1194,Equivalencia!$1:$23,((MAX(Equivalencia!$3:$3)-YEAR(S1194))*14)+MONTH(S1194)+2,FALSE)))</f>
        <v>1</v>
      </c>
      <c r="W1194" s="178">
        <f t="shared" si="168"/>
        <v>53.049230769230761</v>
      </c>
      <c r="X1194" s="481">
        <f t="shared" si="169"/>
        <v>-2.9007692307692423</v>
      </c>
      <c r="Y1194" s="179"/>
      <c r="Z1194" s="466">
        <f t="shared" si="170"/>
        <v>57.15852000000001</v>
      </c>
      <c r="AA1194" s="473">
        <f t="shared" si="171"/>
        <v>-4.1092892307692495</v>
      </c>
      <c r="AB1194" s="339">
        <f t="shared" si="172"/>
        <v>-5.1845741389977551E-2</v>
      </c>
    </row>
    <row r="1195" spans="2:28" ht="20.100000000000001" customHeight="1">
      <c r="B1195" s="172">
        <v>1427200</v>
      </c>
      <c r="C1195" s="174">
        <v>44783</v>
      </c>
      <c r="D1195" s="181" t="s">
        <v>437</v>
      </c>
      <c r="E1195" s="173" t="s">
        <v>33</v>
      </c>
      <c r="F1195" s="176">
        <v>55.95</v>
      </c>
      <c r="G1195" s="175">
        <f t="shared" si="163"/>
        <v>3</v>
      </c>
      <c r="H1195" s="175">
        <f t="shared" si="164"/>
        <v>55.95</v>
      </c>
      <c r="I1195" s="177">
        <f>IF(G1195=0,0,IF(E1195="MXN",1/HLOOKUP(YEAR(C1195)+(MONTH(C1195)/100),TC!$5:$37,DAY(C1195)+2,FALSE),VLOOKUP(E1195,Equivalencia!$5:$23,((MAX(Equivalencia!$3:$3)-YEAR(C1195))*14)+MONTH(C1195)+2,FALSE)))</f>
        <v>1</v>
      </c>
      <c r="J1195" s="178">
        <f t="shared" si="165"/>
        <v>55.95</v>
      </c>
      <c r="K1195" s="462">
        <f>IF(C1195=0,0,VLOOKUP(YEAR(C1195),INPC!$B$4:$O$29,MONTH(C1195)+1))</f>
        <v>123.803</v>
      </c>
      <c r="L1195" s="462">
        <f>IF(S1195=0,0,VLOOKUP(YEAR(S1195),INPC!$B$4:$O$29,MONTH(S1195)+1))</f>
        <v>126.47799999999999</v>
      </c>
      <c r="M1195" s="463">
        <f t="shared" si="166"/>
        <v>1.0216000000000001</v>
      </c>
      <c r="N1195" s="465">
        <f t="shared" si="167"/>
        <v>57.15852000000001</v>
      </c>
      <c r="O1195" s="179"/>
      <c r="P1195" s="180">
        <v>3</v>
      </c>
      <c r="Q1195" s="173" t="s">
        <v>583</v>
      </c>
      <c r="R1195" s="173" t="s">
        <v>230</v>
      </c>
      <c r="S1195" s="174">
        <v>44915</v>
      </c>
      <c r="T1195" s="173" t="s">
        <v>33</v>
      </c>
      <c r="U1195" s="182">
        <v>54.100000000000009</v>
      </c>
      <c r="V1195" s="177">
        <f>IF(U1195=0,0,IF(T1195="MXN",1/HLOOKUP(YEAR(S1195)+(MONTH(S1195)/100),TC!$5:$37,DAY(S1195)+2,FALSE),VLOOKUP(T1195,Equivalencia!$1:$23,((MAX(Equivalencia!$3:$3)-YEAR(S1195))*14)+MONTH(S1195)+2,FALSE)))</f>
        <v>1</v>
      </c>
      <c r="W1195" s="178">
        <f t="shared" si="168"/>
        <v>54.100000000000009</v>
      </c>
      <c r="X1195" s="481">
        <f t="shared" si="169"/>
        <v>-1.8499999999999943</v>
      </c>
      <c r="Y1195" s="179"/>
      <c r="Z1195" s="466">
        <f t="shared" si="170"/>
        <v>57.15852000000001</v>
      </c>
      <c r="AA1195" s="473">
        <f t="shared" si="171"/>
        <v>-3.0585200000000015</v>
      </c>
      <c r="AB1195" s="339">
        <f t="shared" si="172"/>
        <v>-3.3065236818587973E-2</v>
      </c>
    </row>
    <row r="1196" spans="2:28" ht="20.100000000000001" customHeight="1">
      <c r="B1196" s="172">
        <v>1427200</v>
      </c>
      <c r="C1196" s="174">
        <v>44783</v>
      </c>
      <c r="D1196" s="181" t="s">
        <v>437</v>
      </c>
      <c r="E1196" s="173" t="s">
        <v>33</v>
      </c>
      <c r="F1196" s="176">
        <v>55.45</v>
      </c>
      <c r="G1196" s="175">
        <f t="shared" si="163"/>
        <v>3</v>
      </c>
      <c r="H1196" s="175">
        <f t="shared" si="164"/>
        <v>55.45</v>
      </c>
      <c r="I1196" s="177">
        <f>IF(G1196=0,0,IF(E1196="MXN",1/HLOOKUP(YEAR(C1196)+(MONTH(C1196)/100),TC!$5:$37,DAY(C1196)+2,FALSE),VLOOKUP(E1196,Equivalencia!$5:$23,((MAX(Equivalencia!$3:$3)-YEAR(C1196))*14)+MONTH(C1196)+2,FALSE)))</f>
        <v>1</v>
      </c>
      <c r="J1196" s="178">
        <f t="shared" si="165"/>
        <v>55.45</v>
      </c>
      <c r="K1196" s="462">
        <f>IF(C1196=0,0,VLOOKUP(YEAR(C1196),INPC!$B$4:$O$29,MONTH(C1196)+1))</f>
        <v>123.803</v>
      </c>
      <c r="L1196" s="462">
        <f>IF(S1196=0,0,VLOOKUP(YEAR(S1196),INPC!$B$4:$O$29,MONTH(S1196)+1))</f>
        <v>126.47799999999999</v>
      </c>
      <c r="M1196" s="463">
        <f t="shared" si="166"/>
        <v>1.0216000000000001</v>
      </c>
      <c r="N1196" s="465">
        <f t="shared" si="167"/>
        <v>56.647720000000007</v>
      </c>
      <c r="O1196" s="179"/>
      <c r="P1196" s="180">
        <v>3</v>
      </c>
      <c r="Q1196" s="173" t="s">
        <v>583</v>
      </c>
      <c r="R1196" s="173" t="s">
        <v>230</v>
      </c>
      <c r="S1196" s="174">
        <v>44915</v>
      </c>
      <c r="T1196" s="173" t="s">
        <v>33</v>
      </c>
      <c r="U1196" s="182">
        <v>53.899999999999991</v>
      </c>
      <c r="V1196" s="177">
        <f>IF(U1196=0,0,IF(T1196="MXN",1/HLOOKUP(YEAR(S1196)+(MONTH(S1196)/100),TC!$5:$37,DAY(S1196)+2,FALSE),VLOOKUP(T1196,Equivalencia!$1:$23,((MAX(Equivalencia!$3:$3)-YEAR(S1196))*14)+MONTH(S1196)+2,FALSE)))</f>
        <v>1</v>
      </c>
      <c r="W1196" s="178">
        <f t="shared" si="168"/>
        <v>53.899999999999991</v>
      </c>
      <c r="X1196" s="481">
        <f t="shared" si="169"/>
        <v>-1.5500000000000114</v>
      </c>
      <c r="Y1196" s="179"/>
      <c r="Z1196" s="466">
        <f t="shared" si="170"/>
        <v>56.647720000000007</v>
      </c>
      <c r="AA1196" s="473">
        <f t="shared" si="171"/>
        <v>-2.7477200000000153</v>
      </c>
      <c r="AB1196" s="339">
        <f t="shared" si="172"/>
        <v>-2.7953110910730605E-2</v>
      </c>
    </row>
    <row r="1197" spans="2:28" ht="20.100000000000001" customHeight="1">
      <c r="B1197" s="172">
        <v>1427200</v>
      </c>
      <c r="C1197" s="174">
        <v>44783</v>
      </c>
      <c r="D1197" s="181" t="s">
        <v>437</v>
      </c>
      <c r="E1197" s="173" t="s">
        <v>33</v>
      </c>
      <c r="F1197" s="176">
        <v>55.45</v>
      </c>
      <c r="G1197" s="175">
        <f t="shared" si="163"/>
        <v>3</v>
      </c>
      <c r="H1197" s="175">
        <f t="shared" si="164"/>
        <v>55.45</v>
      </c>
      <c r="I1197" s="177">
        <f>IF(G1197=0,0,IF(E1197="MXN",1/HLOOKUP(YEAR(C1197)+(MONTH(C1197)/100),TC!$5:$37,DAY(C1197)+2,FALSE),VLOOKUP(E1197,Equivalencia!$5:$23,((MAX(Equivalencia!$3:$3)-YEAR(C1197))*14)+MONTH(C1197)+2,FALSE)))</f>
        <v>1</v>
      </c>
      <c r="J1197" s="178">
        <f t="shared" si="165"/>
        <v>55.45</v>
      </c>
      <c r="K1197" s="462">
        <f>IF(C1197=0,0,VLOOKUP(YEAR(C1197),INPC!$B$4:$O$29,MONTH(C1197)+1))</f>
        <v>123.803</v>
      </c>
      <c r="L1197" s="462">
        <f>IF(S1197=0,0,VLOOKUP(YEAR(S1197),INPC!$B$4:$O$29,MONTH(S1197)+1))</f>
        <v>126.47799999999999</v>
      </c>
      <c r="M1197" s="463">
        <f t="shared" si="166"/>
        <v>1.0216000000000001</v>
      </c>
      <c r="N1197" s="465">
        <f t="shared" si="167"/>
        <v>56.647720000000007</v>
      </c>
      <c r="O1197" s="179"/>
      <c r="P1197" s="180">
        <v>3</v>
      </c>
      <c r="Q1197" s="173" t="s">
        <v>583</v>
      </c>
      <c r="R1197" s="173" t="s">
        <v>230</v>
      </c>
      <c r="S1197" s="174">
        <v>44915</v>
      </c>
      <c r="T1197" s="173" t="s">
        <v>33</v>
      </c>
      <c r="U1197" s="182">
        <v>52.78</v>
      </c>
      <c r="V1197" s="177">
        <f>IF(U1197=0,0,IF(T1197="MXN",1/HLOOKUP(YEAR(S1197)+(MONTH(S1197)/100),TC!$5:$37,DAY(S1197)+2,FALSE),VLOOKUP(T1197,Equivalencia!$1:$23,((MAX(Equivalencia!$3:$3)-YEAR(S1197))*14)+MONTH(S1197)+2,FALSE)))</f>
        <v>1</v>
      </c>
      <c r="W1197" s="178">
        <f t="shared" si="168"/>
        <v>52.78</v>
      </c>
      <c r="X1197" s="481">
        <f t="shared" si="169"/>
        <v>-2.6700000000000017</v>
      </c>
      <c r="Y1197" s="179"/>
      <c r="Z1197" s="466">
        <f t="shared" si="170"/>
        <v>56.647720000000007</v>
      </c>
      <c r="AA1197" s="473">
        <f t="shared" si="171"/>
        <v>-3.8677200000000056</v>
      </c>
      <c r="AB1197" s="339">
        <f t="shared" si="172"/>
        <v>-4.8151487826871064E-2</v>
      </c>
    </row>
    <row r="1198" spans="2:28" ht="20.100000000000001" customHeight="1">
      <c r="B1198" s="172">
        <v>1427200</v>
      </c>
      <c r="C1198" s="174">
        <v>44783</v>
      </c>
      <c r="D1198" s="181" t="s">
        <v>437</v>
      </c>
      <c r="E1198" s="173" t="s">
        <v>33</v>
      </c>
      <c r="F1198" s="176">
        <v>129.43291666666664</v>
      </c>
      <c r="G1198" s="175">
        <f t="shared" si="163"/>
        <v>7</v>
      </c>
      <c r="H1198" s="175">
        <f t="shared" si="164"/>
        <v>129.43291666666664</v>
      </c>
      <c r="I1198" s="177">
        <f>IF(G1198=0,0,IF(E1198="MXN",1/HLOOKUP(YEAR(C1198)+(MONTH(C1198)/100),TC!$5:$37,DAY(C1198)+2,FALSE),VLOOKUP(E1198,Equivalencia!$5:$23,((MAX(Equivalencia!$3:$3)-YEAR(C1198))*14)+MONTH(C1198)+2,FALSE)))</f>
        <v>1</v>
      </c>
      <c r="J1198" s="178">
        <f t="shared" si="165"/>
        <v>129.43291666666664</v>
      </c>
      <c r="K1198" s="462">
        <f>IF(C1198=0,0,VLOOKUP(YEAR(C1198),INPC!$B$4:$O$29,MONTH(C1198)+1))</f>
        <v>123.803</v>
      </c>
      <c r="L1198" s="462">
        <f>IF(S1198=0,0,VLOOKUP(YEAR(S1198),INPC!$B$4:$O$29,MONTH(S1198)+1))</f>
        <v>126.47799999999999</v>
      </c>
      <c r="M1198" s="463">
        <f t="shared" si="166"/>
        <v>1.0216000000000001</v>
      </c>
      <c r="N1198" s="465">
        <f t="shared" si="167"/>
        <v>132.22866766666664</v>
      </c>
      <c r="O1198" s="179"/>
      <c r="P1198" s="180">
        <v>7</v>
      </c>
      <c r="Q1198" s="173" t="s">
        <v>583</v>
      </c>
      <c r="R1198" s="173" t="s">
        <v>230</v>
      </c>
      <c r="S1198" s="174">
        <v>44915</v>
      </c>
      <c r="T1198" s="173" t="s">
        <v>33</v>
      </c>
      <c r="U1198" s="182">
        <v>123.15000000000002</v>
      </c>
      <c r="V1198" s="177">
        <f>IF(U1198=0,0,IF(T1198="MXN",1/HLOOKUP(YEAR(S1198)+(MONTH(S1198)/100),TC!$5:$37,DAY(S1198)+2,FALSE),VLOOKUP(T1198,Equivalencia!$1:$23,((MAX(Equivalencia!$3:$3)-YEAR(S1198))*14)+MONTH(S1198)+2,FALSE)))</f>
        <v>1</v>
      </c>
      <c r="W1198" s="178">
        <f t="shared" si="168"/>
        <v>123.15000000000002</v>
      </c>
      <c r="X1198" s="481">
        <f t="shared" si="169"/>
        <v>-6.2829166666666225</v>
      </c>
      <c r="Y1198" s="179"/>
      <c r="Z1198" s="466">
        <f t="shared" si="170"/>
        <v>132.22866766666664</v>
      </c>
      <c r="AA1198" s="473">
        <f t="shared" si="171"/>
        <v>-9.0786676666666182</v>
      </c>
      <c r="AB1198" s="339">
        <f t="shared" si="172"/>
        <v>-4.8541876583429344E-2</v>
      </c>
    </row>
    <row r="1199" spans="2:28" ht="20.100000000000001" customHeight="1">
      <c r="B1199" s="172">
        <v>1427200</v>
      </c>
      <c r="C1199" s="174">
        <v>44783</v>
      </c>
      <c r="D1199" s="181" t="s">
        <v>437</v>
      </c>
      <c r="E1199" s="173" t="s">
        <v>33</v>
      </c>
      <c r="F1199" s="176">
        <v>73.961666666666659</v>
      </c>
      <c r="G1199" s="175">
        <f t="shared" si="163"/>
        <v>4</v>
      </c>
      <c r="H1199" s="175">
        <f t="shared" si="164"/>
        <v>73.961666666666659</v>
      </c>
      <c r="I1199" s="177">
        <f>IF(G1199=0,0,IF(E1199="MXN",1/HLOOKUP(YEAR(C1199)+(MONTH(C1199)/100),TC!$5:$37,DAY(C1199)+2,FALSE),VLOOKUP(E1199,Equivalencia!$5:$23,((MAX(Equivalencia!$3:$3)-YEAR(C1199))*14)+MONTH(C1199)+2,FALSE)))</f>
        <v>1</v>
      </c>
      <c r="J1199" s="178">
        <f t="shared" si="165"/>
        <v>73.961666666666659</v>
      </c>
      <c r="K1199" s="462">
        <f>IF(C1199=0,0,VLOOKUP(YEAR(C1199),INPC!$B$4:$O$29,MONTH(C1199)+1))</f>
        <v>123.803</v>
      </c>
      <c r="L1199" s="462">
        <f>IF(S1199=0,0,VLOOKUP(YEAR(S1199),INPC!$B$4:$O$29,MONTH(S1199)+1))</f>
        <v>126.47799999999999</v>
      </c>
      <c r="M1199" s="463">
        <f t="shared" si="166"/>
        <v>1.0216000000000001</v>
      </c>
      <c r="N1199" s="465">
        <f t="shared" si="167"/>
        <v>75.559238666666658</v>
      </c>
      <c r="O1199" s="179"/>
      <c r="P1199" s="180">
        <v>4</v>
      </c>
      <c r="Q1199" s="173" t="s">
        <v>583</v>
      </c>
      <c r="R1199" s="173" t="s">
        <v>230</v>
      </c>
      <c r="S1199" s="174">
        <v>44916</v>
      </c>
      <c r="T1199" s="173" t="s">
        <v>33</v>
      </c>
      <c r="U1199" s="182">
        <v>71.349999999999994</v>
      </c>
      <c r="V1199" s="177">
        <f>IF(U1199=0,0,IF(T1199="MXN",1/HLOOKUP(YEAR(S1199)+(MONTH(S1199)/100),TC!$5:$37,DAY(S1199)+2,FALSE),VLOOKUP(T1199,Equivalencia!$1:$23,((MAX(Equivalencia!$3:$3)-YEAR(S1199))*14)+MONTH(S1199)+2,FALSE)))</f>
        <v>1</v>
      </c>
      <c r="W1199" s="178">
        <f t="shared" si="168"/>
        <v>71.349999999999994</v>
      </c>
      <c r="X1199" s="481">
        <f t="shared" si="169"/>
        <v>-2.6116666666666646</v>
      </c>
      <c r="Y1199" s="179"/>
      <c r="Z1199" s="466">
        <f t="shared" si="170"/>
        <v>75.559238666666658</v>
      </c>
      <c r="AA1199" s="473">
        <f t="shared" si="171"/>
        <v>-4.2092386666666641</v>
      </c>
      <c r="AB1199" s="339">
        <f t="shared" si="172"/>
        <v>-3.5311084570836204E-2</v>
      </c>
    </row>
    <row r="1200" spans="2:28" ht="20.100000000000001" customHeight="1">
      <c r="B1200" s="172">
        <v>1427200</v>
      </c>
      <c r="C1200" s="174">
        <v>44783</v>
      </c>
      <c r="D1200" s="181" t="s">
        <v>437</v>
      </c>
      <c r="E1200" s="173" t="s">
        <v>33</v>
      </c>
      <c r="F1200" s="176">
        <v>18.490416666666665</v>
      </c>
      <c r="G1200" s="175">
        <f t="shared" si="163"/>
        <v>1</v>
      </c>
      <c r="H1200" s="175">
        <f t="shared" si="164"/>
        <v>18.490416666666665</v>
      </c>
      <c r="I1200" s="177">
        <f>IF(G1200=0,0,IF(E1200="MXN",1/HLOOKUP(YEAR(C1200)+(MONTH(C1200)/100),TC!$5:$37,DAY(C1200)+2,FALSE),VLOOKUP(E1200,Equivalencia!$5:$23,((MAX(Equivalencia!$3:$3)-YEAR(C1200))*14)+MONTH(C1200)+2,FALSE)))</f>
        <v>1</v>
      </c>
      <c r="J1200" s="178">
        <f t="shared" si="165"/>
        <v>18.490416666666665</v>
      </c>
      <c r="K1200" s="462">
        <f>IF(C1200=0,0,VLOOKUP(YEAR(C1200),INPC!$B$4:$O$29,MONTH(C1200)+1))</f>
        <v>123.803</v>
      </c>
      <c r="L1200" s="462">
        <f>IF(S1200=0,0,VLOOKUP(YEAR(S1200),INPC!$B$4:$O$29,MONTH(S1200)+1))</f>
        <v>126.47799999999999</v>
      </c>
      <c r="M1200" s="463">
        <f t="shared" si="166"/>
        <v>1.0216000000000001</v>
      </c>
      <c r="N1200" s="465">
        <f t="shared" si="167"/>
        <v>18.889809666666665</v>
      </c>
      <c r="O1200" s="179"/>
      <c r="P1200" s="180">
        <v>1</v>
      </c>
      <c r="Q1200" s="173" t="s">
        <v>583</v>
      </c>
      <c r="R1200" s="173" t="s">
        <v>230</v>
      </c>
      <c r="S1200" s="174">
        <v>44916</v>
      </c>
      <c r="T1200" s="173" t="s">
        <v>33</v>
      </c>
      <c r="U1200" s="182">
        <v>17.79</v>
      </c>
      <c r="V1200" s="177">
        <f>IF(U1200=0,0,IF(T1200="MXN",1/HLOOKUP(YEAR(S1200)+(MONTH(S1200)/100),TC!$5:$37,DAY(S1200)+2,FALSE),VLOOKUP(T1200,Equivalencia!$1:$23,((MAX(Equivalencia!$3:$3)-YEAR(S1200))*14)+MONTH(S1200)+2,FALSE)))</f>
        <v>1</v>
      </c>
      <c r="W1200" s="178">
        <f t="shared" si="168"/>
        <v>17.79</v>
      </c>
      <c r="X1200" s="481">
        <f t="shared" si="169"/>
        <v>-0.70041666666666558</v>
      </c>
      <c r="Y1200" s="179"/>
      <c r="Z1200" s="466">
        <f t="shared" si="170"/>
        <v>18.889809666666665</v>
      </c>
      <c r="AA1200" s="473">
        <f t="shared" si="171"/>
        <v>-1.0998096666666655</v>
      </c>
      <c r="AB1200" s="339">
        <f t="shared" si="172"/>
        <v>-3.7879982874011286E-2</v>
      </c>
    </row>
    <row r="1201" spans="2:28" ht="20.100000000000001" customHeight="1">
      <c r="B1201" s="172">
        <v>1427200</v>
      </c>
      <c r="C1201" s="174">
        <v>44783</v>
      </c>
      <c r="D1201" s="181" t="s">
        <v>437</v>
      </c>
      <c r="E1201" s="173" t="s">
        <v>33</v>
      </c>
      <c r="F1201" s="176">
        <v>221.88499999999999</v>
      </c>
      <c r="G1201" s="175">
        <f t="shared" si="163"/>
        <v>12</v>
      </c>
      <c r="H1201" s="175">
        <f t="shared" si="164"/>
        <v>221.88499999999999</v>
      </c>
      <c r="I1201" s="177">
        <f>IF(G1201=0,0,IF(E1201="MXN",1/HLOOKUP(YEAR(C1201)+(MONTH(C1201)/100),TC!$5:$37,DAY(C1201)+2,FALSE),VLOOKUP(E1201,Equivalencia!$5:$23,((MAX(Equivalencia!$3:$3)-YEAR(C1201))*14)+MONTH(C1201)+2,FALSE)))</f>
        <v>1</v>
      </c>
      <c r="J1201" s="178">
        <f t="shared" si="165"/>
        <v>221.88499999999999</v>
      </c>
      <c r="K1201" s="462">
        <f>IF(C1201=0,0,VLOOKUP(YEAR(C1201),INPC!$B$4:$O$29,MONTH(C1201)+1))</f>
        <v>123.803</v>
      </c>
      <c r="L1201" s="462">
        <f>IF(S1201=0,0,VLOOKUP(YEAR(S1201),INPC!$B$4:$O$29,MONTH(S1201)+1))</f>
        <v>126.47799999999999</v>
      </c>
      <c r="M1201" s="463">
        <f t="shared" si="166"/>
        <v>1.0216000000000001</v>
      </c>
      <c r="N1201" s="465">
        <f t="shared" si="167"/>
        <v>226.677716</v>
      </c>
      <c r="O1201" s="179"/>
      <c r="P1201" s="180">
        <v>12</v>
      </c>
      <c r="Q1201" s="173" t="s">
        <v>583</v>
      </c>
      <c r="R1201" s="173" t="s">
        <v>230</v>
      </c>
      <c r="S1201" s="174">
        <v>44916</v>
      </c>
      <c r="T1201" s="173" t="s">
        <v>33</v>
      </c>
      <c r="U1201" s="182">
        <v>213.56</v>
      </c>
      <c r="V1201" s="177">
        <f>IF(U1201=0,0,IF(T1201="MXN",1/HLOOKUP(YEAR(S1201)+(MONTH(S1201)/100),TC!$5:$37,DAY(S1201)+2,FALSE),VLOOKUP(T1201,Equivalencia!$1:$23,((MAX(Equivalencia!$3:$3)-YEAR(S1201))*14)+MONTH(S1201)+2,FALSE)))</f>
        <v>1</v>
      </c>
      <c r="W1201" s="178">
        <f t="shared" si="168"/>
        <v>213.56</v>
      </c>
      <c r="X1201" s="481">
        <f t="shared" si="169"/>
        <v>-8.3249999999999886</v>
      </c>
      <c r="Y1201" s="179"/>
      <c r="Z1201" s="466">
        <f t="shared" si="170"/>
        <v>226.677716</v>
      </c>
      <c r="AA1201" s="473">
        <f t="shared" si="171"/>
        <v>-13.117716000000001</v>
      </c>
      <c r="AB1201" s="339">
        <f t="shared" si="172"/>
        <v>-3.7519435743741059E-2</v>
      </c>
    </row>
    <row r="1202" spans="2:28" ht="20.100000000000001" customHeight="1">
      <c r="B1202" s="172">
        <v>1427200</v>
      </c>
      <c r="C1202" s="174">
        <v>44783</v>
      </c>
      <c r="D1202" s="181" t="s">
        <v>437</v>
      </c>
      <c r="E1202" s="173" t="s">
        <v>33</v>
      </c>
      <c r="F1202" s="176">
        <v>216.71999999999997</v>
      </c>
      <c r="G1202" s="175">
        <f t="shared" si="163"/>
        <v>12</v>
      </c>
      <c r="H1202" s="175">
        <f t="shared" si="164"/>
        <v>216.71999999999997</v>
      </c>
      <c r="I1202" s="177">
        <f>IF(G1202=0,0,IF(E1202="MXN",1/HLOOKUP(YEAR(C1202)+(MONTH(C1202)/100),TC!$5:$37,DAY(C1202)+2,FALSE),VLOOKUP(E1202,Equivalencia!$5:$23,((MAX(Equivalencia!$3:$3)-YEAR(C1202))*14)+MONTH(C1202)+2,FALSE)))</f>
        <v>1</v>
      </c>
      <c r="J1202" s="178">
        <f t="shared" si="165"/>
        <v>216.71999999999997</v>
      </c>
      <c r="K1202" s="462">
        <f>IF(C1202=0,0,VLOOKUP(YEAR(C1202),INPC!$B$4:$O$29,MONTH(C1202)+1))</f>
        <v>123.803</v>
      </c>
      <c r="L1202" s="462">
        <f>IF(S1202=0,0,VLOOKUP(YEAR(S1202),INPC!$B$4:$O$29,MONTH(S1202)+1))</f>
        <v>126.47799999999999</v>
      </c>
      <c r="M1202" s="463">
        <f t="shared" si="166"/>
        <v>1.0216000000000001</v>
      </c>
      <c r="N1202" s="465">
        <f t="shared" si="167"/>
        <v>221.401152</v>
      </c>
      <c r="O1202" s="179"/>
      <c r="P1202" s="180">
        <v>12</v>
      </c>
      <c r="Q1202" s="173" t="s">
        <v>583</v>
      </c>
      <c r="R1202" s="173" t="s">
        <v>230</v>
      </c>
      <c r="S1202" s="174">
        <v>44916</v>
      </c>
      <c r="T1202" s="173" t="s">
        <v>33</v>
      </c>
      <c r="U1202" s="182">
        <v>213.56</v>
      </c>
      <c r="V1202" s="177">
        <f>IF(U1202=0,0,IF(T1202="MXN",1/HLOOKUP(YEAR(S1202)+(MONTH(S1202)/100),TC!$5:$37,DAY(S1202)+2,FALSE),VLOOKUP(T1202,Equivalencia!$1:$23,((MAX(Equivalencia!$3:$3)-YEAR(S1202))*14)+MONTH(S1202)+2,FALSE)))</f>
        <v>1</v>
      </c>
      <c r="W1202" s="178">
        <f t="shared" si="168"/>
        <v>213.56</v>
      </c>
      <c r="X1202" s="481">
        <f t="shared" si="169"/>
        <v>-3.1599999999999682</v>
      </c>
      <c r="Y1202" s="179"/>
      <c r="Z1202" s="466">
        <f t="shared" si="170"/>
        <v>221.401152</v>
      </c>
      <c r="AA1202" s="473">
        <f t="shared" si="171"/>
        <v>-7.8411519999999939</v>
      </c>
      <c r="AB1202" s="339">
        <f t="shared" si="172"/>
        <v>-1.458102620893309E-2</v>
      </c>
    </row>
    <row r="1203" spans="2:28" ht="20.100000000000001" customHeight="1">
      <c r="B1203" s="172">
        <v>1427200</v>
      </c>
      <c r="C1203" s="174">
        <v>44783</v>
      </c>
      <c r="D1203" s="181" t="s">
        <v>437</v>
      </c>
      <c r="E1203" s="173" t="s">
        <v>33</v>
      </c>
      <c r="F1203" s="176">
        <v>36.119999999999997</v>
      </c>
      <c r="G1203" s="175">
        <f t="shared" si="163"/>
        <v>2</v>
      </c>
      <c r="H1203" s="175">
        <f t="shared" si="164"/>
        <v>36.119999999999997</v>
      </c>
      <c r="I1203" s="177">
        <f>IF(G1203=0,0,IF(E1203="MXN",1/HLOOKUP(YEAR(C1203)+(MONTH(C1203)/100),TC!$5:$37,DAY(C1203)+2,FALSE),VLOOKUP(E1203,Equivalencia!$5:$23,((MAX(Equivalencia!$3:$3)-YEAR(C1203))*14)+MONTH(C1203)+2,FALSE)))</f>
        <v>1</v>
      </c>
      <c r="J1203" s="178">
        <f t="shared" si="165"/>
        <v>36.119999999999997</v>
      </c>
      <c r="K1203" s="462">
        <f>IF(C1203=0,0,VLOOKUP(YEAR(C1203),INPC!$B$4:$O$29,MONTH(C1203)+1))</f>
        <v>123.803</v>
      </c>
      <c r="L1203" s="462">
        <f>IF(S1203=0,0,VLOOKUP(YEAR(S1203),INPC!$B$4:$O$29,MONTH(S1203)+1))</f>
        <v>126.47799999999999</v>
      </c>
      <c r="M1203" s="463">
        <f t="shared" si="166"/>
        <v>1.0216000000000001</v>
      </c>
      <c r="N1203" s="465">
        <f t="shared" si="167"/>
        <v>36.900191999999997</v>
      </c>
      <c r="O1203" s="179"/>
      <c r="P1203" s="180">
        <v>2</v>
      </c>
      <c r="Q1203" s="173" t="s">
        <v>583</v>
      </c>
      <c r="R1203" s="173" t="s">
        <v>230</v>
      </c>
      <c r="S1203" s="174">
        <v>44916</v>
      </c>
      <c r="T1203" s="173" t="s">
        <v>33</v>
      </c>
      <c r="U1203" s="182">
        <v>35.513333333333335</v>
      </c>
      <c r="V1203" s="177">
        <f>IF(U1203=0,0,IF(T1203="MXN",1/HLOOKUP(YEAR(S1203)+(MONTH(S1203)/100),TC!$5:$37,DAY(S1203)+2,FALSE),VLOOKUP(T1203,Equivalencia!$1:$23,((MAX(Equivalencia!$3:$3)-YEAR(S1203))*14)+MONTH(S1203)+2,FALSE)))</f>
        <v>1</v>
      </c>
      <c r="W1203" s="178">
        <f t="shared" si="168"/>
        <v>35.513333333333335</v>
      </c>
      <c r="X1203" s="481">
        <f t="shared" si="169"/>
        <v>-0.60666666666666202</v>
      </c>
      <c r="Y1203" s="179"/>
      <c r="Z1203" s="466">
        <f t="shared" si="170"/>
        <v>36.900191999999997</v>
      </c>
      <c r="AA1203" s="473">
        <f t="shared" si="171"/>
        <v>-1.3868586666666616</v>
      </c>
      <c r="AB1203" s="339">
        <f t="shared" si="172"/>
        <v>-1.679586563307478E-2</v>
      </c>
    </row>
    <row r="1204" spans="2:28" ht="20.100000000000001" customHeight="1">
      <c r="B1204" s="172">
        <v>1427200</v>
      </c>
      <c r="C1204" s="174">
        <v>44784</v>
      </c>
      <c r="D1204" s="181" t="s">
        <v>437</v>
      </c>
      <c r="E1204" s="173" t="s">
        <v>33</v>
      </c>
      <c r="F1204" s="176">
        <v>18.41</v>
      </c>
      <c r="G1204" s="175">
        <f t="shared" si="163"/>
        <v>1</v>
      </c>
      <c r="H1204" s="175">
        <f t="shared" si="164"/>
        <v>18.41</v>
      </c>
      <c r="I1204" s="177">
        <f>IF(G1204=0,0,IF(E1204="MXN",1/HLOOKUP(YEAR(C1204)+(MONTH(C1204)/100),TC!$5:$37,DAY(C1204)+2,FALSE),VLOOKUP(E1204,Equivalencia!$5:$23,((MAX(Equivalencia!$3:$3)-YEAR(C1204))*14)+MONTH(C1204)+2,FALSE)))</f>
        <v>1</v>
      </c>
      <c r="J1204" s="178">
        <f t="shared" si="165"/>
        <v>18.41</v>
      </c>
      <c r="K1204" s="462">
        <f>IF(C1204=0,0,VLOOKUP(YEAR(C1204),INPC!$B$4:$O$29,MONTH(C1204)+1))</f>
        <v>123.803</v>
      </c>
      <c r="L1204" s="462">
        <f>IF(S1204=0,0,VLOOKUP(YEAR(S1204),INPC!$B$4:$O$29,MONTH(S1204)+1))</f>
        <v>126.47799999999999</v>
      </c>
      <c r="M1204" s="463">
        <f t="shared" si="166"/>
        <v>1.0216000000000001</v>
      </c>
      <c r="N1204" s="465">
        <f t="shared" si="167"/>
        <v>18.807656000000001</v>
      </c>
      <c r="O1204" s="179"/>
      <c r="P1204" s="180">
        <v>1</v>
      </c>
      <c r="Q1204" s="173" t="s">
        <v>583</v>
      </c>
      <c r="R1204" s="173" t="s">
        <v>230</v>
      </c>
      <c r="S1204" s="174">
        <v>44916</v>
      </c>
      <c r="T1204" s="173" t="s">
        <v>33</v>
      </c>
      <c r="U1204" s="182">
        <v>17.756666666666668</v>
      </c>
      <c r="V1204" s="177">
        <f>IF(U1204=0,0,IF(T1204="MXN",1/HLOOKUP(YEAR(S1204)+(MONTH(S1204)/100),TC!$5:$37,DAY(S1204)+2,FALSE),VLOOKUP(T1204,Equivalencia!$1:$23,((MAX(Equivalencia!$3:$3)-YEAR(S1204))*14)+MONTH(S1204)+2,FALSE)))</f>
        <v>1</v>
      </c>
      <c r="W1204" s="178">
        <f t="shared" si="168"/>
        <v>17.756666666666668</v>
      </c>
      <c r="X1204" s="481">
        <f t="shared" si="169"/>
        <v>-0.65333333333333243</v>
      </c>
      <c r="Y1204" s="179"/>
      <c r="Z1204" s="466">
        <f t="shared" si="170"/>
        <v>18.807656000000001</v>
      </c>
      <c r="AA1204" s="473">
        <f t="shared" si="171"/>
        <v>-1.0509893333333338</v>
      </c>
      <c r="AB1204" s="339">
        <f t="shared" si="172"/>
        <v>-3.5487959442331962E-2</v>
      </c>
    </row>
    <row r="1205" spans="2:28" ht="20.100000000000001" customHeight="1">
      <c r="B1205" s="172">
        <v>1427200</v>
      </c>
      <c r="C1205" s="174">
        <v>44784</v>
      </c>
      <c r="D1205" s="181" t="s">
        <v>437</v>
      </c>
      <c r="E1205" s="173" t="s">
        <v>33</v>
      </c>
      <c r="F1205" s="176">
        <v>37.6</v>
      </c>
      <c r="G1205" s="175">
        <f t="shared" si="163"/>
        <v>2</v>
      </c>
      <c r="H1205" s="175">
        <f t="shared" si="164"/>
        <v>37.6</v>
      </c>
      <c r="I1205" s="177">
        <f>IF(G1205=0,0,IF(E1205="MXN",1/HLOOKUP(YEAR(C1205)+(MONTH(C1205)/100),TC!$5:$37,DAY(C1205)+2,FALSE),VLOOKUP(E1205,Equivalencia!$5:$23,((MAX(Equivalencia!$3:$3)-YEAR(C1205))*14)+MONTH(C1205)+2,FALSE)))</f>
        <v>1</v>
      </c>
      <c r="J1205" s="178">
        <f t="shared" si="165"/>
        <v>37.6</v>
      </c>
      <c r="K1205" s="462">
        <f>IF(C1205=0,0,VLOOKUP(YEAR(C1205),INPC!$B$4:$O$29,MONTH(C1205)+1))</f>
        <v>123.803</v>
      </c>
      <c r="L1205" s="462">
        <f>IF(S1205=0,0,VLOOKUP(YEAR(S1205),INPC!$B$4:$O$29,MONTH(S1205)+1))</f>
        <v>126.47799999999999</v>
      </c>
      <c r="M1205" s="463">
        <f t="shared" si="166"/>
        <v>1.0216000000000001</v>
      </c>
      <c r="N1205" s="465">
        <f t="shared" si="167"/>
        <v>38.412160000000007</v>
      </c>
      <c r="O1205" s="179"/>
      <c r="P1205" s="180">
        <v>2</v>
      </c>
      <c r="Q1205" s="173" t="s">
        <v>583</v>
      </c>
      <c r="R1205" s="173" t="s">
        <v>230</v>
      </c>
      <c r="S1205" s="174">
        <v>44916</v>
      </c>
      <c r="T1205" s="173" t="s">
        <v>33</v>
      </c>
      <c r="U1205" s="182">
        <v>35.513333333333335</v>
      </c>
      <c r="V1205" s="177">
        <f>IF(U1205=0,0,IF(T1205="MXN",1/HLOOKUP(YEAR(S1205)+(MONTH(S1205)/100),TC!$5:$37,DAY(S1205)+2,FALSE),VLOOKUP(T1205,Equivalencia!$1:$23,((MAX(Equivalencia!$3:$3)-YEAR(S1205))*14)+MONTH(S1205)+2,FALSE)))</f>
        <v>1</v>
      </c>
      <c r="W1205" s="178">
        <f t="shared" si="168"/>
        <v>35.513333333333335</v>
      </c>
      <c r="X1205" s="481">
        <f t="shared" si="169"/>
        <v>-2.086666666666666</v>
      </c>
      <c r="Y1205" s="179"/>
      <c r="Z1205" s="466">
        <f t="shared" si="170"/>
        <v>38.412160000000007</v>
      </c>
      <c r="AA1205" s="473">
        <f t="shared" si="171"/>
        <v>-2.8988266666666718</v>
      </c>
      <c r="AB1205" s="339">
        <f t="shared" si="172"/>
        <v>-5.5496453900709231E-2</v>
      </c>
    </row>
    <row r="1206" spans="2:28" ht="20.100000000000001" customHeight="1">
      <c r="B1206" s="172">
        <v>1427200</v>
      </c>
      <c r="C1206" s="174">
        <v>44784</v>
      </c>
      <c r="D1206" s="181" t="s">
        <v>437</v>
      </c>
      <c r="E1206" s="173" t="s">
        <v>33</v>
      </c>
      <c r="F1206" s="176">
        <v>55.22</v>
      </c>
      <c r="G1206" s="175">
        <f t="shared" si="163"/>
        <v>3</v>
      </c>
      <c r="H1206" s="175">
        <f t="shared" si="164"/>
        <v>55.22</v>
      </c>
      <c r="I1206" s="177">
        <f>IF(G1206=0,0,IF(E1206="MXN",1/HLOOKUP(YEAR(C1206)+(MONTH(C1206)/100),TC!$5:$37,DAY(C1206)+2,FALSE),VLOOKUP(E1206,Equivalencia!$5:$23,((MAX(Equivalencia!$3:$3)-YEAR(C1206))*14)+MONTH(C1206)+2,FALSE)))</f>
        <v>1</v>
      </c>
      <c r="J1206" s="178">
        <f t="shared" si="165"/>
        <v>55.22</v>
      </c>
      <c r="K1206" s="462">
        <f>IF(C1206=0,0,VLOOKUP(YEAR(C1206),INPC!$B$4:$O$29,MONTH(C1206)+1))</f>
        <v>123.803</v>
      </c>
      <c r="L1206" s="462">
        <f>IF(S1206=0,0,VLOOKUP(YEAR(S1206),INPC!$B$4:$O$29,MONTH(S1206)+1))</f>
        <v>126.47799999999999</v>
      </c>
      <c r="M1206" s="463">
        <f t="shared" si="166"/>
        <v>1.0216000000000001</v>
      </c>
      <c r="N1206" s="465">
        <f t="shared" si="167"/>
        <v>56.412752000000005</v>
      </c>
      <c r="O1206" s="179"/>
      <c r="P1206" s="180">
        <v>3</v>
      </c>
      <c r="Q1206" s="173" t="s">
        <v>583</v>
      </c>
      <c r="R1206" s="173" t="s">
        <v>230</v>
      </c>
      <c r="S1206" s="174">
        <v>44916</v>
      </c>
      <c r="T1206" s="173" t="s">
        <v>33</v>
      </c>
      <c r="U1206" s="182">
        <v>53.27</v>
      </c>
      <c r="V1206" s="177">
        <f>IF(U1206=0,0,IF(T1206="MXN",1/HLOOKUP(YEAR(S1206)+(MONTH(S1206)/100),TC!$5:$37,DAY(S1206)+2,FALSE),VLOOKUP(T1206,Equivalencia!$1:$23,((MAX(Equivalencia!$3:$3)-YEAR(S1206))*14)+MONTH(S1206)+2,FALSE)))</f>
        <v>1</v>
      </c>
      <c r="W1206" s="178">
        <f t="shared" si="168"/>
        <v>53.27</v>
      </c>
      <c r="X1206" s="481">
        <f t="shared" si="169"/>
        <v>-1.9499999999999957</v>
      </c>
      <c r="Y1206" s="179"/>
      <c r="Z1206" s="466">
        <f t="shared" si="170"/>
        <v>56.412752000000005</v>
      </c>
      <c r="AA1206" s="473">
        <f t="shared" si="171"/>
        <v>-3.1427520000000015</v>
      </c>
      <c r="AB1206" s="339">
        <f t="shared" si="172"/>
        <v>-3.5313292285403808E-2</v>
      </c>
    </row>
    <row r="1207" spans="2:28" ht="20.100000000000001" customHeight="1">
      <c r="B1207" s="172">
        <v>1427200</v>
      </c>
      <c r="C1207" s="174">
        <v>44784</v>
      </c>
      <c r="D1207" s="181" t="s">
        <v>437</v>
      </c>
      <c r="E1207" s="173" t="s">
        <v>33</v>
      </c>
      <c r="F1207" s="176">
        <v>112.81</v>
      </c>
      <c r="G1207" s="175">
        <f t="shared" si="163"/>
        <v>6</v>
      </c>
      <c r="H1207" s="175">
        <f t="shared" si="164"/>
        <v>112.81</v>
      </c>
      <c r="I1207" s="177">
        <f>IF(G1207=0,0,IF(E1207="MXN",1/HLOOKUP(YEAR(C1207)+(MONTH(C1207)/100),TC!$5:$37,DAY(C1207)+2,FALSE),VLOOKUP(E1207,Equivalencia!$5:$23,((MAX(Equivalencia!$3:$3)-YEAR(C1207))*14)+MONTH(C1207)+2,FALSE)))</f>
        <v>1</v>
      </c>
      <c r="J1207" s="178">
        <f t="shared" si="165"/>
        <v>112.81</v>
      </c>
      <c r="K1207" s="462">
        <f>IF(C1207=0,0,VLOOKUP(YEAR(C1207),INPC!$B$4:$O$29,MONTH(C1207)+1))</f>
        <v>123.803</v>
      </c>
      <c r="L1207" s="462">
        <f>IF(S1207=0,0,VLOOKUP(YEAR(S1207),INPC!$B$4:$O$29,MONTH(S1207)+1))</f>
        <v>126.47799999999999</v>
      </c>
      <c r="M1207" s="463">
        <f t="shared" si="166"/>
        <v>1.0216000000000001</v>
      </c>
      <c r="N1207" s="465">
        <f t="shared" si="167"/>
        <v>115.24669600000001</v>
      </c>
      <c r="O1207" s="179"/>
      <c r="P1207" s="180">
        <v>6</v>
      </c>
      <c r="Q1207" s="173" t="s">
        <v>583</v>
      </c>
      <c r="R1207" s="173" t="s">
        <v>230</v>
      </c>
      <c r="S1207" s="174">
        <v>44916</v>
      </c>
      <c r="T1207" s="173" t="s">
        <v>33</v>
      </c>
      <c r="U1207" s="182">
        <v>106.54</v>
      </c>
      <c r="V1207" s="177">
        <f>IF(U1207=0,0,IF(T1207="MXN",1/HLOOKUP(YEAR(S1207)+(MONTH(S1207)/100),TC!$5:$37,DAY(S1207)+2,FALSE),VLOOKUP(T1207,Equivalencia!$1:$23,((MAX(Equivalencia!$3:$3)-YEAR(S1207))*14)+MONTH(S1207)+2,FALSE)))</f>
        <v>1</v>
      </c>
      <c r="W1207" s="178">
        <f t="shared" si="168"/>
        <v>106.54</v>
      </c>
      <c r="X1207" s="481">
        <f t="shared" si="169"/>
        <v>-6.269999999999996</v>
      </c>
      <c r="Y1207" s="179"/>
      <c r="Z1207" s="466">
        <f t="shared" si="170"/>
        <v>115.24669600000001</v>
      </c>
      <c r="AA1207" s="473">
        <f t="shared" si="171"/>
        <v>-8.706696000000008</v>
      </c>
      <c r="AB1207" s="339">
        <f t="shared" si="172"/>
        <v>-5.5580179062139856E-2</v>
      </c>
    </row>
    <row r="1208" spans="2:28" ht="20.100000000000001" customHeight="1">
      <c r="B1208" s="172">
        <v>1427200</v>
      </c>
      <c r="C1208" s="174">
        <v>44817</v>
      </c>
      <c r="D1208" s="181" t="s">
        <v>437</v>
      </c>
      <c r="E1208" s="173" t="s">
        <v>33</v>
      </c>
      <c r="F1208" s="176">
        <v>336.8</v>
      </c>
      <c r="G1208" s="175">
        <f t="shared" si="163"/>
        <v>16</v>
      </c>
      <c r="H1208" s="175">
        <f t="shared" si="164"/>
        <v>336.8</v>
      </c>
      <c r="I1208" s="177">
        <f>IF(G1208=0,0,IF(E1208="MXN",1/HLOOKUP(YEAR(C1208)+(MONTH(C1208)/100),TC!$5:$37,DAY(C1208)+2,FALSE),VLOOKUP(E1208,Equivalencia!$5:$23,((MAX(Equivalencia!$3:$3)-YEAR(C1208))*14)+MONTH(C1208)+2,FALSE)))</f>
        <v>1</v>
      </c>
      <c r="J1208" s="178">
        <f t="shared" si="165"/>
        <v>336.8</v>
      </c>
      <c r="K1208" s="462">
        <f>IF(C1208=0,0,VLOOKUP(YEAR(C1208),INPC!$B$4:$O$29,MONTH(C1208)+1))</f>
        <v>124.571</v>
      </c>
      <c r="L1208" s="462">
        <f>IF(S1208=0,0,VLOOKUP(YEAR(S1208),INPC!$B$4:$O$29,MONTH(S1208)+1))</f>
        <v>126.47799999999999</v>
      </c>
      <c r="M1208" s="463">
        <f t="shared" si="166"/>
        <v>1.0153000000000001</v>
      </c>
      <c r="N1208" s="465">
        <f t="shared" si="167"/>
        <v>341.95304000000004</v>
      </c>
      <c r="O1208" s="179"/>
      <c r="P1208" s="180">
        <v>16</v>
      </c>
      <c r="Q1208" s="173" t="s">
        <v>583</v>
      </c>
      <c r="R1208" s="173" t="s">
        <v>230</v>
      </c>
      <c r="S1208" s="174">
        <v>44916</v>
      </c>
      <c r="T1208" s="173" t="s">
        <v>33</v>
      </c>
      <c r="U1208" s="182">
        <v>284.10666666666668</v>
      </c>
      <c r="V1208" s="177">
        <f>IF(U1208=0,0,IF(T1208="MXN",1/HLOOKUP(YEAR(S1208)+(MONTH(S1208)/100),TC!$5:$37,DAY(S1208)+2,FALSE),VLOOKUP(T1208,Equivalencia!$1:$23,((MAX(Equivalencia!$3:$3)-YEAR(S1208))*14)+MONTH(S1208)+2,FALSE)))</f>
        <v>1</v>
      </c>
      <c r="W1208" s="178">
        <f t="shared" si="168"/>
        <v>284.10666666666668</v>
      </c>
      <c r="X1208" s="481">
        <f t="shared" si="169"/>
        <v>-52.693333333333328</v>
      </c>
      <c r="Y1208" s="179"/>
      <c r="Z1208" s="466">
        <f t="shared" si="170"/>
        <v>341.95304000000004</v>
      </c>
      <c r="AA1208" s="473">
        <f t="shared" si="171"/>
        <v>-57.846373333333361</v>
      </c>
      <c r="AB1208" s="339">
        <f t="shared" si="172"/>
        <v>-0.1564528899445764</v>
      </c>
    </row>
    <row r="1209" spans="2:28" ht="20.100000000000001" customHeight="1">
      <c r="B1209" s="172">
        <v>1427200</v>
      </c>
      <c r="C1209" s="174">
        <v>44817</v>
      </c>
      <c r="D1209" s="181" t="s">
        <v>437</v>
      </c>
      <c r="E1209" s="173" t="s">
        <v>33</v>
      </c>
      <c r="F1209" s="176">
        <v>147.35</v>
      </c>
      <c r="G1209" s="175">
        <f t="shared" si="163"/>
        <v>7</v>
      </c>
      <c r="H1209" s="175">
        <f t="shared" si="164"/>
        <v>147.35</v>
      </c>
      <c r="I1209" s="177">
        <f>IF(G1209=0,0,IF(E1209="MXN",1/HLOOKUP(YEAR(C1209)+(MONTH(C1209)/100),TC!$5:$37,DAY(C1209)+2,FALSE),VLOOKUP(E1209,Equivalencia!$5:$23,((MAX(Equivalencia!$3:$3)-YEAR(C1209))*14)+MONTH(C1209)+2,FALSE)))</f>
        <v>1</v>
      </c>
      <c r="J1209" s="178">
        <f t="shared" si="165"/>
        <v>147.35</v>
      </c>
      <c r="K1209" s="462">
        <f>IF(C1209=0,0,VLOOKUP(YEAR(C1209),INPC!$B$4:$O$29,MONTH(C1209)+1))</f>
        <v>124.571</v>
      </c>
      <c r="L1209" s="462">
        <f>IF(S1209=0,0,VLOOKUP(YEAR(S1209),INPC!$B$4:$O$29,MONTH(S1209)+1))</f>
        <v>126.47799999999999</v>
      </c>
      <c r="M1209" s="463">
        <f t="shared" si="166"/>
        <v>1.0153000000000001</v>
      </c>
      <c r="N1209" s="465">
        <f t="shared" si="167"/>
        <v>149.604455</v>
      </c>
      <c r="O1209" s="179"/>
      <c r="P1209" s="180">
        <v>7</v>
      </c>
      <c r="Q1209" s="173" t="s">
        <v>583</v>
      </c>
      <c r="R1209" s="173" t="s">
        <v>230</v>
      </c>
      <c r="S1209" s="174">
        <v>44916</v>
      </c>
      <c r="T1209" s="173" t="s">
        <v>33</v>
      </c>
      <c r="U1209" s="182">
        <v>124.32875</v>
      </c>
      <c r="V1209" s="177">
        <f>IF(U1209=0,0,IF(T1209="MXN",1/HLOOKUP(YEAR(S1209)+(MONTH(S1209)/100),TC!$5:$37,DAY(S1209)+2,FALSE),VLOOKUP(T1209,Equivalencia!$1:$23,((MAX(Equivalencia!$3:$3)-YEAR(S1209))*14)+MONTH(S1209)+2,FALSE)))</f>
        <v>1</v>
      </c>
      <c r="W1209" s="178">
        <f t="shared" si="168"/>
        <v>124.32875</v>
      </c>
      <c r="X1209" s="481">
        <f t="shared" si="169"/>
        <v>-23.021249999999995</v>
      </c>
      <c r="Y1209" s="179"/>
      <c r="Z1209" s="466">
        <f t="shared" si="170"/>
        <v>149.604455</v>
      </c>
      <c r="AA1209" s="473">
        <f t="shared" si="171"/>
        <v>-25.275705000000002</v>
      </c>
      <c r="AB1209" s="339">
        <f t="shared" si="172"/>
        <v>-0.15623515439429925</v>
      </c>
    </row>
    <row r="1210" spans="2:28" ht="20.100000000000001" customHeight="1">
      <c r="B1210" s="172">
        <v>1427200</v>
      </c>
      <c r="C1210" s="174">
        <v>44831</v>
      </c>
      <c r="D1210" s="181" t="s">
        <v>437</v>
      </c>
      <c r="E1210" s="173" t="s">
        <v>33</v>
      </c>
      <c r="F1210" s="176">
        <v>17.77</v>
      </c>
      <c r="G1210" s="175">
        <f t="shared" si="163"/>
        <v>1</v>
      </c>
      <c r="H1210" s="175">
        <f t="shared" si="164"/>
        <v>17.77</v>
      </c>
      <c r="I1210" s="177">
        <f>IF(G1210=0,0,IF(E1210="MXN",1/HLOOKUP(YEAR(C1210)+(MONTH(C1210)/100),TC!$5:$37,DAY(C1210)+2,FALSE),VLOOKUP(E1210,Equivalencia!$5:$23,((MAX(Equivalencia!$3:$3)-YEAR(C1210))*14)+MONTH(C1210)+2,FALSE)))</f>
        <v>1</v>
      </c>
      <c r="J1210" s="178">
        <f t="shared" si="165"/>
        <v>17.77</v>
      </c>
      <c r="K1210" s="462">
        <f>IF(C1210=0,0,VLOOKUP(YEAR(C1210),INPC!$B$4:$O$29,MONTH(C1210)+1))</f>
        <v>124.571</v>
      </c>
      <c r="L1210" s="462">
        <f>IF(S1210=0,0,VLOOKUP(YEAR(S1210),INPC!$B$4:$O$29,MONTH(S1210)+1))</f>
        <v>126.47799999999999</v>
      </c>
      <c r="M1210" s="463">
        <f t="shared" si="166"/>
        <v>1.0153000000000001</v>
      </c>
      <c r="N1210" s="465">
        <f t="shared" si="167"/>
        <v>18.041881</v>
      </c>
      <c r="O1210" s="179"/>
      <c r="P1210" s="180">
        <v>1</v>
      </c>
      <c r="Q1210" s="173" t="s">
        <v>583</v>
      </c>
      <c r="R1210" s="173" t="s">
        <v>230</v>
      </c>
      <c r="S1210" s="174">
        <v>44916</v>
      </c>
      <c r="T1210" s="173" t="s">
        <v>33</v>
      </c>
      <c r="U1210" s="182">
        <v>17.76125</v>
      </c>
      <c r="V1210" s="177">
        <f>IF(U1210=0,0,IF(T1210="MXN",1/HLOOKUP(YEAR(S1210)+(MONTH(S1210)/100),TC!$5:$37,DAY(S1210)+2,FALSE),VLOOKUP(T1210,Equivalencia!$1:$23,((MAX(Equivalencia!$3:$3)-YEAR(S1210))*14)+MONTH(S1210)+2,FALSE)))</f>
        <v>1</v>
      </c>
      <c r="W1210" s="178">
        <f t="shared" si="168"/>
        <v>17.76125</v>
      </c>
      <c r="X1210" s="481">
        <f t="shared" si="169"/>
        <v>-8.7499999999991473E-3</v>
      </c>
      <c r="Y1210" s="179"/>
      <c r="Z1210" s="466">
        <f t="shared" si="170"/>
        <v>18.041881</v>
      </c>
      <c r="AA1210" s="473">
        <f t="shared" si="171"/>
        <v>-0.28063099999999963</v>
      </c>
      <c r="AB1210" s="339">
        <f t="shared" si="172"/>
        <v>-4.9240292628016658E-4</v>
      </c>
    </row>
    <row r="1211" spans="2:28" ht="20.100000000000001" customHeight="1">
      <c r="B1211" s="172">
        <v>1427200</v>
      </c>
      <c r="C1211" s="174">
        <v>44831</v>
      </c>
      <c r="D1211" s="181" t="s">
        <v>437</v>
      </c>
      <c r="E1211" s="173" t="s">
        <v>33</v>
      </c>
      <c r="F1211" s="176">
        <v>17.96</v>
      </c>
      <c r="G1211" s="175">
        <f t="shared" si="163"/>
        <v>1</v>
      </c>
      <c r="H1211" s="175">
        <f t="shared" si="164"/>
        <v>17.96</v>
      </c>
      <c r="I1211" s="177">
        <f>IF(G1211=0,0,IF(E1211="MXN",1/HLOOKUP(YEAR(C1211)+(MONTH(C1211)/100),TC!$5:$37,DAY(C1211)+2,FALSE),VLOOKUP(E1211,Equivalencia!$5:$23,((MAX(Equivalencia!$3:$3)-YEAR(C1211))*14)+MONTH(C1211)+2,FALSE)))</f>
        <v>1</v>
      </c>
      <c r="J1211" s="178">
        <f t="shared" si="165"/>
        <v>17.96</v>
      </c>
      <c r="K1211" s="462">
        <f>IF(C1211=0,0,VLOOKUP(YEAR(C1211),INPC!$B$4:$O$29,MONTH(C1211)+1))</f>
        <v>124.571</v>
      </c>
      <c r="L1211" s="462">
        <f>IF(S1211=0,0,VLOOKUP(YEAR(S1211),INPC!$B$4:$O$29,MONTH(S1211)+1))</f>
        <v>126.47799999999999</v>
      </c>
      <c r="M1211" s="463">
        <f t="shared" si="166"/>
        <v>1.0153000000000001</v>
      </c>
      <c r="N1211" s="465">
        <f t="shared" si="167"/>
        <v>18.234788000000002</v>
      </c>
      <c r="O1211" s="179"/>
      <c r="P1211" s="180">
        <v>1</v>
      </c>
      <c r="Q1211" s="173" t="s">
        <v>583</v>
      </c>
      <c r="R1211" s="173" t="s">
        <v>230</v>
      </c>
      <c r="S1211" s="174">
        <v>44917</v>
      </c>
      <c r="T1211" s="173" t="s">
        <v>33</v>
      </c>
      <c r="U1211" s="182">
        <v>17.176578947368423</v>
      </c>
      <c r="V1211" s="177">
        <f>IF(U1211=0,0,IF(T1211="MXN",1/HLOOKUP(YEAR(S1211)+(MONTH(S1211)/100),TC!$5:$37,DAY(S1211)+2,FALSE),VLOOKUP(T1211,Equivalencia!$1:$23,((MAX(Equivalencia!$3:$3)-YEAR(S1211))*14)+MONTH(S1211)+2,FALSE)))</f>
        <v>1</v>
      </c>
      <c r="W1211" s="178">
        <f t="shared" si="168"/>
        <v>17.176578947368423</v>
      </c>
      <c r="X1211" s="481">
        <f t="shared" si="169"/>
        <v>-0.78342105263157791</v>
      </c>
      <c r="Y1211" s="179"/>
      <c r="Z1211" s="466">
        <f t="shared" si="170"/>
        <v>18.234788000000002</v>
      </c>
      <c r="AA1211" s="473">
        <f t="shared" si="171"/>
        <v>-1.0582090526315788</v>
      </c>
      <c r="AB1211" s="339">
        <f t="shared" si="172"/>
        <v>-4.3620325870355137E-2</v>
      </c>
    </row>
    <row r="1212" spans="2:28" ht="20.100000000000001" customHeight="1">
      <c r="B1212" s="172">
        <v>1427200</v>
      </c>
      <c r="C1212" s="174">
        <v>44831</v>
      </c>
      <c r="D1212" s="181" t="s">
        <v>437</v>
      </c>
      <c r="E1212" s="173" t="s">
        <v>33</v>
      </c>
      <c r="F1212" s="176">
        <v>374.93</v>
      </c>
      <c r="G1212" s="175">
        <f t="shared" si="163"/>
        <v>21</v>
      </c>
      <c r="H1212" s="175">
        <f t="shared" si="164"/>
        <v>374.93</v>
      </c>
      <c r="I1212" s="177">
        <f>IF(G1212=0,0,IF(E1212="MXN",1/HLOOKUP(YEAR(C1212)+(MONTH(C1212)/100),TC!$5:$37,DAY(C1212)+2,FALSE),VLOOKUP(E1212,Equivalencia!$5:$23,((MAX(Equivalencia!$3:$3)-YEAR(C1212))*14)+MONTH(C1212)+2,FALSE)))</f>
        <v>1</v>
      </c>
      <c r="J1212" s="178">
        <f t="shared" si="165"/>
        <v>374.93</v>
      </c>
      <c r="K1212" s="462">
        <f>IF(C1212=0,0,VLOOKUP(YEAR(C1212),INPC!$B$4:$O$29,MONTH(C1212)+1))</f>
        <v>124.571</v>
      </c>
      <c r="L1212" s="462">
        <f>IF(S1212=0,0,VLOOKUP(YEAR(S1212),INPC!$B$4:$O$29,MONTH(S1212)+1))</f>
        <v>126.47799999999999</v>
      </c>
      <c r="M1212" s="463">
        <f t="shared" si="166"/>
        <v>1.0153000000000001</v>
      </c>
      <c r="N1212" s="465">
        <f t="shared" si="167"/>
        <v>380.66642900000005</v>
      </c>
      <c r="O1212" s="179"/>
      <c r="P1212" s="180">
        <v>21</v>
      </c>
      <c r="Q1212" s="173" t="s">
        <v>583</v>
      </c>
      <c r="R1212" s="173" t="s">
        <v>230</v>
      </c>
      <c r="S1212" s="174">
        <v>44917</v>
      </c>
      <c r="T1212" s="173" t="s">
        <v>33</v>
      </c>
      <c r="U1212" s="182">
        <v>360.70815789473687</v>
      </c>
      <c r="V1212" s="177">
        <f>IF(U1212=0,0,IF(T1212="MXN",1/HLOOKUP(YEAR(S1212)+(MONTH(S1212)/100),TC!$5:$37,DAY(S1212)+2,FALSE),VLOOKUP(T1212,Equivalencia!$1:$23,((MAX(Equivalencia!$3:$3)-YEAR(S1212))*14)+MONTH(S1212)+2,FALSE)))</f>
        <v>1</v>
      </c>
      <c r="W1212" s="178">
        <f t="shared" si="168"/>
        <v>360.70815789473687</v>
      </c>
      <c r="X1212" s="481">
        <f t="shared" si="169"/>
        <v>-14.221842105263136</v>
      </c>
      <c r="Y1212" s="179"/>
      <c r="Z1212" s="466">
        <f t="shared" si="170"/>
        <v>380.66642900000005</v>
      </c>
      <c r="AA1212" s="473">
        <f t="shared" si="171"/>
        <v>-19.958271105263179</v>
      </c>
      <c r="AB1212" s="339">
        <f t="shared" si="172"/>
        <v>-3.7931992919379987E-2</v>
      </c>
    </row>
    <row r="1213" spans="2:28" ht="20.100000000000001" customHeight="1">
      <c r="B1213" s="172">
        <v>1427200</v>
      </c>
      <c r="C1213" s="174">
        <v>44847</v>
      </c>
      <c r="D1213" s="181" t="s">
        <v>437</v>
      </c>
      <c r="E1213" s="173" t="s">
        <v>33</v>
      </c>
      <c r="F1213" s="176">
        <v>35.19</v>
      </c>
      <c r="G1213" s="175">
        <f t="shared" si="163"/>
        <v>2</v>
      </c>
      <c r="H1213" s="175">
        <f t="shared" si="164"/>
        <v>35.19</v>
      </c>
      <c r="I1213" s="177">
        <f>IF(G1213=0,0,IF(E1213="MXN",1/HLOOKUP(YEAR(C1213)+(MONTH(C1213)/100),TC!$5:$37,DAY(C1213)+2,FALSE),VLOOKUP(E1213,Equivalencia!$5:$23,((MAX(Equivalencia!$3:$3)-YEAR(C1213))*14)+MONTH(C1213)+2,FALSE)))</f>
        <v>1</v>
      </c>
      <c r="J1213" s="178">
        <f t="shared" si="165"/>
        <v>35.19</v>
      </c>
      <c r="K1213" s="462">
        <f>IF(C1213=0,0,VLOOKUP(YEAR(C1213),INPC!$B$4:$O$29,MONTH(C1213)+1))</f>
        <v>125.276</v>
      </c>
      <c r="L1213" s="462">
        <f>IF(S1213=0,0,VLOOKUP(YEAR(S1213),INPC!$B$4:$O$29,MONTH(S1213)+1))</f>
        <v>126.47799999999999</v>
      </c>
      <c r="M1213" s="463">
        <f t="shared" si="166"/>
        <v>1.0095000000000001</v>
      </c>
      <c r="N1213" s="465">
        <f t="shared" si="167"/>
        <v>35.524304999999998</v>
      </c>
      <c r="O1213" s="179"/>
      <c r="P1213" s="180">
        <v>2</v>
      </c>
      <c r="Q1213" s="173" t="s">
        <v>583</v>
      </c>
      <c r="R1213" s="173" t="s">
        <v>230</v>
      </c>
      <c r="S1213" s="174">
        <v>44917</v>
      </c>
      <c r="T1213" s="173" t="s">
        <v>33</v>
      </c>
      <c r="U1213" s="182">
        <v>34.353157894736846</v>
      </c>
      <c r="V1213" s="177">
        <f>IF(U1213=0,0,IF(T1213="MXN",1/HLOOKUP(YEAR(S1213)+(MONTH(S1213)/100),TC!$5:$37,DAY(S1213)+2,FALSE),VLOOKUP(T1213,Equivalencia!$1:$23,((MAX(Equivalencia!$3:$3)-YEAR(S1213))*14)+MONTH(S1213)+2,FALSE)))</f>
        <v>1</v>
      </c>
      <c r="W1213" s="178">
        <f t="shared" si="168"/>
        <v>34.353157894736846</v>
      </c>
      <c r="X1213" s="481">
        <f t="shared" si="169"/>
        <v>-0.83684210526315184</v>
      </c>
      <c r="Y1213" s="179"/>
      <c r="Z1213" s="466">
        <f t="shared" si="170"/>
        <v>35.524304999999998</v>
      </c>
      <c r="AA1213" s="473">
        <f t="shared" si="171"/>
        <v>-1.1711471052631524</v>
      </c>
      <c r="AB1213" s="339">
        <f t="shared" si="172"/>
        <v>-2.3780679319782672E-2</v>
      </c>
    </row>
    <row r="1214" spans="2:28" ht="20.100000000000001" customHeight="1">
      <c r="B1214" s="172">
        <v>1427200</v>
      </c>
      <c r="C1214" s="174">
        <v>44848</v>
      </c>
      <c r="D1214" s="181" t="s">
        <v>437</v>
      </c>
      <c r="E1214" s="173" t="s">
        <v>33</v>
      </c>
      <c r="F1214" s="176">
        <v>249.89999999999998</v>
      </c>
      <c r="G1214" s="175">
        <f t="shared" si="163"/>
        <v>14</v>
      </c>
      <c r="H1214" s="175">
        <f t="shared" si="164"/>
        <v>249.89999999999998</v>
      </c>
      <c r="I1214" s="177">
        <f>IF(G1214=0,0,IF(E1214="MXN",1/HLOOKUP(YEAR(C1214)+(MONTH(C1214)/100),TC!$5:$37,DAY(C1214)+2,FALSE),VLOOKUP(E1214,Equivalencia!$5:$23,((MAX(Equivalencia!$3:$3)-YEAR(C1214))*14)+MONTH(C1214)+2,FALSE)))</f>
        <v>1</v>
      </c>
      <c r="J1214" s="178">
        <f t="shared" si="165"/>
        <v>249.89999999999998</v>
      </c>
      <c r="K1214" s="462">
        <f>IF(C1214=0,0,VLOOKUP(YEAR(C1214),INPC!$B$4:$O$29,MONTH(C1214)+1))</f>
        <v>125.276</v>
      </c>
      <c r="L1214" s="462">
        <f>IF(S1214=0,0,VLOOKUP(YEAR(S1214),INPC!$B$4:$O$29,MONTH(S1214)+1))</f>
        <v>126.47799999999999</v>
      </c>
      <c r="M1214" s="463">
        <f t="shared" si="166"/>
        <v>1.0095000000000001</v>
      </c>
      <c r="N1214" s="465">
        <f t="shared" si="167"/>
        <v>252.27404999999999</v>
      </c>
      <c r="O1214" s="179"/>
      <c r="P1214" s="180">
        <v>14</v>
      </c>
      <c r="Q1214" s="173" t="s">
        <v>583</v>
      </c>
      <c r="R1214" s="173" t="s">
        <v>230</v>
      </c>
      <c r="S1214" s="174">
        <v>44917</v>
      </c>
      <c r="T1214" s="173" t="s">
        <v>33</v>
      </c>
      <c r="U1214" s="182">
        <v>240.47210526315791</v>
      </c>
      <c r="V1214" s="177">
        <f>IF(U1214=0,0,IF(T1214="MXN",1/HLOOKUP(YEAR(S1214)+(MONTH(S1214)/100),TC!$5:$37,DAY(S1214)+2,FALSE),VLOOKUP(T1214,Equivalencia!$1:$23,((MAX(Equivalencia!$3:$3)-YEAR(S1214))*14)+MONTH(S1214)+2,FALSE)))</f>
        <v>1</v>
      </c>
      <c r="W1214" s="178">
        <f t="shared" si="168"/>
        <v>240.47210526315791</v>
      </c>
      <c r="X1214" s="481">
        <f t="shared" si="169"/>
        <v>-9.4278947368420631</v>
      </c>
      <c r="Y1214" s="179"/>
      <c r="Z1214" s="466">
        <f t="shared" si="170"/>
        <v>252.27404999999999</v>
      </c>
      <c r="AA1214" s="473">
        <f t="shared" si="171"/>
        <v>-11.801944736842074</v>
      </c>
      <c r="AB1214" s="339">
        <f t="shared" si="172"/>
        <v>-3.7726669615214314E-2</v>
      </c>
    </row>
    <row r="1215" spans="2:28" ht="20.100000000000001" customHeight="1">
      <c r="B1215" s="172">
        <v>1427200</v>
      </c>
      <c r="C1215" s="174">
        <v>44848</v>
      </c>
      <c r="D1215" s="181" t="s">
        <v>437</v>
      </c>
      <c r="E1215" s="173" t="s">
        <v>33</v>
      </c>
      <c r="F1215" s="176">
        <v>35.699999999999996</v>
      </c>
      <c r="G1215" s="175">
        <f t="shared" si="163"/>
        <v>2</v>
      </c>
      <c r="H1215" s="175">
        <f t="shared" si="164"/>
        <v>35.699999999999996</v>
      </c>
      <c r="I1215" s="177">
        <f>IF(G1215=0,0,IF(E1215="MXN",1/HLOOKUP(YEAR(C1215)+(MONTH(C1215)/100),TC!$5:$37,DAY(C1215)+2,FALSE),VLOOKUP(E1215,Equivalencia!$5:$23,((MAX(Equivalencia!$3:$3)-YEAR(C1215))*14)+MONTH(C1215)+2,FALSE)))</f>
        <v>1</v>
      </c>
      <c r="J1215" s="178">
        <f t="shared" si="165"/>
        <v>35.699999999999996</v>
      </c>
      <c r="K1215" s="462">
        <f>IF(C1215=0,0,VLOOKUP(YEAR(C1215),INPC!$B$4:$O$29,MONTH(C1215)+1))</f>
        <v>125.276</v>
      </c>
      <c r="L1215" s="462">
        <f>IF(S1215=0,0,VLOOKUP(YEAR(S1215),INPC!$B$4:$O$29,MONTH(S1215)+1))</f>
        <v>126.47799999999999</v>
      </c>
      <c r="M1215" s="463">
        <f t="shared" si="166"/>
        <v>1.0095000000000001</v>
      </c>
      <c r="N1215" s="465">
        <f t="shared" si="167"/>
        <v>36.039149999999999</v>
      </c>
      <c r="O1215" s="179"/>
      <c r="P1215" s="180">
        <v>2</v>
      </c>
      <c r="Q1215" s="173" t="s">
        <v>583</v>
      </c>
      <c r="R1215" s="173" t="s">
        <v>230</v>
      </c>
      <c r="S1215" s="174">
        <v>44918</v>
      </c>
      <c r="T1215" s="173" t="s">
        <v>33</v>
      </c>
      <c r="U1215" s="182">
        <v>34.79</v>
      </c>
      <c r="V1215" s="177">
        <f>IF(U1215=0,0,IF(T1215="MXN",1/HLOOKUP(YEAR(S1215)+(MONTH(S1215)/100),TC!$5:$37,DAY(S1215)+2,FALSE),VLOOKUP(T1215,Equivalencia!$1:$23,((MAX(Equivalencia!$3:$3)-YEAR(S1215))*14)+MONTH(S1215)+2,FALSE)))</f>
        <v>1</v>
      </c>
      <c r="W1215" s="178">
        <f t="shared" si="168"/>
        <v>34.79</v>
      </c>
      <c r="X1215" s="481">
        <f t="shared" si="169"/>
        <v>-0.90999999999999659</v>
      </c>
      <c r="Y1215" s="179"/>
      <c r="Z1215" s="466">
        <f t="shared" si="170"/>
        <v>36.039149999999999</v>
      </c>
      <c r="AA1215" s="473">
        <f t="shared" si="171"/>
        <v>-1.2491500000000002</v>
      </c>
      <c r="AB1215" s="339">
        <f t="shared" si="172"/>
        <v>-2.5490196078431282E-2</v>
      </c>
    </row>
    <row r="1216" spans="2:28" ht="20.100000000000001" customHeight="1">
      <c r="B1216" s="172">
        <v>1427200</v>
      </c>
      <c r="C1216" s="174">
        <v>44848</v>
      </c>
      <c r="D1216" s="181" t="s">
        <v>437</v>
      </c>
      <c r="E1216" s="173" t="s">
        <v>33</v>
      </c>
      <c r="F1216" s="176">
        <v>107.1</v>
      </c>
      <c r="G1216" s="175">
        <f t="shared" si="163"/>
        <v>6</v>
      </c>
      <c r="H1216" s="175">
        <f t="shared" si="164"/>
        <v>107.1</v>
      </c>
      <c r="I1216" s="177">
        <f>IF(G1216=0,0,IF(E1216="MXN",1/HLOOKUP(YEAR(C1216)+(MONTH(C1216)/100),TC!$5:$37,DAY(C1216)+2,FALSE),VLOOKUP(E1216,Equivalencia!$5:$23,((MAX(Equivalencia!$3:$3)-YEAR(C1216))*14)+MONTH(C1216)+2,FALSE)))</f>
        <v>1</v>
      </c>
      <c r="J1216" s="178">
        <f t="shared" si="165"/>
        <v>107.1</v>
      </c>
      <c r="K1216" s="462">
        <f>IF(C1216=0,0,VLOOKUP(YEAR(C1216),INPC!$B$4:$O$29,MONTH(C1216)+1))</f>
        <v>125.276</v>
      </c>
      <c r="L1216" s="462">
        <f>IF(S1216=0,0,VLOOKUP(YEAR(S1216),INPC!$B$4:$O$29,MONTH(S1216)+1))</f>
        <v>126.47799999999999</v>
      </c>
      <c r="M1216" s="463">
        <f t="shared" si="166"/>
        <v>1.0095000000000001</v>
      </c>
      <c r="N1216" s="465">
        <f t="shared" si="167"/>
        <v>108.11745000000001</v>
      </c>
      <c r="O1216" s="179"/>
      <c r="P1216" s="180">
        <v>6</v>
      </c>
      <c r="Q1216" s="173" t="s">
        <v>583</v>
      </c>
      <c r="R1216" s="173" t="s">
        <v>230</v>
      </c>
      <c r="S1216" s="174">
        <v>44918</v>
      </c>
      <c r="T1216" s="173" t="s">
        <v>33</v>
      </c>
      <c r="U1216" s="182">
        <v>104.94</v>
      </c>
      <c r="V1216" s="177">
        <f>IF(U1216=0,0,IF(T1216="MXN",1/HLOOKUP(YEAR(S1216)+(MONTH(S1216)/100),TC!$5:$37,DAY(S1216)+2,FALSE),VLOOKUP(T1216,Equivalencia!$1:$23,((MAX(Equivalencia!$3:$3)-YEAR(S1216))*14)+MONTH(S1216)+2,FALSE)))</f>
        <v>1</v>
      </c>
      <c r="W1216" s="178">
        <f t="shared" si="168"/>
        <v>104.94</v>
      </c>
      <c r="X1216" s="481">
        <f t="shared" si="169"/>
        <v>-2.1599999999999966</v>
      </c>
      <c r="Y1216" s="179"/>
      <c r="Z1216" s="466">
        <f t="shared" si="170"/>
        <v>108.11745000000001</v>
      </c>
      <c r="AA1216" s="473">
        <f t="shared" si="171"/>
        <v>-3.1774500000000074</v>
      </c>
      <c r="AB1216" s="339">
        <f t="shared" si="172"/>
        <v>-2.0168067226890685E-2</v>
      </c>
    </row>
    <row r="1217" spans="2:28" ht="20.100000000000001" customHeight="1">
      <c r="B1217" s="172">
        <v>1427200</v>
      </c>
      <c r="C1217" s="174">
        <v>44642</v>
      </c>
      <c r="D1217" s="181" t="s">
        <v>282</v>
      </c>
      <c r="E1217" s="173" t="s">
        <v>33</v>
      </c>
      <c r="F1217" s="176">
        <v>615.15750000000003</v>
      </c>
      <c r="G1217" s="175">
        <f t="shared" si="163"/>
        <v>9</v>
      </c>
      <c r="H1217" s="175">
        <f t="shared" si="164"/>
        <v>615.15750000000003</v>
      </c>
      <c r="I1217" s="177">
        <f>IF(G1217=0,0,IF(E1217="MXN",1/HLOOKUP(YEAR(C1217)+(MONTH(C1217)/100),TC!$5:$37,DAY(C1217)+2,FALSE),VLOOKUP(E1217,Equivalencia!$5:$23,((MAX(Equivalencia!$3:$3)-YEAR(C1217))*14)+MONTH(C1217)+2,FALSE)))</f>
        <v>1</v>
      </c>
      <c r="J1217" s="178">
        <f t="shared" si="165"/>
        <v>615.15750000000003</v>
      </c>
      <c r="K1217" s="462">
        <f>IF(C1217=0,0,VLOOKUP(YEAR(C1217),INPC!$B$4:$O$29,MONTH(C1217)+1))</f>
        <v>120.15900000000001</v>
      </c>
      <c r="L1217" s="462">
        <f>IF(S1217=0,0,VLOOKUP(YEAR(S1217),INPC!$B$4:$O$29,MONTH(S1217)+1))</f>
        <v>126.47799999999999</v>
      </c>
      <c r="M1217" s="463">
        <f t="shared" si="166"/>
        <v>1.0525</v>
      </c>
      <c r="N1217" s="465">
        <f t="shared" si="167"/>
        <v>647.45326875000001</v>
      </c>
      <c r="O1217" s="179"/>
      <c r="P1217" s="180">
        <v>9</v>
      </c>
      <c r="Q1217" s="173" t="s">
        <v>583</v>
      </c>
      <c r="R1217" s="173" t="s">
        <v>230</v>
      </c>
      <c r="S1217" s="174">
        <v>44914</v>
      </c>
      <c r="T1217" s="173" t="s">
        <v>33</v>
      </c>
      <c r="U1217" s="182">
        <v>405.37730769230768</v>
      </c>
      <c r="V1217" s="177">
        <f>IF(U1217=0,0,IF(T1217="MXN",1/HLOOKUP(YEAR(S1217)+(MONTH(S1217)/100),TC!$5:$37,DAY(S1217)+2,FALSE),VLOOKUP(T1217,Equivalencia!$1:$23,((MAX(Equivalencia!$3:$3)-YEAR(S1217))*14)+MONTH(S1217)+2,FALSE)))</f>
        <v>1</v>
      </c>
      <c r="W1217" s="178">
        <f t="shared" si="168"/>
        <v>405.37730769230768</v>
      </c>
      <c r="X1217" s="481">
        <f t="shared" si="169"/>
        <v>-209.78019230769235</v>
      </c>
      <c r="Y1217" s="179"/>
      <c r="Z1217" s="466">
        <f t="shared" si="170"/>
        <v>647.45326875000001</v>
      </c>
      <c r="AA1217" s="473">
        <f t="shared" si="171"/>
        <v>-242.07596105769233</v>
      </c>
      <c r="AB1217" s="339">
        <f t="shared" si="172"/>
        <v>-0.34101866970278727</v>
      </c>
    </row>
    <row r="1218" spans="2:28" ht="20.100000000000001" customHeight="1">
      <c r="B1218" s="172">
        <v>1427200</v>
      </c>
      <c r="C1218" s="174">
        <v>44649</v>
      </c>
      <c r="D1218" s="181" t="s">
        <v>282</v>
      </c>
      <c r="E1218" s="173" t="s">
        <v>33</v>
      </c>
      <c r="F1218" s="176">
        <v>860.3</v>
      </c>
      <c r="G1218" s="175">
        <f t="shared" si="163"/>
        <v>12</v>
      </c>
      <c r="H1218" s="175">
        <f t="shared" si="164"/>
        <v>860.3</v>
      </c>
      <c r="I1218" s="177">
        <f>IF(G1218=0,0,IF(E1218="MXN",1/HLOOKUP(YEAR(C1218)+(MONTH(C1218)/100),TC!$5:$37,DAY(C1218)+2,FALSE),VLOOKUP(E1218,Equivalencia!$5:$23,((MAX(Equivalencia!$3:$3)-YEAR(C1218))*14)+MONTH(C1218)+2,FALSE)))</f>
        <v>1</v>
      </c>
      <c r="J1218" s="178">
        <f t="shared" si="165"/>
        <v>860.3</v>
      </c>
      <c r="K1218" s="462">
        <f>IF(C1218=0,0,VLOOKUP(YEAR(C1218),INPC!$B$4:$O$29,MONTH(C1218)+1))</f>
        <v>120.15900000000001</v>
      </c>
      <c r="L1218" s="462">
        <f>IF(S1218=0,0,VLOOKUP(YEAR(S1218),INPC!$B$4:$O$29,MONTH(S1218)+1))</f>
        <v>126.47799999999999</v>
      </c>
      <c r="M1218" s="463">
        <f t="shared" si="166"/>
        <v>1.0525</v>
      </c>
      <c r="N1218" s="465">
        <f t="shared" si="167"/>
        <v>905.46574999999996</v>
      </c>
      <c r="O1218" s="179"/>
      <c r="P1218" s="180">
        <v>12</v>
      </c>
      <c r="Q1218" s="173" t="s">
        <v>583</v>
      </c>
      <c r="R1218" s="173" t="s">
        <v>230</v>
      </c>
      <c r="S1218" s="174">
        <v>44914</v>
      </c>
      <c r="T1218" s="173" t="s">
        <v>33</v>
      </c>
      <c r="U1218" s="182">
        <v>540.50307692307695</v>
      </c>
      <c r="V1218" s="177">
        <f>IF(U1218=0,0,IF(T1218="MXN",1/HLOOKUP(YEAR(S1218)+(MONTH(S1218)/100),TC!$5:$37,DAY(S1218)+2,FALSE),VLOOKUP(T1218,Equivalencia!$1:$23,((MAX(Equivalencia!$3:$3)-YEAR(S1218))*14)+MONTH(S1218)+2,FALSE)))</f>
        <v>1</v>
      </c>
      <c r="W1218" s="178">
        <f t="shared" si="168"/>
        <v>540.50307692307695</v>
      </c>
      <c r="X1218" s="481">
        <f t="shared" si="169"/>
        <v>-319.79692307692301</v>
      </c>
      <c r="Y1218" s="179"/>
      <c r="Z1218" s="466">
        <f t="shared" si="170"/>
        <v>905.46574999999996</v>
      </c>
      <c r="AA1218" s="473">
        <f t="shared" si="171"/>
        <v>-364.96267307692301</v>
      </c>
      <c r="AB1218" s="339">
        <f t="shared" si="172"/>
        <v>-0.37172721501444039</v>
      </c>
    </row>
    <row r="1219" spans="2:28" ht="20.100000000000001" customHeight="1">
      <c r="B1219" s="172">
        <v>1427200</v>
      </c>
      <c r="C1219" s="174">
        <v>44658</v>
      </c>
      <c r="D1219" s="181" t="s">
        <v>282</v>
      </c>
      <c r="E1219" s="173" t="s">
        <v>33</v>
      </c>
      <c r="F1219" s="176">
        <v>335.64583333333331</v>
      </c>
      <c r="G1219" s="175">
        <f t="shared" si="163"/>
        <v>5</v>
      </c>
      <c r="H1219" s="175">
        <f t="shared" si="164"/>
        <v>335.64583333333331</v>
      </c>
      <c r="I1219" s="177">
        <f>IF(G1219=0,0,IF(E1219="MXN",1/HLOOKUP(YEAR(C1219)+(MONTH(C1219)/100),TC!$5:$37,DAY(C1219)+2,FALSE),VLOOKUP(E1219,Equivalencia!$5:$23,((MAX(Equivalencia!$3:$3)-YEAR(C1219))*14)+MONTH(C1219)+2,FALSE)))</f>
        <v>1</v>
      </c>
      <c r="J1219" s="178">
        <f t="shared" si="165"/>
        <v>335.64583333333331</v>
      </c>
      <c r="K1219" s="462">
        <f>IF(C1219=0,0,VLOOKUP(YEAR(C1219),INPC!$B$4:$O$29,MONTH(C1219)+1))</f>
        <v>120.809</v>
      </c>
      <c r="L1219" s="462">
        <f>IF(S1219=0,0,VLOOKUP(YEAR(S1219),INPC!$B$4:$O$29,MONTH(S1219)+1))</f>
        <v>126.47799999999999</v>
      </c>
      <c r="M1219" s="463">
        <f t="shared" si="166"/>
        <v>1.0468999999999999</v>
      </c>
      <c r="N1219" s="465">
        <f t="shared" si="167"/>
        <v>351.3876229166666</v>
      </c>
      <c r="O1219" s="179"/>
      <c r="P1219" s="180">
        <v>5</v>
      </c>
      <c r="Q1219" s="173" t="s">
        <v>583</v>
      </c>
      <c r="R1219" s="173" t="s">
        <v>230</v>
      </c>
      <c r="S1219" s="174">
        <v>44914</v>
      </c>
      <c r="T1219" s="173" t="s">
        <v>33</v>
      </c>
      <c r="U1219" s="182">
        <v>225.20961538461538</v>
      </c>
      <c r="V1219" s="177">
        <f>IF(U1219=0,0,IF(T1219="MXN",1/HLOOKUP(YEAR(S1219)+(MONTH(S1219)/100),TC!$5:$37,DAY(S1219)+2,FALSE),VLOOKUP(T1219,Equivalencia!$1:$23,((MAX(Equivalencia!$3:$3)-YEAR(S1219))*14)+MONTH(S1219)+2,FALSE)))</f>
        <v>1</v>
      </c>
      <c r="W1219" s="178">
        <f t="shared" si="168"/>
        <v>225.20961538461538</v>
      </c>
      <c r="X1219" s="481">
        <f t="shared" si="169"/>
        <v>-110.43621794871794</v>
      </c>
      <c r="Y1219" s="179"/>
      <c r="Z1219" s="466">
        <f t="shared" si="170"/>
        <v>351.3876229166666</v>
      </c>
      <c r="AA1219" s="473">
        <f t="shared" si="171"/>
        <v>-126.17800753205123</v>
      </c>
      <c r="AB1219" s="339">
        <f t="shared" si="172"/>
        <v>-0.32902603572332323</v>
      </c>
    </row>
    <row r="1220" spans="2:28" ht="20.100000000000001" customHeight="1">
      <c r="B1220" s="172">
        <v>1427200</v>
      </c>
      <c r="C1220" s="174">
        <v>44658</v>
      </c>
      <c r="D1220" s="181" t="s">
        <v>282</v>
      </c>
      <c r="E1220" s="173" t="s">
        <v>33</v>
      </c>
      <c r="F1220" s="176">
        <v>469.90416666666664</v>
      </c>
      <c r="G1220" s="175">
        <f t="shared" si="163"/>
        <v>7</v>
      </c>
      <c r="H1220" s="175">
        <f t="shared" si="164"/>
        <v>469.90416666666664</v>
      </c>
      <c r="I1220" s="177">
        <f>IF(G1220=0,0,IF(E1220="MXN",1/HLOOKUP(YEAR(C1220)+(MONTH(C1220)/100),TC!$5:$37,DAY(C1220)+2,FALSE),VLOOKUP(E1220,Equivalencia!$5:$23,((MAX(Equivalencia!$3:$3)-YEAR(C1220))*14)+MONTH(C1220)+2,FALSE)))</f>
        <v>1</v>
      </c>
      <c r="J1220" s="178">
        <f t="shared" si="165"/>
        <v>469.90416666666664</v>
      </c>
      <c r="K1220" s="462">
        <f>IF(C1220=0,0,VLOOKUP(YEAR(C1220),INPC!$B$4:$O$29,MONTH(C1220)+1))</f>
        <v>120.809</v>
      </c>
      <c r="L1220" s="462">
        <f>IF(S1220=0,0,VLOOKUP(YEAR(S1220),INPC!$B$4:$O$29,MONTH(S1220)+1))</f>
        <v>126.47799999999999</v>
      </c>
      <c r="M1220" s="463">
        <f t="shared" si="166"/>
        <v>1.0468999999999999</v>
      </c>
      <c r="N1220" s="465">
        <f t="shared" si="167"/>
        <v>491.94267208333326</v>
      </c>
      <c r="O1220" s="179"/>
      <c r="P1220" s="180">
        <v>7</v>
      </c>
      <c r="Q1220" s="173" t="s">
        <v>583</v>
      </c>
      <c r="R1220" s="173" t="s">
        <v>230</v>
      </c>
      <c r="S1220" s="174">
        <v>44914</v>
      </c>
      <c r="T1220" s="173" t="s">
        <v>33</v>
      </c>
      <c r="U1220" s="182">
        <v>310.58999999999997</v>
      </c>
      <c r="V1220" s="177">
        <f>IF(U1220=0,0,IF(T1220="MXN",1/HLOOKUP(YEAR(S1220)+(MONTH(S1220)/100),TC!$5:$37,DAY(S1220)+2,FALSE),VLOOKUP(T1220,Equivalencia!$1:$23,((MAX(Equivalencia!$3:$3)-YEAR(S1220))*14)+MONTH(S1220)+2,FALSE)))</f>
        <v>1</v>
      </c>
      <c r="W1220" s="178">
        <f t="shared" si="168"/>
        <v>310.58999999999997</v>
      </c>
      <c r="X1220" s="481">
        <f t="shared" si="169"/>
        <v>-159.31416666666667</v>
      </c>
      <c r="Y1220" s="179"/>
      <c r="Z1220" s="466">
        <f t="shared" si="170"/>
        <v>491.94267208333326</v>
      </c>
      <c r="AA1220" s="473">
        <f t="shared" si="171"/>
        <v>-181.35267208333329</v>
      </c>
      <c r="AB1220" s="339">
        <f t="shared" si="172"/>
        <v>-0.33903544162373533</v>
      </c>
    </row>
    <row r="1221" spans="2:28" ht="20.100000000000001" customHeight="1">
      <c r="B1221" s="172">
        <v>1427200</v>
      </c>
      <c r="C1221" s="174">
        <v>44705</v>
      </c>
      <c r="D1221" s="181" t="s">
        <v>282</v>
      </c>
      <c r="E1221" s="173" t="s">
        <v>33</v>
      </c>
      <c r="F1221" s="176">
        <v>468.65</v>
      </c>
      <c r="G1221" s="175">
        <f t="shared" si="163"/>
        <v>11</v>
      </c>
      <c r="H1221" s="175">
        <f t="shared" si="164"/>
        <v>468.65</v>
      </c>
      <c r="I1221" s="177">
        <f>IF(G1221=0,0,IF(E1221="MXN",1/HLOOKUP(YEAR(C1221)+(MONTH(C1221)/100),TC!$5:$37,DAY(C1221)+2,FALSE),VLOOKUP(E1221,Equivalencia!$5:$23,((MAX(Equivalencia!$3:$3)-YEAR(C1221))*14)+MONTH(C1221)+2,FALSE)))</f>
        <v>1</v>
      </c>
      <c r="J1221" s="178">
        <f t="shared" si="165"/>
        <v>468.65</v>
      </c>
      <c r="K1221" s="462">
        <f>IF(C1221=0,0,VLOOKUP(YEAR(C1221),INPC!$B$4:$O$29,MONTH(C1221)+1))</f>
        <v>121.02200000000001</v>
      </c>
      <c r="L1221" s="462">
        <f>IF(S1221=0,0,VLOOKUP(YEAR(S1221),INPC!$B$4:$O$29,MONTH(S1221)+1))</f>
        <v>126.47799999999999</v>
      </c>
      <c r="M1221" s="463">
        <f t="shared" si="166"/>
        <v>1.0449999999999999</v>
      </c>
      <c r="N1221" s="465">
        <f t="shared" si="167"/>
        <v>489.73924999999997</v>
      </c>
      <c r="O1221" s="179"/>
      <c r="P1221" s="180">
        <v>11</v>
      </c>
      <c r="Q1221" s="173" t="s">
        <v>583</v>
      </c>
      <c r="R1221" s="173" t="s">
        <v>230</v>
      </c>
      <c r="S1221" s="174">
        <v>44914</v>
      </c>
      <c r="T1221" s="173" t="s">
        <v>33</v>
      </c>
      <c r="U1221" s="182">
        <v>488.07</v>
      </c>
      <c r="V1221" s="177">
        <f>IF(U1221=0,0,IF(T1221="MXN",1/HLOOKUP(YEAR(S1221)+(MONTH(S1221)/100),TC!$5:$37,DAY(S1221)+2,FALSE),VLOOKUP(T1221,Equivalencia!$1:$23,((MAX(Equivalencia!$3:$3)-YEAR(S1221))*14)+MONTH(S1221)+2,FALSE)))</f>
        <v>1</v>
      </c>
      <c r="W1221" s="178">
        <f t="shared" si="168"/>
        <v>488.07</v>
      </c>
      <c r="X1221" s="481">
        <f t="shared" si="169"/>
        <v>19.420000000000016</v>
      </c>
      <c r="Y1221" s="179"/>
      <c r="Z1221" s="466">
        <f t="shared" si="170"/>
        <v>489.73924999999997</v>
      </c>
      <c r="AA1221" s="473">
        <f t="shared" si="171"/>
        <v>-1.6692499999999768</v>
      </c>
      <c r="AB1221" s="339">
        <f t="shared" si="172"/>
        <v>4.14381734770084E-2</v>
      </c>
    </row>
    <row r="1222" spans="2:28" ht="20.100000000000001" customHeight="1">
      <c r="B1222" s="172">
        <v>1427200</v>
      </c>
      <c r="C1222" s="174">
        <v>44593</v>
      </c>
      <c r="D1222" s="181" t="s">
        <v>448</v>
      </c>
      <c r="E1222" s="173" t="s">
        <v>33</v>
      </c>
      <c r="F1222" s="176">
        <v>487.2342857142857</v>
      </c>
      <c r="G1222" s="175">
        <f t="shared" si="163"/>
        <v>9</v>
      </c>
      <c r="H1222" s="175">
        <f t="shared" si="164"/>
        <v>487.2342857142857</v>
      </c>
      <c r="I1222" s="177">
        <f>IF(G1222=0,0,IF(E1222="MXN",1/HLOOKUP(YEAR(C1222)+(MONTH(C1222)/100),TC!$5:$37,DAY(C1222)+2,FALSE),VLOOKUP(E1222,Equivalencia!$5:$23,((MAX(Equivalencia!$3:$3)-YEAR(C1222))*14)+MONTH(C1222)+2,FALSE)))</f>
        <v>1</v>
      </c>
      <c r="J1222" s="178">
        <f t="shared" si="165"/>
        <v>487.2342857142857</v>
      </c>
      <c r="K1222" s="462">
        <f>IF(C1222=0,0,VLOOKUP(YEAR(C1222),INPC!$B$4:$O$29,MONTH(C1222)+1))</f>
        <v>118.98099999999999</v>
      </c>
      <c r="L1222" s="462">
        <f>IF(S1222=0,0,VLOOKUP(YEAR(S1222),INPC!$B$4:$O$29,MONTH(S1222)+1))</f>
        <v>126.47799999999999</v>
      </c>
      <c r="M1222" s="463">
        <f t="shared" si="166"/>
        <v>1.0629999999999999</v>
      </c>
      <c r="N1222" s="465">
        <f t="shared" si="167"/>
        <v>517.93004571428571</v>
      </c>
      <c r="O1222" s="179"/>
      <c r="P1222" s="180">
        <v>9</v>
      </c>
      <c r="Q1222" s="173" t="s">
        <v>583</v>
      </c>
      <c r="R1222" s="173" t="s">
        <v>230</v>
      </c>
      <c r="S1222" s="174">
        <v>44914</v>
      </c>
      <c r="T1222" s="173" t="s">
        <v>33</v>
      </c>
      <c r="U1222" s="182">
        <v>252.95399999999998</v>
      </c>
      <c r="V1222" s="177">
        <f>IF(U1222=0,0,IF(T1222="MXN",1/HLOOKUP(YEAR(S1222)+(MONTH(S1222)/100),TC!$5:$37,DAY(S1222)+2,FALSE),VLOOKUP(T1222,Equivalencia!$1:$23,((MAX(Equivalencia!$3:$3)-YEAR(S1222))*14)+MONTH(S1222)+2,FALSE)))</f>
        <v>1</v>
      </c>
      <c r="W1222" s="178">
        <f t="shared" si="168"/>
        <v>252.95399999999998</v>
      </c>
      <c r="X1222" s="481">
        <f t="shared" si="169"/>
        <v>-234.28028571428572</v>
      </c>
      <c r="Y1222" s="179"/>
      <c r="Z1222" s="466">
        <f t="shared" si="170"/>
        <v>517.93004571428571</v>
      </c>
      <c r="AA1222" s="473">
        <f t="shared" si="171"/>
        <v>-264.97604571428576</v>
      </c>
      <c r="AB1222" s="339">
        <f t="shared" si="172"/>
        <v>-0.48083702765463376</v>
      </c>
    </row>
    <row r="1223" spans="2:28" ht="20.100000000000001" customHeight="1">
      <c r="B1223" s="172">
        <v>1427200</v>
      </c>
      <c r="C1223" s="174">
        <v>44593</v>
      </c>
      <c r="D1223" s="181" t="s">
        <v>448</v>
      </c>
      <c r="E1223" s="173" t="s">
        <v>33</v>
      </c>
      <c r="F1223" s="176">
        <v>104.35</v>
      </c>
      <c r="G1223" s="175">
        <f t="shared" si="163"/>
        <v>2</v>
      </c>
      <c r="H1223" s="175">
        <f t="shared" si="164"/>
        <v>104.35</v>
      </c>
      <c r="I1223" s="177">
        <f>IF(G1223=0,0,IF(E1223="MXN",1/HLOOKUP(YEAR(C1223)+(MONTH(C1223)/100),TC!$5:$37,DAY(C1223)+2,FALSE),VLOOKUP(E1223,Equivalencia!$5:$23,((MAX(Equivalencia!$3:$3)-YEAR(C1223))*14)+MONTH(C1223)+2,FALSE)))</f>
        <v>1</v>
      </c>
      <c r="J1223" s="178">
        <f t="shared" si="165"/>
        <v>104.35</v>
      </c>
      <c r="K1223" s="462">
        <f>IF(C1223=0,0,VLOOKUP(YEAR(C1223),INPC!$B$4:$O$29,MONTH(C1223)+1))</f>
        <v>118.98099999999999</v>
      </c>
      <c r="L1223" s="462">
        <f>IF(S1223=0,0,VLOOKUP(YEAR(S1223),INPC!$B$4:$O$29,MONTH(S1223)+1))</f>
        <v>126.47799999999999</v>
      </c>
      <c r="M1223" s="463">
        <f t="shared" si="166"/>
        <v>1.0629999999999999</v>
      </c>
      <c r="N1223" s="465">
        <f t="shared" si="167"/>
        <v>110.92404999999999</v>
      </c>
      <c r="O1223" s="179"/>
      <c r="P1223" s="180">
        <v>2</v>
      </c>
      <c r="Q1223" s="173" t="s">
        <v>583</v>
      </c>
      <c r="R1223" s="173" t="s">
        <v>230</v>
      </c>
      <c r="S1223" s="174">
        <v>44914</v>
      </c>
      <c r="T1223" s="173" t="s">
        <v>33</v>
      </c>
      <c r="U1223" s="182">
        <v>56.211999999999996</v>
      </c>
      <c r="V1223" s="177">
        <f>IF(U1223=0,0,IF(T1223="MXN",1/HLOOKUP(YEAR(S1223)+(MONTH(S1223)/100),TC!$5:$37,DAY(S1223)+2,FALSE),VLOOKUP(T1223,Equivalencia!$1:$23,((MAX(Equivalencia!$3:$3)-YEAR(S1223))*14)+MONTH(S1223)+2,FALSE)))</f>
        <v>1</v>
      </c>
      <c r="W1223" s="178">
        <f t="shared" si="168"/>
        <v>56.211999999999996</v>
      </c>
      <c r="X1223" s="481">
        <f t="shared" si="169"/>
        <v>-48.137999999999998</v>
      </c>
      <c r="Y1223" s="179"/>
      <c r="Z1223" s="466">
        <f t="shared" si="170"/>
        <v>110.92404999999999</v>
      </c>
      <c r="AA1223" s="473">
        <f t="shared" si="171"/>
        <v>-54.712049999999998</v>
      </c>
      <c r="AB1223" s="339">
        <f t="shared" si="172"/>
        <v>-0.46131288931480596</v>
      </c>
    </row>
    <row r="1224" spans="2:28" ht="20.100000000000001" customHeight="1">
      <c r="B1224" s="172">
        <v>1427200</v>
      </c>
      <c r="C1224" s="174">
        <v>44593</v>
      </c>
      <c r="D1224" s="181" t="s">
        <v>448</v>
      </c>
      <c r="E1224" s="173" t="s">
        <v>33</v>
      </c>
      <c r="F1224" s="176">
        <v>216.55</v>
      </c>
      <c r="G1224" s="175">
        <f t="shared" si="163"/>
        <v>4</v>
      </c>
      <c r="H1224" s="175">
        <f t="shared" si="164"/>
        <v>216.55</v>
      </c>
      <c r="I1224" s="177">
        <f>IF(G1224=0,0,IF(E1224="MXN",1/HLOOKUP(YEAR(C1224)+(MONTH(C1224)/100),TC!$5:$37,DAY(C1224)+2,FALSE),VLOOKUP(E1224,Equivalencia!$5:$23,((MAX(Equivalencia!$3:$3)-YEAR(C1224))*14)+MONTH(C1224)+2,FALSE)))</f>
        <v>1</v>
      </c>
      <c r="J1224" s="178">
        <f t="shared" si="165"/>
        <v>216.55</v>
      </c>
      <c r="K1224" s="462">
        <f>IF(C1224=0,0,VLOOKUP(YEAR(C1224),INPC!$B$4:$O$29,MONTH(C1224)+1))</f>
        <v>118.98099999999999</v>
      </c>
      <c r="L1224" s="462">
        <f>IF(S1224=0,0,VLOOKUP(YEAR(S1224),INPC!$B$4:$O$29,MONTH(S1224)+1))</f>
        <v>126.47799999999999</v>
      </c>
      <c r="M1224" s="463">
        <f t="shared" si="166"/>
        <v>1.0629999999999999</v>
      </c>
      <c r="N1224" s="465">
        <f t="shared" si="167"/>
        <v>230.19264999999999</v>
      </c>
      <c r="O1224" s="179"/>
      <c r="P1224" s="180">
        <v>4</v>
      </c>
      <c r="Q1224" s="173" t="s">
        <v>583</v>
      </c>
      <c r="R1224" s="173" t="s">
        <v>230</v>
      </c>
      <c r="S1224" s="174">
        <v>44914</v>
      </c>
      <c r="T1224" s="173" t="s">
        <v>33</v>
      </c>
      <c r="U1224" s="182">
        <v>112.42399999999999</v>
      </c>
      <c r="V1224" s="177">
        <f>IF(U1224=0,0,IF(T1224="MXN",1/HLOOKUP(YEAR(S1224)+(MONTH(S1224)/100),TC!$5:$37,DAY(S1224)+2,FALSE),VLOOKUP(T1224,Equivalencia!$1:$23,((MAX(Equivalencia!$3:$3)-YEAR(S1224))*14)+MONTH(S1224)+2,FALSE)))</f>
        <v>1</v>
      </c>
      <c r="W1224" s="178">
        <f t="shared" si="168"/>
        <v>112.42399999999999</v>
      </c>
      <c r="X1224" s="481">
        <f t="shared" si="169"/>
        <v>-104.12600000000002</v>
      </c>
      <c r="Y1224" s="179"/>
      <c r="Z1224" s="466">
        <f t="shared" si="170"/>
        <v>230.19264999999999</v>
      </c>
      <c r="AA1224" s="473">
        <f t="shared" si="171"/>
        <v>-117.76864999999999</v>
      </c>
      <c r="AB1224" s="339">
        <f t="shared" si="172"/>
        <v>-0.48084045255137386</v>
      </c>
    </row>
    <row r="1225" spans="2:28" ht="20.100000000000001" customHeight="1">
      <c r="B1225" s="172">
        <v>1427200</v>
      </c>
      <c r="C1225" s="174">
        <v>44593</v>
      </c>
      <c r="D1225" s="181" t="s">
        <v>448</v>
      </c>
      <c r="E1225" s="173" t="s">
        <v>33</v>
      </c>
      <c r="F1225" s="176">
        <v>313.06</v>
      </c>
      <c r="G1225" s="175">
        <f t="shared" si="163"/>
        <v>6</v>
      </c>
      <c r="H1225" s="175">
        <f t="shared" si="164"/>
        <v>313.06</v>
      </c>
      <c r="I1225" s="177">
        <f>IF(G1225=0,0,IF(E1225="MXN",1/HLOOKUP(YEAR(C1225)+(MONTH(C1225)/100),TC!$5:$37,DAY(C1225)+2,FALSE),VLOOKUP(E1225,Equivalencia!$5:$23,((MAX(Equivalencia!$3:$3)-YEAR(C1225))*14)+MONTH(C1225)+2,FALSE)))</f>
        <v>1</v>
      </c>
      <c r="J1225" s="178">
        <f t="shared" si="165"/>
        <v>313.06</v>
      </c>
      <c r="K1225" s="462">
        <f>IF(C1225=0,0,VLOOKUP(YEAR(C1225),INPC!$B$4:$O$29,MONTH(C1225)+1))</f>
        <v>118.98099999999999</v>
      </c>
      <c r="L1225" s="462">
        <f>IF(S1225=0,0,VLOOKUP(YEAR(S1225),INPC!$B$4:$O$29,MONTH(S1225)+1))</f>
        <v>126.47799999999999</v>
      </c>
      <c r="M1225" s="463">
        <f t="shared" si="166"/>
        <v>1.0629999999999999</v>
      </c>
      <c r="N1225" s="465">
        <f t="shared" si="167"/>
        <v>332.78278</v>
      </c>
      <c r="O1225" s="179"/>
      <c r="P1225" s="180">
        <v>6</v>
      </c>
      <c r="Q1225" s="173" t="s">
        <v>583</v>
      </c>
      <c r="R1225" s="173" t="s">
        <v>230</v>
      </c>
      <c r="S1225" s="174">
        <v>44914</v>
      </c>
      <c r="T1225" s="173" t="s">
        <v>33</v>
      </c>
      <c r="U1225" s="182">
        <v>168.636</v>
      </c>
      <c r="V1225" s="177">
        <f>IF(U1225=0,0,IF(T1225="MXN",1/HLOOKUP(YEAR(S1225)+(MONTH(S1225)/100),TC!$5:$37,DAY(S1225)+2,FALSE),VLOOKUP(T1225,Equivalencia!$1:$23,((MAX(Equivalencia!$3:$3)-YEAR(S1225))*14)+MONTH(S1225)+2,FALSE)))</f>
        <v>1</v>
      </c>
      <c r="W1225" s="178">
        <f t="shared" si="168"/>
        <v>168.636</v>
      </c>
      <c r="X1225" s="481">
        <f t="shared" si="169"/>
        <v>-144.42400000000001</v>
      </c>
      <c r="Y1225" s="179"/>
      <c r="Z1225" s="466">
        <f t="shared" si="170"/>
        <v>332.78278</v>
      </c>
      <c r="AA1225" s="473">
        <f t="shared" si="171"/>
        <v>-164.14678000000001</v>
      </c>
      <c r="AB1225" s="339">
        <f t="shared" si="172"/>
        <v>-0.46133009646713097</v>
      </c>
    </row>
    <row r="1226" spans="2:28" ht="20.100000000000001" customHeight="1">
      <c r="B1226" s="172">
        <v>1427200</v>
      </c>
      <c r="C1226" s="174">
        <v>44596</v>
      </c>
      <c r="D1226" s="181" t="s">
        <v>448</v>
      </c>
      <c r="E1226" s="173" t="s">
        <v>33</v>
      </c>
      <c r="F1226" s="176">
        <v>52.01</v>
      </c>
      <c r="G1226" s="175">
        <f t="shared" si="163"/>
        <v>1</v>
      </c>
      <c r="H1226" s="175">
        <f t="shared" si="164"/>
        <v>52.01</v>
      </c>
      <c r="I1226" s="177">
        <f>IF(G1226=0,0,IF(E1226="MXN",1/HLOOKUP(YEAR(C1226)+(MONTH(C1226)/100),TC!$5:$37,DAY(C1226)+2,FALSE),VLOOKUP(E1226,Equivalencia!$5:$23,((MAX(Equivalencia!$3:$3)-YEAR(C1226))*14)+MONTH(C1226)+2,FALSE)))</f>
        <v>1</v>
      </c>
      <c r="J1226" s="178">
        <f t="shared" si="165"/>
        <v>52.01</v>
      </c>
      <c r="K1226" s="462">
        <f>IF(C1226=0,0,VLOOKUP(YEAR(C1226),INPC!$B$4:$O$29,MONTH(C1226)+1))</f>
        <v>118.98099999999999</v>
      </c>
      <c r="L1226" s="462">
        <f>IF(S1226=0,0,VLOOKUP(YEAR(S1226),INPC!$B$4:$O$29,MONTH(S1226)+1))</f>
        <v>126.47799999999999</v>
      </c>
      <c r="M1226" s="463">
        <f t="shared" si="166"/>
        <v>1.0629999999999999</v>
      </c>
      <c r="N1226" s="465">
        <f t="shared" si="167"/>
        <v>55.286629999999995</v>
      </c>
      <c r="O1226" s="179"/>
      <c r="P1226" s="180">
        <v>1</v>
      </c>
      <c r="Q1226" s="173" t="s">
        <v>583</v>
      </c>
      <c r="R1226" s="173" t="s">
        <v>230</v>
      </c>
      <c r="S1226" s="174">
        <v>44914</v>
      </c>
      <c r="T1226" s="173" t="s">
        <v>33</v>
      </c>
      <c r="U1226" s="182">
        <v>28.105999999999998</v>
      </c>
      <c r="V1226" s="177">
        <f>IF(U1226=0,0,IF(T1226="MXN",1/HLOOKUP(YEAR(S1226)+(MONTH(S1226)/100),TC!$5:$37,DAY(S1226)+2,FALSE),VLOOKUP(T1226,Equivalencia!$1:$23,((MAX(Equivalencia!$3:$3)-YEAR(S1226))*14)+MONTH(S1226)+2,FALSE)))</f>
        <v>1</v>
      </c>
      <c r="W1226" s="178">
        <f t="shared" si="168"/>
        <v>28.105999999999998</v>
      </c>
      <c r="X1226" s="481">
        <f t="shared" si="169"/>
        <v>-23.904</v>
      </c>
      <c r="Y1226" s="179"/>
      <c r="Z1226" s="466">
        <f t="shared" si="170"/>
        <v>55.286629999999995</v>
      </c>
      <c r="AA1226" s="473">
        <f t="shared" si="171"/>
        <v>-27.180629999999997</v>
      </c>
      <c r="AB1226" s="339">
        <f t="shared" si="172"/>
        <v>-0.45960392232263025</v>
      </c>
    </row>
    <row r="1227" spans="2:28" ht="20.100000000000001" customHeight="1">
      <c r="B1227" s="172">
        <v>1427200</v>
      </c>
      <c r="C1227" s="174">
        <v>44596</v>
      </c>
      <c r="D1227" s="181" t="s">
        <v>448</v>
      </c>
      <c r="E1227" s="173" t="s">
        <v>33</v>
      </c>
      <c r="F1227" s="176">
        <v>261.16000000000003</v>
      </c>
      <c r="G1227" s="175">
        <f t="shared" si="163"/>
        <v>5</v>
      </c>
      <c r="H1227" s="175">
        <f t="shared" si="164"/>
        <v>261.16000000000003</v>
      </c>
      <c r="I1227" s="177">
        <f>IF(G1227=0,0,IF(E1227="MXN",1/HLOOKUP(YEAR(C1227)+(MONTH(C1227)/100),TC!$5:$37,DAY(C1227)+2,FALSE),VLOOKUP(E1227,Equivalencia!$5:$23,((MAX(Equivalencia!$3:$3)-YEAR(C1227))*14)+MONTH(C1227)+2,FALSE)))</f>
        <v>1</v>
      </c>
      <c r="J1227" s="178">
        <f t="shared" si="165"/>
        <v>261.16000000000003</v>
      </c>
      <c r="K1227" s="462">
        <f>IF(C1227=0,0,VLOOKUP(YEAR(C1227),INPC!$B$4:$O$29,MONTH(C1227)+1))</f>
        <v>118.98099999999999</v>
      </c>
      <c r="L1227" s="462">
        <f>IF(S1227=0,0,VLOOKUP(YEAR(S1227),INPC!$B$4:$O$29,MONTH(S1227)+1))</f>
        <v>126.47799999999999</v>
      </c>
      <c r="M1227" s="463">
        <f t="shared" si="166"/>
        <v>1.0629999999999999</v>
      </c>
      <c r="N1227" s="465">
        <f t="shared" si="167"/>
        <v>277.61308000000002</v>
      </c>
      <c r="O1227" s="179"/>
      <c r="P1227" s="180">
        <v>5</v>
      </c>
      <c r="Q1227" s="173" t="s">
        <v>583</v>
      </c>
      <c r="R1227" s="173" t="s">
        <v>230</v>
      </c>
      <c r="S1227" s="174">
        <v>44914</v>
      </c>
      <c r="T1227" s="173" t="s">
        <v>33</v>
      </c>
      <c r="U1227" s="182">
        <v>140.53</v>
      </c>
      <c r="V1227" s="177">
        <f>IF(U1227=0,0,IF(T1227="MXN",1/HLOOKUP(YEAR(S1227)+(MONTH(S1227)/100),TC!$5:$37,DAY(S1227)+2,FALSE),VLOOKUP(T1227,Equivalencia!$1:$23,((MAX(Equivalencia!$3:$3)-YEAR(S1227))*14)+MONTH(S1227)+2,FALSE)))</f>
        <v>1</v>
      </c>
      <c r="W1227" s="178">
        <f t="shared" si="168"/>
        <v>140.53</v>
      </c>
      <c r="X1227" s="481">
        <f t="shared" si="169"/>
        <v>-120.63000000000002</v>
      </c>
      <c r="Y1227" s="179"/>
      <c r="Z1227" s="466">
        <f t="shared" si="170"/>
        <v>277.61308000000002</v>
      </c>
      <c r="AA1227" s="473">
        <f t="shared" si="171"/>
        <v>-137.08308000000002</v>
      </c>
      <c r="AB1227" s="339">
        <f t="shared" si="172"/>
        <v>-0.46190075049777923</v>
      </c>
    </row>
    <row r="1228" spans="2:28" ht="20.100000000000001" customHeight="1">
      <c r="B1228" s="172">
        <v>1427200</v>
      </c>
      <c r="C1228" s="174">
        <v>44596</v>
      </c>
      <c r="D1228" s="181" t="s">
        <v>448</v>
      </c>
      <c r="E1228" s="173" t="s">
        <v>33</v>
      </c>
      <c r="F1228" s="176">
        <v>305.82</v>
      </c>
      <c r="G1228" s="175">
        <f t="shared" si="163"/>
        <v>6</v>
      </c>
      <c r="H1228" s="175">
        <f t="shared" si="164"/>
        <v>305.82</v>
      </c>
      <c r="I1228" s="177">
        <f>IF(G1228=0,0,IF(E1228="MXN",1/HLOOKUP(YEAR(C1228)+(MONTH(C1228)/100),TC!$5:$37,DAY(C1228)+2,FALSE),VLOOKUP(E1228,Equivalencia!$5:$23,((MAX(Equivalencia!$3:$3)-YEAR(C1228))*14)+MONTH(C1228)+2,FALSE)))</f>
        <v>1</v>
      </c>
      <c r="J1228" s="178">
        <f t="shared" si="165"/>
        <v>305.82</v>
      </c>
      <c r="K1228" s="462">
        <f>IF(C1228=0,0,VLOOKUP(YEAR(C1228),INPC!$B$4:$O$29,MONTH(C1228)+1))</f>
        <v>118.98099999999999</v>
      </c>
      <c r="L1228" s="462">
        <f>IF(S1228=0,0,VLOOKUP(YEAR(S1228),INPC!$B$4:$O$29,MONTH(S1228)+1))</f>
        <v>126.47799999999999</v>
      </c>
      <c r="M1228" s="463">
        <f t="shared" si="166"/>
        <v>1.0629999999999999</v>
      </c>
      <c r="N1228" s="465">
        <f t="shared" si="167"/>
        <v>325.08665999999999</v>
      </c>
      <c r="O1228" s="179"/>
      <c r="P1228" s="180">
        <v>6</v>
      </c>
      <c r="Q1228" s="173" t="s">
        <v>583</v>
      </c>
      <c r="R1228" s="173" t="s">
        <v>230</v>
      </c>
      <c r="S1228" s="174">
        <v>44914</v>
      </c>
      <c r="T1228" s="173" t="s">
        <v>33</v>
      </c>
      <c r="U1228" s="182">
        <v>168.636</v>
      </c>
      <c r="V1228" s="177">
        <f>IF(U1228=0,0,IF(T1228="MXN",1/HLOOKUP(YEAR(S1228)+(MONTH(S1228)/100),TC!$5:$37,DAY(S1228)+2,FALSE),VLOOKUP(T1228,Equivalencia!$1:$23,((MAX(Equivalencia!$3:$3)-YEAR(S1228))*14)+MONTH(S1228)+2,FALSE)))</f>
        <v>1</v>
      </c>
      <c r="W1228" s="178">
        <f t="shared" si="168"/>
        <v>168.636</v>
      </c>
      <c r="X1228" s="481">
        <f t="shared" si="169"/>
        <v>-137.184</v>
      </c>
      <c r="Y1228" s="179"/>
      <c r="Z1228" s="466">
        <f t="shared" si="170"/>
        <v>325.08665999999999</v>
      </c>
      <c r="AA1228" s="473">
        <f t="shared" si="171"/>
        <v>-156.45066</v>
      </c>
      <c r="AB1228" s="339">
        <f t="shared" si="172"/>
        <v>-0.44857759466352753</v>
      </c>
    </row>
    <row r="1229" spans="2:28" ht="20.100000000000001" customHeight="1">
      <c r="B1229" s="172">
        <v>1427200</v>
      </c>
      <c r="C1229" s="174">
        <v>44596</v>
      </c>
      <c r="D1229" s="181" t="s">
        <v>448</v>
      </c>
      <c r="E1229" s="173" t="s">
        <v>33</v>
      </c>
      <c r="F1229" s="176">
        <v>416.89</v>
      </c>
      <c r="G1229" s="175">
        <f t="shared" si="163"/>
        <v>8</v>
      </c>
      <c r="H1229" s="175">
        <f t="shared" si="164"/>
        <v>416.89</v>
      </c>
      <c r="I1229" s="177">
        <f>IF(G1229=0,0,IF(E1229="MXN",1/HLOOKUP(YEAR(C1229)+(MONTH(C1229)/100),TC!$5:$37,DAY(C1229)+2,FALSE),VLOOKUP(E1229,Equivalencia!$5:$23,((MAX(Equivalencia!$3:$3)-YEAR(C1229))*14)+MONTH(C1229)+2,FALSE)))</f>
        <v>1</v>
      </c>
      <c r="J1229" s="178">
        <f t="shared" si="165"/>
        <v>416.89</v>
      </c>
      <c r="K1229" s="462">
        <f>IF(C1229=0,0,VLOOKUP(YEAR(C1229),INPC!$B$4:$O$29,MONTH(C1229)+1))</f>
        <v>118.98099999999999</v>
      </c>
      <c r="L1229" s="462">
        <f>IF(S1229=0,0,VLOOKUP(YEAR(S1229),INPC!$B$4:$O$29,MONTH(S1229)+1))</f>
        <v>126.47799999999999</v>
      </c>
      <c r="M1229" s="463">
        <f t="shared" si="166"/>
        <v>1.0629999999999999</v>
      </c>
      <c r="N1229" s="465">
        <f t="shared" si="167"/>
        <v>443.15406999999999</v>
      </c>
      <c r="O1229" s="179"/>
      <c r="P1229" s="180">
        <v>8</v>
      </c>
      <c r="Q1229" s="173" t="s">
        <v>583</v>
      </c>
      <c r="R1229" s="173" t="s">
        <v>230</v>
      </c>
      <c r="S1229" s="174">
        <v>44914</v>
      </c>
      <c r="T1229" s="173" t="s">
        <v>33</v>
      </c>
      <c r="U1229" s="182">
        <v>224.84799999999998</v>
      </c>
      <c r="V1229" s="177">
        <f>IF(U1229=0,0,IF(T1229="MXN",1/HLOOKUP(YEAR(S1229)+(MONTH(S1229)/100),TC!$5:$37,DAY(S1229)+2,FALSE),VLOOKUP(T1229,Equivalencia!$1:$23,((MAX(Equivalencia!$3:$3)-YEAR(S1229))*14)+MONTH(S1229)+2,FALSE)))</f>
        <v>1</v>
      </c>
      <c r="W1229" s="178">
        <f t="shared" si="168"/>
        <v>224.84799999999998</v>
      </c>
      <c r="X1229" s="481">
        <f t="shared" si="169"/>
        <v>-192.042</v>
      </c>
      <c r="Y1229" s="179"/>
      <c r="Z1229" s="466">
        <f t="shared" si="170"/>
        <v>443.15406999999999</v>
      </c>
      <c r="AA1229" s="473">
        <f t="shared" si="171"/>
        <v>-218.30607000000001</v>
      </c>
      <c r="AB1229" s="339">
        <f t="shared" si="172"/>
        <v>-0.46065388951521991</v>
      </c>
    </row>
    <row r="1230" spans="2:28" ht="20.100000000000001" customHeight="1">
      <c r="B1230" s="172">
        <v>1427200</v>
      </c>
      <c r="C1230" s="174">
        <v>44599</v>
      </c>
      <c r="D1230" s="181" t="s">
        <v>448</v>
      </c>
      <c r="E1230" s="173" t="s">
        <v>33</v>
      </c>
      <c r="F1230" s="176">
        <v>53.1</v>
      </c>
      <c r="G1230" s="175">
        <f t="shared" si="163"/>
        <v>1</v>
      </c>
      <c r="H1230" s="175">
        <f t="shared" si="164"/>
        <v>53.1</v>
      </c>
      <c r="I1230" s="177">
        <f>IF(G1230=0,0,IF(E1230="MXN",1/HLOOKUP(YEAR(C1230)+(MONTH(C1230)/100),TC!$5:$37,DAY(C1230)+2,FALSE),VLOOKUP(E1230,Equivalencia!$5:$23,((MAX(Equivalencia!$3:$3)-YEAR(C1230))*14)+MONTH(C1230)+2,FALSE)))</f>
        <v>1</v>
      </c>
      <c r="J1230" s="178">
        <f t="shared" si="165"/>
        <v>53.1</v>
      </c>
      <c r="K1230" s="462">
        <f>IF(C1230=0,0,VLOOKUP(YEAR(C1230),INPC!$B$4:$O$29,MONTH(C1230)+1))</f>
        <v>118.98099999999999</v>
      </c>
      <c r="L1230" s="462">
        <f>IF(S1230=0,0,VLOOKUP(YEAR(S1230),INPC!$B$4:$O$29,MONTH(S1230)+1))</f>
        <v>126.47799999999999</v>
      </c>
      <c r="M1230" s="463">
        <f t="shared" si="166"/>
        <v>1.0629999999999999</v>
      </c>
      <c r="N1230" s="465">
        <f t="shared" si="167"/>
        <v>56.445299999999996</v>
      </c>
      <c r="O1230" s="179"/>
      <c r="P1230" s="180">
        <v>1</v>
      </c>
      <c r="Q1230" s="173" t="s">
        <v>583</v>
      </c>
      <c r="R1230" s="173" t="s">
        <v>230</v>
      </c>
      <c r="S1230" s="174">
        <v>44914</v>
      </c>
      <c r="T1230" s="173" t="s">
        <v>33</v>
      </c>
      <c r="U1230" s="182">
        <v>28.105999999999998</v>
      </c>
      <c r="V1230" s="177">
        <f>IF(U1230=0,0,IF(T1230="MXN",1/HLOOKUP(YEAR(S1230)+(MONTH(S1230)/100),TC!$5:$37,DAY(S1230)+2,FALSE),VLOOKUP(T1230,Equivalencia!$1:$23,((MAX(Equivalencia!$3:$3)-YEAR(S1230))*14)+MONTH(S1230)+2,FALSE)))</f>
        <v>1</v>
      </c>
      <c r="W1230" s="178">
        <f t="shared" si="168"/>
        <v>28.105999999999998</v>
      </c>
      <c r="X1230" s="481">
        <f t="shared" si="169"/>
        <v>-24.994000000000003</v>
      </c>
      <c r="Y1230" s="179"/>
      <c r="Z1230" s="466">
        <f t="shared" si="170"/>
        <v>56.445299999999996</v>
      </c>
      <c r="AA1230" s="473">
        <f t="shared" si="171"/>
        <v>-28.339299999999998</v>
      </c>
      <c r="AB1230" s="339">
        <f t="shared" si="172"/>
        <v>-0.47069679849340873</v>
      </c>
    </row>
    <row r="1231" spans="2:28" ht="20.100000000000001" customHeight="1">
      <c r="B1231" s="172">
        <v>1427200</v>
      </c>
      <c r="C1231" s="174">
        <v>44599</v>
      </c>
      <c r="D1231" s="181" t="s">
        <v>448</v>
      </c>
      <c r="E1231" s="173" t="s">
        <v>33</v>
      </c>
      <c r="F1231" s="176">
        <v>423.08235294117645</v>
      </c>
      <c r="G1231" s="175">
        <f t="shared" si="163"/>
        <v>8</v>
      </c>
      <c r="H1231" s="175">
        <f t="shared" si="164"/>
        <v>423.08235294117645</v>
      </c>
      <c r="I1231" s="177">
        <f>IF(G1231=0,0,IF(E1231="MXN",1/HLOOKUP(YEAR(C1231)+(MONTH(C1231)/100),TC!$5:$37,DAY(C1231)+2,FALSE),VLOOKUP(E1231,Equivalencia!$5:$23,((MAX(Equivalencia!$3:$3)-YEAR(C1231))*14)+MONTH(C1231)+2,FALSE)))</f>
        <v>1</v>
      </c>
      <c r="J1231" s="178">
        <f t="shared" si="165"/>
        <v>423.08235294117645</v>
      </c>
      <c r="K1231" s="462">
        <f>IF(C1231=0,0,VLOOKUP(YEAR(C1231),INPC!$B$4:$O$29,MONTH(C1231)+1))</f>
        <v>118.98099999999999</v>
      </c>
      <c r="L1231" s="462">
        <f>IF(S1231=0,0,VLOOKUP(YEAR(S1231),INPC!$B$4:$O$29,MONTH(S1231)+1))</f>
        <v>126.47799999999999</v>
      </c>
      <c r="M1231" s="463">
        <f t="shared" si="166"/>
        <v>1.0629999999999999</v>
      </c>
      <c r="N1231" s="465">
        <f t="shared" si="167"/>
        <v>449.73654117647055</v>
      </c>
      <c r="O1231" s="179"/>
      <c r="P1231" s="180">
        <v>8</v>
      </c>
      <c r="Q1231" s="173" t="s">
        <v>583</v>
      </c>
      <c r="R1231" s="173" t="s">
        <v>230</v>
      </c>
      <c r="S1231" s="174">
        <v>44914</v>
      </c>
      <c r="T1231" s="173" t="s">
        <v>33</v>
      </c>
      <c r="U1231" s="182">
        <v>224.84799999999998</v>
      </c>
      <c r="V1231" s="177">
        <f>IF(U1231=0,0,IF(T1231="MXN",1/HLOOKUP(YEAR(S1231)+(MONTH(S1231)/100),TC!$5:$37,DAY(S1231)+2,FALSE),VLOOKUP(T1231,Equivalencia!$1:$23,((MAX(Equivalencia!$3:$3)-YEAR(S1231))*14)+MONTH(S1231)+2,FALSE)))</f>
        <v>1</v>
      </c>
      <c r="W1231" s="178">
        <f t="shared" si="168"/>
        <v>224.84799999999998</v>
      </c>
      <c r="X1231" s="481">
        <f t="shared" si="169"/>
        <v>-198.23435294117647</v>
      </c>
      <c r="Y1231" s="179"/>
      <c r="Z1231" s="466">
        <f t="shared" si="170"/>
        <v>449.73654117647055</v>
      </c>
      <c r="AA1231" s="473">
        <f t="shared" si="171"/>
        <v>-224.88854117647057</v>
      </c>
      <c r="AB1231" s="339">
        <f t="shared" si="172"/>
        <v>-0.4685479116845559</v>
      </c>
    </row>
    <row r="1232" spans="2:28" ht="20.100000000000001" customHeight="1">
      <c r="B1232" s="172">
        <v>1427200</v>
      </c>
      <c r="C1232" s="174">
        <v>44599</v>
      </c>
      <c r="D1232" s="181" t="s">
        <v>448</v>
      </c>
      <c r="E1232" s="173" t="s">
        <v>33</v>
      </c>
      <c r="F1232" s="176">
        <v>475.9676470588235</v>
      </c>
      <c r="G1232" s="175">
        <f t="shared" si="163"/>
        <v>9</v>
      </c>
      <c r="H1232" s="175">
        <f t="shared" si="164"/>
        <v>475.9676470588235</v>
      </c>
      <c r="I1232" s="177">
        <f>IF(G1232=0,0,IF(E1232="MXN",1/HLOOKUP(YEAR(C1232)+(MONTH(C1232)/100),TC!$5:$37,DAY(C1232)+2,FALSE),VLOOKUP(E1232,Equivalencia!$5:$23,((MAX(Equivalencia!$3:$3)-YEAR(C1232))*14)+MONTH(C1232)+2,FALSE)))</f>
        <v>1</v>
      </c>
      <c r="J1232" s="178">
        <f t="shared" si="165"/>
        <v>475.9676470588235</v>
      </c>
      <c r="K1232" s="462">
        <f>IF(C1232=0,0,VLOOKUP(YEAR(C1232),INPC!$B$4:$O$29,MONTH(C1232)+1))</f>
        <v>118.98099999999999</v>
      </c>
      <c r="L1232" s="462">
        <f>IF(S1232=0,0,VLOOKUP(YEAR(S1232),INPC!$B$4:$O$29,MONTH(S1232)+1))</f>
        <v>126.47799999999999</v>
      </c>
      <c r="M1232" s="463">
        <f t="shared" si="166"/>
        <v>1.0629999999999999</v>
      </c>
      <c r="N1232" s="465">
        <f t="shared" si="167"/>
        <v>505.95360882352935</v>
      </c>
      <c r="O1232" s="179"/>
      <c r="P1232" s="180">
        <v>9</v>
      </c>
      <c r="Q1232" s="173" t="s">
        <v>583</v>
      </c>
      <c r="R1232" s="173" t="s">
        <v>230</v>
      </c>
      <c r="S1232" s="174">
        <v>44914</v>
      </c>
      <c r="T1232" s="173" t="s">
        <v>33</v>
      </c>
      <c r="U1232" s="182">
        <v>251.40333333333336</v>
      </c>
      <c r="V1232" s="177">
        <f>IF(U1232=0,0,IF(T1232="MXN",1/HLOOKUP(YEAR(S1232)+(MONTH(S1232)/100),TC!$5:$37,DAY(S1232)+2,FALSE),VLOOKUP(T1232,Equivalencia!$1:$23,((MAX(Equivalencia!$3:$3)-YEAR(S1232))*14)+MONTH(S1232)+2,FALSE)))</f>
        <v>1</v>
      </c>
      <c r="W1232" s="178">
        <f t="shared" si="168"/>
        <v>251.40333333333336</v>
      </c>
      <c r="X1232" s="481">
        <f t="shared" si="169"/>
        <v>-224.56431372549014</v>
      </c>
      <c r="Y1232" s="179"/>
      <c r="Z1232" s="466">
        <f t="shared" si="170"/>
        <v>505.95360882352935</v>
      </c>
      <c r="AA1232" s="473">
        <f t="shared" si="171"/>
        <v>-254.55027549019599</v>
      </c>
      <c r="AB1232" s="339">
        <f t="shared" si="172"/>
        <v>-0.47180583620158723</v>
      </c>
    </row>
    <row r="1233" spans="2:28" ht="20.100000000000001" customHeight="1">
      <c r="B1233" s="172">
        <v>1427200</v>
      </c>
      <c r="C1233" s="174">
        <v>44599</v>
      </c>
      <c r="D1233" s="181" t="s">
        <v>448</v>
      </c>
      <c r="E1233" s="173" t="s">
        <v>33</v>
      </c>
      <c r="F1233" s="176">
        <v>157.75</v>
      </c>
      <c r="G1233" s="175">
        <f t="shared" si="163"/>
        <v>3</v>
      </c>
      <c r="H1233" s="175">
        <f t="shared" si="164"/>
        <v>157.75</v>
      </c>
      <c r="I1233" s="177">
        <f>IF(G1233=0,0,IF(E1233="MXN",1/HLOOKUP(YEAR(C1233)+(MONTH(C1233)/100),TC!$5:$37,DAY(C1233)+2,FALSE),VLOOKUP(E1233,Equivalencia!$5:$23,((MAX(Equivalencia!$3:$3)-YEAR(C1233))*14)+MONTH(C1233)+2,FALSE)))</f>
        <v>1</v>
      </c>
      <c r="J1233" s="178">
        <f t="shared" si="165"/>
        <v>157.75</v>
      </c>
      <c r="K1233" s="462">
        <f>IF(C1233=0,0,VLOOKUP(YEAR(C1233),INPC!$B$4:$O$29,MONTH(C1233)+1))</f>
        <v>118.98099999999999</v>
      </c>
      <c r="L1233" s="462">
        <f>IF(S1233=0,0,VLOOKUP(YEAR(S1233),INPC!$B$4:$O$29,MONTH(S1233)+1))</f>
        <v>126.47799999999999</v>
      </c>
      <c r="M1233" s="463">
        <f t="shared" si="166"/>
        <v>1.0629999999999999</v>
      </c>
      <c r="N1233" s="465">
        <f t="shared" si="167"/>
        <v>167.68824999999998</v>
      </c>
      <c r="O1233" s="179"/>
      <c r="P1233" s="180">
        <v>3</v>
      </c>
      <c r="Q1233" s="173" t="s">
        <v>583</v>
      </c>
      <c r="R1233" s="173" t="s">
        <v>230</v>
      </c>
      <c r="S1233" s="174">
        <v>44914</v>
      </c>
      <c r="T1233" s="173" t="s">
        <v>33</v>
      </c>
      <c r="U1233" s="182">
        <v>83.801111111111112</v>
      </c>
      <c r="V1233" s="177">
        <f>IF(U1233=0,0,IF(T1233="MXN",1/HLOOKUP(YEAR(S1233)+(MONTH(S1233)/100),TC!$5:$37,DAY(S1233)+2,FALSE),VLOOKUP(T1233,Equivalencia!$1:$23,((MAX(Equivalencia!$3:$3)-YEAR(S1233))*14)+MONTH(S1233)+2,FALSE)))</f>
        <v>1</v>
      </c>
      <c r="W1233" s="178">
        <f t="shared" si="168"/>
        <v>83.801111111111112</v>
      </c>
      <c r="X1233" s="481">
        <f t="shared" si="169"/>
        <v>-73.948888888888888</v>
      </c>
      <c r="Y1233" s="179"/>
      <c r="Z1233" s="466">
        <f t="shared" si="170"/>
        <v>167.68824999999998</v>
      </c>
      <c r="AA1233" s="473">
        <f t="shared" si="171"/>
        <v>-83.88713888888887</v>
      </c>
      <c r="AB1233" s="339">
        <f t="shared" si="172"/>
        <v>-0.46877267124493749</v>
      </c>
    </row>
    <row r="1234" spans="2:28" ht="20.100000000000001" customHeight="1">
      <c r="B1234" s="172">
        <v>1427200</v>
      </c>
      <c r="C1234" s="174">
        <v>44679</v>
      </c>
      <c r="D1234" s="181" t="s">
        <v>448</v>
      </c>
      <c r="E1234" s="173" t="s">
        <v>33</v>
      </c>
      <c r="F1234" s="176">
        <v>734.54</v>
      </c>
      <c r="G1234" s="175">
        <f t="shared" si="163"/>
        <v>15</v>
      </c>
      <c r="H1234" s="175">
        <f t="shared" si="164"/>
        <v>734.54</v>
      </c>
      <c r="I1234" s="177">
        <f>IF(G1234=0,0,IF(E1234="MXN",1/HLOOKUP(YEAR(C1234)+(MONTH(C1234)/100),TC!$5:$37,DAY(C1234)+2,FALSE),VLOOKUP(E1234,Equivalencia!$5:$23,((MAX(Equivalencia!$3:$3)-YEAR(C1234))*14)+MONTH(C1234)+2,FALSE)))</f>
        <v>1</v>
      </c>
      <c r="J1234" s="178">
        <f t="shared" si="165"/>
        <v>734.54</v>
      </c>
      <c r="K1234" s="462">
        <f>IF(C1234=0,0,VLOOKUP(YEAR(C1234),INPC!$B$4:$O$29,MONTH(C1234)+1))</f>
        <v>120.809</v>
      </c>
      <c r="L1234" s="462">
        <f>IF(S1234=0,0,VLOOKUP(YEAR(S1234),INPC!$B$4:$O$29,MONTH(S1234)+1))</f>
        <v>126.47799999999999</v>
      </c>
      <c r="M1234" s="463">
        <f t="shared" si="166"/>
        <v>1.0468999999999999</v>
      </c>
      <c r="N1234" s="465">
        <f t="shared" si="167"/>
        <v>768.98992599999997</v>
      </c>
      <c r="O1234" s="179"/>
      <c r="P1234" s="180">
        <v>15</v>
      </c>
      <c r="Q1234" s="173" t="s">
        <v>583</v>
      </c>
      <c r="R1234" s="173" t="s">
        <v>230</v>
      </c>
      <c r="S1234" s="174">
        <v>44914</v>
      </c>
      <c r="T1234" s="173" t="s">
        <v>33</v>
      </c>
      <c r="U1234" s="182">
        <v>419.00555555555559</v>
      </c>
      <c r="V1234" s="177">
        <f>IF(U1234=0,0,IF(T1234="MXN",1/HLOOKUP(YEAR(S1234)+(MONTH(S1234)/100),TC!$5:$37,DAY(S1234)+2,FALSE),VLOOKUP(T1234,Equivalencia!$1:$23,((MAX(Equivalencia!$3:$3)-YEAR(S1234))*14)+MONTH(S1234)+2,FALSE)))</f>
        <v>1</v>
      </c>
      <c r="W1234" s="178">
        <f t="shared" si="168"/>
        <v>419.00555555555559</v>
      </c>
      <c r="X1234" s="481">
        <f t="shared" si="169"/>
        <v>-315.53444444444438</v>
      </c>
      <c r="Y1234" s="179"/>
      <c r="Z1234" s="466">
        <f t="shared" si="170"/>
        <v>768.98992599999997</v>
      </c>
      <c r="AA1234" s="473">
        <f t="shared" si="171"/>
        <v>-349.98437044444438</v>
      </c>
      <c r="AB1234" s="339">
        <f t="shared" si="172"/>
        <v>-0.42956740877888799</v>
      </c>
    </row>
    <row r="1235" spans="2:28" ht="20.100000000000001" customHeight="1">
      <c r="B1235" s="172">
        <v>1427200</v>
      </c>
      <c r="C1235" s="174">
        <v>44503</v>
      </c>
      <c r="D1235" s="181" t="s">
        <v>270</v>
      </c>
      <c r="E1235" s="173" t="s">
        <v>33</v>
      </c>
      <c r="F1235" s="176">
        <v>519.02785714285721</v>
      </c>
      <c r="G1235" s="175">
        <f t="shared" si="163"/>
        <v>1</v>
      </c>
      <c r="H1235" s="175">
        <f t="shared" si="164"/>
        <v>519.02785714285721</v>
      </c>
      <c r="I1235" s="177">
        <f>IF(G1235=0,0,IF(E1235="MXN",1/HLOOKUP(YEAR(C1235)+(MONTH(C1235)/100),TC!$5:$37,DAY(C1235)+2,FALSE),VLOOKUP(E1235,Equivalencia!$5:$23,((MAX(Equivalencia!$3:$3)-YEAR(C1235))*14)+MONTH(C1235)+2,FALSE)))</f>
        <v>1</v>
      </c>
      <c r="J1235" s="178">
        <f t="shared" si="165"/>
        <v>519.02785714285721</v>
      </c>
      <c r="K1235" s="462">
        <f>IF(C1235=0,0,VLOOKUP(YEAR(C1235),INPC!$B$4:$O$29,MONTH(C1235)+1))</f>
        <v>116.884</v>
      </c>
      <c r="L1235" s="462">
        <f>IF(S1235=0,0,VLOOKUP(YEAR(S1235),INPC!$B$4:$O$29,MONTH(S1235)+1))</f>
        <v>126.47799999999999</v>
      </c>
      <c r="M1235" s="463">
        <f t="shared" si="166"/>
        <v>1.0820000000000001</v>
      </c>
      <c r="N1235" s="465">
        <f t="shared" si="167"/>
        <v>561.58814142857159</v>
      </c>
      <c r="O1235" s="179"/>
      <c r="P1235" s="180">
        <v>1</v>
      </c>
      <c r="Q1235" s="173" t="s">
        <v>583</v>
      </c>
      <c r="R1235" s="173" t="s">
        <v>230</v>
      </c>
      <c r="S1235" s="174">
        <v>44915</v>
      </c>
      <c r="T1235" s="173" t="s">
        <v>33</v>
      </c>
      <c r="U1235" s="182">
        <v>308.14</v>
      </c>
      <c r="V1235" s="177">
        <f>IF(U1235=0,0,IF(T1235="MXN",1/HLOOKUP(YEAR(S1235)+(MONTH(S1235)/100),TC!$5:$37,DAY(S1235)+2,FALSE),VLOOKUP(T1235,Equivalencia!$1:$23,((MAX(Equivalencia!$3:$3)-YEAR(S1235))*14)+MONTH(S1235)+2,FALSE)))</f>
        <v>1</v>
      </c>
      <c r="W1235" s="178">
        <f t="shared" si="168"/>
        <v>308.14</v>
      </c>
      <c r="X1235" s="481">
        <f t="shared" si="169"/>
        <v>-210.88785714285723</v>
      </c>
      <c r="Y1235" s="179"/>
      <c r="Z1235" s="466">
        <f t="shared" si="170"/>
        <v>561.58814142857159</v>
      </c>
      <c r="AA1235" s="473">
        <f t="shared" si="171"/>
        <v>-253.4481414285716</v>
      </c>
      <c r="AB1235" s="339">
        <f t="shared" si="172"/>
        <v>-0.40631317614386242</v>
      </c>
    </row>
    <row r="1236" spans="2:28" ht="20.100000000000001" customHeight="1">
      <c r="B1236" s="172">
        <v>1427200</v>
      </c>
      <c r="C1236" s="174">
        <v>44537</v>
      </c>
      <c r="D1236" s="181" t="s">
        <v>270</v>
      </c>
      <c r="E1236" s="173" t="s">
        <v>33</v>
      </c>
      <c r="F1236" s="176">
        <v>435.4</v>
      </c>
      <c r="G1236" s="175">
        <f t="shared" si="163"/>
        <v>1</v>
      </c>
      <c r="H1236" s="175">
        <f t="shared" si="164"/>
        <v>435.4</v>
      </c>
      <c r="I1236" s="177">
        <f>IF(G1236=0,0,IF(E1236="MXN",1/HLOOKUP(YEAR(C1236)+(MONTH(C1236)/100),TC!$5:$37,DAY(C1236)+2,FALSE),VLOOKUP(E1236,Equivalencia!$5:$23,((MAX(Equivalencia!$3:$3)-YEAR(C1236))*14)+MONTH(C1236)+2,FALSE)))</f>
        <v>1</v>
      </c>
      <c r="J1236" s="178">
        <f t="shared" si="165"/>
        <v>435.4</v>
      </c>
      <c r="K1236" s="462">
        <f>IF(C1236=0,0,VLOOKUP(YEAR(C1236),INPC!$B$4:$O$29,MONTH(C1236)+1))</f>
        <v>117.30800000000001</v>
      </c>
      <c r="L1236" s="462">
        <f>IF(S1236=0,0,VLOOKUP(YEAR(S1236),INPC!$B$4:$O$29,MONTH(S1236)+1))</f>
        <v>126.47799999999999</v>
      </c>
      <c r="M1236" s="463">
        <f t="shared" si="166"/>
        <v>1.0781000000000001</v>
      </c>
      <c r="N1236" s="465">
        <f t="shared" si="167"/>
        <v>469.40474</v>
      </c>
      <c r="O1236" s="179"/>
      <c r="P1236" s="180">
        <v>1</v>
      </c>
      <c r="Q1236" s="173" t="s">
        <v>583</v>
      </c>
      <c r="R1236" s="173" t="s">
        <v>230</v>
      </c>
      <c r="S1236" s="174">
        <v>44915</v>
      </c>
      <c r="T1236" s="173" t="s">
        <v>33</v>
      </c>
      <c r="U1236" s="182">
        <v>304.58999999999997</v>
      </c>
      <c r="V1236" s="177">
        <f>IF(U1236=0,0,IF(T1236="MXN",1/HLOOKUP(YEAR(S1236)+(MONTH(S1236)/100),TC!$5:$37,DAY(S1236)+2,FALSE),VLOOKUP(T1236,Equivalencia!$1:$23,((MAX(Equivalencia!$3:$3)-YEAR(S1236))*14)+MONTH(S1236)+2,FALSE)))</f>
        <v>1</v>
      </c>
      <c r="W1236" s="178">
        <f t="shared" si="168"/>
        <v>304.58999999999997</v>
      </c>
      <c r="X1236" s="481">
        <f t="shared" si="169"/>
        <v>-130.81</v>
      </c>
      <c r="Y1236" s="179"/>
      <c r="Z1236" s="466">
        <f t="shared" si="170"/>
        <v>469.40474</v>
      </c>
      <c r="AA1236" s="473">
        <f t="shared" si="171"/>
        <v>-164.81474000000003</v>
      </c>
      <c r="AB1236" s="339">
        <f t="shared" si="172"/>
        <v>-0.30043638033991737</v>
      </c>
    </row>
    <row r="1237" spans="2:28" ht="20.100000000000001" customHeight="1">
      <c r="B1237" s="172">
        <v>1427200</v>
      </c>
      <c r="C1237" s="174">
        <v>44537</v>
      </c>
      <c r="D1237" s="181" t="s">
        <v>270</v>
      </c>
      <c r="E1237" s="173" t="s">
        <v>33</v>
      </c>
      <c r="F1237" s="176">
        <v>874.67</v>
      </c>
      <c r="G1237" s="175">
        <f t="shared" si="163"/>
        <v>2</v>
      </c>
      <c r="H1237" s="175">
        <f t="shared" si="164"/>
        <v>874.67</v>
      </c>
      <c r="I1237" s="177">
        <f>IF(G1237=0,0,IF(E1237="MXN",1/HLOOKUP(YEAR(C1237)+(MONTH(C1237)/100),TC!$5:$37,DAY(C1237)+2,FALSE),VLOOKUP(E1237,Equivalencia!$5:$23,((MAX(Equivalencia!$3:$3)-YEAR(C1237))*14)+MONTH(C1237)+2,FALSE)))</f>
        <v>1</v>
      </c>
      <c r="J1237" s="178">
        <f t="shared" si="165"/>
        <v>874.67</v>
      </c>
      <c r="K1237" s="462">
        <f>IF(C1237=0,0,VLOOKUP(YEAR(C1237),INPC!$B$4:$O$29,MONTH(C1237)+1))</f>
        <v>117.30800000000001</v>
      </c>
      <c r="L1237" s="462">
        <f>IF(S1237=0,0,VLOOKUP(YEAR(S1237),INPC!$B$4:$O$29,MONTH(S1237)+1))</f>
        <v>126.47799999999999</v>
      </c>
      <c r="M1237" s="463">
        <f t="shared" si="166"/>
        <v>1.0781000000000001</v>
      </c>
      <c r="N1237" s="465">
        <f t="shared" si="167"/>
        <v>942.98172699999998</v>
      </c>
      <c r="O1237" s="179"/>
      <c r="P1237" s="180">
        <v>2</v>
      </c>
      <c r="Q1237" s="173" t="s">
        <v>583</v>
      </c>
      <c r="R1237" s="173" t="s">
        <v>230</v>
      </c>
      <c r="S1237" s="174">
        <v>44915</v>
      </c>
      <c r="T1237" s="173" t="s">
        <v>33</v>
      </c>
      <c r="U1237" s="182">
        <v>609.17999999999995</v>
      </c>
      <c r="V1237" s="177">
        <f>IF(U1237=0,0,IF(T1237="MXN",1/HLOOKUP(YEAR(S1237)+(MONTH(S1237)/100),TC!$5:$37,DAY(S1237)+2,FALSE),VLOOKUP(T1237,Equivalencia!$1:$23,((MAX(Equivalencia!$3:$3)-YEAR(S1237))*14)+MONTH(S1237)+2,FALSE)))</f>
        <v>1</v>
      </c>
      <c r="W1237" s="178">
        <f t="shared" si="168"/>
        <v>609.17999999999995</v>
      </c>
      <c r="X1237" s="481">
        <f t="shared" si="169"/>
        <v>-265.49</v>
      </c>
      <c r="Y1237" s="179"/>
      <c r="Z1237" s="466">
        <f t="shared" si="170"/>
        <v>942.98172699999998</v>
      </c>
      <c r="AA1237" s="473">
        <f t="shared" si="171"/>
        <v>-333.80172700000003</v>
      </c>
      <c r="AB1237" s="339">
        <f t="shared" si="172"/>
        <v>-0.30353161763865233</v>
      </c>
    </row>
    <row r="1238" spans="2:28" ht="20.100000000000001" customHeight="1">
      <c r="B1238" s="172">
        <v>1427200</v>
      </c>
      <c r="C1238" s="174">
        <v>44550</v>
      </c>
      <c r="D1238" s="181" t="s">
        <v>270</v>
      </c>
      <c r="E1238" s="173" t="s">
        <v>33</v>
      </c>
      <c r="F1238" s="176">
        <v>405.02499999999998</v>
      </c>
      <c r="G1238" s="175">
        <f t="shared" si="163"/>
        <v>1</v>
      </c>
      <c r="H1238" s="175">
        <f t="shared" si="164"/>
        <v>405.02499999999998</v>
      </c>
      <c r="I1238" s="177">
        <f>IF(G1238=0,0,IF(E1238="MXN",1/HLOOKUP(YEAR(C1238)+(MONTH(C1238)/100),TC!$5:$37,DAY(C1238)+2,FALSE),VLOOKUP(E1238,Equivalencia!$5:$23,((MAX(Equivalencia!$3:$3)-YEAR(C1238))*14)+MONTH(C1238)+2,FALSE)))</f>
        <v>1</v>
      </c>
      <c r="J1238" s="178">
        <f t="shared" si="165"/>
        <v>405.02499999999998</v>
      </c>
      <c r="K1238" s="462">
        <f>IF(C1238=0,0,VLOOKUP(YEAR(C1238),INPC!$B$4:$O$29,MONTH(C1238)+1))</f>
        <v>117.30800000000001</v>
      </c>
      <c r="L1238" s="462">
        <f>IF(S1238=0,0,VLOOKUP(YEAR(S1238),INPC!$B$4:$O$29,MONTH(S1238)+1))</f>
        <v>126.47799999999999</v>
      </c>
      <c r="M1238" s="463">
        <f t="shared" si="166"/>
        <v>1.0781000000000001</v>
      </c>
      <c r="N1238" s="465">
        <f t="shared" si="167"/>
        <v>436.65745249999998</v>
      </c>
      <c r="O1238" s="179"/>
      <c r="P1238" s="180">
        <v>1</v>
      </c>
      <c r="Q1238" s="173" t="s">
        <v>583</v>
      </c>
      <c r="R1238" s="173" t="s">
        <v>230</v>
      </c>
      <c r="S1238" s="174">
        <v>44915</v>
      </c>
      <c r="T1238" s="173" t="s">
        <v>33</v>
      </c>
      <c r="U1238" s="182">
        <v>304.58999999999997</v>
      </c>
      <c r="V1238" s="177">
        <f>IF(U1238=0,0,IF(T1238="MXN",1/HLOOKUP(YEAR(S1238)+(MONTH(S1238)/100),TC!$5:$37,DAY(S1238)+2,FALSE),VLOOKUP(T1238,Equivalencia!$1:$23,((MAX(Equivalencia!$3:$3)-YEAR(S1238))*14)+MONTH(S1238)+2,FALSE)))</f>
        <v>1</v>
      </c>
      <c r="W1238" s="178">
        <f t="shared" si="168"/>
        <v>304.58999999999997</v>
      </c>
      <c r="X1238" s="481">
        <f t="shared" si="169"/>
        <v>-100.435</v>
      </c>
      <c r="Y1238" s="179"/>
      <c r="Z1238" s="466">
        <f t="shared" si="170"/>
        <v>436.65745249999998</v>
      </c>
      <c r="AA1238" s="473">
        <f t="shared" si="171"/>
        <v>-132.0674525</v>
      </c>
      <c r="AB1238" s="339">
        <f t="shared" si="172"/>
        <v>-0.24797234738596385</v>
      </c>
    </row>
    <row r="1239" spans="2:28" ht="20.100000000000001" customHeight="1">
      <c r="B1239" s="172">
        <v>1427200</v>
      </c>
      <c r="C1239" s="174">
        <v>44550</v>
      </c>
      <c r="D1239" s="181" t="s">
        <v>270</v>
      </c>
      <c r="E1239" s="173" t="s">
        <v>33</v>
      </c>
      <c r="F1239" s="176">
        <v>405.02499999999998</v>
      </c>
      <c r="G1239" s="175">
        <f t="shared" si="163"/>
        <v>1</v>
      </c>
      <c r="H1239" s="175">
        <f t="shared" si="164"/>
        <v>405.02499999999998</v>
      </c>
      <c r="I1239" s="177">
        <f>IF(G1239=0,0,IF(E1239="MXN",1/HLOOKUP(YEAR(C1239)+(MONTH(C1239)/100),TC!$5:$37,DAY(C1239)+2,FALSE),VLOOKUP(E1239,Equivalencia!$5:$23,((MAX(Equivalencia!$3:$3)-YEAR(C1239))*14)+MONTH(C1239)+2,FALSE)))</f>
        <v>1</v>
      </c>
      <c r="J1239" s="178">
        <f t="shared" si="165"/>
        <v>405.02499999999998</v>
      </c>
      <c r="K1239" s="462">
        <f>IF(C1239=0,0,VLOOKUP(YEAR(C1239),INPC!$B$4:$O$29,MONTH(C1239)+1))</f>
        <v>117.30800000000001</v>
      </c>
      <c r="L1239" s="462">
        <f>IF(S1239=0,0,VLOOKUP(YEAR(S1239),INPC!$B$4:$O$29,MONTH(S1239)+1))</f>
        <v>126.47799999999999</v>
      </c>
      <c r="M1239" s="463">
        <f t="shared" si="166"/>
        <v>1.0781000000000001</v>
      </c>
      <c r="N1239" s="465">
        <f t="shared" si="167"/>
        <v>436.65745249999998</v>
      </c>
      <c r="O1239" s="179"/>
      <c r="P1239" s="180">
        <v>1</v>
      </c>
      <c r="Q1239" s="173" t="s">
        <v>583</v>
      </c>
      <c r="R1239" s="173" t="s">
        <v>230</v>
      </c>
      <c r="S1239" s="174">
        <v>44916</v>
      </c>
      <c r="T1239" s="173" t="s">
        <v>33</v>
      </c>
      <c r="U1239" s="182">
        <v>310.33999999999997</v>
      </c>
      <c r="V1239" s="177">
        <f>IF(U1239=0,0,IF(T1239="MXN",1/HLOOKUP(YEAR(S1239)+(MONTH(S1239)/100),TC!$5:$37,DAY(S1239)+2,FALSE),VLOOKUP(T1239,Equivalencia!$1:$23,((MAX(Equivalencia!$3:$3)-YEAR(S1239))*14)+MONTH(S1239)+2,FALSE)))</f>
        <v>1</v>
      </c>
      <c r="W1239" s="178">
        <f t="shared" si="168"/>
        <v>310.33999999999997</v>
      </c>
      <c r="X1239" s="481">
        <f t="shared" si="169"/>
        <v>-94.685000000000002</v>
      </c>
      <c r="Y1239" s="179"/>
      <c r="Z1239" s="466">
        <f t="shared" si="170"/>
        <v>436.65745249999998</v>
      </c>
      <c r="AA1239" s="473">
        <f t="shared" si="171"/>
        <v>-126.3174525</v>
      </c>
      <c r="AB1239" s="339">
        <f t="shared" si="172"/>
        <v>-0.23377569285846556</v>
      </c>
    </row>
    <row r="1240" spans="2:28" ht="20.100000000000001" customHeight="1">
      <c r="B1240" s="172">
        <v>1427200</v>
      </c>
      <c r="C1240" s="174">
        <v>44558</v>
      </c>
      <c r="D1240" s="181" t="s">
        <v>270</v>
      </c>
      <c r="E1240" s="173" t="s">
        <v>33</v>
      </c>
      <c r="F1240" s="176">
        <v>425.22</v>
      </c>
      <c r="G1240" s="175">
        <f t="shared" si="163"/>
        <v>1</v>
      </c>
      <c r="H1240" s="175">
        <f t="shared" si="164"/>
        <v>425.22</v>
      </c>
      <c r="I1240" s="177">
        <f>IF(G1240=0,0,IF(E1240="MXN",1/HLOOKUP(YEAR(C1240)+(MONTH(C1240)/100),TC!$5:$37,DAY(C1240)+2,FALSE),VLOOKUP(E1240,Equivalencia!$5:$23,((MAX(Equivalencia!$3:$3)-YEAR(C1240))*14)+MONTH(C1240)+2,FALSE)))</f>
        <v>1</v>
      </c>
      <c r="J1240" s="178">
        <f t="shared" si="165"/>
        <v>425.22</v>
      </c>
      <c r="K1240" s="462">
        <f>IF(C1240=0,0,VLOOKUP(YEAR(C1240),INPC!$B$4:$O$29,MONTH(C1240)+1))</f>
        <v>117.30800000000001</v>
      </c>
      <c r="L1240" s="462">
        <f>IF(S1240=0,0,VLOOKUP(YEAR(S1240),INPC!$B$4:$O$29,MONTH(S1240)+1))</f>
        <v>126.47799999999999</v>
      </c>
      <c r="M1240" s="463">
        <f t="shared" si="166"/>
        <v>1.0781000000000001</v>
      </c>
      <c r="N1240" s="465">
        <f t="shared" si="167"/>
        <v>458.42968200000007</v>
      </c>
      <c r="O1240" s="179"/>
      <c r="P1240" s="180">
        <v>1</v>
      </c>
      <c r="Q1240" s="173" t="s">
        <v>583</v>
      </c>
      <c r="R1240" s="173" t="s">
        <v>230</v>
      </c>
      <c r="S1240" s="174">
        <v>44916</v>
      </c>
      <c r="T1240" s="173" t="s">
        <v>33</v>
      </c>
      <c r="U1240" s="182">
        <v>307.61</v>
      </c>
      <c r="V1240" s="177">
        <f>IF(U1240=0,0,IF(T1240="MXN",1/HLOOKUP(YEAR(S1240)+(MONTH(S1240)/100),TC!$5:$37,DAY(S1240)+2,FALSE),VLOOKUP(T1240,Equivalencia!$1:$23,((MAX(Equivalencia!$3:$3)-YEAR(S1240))*14)+MONTH(S1240)+2,FALSE)))</f>
        <v>1</v>
      </c>
      <c r="W1240" s="178">
        <f t="shared" si="168"/>
        <v>307.61</v>
      </c>
      <c r="X1240" s="481">
        <f t="shared" si="169"/>
        <v>-117.61000000000001</v>
      </c>
      <c r="Y1240" s="179"/>
      <c r="Z1240" s="466">
        <f t="shared" si="170"/>
        <v>458.42968200000007</v>
      </c>
      <c r="AA1240" s="473">
        <f t="shared" si="171"/>
        <v>-150.81968200000006</v>
      </c>
      <c r="AB1240" s="339">
        <f t="shared" si="172"/>
        <v>-0.27658623771224311</v>
      </c>
    </row>
    <row r="1241" spans="2:28" ht="20.100000000000001" customHeight="1">
      <c r="B1241" s="172">
        <v>1427200</v>
      </c>
      <c r="C1241" s="174">
        <v>44558</v>
      </c>
      <c r="D1241" s="181" t="s">
        <v>270</v>
      </c>
      <c r="E1241" s="173" t="s">
        <v>33</v>
      </c>
      <c r="F1241" s="176">
        <v>851.05</v>
      </c>
      <c r="G1241" s="175">
        <f t="shared" si="163"/>
        <v>2</v>
      </c>
      <c r="H1241" s="175">
        <f t="shared" si="164"/>
        <v>851.05</v>
      </c>
      <c r="I1241" s="177">
        <f>IF(G1241=0,0,IF(E1241="MXN",1/HLOOKUP(YEAR(C1241)+(MONTH(C1241)/100),TC!$5:$37,DAY(C1241)+2,FALSE),VLOOKUP(E1241,Equivalencia!$5:$23,((MAX(Equivalencia!$3:$3)-YEAR(C1241))*14)+MONTH(C1241)+2,FALSE)))</f>
        <v>1</v>
      </c>
      <c r="J1241" s="178">
        <f t="shared" si="165"/>
        <v>851.05</v>
      </c>
      <c r="K1241" s="462">
        <f>IF(C1241=0,0,VLOOKUP(YEAR(C1241),INPC!$B$4:$O$29,MONTH(C1241)+1))</f>
        <v>117.30800000000001</v>
      </c>
      <c r="L1241" s="462">
        <f>IF(S1241=0,0,VLOOKUP(YEAR(S1241),INPC!$B$4:$O$29,MONTH(S1241)+1))</f>
        <v>126.47799999999999</v>
      </c>
      <c r="M1241" s="463">
        <f t="shared" si="166"/>
        <v>1.0781000000000001</v>
      </c>
      <c r="N1241" s="465">
        <f t="shared" si="167"/>
        <v>917.51700500000004</v>
      </c>
      <c r="O1241" s="179"/>
      <c r="P1241" s="180">
        <v>2</v>
      </c>
      <c r="Q1241" s="173" t="s">
        <v>583</v>
      </c>
      <c r="R1241" s="173" t="s">
        <v>230</v>
      </c>
      <c r="S1241" s="174">
        <v>44916</v>
      </c>
      <c r="T1241" s="173" t="s">
        <v>33</v>
      </c>
      <c r="U1241" s="182">
        <v>620.84</v>
      </c>
      <c r="V1241" s="177">
        <f>IF(U1241=0,0,IF(T1241="MXN",1/HLOOKUP(YEAR(S1241)+(MONTH(S1241)/100),TC!$5:$37,DAY(S1241)+2,FALSE),VLOOKUP(T1241,Equivalencia!$1:$23,((MAX(Equivalencia!$3:$3)-YEAR(S1241))*14)+MONTH(S1241)+2,FALSE)))</f>
        <v>1</v>
      </c>
      <c r="W1241" s="178">
        <f t="shared" si="168"/>
        <v>620.84</v>
      </c>
      <c r="X1241" s="481">
        <f t="shared" si="169"/>
        <v>-230.20999999999992</v>
      </c>
      <c r="Y1241" s="179"/>
      <c r="Z1241" s="466">
        <f t="shared" si="170"/>
        <v>917.51700500000004</v>
      </c>
      <c r="AA1241" s="473">
        <f t="shared" si="171"/>
        <v>-296.67700500000001</v>
      </c>
      <c r="AB1241" s="339">
        <f t="shared" si="172"/>
        <v>-0.2705011456436166</v>
      </c>
    </row>
    <row r="1242" spans="2:28" ht="20.100000000000001" customHeight="1">
      <c r="B1242" s="172">
        <v>1427200</v>
      </c>
      <c r="C1242" s="174">
        <v>44581</v>
      </c>
      <c r="D1242" s="181" t="s">
        <v>270</v>
      </c>
      <c r="E1242" s="173" t="s">
        <v>33</v>
      </c>
      <c r="F1242" s="176">
        <v>336.5</v>
      </c>
      <c r="G1242" s="175">
        <f t="shared" si="163"/>
        <v>1</v>
      </c>
      <c r="H1242" s="175">
        <f t="shared" si="164"/>
        <v>336.5</v>
      </c>
      <c r="I1242" s="177">
        <f>IF(G1242=0,0,IF(E1242="MXN",1/HLOOKUP(YEAR(C1242)+(MONTH(C1242)/100),TC!$5:$37,DAY(C1242)+2,FALSE),VLOOKUP(E1242,Equivalencia!$5:$23,((MAX(Equivalencia!$3:$3)-YEAR(C1242))*14)+MONTH(C1242)+2,FALSE)))</f>
        <v>1</v>
      </c>
      <c r="J1242" s="178">
        <f t="shared" si="165"/>
        <v>336.5</v>
      </c>
      <c r="K1242" s="462">
        <f>IF(C1242=0,0,VLOOKUP(YEAR(C1242),INPC!$B$4:$O$29,MONTH(C1242)+1))</f>
        <v>118.002</v>
      </c>
      <c r="L1242" s="462">
        <f>IF(S1242=0,0,VLOOKUP(YEAR(S1242),INPC!$B$4:$O$29,MONTH(S1242)+1))</f>
        <v>126.47799999999999</v>
      </c>
      <c r="M1242" s="463">
        <f t="shared" si="166"/>
        <v>1.0718000000000001</v>
      </c>
      <c r="N1242" s="465">
        <f t="shared" si="167"/>
        <v>360.66070000000002</v>
      </c>
      <c r="O1242" s="179"/>
      <c r="P1242" s="180">
        <v>1</v>
      </c>
      <c r="Q1242" s="173" t="s">
        <v>583</v>
      </c>
      <c r="R1242" s="173" t="s">
        <v>230</v>
      </c>
      <c r="S1242" s="174">
        <v>44917</v>
      </c>
      <c r="T1242" s="173" t="s">
        <v>33</v>
      </c>
      <c r="U1242" s="182">
        <v>297.14999999999998</v>
      </c>
      <c r="V1242" s="177">
        <f>IF(U1242=0,0,IF(T1242="MXN",1/HLOOKUP(YEAR(S1242)+(MONTH(S1242)/100),TC!$5:$37,DAY(S1242)+2,FALSE),VLOOKUP(T1242,Equivalencia!$1:$23,((MAX(Equivalencia!$3:$3)-YEAR(S1242))*14)+MONTH(S1242)+2,FALSE)))</f>
        <v>1</v>
      </c>
      <c r="W1242" s="178">
        <f t="shared" si="168"/>
        <v>297.14999999999998</v>
      </c>
      <c r="X1242" s="481">
        <f t="shared" si="169"/>
        <v>-39.350000000000023</v>
      </c>
      <c r="Y1242" s="179"/>
      <c r="Z1242" s="466">
        <f t="shared" si="170"/>
        <v>360.66070000000002</v>
      </c>
      <c r="AA1242" s="473">
        <f t="shared" si="171"/>
        <v>-63.510700000000043</v>
      </c>
      <c r="AB1242" s="339">
        <f t="shared" si="172"/>
        <v>-0.11693907875185738</v>
      </c>
    </row>
    <row r="1243" spans="2:28" ht="20.100000000000001" customHeight="1">
      <c r="B1243" s="172">
        <v>1427200</v>
      </c>
      <c r="C1243" s="174">
        <v>44581</v>
      </c>
      <c r="D1243" s="181" t="s">
        <v>270</v>
      </c>
      <c r="E1243" s="173" t="s">
        <v>33</v>
      </c>
      <c r="F1243" s="176">
        <v>332.5</v>
      </c>
      <c r="G1243" s="175">
        <f t="shared" si="163"/>
        <v>1</v>
      </c>
      <c r="H1243" s="175">
        <f t="shared" si="164"/>
        <v>332.5</v>
      </c>
      <c r="I1243" s="177">
        <f>IF(G1243=0,0,IF(E1243="MXN",1/HLOOKUP(YEAR(C1243)+(MONTH(C1243)/100),TC!$5:$37,DAY(C1243)+2,FALSE),VLOOKUP(E1243,Equivalencia!$5:$23,((MAX(Equivalencia!$3:$3)-YEAR(C1243))*14)+MONTH(C1243)+2,FALSE)))</f>
        <v>1</v>
      </c>
      <c r="J1243" s="178">
        <f t="shared" si="165"/>
        <v>332.5</v>
      </c>
      <c r="K1243" s="462">
        <f>IF(C1243=0,0,VLOOKUP(YEAR(C1243),INPC!$B$4:$O$29,MONTH(C1243)+1))</f>
        <v>118.002</v>
      </c>
      <c r="L1243" s="462">
        <f>IF(S1243=0,0,VLOOKUP(YEAR(S1243),INPC!$B$4:$O$29,MONTH(S1243)+1))</f>
        <v>126.47799999999999</v>
      </c>
      <c r="M1243" s="463">
        <f t="shared" si="166"/>
        <v>1.0718000000000001</v>
      </c>
      <c r="N1243" s="465">
        <f t="shared" si="167"/>
        <v>356.37350000000004</v>
      </c>
      <c r="O1243" s="179"/>
      <c r="P1243" s="180">
        <v>1</v>
      </c>
      <c r="Q1243" s="173" t="s">
        <v>583</v>
      </c>
      <c r="R1243" s="173" t="s">
        <v>230</v>
      </c>
      <c r="S1243" s="174">
        <v>44917</v>
      </c>
      <c r="T1243" s="173" t="s">
        <v>33</v>
      </c>
      <c r="U1243" s="182">
        <v>297.49666666666667</v>
      </c>
      <c r="V1243" s="177">
        <f>IF(U1243=0,0,IF(T1243="MXN",1/HLOOKUP(YEAR(S1243)+(MONTH(S1243)/100),TC!$5:$37,DAY(S1243)+2,FALSE),VLOOKUP(T1243,Equivalencia!$1:$23,((MAX(Equivalencia!$3:$3)-YEAR(S1243))*14)+MONTH(S1243)+2,FALSE)))</f>
        <v>1</v>
      </c>
      <c r="W1243" s="178">
        <f t="shared" si="168"/>
        <v>297.49666666666667</v>
      </c>
      <c r="X1243" s="481">
        <f t="shared" si="169"/>
        <v>-35.00333333333333</v>
      </c>
      <c r="Y1243" s="179"/>
      <c r="Z1243" s="466">
        <f t="shared" si="170"/>
        <v>356.37350000000004</v>
      </c>
      <c r="AA1243" s="473">
        <f t="shared" si="171"/>
        <v>-58.876833333333366</v>
      </c>
      <c r="AB1243" s="339">
        <f t="shared" si="172"/>
        <v>-0.10527318295739352</v>
      </c>
    </row>
    <row r="1244" spans="2:28" ht="20.100000000000001" customHeight="1">
      <c r="B1244" s="172">
        <v>1427200</v>
      </c>
      <c r="C1244" s="174">
        <v>44629</v>
      </c>
      <c r="D1244" s="181" t="s">
        <v>270</v>
      </c>
      <c r="E1244" s="173" t="s">
        <v>33</v>
      </c>
      <c r="F1244" s="176">
        <v>299.52999999999997</v>
      </c>
      <c r="G1244" s="175">
        <f t="shared" si="163"/>
        <v>1</v>
      </c>
      <c r="H1244" s="175">
        <f t="shared" si="164"/>
        <v>299.52999999999997</v>
      </c>
      <c r="I1244" s="177">
        <f>IF(G1244=0,0,IF(E1244="MXN",1/HLOOKUP(YEAR(C1244)+(MONTH(C1244)/100),TC!$5:$37,DAY(C1244)+2,FALSE),VLOOKUP(E1244,Equivalencia!$5:$23,((MAX(Equivalencia!$3:$3)-YEAR(C1244))*14)+MONTH(C1244)+2,FALSE)))</f>
        <v>1</v>
      </c>
      <c r="J1244" s="178">
        <f t="shared" si="165"/>
        <v>299.52999999999997</v>
      </c>
      <c r="K1244" s="462">
        <f>IF(C1244=0,0,VLOOKUP(YEAR(C1244),INPC!$B$4:$O$29,MONTH(C1244)+1))</f>
        <v>120.15900000000001</v>
      </c>
      <c r="L1244" s="462">
        <f>IF(S1244=0,0,VLOOKUP(YEAR(S1244),INPC!$B$4:$O$29,MONTH(S1244)+1))</f>
        <v>126.47799999999999</v>
      </c>
      <c r="M1244" s="463">
        <f t="shared" si="166"/>
        <v>1.0525</v>
      </c>
      <c r="N1244" s="465">
        <f t="shared" si="167"/>
        <v>315.25532499999997</v>
      </c>
      <c r="O1244" s="179"/>
      <c r="P1244" s="180">
        <v>1</v>
      </c>
      <c r="Q1244" s="173" t="s">
        <v>583</v>
      </c>
      <c r="R1244" s="173" t="s">
        <v>230</v>
      </c>
      <c r="S1244" s="174">
        <v>44917</v>
      </c>
      <c r="T1244" s="173" t="s">
        <v>33</v>
      </c>
      <c r="U1244" s="182">
        <v>297.49666666666667</v>
      </c>
      <c r="V1244" s="177">
        <f>IF(U1244=0,0,IF(T1244="MXN",1/HLOOKUP(YEAR(S1244)+(MONTH(S1244)/100),TC!$5:$37,DAY(S1244)+2,FALSE),VLOOKUP(T1244,Equivalencia!$1:$23,((MAX(Equivalencia!$3:$3)-YEAR(S1244))*14)+MONTH(S1244)+2,FALSE)))</f>
        <v>1</v>
      </c>
      <c r="W1244" s="178">
        <f t="shared" si="168"/>
        <v>297.49666666666667</v>
      </c>
      <c r="X1244" s="481">
        <f t="shared" si="169"/>
        <v>-2.033333333333303</v>
      </c>
      <c r="Y1244" s="179"/>
      <c r="Z1244" s="466">
        <f t="shared" si="170"/>
        <v>315.25532499999997</v>
      </c>
      <c r="AA1244" s="473">
        <f t="shared" si="171"/>
        <v>-17.758658333333301</v>
      </c>
      <c r="AB1244" s="339">
        <f t="shared" si="172"/>
        <v>-6.7884129580786379E-3</v>
      </c>
    </row>
    <row r="1245" spans="2:28" ht="20.100000000000001" customHeight="1">
      <c r="B1245" s="172">
        <v>1427200</v>
      </c>
      <c r="C1245" s="174">
        <v>44629</v>
      </c>
      <c r="D1245" s="181" t="s">
        <v>270</v>
      </c>
      <c r="E1245" s="173" t="s">
        <v>33</v>
      </c>
      <c r="F1245" s="176">
        <v>297.02</v>
      </c>
      <c r="G1245" s="175">
        <f t="shared" si="163"/>
        <v>1</v>
      </c>
      <c r="H1245" s="175">
        <f t="shared" si="164"/>
        <v>297.02</v>
      </c>
      <c r="I1245" s="177">
        <f>IF(G1245=0,0,IF(E1245="MXN",1/HLOOKUP(YEAR(C1245)+(MONTH(C1245)/100),TC!$5:$37,DAY(C1245)+2,FALSE),VLOOKUP(E1245,Equivalencia!$5:$23,((MAX(Equivalencia!$3:$3)-YEAR(C1245))*14)+MONTH(C1245)+2,FALSE)))</f>
        <v>1</v>
      </c>
      <c r="J1245" s="178">
        <f t="shared" si="165"/>
        <v>297.02</v>
      </c>
      <c r="K1245" s="462">
        <f>IF(C1245=0,0,VLOOKUP(YEAR(C1245),INPC!$B$4:$O$29,MONTH(C1245)+1))</f>
        <v>120.15900000000001</v>
      </c>
      <c r="L1245" s="462">
        <f>IF(S1245=0,0,VLOOKUP(YEAR(S1245),INPC!$B$4:$O$29,MONTH(S1245)+1))</f>
        <v>126.47799999999999</v>
      </c>
      <c r="M1245" s="463">
        <f t="shared" si="166"/>
        <v>1.0525</v>
      </c>
      <c r="N1245" s="465">
        <f t="shared" si="167"/>
        <v>312.61354999999998</v>
      </c>
      <c r="O1245" s="179"/>
      <c r="P1245" s="180">
        <v>1</v>
      </c>
      <c r="Q1245" s="173" t="s">
        <v>583</v>
      </c>
      <c r="R1245" s="173" t="s">
        <v>230</v>
      </c>
      <c r="S1245" s="174">
        <v>44917</v>
      </c>
      <c r="T1245" s="173" t="s">
        <v>33</v>
      </c>
      <c r="U1245" s="182">
        <v>297.49666666666667</v>
      </c>
      <c r="V1245" s="177">
        <f>IF(U1245=0,0,IF(T1245="MXN",1/HLOOKUP(YEAR(S1245)+(MONTH(S1245)/100),TC!$5:$37,DAY(S1245)+2,FALSE),VLOOKUP(T1245,Equivalencia!$1:$23,((MAX(Equivalencia!$3:$3)-YEAR(S1245))*14)+MONTH(S1245)+2,FALSE)))</f>
        <v>1</v>
      </c>
      <c r="W1245" s="178">
        <f t="shared" si="168"/>
        <v>297.49666666666667</v>
      </c>
      <c r="X1245" s="481">
        <f t="shared" si="169"/>
        <v>0.47666666666668789</v>
      </c>
      <c r="Y1245" s="179"/>
      <c r="Z1245" s="466">
        <f t="shared" si="170"/>
        <v>312.61354999999998</v>
      </c>
      <c r="AA1245" s="473">
        <f t="shared" si="171"/>
        <v>-15.116883333333305</v>
      </c>
      <c r="AB1245" s="339">
        <f t="shared" si="172"/>
        <v>1.6048302022311223E-3</v>
      </c>
    </row>
    <row r="1246" spans="2:28" ht="20.100000000000001" customHeight="1">
      <c r="B1246" s="172">
        <v>1427200</v>
      </c>
      <c r="C1246" s="174">
        <v>44503</v>
      </c>
      <c r="D1246" s="181" t="s">
        <v>272</v>
      </c>
      <c r="E1246" s="173" t="s">
        <v>33</v>
      </c>
      <c r="F1246" s="176">
        <v>1047.4811999999999</v>
      </c>
      <c r="G1246" s="175">
        <f t="shared" si="163"/>
        <v>3</v>
      </c>
      <c r="H1246" s="175">
        <f t="shared" si="164"/>
        <v>1047.4811999999999</v>
      </c>
      <c r="I1246" s="177">
        <f>IF(G1246=0,0,IF(E1246="MXN",1/HLOOKUP(YEAR(C1246)+(MONTH(C1246)/100),TC!$5:$37,DAY(C1246)+2,FALSE),VLOOKUP(E1246,Equivalencia!$5:$23,((MAX(Equivalencia!$3:$3)-YEAR(C1246))*14)+MONTH(C1246)+2,FALSE)))</f>
        <v>1</v>
      </c>
      <c r="J1246" s="178">
        <f t="shared" si="165"/>
        <v>1047.4811999999999</v>
      </c>
      <c r="K1246" s="462">
        <f>IF(C1246=0,0,VLOOKUP(YEAR(C1246),INPC!$B$4:$O$29,MONTH(C1246)+1))</f>
        <v>116.884</v>
      </c>
      <c r="L1246" s="462">
        <f>IF(S1246=0,0,VLOOKUP(YEAR(S1246),INPC!$B$4:$O$29,MONTH(S1246)+1))</f>
        <v>126.47799999999999</v>
      </c>
      <c r="M1246" s="463">
        <f t="shared" si="166"/>
        <v>1.0820000000000001</v>
      </c>
      <c r="N1246" s="465">
        <f t="shared" si="167"/>
        <v>1133.3746584</v>
      </c>
      <c r="O1246" s="179"/>
      <c r="P1246" s="180">
        <v>3</v>
      </c>
      <c r="Q1246" s="173" t="s">
        <v>583</v>
      </c>
      <c r="R1246" s="173" t="s">
        <v>230</v>
      </c>
      <c r="S1246" s="174">
        <v>44915</v>
      </c>
      <c r="T1246" s="173" t="s">
        <v>33</v>
      </c>
      <c r="U1246" s="182">
        <v>941.06</v>
      </c>
      <c r="V1246" s="177">
        <f>IF(U1246=0,0,IF(T1246="MXN",1/HLOOKUP(YEAR(S1246)+(MONTH(S1246)/100),TC!$5:$37,DAY(S1246)+2,FALSE),VLOOKUP(T1246,Equivalencia!$1:$23,((MAX(Equivalencia!$3:$3)-YEAR(S1246))*14)+MONTH(S1246)+2,FALSE)))</f>
        <v>1</v>
      </c>
      <c r="W1246" s="178">
        <f t="shared" si="168"/>
        <v>941.06</v>
      </c>
      <c r="X1246" s="481">
        <f t="shared" si="169"/>
        <v>-106.4212</v>
      </c>
      <c r="Y1246" s="179"/>
      <c r="Z1246" s="466">
        <f t="shared" si="170"/>
        <v>1133.3746584</v>
      </c>
      <c r="AA1246" s="473">
        <f t="shared" si="171"/>
        <v>-192.3146584000001</v>
      </c>
      <c r="AB1246" s="339">
        <f t="shared" si="172"/>
        <v>-0.10159724107697587</v>
      </c>
    </row>
    <row r="1247" spans="2:28" ht="20.100000000000001" customHeight="1">
      <c r="B1247" s="172">
        <v>1427200</v>
      </c>
      <c r="C1247" s="174">
        <v>44601</v>
      </c>
      <c r="D1247" s="181" t="s">
        <v>272</v>
      </c>
      <c r="E1247" s="173" t="s">
        <v>33</v>
      </c>
      <c r="F1247" s="176">
        <v>266.93</v>
      </c>
      <c r="G1247" s="175">
        <f t="shared" si="163"/>
        <v>1</v>
      </c>
      <c r="H1247" s="175">
        <f t="shared" si="164"/>
        <v>266.93</v>
      </c>
      <c r="I1247" s="177">
        <f>IF(G1247=0,0,IF(E1247="MXN",1/HLOOKUP(YEAR(C1247)+(MONTH(C1247)/100),TC!$5:$37,DAY(C1247)+2,FALSE),VLOOKUP(E1247,Equivalencia!$5:$23,((MAX(Equivalencia!$3:$3)-YEAR(C1247))*14)+MONTH(C1247)+2,FALSE)))</f>
        <v>1</v>
      </c>
      <c r="J1247" s="178">
        <f t="shared" si="165"/>
        <v>266.93</v>
      </c>
      <c r="K1247" s="462">
        <f>IF(C1247=0,0,VLOOKUP(YEAR(C1247),INPC!$B$4:$O$29,MONTH(C1247)+1))</f>
        <v>118.98099999999999</v>
      </c>
      <c r="L1247" s="462">
        <f>IF(S1247=0,0,VLOOKUP(YEAR(S1247),INPC!$B$4:$O$29,MONTH(S1247)+1))</f>
        <v>126.47799999999999</v>
      </c>
      <c r="M1247" s="463">
        <f t="shared" si="166"/>
        <v>1.0629999999999999</v>
      </c>
      <c r="N1247" s="465">
        <f t="shared" si="167"/>
        <v>283.74658999999997</v>
      </c>
      <c r="O1247" s="179"/>
      <c r="P1247" s="180">
        <v>1</v>
      </c>
      <c r="Q1247" s="173" t="s">
        <v>583</v>
      </c>
      <c r="R1247" s="173" t="s">
        <v>230</v>
      </c>
      <c r="S1247" s="174">
        <v>44915</v>
      </c>
      <c r="T1247" s="173" t="s">
        <v>33</v>
      </c>
      <c r="U1247" s="182">
        <v>313.16000000000003</v>
      </c>
      <c r="V1247" s="177">
        <f>IF(U1247=0,0,IF(T1247="MXN",1/HLOOKUP(YEAR(S1247)+(MONTH(S1247)/100),TC!$5:$37,DAY(S1247)+2,FALSE),VLOOKUP(T1247,Equivalencia!$1:$23,((MAX(Equivalencia!$3:$3)-YEAR(S1247))*14)+MONTH(S1247)+2,FALSE)))</f>
        <v>1</v>
      </c>
      <c r="W1247" s="178">
        <f t="shared" si="168"/>
        <v>313.16000000000003</v>
      </c>
      <c r="X1247" s="481">
        <f t="shared" si="169"/>
        <v>46.230000000000018</v>
      </c>
      <c r="Y1247" s="179"/>
      <c r="Z1247" s="466">
        <f t="shared" si="170"/>
        <v>283.74658999999997</v>
      </c>
      <c r="AA1247" s="473">
        <f t="shared" si="171"/>
        <v>29.413410000000056</v>
      </c>
      <c r="AB1247" s="339">
        <f t="shared" si="172"/>
        <v>0.17319147341999774</v>
      </c>
    </row>
    <row r="1248" spans="2:28" ht="20.100000000000001" customHeight="1">
      <c r="B1248" s="172">
        <v>1175000</v>
      </c>
      <c r="C1248" s="174">
        <v>44855</v>
      </c>
      <c r="D1248" s="181" t="s">
        <v>183</v>
      </c>
      <c r="E1248" s="173" t="s">
        <v>33</v>
      </c>
      <c r="F1248" s="176">
        <v>145.6</v>
      </c>
      <c r="G1248" s="175">
        <f t="shared" si="163"/>
        <v>2</v>
      </c>
      <c r="H1248" s="175">
        <f t="shared" si="164"/>
        <v>145.6</v>
      </c>
      <c r="I1248" s="177">
        <f>IF(G1248=0,0,IF(E1248="MXN",1/HLOOKUP(YEAR(C1248)+(MONTH(C1248)/100),TC!$5:$37,DAY(C1248)+2,FALSE),VLOOKUP(E1248,Equivalencia!$5:$23,((MAX(Equivalencia!$3:$3)-YEAR(C1248))*14)+MONTH(C1248)+2,FALSE)))</f>
        <v>1</v>
      </c>
      <c r="J1248" s="178">
        <f t="shared" si="165"/>
        <v>145.6</v>
      </c>
      <c r="K1248" s="462">
        <f>IF(C1248=0,0,VLOOKUP(YEAR(C1248),INPC!$B$4:$O$29,MONTH(C1248)+1))</f>
        <v>125.276</v>
      </c>
      <c r="L1248" s="462">
        <f>IF(S1248=0,0,VLOOKUP(YEAR(S1248),INPC!$B$4:$O$29,MONTH(S1248)+1))</f>
        <v>125.997</v>
      </c>
      <c r="M1248" s="463">
        <f t="shared" si="166"/>
        <v>1.0057</v>
      </c>
      <c r="N1248" s="465">
        <f t="shared" si="167"/>
        <v>146.42992000000001</v>
      </c>
      <c r="O1248" s="179"/>
      <c r="P1248" s="180">
        <v>2</v>
      </c>
      <c r="Q1248" s="173" t="s">
        <v>583</v>
      </c>
      <c r="R1248" s="173" t="s">
        <v>230</v>
      </c>
      <c r="S1248" s="174">
        <v>44895</v>
      </c>
      <c r="T1248" s="173" t="s">
        <v>33</v>
      </c>
      <c r="U1248" s="182">
        <v>147.87</v>
      </c>
      <c r="V1248" s="177">
        <f>IF(U1248=0,0,IF(T1248="MXN",1/HLOOKUP(YEAR(S1248)+(MONTH(S1248)/100),TC!$5:$37,DAY(S1248)+2,FALSE),VLOOKUP(T1248,Equivalencia!$1:$23,((MAX(Equivalencia!$3:$3)-YEAR(S1248))*14)+MONTH(S1248)+2,FALSE)))</f>
        <v>1</v>
      </c>
      <c r="W1248" s="178">
        <f t="shared" si="168"/>
        <v>147.87</v>
      </c>
      <c r="X1248" s="481">
        <f t="shared" si="169"/>
        <v>2.2700000000000102</v>
      </c>
      <c r="Y1248" s="179"/>
      <c r="Z1248" s="466">
        <f t="shared" si="170"/>
        <v>146.42992000000001</v>
      </c>
      <c r="AA1248" s="473">
        <f t="shared" si="171"/>
        <v>1.4400799999999947</v>
      </c>
      <c r="AB1248" s="339">
        <f t="shared" si="172"/>
        <v>1.5590659340659396E-2</v>
      </c>
    </row>
    <row r="1249" spans="2:28" ht="20.100000000000001" customHeight="1">
      <c r="B1249" s="172">
        <v>1175000</v>
      </c>
      <c r="C1249" s="174">
        <v>44855</v>
      </c>
      <c r="D1249" s="181" t="s">
        <v>183</v>
      </c>
      <c r="E1249" s="173" t="s">
        <v>33</v>
      </c>
      <c r="F1249" s="176">
        <v>291.2</v>
      </c>
      <c r="G1249" s="175">
        <f t="shared" si="163"/>
        <v>4</v>
      </c>
      <c r="H1249" s="175">
        <f t="shared" si="164"/>
        <v>291.2</v>
      </c>
      <c r="I1249" s="177">
        <f>IF(G1249=0,0,IF(E1249="MXN",1/HLOOKUP(YEAR(C1249)+(MONTH(C1249)/100),TC!$5:$37,DAY(C1249)+2,FALSE),VLOOKUP(E1249,Equivalencia!$5:$23,((MAX(Equivalencia!$3:$3)-YEAR(C1249))*14)+MONTH(C1249)+2,FALSE)))</f>
        <v>1</v>
      </c>
      <c r="J1249" s="178">
        <f t="shared" si="165"/>
        <v>291.2</v>
      </c>
      <c r="K1249" s="462">
        <f>IF(C1249=0,0,VLOOKUP(YEAR(C1249),INPC!$B$4:$O$29,MONTH(C1249)+1))</f>
        <v>125.276</v>
      </c>
      <c r="L1249" s="462">
        <f>IF(S1249=0,0,VLOOKUP(YEAR(S1249),INPC!$B$4:$O$29,MONTH(S1249)+1))</f>
        <v>125.997</v>
      </c>
      <c r="M1249" s="463">
        <f t="shared" si="166"/>
        <v>1.0057</v>
      </c>
      <c r="N1249" s="465">
        <f t="shared" si="167"/>
        <v>292.85984000000002</v>
      </c>
      <c r="O1249" s="179"/>
      <c r="P1249" s="180">
        <v>4</v>
      </c>
      <c r="Q1249" s="173" t="s">
        <v>583</v>
      </c>
      <c r="R1249" s="173" t="s">
        <v>230</v>
      </c>
      <c r="S1249" s="174">
        <v>44895</v>
      </c>
      <c r="T1249" s="173" t="s">
        <v>33</v>
      </c>
      <c r="U1249" s="182">
        <v>294.32</v>
      </c>
      <c r="V1249" s="177">
        <f>IF(U1249=0,0,IF(T1249="MXN",1/HLOOKUP(YEAR(S1249)+(MONTH(S1249)/100),TC!$5:$37,DAY(S1249)+2,FALSE),VLOOKUP(T1249,Equivalencia!$1:$23,((MAX(Equivalencia!$3:$3)-YEAR(S1249))*14)+MONTH(S1249)+2,FALSE)))</f>
        <v>1</v>
      </c>
      <c r="W1249" s="178">
        <f t="shared" si="168"/>
        <v>294.32</v>
      </c>
      <c r="X1249" s="481">
        <f t="shared" si="169"/>
        <v>3.1200000000000045</v>
      </c>
      <c r="Y1249" s="179"/>
      <c r="Z1249" s="466">
        <f t="shared" si="170"/>
        <v>292.85984000000002</v>
      </c>
      <c r="AA1249" s="473">
        <f t="shared" si="171"/>
        <v>1.4601599999999735</v>
      </c>
      <c r="AB1249" s="339">
        <f t="shared" si="172"/>
        <v>1.0714285714285676E-2</v>
      </c>
    </row>
    <row r="1250" spans="2:28" ht="20.100000000000001" customHeight="1">
      <c r="B1250" s="172">
        <v>1175000</v>
      </c>
      <c r="C1250" s="174">
        <v>44855</v>
      </c>
      <c r="D1250" s="181" t="s">
        <v>183</v>
      </c>
      <c r="E1250" s="173" t="s">
        <v>33</v>
      </c>
      <c r="F1250" s="176">
        <v>1310.3999999999999</v>
      </c>
      <c r="G1250" s="175">
        <f t="shared" si="163"/>
        <v>18</v>
      </c>
      <c r="H1250" s="175">
        <f t="shared" si="164"/>
        <v>1310.3999999999999</v>
      </c>
      <c r="I1250" s="177">
        <f>IF(G1250=0,0,IF(E1250="MXN",1/HLOOKUP(YEAR(C1250)+(MONTH(C1250)/100),TC!$5:$37,DAY(C1250)+2,FALSE),VLOOKUP(E1250,Equivalencia!$5:$23,((MAX(Equivalencia!$3:$3)-YEAR(C1250))*14)+MONTH(C1250)+2,FALSE)))</f>
        <v>1</v>
      </c>
      <c r="J1250" s="178">
        <f t="shared" si="165"/>
        <v>1310.3999999999999</v>
      </c>
      <c r="K1250" s="462">
        <f>IF(C1250=0,0,VLOOKUP(YEAR(C1250),INPC!$B$4:$O$29,MONTH(C1250)+1))</f>
        <v>125.276</v>
      </c>
      <c r="L1250" s="462">
        <f>IF(S1250=0,0,VLOOKUP(YEAR(S1250),INPC!$B$4:$O$29,MONTH(S1250)+1))</f>
        <v>125.997</v>
      </c>
      <c r="M1250" s="463">
        <f t="shared" si="166"/>
        <v>1.0057</v>
      </c>
      <c r="N1250" s="465">
        <f t="shared" si="167"/>
        <v>1317.8692799999999</v>
      </c>
      <c r="O1250" s="179"/>
      <c r="P1250" s="180">
        <v>18</v>
      </c>
      <c r="Q1250" s="173" t="s">
        <v>583</v>
      </c>
      <c r="R1250" s="173" t="s">
        <v>230</v>
      </c>
      <c r="S1250" s="174">
        <v>44895</v>
      </c>
      <c r="T1250" s="173" t="s">
        <v>33</v>
      </c>
      <c r="U1250" s="182">
        <v>1330.8899999999999</v>
      </c>
      <c r="V1250" s="177">
        <f>IF(U1250=0,0,IF(T1250="MXN",1/HLOOKUP(YEAR(S1250)+(MONTH(S1250)/100),TC!$5:$37,DAY(S1250)+2,FALSE),VLOOKUP(T1250,Equivalencia!$1:$23,((MAX(Equivalencia!$3:$3)-YEAR(S1250))*14)+MONTH(S1250)+2,FALSE)))</f>
        <v>1</v>
      </c>
      <c r="W1250" s="178">
        <f t="shared" si="168"/>
        <v>1330.8899999999999</v>
      </c>
      <c r="X1250" s="481">
        <f t="shared" si="169"/>
        <v>20.490000000000009</v>
      </c>
      <c r="Y1250" s="179"/>
      <c r="Z1250" s="466">
        <f t="shared" si="170"/>
        <v>1317.8692799999999</v>
      </c>
      <c r="AA1250" s="473">
        <f t="shared" si="171"/>
        <v>13.020719999999983</v>
      </c>
      <c r="AB1250" s="339">
        <f t="shared" si="172"/>
        <v>1.5636446886446942E-2</v>
      </c>
    </row>
    <row r="1251" spans="2:28" ht="20.100000000000001" customHeight="1">
      <c r="B1251" s="172">
        <v>1175000</v>
      </c>
      <c r="C1251" s="174">
        <v>44855</v>
      </c>
      <c r="D1251" s="181" t="s">
        <v>183</v>
      </c>
      <c r="E1251" s="173" t="s">
        <v>33</v>
      </c>
      <c r="F1251" s="176">
        <v>436.79999999999995</v>
      </c>
      <c r="G1251" s="175">
        <f t="shared" si="163"/>
        <v>6</v>
      </c>
      <c r="H1251" s="175">
        <f t="shared" si="164"/>
        <v>436.79999999999995</v>
      </c>
      <c r="I1251" s="177">
        <f>IF(G1251=0,0,IF(E1251="MXN",1/HLOOKUP(YEAR(C1251)+(MONTH(C1251)/100),TC!$5:$37,DAY(C1251)+2,FALSE),VLOOKUP(E1251,Equivalencia!$5:$23,((MAX(Equivalencia!$3:$3)-YEAR(C1251))*14)+MONTH(C1251)+2,FALSE)))</f>
        <v>1</v>
      </c>
      <c r="J1251" s="178">
        <f t="shared" si="165"/>
        <v>436.79999999999995</v>
      </c>
      <c r="K1251" s="462">
        <f>IF(C1251=0,0,VLOOKUP(YEAR(C1251),INPC!$B$4:$O$29,MONTH(C1251)+1))</f>
        <v>125.276</v>
      </c>
      <c r="L1251" s="462">
        <f>IF(S1251=0,0,VLOOKUP(YEAR(S1251),INPC!$B$4:$O$29,MONTH(S1251)+1))</f>
        <v>126.47799999999999</v>
      </c>
      <c r="M1251" s="463">
        <f t="shared" si="166"/>
        <v>1.0095000000000001</v>
      </c>
      <c r="N1251" s="465">
        <f t="shared" si="167"/>
        <v>440.94959999999998</v>
      </c>
      <c r="O1251" s="179"/>
      <c r="P1251" s="180">
        <v>6</v>
      </c>
      <c r="Q1251" s="173" t="s">
        <v>583</v>
      </c>
      <c r="R1251" s="173" t="s">
        <v>230</v>
      </c>
      <c r="S1251" s="174">
        <v>44896</v>
      </c>
      <c r="T1251" s="173" t="s">
        <v>33</v>
      </c>
      <c r="U1251" s="182">
        <v>449.73</v>
      </c>
      <c r="V1251" s="177">
        <f>IF(U1251=0,0,IF(T1251="MXN",1/HLOOKUP(YEAR(S1251)+(MONTH(S1251)/100),TC!$5:$37,DAY(S1251)+2,FALSE),VLOOKUP(T1251,Equivalencia!$1:$23,((MAX(Equivalencia!$3:$3)-YEAR(S1251))*14)+MONTH(S1251)+2,FALSE)))</f>
        <v>1</v>
      </c>
      <c r="W1251" s="178">
        <f t="shared" si="168"/>
        <v>449.73</v>
      </c>
      <c r="X1251" s="481">
        <f t="shared" si="169"/>
        <v>12.930000000000064</v>
      </c>
      <c r="Y1251" s="179"/>
      <c r="Z1251" s="466">
        <f t="shared" si="170"/>
        <v>440.94959999999998</v>
      </c>
      <c r="AA1251" s="473">
        <f t="shared" si="171"/>
        <v>8.7804000000000428</v>
      </c>
      <c r="AB1251" s="339">
        <f t="shared" si="172"/>
        <v>2.960164835164858E-2</v>
      </c>
    </row>
    <row r="1252" spans="2:28" ht="20.100000000000001" customHeight="1">
      <c r="B1252" s="172">
        <v>1175000</v>
      </c>
      <c r="C1252" s="174">
        <v>44363</v>
      </c>
      <c r="D1252" s="181" t="s">
        <v>155</v>
      </c>
      <c r="E1252" s="173" t="s">
        <v>33</v>
      </c>
      <c r="F1252" s="176">
        <v>4410.8747826086956</v>
      </c>
      <c r="G1252" s="175">
        <f t="shared" si="163"/>
        <v>19</v>
      </c>
      <c r="H1252" s="175">
        <f t="shared" si="164"/>
        <v>4410.8747826086956</v>
      </c>
      <c r="I1252" s="177">
        <f>IF(G1252=0,0,IF(E1252="MXN",1/HLOOKUP(YEAR(C1252)+(MONTH(C1252)/100),TC!$5:$37,DAY(C1252)+2,FALSE),VLOOKUP(E1252,Equivalencia!$5:$23,((MAX(Equivalencia!$3:$3)-YEAR(C1252))*14)+MONTH(C1252)+2,FALSE)))</f>
        <v>1</v>
      </c>
      <c r="J1252" s="178">
        <f t="shared" si="165"/>
        <v>4410.8747826086956</v>
      </c>
      <c r="K1252" s="462">
        <f>IF(C1252=0,0,VLOOKUP(YEAR(C1252),INPC!$B$4:$O$29,MONTH(C1252)+1))</f>
        <v>113.018</v>
      </c>
      <c r="L1252" s="462">
        <f>IF(S1252=0,0,VLOOKUP(YEAR(S1252),INPC!$B$4:$O$29,MONTH(S1252)+1))</f>
        <v>126.47799999999999</v>
      </c>
      <c r="M1252" s="463">
        <f t="shared" si="166"/>
        <v>1.119</v>
      </c>
      <c r="N1252" s="465">
        <f t="shared" si="167"/>
        <v>4935.7688817391299</v>
      </c>
      <c r="O1252" s="179"/>
      <c r="P1252" s="180">
        <v>19</v>
      </c>
      <c r="Q1252" s="173" t="s">
        <v>583</v>
      </c>
      <c r="R1252" s="173" t="s">
        <v>230</v>
      </c>
      <c r="S1252" s="174">
        <v>44903</v>
      </c>
      <c r="T1252" s="173" t="s">
        <v>33</v>
      </c>
      <c r="U1252" s="182">
        <v>4204.4399999999996</v>
      </c>
      <c r="V1252" s="177">
        <f>IF(U1252=0,0,IF(T1252="MXN",1/HLOOKUP(YEAR(S1252)+(MONTH(S1252)/100),TC!$5:$37,DAY(S1252)+2,FALSE),VLOOKUP(T1252,Equivalencia!$1:$23,((MAX(Equivalencia!$3:$3)-YEAR(S1252))*14)+MONTH(S1252)+2,FALSE)))</f>
        <v>1</v>
      </c>
      <c r="W1252" s="178">
        <f t="shared" si="168"/>
        <v>4204.4399999999996</v>
      </c>
      <c r="X1252" s="481">
        <f t="shared" si="169"/>
        <v>-206.43478260869597</v>
      </c>
      <c r="Y1252" s="179"/>
      <c r="Z1252" s="466">
        <f t="shared" si="170"/>
        <v>4935.7688817391299</v>
      </c>
      <c r="AA1252" s="473">
        <f t="shared" si="171"/>
        <v>-731.32888173913034</v>
      </c>
      <c r="AB1252" s="339">
        <f t="shared" si="172"/>
        <v>-4.6801324631257302E-2</v>
      </c>
    </row>
    <row r="1253" spans="2:28" ht="20.100000000000001" customHeight="1">
      <c r="B1253" s="172">
        <v>1175000</v>
      </c>
      <c r="C1253" s="174">
        <v>44363</v>
      </c>
      <c r="D1253" s="181" t="s">
        <v>155</v>
      </c>
      <c r="E1253" s="173" t="s">
        <v>33</v>
      </c>
      <c r="F1253" s="176">
        <v>1392.9078260869564</v>
      </c>
      <c r="G1253" s="175">
        <f t="shared" si="163"/>
        <v>6</v>
      </c>
      <c r="H1253" s="175">
        <f t="shared" si="164"/>
        <v>1392.9078260869564</v>
      </c>
      <c r="I1253" s="177">
        <f>IF(G1253=0,0,IF(E1253="MXN",1/HLOOKUP(YEAR(C1253)+(MONTH(C1253)/100),TC!$5:$37,DAY(C1253)+2,FALSE),VLOOKUP(E1253,Equivalencia!$5:$23,((MAX(Equivalencia!$3:$3)-YEAR(C1253))*14)+MONTH(C1253)+2,FALSE)))</f>
        <v>1</v>
      </c>
      <c r="J1253" s="178">
        <f t="shared" si="165"/>
        <v>1392.9078260869564</v>
      </c>
      <c r="K1253" s="462">
        <f>IF(C1253=0,0,VLOOKUP(YEAR(C1253),INPC!$B$4:$O$29,MONTH(C1253)+1))</f>
        <v>113.018</v>
      </c>
      <c r="L1253" s="462">
        <f>IF(S1253=0,0,VLOOKUP(YEAR(S1253),INPC!$B$4:$O$29,MONTH(S1253)+1))</f>
        <v>126.47799999999999</v>
      </c>
      <c r="M1253" s="463">
        <f t="shared" si="166"/>
        <v>1.119</v>
      </c>
      <c r="N1253" s="465">
        <f t="shared" si="167"/>
        <v>1558.6638573913042</v>
      </c>
      <c r="O1253" s="179"/>
      <c r="P1253" s="180">
        <v>6</v>
      </c>
      <c r="Q1253" s="173" t="s">
        <v>583</v>
      </c>
      <c r="R1253" s="173" t="s">
        <v>230</v>
      </c>
      <c r="S1253" s="174">
        <v>44904</v>
      </c>
      <c r="T1253" s="173" t="s">
        <v>33</v>
      </c>
      <c r="U1253" s="182">
        <v>1330.15</v>
      </c>
      <c r="V1253" s="177">
        <f>IF(U1253=0,0,IF(T1253="MXN",1/HLOOKUP(YEAR(S1253)+(MONTH(S1253)/100),TC!$5:$37,DAY(S1253)+2,FALSE),VLOOKUP(T1253,Equivalencia!$1:$23,((MAX(Equivalencia!$3:$3)-YEAR(S1253))*14)+MONTH(S1253)+2,FALSE)))</f>
        <v>1</v>
      </c>
      <c r="W1253" s="178">
        <f t="shared" si="168"/>
        <v>1330.15</v>
      </c>
      <c r="X1253" s="481">
        <f t="shared" si="169"/>
        <v>-62.757826086956356</v>
      </c>
      <c r="Y1253" s="179"/>
      <c r="Z1253" s="466">
        <f t="shared" si="170"/>
        <v>1558.6638573913042</v>
      </c>
      <c r="AA1253" s="473">
        <f t="shared" si="171"/>
        <v>-228.5138573913041</v>
      </c>
      <c r="AB1253" s="339">
        <f t="shared" si="172"/>
        <v>-4.5055261311338524E-2</v>
      </c>
    </row>
    <row r="1254" spans="2:28" ht="20.100000000000001" customHeight="1">
      <c r="B1254" s="172">
        <v>1175000</v>
      </c>
      <c r="C1254" s="174">
        <v>44363</v>
      </c>
      <c r="D1254" s="181" t="s">
        <v>158</v>
      </c>
      <c r="E1254" s="173" t="s">
        <v>33</v>
      </c>
      <c r="F1254" s="176">
        <v>7136.0994979079496</v>
      </c>
      <c r="G1254" s="175">
        <f t="shared" ref="G1254:G1508" si="173">+P1254</f>
        <v>38</v>
      </c>
      <c r="H1254" s="175">
        <f t="shared" ref="H1254:H1508" si="174">IF(F1254=0,0,(F1254/G1254)*P1254)</f>
        <v>7136.0994979079496</v>
      </c>
      <c r="I1254" s="177">
        <f>IF(G1254=0,0,IF(E1254="MXN",1/HLOOKUP(YEAR(C1254)+(MONTH(C1254)/100),TC!$5:$37,DAY(C1254)+2,FALSE),VLOOKUP(E1254,Equivalencia!$5:$23,((MAX(Equivalencia!$3:$3)-YEAR(C1254))*14)+MONTH(C1254)+2,FALSE)))</f>
        <v>1</v>
      </c>
      <c r="J1254" s="178">
        <f t="shared" ref="J1254:J1508" si="175">+H1254*I1254</f>
        <v>7136.0994979079496</v>
      </c>
      <c r="K1254" s="462">
        <f>IF(C1254=0,0,VLOOKUP(YEAR(C1254),INPC!$B$4:$O$29,MONTH(C1254)+1))</f>
        <v>113.018</v>
      </c>
      <c r="L1254" s="462">
        <f>IF(S1254=0,0,VLOOKUP(YEAR(S1254),INPC!$B$4:$O$29,MONTH(S1254)+1))</f>
        <v>126.47799999999999</v>
      </c>
      <c r="M1254" s="463">
        <f t="shared" ref="M1254:M1508" si="176">IF(H1254=0,0,IF(R1254=$AF$4,1,IF(TRUNC(L1254/K1254,4)&gt;=1,TRUNC(L1254/K1254,4),1)))</f>
        <v>1.119</v>
      </c>
      <c r="N1254" s="465">
        <f t="shared" ref="N1254:N1508" si="177">+M1254*J1254</f>
        <v>7985.2953381589959</v>
      </c>
      <c r="O1254" s="179"/>
      <c r="P1254" s="180">
        <v>38</v>
      </c>
      <c r="Q1254" s="173" t="s">
        <v>583</v>
      </c>
      <c r="R1254" s="173" t="s">
        <v>230</v>
      </c>
      <c r="S1254" s="174">
        <v>44903</v>
      </c>
      <c r="T1254" s="173" t="s">
        <v>33</v>
      </c>
      <c r="U1254" s="182">
        <v>5861.78</v>
      </c>
      <c r="V1254" s="177">
        <f>IF(U1254=0,0,IF(T1254="MXN",1/HLOOKUP(YEAR(S1254)+(MONTH(S1254)/100),TC!$5:$37,DAY(S1254)+2,FALSE),VLOOKUP(T1254,Equivalencia!$1:$23,((MAX(Equivalencia!$3:$3)-YEAR(S1254))*14)+MONTH(S1254)+2,FALSE)))</f>
        <v>1</v>
      </c>
      <c r="W1254" s="178">
        <f t="shared" ref="W1254:W1508" si="178">+V1254*U1254</f>
        <v>5861.78</v>
      </c>
      <c r="X1254" s="481">
        <f t="shared" ref="X1254:X1508" si="179">+W1254-J1254</f>
        <v>-1274.3194979079499</v>
      </c>
      <c r="Y1254" s="179"/>
      <c r="Z1254" s="466">
        <f t="shared" ref="Z1254:Z1508" si="180">N1254</f>
        <v>7985.2953381589959</v>
      </c>
      <c r="AA1254" s="473">
        <f t="shared" ref="AA1254:AA1508" si="181">+W1254-Z1254</f>
        <v>-2123.5153381589962</v>
      </c>
      <c r="AB1254" s="339">
        <f t="shared" ref="AB1254:AB1508" si="182">+IF(P1254=0,0,(U1254/F1254)-1)</f>
        <v>-0.17857367295418669</v>
      </c>
    </row>
    <row r="1255" spans="2:28" ht="20.100000000000001" customHeight="1">
      <c r="B1255" s="172">
        <v>1175000</v>
      </c>
      <c r="C1255" s="174">
        <v>44363</v>
      </c>
      <c r="D1255" s="181" t="s">
        <v>158</v>
      </c>
      <c r="E1255" s="173" t="s">
        <v>33</v>
      </c>
      <c r="F1255" s="176">
        <v>2441.2971966527193</v>
      </c>
      <c r="G1255" s="175">
        <f t="shared" si="173"/>
        <v>13</v>
      </c>
      <c r="H1255" s="175">
        <f t="shared" si="174"/>
        <v>2441.2971966527193</v>
      </c>
      <c r="I1255" s="177">
        <f>IF(G1255=0,0,IF(E1255="MXN",1/HLOOKUP(YEAR(C1255)+(MONTH(C1255)/100),TC!$5:$37,DAY(C1255)+2,FALSE),VLOOKUP(E1255,Equivalencia!$5:$23,((MAX(Equivalencia!$3:$3)-YEAR(C1255))*14)+MONTH(C1255)+2,FALSE)))</f>
        <v>1</v>
      </c>
      <c r="J1255" s="178">
        <f t="shared" si="175"/>
        <v>2441.2971966527193</v>
      </c>
      <c r="K1255" s="462">
        <f>IF(C1255=0,0,VLOOKUP(YEAR(C1255),INPC!$B$4:$O$29,MONTH(C1255)+1))</f>
        <v>113.018</v>
      </c>
      <c r="L1255" s="462">
        <f>IF(S1255=0,0,VLOOKUP(YEAR(S1255),INPC!$B$4:$O$29,MONTH(S1255)+1))</f>
        <v>126.47799999999999</v>
      </c>
      <c r="M1255" s="463">
        <f t="shared" si="176"/>
        <v>1.119</v>
      </c>
      <c r="N1255" s="465">
        <f t="shared" si="177"/>
        <v>2731.811563054393</v>
      </c>
      <c r="O1255" s="179"/>
      <c r="P1255" s="180">
        <v>13</v>
      </c>
      <c r="Q1255" s="173" t="s">
        <v>583</v>
      </c>
      <c r="R1255" s="173" t="s">
        <v>230</v>
      </c>
      <c r="S1255" s="174">
        <v>44904</v>
      </c>
      <c r="T1255" s="173" t="s">
        <v>33</v>
      </c>
      <c r="U1255" s="182">
        <v>2016.21</v>
      </c>
      <c r="V1255" s="177">
        <f>IF(U1255=0,0,IF(T1255="MXN",1/HLOOKUP(YEAR(S1255)+(MONTH(S1255)/100),TC!$5:$37,DAY(S1255)+2,FALSE),VLOOKUP(T1255,Equivalencia!$1:$23,((MAX(Equivalencia!$3:$3)-YEAR(S1255))*14)+MONTH(S1255)+2,FALSE)))</f>
        <v>1</v>
      </c>
      <c r="W1255" s="178">
        <f t="shared" si="178"/>
        <v>2016.21</v>
      </c>
      <c r="X1255" s="481">
        <f t="shared" si="179"/>
        <v>-425.08719665271929</v>
      </c>
      <c r="Y1255" s="179"/>
      <c r="Z1255" s="466">
        <f t="shared" si="180"/>
        <v>2731.811563054393</v>
      </c>
      <c r="AA1255" s="473">
        <f t="shared" si="181"/>
        <v>-715.60156305439295</v>
      </c>
      <c r="AB1255" s="339">
        <f t="shared" si="182"/>
        <v>-0.17412349354087631</v>
      </c>
    </row>
    <row r="1256" spans="2:28" ht="20.100000000000001" customHeight="1">
      <c r="B1256" s="172">
        <v>1175000</v>
      </c>
      <c r="C1256" s="174">
        <v>44363</v>
      </c>
      <c r="D1256" s="181" t="s">
        <v>158</v>
      </c>
      <c r="E1256" s="173" t="s">
        <v>33</v>
      </c>
      <c r="F1256" s="176">
        <v>14272.198995815899</v>
      </c>
      <c r="G1256" s="175">
        <f t="shared" si="173"/>
        <v>76</v>
      </c>
      <c r="H1256" s="175">
        <f t="shared" si="174"/>
        <v>14272.198995815899</v>
      </c>
      <c r="I1256" s="177">
        <f>IF(G1256=0,0,IF(E1256="MXN",1/HLOOKUP(YEAR(C1256)+(MONTH(C1256)/100),TC!$5:$37,DAY(C1256)+2,FALSE),VLOOKUP(E1256,Equivalencia!$5:$23,((MAX(Equivalencia!$3:$3)-YEAR(C1256))*14)+MONTH(C1256)+2,FALSE)))</f>
        <v>1</v>
      </c>
      <c r="J1256" s="178">
        <f t="shared" si="175"/>
        <v>14272.198995815899</v>
      </c>
      <c r="K1256" s="462">
        <f>IF(C1256=0,0,VLOOKUP(YEAR(C1256),INPC!$B$4:$O$29,MONTH(C1256)+1))</f>
        <v>113.018</v>
      </c>
      <c r="L1256" s="462">
        <f>IF(S1256=0,0,VLOOKUP(YEAR(S1256),INPC!$B$4:$O$29,MONTH(S1256)+1))</f>
        <v>126.47799999999999</v>
      </c>
      <c r="M1256" s="463">
        <f t="shared" si="176"/>
        <v>1.119</v>
      </c>
      <c r="N1256" s="465">
        <f t="shared" si="177"/>
        <v>15970.590676317992</v>
      </c>
      <c r="O1256" s="179"/>
      <c r="P1256" s="180">
        <v>76</v>
      </c>
      <c r="Q1256" s="173" t="s">
        <v>583</v>
      </c>
      <c r="R1256" s="173" t="s">
        <v>230</v>
      </c>
      <c r="S1256" s="174">
        <v>44909</v>
      </c>
      <c r="T1256" s="173" t="s">
        <v>33</v>
      </c>
      <c r="U1256" s="182">
        <v>11476.2</v>
      </c>
      <c r="V1256" s="177">
        <f>IF(U1256=0,0,IF(T1256="MXN",1/HLOOKUP(YEAR(S1256)+(MONTH(S1256)/100),TC!$5:$37,DAY(S1256)+2,FALSE),VLOOKUP(T1256,Equivalencia!$1:$23,((MAX(Equivalencia!$3:$3)-YEAR(S1256))*14)+MONTH(S1256)+2,FALSE)))</f>
        <v>1</v>
      </c>
      <c r="W1256" s="178">
        <f t="shared" si="178"/>
        <v>11476.2</v>
      </c>
      <c r="X1256" s="481">
        <f t="shared" si="179"/>
        <v>-2795.9989958158985</v>
      </c>
      <c r="Y1256" s="179"/>
      <c r="Z1256" s="466">
        <f t="shared" si="180"/>
        <v>15970.590676317992</v>
      </c>
      <c r="AA1256" s="473">
        <f t="shared" si="181"/>
        <v>-4494.3906763179912</v>
      </c>
      <c r="AB1256" s="339">
        <f t="shared" si="182"/>
        <v>-0.19590526986315049</v>
      </c>
    </row>
    <row r="1257" spans="2:28" ht="20.100000000000001" customHeight="1">
      <c r="B1257" s="172">
        <v>1175000</v>
      </c>
      <c r="C1257" s="174">
        <v>44103</v>
      </c>
      <c r="D1257" s="181" t="s">
        <v>152</v>
      </c>
      <c r="E1257" s="173" t="s">
        <v>33</v>
      </c>
      <c r="F1257" s="176">
        <v>2043.2563636363634</v>
      </c>
      <c r="G1257" s="175">
        <f t="shared" si="173"/>
        <v>6</v>
      </c>
      <c r="H1257" s="175">
        <f t="shared" si="174"/>
        <v>2043.2563636363634</v>
      </c>
      <c r="I1257" s="177">
        <f>IF(G1257=0,0,IF(E1257="MXN",1/HLOOKUP(YEAR(C1257)+(MONTH(C1257)/100),TC!$5:$37,DAY(C1257)+2,FALSE),VLOOKUP(E1257,Equivalencia!$5:$23,((MAX(Equivalencia!$3:$3)-YEAR(C1257))*14)+MONTH(C1257)+2,FALSE)))</f>
        <v>1</v>
      </c>
      <c r="J1257" s="178">
        <f t="shared" si="175"/>
        <v>2043.2563636363634</v>
      </c>
      <c r="K1257" s="462">
        <f>IF(C1257=0,0,VLOOKUP(YEAR(C1257),INPC!$B$4:$O$29,MONTH(C1257)+1))</f>
        <v>108.114</v>
      </c>
      <c r="L1257" s="462">
        <f>IF(S1257=0,0,VLOOKUP(YEAR(S1257),INPC!$B$4:$O$29,MONTH(S1257)+1))</f>
        <v>126.47799999999999</v>
      </c>
      <c r="M1257" s="463">
        <f t="shared" si="176"/>
        <v>1.1698</v>
      </c>
      <c r="N1257" s="465">
        <f t="shared" si="177"/>
        <v>2390.201294181818</v>
      </c>
      <c r="O1257" s="179"/>
      <c r="P1257" s="180">
        <v>6</v>
      </c>
      <c r="Q1257" s="173" t="s">
        <v>583</v>
      </c>
      <c r="R1257" s="173" t="s">
        <v>230</v>
      </c>
      <c r="S1257" s="174">
        <v>44909</v>
      </c>
      <c r="T1257" s="173" t="s">
        <v>33</v>
      </c>
      <c r="U1257" s="182">
        <v>2818.9823076923076</v>
      </c>
      <c r="V1257" s="177">
        <f>IF(U1257=0,0,IF(T1257="MXN",1/HLOOKUP(YEAR(S1257)+(MONTH(S1257)/100),TC!$5:$37,DAY(S1257)+2,FALSE),VLOOKUP(T1257,Equivalencia!$1:$23,((MAX(Equivalencia!$3:$3)-YEAR(S1257))*14)+MONTH(S1257)+2,FALSE)))</f>
        <v>1</v>
      </c>
      <c r="W1257" s="178">
        <f t="shared" si="178"/>
        <v>2818.9823076923076</v>
      </c>
      <c r="X1257" s="481">
        <f t="shared" si="179"/>
        <v>775.72594405594418</v>
      </c>
      <c r="Y1257" s="179"/>
      <c r="Z1257" s="466">
        <f t="shared" si="180"/>
        <v>2390.201294181818</v>
      </c>
      <c r="AA1257" s="473">
        <f t="shared" si="181"/>
        <v>428.78101351048963</v>
      </c>
      <c r="AB1257" s="339">
        <f t="shared" si="182"/>
        <v>0.3796517939997468</v>
      </c>
    </row>
    <row r="1258" spans="2:28" ht="20.100000000000001" customHeight="1">
      <c r="B1258" s="172">
        <v>1175000</v>
      </c>
      <c r="C1258" s="174">
        <v>44126</v>
      </c>
      <c r="D1258" s="181" t="s">
        <v>152</v>
      </c>
      <c r="E1258" s="173" t="s">
        <v>33</v>
      </c>
      <c r="F1258" s="176">
        <v>2867.47</v>
      </c>
      <c r="G1258" s="175">
        <f t="shared" si="173"/>
        <v>8</v>
      </c>
      <c r="H1258" s="175">
        <f t="shared" si="174"/>
        <v>2867.47</v>
      </c>
      <c r="I1258" s="177">
        <f>IF(G1258=0,0,IF(E1258="MXN",1/HLOOKUP(YEAR(C1258)+(MONTH(C1258)/100),TC!$5:$37,DAY(C1258)+2,FALSE),VLOOKUP(E1258,Equivalencia!$5:$23,((MAX(Equivalencia!$3:$3)-YEAR(C1258))*14)+MONTH(C1258)+2,FALSE)))</f>
        <v>1</v>
      </c>
      <c r="J1258" s="178">
        <f t="shared" si="175"/>
        <v>2867.47</v>
      </c>
      <c r="K1258" s="462">
        <f>IF(C1258=0,0,VLOOKUP(YEAR(C1258),INPC!$B$4:$O$29,MONTH(C1258)+1))</f>
        <v>108.774</v>
      </c>
      <c r="L1258" s="462">
        <f>IF(S1258=0,0,VLOOKUP(YEAR(S1258),INPC!$B$4:$O$29,MONTH(S1258)+1))</f>
        <v>126.47799999999999</v>
      </c>
      <c r="M1258" s="463">
        <f t="shared" si="176"/>
        <v>1.1627000000000001</v>
      </c>
      <c r="N1258" s="465">
        <f t="shared" si="177"/>
        <v>3334.0073689999999</v>
      </c>
      <c r="O1258" s="179"/>
      <c r="P1258" s="180">
        <v>8</v>
      </c>
      <c r="Q1258" s="173" t="s">
        <v>583</v>
      </c>
      <c r="R1258" s="173" t="s">
        <v>230</v>
      </c>
      <c r="S1258" s="174">
        <v>44909</v>
      </c>
      <c r="T1258" s="173" t="s">
        <v>33</v>
      </c>
      <c r="U1258" s="182">
        <v>3758.6430769230769</v>
      </c>
      <c r="V1258" s="177">
        <f>IF(U1258=0,0,IF(T1258="MXN",1/HLOOKUP(YEAR(S1258)+(MONTH(S1258)/100),TC!$5:$37,DAY(S1258)+2,FALSE),VLOOKUP(T1258,Equivalencia!$1:$23,((MAX(Equivalencia!$3:$3)-YEAR(S1258))*14)+MONTH(S1258)+2,FALSE)))</f>
        <v>1</v>
      </c>
      <c r="W1258" s="178">
        <f t="shared" si="178"/>
        <v>3758.6430769230769</v>
      </c>
      <c r="X1258" s="481">
        <f t="shared" si="179"/>
        <v>891.17307692307713</v>
      </c>
      <c r="Y1258" s="179"/>
      <c r="Z1258" s="466">
        <f t="shared" si="180"/>
        <v>3334.0073689999999</v>
      </c>
      <c r="AA1258" s="473">
        <f t="shared" si="181"/>
        <v>424.63570792307701</v>
      </c>
      <c r="AB1258" s="339">
        <f t="shared" si="182"/>
        <v>0.31078723645690354</v>
      </c>
    </row>
    <row r="1259" spans="2:28" ht="20.100000000000001" customHeight="1">
      <c r="B1259" s="172">
        <v>1175000</v>
      </c>
      <c r="C1259" s="174">
        <v>44126</v>
      </c>
      <c r="D1259" s="181" t="s">
        <v>152</v>
      </c>
      <c r="E1259" s="173" t="s">
        <v>33</v>
      </c>
      <c r="F1259" s="176">
        <v>1436.41</v>
      </c>
      <c r="G1259" s="175">
        <f t="shared" si="173"/>
        <v>4</v>
      </c>
      <c r="H1259" s="175">
        <f t="shared" si="174"/>
        <v>1436.41</v>
      </c>
      <c r="I1259" s="177">
        <f>IF(G1259=0,0,IF(E1259="MXN",1/HLOOKUP(YEAR(C1259)+(MONTH(C1259)/100),TC!$5:$37,DAY(C1259)+2,FALSE),VLOOKUP(E1259,Equivalencia!$5:$23,((MAX(Equivalencia!$3:$3)-YEAR(C1259))*14)+MONTH(C1259)+2,FALSE)))</f>
        <v>1</v>
      </c>
      <c r="J1259" s="178">
        <f t="shared" si="175"/>
        <v>1436.41</v>
      </c>
      <c r="K1259" s="462">
        <f>IF(C1259=0,0,VLOOKUP(YEAR(C1259),INPC!$B$4:$O$29,MONTH(C1259)+1))</f>
        <v>108.774</v>
      </c>
      <c r="L1259" s="462">
        <f>IF(S1259=0,0,VLOOKUP(YEAR(S1259),INPC!$B$4:$O$29,MONTH(S1259)+1))</f>
        <v>126.47799999999999</v>
      </c>
      <c r="M1259" s="463">
        <f t="shared" si="176"/>
        <v>1.1627000000000001</v>
      </c>
      <c r="N1259" s="465">
        <f t="shared" si="177"/>
        <v>1670.1139070000002</v>
      </c>
      <c r="O1259" s="179"/>
      <c r="P1259" s="180">
        <v>4</v>
      </c>
      <c r="Q1259" s="173" t="s">
        <v>583</v>
      </c>
      <c r="R1259" s="173" t="s">
        <v>230</v>
      </c>
      <c r="S1259" s="174">
        <v>44909</v>
      </c>
      <c r="T1259" s="173" t="s">
        <v>33</v>
      </c>
      <c r="U1259" s="182">
        <v>1879.3215384615385</v>
      </c>
      <c r="V1259" s="177">
        <f>IF(U1259=0,0,IF(T1259="MXN",1/HLOOKUP(YEAR(S1259)+(MONTH(S1259)/100),TC!$5:$37,DAY(S1259)+2,FALSE),VLOOKUP(T1259,Equivalencia!$1:$23,((MAX(Equivalencia!$3:$3)-YEAR(S1259))*14)+MONTH(S1259)+2,FALSE)))</f>
        <v>1</v>
      </c>
      <c r="W1259" s="178">
        <f t="shared" si="178"/>
        <v>1879.3215384615385</v>
      </c>
      <c r="X1259" s="481">
        <f t="shared" si="179"/>
        <v>442.91153846153838</v>
      </c>
      <c r="Y1259" s="179"/>
      <c r="Z1259" s="466">
        <f t="shared" si="180"/>
        <v>1670.1139070000002</v>
      </c>
      <c r="AA1259" s="473">
        <f t="shared" si="181"/>
        <v>209.20763146153831</v>
      </c>
      <c r="AB1259" s="339">
        <f t="shared" si="182"/>
        <v>0.30834618142559456</v>
      </c>
    </row>
    <row r="1260" spans="2:28" ht="20.100000000000001" customHeight="1">
      <c r="B1260" s="172">
        <v>1175000</v>
      </c>
      <c r="C1260" s="174">
        <v>44133</v>
      </c>
      <c r="D1260" s="181" t="s">
        <v>152</v>
      </c>
      <c r="E1260" s="173" t="s">
        <v>33</v>
      </c>
      <c r="F1260" s="176">
        <v>2819.9709090909091</v>
      </c>
      <c r="G1260" s="175">
        <f t="shared" si="173"/>
        <v>8</v>
      </c>
      <c r="H1260" s="175">
        <f t="shared" si="174"/>
        <v>2819.9709090909091</v>
      </c>
      <c r="I1260" s="177">
        <f>IF(G1260=0,0,IF(E1260="MXN",1/HLOOKUP(YEAR(C1260)+(MONTH(C1260)/100),TC!$5:$37,DAY(C1260)+2,FALSE),VLOOKUP(E1260,Equivalencia!$5:$23,((MAX(Equivalencia!$3:$3)-YEAR(C1260))*14)+MONTH(C1260)+2,FALSE)))</f>
        <v>1</v>
      </c>
      <c r="J1260" s="178">
        <f t="shared" si="175"/>
        <v>2819.9709090909091</v>
      </c>
      <c r="K1260" s="462">
        <f>IF(C1260=0,0,VLOOKUP(YEAR(C1260),INPC!$B$4:$O$29,MONTH(C1260)+1))</f>
        <v>108.774</v>
      </c>
      <c r="L1260" s="462">
        <f>IF(S1260=0,0,VLOOKUP(YEAR(S1260),INPC!$B$4:$O$29,MONTH(S1260)+1))</f>
        <v>126.47799999999999</v>
      </c>
      <c r="M1260" s="463">
        <f t="shared" si="176"/>
        <v>1.1627000000000001</v>
      </c>
      <c r="N1260" s="465">
        <f t="shared" si="177"/>
        <v>3278.7801760000002</v>
      </c>
      <c r="O1260" s="179"/>
      <c r="P1260" s="180">
        <v>8</v>
      </c>
      <c r="Q1260" s="173" t="s">
        <v>583</v>
      </c>
      <c r="R1260" s="173" t="s">
        <v>230</v>
      </c>
      <c r="S1260" s="174">
        <v>44909</v>
      </c>
      <c r="T1260" s="173" t="s">
        <v>33</v>
      </c>
      <c r="U1260" s="182">
        <v>3758.6430769230769</v>
      </c>
      <c r="V1260" s="177">
        <f>IF(U1260=0,0,IF(T1260="MXN",1/HLOOKUP(YEAR(S1260)+(MONTH(S1260)/100),TC!$5:$37,DAY(S1260)+2,FALSE),VLOOKUP(T1260,Equivalencia!$1:$23,((MAX(Equivalencia!$3:$3)-YEAR(S1260))*14)+MONTH(S1260)+2,FALSE)))</f>
        <v>1</v>
      </c>
      <c r="W1260" s="178">
        <f t="shared" si="178"/>
        <v>3758.6430769230769</v>
      </c>
      <c r="X1260" s="481">
        <f t="shared" si="179"/>
        <v>938.67216783216782</v>
      </c>
      <c r="Y1260" s="179"/>
      <c r="Z1260" s="466">
        <f t="shared" si="180"/>
        <v>3278.7801760000002</v>
      </c>
      <c r="AA1260" s="473">
        <f t="shared" si="181"/>
        <v>479.86290092307672</v>
      </c>
      <c r="AB1260" s="339">
        <f t="shared" si="182"/>
        <v>0.33286590468224841</v>
      </c>
    </row>
    <row r="1261" spans="2:28" ht="20.100000000000001" customHeight="1">
      <c r="B1261" s="172">
        <v>1175000</v>
      </c>
      <c r="C1261" s="174">
        <v>44363</v>
      </c>
      <c r="D1261" s="181" t="s">
        <v>235</v>
      </c>
      <c r="E1261" s="173" t="s">
        <v>33</v>
      </c>
      <c r="F1261" s="176">
        <v>12916.428028846156</v>
      </c>
      <c r="G1261" s="175">
        <f t="shared" si="173"/>
        <v>223</v>
      </c>
      <c r="H1261" s="175">
        <f t="shared" si="174"/>
        <v>12916.428028846156</v>
      </c>
      <c r="I1261" s="177">
        <f>IF(G1261=0,0,IF(E1261="MXN",1/HLOOKUP(YEAR(C1261)+(MONTH(C1261)/100),TC!$5:$37,DAY(C1261)+2,FALSE),VLOOKUP(E1261,Equivalencia!$5:$23,((MAX(Equivalencia!$3:$3)-YEAR(C1261))*14)+MONTH(C1261)+2,FALSE)))</f>
        <v>1</v>
      </c>
      <c r="J1261" s="178">
        <f t="shared" si="175"/>
        <v>12916.428028846156</v>
      </c>
      <c r="K1261" s="462">
        <f>IF(C1261=0,0,VLOOKUP(YEAR(C1261),INPC!$B$4:$O$29,MONTH(C1261)+1))</f>
        <v>113.018</v>
      </c>
      <c r="L1261" s="462">
        <f>IF(S1261=0,0,VLOOKUP(YEAR(S1261),INPC!$B$4:$O$29,MONTH(S1261)+1))</f>
        <v>126.47799999999999</v>
      </c>
      <c r="M1261" s="463">
        <f t="shared" si="176"/>
        <v>1.119</v>
      </c>
      <c r="N1261" s="465">
        <f t="shared" si="177"/>
        <v>14453.482964278848</v>
      </c>
      <c r="O1261" s="179"/>
      <c r="P1261" s="180">
        <v>223</v>
      </c>
      <c r="Q1261" s="173" t="s">
        <v>583</v>
      </c>
      <c r="R1261" s="173" t="s">
        <v>230</v>
      </c>
      <c r="S1261" s="174">
        <v>44916</v>
      </c>
      <c r="T1261" s="173" t="s">
        <v>33</v>
      </c>
      <c r="U1261" s="182">
        <v>7852.1900000000005</v>
      </c>
      <c r="V1261" s="177">
        <f>IF(U1261=0,0,IF(T1261="MXN",1/HLOOKUP(YEAR(S1261)+(MONTH(S1261)/100),TC!$5:$37,DAY(S1261)+2,FALSE),VLOOKUP(T1261,Equivalencia!$1:$23,((MAX(Equivalencia!$3:$3)-YEAR(S1261))*14)+MONTH(S1261)+2,FALSE)))</f>
        <v>1</v>
      </c>
      <c r="W1261" s="178">
        <f t="shared" si="178"/>
        <v>7852.1900000000005</v>
      </c>
      <c r="X1261" s="481">
        <f t="shared" si="179"/>
        <v>-5064.2380288461554</v>
      </c>
      <c r="Y1261" s="179"/>
      <c r="Z1261" s="466">
        <f t="shared" si="180"/>
        <v>14453.482964278848</v>
      </c>
      <c r="AA1261" s="473">
        <f t="shared" si="181"/>
        <v>-6601.2929642788476</v>
      </c>
      <c r="AB1261" s="339">
        <f t="shared" si="182"/>
        <v>-0.39207728464372915</v>
      </c>
    </row>
    <row r="1262" spans="2:28" ht="20.100000000000001" customHeight="1">
      <c r="B1262" s="172">
        <v>1427200</v>
      </c>
      <c r="C1262" s="174">
        <v>44503</v>
      </c>
      <c r="D1262" s="181" t="s">
        <v>411</v>
      </c>
      <c r="E1262" s="173" t="s">
        <v>33</v>
      </c>
      <c r="F1262" s="176">
        <v>158.22</v>
      </c>
      <c r="G1262" s="175">
        <f t="shared" si="173"/>
        <v>2</v>
      </c>
      <c r="H1262" s="175">
        <f t="shared" si="174"/>
        <v>158.22</v>
      </c>
      <c r="I1262" s="177">
        <f>IF(G1262=0,0,IF(E1262="MXN",1/HLOOKUP(YEAR(C1262)+(MONTH(C1262)/100),TC!$5:$37,DAY(C1262)+2,FALSE),VLOOKUP(E1262,Equivalencia!$5:$23,((MAX(Equivalencia!$3:$3)-YEAR(C1262))*14)+MONTH(C1262)+2,FALSE)))</f>
        <v>1</v>
      </c>
      <c r="J1262" s="178">
        <f t="shared" si="175"/>
        <v>158.22</v>
      </c>
      <c r="K1262" s="462">
        <f>IF(C1262=0,0,VLOOKUP(YEAR(C1262),INPC!$B$4:$O$29,MONTH(C1262)+1))</f>
        <v>116.884</v>
      </c>
      <c r="L1262" s="462">
        <f>IF(S1262=0,0,VLOOKUP(YEAR(S1262),INPC!$B$4:$O$29,MONTH(S1262)+1))</f>
        <v>118.002</v>
      </c>
      <c r="M1262" s="463">
        <f t="shared" si="176"/>
        <v>1.0095000000000001</v>
      </c>
      <c r="N1262" s="465">
        <f t="shared" si="177"/>
        <v>159.72309000000001</v>
      </c>
      <c r="O1262" s="179"/>
      <c r="P1262" s="180">
        <v>2</v>
      </c>
      <c r="Q1262" s="173" t="s">
        <v>583</v>
      </c>
      <c r="R1262" s="173" t="s">
        <v>230</v>
      </c>
      <c r="S1262" s="174">
        <v>44566</v>
      </c>
      <c r="T1262" s="173" t="s">
        <v>33</v>
      </c>
      <c r="U1262" s="182">
        <v>170.57</v>
      </c>
      <c r="V1262" s="177">
        <f>IF(U1262=0,0,IF(T1262="MXN",1/HLOOKUP(YEAR(S1262)+(MONTH(S1262)/100),TC!$5:$37,DAY(S1262)+2,FALSE),VLOOKUP(T1262,Equivalencia!$1:$23,((MAX(Equivalencia!$3:$3)-YEAR(S1262))*14)+MONTH(S1262)+2,FALSE)))</f>
        <v>1</v>
      </c>
      <c r="W1262" s="178">
        <f t="shared" si="178"/>
        <v>170.57</v>
      </c>
      <c r="X1262" s="481">
        <f t="shared" si="179"/>
        <v>12.349999999999994</v>
      </c>
      <c r="Y1262" s="179"/>
      <c r="Z1262" s="466">
        <f t="shared" si="180"/>
        <v>159.72309000000001</v>
      </c>
      <c r="AA1262" s="473">
        <f t="shared" si="181"/>
        <v>10.84690999999998</v>
      </c>
      <c r="AB1262" s="339">
        <f t="shared" si="182"/>
        <v>7.805587157122984E-2</v>
      </c>
    </row>
    <row r="1263" spans="2:28" ht="20.100000000000001" customHeight="1">
      <c r="B1263" s="172">
        <v>1427200</v>
      </c>
      <c r="C1263" s="174">
        <v>44503</v>
      </c>
      <c r="D1263" s="181" t="s">
        <v>411</v>
      </c>
      <c r="E1263" s="173" t="s">
        <v>33</v>
      </c>
      <c r="F1263" s="176">
        <v>1186.6500000000001</v>
      </c>
      <c r="G1263" s="175">
        <f t="shared" si="173"/>
        <v>15</v>
      </c>
      <c r="H1263" s="175">
        <f t="shared" si="174"/>
        <v>1186.6500000000001</v>
      </c>
      <c r="I1263" s="177">
        <f>IF(G1263=0,0,IF(E1263="MXN",1/HLOOKUP(YEAR(C1263)+(MONTH(C1263)/100),TC!$5:$37,DAY(C1263)+2,FALSE),VLOOKUP(E1263,Equivalencia!$5:$23,((MAX(Equivalencia!$3:$3)-YEAR(C1263))*14)+MONTH(C1263)+2,FALSE)))</f>
        <v>1</v>
      </c>
      <c r="J1263" s="178">
        <f t="shared" si="175"/>
        <v>1186.6500000000001</v>
      </c>
      <c r="K1263" s="462">
        <f>IF(C1263=0,0,VLOOKUP(YEAR(C1263),INPC!$B$4:$O$29,MONTH(C1263)+1))</f>
        <v>116.884</v>
      </c>
      <c r="L1263" s="462">
        <f>IF(S1263=0,0,VLOOKUP(YEAR(S1263),INPC!$B$4:$O$29,MONTH(S1263)+1))</f>
        <v>118.002</v>
      </c>
      <c r="M1263" s="463">
        <f t="shared" si="176"/>
        <v>1.0095000000000001</v>
      </c>
      <c r="N1263" s="465">
        <f t="shared" si="177"/>
        <v>1197.9231750000001</v>
      </c>
      <c r="O1263" s="179"/>
      <c r="P1263" s="180">
        <v>15</v>
      </c>
      <c r="Q1263" s="173" t="s">
        <v>583</v>
      </c>
      <c r="R1263" s="173" t="s">
        <v>230</v>
      </c>
      <c r="S1263" s="174">
        <v>44566</v>
      </c>
      <c r="T1263" s="173" t="s">
        <v>33</v>
      </c>
      <c r="U1263" s="182">
        <v>1279.72</v>
      </c>
      <c r="V1263" s="177">
        <f>IF(U1263=0,0,IF(T1263="MXN",1/HLOOKUP(YEAR(S1263)+(MONTH(S1263)/100),TC!$5:$37,DAY(S1263)+2,FALSE),VLOOKUP(T1263,Equivalencia!$1:$23,((MAX(Equivalencia!$3:$3)-YEAR(S1263))*14)+MONTH(S1263)+2,FALSE)))</f>
        <v>1</v>
      </c>
      <c r="W1263" s="178">
        <f t="shared" si="178"/>
        <v>1279.72</v>
      </c>
      <c r="X1263" s="481">
        <f t="shared" si="179"/>
        <v>93.069999999999936</v>
      </c>
      <c r="Y1263" s="179"/>
      <c r="Z1263" s="466">
        <f t="shared" si="180"/>
        <v>1197.9231750000001</v>
      </c>
      <c r="AA1263" s="473">
        <f t="shared" si="181"/>
        <v>81.796824999999899</v>
      </c>
      <c r="AB1263" s="339">
        <f t="shared" si="182"/>
        <v>7.8430876838157859E-2</v>
      </c>
    </row>
    <row r="1264" spans="2:28" ht="20.100000000000001" customHeight="1">
      <c r="B1264" s="172">
        <v>1427200</v>
      </c>
      <c r="C1264" s="174">
        <v>44503</v>
      </c>
      <c r="D1264" s="181" t="s">
        <v>411</v>
      </c>
      <c r="E1264" s="173" t="s">
        <v>33</v>
      </c>
      <c r="F1264" s="176">
        <v>79.11</v>
      </c>
      <c r="G1264" s="175">
        <f t="shared" si="173"/>
        <v>1</v>
      </c>
      <c r="H1264" s="175">
        <f t="shared" si="174"/>
        <v>79.11</v>
      </c>
      <c r="I1264" s="177">
        <f>IF(G1264=0,0,IF(E1264="MXN",1/HLOOKUP(YEAR(C1264)+(MONTH(C1264)/100),TC!$5:$37,DAY(C1264)+2,FALSE),VLOOKUP(E1264,Equivalencia!$5:$23,((MAX(Equivalencia!$3:$3)-YEAR(C1264))*14)+MONTH(C1264)+2,FALSE)))</f>
        <v>1</v>
      </c>
      <c r="J1264" s="178">
        <f t="shared" si="175"/>
        <v>79.11</v>
      </c>
      <c r="K1264" s="462">
        <f>IF(C1264=0,0,VLOOKUP(YEAR(C1264),INPC!$B$4:$O$29,MONTH(C1264)+1))</f>
        <v>116.884</v>
      </c>
      <c r="L1264" s="462">
        <f>IF(S1264=0,0,VLOOKUP(YEAR(S1264),INPC!$B$4:$O$29,MONTH(S1264)+1))</f>
        <v>118.002</v>
      </c>
      <c r="M1264" s="463">
        <f t="shared" si="176"/>
        <v>1.0095000000000001</v>
      </c>
      <c r="N1264" s="465">
        <f t="shared" si="177"/>
        <v>79.861545000000007</v>
      </c>
      <c r="O1264" s="179"/>
      <c r="P1264" s="180">
        <v>1</v>
      </c>
      <c r="Q1264" s="173" t="s">
        <v>583</v>
      </c>
      <c r="R1264" s="173" t="s">
        <v>230</v>
      </c>
      <c r="S1264" s="174">
        <v>44566</v>
      </c>
      <c r="T1264" s="173" t="s">
        <v>33</v>
      </c>
      <c r="U1264" s="182">
        <v>87.43</v>
      </c>
      <c r="V1264" s="177">
        <f>IF(U1264=0,0,IF(T1264="MXN",1/HLOOKUP(YEAR(S1264)+(MONTH(S1264)/100),TC!$5:$37,DAY(S1264)+2,FALSE),VLOOKUP(T1264,Equivalencia!$1:$23,((MAX(Equivalencia!$3:$3)-YEAR(S1264))*14)+MONTH(S1264)+2,FALSE)))</f>
        <v>1</v>
      </c>
      <c r="W1264" s="178">
        <f t="shared" si="178"/>
        <v>87.43</v>
      </c>
      <c r="X1264" s="481">
        <f t="shared" si="179"/>
        <v>8.3200000000000074</v>
      </c>
      <c r="Y1264" s="179"/>
      <c r="Z1264" s="466">
        <f t="shared" si="180"/>
        <v>79.861545000000007</v>
      </c>
      <c r="AA1264" s="473">
        <f t="shared" si="181"/>
        <v>7.5684550000000002</v>
      </c>
      <c r="AB1264" s="339">
        <f t="shared" si="182"/>
        <v>0.10517001643281509</v>
      </c>
    </row>
    <row r="1265" spans="2:28" ht="20.100000000000001" customHeight="1">
      <c r="B1265" s="172">
        <v>1427200</v>
      </c>
      <c r="C1265" s="174">
        <v>44503</v>
      </c>
      <c r="D1265" s="181" t="s">
        <v>411</v>
      </c>
      <c r="E1265" s="173" t="s">
        <v>33</v>
      </c>
      <c r="F1265" s="176">
        <v>79.11</v>
      </c>
      <c r="G1265" s="175">
        <f t="shared" si="173"/>
        <v>1</v>
      </c>
      <c r="H1265" s="175">
        <f t="shared" si="174"/>
        <v>79.11</v>
      </c>
      <c r="I1265" s="177">
        <f>IF(G1265=0,0,IF(E1265="MXN",1/HLOOKUP(YEAR(C1265)+(MONTH(C1265)/100),TC!$5:$37,DAY(C1265)+2,FALSE),VLOOKUP(E1265,Equivalencia!$5:$23,((MAX(Equivalencia!$3:$3)-YEAR(C1265))*14)+MONTH(C1265)+2,FALSE)))</f>
        <v>1</v>
      </c>
      <c r="J1265" s="178">
        <f t="shared" si="175"/>
        <v>79.11</v>
      </c>
      <c r="K1265" s="462">
        <f>IF(C1265=0,0,VLOOKUP(YEAR(C1265),INPC!$B$4:$O$29,MONTH(C1265)+1))</f>
        <v>116.884</v>
      </c>
      <c r="L1265" s="462">
        <f>IF(S1265=0,0,VLOOKUP(YEAR(S1265),INPC!$B$4:$O$29,MONTH(S1265)+1))</f>
        <v>118.002</v>
      </c>
      <c r="M1265" s="463">
        <f t="shared" si="176"/>
        <v>1.0095000000000001</v>
      </c>
      <c r="N1265" s="465">
        <f t="shared" si="177"/>
        <v>79.861545000000007</v>
      </c>
      <c r="O1265" s="179"/>
      <c r="P1265" s="180">
        <v>1</v>
      </c>
      <c r="Q1265" s="173" t="s">
        <v>583</v>
      </c>
      <c r="R1265" s="173" t="s">
        <v>230</v>
      </c>
      <c r="S1265" s="174">
        <v>44566</v>
      </c>
      <c r="T1265" s="173" t="s">
        <v>33</v>
      </c>
      <c r="U1265" s="182">
        <v>86.48</v>
      </c>
      <c r="V1265" s="177">
        <f>IF(U1265=0,0,IF(T1265="MXN",1/HLOOKUP(YEAR(S1265)+(MONTH(S1265)/100),TC!$5:$37,DAY(S1265)+2,FALSE),VLOOKUP(T1265,Equivalencia!$1:$23,((MAX(Equivalencia!$3:$3)-YEAR(S1265))*14)+MONTH(S1265)+2,FALSE)))</f>
        <v>1</v>
      </c>
      <c r="W1265" s="178">
        <f t="shared" si="178"/>
        <v>86.48</v>
      </c>
      <c r="X1265" s="481">
        <f t="shared" si="179"/>
        <v>7.3700000000000045</v>
      </c>
      <c r="Y1265" s="179"/>
      <c r="Z1265" s="466">
        <f t="shared" si="180"/>
        <v>79.861545000000007</v>
      </c>
      <c r="AA1265" s="473">
        <f t="shared" si="181"/>
        <v>6.6184549999999973</v>
      </c>
      <c r="AB1265" s="339">
        <f t="shared" si="182"/>
        <v>9.3161420806472162E-2</v>
      </c>
    </row>
    <row r="1266" spans="2:28" ht="20.100000000000001" customHeight="1">
      <c r="B1266" s="172">
        <v>1427200</v>
      </c>
      <c r="C1266" s="174">
        <v>44503</v>
      </c>
      <c r="D1266" s="181" t="s">
        <v>411</v>
      </c>
      <c r="E1266" s="173" t="s">
        <v>33</v>
      </c>
      <c r="F1266" s="176">
        <v>316.44</v>
      </c>
      <c r="G1266" s="175">
        <f t="shared" si="173"/>
        <v>4</v>
      </c>
      <c r="H1266" s="175">
        <f t="shared" si="174"/>
        <v>316.44</v>
      </c>
      <c r="I1266" s="177">
        <f>IF(G1266=0,0,IF(E1266="MXN",1/HLOOKUP(YEAR(C1266)+(MONTH(C1266)/100),TC!$5:$37,DAY(C1266)+2,FALSE),VLOOKUP(E1266,Equivalencia!$5:$23,((MAX(Equivalencia!$3:$3)-YEAR(C1266))*14)+MONTH(C1266)+2,FALSE)))</f>
        <v>1</v>
      </c>
      <c r="J1266" s="178">
        <f t="shared" si="175"/>
        <v>316.44</v>
      </c>
      <c r="K1266" s="462">
        <f>IF(C1266=0,0,VLOOKUP(YEAR(C1266),INPC!$B$4:$O$29,MONTH(C1266)+1))</f>
        <v>116.884</v>
      </c>
      <c r="L1266" s="462">
        <f>IF(S1266=0,0,VLOOKUP(YEAR(S1266),INPC!$B$4:$O$29,MONTH(S1266)+1))</f>
        <v>118.002</v>
      </c>
      <c r="M1266" s="463">
        <f t="shared" si="176"/>
        <v>1.0095000000000001</v>
      </c>
      <c r="N1266" s="465">
        <f t="shared" si="177"/>
        <v>319.44618000000003</v>
      </c>
      <c r="O1266" s="179"/>
      <c r="P1266" s="180">
        <v>4</v>
      </c>
      <c r="Q1266" s="173" t="s">
        <v>583</v>
      </c>
      <c r="R1266" s="173" t="s">
        <v>230</v>
      </c>
      <c r="S1266" s="174">
        <v>44566</v>
      </c>
      <c r="T1266" s="173" t="s">
        <v>33</v>
      </c>
      <c r="U1266" s="182">
        <v>340.05</v>
      </c>
      <c r="V1266" s="177">
        <f>IF(U1266=0,0,IF(T1266="MXN",1/HLOOKUP(YEAR(S1266)+(MONTH(S1266)/100),TC!$5:$37,DAY(S1266)+2,FALSE),VLOOKUP(T1266,Equivalencia!$1:$23,((MAX(Equivalencia!$3:$3)-YEAR(S1266))*14)+MONTH(S1266)+2,FALSE)))</f>
        <v>1</v>
      </c>
      <c r="W1266" s="178">
        <f t="shared" si="178"/>
        <v>340.05</v>
      </c>
      <c r="X1266" s="481">
        <f t="shared" si="179"/>
        <v>23.610000000000014</v>
      </c>
      <c r="Y1266" s="179"/>
      <c r="Z1266" s="466">
        <f t="shared" si="180"/>
        <v>319.44618000000003</v>
      </c>
      <c r="AA1266" s="473">
        <f t="shared" si="181"/>
        <v>20.603819999999985</v>
      </c>
      <c r="AB1266" s="339">
        <f t="shared" si="182"/>
        <v>7.4611300720515805E-2</v>
      </c>
    </row>
    <row r="1267" spans="2:28" ht="20.100000000000001" customHeight="1">
      <c r="B1267" s="172">
        <v>1427200</v>
      </c>
      <c r="C1267" s="174">
        <v>44503</v>
      </c>
      <c r="D1267" s="181" t="s">
        <v>411</v>
      </c>
      <c r="E1267" s="173" t="s">
        <v>33</v>
      </c>
      <c r="F1267" s="176">
        <v>158.22</v>
      </c>
      <c r="G1267" s="175">
        <f t="shared" si="173"/>
        <v>2</v>
      </c>
      <c r="H1267" s="175">
        <f t="shared" si="174"/>
        <v>158.22</v>
      </c>
      <c r="I1267" s="177">
        <f>IF(G1267=0,0,IF(E1267="MXN",1/HLOOKUP(YEAR(C1267)+(MONTH(C1267)/100),TC!$5:$37,DAY(C1267)+2,FALSE),VLOOKUP(E1267,Equivalencia!$5:$23,((MAX(Equivalencia!$3:$3)-YEAR(C1267))*14)+MONTH(C1267)+2,FALSE)))</f>
        <v>1</v>
      </c>
      <c r="J1267" s="178">
        <f t="shared" si="175"/>
        <v>158.22</v>
      </c>
      <c r="K1267" s="462">
        <f>IF(C1267=0,0,VLOOKUP(YEAR(C1267),INPC!$B$4:$O$29,MONTH(C1267)+1))</f>
        <v>116.884</v>
      </c>
      <c r="L1267" s="462">
        <f>IF(S1267=0,0,VLOOKUP(YEAR(S1267),INPC!$B$4:$O$29,MONTH(S1267)+1))</f>
        <v>118.002</v>
      </c>
      <c r="M1267" s="463">
        <f t="shared" si="176"/>
        <v>1.0095000000000001</v>
      </c>
      <c r="N1267" s="465">
        <f t="shared" si="177"/>
        <v>159.72309000000001</v>
      </c>
      <c r="O1267" s="179"/>
      <c r="P1267" s="180">
        <v>2</v>
      </c>
      <c r="Q1267" s="173" t="s">
        <v>583</v>
      </c>
      <c r="R1267" s="173" t="s">
        <v>230</v>
      </c>
      <c r="S1267" s="174">
        <v>44567</v>
      </c>
      <c r="T1267" s="173" t="s">
        <v>33</v>
      </c>
      <c r="U1267" s="182">
        <v>170.89</v>
      </c>
      <c r="V1267" s="177">
        <f>IF(U1267=0,0,IF(T1267="MXN",1/HLOOKUP(YEAR(S1267)+(MONTH(S1267)/100),TC!$5:$37,DAY(S1267)+2,FALSE),VLOOKUP(T1267,Equivalencia!$1:$23,((MAX(Equivalencia!$3:$3)-YEAR(S1267))*14)+MONTH(S1267)+2,FALSE)))</f>
        <v>1</v>
      </c>
      <c r="W1267" s="178">
        <f t="shared" si="178"/>
        <v>170.89</v>
      </c>
      <c r="X1267" s="481">
        <f t="shared" si="179"/>
        <v>12.669999999999987</v>
      </c>
      <c r="Y1267" s="179"/>
      <c r="Z1267" s="466">
        <f t="shared" si="180"/>
        <v>159.72309000000001</v>
      </c>
      <c r="AA1267" s="473">
        <f t="shared" si="181"/>
        <v>11.166909999999973</v>
      </c>
      <c r="AB1267" s="339">
        <f t="shared" si="182"/>
        <v>8.0078371887245536E-2</v>
      </c>
    </row>
    <row r="1268" spans="2:28" ht="20.100000000000001" customHeight="1">
      <c r="B1268" s="172">
        <v>1427200</v>
      </c>
      <c r="C1268" s="174">
        <v>44503</v>
      </c>
      <c r="D1268" s="181" t="s">
        <v>411</v>
      </c>
      <c r="E1268" s="173" t="s">
        <v>33</v>
      </c>
      <c r="F1268" s="176">
        <v>79.11</v>
      </c>
      <c r="G1268" s="175">
        <f t="shared" si="173"/>
        <v>1</v>
      </c>
      <c r="H1268" s="175">
        <f t="shared" si="174"/>
        <v>79.11</v>
      </c>
      <c r="I1268" s="177">
        <f>IF(G1268=0,0,IF(E1268="MXN",1/HLOOKUP(YEAR(C1268)+(MONTH(C1268)/100),TC!$5:$37,DAY(C1268)+2,FALSE),VLOOKUP(E1268,Equivalencia!$5:$23,((MAX(Equivalencia!$3:$3)-YEAR(C1268))*14)+MONTH(C1268)+2,FALSE)))</f>
        <v>1</v>
      </c>
      <c r="J1268" s="178">
        <f t="shared" si="175"/>
        <v>79.11</v>
      </c>
      <c r="K1268" s="462">
        <f>IF(C1268=0,0,VLOOKUP(YEAR(C1268),INPC!$B$4:$O$29,MONTH(C1268)+1))</f>
        <v>116.884</v>
      </c>
      <c r="L1268" s="462">
        <f>IF(S1268=0,0,VLOOKUP(YEAR(S1268),INPC!$B$4:$O$29,MONTH(S1268)+1))</f>
        <v>118.002</v>
      </c>
      <c r="M1268" s="463">
        <f t="shared" si="176"/>
        <v>1.0095000000000001</v>
      </c>
      <c r="N1268" s="465">
        <f t="shared" si="177"/>
        <v>79.861545000000007</v>
      </c>
      <c r="O1268" s="179"/>
      <c r="P1268" s="180">
        <v>1</v>
      </c>
      <c r="Q1268" s="173" t="s">
        <v>583</v>
      </c>
      <c r="R1268" s="173" t="s">
        <v>230</v>
      </c>
      <c r="S1268" s="174">
        <v>44567</v>
      </c>
      <c r="T1268" s="173" t="s">
        <v>33</v>
      </c>
      <c r="U1268" s="182">
        <v>85.29</v>
      </c>
      <c r="V1268" s="177">
        <f>IF(U1268=0,0,IF(T1268="MXN",1/HLOOKUP(YEAR(S1268)+(MONTH(S1268)/100),TC!$5:$37,DAY(S1268)+2,FALSE),VLOOKUP(T1268,Equivalencia!$1:$23,((MAX(Equivalencia!$3:$3)-YEAR(S1268))*14)+MONTH(S1268)+2,FALSE)))</f>
        <v>1</v>
      </c>
      <c r="W1268" s="178">
        <f t="shared" si="178"/>
        <v>85.29</v>
      </c>
      <c r="X1268" s="481">
        <f t="shared" si="179"/>
        <v>6.1800000000000068</v>
      </c>
      <c r="Y1268" s="179"/>
      <c r="Z1268" s="466">
        <f t="shared" si="180"/>
        <v>79.861545000000007</v>
      </c>
      <c r="AA1268" s="473">
        <f t="shared" si="181"/>
        <v>5.4284549999999996</v>
      </c>
      <c r="AB1268" s="339">
        <f t="shared" si="182"/>
        <v>7.8119074706105573E-2</v>
      </c>
    </row>
    <row r="1269" spans="2:28" ht="20.100000000000001" customHeight="1">
      <c r="B1269" s="172">
        <v>1427200</v>
      </c>
      <c r="C1269" s="174">
        <v>44503</v>
      </c>
      <c r="D1269" s="181" t="s">
        <v>411</v>
      </c>
      <c r="E1269" s="173" t="s">
        <v>33</v>
      </c>
      <c r="F1269" s="176">
        <v>316.44</v>
      </c>
      <c r="G1269" s="175">
        <f t="shared" si="173"/>
        <v>4</v>
      </c>
      <c r="H1269" s="175">
        <f t="shared" si="174"/>
        <v>316.44</v>
      </c>
      <c r="I1269" s="177">
        <f>IF(G1269=0,0,IF(E1269="MXN",1/HLOOKUP(YEAR(C1269)+(MONTH(C1269)/100),TC!$5:$37,DAY(C1269)+2,FALSE),VLOOKUP(E1269,Equivalencia!$5:$23,((MAX(Equivalencia!$3:$3)-YEAR(C1269))*14)+MONTH(C1269)+2,FALSE)))</f>
        <v>1</v>
      </c>
      <c r="J1269" s="178">
        <f t="shared" si="175"/>
        <v>316.44</v>
      </c>
      <c r="K1269" s="462">
        <f>IF(C1269=0,0,VLOOKUP(YEAR(C1269),INPC!$B$4:$O$29,MONTH(C1269)+1))</f>
        <v>116.884</v>
      </c>
      <c r="L1269" s="462">
        <f>IF(S1269=0,0,VLOOKUP(YEAR(S1269),INPC!$B$4:$O$29,MONTH(S1269)+1))</f>
        <v>118.002</v>
      </c>
      <c r="M1269" s="463">
        <f t="shared" si="176"/>
        <v>1.0095000000000001</v>
      </c>
      <c r="N1269" s="465">
        <f t="shared" si="177"/>
        <v>319.44618000000003</v>
      </c>
      <c r="O1269" s="179"/>
      <c r="P1269" s="180">
        <v>4</v>
      </c>
      <c r="Q1269" s="173" t="s">
        <v>583</v>
      </c>
      <c r="R1269" s="173" t="s">
        <v>230</v>
      </c>
      <c r="S1269" s="174">
        <v>44567</v>
      </c>
      <c r="T1269" s="173" t="s">
        <v>33</v>
      </c>
      <c r="U1269" s="182">
        <v>341.16</v>
      </c>
      <c r="V1269" s="177">
        <f>IF(U1269=0,0,IF(T1269="MXN",1/HLOOKUP(YEAR(S1269)+(MONTH(S1269)/100),TC!$5:$37,DAY(S1269)+2,FALSE),VLOOKUP(T1269,Equivalencia!$1:$23,((MAX(Equivalencia!$3:$3)-YEAR(S1269))*14)+MONTH(S1269)+2,FALSE)))</f>
        <v>1</v>
      </c>
      <c r="W1269" s="178">
        <f t="shared" si="178"/>
        <v>341.16</v>
      </c>
      <c r="X1269" s="481">
        <f t="shared" si="179"/>
        <v>24.720000000000027</v>
      </c>
      <c r="Y1269" s="179"/>
      <c r="Z1269" s="466">
        <f t="shared" si="180"/>
        <v>319.44618000000003</v>
      </c>
      <c r="AA1269" s="473">
        <f t="shared" si="181"/>
        <v>21.713819999999998</v>
      </c>
      <c r="AB1269" s="339">
        <f t="shared" si="182"/>
        <v>7.8119074706105573E-2</v>
      </c>
    </row>
    <row r="1270" spans="2:28" ht="20.100000000000001" customHeight="1">
      <c r="B1270" s="172">
        <v>1427200</v>
      </c>
      <c r="C1270" s="174">
        <v>44503</v>
      </c>
      <c r="D1270" s="181" t="s">
        <v>411</v>
      </c>
      <c r="E1270" s="173" t="s">
        <v>33</v>
      </c>
      <c r="F1270" s="176">
        <v>1186.6500000000001</v>
      </c>
      <c r="G1270" s="175">
        <f t="shared" si="173"/>
        <v>15</v>
      </c>
      <c r="H1270" s="175">
        <f t="shared" si="174"/>
        <v>1186.6500000000001</v>
      </c>
      <c r="I1270" s="177">
        <f>IF(G1270=0,0,IF(E1270="MXN",1/HLOOKUP(YEAR(C1270)+(MONTH(C1270)/100),TC!$5:$37,DAY(C1270)+2,FALSE),VLOOKUP(E1270,Equivalencia!$5:$23,((MAX(Equivalencia!$3:$3)-YEAR(C1270))*14)+MONTH(C1270)+2,FALSE)))</f>
        <v>1</v>
      </c>
      <c r="J1270" s="178">
        <f t="shared" si="175"/>
        <v>1186.6500000000001</v>
      </c>
      <c r="K1270" s="462">
        <f>IF(C1270=0,0,VLOOKUP(YEAR(C1270),INPC!$B$4:$O$29,MONTH(C1270)+1))</f>
        <v>116.884</v>
      </c>
      <c r="L1270" s="462">
        <f>IF(S1270=0,0,VLOOKUP(YEAR(S1270),INPC!$B$4:$O$29,MONTH(S1270)+1))</f>
        <v>118.002</v>
      </c>
      <c r="M1270" s="463">
        <f t="shared" si="176"/>
        <v>1.0095000000000001</v>
      </c>
      <c r="N1270" s="465">
        <f t="shared" si="177"/>
        <v>1197.9231750000001</v>
      </c>
      <c r="O1270" s="179"/>
      <c r="P1270" s="180">
        <v>15</v>
      </c>
      <c r="Q1270" s="173" t="s">
        <v>583</v>
      </c>
      <c r="R1270" s="173" t="s">
        <v>230</v>
      </c>
      <c r="S1270" s="174">
        <v>44568</v>
      </c>
      <c r="T1270" s="173" t="s">
        <v>33</v>
      </c>
      <c r="U1270" s="182">
        <v>1280.27</v>
      </c>
      <c r="V1270" s="177">
        <f>IF(U1270=0,0,IF(T1270="MXN",1/HLOOKUP(YEAR(S1270)+(MONTH(S1270)/100),TC!$5:$37,DAY(S1270)+2,FALSE),VLOOKUP(T1270,Equivalencia!$1:$23,((MAX(Equivalencia!$3:$3)-YEAR(S1270))*14)+MONTH(S1270)+2,FALSE)))</f>
        <v>1</v>
      </c>
      <c r="W1270" s="178">
        <f t="shared" si="178"/>
        <v>1280.27</v>
      </c>
      <c r="X1270" s="481">
        <f t="shared" si="179"/>
        <v>93.619999999999891</v>
      </c>
      <c r="Y1270" s="179"/>
      <c r="Z1270" s="466">
        <f t="shared" si="180"/>
        <v>1197.9231750000001</v>
      </c>
      <c r="AA1270" s="473">
        <f t="shared" si="181"/>
        <v>82.346824999999853</v>
      </c>
      <c r="AB1270" s="339">
        <f t="shared" si="182"/>
        <v>7.8894366493911239E-2</v>
      </c>
    </row>
    <row r="1271" spans="2:28" ht="20.100000000000001" customHeight="1">
      <c r="B1271" s="172">
        <v>1427200</v>
      </c>
      <c r="C1271" s="174">
        <v>44503</v>
      </c>
      <c r="D1271" s="181" t="s">
        <v>411</v>
      </c>
      <c r="E1271" s="173" t="s">
        <v>33</v>
      </c>
      <c r="F1271" s="176">
        <v>237.32999999999998</v>
      </c>
      <c r="G1271" s="175">
        <f t="shared" si="173"/>
        <v>3</v>
      </c>
      <c r="H1271" s="175">
        <f t="shared" si="174"/>
        <v>237.32999999999998</v>
      </c>
      <c r="I1271" s="177">
        <f>IF(G1271=0,0,IF(E1271="MXN",1/HLOOKUP(YEAR(C1271)+(MONTH(C1271)/100),TC!$5:$37,DAY(C1271)+2,FALSE),VLOOKUP(E1271,Equivalencia!$5:$23,((MAX(Equivalencia!$3:$3)-YEAR(C1271))*14)+MONTH(C1271)+2,FALSE)))</f>
        <v>1</v>
      </c>
      <c r="J1271" s="178">
        <f t="shared" si="175"/>
        <v>237.32999999999998</v>
      </c>
      <c r="K1271" s="462">
        <f>IF(C1271=0,0,VLOOKUP(YEAR(C1271),INPC!$B$4:$O$29,MONTH(C1271)+1))</f>
        <v>116.884</v>
      </c>
      <c r="L1271" s="462">
        <f>IF(S1271=0,0,VLOOKUP(YEAR(S1271),INPC!$B$4:$O$29,MONTH(S1271)+1))</f>
        <v>118.002</v>
      </c>
      <c r="M1271" s="463">
        <f t="shared" si="176"/>
        <v>1.0095000000000001</v>
      </c>
      <c r="N1271" s="465">
        <f t="shared" si="177"/>
        <v>239.58463499999999</v>
      </c>
      <c r="O1271" s="179"/>
      <c r="P1271" s="180">
        <v>3</v>
      </c>
      <c r="Q1271" s="173" t="s">
        <v>583</v>
      </c>
      <c r="R1271" s="173" t="s">
        <v>230</v>
      </c>
      <c r="S1271" s="174">
        <v>44568</v>
      </c>
      <c r="T1271" s="173" t="s">
        <v>33</v>
      </c>
      <c r="U1271" s="182">
        <v>256.06</v>
      </c>
      <c r="V1271" s="177">
        <f>IF(U1271=0,0,IF(T1271="MXN",1/HLOOKUP(YEAR(S1271)+(MONTH(S1271)/100),TC!$5:$37,DAY(S1271)+2,FALSE),VLOOKUP(T1271,Equivalencia!$1:$23,((MAX(Equivalencia!$3:$3)-YEAR(S1271))*14)+MONTH(S1271)+2,FALSE)))</f>
        <v>1</v>
      </c>
      <c r="W1271" s="178">
        <f t="shared" si="178"/>
        <v>256.06</v>
      </c>
      <c r="X1271" s="481">
        <f t="shared" si="179"/>
        <v>18.730000000000018</v>
      </c>
      <c r="Y1271" s="179"/>
      <c r="Z1271" s="466">
        <f t="shared" si="180"/>
        <v>239.58463499999999</v>
      </c>
      <c r="AA1271" s="473">
        <f t="shared" si="181"/>
        <v>16.475365000000011</v>
      </c>
      <c r="AB1271" s="339">
        <f t="shared" si="182"/>
        <v>7.8919647747861754E-2</v>
      </c>
    </row>
    <row r="1272" spans="2:28" ht="20.100000000000001" customHeight="1">
      <c r="B1272" s="172">
        <v>1427200</v>
      </c>
      <c r="C1272" s="174">
        <v>44503</v>
      </c>
      <c r="D1272" s="181" t="s">
        <v>411</v>
      </c>
      <c r="E1272" s="173" t="s">
        <v>33</v>
      </c>
      <c r="F1272" s="176">
        <v>79.11</v>
      </c>
      <c r="G1272" s="175">
        <f t="shared" si="173"/>
        <v>1</v>
      </c>
      <c r="H1272" s="175">
        <f t="shared" si="174"/>
        <v>79.11</v>
      </c>
      <c r="I1272" s="177">
        <f>IF(G1272=0,0,IF(E1272="MXN",1/HLOOKUP(YEAR(C1272)+(MONTH(C1272)/100),TC!$5:$37,DAY(C1272)+2,FALSE),VLOOKUP(E1272,Equivalencia!$5:$23,((MAX(Equivalencia!$3:$3)-YEAR(C1272))*14)+MONTH(C1272)+2,FALSE)))</f>
        <v>1</v>
      </c>
      <c r="J1272" s="178">
        <f t="shared" si="175"/>
        <v>79.11</v>
      </c>
      <c r="K1272" s="462">
        <f>IF(C1272=0,0,VLOOKUP(YEAR(C1272),INPC!$B$4:$O$29,MONTH(C1272)+1))</f>
        <v>116.884</v>
      </c>
      <c r="L1272" s="462">
        <f>IF(S1272=0,0,VLOOKUP(YEAR(S1272),INPC!$B$4:$O$29,MONTH(S1272)+1))</f>
        <v>118.002</v>
      </c>
      <c r="M1272" s="463">
        <f t="shared" si="176"/>
        <v>1.0095000000000001</v>
      </c>
      <c r="N1272" s="465">
        <f t="shared" si="177"/>
        <v>79.861545000000007</v>
      </c>
      <c r="O1272" s="179"/>
      <c r="P1272" s="180">
        <v>1</v>
      </c>
      <c r="Q1272" s="173" t="s">
        <v>583</v>
      </c>
      <c r="R1272" s="173" t="s">
        <v>230</v>
      </c>
      <c r="S1272" s="174">
        <v>44568</v>
      </c>
      <c r="T1272" s="173" t="s">
        <v>33</v>
      </c>
      <c r="U1272" s="182">
        <v>81.99</v>
      </c>
      <c r="V1272" s="177">
        <f>IF(U1272=0,0,IF(T1272="MXN",1/HLOOKUP(YEAR(S1272)+(MONTH(S1272)/100),TC!$5:$37,DAY(S1272)+2,FALSE),VLOOKUP(T1272,Equivalencia!$1:$23,((MAX(Equivalencia!$3:$3)-YEAR(S1272))*14)+MONTH(S1272)+2,FALSE)))</f>
        <v>1</v>
      </c>
      <c r="W1272" s="178">
        <f t="shared" si="178"/>
        <v>81.99</v>
      </c>
      <c r="X1272" s="481">
        <f t="shared" si="179"/>
        <v>2.8799999999999955</v>
      </c>
      <c r="Y1272" s="179"/>
      <c r="Z1272" s="466">
        <f t="shared" si="180"/>
        <v>79.861545000000007</v>
      </c>
      <c r="AA1272" s="473">
        <f t="shared" si="181"/>
        <v>2.1284549999999882</v>
      </c>
      <c r="AB1272" s="339">
        <f t="shared" si="182"/>
        <v>3.6405005688282088E-2</v>
      </c>
    </row>
    <row r="1273" spans="2:28" ht="20.100000000000001" customHeight="1">
      <c r="B1273" s="172">
        <v>1427200</v>
      </c>
      <c r="C1273" s="174">
        <v>44503</v>
      </c>
      <c r="D1273" s="181" t="s">
        <v>411</v>
      </c>
      <c r="E1273" s="173" t="s">
        <v>33</v>
      </c>
      <c r="F1273" s="176">
        <v>158.22</v>
      </c>
      <c r="G1273" s="175">
        <f t="shared" si="173"/>
        <v>2</v>
      </c>
      <c r="H1273" s="175">
        <f t="shared" si="174"/>
        <v>158.22</v>
      </c>
      <c r="I1273" s="177">
        <f>IF(G1273=0,0,IF(E1273="MXN",1/HLOOKUP(YEAR(C1273)+(MONTH(C1273)/100),TC!$5:$37,DAY(C1273)+2,FALSE),VLOOKUP(E1273,Equivalencia!$5:$23,((MAX(Equivalencia!$3:$3)-YEAR(C1273))*14)+MONTH(C1273)+2,FALSE)))</f>
        <v>1</v>
      </c>
      <c r="J1273" s="178">
        <f t="shared" si="175"/>
        <v>158.22</v>
      </c>
      <c r="K1273" s="462">
        <f>IF(C1273=0,0,VLOOKUP(YEAR(C1273),INPC!$B$4:$O$29,MONTH(C1273)+1))</f>
        <v>116.884</v>
      </c>
      <c r="L1273" s="462">
        <f>IF(S1273=0,0,VLOOKUP(YEAR(S1273),INPC!$B$4:$O$29,MONTH(S1273)+1))</f>
        <v>118.002</v>
      </c>
      <c r="M1273" s="463">
        <f t="shared" si="176"/>
        <v>1.0095000000000001</v>
      </c>
      <c r="N1273" s="465">
        <f t="shared" si="177"/>
        <v>159.72309000000001</v>
      </c>
      <c r="O1273" s="179"/>
      <c r="P1273" s="180">
        <v>2</v>
      </c>
      <c r="Q1273" s="173" t="s">
        <v>583</v>
      </c>
      <c r="R1273" s="173" t="s">
        <v>230</v>
      </c>
      <c r="S1273" s="174">
        <v>44568</v>
      </c>
      <c r="T1273" s="173" t="s">
        <v>33</v>
      </c>
      <c r="U1273" s="182">
        <v>165.36</v>
      </c>
      <c r="V1273" s="177">
        <f>IF(U1273=0,0,IF(T1273="MXN",1/HLOOKUP(YEAR(S1273)+(MONTH(S1273)/100),TC!$5:$37,DAY(S1273)+2,FALSE),VLOOKUP(T1273,Equivalencia!$1:$23,((MAX(Equivalencia!$3:$3)-YEAR(S1273))*14)+MONTH(S1273)+2,FALSE)))</f>
        <v>1</v>
      </c>
      <c r="W1273" s="178">
        <f t="shared" si="178"/>
        <v>165.36</v>
      </c>
      <c r="X1273" s="481">
        <f t="shared" si="179"/>
        <v>7.1400000000000148</v>
      </c>
      <c r="Y1273" s="179"/>
      <c r="Z1273" s="466">
        <f t="shared" si="180"/>
        <v>159.72309000000001</v>
      </c>
      <c r="AA1273" s="473">
        <f t="shared" si="181"/>
        <v>5.6369100000000003</v>
      </c>
      <c r="AB1273" s="339">
        <f t="shared" si="182"/>
        <v>4.5127038301099764E-2</v>
      </c>
    </row>
    <row r="1274" spans="2:28" ht="20.100000000000001" customHeight="1">
      <c r="B1274" s="172">
        <v>1427200</v>
      </c>
      <c r="C1274" s="174">
        <v>44503</v>
      </c>
      <c r="D1274" s="181" t="s">
        <v>411</v>
      </c>
      <c r="E1274" s="173" t="s">
        <v>33</v>
      </c>
      <c r="F1274" s="176">
        <v>158.22</v>
      </c>
      <c r="G1274" s="175">
        <f t="shared" si="173"/>
        <v>2</v>
      </c>
      <c r="H1274" s="175">
        <f t="shared" si="174"/>
        <v>158.22</v>
      </c>
      <c r="I1274" s="177">
        <f>IF(G1274=0,0,IF(E1274="MXN",1/HLOOKUP(YEAR(C1274)+(MONTH(C1274)/100),TC!$5:$37,DAY(C1274)+2,FALSE),VLOOKUP(E1274,Equivalencia!$5:$23,((MAX(Equivalencia!$3:$3)-YEAR(C1274))*14)+MONTH(C1274)+2,FALSE)))</f>
        <v>1</v>
      </c>
      <c r="J1274" s="178">
        <f t="shared" si="175"/>
        <v>158.22</v>
      </c>
      <c r="K1274" s="462">
        <f>IF(C1274=0,0,VLOOKUP(YEAR(C1274),INPC!$B$4:$O$29,MONTH(C1274)+1))</f>
        <v>116.884</v>
      </c>
      <c r="L1274" s="462">
        <f>IF(S1274=0,0,VLOOKUP(YEAR(S1274),INPC!$B$4:$O$29,MONTH(S1274)+1))</f>
        <v>118.002</v>
      </c>
      <c r="M1274" s="463">
        <f t="shared" si="176"/>
        <v>1.0095000000000001</v>
      </c>
      <c r="N1274" s="465">
        <f t="shared" si="177"/>
        <v>159.72309000000001</v>
      </c>
      <c r="O1274" s="179"/>
      <c r="P1274" s="180">
        <v>2</v>
      </c>
      <c r="Q1274" s="173" t="s">
        <v>583</v>
      </c>
      <c r="R1274" s="173" t="s">
        <v>230</v>
      </c>
      <c r="S1274" s="174">
        <v>44568</v>
      </c>
      <c r="T1274" s="173" t="s">
        <v>33</v>
      </c>
      <c r="U1274" s="182">
        <v>163.84</v>
      </c>
      <c r="V1274" s="177">
        <f>IF(U1274=0,0,IF(T1274="MXN",1/HLOOKUP(YEAR(S1274)+(MONTH(S1274)/100),TC!$5:$37,DAY(S1274)+2,FALSE),VLOOKUP(T1274,Equivalencia!$1:$23,((MAX(Equivalencia!$3:$3)-YEAR(S1274))*14)+MONTH(S1274)+2,FALSE)))</f>
        <v>1</v>
      </c>
      <c r="W1274" s="178">
        <f t="shared" si="178"/>
        <v>163.84</v>
      </c>
      <c r="X1274" s="481">
        <f t="shared" si="179"/>
        <v>5.6200000000000045</v>
      </c>
      <c r="Y1274" s="179"/>
      <c r="Z1274" s="466">
        <f t="shared" si="180"/>
        <v>159.72309000000001</v>
      </c>
      <c r="AA1274" s="473">
        <f t="shared" si="181"/>
        <v>4.1169099999999901</v>
      </c>
      <c r="AB1274" s="339">
        <f t="shared" si="182"/>
        <v>3.5520161800025374E-2</v>
      </c>
    </row>
    <row r="1275" spans="2:28" ht="20.100000000000001" customHeight="1">
      <c r="B1275" s="172">
        <v>1427200</v>
      </c>
      <c r="C1275" s="174">
        <v>44503</v>
      </c>
      <c r="D1275" s="181" t="s">
        <v>411</v>
      </c>
      <c r="E1275" s="173" t="s">
        <v>33</v>
      </c>
      <c r="F1275" s="176">
        <v>79.11</v>
      </c>
      <c r="G1275" s="175">
        <f t="shared" si="173"/>
        <v>1</v>
      </c>
      <c r="H1275" s="175">
        <f t="shared" si="174"/>
        <v>79.11</v>
      </c>
      <c r="I1275" s="177">
        <f>IF(G1275=0,0,IF(E1275="MXN",1/HLOOKUP(YEAR(C1275)+(MONTH(C1275)/100),TC!$5:$37,DAY(C1275)+2,FALSE),VLOOKUP(E1275,Equivalencia!$5:$23,((MAX(Equivalencia!$3:$3)-YEAR(C1275))*14)+MONTH(C1275)+2,FALSE)))</f>
        <v>1</v>
      </c>
      <c r="J1275" s="178">
        <f t="shared" si="175"/>
        <v>79.11</v>
      </c>
      <c r="K1275" s="462">
        <f>IF(C1275=0,0,VLOOKUP(YEAR(C1275),INPC!$B$4:$O$29,MONTH(C1275)+1))</f>
        <v>116.884</v>
      </c>
      <c r="L1275" s="462">
        <f>IF(S1275=0,0,VLOOKUP(YEAR(S1275),INPC!$B$4:$O$29,MONTH(S1275)+1))</f>
        <v>118.002</v>
      </c>
      <c r="M1275" s="463">
        <f t="shared" si="176"/>
        <v>1.0095000000000001</v>
      </c>
      <c r="N1275" s="465">
        <f t="shared" si="177"/>
        <v>79.861545000000007</v>
      </c>
      <c r="O1275" s="179"/>
      <c r="P1275" s="180">
        <v>1</v>
      </c>
      <c r="Q1275" s="173" t="s">
        <v>583</v>
      </c>
      <c r="R1275" s="173" t="s">
        <v>230</v>
      </c>
      <c r="S1275" s="174">
        <v>44568</v>
      </c>
      <c r="T1275" s="173" t="s">
        <v>33</v>
      </c>
      <c r="U1275" s="182">
        <v>82.46</v>
      </c>
      <c r="V1275" s="177">
        <f>IF(U1275=0,0,IF(T1275="MXN",1/HLOOKUP(YEAR(S1275)+(MONTH(S1275)/100),TC!$5:$37,DAY(S1275)+2,FALSE),VLOOKUP(T1275,Equivalencia!$1:$23,((MAX(Equivalencia!$3:$3)-YEAR(S1275))*14)+MONTH(S1275)+2,FALSE)))</f>
        <v>1</v>
      </c>
      <c r="W1275" s="178">
        <f t="shared" si="178"/>
        <v>82.46</v>
      </c>
      <c r="X1275" s="481">
        <f t="shared" si="179"/>
        <v>3.3499999999999943</v>
      </c>
      <c r="Y1275" s="179"/>
      <c r="Z1275" s="466">
        <f t="shared" si="180"/>
        <v>79.861545000000007</v>
      </c>
      <c r="AA1275" s="473">
        <f t="shared" si="181"/>
        <v>2.5984549999999871</v>
      </c>
      <c r="AB1275" s="339">
        <f t="shared" si="182"/>
        <v>4.2346100366578154E-2</v>
      </c>
    </row>
    <row r="1276" spans="2:28" ht="20.100000000000001" customHeight="1">
      <c r="B1276" s="172">
        <v>1427200</v>
      </c>
      <c r="C1276" s="174">
        <v>44503</v>
      </c>
      <c r="D1276" s="181" t="s">
        <v>411</v>
      </c>
      <c r="E1276" s="173" t="s">
        <v>33</v>
      </c>
      <c r="F1276" s="176">
        <v>79.11</v>
      </c>
      <c r="G1276" s="175">
        <f t="shared" si="173"/>
        <v>1</v>
      </c>
      <c r="H1276" s="175">
        <f t="shared" si="174"/>
        <v>79.11</v>
      </c>
      <c r="I1276" s="177">
        <f>IF(G1276=0,0,IF(E1276="MXN",1/HLOOKUP(YEAR(C1276)+(MONTH(C1276)/100),TC!$5:$37,DAY(C1276)+2,FALSE),VLOOKUP(E1276,Equivalencia!$5:$23,((MAX(Equivalencia!$3:$3)-YEAR(C1276))*14)+MONTH(C1276)+2,FALSE)))</f>
        <v>1</v>
      </c>
      <c r="J1276" s="178">
        <f t="shared" si="175"/>
        <v>79.11</v>
      </c>
      <c r="K1276" s="462">
        <f>IF(C1276=0,0,VLOOKUP(YEAR(C1276),INPC!$B$4:$O$29,MONTH(C1276)+1))</f>
        <v>116.884</v>
      </c>
      <c r="L1276" s="462">
        <f>IF(S1276=0,0,VLOOKUP(YEAR(S1276),INPC!$B$4:$O$29,MONTH(S1276)+1))</f>
        <v>118.002</v>
      </c>
      <c r="M1276" s="463">
        <f t="shared" si="176"/>
        <v>1.0095000000000001</v>
      </c>
      <c r="N1276" s="465">
        <f t="shared" si="177"/>
        <v>79.861545000000007</v>
      </c>
      <c r="O1276" s="179"/>
      <c r="P1276" s="180">
        <v>1</v>
      </c>
      <c r="Q1276" s="173" t="s">
        <v>583</v>
      </c>
      <c r="R1276" s="173" t="s">
        <v>230</v>
      </c>
      <c r="S1276" s="174">
        <v>44568</v>
      </c>
      <c r="T1276" s="173" t="s">
        <v>33</v>
      </c>
      <c r="U1276" s="182">
        <v>82.46</v>
      </c>
      <c r="V1276" s="177">
        <f>IF(U1276=0,0,IF(T1276="MXN",1/HLOOKUP(YEAR(S1276)+(MONTH(S1276)/100),TC!$5:$37,DAY(S1276)+2,FALSE),VLOOKUP(T1276,Equivalencia!$1:$23,((MAX(Equivalencia!$3:$3)-YEAR(S1276))*14)+MONTH(S1276)+2,FALSE)))</f>
        <v>1</v>
      </c>
      <c r="W1276" s="178">
        <f t="shared" si="178"/>
        <v>82.46</v>
      </c>
      <c r="X1276" s="481">
        <f t="shared" si="179"/>
        <v>3.3499999999999943</v>
      </c>
      <c r="Y1276" s="179"/>
      <c r="Z1276" s="466">
        <f t="shared" si="180"/>
        <v>79.861545000000007</v>
      </c>
      <c r="AA1276" s="473">
        <f t="shared" si="181"/>
        <v>2.5984549999999871</v>
      </c>
      <c r="AB1276" s="339">
        <f t="shared" si="182"/>
        <v>4.2346100366578154E-2</v>
      </c>
    </row>
    <row r="1277" spans="2:28" ht="20.100000000000001" customHeight="1">
      <c r="B1277" s="172">
        <v>1427200</v>
      </c>
      <c r="C1277" s="174">
        <v>44503</v>
      </c>
      <c r="D1277" s="181" t="s">
        <v>411</v>
      </c>
      <c r="E1277" s="173" t="s">
        <v>33</v>
      </c>
      <c r="F1277" s="176">
        <v>395.55</v>
      </c>
      <c r="G1277" s="175">
        <f t="shared" si="173"/>
        <v>5</v>
      </c>
      <c r="H1277" s="175">
        <f t="shared" si="174"/>
        <v>395.55</v>
      </c>
      <c r="I1277" s="177">
        <f>IF(G1277=0,0,IF(E1277="MXN",1/HLOOKUP(YEAR(C1277)+(MONTH(C1277)/100),TC!$5:$37,DAY(C1277)+2,FALSE),VLOOKUP(E1277,Equivalencia!$5:$23,((MAX(Equivalencia!$3:$3)-YEAR(C1277))*14)+MONTH(C1277)+2,FALSE)))</f>
        <v>1</v>
      </c>
      <c r="J1277" s="178">
        <f t="shared" si="175"/>
        <v>395.55</v>
      </c>
      <c r="K1277" s="462">
        <f>IF(C1277=0,0,VLOOKUP(YEAR(C1277),INPC!$B$4:$O$29,MONTH(C1277)+1))</f>
        <v>116.884</v>
      </c>
      <c r="L1277" s="462">
        <f>IF(S1277=0,0,VLOOKUP(YEAR(S1277),INPC!$B$4:$O$29,MONTH(S1277)+1))</f>
        <v>118.002</v>
      </c>
      <c r="M1277" s="463">
        <f t="shared" si="176"/>
        <v>1.0095000000000001</v>
      </c>
      <c r="N1277" s="465">
        <f t="shared" si="177"/>
        <v>399.30772500000006</v>
      </c>
      <c r="O1277" s="179"/>
      <c r="P1277" s="180">
        <v>5</v>
      </c>
      <c r="Q1277" s="173" t="s">
        <v>583</v>
      </c>
      <c r="R1277" s="173" t="s">
        <v>230</v>
      </c>
      <c r="S1277" s="174">
        <v>44568</v>
      </c>
      <c r="T1277" s="173" t="s">
        <v>33</v>
      </c>
      <c r="U1277" s="182">
        <v>412.33999999999992</v>
      </c>
      <c r="V1277" s="177">
        <f>IF(U1277=0,0,IF(T1277="MXN",1/HLOOKUP(YEAR(S1277)+(MONTH(S1277)/100),TC!$5:$37,DAY(S1277)+2,FALSE),VLOOKUP(T1277,Equivalencia!$1:$23,((MAX(Equivalencia!$3:$3)-YEAR(S1277))*14)+MONTH(S1277)+2,FALSE)))</f>
        <v>1</v>
      </c>
      <c r="W1277" s="178">
        <f t="shared" si="178"/>
        <v>412.33999999999992</v>
      </c>
      <c r="X1277" s="481">
        <f t="shared" si="179"/>
        <v>16.789999999999907</v>
      </c>
      <c r="Y1277" s="179"/>
      <c r="Z1277" s="466">
        <f t="shared" si="180"/>
        <v>399.30772500000006</v>
      </c>
      <c r="AA1277" s="473">
        <f t="shared" si="181"/>
        <v>13.032274999999856</v>
      </c>
      <c r="AB1277" s="339">
        <f t="shared" si="182"/>
        <v>4.2447225382378662E-2</v>
      </c>
    </row>
    <row r="1278" spans="2:28" ht="20.100000000000001" customHeight="1">
      <c r="B1278" s="172">
        <v>1427200</v>
      </c>
      <c r="C1278" s="174">
        <v>44503</v>
      </c>
      <c r="D1278" s="181" t="s">
        <v>411</v>
      </c>
      <c r="E1278" s="173" t="s">
        <v>33</v>
      </c>
      <c r="F1278" s="176">
        <v>1503.09</v>
      </c>
      <c r="G1278" s="175">
        <f t="shared" si="173"/>
        <v>19</v>
      </c>
      <c r="H1278" s="175">
        <f t="shared" si="174"/>
        <v>1503.09</v>
      </c>
      <c r="I1278" s="177">
        <f>IF(G1278=0,0,IF(E1278="MXN",1/HLOOKUP(YEAR(C1278)+(MONTH(C1278)/100),TC!$5:$37,DAY(C1278)+2,FALSE),VLOOKUP(E1278,Equivalencia!$5:$23,((MAX(Equivalencia!$3:$3)-YEAR(C1278))*14)+MONTH(C1278)+2,FALSE)))</f>
        <v>1</v>
      </c>
      <c r="J1278" s="178">
        <f t="shared" si="175"/>
        <v>1503.09</v>
      </c>
      <c r="K1278" s="462">
        <f>IF(C1278=0,0,VLOOKUP(YEAR(C1278),INPC!$B$4:$O$29,MONTH(C1278)+1))</f>
        <v>116.884</v>
      </c>
      <c r="L1278" s="462">
        <f>IF(S1278=0,0,VLOOKUP(YEAR(S1278),INPC!$B$4:$O$29,MONTH(S1278)+1))</f>
        <v>118.002</v>
      </c>
      <c r="M1278" s="463">
        <f t="shared" si="176"/>
        <v>1.0095000000000001</v>
      </c>
      <c r="N1278" s="465">
        <f t="shared" si="177"/>
        <v>1517.369355</v>
      </c>
      <c r="O1278" s="179"/>
      <c r="P1278" s="180">
        <v>19</v>
      </c>
      <c r="Q1278" s="173" t="s">
        <v>583</v>
      </c>
      <c r="R1278" s="173" t="s">
        <v>230</v>
      </c>
      <c r="S1278" s="174">
        <v>44571</v>
      </c>
      <c r="T1278" s="173" t="s">
        <v>33</v>
      </c>
      <c r="U1278" s="182">
        <v>1567.21</v>
      </c>
      <c r="V1278" s="177">
        <f>IF(U1278=0,0,IF(T1278="MXN",1/HLOOKUP(YEAR(S1278)+(MONTH(S1278)/100),TC!$5:$37,DAY(S1278)+2,FALSE),VLOOKUP(T1278,Equivalencia!$1:$23,((MAX(Equivalencia!$3:$3)-YEAR(S1278))*14)+MONTH(S1278)+2,FALSE)))</f>
        <v>1</v>
      </c>
      <c r="W1278" s="178">
        <f t="shared" si="178"/>
        <v>1567.21</v>
      </c>
      <c r="X1278" s="481">
        <f t="shared" si="179"/>
        <v>64.120000000000118</v>
      </c>
      <c r="Y1278" s="179"/>
      <c r="Z1278" s="466">
        <f t="shared" si="180"/>
        <v>1517.369355</v>
      </c>
      <c r="AA1278" s="473">
        <f t="shared" si="181"/>
        <v>49.840644999999995</v>
      </c>
      <c r="AB1278" s="339">
        <f t="shared" si="182"/>
        <v>4.2658789560172883E-2</v>
      </c>
    </row>
    <row r="1279" spans="2:28" ht="20.100000000000001" customHeight="1">
      <c r="B1279" s="172">
        <v>1427200</v>
      </c>
      <c r="C1279" s="174">
        <v>44503</v>
      </c>
      <c r="D1279" s="181" t="s">
        <v>411</v>
      </c>
      <c r="E1279" s="173" t="s">
        <v>33</v>
      </c>
      <c r="F1279" s="176">
        <v>395.55</v>
      </c>
      <c r="G1279" s="175">
        <f t="shared" si="173"/>
        <v>5</v>
      </c>
      <c r="H1279" s="175">
        <f t="shared" si="174"/>
        <v>395.55</v>
      </c>
      <c r="I1279" s="177">
        <f>IF(G1279=0,0,IF(E1279="MXN",1/HLOOKUP(YEAR(C1279)+(MONTH(C1279)/100),TC!$5:$37,DAY(C1279)+2,FALSE),VLOOKUP(E1279,Equivalencia!$5:$23,((MAX(Equivalencia!$3:$3)-YEAR(C1279))*14)+MONTH(C1279)+2,FALSE)))</f>
        <v>1</v>
      </c>
      <c r="J1279" s="178">
        <f t="shared" si="175"/>
        <v>395.55</v>
      </c>
      <c r="K1279" s="462">
        <f>IF(C1279=0,0,VLOOKUP(YEAR(C1279),INPC!$B$4:$O$29,MONTH(C1279)+1))</f>
        <v>116.884</v>
      </c>
      <c r="L1279" s="462">
        <f>IF(S1279=0,0,VLOOKUP(YEAR(S1279),INPC!$B$4:$O$29,MONTH(S1279)+1))</f>
        <v>118.002</v>
      </c>
      <c r="M1279" s="463">
        <f t="shared" si="176"/>
        <v>1.0095000000000001</v>
      </c>
      <c r="N1279" s="465">
        <f t="shared" si="177"/>
        <v>399.30772500000006</v>
      </c>
      <c r="O1279" s="179"/>
      <c r="P1279" s="180">
        <v>5</v>
      </c>
      <c r="Q1279" s="173" t="s">
        <v>583</v>
      </c>
      <c r="R1279" s="173" t="s">
        <v>230</v>
      </c>
      <c r="S1279" s="174">
        <v>44571</v>
      </c>
      <c r="T1279" s="173" t="s">
        <v>33</v>
      </c>
      <c r="U1279" s="182">
        <v>412.43</v>
      </c>
      <c r="V1279" s="177">
        <f>IF(U1279=0,0,IF(T1279="MXN",1/HLOOKUP(YEAR(S1279)+(MONTH(S1279)/100),TC!$5:$37,DAY(S1279)+2,FALSE),VLOOKUP(T1279,Equivalencia!$1:$23,((MAX(Equivalencia!$3:$3)-YEAR(S1279))*14)+MONTH(S1279)+2,FALSE)))</f>
        <v>1</v>
      </c>
      <c r="W1279" s="178">
        <f t="shared" si="178"/>
        <v>412.43</v>
      </c>
      <c r="X1279" s="481">
        <f t="shared" si="179"/>
        <v>16.879999999999995</v>
      </c>
      <c r="Y1279" s="179"/>
      <c r="Z1279" s="466">
        <f t="shared" si="180"/>
        <v>399.30772500000006</v>
      </c>
      <c r="AA1279" s="473">
        <f t="shared" si="181"/>
        <v>13.122274999999945</v>
      </c>
      <c r="AB1279" s="339">
        <f t="shared" si="182"/>
        <v>4.2674756667930636E-2</v>
      </c>
    </row>
    <row r="1280" spans="2:28" ht="20.100000000000001" customHeight="1">
      <c r="B1280" s="172">
        <v>1427200</v>
      </c>
      <c r="C1280" s="174">
        <v>44503</v>
      </c>
      <c r="D1280" s="181" t="s">
        <v>411</v>
      </c>
      <c r="E1280" s="173" t="s">
        <v>33</v>
      </c>
      <c r="F1280" s="176">
        <v>158.22</v>
      </c>
      <c r="G1280" s="175">
        <f t="shared" si="173"/>
        <v>2</v>
      </c>
      <c r="H1280" s="175">
        <f t="shared" si="174"/>
        <v>158.22</v>
      </c>
      <c r="I1280" s="177">
        <f>IF(G1280=0,0,IF(E1280="MXN",1/HLOOKUP(YEAR(C1280)+(MONTH(C1280)/100),TC!$5:$37,DAY(C1280)+2,FALSE),VLOOKUP(E1280,Equivalencia!$5:$23,((MAX(Equivalencia!$3:$3)-YEAR(C1280))*14)+MONTH(C1280)+2,FALSE)))</f>
        <v>1</v>
      </c>
      <c r="J1280" s="178">
        <f t="shared" si="175"/>
        <v>158.22</v>
      </c>
      <c r="K1280" s="462">
        <f>IF(C1280=0,0,VLOOKUP(YEAR(C1280),INPC!$B$4:$O$29,MONTH(C1280)+1))</f>
        <v>116.884</v>
      </c>
      <c r="L1280" s="462">
        <f>IF(S1280=0,0,VLOOKUP(YEAR(S1280),INPC!$B$4:$O$29,MONTH(S1280)+1))</f>
        <v>118.002</v>
      </c>
      <c r="M1280" s="463">
        <f t="shared" si="176"/>
        <v>1.0095000000000001</v>
      </c>
      <c r="N1280" s="465">
        <f t="shared" si="177"/>
        <v>159.72309000000001</v>
      </c>
      <c r="O1280" s="179"/>
      <c r="P1280" s="180">
        <v>2</v>
      </c>
      <c r="Q1280" s="173" t="s">
        <v>583</v>
      </c>
      <c r="R1280" s="173" t="s">
        <v>230</v>
      </c>
      <c r="S1280" s="174">
        <v>44571</v>
      </c>
      <c r="T1280" s="173" t="s">
        <v>33</v>
      </c>
      <c r="U1280" s="182">
        <v>162.29</v>
      </c>
      <c r="V1280" s="177">
        <f>IF(U1280=0,0,IF(T1280="MXN",1/HLOOKUP(YEAR(S1280)+(MONTH(S1280)/100),TC!$5:$37,DAY(S1280)+2,FALSE),VLOOKUP(T1280,Equivalencia!$1:$23,((MAX(Equivalencia!$3:$3)-YEAR(S1280))*14)+MONTH(S1280)+2,FALSE)))</f>
        <v>1</v>
      </c>
      <c r="W1280" s="178">
        <f t="shared" si="178"/>
        <v>162.29</v>
      </c>
      <c r="X1280" s="481">
        <f t="shared" si="179"/>
        <v>4.0699999999999932</v>
      </c>
      <c r="Y1280" s="179"/>
      <c r="Z1280" s="466">
        <f t="shared" si="180"/>
        <v>159.72309000000001</v>
      </c>
      <c r="AA1280" s="473">
        <f t="shared" si="181"/>
        <v>2.5669099999999787</v>
      </c>
      <c r="AB1280" s="339">
        <f t="shared" si="182"/>
        <v>2.5723675894324227E-2</v>
      </c>
    </row>
    <row r="1281" spans="2:28" ht="20.100000000000001" customHeight="1">
      <c r="B1281" s="172">
        <v>1427200</v>
      </c>
      <c r="C1281" s="174">
        <v>44503</v>
      </c>
      <c r="D1281" s="181" t="s">
        <v>432</v>
      </c>
      <c r="E1281" s="173" t="s">
        <v>33</v>
      </c>
      <c r="F1281" s="176">
        <v>69.07236842105263</v>
      </c>
      <c r="G1281" s="175">
        <f t="shared" si="173"/>
        <v>1</v>
      </c>
      <c r="H1281" s="175">
        <f t="shared" si="174"/>
        <v>69.07236842105263</v>
      </c>
      <c r="I1281" s="177">
        <f>IF(G1281=0,0,IF(E1281="MXN",1/HLOOKUP(YEAR(C1281)+(MONTH(C1281)/100),TC!$5:$37,DAY(C1281)+2,FALSE),VLOOKUP(E1281,Equivalencia!$5:$23,((MAX(Equivalencia!$3:$3)-YEAR(C1281))*14)+MONTH(C1281)+2,FALSE)))</f>
        <v>1</v>
      </c>
      <c r="J1281" s="178">
        <f t="shared" si="175"/>
        <v>69.07236842105263</v>
      </c>
      <c r="K1281" s="462">
        <f>IF(C1281=0,0,VLOOKUP(YEAR(C1281),INPC!$B$4:$O$29,MONTH(C1281)+1))</f>
        <v>116.884</v>
      </c>
      <c r="L1281" s="462">
        <f>IF(S1281=0,0,VLOOKUP(YEAR(S1281),INPC!$B$4:$O$29,MONTH(S1281)+1))</f>
        <v>118.002</v>
      </c>
      <c r="M1281" s="463">
        <f t="shared" si="176"/>
        <v>1.0095000000000001</v>
      </c>
      <c r="N1281" s="465">
        <f t="shared" si="177"/>
        <v>69.728555921052632</v>
      </c>
      <c r="O1281" s="179"/>
      <c r="P1281" s="180">
        <v>1</v>
      </c>
      <c r="Q1281" s="173" t="s">
        <v>583</v>
      </c>
      <c r="R1281" s="173" t="s">
        <v>230</v>
      </c>
      <c r="S1281" s="174">
        <v>44567</v>
      </c>
      <c r="T1281" s="173" t="s">
        <v>33</v>
      </c>
      <c r="U1281" s="182">
        <v>68.290000000000006</v>
      </c>
      <c r="V1281" s="177">
        <f>IF(U1281=0,0,IF(T1281="MXN",1/HLOOKUP(YEAR(S1281)+(MONTH(S1281)/100),TC!$5:$37,DAY(S1281)+2,FALSE),VLOOKUP(T1281,Equivalencia!$1:$23,((MAX(Equivalencia!$3:$3)-YEAR(S1281))*14)+MONTH(S1281)+2,FALSE)))</f>
        <v>1</v>
      </c>
      <c r="W1281" s="178">
        <f t="shared" si="178"/>
        <v>68.290000000000006</v>
      </c>
      <c r="X1281" s="481">
        <f t="shared" si="179"/>
        <v>-0.78236842105262383</v>
      </c>
      <c r="Y1281" s="179"/>
      <c r="Z1281" s="466">
        <f t="shared" si="180"/>
        <v>69.728555921052632</v>
      </c>
      <c r="AA1281" s="473">
        <f t="shared" si="181"/>
        <v>-1.4385559210526253</v>
      </c>
      <c r="AB1281" s="339">
        <f t="shared" si="182"/>
        <v>-1.1326793027907289E-2</v>
      </c>
    </row>
    <row r="1282" spans="2:28" ht="20.100000000000001" customHeight="1">
      <c r="B1282" s="172">
        <v>1427200</v>
      </c>
      <c r="C1282" s="174">
        <v>44503</v>
      </c>
      <c r="D1282" s="181" t="s">
        <v>432</v>
      </c>
      <c r="E1282" s="173" t="s">
        <v>33</v>
      </c>
      <c r="F1282" s="176">
        <v>1036.0855263157894</v>
      </c>
      <c r="G1282" s="175">
        <f t="shared" si="173"/>
        <v>15</v>
      </c>
      <c r="H1282" s="175">
        <f t="shared" si="174"/>
        <v>1036.0855263157894</v>
      </c>
      <c r="I1282" s="177">
        <f>IF(G1282=0,0,IF(E1282="MXN",1/HLOOKUP(YEAR(C1282)+(MONTH(C1282)/100),TC!$5:$37,DAY(C1282)+2,FALSE),VLOOKUP(E1282,Equivalencia!$5:$23,((MAX(Equivalencia!$3:$3)-YEAR(C1282))*14)+MONTH(C1282)+2,FALSE)))</f>
        <v>1</v>
      </c>
      <c r="J1282" s="178">
        <f t="shared" si="175"/>
        <v>1036.0855263157894</v>
      </c>
      <c r="K1282" s="462">
        <f>IF(C1282=0,0,VLOOKUP(YEAR(C1282),INPC!$B$4:$O$29,MONTH(C1282)+1))</f>
        <v>116.884</v>
      </c>
      <c r="L1282" s="462">
        <f>IF(S1282=0,0,VLOOKUP(YEAR(S1282),INPC!$B$4:$O$29,MONTH(S1282)+1))</f>
        <v>118.002</v>
      </c>
      <c r="M1282" s="463">
        <f t="shared" si="176"/>
        <v>1.0095000000000001</v>
      </c>
      <c r="N1282" s="465">
        <f t="shared" si="177"/>
        <v>1045.9283388157894</v>
      </c>
      <c r="O1282" s="179"/>
      <c r="P1282" s="180">
        <v>15</v>
      </c>
      <c r="Q1282" s="173" t="s">
        <v>583</v>
      </c>
      <c r="R1282" s="173" t="s">
        <v>230</v>
      </c>
      <c r="S1282" s="174">
        <v>44567</v>
      </c>
      <c r="T1282" s="173" t="s">
        <v>33</v>
      </c>
      <c r="U1282" s="182">
        <v>1043.8</v>
      </c>
      <c r="V1282" s="177">
        <f>IF(U1282=0,0,IF(T1282="MXN",1/HLOOKUP(YEAR(S1282)+(MONTH(S1282)/100),TC!$5:$37,DAY(S1282)+2,FALSE),VLOOKUP(T1282,Equivalencia!$1:$23,((MAX(Equivalencia!$3:$3)-YEAR(S1282))*14)+MONTH(S1282)+2,FALSE)))</f>
        <v>1</v>
      </c>
      <c r="W1282" s="178">
        <f t="shared" si="178"/>
        <v>1043.8</v>
      </c>
      <c r="X1282" s="481">
        <f t="shared" si="179"/>
        <v>7.7144736842105885</v>
      </c>
      <c r="Y1282" s="179"/>
      <c r="Z1282" s="466">
        <f t="shared" si="180"/>
        <v>1045.9283388157894</v>
      </c>
      <c r="AA1282" s="473">
        <f t="shared" si="181"/>
        <v>-2.1283388157894478</v>
      </c>
      <c r="AB1282" s="339">
        <f t="shared" si="182"/>
        <v>7.4457884877925373E-3</v>
      </c>
    </row>
    <row r="1283" spans="2:28" ht="20.100000000000001" customHeight="1">
      <c r="B1283" s="172">
        <v>1427200</v>
      </c>
      <c r="C1283" s="174">
        <v>44503</v>
      </c>
      <c r="D1283" s="181" t="s">
        <v>432</v>
      </c>
      <c r="E1283" s="173" t="s">
        <v>33</v>
      </c>
      <c r="F1283" s="176">
        <v>207.21710526315789</v>
      </c>
      <c r="G1283" s="175">
        <f t="shared" si="173"/>
        <v>3</v>
      </c>
      <c r="H1283" s="175">
        <f t="shared" si="174"/>
        <v>207.21710526315789</v>
      </c>
      <c r="I1283" s="177">
        <f>IF(G1283=0,0,IF(E1283="MXN",1/HLOOKUP(YEAR(C1283)+(MONTH(C1283)/100),TC!$5:$37,DAY(C1283)+2,FALSE),VLOOKUP(E1283,Equivalencia!$5:$23,((MAX(Equivalencia!$3:$3)-YEAR(C1283))*14)+MONTH(C1283)+2,FALSE)))</f>
        <v>1</v>
      </c>
      <c r="J1283" s="178">
        <f t="shared" si="175"/>
        <v>207.21710526315789</v>
      </c>
      <c r="K1283" s="462">
        <f>IF(C1283=0,0,VLOOKUP(YEAR(C1283),INPC!$B$4:$O$29,MONTH(C1283)+1))</f>
        <v>116.884</v>
      </c>
      <c r="L1283" s="462">
        <f>IF(S1283=0,0,VLOOKUP(YEAR(S1283),INPC!$B$4:$O$29,MONTH(S1283)+1))</f>
        <v>118.002</v>
      </c>
      <c r="M1283" s="463">
        <f t="shared" si="176"/>
        <v>1.0095000000000001</v>
      </c>
      <c r="N1283" s="465">
        <f t="shared" si="177"/>
        <v>209.18566776315791</v>
      </c>
      <c r="O1283" s="179"/>
      <c r="P1283" s="180">
        <v>3</v>
      </c>
      <c r="Q1283" s="173" t="s">
        <v>583</v>
      </c>
      <c r="R1283" s="173" t="s">
        <v>230</v>
      </c>
      <c r="S1283" s="174">
        <v>44567</v>
      </c>
      <c r="T1283" s="173" t="s">
        <v>33</v>
      </c>
      <c r="U1283" s="182">
        <v>208.59</v>
      </c>
      <c r="V1283" s="177">
        <f>IF(U1283=0,0,IF(T1283="MXN",1/HLOOKUP(YEAR(S1283)+(MONTH(S1283)/100),TC!$5:$37,DAY(S1283)+2,FALSE),VLOOKUP(T1283,Equivalencia!$1:$23,((MAX(Equivalencia!$3:$3)-YEAR(S1283))*14)+MONTH(S1283)+2,FALSE)))</f>
        <v>1</v>
      </c>
      <c r="W1283" s="178">
        <f t="shared" si="178"/>
        <v>208.59</v>
      </c>
      <c r="X1283" s="481">
        <f t="shared" si="179"/>
        <v>1.3728947368421132</v>
      </c>
      <c r="Y1283" s="179"/>
      <c r="Z1283" s="466">
        <f t="shared" si="180"/>
        <v>209.18566776315791</v>
      </c>
      <c r="AA1283" s="473">
        <f t="shared" si="181"/>
        <v>-0.59566776315790548</v>
      </c>
      <c r="AB1283" s="339">
        <f t="shared" si="182"/>
        <v>6.6253928945614327E-3</v>
      </c>
    </row>
    <row r="1284" spans="2:28" ht="20.100000000000001" customHeight="1">
      <c r="B1284" s="172">
        <v>1427200</v>
      </c>
      <c r="C1284" s="174">
        <v>44503</v>
      </c>
      <c r="D1284" s="181" t="s">
        <v>432</v>
      </c>
      <c r="E1284" s="173" t="s">
        <v>33</v>
      </c>
      <c r="F1284" s="176">
        <v>69.07236842105263</v>
      </c>
      <c r="G1284" s="175">
        <f t="shared" si="173"/>
        <v>1</v>
      </c>
      <c r="H1284" s="175">
        <f t="shared" si="174"/>
        <v>69.07236842105263</v>
      </c>
      <c r="I1284" s="177">
        <f>IF(G1284=0,0,IF(E1284="MXN",1/HLOOKUP(YEAR(C1284)+(MONTH(C1284)/100),TC!$5:$37,DAY(C1284)+2,FALSE),VLOOKUP(E1284,Equivalencia!$5:$23,((MAX(Equivalencia!$3:$3)-YEAR(C1284))*14)+MONTH(C1284)+2,FALSE)))</f>
        <v>1</v>
      </c>
      <c r="J1284" s="178">
        <f t="shared" si="175"/>
        <v>69.07236842105263</v>
      </c>
      <c r="K1284" s="462">
        <f>IF(C1284=0,0,VLOOKUP(YEAR(C1284),INPC!$B$4:$O$29,MONTH(C1284)+1))</f>
        <v>116.884</v>
      </c>
      <c r="L1284" s="462">
        <f>IF(S1284=0,0,VLOOKUP(YEAR(S1284),INPC!$B$4:$O$29,MONTH(S1284)+1))</f>
        <v>118.002</v>
      </c>
      <c r="M1284" s="463">
        <f t="shared" si="176"/>
        <v>1.0095000000000001</v>
      </c>
      <c r="N1284" s="465">
        <f t="shared" si="177"/>
        <v>69.728555921052632</v>
      </c>
      <c r="O1284" s="179"/>
      <c r="P1284" s="180">
        <v>1</v>
      </c>
      <c r="Q1284" s="173" t="s">
        <v>583</v>
      </c>
      <c r="R1284" s="173" t="s">
        <v>230</v>
      </c>
      <c r="S1284" s="174">
        <v>44568</v>
      </c>
      <c r="T1284" s="173" t="s">
        <v>33</v>
      </c>
      <c r="U1284" s="182">
        <v>67.959999999999994</v>
      </c>
      <c r="V1284" s="177">
        <f>IF(U1284=0,0,IF(T1284="MXN",1/HLOOKUP(YEAR(S1284)+(MONTH(S1284)/100),TC!$5:$37,DAY(S1284)+2,FALSE),VLOOKUP(T1284,Equivalencia!$1:$23,((MAX(Equivalencia!$3:$3)-YEAR(S1284))*14)+MONTH(S1284)+2,FALSE)))</f>
        <v>1</v>
      </c>
      <c r="W1284" s="178">
        <f t="shared" si="178"/>
        <v>67.959999999999994</v>
      </c>
      <c r="X1284" s="481">
        <f t="shared" si="179"/>
        <v>-1.1123684210526363</v>
      </c>
      <c r="Y1284" s="179"/>
      <c r="Z1284" s="466">
        <f t="shared" si="180"/>
        <v>69.728555921052632</v>
      </c>
      <c r="AA1284" s="473">
        <f t="shared" si="181"/>
        <v>-1.7685559210526378</v>
      </c>
      <c r="AB1284" s="339">
        <f t="shared" si="182"/>
        <v>-1.610439089437099E-2</v>
      </c>
    </row>
    <row r="1285" spans="2:28" ht="20.100000000000001" customHeight="1">
      <c r="B1285" s="172">
        <v>1427200</v>
      </c>
      <c r="C1285" s="174">
        <v>44503</v>
      </c>
      <c r="D1285" s="181" t="s">
        <v>432</v>
      </c>
      <c r="E1285" s="173" t="s">
        <v>33</v>
      </c>
      <c r="F1285" s="176">
        <v>69.07236842105263</v>
      </c>
      <c r="G1285" s="175">
        <f t="shared" si="173"/>
        <v>1</v>
      </c>
      <c r="H1285" s="175">
        <f t="shared" si="174"/>
        <v>69.07236842105263</v>
      </c>
      <c r="I1285" s="177">
        <f>IF(G1285=0,0,IF(E1285="MXN",1/HLOOKUP(YEAR(C1285)+(MONTH(C1285)/100),TC!$5:$37,DAY(C1285)+2,FALSE),VLOOKUP(E1285,Equivalencia!$5:$23,((MAX(Equivalencia!$3:$3)-YEAR(C1285))*14)+MONTH(C1285)+2,FALSE)))</f>
        <v>1</v>
      </c>
      <c r="J1285" s="178">
        <f t="shared" si="175"/>
        <v>69.07236842105263</v>
      </c>
      <c r="K1285" s="462">
        <f>IF(C1285=0,0,VLOOKUP(YEAR(C1285),INPC!$B$4:$O$29,MONTH(C1285)+1))</f>
        <v>116.884</v>
      </c>
      <c r="L1285" s="462">
        <f>IF(S1285=0,0,VLOOKUP(YEAR(S1285),INPC!$B$4:$O$29,MONTH(S1285)+1))</f>
        <v>118.002</v>
      </c>
      <c r="M1285" s="463">
        <f t="shared" si="176"/>
        <v>1.0095000000000001</v>
      </c>
      <c r="N1285" s="465">
        <f t="shared" si="177"/>
        <v>69.728555921052632</v>
      </c>
      <c r="O1285" s="179"/>
      <c r="P1285" s="180">
        <v>1</v>
      </c>
      <c r="Q1285" s="173" t="s">
        <v>583</v>
      </c>
      <c r="R1285" s="173" t="s">
        <v>230</v>
      </c>
      <c r="S1285" s="174">
        <v>44568</v>
      </c>
      <c r="T1285" s="173" t="s">
        <v>33</v>
      </c>
      <c r="U1285" s="182">
        <v>67.459999999999994</v>
      </c>
      <c r="V1285" s="177">
        <f>IF(U1285=0,0,IF(T1285="MXN",1/HLOOKUP(YEAR(S1285)+(MONTH(S1285)/100),TC!$5:$37,DAY(S1285)+2,FALSE),VLOOKUP(T1285,Equivalencia!$1:$23,((MAX(Equivalencia!$3:$3)-YEAR(S1285))*14)+MONTH(S1285)+2,FALSE)))</f>
        <v>1</v>
      </c>
      <c r="W1285" s="178">
        <f t="shared" si="178"/>
        <v>67.459999999999994</v>
      </c>
      <c r="X1285" s="481">
        <f t="shared" si="179"/>
        <v>-1.6123684210526363</v>
      </c>
      <c r="Y1285" s="179"/>
      <c r="Z1285" s="466">
        <f t="shared" si="180"/>
        <v>69.728555921052632</v>
      </c>
      <c r="AA1285" s="473">
        <f t="shared" si="181"/>
        <v>-2.2685559210526378</v>
      </c>
      <c r="AB1285" s="339">
        <f t="shared" si="182"/>
        <v>-2.3343175540527783E-2</v>
      </c>
    </row>
    <row r="1286" spans="2:28" ht="20.100000000000001" customHeight="1">
      <c r="B1286" s="172">
        <v>1427200</v>
      </c>
      <c r="C1286" s="174">
        <v>44503</v>
      </c>
      <c r="D1286" s="181" t="s">
        <v>432</v>
      </c>
      <c r="E1286" s="173" t="s">
        <v>33</v>
      </c>
      <c r="F1286" s="176">
        <v>897.94078947368416</v>
      </c>
      <c r="G1286" s="175">
        <f t="shared" si="173"/>
        <v>13</v>
      </c>
      <c r="H1286" s="175">
        <f t="shared" si="174"/>
        <v>897.94078947368416</v>
      </c>
      <c r="I1286" s="177">
        <f>IF(G1286=0,0,IF(E1286="MXN",1/HLOOKUP(YEAR(C1286)+(MONTH(C1286)/100),TC!$5:$37,DAY(C1286)+2,FALSE),VLOOKUP(E1286,Equivalencia!$5:$23,((MAX(Equivalencia!$3:$3)-YEAR(C1286))*14)+MONTH(C1286)+2,FALSE)))</f>
        <v>1</v>
      </c>
      <c r="J1286" s="178">
        <f t="shared" si="175"/>
        <v>897.94078947368416</v>
      </c>
      <c r="K1286" s="462">
        <f>IF(C1286=0,0,VLOOKUP(YEAR(C1286),INPC!$B$4:$O$29,MONTH(C1286)+1))</f>
        <v>116.884</v>
      </c>
      <c r="L1286" s="462">
        <f>IF(S1286=0,0,VLOOKUP(YEAR(S1286),INPC!$B$4:$O$29,MONTH(S1286)+1))</f>
        <v>118.002</v>
      </c>
      <c r="M1286" s="463">
        <f t="shared" si="176"/>
        <v>1.0095000000000001</v>
      </c>
      <c r="N1286" s="465">
        <f t="shared" si="177"/>
        <v>906.47122697368422</v>
      </c>
      <c r="O1286" s="179"/>
      <c r="P1286" s="180">
        <v>13</v>
      </c>
      <c r="Q1286" s="173" t="s">
        <v>583</v>
      </c>
      <c r="R1286" s="173" t="s">
        <v>230</v>
      </c>
      <c r="S1286" s="174">
        <v>44568</v>
      </c>
      <c r="T1286" s="173" t="s">
        <v>33</v>
      </c>
      <c r="U1286" s="182">
        <v>829.49</v>
      </c>
      <c r="V1286" s="177">
        <f>IF(U1286=0,0,IF(T1286="MXN",1/HLOOKUP(YEAR(S1286)+(MONTH(S1286)/100),TC!$5:$37,DAY(S1286)+2,FALSE),VLOOKUP(T1286,Equivalencia!$1:$23,((MAX(Equivalencia!$3:$3)-YEAR(S1286))*14)+MONTH(S1286)+2,FALSE)))</f>
        <v>1</v>
      </c>
      <c r="W1286" s="178">
        <f t="shared" si="178"/>
        <v>829.49</v>
      </c>
      <c r="X1286" s="481">
        <f t="shared" si="179"/>
        <v>-68.450789473684154</v>
      </c>
      <c r="Y1286" s="179"/>
      <c r="Z1286" s="466">
        <f t="shared" si="180"/>
        <v>906.47122697368422</v>
      </c>
      <c r="AA1286" s="473">
        <f t="shared" si="181"/>
        <v>-76.981226973684215</v>
      </c>
      <c r="AB1286" s="339">
        <f t="shared" si="182"/>
        <v>-7.6230849824525326E-2</v>
      </c>
    </row>
    <row r="1287" spans="2:28" ht="20.100000000000001" customHeight="1">
      <c r="B1287" s="172">
        <v>1427200</v>
      </c>
      <c r="C1287" s="174">
        <v>44503</v>
      </c>
      <c r="D1287" s="181" t="s">
        <v>432</v>
      </c>
      <c r="E1287" s="173" t="s">
        <v>33</v>
      </c>
      <c r="F1287" s="176">
        <v>207.21710526315789</v>
      </c>
      <c r="G1287" s="175">
        <f t="shared" si="173"/>
        <v>3</v>
      </c>
      <c r="H1287" s="175">
        <f t="shared" si="174"/>
        <v>207.21710526315789</v>
      </c>
      <c r="I1287" s="177">
        <f>IF(G1287=0,0,IF(E1287="MXN",1/HLOOKUP(YEAR(C1287)+(MONTH(C1287)/100),TC!$5:$37,DAY(C1287)+2,FALSE),VLOOKUP(E1287,Equivalencia!$5:$23,((MAX(Equivalencia!$3:$3)-YEAR(C1287))*14)+MONTH(C1287)+2,FALSE)))</f>
        <v>1</v>
      </c>
      <c r="J1287" s="178">
        <f t="shared" si="175"/>
        <v>207.21710526315789</v>
      </c>
      <c r="K1287" s="462">
        <f>IF(C1287=0,0,VLOOKUP(YEAR(C1287),INPC!$B$4:$O$29,MONTH(C1287)+1))</f>
        <v>116.884</v>
      </c>
      <c r="L1287" s="462">
        <f>IF(S1287=0,0,VLOOKUP(YEAR(S1287),INPC!$B$4:$O$29,MONTH(S1287)+1))</f>
        <v>118.002</v>
      </c>
      <c r="M1287" s="463">
        <f t="shared" si="176"/>
        <v>1.0095000000000001</v>
      </c>
      <c r="N1287" s="465">
        <f t="shared" si="177"/>
        <v>209.18566776315791</v>
      </c>
      <c r="O1287" s="179"/>
      <c r="P1287" s="180">
        <v>3</v>
      </c>
      <c r="Q1287" s="173" t="s">
        <v>583</v>
      </c>
      <c r="R1287" s="173" t="s">
        <v>230</v>
      </c>
      <c r="S1287" s="174">
        <v>44568</v>
      </c>
      <c r="T1287" s="173" t="s">
        <v>33</v>
      </c>
      <c r="U1287" s="182">
        <v>203.28000000000003</v>
      </c>
      <c r="V1287" s="177">
        <f>IF(U1287=0,0,IF(T1287="MXN",1/HLOOKUP(YEAR(S1287)+(MONTH(S1287)/100),TC!$5:$37,DAY(S1287)+2,FALSE),VLOOKUP(T1287,Equivalencia!$1:$23,((MAX(Equivalencia!$3:$3)-YEAR(S1287))*14)+MONTH(S1287)+2,FALSE)))</f>
        <v>1</v>
      </c>
      <c r="W1287" s="178">
        <f t="shared" si="178"/>
        <v>203.28000000000003</v>
      </c>
      <c r="X1287" s="481">
        <f t="shared" si="179"/>
        <v>-3.9371052631578607</v>
      </c>
      <c r="Y1287" s="179"/>
      <c r="Z1287" s="466">
        <f t="shared" si="180"/>
        <v>209.18566776315791</v>
      </c>
      <c r="AA1287" s="473">
        <f t="shared" si="181"/>
        <v>-5.9056677631578793</v>
      </c>
      <c r="AB1287" s="339">
        <f t="shared" si="182"/>
        <v>-1.8999904752833419E-2</v>
      </c>
    </row>
    <row r="1288" spans="2:28" ht="20.100000000000001" customHeight="1">
      <c r="B1288" s="172">
        <v>1427200</v>
      </c>
      <c r="C1288" s="174">
        <v>44503</v>
      </c>
      <c r="D1288" s="181" t="s">
        <v>432</v>
      </c>
      <c r="E1288" s="173" t="s">
        <v>33</v>
      </c>
      <c r="F1288" s="176">
        <v>1312.375</v>
      </c>
      <c r="G1288" s="175">
        <f t="shared" si="173"/>
        <v>19</v>
      </c>
      <c r="H1288" s="175">
        <f t="shared" si="174"/>
        <v>1312.375</v>
      </c>
      <c r="I1288" s="177">
        <f>IF(G1288=0,0,IF(E1288="MXN",1/HLOOKUP(YEAR(C1288)+(MONTH(C1288)/100),TC!$5:$37,DAY(C1288)+2,FALSE),VLOOKUP(E1288,Equivalencia!$5:$23,((MAX(Equivalencia!$3:$3)-YEAR(C1288))*14)+MONTH(C1288)+2,FALSE)))</f>
        <v>1</v>
      </c>
      <c r="J1288" s="178">
        <f t="shared" si="175"/>
        <v>1312.375</v>
      </c>
      <c r="K1288" s="462">
        <f>IF(C1288=0,0,VLOOKUP(YEAR(C1288),INPC!$B$4:$O$29,MONTH(C1288)+1))</f>
        <v>116.884</v>
      </c>
      <c r="L1288" s="462">
        <f>IF(S1288=0,0,VLOOKUP(YEAR(S1288),INPC!$B$4:$O$29,MONTH(S1288)+1))</f>
        <v>118.002</v>
      </c>
      <c r="M1288" s="463">
        <f t="shared" si="176"/>
        <v>1.0095000000000001</v>
      </c>
      <c r="N1288" s="465">
        <f t="shared" si="177"/>
        <v>1324.8425625</v>
      </c>
      <c r="O1288" s="179"/>
      <c r="P1288" s="180">
        <v>19</v>
      </c>
      <c r="Q1288" s="173" t="s">
        <v>583</v>
      </c>
      <c r="R1288" s="173" t="s">
        <v>230</v>
      </c>
      <c r="S1288" s="174">
        <v>44571</v>
      </c>
      <c r="T1288" s="173" t="s">
        <v>33</v>
      </c>
      <c r="U1288" s="182">
        <v>1132.32</v>
      </c>
      <c r="V1288" s="177">
        <f>IF(U1288=0,0,IF(T1288="MXN",1/HLOOKUP(YEAR(S1288)+(MONTH(S1288)/100),TC!$5:$37,DAY(S1288)+2,FALSE),VLOOKUP(T1288,Equivalencia!$1:$23,((MAX(Equivalencia!$3:$3)-YEAR(S1288))*14)+MONTH(S1288)+2,FALSE)))</f>
        <v>1</v>
      </c>
      <c r="W1288" s="178">
        <f t="shared" si="178"/>
        <v>1132.32</v>
      </c>
      <c r="X1288" s="481">
        <f t="shared" si="179"/>
        <v>-180.05500000000006</v>
      </c>
      <c r="Y1288" s="179"/>
      <c r="Z1288" s="466">
        <f t="shared" si="180"/>
        <v>1324.8425625</v>
      </c>
      <c r="AA1288" s="473">
        <f t="shared" si="181"/>
        <v>-192.52256250000005</v>
      </c>
      <c r="AB1288" s="339">
        <f t="shared" si="182"/>
        <v>-0.13719782836460626</v>
      </c>
    </row>
    <row r="1289" spans="2:28" ht="20.100000000000001" customHeight="1">
      <c r="B1289" s="172">
        <v>1427200</v>
      </c>
      <c r="C1289" s="174">
        <v>44503</v>
      </c>
      <c r="D1289" s="181" t="s">
        <v>432</v>
      </c>
      <c r="E1289" s="173" t="s">
        <v>33</v>
      </c>
      <c r="F1289" s="176">
        <v>138.14473684210526</v>
      </c>
      <c r="G1289" s="175">
        <f t="shared" si="173"/>
        <v>2</v>
      </c>
      <c r="H1289" s="175">
        <f t="shared" si="174"/>
        <v>138.14473684210526</v>
      </c>
      <c r="I1289" s="177">
        <f>IF(G1289=0,0,IF(E1289="MXN",1/HLOOKUP(YEAR(C1289)+(MONTH(C1289)/100),TC!$5:$37,DAY(C1289)+2,FALSE),VLOOKUP(E1289,Equivalencia!$5:$23,((MAX(Equivalencia!$3:$3)-YEAR(C1289))*14)+MONTH(C1289)+2,FALSE)))</f>
        <v>1</v>
      </c>
      <c r="J1289" s="178">
        <f t="shared" si="175"/>
        <v>138.14473684210526</v>
      </c>
      <c r="K1289" s="462">
        <f>IF(C1289=0,0,VLOOKUP(YEAR(C1289),INPC!$B$4:$O$29,MONTH(C1289)+1))</f>
        <v>116.884</v>
      </c>
      <c r="L1289" s="462">
        <f>IF(S1289=0,0,VLOOKUP(YEAR(S1289),INPC!$B$4:$O$29,MONTH(S1289)+1))</f>
        <v>118.002</v>
      </c>
      <c r="M1289" s="463">
        <f t="shared" si="176"/>
        <v>1.0095000000000001</v>
      </c>
      <c r="N1289" s="465">
        <f t="shared" si="177"/>
        <v>139.45711184210526</v>
      </c>
      <c r="O1289" s="179"/>
      <c r="P1289" s="180">
        <v>2</v>
      </c>
      <c r="Q1289" s="173" t="s">
        <v>583</v>
      </c>
      <c r="R1289" s="173" t="s">
        <v>230</v>
      </c>
      <c r="S1289" s="174">
        <v>44571</v>
      </c>
      <c r="T1289" s="173" t="s">
        <v>33</v>
      </c>
      <c r="U1289" s="182">
        <v>119.19</v>
      </c>
      <c r="V1289" s="177">
        <f>IF(U1289=0,0,IF(T1289="MXN",1/HLOOKUP(YEAR(S1289)+(MONTH(S1289)/100),TC!$5:$37,DAY(S1289)+2,FALSE),VLOOKUP(T1289,Equivalencia!$1:$23,((MAX(Equivalencia!$3:$3)-YEAR(S1289))*14)+MONTH(S1289)+2,FALSE)))</f>
        <v>1</v>
      </c>
      <c r="W1289" s="178">
        <f t="shared" si="178"/>
        <v>119.19</v>
      </c>
      <c r="X1289" s="481">
        <f t="shared" si="179"/>
        <v>-18.954736842105262</v>
      </c>
      <c r="Y1289" s="179"/>
      <c r="Z1289" s="466">
        <f t="shared" si="180"/>
        <v>139.45711184210526</v>
      </c>
      <c r="AA1289" s="473">
        <f t="shared" si="181"/>
        <v>-20.267111842105265</v>
      </c>
      <c r="AB1289" s="339">
        <f t="shared" si="182"/>
        <v>-0.13720925802457373</v>
      </c>
    </row>
    <row r="1290" spans="2:28" ht="20.100000000000001" customHeight="1">
      <c r="B1290" s="172">
        <v>1427200</v>
      </c>
      <c r="C1290" s="174">
        <v>44503</v>
      </c>
      <c r="D1290" s="181" t="s">
        <v>432</v>
      </c>
      <c r="E1290" s="173" t="s">
        <v>33</v>
      </c>
      <c r="F1290" s="176">
        <v>138.14473684210526</v>
      </c>
      <c r="G1290" s="175">
        <f t="shared" si="173"/>
        <v>2</v>
      </c>
      <c r="H1290" s="175">
        <f t="shared" si="174"/>
        <v>138.14473684210526</v>
      </c>
      <c r="I1290" s="177">
        <f>IF(G1290=0,0,IF(E1290="MXN",1/HLOOKUP(YEAR(C1290)+(MONTH(C1290)/100),TC!$5:$37,DAY(C1290)+2,FALSE),VLOOKUP(E1290,Equivalencia!$5:$23,((MAX(Equivalencia!$3:$3)-YEAR(C1290))*14)+MONTH(C1290)+2,FALSE)))</f>
        <v>1</v>
      </c>
      <c r="J1290" s="178">
        <f t="shared" si="175"/>
        <v>138.14473684210526</v>
      </c>
      <c r="K1290" s="462">
        <f>IF(C1290=0,0,VLOOKUP(YEAR(C1290),INPC!$B$4:$O$29,MONTH(C1290)+1))</f>
        <v>116.884</v>
      </c>
      <c r="L1290" s="462">
        <f>IF(S1290=0,0,VLOOKUP(YEAR(S1290),INPC!$B$4:$O$29,MONTH(S1290)+1))</f>
        <v>118.002</v>
      </c>
      <c r="M1290" s="463">
        <f t="shared" si="176"/>
        <v>1.0095000000000001</v>
      </c>
      <c r="N1290" s="465">
        <f t="shared" si="177"/>
        <v>139.45711184210526</v>
      </c>
      <c r="O1290" s="179"/>
      <c r="P1290" s="180">
        <v>2</v>
      </c>
      <c r="Q1290" s="173" t="s">
        <v>583</v>
      </c>
      <c r="R1290" s="173" t="s">
        <v>230</v>
      </c>
      <c r="S1290" s="174">
        <v>44571</v>
      </c>
      <c r="T1290" s="173" t="s">
        <v>33</v>
      </c>
      <c r="U1290" s="182">
        <v>122.46</v>
      </c>
      <c r="V1290" s="177">
        <f>IF(U1290=0,0,IF(T1290="MXN",1/HLOOKUP(YEAR(S1290)+(MONTH(S1290)/100),TC!$5:$37,DAY(S1290)+2,FALSE),VLOOKUP(T1290,Equivalencia!$1:$23,((MAX(Equivalencia!$3:$3)-YEAR(S1290))*14)+MONTH(S1290)+2,FALSE)))</f>
        <v>1</v>
      </c>
      <c r="W1290" s="178">
        <f t="shared" si="178"/>
        <v>122.46</v>
      </c>
      <c r="X1290" s="481">
        <f t="shared" si="179"/>
        <v>-15.684736842105266</v>
      </c>
      <c r="Y1290" s="179"/>
      <c r="Z1290" s="466">
        <f t="shared" si="180"/>
        <v>139.45711184210526</v>
      </c>
      <c r="AA1290" s="473">
        <f t="shared" si="181"/>
        <v>-16.997111842105269</v>
      </c>
      <c r="AB1290" s="339">
        <f t="shared" si="182"/>
        <v>-0.11353843223164117</v>
      </c>
    </row>
    <row r="1291" spans="2:28" ht="20.100000000000001" customHeight="1">
      <c r="B1291" s="172">
        <v>1427200</v>
      </c>
      <c r="C1291" s="174">
        <v>44503</v>
      </c>
      <c r="D1291" s="181" t="s">
        <v>432</v>
      </c>
      <c r="E1291" s="173" t="s">
        <v>33</v>
      </c>
      <c r="F1291" s="176">
        <v>207.21710526315789</v>
      </c>
      <c r="G1291" s="175">
        <f t="shared" si="173"/>
        <v>3</v>
      </c>
      <c r="H1291" s="175">
        <f t="shared" si="174"/>
        <v>207.21710526315789</v>
      </c>
      <c r="I1291" s="177">
        <f>IF(G1291=0,0,IF(E1291="MXN",1/HLOOKUP(YEAR(C1291)+(MONTH(C1291)/100),TC!$5:$37,DAY(C1291)+2,FALSE),VLOOKUP(E1291,Equivalencia!$5:$23,((MAX(Equivalencia!$3:$3)-YEAR(C1291))*14)+MONTH(C1291)+2,FALSE)))</f>
        <v>1</v>
      </c>
      <c r="J1291" s="178">
        <f t="shared" si="175"/>
        <v>207.21710526315789</v>
      </c>
      <c r="K1291" s="462">
        <f>IF(C1291=0,0,VLOOKUP(YEAR(C1291),INPC!$B$4:$O$29,MONTH(C1291)+1))</f>
        <v>116.884</v>
      </c>
      <c r="L1291" s="462">
        <f>IF(S1291=0,0,VLOOKUP(YEAR(S1291),INPC!$B$4:$O$29,MONTH(S1291)+1))</f>
        <v>118.002</v>
      </c>
      <c r="M1291" s="463">
        <f t="shared" si="176"/>
        <v>1.0095000000000001</v>
      </c>
      <c r="N1291" s="465">
        <f t="shared" si="177"/>
        <v>209.18566776315791</v>
      </c>
      <c r="O1291" s="179"/>
      <c r="P1291" s="180">
        <v>3</v>
      </c>
      <c r="Q1291" s="173" t="s">
        <v>583</v>
      </c>
      <c r="R1291" s="173" t="s">
        <v>230</v>
      </c>
      <c r="S1291" s="174">
        <v>44571</v>
      </c>
      <c r="T1291" s="173" t="s">
        <v>33</v>
      </c>
      <c r="U1291" s="182">
        <v>177.12</v>
      </c>
      <c r="V1291" s="177">
        <f>IF(U1291=0,0,IF(T1291="MXN",1/HLOOKUP(YEAR(S1291)+(MONTH(S1291)/100),TC!$5:$37,DAY(S1291)+2,FALSE),VLOOKUP(T1291,Equivalencia!$1:$23,((MAX(Equivalencia!$3:$3)-YEAR(S1291))*14)+MONTH(S1291)+2,FALSE)))</f>
        <v>1</v>
      </c>
      <c r="W1291" s="178">
        <f t="shared" si="178"/>
        <v>177.12</v>
      </c>
      <c r="X1291" s="481">
        <f t="shared" si="179"/>
        <v>-30.097105263157886</v>
      </c>
      <c r="Y1291" s="179"/>
      <c r="Z1291" s="466">
        <f t="shared" si="180"/>
        <v>209.18566776315791</v>
      </c>
      <c r="AA1291" s="473">
        <f t="shared" si="181"/>
        <v>-32.065667763157904</v>
      </c>
      <c r="AB1291" s="339">
        <f t="shared" si="182"/>
        <v>-0.14524430898180773</v>
      </c>
    </row>
    <row r="1292" spans="2:28" ht="20.100000000000001" customHeight="1">
      <c r="B1292" s="172">
        <v>1427200</v>
      </c>
      <c r="C1292" s="174">
        <v>44503</v>
      </c>
      <c r="D1292" s="181" t="s">
        <v>273</v>
      </c>
      <c r="E1292" s="173" t="s">
        <v>33</v>
      </c>
      <c r="F1292" s="176">
        <v>4348.47</v>
      </c>
      <c r="G1292" s="175">
        <f t="shared" si="173"/>
        <v>21</v>
      </c>
      <c r="H1292" s="175">
        <f t="shared" si="174"/>
        <v>4348.47</v>
      </c>
      <c r="I1292" s="177">
        <f>IF(G1292=0,0,IF(E1292="MXN",1/HLOOKUP(YEAR(C1292)+(MONTH(C1292)/100),TC!$5:$37,DAY(C1292)+2,FALSE),VLOOKUP(E1292,Equivalencia!$5:$23,((MAX(Equivalencia!$3:$3)-YEAR(C1292))*14)+MONTH(C1292)+2,FALSE)))</f>
        <v>1</v>
      </c>
      <c r="J1292" s="178">
        <f t="shared" si="175"/>
        <v>4348.47</v>
      </c>
      <c r="K1292" s="462">
        <f>IF(C1292=0,0,VLOOKUP(YEAR(C1292),INPC!$B$4:$O$29,MONTH(C1292)+1))</f>
        <v>116.884</v>
      </c>
      <c r="L1292" s="462">
        <f>IF(S1292=0,0,VLOOKUP(YEAR(S1292),INPC!$B$4:$O$29,MONTH(S1292)+1))</f>
        <v>118.002</v>
      </c>
      <c r="M1292" s="463">
        <f t="shared" si="176"/>
        <v>1.0095000000000001</v>
      </c>
      <c r="N1292" s="465">
        <f t="shared" si="177"/>
        <v>4389.7804650000007</v>
      </c>
      <c r="O1292" s="179"/>
      <c r="P1292" s="180">
        <v>21</v>
      </c>
      <c r="Q1292" s="173" t="s">
        <v>583</v>
      </c>
      <c r="R1292" s="173" t="s">
        <v>230</v>
      </c>
      <c r="S1292" s="174">
        <v>44581</v>
      </c>
      <c r="T1292" s="173" t="s">
        <v>33</v>
      </c>
      <c r="U1292" s="182">
        <v>4532.26</v>
      </c>
      <c r="V1292" s="177">
        <f>IF(U1292=0,0,IF(T1292="MXN",1/HLOOKUP(YEAR(S1292)+(MONTH(S1292)/100),TC!$5:$37,DAY(S1292)+2,FALSE),VLOOKUP(T1292,Equivalencia!$1:$23,((MAX(Equivalencia!$3:$3)-YEAR(S1292))*14)+MONTH(S1292)+2,FALSE)))</f>
        <v>1</v>
      </c>
      <c r="W1292" s="178">
        <f t="shared" si="178"/>
        <v>4532.26</v>
      </c>
      <c r="X1292" s="481">
        <f t="shared" si="179"/>
        <v>183.78999999999996</v>
      </c>
      <c r="Y1292" s="179"/>
      <c r="Z1292" s="466">
        <f t="shared" si="180"/>
        <v>4389.7804650000007</v>
      </c>
      <c r="AA1292" s="473">
        <f t="shared" si="181"/>
        <v>142.47953499999949</v>
      </c>
      <c r="AB1292" s="339">
        <f t="shared" si="182"/>
        <v>4.2265440488263639E-2</v>
      </c>
    </row>
    <row r="1293" spans="2:28" ht="20.100000000000001" customHeight="1">
      <c r="B1293" s="172">
        <v>1427200</v>
      </c>
      <c r="C1293" s="174">
        <v>44503</v>
      </c>
      <c r="D1293" s="181" t="s">
        <v>385</v>
      </c>
      <c r="E1293" s="173" t="s">
        <v>33</v>
      </c>
      <c r="F1293" s="176">
        <v>303.60500000000002</v>
      </c>
      <c r="G1293" s="175">
        <f t="shared" si="173"/>
        <v>1</v>
      </c>
      <c r="H1293" s="175">
        <f t="shared" si="174"/>
        <v>303.60500000000002</v>
      </c>
      <c r="I1293" s="177">
        <f>IF(G1293=0,0,IF(E1293="MXN",1/HLOOKUP(YEAR(C1293)+(MONTH(C1293)/100),TC!$5:$37,DAY(C1293)+2,FALSE),VLOOKUP(E1293,Equivalencia!$5:$23,((MAX(Equivalencia!$3:$3)-YEAR(C1293))*14)+MONTH(C1293)+2,FALSE)))</f>
        <v>1</v>
      </c>
      <c r="J1293" s="178">
        <f t="shared" si="175"/>
        <v>303.60500000000002</v>
      </c>
      <c r="K1293" s="462">
        <f>IF(C1293=0,0,VLOOKUP(YEAR(C1293),INPC!$B$4:$O$29,MONTH(C1293)+1))</f>
        <v>116.884</v>
      </c>
      <c r="L1293" s="462">
        <f>IF(S1293=0,0,VLOOKUP(YEAR(S1293),INPC!$B$4:$O$29,MONTH(S1293)+1))</f>
        <v>118.002</v>
      </c>
      <c r="M1293" s="463">
        <f t="shared" si="176"/>
        <v>1.0095000000000001</v>
      </c>
      <c r="N1293" s="465">
        <f t="shared" si="177"/>
        <v>306.48924750000003</v>
      </c>
      <c r="O1293" s="179"/>
      <c r="P1293" s="180">
        <v>1</v>
      </c>
      <c r="Q1293" s="173" t="s">
        <v>583</v>
      </c>
      <c r="R1293" s="173" t="s">
        <v>230</v>
      </c>
      <c r="S1293" s="174">
        <v>44586</v>
      </c>
      <c r="T1293" s="173" t="s">
        <v>33</v>
      </c>
      <c r="U1293" s="182">
        <v>234.14</v>
      </c>
      <c r="V1293" s="177">
        <f>IF(U1293=0,0,IF(T1293="MXN",1/HLOOKUP(YEAR(S1293)+(MONTH(S1293)/100),TC!$5:$37,DAY(S1293)+2,FALSE),VLOOKUP(T1293,Equivalencia!$1:$23,((MAX(Equivalencia!$3:$3)-YEAR(S1293))*14)+MONTH(S1293)+2,FALSE)))</f>
        <v>1</v>
      </c>
      <c r="W1293" s="178">
        <f t="shared" si="178"/>
        <v>234.14</v>
      </c>
      <c r="X1293" s="481">
        <f t="shared" si="179"/>
        <v>-69.465000000000032</v>
      </c>
      <c r="Y1293" s="179"/>
      <c r="Z1293" s="466">
        <f t="shared" si="180"/>
        <v>306.48924750000003</v>
      </c>
      <c r="AA1293" s="473">
        <f t="shared" si="181"/>
        <v>-72.349247500000047</v>
      </c>
      <c r="AB1293" s="339">
        <f t="shared" si="182"/>
        <v>-0.22880057970059786</v>
      </c>
    </row>
    <row r="1294" spans="2:28" ht="20.100000000000001" customHeight="1">
      <c r="B1294" s="172">
        <v>1427200</v>
      </c>
      <c r="C1294" s="174">
        <v>44503</v>
      </c>
      <c r="D1294" s="181" t="s">
        <v>385</v>
      </c>
      <c r="E1294" s="173" t="s">
        <v>33</v>
      </c>
      <c r="F1294" s="176">
        <v>3946.8650000000002</v>
      </c>
      <c r="G1294" s="175">
        <f t="shared" si="173"/>
        <v>13</v>
      </c>
      <c r="H1294" s="175">
        <f t="shared" si="174"/>
        <v>3946.8650000000002</v>
      </c>
      <c r="I1294" s="177">
        <f>IF(G1294=0,0,IF(E1294="MXN",1/HLOOKUP(YEAR(C1294)+(MONTH(C1294)/100),TC!$5:$37,DAY(C1294)+2,FALSE),VLOOKUP(E1294,Equivalencia!$5:$23,((MAX(Equivalencia!$3:$3)-YEAR(C1294))*14)+MONTH(C1294)+2,FALSE)))</f>
        <v>1</v>
      </c>
      <c r="J1294" s="178">
        <f t="shared" si="175"/>
        <v>3946.8650000000002</v>
      </c>
      <c r="K1294" s="462">
        <f>IF(C1294=0,0,VLOOKUP(YEAR(C1294),INPC!$B$4:$O$29,MONTH(C1294)+1))</f>
        <v>116.884</v>
      </c>
      <c r="L1294" s="462">
        <f>IF(S1294=0,0,VLOOKUP(YEAR(S1294),INPC!$B$4:$O$29,MONTH(S1294)+1))</f>
        <v>118.002</v>
      </c>
      <c r="M1294" s="463">
        <f t="shared" si="176"/>
        <v>1.0095000000000001</v>
      </c>
      <c r="N1294" s="465">
        <f t="shared" si="177"/>
        <v>3984.3602175000005</v>
      </c>
      <c r="O1294" s="179"/>
      <c r="P1294" s="180">
        <v>13</v>
      </c>
      <c r="Q1294" s="173" t="s">
        <v>583</v>
      </c>
      <c r="R1294" s="173" t="s">
        <v>230</v>
      </c>
      <c r="S1294" s="174">
        <v>44586</v>
      </c>
      <c r="T1294" s="173" t="s">
        <v>33</v>
      </c>
      <c r="U1294" s="182">
        <v>3020.01</v>
      </c>
      <c r="V1294" s="177">
        <f>IF(U1294=0,0,IF(T1294="MXN",1/HLOOKUP(YEAR(S1294)+(MONTH(S1294)/100),TC!$5:$37,DAY(S1294)+2,FALSE),VLOOKUP(T1294,Equivalencia!$1:$23,((MAX(Equivalencia!$3:$3)-YEAR(S1294))*14)+MONTH(S1294)+2,FALSE)))</f>
        <v>1</v>
      </c>
      <c r="W1294" s="178">
        <f t="shared" si="178"/>
        <v>3020.01</v>
      </c>
      <c r="X1294" s="481">
        <f t="shared" si="179"/>
        <v>-926.85500000000002</v>
      </c>
      <c r="Y1294" s="179"/>
      <c r="Z1294" s="466">
        <f t="shared" si="180"/>
        <v>3984.3602175000005</v>
      </c>
      <c r="AA1294" s="473">
        <f t="shared" si="181"/>
        <v>-964.35021750000033</v>
      </c>
      <c r="AB1294" s="339">
        <f t="shared" si="182"/>
        <v>-0.23483321572944604</v>
      </c>
    </row>
    <row r="1295" spans="2:28" ht="20.100000000000001" customHeight="1">
      <c r="B1295" s="172">
        <v>1427200</v>
      </c>
      <c r="C1295" s="174">
        <v>44503</v>
      </c>
      <c r="D1295" s="181" t="s">
        <v>385</v>
      </c>
      <c r="E1295" s="173" t="s">
        <v>33</v>
      </c>
      <c r="F1295" s="176">
        <v>607.21</v>
      </c>
      <c r="G1295" s="175">
        <f t="shared" si="173"/>
        <v>2</v>
      </c>
      <c r="H1295" s="175">
        <f t="shared" si="174"/>
        <v>607.21</v>
      </c>
      <c r="I1295" s="177">
        <f>IF(G1295=0,0,IF(E1295="MXN",1/HLOOKUP(YEAR(C1295)+(MONTH(C1295)/100),TC!$5:$37,DAY(C1295)+2,FALSE),VLOOKUP(E1295,Equivalencia!$5:$23,((MAX(Equivalencia!$3:$3)-YEAR(C1295))*14)+MONTH(C1295)+2,FALSE)))</f>
        <v>1</v>
      </c>
      <c r="J1295" s="178">
        <f t="shared" si="175"/>
        <v>607.21</v>
      </c>
      <c r="K1295" s="462">
        <f>IF(C1295=0,0,VLOOKUP(YEAR(C1295),INPC!$B$4:$O$29,MONTH(C1295)+1))</f>
        <v>116.884</v>
      </c>
      <c r="L1295" s="462">
        <f>IF(S1295=0,0,VLOOKUP(YEAR(S1295),INPC!$B$4:$O$29,MONTH(S1295)+1))</f>
        <v>118.002</v>
      </c>
      <c r="M1295" s="463">
        <f t="shared" si="176"/>
        <v>1.0095000000000001</v>
      </c>
      <c r="N1295" s="465">
        <f t="shared" si="177"/>
        <v>612.97849500000007</v>
      </c>
      <c r="O1295" s="179"/>
      <c r="P1295" s="180">
        <v>2</v>
      </c>
      <c r="Q1295" s="173" t="s">
        <v>583</v>
      </c>
      <c r="R1295" s="173" t="s">
        <v>230</v>
      </c>
      <c r="S1295" s="174">
        <v>44586</v>
      </c>
      <c r="T1295" s="173" t="s">
        <v>33</v>
      </c>
      <c r="U1295" s="182">
        <v>468.28</v>
      </c>
      <c r="V1295" s="177">
        <f>IF(U1295=0,0,IF(T1295="MXN",1/HLOOKUP(YEAR(S1295)+(MONTH(S1295)/100),TC!$5:$37,DAY(S1295)+2,FALSE),VLOOKUP(T1295,Equivalencia!$1:$23,((MAX(Equivalencia!$3:$3)-YEAR(S1295))*14)+MONTH(S1295)+2,FALSE)))</f>
        <v>1</v>
      </c>
      <c r="W1295" s="178">
        <f t="shared" si="178"/>
        <v>468.28</v>
      </c>
      <c r="X1295" s="481">
        <f t="shared" si="179"/>
        <v>-138.93000000000006</v>
      </c>
      <c r="Y1295" s="179"/>
      <c r="Z1295" s="466">
        <f t="shared" si="180"/>
        <v>612.97849500000007</v>
      </c>
      <c r="AA1295" s="473">
        <f t="shared" si="181"/>
        <v>-144.69849500000009</v>
      </c>
      <c r="AB1295" s="339">
        <f t="shared" si="182"/>
        <v>-0.22880057970059786</v>
      </c>
    </row>
    <row r="1296" spans="2:28" ht="20.100000000000001" customHeight="1">
      <c r="B1296" s="172">
        <v>1427200</v>
      </c>
      <c r="C1296" s="174">
        <v>44503</v>
      </c>
      <c r="D1296" s="181" t="s">
        <v>385</v>
      </c>
      <c r="E1296" s="173" t="s">
        <v>33</v>
      </c>
      <c r="F1296" s="176">
        <v>1518.0250000000001</v>
      </c>
      <c r="G1296" s="175">
        <f t="shared" si="173"/>
        <v>5</v>
      </c>
      <c r="H1296" s="175">
        <f t="shared" si="174"/>
        <v>1518.0250000000001</v>
      </c>
      <c r="I1296" s="177">
        <f>IF(G1296=0,0,IF(E1296="MXN",1/HLOOKUP(YEAR(C1296)+(MONTH(C1296)/100),TC!$5:$37,DAY(C1296)+2,FALSE),VLOOKUP(E1296,Equivalencia!$5:$23,((MAX(Equivalencia!$3:$3)-YEAR(C1296))*14)+MONTH(C1296)+2,FALSE)))</f>
        <v>1</v>
      </c>
      <c r="J1296" s="178">
        <f t="shared" si="175"/>
        <v>1518.0250000000001</v>
      </c>
      <c r="K1296" s="462">
        <f>IF(C1296=0,0,VLOOKUP(YEAR(C1296),INPC!$B$4:$O$29,MONTH(C1296)+1))</f>
        <v>116.884</v>
      </c>
      <c r="L1296" s="462">
        <f>IF(S1296=0,0,VLOOKUP(YEAR(S1296),INPC!$B$4:$O$29,MONTH(S1296)+1))</f>
        <v>118.002</v>
      </c>
      <c r="M1296" s="463">
        <f t="shared" si="176"/>
        <v>1.0095000000000001</v>
      </c>
      <c r="N1296" s="465">
        <f t="shared" si="177"/>
        <v>1532.4462375000003</v>
      </c>
      <c r="O1296" s="179"/>
      <c r="P1296" s="180">
        <v>5</v>
      </c>
      <c r="Q1296" s="173" t="s">
        <v>583</v>
      </c>
      <c r="R1296" s="173" t="s">
        <v>230</v>
      </c>
      <c r="S1296" s="174">
        <v>44586</v>
      </c>
      <c r="T1296" s="173" t="s">
        <v>33</v>
      </c>
      <c r="U1296" s="182">
        <v>1178.71</v>
      </c>
      <c r="V1296" s="177">
        <f>IF(U1296=0,0,IF(T1296="MXN",1/HLOOKUP(YEAR(S1296)+(MONTH(S1296)/100),TC!$5:$37,DAY(S1296)+2,FALSE),VLOOKUP(T1296,Equivalencia!$1:$23,((MAX(Equivalencia!$3:$3)-YEAR(S1296))*14)+MONTH(S1296)+2,FALSE)))</f>
        <v>1</v>
      </c>
      <c r="W1296" s="178">
        <f t="shared" si="178"/>
        <v>1178.71</v>
      </c>
      <c r="X1296" s="481">
        <f t="shared" si="179"/>
        <v>-339.31500000000005</v>
      </c>
      <c r="Y1296" s="179"/>
      <c r="Z1296" s="466">
        <f t="shared" si="180"/>
        <v>1532.4462375000003</v>
      </c>
      <c r="AA1296" s="473">
        <f t="shared" si="181"/>
        <v>-353.73623750000024</v>
      </c>
      <c r="AB1296" s="339">
        <f t="shared" si="182"/>
        <v>-0.22352398675911134</v>
      </c>
    </row>
    <row r="1297" spans="2:28" ht="20.100000000000001" customHeight="1">
      <c r="B1297" s="172">
        <v>1427200</v>
      </c>
      <c r="C1297" s="174">
        <v>44503</v>
      </c>
      <c r="D1297" s="181" t="s">
        <v>385</v>
      </c>
      <c r="E1297" s="173" t="s">
        <v>33</v>
      </c>
      <c r="F1297" s="176">
        <v>607.21</v>
      </c>
      <c r="G1297" s="175">
        <f t="shared" si="173"/>
        <v>2</v>
      </c>
      <c r="H1297" s="175">
        <f t="shared" si="174"/>
        <v>607.21</v>
      </c>
      <c r="I1297" s="177">
        <f>IF(G1297=0,0,IF(E1297="MXN",1/HLOOKUP(YEAR(C1297)+(MONTH(C1297)/100),TC!$5:$37,DAY(C1297)+2,FALSE),VLOOKUP(E1297,Equivalencia!$5:$23,((MAX(Equivalencia!$3:$3)-YEAR(C1297))*14)+MONTH(C1297)+2,FALSE)))</f>
        <v>1</v>
      </c>
      <c r="J1297" s="178">
        <f t="shared" si="175"/>
        <v>607.21</v>
      </c>
      <c r="K1297" s="462">
        <f>IF(C1297=0,0,VLOOKUP(YEAR(C1297),INPC!$B$4:$O$29,MONTH(C1297)+1))</f>
        <v>116.884</v>
      </c>
      <c r="L1297" s="462">
        <f>IF(S1297=0,0,VLOOKUP(YEAR(S1297),INPC!$B$4:$O$29,MONTH(S1297)+1))</f>
        <v>118.002</v>
      </c>
      <c r="M1297" s="463">
        <f t="shared" si="176"/>
        <v>1.0095000000000001</v>
      </c>
      <c r="N1297" s="465">
        <f t="shared" si="177"/>
        <v>612.97849500000007</v>
      </c>
      <c r="O1297" s="179"/>
      <c r="P1297" s="180">
        <v>2</v>
      </c>
      <c r="Q1297" s="173" t="s">
        <v>583</v>
      </c>
      <c r="R1297" s="173" t="s">
        <v>230</v>
      </c>
      <c r="S1297" s="174">
        <v>44586</v>
      </c>
      <c r="T1297" s="173" t="s">
        <v>33</v>
      </c>
      <c r="U1297" s="182">
        <v>475.33</v>
      </c>
      <c r="V1297" s="177">
        <f>IF(U1297=0,0,IF(T1297="MXN",1/HLOOKUP(YEAR(S1297)+(MONTH(S1297)/100),TC!$5:$37,DAY(S1297)+2,FALSE),VLOOKUP(T1297,Equivalencia!$1:$23,((MAX(Equivalencia!$3:$3)-YEAR(S1297))*14)+MONTH(S1297)+2,FALSE)))</f>
        <v>1</v>
      </c>
      <c r="W1297" s="178">
        <f t="shared" si="178"/>
        <v>475.33</v>
      </c>
      <c r="X1297" s="481">
        <f t="shared" si="179"/>
        <v>-131.88000000000005</v>
      </c>
      <c r="Y1297" s="179"/>
      <c r="Z1297" s="466">
        <f t="shared" si="180"/>
        <v>612.97849500000007</v>
      </c>
      <c r="AA1297" s="473">
        <f t="shared" si="181"/>
        <v>-137.64849500000008</v>
      </c>
      <c r="AB1297" s="339">
        <f t="shared" si="182"/>
        <v>-0.21719009897728969</v>
      </c>
    </row>
    <row r="1298" spans="2:28" ht="20.100000000000001" customHeight="1">
      <c r="B1298" s="172">
        <v>1427200</v>
      </c>
      <c r="C1298" s="174">
        <v>44503</v>
      </c>
      <c r="D1298" s="181" t="s">
        <v>385</v>
      </c>
      <c r="E1298" s="173" t="s">
        <v>33</v>
      </c>
      <c r="F1298" s="176">
        <v>607.21</v>
      </c>
      <c r="G1298" s="175">
        <f t="shared" si="173"/>
        <v>2</v>
      </c>
      <c r="H1298" s="175">
        <f t="shared" si="174"/>
        <v>607.21</v>
      </c>
      <c r="I1298" s="177">
        <f>IF(G1298=0,0,IF(E1298="MXN",1/HLOOKUP(YEAR(C1298)+(MONTH(C1298)/100),TC!$5:$37,DAY(C1298)+2,FALSE),VLOOKUP(E1298,Equivalencia!$5:$23,((MAX(Equivalencia!$3:$3)-YEAR(C1298))*14)+MONTH(C1298)+2,FALSE)))</f>
        <v>1</v>
      </c>
      <c r="J1298" s="178">
        <f t="shared" si="175"/>
        <v>607.21</v>
      </c>
      <c r="K1298" s="462">
        <f>IF(C1298=0,0,VLOOKUP(YEAR(C1298),INPC!$B$4:$O$29,MONTH(C1298)+1))</f>
        <v>116.884</v>
      </c>
      <c r="L1298" s="462">
        <f>IF(S1298=0,0,VLOOKUP(YEAR(S1298),INPC!$B$4:$O$29,MONTH(S1298)+1))</f>
        <v>118.002</v>
      </c>
      <c r="M1298" s="463">
        <f t="shared" si="176"/>
        <v>1.0095000000000001</v>
      </c>
      <c r="N1298" s="465">
        <f t="shared" si="177"/>
        <v>612.97849500000007</v>
      </c>
      <c r="O1298" s="179"/>
      <c r="P1298" s="180">
        <v>2</v>
      </c>
      <c r="Q1298" s="173" t="s">
        <v>583</v>
      </c>
      <c r="R1298" s="173" t="s">
        <v>230</v>
      </c>
      <c r="S1298" s="174">
        <v>44586</v>
      </c>
      <c r="T1298" s="173" t="s">
        <v>33</v>
      </c>
      <c r="U1298" s="182">
        <v>471.49</v>
      </c>
      <c r="V1298" s="177">
        <f>IF(U1298=0,0,IF(T1298="MXN",1/HLOOKUP(YEAR(S1298)+(MONTH(S1298)/100),TC!$5:$37,DAY(S1298)+2,FALSE),VLOOKUP(T1298,Equivalencia!$1:$23,((MAX(Equivalencia!$3:$3)-YEAR(S1298))*14)+MONTH(S1298)+2,FALSE)))</f>
        <v>1</v>
      </c>
      <c r="W1298" s="178">
        <f t="shared" si="178"/>
        <v>471.49</v>
      </c>
      <c r="X1298" s="481">
        <f t="shared" si="179"/>
        <v>-135.72000000000003</v>
      </c>
      <c r="Y1298" s="179"/>
      <c r="Z1298" s="466">
        <f t="shared" si="180"/>
        <v>612.97849500000007</v>
      </c>
      <c r="AA1298" s="473">
        <f t="shared" si="181"/>
        <v>-141.48849500000006</v>
      </c>
      <c r="AB1298" s="339">
        <f t="shared" si="182"/>
        <v>-0.22351410549892137</v>
      </c>
    </row>
    <row r="1299" spans="2:28" ht="20.100000000000001" customHeight="1">
      <c r="B1299" s="172">
        <v>1427200</v>
      </c>
      <c r="C1299" s="174">
        <v>44503</v>
      </c>
      <c r="D1299" s="181" t="s">
        <v>385</v>
      </c>
      <c r="E1299" s="173" t="s">
        <v>33</v>
      </c>
      <c r="F1299" s="176">
        <v>1214.42</v>
      </c>
      <c r="G1299" s="175">
        <f t="shared" si="173"/>
        <v>4</v>
      </c>
      <c r="H1299" s="175">
        <f t="shared" si="174"/>
        <v>1214.42</v>
      </c>
      <c r="I1299" s="177">
        <f>IF(G1299=0,0,IF(E1299="MXN",1/HLOOKUP(YEAR(C1299)+(MONTH(C1299)/100),TC!$5:$37,DAY(C1299)+2,FALSE),VLOOKUP(E1299,Equivalencia!$5:$23,((MAX(Equivalencia!$3:$3)-YEAR(C1299))*14)+MONTH(C1299)+2,FALSE)))</f>
        <v>1</v>
      </c>
      <c r="J1299" s="178">
        <f t="shared" si="175"/>
        <v>1214.42</v>
      </c>
      <c r="K1299" s="462">
        <f>IF(C1299=0,0,VLOOKUP(YEAR(C1299),INPC!$B$4:$O$29,MONTH(C1299)+1))</f>
        <v>116.884</v>
      </c>
      <c r="L1299" s="462">
        <f>IF(S1299=0,0,VLOOKUP(YEAR(S1299),INPC!$B$4:$O$29,MONTH(S1299)+1))</f>
        <v>118.002</v>
      </c>
      <c r="M1299" s="463">
        <f t="shared" si="176"/>
        <v>1.0095000000000001</v>
      </c>
      <c r="N1299" s="465">
        <f t="shared" si="177"/>
        <v>1225.9569900000001</v>
      </c>
      <c r="O1299" s="179"/>
      <c r="P1299" s="180">
        <v>4</v>
      </c>
      <c r="Q1299" s="173" t="s">
        <v>583</v>
      </c>
      <c r="R1299" s="173" t="s">
        <v>230</v>
      </c>
      <c r="S1299" s="174">
        <v>44586</v>
      </c>
      <c r="T1299" s="173" t="s">
        <v>33</v>
      </c>
      <c r="U1299" s="182">
        <v>929.24</v>
      </c>
      <c r="V1299" s="177">
        <f>IF(U1299=0,0,IF(T1299="MXN",1/HLOOKUP(YEAR(S1299)+(MONTH(S1299)/100),TC!$5:$37,DAY(S1299)+2,FALSE),VLOOKUP(T1299,Equivalencia!$1:$23,((MAX(Equivalencia!$3:$3)-YEAR(S1299))*14)+MONTH(S1299)+2,FALSE)))</f>
        <v>1</v>
      </c>
      <c r="W1299" s="178">
        <f t="shared" si="178"/>
        <v>929.24</v>
      </c>
      <c r="X1299" s="481">
        <f t="shared" si="179"/>
        <v>-285.18000000000006</v>
      </c>
      <c r="Y1299" s="179"/>
      <c r="Z1299" s="466">
        <f t="shared" si="180"/>
        <v>1225.9569900000001</v>
      </c>
      <c r="AA1299" s="473">
        <f t="shared" si="181"/>
        <v>-296.71699000000012</v>
      </c>
      <c r="AB1299" s="339">
        <f t="shared" si="182"/>
        <v>-0.2348281484165281</v>
      </c>
    </row>
    <row r="1300" spans="2:28" ht="20.100000000000001" customHeight="1">
      <c r="B1300" s="172">
        <v>1427200</v>
      </c>
      <c r="C1300" s="174">
        <v>44503</v>
      </c>
      <c r="D1300" s="181" t="s">
        <v>385</v>
      </c>
      <c r="E1300" s="173" t="s">
        <v>33</v>
      </c>
      <c r="F1300" s="176">
        <v>1518.0250000000001</v>
      </c>
      <c r="G1300" s="175">
        <f t="shared" si="173"/>
        <v>5</v>
      </c>
      <c r="H1300" s="175">
        <f t="shared" si="174"/>
        <v>1518.0250000000001</v>
      </c>
      <c r="I1300" s="177">
        <f>IF(G1300=0,0,IF(E1300="MXN",1/HLOOKUP(YEAR(C1300)+(MONTH(C1300)/100),TC!$5:$37,DAY(C1300)+2,FALSE),VLOOKUP(E1300,Equivalencia!$5:$23,((MAX(Equivalencia!$3:$3)-YEAR(C1300))*14)+MONTH(C1300)+2,FALSE)))</f>
        <v>1</v>
      </c>
      <c r="J1300" s="178">
        <f t="shared" si="175"/>
        <v>1518.0250000000001</v>
      </c>
      <c r="K1300" s="462">
        <f>IF(C1300=0,0,VLOOKUP(YEAR(C1300),INPC!$B$4:$O$29,MONTH(C1300)+1))</f>
        <v>116.884</v>
      </c>
      <c r="L1300" s="462">
        <f>IF(S1300=0,0,VLOOKUP(YEAR(S1300),INPC!$B$4:$O$29,MONTH(S1300)+1))</f>
        <v>118.002</v>
      </c>
      <c r="M1300" s="463">
        <f t="shared" si="176"/>
        <v>1.0095000000000001</v>
      </c>
      <c r="N1300" s="465">
        <f t="shared" si="177"/>
        <v>1532.4462375000003</v>
      </c>
      <c r="O1300" s="179"/>
      <c r="P1300" s="180">
        <v>5</v>
      </c>
      <c r="Q1300" s="173" t="s">
        <v>583</v>
      </c>
      <c r="R1300" s="173" t="s">
        <v>230</v>
      </c>
      <c r="S1300" s="174">
        <v>44586</v>
      </c>
      <c r="T1300" s="173" t="s">
        <v>33</v>
      </c>
      <c r="U1300" s="182">
        <v>1188.32</v>
      </c>
      <c r="V1300" s="177">
        <f>IF(U1300=0,0,IF(T1300="MXN",1/HLOOKUP(YEAR(S1300)+(MONTH(S1300)/100),TC!$5:$37,DAY(S1300)+2,FALSE),VLOOKUP(T1300,Equivalencia!$1:$23,((MAX(Equivalencia!$3:$3)-YEAR(S1300))*14)+MONTH(S1300)+2,FALSE)))</f>
        <v>1</v>
      </c>
      <c r="W1300" s="178">
        <f t="shared" si="178"/>
        <v>1188.32</v>
      </c>
      <c r="X1300" s="481">
        <f t="shared" si="179"/>
        <v>-329.70500000000015</v>
      </c>
      <c r="Y1300" s="179"/>
      <c r="Z1300" s="466">
        <f t="shared" si="180"/>
        <v>1532.4462375000003</v>
      </c>
      <c r="AA1300" s="473">
        <f t="shared" si="181"/>
        <v>-344.12623750000034</v>
      </c>
      <c r="AB1300" s="339">
        <f t="shared" si="182"/>
        <v>-0.21719339273068639</v>
      </c>
    </row>
    <row r="1301" spans="2:28" ht="20.100000000000001" customHeight="1">
      <c r="B1301" s="172">
        <v>1427200</v>
      </c>
      <c r="C1301" s="174">
        <v>44505</v>
      </c>
      <c r="D1301" s="181" t="s">
        <v>387</v>
      </c>
      <c r="E1301" s="173" t="s">
        <v>33</v>
      </c>
      <c r="F1301" s="176">
        <v>1315.33</v>
      </c>
      <c r="G1301" s="175">
        <f t="shared" si="173"/>
        <v>4</v>
      </c>
      <c r="H1301" s="175">
        <f t="shared" si="174"/>
        <v>1315.33</v>
      </c>
      <c r="I1301" s="177">
        <f>IF(G1301=0,0,IF(E1301="MXN",1/HLOOKUP(YEAR(C1301)+(MONTH(C1301)/100),TC!$5:$37,DAY(C1301)+2,FALSE),VLOOKUP(E1301,Equivalencia!$5:$23,((MAX(Equivalencia!$3:$3)-YEAR(C1301))*14)+MONTH(C1301)+2,FALSE)))</f>
        <v>1</v>
      </c>
      <c r="J1301" s="178">
        <f t="shared" si="175"/>
        <v>1315.33</v>
      </c>
      <c r="K1301" s="462">
        <f>IF(C1301=0,0,VLOOKUP(YEAR(C1301),INPC!$B$4:$O$29,MONTH(C1301)+1))</f>
        <v>116.884</v>
      </c>
      <c r="L1301" s="462">
        <f>IF(S1301=0,0,VLOOKUP(YEAR(S1301),INPC!$B$4:$O$29,MONTH(S1301)+1))</f>
        <v>118.98099999999999</v>
      </c>
      <c r="M1301" s="463">
        <f t="shared" si="176"/>
        <v>1.0179</v>
      </c>
      <c r="N1301" s="465">
        <f t="shared" si="177"/>
        <v>1338.874407</v>
      </c>
      <c r="O1301" s="179"/>
      <c r="P1301" s="180">
        <v>4</v>
      </c>
      <c r="Q1301" s="173" t="s">
        <v>583</v>
      </c>
      <c r="R1301" s="173" t="s">
        <v>230</v>
      </c>
      <c r="S1301" s="174">
        <v>44596</v>
      </c>
      <c r="T1301" s="173" t="s">
        <v>33</v>
      </c>
      <c r="U1301" s="182">
        <v>895.68799999999987</v>
      </c>
      <c r="V1301" s="177">
        <f>IF(U1301=0,0,IF(T1301="MXN",1/HLOOKUP(YEAR(S1301)+(MONTH(S1301)/100),TC!$5:$37,DAY(S1301)+2,FALSE),VLOOKUP(T1301,Equivalencia!$1:$23,((MAX(Equivalencia!$3:$3)-YEAR(S1301))*14)+MONTH(S1301)+2,FALSE)))</f>
        <v>1</v>
      </c>
      <c r="W1301" s="178">
        <f t="shared" si="178"/>
        <v>895.68799999999987</v>
      </c>
      <c r="X1301" s="481">
        <f t="shared" si="179"/>
        <v>-419.64200000000005</v>
      </c>
      <c r="Y1301" s="179"/>
      <c r="Z1301" s="466">
        <f t="shared" si="180"/>
        <v>1338.874407</v>
      </c>
      <c r="AA1301" s="473">
        <f t="shared" si="181"/>
        <v>-443.18640700000014</v>
      </c>
      <c r="AB1301" s="339">
        <f t="shared" si="182"/>
        <v>-0.31903932853352401</v>
      </c>
    </row>
    <row r="1302" spans="2:28" ht="20.100000000000001" customHeight="1">
      <c r="B1302" s="172">
        <v>1427200</v>
      </c>
      <c r="C1302" s="174">
        <v>44505</v>
      </c>
      <c r="D1302" s="181" t="s">
        <v>387</v>
      </c>
      <c r="E1302" s="173" t="s">
        <v>33</v>
      </c>
      <c r="F1302" s="176">
        <v>660.59</v>
      </c>
      <c r="G1302" s="175">
        <f t="shared" si="173"/>
        <v>2</v>
      </c>
      <c r="H1302" s="175">
        <f t="shared" si="174"/>
        <v>660.59</v>
      </c>
      <c r="I1302" s="177">
        <f>IF(G1302=0,0,IF(E1302="MXN",1/HLOOKUP(YEAR(C1302)+(MONTH(C1302)/100),TC!$5:$37,DAY(C1302)+2,FALSE),VLOOKUP(E1302,Equivalencia!$5:$23,((MAX(Equivalencia!$3:$3)-YEAR(C1302))*14)+MONTH(C1302)+2,FALSE)))</f>
        <v>1</v>
      </c>
      <c r="J1302" s="178">
        <f t="shared" si="175"/>
        <v>660.59</v>
      </c>
      <c r="K1302" s="462">
        <f>IF(C1302=0,0,VLOOKUP(YEAR(C1302),INPC!$B$4:$O$29,MONTH(C1302)+1))</f>
        <v>116.884</v>
      </c>
      <c r="L1302" s="462">
        <f>IF(S1302=0,0,VLOOKUP(YEAR(S1302),INPC!$B$4:$O$29,MONTH(S1302)+1))</f>
        <v>118.98099999999999</v>
      </c>
      <c r="M1302" s="463">
        <f t="shared" si="176"/>
        <v>1.0179</v>
      </c>
      <c r="N1302" s="465">
        <f t="shared" si="177"/>
        <v>672.41456100000005</v>
      </c>
      <c r="O1302" s="179"/>
      <c r="P1302" s="180">
        <v>2</v>
      </c>
      <c r="Q1302" s="173" t="s">
        <v>583</v>
      </c>
      <c r="R1302" s="173" t="s">
        <v>230</v>
      </c>
      <c r="S1302" s="174">
        <v>44596</v>
      </c>
      <c r="T1302" s="173" t="s">
        <v>33</v>
      </c>
      <c r="U1302" s="182">
        <v>447.84399999999994</v>
      </c>
      <c r="V1302" s="177">
        <f>IF(U1302=0,0,IF(T1302="MXN",1/HLOOKUP(YEAR(S1302)+(MONTH(S1302)/100),TC!$5:$37,DAY(S1302)+2,FALSE),VLOOKUP(T1302,Equivalencia!$1:$23,((MAX(Equivalencia!$3:$3)-YEAR(S1302))*14)+MONTH(S1302)+2,FALSE)))</f>
        <v>1</v>
      </c>
      <c r="W1302" s="178">
        <f t="shared" si="178"/>
        <v>447.84399999999994</v>
      </c>
      <c r="X1302" s="481">
        <f t="shared" si="179"/>
        <v>-212.74600000000009</v>
      </c>
      <c r="Y1302" s="179"/>
      <c r="Z1302" s="466">
        <f t="shared" si="180"/>
        <v>672.41456100000005</v>
      </c>
      <c r="AA1302" s="473">
        <f t="shared" si="181"/>
        <v>-224.57056100000011</v>
      </c>
      <c r="AB1302" s="339">
        <f t="shared" si="182"/>
        <v>-0.32205452701373027</v>
      </c>
    </row>
    <row r="1303" spans="2:28" ht="20.100000000000001" customHeight="1">
      <c r="B1303" s="172">
        <v>1427200</v>
      </c>
      <c r="C1303" s="174">
        <v>44508</v>
      </c>
      <c r="D1303" s="181" t="s">
        <v>387</v>
      </c>
      <c r="E1303" s="173" t="s">
        <v>33</v>
      </c>
      <c r="F1303" s="176">
        <v>346.08</v>
      </c>
      <c r="G1303" s="175">
        <f t="shared" si="173"/>
        <v>1</v>
      </c>
      <c r="H1303" s="175">
        <f t="shared" si="174"/>
        <v>346.08</v>
      </c>
      <c r="I1303" s="177">
        <f>IF(G1303=0,0,IF(E1303="MXN",1/HLOOKUP(YEAR(C1303)+(MONTH(C1303)/100),TC!$5:$37,DAY(C1303)+2,FALSE),VLOOKUP(E1303,Equivalencia!$5:$23,((MAX(Equivalencia!$3:$3)-YEAR(C1303))*14)+MONTH(C1303)+2,FALSE)))</f>
        <v>1</v>
      </c>
      <c r="J1303" s="178">
        <f t="shared" si="175"/>
        <v>346.08</v>
      </c>
      <c r="K1303" s="462">
        <f>IF(C1303=0,0,VLOOKUP(YEAR(C1303),INPC!$B$4:$O$29,MONTH(C1303)+1))</f>
        <v>116.884</v>
      </c>
      <c r="L1303" s="462">
        <f>IF(S1303=0,0,VLOOKUP(YEAR(S1303),INPC!$B$4:$O$29,MONTH(S1303)+1))</f>
        <v>118.98099999999999</v>
      </c>
      <c r="M1303" s="463">
        <f t="shared" si="176"/>
        <v>1.0179</v>
      </c>
      <c r="N1303" s="465">
        <f t="shared" si="177"/>
        <v>352.274832</v>
      </c>
      <c r="O1303" s="179"/>
      <c r="P1303" s="180">
        <v>1</v>
      </c>
      <c r="Q1303" s="173" t="s">
        <v>583</v>
      </c>
      <c r="R1303" s="173" t="s">
        <v>230</v>
      </c>
      <c r="S1303" s="174">
        <v>44596</v>
      </c>
      <c r="T1303" s="173" t="s">
        <v>33</v>
      </c>
      <c r="U1303" s="182">
        <v>223.92199999999997</v>
      </c>
      <c r="V1303" s="177">
        <f>IF(U1303=0,0,IF(T1303="MXN",1/HLOOKUP(YEAR(S1303)+(MONTH(S1303)/100),TC!$5:$37,DAY(S1303)+2,FALSE),VLOOKUP(T1303,Equivalencia!$1:$23,((MAX(Equivalencia!$3:$3)-YEAR(S1303))*14)+MONTH(S1303)+2,FALSE)))</f>
        <v>1</v>
      </c>
      <c r="W1303" s="178">
        <f t="shared" si="178"/>
        <v>223.92199999999997</v>
      </c>
      <c r="X1303" s="481">
        <f t="shared" si="179"/>
        <v>-122.15800000000002</v>
      </c>
      <c r="Y1303" s="179"/>
      <c r="Z1303" s="466">
        <f t="shared" si="180"/>
        <v>352.274832</v>
      </c>
      <c r="AA1303" s="473">
        <f t="shared" si="181"/>
        <v>-128.35283200000003</v>
      </c>
      <c r="AB1303" s="339">
        <f t="shared" si="182"/>
        <v>-0.35297619047619055</v>
      </c>
    </row>
    <row r="1304" spans="2:28" ht="20.100000000000001" customHeight="1">
      <c r="B1304" s="172">
        <v>1427200</v>
      </c>
      <c r="C1304" s="174">
        <v>44508</v>
      </c>
      <c r="D1304" s="181" t="s">
        <v>387</v>
      </c>
      <c r="E1304" s="173" t="s">
        <v>33</v>
      </c>
      <c r="F1304" s="176">
        <v>1037.4675</v>
      </c>
      <c r="G1304" s="175">
        <f t="shared" si="173"/>
        <v>3</v>
      </c>
      <c r="H1304" s="175">
        <f t="shared" si="174"/>
        <v>1037.4675</v>
      </c>
      <c r="I1304" s="177">
        <f>IF(G1304=0,0,IF(E1304="MXN",1/HLOOKUP(YEAR(C1304)+(MONTH(C1304)/100),TC!$5:$37,DAY(C1304)+2,FALSE),VLOOKUP(E1304,Equivalencia!$5:$23,((MAX(Equivalencia!$3:$3)-YEAR(C1304))*14)+MONTH(C1304)+2,FALSE)))</f>
        <v>1</v>
      </c>
      <c r="J1304" s="178">
        <f t="shared" si="175"/>
        <v>1037.4675</v>
      </c>
      <c r="K1304" s="462">
        <f>IF(C1304=0,0,VLOOKUP(YEAR(C1304),INPC!$B$4:$O$29,MONTH(C1304)+1))</f>
        <v>116.884</v>
      </c>
      <c r="L1304" s="462">
        <f>IF(S1304=0,0,VLOOKUP(YEAR(S1304),INPC!$B$4:$O$29,MONTH(S1304)+1))</f>
        <v>118.98099999999999</v>
      </c>
      <c r="M1304" s="463">
        <f t="shared" si="176"/>
        <v>1.0179</v>
      </c>
      <c r="N1304" s="465">
        <f t="shared" si="177"/>
        <v>1056.0381682499999</v>
      </c>
      <c r="O1304" s="179"/>
      <c r="P1304" s="180">
        <v>3</v>
      </c>
      <c r="Q1304" s="173" t="s">
        <v>583</v>
      </c>
      <c r="R1304" s="173" t="s">
        <v>230</v>
      </c>
      <c r="S1304" s="174">
        <v>44596</v>
      </c>
      <c r="T1304" s="173" t="s">
        <v>33</v>
      </c>
      <c r="U1304" s="182">
        <v>671.76599999999985</v>
      </c>
      <c r="V1304" s="177">
        <f>IF(U1304=0,0,IF(T1304="MXN",1/HLOOKUP(YEAR(S1304)+(MONTH(S1304)/100),TC!$5:$37,DAY(S1304)+2,FALSE),VLOOKUP(T1304,Equivalencia!$1:$23,((MAX(Equivalencia!$3:$3)-YEAR(S1304))*14)+MONTH(S1304)+2,FALSE)))</f>
        <v>1</v>
      </c>
      <c r="W1304" s="178">
        <f t="shared" si="178"/>
        <v>671.76599999999985</v>
      </c>
      <c r="X1304" s="481">
        <f t="shared" si="179"/>
        <v>-365.70150000000012</v>
      </c>
      <c r="Y1304" s="179"/>
      <c r="Z1304" s="466">
        <f t="shared" si="180"/>
        <v>1056.0381682499999</v>
      </c>
      <c r="AA1304" s="473">
        <f t="shared" si="181"/>
        <v>-384.27216825000005</v>
      </c>
      <c r="AB1304" s="339">
        <f t="shared" si="182"/>
        <v>-0.35249441548771421</v>
      </c>
    </row>
    <row r="1305" spans="2:28" ht="20.100000000000001" customHeight="1">
      <c r="B1305" s="172">
        <v>1427200</v>
      </c>
      <c r="C1305" s="174">
        <v>44508</v>
      </c>
      <c r="D1305" s="181" t="s">
        <v>387</v>
      </c>
      <c r="E1305" s="173" t="s">
        <v>33</v>
      </c>
      <c r="F1305" s="176">
        <v>345.82249999999999</v>
      </c>
      <c r="G1305" s="175">
        <f t="shared" si="173"/>
        <v>1</v>
      </c>
      <c r="H1305" s="175">
        <f t="shared" si="174"/>
        <v>345.82249999999999</v>
      </c>
      <c r="I1305" s="177">
        <f>IF(G1305=0,0,IF(E1305="MXN",1/HLOOKUP(YEAR(C1305)+(MONTH(C1305)/100),TC!$5:$37,DAY(C1305)+2,FALSE),VLOOKUP(E1305,Equivalencia!$5:$23,((MAX(Equivalencia!$3:$3)-YEAR(C1305))*14)+MONTH(C1305)+2,FALSE)))</f>
        <v>1</v>
      </c>
      <c r="J1305" s="178">
        <f t="shared" si="175"/>
        <v>345.82249999999999</v>
      </c>
      <c r="K1305" s="462">
        <f>IF(C1305=0,0,VLOOKUP(YEAR(C1305),INPC!$B$4:$O$29,MONTH(C1305)+1))</f>
        <v>116.884</v>
      </c>
      <c r="L1305" s="462">
        <f>IF(S1305=0,0,VLOOKUP(YEAR(S1305),INPC!$B$4:$O$29,MONTH(S1305)+1))</f>
        <v>118.98099999999999</v>
      </c>
      <c r="M1305" s="463">
        <f t="shared" si="176"/>
        <v>1.0179</v>
      </c>
      <c r="N1305" s="465">
        <f t="shared" si="177"/>
        <v>352.01272275000002</v>
      </c>
      <c r="O1305" s="179"/>
      <c r="P1305" s="180">
        <v>1</v>
      </c>
      <c r="Q1305" s="173" t="s">
        <v>583</v>
      </c>
      <c r="R1305" s="173" t="s">
        <v>230</v>
      </c>
      <c r="S1305" s="174">
        <v>44607</v>
      </c>
      <c r="T1305" s="173" t="s">
        <v>33</v>
      </c>
      <c r="U1305" s="182">
        <v>249.24</v>
      </c>
      <c r="V1305" s="177">
        <f>IF(U1305=0,0,IF(T1305="MXN",1/HLOOKUP(YEAR(S1305)+(MONTH(S1305)/100),TC!$5:$37,DAY(S1305)+2,FALSE),VLOOKUP(T1305,Equivalencia!$1:$23,((MAX(Equivalencia!$3:$3)-YEAR(S1305))*14)+MONTH(S1305)+2,FALSE)))</f>
        <v>1</v>
      </c>
      <c r="W1305" s="178">
        <f t="shared" si="178"/>
        <v>249.24</v>
      </c>
      <c r="X1305" s="481">
        <f t="shared" si="179"/>
        <v>-96.582499999999982</v>
      </c>
      <c r="Y1305" s="179"/>
      <c r="Z1305" s="466">
        <f t="shared" si="180"/>
        <v>352.01272275000002</v>
      </c>
      <c r="AA1305" s="473">
        <f t="shared" si="181"/>
        <v>-102.77272275000001</v>
      </c>
      <c r="AB1305" s="339">
        <f t="shared" si="182"/>
        <v>-0.27928344743329303</v>
      </c>
    </row>
    <row r="1306" spans="2:28" ht="20.100000000000001" customHeight="1">
      <c r="B1306" s="172">
        <v>1427200</v>
      </c>
      <c r="C1306" s="174">
        <v>44510</v>
      </c>
      <c r="D1306" s="181" t="s">
        <v>387</v>
      </c>
      <c r="E1306" s="173" t="s">
        <v>33</v>
      </c>
      <c r="F1306" s="176">
        <v>998.87999999999988</v>
      </c>
      <c r="G1306" s="175">
        <f t="shared" si="173"/>
        <v>3</v>
      </c>
      <c r="H1306" s="175">
        <f t="shared" si="174"/>
        <v>998.87999999999988</v>
      </c>
      <c r="I1306" s="177">
        <f>IF(G1306=0,0,IF(E1306="MXN",1/HLOOKUP(YEAR(C1306)+(MONTH(C1306)/100),TC!$5:$37,DAY(C1306)+2,FALSE),VLOOKUP(E1306,Equivalencia!$5:$23,((MAX(Equivalencia!$3:$3)-YEAR(C1306))*14)+MONTH(C1306)+2,FALSE)))</f>
        <v>1</v>
      </c>
      <c r="J1306" s="178">
        <f t="shared" si="175"/>
        <v>998.87999999999988</v>
      </c>
      <c r="K1306" s="462">
        <f>IF(C1306=0,0,VLOOKUP(YEAR(C1306),INPC!$B$4:$O$29,MONTH(C1306)+1))</f>
        <v>116.884</v>
      </c>
      <c r="L1306" s="462">
        <f>IF(S1306=0,0,VLOOKUP(YEAR(S1306),INPC!$B$4:$O$29,MONTH(S1306)+1))</f>
        <v>118.98099999999999</v>
      </c>
      <c r="M1306" s="463">
        <f t="shared" si="176"/>
        <v>1.0179</v>
      </c>
      <c r="N1306" s="465">
        <f t="shared" si="177"/>
        <v>1016.7599519999999</v>
      </c>
      <c r="O1306" s="179"/>
      <c r="P1306" s="180">
        <v>3</v>
      </c>
      <c r="Q1306" s="173" t="s">
        <v>583</v>
      </c>
      <c r="R1306" s="173" t="s">
        <v>230</v>
      </c>
      <c r="S1306" s="174">
        <v>44607</v>
      </c>
      <c r="T1306" s="173" t="s">
        <v>33</v>
      </c>
      <c r="U1306" s="182">
        <v>747.72</v>
      </c>
      <c r="V1306" s="177">
        <f>IF(U1306=0,0,IF(T1306="MXN",1/HLOOKUP(YEAR(S1306)+(MONTH(S1306)/100),TC!$5:$37,DAY(S1306)+2,FALSE),VLOOKUP(T1306,Equivalencia!$1:$23,((MAX(Equivalencia!$3:$3)-YEAR(S1306))*14)+MONTH(S1306)+2,FALSE)))</f>
        <v>1</v>
      </c>
      <c r="W1306" s="178">
        <f t="shared" si="178"/>
        <v>747.72</v>
      </c>
      <c r="X1306" s="481">
        <f t="shared" si="179"/>
        <v>-251.15999999999985</v>
      </c>
      <c r="Y1306" s="179"/>
      <c r="Z1306" s="466">
        <f t="shared" si="180"/>
        <v>1016.7599519999999</v>
      </c>
      <c r="AA1306" s="473">
        <f t="shared" si="181"/>
        <v>-269.03995199999986</v>
      </c>
      <c r="AB1306" s="339">
        <f t="shared" si="182"/>
        <v>-0.25144161460836123</v>
      </c>
    </row>
    <row r="1307" spans="2:28" ht="20.100000000000001" customHeight="1">
      <c r="B1307" s="172">
        <v>1427200</v>
      </c>
      <c r="C1307" s="174">
        <v>44537</v>
      </c>
      <c r="D1307" s="181" t="s">
        <v>387</v>
      </c>
      <c r="E1307" s="173" t="s">
        <v>33</v>
      </c>
      <c r="F1307" s="176">
        <v>252.44499999999999</v>
      </c>
      <c r="G1307" s="175">
        <f t="shared" si="173"/>
        <v>1</v>
      </c>
      <c r="H1307" s="175">
        <f t="shared" si="174"/>
        <v>252.44499999999999</v>
      </c>
      <c r="I1307" s="177">
        <f>IF(G1307=0,0,IF(E1307="MXN",1/HLOOKUP(YEAR(C1307)+(MONTH(C1307)/100),TC!$5:$37,DAY(C1307)+2,FALSE),VLOOKUP(E1307,Equivalencia!$5:$23,((MAX(Equivalencia!$3:$3)-YEAR(C1307))*14)+MONTH(C1307)+2,FALSE)))</f>
        <v>1</v>
      </c>
      <c r="J1307" s="178">
        <f t="shared" si="175"/>
        <v>252.44499999999999</v>
      </c>
      <c r="K1307" s="462">
        <f>IF(C1307=0,0,VLOOKUP(YEAR(C1307),INPC!$B$4:$O$29,MONTH(C1307)+1))</f>
        <v>117.30800000000001</v>
      </c>
      <c r="L1307" s="462">
        <f>IF(S1307=0,0,VLOOKUP(YEAR(S1307),INPC!$B$4:$O$29,MONTH(S1307)+1))</f>
        <v>118.98099999999999</v>
      </c>
      <c r="M1307" s="463">
        <f t="shared" si="176"/>
        <v>1.0142</v>
      </c>
      <c r="N1307" s="465">
        <f t="shared" si="177"/>
        <v>256.029719</v>
      </c>
      <c r="O1307" s="179"/>
      <c r="P1307" s="180">
        <v>1</v>
      </c>
      <c r="Q1307" s="173" t="s">
        <v>583</v>
      </c>
      <c r="R1307" s="173" t="s">
        <v>230</v>
      </c>
      <c r="S1307" s="174">
        <v>44607</v>
      </c>
      <c r="T1307" s="173" t="s">
        <v>33</v>
      </c>
      <c r="U1307" s="182">
        <v>249.24</v>
      </c>
      <c r="V1307" s="177">
        <f>IF(U1307=0,0,IF(T1307="MXN",1/HLOOKUP(YEAR(S1307)+(MONTH(S1307)/100),TC!$5:$37,DAY(S1307)+2,FALSE),VLOOKUP(T1307,Equivalencia!$1:$23,((MAX(Equivalencia!$3:$3)-YEAR(S1307))*14)+MONTH(S1307)+2,FALSE)))</f>
        <v>1</v>
      </c>
      <c r="W1307" s="178">
        <f t="shared" si="178"/>
        <v>249.24</v>
      </c>
      <c r="X1307" s="481">
        <f t="shared" si="179"/>
        <v>-3.2049999999999841</v>
      </c>
      <c r="Y1307" s="179"/>
      <c r="Z1307" s="466">
        <f t="shared" si="180"/>
        <v>256.029719</v>
      </c>
      <c r="AA1307" s="473">
        <f t="shared" si="181"/>
        <v>-6.789718999999991</v>
      </c>
      <c r="AB1307" s="339">
        <f t="shared" si="182"/>
        <v>-1.269583473627911E-2</v>
      </c>
    </row>
    <row r="1308" spans="2:28" ht="20.100000000000001" customHeight="1">
      <c r="B1308" s="172">
        <v>1427200</v>
      </c>
      <c r="C1308" s="174">
        <v>44537</v>
      </c>
      <c r="D1308" s="181" t="s">
        <v>387</v>
      </c>
      <c r="E1308" s="173" t="s">
        <v>33</v>
      </c>
      <c r="F1308" s="176">
        <v>757.33500000000004</v>
      </c>
      <c r="G1308" s="175">
        <f t="shared" si="173"/>
        <v>3</v>
      </c>
      <c r="H1308" s="175">
        <f t="shared" si="174"/>
        <v>757.33500000000004</v>
      </c>
      <c r="I1308" s="177">
        <f>IF(G1308=0,0,IF(E1308="MXN",1/HLOOKUP(YEAR(C1308)+(MONTH(C1308)/100),TC!$5:$37,DAY(C1308)+2,FALSE),VLOOKUP(E1308,Equivalencia!$5:$23,((MAX(Equivalencia!$3:$3)-YEAR(C1308))*14)+MONTH(C1308)+2,FALSE)))</f>
        <v>1</v>
      </c>
      <c r="J1308" s="178">
        <f t="shared" si="175"/>
        <v>757.33500000000004</v>
      </c>
      <c r="K1308" s="462">
        <f>IF(C1308=0,0,VLOOKUP(YEAR(C1308),INPC!$B$4:$O$29,MONTH(C1308)+1))</f>
        <v>117.30800000000001</v>
      </c>
      <c r="L1308" s="462">
        <f>IF(S1308=0,0,VLOOKUP(YEAR(S1308),INPC!$B$4:$O$29,MONTH(S1308)+1))</f>
        <v>118.98099999999999</v>
      </c>
      <c r="M1308" s="463">
        <f t="shared" si="176"/>
        <v>1.0142</v>
      </c>
      <c r="N1308" s="465">
        <f t="shared" si="177"/>
        <v>768.089157</v>
      </c>
      <c r="O1308" s="179"/>
      <c r="P1308" s="180">
        <v>3</v>
      </c>
      <c r="Q1308" s="173" t="s">
        <v>583</v>
      </c>
      <c r="R1308" s="173" t="s">
        <v>230</v>
      </c>
      <c r="S1308" s="174">
        <v>44610</v>
      </c>
      <c r="T1308" s="173" t="s">
        <v>33</v>
      </c>
      <c r="U1308" s="182">
        <v>677.73</v>
      </c>
      <c r="V1308" s="177">
        <f>IF(U1308=0,0,IF(T1308="MXN",1/HLOOKUP(YEAR(S1308)+(MONTH(S1308)/100),TC!$5:$37,DAY(S1308)+2,FALSE),VLOOKUP(T1308,Equivalencia!$1:$23,((MAX(Equivalencia!$3:$3)-YEAR(S1308))*14)+MONTH(S1308)+2,FALSE)))</f>
        <v>1</v>
      </c>
      <c r="W1308" s="178">
        <f t="shared" si="178"/>
        <v>677.73</v>
      </c>
      <c r="X1308" s="481">
        <f t="shared" si="179"/>
        <v>-79.605000000000018</v>
      </c>
      <c r="Y1308" s="179"/>
      <c r="Z1308" s="466">
        <f t="shared" si="180"/>
        <v>768.089157</v>
      </c>
      <c r="AA1308" s="473">
        <f t="shared" si="181"/>
        <v>-90.359156999999982</v>
      </c>
      <c r="AB1308" s="339">
        <f t="shared" si="182"/>
        <v>-0.10511200459506032</v>
      </c>
    </row>
    <row r="1309" spans="2:28" ht="20.100000000000001" customHeight="1">
      <c r="B1309" s="172">
        <v>1427200</v>
      </c>
      <c r="C1309" s="174">
        <v>44544</v>
      </c>
      <c r="D1309" s="181" t="s">
        <v>387</v>
      </c>
      <c r="E1309" s="173" t="s">
        <v>33</v>
      </c>
      <c r="F1309" s="176">
        <v>471.32666666666665</v>
      </c>
      <c r="G1309" s="175">
        <f t="shared" si="173"/>
        <v>2</v>
      </c>
      <c r="H1309" s="175">
        <f t="shared" si="174"/>
        <v>471.32666666666665</v>
      </c>
      <c r="I1309" s="177">
        <f>IF(G1309=0,0,IF(E1309="MXN",1/HLOOKUP(YEAR(C1309)+(MONTH(C1309)/100),TC!$5:$37,DAY(C1309)+2,FALSE),VLOOKUP(E1309,Equivalencia!$5:$23,((MAX(Equivalencia!$3:$3)-YEAR(C1309))*14)+MONTH(C1309)+2,FALSE)))</f>
        <v>1</v>
      </c>
      <c r="J1309" s="178">
        <f t="shared" si="175"/>
        <v>471.32666666666665</v>
      </c>
      <c r="K1309" s="462">
        <f>IF(C1309=0,0,VLOOKUP(YEAR(C1309),INPC!$B$4:$O$29,MONTH(C1309)+1))</f>
        <v>117.30800000000001</v>
      </c>
      <c r="L1309" s="462">
        <f>IF(S1309=0,0,VLOOKUP(YEAR(S1309),INPC!$B$4:$O$29,MONTH(S1309)+1))</f>
        <v>118.98099999999999</v>
      </c>
      <c r="M1309" s="463">
        <f t="shared" si="176"/>
        <v>1.0142</v>
      </c>
      <c r="N1309" s="465">
        <f t="shared" si="177"/>
        <v>478.01950533333331</v>
      </c>
      <c r="O1309" s="179"/>
      <c r="P1309" s="180">
        <v>2</v>
      </c>
      <c r="Q1309" s="173" t="s">
        <v>583</v>
      </c>
      <c r="R1309" s="173" t="s">
        <v>230</v>
      </c>
      <c r="S1309" s="174">
        <v>44610</v>
      </c>
      <c r="T1309" s="173" t="s">
        <v>33</v>
      </c>
      <c r="U1309" s="182">
        <v>451.82</v>
      </c>
      <c r="V1309" s="177">
        <f>IF(U1309=0,0,IF(T1309="MXN",1/HLOOKUP(YEAR(S1309)+(MONTH(S1309)/100),TC!$5:$37,DAY(S1309)+2,FALSE),VLOOKUP(T1309,Equivalencia!$1:$23,((MAX(Equivalencia!$3:$3)-YEAR(S1309))*14)+MONTH(S1309)+2,FALSE)))</f>
        <v>1</v>
      </c>
      <c r="W1309" s="178">
        <f t="shared" si="178"/>
        <v>451.82</v>
      </c>
      <c r="X1309" s="481">
        <f t="shared" si="179"/>
        <v>-19.506666666666661</v>
      </c>
      <c r="Y1309" s="179"/>
      <c r="Z1309" s="466">
        <f t="shared" si="180"/>
        <v>478.01950533333331</v>
      </c>
      <c r="AA1309" s="473">
        <f t="shared" si="181"/>
        <v>-26.19950533333332</v>
      </c>
      <c r="AB1309" s="339">
        <f t="shared" si="182"/>
        <v>-4.1386723998924957E-2</v>
      </c>
    </row>
    <row r="1310" spans="2:28" ht="20.100000000000001" customHeight="1">
      <c r="B1310" s="172">
        <v>1427200</v>
      </c>
      <c r="C1310" s="174">
        <v>44544</v>
      </c>
      <c r="D1310" s="181" t="s">
        <v>387</v>
      </c>
      <c r="E1310" s="173" t="s">
        <v>33</v>
      </c>
      <c r="F1310" s="176">
        <v>235.66333333333333</v>
      </c>
      <c r="G1310" s="175">
        <f t="shared" si="173"/>
        <v>1</v>
      </c>
      <c r="H1310" s="175">
        <f t="shared" si="174"/>
        <v>235.66333333333333</v>
      </c>
      <c r="I1310" s="177">
        <f>IF(G1310=0,0,IF(E1310="MXN",1/HLOOKUP(YEAR(C1310)+(MONTH(C1310)/100),TC!$5:$37,DAY(C1310)+2,FALSE),VLOOKUP(E1310,Equivalencia!$5:$23,((MAX(Equivalencia!$3:$3)-YEAR(C1310))*14)+MONTH(C1310)+2,FALSE)))</f>
        <v>1</v>
      </c>
      <c r="J1310" s="178">
        <f t="shared" si="175"/>
        <v>235.66333333333333</v>
      </c>
      <c r="K1310" s="462">
        <f>IF(C1310=0,0,VLOOKUP(YEAR(C1310),INPC!$B$4:$O$29,MONTH(C1310)+1))</f>
        <v>117.30800000000001</v>
      </c>
      <c r="L1310" s="462">
        <f>IF(S1310=0,0,VLOOKUP(YEAR(S1310),INPC!$B$4:$O$29,MONTH(S1310)+1))</f>
        <v>120.15900000000001</v>
      </c>
      <c r="M1310" s="463">
        <f t="shared" si="176"/>
        <v>1.0243</v>
      </c>
      <c r="N1310" s="465">
        <f t="shared" si="177"/>
        <v>241.38995233333333</v>
      </c>
      <c r="O1310" s="179"/>
      <c r="P1310" s="180">
        <v>1</v>
      </c>
      <c r="Q1310" s="173" t="s">
        <v>583</v>
      </c>
      <c r="R1310" s="173" t="s">
        <v>230</v>
      </c>
      <c r="S1310" s="174">
        <v>44627</v>
      </c>
      <c r="T1310" s="173" t="s">
        <v>33</v>
      </c>
      <c r="U1310" s="182">
        <v>187.66</v>
      </c>
      <c r="V1310" s="177">
        <f>IF(U1310=0,0,IF(T1310="MXN",1/HLOOKUP(YEAR(S1310)+(MONTH(S1310)/100),TC!$5:$37,DAY(S1310)+2,FALSE),VLOOKUP(T1310,Equivalencia!$1:$23,((MAX(Equivalencia!$3:$3)-YEAR(S1310))*14)+MONTH(S1310)+2,FALSE)))</f>
        <v>1</v>
      </c>
      <c r="W1310" s="178">
        <f t="shared" si="178"/>
        <v>187.66</v>
      </c>
      <c r="X1310" s="481">
        <f t="shared" si="179"/>
        <v>-48.00333333333333</v>
      </c>
      <c r="Y1310" s="179"/>
      <c r="Z1310" s="466">
        <f t="shared" si="180"/>
        <v>241.38995233333333</v>
      </c>
      <c r="AA1310" s="473">
        <f t="shared" si="181"/>
        <v>-53.72995233333333</v>
      </c>
      <c r="AB1310" s="339">
        <f t="shared" si="182"/>
        <v>-0.20369453599060805</v>
      </c>
    </row>
    <row r="1311" spans="2:28" ht="20.100000000000001" customHeight="1">
      <c r="B1311" s="172">
        <v>1427200</v>
      </c>
      <c r="C1311" s="174">
        <v>44550</v>
      </c>
      <c r="D1311" s="181" t="s">
        <v>387</v>
      </c>
      <c r="E1311" s="173" t="s">
        <v>33</v>
      </c>
      <c r="F1311" s="176">
        <v>480.87333333333328</v>
      </c>
      <c r="G1311" s="175">
        <f t="shared" si="173"/>
        <v>2</v>
      </c>
      <c r="H1311" s="175">
        <f t="shared" si="174"/>
        <v>480.87333333333328</v>
      </c>
      <c r="I1311" s="177">
        <f>IF(G1311=0,0,IF(E1311="MXN",1/HLOOKUP(YEAR(C1311)+(MONTH(C1311)/100),TC!$5:$37,DAY(C1311)+2,FALSE),VLOOKUP(E1311,Equivalencia!$5:$23,((MAX(Equivalencia!$3:$3)-YEAR(C1311))*14)+MONTH(C1311)+2,FALSE)))</f>
        <v>1</v>
      </c>
      <c r="J1311" s="178">
        <f t="shared" si="175"/>
        <v>480.87333333333328</v>
      </c>
      <c r="K1311" s="462">
        <f>IF(C1311=0,0,VLOOKUP(YEAR(C1311),INPC!$B$4:$O$29,MONTH(C1311)+1))</f>
        <v>117.30800000000001</v>
      </c>
      <c r="L1311" s="462">
        <f>IF(S1311=0,0,VLOOKUP(YEAR(S1311),INPC!$B$4:$O$29,MONTH(S1311)+1))</f>
        <v>120.15900000000001</v>
      </c>
      <c r="M1311" s="463">
        <f t="shared" si="176"/>
        <v>1.0243</v>
      </c>
      <c r="N1311" s="465">
        <f t="shared" si="177"/>
        <v>492.55855533333329</v>
      </c>
      <c r="O1311" s="179"/>
      <c r="P1311" s="180">
        <v>2</v>
      </c>
      <c r="Q1311" s="173" t="s">
        <v>583</v>
      </c>
      <c r="R1311" s="173" t="s">
        <v>230</v>
      </c>
      <c r="S1311" s="174">
        <v>44627</v>
      </c>
      <c r="T1311" s="173" t="s">
        <v>33</v>
      </c>
      <c r="U1311" s="182">
        <v>372.99</v>
      </c>
      <c r="V1311" s="177">
        <f>IF(U1311=0,0,IF(T1311="MXN",1/HLOOKUP(YEAR(S1311)+(MONTH(S1311)/100),TC!$5:$37,DAY(S1311)+2,FALSE),VLOOKUP(T1311,Equivalencia!$1:$23,((MAX(Equivalencia!$3:$3)-YEAR(S1311))*14)+MONTH(S1311)+2,FALSE)))</f>
        <v>1</v>
      </c>
      <c r="W1311" s="178">
        <f t="shared" si="178"/>
        <v>372.99</v>
      </c>
      <c r="X1311" s="481">
        <f t="shared" si="179"/>
        <v>-107.88333333333327</v>
      </c>
      <c r="Y1311" s="179"/>
      <c r="Z1311" s="466">
        <f t="shared" si="180"/>
        <v>492.55855533333329</v>
      </c>
      <c r="AA1311" s="473">
        <f t="shared" si="181"/>
        <v>-119.56855533333328</v>
      </c>
      <c r="AB1311" s="339">
        <f t="shared" si="182"/>
        <v>-0.22434875434972468</v>
      </c>
    </row>
    <row r="1312" spans="2:28" ht="20.100000000000001" customHeight="1">
      <c r="B1312" s="172">
        <v>1427200</v>
      </c>
      <c r="C1312" s="174">
        <v>44550</v>
      </c>
      <c r="D1312" s="181" t="s">
        <v>387</v>
      </c>
      <c r="E1312" s="173" t="s">
        <v>33</v>
      </c>
      <c r="F1312" s="176">
        <v>240.43666666666664</v>
      </c>
      <c r="G1312" s="175">
        <f t="shared" si="173"/>
        <v>1</v>
      </c>
      <c r="H1312" s="175">
        <f t="shared" si="174"/>
        <v>240.43666666666664</v>
      </c>
      <c r="I1312" s="177">
        <f>IF(G1312=0,0,IF(E1312="MXN",1/HLOOKUP(YEAR(C1312)+(MONTH(C1312)/100),TC!$5:$37,DAY(C1312)+2,FALSE),VLOOKUP(E1312,Equivalencia!$5:$23,((MAX(Equivalencia!$3:$3)-YEAR(C1312))*14)+MONTH(C1312)+2,FALSE)))</f>
        <v>1</v>
      </c>
      <c r="J1312" s="178">
        <f t="shared" si="175"/>
        <v>240.43666666666664</v>
      </c>
      <c r="K1312" s="462">
        <f>IF(C1312=0,0,VLOOKUP(YEAR(C1312),INPC!$B$4:$O$29,MONTH(C1312)+1))</f>
        <v>117.30800000000001</v>
      </c>
      <c r="L1312" s="462">
        <f>IF(S1312=0,0,VLOOKUP(YEAR(S1312),INPC!$B$4:$O$29,MONTH(S1312)+1))</f>
        <v>120.15900000000001</v>
      </c>
      <c r="M1312" s="463">
        <f t="shared" si="176"/>
        <v>1.0243</v>
      </c>
      <c r="N1312" s="465">
        <f t="shared" si="177"/>
        <v>246.27927766666664</v>
      </c>
      <c r="O1312" s="179"/>
      <c r="P1312" s="180">
        <v>1</v>
      </c>
      <c r="Q1312" s="173" t="s">
        <v>583</v>
      </c>
      <c r="R1312" s="173" t="s">
        <v>230</v>
      </c>
      <c r="S1312" s="174">
        <v>44627</v>
      </c>
      <c r="T1312" s="173" t="s">
        <v>33</v>
      </c>
      <c r="U1312" s="182">
        <v>186.49666666666667</v>
      </c>
      <c r="V1312" s="177">
        <f>IF(U1312=0,0,IF(T1312="MXN",1/HLOOKUP(YEAR(S1312)+(MONTH(S1312)/100),TC!$5:$37,DAY(S1312)+2,FALSE),VLOOKUP(T1312,Equivalencia!$1:$23,((MAX(Equivalencia!$3:$3)-YEAR(S1312))*14)+MONTH(S1312)+2,FALSE)))</f>
        <v>1</v>
      </c>
      <c r="W1312" s="178">
        <f t="shared" si="178"/>
        <v>186.49666666666667</v>
      </c>
      <c r="X1312" s="481">
        <f t="shared" si="179"/>
        <v>-53.939999999999969</v>
      </c>
      <c r="Y1312" s="179"/>
      <c r="Z1312" s="466">
        <f t="shared" si="180"/>
        <v>246.27927766666664</v>
      </c>
      <c r="AA1312" s="473">
        <f t="shared" si="181"/>
        <v>-59.782610999999974</v>
      </c>
      <c r="AB1312" s="339">
        <f t="shared" si="182"/>
        <v>-0.22434182251736412</v>
      </c>
    </row>
    <row r="1313" spans="2:28" ht="20.100000000000001" customHeight="1">
      <c r="B1313" s="172">
        <v>1427200</v>
      </c>
      <c r="C1313" s="174">
        <v>44565</v>
      </c>
      <c r="D1313" s="181" t="s">
        <v>387</v>
      </c>
      <c r="E1313" s="173" t="s">
        <v>33</v>
      </c>
      <c r="F1313" s="176">
        <v>414.68</v>
      </c>
      <c r="G1313" s="175">
        <f t="shared" si="173"/>
        <v>2</v>
      </c>
      <c r="H1313" s="175">
        <f t="shared" si="174"/>
        <v>414.68</v>
      </c>
      <c r="I1313" s="177">
        <f>IF(G1313=0,0,IF(E1313="MXN",1/HLOOKUP(YEAR(C1313)+(MONTH(C1313)/100),TC!$5:$37,DAY(C1313)+2,FALSE),VLOOKUP(E1313,Equivalencia!$5:$23,((MAX(Equivalencia!$3:$3)-YEAR(C1313))*14)+MONTH(C1313)+2,FALSE)))</f>
        <v>1</v>
      </c>
      <c r="J1313" s="178">
        <f t="shared" si="175"/>
        <v>414.68</v>
      </c>
      <c r="K1313" s="462">
        <f>IF(C1313=0,0,VLOOKUP(YEAR(C1313),INPC!$B$4:$O$29,MONTH(C1313)+1))</f>
        <v>118.002</v>
      </c>
      <c r="L1313" s="462">
        <f>IF(S1313=0,0,VLOOKUP(YEAR(S1313),INPC!$B$4:$O$29,MONTH(S1313)+1))</f>
        <v>120.15900000000001</v>
      </c>
      <c r="M1313" s="463">
        <f t="shared" si="176"/>
        <v>1.0182</v>
      </c>
      <c r="N1313" s="465">
        <f t="shared" si="177"/>
        <v>422.22717599999999</v>
      </c>
      <c r="O1313" s="179"/>
      <c r="P1313" s="180">
        <v>2</v>
      </c>
      <c r="Q1313" s="173" t="s">
        <v>583</v>
      </c>
      <c r="R1313" s="173" t="s">
        <v>230</v>
      </c>
      <c r="S1313" s="174">
        <v>44627</v>
      </c>
      <c r="T1313" s="173" t="s">
        <v>33</v>
      </c>
      <c r="U1313" s="182">
        <v>372.99333333333334</v>
      </c>
      <c r="V1313" s="177">
        <f>IF(U1313=0,0,IF(T1313="MXN",1/HLOOKUP(YEAR(S1313)+(MONTH(S1313)/100),TC!$5:$37,DAY(S1313)+2,FALSE),VLOOKUP(T1313,Equivalencia!$1:$23,((MAX(Equivalencia!$3:$3)-YEAR(S1313))*14)+MONTH(S1313)+2,FALSE)))</f>
        <v>1</v>
      </c>
      <c r="W1313" s="178">
        <f t="shared" si="178"/>
        <v>372.99333333333334</v>
      </c>
      <c r="X1313" s="481">
        <f t="shared" si="179"/>
        <v>-41.686666666666667</v>
      </c>
      <c r="Y1313" s="179"/>
      <c r="Z1313" s="466">
        <f t="shared" si="180"/>
        <v>422.22717599999999</v>
      </c>
      <c r="AA1313" s="473">
        <f t="shared" si="181"/>
        <v>-49.233842666666646</v>
      </c>
      <c r="AB1313" s="339">
        <f t="shared" si="182"/>
        <v>-0.10052731423426897</v>
      </c>
    </row>
    <row r="1314" spans="2:28" ht="20.100000000000001" customHeight="1">
      <c r="B1314" s="172">
        <v>1427200</v>
      </c>
      <c r="C1314" s="174">
        <v>44565</v>
      </c>
      <c r="D1314" s="181" t="s">
        <v>387</v>
      </c>
      <c r="E1314" s="173" t="s">
        <v>33</v>
      </c>
      <c r="F1314" s="176">
        <v>207.34</v>
      </c>
      <c r="G1314" s="175">
        <f t="shared" si="173"/>
        <v>1</v>
      </c>
      <c r="H1314" s="175">
        <f t="shared" si="174"/>
        <v>207.34</v>
      </c>
      <c r="I1314" s="177">
        <f>IF(G1314=0,0,IF(E1314="MXN",1/HLOOKUP(YEAR(C1314)+(MONTH(C1314)/100),TC!$5:$37,DAY(C1314)+2,FALSE),VLOOKUP(E1314,Equivalencia!$5:$23,((MAX(Equivalencia!$3:$3)-YEAR(C1314))*14)+MONTH(C1314)+2,FALSE)))</f>
        <v>1</v>
      </c>
      <c r="J1314" s="178">
        <f t="shared" si="175"/>
        <v>207.34</v>
      </c>
      <c r="K1314" s="462">
        <f>IF(C1314=0,0,VLOOKUP(YEAR(C1314),INPC!$B$4:$O$29,MONTH(C1314)+1))</f>
        <v>118.002</v>
      </c>
      <c r="L1314" s="462">
        <f>IF(S1314=0,0,VLOOKUP(YEAR(S1314),INPC!$B$4:$O$29,MONTH(S1314)+1))</f>
        <v>120.15900000000001</v>
      </c>
      <c r="M1314" s="463">
        <f t="shared" si="176"/>
        <v>1.0182</v>
      </c>
      <c r="N1314" s="465">
        <f t="shared" si="177"/>
        <v>211.11358799999999</v>
      </c>
      <c r="O1314" s="179"/>
      <c r="P1314" s="180">
        <v>1</v>
      </c>
      <c r="Q1314" s="173" t="s">
        <v>583</v>
      </c>
      <c r="R1314" s="173" t="s">
        <v>230</v>
      </c>
      <c r="S1314" s="174">
        <v>44627</v>
      </c>
      <c r="T1314" s="173" t="s">
        <v>33</v>
      </c>
      <c r="U1314" s="182">
        <v>192.3775</v>
      </c>
      <c r="V1314" s="177">
        <f>IF(U1314=0,0,IF(T1314="MXN",1/HLOOKUP(YEAR(S1314)+(MONTH(S1314)/100),TC!$5:$37,DAY(S1314)+2,FALSE),VLOOKUP(T1314,Equivalencia!$1:$23,((MAX(Equivalencia!$3:$3)-YEAR(S1314))*14)+MONTH(S1314)+2,FALSE)))</f>
        <v>1</v>
      </c>
      <c r="W1314" s="178">
        <f t="shared" si="178"/>
        <v>192.3775</v>
      </c>
      <c r="X1314" s="481">
        <f t="shared" si="179"/>
        <v>-14.962500000000006</v>
      </c>
      <c r="Y1314" s="179"/>
      <c r="Z1314" s="466">
        <f t="shared" si="180"/>
        <v>211.11358799999999</v>
      </c>
      <c r="AA1314" s="473">
        <f t="shared" si="181"/>
        <v>-18.736087999999995</v>
      </c>
      <c r="AB1314" s="339">
        <f t="shared" si="182"/>
        <v>-7.2164078325455794E-2</v>
      </c>
    </row>
    <row r="1315" spans="2:28" ht="20.100000000000001" customHeight="1">
      <c r="B1315" s="172">
        <v>1427200</v>
      </c>
      <c r="C1315" s="174">
        <v>44573</v>
      </c>
      <c r="D1315" s="181" t="s">
        <v>387</v>
      </c>
      <c r="E1315" s="173" t="s">
        <v>33</v>
      </c>
      <c r="F1315" s="176">
        <v>619.94000000000005</v>
      </c>
      <c r="G1315" s="175">
        <f t="shared" si="173"/>
        <v>3</v>
      </c>
      <c r="H1315" s="175">
        <f t="shared" si="174"/>
        <v>619.94000000000005</v>
      </c>
      <c r="I1315" s="177">
        <f>IF(G1315=0,0,IF(E1315="MXN",1/HLOOKUP(YEAR(C1315)+(MONTH(C1315)/100),TC!$5:$37,DAY(C1315)+2,FALSE),VLOOKUP(E1315,Equivalencia!$5:$23,((MAX(Equivalencia!$3:$3)-YEAR(C1315))*14)+MONTH(C1315)+2,FALSE)))</f>
        <v>1</v>
      </c>
      <c r="J1315" s="178">
        <f t="shared" si="175"/>
        <v>619.94000000000005</v>
      </c>
      <c r="K1315" s="462">
        <f>IF(C1315=0,0,VLOOKUP(YEAR(C1315),INPC!$B$4:$O$29,MONTH(C1315)+1))</f>
        <v>118.002</v>
      </c>
      <c r="L1315" s="462">
        <f>IF(S1315=0,0,VLOOKUP(YEAR(S1315),INPC!$B$4:$O$29,MONTH(S1315)+1))</f>
        <v>120.15900000000001</v>
      </c>
      <c r="M1315" s="463">
        <f t="shared" si="176"/>
        <v>1.0182</v>
      </c>
      <c r="N1315" s="465">
        <f t="shared" si="177"/>
        <v>631.22290800000007</v>
      </c>
      <c r="O1315" s="179"/>
      <c r="P1315" s="180">
        <v>3</v>
      </c>
      <c r="Q1315" s="173" t="s">
        <v>583</v>
      </c>
      <c r="R1315" s="173" t="s">
        <v>230</v>
      </c>
      <c r="S1315" s="174">
        <v>44627</v>
      </c>
      <c r="T1315" s="173" t="s">
        <v>33</v>
      </c>
      <c r="U1315" s="182">
        <v>577.13249999999994</v>
      </c>
      <c r="V1315" s="177">
        <f>IF(U1315=0,0,IF(T1315="MXN",1/HLOOKUP(YEAR(S1315)+(MONTH(S1315)/100),TC!$5:$37,DAY(S1315)+2,FALSE),VLOOKUP(T1315,Equivalencia!$1:$23,((MAX(Equivalencia!$3:$3)-YEAR(S1315))*14)+MONTH(S1315)+2,FALSE)))</f>
        <v>1</v>
      </c>
      <c r="W1315" s="178">
        <f t="shared" si="178"/>
        <v>577.13249999999994</v>
      </c>
      <c r="X1315" s="481">
        <f t="shared" si="179"/>
        <v>-42.807500000000118</v>
      </c>
      <c r="Y1315" s="179"/>
      <c r="Z1315" s="466">
        <f t="shared" si="180"/>
        <v>631.22290800000007</v>
      </c>
      <c r="AA1315" s="473">
        <f t="shared" si="181"/>
        <v>-54.090408000000139</v>
      </c>
      <c r="AB1315" s="339">
        <f t="shared" si="182"/>
        <v>-6.9051037197148335E-2</v>
      </c>
    </row>
    <row r="1316" spans="2:28" ht="20.100000000000001" customHeight="1">
      <c r="B1316" s="172">
        <v>1427200</v>
      </c>
      <c r="C1316" s="174">
        <v>44581</v>
      </c>
      <c r="D1316" s="181" t="s">
        <v>387</v>
      </c>
      <c r="E1316" s="173" t="s">
        <v>33</v>
      </c>
      <c r="F1316" s="176">
        <v>710.1</v>
      </c>
      <c r="G1316" s="175">
        <f t="shared" si="173"/>
        <v>4</v>
      </c>
      <c r="H1316" s="175">
        <f t="shared" si="174"/>
        <v>710.1</v>
      </c>
      <c r="I1316" s="177">
        <f>IF(G1316=0,0,IF(E1316="MXN",1/HLOOKUP(YEAR(C1316)+(MONTH(C1316)/100),TC!$5:$37,DAY(C1316)+2,FALSE),VLOOKUP(E1316,Equivalencia!$5:$23,((MAX(Equivalencia!$3:$3)-YEAR(C1316))*14)+MONTH(C1316)+2,FALSE)))</f>
        <v>1</v>
      </c>
      <c r="J1316" s="178">
        <f t="shared" si="175"/>
        <v>710.1</v>
      </c>
      <c r="K1316" s="462">
        <f>IF(C1316=0,0,VLOOKUP(YEAR(C1316),INPC!$B$4:$O$29,MONTH(C1316)+1))</f>
        <v>118.002</v>
      </c>
      <c r="L1316" s="462">
        <f>IF(S1316=0,0,VLOOKUP(YEAR(S1316),INPC!$B$4:$O$29,MONTH(S1316)+1))</f>
        <v>120.15900000000001</v>
      </c>
      <c r="M1316" s="463">
        <f t="shared" si="176"/>
        <v>1.0182</v>
      </c>
      <c r="N1316" s="465">
        <f t="shared" si="177"/>
        <v>723.02382</v>
      </c>
      <c r="O1316" s="179"/>
      <c r="P1316" s="180">
        <v>4</v>
      </c>
      <c r="Q1316" s="173" t="s">
        <v>583</v>
      </c>
      <c r="R1316" s="173" t="s">
        <v>230</v>
      </c>
      <c r="S1316" s="174">
        <v>44627</v>
      </c>
      <c r="T1316" s="173" t="s">
        <v>33</v>
      </c>
      <c r="U1316" s="182">
        <v>769.5</v>
      </c>
      <c r="V1316" s="177">
        <f>IF(U1316=0,0,IF(T1316="MXN",1/HLOOKUP(YEAR(S1316)+(MONTH(S1316)/100),TC!$5:$37,DAY(S1316)+2,FALSE),VLOOKUP(T1316,Equivalencia!$1:$23,((MAX(Equivalencia!$3:$3)-YEAR(S1316))*14)+MONTH(S1316)+2,FALSE)))</f>
        <v>1</v>
      </c>
      <c r="W1316" s="178">
        <f t="shared" si="178"/>
        <v>769.5</v>
      </c>
      <c r="X1316" s="481">
        <f t="shared" si="179"/>
        <v>59.399999999999977</v>
      </c>
      <c r="Y1316" s="179"/>
      <c r="Z1316" s="466">
        <f t="shared" si="180"/>
        <v>723.02382</v>
      </c>
      <c r="AA1316" s="473">
        <f t="shared" si="181"/>
        <v>46.476179999999999</v>
      </c>
      <c r="AB1316" s="339">
        <f t="shared" si="182"/>
        <v>8.365019011406849E-2</v>
      </c>
    </row>
    <row r="1317" spans="2:28" ht="20.100000000000001" customHeight="1">
      <c r="B1317" s="172">
        <v>1427200</v>
      </c>
      <c r="C1317" s="174">
        <v>44586</v>
      </c>
      <c r="D1317" s="181" t="s">
        <v>387</v>
      </c>
      <c r="E1317" s="173" t="s">
        <v>33</v>
      </c>
      <c r="F1317" s="176">
        <v>632.12</v>
      </c>
      <c r="G1317" s="175">
        <f t="shared" si="173"/>
        <v>4</v>
      </c>
      <c r="H1317" s="175">
        <f t="shared" si="174"/>
        <v>632.12</v>
      </c>
      <c r="I1317" s="177">
        <f>IF(G1317=0,0,IF(E1317="MXN",1/HLOOKUP(YEAR(C1317)+(MONTH(C1317)/100),TC!$5:$37,DAY(C1317)+2,FALSE),VLOOKUP(E1317,Equivalencia!$5:$23,((MAX(Equivalencia!$3:$3)-YEAR(C1317))*14)+MONTH(C1317)+2,FALSE)))</f>
        <v>1</v>
      </c>
      <c r="J1317" s="178">
        <f t="shared" si="175"/>
        <v>632.12</v>
      </c>
      <c r="K1317" s="462">
        <f>IF(C1317=0,0,VLOOKUP(YEAR(C1317),INPC!$B$4:$O$29,MONTH(C1317)+1))</f>
        <v>118.002</v>
      </c>
      <c r="L1317" s="462">
        <f>IF(S1317=0,0,VLOOKUP(YEAR(S1317),INPC!$B$4:$O$29,MONTH(S1317)+1))</f>
        <v>120.15900000000001</v>
      </c>
      <c r="M1317" s="463">
        <f t="shared" si="176"/>
        <v>1.0182</v>
      </c>
      <c r="N1317" s="465">
        <f t="shared" si="177"/>
        <v>643.62458400000003</v>
      </c>
      <c r="O1317" s="179"/>
      <c r="P1317" s="180">
        <v>4</v>
      </c>
      <c r="Q1317" s="173" t="s">
        <v>583</v>
      </c>
      <c r="R1317" s="173" t="s">
        <v>230</v>
      </c>
      <c r="S1317" s="174">
        <v>44627</v>
      </c>
      <c r="T1317" s="173" t="s">
        <v>33</v>
      </c>
      <c r="U1317" s="182">
        <v>769.5</v>
      </c>
      <c r="V1317" s="177">
        <f>IF(U1317=0,0,IF(T1317="MXN",1/HLOOKUP(YEAR(S1317)+(MONTH(S1317)/100),TC!$5:$37,DAY(S1317)+2,FALSE),VLOOKUP(T1317,Equivalencia!$1:$23,((MAX(Equivalencia!$3:$3)-YEAR(S1317))*14)+MONTH(S1317)+2,FALSE)))</f>
        <v>1</v>
      </c>
      <c r="W1317" s="178">
        <f t="shared" si="178"/>
        <v>769.5</v>
      </c>
      <c r="X1317" s="481">
        <f t="shared" si="179"/>
        <v>137.38</v>
      </c>
      <c r="Y1317" s="179"/>
      <c r="Z1317" s="466">
        <f t="shared" si="180"/>
        <v>643.62458400000003</v>
      </c>
      <c r="AA1317" s="473">
        <f t="shared" si="181"/>
        <v>125.87541599999997</v>
      </c>
      <c r="AB1317" s="339">
        <f t="shared" si="182"/>
        <v>0.21733215212301471</v>
      </c>
    </row>
    <row r="1318" spans="2:28" ht="20.100000000000001" customHeight="1">
      <c r="B1318" s="172">
        <v>1427200</v>
      </c>
      <c r="C1318" s="174">
        <v>44559</v>
      </c>
      <c r="D1318" s="181" t="s">
        <v>372</v>
      </c>
      <c r="E1318" s="173" t="s">
        <v>33</v>
      </c>
      <c r="F1318" s="176">
        <v>1186.93</v>
      </c>
      <c r="G1318" s="175">
        <f t="shared" si="173"/>
        <v>12</v>
      </c>
      <c r="H1318" s="175">
        <f t="shared" si="174"/>
        <v>1186.93</v>
      </c>
      <c r="I1318" s="177">
        <f>IF(G1318=0,0,IF(E1318="MXN",1/HLOOKUP(YEAR(C1318)+(MONTH(C1318)/100),TC!$5:$37,DAY(C1318)+2,FALSE),VLOOKUP(E1318,Equivalencia!$5:$23,((MAX(Equivalencia!$3:$3)-YEAR(C1318))*14)+MONTH(C1318)+2,FALSE)))</f>
        <v>1</v>
      </c>
      <c r="J1318" s="178">
        <f t="shared" si="175"/>
        <v>1186.93</v>
      </c>
      <c r="K1318" s="462">
        <f>IF(C1318=0,0,VLOOKUP(YEAR(C1318),INPC!$B$4:$O$29,MONTH(C1318)+1))</f>
        <v>117.30800000000001</v>
      </c>
      <c r="L1318" s="462">
        <f>IF(S1318=0,0,VLOOKUP(YEAR(S1318),INPC!$B$4:$O$29,MONTH(S1318)+1))</f>
        <v>121.02200000000001</v>
      </c>
      <c r="M1318" s="463">
        <f t="shared" si="176"/>
        <v>1.0316000000000001</v>
      </c>
      <c r="N1318" s="465">
        <f t="shared" si="177"/>
        <v>1224.4369880000002</v>
      </c>
      <c r="O1318" s="179"/>
      <c r="P1318" s="180">
        <v>12</v>
      </c>
      <c r="Q1318" s="173" t="s">
        <v>583</v>
      </c>
      <c r="R1318" s="173" t="s">
        <v>230</v>
      </c>
      <c r="S1318" s="174">
        <v>44691</v>
      </c>
      <c r="T1318" s="173" t="s">
        <v>33</v>
      </c>
      <c r="U1318" s="182">
        <v>210.81473684210528</v>
      </c>
      <c r="V1318" s="177">
        <f>IF(U1318=0,0,IF(T1318="MXN",1/HLOOKUP(YEAR(S1318)+(MONTH(S1318)/100),TC!$5:$37,DAY(S1318)+2,FALSE),VLOOKUP(T1318,Equivalencia!$1:$23,((MAX(Equivalencia!$3:$3)-YEAR(S1318))*14)+MONTH(S1318)+2,FALSE)))</f>
        <v>1</v>
      </c>
      <c r="W1318" s="178">
        <f t="shared" si="178"/>
        <v>210.81473684210528</v>
      </c>
      <c r="X1318" s="481">
        <f t="shared" si="179"/>
        <v>-976.11526315789479</v>
      </c>
      <c r="Y1318" s="179"/>
      <c r="Z1318" s="466">
        <f t="shared" si="180"/>
        <v>1224.4369880000002</v>
      </c>
      <c r="AA1318" s="473">
        <f t="shared" si="181"/>
        <v>-1013.6222511578949</v>
      </c>
      <c r="AB1318" s="339">
        <f t="shared" si="182"/>
        <v>-0.82238654609614281</v>
      </c>
    </row>
    <row r="1319" spans="2:28" ht="20.100000000000001" customHeight="1">
      <c r="B1319" s="172">
        <v>1427200</v>
      </c>
      <c r="C1319" s="174">
        <v>44559</v>
      </c>
      <c r="D1319" s="181" t="s">
        <v>372</v>
      </c>
      <c r="E1319" s="173" t="s">
        <v>33</v>
      </c>
      <c r="F1319" s="176">
        <v>698.08</v>
      </c>
      <c r="G1319" s="175">
        <f t="shared" si="173"/>
        <v>7</v>
      </c>
      <c r="H1319" s="175">
        <f t="shared" si="174"/>
        <v>698.08</v>
      </c>
      <c r="I1319" s="177">
        <f>IF(G1319=0,0,IF(E1319="MXN",1/HLOOKUP(YEAR(C1319)+(MONTH(C1319)/100),TC!$5:$37,DAY(C1319)+2,FALSE),VLOOKUP(E1319,Equivalencia!$5:$23,((MAX(Equivalencia!$3:$3)-YEAR(C1319))*14)+MONTH(C1319)+2,FALSE)))</f>
        <v>1</v>
      </c>
      <c r="J1319" s="178">
        <f t="shared" si="175"/>
        <v>698.08</v>
      </c>
      <c r="K1319" s="462">
        <f>IF(C1319=0,0,VLOOKUP(YEAR(C1319),INPC!$B$4:$O$29,MONTH(C1319)+1))</f>
        <v>117.30800000000001</v>
      </c>
      <c r="L1319" s="462">
        <f>IF(S1319=0,0,VLOOKUP(YEAR(S1319),INPC!$B$4:$O$29,MONTH(S1319)+1))</f>
        <v>121.02200000000001</v>
      </c>
      <c r="M1319" s="463">
        <f t="shared" si="176"/>
        <v>1.0316000000000001</v>
      </c>
      <c r="N1319" s="465">
        <f t="shared" si="177"/>
        <v>720.13932800000009</v>
      </c>
      <c r="O1319" s="179"/>
      <c r="P1319" s="180">
        <v>7</v>
      </c>
      <c r="Q1319" s="173" t="s">
        <v>583</v>
      </c>
      <c r="R1319" s="173" t="s">
        <v>230</v>
      </c>
      <c r="S1319" s="174">
        <v>44691</v>
      </c>
      <c r="T1319" s="173" t="s">
        <v>33</v>
      </c>
      <c r="U1319" s="182">
        <v>122.97526315789474</v>
      </c>
      <c r="V1319" s="177">
        <f>IF(U1319=0,0,IF(T1319="MXN",1/HLOOKUP(YEAR(S1319)+(MONTH(S1319)/100),TC!$5:$37,DAY(S1319)+2,FALSE),VLOOKUP(T1319,Equivalencia!$1:$23,((MAX(Equivalencia!$3:$3)-YEAR(S1319))*14)+MONTH(S1319)+2,FALSE)))</f>
        <v>1</v>
      </c>
      <c r="W1319" s="178">
        <f t="shared" si="178"/>
        <v>122.97526315789474</v>
      </c>
      <c r="X1319" s="481">
        <f t="shared" si="179"/>
        <v>-575.10473684210524</v>
      </c>
      <c r="Y1319" s="179"/>
      <c r="Z1319" s="466">
        <f t="shared" si="180"/>
        <v>720.13932800000009</v>
      </c>
      <c r="AA1319" s="473">
        <f t="shared" si="181"/>
        <v>-597.16406484210529</v>
      </c>
      <c r="AB1319" s="339">
        <f t="shared" si="182"/>
        <v>-0.82383786506146184</v>
      </c>
    </row>
    <row r="1320" spans="2:28" ht="20.100000000000001" customHeight="1">
      <c r="B1320" s="172">
        <v>1427200</v>
      </c>
      <c r="C1320" s="174">
        <v>44564</v>
      </c>
      <c r="D1320" s="181" t="s">
        <v>372</v>
      </c>
      <c r="E1320" s="173" t="s">
        <v>33</v>
      </c>
      <c r="F1320" s="176">
        <v>192.29142857142855</v>
      </c>
      <c r="G1320" s="175">
        <f t="shared" si="173"/>
        <v>2</v>
      </c>
      <c r="H1320" s="175">
        <f t="shared" si="174"/>
        <v>192.29142857142855</v>
      </c>
      <c r="I1320" s="177">
        <f>IF(G1320=0,0,IF(E1320="MXN",1/HLOOKUP(YEAR(C1320)+(MONTH(C1320)/100),TC!$5:$37,DAY(C1320)+2,FALSE),VLOOKUP(E1320,Equivalencia!$5:$23,((MAX(Equivalencia!$3:$3)-YEAR(C1320))*14)+MONTH(C1320)+2,FALSE)))</f>
        <v>1</v>
      </c>
      <c r="J1320" s="178">
        <f t="shared" si="175"/>
        <v>192.29142857142855</v>
      </c>
      <c r="K1320" s="462">
        <f>IF(C1320=0,0,VLOOKUP(YEAR(C1320),INPC!$B$4:$O$29,MONTH(C1320)+1))</f>
        <v>118.002</v>
      </c>
      <c r="L1320" s="462">
        <f>IF(S1320=0,0,VLOOKUP(YEAR(S1320),INPC!$B$4:$O$29,MONTH(S1320)+1))</f>
        <v>121.02200000000001</v>
      </c>
      <c r="M1320" s="463">
        <f t="shared" si="176"/>
        <v>1.0255000000000001</v>
      </c>
      <c r="N1320" s="465">
        <f t="shared" si="177"/>
        <v>197.19486000000001</v>
      </c>
      <c r="O1320" s="179"/>
      <c r="P1320" s="180">
        <v>2</v>
      </c>
      <c r="Q1320" s="173" t="s">
        <v>583</v>
      </c>
      <c r="R1320" s="173" t="s">
        <v>230</v>
      </c>
      <c r="S1320" s="174">
        <v>44691</v>
      </c>
      <c r="T1320" s="173" t="s">
        <v>33</v>
      </c>
      <c r="U1320" s="182">
        <v>34.950000000000003</v>
      </c>
      <c r="V1320" s="177">
        <f>IF(U1320=0,0,IF(T1320="MXN",1/HLOOKUP(YEAR(S1320)+(MONTH(S1320)/100),TC!$5:$37,DAY(S1320)+2,FALSE),VLOOKUP(T1320,Equivalencia!$1:$23,((MAX(Equivalencia!$3:$3)-YEAR(S1320))*14)+MONTH(S1320)+2,FALSE)))</f>
        <v>1</v>
      </c>
      <c r="W1320" s="178">
        <f t="shared" si="178"/>
        <v>34.950000000000003</v>
      </c>
      <c r="X1320" s="481">
        <f t="shared" si="179"/>
        <v>-157.34142857142854</v>
      </c>
      <c r="Y1320" s="179"/>
      <c r="Z1320" s="466">
        <f t="shared" si="180"/>
        <v>197.19486000000001</v>
      </c>
      <c r="AA1320" s="473">
        <f t="shared" si="181"/>
        <v>-162.24486000000002</v>
      </c>
      <c r="AB1320" s="339">
        <f t="shared" si="182"/>
        <v>-0.8182446286885976</v>
      </c>
    </row>
    <row r="1321" spans="2:28" ht="20.100000000000001" customHeight="1">
      <c r="B1321" s="172">
        <v>1427200</v>
      </c>
      <c r="C1321" s="174">
        <v>44564</v>
      </c>
      <c r="D1321" s="181" t="s">
        <v>372</v>
      </c>
      <c r="E1321" s="173" t="s">
        <v>33</v>
      </c>
      <c r="F1321" s="176">
        <v>480.7285714285714</v>
      </c>
      <c r="G1321" s="175">
        <f t="shared" si="173"/>
        <v>5</v>
      </c>
      <c r="H1321" s="175">
        <f t="shared" si="174"/>
        <v>480.7285714285714</v>
      </c>
      <c r="I1321" s="177">
        <f>IF(G1321=0,0,IF(E1321="MXN",1/HLOOKUP(YEAR(C1321)+(MONTH(C1321)/100),TC!$5:$37,DAY(C1321)+2,FALSE),VLOOKUP(E1321,Equivalencia!$5:$23,((MAX(Equivalencia!$3:$3)-YEAR(C1321))*14)+MONTH(C1321)+2,FALSE)))</f>
        <v>1</v>
      </c>
      <c r="J1321" s="178">
        <f t="shared" si="175"/>
        <v>480.7285714285714</v>
      </c>
      <c r="K1321" s="462">
        <f>IF(C1321=0,0,VLOOKUP(YEAR(C1321),INPC!$B$4:$O$29,MONTH(C1321)+1))</f>
        <v>118.002</v>
      </c>
      <c r="L1321" s="462">
        <f>IF(S1321=0,0,VLOOKUP(YEAR(S1321),INPC!$B$4:$O$29,MONTH(S1321)+1))</f>
        <v>121.02200000000001</v>
      </c>
      <c r="M1321" s="463">
        <f t="shared" si="176"/>
        <v>1.0255000000000001</v>
      </c>
      <c r="N1321" s="465">
        <f t="shared" si="177"/>
        <v>492.98714999999999</v>
      </c>
      <c r="O1321" s="179"/>
      <c r="P1321" s="180">
        <v>5</v>
      </c>
      <c r="Q1321" s="173" t="s">
        <v>583</v>
      </c>
      <c r="R1321" s="173" t="s">
        <v>230</v>
      </c>
      <c r="S1321" s="174">
        <v>44691</v>
      </c>
      <c r="T1321" s="173" t="s">
        <v>33</v>
      </c>
      <c r="U1321" s="182">
        <v>87.728703703703701</v>
      </c>
      <c r="V1321" s="177">
        <f>IF(U1321=0,0,IF(T1321="MXN",1/HLOOKUP(YEAR(S1321)+(MONTH(S1321)/100),TC!$5:$37,DAY(S1321)+2,FALSE),VLOOKUP(T1321,Equivalencia!$1:$23,((MAX(Equivalencia!$3:$3)-YEAR(S1321))*14)+MONTH(S1321)+2,FALSE)))</f>
        <v>1</v>
      </c>
      <c r="W1321" s="178">
        <f t="shared" si="178"/>
        <v>87.728703703703701</v>
      </c>
      <c r="X1321" s="481">
        <f t="shared" si="179"/>
        <v>-392.99986772486773</v>
      </c>
      <c r="Y1321" s="179"/>
      <c r="Z1321" s="466">
        <f t="shared" si="180"/>
        <v>492.98714999999999</v>
      </c>
      <c r="AA1321" s="473">
        <f t="shared" si="181"/>
        <v>-405.25844629629626</v>
      </c>
      <c r="AB1321" s="339">
        <f t="shared" si="182"/>
        <v>-0.81750886276011825</v>
      </c>
    </row>
    <row r="1322" spans="2:28" ht="20.100000000000001" customHeight="1">
      <c r="B1322" s="172">
        <v>1427200</v>
      </c>
      <c r="C1322" s="174">
        <v>44565</v>
      </c>
      <c r="D1322" s="181" t="s">
        <v>372</v>
      </c>
      <c r="E1322" s="173" t="s">
        <v>33</v>
      </c>
      <c r="F1322" s="176">
        <v>651.39</v>
      </c>
      <c r="G1322" s="175">
        <f t="shared" si="173"/>
        <v>8</v>
      </c>
      <c r="H1322" s="175">
        <f t="shared" si="174"/>
        <v>651.39</v>
      </c>
      <c r="I1322" s="177">
        <f>IF(G1322=0,0,IF(E1322="MXN",1/HLOOKUP(YEAR(C1322)+(MONTH(C1322)/100),TC!$5:$37,DAY(C1322)+2,FALSE),VLOOKUP(E1322,Equivalencia!$5:$23,((MAX(Equivalencia!$3:$3)-YEAR(C1322))*14)+MONTH(C1322)+2,FALSE)))</f>
        <v>1</v>
      </c>
      <c r="J1322" s="178">
        <f t="shared" si="175"/>
        <v>651.39</v>
      </c>
      <c r="K1322" s="462">
        <f>IF(C1322=0,0,VLOOKUP(YEAR(C1322),INPC!$B$4:$O$29,MONTH(C1322)+1))</f>
        <v>118.002</v>
      </c>
      <c r="L1322" s="462">
        <f>IF(S1322=0,0,VLOOKUP(YEAR(S1322),INPC!$B$4:$O$29,MONTH(S1322)+1))</f>
        <v>121.02200000000001</v>
      </c>
      <c r="M1322" s="463">
        <f t="shared" si="176"/>
        <v>1.0255000000000001</v>
      </c>
      <c r="N1322" s="465">
        <f t="shared" si="177"/>
        <v>668.00044500000001</v>
      </c>
      <c r="O1322" s="179"/>
      <c r="P1322" s="180">
        <v>8</v>
      </c>
      <c r="Q1322" s="173" t="s">
        <v>583</v>
      </c>
      <c r="R1322" s="173" t="s">
        <v>230</v>
      </c>
      <c r="S1322" s="174">
        <v>44691</v>
      </c>
      <c r="T1322" s="173" t="s">
        <v>33</v>
      </c>
      <c r="U1322" s="182">
        <v>140.36592592592592</v>
      </c>
      <c r="V1322" s="177">
        <f>IF(U1322=0,0,IF(T1322="MXN",1/HLOOKUP(YEAR(S1322)+(MONTH(S1322)/100),TC!$5:$37,DAY(S1322)+2,FALSE),VLOOKUP(T1322,Equivalencia!$1:$23,((MAX(Equivalencia!$3:$3)-YEAR(S1322))*14)+MONTH(S1322)+2,FALSE)))</f>
        <v>1</v>
      </c>
      <c r="W1322" s="178">
        <f t="shared" si="178"/>
        <v>140.36592592592592</v>
      </c>
      <c r="X1322" s="481">
        <f t="shared" si="179"/>
        <v>-511.02407407407406</v>
      </c>
      <c r="Y1322" s="179"/>
      <c r="Z1322" s="466">
        <f t="shared" si="180"/>
        <v>668.00044500000001</v>
      </c>
      <c r="AA1322" s="473">
        <f t="shared" si="181"/>
        <v>-527.63451907407409</v>
      </c>
      <c r="AB1322" s="339">
        <f t="shared" si="182"/>
        <v>-0.78451323181822574</v>
      </c>
    </row>
    <row r="1323" spans="2:28" ht="20.100000000000001" customHeight="1">
      <c r="B1323" s="172">
        <v>1427200</v>
      </c>
      <c r="C1323" s="174">
        <v>44573</v>
      </c>
      <c r="D1323" s="181" t="s">
        <v>372</v>
      </c>
      <c r="E1323" s="173" t="s">
        <v>33</v>
      </c>
      <c r="F1323" s="176">
        <v>649.78</v>
      </c>
      <c r="G1323" s="175">
        <f t="shared" si="173"/>
        <v>8</v>
      </c>
      <c r="H1323" s="175">
        <f t="shared" si="174"/>
        <v>649.78</v>
      </c>
      <c r="I1323" s="177">
        <f>IF(G1323=0,0,IF(E1323="MXN",1/HLOOKUP(YEAR(C1323)+(MONTH(C1323)/100),TC!$5:$37,DAY(C1323)+2,FALSE),VLOOKUP(E1323,Equivalencia!$5:$23,((MAX(Equivalencia!$3:$3)-YEAR(C1323))*14)+MONTH(C1323)+2,FALSE)))</f>
        <v>1</v>
      </c>
      <c r="J1323" s="178">
        <f t="shared" si="175"/>
        <v>649.78</v>
      </c>
      <c r="K1323" s="462">
        <f>IF(C1323=0,0,VLOOKUP(YEAR(C1323),INPC!$B$4:$O$29,MONTH(C1323)+1))</f>
        <v>118.002</v>
      </c>
      <c r="L1323" s="462">
        <f>IF(S1323=0,0,VLOOKUP(YEAR(S1323),INPC!$B$4:$O$29,MONTH(S1323)+1))</f>
        <v>121.02200000000001</v>
      </c>
      <c r="M1323" s="463">
        <f t="shared" si="176"/>
        <v>1.0255000000000001</v>
      </c>
      <c r="N1323" s="465">
        <f t="shared" si="177"/>
        <v>666.34938999999997</v>
      </c>
      <c r="O1323" s="179"/>
      <c r="P1323" s="180">
        <v>8</v>
      </c>
      <c r="Q1323" s="173" t="s">
        <v>583</v>
      </c>
      <c r="R1323" s="173" t="s">
        <v>230</v>
      </c>
      <c r="S1323" s="174">
        <v>44691</v>
      </c>
      <c r="T1323" s="173" t="s">
        <v>33</v>
      </c>
      <c r="U1323" s="182">
        <v>140.36592592592592</v>
      </c>
      <c r="V1323" s="177">
        <f>IF(U1323=0,0,IF(T1323="MXN",1/HLOOKUP(YEAR(S1323)+(MONTH(S1323)/100),TC!$5:$37,DAY(S1323)+2,FALSE),VLOOKUP(T1323,Equivalencia!$1:$23,((MAX(Equivalencia!$3:$3)-YEAR(S1323))*14)+MONTH(S1323)+2,FALSE)))</f>
        <v>1</v>
      </c>
      <c r="W1323" s="178">
        <f t="shared" si="178"/>
        <v>140.36592592592592</v>
      </c>
      <c r="X1323" s="481">
        <f t="shared" si="179"/>
        <v>-509.41407407407405</v>
      </c>
      <c r="Y1323" s="179"/>
      <c r="Z1323" s="466">
        <f t="shared" si="180"/>
        <v>666.34938999999997</v>
      </c>
      <c r="AA1323" s="473">
        <f t="shared" si="181"/>
        <v>-525.98346407407405</v>
      </c>
      <c r="AB1323" s="339">
        <f t="shared" si="182"/>
        <v>-0.78397930695631457</v>
      </c>
    </row>
    <row r="1324" spans="2:28" ht="20.100000000000001" customHeight="1">
      <c r="B1324" s="172">
        <v>1427200</v>
      </c>
      <c r="C1324" s="174">
        <v>44574</v>
      </c>
      <c r="D1324" s="181" t="s">
        <v>372</v>
      </c>
      <c r="E1324" s="173" t="s">
        <v>33</v>
      </c>
      <c r="F1324" s="176">
        <v>674.98</v>
      </c>
      <c r="G1324" s="175">
        <f t="shared" si="173"/>
        <v>9</v>
      </c>
      <c r="H1324" s="175">
        <f t="shared" si="174"/>
        <v>674.98</v>
      </c>
      <c r="I1324" s="177">
        <f>IF(G1324=0,0,IF(E1324="MXN",1/HLOOKUP(YEAR(C1324)+(MONTH(C1324)/100),TC!$5:$37,DAY(C1324)+2,FALSE),VLOOKUP(E1324,Equivalencia!$5:$23,((MAX(Equivalencia!$3:$3)-YEAR(C1324))*14)+MONTH(C1324)+2,FALSE)))</f>
        <v>1</v>
      </c>
      <c r="J1324" s="178">
        <f t="shared" si="175"/>
        <v>674.98</v>
      </c>
      <c r="K1324" s="462">
        <f>IF(C1324=0,0,VLOOKUP(YEAR(C1324),INPC!$B$4:$O$29,MONTH(C1324)+1))</f>
        <v>118.002</v>
      </c>
      <c r="L1324" s="462">
        <f>IF(S1324=0,0,VLOOKUP(YEAR(S1324),INPC!$B$4:$O$29,MONTH(S1324)+1))</f>
        <v>121.02200000000001</v>
      </c>
      <c r="M1324" s="463">
        <f t="shared" si="176"/>
        <v>1.0255000000000001</v>
      </c>
      <c r="N1324" s="465">
        <f t="shared" si="177"/>
        <v>692.19199000000003</v>
      </c>
      <c r="O1324" s="179"/>
      <c r="P1324" s="180">
        <v>9</v>
      </c>
      <c r="Q1324" s="173" t="s">
        <v>583</v>
      </c>
      <c r="R1324" s="173" t="s">
        <v>230</v>
      </c>
      <c r="S1324" s="174">
        <v>44691</v>
      </c>
      <c r="T1324" s="173" t="s">
        <v>33</v>
      </c>
      <c r="U1324" s="182">
        <v>157.91166666666666</v>
      </c>
      <c r="V1324" s="177">
        <f>IF(U1324=0,0,IF(T1324="MXN",1/HLOOKUP(YEAR(S1324)+(MONTH(S1324)/100),TC!$5:$37,DAY(S1324)+2,FALSE),VLOOKUP(T1324,Equivalencia!$1:$23,((MAX(Equivalencia!$3:$3)-YEAR(S1324))*14)+MONTH(S1324)+2,FALSE)))</f>
        <v>1</v>
      </c>
      <c r="W1324" s="178">
        <f t="shared" si="178"/>
        <v>157.91166666666666</v>
      </c>
      <c r="X1324" s="481">
        <f t="shared" si="179"/>
        <v>-517.06833333333338</v>
      </c>
      <c r="Y1324" s="179"/>
      <c r="Z1324" s="466">
        <f t="shared" si="180"/>
        <v>692.19199000000003</v>
      </c>
      <c r="AA1324" s="473">
        <f t="shared" si="181"/>
        <v>-534.2803233333334</v>
      </c>
      <c r="AB1324" s="339">
        <f t="shared" si="182"/>
        <v>-0.76604985826740546</v>
      </c>
    </row>
    <row r="1325" spans="2:28" ht="20.100000000000001" customHeight="1">
      <c r="B1325" s="172">
        <v>1427200</v>
      </c>
      <c r="C1325" s="174">
        <v>44580</v>
      </c>
      <c r="D1325" s="181" t="s">
        <v>372</v>
      </c>
      <c r="E1325" s="173" t="s">
        <v>33</v>
      </c>
      <c r="F1325" s="176">
        <v>708.7</v>
      </c>
      <c r="G1325" s="175">
        <f t="shared" si="173"/>
        <v>11</v>
      </c>
      <c r="H1325" s="175">
        <f t="shared" si="174"/>
        <v>708.7</v>
      </c>
      <c r="I1325" s="177">
        <f>IF(G1325=0,0,IF(E1325="MXN",1/HLOOKUP(YEAR(C1325)+(MONTH(C1325)/100),TC!$5:$37,DAY(C1325)+2,FALSE),VLOOKUP(E1325,Equivalencia!$5:$23,((MAX(Equivalencia!$3:$3)-YEAR(C1325))*14)+MONTH(C1325)+2,FALSE)))</f>
        <v>1</v>
      </c>
      <c r="J1325" s="178">
        <f t="shared" si="175"/>
        <v>708.7</v>
      </c>
      <c r="K1325" s="462">
        <f>IF(C1325=0,0,VLOOKUP(YEAR(C1325),INPC!$B$4:$O$29,MONTH(C1325)+1))</f>
        <v>118.002</v>
      </c>
      <c r="L1325" s="462">
        <f>IF(S1325=0,0,VLOOKUP(YEAR(S1325),INPC!$B$4:$O$29,MONTH(S1325)+1))</f>
        <v>121.02200000000001</v>
      </c>
      <c r="M1325" s="463">
        <f t="shared" si="176"/>
        <v>1.0255000000000001</v>
      </c>
      <c r="N1325" s="465">
        <f t="shared" si="177"/>
        <v>726.77185000000009</v>
      </c>
      <c r="O1325" s="179"/>
      <c r="P1325" s="180">
        <v>11</v>
      </c>
      <c r="Q1325" s="173" t="s">
        <v>583</v>
      </c>
      <c r="R1325" s="173" t="s">
        <v>230</v>
      </c>
      <c r="S1325" s="174">
        <v>44691</v>
      </c>
      <c r="T1325" s="173" t="s">
        <v>33</v>
      </c>
      <c r="U1325" s="182">
        <v>193.00314814814814</v>
      </c>
      <c r="V1325" s="177">
        <f>IF(U1325=0,0,IF(T1325="MXN",1/HLOOKUP(YEAR(S1325)+(MONTH(S1325)/100),TC!$5:$37,DAY(S1325)+2,FALSE),VLOOKUP(T1325,Equivalencia!$1:$23,((MAX(Equivalencia!$3:$3)-YEAR(S1325))*14)+MONTH(S1325)+2,FALSE)))</f>
        <v>1</v>
      </c>
      <c r="W1325" s="178">
        <f t="shared" si="178"/>
        <v>193.00314814814814</v>
      </c>
      <c r="X1325" s="481">
        <f t="shared" si="179"/>
        <v>-515.69685185185187</v>
      </c>
      <c r="Y1325" s="179"/>
      <c r="Z1325" s="466">
        <f t="shared" si="180"/>
        <v>726.77185000000009</v>
      </c>
      <c r="AA1325" s="473">
        <f t="shared" si="181"/>
        <v>-533.76870185185192</v>
      </c>
      <c r="AB1325" s="339">
        <f t="shared" si="182"/>
        <v>-0.72766594024531095</v>
      </c>
    </row>
    <row r="1326" spans="2:28" ht="20.100000000000001" customHeight="1">
      <c r="B1326" s="172">
        <v>1427200</v>
      </c>
      <c r="C1326" s="174">
        <v>44580</v>
      </c>
      <c r="D1326" s="181" t="s">
        <v>372</v>
      </c>
      <c r="E1326" s="173" t="s">
        <v>33</v>
      </c>
      <c r="F1326" s="176">
        <v>193.49</v>
      </c>
      <c r="G1326" s="175">
        <f t="shared" si="173"/>
        <v>3</v>
      </c>
      <c r="H1326" s="175">
        <f t="shared" si="174"/>
        <v>193.49</v>
      </c>
      <c r="I1326" s="177">
        <f>IF(G1326=0,0,IF(E1326="MXN",1/HLOOKUP(YEAR(C1326)+(MONTH(C1326)/100),TC!$5:$37,DAY(C1326)+2,FALSE),VLOOKUP(E1326,Equivalencia!$5:$23,((MAX(Equivalencia!$3:$3)-YEAR(C1326))*14)+MONTH(C1326)+2,FALSE)))</f>
        <v>1</v>
      </c>
      <c r="J1326" s="178">
        <f t="shared" si="175"/>
        <v>193.49</v>
      </c>
      <c r="K1326" s="462">
        <f>IF(C1326=0,0,VLOOKUP(YEAR(C1326),INPC!$B$4:$O$29,MONTH(C1326)+1))</f>
        <v>118.002</v>
      </c>
      <c r="L1326" s="462">
        <f>IF(S1326=0,0,VLOOKUP(YEAR(S1326),INPC!$B$4:$O$29,MONTH(S1326)+1))</f>
        <v>121.02200000000001</v>
      </c>
      <c r="M1326" s="463">
        <f t="shared" si="176"/>
        <v>1.0255000000000001</v>
      </c>
      <c r="N1326" s="465">
        <f t="shared" si="177"/>
        <v>198.42399500000002</v>
      </c>
      <c r="O1326" s="179"/>
      <c r="P1326" s="180">
        <v>3</v>
      </c>
      <c r="Q1326" s="173" t="s">
        <v>583</v>
      </c>
      <c r="R1326" s="173" t="s">
        <v>230</v>
      </c>
      <c r="S1326" s="174">
        <v>44691</v>
      </c>
      <c r="T1326" s="173" t="s">
        <v>33</v>
      </c>
      <c r="U1326" s="182">
        <v>52.637222222222221</v>
      </c>
      <c r="V1326" s="177">
        <f>IF(U1326=0,0,IF(T1326="MXN",1/HLOOKUP(YEAR(S1326)+(MONTH(S1326)/100),TC!$5:$37,DAY(S1326)+2,FALSE),VLOOKUP(T1326,Equivalencia!$1:$23,((MAX(Equivalencia!$3:$3)-YEAR(S1326))*14)+MONTH(S1326)+2,FALSE)))</f>
        <v>1</v>
      </c>
      <c r="W1326" s="178">
        <f t="shared" si="178"/>
        <v>52.637222222222221</v>
      </c>
      <c r="X1326" s="481">
        <f t="shared" si="179"/>
        <v>-140.85277777777779</v>
      </c>
      <c r="Y1326" s="179"/>
      <c r="Z1326" s="466">
        <f t="shared" si="180"/>
        <v>198.42399500000002</v>
      </c>
      <c r="AA1326" s="473">
        <f t="shared" si="181"/>
        <v>-145.7867727777778</v>
      </c>
      <c r="AB1326" s="339">
        <f t="shared" si="182"/>
        <v>-0.72795895280261402</v>
      </c>
    </row>
    <row r="1327" spans="2:28" ht="20.100000000000001" customHeight="1">
      <c r="B1327" s="172">
        <v>1427200</v>
      </c>
      <c r="C1327" s="174">
        <v>44592</v>
      </c>
      <c r="D1327" s="181" t="s">
        <v>372</v>
      </c>
      <c r="E1327" s="173" t="s">
        <v>33</v>
      </c>
      <c r="F1327" s="176">
        <v>663.20714285714291</v>
      </c>
      <c r="G1327" s="175">
        <f t="shared" si="173"/>
        <v>10</v>
      </c>
      <c r="H1327" s="175">
        <f t="shared" si="174"/>
        <v>663.20714285714291</v>
      </c>
      <c r="I1327" s="177">
        <f>IF(G1327=0,0,IF(E1327="MXN",1/HLOOKUP(YEAR(C1327)+(MONTH(C1327)/100),TC!$5:$37,DAY(C1327)+2,FALSE),VLOOKUP(E1327,Equivalencia!$5:$23,((MAX(Equivalencia!$3:$3)-YEAR(C1327))*14)+MONTH(C1327)+2,FALSE)))</f>
        <v>1</v>
      </c>
      <c r="J1327" s="178">
        <f t="shared" si="175"/>
        <v>663.20714285714291</v>
      </c>
      <c r="K1327" s="462">
        <f>IF(C1327=0,0,VLOOKUP(YEAR(C1327),INPC!$B$4:$O$29,MONTH(C1327)+1))</f>
        <v>118.002</v>
      </c>
      <c r="L1327" s="462">
        <f>IF(S1327=0,0,VLOOKUP(YEAR(S1327),INPC!$B$4:$O$29,MONTH(S1327)+1))</f>
        <v>121.02200000000001</v>
      </c>
      <c r="M1327" s="463">
        <f t="shared" si="176"/>
        <v>1.0255000000000001</v>
      </c>
      <c r="N1327" s="465">
        <f t="shared" si="177"/>
        <v>680.1189250000001</v>
      </c>
      <c r="O1327" s="179"/>
      <c r="P1327" s="180">
        <v>10</v>
      </c>
      <c r="Q1327" s="173" t="s">
        <v>583</v>
      </c>
      <c r="R1327" s="173" t="s">
        <v>230</v>
      </c>
      <c r="S1327" s="174">
        <v>44691</v>
      </c>
      <c r="T1327" s="173" t="s">
        <v>33</v>
      </c>
      <c r="U1327" s="182">
        <v>175.4574074074074</v>
      </c>
      <c r="V1327" s="177">
        <f>IF(U1327=0,0,IF(T1327="MXN",1/HLOOKUP(YEAR(S1327)+(MONTH(S1327)/100),TC!$5:$37,DAY(S1327)+2,FALSE),VLOOKUP(T1327,Equivalencia!$1:$23,((MAX(Equivalencia!$3:$3)-YEAR(S1327))*14)+MONTH(S1327)+2,FALSE)))</f>
        <v>1</v>
      </c>
      <c r="W1327" s="178">
        <f t="shared" si="178"/>
        <v>175.4574074074074</v>
      </c>
      <c r="X1327" s="481">
        <f t="shared" si="179"/>
        <v>-487.74973544973551</v>
      </c>
      <c r="Y1327" s="179"/>
      <c r="Z1327" s="466">
        <f t="shared" si="180"/>
        <v>680.1189250000001</v>
      </c>
      <c r="AA1327" s="473">
        <f t="shared" si="181"/>
        <v>-504.6615175925927</v>
      </c>
      <c r="AB1327" s="339">
        <f t="shared" si="182"/>
        <v>-0.73544101673645346</v>
      </c>
    </row>
    <row r="1328" spans="2:28" ht="20.100000000000001" customHeight="1">
      <c r="B1328" s="172">
        <v>1427200</v>
      </c>
      <c r="C1328" s="174">
        <v>44592</v>
      </c>
      <c r="D1328" s="181" t="s">
        <v>372</v>
      </c>
      <c r="E1328" s="173" t="s">
        <v>33</v>
      </c>
      <c r="F1328" s="176">
        <v>265.28285714285715</v>
      </c>
      <c r="G1328" s="175">
        <f t="shared" si="173"/>
        <v>4</v>
      </c>
      <c r="H1328" s="175">
        <f t="shared" si="174"/>
        <v>265.28285714285715</v>
      </c>
      <c r="I1328" s="177">
        <f>IF(G1328=0,0,IF(E1328="MXN",1/HLOOKUP(YEAR(C1328)+(MONTH(C1328)/100),TC!$5:$37,DAY(C1328)+2,FALSE),VLOOKUP(E1328,Equivalencia!$5:$23,((MAX(Equivalencia!$3:$3)-YEAR(C1328))*14)+MONTH(C1328)+2,FALSE)))</f>
        <v>1</v>
      </c>
      <c r="J1328" s="178">
        <f t="shared" si="175"/>
        <v>265.28285714285715</v>
      </c>
      <c r="K1328" s="462">
        <f>IF(C1328=0,0,VLOOKUP(YEAR(C1328),INPC!$B$4:$O$29,MONTH(C1328)+1))</f>
        <v>118.002</v>
      </c>
      <c r="L1328" s="462">
        <f>IF(S1328=0,0,VLOOKUP(YEAR(S1328),INPC!$B$4:$O$29,MONTH(S1328)+1))</f>
        <v>121.02200000000001</v>
      </c>
      <c r="M1328" s="463">
        <f t="shared" si="176"/>
        <v>1.0255000000000001</v>
      </c>
      <c r="N1328" s="465">
        <f t="shared" si="177"/>
        <v>272.04757000000001</v>
      </c>
      <c r="O1328" s="179"/>
      <c r="P1328" s="180">
        <v>4</v>
      </c>
      <c r="Q1328" s="173" t="s">
        <v>583</v>
      </c>
      <c r="R1328" s="173" t="s">
        <v>230</v>
      </c>
      <c r="S1328" s="174">
        <v>44692</v>
      </c>
      <c r="T1328" s="173" t="s">
        <v>33</v>
      </c>
      <c r="U1328" s="182">
        <v>64.641176470588235</v>
      </c>
      <c r="V1328" s="177">
        <f>IF(U1328=0,0,IF(T1328="MXN",1/HLOOKUP(YEAR(S1328)+(MONTH(S1328)/100),TC!$5:$37,DAY(S1328)+2,FALSE),VLOOKUP(T1328,Equivalencia!$1:$23,((MAX(Equivalencia!$3:$3)-YEAR(S1328))*14)+MONTH(S1328)+2,FALSE)))</f>
        <v>1</v>
      </c>
      <c r="W1328" s="178">
        <f t="shared" si="178"/>
        <v>64.641176470588235</v>
      </c>
      <c r="X1328" s="481">
        <f t="shared" si="179"/>
        <v>-200.64168067226893</v>
      </c>
      <c r="Y1328" s="179"/>
      <c r="Z1328" s="466">
        <f t="shared" si="180"/>
        <v>272.04757000000001</v>
      </c>
      <c r="AA1328" s="473">
        <f t="shared" si="181"/>
        <v>-207.40639352941179</v>
      </c>
      <c r="AB1328" s="339">
        <f t="shared" si="182"/>
        <v>-0.75633112080145315</v>
      </c>
    </row>
    <row r="1329" spans="2:28" ht="20.100000000000001" customHeight="1">
      <c r="B1329" s="172">
        <v>1427200</v>
      </c>
      <c r="C1329" s="174">
        <v>44596</v>
      </c>
      <c r="D1329" s="181" t="s">
        <v>372</v>
      </c>
      <c r="E1329" s="173" t="s">
        <v>33</v>
      </c>
      <c r="F1329" s="176">
        <v>606.28</v>
      </c>
      <c r="G1329" s="175">
        <f t="shared" si="173"/>
        <v>10</v>
      </c>
      <c r="H1329" s="175">
        <f t="shared" si="174"/>
        <v>606.28</v>
      </c>
      <c r="I1329" s="177">
        <f>IF(G1329=0,0,IF(E1329="MXN",1/HLOOKUP(YEAR(C1329)+(MONTH(C1329)/100),TC!$5:$37,DAY(C1329)+2,FALSE),VLOOKUP(E1329,Equivalencia!$5:$23,((MAX(Equivalencia!$3:$3)-YEAR(C1329))*14)+MONTH(C1329)+2,FALSE)))</f>
        <v>1</v>
      </c>
      <c r="J1329" s="178">
        <f t="shared" si="175"/>
        <v>606.28</v>
      </c>
      <c r="K1329" s="462">
        <f>IF(C1329=0,0,VLOOKUP(YEAR(C1329),INPC!$B$4:$O$29,MONTH(C1329)+1))</f>
        <v>118.98099999999999</v>
      </c>
      <c r="L1329" s="462">
        <f>IF(S1329=0,0,VLOOKUP(YEAR(S1329),INPC!$B$4:$O$29,MONTH(S1329)+1))</f>
        <v>121.02200000000001</v>
      </c>
      <c r="M1329" s="463">
        <f t="shared" si="176"/>
        <v>1.0170999999999999</v>
      </c>
      <c r="N1329" s="465">
        <f t="shared" si="177"/>
        <v>616.64738799999986</v>
      </c>
      <c r="O1329" s="179"/>
      <c r="P1329" s="180">
        <v>10</v>
      </c>
      <c r="Q1329" s="173" t="s">
        <v>583</v>
      </c>
      <c r="R1329" s="173" t="s">
        <v>230</v>
      </c>
      <c r="S1329" s="174">
        <v>44692</v>
      </c>
      <c r="T1329" s="173" t="s">
        <v>33</v>
      </c>
      <c r="U1329" s="182">
        <v>161.60294117647058</v>
      </c>
      <c r="V1329" s="177">
        <f>IF(U1329=0,0,IF(T1329="MXN",1/HLOOKUP(YEAR(S1329)+(MONTH(S1329)/100),TC!$5:$37,DAY(S1329)+2,FALSE),VLOOKUP(T1329,Equivalencia!$1:$23,((MAX(Equivalencia!$3:$3)-YEAR(S1329))*14)+MONTH(S1329)+2,FALSE)))</f>
        <v>1</v>
      </c>
      <c r="W1329" s="178">
        <f t="shared" si="178"/>
        <v>161.60294117647058</v>
      </c>
      <c r="X1329" s="481">
        <f t="shared" si="179"/>
        <v>-444.67705882352936</v>
      </c>
      <c r="Y1329" s="179"/>
      <c r="Z1329" s="466">
        <f t="shared" si="180"/>
        <v>616.64738799999986</v>
      </c>
      <c r="AA1329" s="473">
        <f t="shared" si="181"/>
        <v>-455.04444682352926</v>
      </c>
      <c r="AB1329" s="339">
        <f t="shared" si="182"/>
        <v>-0.73345163756602461</v>
      </c>
    </row>
    <row r="1330" spans="2:28" ht="20.100000000000001" customHeight="1">
      <c r="B1330" s="172">
        <v>1427200</v>
      </c>
      <c r="C1330" s="174">
        <v>44637</v>
      </c>
      <c r="D1330" s="181" t="s">
        <v>372</v>
      </c>
      <c r="E1330" s="173" t="s">
        <v>33</v>
      </c>
      <c r="F1330" s="176">
        <v>638.96</v>
      </c>
      <c r="G1330" s="175">
        <f t="shared" si="173"/>
        <v>18</v>
      </c>
      <c r="H1330" s="175">
        <f t="shared" si="174"/>
        <v>638.96</v>
      </c>
      <c r="I1330" s="177">
        <f>IF(G1330=0,0,IF(E1330="MXN",1/HLOOKUP(YEAR(C1330)+(MONTH(C1330)/100),TC!$5:$37,DAY(C1330)+2,FALSE),VLOOKUP(E1330,Equivalencia!$5:$23,((MAX(Equivalencia!$3:$3)-YEAR(C1330))*14)+MONTH(C1330)+2,FALSE)))</f>
        <v>1</v>
      </c>
      <c r="J1330" s="178">
        <f t="shared" si="175"/>
        <v>638.96</v>
      </c>
      <c r="K1330" s="462">
        <f>IF(C1330=0,0,VLOOKUP(YEAR(C1330),INPC!$B$4:$O$29,MONTH(C1330)+1))</f>
        <v>120.15900000000001</v>
      </c>
      <c r="L1330" s="462">
        <f>IF(S1330=0,0,VLOOKUP(YEAR(S1330),INPC!$B$4:$O$29,MONTH(S1330)+1))</f>
        <v>121.02200000000001</v>
      </c>
      <c r="M1330" s="463">
        <f t="shared" si="176"/>
        <v>1.0071000000000001</v>
      </c>
      <c r="N1330" s="465">
        <f t="shared" si="177"/>
        <v>643.49661600000013</v>
      </c>
      <c r="O1330" s="179"/>
      <c r="P1330" s="180">
        <v>18</v>
      </c>
      <c r="Q1330" s="173" t="s">
        <v>583</v>
      </c>
      <c r="R1330" s="173" t="s">
        <v>230</v>
      </c>
      <c r="S1330" s="174">
        <v>44692</v>
      </c>
      <c r="T1330" s="173" t="s">
        <v>33</v>
      </c>
      <c r="U1330" s="182">
        <v>290.88529411764705</v>
      </c>
      <c r="V1330" s="177">
        <f>IF(U1330=0,0,IF(T1330="MXN",1/HLOOKUP(YEAR(S1330)+(MONTH(S1330)/100),TC!$5:$37,DAY(S1330)+2,FALSE),VLOOKUP(T1330,Equivalencia!$1:$23,((MAX(Equivalencia!$3:$3)-YEAR(S1330))*14)+MONTH(S1330)+2,FALSE)))</f>
        <v>1</v>
      </c>
      <c r="W1330" s="178">
        <f t="shared" si="178"/>
        <v>290.88529411764705</v>
      </c>
      <c r="X1330" s="481">
        <f t="shared" si="179"/>
        <v>-348.07470588235299</v>
      </c>
      <c r="Y1330" s="179"/>
      <c r="Z1330" s="466">
        <f t="shared" si="180"/>
        <v>643.49661600000013</v>
      </c>
      <c r="AA1330" s="473">
        <f t="shared" si="181"/>
        <v>-352.61132188235308</v>
      </c>
      <c r="AB1330" s="339">
        <f t="shared" si="182"/>
        <v>-0.54475194985969855</v>
      </c>
    </row>
    <row r="1331" spans="2:28" ht="20.100000000000001" customHeight="1">
      <c r="B1331" s="172">
        <v>1427200</v>
      </c>
      <c r="C1331" s="174">
        <v>44638</v>
      </c>
      <c r="D1331" s="181" t="s">
        <v>372</v>
      </c>
      <c r="E1331" s="173" t="s">
        <v>33</v>
      </c>
      <c r="F1331" s="176">
        <v>633.66</v>
      </c>
      <c r="G1331" s="175">
        <f t="shared" si="173"/>
        <v>16</v>
      </c>
      <c r="H1331" s="175">
        <f t="shared" si="174"/>
        <v>633.66</v>
      </c>
      <c r="I1331" s="177">
        <f>IF(G1331=0,0,IF(E1331="MXN",1/HLOOKUP(YEAR(C1331)+(MONTH(C1331)/100),TC!$5:$37,DAY(C1331)+2,FALSE),VLOOKUP(E1331,Equivalencia!$5:$23,((MAX(Equivalencia!$3:$3)-YEAR(C1331))*14)+MONTH(C1331)+2,FALSE)))</f>
        <v>1</v>
      </c>
      <c r="J1331" s="178">
        <f t="shared" si="175"/>
        <v>633.66</v>
      </c>
      <c r="K1331" s="462">
        <f>IF(C1331=0,0,VLOOKUP(YEAR(C1331),INPC!$B$4:$O$29,MONTH(C1331)+1))</f>
        <v>120.15900000000001</v>
      </c>
      <c r="L1331" s="462">
        <f>IF(S1331=0,0,VLOOKUP(YEAR(S1331),INPC!$B$4:$O$29,MONTH(S1331)+1))</f>
        <v>121.02200000000001</v>
      </c>
      <c r="M1331" s="463">
        <f t="shared" si="176"/>
        <v>1.0071000000000001</v>
      </c>
      <c r="N1331" s="465">
        <f t="shared" si="177"/>
        <v>638.15898600000003</v>
      </c>
      <c r="O1331" s="179"/>
      <c r="P1331" s="180">
        <v>16</v>
      </c>
      <c r="Q1331" s="173" t="s">
        <v>583</v>
      </c>
      <c r="R1331" s="173" t="s">
        <v>230</v>
      </c>
      <c r="S1331" s="174">
        <v>44692</v>
      </c>
      <c r="T1331" s="173" t="s">
        <v>33</v>
      </c>
      <c r="U1331" s="182">
        <v>258.56470588235294</v>
      </c>
      <c r="V1331" s="177">
        <f>IF(U1331=0,0,IF(T1331="MXN",1/HLOOKUP(YEAR(S1331)+(MONTH(S1331)/100),TC!$5:$37,DAY(S1331)+2,FALSE),VLOOKUP(T1331,Equivalencia!$1:$23,((MAX(Equivalencia!$3:$3)-YEAR(S1331))*14)+MONTH(S1331)+2,FALSE)))</f>
        <v>1</v>
      </c>
      <c r="W1331" s="178">
        <f t="shared" si="178"/>
        <v>258.56470588235294</v>
      </c>
      <c r="X1331" s="481">
        <f t="shared" si="179"/>
        <v>-375.09529411764703</v>
      </c>
      <c r="Y1331" s="179"/>
      <c r="Z1331" s="466">
        <f t="shared" si="180"/>
        <v>638.15898600000003</v>
      </c>
      <c r="AA1331" s="473">
        <f t="shared" si="181"/>
        <v>-379.59428011764709</v>
      </c>
      <c r="AB1331" s="339">
        <f t="shared" si="182"/>
        <v>-0.59195040576594238</v>
      </c>
    </row>
    <row r="1332" spans="2:28" ht="20.100000000000001" customHeight="1">
      <c r="B1332" s="172">
        <v>1427200</v>
      </c>
      <c r="C1332" s="174">
        <v>44641</v>
      </c>
      <c r="D1332" s="181" t="s">
        <v>372</v>
      </c>
      <c r="E1332" s="173" t="s">
        <v>33</v>
      </c>
      <c r="F1332" s="176">
        <v>860.8</v>
      </c>
      <c r="G1332" s="175">
        <f t="shared" si="173"/>
        <v>20</v>
      </c>
      <c r="H1332" s="175">
        <f t="shared" si="174"/>
        <v>860.8</v>
      </c>
      <c r="I1332" s="177">
        <f>IF(G1332=0,0,IF(E1332="MXN",1/HLOOKUP(YEAR(C1332)+(MONTH(C1332)/100),TC!$5:$37,DAY(C1332)+2,FALSE),VLOOKUP(E1332,Equivalencia!$5:$23,((MAX(Equivalencia!$3:$3)-YEAR(C1332))*14)+MONTH(C1332)+2,FALSE)))</f>
        <v>1</v>
      </c>
      <c r="J1332" s="178">
        <f t="shared" si="175"/>
        <v>860.8</v>
      </c>
      <c r="K1332" s="462">
        <f>IF(C1332=0,0,VLOOKUP(YEAR(C1332),INPC!$B$4:$O$29,MONTH(C1332)+1))</f>
        <v>120.15900000000001</v>
      </c>
      <c r="L1332" s="462">
        <f>IF(S1332=0,0,VLOOKUP(YEAR(S1332),INPC!$B$4:$O$29,MONTH(S1332)+1))</f>
        <v>121.02200000000001</v>
      </c>
      <c r="M1332" s="463">
        <f t="shared" si="176"/>
        <v>1.0071000000000001</v>
      </c>
      <c r="N1332" s="465">
        <f t="shared" si="177"/>
        <v>866.91168000000005</v>
      </c>
      <c r="O1332" s="179"/>
      <c r="P1332" s="180">
        <v>20</v>
      </c>
      <c r="Q1332" s="173" t="s">
        <v>583</v>
      </c>
      <c r="R1332" s="173" t="s">
        <v>230</v>
      </c>
      <c r="S1332" s="174">
        <v>44692</v>
      </c>
      <c r="T1332" s="173" t="s">
        <v>33</v>
      </c>
      <c r="U1332" s="182">
        <v>323.20588235294116</v>
      </c>
      <c r="V1332" s="177">
        <f>IF(U1332=0,0,IF(T1332="MXN",1/HLOOKUP(YEAR(S1332)+(MONTH(S1332)/100),TC!$5:$37,DAY(S1332)+2,FALSE),VLOOKUP(T1332,Equivalencia!$1:$23,((MAX(Equivalencia!$3:$3)-YEAR(S1332))*14)+MONTH(S1332)+2,FALSE)))</f>
        <v>1</v>
      </c>
      <c r="W1332" s="178">
        <f t="shared" si="178"/>
        <v>323.20588235294116</v>
      </c>
      <c r="X1332" s="481">
        <f t="shared" si="179"/>
        <v>-537.59411764705874</v>
      </c>
      <c r="Y1332" s="179"/>
      <c r="Z1332" s="466">
        <f t="shared" si="180"/>
        <v>866.91168000000005</v>
      </c>
      <c r="AA1332" s="473">
        <f t="shared" si="181"/>
        <v>-543.70579764705894</v>
      </c>
      <c r="AB1332" s="339">
        <f t="shared" si="182"/>
        <v>-0.62452848239667613</v>
      </c>
    </row>
    <row r="1333" spans="2:28" ht="20.100000000000001" customHeight="1">
      <c r="B1333" s="172">
        <v>1427200</v>
      </c>
      <c r="C1333" s="174">
        <v>44503</v>
      </c>
      <c r="D1333" s="181" t="s">
        <v>374</v>
      </c>
      <c r="E1333" s="173" t="s">
        <v>33</v>
      </c>
      <c r="F1333" s="176">
        <v>5912.64</v>
      </c>
      <c r="G1333" s="175">
        <f t="shared" si="173"/>
        <v>36</v>
      </c>
      <c r="H1333" s="175">
        <f t="shared" si="174"/>
        <v>5912.64</v>
      </c>
      <c r="I1333" s="177">
        <f>IF(G1333=0,0,IF(E1333="MXN",1/HLOOKUP(YEAR(C1333)+(MONTH(C1333)/100),TC!$5:$37,DAY(C1333)+2,FALSE),VLOOKUP(E1333,Equivalencia!$5:$23,((MAX(Equivalencia!$3:$3)-YEAR(C1333))*14)+MONTH(C1333)+2,FALSE)))</f>
        <v>1</v>
      </c>
      <c r="J1333" s="178">
        <f t="shared" si="175"/>
        <v>5912.64</v>
      </c>
      <c r="K1333" s="462">
        <f>IF(C1333=0,0,VLOOKUP(YEAR(C1333),INPC!$B$4:$O$29,MONTH(C1333)+1))</f>
        <v>116.884</v>
      </c>
      <c r="L1333" s="462">
        <f>IF(S1333=0,0,VLOOKUP(YEAR(S1333),INPC!$B$4:$O$29,MONTH(S1333)+1))</f>
        <v>120.15900000000001</v>
      </c>
      <c r="M1333" s="463">
        <f t="shared" si="176"/>
        <v>1.028</v>
      </c>
      <c r="N1333" s="465">
        <f t="shared" si="177"/>
        <v>6078.1939200000006</v>
      </c>
      <c r="O1333" s="179"/>
      <c r="P1333" s="180">
        <v>36</v>
      </c>
      <c r="Q1333" s="173" t="s">
        <v>583</v>
      </c>
      <c r="R1333" s="173" t="s">
        <v>230</v>
      </c>
      <c r="S1333" s="174">
        <v>44634</v>
      </c>
      <c r="T1333" s="173" t="s">
        <v>33</v>
      </c>
      <c r="U1333" s="182">
        <v>2891.99</v>
      </c>
      <c r="V1333" s="177">
        <f>IF(U1333=0,0,IF(T1333="MXN",1/HLOOKUP(YEAR(S1333)+(MONTH(S1333)/100),TC!$5:$37,DAY(S1333)+2,FALSE),VLOOKUP(T1333,Equivalencia!$1:$23,((MAX(Equivalencia!$3:$3)-YEAR(S1333))*14)+MONTH(S1333)+2,FALSE)))</f>
        <v>1</v>
      </c>
      <c r="W1333" s="178">
        <f t="shared" si="178"/>
        <v>2891.99</v>
      </c>
      <c r="X1333" s="481">
        <f t="shared" si="179"/>
        <v>-3020.6500000000005</v>
      </c>
      <c r="Y1333" s="179"/>
      <c r="Z1333" s="466">
        <f t="shared" si="180"/>
        <v>6078.1939200000006</v>
      </c>
      <c r="AA1333" s="473">
        <f t="shared" si="181"/>
        <v>-3186.2039200000008</v>
      </c>
      <c r="AB1333" s="339">
        <f t="shared" si="182"/>
        <v>-0.51088008064079671</v>
      </c>
    </row>
    <row r="1334" spans="2:28" ht="20.100000000000001" customHeight="1">
      <c r="B1334" s="172">
        <v>1427200</v>
      </c>
      <c r="C1334" s="174">
        <v>44503</v>
      </c>
      <c r="D1334" s="181" t="s">
        <v>374</v>
      </c>
      <c r="E1334" s="173" t="s">
        <v>33</v>
      </c>
      <c r="F1334" s="176">
        <v>6569.6</v>
      </c>
      <c r="G1334" s="175">
        <f t="shared" si="173"/>
        <v>40</v>
      </c>
      <c r="H1334" s="175">
        <f t="shared" si="174"/>
        <v>6569.6</v>
      </c>
      <c r="I1334" s="177">
        <f>IF(G1334=0,0,IF(E1334="MXN",1/HLOOKUP(YEAR(C1334)+(MONTH(C1334)/100),TC!$5:$37,DAY(C1334)+2,FALSE),VLOOKUP(E1334,Equivalencia!$5:$23,((MAX(Equivalencia!$3:$3)-YEAR(C1334))*14)+MONTH(C1334)+2,FALSE)))</f>
        <v>1</v>
      </c>
      <c r="J1334" s="178">
        <f t="shared" si="175"/>
        <v>6569.6</v>
      </c>
      <c r="K1334" s="462">
        <f>IF(C1334=0,0,VLOOKUP(YEAR(C1334),INPC!$B$4:$O$29,MONTH(C1334)+1))</f>
        <v>116.884</v>
      </c>
      <c r="L1334" s="462">
        <f>IF(S1334=0,0,VLOOKUP(YEAR(S1334),INPC!$B$4:$O$29,MONTH(S1334)+1))</f>
        <v>120.15900000000001</v>
      </c>
      <c r="M1334" s="463">
        <f t="shared" si="176"/>
        <v>1.028</v>
      </c>
      <c r="N1334" s="465">
        <f t="shared" si="177"/>
        <v>6753.5488000000005</v>
      </c>
      <c r="O1334" s="179"/>
      <c r="P1334" s="180">
        <v>40</v>
      </c>
      <c r="Q1334" s="173" t="s">
        <v>583</v>
      </c>
      <c r="R1334" s="173" t="s">
        <v>230</v>
      </c>
      <c r="S1334" s="174">
        <v>44634</v>
      </c>
      <c r="T1334" s="173" t="s">
        <v>33</v>
      </c>
      <c r="U1334" s="182">
        <v>3154.3764705882354</v>
      </c>
      <c r="V1334" s="177">
        <f>IF(U1334=0,0,IF(T1334="MXN",1/HLOOKUP(YEAR(S1334)+(MONTH(S1334)/100),TC!$5:$37,DAY(S1334)+2,FALSE),VLOOKUP(T1334,Equivalencia!$1:$23,((MAX(Equivalencia!$3:$3)-YEAR(S1334))*14)+MONTH(S1334)+2,FALSE)))</f>
        <v>1</v>
      </c>
      <c r="W1334" s="178">
        <f t="shared" si="178"/>
        <v>3154.3764705882354</v>
      </c>
      <c r="X1334" s="481">
        <f t="shared" si="179"/>
        <v>-3415.223529411765</v>
      </c>
      <c r="Y1334" s="179"/>
      <c r="Z1334" s="466">
        <f t="shared" si="180"/>
        <v>6753.5488000000005</v>
      </c>
      <c r="AA1334" s="473">
        <f t="shared" si="181"/>
        <v>-3599.1723294117651</v>
      </c>
      <c r="AB1334" s="339">
        <f t="shared" si="182"/>
        <v>-0.51985258302054382</v>
      </c>
    </row>
    <row r="1335" spans="2:28" ht="20.100000000000001" customHeight="1">
      <c r="B1335" s="172">
        <v>1427200</v>
      </c>
      <c r="C1335" s="174">
        <v>44537</v>
      </c>
      <c r="D1335" s="181" t="s">
        <v>374</v>
      </c>
      <c r="E1335" s="173" t="s">
        <v>33</v>
      </c>
      <c r="F1335" s="176">
        <v>1378.68</v>
      </c>
      <c r="G1335" s="175">
        <f t="shared" si="173"/>
        <v>11</v>
      </c>
      <c r="H1335" s="175">
        <f t="shared" si="174"/>
        <v>1378.68</v>
      </c>
      <c r="I1335" s="177">
        <f>IF(G1335=0,0,IF(E1335="MXN",1/HLOOKUP(YEAR(C1335)+(MONTH(C1335)/100),TC!$5:$37,DAY(C1335)+2,FALSE),VLOOKUP(E1335,Equivalencia!$5:$23,((MAX(Equivalencia!$3:$3)-YEAR(C1335))*14)+MONTH(C1335)+2,FALSE)))</f>
        <v>1</v>
      </c>
      <c r="J1335" s="178">
        <f t="shared" si="175"/>
        <v>1378.68</v>
      </c>
      <c r="K1335" s="462">
        <f>IF(C1335=0,0,VLOOKUP(YEAR(C1335),INPC!$B$4:$O$29,MONTH(C1335)+1))</f>
        <v>117.30800000000001</v>
      </c>
      <c r="L1335" s="462">
        <f>IF(S1335=0,0,VLOOKUP(YEAR(S1335),INPC!$B$4:$O$29,MONTH(S1335)+1))</f>
        <v>120.15900000000001</v>
      </c>
      <c r="M1335" s="463">
        <f t="shared" si="176"/>
        <v>1.0243</v>
      </c>
      <c r="N1335" s="465">
        <f t="shared" si="177"/>
        <v>1412.181924</v>
      </c>
      <c r="O1335" s="179"/>
      <c r="P1335" s="180">
        <v>11</v>
      </c>
      <c r="Q1335" s="173" t="s">
        <v>583</v>
      </c>
      <c r="R1335" s="173" t="s">
        <v>230</v>
      </c>
      <c r="S1335" s="174">
        <v>44634</v>
      </c>
      <c r="T1335" s="173" t="s">
        <v>33</v>
      </c>
      <c r="U1335" s="182">
        <v>867.45352941176475</v>
      </c>
      <c r="V1335" s="177">
        <f>IF(U1335=0,0,IF(T1335="MXN",1/HLOOKUP(YEAR(S1335)+(MONTH(S1335)/100),TC!$5:$37,DAY(S1335)+2,FALSE),VLOOKUP(T1335,Equivalencia!$1:$23,((MAX(Equivalencia!$3:$3)-YEAR(S1335))*14)+MONTH(S1335)+2,FALSE)))</f>
        <v>1</v>
      </c>
      <c r="W1335" s="178">
        <f t="shared" si="178"/>
        <v>867.45352941176475</v>
      </c>
      <c r="X1335" s="481">
        <f t="shared" si="179"/>
        <v>-511.22647058823532</v>
      </c>
      <c r="Y1335" s="179"/>
      <c r="Z1335" s="466">
        <f t="shared" si="180"/>
        <v>1412.181924</v>
      </c>
      <c r="AA1335" s="473">
        <f t="shared" si="181"/>
        <v>-544.72839458823523</v>
      </c>
      <c r="AB1335" s="339">
        <f t="shared" si="182"/>
        <v>-0.37080865072985414</v>
      </c>
    </row>
    <row r="1336" spans="2:28" ht="20.100000000000001" customHeight="1">
      <c r="B1336" s="172"/>
      <c r="C1336" s="174"/>
      <c r="D1336" s="181"/>
      <c r="E1336" s="173"/>
      <c r="F1336" s="176"/>
      <c r="G1336" s="175">
        <f t="shared" si="173"/>
        <v>0</v>
      </c>
      <c r="H1336" s="175">
        <f t="shared" si="174"/>
        <v>0</v>
      </c>
      <c r="I1336" s="177">
        <f>IF(G1336=0,0,IF(E1336="MXN",1/HLOOKUP(YEAR(C1336)+(MONTH(C1336)/100),TC!$5:$37,DAY(C1336)+2,FALSE),VLOOKUP(E1336,Equivalencia!$5:$23,((MAX(Equivalencia!$3:$3)-YEAR(C1336))*14)+MONTH(C1336)+2,FALSE)))</f>
        <v>0</v>
      </c>
      <c r="J1336" s="178">
        <f t="shared" si="175"/>
        <v>0</v>
      </c>
      <c r="K1336" s="462">
        <f>IF(C1336=0,0,VLOOKUP(YEAR(C1336),INPC!$B$4:$O$29,MONTH(C1336)+1))</f>
        <v>0</v>
      </c>
      <c r="L1336" s="462">
        <f>IF(S1336=0,0,VLOOKUP(YEAR(S1336),INPC!$B$4:$O$29,MONTH(S1336)+1))</f>
        <v>0</v>
      </c>
      <c r="M1336" s="463">
        <f t="shared" si="176"/>
        <v>0</v>
      </c>
      <c r="N1336" s="465">
        <f t="shared" si="177"/>
        <v>0</v>
      </c>
      <c r="O1336" s="179"/>
      <c r="P1336" s="180"/>
      <c r="Q1336" s="173"/>
      <c r="R1336" s="173"/>
      <c r="S1336" s="174"/>
      <c r="T1336" s="173"/>
      <c r="U1336" s="182"/>
      <c r="V1336" s="177">
        <f>IF(U1336=0,0,IF(T1336="MXN",1/HLOOKUP(YEAR(S1336)+(MONTH(S1336)/100),TC!$5:$37,DAY(S1336)+2,FALSE),VLOOKUP(T1336,Equivalencia!$1:$23,((MAX(Equivalencia!$3:$3)-YEAR(S1336))*14)+MONTH(S1336)+2,FALSE)))</f>
        <v>0</v>
      </c>
      <c r="W1336" s="178">
        <f t="shared" si="178"/>
        <v>0</v>
      </c>
      <c r="X1336" s="481">
        <f t="shared" si="179"/>
        <v>0</v>
      </c>
      <c r="Y1336" s="179"/>
      <c r="Z1336" s="466">
        <f t="shared" si="180"/>
        <v>0</v>
      </c>
      <c r="AA1336" s="473">
        <f t="shared" si="181"/>
        <v>0</v>
      </c>
      <c r="AB1336" s="339">
        <f t="shared" si="182"/>
        <v>0</v>
      </c>
    </row>
    <row r="1337" spans="2:28" ht="20.100000000000001" customHeight="1">
      <c r="B1337" s="172">
        <v>1427200</v>
      </c>
      <c r="C1337" s="174">
        <v>44503</v>
      </c>
      <c r="D1337" s="181" t="s">
        <v>379</v>
      </c>
      <c r="E1337" s="173" t="s">
        <v>33</v>
      </c>
      <c r="F1337" s="176">
        <v>1073.21</v>
      </c>
      <c r="G1337" s="175">
        <f t="shared" si="173"/>
        <v>17</v>
      </c>
      <c r="H1337" s="175">
        <f t="shared" si="174"/>
        <v>1073.21</v>
      </c>
      <c r="I1337" s="177">
        <f>IF(G1337=0,0,IF(E1337="MXN",1/HLOOKUP(YEAR(C1337)+(MONTH(C1337)/100),TC!$5:$37,DAY(C1337)+2,FALSE),VLOOKUP(E1337,Equivalencia!$5:$23,((MAX(Equivalencia!$3:$3)-YEAR(C1337))*14)+MONTH(C1337)+2,FALSE)))</f>
        <v>1</v>
      </c>
      <c r="J1337" s="178">
        <f t="shared" si="175"/>
        <v>1073.21</v>
      </c>
      <c r="K1337" s="462">
        <f>IF(C1337=0,0,VLOOKUP(YEAR(C1337),INPC!$B$4:$O$29,MONTH(C1337)+1))</f>
        <v>116.884</v>
      </c>
      <c r="L1337" s="462">
        <f>IF(S1337=0,0,VLOOKUP(YEAR(S1337),INPC!$B$4:$O$29,MONTH(S1337)+1))</f>
        <v>118.98099999999999</v>
      </c>
      <c r="M1337" s="463">
        <f t="shared" si="176"/>
        <v>1.0179</v>
      </c>
      <c r="N1337" s="465">
        <f t="shared" si="177"/>
        <v>1092.4204590000002</v>
      </c>
      <c r="O1337" s="179"/>
      <c r="P1337" s="180">
        <v>17</v>
      </c>
      <c r="Q1337" s="173" t="s">
        <v>583</v>
      </c>
      <c r="R1337" s="173" t="s">
        <v>230</v>
      </c>
      <c r="S1337" s="174">
        <v>44617</v>
      </c>
      <c r="T1337" s="173" t="s">
        <v>33</v>
      </c>
      <c r="U1337" s="182">
        <v>809</v>
      </c>
      <c r="V1337" s="177">
        <f>IF(U1337=0,0,IF(T1337="MXN",1/HLOOKUP(YEAR(S1337)+(MONTH(S1337)/100),TC!$5:$37,DAY(S1337)+2,FALSE),VLOOKUP(T1337,Equivalencia!$1:$23,((MAX(Equivalencia!$3:$3)-YEAR(S1337))*14)+MONTH(S1337)+2,FALSE)))</f>
        <v>1</v>
      </c>
      <c r="W1337" s="178">
        <f t="shared" si="178"/>
        <v>809</v>
      </c>
      <c r="X1337" s="481">
        <f t="shared" si="179"/>
        <v>-264.21000000000004</v>
      </c>
      <c r="Y1337" s="179"/>
      <c r="Z1337" s="466">
        <f t="shared" si="180"/>
        <v>1092.4204590000002</v>
      </c>
      <c r="AA1337" s="473">
        <f t="shared" si="181"/>
        <v>-283.42045900000016</v>
      </c>
      <c r="AB1337" s="339">
        <f t="shared" si="182"/>
        <v>-0.24618667362398783</v>
      </c>
    </row>
    <row r="1338" spans="2:28" ht="20.100000000000001" customHeight="1">
      <c r="B1338" s="172">
        <v>1427200</v>
      </c>
      <c r="C1338" s="174">
        <v>44503</v>
      </c>
      <c r="D1338" s="181" t="s">
        <v>379</v>
      </c>
      <c r="E1338" s="173" t="s">
        <v>33</v>
      </c>
      <c r="F1338" s="176">
        <v>126.26</v>
      </c>
      <c r="G1338" s="175">
        <f t="shared" si="173"/>
        <v>2</v>
      </c>
      <c r="H1338" s="175">
        <f t="shared" si="174"/>
        <v>126.26</v>
      </c>
      <c r="I1338" s="177">
        <f>IF(G1338=0,0,IF(E1338="MXN",1/HLOOKUP(YEAR(C1338)+(MONTH(C1338)/100),TC!$5:$37,DAY(C1338)+2,FALSE),VLOOKUP(E1338,Equivalencia!$5:$23,((MAX(Equivalencia!$3:$3)-YEAR(C1338))*14)+MONTH(C1338)+2,FALSE)))</f>
        <v>1</v>
      </c>
      <c r="J1338" s="178">
        <f t="shared" si="175"/>
        <v>126.26</v>
      </c>
      <c r="K1338" s="462">
        <f>IF(C1338=0,0,VLOOKUP(YEAR(C1338),INPC!$B$4:$O$29,MONTH(C1338)+1))</f>
        <v>116.884</v>
      </c>
      <c r="L1338" s="462">
        <f>IF(S1338=0,0,VLOOKUP(YEAR(S1338),INPC!$B$4:$O$29,MONTH(S1338)+1))</f>
        <v>118.98099999999999</v>
      </c>
      <c r="M1338" s="463">
        <f t="shared" si="176"/>
        <v>1.0179</v>
      </c>
      <c r="N1338" s="465">
        <f t="shared" si="177"/>
        <v>128.52005400000002</v>
      </c>
      <c r="O1338" s="179"/>
      <c r="P1338" s="180">
        <v>2</v>
      </c>
      <c r="Q1338" s="173" t="s">
        <v>583</v>
      </c>
      <c r="R1338" s="173" t="s">
        <v>230</v>
      </c>
      <c r="S1338" s="174">
        <v>44617</v>
      </c>
      <c r="T1338" s="173" t="s">
        <v>33</v>
      </c>
      <c r="U1338" s="182">
        <v>94.92</v>
      </c>
      <c r="V1338" s="177">
        <f>IF(U1338=0,0,IF(T1338="MXN",1/HLOOKUP(YEAR(S1338)+(MONTH(S1338)/100),TC!$5:$37,DAY(S1338)+2,FALSE),VLOOKUP(T1338,Equivalencia!$1:$23,((MAX(Equivalencia!$3:$3)-YEAR(S1338))*14)+MONTH(S1338)+2,FALSE)))</f>
        <v>1</v>
      </c>
      <c r="W1338" s="178">
        <f t="shared" si="178"/>
        <v>94.92</v>
      </c>
      <c r="X1338" s="481">
        <f t="shared" si="179"/>
        <v>-31.340000000000003</v>
      </c>
      <c r="Y1338" s="179"/>
      <c r="Z1338" s="466">
        <f t="shared" si="180"/>
        <v>128.52005400000002</v>
      </c>
      <c r="AA1338" s="473">
        <f t="shared" si="181"/>
        <v>-33.600054000000014</v>
      </c>
      <c r="AB1338" s="339">
        <f t="shared" si="182"/>
        <v>-0.24821796293362908</v>
      </c>
    </row>
    <row r="1339" spans="2:28" ht="20.100000000000001" customHeight="1">
      <c r="B1339" s="172">
        <v>1427200</v>
      </c>
      <c r="C1339" s="174">
        <v>44503</v>
      </c>
      <c r="D1339" s="181" t="s">
        <v>379</v>
      </c>
      <c r="E1339" s="173" t="s">
        <v>33</v>
      </c>
      <c r="F1339" s="176">
        <v>189.39000000000001</v>
      </c>
      <c r="G1339" s="175">
        <f t="shared" si="173"/>
        <v>3</v>
      </c>
      <c r="H1339" s="175">
        <f t="shared" si="174"/>
        <v>189.39000000000001</v>
      </c>
      <c r="I1339" s="177">
        <f>IF(G1339=0,0,IF(E1339="MXN",1/HLOOKUP(YEAR(C1339)+(MONTH(C1339)/100),TC!$5:$37,DAY(C1339)+2,FALSE),VLOOKUP(E1339,Equivalencia!$5:$23,((MAX(Equivalencia!$3:$3)-YEAR(C1339))*14)+MONTH(C1339)+2,FALSE)))</f>
        <v>1</v>
      </c>
      <c r="J1339" s="178">
        <f t="shared" si="175"/>
        <v>189.39000000000001</v>
      </c>
      <c r="K1339" s="462">
        <f>IF(C1339=0,0,VLOOKUP(YEAR(C1339),INPC!$B$4:$O$29,MONTH(C1339)+1))</f>
        <v>116.884</v>
      </c>
      <c r="L1339" s="462">
        <f>IF(S1339=0,0,VLOOKUP(YEAR(S1339),INPC!$B$4:$O$29,MONTH(S1339)+1))</f>
        <v>118.98099999999999</v>
      </c>
      <c r="M1339" s="463">
        <f t="shared" si="176"/>
        <v>1.0179</v>
      </c>
      <c r="N1339" s="465">
        <f t="shared" si="177"/>
        <v>192.78008100000002</v>
      </c>
      <c r="O1339" s="179"/>
      <c r="P1339" s="180">
        <v>3</v>
      </c>
      <c r="Q1339" s="173" t="s">
        <v>583</v>
      </c>
      <c r="R1339" s="173" t="s">
        <v>230</v>
      </c>
      <c r="S1339" s="174">
        <v>44617</v>
      </c>
      <c r="T1339" s="173" t="s">
        <v>33</v>
      </c>
      <c r="U1339" s="182">
        <v>142.35</v>
      </c>
      <c r="V1339" s="177">
        <f>IF(U1339=0,0,IF(T1339="MXN",1/HLOOKUP(YEAR(S1339)+(MONTH(S1339)/100),TC!$5:$37,DAY(S1339)+2,FALSE),VLOOKUP(T1339,Equivalencia!$1:$23,((MAX(Equivalencia!$3:$3)-YEAR(S1339))*14)+MONTH(S1339)+2,FALSE)))</f>
        <v>1</v>
      </c>
      <c r="W1339" s="178">
        <f t="shared" si="178"/>
        <v>142.35</v>
      </c>
      <c r="X1339" s="481">
        <f t="shared" si="179"/>
        <v>-47.04000000000002</v>
      </c>
      <c r="Y1339" s="179"/>
      <c r="Z1339" s="466">
        <f t="shared" si="180"/>
        <v>192.78008100000002</v>
      </c>
      <c r="AA1339" s="473">
        <f t="shared" si="181"/>
        <v>-50.43008100000003</v>
      </c>
      <c r="AB1339" s="339">
        <f t="shared" si="182"/>
        <v>-0.24837636622841763</v>
      </c>
    </row>
    <row r="1340" spans="2:28" ht="20.100000000000001" customHeight="1">
      <c r="B1340" s="172">
        <v>1427200</v>
      </c>
      <c r="C1340" s="174">
        <v>44503</v>
      </c>
      <c r="D1340" s="181" t="s">
        <v>379</v>
      </c>
      <c r="E1340" s="173" t="s">
        <v>33</v>
      </c>
      <c r="F1340" s="176">
        <v>252.52</v>
      </c>
      <c r="G1340" s="175">
        <f t="shared" si="173"/>
        <v>4</v>
      </c>
      <c r="H1340" s="175">
        <f t="shared" si="174"/>
        <v>252.52</v>
      </c>
      <c r="I1340" s="177">
        <f>IF(G1340=0,0,IF(E1340="MXN",1/HLOOKUP(YEAR(C1340)+(MONTH(C1340)/100),TC!$5:$37,DAY(C1340)+2,FALSE),VLOOKUP(E1340,Equivalencia!$5:$23,((MAX(Equivalencia!$3:$3)-YEAR(C1340))*14)+MONTH(C1340)+2,FALSE)))</f>
        <v>1</v>
      </c>
      <c r="J1340" s="178">
        <f t="shared" si="175"/>
        <v>252.52</v>
      </c>
      <c r="K1340" s="462">
        <f>IF(C1340=0,0,VLOOKUP(YEAR(C1340),INPC!$B$4:$O$29,MONTH(C1340)+1))</f>
        <v>116.884</v>
      </c>
      <c r="L1340" s="462">
        <f>IF(S1340=0,0,VLOOKUP(YEAR(S1340),INPC!$B$4:$O$29,MONTH(S1340)+1))</f>
        <v>118.98099999999999</v>
      </c>
      <c r="M1340" s="463">
        <f t="shared" si="176"/>
        <v>1.0179</v>
      </c>
      <c r="N1340" s="465">
        <f t="shared" si="177"/>
        <v>257.04010800000003</v>
      </c>
      <c r="O1340" s="179"/>
      <c r="P1340" s="180">
        <v>4</v>
      </c>
      <c r="Q1340" s="173" t="s">
        <v>583</v>
      </c>
      <c r="R1340" s="173" t="s">
        <v>230</v>
      </c>
      <c r="S1340" s="174">
        <v>44617</v>
      </c>
      <c r="T1340" s="173" t="s">
        <v>33</v>
      </c>
      <c r="U1340" s="182">
        <v>191.06</v>
      </c>
      <c r="V1340" s="177">
        <f>IF(U1340=0,0,IF(T1340="MXN",1/HLOOKUP(YEAR(S1340)+(MONTH(S1340)/100),TC!$5:$37,DAY(S1340)+2,FALSE),VLOOKUP(T1340,Equivalencia!$1:$23,((MAX(Equivalencia!$3:$3)-YEAR(S1340))*14)+MONTH(S1340)+2,FALSE)))</f>
        <v>1</v>
      </c>
      <c r="W1340" s="178">
        <f t="shared" si="178"/>
        <v>191.06</v>
      </c>
      <c r="X1340" s="481">
        <f t="shared" si="179"/>
        <v>-61.460000000000008</v>
      </c>
      <c r="Y1340" s="179"/>
      <c r="Z1340" s="466">
        <f t="shared" si="180"/>
        <v>257.04010800000003</v>
      </c>
      <c r="AA1340" s="473">
        <f t="shared" si="181"/>
        <v>-65.98010800000003</v>
      </c>
      <c r="AB1340" s="339">
        <f t="shared" si="182"/>
        <v>-0.24338666244257878</v>
      </c>
    </row>
    <row r="1341" spans="2:28" ht="20.100000000000001" customHeight="1">
      <c r="B1341" s="172">
        <v>1427200</v>
      </c>
      <c r="C1341" s="174">
        <v>44503</v>
      </c>
      <c r="D1341" s="181" t="s">
        <v>379</v>
      </c>
      <c r="E1341" s="173" t="s">
        <v>33</v>
      </c>
      <c r="F1341" s="176">
        <v>694.43000000000006</v>
      </c>
      <c r="G1341" s="175">
        <f t="shared" si="173"/>
        <v>11</v>
      </c>
      <c r="H1341" s="175">
        <f t="shared" si="174"/>
        <v>694.43000000000006</v>
      </c>
      <c r="I1341" s="177">
        <f>IF(G1341=0,0,IF(E1341="MXN",1/HLOOKUP(YEAR(C1341)+(MONTH(C1341)/100),TC!$5:$37,DAY(C1341)+2,FALSE),VLOOKUP(E1341,Equivalencia!$5:$23,((MAX(Equivalencia!$3:$3)-YEAR(C1341))*14)+MONTH(C1341)+2,FALSE)))</f>
        <v>1</v>
      </c>
      <c r="J1341" s="178">
        <f t="shared" si="175"/>
        <v>694.43000000000006</v>
      </c>
      <c r="K1341" s="462">
        <f>IF(C1341=0,0,VLOOKUP(YEAR(C1341),INPC!$B$4:$O$29,MONTH(C1341)+1))</f>
        <v>116.884</v>
      </c>
      <c r="L1341" s="462">
        <f>IF(S1341=0,0,VLOOKUP(YEAR(S1341),INPC!$B$4:$O$29,MONTH(S1341)+1))</f>
        <v>118.98099999999999</v>
      </c>
      <c r="M1341" s="463">
        <f t="shared" si="176"/>
        <v>1.0179</v>
      </c>
      <c r="N1341" s="465">
        <f t="shared" si="177"/>
        <v>706.86029700000006</v>
      </c>
      <c r="O1341" s="179"/>
      <c r="P1341" s="180">
        <v>11</v>
      </c>
      <c r="Q1341" s="173" t="s">
        <v>583</v>
      </c>
      <c r="R1341" s="173" t="s">
        <v>230</v>
      </c>
      <c r="S1341" s="174">
        <v>44620</v>
      </c>
      <c r="T1341" s="173" t="s">
        <v>33</v>
      </c>
      <c r="U1341" s="182">
        <v>527.76</v>
      </c>
      <c r="V1341" s="177">
        <f>IF(U1341=0,0,IF(T1341="MXN",1/HLOOKUP(YEAR(S1341)+(MONTH(S1341)/100),TC!$5:$37,DAY(S1341)+2,FALSE),VLOOKUP(T1341,Equivalencia!$1:$23,((MAX(Equivalencia!$3:$3)-YEAR(S1341))*14)+MONTH(S1341)+2,FALSE)))</f>
        <v>1</v>
      </c>
      <c r="W1341" s="178">
        <f t="shared" si="178"/>
        <v>527.76</v>
      </c>
      <c r="X1341" s="481">
        <f t="shared" si="179"/>
        <v>-166.67000000000007</v>
      </c>
      <c r="Y1341" s="179"/>
      <c r="Z1341" s="466">
        <f t="shared" si="180"/>
        <v>706.86029700000006</v>
      </c>
      <c r="AA1341" s="473">
        <f t="shared" si="181"/>
        <v>-179.10029700000007</v>
      </c>
      <c r="AB1341" s="339">
        <f t="shared" si="182"/>
        <v>-0.24000979220367791</v>
      </c>
    </row>
    <row r="1342" spans="2:28" ht="20.100000000000001" customHeight="1">
      <c r="B1342" s="172">
        <v>1427200</v>
      </c>
      <c r="C1342" s="174">
        <v>44503</v>
      </c>
      <c r="D1342" s="181" t="s">
        <v>379</v>
      </c>
      <c r="E1342" s="173" t="s">
        <v>33</v>
      </c>
      <c r="F1342" s="176">
        <v>883.82</v>
      </c>
      <c r="G1342" s="175">
        <f t="shared" si="173"/>
        <v>14</v>
      </c>
      <c r="H1342" s="175">
        <f t="shared" si="174"/>
        <v>883.82</v>
      </c>
      <c r="I1342" s="177">
        <f>IF(G1342=0,0,IF(E1342="MXN",1/HLOOKUP(YEAR(C1342)+(MONTH(C1342)/100),TC!$5:$37,DAY(C1342)+2,FALSE),VLOOKUP(E1342,Equivalencia!$5:$23,((MAX(Equivalencia!$3:$3)-YEAR(C1342))*14)+MONTH(C1342)+2,FALSE)))</f>
        <v>1</v>
      </c>
      <c r="J1342" s="178">
        <f t="shared" si="175"/>
        <v>883.82</v>
      </c>
      <c r="K1342" s="462">
        <f>IF(C1342=0,0,VLOOKUP(YEAR(C1342),INPC!$B$4:$O$29,MONTH(C1342)+1))</f>
        <v>116.884</v>
      </c>
      <c r="L1342" s="462">
        <f>IF(S1342=0,0,VLOOKUP(YEAR(S1342),INPC!$B$4:$O$29,MONTH(S1342)+1))</f>
        <v>120.15900000000001</v>
      </c>
      <c r="M1342" s="463">
        <f t="shared" si="176"/>
        <v>1.028</v>
      </c>
      <c r="N1342" s="465">
        <f t="shared" si="177"/>
        <v>908.56696000000011</v>
      </c>
      <c r="O1342" s="179"/>
      <c r="P1342" s="180">
        <v>14</v>
      </c>
      <c r="Q1342" s="173" t="s">
        <v>583</v>
      </c>
      <c r="R1342" s="173" t="s">
        <v>230</v>
      </c>
      <c r="S1342" s="174">
        <v>44621</v>
      </c>
      <c r="T1342" s="173" t="s">
        <v>33</v>
      </c>
      <c r="U1342" s="182">
        <v>648</v>
      </c>
      <c r="V1342" s="177">
        <f>IF(U1342=0,0,IF(T1342="MXN",1/HLOOKUP(YEAR(S1342)+(MONTH(S1342)/100),TC!$5:$37,DAY(S1342)+2,FALSE),VLOOKUP(T1342,Equivalencia!$1:$23,((MAX(Equivalencia!$3:$3)-YEAR(S1342))*14)+MONTH(S1342)+2,FALSE)))</f>
        <v>1</v>
      </c>
      <c r="W1342" s="178">
        <f t="shared" si="178"/>
        <v>648</v>
      </c>
      <c r="X1342" s="481">
        <f t="shared" si="179"/>
        <v>-235.82000000000005</v>
      </c>
      <c r="Y1342" s="179"/>
      <c r="Z1342" s="466">
        <f t="shared" si="180"/>
        <v>908.56696000000011</v>
      </c>
      <c r="AA1342" s="473">
        <f t="shared" si="181"/>
        <v>-260.56696000000011</v>
      </c>
      <c r="AB1342" s="339">
        <f t="shared" si="182"/>
        <v>-0.26681903555022524</v>
      </c>
    </row>
    <row r="1343" spans="2:28" ht="20.100000000000001" customHeight="1">
      <c r="B1343" s="172">
        <v>1427200</v>
      </c>
      <c r="C1343" s="174">
        <v>44503</v>
      </c>
      <c r="D1343" s="181" t="s">
        <v>379</v>
      </c>
      <c r="E1343" s="173" t="s">
        <v>33</v>
      </c>
      <c r="F1343" s="176">
        <v>1641.38</v>
      </c>
      <c r="G1343" s="175">
        <f t="shared" si="173"/>
        <v>26</v>
      </c>
      <c r="H1343" s="175">
        <f t="shared" si="174"/>
        <v>1641.38</v>
      </c>
      <c r="I1343" s="177">
        <f>IF(G1343=0,0,IF(E1343="MXN",1/HLOOKUP(YEAR(C1343)+(MONTH(C1343)/100),TC!$5:$37,DAY(C1343)+2,FALSE),VLOOKUP(E1343,Equivalencia!$5:$23,((MAX(Equivalencia!$3:$3)-YEAR(C1343))*14)+MONTH(C1343)+2,FALSE)))</f>
        <v>1</v>
      </c>
      <c r="J1343" s="178">
        <f t="shared" si="175"/>
        <v>1641.38</v>
      </c>
      <c r="K1343" s="462">
        <f>IF(C1343=0,0,VLOOKUP(YEAR(C1343),INPC!$B$4:$O$29,MONTH(C1343)+1))</f>
        <v>116.884</v>
      </c>
      <c r="L1343" s="462">
        <f>IF(S1343=0,0,VLOOKUP(YEAR(S1343),INPC!$B$4:$O$29,MONTH(S1343)+1))</f>
        <v>120.15900000000001</v>
      </c>
      <c r="M1343" s="463">
        <f t="shared" si="176"/>
        <v>1.028</v>
      </c>
      <c r="N1343" s="465">
        <f t="shared" si="177"/>
        <v>1687.3386400000002</v>
      </c>
      <c r="O1343" s="179"/>
      <c r="P1343" s="180">
        <v>26</v>
      </c>
      <c r="Q1343" s="173" t="s">
        <v>583</v>
      </c>
      <c r="R1343" s="173" t="s">
        <v>230</v>
      </c>
      <c r="S1343" s="174">
        <v>44623</v>
      </c>
      <c r="T1343" s="173" t="s">
        <v>33</v>
      </c>
      <c r="U1343" s="182">
        <v>1294.93</v>
      </c>
      <c r="V1343" s="177">
        <f>IF(U1343=0,0,IF(T1343="MXN",1/HLOOKUP(YEAR(S1343)+(MONTH(S1343)/100),TC!$5:$37,DAY(S1343)+2,FALSE),VLOOKUP(T1343,Equivalencia!$1:$23,((MAX(Equivalencia!$3:$3)-YEAR(S1343))*14)+MONTH(S1343)+2,FALSE)))</f>
        <v>1</v>
      </c>
      <c r="W1343" s="178">
        <f t="shared" si="178"/>
        <v>1294.93</v>
      </c>
      <c r="X1343" s="481">
        <f t="shared" si="179"/>
        <v>-346.45000000000005</v>
      </c>
      <c r="Y1343" s="179"/>
      <c r="Z1343" s="466">
        <f t="shared" si="180"/>
        <v>1687.3386400000002</v>
      </c>
      <c r="AA1343" s="473">
        <f t="shared" si="181"/>
        <v>-392.4086400000001</v>
      </c>
      <c r="AB1343" s="339">
        <f t="shared" si="182"/>
        <v>-0.21107239030571834</v>
      </c>
    </row>
    <row r="1344" spans="2:28" ht="20.100000000000001" customHeight="1">
      <c r="B1344" s="172">
        <v>1427200</v>
      </c>
      <c r="C1344" s="174">
        <v>44503</v>
      </c>
      <c r="D1344" s="181" t="s">
        <v>379</v>
      </c>
      <c r="E1344" s="173" t="s">
        <v>33</v>
      </c>
      <c r="F1344" s="176">
        <v>2020.16</v>
      </c>
      <c r="G1344" s="175">
        <f t="shared" si="173"/>
        <v>32</v>
      </c>
      <c r="H1344" s="175">
        <f t="shared" si="174"/>
        <v>2020.16</v>
      </c>
      <c r="I1344" s="177">
        <f>IF(G1344=0,0,IF(E1344="MXN",1/HLOOKUP(YEAR(C1344)+(MONTH(C1344)/100),TC!$5:$37,DAY(C1344)+2,FALSE),VLOOKUP(E1344,Equivalencia!$5:$23,((MAX(Equivalencia!$3:$3)-YEAR(C1344))*14)+MONTH(C1344)+2,FALSE)))</f>
        <v>1</v>
      </c>
      <c r="J1344" s="178">
        <f t="shared" si="175"/>
        <v>2020.16</v>
      </c>
      <c r="K1344" s="462">
        <f>IF(C1344=0,0,VLOOKUP(YEAR(C1344),INPC!$B$4:$O$29,MONTH(C1344)+1))</f>
        <v>116.884</v>
      </c>
      <c r="L1344" s="462">
        <f>IF(S1344=0,0,VLOOKUP(YEAR(S1344),INPC!$B$4:$O$29,MONTH(S1344)+1))</f>
        <v>120.15900000000001</v>
      </c>
      <c r="M1344" s="463">
        <f t="shared" si="176"/>
        <v>1.028</v>
      </c>
      <c r="N1344" s="465">
        <f t="shared" si="177"/>
        <v>2076.7244800000003</v>
      </c>
      <c r="O1344" s="179"/>
      <c r="P1344" s="180">
        <v>32</v>
      </c>
      <c r="Q1344" s="173" t="s">
        <v>583</v>
      </c>
      <c r="R1344" s="173" t="s">
        <v>230</v>
      </c>
      <c r="S1344" s="174">
        <v>44642</v>
      </c>
      <c r="T1344" s="173" t="s">
        <v>33</v>
      </c>
      <c r="U1344" s="182">
        <v>2063.79</v>
      </c>
      <c r="V1344" s="177">
        <f>IF(U1344=0,0,IF(T1344="MXN",1/HLOOKUP(YEAR(S1344)+(MONTH(S1344)/100),TC!$5:$37,DAY(S1344)+2,FALSE),VLOOKUP(T1344,Equivalencia!$1:$23,((MAX(Equivalencia!$3:$3)-YEAR(S1344))*14)+MONTH(S1344)+2,FALSE)))</f>
        <v>1</v>
      </c>
      <c r="W1344" s="178">
        <f t="shared" si="178"/>
        <v>2063.79</v>
      </c>
      <c r="X1344" s="481">
        <f t="shared" si="179"/>
        <v>43.629999999999882</v>
      </c>
      <c r="Y1344" s="179"/>
      <c r="Z1344" s="466">
        <f t="shared" si="180"/>
        <v>2076.7244800000003</v>
      </c>
      <c r="AA1344" s="473">
        <f t="shared" si="181"/>
        <v>-12.934480000000349</v>
      </c>
      <c r="AB1344" s="339">
        <f t="shared" si="182"/>
        <v>2.1597299223823807E-2</v>
      </c>
    </row>
    <row r="1345" spans="2:28" ht="20.100000000000001" customHeight="1">
      <c r="B1345" s="172">
        <v>1427200</v>
      </c>
      <c r="C1345" s="174">
        <v>44503</v>
      </c>
      <c r="D1345" s="181" t="s">
        <v>379</v>
      </c>
      <c r="E1345" s="173" t="s">
        <v>33</v>
      </c>
      <c r="F1345" s="176">
        <v>2272.6800000000003</v>
      </c>
      <c r="G1345" s="175">
        <f t="shared" si="173"/>
        <v>36</v>
      </c>
      <c r="H1345" s="175">
        <f t="shared" si="174"/>
        <v>2272.6800000000003</v>
      </c>
      <c r="I1345" s="177">
        <f>IF(G1345=0,0,IF(E1345="MXN",1/HLOOKUP(YEAR(C1345)+(MONTH(C1345)/100),TC!$5:$37,DAY(C1345)+2,FALSE),VLOOKUP(E1345,Equivalencia!$5:$23,((MAX(Equivalencia!$3:$3)-YEAR(C1345))*14)+MONTH(C1345)+2,FALSE)))</f>
        <v>1</v>
      </c>
      <c r="J1345" s="178">
        <f t="shared" si="175"/>
        <v>2272.6800000000003</v>
      </c>
      <c r="K1345" s="462">
        <f>IF(C1345=0,0,VLOOKUP(YEAR(C1345),INPC!$B$4:$O$29,MONTH(C1345)+1))</f>
        <v>116.884</v>
      </c>
      <c r="L1345" s="462">
        <f>IF(S1345=0,0,VLOOKUP(YEAR(S1345),INPC!$B$4:$O$29,MONTH(S1345)+1))</f>
        <v>120.15900000000001</v>
      </c>
      <c r="M1345" s="463">
        <f t="shared" si="176"/>
        <v>1.028</v>
      </c>
      <c r="N1345" s="465">
        <f t="shared" si="177"/>
        <v>2336.3150400000004</v>
      </c>
      <c r="O1345" s="179"/>
      <c r="P1345" s="180">
        <v>36</v>
      </c>
      <c r="Q1345" s="173" t="s">
        <v>583</v>
      </c>
      <c r="R1345" s="173" t="s">
        <v>230</v>
      </c>
      <c r="S1345" s="174">
        <v>44643</v>
      </c>
      <c r="T1345" s="173" t="s">
        <v>33</v>
      </c>
      <c r="U1345" s="182">
        <v>2322.2745762711866</v>
      </c>
      <c r="V1345" s="177">
        <f>IF(U1345=0,0,IF(T1345="MXN",1/HLOOKUP(YEAR(S1345)+(MONTH(S1345)/100),TC!$5:$37,DAY(S1345)+2,FALSE),VLOOKUP(T1345,Equivalencia!$1:$23,((MAX(Equivalencia!$3:$3)-YEAR(S1345))*14)+MONTH(S1345)+2,FALSE)))</f>
        <v>1</v>
      </c>
      <c r="W1345" s="178">
        <f t="shared" si="178"/>
        <v>2322.2745762711866</v>
      </c>
      <c r="X1345" s="481">
        <f t="shared" si="179"/>
        <v>49.59457627118627</v>
      </c>
      <c r="Y1345" s="179"/>
      <c r="Z1345" s="466">
        <f t="shared" si="180"/>
        <v>2336.3150400000004</v>
      </c>
      <c r="AA1345" s="473">
        <f t="shared" si="181"/>
        <v>-14.040463728813847</v>
      </c>
      <c r="AB1345" s="339">
        <f t="shared" si="182"/>
        <v>2.1822067458325156E-2</v>
      </c>
    </row>
    <row r="1346" spans="2:28" ht="20.100000000000001" customHeight="1">
      <c r="B1346" s="172">
        <v>1427200</v>
      </c>
      <c r="C1346" s="174">
        <v>44524</v>
      </c>
      <c r="D1346" s="181" t="s">
        <v>379</v>
      </c>
      <c r="E1346" s="173" t="s">
        <v>33</v>
      </c>
      <c r="F1346" s="176">
        <v>82.78</v>
      </c>
      <c r="G1346" s="175">
        <f t="shared" si="173"/>
        <v>2</v>
      </c>
      <c r="H1346" s="175">
        <f t="shared" si="174"/>
        <v>82.78</v>
      </c>
      <c r="I1346" s="177">
        <f>IF(G1346=0,0,IF(E1346="MXN",1/HLOOKUP(YEAR(C1346)+(MONTH(C1346)/100),TC!$5:$37,DAY(C1346)+2,FALSE),VLOOKUP(E1346,Equivalencia!$5:$23,((MAX(Equivalencia!$3:$3)-YEAR(C1346))*14)+MONTH(C1346)+2,FALSE)))</f>
        <v>1</v>
      </c>
      <c r="J1346" s="178">
        <f t="shared" si="175"/>
        <v>82.78</v>
      </c>
      <c r="K1346" s="462">
        <f>IF(C1346=0,0,VLOOKUP(YEAR(C1346),INPC!$B$4:$O$29,MONTH(C1346)+1))</f>
        <v>116.884</v>
      </c>
      <c r="L1346" s="462">
        <f>IF(S1346=0,0,VLOOKUP(YEAR(S1346),INPC!$B$4:$O$29,MONTH(S1346)+1))</f>
        <v>120.15900000000001</v>
      </c>
      <c r="M1346" s="463">
        <f t="shared" si="176"/>
        <v>1.028</v>
      </c>
      <c r="N1346" s="465">
        <f t="shared" si="177"/>
        <v>85.097840000000005</v>
      </c>
      <c r="O1346" s="179"/>
      <c r="P1346" s="180">
        <v>2</v>
      </c>
      <c r="Q1346" s="173" t="s">
        <v>583</v>
      </c>
      <c r="R1346" s="173" t="s">
        <v>230</v>
      </c>
      <c r="S1346" s="174">
        <v>44643</v>
      </c>
      <c r="T1346" s="173" t="s">
        <v>33</v>
      </c>
      <c r="U1346" s="182">
        <v>129.01525423728813</v>
      </c>
      <c r="V1346" s="177">
        <f>IF(U1346=0,0,IF(T1346="MXN",1/HLOOKUP(YEAR(S1346)+(MONTH(S1346)/100),TC!$5:$37,DAY(S1346)+2,FALSE),VLOOKUP(T1346,Equivalencia!$1:$23,((MAX(Equivalencia!$3:$3)-YEAR(S1346))*14)+MONTH(S1346)+2,FALSE)))</f>
        <v>1</v>
      </c>
      <c r="W1346" s="178">
        <f t="shared" si="178"/>
        <v>129.01525423728813</v>
      </c>
      <c r="X1346" s="481">
        <f t="shared" si="179"/>
        <v>46.235254237288132</v>
      </c>
      <c r="Y1346" s="179"/>
      <c r="Z1346" s="466">
        <f t="shared" si="180"/>
        <v>85.097840000000005</v>
      </c>
      <c r="AA1346" s="473">
        <f t="shared" si="181"/>
        <v>43.917414237288128</v>
      </c>
      <c r="AB1346" s="339">
        <f t="shared" si="182"/>
        <v>0.55853170134438423</v>
      </c>
    </row>
    <row r="1347" spans="2:28" ht="20.100000000000001" customHeight="1">
      <c r="B1347" s="172">
        <v>1427200</v>
      </c>
      <c r="C1347" s="174">
        <v>44524</v>
      </c>
      <c r="D1347" s="181" t="s">
        <v>379</v>
      </c>
      <c r="E1347" s="173" t="s">
        <v>33</v>
      </c>
      <c r="F1347" s="176">
        <v>673.91</v>
      </c>
      <c r="G1347" s="175">
        <f t="shared" si="173"/>
        <v>16</v>
      </c>
      <c r="H1347" s="175">
        <f t="shared" si="174"/>
        <v>673.91</v>
      </c>
      <c r="I1347" s="177">
        <f>IF(G1347=0,0,IF(E1347="MXN",1/HLOOKUP(YEAR(C1347)+(MONTH(C1347)/100),TC!$5:$37,DAY(C1347)+2,FALSE),VLOOKUP(E1347,Equivalencia!$5:$23,((MAX(Equivalencia!$3:$3)-YEAR(C1347))*14)+MONTH(C1347)+2,FALSE)))</f>
        <v>1</v>
      </c>
      <c r="J1347" s="178">
        <f t="shared" si="175"/>
        <v>673.91</v>
      </c>
      <c r="K1347" s="462">
        <f>IF(C1347=0,0,VLOOKUP(YEAR(C1347),INPC!$B$4:$O$29,MONTH(C1347)+1))</f>
        <v>116.884</v>
      </c>
      <c r="L1347" s="462">
        <f>IF(S1347=0,0,VLOOKUP(YEAR(S1347),INPC!$B$4:$O$29,MONTH(S1347)+1))</f>
        <v>120.15900000000001</v>
      </c>
      <c r="M1347" s="463">
        <f t="shared" si="176"/>
        <v>1.028</v>
      </c>
      <c r="N1347" s="465">
        <f t="shared" si="177"/>
        <v>692.77948000000004</v>
      </c>
      <c r="O1347" s="179"/>
      <c r="P1347" s="180">
        <v>16</v>
      </c>
      <c r="Q1347" s="173" t="s">
        <v>583</v>
      </c>
      <c r="R1347" s="173" t="s">
        <v>230</v>
      </c>
      <c r="S1347" s="174">
        <v>44643</v>
      </c>
      <c r="T1347" s="173" t="s">
        <v>33</v>
      </c>
      <c r="U1347" s="182">
        <v>1032.1220338983051</v>
      </c>
      <c r="V1347" s="177">
        <f>IF(U1347=0,0,IF(T1347="MXN",1/HLOOKUP(YEAR(S1347)+(MONTH(S1347)/100),TC!$5:$37,DAY(S1347)+2,FALSE),VLOOKUP(T1347,Equivalencia!$1:$23,((MAX(Equivalencia!$3:$3)-YEAR(S1347))*14)+MONTH(S1347)+2,FALSE)))</f>
        <v>1</v>
      </c>
      <c r="W1347" s="178">
        <f t="shared" si="178"/>
        <v>1032.1220338983051</v>
      </c>
      <c r="X1347" s="481">
        <f t="shared" si="179"/>
        <v>358.21203389830509</v>
      </c>
      <c r="Y1347" s="179"/>
      <c r="Z1347" s="466">
        <f t="shared" si="180"/>
        <v>692.77948000000004</v>
      </c>
      <c r="AA1347" s="473">
        <f t="shared" si="181"/>
        <v>339.34255389830503</v>
      </c>
      <c r="AB1347" s="339">
        <f t="shared" si="182"/>
        <v>0.53154283791352719</v>
      </c>
    </row>
    <row r="1348" spans="2:28" ht="20.100000000000001" customHeight="1">
      <c r="B1348" s="172">
        <v>1427200</v>
      </c>
      <c r="C1348" s="174">
        <v>44524</v>
      </c>
      <c r="D1348" s="181" t="s">
        <v>379</v>
      </c>
      <c r="E1348" s="173" t="s">
        <v>33</v>
      </c>
      <c r="F1348" s="176">
        <v>41.3</v>
      </c>
      <c r="G1348" s="175">
        <f t="shared" si="173"/>
        <v>1</v>
      </c>
      <c r="H1348" s="175">
        <f t="shared" si="174"/>
        <v>41.3</v>
      </c>
      <c r="I1348" s="177">
        <f>IF(G1348=0,0,IF(E1348="MXN",1/HLOOKUP(YEAR(C1348)+(MONTH(C1348)/100),TC!$5:$37,DAY(C1348)+2,FALSE),VLOOKUP(E1348,Equivalencia!$5:$23,((MAX(Equivalencia!$3:$3)-YEAR(C1348))*14)+MONTH(C1348)+2,FALSE)))</f>
        <v>1</v>
      </c>
      <c r="J1348" s="178">
        <f t="shared" si="175"/>
        <v>41.3</v>
      </c>
      <c r="K1348" s="462">
        <f>IF(C1348=0,0,VLOOKUP(YEAR(C1348),INPC!$B$4:$O$29,MONTH(C1348)+1))</f>
        <v>116.884</v>
      </c>
      <c r="L1348" s="462">
        <f>IF(S1348=0,0,VLOOKUP(YEAR(S1348),INPC!$B$4:$O$29,MONTH(S1348)+1))</f>
        <v>120.15900000000001</v>
      </c>
      <c r="M1348" s="463">
        <f t="shared" si="176"/>
        <v>1.028</v>
      </c>
      <c r="N1348" s="465">
        <f t="shared" si="177"/>
        <v>42.456399999999995</v>
      </c>
      <c r="O1348" s="179"/>
      <c r="P1348" s="180">
        <v>1</v>
      </c>
      <c r="Q1348" s="173" t="s">
        <v>583</v>
      </c>
      <c r="R1348" s="173" t="s">
        <v>230</v>
      </c>
      <c r="S1348" s="174">
        <v>44643</v>
      </c>
      <c r="T1348" s="173" t="s">
        <v>33</v>
      </c>
      <c r="U1348" s="182">
        <v>64.507627118644066</v>
      </c>
      <c r="V1348" s="177">
        <f>IF(U1348=0,0,IF(T1348="MXN",1/HLOOKUP(YEAR(S1348)+(MONTH(S1348)/100),TC!$5:$37,DAY(S1348)+2,FALSE),VLOOKUP(T1348,Equivalencia!$1:$23,((MAX(Equivalencia!$3:$3)-YEAR(S1348))*14)+MONTH(S1348)+2,FALSE)))</f>
        <v>1</v>
      </c>
      <c r="W1348" s="178">
        <f t="shared" si="178"/>
        <v>64.507627118644066</v>
      </c>
      <c r="X1348" s="481">
        <f t="shared" si="179"/>
        <v>23.207627118644069</v>
      </c>
      <c r="Y1348" s="179"/>
      <c r="Z1348" s="466">
        <f t="shared" si="180"/>
        <v>42.456399999999995</v>
      </c>
      <c r="AA1348" s="473">
        <f t="shared" si="181"/>
        <v>22.051227118644071</v>
      </c>
      <c r="AB1348" s="339">
        <f t="shared" si="182"/>
        <v>0.56192801740058274</v>
      </c>
    </row>
    <row r="1349" spans="2:28" ht="20.100000000000001" customHeight="1">
      <c r="B1349" s="172">
        <v>1427200</v>
      </c>
      <c r="C1349" s="174">
        <v>44524</v>
      </c>
      <c r="D1349" s="181" t="s">
        <v>379</v>
      </c>
      <c r="E1349" s="173" t="s">
        <v>33</v>
      </c>
      <c r="F1349" s="176">
        <v>166.3</v>
      </c>
      <c r="G1349" s="175">
        <f t="shared" si="173"/>
        <v>4</v>
      </c>
      <c r="H1349" s="175">
        <f t="shared" si="174"/>
        <v>166.3</v>
      </c>
      <c r="I1349" s="177">
        <f>IF(G1349=0,0,IF(E1349="MXN",1/HLOOKUP(YEAR(C1349)+(MONTH(C1349)/100),TC!$5:$37,DAY(C1349)+2,FALSE),VLOOKUP(E1349,Equivalencia!$5:$23,((MAX(Equivalencia!$3:$3)-YEAR(C1349))*14)+MONTH(C1349)+2,FALSE)))</f>
        <v>1</v>
      </c>
      <c r="J1349" s="178">
        <f t="shared" si="175"/>
        <v>166.3</v>
      </c>
      <c r="K1349" s="462">
        <f>IF(C1349=0,0,VLOOKUP(YEAR(C1349),INPC!$B$4:$O$29,MONTH(C1349)+1))</f>
        <v>116.884</v>
      </c>
      <c r="L1349" s="462">
        <f>IF(S1349=0,0,VLOOKUP(YEAR(S1349),INPC!$B$4:$O$29,MONTH(S1349)+1))</f>
        <v>120.15900000000001</v>
      </c>
      <c r="M1349" s="463">
        <f t="shared" si="176"/>
        <v>1.028</v>
      </c>
      <c r="N1349" s="465">
        <f t="shared" si="177"/>
        <v>170.9564</v>
      </c>
      <c r="O1349" s="179"/>
      <c r="P1349" s="180">
        <v>4</v>
      </c>
      <c r="Q1349" s="173" t="s">
        <v>583</v>
      </c>
      <c r="R1349" s="173" t="s">
        <v>230</v>
      </c>
      <c r="S1349" s="174">
        <v>44643</v>
      </c>
      <c r="T1349" s="173" t="s">
        <v>33</v>
      </c>
      <c r="U1349" s="182">
        <v>258.03050847457627</v>
      </c>
      <c r="V1349" s="177">
        <f>IF(U1349=0,0,IF(T1349="MXN",1/HLOOKUP(YEAR(S1349)+(MONTH(S1349)/100),TC!$5:$37,DAY(S1349)+2,FALSE),VLOOKUP(T1349,Equivalencia!$1:$23,((MAX(Equivalencia!$3:$3)-YEAR(S1349))*14)+MONTH(S1349)+2,FALSE)))</f>
        <v>1</v>
      </c>
      <c r="W1349" s="178">
        <f t="shared" si="178"/>
        <v>258.03050847457627</v>
      </c>
      <c r="X1349" s="481">
        <f t="shared" si="179"/>
        <v>91.730508474576254</v>
      </c>
      <c r="Y1349" s="179"/>
      <c r="Z1349" s="466">
        <f t="shared" si="180"/>
        <v>170.9564</v>
      </c>
      <c r="AA1349" s="473">
        <f t="shared" si="181"/>
        <v>87.074108474576263</v>
      </c>
      <c r="AB1349" s="339">
        <f t="shared" si="182"/>
        <v>0.55159656328668816</v>
      </c>
    </row>
    <row r="1350" spans="2:28" ht="20.100000000000001" customHeight="1">
      <c r="B1350" s="172">
        <v>1427200</v>
      </c>
      <c r="C1350" s="174">
        <v>44537</v>
      </c>
      <c r="D1350" s="181" t="s">
        <v>383</v>
      </c>
      <c r="E1350" s="173" t="s">
        <v>33</v>
      </c>
      <c r="F1350" s="176">
        <v>380.45499999999998</v>
      </c>
      <c r="G1350" s="175">
        <f t="shared" si="173"/>
        <v>1</v>
      </c>
      <c r="H1350" s="175">
        <f t="shared" si="174"/>
        <v>380.45499999999998</v>
      </c>
      <c r="I1350" s="177">
        <f>IF(G1350=0,0,IF(E1350="MXN",1/HLOOKUP(YEAR(C1350)+(MONTH(C1350)/100),TC!$5:$37,DAY(C1350)+2,FALSE),VLOOKUP(E1350,Equivalencia!$5:$23,((MAX(Equivalencia!$3:$3)-YEAR(C1350))*14)+MONTH(C1350)+2,FALSE)))</f>
        <v>1</v>
      </c>
      <c r="J1350" s="178">
        <f t="shared" si="175"/>
        <v>380.45499999999998</v>
      </c>
      <c r="K1350" s="462">
        <f>IF(C1350=0,0,VLOOKUP(YEAR(C1350),INPC!$B$4:$O$29,MONTH(C1350)+1))</f>
        <v>117.30800000000001</v>
      </c>
      <c r="L1350" s="462">
        <f>IF(S1350=0,0,VLOOKUP(YEAR(S1350),INPC!$B$4:$O$29,MONTH(S1350)+1))</f>
        <v>120.15900000000001</v>
      </c>
      <c r="M1350" s="463">
        <f t="shared" si="176"/>
        <v>1.0243</v>
      </c>
      <c r="N1350" s="465">
        <f t="shared" si="177"/>
        <v>389.70005649999996</v>
      </c>
      <c r="O1350" s="179"/>
      <c r="P1350" s="180">
        <v>1</v>
      </c>
      <c r="Q1350" s="173" t="s">
        <v>583</v>
      </c>
      <c r="R1350" s="173" t="s">
        <v>230</v>
      </c>
      <c r="S1350" s="174">
        <v>44634</v>
      </c>
      <c r="T1350" s="173" t="s">
        <v>33</v>
      </c>
      <c r="U1350" s="182">
        <v>238.65</v>
      </c>
      <c r="V1350" s="177">
        <f>IF(U1350=0,0,IF(T1350="MXN",1/HLOOKUP(YEAR(S1350)+(MONTH(S1350)/100),TC!$5:$37,DAY(S1350)+2,FALSE),VLOOKUP(T1350,Equivalencia!$1:$23,((MAX(Equivalencia!$3:$3)-YEAR(S1350))*14)+MONTH(S1350)+2,FALSE)))</f>
        <v>1</v>
      </c>
      <c r="W1350" s="178">
        <f t="shared" si="178"/>
        <v>238.65</v>
      </c>
      <c r="X1350" s="481">
        <f t="shared" si="179"/>
        <v>-141.80499999999998</v>
      </c>
      <c r="Y1350" s="179"/>
      <c r="Z1350" s="466">
        <f t="shared" si="180"/>
        <v>389.70005649999996</v>
      </c>
      <c r="AA1350" s="473">
        <f t="shared" si="181"/>
        <v>-151.05005649999995</v>
      </c>
      <c r="AB1350" s="339">
        <f t="shared" si="182"/>
        <v>-0.37272476376969677</v>
      </c>
    </row>
    <row r="1351" spans="2:28" ht="20.100000000000001" customHeight="1">
      <c r="B1351" s="172">
        <v>1427200</v>
      </c>
      <c r="C1351" s="174">
        <v>44537</v>
      </c>
      <c r="D1351" s="181" t="s">
        <v>383</v>
      </c>
      <c r="E1351" s="173" t="s">
        <v>33</v>
      </c>
      <c r="F1351" s="176">
        <v>380.45499999999998</v>
      </c>
      <c r="G1351" s="175">
        <f t="shared" si="173"/>
        <v>1</v>
      </c>
      <c r="H1351" s="175">
        <f t="shared" si="174"/>
        <v>380.45499999999998</v>
      </c>
      <c r="I1351" s="177">
        <f>IF(G1351=0,0,IF(E1351="MXN",1/HLOOKUP(YEAR(C1351)+(MONTH(C1351)/100),TC!$5:$37,DAY(C1351)+2,FALSE),VLOOKUP(E1351,Equivalencia!$5:$23,((MAX(Equivalencia!$3:$3)-YEAR(C1351))*14)+MONTH(C1351)+2,FALSE)))</f>
        <v>1</v>
      </c>
      <c r="J1351" s="178">
        <f t="shared" si="175"/>
        <v>380.45499999999998</v>
      </c>
      <c r="K1351" s="462">
        <f>IF(C1351=0,0,VLOOKUP(YEAR(C1351),INPC!$B$4:$O$29,MONTH(C1351)+1))</f>
        <v>117.30800000000001</v>
      </c>
      <c r="L1351" s="462">
        <f>IF(S1351=0,0,VLOOKUP(YEAR(S1351),INPC!$B$4:$O$29,MONTH(S1351)+1))</f>
        <v>120.15900000000001</v>
      </c>
      <c r="M1351" s="463">
        <f t="shared" si="176"/>
        <v>1.0243</v>
      </c>
      <c r="N1351" s="465">
        <f t="shared" si="177"/>
        <v>389.70005649999996</v>
      </c>
      <c r="O1351" s="179"/>
      <c r="P1351" s="180">
        <v>1</v>
      </c>
      <c r="Q1351" s="173" t="s">
        <v>583</v>
      </c>
      <c r="R1351" s="173" t="s">
        <v>230</v>
      </c>
      <c r="S1351" s="174">
        <v>44634</v>
      </c>
      <c r="T1351" s="173" t="s">
        <v>33</v>
      </c>
      <c r="U1351" s="182">
        <v>243.39</v>
      </c>
      <c r="V1351" s="177">
        <f>IF(U1351=0,0,IF(T1351="MXN",1/HLOOKUP(YEAR(S1351)+(MONTH(S1351)/100),TC!$5:$37,DAY(S1351)+2,FALSE),VLOOKUP(T1351,Equivalencia!$1:$23,((MAX(Equivalencia!$3:$3)-YEAR(S1351))*14)+MONTH(S1351)+2,FALSE)))</f>
        <v>1</v>
      </c>
      <c r="W1351" s="178">
        <f t="shared" si="178"/>
        <v>243.39</v>
      </c>
      <c r="X1351" s="481">
        <f t="shared" si="179"/>
        <v>-137.065</v>
      </c>
      <c r="Y1351" s="179"/>
      <c r="Z1351" s="466">
        <f t="shared" si="180"/>
        <v>389.70005649999996</v>
      </c>
      <c r="AA1351" s="473">
        <f t="shared" si="181"/>
        <v>-146.31005649999997</v>
      </c>
      <c r="AB1351" s="339">
        <f t="shared" si="182"/>
        <v>-0.36026599729271536</v>
      </c>
    </row>
    <row r="1352" spans="2:28" ht="20.100000000000001" customHeight="1">
      <c r="B1352" s="172">
        <v>1427200</v>
      </c>
      <c r="C1352" s="174">
        <v>44537</v>
      </c>
      <c r="D1352" s="181" t="s">
        <v>383</v>
      </c>
      <c r="E1352" s="173" t="s">
        <v>33</v>
      </c>
      <c r="F1352" s="176">
        <v>760.91</v>
      </c>
      <c r="G1352" s="175">
        <f t="shared" si="173"/>
        <v>2</v>
      </c>
      <c r="H1352" s="175">
        <f t="shared" si="174"/>
        <v>760.91</v>
      </c>
      <c r="I1352" s="177">
        <f>IF(G1352=0,0,IF(E1352="MXN",1/HLOOKUP(YEAR(C1352)+(MONTH(C1352)/100),TC!$5:$37,DAY(C1352)+2,FALSE),VLOOKUP(E1352,Equivalencia!$5:$23,((MAX(Equivalencia!$3:$3)-YEAR(C1352))*14)+MONTH(C1352)+2,FALSE)))</f>
        <v>1</v>
      </c>
      <c r="J1352" s="178">
        <f t="shared" si="175"/>
        <v>760.91</v>
      </c>
      <c r="K1352" s="462">
        <f>IF(C1352=0,0,VLOOKUP(YEAR(C1352),INPC!$B$4:$O$29,MONTH(C1352)+1))</f>
        <v>117.30800000000001</v>
      </c>
      <c r="L1352" s="462">
        <f>IF(S1352=0,0,VLOOKUP(YEAR(S1352),INPC!$B$4:$O$29,MONTH(S1352)+1))</f>
        <v>120.15900000000001</v>
      </c>
      <c r="M1352" s="463">
        <f t="shared" si="176"/>
        <v>1.0243</v>
      </c>
      <c r="N1352" s="465">
        <f t="shared" si="177"/>
        <v>779.40011299999992</v>
      </c>
      <c r="O1352" s="179"/>
      <c r="P1352" s="180">
        <v>2</v>
      </c>
      <c r="Q1352" s="173" t="s">
        <v>583</v>
      </c>
      <c r="R1352" s="173" t="s">
        <v>230</v>
      </c>
      <c r="S1352" s="174">
        <v>44634</v>
      </c>
      <c r="T1352" s="173" t="s">
        <v>33</v>
      </c>
      <c r="U1352" s="182">
        <v>480.13000000000005</v>
      </c>
      <c r="V1352" s="177">
        <f>IF(U1352=0,0,IF(T1352="MXN",1/HLOOKUP(YEAR(S1352)+(MONTH(S1352)/100),TC!$5:$37,DAY(S1352)+2,FALSE),VLOOKUP(T1352,Equivalencia!$1:$23,((MAX(Equivalencia!$3:$3)-YEAR(S1352))*14)+MONTH(S1352)+2,FALSE)))</f>
        <v>1</v>
      </c>
      <c r="W1352" s="178">
        <f t="shared" si="178"/>
        <v>480.13000000000005</v>
      </c>
      <c r="X1352" s="481">
        <f t="shared" si="179"/>
        <v>-280.77999999999992</v>
      </c>
      <c r="Y1352" s="179"/>
      <c r="Z1352" s="466">
        <f t="shared" si="180"/>
        <v>779.40011299999992</v>
      </c>
      <c r="AA1352" s="473">
        <f t="shared" si="181"/>
        <v>-299.27011299999987</v>
      </c>
      <c r="AB1352" s="339">
        <f t="shared" si="182"/>
        <v>-0.36900553284882565</v>
      </c>
    </row>
    <row r="1353" spans="2:28" ht="20.100000000000001" customHeight="1">
      <c r="B1353" s="172">
        <v>1427200</v>
      </c>
      <c r="C1353" s="174">
        <v>44540</v>
      </c>
      <c r="D1353" s="181" t="s">
        <v>383</v>
      </c>
      <c r="E1353" s="173" t="s">
        <v>33</v>
      </c>
      <c r="F1353" s="176">
        <v>372.07</v>
      </c>
      <c r="G1353" s="175">
        <f t="shared" si="173"/>
        <v>1</v>
      </c>
      <c r="H1353" s="175">
        <f t="shared" si="174"/>
        <v>372.07</v>
      </c>
      <c r="I1353" s="177">
        <f>IF(G1353=0,0,IF(E1353="MXN",1/HLOOKUP(YEAR(C1353)+(MONTH(C1353)/100),TC!$5:$37,DAY(C1353)+2,FALSE),VLOOKUP(E1353,Equivalencia!$5:$23,((MAX(Equivalencia!$3:$3)-YEAR(C1353))*14)+MONTH(C1353)+2,FALSE)))</f>
        <v>1</v>
      </c>
      <c r="J1353" s="178">
        <f t="shared" si="175"/>
        <v>372.07</v>
      </c>
      <c r="K1353" s="462">
        <f>IF(C1353=0,0,VLOOKUP(YEAR(C1353),INPC!$B$4:$O$29,MONTH(C1353)+1))</f>
        <v>117.30800000000001</v>
      </c>
      <c r="L1353" s="462">
        <f>IF(S1353=0,0,VLOOKUP(YEAR(S1353),INPC!$B$4:$O$29,MONTH(S1353)+1))</f>
        <v>120.15900000000001</v>
      </c>
      <c r="M1353" s="463">
        <f t="shared" si="176"/>
        <v>1.0243</v>
      </c>
      <c r="N1353" s="465">
        <f t="shared" si="177"/>
        <v>381.11130099999997</v>
      </c>
      <c r="O1353" s="179"/>
      <c r="P1353" s="180">
        <v>1</v>
      </c>
      <c r="Q1353" s="173" t="s">
        <v>583</v>
      </c>
      <c r="R1353" s="173" t="s">
        <v>230</v>
      </c>
      <c r="S1353" s="174">
        <v>44634</v>
      </c>
      <c r="T1353" s="173" t="s">
        <v>33</v>
      </c>
      <c r="U1353" s="182">
        <v>240.06500000000003</v>
      </c>
      <c r="V1353" s="177">
        <f>IF(U1353=0,0,IF(T1353="MXN",1/HLOOKUP(YEAR(S1353)+(MONTH(S1353)/100),TC!$5:$37,DAY(S1353)+2,FALSE),VLOOKUP(T1353,Equivalencia!$1:$23,((MAX(Equivalencia!$3:$3)-YEAR(S1353))*14)+MONTH(S1353)+2,FALSE)))</f>
        <v>1</v>
      </c>
      <c r="W1353" s="178">
        <f t="shared" si="178"/>
        <v>240.06500000000003</v>
      </c>
      <c r="X1353" s="481">
        <f t="shared" si="179"/>
        <v>-132.00499999999997</v>
      </c>
      <c r="Y1353" s="179"/>
      <c r="Z1353" s="466">
        <f t="shared" si="180"/>
        <v>381.11130099999997</v>
      </c>
      <c r="AA1353" s="473">
        <f t="shared" si="181"/>
        <v>-141.04630099999994</v>
      </c>
      <c r="AB1353" s="339">
        <f t="shared" si="182"/>
        <v>-0.35478538984599661</v>
      </c>
    </row>
    <row r="1354" spans="2:28" ht="20.100000000000001" customHeight="1">
      <c r="B1354" s="172">
        <v>1427200</v>
      </c>
      <c r="C1354" s="174">
        <v>44540</v>
      </c>
      <c r="D1354" s="181" t="s">
        <v>383</v>
      </c>
      <c r="E1354" s="173" t="s">
        <v>33</v>
      </c>
      <c r="F1354" s="176">
        <v>371.82</v>
      </c>
      <c r="G1354" s="175">
        <f t="shared" si="173"/>
        <v>1</v>
      </c>
      <c r="H1354" s="175">
        <f t="shared" si="174"/>
        <v>371.82</v>
      </c>
      <c r="I1354" s="177">
        <f>IF(G1354=0,0,IF(E1354="MXN",1/HLOOKUP(YEAR(C1354)+(MONTH(C1354)/100),TC!$5:$37,DAY(C1354)+2,FALSE),VLOOKUP(E1354,Equivalencia!$5:$23,((MAX(Equivalencia!$3:$3)-YEAR(C1354))*14)+MONTH(C1354)+2,FALSE)))</f>
        <v>1</v>
      </c>
      <c r="J1354" s="178">
        <f t="shared" si="175"/>
        <v>371.82</v>
      </c>
      <c r="K1354" s="462">
        <f>IF(C1354=0,0,VLOOKUP(YEAR(C1354),INPC!$B$4:$O$29,MONTH(C1354)+1))</f>
        <v>117.30800000000001</v>
      </c>
      <c r="L1354" s="462">
        <f>IF(S1354=0,0,VLOOKUP(YEAR(S1354),INPC!$B$4:$O$29,MONTH(S1354)+1))</f>
        <v>120.15900000000001</v>
      </c>
      <c r="M1354" s="463">
        <f t="shared" si="176"/>
        <v>1.0243</v>
      </c>
      <c r="N1354" s="465">
        <f t="shared" si="177"/>
        <v>380.85522600000002</v>
      </c>
      <c r="O1354" s="179"/>
      <c r="P1354" s="180">
        <v>1</v>
      </c>
      <c r="Q1354" s="173" t="s">
        <v>583</v>
      </c>
      <c r="R1354" s="173" t="s">
        <v>230</v>
      </c>
      <c r="S1354" s="174">
        <v>44634</v>
      </c>
      <c r="T1354" s="173" t="s">
        <v>33</v>
      </c>
      <c r="U1354" s="182">
        <v>240.06500000000003</v>
      </c>
      <c r="V1354" s="177">
        <f>IF(U1354=0,0,IF(T1354="MXN",1/HLOOKUP(YEAR(S1354)+(MONTH(S1354)/100),TC!$5:$37,DAY(S1354)+2,FALSE),VLOOKUP(T1354,Equivalencia!$1:$23,((MAX(Equivalencia!$3:$3)-YEAR(S1354))*14)+MONTH(S1354)+2,FALSE)))</f>
        <v>1</v>
      </c>
      <c r="W1354" s="178">
        <f t="shared" si="178"/>
        <v>240.06500000000003</v>
      </c>
      <c r="X1354" s="481">
        <f t="shared" si="179"/>
        <v>-131.75499999999997</v>
      </c>
      <c r="Y1354" s="179"/>
      <c r="Z1354" s="466">
        <f t="shared" si="180"/>
        <v>380.85522600000002</v>
      </c>
      <c r="AA1354" s="473">
        <f t="shared" si="181"/>
        <v>-140.79022599999999</v>
      </c>
      <c r="AB1354" s="339">
        <f t="shared" si="182"/>
        <v>-0.35435156796299272</v>
      </c>
    </row>
    <row r="1355" spans="2:28" ht="20.100000000000001" customHeight="1">
      <c r="B1355" s="172">
        <v>1427200</v>
      </c>
      <c r="C1355" s="174">
        <v>44544</v>
      </c>
      <c r="D1355" s="181" t="s">
        <v>383</v>
      </c>
      <c r="E1355" s="173" t="s">
        <v>33</v>
      </c>
      <c r="F1355" s="176">
        <v>693.82</v>
      </c>
      <c r="G1355" s="175">
        <f t="shared" si="173"/>
        <v>2</v>
      </c>
      <c r="H1355" s="175">
        <f t="shared" si="174"/>
        <v>693.82</v>
      </c>
      <c r="I1355" s="177">
        <f>IF(G1355=0,0,IF(E1355="MXN",1/HLOOKUP(YEAR(C1355)+(MONTH(C1355)/100),TC!$5:$37,DAY(C1355)+2,FALSE),VLOOKUP(E1355,Equivalencia!$5:$23,((MAX(Equivalencia!$3:$3)-YEAR(C1355))*14)+MONTH(C1355)+2,FALSE)))</f>
        <v>1</v>
      </c>
      <c r="J1355" s="178">
        <f t="shared" si="175"/>
        <v>693.82</v>
      </c>
      <c r="K1355" s="462">
        <f>IF(C1355=0,0,VLOOKUP(YEAR(C1355),INPC!$B$4:$O$29,MONTH(C1355)+1))</f>
        <v>117.30800000000001</v>
      </c>
      <c r="L1355" s="462">
        <f>IF(S1355=0,0,VLOOKUP(YEAR(S1355),INPC!$B$4:$O$29,MONTH(S1355)+1))</f>
        <v>120.15900000000001</v>
      </c>
      <c r="M1355" s="463">
        <f t="shared" si="176"/>
        <v>1.0243</v>
      </c>
      <c r="N1355" s="465">
        <f t="shared" si="177"/>
        <v>710.67982600000005</v>
      </c>
      <c r="O1355" s="179"/>
      <c r="P1355" s="180">
        <v>2</v>
      </c>
      <c r="Q1355" s="173" t="s">
        <v>583</v>
      </c>
      <c r="R1355" s="173" t="s">
        <v>230</v>
      </c>
      <c r="S1355" s="174">
        <v>44634</v>
      </c>
      <c r="T1355" s="173" t="s">
        <v>33</v>
      </c>
      <c r="U1355" s="182">
        <v>480.13000000000005</v>
      </c>
      <c r="V1355" s="177">
        <f>IF(U1355=0,0,IF(T1355="MXN",1/HLOOKUP(YEAR(S1355)+(MONTH(S1355)/100),TC!$5:$37,DAY(S1355)+2,FALSE),VLOOKUP(T1355,Equivalencia!$1:$23,((MAX(Equivalencia!$3:$3)-YEAR(S1355))*14)+MONTH(S1355)+2,FALSE)))</f>
        <v>1</v>
      </c>
      <c r="W1355" s="178">
        <f t="shared" si="178"/>
        <v>480.13000000000005</v>
      </c>
      <c r="X1355" s="481">
        <f t="shared" si="179"/>
        <v>-213.69</v>
      </c>
      <c r="Y1355" s="179"/>
      <c r="Z1355" s="466">
        <f t="shared" si="180"/>
        <v>710.67982600000005</v>
      </c>
      <c r="AA1355" s="473">
        <f t="shared" si="181"/>
        <v>-230.549826</v>
      </c>
      <c r="AB1355" s="339">
        <f t="shared" si="182"/>
        <v>-0.30799054509815227</v>
      </c>
    </row>
    <row r="1356" spans="2:28" ht="20.100000000000001" customHeight="1">
      <c r="B1356" s="172">
        <v>1427200</v>
      </c>
      <c r="C1356" s="174">
        <v>44550</v>
      </c>
      <c r="D1356" s="181" t="s">
        <v>383</v>
      </c>
      <c r="E1356" s="173" t="s">
        <v>33</v>
      </c>
      <c r="F1356" s="176">
        <v>687.55</v>
      </c>
      <c r="G1356" s="175">
        <f t="shared" si="173"/>
        <v>2</v>
      </c>
      <c r="H1356" s="175">
        <f t="shared" si="174"/>
        <v>687.55</v>
      </c>
      <c r="I1356" s="177">
        <f>IF(G1356=0,0,IF(E1356="MXN",1/HLOOKUP(YEAR(C1356)+(MONTH(C1356)/100),TC!$5:$37,DAY(C1356)+2,FALSE),VLOOKUP(E1356,Equivalencia!$5:$23,((MAX(Equivalencia!$3:$3)-YEAR(C1356))*14)+MONTH(C1356)+2,FALSE)))</f>
        <v>1</v>
      </c>
      <c r="J1356" s="178">
        <f t="shared" si="175"/>
        <v>687.55</v>
      </c>
      <c r="K1356" s="462">
        <f>IF(C1356=0,0,VLOOKUP(YEAR(C1356),INPC!$B$4:$O$29,MONTH(C1356)+1))</f>
        <v>117.30800000000001</v>
      </c>
      <c r="L1356" s="462">
        <f>IF(S1356=0,0,VLOOKUP(YEAR(S1356),INPC!$B$4:$O$29,MONTH(S1356)+1))</f>
        <v>120.15900000000001</v>
      </c>
      <c r="M1356" s="463">
        <f t="shared" si="176"/>
        <v>1.0243</v>
      </c>
      <c r="N1356" s="465">
        <f t="shared" si="177"/>
        <v>704.25746499999991</v>
      </c>
      <c r="O1356" s="179"/>
      <c r="P1356" s="180">
        <v>2</v>
      </c>
      <c r="Q1356" s="173" t="s">
        <v>583</v>
      </c>
      <c r="R1356" s="173" t="s">
        <v>230</v>
      </c>
      <c r="S1356" s="174">
        <v>44634</v>
      </c>
      <c r="T1356" s="173" t="s">
        <v>33</v>
      </c>
      <c r="U1356" s="182">
        <v>492.41500000000002</v>
      </c>
      <c r="V1356" s="177">
        <f>IF(U1356=0,0,IF(T1356="MXN",1/HLOOKUP(YEAR(S1356)+(MONTH(S1356)/100),TC!$5:$37,DAY(S1356)+2,FALSE),VLOOKUP(T1356,Equivalencia!$1:$23,((MAX(Equivalencia!$3:$3)-YEAR(S1356))*14)+MONTH(S1356)+2,FALSE)))</f>
        <v>1</v>
      </c>
      <c r="W1356" s="178">
        <f t="shared" si="178"/>
        <v>492.41500000000002</v>
      </c>
      <c r="X1356" s="481">
        <f t="shared" si="179"/>
        <v>-195.13499999999993</v>
      </c>
      <c r="Y1356" s="179"/>
      <c r="Z1356" s="466">
        <f t="shared" si="180"/>
        <v>704.25746499999991</v>
      </c>
      <c r="AA1356" s="473">
        <f t="shared" si="181"/>
        <v>-211.84246499999989</v>
      </c>
      <c r="AB1356" s="339">
        <f t="shared" si="182"/>
        <v>-0.28381208639371669</v>
      </c>
    </row>
    <row r="1357" spans="2:28" ht="20.100000000000001" customHeight="1">
      <c r="B1357" s="172">
        <v>1427200</v>
      </c>
      <c r="C1357" s="174">
        <v>44553</v>
      </c>
      <c r="D1357" s="181" t="s">
        <v>383</v>
      </c>
      <c r="E1357" s="173" t="s">
        <v>33</v>
      </c>
      <c r="F1357" s="176">
        <v>775.27</v>
      </c>
      <c r="G1357" s="175">
        <f t="shared" si="173"/>
        <v>2</v>
      </c>
      <c r="H1357" s="175">
        <f t="shared" si="174"/>
        <v>775.27</v>
      </c>
      <c r="I1357" s="177">
        <f>IF(G1357=0,0,IF(E1357="MXN",1/HLOOKUP(YEAR(C1357)+(MONTH(C1357)/100),TC!$5:$37,DAY(C1357)+2,FALSE),VLOOKUP(E1357,Equivalencia!$5:$23,((MAX(Equivalencia!$3:$3)-YEAR(C1357))*14)+MONTH(C1357)+2,FALSE)))</f>
        <v>1</v>
      </c>
      <c r="J1357" s="178">
        <f t="shared" si="175"/>
        <v>775.27</v>
      </c>
      <c r="K1357" s="462">
        <f>IF(C1357=0,0,VLOOKUP(YEAR(C1357),INPC!$B$4:$O$29,MONTH(C1357)+1))</f>
        <v>117.30800000000001</v>
      </c>
      <c r="L1357" s="462">
        <f>IF(S1357=0,0,VLOOKUP(YEAR(S1357),INPC!$B$4:$O$29,MONTH(S1357)+1))</f>
        <v>120.15900000000001</v>
      </c>
      <c r="M1357" s="463">
        <f t="shared" si="176"/>
        <v>1.0243</v>
      </c>
      <c r="N1357" s="465">
        <f t="shared" si="177"/>
        <v>794.109061</v>
      </c>
      <c r="O1357" s="179"/>
      <c r="P1357" s="180">
        <v>2</v>
      </c>
      <c r="Q1357" s="173" t="s">
        <v>583</v>
      </c>
      <c r="R1357" s="173" t="s">
        <v>230</v>
      </c>
      <c r="S1357" s="174">
        <v>44634</v>
      </c>
      <c r="T1357" s="173" t="s">
        <v>33</v>
      </c>
      <c r="U1357" s="182">
        <v>492.41500000000002</v>
      </c>
      <c r="V1357" s="177">
        <f>IF(U1357=0,0,IF(T1357="MXN",1/HLOOKUP(YEAR(S1357)+(MONTH(S1357)/100),TC!$5:$37,DAY(S1357)+2,FALSE),VLOOKUP(T1357,Equivalencia!$1:$23,((MAX(Equivalencia!$3:$3)-YEAR(S1357))*14)+MONTH(S1357)+2,FALSE)))</f>
        <v>1</v>
      </c>
      <c r="W1357" s="178">
        <f t="shared" si="178"/>
        <v>492.41500000000002</v>
      </c>
      <c r="X1357" s="481">
        <f t="shared" si="179"/>
        <v>-282.85499999999996</v>
      </c>
      <c r="Y1357" s="179"/>
      <c r="Z1357" s="466">
        <f t="shared" si="180"/>
        <v>794.109061</v>
      </c>
      <c r="AA1357" s="473">
        <f t="shared" si="181"/>
        <v>-301.69406099999998</v>
      </c>
      <c r="AB1357" s="339">
        <f t="shared" si="182"/>
        <v>-0.36484708553149225</v>
      </c>
    </row>
    <row r="1358" spans="2:28" ht="20.100000000000001" customHeight="1">
      <c r="B1358" s="172">
        <v>1427200</v>
      </c>
      <c r="C1358" s="174">
        <v>44557</v>
      </c>
      <c r="D1358" s="181" t="s">
        <v>383</v>
      </c>
      <c r="E1358" s="173" t="s">
        <v>33</v>
      </c>
      <c r="F1358" s="176">
        <v>1183.0999999999999</v>
      </c>
      <c r="G1358" s="175">
        <f t="shared" si="173"/>
        <v>3</v>
      </c>
      <c r="H1358" s="175">
        <f t="shared" si="174"/>
        <v>1183.0999999999999</v>
      </c>
      <c r="I1358" s="177">
        <f>IF(G1358=0,0,IF(E1358="MXN",1/HLOOKUP(YEAR(C1358)+(MONTH(C1358)/100),TC!$5:$37,DAY(C1358)+2,FALSE),VLOOKUP(E1358,Equivalencia!$5:$23,((MAX(Equivalencia!$3:$3)-YEAR(C1358))*14)+MONTH(C1358)+2,FALSE)))</f>
        <v>1</v>
      </c>
      <c r="J1358" s="178">
        <f t="shared" si="175"/>
        <v>1183.0999999999999</v>
      </c>
      <c r="K1358" s="462">
        <f>IF(C1358=0,0,VLOOKUP(YEAR(C1358),INPC!$B$4:$O$29,MONTH(C1358)+1))</f>
        <v>117.30800000000001</v>
      </c>
      <c r="L1358" s="462">
        <f>IF(S1358=0,0,VLOOKUP(YEAR(S1358),INPC!$B$4:$O$29,MONTH(S1358)+1))</f>
        <v>120.15900000000001</v>
      </c>
      <c r="M1358" s="463">
        <f t="shared" si="176"/>
        <v>1.0243</v>
      </c>
      <c r="N1358" s="465">
        <f t="shared" si="177"/>
        <v>1211.8493299999998</v>
      </c>
      <c r="O1358" s="179"/>
      <c r="P1358" s="180">
        <v>3</v>
      </c>
      <c r="Q1358" s="173" t="s">
        <v>583</v>
      </c>
      <c r="R1358" s="173" t="s">
        <v>230</v>
      </c>
      <c r="S1358" s="174">
        <v>44634</v>
      </c>
      <c r="T1358" s="173" t="s">
        <v>33</v>
      </c>
      <c r="U1358" s="182">
        <v>738.62250000000006</v>
      </c>
      <c r="V1358" s="177">
        <f>IF(U1358=0,0,IF(T1358="MXN",1/HLOOKUP(YEAR(S1358)+(MONTH(S1358)/100),TC!$5:$37,DAY(S1358)+2,FALSE),VLOOKUP(T1358,Equivalencia!$1:$23,((MAX(Equivalencia!$3:$3)-YEAR(S1358))*14)+MONTH(S1358)+2,FALSE)))</f>
        <v>1</v>
      </c>
      <c r="W1358" s="178">
        <f t="shared" si="178"/>
        <v>738.62250000000006</v>
      </c>
      <c r="X1358" s="481">
        <f t="shared" si="179"/>
        <v>-444.47749999999985</v>
      </c>
      <c r="Y1358" s="179"/>
      <c r="Z1358" s="466">
        <f t="shared" si="180"/>
        <v>1211.8493299999998</v>
      </c>
      <c r="AA1358" s="473">
        <f t="shared" si="181"/>
        <v>-473.22682999999972</v>
      </c>
      <c r="AB1358" s="339">
        <f t="shared" si="182"/>
        <v>-0.37568886822753778</v>
      </c>
    </row>
    <row r="1359" spans="2:28" ht="20.100000000000001" customHeight="1">
      <c r="B1359" s="172">
        <v>1427200</v>
      </c>
      <c r="C1359" s="174">
        <v>44564</v>
      </c>
      <c r="D1359" s="181" t="s">
        <v>383</v>
      </c>
      <c r="E1359" s="173" t="s">
        <v>33</v>
      </c>
      <c r="F1359" s="176">
        <v>356.55500000000001</v>
      </c>
      <c r="G1359" s="175">
        <f t="shared" si="173"/>
        <v>1</v>
      </c>
      <c r="H1359" s="175">
        <f t="shared" si="174"/>
        <v>356.55500000000001</v>
      </c>
      <c r="I1359" s="177">
        <f>IF(G1359=0,0,IF(E1359="MXN",1/HLOOKUP(YEAR(C1359)+(MONTH(C1359)/100),TC!$5:$37,DAY(C1359)+2,FALSE),VLOOKUP(E1359,Equivalencia!$5:$23,((MAX(Equivalencia!$3:$3)-YEAR(C1359))*14)+MONTH(C1359)+2,FALSE)))</f>
        <v>1</v>
      </c>
      <c r="J1359" s="178">
        <f t="shared" si="175"/>
        <v>356.55500000000001</v>
      </c>
      <c r="K1359" s="462">
        <f>IF(C1359=0,0,VLOOKUP(YEAR(C1359),INPC!$B$4:$O$29,MONTH(C1359)+1))</f>
        <v>118.002</v>
      </c>
      <c r="L1359" s="462">
        <f>IF(S1359=0,0,VLOOKUP(YEAR(S1359),INPC!$B$4:$O$29,MONTH(S1359)+1))</f>
        <v>120.15900000000001</v>
      </c>
      <c r="M1359" s="463">
        <f t="shared" si="176"/>
        <v>1.0182</v>
      </c>
      <c r="N1359" s="465">
        <f t="shared" si="177"/>
        <v>363.04430100000002</v>
      </c>
      <c r="O1359" s="179"/>
      <c r="P1359" s="180">
        <v>1</v>
      </c>
      <c r="Q1359" s="173" t="s">
        <v>583</v>
      </c>
      <c r="R1359" s="173" t="s">
        <v>230</v>
      </c>
      <c r="S1359" s="174">
        <v>44634</v>
      </c>
      <c r="T1359" s="173" t="s">
        <v>33</v>
      </c>
      <c r="U1359" s="182">
        <v>246.20750000000001</v>
      </c>
      <c r="V1359" s="177">
        <f>IF(U1359=0,0,IF(T1359="MXN",1/HLOOKUP(YEAR(S1359)+(MONTH(S1359)/100),TC!$5:$37,DAY(S1359)+2,FALSE),VLOOKUP(T1359,Equivalencia!$1:$23,((MAX(Equivalencia!$3:$3)-YEAR(S1359))*14)+MONTH(S1359)+2,FALSE)))</f>
        <v>1</v>
      </c>
      <c r="W1359" s="178">
        <f t="shared" si="178"/>
        <v>246.20750000000001</v>
      </c>
      <c r="X1359" s="481">
        <f t="shared" si="179"/>
        <v>-110.3475</v>
      </c>
      <c r="Y1359" s="179"/>
      <c r="Z1359" s="466">
        <f t="shared" si="180"/>
        <v>363.04430100000002</v>
      </c>
      <c r="AA1359" s="473">
        <f t="shared" si="181"/>
        <v>-116.83680100000001</v>
      </c>
      <c r="AB1359" s="339">
        <f t="shared" si="182"/>
        <v>-0.3094824080436398</v>
      </c>
    </row>
    <row r="1360" spans="2:28" ht="20.100000000000001" customHeight="1">
      <c r="B1360" s="172">
        <v>1427200</v>
      </c>
      <c r="C1360" s="174">
        <v>44564</v>
      </c>
      <c r="D1360" s="181" t="s">
        <v>383</v>
      </c>
      <c r="E1360" s="173" t="s">
        <v>33</v>
      </c>
      <c r="F1360" s="176">
        <v>356.55500000000001</v>
      </c>
      <c r="G1360" s="175">
        <f t="shared" si="173"/>
        <v>1</v>
      </c>
      <c r="H1360" s="175">
        <f t="shared" si="174"/>
        <v>356.55500000000001</v>
      </c>
      <c r="I1360" s="177">
        <f>IF(G1360=0,0,IF(E1360="MXN",1/HLOOKUP(YEAR(C1360)+(MONTH(C1360)/100),TC!$5:$37,DAY(C1360)+2,FALSE),VLOOKUP(E1360,Equivalencia!$5:$23,((MAX(Equivalencia!$3:$3)-YEAR(C1360))*14)+MONTH(C1360)+2,FALSE)))</f>
        <v>1</v>
      </c>
      <c r="J1360" s="178">
        <f t="shared" si="175"/>
        <v>356.55500000000001</v>
      </c>
      <c r="K1360" s="462">
        <f>IF(C1360=0,0,VLOOKUP(YEAR(C1360),INPC!$B$4:$O$29,MONTH(C1360)+1))</f>
        <v>118.002</v>
      </c>
      <c r="L1360" s="462">
        <f>IF(S1360=0,0,VLOOKUP(YEAR(S1360),INPC!$B$4:$O$29,MONTH(S1360)+1))</f>
        <v>120.15900000000001</v>
      </c>
      <c r="M1360" s="463">
        <f t="shared" si="176"/>
        <v>1.0182</v>
      </c>
      <c r="N1360" s="465">
        <f t="shared" si="177"/>
        <v>363.04430100000002</v>
      </c>
      <c r="O1360" s="179"/>
      <c r="P1360" s="180">
        <v>1</v>
      </c>
      <c r="Q1360" s="173" t="s">
        <v>583</v>
      </c>
      <c r="R1360" s="173" t="s">
        <v>230</v>
      </c>
      <c r="S1360" s="174">
        <v>44635</v>
      </c>
      <c r="T1360" s="173" t="s">
        <v>33</v>
      </c>
      <c r="U1360" s="182">
        <v>240.1</v>
      </c>
      <c r="V1360" s="177">
        <f>IF(U1360=0,0,IF(T1360="MXN",1/HLOOKUP(YEAR(S1360)+(MONTH(S1360)/100),TC!$5:$37,DAY(S1360)+2,FALSE),VLOOKUP(T1360,Equivalencia!$1:$23,((MAX(Equivalencia!$3:$3)-YEAR(S1360))*14)+MONTH(S1360)+2,FALSE)))</f>
        <v>1</v>
      </c>
      <c r="W1360" s="178">
        <f t="shared" si="178"/>
        <v>240.1</v>
      </c>
      <c r="X1360" s="481">
        <f t="shared" si="179"/>
        <v>-116.45500000000001</v>
      </c>
      <c r="Y1360" s="179"/>
      <c r="Z1360" s="466">
        <f t="shared" si="180"/>
        <v>363.04430100000002</v>
      </c>
      <c r="AA1360" s="473">
        <f t="shared" si="181"/>
        <v>-122.94430100000002</v>
      </c>
      <c r="AB1360" s="339">
        <f t="shared" si="182"/>
        <v>-0.32661160269804101</v>
      </c>
    </row>
    <row r="1361" spans="2:28" ht="20.100000000000001" customHeight="1">
      <c r="B1361" s="172">
        <v>1427200</v>
      </c>
      <c r="C1361" s="174">
        <v>44573</v>
      </c>
      <c r="D1361" s="181" t="s">
        <v>397</v>
      </c>
      <c r="E1361" s="173" t="s">
        <v>33</v>
      </c>
      <c r="F1361" s="176">
        <v>1146.5333333333333</v>
      </c>
      <c r="G1361" s="175">
        <f t="shared" si="173"/>
        <v>2</v>
      </c>
      <c r="H1361" s="175">
        <f t="shared" si="174"/>
        <v>1146.5333333333333</v>
      </c>
      <c r="I1361" s="177">
        <f>IF(G1361=0,0,IF(E1361="MXN",1/HLOOKUP(YEAR(C1361)+(MONTH(C1361)/100),TC!$5:$37,DAY(C1361)+2,FALSE),VLOOKUP(E1361,Equivalencia!$5:$23,((MAX(Equivalencia!$3:$3)-YEAR(C1361))*14)+MONTH(C1361)+2,FALSE)))</f>
        <v>1</v>
      </c>
      <c r="J1361" s="178">
        <f t="shared" si="175"/>
        <v>1146.5333333333333</v>
      </c>
      <c r="K1361" s="462">
        <f>IF(C1361=0,0,VLOOKUP(YEAR(C1361),INPC!$B$4:$O$29,MONTH(C1361)+1))</f>
        <v>118.002</v>
      </c>
      <c r="L1361" s="462">
        <f>IF(S1361=0,0,VLOOKUP(YEAR(S1361),INPC!$B$4:$O$29,MONTH(S1361)+1))</f>
        <v>120.15900000000001</v>
      </c>
      <c r="M1361" s="463">
        <f t="shared" si="176"/>
        <v>1.0182</v>
      </c>
      <c r="N1361" s="465">
        <f t="shared" si="177"/>
        <v>1167.4002399999999</v>
      </c>
      <c r="O1361" s="179"/>
      <c r="P1361" s="180">
        <v>2</v>
      </c>
      <c r="Q1361" s="173" t="s">
        <v>583</v>
      </c>
      <c r="R1361" s="173" t="s">
        <v>230</v>
      </c>
      <c r="S1361" s="174">
        <v>44623</v>
      </c>
      <c r="T1361" s="173" t="s">
        <v>33</v>
      </c>
      <c r="U1361" s="182">
        <v>496.06</v>
      </c>
      <c r="V1361" s="177">
        <f>IF(U1361=0,0,IF(T1361="MXN",1/HLOOKUP(YEAR(S1361)+(MONTH(S1361)/100),TC!$5:$37,DAY(S1361)+2,FALSE),VLOOKUP(T1361,Equivalencia!$1:$23,((MAX(Equivalencia!$3:$3)-YEAR(S1361))*14)+MONTH(S1361)+2,FALSE)))</f>
        <v>1</v>
      </c>
      <c r="W1361" s="178">
        <f t="shared" si="178"/>
        <v>496.06</v>
      </c>
      <c r="X1361" s="481">
        <f t="shared" si="179"/>
        <v>-650.47333333333336</v>
      </c>
      <c r="Y1361" s="179"/>
      <c r="Z1361" s="466">
        <f t="shared" si="180"/>
        <v>1167.4002399999999</v>
      </c>
      <c r="AA1361" s="473">
        <f t="shared" si="181"/>
        <v>-671.34023999999999</v>
      </c>
      <c r="AB1361" s="339">
        <f t="shared" si="182"/>
        <v>-0.5673392254913362</v>
      </c>
    </row>
    <row r="1362" spans="2:28" ht="20.100000000000001" customHeight="1">
      <c r="B1362" s="172">
        <v>1427200</v>
      </c>
      <c r="C1362" s="174">
        <v>44573</v>
      </c>
      <c r="D1362" s="181" t="s">
        <v>397</v>
      </c>
      <c r="E1362" s="173" t="s">
        <v>33</v>
      </c>
      <c r="F1362" s="176">
        <v>573.26666666666665</v>
      </c>
      <c r="G1362" s="175">
        <f t="shared" si="173"/>
        <v>1</v>
      </c>
      <c r="H1362" s="175">
        <f t="shared" si="174"/>
        <v>573.26666666666665</v>
      </c>
      <c r="I1362" s="177">
        <f>IF(G1362=0,0,IF(E1362="MXN",1/HLOOKUP(YEAR(C1362)+(MONTH(C1362)/100),TC!$5:$37,DAY(C1362)+2,FALSE),VLOOKUP(E1362,Equivalencia!$5:$23,((MAX(Equivalencia!$3:$3)-YEAR(C1362))*14)+MONTH(C1362)+2,FALSE)))</f>
        <v>1</v>
      </c>
      <c r="J1362" s="178">
        <f t="shared" si="175"/>
        <v>573.26666666666665</v>
      </c>
      <c r="K1362" s="462">
        <f>IF(C1362=0,0,VLOOKUP(YEAR(C1362),INPC!$B$4:$O$29,MONTH(C1362)+1))</f>
        <v>118.002</v>
      </c>
      <c r="L1362" s="462">
        <f>IF(S1362=0,0,VLOOKUP(YEAR(S1362),INPC!$B$4:$O$29,MONTH(S1362)+1))</f>
        <v>120.15900000000001</v>
      </c>
      <c r="M1362" s="463">
        <f t="shared" si="176"/>
        <v>1.0182</v>
      </c>
      <c r="N1362" s="465">
        <f t="shared" si="177"/>
        <v>583.70011999999997</v>
      </c>
      <c r="O1362" s="179"/>
      <c r="P1362" s="180">
        <v>1</v>
      </c>
      <c r="Q1362" s="173" t="s">
        <v>583</v>
      </c>
      <c r="R1362" s="173" t="s">
        <v>230</v>
      </c>
      <c r="S1362" s="174">
        <v>44627</v>
      </c>
      <c r="T1362" s="173" t="s">
        <v>33</v>
      </c>
      <c r="U1362" s="182">
        <v>183.405</v>
      </c>
      <c r="V1362" s="177">
        <f>IF(U1362=0,0,IF(T1362="MXN",1/HLOOKUP(YEAR(S1362)+(MONTH(S1362)/100),TC!$5:$37,DAY(S1362)+2,FALSE),VLOOKUP(T1362,Equivalencia!$1:$23,((MAX(Equivalencia!$3:$3)-YEAR(S1362))*14)+MONTH(S1362)+2,FALSE)))</f>
        <v>1</v>
      </c>
      <c r="W1362" s="178">
        <f t="shared" si="178"/>
        <v>183.405</v>
      </c>
      <c r="X1362" s="481">
        <f t="shared" si="179"/>
        <v>-389.86166666666668</v>
      </c>
      <c r="Y1362" s="179"/>
      <c r="Z1362" s="466">
        <f t="shared" si="180"/>
        <v>583.70011999999997</v>
      </c>
      <c r="AA1362" s="473">
        <f t="shared" si="181"/>
        <v>-400.29512</v>
      </c>
      <c r="AB1362" s="339">
        <f t="shared" si="182"/>
        <v>-0.68007035701825791</v>
      </c>
    </row>
    <row r="1363" spans="2:28" ht="20.100000000000001" customHeight="1">
      <c r="B1363" s="172">
        <v>1427200</v>
      </c>
      <c r="C1363" s="174">
        <v>44574</v>
      </c>
      <c r="D1363" s="181" t="s">
        <v>397</v>
      </c>
      <c r="E1363" s="173" t="s">
        <v>33</v>
      </c>
      <c r="F1363" s="176">
        <v>554.48</v>
      </c>
      <c r="G1363" s="175">
        <f t="shared" si="173"/>
        <v>1</v>
      </c>
      <c r="H1363" s="175">
        <f t="shared" si="174"/>
        <v>554.48</v>
      </c>
      <c r="I1363" s="177">
        <f>IF(G1363=0,0,IF(E1363="MXN",1/HLOOKUP(YEAR(C1363)+(MONTH(C1363)/100),TC!$5:$37,DAY(C1363)+2,FALSE),VLOOKUP(E1363,Equivalencia!$5:$23,((MAX(Equivalencia!$3:$3)-YEAR(C1363))*14)+MONTH(C1363)+2,FALSE)))</f>
        <v>1</v>
      </c>
      <c r="J1363" s="178">
        <f t="shared" si="175"/>
        <v>554.48</v>
      </c>
      <c r="K1363" s="462">
        <f>IF(C1363=0,0,VLOOKUP(YEAR(C1363),INPC!$B$4:$O$29,MONTH(C1363)+1))</f>
        <v>118.002</v>
      </c>
      <c r="L1363" s="462">
        <f>IF(S1363=0,0,VLOOKUP(YEAR(S1363),INPC!$B$4:$O$29,MONTH(S1363)+1))</f>
        <v>120.15900000000001</v>
      </c>
      <c r="M1363" s="463">
        <f t="shared" si="176"/>
        <v>1.0182</v>
      </c>
      <c r="N1363" s="465">
        <f t="shared" si="177"/>
        <v>564.57153600000004</v>
      </c>
      <c r="O1363" s="179"/>
      <c r="P1363" s="180">
        <v>1</v>
      </c>
      <c r="Q1363" s="173" t="s">
        <v>583</v>
      </c>
      <c r="R1363" s="173" t="s">
        <v>230</v>
      </c>
      <c r="S1363" s="174">
        <v>44627</v>
      </c>
      <c r="T1363" s="173" t="s">
        <v>33</v>
      </c>
      <c r="U1363" s="182">
        <v>183.405</v>
      </c>
      <c r="V1363" s="177">
        <f>IF(U1363=0,0,IF(T1363="MXN",1/HLOOKUP(YEAR(S1363)+(MONTH(S1363)/100),TC!$5:$37,DAY(S1363)+2,FALSE),VLOOKUP(T1363,Equivalencia!$1:$23,((MAX(Equivalencia!$3:$3)-YEAR(S1363))*14)+MONTH(S1363)+2,FALSE)))</f>
        <v>1</v>
      </c>
      <c r="W1363" s="178">
        <f t="shared" si="178"/>
        <v>183.405</v>
      </c>
      <c r="X1363" s="481">
        <f t="shared" si="179"/>
        <v>-371.07500000000005</v>
      </c>
      <c r="Y1363" s="179"/>
      <c r="Z1363" s="466">
        <f t="shared" si="180"/>
        <v>564.57153600000004</v>
      </c>
      <c r="AA1363" s="473">
        <f t="shared" si="181"/>
        <v>-381.16653600000006</v>
      </c>
      <c r="AB1363" s="339">
        <f t="shared" si="182"/>
        <v>-0.66923063050064924</v>
      </c>
    </row>
    <row r="1364" spans="2:28" ht="20.100000000000001" customHeight="1">
      <c r="B1364" s="172">
        <v>1427200</v>
      </c>
      <c r="C1364" s="174">
        <v>44574</v>
      </c>
      <c r="D1364" s="181" t="s">
        <v>397</v>
      </c>
      <c r="E1364" s="173" t="s">
        <v>33</v>
      </c>
      <c r="F1364" s="176">
        <v>565.63</v>
      </c>
      <c r="G1364" s="175">
        <f t="shared" si="173"/>
        <v>1</v>
      </c>
      <c r="H1364" s="175">
        <f t="shared" si="174"/>
        <v>565.63</v>
      </c>
      <c r="I1364" s="177">
        <f>IF(G1364=0,0,IF(E1364="MXN",1/HLOOKUP(YEAR(C1364)+(MONTH(C1364)/100),TC!$5:$37,DAY(C1364)+2,FALSE),VLOOKUP(E1364,Equivalencia!$5:$23,((MAX(Equivalencia!$3:$3)-YEAR(C1364))*14)+MONTH(C1364)+2,FALSE)))</f>
        <v>1</v>
      </c>
      <c r="J1364" s="178">
        <f t="shared" si="175"/>
        <v>565.63</v>
      </c>
      <c r="K1364" s="462">
        <f>IF(C1364=0,0,VLOOKUP(YEAR(C1364),INPC!$B$4:$O$29,MONTH(C1364)+1))</f>
        <v>118.002</v>
      </c>
      <c r="L1364" s="462">
        <f>IF(S1364=0,0,VLOOKUP(YEAR(S1364),INPC!$B$4:$O$29,MONTH(S1364)+1))</f>
        <v>120.15900000000001</v>
      </c>
      <c r="M1364" s="463">
        <f t="shared" si="176"/>
        <v>1.0182</v>
      </c>
      <c r="N1364" s="465">
        <f t="shared" si="177"/>
        <v>575.92446599999994</v>
      </c>
      <c r="O1364" s="179"/>
      <c r="P1364" s="180">
        <v>1</v>
      </c>
      <c r="Q1364" s="173" t="s">
        <v>583</v>
      </c>
      <c r="R1364" s="173" t="s">
        <v>230</v>
      </c>
      <c r="S1364" s="174">
        <v>44628</v>
      </c>
      <c r="T1364" s="173" t="s">
        <v>33</v>
      </c>
      <c r="U1364" s="182">
        <v>178.15</v>
      </c>
      <c r="V1364" s="177">
        <f>IF(U1364=0,0,IF(T1364="MXN",1/HLOOKUP(YEAR(S1364)+(MONTH(S1364)/100),TC!$5:$37,DAY(S1364)+2,FALSE),VLOOKUP(T1364,Equivalencia!$1:$23,((MAX(Equivalencia!$3:$3)-YEAR(S1364))*14)+MONTH(S1364)+2,FALSE)))</f>
        <v>1</v>
      </c>
      <c r="W1364" s="178">
        <f t="shared" si="178"/>
        <v>178.15</v>
      </c>
      <c r="X1364" s="481">
        <f t="shared" si="179"/>
        <v>-387.48</v>
      </c>
      <c r="Y1364" s="179"/>
      <c r="Z1364" s="466">
        <f t="shared" si="180"/>
        <v>575.92446599999994</v>
      </c>
      <c r="AA1364" s="473">
        <f t="shared" si="181"/>
        <v>-397.77446599999996</v>
      </c>
      <c r="AB1364" s="339">
        <f t="shared" si="182"/>
        <v>-0.68504145819705453</v>
      </c>
    </row>
    <row r="1365" spans="2:28" ht="20.100000000000001" customHeight="1">
      <c r="B1365" s="172">
        <v>1427200</v>
      </c>
      <c r="C1365" s="174">
        <v>44574</v>
      </c>
      <c r="D1365" s="181" t="s">
        <v>397</v>
      </c>
      <c r="E1365" s="173" t="s">
        <v>33</v>
      </c>
      <c r="F1365" s="176">
        <v>554.47500000000002</v>
      </c>
      <c r="G1365" s="175">
        <f t="shared" si="173"/>
        <v>1</v>
      </c>
      <c r="H1365" s="175">
        <f t="shared" si="174"/>
        <v>554.47500000000002</v>
      </c>
      <c r="I1365" s="177">
        <f>IF(G1365=0,0,IF(E1365="MXN",1/HLOOKUP(YEAR(C1365)+(MONTH(C1365)/100),TC!$5:$37,DAY(C1365)+2,FALSE),VLOOKUP(E1365,Equivalencia!$5:$23,((MAX(Equivalencia!$3:$3)-YEAR(C1365))*14)+MONTH(C1365)+2,FALSE)))</f>
        <v>1</v>
      </c>
      <c r="J1365" s="178">
        <f t="shared" si="175"/>
        <v>554.47500000000002</v>
      </c>
      <c r="K1365" s="462">
        <f>IF(C1365=0,0,VLOOKUP(YEAR(C1365),INPC!$B$4:$O$29,MONTH(C1365)+1))</f>
        <v>118.002</v>
      </c>
      <c r="L1365" s="462">
        <f>IF(S1365=0,0,VLOOKUP(YEAR(S1365),INPC!$B$4:$O$29,MONTH(S1365)+1))</f>
        <v>120.15900000000001</v>
      </c>
      <c r="M1365" s="463">
        <f t="shared" si="176"/>
        <v>1.0182</v>
      </c>
      <c r="N1365" s="465">
        <f t="shared" si="177"/>
        <v>564.56644500000004</v>
      </c>
      <c r="O1365" s="179"/>
      <c r="P1365" s="180">
        <v>1</v>
      </c>
      <c r="Q1365" s="173" t="s">
        <v>583</v>
      </c>
      <c r="R1365" s="173" t="s">
        <v>230</v>
      </c>
      <c r="S1365" s="174">
        <v>44628</v>
      </c>
      <c r="T1365" s="173" t="s">
        <v>33</v>
      </c>
      <c r="U1365" s="182">
        <v>178.15</v>
      </c>
      <c r="V1365" s="177">
        <f>IF(U1365=0,0,IF(T1365="MXN",1/HLOOKUP(YEAR(S1365)+(MONTH(S1365)/100),TC!$5:$37,DAY(S1365)+2,FALSE),VLOOKUP(T1365,Equivalencia!$1:$23,((MAX(Equivalencia!$3:$3)-YEAR(S1365))*14)+MONTH(S1365)+2,FALSE)))</f>
        <v>1</v>
      </c>
      <c r="W1365" s="178">
        <f t="shared" si="178"/>
        <v>178.15</v>
      </c>
      <c r="X1365" s="481">
        <f t="shared" si="179"/>
        <v>-376.32500000000005</v>
      </c>
      <c r="Y1365" s="179"/>
      <c r="Z1365" s="466">
        <f t="shared" si="180"/>
        <v>564.56644500000004</v>
      </c>
      <c r="AA1365" s="473">
        <f t="shared" si="181"/>
        <v>-386.41644500000007</v>
      </c>
      <c r="AB1365" s="339">
        <f t="shared" si="182"/>
        <v>-0.67870508138329044</v>
      </c>
    </row>
    <row r="1366" spans="2:28" ht="20.100000000000001" customHeight="1">
      <c r="B1366" s="172">
        <v>1427200</v>
      </c>
      <c r="C1366" s="174">
        <v>44574</v>
      </c>
      <c r="D1366" s="181" t="s">
        <v>397</v>
      </c>
      <c r="E1366" s="173" t="s">
        <v>33</v>
      </c>
      <c r="F1366" s="176">
        <v>554.47500000000002</v>
      </c>
      <c r="G1366" s="175">
        <f t="shared" si="173"/>
        <v>1</v>
      </c>
      <c r="H1366" s="175">
        <f t="shared" si="174"/>
        <v>554.47500000000002</v>
      </c>
      <c r="I1366" s="177">
        <f>IF(G1366=0,0,IF(E1366="MXN",1/HLOOKUP(YEAR(C1366)+(MONTH(C1366)/100),TC!$5:$37,DAY(C1366)+2,FALSE),VLOOKUP(E1366,Equivalencia!$5:$23,((MAX(Equivalencia!$3:$3)-YEAR(C1366))*14)+MONTH(C1366)+2,FALSE)))</f>
        <v>1</v>
      </c>
      <c r="J1366" s="178">
        <f t="shared" si="175"/>
        <v>554.47500000000002</v>
      </c>
      <c r="K1366" s="462">
        <f>IF(C1366=0,0,VLOOKUP(YEAR(C1366),INPC!$B$4:$O$29,MONTH(C1366)+1))</f>
        <v>118.002</v>
      </c>
      <c r="L1366" s="462">
        <f>IF(S1366=0,0,VLOOKUP(YEAR(S1366),INPC!$B$4:$O$29,MONTH(S1366)+1))</f>
        <v>120.15900000000001</v>
      </c>
      <c r="M1366" s="463">
        <f t="shared" si="176"/>
        <v>1.0182</v>
      </c>
      <c r="N1366" s="465">
        <f t="shared" si="177"/>
        <v>564.56644500000004</v>
      </c>
      <c r="O1366" s="179"/>
      <c r="P1366" s="180">
        <v>1</v>
      </c>
      <c r="Q1366" s="173" t="s">
        <v>583</v>
      </c>
      <c r="R1366" s="173" t="s">
        <v>230</v>
      </c>
      <c r="S1366" s="174">
        <v>44628</v>
      </c>
      <c r="T1366" s="173" t="s">
        <v>33</v>
      </c>
      <c r="U1366" s="182">
        <v>187.42</v>
      </c>
      <c r="V1366" s="177">
        <f>IF(U1366=0,0,IF(T1366="MXN",1/HLOOKUP(YEAR(S1366)+(MONTH(S1366)/100),TC!$5:$37,DAY(S1366)+2,FALSE),VLOOKUP(T1366,Equivalencia!$1:$23,((MAX(Equivalencia!$3:$3)-YEAR(S1366))*14)+MONTH(S1366)+2,FALSE)))</f>
        <v>1</v>
      </c>
      <c r="W1366" s="178">
        <f t="shared" si="178"/>
        <v>187.42</v>
      </c>
      <c r="X1366" s="481">
        <f t="shared" si="179"/>
        <v>-367.05500000000006</v>
      </c>
      <c r="Y1366" s="179"/>
      <c r="Z1366" s="466">
        <f t="shared" si="180"/>
        <v>564.56644500000004</v>
      </c>
      <c r="AA1366" s="473">
        <f t="shared" si="181"/>
        <v>-377.14644500000009</v>
      </c>
      <c r="AB1366" s="339">
        <f t="shared" si="182"/>
        <v>-0.66198656386672083</v>
      </c>
    </row>
    <row r="1367" spans="2:28" ht="20.100000000000001" customHeight="1">
      <c r="B1367" s="172">
        <v>1427200</v>
      </c>
      <c r="C1367" s="174">
        <v>44579</v>
      </c>
      <c r="D1367" s="181" t="s">
        <v>397</v>
      </c>
      <c r="E1367" s="173" t="s">
        <v>33</v>
      </c>
      <c r="F1367" s="176">
        <v>1020.14</v>
      </c>
      <c r="G1367" s="175">
        <f t="shared" si="173"/>
        <v>2</v>
      </c>
      <c r="H1367" s="175">
        <f t="shared" si="174"/>
        <v>1020.14</v>
      </c>
      <c r="I1367" s="177">
        <f>IF(G1367=0,0,IF(E1367="MXN",1/HLOOKUP(YEAR(C1367)+(MONTH(C1367)/100),TC!$5:$37,DAY(C1367)+2,FALSE),VLOOKUP(E1367,Equivalencia!$5:$23,((MAX(Equivalencia!$3:$3)-YEAR(C1367))*14)+MONTH(C1367)+2,FALSE)))</f>
        <v>1</v>
      </c>
      <c r="J1367" s="178">
        <f t="shared" si="175"/>
        <v>1020.14</v>
      </c>
      <c r="K1367" s="462">
        <f>IF(C1367=0,0,VLOOKUP(YEAR(C1367),INPC!$B$4:$O$29,MONTH(C1367)+1))</f>
        <v>118.002</v>
      </c>
      <c r="L1367" s="462">
        <f>IF(S1367=0,0,VLOOKUP(YEAR(S1367),INPC!$B$4:$O$29,MONTH(S1367)+1))</f>
        <v>120.15900000000001</v>
      </c>
      <c r="M1367" s="463">
        <f t="shared" si="176"/>
        <v>1.0182</v>
      </c>
      <c r="N1367" s="465">
        <f t="shared" si="177"/>
        <v>1038.7065479999999</v>
      </c>
      <c r="O1367" s="179"/>
      <c r="P1367" s="180">
        <v>2</v>
      </c>
      <c r="Q1367" s="173" t="s">
        <v>583</v>
      </c>
      <c r="R1367" s="173" t="s">
        <v>230</v>
      </c>
      <c r="S1367" s="174">
        <v>44628</v>
      </c>
      <c r="T1367" s="173" t="s">
        <v>33</v>
      </c>
      <c r="U1367" s="182">
        <v>354.56</v>
      </c>
      <c r="V1367" s="177">
        <f>IF(U1367=0,0,IF(T1367="MXN",1/HLOOKUP(YEAR(S1367)+(MONTH(S1367)/100),TC!$5:$37,DAY(S1367)+2,FALSE),VLOOKUP(T1367,Equivalencia!$1:$23,((MAX(Equivalencia!$3:$3)-YEAR(S1367))*14)+MONTH(S1367)+2,FALSE)))</f>
        <v>1</v>
      </c>
      <c r="W1367" s="178">
        <f t="shared" si="178"/>
        <v>354.56</v>
      </c>
      <c r="X1367" s="481">
        <f t="shared" si="179"/>
        <v>-665.57999999999993</v>
      </c>
      <c r="Y1367" s="179"/>
      <c r="Z1367" s="466">
        <f t="shared" si="180"/>
        <v>1038.7065479999999</v>
      </c>
      <c r="AA1367" s="473">
        <f t="shared" si="181"/>
        <v>-684.14654799999994</v>
      </c>
      <c r="AB1367" s="339">
        <f t="shared" si="182"/>
        <v>-0.65243986119552222</v>
      </c>
    </row>
    <row r="1368" spans="2:28" ht="20.100000000000001" customHeight="1">
      <c r="B1368" s="172">
        <v>1427200</v>
      </c>
      <c r="C1368" s="174">
        <v>44580</v>
      </c>
      <c r="D1368" s="181" t="s">
        <v>397</v>
      </c>
      <c r="E1368" s="173" t="s">
        <v>33</v>
      </c>
      <c r="F1368" s="176">
        <v>506.18</v>
      </c>
      <c r="G1368" s="175">
        <f t="shared" si="173"/>
        <v>1</v>
      </c>
      <c r="H1368" s="175">
        <f t="shared" si="174"/>
        <v>506.18</v>
      </c>
      <c r="I1368" s="177">
        <f>IF(G1368=0,0,IF(E1368="MXN",1/HLOOKUP(YEAR(C1368)+(MONTH(C1368)/100),TC!$5:$37,DAY(C1368)+2,FALSE),VLOOKUP(E1368,Equivalencia!$5:$23,((MAX(Equivalencia!$3:$3)-YEAR(C1368))*14)+MONTH(C1368)+2,FALSE)))</f>
        <v>1</v>
      </c>
      <c r="J1368" s="178">
        <f t="shared" si="175"/>
        <v>506.18</v>
      </c>
      <c r="K1368" s="462">
        <f>IF(C1368=0,0,VLOOKUP(YEAR(C1368),INPC!$B$4:$O$29,MONTH(C1368)+1))</f>
        <v>118.002</v>
      </c>
      <c r="L1368" s="462">
        <f>IF(S1368=0,0,VLOOKUP(YEAR(S1368),INPC!$B$4:$O$29,MONTH(S1368)+1))</f>
        <v>120.15900000000001</v>
      </c>
      <c r="M1368" s="463">
        <f t="shared" si="176"/>
        <v>1.0182</v>
      </c>
      <c r="N1368" s="465">
        <f t="shared" si="177"/>
        <v>515.39247599999999</v>
      </c>
      <c r="O1368" s="179"/>
      <c r="P1368" s="180">
        <v>1</v>
      </c>
      <c r="Q1368" s="173" t="s">
        <v>583</v>
      </c>
      <c r="R1368" s="173" t="s">
        <v>230</v>
      </c>
      <c r="S1368" s="174">
        <v>44628</v>
      </c>
      <c r="T1368" s="173" t="s">
        <v>33</v>
      </c>
      <c r="U1368" s="182">
        <v>177.28</v>
      </c>
      <c r="V1368" s="177">
        <f>IF(U1368=0,0,IF(T1368="MXN",1/HLOOKUP(YEAR(S1368)+(MONTH(S1368)/100),TC!$5:$37,DAY(S1368)+2,FALSE),VLOOKUP(T1368,Equivalencia!$1:$23,((MAX(Equivalencia!$3:$3)-YEAR(S1368))*14)+MONTH(S1368)+2,FALSE)))</f>
        <v>1</v>
      </c>
      <c r="W1368" s="178">
        <f t="shared" si="178"/>
        <v>177.28</v>
      </c>
      <c r="X1368" s="481">
        <f t="shared" si="179"/>
        <v>-328.9</v>
      </c>
      <c r="Y1368" s="179"/>
      <c r="Z1368" s="466">
        <f t="shared" si="180"/>
        <v>515.39247599999999</v>
      </c>
      <c r="AA1368" s="473">
        <f t="shared" si="181"/>
        <v>-338.11247600000002</v>
      </c>
      <c r="AB1368" s="339">
        <f t="shared" si="182"/>
        <v>-0.64976885692836539</v>
      </c>
    </row>
    <row r="1369" spans="2:28" ht="20.100000000000001" customHeight="1">
      <c r="B1369" s="172">
        <v>1427200</v>
      </c>
      <c r="C1369" s="174">
        <v>44503</v>
      </c>
      <c r="D1369" s="181" t="s">
        <v>413</v>
      </c>
      <c r="E1369" s="173" t="s">
        <v>33</v>
      </c>
      <c r="F1369" s="176">
        <v>1557.8200000000002</v>
      </c>
      <c r="G1369" s="175">
        <f t="shared" si="173"/>
        <v>22</v>
      </c>
      <c r="H1369" s="175">
        <f t="shared" si="174"/>
        <v>1557.8200000000002</v>
      </c>
      <c r="I1369" s="177">
        <f>IF(G1369=0,0,IF(E1369="MXN",1/HLOOKUP(YEAR(C1369)+(MONTH(C1369)/100),TC!$5:$37,DAY(C1369)+2,FALSE),VLOOKUP(E1369,Equivalencia!$5:$23,((MAX(Equivalencia!$3:$3)-YEAR(C1369))*14)+MONTH(C1369)+2,FALSE)))</f>
        <v>1</v>
      </c>
      <c r="J1369" s="178">
        <f t="shared" si="175"/>
        <v>1557.8200000000002</v>
      </c>
      <c r="K1369" s="462">
        <f>IF(C1369=0,0,VLOOKUP(YEAR(C1369),INPC!$B$4:$O$29,MONTH(C1369)+1))</f>
        <v>116.884</v>
      </c>
      <c r="L1369" s="462">
        <f>IF(S1369=0,0,VLOOKUP(YEAR(S1369),INPC!$B$4:$O$29,MONTH(S1369)+1))</f>
        <v>118.98099999999999</v>
      </c>
      <c r="M1369" s="463">
        <f t="shared" si="176"/>
        <v>1.0179</v>
      </c>
      <c r="N1369" s="465">
        <f t="shared" si="177"/>
        <v>1585.7049780000002</v>
      </c>
      <c r="O1369" s="179"/>
      <c r="P1369" s="180">
        <v>22</v>
      </c>
      <c r="Q1369" s="173" t="s">
        <v>583</v>
      </c>
      <c r="R1369" s="173" t="s">
        <v>230</v>
      </c>
      <c r="S1369" s="174">
        <v>44610</v>
      </c>
      <c r="T1369" s="173" t="s">
        <v>33</v>
      </c>
      <c r="U1369" s="182">
        <v>1986.22</v>
      </c>
      <c r="V1369" s="177">
        <f>IF(U1369=0,0,IF(T1369="MXN",1/HLOOKUP(YEAR(S1369)+(MONTH(S1369)/100),TC!$5:$37,DAY(S1369)+2,FALSE),VLOOKUP(T1369,Equivalencia!$1:$23,((MAX(Equivalencia!$3:$3)-YEAR(S1369))*14)+MONTH(S1369)+2,FALSE)))</f>
        <v>1</v>
      </c>
      <c r="W1369" s="178">
        <f t="shared" si="178"/>
        <v>1986.22</v>
      </c>
      <c r="X1369" s="481">
        <f t="shared" si="179"/>
        <v>428.39999999999986</v>
      </c>
      <c r="Y1369" s="179"/>
      <c r="Z1369" s="466">
        <f t="shared" si="180"/>
        <v>1585.7049780000002</v>
      </c>
      <c r="AA1369" s="473">
        <f t="shared" si="181"/>
        <v>400.51502199999982</v>
      </c>
      <c r="AB1369" s="339">
        <f t="shared" si="182"/>
        <v>0.27499967903865641</v>
      </c>
    </row>
    <row r="1370" spans="2:28" ht="20.100000000000001" customHeight="1">
      <c r="B1370" s="172">
        <v>1427200</v>
      </c>
      <c r="C1370" s="174">
        <v>44503</v>
      </c>
      <c r="D1370" s="181" t="s">
        <v>413</v>
      </c>
      <c r="E1370" s="173" t="s">
        <v>33</v>
      </c>
      <c r="F1370" s="176">
        <v>2832.4</v>
      </c>
      <c r="G1370" s="175">
        <f t="shared" si="173"/>
        <v>40</v>
      </c>
      <c r="H1370" s="175">
        <f t="shared" si="174"/>
        <v>2832.4</v>
      </c>
      <c r="I1370" s="177">
        <f>IF(G1370=0,0,IF(E1370="MXN",1/HLOOKUP(YEAR(C1370)+(MONTH(C1370)/100),TC!$5:$37,DAY(C1370)+2,FALSE),VLOOKUP(E1370,Equivalencia!$5:$23,((MAX(Equivalencia!$3:$3)-YEAR(C1370))*14)+MONTH(C1370)+2,FALSE)))</f>
        <v>1</v>
      </c>
      <c r="J1370" s="178">
        <f t="shared" si="175"/>
        <v>2832.4</v>
      </c>
      <c r="K1370" s="462">
        <f>IF(C1370=0,0,VLOOKUP(YEAR(C1370),INPC!$B$4:$O$29,MONTH(C1370)+1))</f>
        <v>116.884</v>
      </c>
      <c r="L1370" s="462">
        <f>IF(S1370=0,0,VLOOKUP(YEAR(S1370),INPC!$B$4:$O$29,MONTH(S1370)+1))</f>
        <v>120.15900000000001</v>
      </c>
      <c r="M1370" s="463">
        <f t="shared" si="176"/>
        <v>1.028</v>
      </c>
      <c r="N1370" s="465">
        <f t="shared" si="177"/>
        <v>2911.7072000000003</v>
      </c>
      <c r="O1370" s="179"/>
      <c r="P1370" s="180">
        <v>40</v>
      </c>
      <c r="Q1370" s="173" t="s">
        <v>583</v>
      </c>
      <c r="R1370" s="173" t="s">
        <v>230</v>
      </c>
      <c r="S1370" s="174">
        <v>44648</v>
      </c>
      <c r="T1370" s="173" t="s">
        <v>33</v>
      </c>
      <c r="U1370" s="182">
        <v>3117.88</v>
      </c>
      <c r="V1370" s="177">
        <f>IF(U1370=0,0,IF(T1370="MXN",1/HLOOKUP(YEAR(S1370)+(MONTH(S1370)/100),TC!$5:$37,DAY(S1370)+2,FALSE),VLOOKUP(T1370,Equivalencia!$1:$23,((MAX(Equivalencia!$3:$3)-YEAR(S1370))*14)+MONTH(S1370)+2,FALSE)))</f>
        <v>1</v>
      </c>
      <c r="W1370" s="178">
        <f t="shared" si="178"/>
        <v>3117.88</v>
      </c>
      <c r="X1370" s="481">
        <f t="shared" si="179"/>
        <v>285.48</v>
      </c>
      <c r="Y1370" s="179"/>
      <c r="Z1370" s="466">
        <f t="shared" si="180"/>
        <v>2911.7072000000003</v>
      </c>
      <c r="AA1370" s="473">
        <f t="shared" si="181"/>
        <v>206.17279999999982</v>
      </c>
      <c r="AB1370" s="339">
        <f t="shared" si="182"/>
        <v>0.10079084875017652</v>
      </c>
    </row>
    <row r="1371" spans="2:28" ht="20.100000000000001" customHeight="1">
      <c r="B1371" s="172">
        <v>1427200</v>
      </c>
      <c r="C1371" s="174">
        <v>44503</v>
      </c>
      <c r="D1371" s="181" t="s">
        <v>413</v>
      </c>
      <c r="E1371" s="173" t="s">
        <v>33</v>
      </c>
      <c r="F1371" s="176">
        <v>566.48</v>
      </c>
      <c r="G1371" s="175">
        <f t="shared" si="173"/>
        <v>8</v>
      </c>
      <c r="H1371" s="175">
        <f t="shared" si="174"/>
        <v>566.48</v>
      </c>
      <c r="I1371" s="177">
        <f>IF(G1371=0,0,IF(E1371="MXN",1/HLOOKUP(YEAR(C1371)+(MONTH(C1371)/100),TC!$5:$37,DAY(C1371)+2,FALSE),VLOOKUP(E1371,Equivalencia!$5:$23,((MAX(Equivalencia!$3:$3)-YEAR(C1371))*14)+MONTH(C1371)+2,FALSE)))</f>
        <v>1</v>
      </c>
      <c r="J1371" s="178">
        <f t="shared" si="175"/>
        <v>566.48</v>
      </c>
      <c r="K1371" s="462">
        <f>IF(C1371=0,0,VLOOKUP(YEAR(C1371),INPC!$B$4:$O$29,MONTH(C1371)+1))</f>
        <v>116.884</v>
      </c>
      <c r="L1371" s="462">
        <f>IF(S1371=0,0,VLOOKUP(YEAR(S1371),INPC!$B$4:$O$29,MONTH(S1371)+1))</f>
        <v>120.15900000000001</v>
      </c>
      <c r="M1371" s="463">
        <f t="shared" si="176"/>
        <v>1.028</v>
      </c>
      <c r="N1371" s="465">
        <f t="shared" si="177"/>
        <v>582.34144000000003</v>
      </c>
      <c r="O1371" s="179"/>
      <c r="P1371" s="180">
        <v>8</v>
      </c>
      <c r="Q1371" s="173" t="s">
        <v>583</v>
      </c>
      <c r="R1371" s="173" t="s">
        <v>230</v>
      </c>
      <c r="S1371" s="174">
        <v>44650</v>
      </c>
      <c r="T1371" s="173" t="s">
        <v>33</v>
      </c>
      <c r="U1371" s="182">
        <v>658.69037037037037</v>
      </c>
      <c r="V1371" s="177">
        <f>IF(U1371=0,0,IF(T1371="MXN",1/HLOOKUP(YEAR(S1371)+(MONTH(S1371)/100),TC!$5:$37,DAY(S1371)+2,FALSE),VLOOKUP(T1371,Equivalencia!$1:$23,((MAX(Equivalencia!$3:$3)-YEAR(S1371))*14)+MONTH(S1371)+2,FALSE)))</f>
        <v>1</v>
      </c>
      <c r="W1371" s="178">
        <f t="shared" si="178"/>
        <v>658.69037037037037</v>
      </c>
      <c r="X1371" s="481">
        <f t="shared" si="179"/>
        <v>92.210370370370356</v>
      </c>
      <c r="Y1371" s="179"/>
      <c r="Z1371" s="466">
        <f t="shared" si="180"/>
        <v>582.34144000000003</v>
      </c>
      <c r="AA1371" s="473">
        <f t="shared" si="181"/>
        <v>76.34893037037034</v>
      </c>
      <c r="AB1371" s="339">
        <f t="shared" si="182"/>
        <v>0.16277780393018348</v>
      </c>
    </row>
    <row r="1372" spans="2:28" ht="20.100000000000001" customHeight="1">
      <c r="B1372" s="172">
        <v>1427200</v>
      </c>
      <c r="C1372" s="174">
        <v>44508</v>
      </c>
      <c r="D1372" s="181" t="s">
        <v>413</v>
      </c>
      <c r="E1372" s="173" t="s">
        <v>33</v>
      </c>
      <c r="F1372" s="176">
        <v>1419.8959090909091</v>
      </c>
      <c r="G1372" s="175">
        <f t="shared" si="173"/>
        <v>19</v>
      </c>
      <c r="H1372" s="175">
        <f t="shared" si="174"/>
        <v>1419.8959090909091</v>
      </c>
      <c r="I1372" s="177">
        <f>IF(G1372=0,0,IF(E1372="MXN",1/HLOOKUP(YEAR(C1372)+(MONTH(C1372)/100),TC!$5:$37,DAY(C1372)+2,FALSE),VLOOKUP(E1372,Equivalencia!$5:$23,((MAX(Equivalencia!$3:$3)-YEAR(C1372))*14)+MONTH(C1372)+2,FALSE)))</f>
        <v>1</v>
      </c>
      <c r="J1372" s="178">
        <f t="shared" si="175"/>
        <v>1419.8959090909091</v>
      </c>
      <c r="K1372" s="462">
        <f>IF(C1372=0,0,VLOOKUP(YEAR(C1372),INPC!$B$4:$O$29,MONTH(C1372)+1))</f>
        <v>116.884</v>
      </c>
      <c r="L1372" s="462">
        <f>IF(S1372=0,0,VLOOKUP(YEAR(S1372),INPC!$B$4:$O$29,MONTH(S1372)+1))</f>
        <v>120.15900000000001</v>
      </c>
      <c r="M1372" s="463">
        <f t="shared" si="176"/>
        <v>1.028</v>
      </c>
      <c r="N1372" s="465">
        <f t="shared" si="177"/>
        <v>1459.6529945454545</v>
      </c>
      <c r="O1372" s="179"/>
      <c r="P1372" s="180">
        <v>19</v>
      </c>
      <c r="Q1372" s="173" t="s">
        <v>583</v>
      </c>
      <c r="R1372" s="173" t="s">
        <v>230</v>
      </c>
      <c r="S1372" s="174">
        <v>44650</v>
      </c>
      <c r="T1372" s="173" t="s">
        <v>33</v>
      </c>
      <c r="U1372" s="182">
        <v>1564.3896296296296</v>
      </c>
      <c r="V1372" s="177">
        <f>IF(U1372=0,0,IF(T1372="MXN",1/HLOOKUP(YEAR(S1372)+(MONTH(S1372)/100),TC!$5:$37,DAY(S1372)+2,FALSE),VLOOKUP(T1372,Equivalencia!$1:$23,((MAX(Equivalencia!$3:$3)-YEAR(S1372))*14)+MONTH(S1372)+2,FALSE)))</f>
        <v>1</v>
      </c>
      <c r="W1372" s="178">
        <f t="shared" si="178"/>
        <v>1564.3896296296296</v>
      </c>
      <c r="X1372" s="481">
        <f t="shared" si="179"/>
        <v>144.49372053872048</v>
      </c>
      <c r="Y1372" s="179"/>
      <c r="Z1372" s="466">
        <f t="shared" si="180"/>
        <v>1459.6529945454545</v>
      </c>
      <c r="AA1372" s="473">
        <f t="shared" si="181"/>
        <v>104.73663508417508</v>
      </c>
      <c r="AB1372" s="339">
        <f t="shared" si="182"/>
        <v>0.1017636008482008</v>
      </c>
    </row>
    <row r="1373" spans="2:28" ht="20.100000000000001" customHeight="1">
      <c r="B1373" s="172">
        <v>1427200</v>
      </c>
      <c r="C1373" s="174">
        <v>44508</v>
      </c>
      <c r="D1373" s="181" t="s">
        <v>413</v>
      </c>
      <c r="E1373" s="173" t="s">
        <v>33</v>
      </c>
      <c r="F1373" s="176">
        <v>224.1940909090909</v>
      </c>
      <c r="G1373" s="175">
        <f t="shared" si="173"/>
        <v>3</v>
      </c>
      <c r="H1373" s="175">
        <f t="shared" si="174"/>
        <v>224.1940909090909</v>
      </c>
      <c r="I1373" s="177">
        <f>IF(G1373=0,0,IF(E1373="MXN",1/HLOOKUP(YEAR(C1373)+(MONTH(C1373)/100),TC!$5:$37,DAY(C1373)+2,FALSE),VLOOKUP(E1373,Equivalencia!$5:$23,((MAX(Equivalencia!$3:$3)-YEAR(C1373))*14)+MONTH(C1373)+2,FALSE)))</f>
        <v>1</v>
      </c>
      <c r="J1373" s="178">
        <f t="shared" si="175"/>
        <v>224.1940909090909</v>
      </c>
      <c r="K1373" s="462">
        <f>IF(C1373=0,0,VLOOKUP(YEAR(C1373),INPC!$B$4:$O$29,MONTH(C1373)+1))</f>
        <v>116.884</v>
      </c>
      <c r="L1373" s="462">
        <f>IF(S1373=0,0,VLOOKUP(YEAR(S1373),INPC!$B$4:$O$29,MONTH(S1373)+1))</f>
        <v>120.809</v>
      </c>
      <c r="M1373" s="463">
        <f t="shared" si="176"/>
        <v>1.0335000000000001</v>
      </c>
      <c r="N1373" s="465">
        <f t="shared" si="177"/>
        <v>231.70459295454546</v>
      </c>
      <c r="O1373" s="179"/>
      <c r="P1373" s="180">
        <v>3</v>
      </c>
      <c r="Q1373" s="173" t="s">
        <v>583</v>
      </c>
      <c r="R1373" s="173" t="s">
        <v>230</v>
      </c>
      <c r="S1373" s="174">
        <v>44652</v>
      </c>
      <c r="T1373" s="173" t="s">
        <v>33</v>
      </c>
      <c r="U1373" s="182">
        <v>223.7581395348837</v>
      </c>
      <c r="V1373" s="177">
        <f>IF(U1373=0,0,IF(T1373="MXN",1/HLOOKUP(YEAR(S1373)+(MONTH(S1373)/100),TC!$5:$37,DAY(S1373)+2,FALSE),VLOOKUP(T1373,Equivalencia!$1:$23,((MAX(Equivalencia!$3:$3)-YEAR(S1373))*14)+MONTH(S1373)+2,FALSE)))</f>
        <v>1</v>
      </c>
      <c r="W1373" s="178">
        <f t="shared" si="178"/>
        <v>223.7581395348837</v>
      </c>
      <c r="X1373" s="481">
        <f t="shared" si="179"/>
        <v>-0.43595137420720675</v>
      </c>
      <c r="Y1373" s="179"/>
      <c r="Z1373" s="466">
        <f t="shared" si="180"/>
        <v>231.70459295454546</v>
      </c>
      <c r="AA1373" s="473">
        <f t="shared" si="181"/>
        <v>-7.9464534196617649</v>
      </c>
      <c r="AB1373" s="339">
        <f t="shared" si="182"/>
        <v>-1.9445266038879971E-3</v>
      </c>
    </row>
    <row r="1374" spans="2:28" ht="20.100000000000001" customHeight="1">
      <c r="B1374" s="172">
        <v>1427200</v>
      </c>
      <c r="C1374" s="174">
        <v>44511</v>
      </c>
      <c r="D1374" s="181" t="s">
        <v>413</v>
      </c>
      <c r="E1374" s="173" t="s">
        <v>33</v>
      </c>
      <c r="F1374" s="176">
        <v>1720.3</v>
      </c>
      <c r="G1374" s="175">
        <f t="shared" si="173"/>
        <v>23</v>
      </c>
      <c r="H1374" s="175">
        <f t="shared" si="174"/>
        <v>1720.3</v>
      </c>
      <c r="I1374" s="177">
        <f>IF(G1374=0,0,IF(E1374="MXN",1/HLOOKUP(YEAR(C1374)+(MONTH(C1374)/100),TC!$5:$37,DAY(C1374)+2,FALSE),VLOOKUP(E1374,Equivalencia!$5:$23,((MAX(Equivalencia!$3:$3)-YEAR(C1374))*14)+MONTH(C1374)+2,FALSE)))</f>
        <v>1</v>
      </c>
      <c r="J1374" s="178">
        <f t="shared" si="175"/>
        <v>1720.3</v>
      </c>
      <c r="K1374" s="462">
        <f>IF(C1374=0,0,VLOOKUP(YEAR(C1374),INPC!$B$4:$O$29,MONTH(C1374)+1))</f>
        <v>116.884</v>
      </c>
      <c r="L1374" s="462">
        <f>IF(S1374=0,0,VLOOKUP(YEAR(S1374),INPC!$B$4:$O$29,MONTH(S1374)+1))</f>
        <v>120.809</v>
      </c>
      <c r="M1374" s="463">
        <f t="shared" si="176"/>
        <v>1.0335000000000001</v>
      </c>
      <c r="N1374" s="465">
        <f t="shared" si="177"/>
        <v>1777.9300500000002</v>
      </c>
      <c r="O1374" s="179"/>
      <c r="P1374" s="180">
        <v>23</v>
      </c>
      <c r="Q1374" s="173" t="s">
        <v>583</v>
      </c>
      <c r="R1374" s="173" t="s">
        <v>230</v>
      </c>
      <c r="S1374" s="174">
        <v>44652</v>
      </c>
      <c r="T1374" s="173" t="s">
        <v>33</v>
      </c>
      <c r="U1374" s="182">
        <v>1715.4790697674416</v>
      </c>
      <c r="V1374" s="177">
        <f>IF(U1374=0,0,IF(T1374="MXN",1/HLOOKUP(YEAR(S1374)+(MONTH(S1374)/100),TC!$5:$37,DAY(S1374)+2,FALSE),VLOOKUP(T1374,Equivalencia!$1:$23,((MAX(Equivalencia!$3:$3)-YEAR(S1374))*14)+MONTH(S1374)+2,FALSE)))</f>
        <v>1</v>
      </c>
      <c r="W1374" s="178">
        <f t="shared" si="178"/>
        <v>1715.4790697674416</v>
      </c>
      <c r="X1374" s="481">
        <f t="shared" si="179"/>
        <v>-4.8209302325583394</v>
      </c>
      <c r="Y1374" s="179"/>
      <c r="Z1374" s="466">
        <f t="shared" si="180"/>
        <v>1777.9300500000002</v>
      </c>
      <c r="AA1374" s="473">
        <f t="shared" si="181"/>
        <v>-62.45098023255855</v>
      </c>
      <c r="AB1374" s="339">
        <f t="shared" si="182"/>
        <v>-2.8023776274825885E-3</v>
      </c>
    </row>
    <row r="1375" spans="2:28" ht="20.100000000000001" customHeight="1">
      <c r="B1375" s="172">
        <v>1427200</v>
      </c>
      <c r="C1375" s="174">
        <v>44516</v>
      </c>
      <c r="D1375" s="181" t="s">
        <v>413</v>
      </c>
      <c r="E1375" s="173" t="s">
        <v>33</v>
      </c>
      <c r="F1375" s="176">
        <v>1300</v>
      </c>
      <c r="G1375" s="175">
        <f t="shared" si="173"/>
        <v>17</v>
      </c>
      <c r="H1375" s="175">
        <f t="shared" si="174"/>
        <v>1300</v>
      </c>
      <c r="I1375" s="177">
        <f>IF(G1375=0,0,IF(E1375="MXN",1/HLOOKUP(YEAR(C1375)+(MONTH(C1375)/100),TC!$5:$37,DAY(C1375)+2,FALSE),VLOOKUP(E1375,Equivalencia!$5:$23,((MAX(Equivalencia!$3:$3)-YEAR(C1375))*14)+MONTH(C1375)+2,FALSE)))</f>
        <v>1</v>
      </c>
      <c r="J1375" s="178">
        <f t="shared" si="175"/>
        <v>1300</v>
      </c>
      <c r="K1375" s="462">
        <f>IF(C1375=0,0,VLOOKUP(YEAR(C1375),INPC!$B$4:$O$29,MONTH(C1375)+1))</f>
        <v>116.884</v>
      </c>
      <c r="L1375" s="462">
        <f>IF(S1375=0,0,VLOOKUP(YEAR(S1375),INPC!$B$4:$O$29,MONTH(S1375)+1))</f>
        <v>120.809</v>
      </c>
      <c r="M1375" s="463">
        <f t="shared" si="176"/>
        <v>1.0335000000000001</v>
      </c>
      <c r="N1375" s="465">
        <f t="shared" si="177"/>
        <v>1343.5500000000002</v>
      </c>
      <c r="O1375" s="179"/>
      <c r="P1375" s="180">
        <v>17</v>
      </c>
      <c r="Q1375" s="173" t="s">
        <v>583</v>
      </c>
      <c r="R1375" s="173" t="s">
        <v>230</v>
      </c>
      <c r="S1375" s="174">
        <v>44652</v>
      </c>
      <c r="T1375" s="173" t="s">
        <v>33</v>
      </c>
      <c r="U1375" s="182">
        <v>1267.9627906976743</v>
      </c>
      <c r="V1375" s="177">
        <f>IF(U1375=0,0,IF(T1375="MXN",1/HLOOKUP(YEAR(S1375)+(MONTH(S1375)/100),TC!$5:$37,DAY(S1375)+2,FALSE),VLOOKUP(T1375,Equivalencia!$1:$23,((MAX(Equivalencia!$3:$3)-YEAR(S1375))*14)+MONTH(S1375)+2,FALSE)))</f>
        <v>1</v>
      </c>
      <c r="W1375" s="178">
        <f t="shared" si="178"/>
        <v>1267.9627906976743</v>
      </c>
      <c r="X1375" s="481">
        <f t="shared" si="179"/>
        <v>-32.037209302325664</v>
      </c>
      <c r="Y1375" s="179"/>
      <c r="Z1375" s="466">
        <f t="shared" si="180"/>
        <v>1343.5500000000002</v>
      </c>
      <c r="AA1375" s="473">
        <f t="shared" si="181"/>
        <v>-75.587209302325846</v>
      </c>
      <c r="AB1375" s="339">
        <f t="shared" si="182"/>
        <v>-2.4644007155635084E-2</v>
      </c>
    </row>
    <row r="1376" spans="2:28" ht="20.100000000000001" customHeight="1">
      <c r="B1376" s="172">
        <v>1427200</v>
      </c>
      <c r="C1376" s="174">
        <v>44550</v>
      </c>
      <c r="D1376" s="181" t="s">
        <v>424</v>
      </c>
      <c r="E1376" s="173" t="s">
        <v>33</v>
      </c>
      <c r="F1376" s="176">
        <v>1366.6</v>
      </c>
      <c r="G1376" s="175">
        <f t="shared" si="173"/>
        <v>6</v>
      </c>
      <c r="H1376" s="175">
        <f t="shared" si="174"/>
        <v>1366.6</v>
      </c>
      <c r="I1376" s="177">
        <f>IF(G1376=0,0,IF(E1376="MXN",1/HLOOKUP(YEAR(C1376)+(MONTH(C1376)/100),TC!$5:$37,DAY(C1376)+2,FALSE),VLOOKUP(E1376,Equivalencia!$5:$23,((MAX(Equivalencia!$3:$3)-YEAR(C1376))*14)+MONTH(C1376)+2,FALSE)))</f>
        <v>1</v>
      </c>
      <c r="J1376" s="178">
        <f t="shared" si="175"/>
        <v>1366.6</v>
      </c>
      <c r="K1376" s="462">
        <f>IF(C1376=0,0,VLOOKUP(YEAR(C1376),INPC!$B$4:$O$29,MONTH(C1376)+1))</f>
        <v>117.30800000000001</v>
      </c>
      <c r="L1376" s="462">
        <f>IF(S1376=0,0,VLOOKUP(YEAR(S1376),INPC!$B$4:$O$29,MONTH(S1376)+1))</f>
        <v>118.98099999999999</v>
      </c>
      <c r="M1376" s="463">
        <f t="shared" si="176"/>
        <v>1.0142</v>
      </c>
      <c r="N1376" s="465">
        <f t="shared" si="177"/>
        <v>1386.0057199999999</v>
      </c>
      <c r="O1376" s="179"/>
      <c r="P1376" s="180">
        <v>6</v>
      </c>
      <c r="Q1376" s="173" t="s">
        <v>583</v>
      </c>
      <c r="R1376" s="173" t="s">
        <v>230</v>
      </c>
      <c r="S1376" s="174">
        <v>44610</v>
      </c>
      <c r="T1376" s="173" t="s">
        <v>33</v>
      </c>
      <c r="U1376" s="182">
        <v>676.69384615384615</v>
      </c>
      <c r="V1376" s="177">
        <f>IF(U1376=0,0,IF(T1376="MXN",1/HLOOKUP(YEAR(S1376)+(MONTH(S1376)/100),TC!$5:$37,DAY(S1376)+2,FALSE),VLOOKUP(T1376,Equivalencia!$1:$23,((MAX(Equivalencia!$3:$3)-YEAR(S1376))*14)+MONTH(S1376)+2,FALSE)))</f>
        <v>1</v>
      </c>
      <c r="W1376" s="178">
        <f t="shared" si="178"/>
        <v>676.69384615384615</v>
      </c>
      <c r="X1376" s="481">
        <f t="shared" si="179"/>
        <v>-689.90615384615376</v>
      </c>
      <c r="Y1376" s="179"/>
      <c r="Z1376" s="466">
        <f t="shared" si="180"/>
        <v>1386.0057199999999</v>
      </c>
      <c r="AA1376" s="473">
        <f t="shared" si="181"/>
        <v>-709.31187384615373</v>
      </c>
      <c r="AB1376" s="339">
        <f t="shared" si="182"/>
        <v>-0.50483400691215707</v>
      </c>
    </row>
    <row r="1377" spans="2:28" ht="20.100000000000001" customHeight="1">
      <c r="B1377" s="172">
        <v>1427200</v>
      </c>
      <c r="C1377" s="174">
        <v>44551</v>
      </c>
      <c r="D1377" s="181" t="s">
        <v>424</v>
      </c>
      <c r="E1377" s="173" t="s">
        <v>33</v>
      </c>
      <c r="F1377" s="176">
        <v>1151.51</v>
      </c>
      <c r="G1377" s="175">
        <f t="shared" si="173"/>
        <v>5</v>
      </c>
      <c r="H1377" s="175">
        <f t="shared" si="174"/>
        <v>1151.51</v>
      </c>
      <c r="I1377" s="177">
        <f>IF(G1377=0,0,IF(E1377="MXN",1/HLOOKUP(YEAR(C1377)+(MONTH(C1377)/100),TC!$5:$37,DAY(C1377)+2,FALSE),VLOOKUP(E1377,Equivalencia!$5:$23,((MAX(Equivalencia!$3:$3)-YEAR(C1377))*14)+MONTH(C1377)+2,FALSE)))</f>
        <v>1</v>
      </c>
      <c r="J1377" s="178">
        <f t="shared" si="175"/>
        <v>1151.51</v>
      </c>
      <c r="K1377" s="462">
        <f>IF(C1377=0,0,VLOOKUP(YEAR(C1377),INPC!$B$4:$O$29,MONTH(C1377)+1))</f>
        <v>117.30800000000001</v>
      </c>
      <c r="L1377" s="462">
        <f>IF(S1377=0,0,VLOOKUP(YEAR(S1377),INPC!$B$4:$O$29,MONTH(S1377)+1))</f>
        <v>118.98099999999999</v>
      </c>
      <c r="M1377" s="463">
        <f t="shared" si="176"/>
        <v>1.0142</v>
      </c>
      <c r="N1377" s="465">
        <f t="shared" si="177"/>
        <v>1167.8614419999999</v>
      </c>
      <c r="O1377" s="179"/>
      <c r="P1377" s="180">
        <v>5</v>
      </c>
      <c r="Q1377" s="173" t="s">
        <v>583</v>
      </c>
      <c r="R1377" s="173" t="s">
        <v>230</v>
      </c>
      <c r="S1377" s="174">
        <v>44610</v>
      </c>
      <c r="T1377" s="173" t="s">
        <v>33</v>
      </c>
      <c r="U1377" s="182">
        <v>563.9115384615385</v>
      </c>
      <c r="V1377" s="177">
        <f>IF(U1377=0,0,IF(T1377="MXN",1/HLOOKUP(YEAR(S1377)+(MONTH(S1377)/100),TC!$5:$37,DAY(S1377)+2,FALSE),VLOOKUP(T1377,Equivalencia!$1:$23,((MAX(Equivalencia!$3:$3)-YEAR(S1377))*14)+MONTH(S1377)+2,FALSE)))</f>
        <v>1</v>
      </c>
      <c r="W1377" s="178">
        <f t="shared" si="178"/>
        <v>563.9115384615385</v>
      </c>
      <c r="X1377" s="481">
        <f t="shared" si="179"/>
        <v>-587.59846153846149</v>
      </c>
      <c r="Y1377" s="179"/>
      <c r="Z1377" s="466">
        <f t="shared" si="180"/>
        <v>1167.8614419999999</v>
      </c>
      <c r="AA1377" s="473">
        <f t="shared" si="181"/>
        <v>-603.9499035384614</v>
      </c>
      <c r="AB1377" s="339">
        <f t="shared" si="182"/>
        <v>-0.51028515734857838</v>
      </c>
    </row>
    <row r="1378" spans="2:28" ht="20.100000000000001" customHeight="1">
      <c r="B1378" s="172">
        <v>1427200</v>
      </c>
      <c r="C1378" s="174">
        <v>44551</v>
      </c>
      <c r="D1378" s="181" t="s">
        <v>424</v>
      </c>
      <c r="E1378" s="173" t="s">
        <v>33</v>
      </c>
      <c r="F1378" s="176">
        <v>931.14</v>
      </c>
      <c r="G1378" s="175">
        <f t="shared" si="173"/>
        <v>4</v>
      </c>
      <c r="H1378" s="175">
        <f t="shared" si="174"/>
        <v>931.14</v>
      </c>
      <c r="I1378" s="177">
        <f>IF(G1378=0,0,IF(E1378="MXN",1/HLOOKUP(YEAR(C1378)+(MONTH(C1378)/100),TC!$5:$37,DAY(C1378)+2,FALSE),VLOOKUP(E1378,Equivalencia!$5:$23,((MAX(Equivalencia!$3:$3)-YEAR(C1378))*14)+MONTH(C1378)+2,FALSE)))</f>
        <v>1</v>
      </c>
      <c r="J1378" s="178">
        <f t="shared" si="175"/>
        <v>931.14</v>
      </c>
      <c r="K1378" s="462">
        <f>IF(C1378=0,0,VLOOKUP(YEAR(C1378),INPC!$B$4:$O$29,MONTH(C1378)+1))</f>
        <v>117.30800000000001</v>
      </c>
      <c r="L1378" s="462">
        <f>IF(S1378=0,0,VLOOKUP(YEAR(S1378),INPC!$B$4:$O$29,MONTH(S1378)+1))</f>
        <v>118.98099999999999</v>
      </c>
      <c r="M1378" s="463">
        <f t="shared" si="176"/>
        <v>1.0142</v>
      </c>
      <c r="N1378" s="465">
        <f t="shared" si="177"/>
        <v>944.36218799999995</v>
      </c>
      <c r="O1378" s="179"/>
      <c r="P1378" s="180">
        <v>4</v>
      </c>
      <c r="Q1378" s="173" t="s">
        <v>583</v>
      </c>
      <c r="R1378" s="173" t="s">
        <v>230</v>
      </c>
      <c r="S1378" s="174">
        <v>44610</v>
      </c>
      <c r="T1378" s="173" t="s">
        <v>33</v>
      </c>
      <c r="U1378" s="182">
        <v>451.12923076923079</v>
      </c>
      <c r="V1378" s="177">
        <f>IF(U1378=0,0,IF(T1378="MXN",1/HLOOKUP(YEAR(S1378)+(MONTH(S1378)/100),TC!$5:$37,DAY(S1378)+2,FALSE),VLOOKUP(T1378,Equivalencia!$1:$23,((MAX(Equivalencia!$3:$3)-YEAR(S1378))*14)+MONTH(S1378)+2,FALSE)))</f>
        <v>1</v>
      </c>
      <c r="W1378" s="178">
        <f t="shared" si="178"/>
        <v>451.12923076923079</v>
      </c>
      <c r="X1378" s="481">
        <f t="shared" si="179"/>
        <v>-480.0107692307692</v>
      </c>
      <c r="Y1378" s="179"/>
      <c r="Z1378" s="466">
        <f t="shared" si="180"/>
        <v>944.36218799999995</v>
      </c>
      <c r="AA1378" s="473">
        <f t="shared" si="181"/>
        <v>-493.23295723076916</v>
      </c>
      <c r="AB1378" s="339">
        <f t="shared" si="182"/>
        <v>-0.5155086981879945</v>
      </c>
    </row>
    <row r="1379" spans="2:28" ht="20.100000000000001" customHeight="1">
      <c r="B1379" s="172">
        <v>1427200</v>
      </c>
      <c r="C1379" s="174">
        <v>44557</v>
      </c>
      <c r="D1379" s="181" t="s">
        <v>424</v>
      </c>
      <c r="E1379" s="173" t="s">
        <v>33</v>
      </c>
      <c r="F1379" s="176">
        <v>1157.3900000000001</v>
      </c>
      <c r="G1379" s="175">
        <f t="shared" si="173"/>
        <v>5</v>
      </c>
      <c r="H1379" s="175">
        <f t="shared" si="174"/>
        <v>1157.3900000000001</v>
      </c>
      <c r="I1379" s="177">
        <f>IF(G1379=0,0,IF(E1379="MXN",1/HLOOKUP(YEAR(C1379)+(MONTH(C1379)/100),TC!$5:$37,DAY(C1379)+2,FALSE),VLOOKUP(E1379,Equivalencia!$5:$23,((MAX(Equivalencia!$3:$3)-YEAR(C1379))*14)+MONTH(C1379)+2,FALSE)))</f>
        <v>1</v>
      </c>
      <c r="J1379" s="178">
        <f t="shared" si="175"/>
        <v>1157.3900000000001</v>
      </c>
      <c r="K1379" s="462">
        <f>IF(C1379=0,0,VLOOKUP(YEAR(C1379),INPC!$B$4:$O$29,MONTH(C1379)+1))</f>
        <v>117.30800000000001</v>
      </c>
      <c r="L1379" s="462">
        <f>IF(S1379=0,0,VLOOKUP(YEAR(S1379),INPC!$B$4:$O$29,MONTH(S1379)+1))</f>
        <v>118.98099999999999</v>
      </c>
      <c r="M1379" s="463">
        <f t="shared" si="176"/>
        <v>1.0142</v>
      </c>
      <c r="N1379" s="465">
        <f t="shared" si="177"/>
        <v>1173.8249380000002</v>
      </c>
      <c r="O1379" s="179"/>
      <c r="P1379" s="180">
        <v>5</v>
      </c>
      <c r="Q1379" s="173" t="s">
        <v>583</v>
      </c>
      <c r="R1379" s="173" t="s">
        <v>230</v>
      </c>
      <c r="S1379" s="174">
        <v>44610</v>
      </c>
      <c r="T1379" s="173" t="s">
        <v>33</v>
      </c>
      <c r="U1379" s="182">
        <v>563.9115384615385</v>
      </c>
      <c r="V1379" s="177">
        <f>IF(U1379=0,0,IF(T1379="MXN",1/HLOOKUP(YEAR(S1379)+(MONTH(S1379)/100),TC!$5:$37,DAY(S1379)+2,FALSE),VLOOKUP(T1379,Equivalencia!$1:$23,((MAX(Equivalencia!$3:$3)-YEAR(S1379))*14)+MONTH(S1379)+2,FALSE)))</f>
        <v>1</v>
      </c>
      <c r="W1379" s="178">
        <f t="shared" si="178"/>
        <v>563.9115384615385</v>
      </c>
      <c r="X1379" s="481">
        <f t="shared" si="179"/>
        <v>-593.4784615384616</v>
      </c>
      <c r="Y1379" s="179"/>
      <c r="Z1379" s="466">
        <f t="shared" si="180"/>
        <v>1173.8249380000002</v>
      </c>
      <c r="AA1379" s="473">
        <f t="shared" si="181"/>
        <v>-609.9133995384617</v>
      </c>
      <c r="AB1379" s="339">
        <f t="shared" si="182"/>
        <v>-0.51277310287669797</v>
      </c>
    </row>
    <row r="1380" spans="2:28" ht="20.100000000000001" customHeight="1">
      <c r="B1380" s="172">
        <v>1427200</v>
      </c>
      <c r="C1380" s="174">
        <v>44568</v>
      </c>
      <c r="D1380" s="181" t="s">
        <v>424</v>
      </c>
      <c r="E1380" s="173" t="s">
        <v>33</v>
      </c>
      <c r="F1380" s="176">
        <v>1095.6300000000001</v>
      </c>
      <c r="G1380" s="175">
        <f t="shared" si="173"/>
        <v>6</v>
      </c>
      <c r="H1380" s="175">
        <f t="shared" si="174"/>
        <v>1095.6300000000001</v>
      </c>
      <c r="I1380" s="177">
        <f>IF(G1380=0,0,IF(E1380="MXN",1/HLOOKUP(YEAR(C1380)+(MONTH(C1380)/100),TC!$5:$37,DAY(C1380)+2,FALSE),VLOOKUP(E1380,Equivalencia!$5:$23,((MAX(Equivalencia!$3:$3)-YEAR(C1380))*14)+MONTH(C1380)+2,FALSE)))</f>
        <v>1</v>
      </c>
      <c r="J1380" s="178">
        <f t="shared" si="175"/>
        <v>1095.6300000000001</v>
      </c>
      <c r="K1380" s="462">
        <f>IF(C1380=0,0,VLOOKUP(YEAR(C1380),INPC!$B$4:$O$29,MONTH(C1380)+1))</f>
        <v>118.002</v>
      </c>
      <c r="L1380" s="462">
        <f>IF(S1380=0,0,VLOOKUP(YEAR(S1380),INPC!$B$4:$O$29,MONTH(S1380)+1))</f>
        <v>118.98099999999999</v>
      </c>
      <c r="M1380" s="463">
        <f t="shared" si="176"/>
        <v>1.0082</v>
      </c>
      <c r="N1380" s="465">
        <f t="shared" si="177"/>
        <v>1104.6141660000001</v>
      </c>
      <c r="O1380" s="179"/>
      <c r="P1380" s="180">
        <v>6</v>
      </c>
      <c r="Q1380" s="173" t="s">
        <v>583</v>
      </c>
      <c r="R1380" s="173" t="s">
        <v>230</v>
      </c>
      <c r="S1380" s="174">
        <v>44610</v>
      </c>
      <c r="T1380" s="173" t="s">
        <v>33</v>
      </c>
      <c r="U1380" s="182">
        <v>676.69384615384615</v>
      </c>
      <c r="V1380" s="177">
        <f>IF(U1380=0,0,IF(T1380="MXN",1/HLOOKUP(YEAR(S1380)+(MONTH(S1380)/100),TC!$5:$37,DAY(S1380)+2,FALSE),VLOOKUP(T1380,Equivalencia!$1:$23,((MAX(Equivalencia!$3:$3)-YEAR(S1380))*14)+MONTH(S1380)+2,FALSE)))</f>
        <v>1</v>
      </c>
      <c r="W1380" s="178">
        <f t="shared" si="178"/>
        <v>676.69384615384615</v>
      </c>
      <c r="X1380" s="481">
        <f t="shared" si="179"/>
        <v>-418.93615384615396</v>
      </c>
      <c r="Y1380" s="179"/>
      <c r="Z1380" s="466">
        <f t="shared" si="180"/>
        <v>1104.6141660000001</v>
      </c>
      <c r="AA1380" s="473">
        <f t="shared" si="181"/>
        <v>-427.92031984615392</v>
      </c>
      <c r="AB1380" s="339">
        <f t="shared" si="182"/>
        <v>-0.38237010107988456</v>
      </c>
    </row>
    <row r="1381" spans="2:28" ht="20.100000000000001" customHeight="1">
      <c r="B1381" s="172">
        <v>1427200</v>
      </c>
      <c r="C1381" s="174">
        <v>44509</v>
      </c>
      <c r="D1381" s="181" t="s">
        <v>427</v>
      </c>
      <c r="E1381" s="173" t="s">
        <v>33</v>
      </c>
      <c r="F1381" s="176">
        <v>74.838888888888889</v>
      </c>
      <c r="G1381" s="175">
        <f t="shared" si="173"/>
        <v>1</v>
      </c>
      <c r="H1381" s="175">
        <f t="shared" si="174"/>
        <v>74.838888888888889</v>
      </c>
      <c r="I1381" s="177">
        <f>IF(G1381=0,0,IF(E1381="MXN",1/HLOOKUP(YEAR(C1381)+(MONTH(C1381)/100),TC!$5:$37,DAY(C1381)+2,FALSE),VLOOKUP(E1381,Equivalencia!$5:$23,((MAX(Equivalencia!$3:$3)-YEAR(C1381))*14)+MONTH(C1381)+2,FALSE)))</f>
        <v>1</v>
      </c>
      <c r="J1381" s="178">
        <f t="shared" si="175"/>
        <v>74.838888888888889</v>
      </c>
      <c r="K1381" s="462">
        <f>IF(C1381=0,0,VLOOKUP(YEAR(C1381),INPC!$B$4:$O$29,MONTH(C1381)+1))</f>
        <v>116.884</v>
      </c>
      <c r="L1381" s="462">
        <f>IF(S1381=0,0,VLOOKUP(YEAR(S1381),INPC!$B$4:$O$29,MONTH(S1381)+1))</f>
        <v>120.15900000000001</v>
      </c>
      <c r="M1381" s="463">
        <f t="shared" si="176"/>
        <v>1.028</v>
      </c>
      <c r="N1381" s="465">
        <f t="shared" si="177"/>
        <v>76.934377777777783</v>
      </c>
      <c r="O1381" s="179"/>
      <c r="P1381" s="180">
        <v>1</v>
      </c>
      <c r="Q1381" s="173" t="s">
        <v>583</v>
      </c>
      <c r="R1381" s="173" t="s">
        <v>230</v>
      </c>
      <c r="S1381" s="174">
        <v>44634</v>
      </c>
      <c r="T1381" s="173" t="s">
        <v>33</v>
      </c>
      <c r="U1381" s="182">
        <v>29.91</v>
      </c>
      <c r="V1381" s="177">
        <f>IF(U1381=0,0,IF(T1381="MXN",1/HLOOKUP(YEAR(S1381)+(MONTH(S1381)/100),TC!$5:$37,DAY(S1381)+2,FALSE),VLOOKUP(T1381,Equivalencia!$1:$23,((MAX(Equivalencia!$3:$3)-YEAR(S1381))*14)+MONTH(S1381)+2,FALSE)))</f>
        <v>1</v>
      </c>
      <c r="W1381" s="178">
        <f t="shared" si="178"/>
        <v>29.91</v>
      </c>
      <c r="X1381" s="481">
        <f t="shared" si="179"/>
        <v>-44.928888888888892</v>
      </c>
      <c r="Y1381" s="179"/>
      <c r="Z1381" s="466">
        <f t="shared" si="180"/>
        <v>76.934377777777783</v>
      </c>
      <c r="AA1381" s="473">
        <f t="shared" si="181"/>
        <v>-47.024377777777786</v>
      </c>
      <c r="AB1381" s="339">
        <f t="shared" si="182"/>
        <v>-0.60034147427807882</v>
      </c>
    </row>
    <row r="1382" spans="2:28" ht="20.100000000000001" customHeight="1">
      <c r="B1382" s="172">
        <v>1427200</v>
      </c>
      <c r="C1382" s="174">
        <v>44509</v>
      </c>
      <c r="D1382" s="181" t="s">
        <v>427</v>
      </c>
      <c r="E1382" s="173" t="s">
        <v>33</v>
      </c>
      <c r="F1382" s="176">
        <v>149.67777777777778</v>
      </c>
      <c r="G1382" s="175">
        <f t="shared" si="173"/>
        <v>2</v>
      </c>
      <c r="H1382" s="175">
        <f t="shared" si="174"/>
        <v>149.67777777777778</v>
      </c>
      <c r="I1382" s="177">
        <f>IF(G1382=0,0,IF(E1382="MXN",1/HLOOKUP(YEAR(C1382)+(MONTH(C1382)/100),TC!$5:$37,DAY(C1382)+2,FALSE),VLOOKUP(E1382,Equivalencia!$5:$23,((MAX(Equivalencia!$3:$3)-YEAR(C1382))*14)+MONTH(C1382)+2,FALSE)))</f>
        <v>1</v>
      </c>
      <c r="J1382" s="178">
        <f t="shared" si="175"/>
        <v>149.67777777777778</v>
      </c>
      <c r="K1382" s="462">
        <f>IF(C1382=0,0,VLOOKUP(YEAR(C1382),INPC!$B$4:$O$29,MONTH(C1382)+1))</f>
        <v>116.884</v>
      </c>
      <c r="L1382" s="462">
        <f>IF(S1382=0,0,VLOOKUP(YEAR(S1382),INPC!$B$4:$O$29,MONTH(S1382)+1))</f>
        <v>120.15900000000001</v>
      </c>
      <c r="M1382" s="463">
        <f t="shared" si="176"/>
        <v>1.028</v>
      </c>
      <c r="N1382" s="465">
        <f t="shared" si="177"/>
        <v>153.86875555555557</v>
      </c>
      <c r="O1382" s="179"/>
      <c r="P1382" s="180">
        <v>2</v>
      </c>
      <c r="Q1382" s="173" t="s">
        <v>583</v>
      </c>
      <c r="R1382" s="173" t="s">
        <v>230</v>
      </c>
      <c r="S1382" s="174">
        <v>44634</v>
      </c>
      <c r="T1382" s="173" t="s">
        <v>33</v>
      </c>
      <c r="U1382" s="182">
        <v>59.36</v>
      </c>
      <c r="V1382" s="177">
        <f>IF(U1382=0,0,IF(T1382="MXN",1/HLOOKUP(YEAR(S1382)+(MONTH(S1382)/100),TC!$5:$37,DAY(S1382)+2,FALSE),VLOOKUP(T1382,Equivalencia!$1:$23,((MAX(Equivalencia!$3:$3)-YEAR(S1382))*14)+MONTH(S1382)+2,FALSE)))</f>
        <v>1</v>
      </c>
      <c r="W1382" s="178">
        <f t="shared" si="178"/>
        <v>59.36</v>
      </c>
      <c r="X1382" s="481">
        <f t="shared" si="179"/>
        <v>-90.317777777777778</v>
      </c>
      <c r="Y1382" s="179"/>
      <c r="Z1382" s="466">
        <f t="shared" si="180"/>
        <v>153.86875555555557</v>
      </c>
      <c r="AA1382" s="473">
        <f t="shared" si="181"/>
        <v>-94.508755555555567</v>
      </c>
      <c r="AB1382" s="339">
        <f t="shared" si="182"/>
        <v>-0.60341474278078833</v>
      </c>
    </row>
    <row r="1383" spans="2:28" ht="20.100000000000001" customHeight="1">
      <c r="B1383" s="172">
        <v>1427200</v>
      </c>
      <c r="C1383" s="174">
        <v>44509</v>
      </c>
      <c r="D1383" s="181" t="s">
        <v>427</v>
      </c>
      <c r="E1383" s="173" t="s">
        <v>33</v>
      </c>
      <c r="F1383" s="176">
        <v>224.51666666666665</v>
      </c>
      <c r="G1383" s="175">
        <f t="shared" si="173"/>
        <v>3</v>
      </c>
      <c r="H1383" s="175">
        <f t="shared" si="174"/>
        <v>224.51666666666665</v>
      </c>
      <c r="I1383" s="177">
        <f>IF(G1383=0,0,IF(E1383="MXN",1/HLOOKUP(YEAR(C1383)+(MONTH(C1383)/100),TC!$5:$37,DAY(C1383)+2,FALSE),VLOOKUP(E1383,Equivalencia!$5:$23,((MAX(Equivalencia!$3:$3)-YEAR(C1383))*14)+MONTH(C1383)+2,FALSE)))</f>
        <v>1</v>
      </c>
      <c r="J1383" s="178">
        <f t="shared" si="175"/>
        <v>224.51666666666665</v>
      </c>
      <c r="K1383" s="462">
        <f>IF(C1383=0,0,VLOOKUP(YEAR(C1383),INPC!$B$4:$O$29,MONTH(C1383)+1))</f>
        <v>116.884</v>
      </c>
      <c r="L1383" s="462">
        <f>IF(S1383=0,0,VLOOKUP(YEAR(S1383),INPC!$B$4:$O$29,MONTH(S1383)+1))</f>
        <v>120.15900000000001</v>
      </c>
      <c r="M1383" s="463">
        <f t="shared" si="176"/>
        <v>1.028</v>
      </c>
      <c r="N1383" s="465">
        <f t="shared" si="177"/>
        <v>230.80313333333334</v>
      </c>
      <c r="O1383" s="179"/>
      <c r="P1383" s="180">
        <v>3</v>
      </c>
      <c r="Q1383" s="173" t="s">
        <v>583</v>
      </c>
      <c r="R1383" s="173" t="s">
        <v>230</v>
      </c>
      <c r="S1383" s="174">
        <v>44634</v>
      </c>
      <c r="T1383" s="173" t="s">
        <v>33</v>
      </c>
      <c r="U1383" s="182">
        <v>91.5</v>
      </c>
      <c r="V1383" s="177">
        <f>IF(U1383=0,0,IF(T1383="MXN",1/HLOOKUP(YEAR(S1383)+(MONTH(S1383)/100),TC!$5:$37,DAY(S1383)+2,FALSE),VLOOKUP(T1383,Equivalencia!$1:$23,((MAX(Equivalencia!$3:$3)-YEAR(S1383))*14)+MONTH(S1383)+2,FALSE)))</f>
        <v>1</v>
      </c>
      <c r="W1383" s="178">
        <f t="shared" si="178"/>
        <v>91.5</v>
      </c>
      <c r="X1383" s="481">
        <f t="shared" si="179"/>
        <v>-133.01666666666665</v>
      </c>
      <c r="Y1383" s="179"/>
      <c r="Z1383" s="466">
        <f t="shared" si="180"/>
        <v>230.80313333333334</v>
      </c>
      <c r="AA1383" s="473">
        <f t="shared" si="181"/>
        <v>-139.30313333333334</v>
      </c>
      <c r="AB1383" s="339">
        <f t="shared" si="182"/>
        <v>-0.59245787246678039</v>
      </c>
    </row>
    <row r="1384" spans="2:28" ht="20.100000000000001" customHeight="1">
      <c r="B1384" s="172">
        <v>1427200</v>
      </c>
      <c r="C1384" s="174">
        <v>44509</v>
      </c>
      <c r="D1384" s="181" t="s">
        <v>427</v>
      </c>
      <c r="E1384" s="173" t="s">
        <v>33</v>
      </c>
      <c r="F1384" s="176">
        <v>224.51666666666665</v>
      </c>
      <c r="G1384" s="175">
        <f t="shared" si="173"/>
        <v>3</v>
      </c>
      <c r="H1384" s="175">
        <f t="shared" si="174"/>
        <v>224.51666666666665</v>
      </c>
      <c r="I1384" s="177">
        <f>IF(G1384=0,0,IF(E1384="MXN",1/HLOOKUP(YEAR(C1384)+(MONTH(C1384)/100),TC!$5:$37,DAY(C1384)+2,FALSE),VLOOKUP(E1384,Equivalencia!$5:$23,((MAX(Equivalencia!$3:$3)-YEAR(C1384))*14)+MONTH(C1384)+2,FALSE)))</f>
        <v>1</v>
      </c>
      <c r="J1384" s="178">
        <f t="shared" si="175"/>
        <v>224.51666666666665</v>
      </c>
      <c r="K1384" s="462">
        <f>IF(C1384=0,0,VLOOKUP(YEAR(C1384),INPC!$B$4:$O$29,MONTH(C1384)+1))</f>
        <v>116.884</v>
      </c>
      <c r="L1384" s="462">
        <f>IF(S1384=0,0,VLOOKUP(YEAR(S1384),INPC!$B$4:$O$29,MONTH(S1384)+1))</f>
        <v>120.15900000000001</v>
      </c>
      <c r="M1384" s="463">
        <f t="shared" si="176"/>
        <v>1.028</v>
      </c>
      <c r="N1384" s="465">
        <f t="shared" si="177"/>
        <v>230.80313333333334</v>
      </c>
      <c r="O1384" s="179"/>
      <c r="P1384" s="180">
        <v>3</v>
      </c>
      <c r="Q1384" s="173" t="s">
        <v>583</v>
      </c>
      <c r="R1384" s="173" t="s">
        <v>230</v>
      </c>
      <c r="S1384" s="174">
        <v>44634</v>
      </c>
      <c r="T1384" s="173" t="s">
        <v>33</v>
      </c>
      <c r="U1384" s="182">
        <v>89.348333333333343</v>
      </c>
      <c r="V1384" s="177">
        <f>IF(U1384=0,0,IF(T1384="MXN",1/HLOOKUP(YEAR(S1384)+(MONTH(S1384)/100),TC!$5:$37,DAY(S1384)+2,FALSE),VLOOKUP(T1384,Equivalencia!$1:$23,((MAX(Equivalencia!$3:$3)-YEAR(S1384))*14)+MONTH(S1384)+2,FALSE)))</f>
        <v>1</v>
      </c>
      <c r="W1384" s="178">
        <f t="shared" si="178"/>
        <v>89.348333333333343</v>
      </c>
      <c r="X1384" s="481">
        <f t="shared" si="179"/>
        <v>-135.16833333333329</v>
      </c>
      <c r="Y1384" s="179"/>
      <c r="Z1384" s="466">
        <f t="shared" si="180"/>
        <v>230.80313333333334</v>
      </c>
      <c r="AA1384" s="473">
        <f t="shared" si="181"/>
        <v>-141.45479999999998</v>
      </c>
      <c r="AB1384" s="339">
        <f t="shared" si="182"/>
        <v>-0.60204142231460167</v>
      </c>
    </row>
    <row r="1385" spans="2:28" ht="20.100000000000001" customHeight="1">
      <c r="B1385" s="172">
        <v>1427200</v>
      </c>
      <c r="C1385" s="174">
        <v>44509</v>
      </c>
      <c r="D1385" s="181" t="s">
        <v>427</v>
      </c>
      <c r="E1385" s="173" t="s">
        <v>33</v>
      </c>
      <c r="F1385" s="176">
        <v>74.22</v>
      </c>
      <c r="G1385" s="175">
        <f t="shared" si="173"/>
        <v>1</v>
      </c>
      <c r="H1385" s="175">
        <f t="shared" si="174"/>
        <v>74.22</v>
      </c>
      <c r="I1385" s="177">
        <f>IF(G1385=0,0,IF(E1385="MXN",1/HLOOKUP(YEAR(C1385)+(MONTH(C1385)/100),TC!$5:$37,DAY(C1385)+2,FALSE),VLOOKUP(E1385,Equivalencia!$5:$23,((MAX(Equivalencia!$3:$3)-YEAR(C1385))*14)+MONTH(C1385)+2,FALSE)))</f>
        <v>1</v>
      </c>
      <c r="J1385" s="178">
        <f t="shared" si="175"/>
        <v>74.22</v>
      </c>
      <c r="K1385" s="462">
        <f>IF(C1385=0,0,VLOOKUP(YEAR(C1385),INPC!$B$4:$O$29,MONTH(C1385)+1))</f>
        <v>116.884</v>
      </c>
      <c r="L1385" s="462">
        <f>IF(S1385=0,0,VLOOKUP(YEAR(S1385),INPC!$B$4:$O$29,MONTH(S1385)+1))</f>
        <v>120.15900000000001</v>
      </c>
      <c r="M1385" s="463">
        <f t="shared" si="176"/>
        <v>1.028</v>
      </c>
      <c r="N1385" s="465">
        <f t="shared" si="177"/>
        <v>76.298159999999996</v>
      </c>
      <c r="O1385" s="179"/>
      <c r="P1385" s="180">
        <v>1</v>
      </c>
      <c r="Q1385" s="173" t="s">
        <v>583</v>
      </c>
      <c r="R1385" s="173" t="s">
        <v>230</v>
      </c>
      <c r="S1385" s="174">
        <v>44634</v>
      </c>
      <c r="T1385" s="173" t="s">
        <v>33</v>
      </c>
      <c r="U1385" s="182">
        <v>29.782777777777781</v>
      </c>
      <c r="V1385" s="177">
        <f>IF(U1385=0,0,IF(T1385="MXN",1/HLOOKUP(YEAR(S1385)+(MONTH(S1385)/100),TC!$5:$37,DAY(S1385)+2,FALSE),VLOOKUP(T1385,Equivalencia!$1:$23,((MAX(Equivalencia!$3:$3)-YEAR(S1385))*14)+MONTH(S1385)+2,FALSE)))</f>
        <v>1</v>
      </c>
      <c r="W1385" s="178">
        <f t="shared" si="178"/>
        <v>29.782777777777781</v>
      </c>
      <c r="X1385" s="481">
        <f t="shared" si="179"/>
        <v>-44.437222222222218</v>
      </c>
      <c r="Y1385" s="179"/>
      <c r="Z1385" s="466">
        <f t="shared" si="180"/>
        <v>76.298159999999996</v>
      </c>
      <c r="AA1385" s="473">
        <f t="shared" si="181"/>
        <v>-46.515382222222215</v>
      </c>
      <c r="AB1385" s="339">
        <f t="shared" si="182"/>
        <v>-0.59872301565915143</v>
      </c>
    </row>
    <row r="1386" spans="2:28" ht="20.100000000000001" customHeight="1">
      <c r="B1386" s="172">
        <v>1427200</v>
      </c>
      <c r="C1386" s="174">
        <v>44509</v>
      </c>
      <c r="D1386" s="181" t="s">
        <v>427</v>
      </c>
      <c r="E1386" s="173" t="s">
        <v>33</v>
      </c>
      <c r="F1386" s="176">
        <v>1846.09</v>
      </c>
      <c r="G1386" s="175">
        <f t="shared" si="173"/>
        <v>25</v>
      </c>
      <c r="H1386" s="175">
        <f t="shared" si="174"/>
        <v>1846.09</v>
      </c>
      <c r="I1386" s="177">
        <f>IF(G1386=0,0,IF(E1386="MXN",1/HLOOKUP(YEAR(C1386)+(MONTH(C1386)/100),TC!$5:$37,DAY(C1386)+2,FALSE),VLOOKUP(E1386,Equivalencia!$5:$23,((MAX(Equivalencia!$3:$3)-YEAR(C1386))*14)+MONTH(C1386)+2,FALSE)))</f>
        <v>1</v>
      </c>
      <c r="J1386" s="178">
        <f t="shared" si="175"/>
        <v>1846.09</v>
      </c>
      <c r="K1386" s="462">
        <f>IF(C1386=0,0,VLOOKUP(YEAR(C1386),INPC!$B$4:$O$29,MONTH(C1386)+1))</f>
        <v>116.884</v>
      </c>
      <c r="L1386" s="462">
        <f>IF(S1386=0,0,VLOOKUP(YEAR(S1386),INPC!$B$4:$O$29,MONTH(S1386)+1))</f>
        <v>120.15900000000001</v>
      </c>
      <c r="M1386" s="463">
        <f t="shared" si="176"/>
        <v>1.028</v>
      </c>
      <c r="N1386" s="465">
        <f t="shared" si="177"/>
        <v>1897.78052</v>
      </c>
      <c r="O1386" s="179"/>
      <c r="P1386" s="180">
        <v>25</v>
      </c>
      <c r="Q1386" s="173" t="s">
        <v>583</v>
      </c>
      <c r="R1386" s="173" t="s">
        <v>230</v>
      </c>
      <c r="S1386" s="174">
        <v>44634</v>
      </c>
      <c r="T1386" s="173" t="s">
        <v>33</v>
      </c>
      <c r="U1386" s="182">
        <v>744.56944444444457</v>
      </c>
      <c r="V1386" s="177">
        <f>IF(U1386=0,0,IF(T1386="MXN",1/HLOOKUP(YEAR(S1386)+(MONTH(S1386)/100),TC!$5:$37,DAY(S1386)+2,FALSE),VLOOKUP(T1386,Equivalencia!$1:$23,((MAX(Equivalencia!$3:$3)-YEAR(S1386))*14)+MONTH(S1386)+2,FALSE)))</f>
        <v>1</v>
      </c>
      <c r="W1386" s="178">
        <f t="shared" si="178"/>
        <v>744.56944444444457</v>
      </c>
      <c r="X1386" s="481">
        <f t="shared" si="179"/>
        <v>-1101.5205555555553</v>
      </c>
      <c r="Y1386" s="179"/>
      <c r="Z1386" s="466">
        <f t="shared" si="180"/>
        <v>1897.78052</v>
      </c>
      <c r="AA1386" s="473">
        <f t="shared" si="181"/>
        <v>-1153.2110755555555</v>
      </c>
      <c r="AB1386" s="339">
        <f t="shared" si="182"/>
        <v>-0.59667760269301895</v>
      </c>
    </row>
    <row r="1387" spans="2:28" ht="20.100000000000001" customHeight="1">
      <c r="B1387" s="172">
        <v>1427200</v>
      </c>
      <c r="C1387" s="174">
        <v>44509</v>
      </c>
      <c r="D1387" s="181" t="s">
        <v>427</v>
      </c>
      <c r="E1387" s="173" t="s">
        <v>33</v>
      </c>
      <c r="F1387" s="176">
        <v>222.27</v>
      </c>
      <c r="G1387" s="175">
        <f t="shared" si="173"/>
        <v>3</v>
      </c>
      <c r="H1387" s="175">
        <f t="shared" si="174"/>
        <v>222.27</v>
      </c>
      <c r="I1387" s="177">
        <f>IF(G1387=0,0,IF(E1387="MXN",1/HLOOKUP(YEAR(C1387)+(MONTH(C1387)/100),TC!$5:$37,DAY(C1387)+2,FALSE),VLOOKUP(E1387,Equivalencia!$5:$23,((MAX(Equivalencia!$3:$3)-YEAR(C1387))*14)+MONTH(C1387)+2,FALSE)))</f>
        <v>1</v>
      </c>
      <c r="J1387" s="178">
        <f t="shared" si="175"/>
        <v>222.27</v>
      </c>
      <c r="K1387" s="462">
        <f>IF(C1387=0,0,VLOOKUP(YEAR(C1387),INPC!$B$4:$O$29,MONTH(C1387)+1))</f>
        <v>116.884</v>
      </c>
      <c r="L1387" s="462">
        <f>IF(S1387=0,0,VLOOKUP(YEAR(S1387),INPC!$B$4:$O$29,MONTH(S1387)+1))</f>
        <v>120.15900000000001</v>
      </c>
      <c r="M1387" s="463">
        <f t="shared" si="176"/>
        <v>1.028</v>
      </c>
      <c r="N1387" s="465">
        <f t="shared" si="177"/>
        <v>228.49356</v>
      </c>
      <c r="O1387" s="179"/>
      <c r="P1387" s="180">
        <v>3</v>
      </c>
      <c r="Q1387" s="173" t="s">
        <v>583</v>
      </c>
      <c r="R1387" s="173" t="s">
        <v>230</v>
      </c>
      <c r="S1387" s="174">
        <v>44634</v>
      </c>
      <c r="T1387" s="173" t="s">
        <v>33</v>
      </c>
      <c r="U1387" s="182">
        <v>89.348333333333343</v>
      </c>
      <c r="V1387" s="177">
        <f>IF(U1387=0,0,IF(T1387="MXN",1/HLOOKUP(YEAR(S1387)+(MONTH(S1387)/100),TC!$5:$37,DAY(S1387)+2,FALSE),VLOOKUP(T1387,Equivalencia!$1:$23,((MAX(Equivalencia!$3:$3)-YEAR(S1387))*14)+MONTH(S1387)+2,FALSE)))</f>
        <v>1</v>
      </c>
      <c r="W1387" s="178">
        <f t="shared" si="178"/>
        <v>89.348333333333343</v>
      </c>
      <c r="X1387" s="481">
        <f t="shared" si="179"/>
        <v>-132.92166666666668</v>
      </c>
      <c r="Y1387" s="179"/>
      <c r="Z1387" s="466">
        <f t="shared" si="180"/>
        <v>228.49356</v>
      </c>
      <c r="AA1387" s="473">
        <f t="shared" si="181"/>
        <v>-139.14522666666664</v>
      </c>
      <c r="AB1387" s="339">
        <f t="shared" si="182"/>
        <v>-0.59801892593092476</v>
      </c>
    </row>
    <row r="1388" spans="2:28" ht="20.100000000000001" customHeight="1">
      <c r="B1388" s="172">
        <v>1427200</v>
      </c>
      <c r="C1388" s="174">
        <v>44510</v>
      </c>
      <c r="D1388" s="181" t="s">
        <v>427</v>
      </c>
      <c r="E1388" s="173" t="s">
        <v>33</v>
      </c>
      <c r="F1388" s="176">
        <v>291.64</v>
      </c>
      <c r="G1388" s="175">
        <f t="shared" si="173"/>
        <v>4</v>
      </c>
      <c r="H1388" s="175">
        <f t="shared" si="174"/>
        <v>291.64</v>
      </c>
      <c r="I1388" s="177">
        <f>IF(G1388=0,0,IF(E1388="MXN",1/HLOOKUP(YEAR(C1388)+(MONTH(C1388)/100),TC!$5:$37,DAY(C1388)+2,FALSE),VLOOKUP(E1388,Equivalencia!$5:$23,((MAX(Equivalencia!$3:$3)-YEAR(C1388))*14)+MONTH(C1388)+2,FALSE)))</f>
        <v>1</v>
      </c>
      <c r="J1388" s="178">
        <f t="shared" si="175"/>
        <v>291.64</v>
      </c>
      <c r="K1388" s="462">
        <f>IF(C1388=0,0,VLOOKUP(YEAR(C1388),INPC!$B$4:$O$29,MONTH(C1388)+1))</f>
        <v>116.884</v>
      </c>
      <c r="L1388" s="462">
        <f>IF(S1388=0,0,VLOOKUP(YEAR(S1388),INPC!$B$4:$O$29,MONTH(S1388)+1))</f>
        <v>120.15900000000001</v>
      </c>
      <c r="M1388" s="463">
        <f t="shared" si="176"/>
        <v>1.028</v>
      </c>
      <c r="N1388" s="465">
        <f t="shared" si="177"/>
        <v>299.80592000000001</v>
      </c>
      <c r="O1388" s="179"/>
      <c r="P1388" s="180">
        <v>4</v>
      </c>
      <c r="Q1388" s="173" t="s">
        <v>583</v>
      </c>
      <c r="R1388" s="173" t="s">
        <v>230</v>
      </c>
      <c r="S1388" s="174">
        <v>44634</v>
      </c>
      <c r="T1388" s="173" t="s">
        <v>33</v>
      </c>
      <c r="U1388" s="182">
        <v>119.13111111111112</v>
      </c>
      <c r="V1388" s="177">
        <f>IF(U1388=0,0,IF(T1388="MXN",1/HLOOKUP(YEAR(S1388)+(MONTH(S1388)/100),TC!$5:$37,DAY(S1388)+2,FALSE),VLOOKUP(T1388,Equivalencia!$1:$23,((MAX(Equivalencia!$3:$3)-YEAR(S1388))*14)+MONTH(S1388)+2,FALSE)))</f>
        <v>1</v>
      </c>
      <c r="W1388" s="178">
        <f t="shared" si="178"/>
        <v>119.13111111111112</v>
      </c>
      <c r="X1388" s="481">
        <f t="shared" si="179"/>
        <v>-172.50888888888886</v>
      </c>
      <c r="Y1388" s="179"/>
      <c r="Z1388" s="466">
        <f t="shared" si="180"/>
        <v>299.80592000000001</v>
      </c>
      <c r="AA1388" s="473">
        <f t="shared" si="181"/>
        <v>-180.67480888888889</v>
      </c>
      <c r="AB1388" s="339">
        <f t="shared" si="182"/>
        <v>-0.59151312881939677</v>
      </c>
    </row>
    <row r="1389" spans="2:28" ht="20.100000000000001" customHeight="1">
      <c r="B1389" s="172">
        <v>1427200</v>
      </c>
      <c r="C1389" s="174">
        <v>44510</v>
      </c>
      <c r="D1389" s="181" t="s">
        <v>427</v>
      </c>
      <c r="E1389" s="173" t="s">
        <v>33</v>
      </c>
      <c r="F1389" s="176">
        <v>72.91</v>
      </c>
      <c r="G1389" s="175">
        <f t="shared" si="173"/>
        <v>1</v>
      </c>
      <c r="H1389" s="175">
        <f t="shared" si="174"/>
        <v>72.91</v>
      </c>
      <c r="I1389" s="177">
        <f>IF(G1389=0,0,IF(E1389="MXN",1/HLOOKUP(YEAR(C1389)+(MONTH(C1389)/100),TC!$5:$37,DAY(C1389)+2,FALSE),VLOOKUP(E1389,Equivalencia!$5:$23,((MAX(Equivalencia!$3:$3)-YEAR(C1389))*14)+MONTH(C1389)+2,FALSE)))</f>
        <v>1</v>
      </c>
      <c r="J1389" s="178">
        <f t="shared" si="175"/>
        <v>72.91</v>
      </c>
      <c r="K1389" s="462">
        <f>IF(C1389=0,0,VLOOKUP(YEAR(C1389),INPC!$B$4:$O$29,MONTH(C1389)+1))</f>
        <v>116.884</v>
      </c>
      <c r="L1389" s="462">
        <f>IF(S1389=0,0,VLOOKUP(YEAR(S1389),INPC!$B$4:$O$29,MONTH(S1389)+1))</f>
        <v>120.15900000000001</v>
      </c>
      <c r="M1389" s="463">
        <f t="shared" si="176"/>
        <v>1.028</v>
      </c>
      <c r="N1389" s="465">
        <f t="shared" si="177"/>
        <v>74.951480000000004</v>
      </c>
      <c r="O1389" s="179"/>
      <c r="P1389" s="180">
        <v>1</v>
      </c>
      <c r="Q1389" s="173" t="s">
        <v>583</v>
      </c>
      <c r="R1389" s="173" t="s">
        <v>230</v>
      </c>
      <c r="S1389" s="174">
        <v>44634</v>
      </c>
      <c r="T1389" s="173" t="s">
        <v>33</v>
      </c>
      <c r="U1389" s="182">
        <v>29.74</v>
      </c>
      <c r="V1389" s="177">
        <f>IF(U1389=0,0,IF(T1389="MXN",1/HLOOKUP(YEAR(S1389)+(MONTH(S1389)/100),TC!$5:$37,DAY(S1389)+2,FALSE),VLOOKUP(T1389,Equivalencia!$1:$23,((MAX(Equivalencia!$3:$3)-YEAR(S1389))*14)+MONTH(S1389)+2,FALSE)))</f>
        <v>1</v>
      </c>
      <c r="W1389" s="178">
        <f t="shared" si="178"/>
        <v>29.74</v>
      </c>
      <c r="X1389" s="481">
        <f t="shared" si="179"/>
        <v>-43.17</v>
      </c>
      <c r="Y1389" s="179"/>
      <c r="Z1389" s="466">
        <f t="shared" si="180"/>
        <v>74.951480000000004</v>
      </c>
      <c r="AA1389" s="473">
        <f t="shared" si="181"/>
        <v>-45.211480000000009</v>
      </c>
      <c r="AB1389" s="339">
        <f t="shared" si="182"/>
        <v>-0.59209984912906322</v>
      </c>
    </row>
    <row r="1390" spans="2:28" ht="20.100000000000001" customHeight="1">
      <c r="B1390" s="172">
        <v>1427200</v>
      </c>
      <c r="C1390" s="174">
        <v>44510</v>
      </c>
      <c r="D1390" s="181" t="s">
        <v>427</v>
      </c>
      <c r="E1390" s="173" t="s">
        <v>33</v>
      </c>
      <c r="F1390" s="176">
        <v>145.82</v>
      </c>
      <c r="G1390" s="175">
        <f t="shared" si="173"/>
        <v>2</v>
      </c>
      <c r="H1390" s="175">
        <f t="shared" si="174"/>
        <v>145.82</v>
      </c>
      <c r="I1390" s="177">
        <f>IF(G1390=0,0,IF(E1390="MXN",1/HLOOKUP(YEAR(C1390)+(MONTH(C1390)/100),TC!$5:$37,DAY(C1390)+2,FALSE),VLOOKUP(E1390,Equivalencia!$5:$23,((MAX(Equivalencia!$3:$3)-YEAR(C1390))*14)+MONTH(C1390)+2,FALSE)))</f>
        <v>1</v>
      </c>
      <c r="J1390" s="178">
        <f t="shared" si="175"/>
        <v>145.82</v>
      </c>
      <c r="K1390" s="462">
        <f>IF(C1390=0,0,VLOOKUP(YEAR(C1390),INPC!$B$4:$O$29,MONTH(C1390)+1))</f>
        <v>116.884</v>
      </c>
      <c r="L1390" s="462">
        <f>IF(S1390=0,0,VLOOKUP(YEAR(S1390),INPC!$B$4:$O$29,MONTH(S1390)+1))</f>
        <v>120.15900000000001</v>
      </c>
      <c r="M1390" s="463">
        <f t="shared" si="176"/>
        <v>1.028</v>
      </c>
      <c r="N1390" s="465">
        <f t="shared" si="177"/>
        <v>149.90296000000001</v>
      </c>
      <c r="O1390" s="179"/>
      <c r="P1390" s="180">
        <v>2</v>
      </c>
      <c r="Q1390" s="173" t="s">
        <v>583</v>
      </c>
      <c r="R1390" s="173" t="s">
        <v>230</v>
      </c>
      <c r="S1390" s="174">
        <v>44635</v>
      </c>
      <c r="T1390" s="173" t="s">
        <v>33</v>
      </c>
      <c r="U1390" s="182">
        <v>62.6</v>
      </c>
      <c r="V1390" s="177">
        <f>IF(U1390=0,0,IF(T1390="MXN",1/HLOOKUP(YEAR(S1390)+(MONTH(S1390)/100),TC!$5:$37,DAY(S1390)+2,FALSE),VLOOKUP(T1390,Equivalencia!$1:$23,((MAX(Equivalencia!$3:$3)-YEAR(S1390))*14)+MONTH(S1390)+2,FALSE)))</f>
        <v>1</v>
      </c>
      <c r="W1390" s="178">
        <f t="shared" si="178"/>
        <v>62.6</v>
      </c>
      <c r="X1390" s="481">
        <f t="shared" si="179"/>
        <v>-83.22</v>
      </c>
      <c r="Y1390" s="179"/>
      <c r="Z1390" s="466">
        <f t="shared" si="180"/>
        <v>149.90296000000001</v>
      </c>
      <c r="AA1390" s="473">
        <f t="shared" si="181"/>
        <v>-87.302960000000013</v>
      </c>
      <c r="AB1390" s="339">
        <f t="shared" si="182"/>
        <v>-0.5707036071869428</v>
      </c>
    </row>
    <row r="1391" spans="2:28" ht="20.100000000000001" customHeight="1">
      <c r="B1391" s="172">
        <v>1427200</v>
      </c>
      <c r="C1391" s="174">
        <v>44510</v>
      </c>
      <c r="D1391" s="181" t="s">
        <v>427</v>
      </c>
      <c r="E1391" s="173" t="s">
        <v>33</v>
      </c>
      <c r="F1391" s="176">
        <v>218.73</v>
      </c>
      <c r="G1391" s="175">
        <f t="shared" si="173"/>
        <v>3</v>
      </c>
      <c r="H1391" s="175">
        <f t="shared" si="174"/>
        <v>218.73</v>
      </c>
      <c r="I1391" s="177">
        <f>IF(G1391=0,0,IF(E1391="MXN",1/HLOOKUP(YEAR(C1391)+(MONTH(C1391)/100),TC!$5:$37,DAY(C1391)+2,FALSE),VLOOKUP(E1391,Equivalencia!$5:$23,((MAX(Equivalencia!$3:$3)-YEAR(C1391))*14)+MONTH(C1391)+2,FALSE)))</f>
        <v>1</v>
      </c>
      <c r="J1391" s="178">
        <f t="shared" si="175"/>
        <v>218.73</v>
      </c>
      <c r="K1391" s="462">
        <f>IF(C1391=0,0,VLOOKUP(YEAR(C1391),INPC!$B$4:$O$29,MONTH(C1391)+1))</f>
        <v>116.884</v>
      </c>
      <c r="L1391" s="462">
        <f>IF(S1391=0,0,VLOOKUP(YEAR(S1391),INPC!$B$4:$O$29,MONTH(S1391)+1))</f>
        <v>120.15900000000001</v>
      </c>
      <c r="M1391" s="463">
        <f t="shared" si="176"/>
        <v>1.028</v>
      </c>
      <c r="N1391" s="465">
        <f t="shared" si="177"/>
        <v>224.85443999999998</v>
      </c>
      <c r="O1391" s="179"/>
      <c r="P1391" s="180">
        <v>3</v>
      </c>
      <c r="Q1391" s="173" t="s">
        <v>583</v>
      </c>
      <c r="R1391" s="173" t="s">
        <v>230</v>
      </c>
      <c r="S1391" s="174">
        <v>44635</v>
      </c>
      <c r="T1391" s="173" t="s">
        <v>33</v>
      </c>
      <c r="U1391" s="182">
        <v>93.84</v>
      </c>
      <c r="V1391" s="177">
        <f>IF(U1391=0,0,IF(T1391="MXN",1/HLOOKUP(YEAR(S1391)+(MONTH(S1391)/100),TC!$5:$37,DAY(S1391)+2,FALSE),VLOOKUP(T1391,Equivalencia!$1:$23,((MAX(Equivalencia!$3:$3)-YEAR(S1391))*14)+MONTH(S1391)+2,FALSE)))</f>
        <v>1</v>
      </c>
      <c r="W1391" s="178">
        <f t="shared" si="178"/>
        <v>93.84</v>
      </c>
      <c r="X1391" s="481">
        <f t="shared" si="179"/>
        <v>-124.88999999999999</v>
      </c>
      <c r="Y1391" s="179"/>
      <c r="Z1391" s="466">
        <f t="shared" si="180"/>
        <v>224.85443999999998</v>
      </c>
      <c r="AA1391" s="473">
        <f t="shared" si="181"/>
        <v>-131.01443999999998</v>
      </c>
      <c r="AB1391" s="339">
        <f t="shared" si="182"/>
        <v>-0.57097791798107256</v>
      </c>
    </row>
    <row r="1392" spans="2:28" ht="20.100000000000001" customHeight="1">
      <c r="B1392" s="172">
        <v>1427200</v>
      </c>
      <c r="C1392" s="174">
        <v>44510</v>
      </c>
      <c r="D1392" s="181" t="s">
        <v>427</v>
      </c>
      <c r="E1392" s="173" t="s">
        <v>33</v>
      </c>
      <c r="F1392" s="176">
        <v>72.91</v>
      </c>
      <c r="G1392" s="175">
        <f t="shared" si="173"/>
        <v>1</v>
      </c>
      <c r="H1392" s="175">
        <f t="shared" si="174"/>
        <v>72.91</v>
      </c>
      <c r="I1392" s="177">
        <f>IF(G1392=0,0,IF(E1392="MXN",1/HLOOKUP(YEAR(C1392)+(MONTH(C1392)/100),TC!$5:$37,DAY(C1392)+2,FALSE),VLOOKUP(E1392,Equivalencia!$5:$23,((MAX(Equivalencia!$3:$3)-YEAR(C1392))*14)+MONTH(C1392)+2,FALSE)))</f>
        <v>1</v>
      </c>
      <c r="J1392" s="178">
        <f t="shared" si="175"/>
        <v>72.91</v>
      </c>
      <c r="K1392" s="462">
        <f>IF(C1392=0,0,VLOOKUP(YEAR(C1392),INPC!$B$4:$O$29,MONTH(C1392)+1))</f>
        <v>116.884</v>
      </c>
      <c r="L1392" s="462">
        <f>IF(S1392=0,0,VLOOKUP(YEAR(S1392),INPC!$B$4:$O$29,MONTH(S1392)+1))</f>
        <v>120.15900000000001</v>
      </c>
      <c r="M1392" s="463">
        <f t="shared" si="176"/>
        <v>1.028</v>
      </c>
      <c r="N1392" s="465">
        <f t="shared" si="177"/>
        <v>74.951480000000004</v>
      </c>
      <c r="O1392" s="179"/>
      <c r="P1392" s="180">
        <v>1</v>
      </c>
      <c r="Q1392" s="173" t="s">
        <v>583</v>
      </c>
      <c r="R1392" s="173" t="s">
        <v>230</v>
      </c>
      <c r="S1392" s="174">
        <v>44635</v>
      </c>
      <c r="T1392" s="173" t="s">
        <v>33</v>
      </c>
      <c r="U1392" s="182">
        <v>31.26</v>
      </c>
      <c r="V1392" s="177">
        <f>IF(U1392=0,0,IF(T1392="MXN",1/HLOOKUP(YEAR(S1392)+(MONTH(S1392)/100),TC!$5:$37,DAY(S1392)+2,FALSE),VLOOKUP(T1392,Equivalencia!$1:$23,((MAX(Equivalencia!$3:$3)-YEAR(S1392))*14)+MONTH(S1392)+2,FALSE)))</f>
        <v>1</v>
      </c>
      <c r="W1392" s="178">
        <f t="shared" si="178"/>
        <v>31.26</v>
      </c>
      <c r="X1392" s="481">
        <f t="shared" si="179"/>
        <v>-41.649999999999991</v>
      </c>
      <c r="Y1392" s="179"/>
      <c r="Z1392" s="466">
        <f t="shared" si="180"/>
        <v>74.951480000000004</v>
      </c>
      <c r="AA1392" s="473">
        <f t="shared" si="181"/>
        <v>-43.691479999999999</v>
      </c>
      <c r="AB1392" s="339">
        <f t="shared" si="182"/>
        <v>-0.57125222877520221</v>
      </c>
    </row>
    <row r="1393" spans="2:28" ht="20.100000000000001" customHeight="1">
      <c r="B1393" s="172">
        <v>1427200</v>
      </c>
      <c r="C1393" s="174">
        <v>44516</v>
      </c>
      <c r="D1393" s="181" t="s">
        <v>427</v>
      </c>
      <c r="E1393" s="173" t="s">
        <v>33</v>
      </c>
      <c r="F1393" s="176">
        <v>74.88</v>
      </c>
      <c r="G1393" s="175">
        <f t="shared" si="173"/>
        <v>1</v>
      </c>
      <c r="H1393" s="175">
        <f t="shared" si="174"/>
        <v>74.88</v>
      </c>
      <c r="I1393" s="177">
        <f>IF(G1393=0,0,IF(E1393="MXN",1/HLOOKUP(YEAR(C1393)+(MONTH(C1393)/100),TC!$5:$37,DAY(C1393)+2,FALSE),VLOOKUP(E1393,Equivalencia!$5:$23,((MAX(Equivalencia!$3:$3)-YEAR(C1393))*14)+MONTH(C1393)+2,FALSE)))</f>
        <v>1</v>
      </c>
      <c r="J1393" s="178">
        <f t="shared" si="175"/>
        <v>74.88</v>
      </c>
      <c r="K1393" s="462">
        <f>IF(C1393=0,0,VLOOKUP(YEAR(C1393),INPC!$B$4:$O$29,MONTH(C1393)+1))</f>
        <v>116.884</v>
      </c>
      <c r="L1393" s="462">
        <f>IF(S1393=0,0,VLOOKUP(YEAR(S1393),INPC!$B$4:$O$29,MONTH(S1393)+1))</f>
        <v>120.15900000000001</v>
      </c>
      <c r="M1393" s="463">
        <f t="shared" si="176"/>
        <v>1.028</v>
      </c>
      <c r="N1393" s="465">
        <f t="shared" si="177"/>
        <v>76.976640000000003</v>
      </c>
      <c r="O1393" s="179"/>
      <c r="P1393" s="180">
        <v>1</v>
      </c>
      <c r="Q1393" s="173" t="s">
        <v>583</v>
      </c>
      <c r="R1393" s="173" t="s">
        <v>230</v>
      </c>
      <c r="S1393" s="174">
        <v>44635</v>
      </c>
      <c r="T1393" s="173" t="s">
        <v>33</v>
      </c>
      <c r="U1393" s="182">
        <v>31.47</v>
      </c>
      <c r="V1393" s="177">
        <f>IF(U1393=0,0,IF(T1393="MXN",1/HLOOKUP(YEAR(S1393)+(MONTH(S1393)/100),TC!$5:$37,DAY(S1393)+2,FALSE),VLOOKUP(T1393,Equivalencia!$1:$23,((MAX(Equivalencia!$3:$3)-YEAR(S1393))*14)+MONTH(S1393)+2,FALSE)))</f>
        <v>1</v>
      </c>
      <c r="W1393" s="178">
        <f t="shared" si="178"/>
        <v>31.47</v>
      </c>
      <c r="X1393" s="481">
        <f t="shared" si="179"/>
        <v>-43.41</v>
      </c>
      <c r="Y1393" s="179"/>
      <c r="Z1393" s="466">
        <f t="shared" si="180"/>
        <v>76.976640000000003</v>
      </c>
      <c r="AA1393" s="473">
        <f t="shared" si="181"/>
        <v>-45.506640000000004</v>
      </c>
      <c r="AB1393" s="339">
        <f t="shared" si="182"/>
        <v>-0.5797275641025641</v>
      </c>
    </row>
    <row r="1394" spans="2:28" ht="20.100000000000001" customHeight="1">
      <c r="B1394" s="172">
        <v>1427200</v>
      </c>
      <c r="C1394" s="174">
        <v>44516</v>
      </c>
      <c r="D1394" s="181" t="s">
        <v>427</v>
      </c>
      <c r="E1394" s="173" t="s">
        <v>33</v>
      </c>
      <c r="F1394" s="176">
        <v>298.33777777777777</v>
      </c>
      <c r="G1394" s="175">
        <f t="shared" si="173"/>
        <v>4</v>
      </c>
      <c r="H1394" s="175">
        <f t="shared" si="174"/>
        <v>298.33777777777777</v>
      </c>
      <c r="I1394" s="177">
        <f>IF(G1394=0,0,IF(E1394="MXN",1/HLOOKUP(YEAR(C1394)+(MONTH(C1394)/100),TC!$5:$37,DAY(C1394)+2,FALSE),VLOOKUP(E1394,Equivalencia!$5:$23,((MAX(Equivalencia!$3:$3)-YEAR(C1394))*14)+MONTH(C1394)+2,FALSE)))</f>
        <v>1</v>
      </c>
      <c r="J1394" s="178">
        <f t="shared" si="175"/>
        <v>298.33777777777777</v>
      </c>
      <c r="K1394" s="462">
        <f>IF(C1394=0,0,VLOOKUP(YEAR(C1394),INPC!$B$4:$O$29,MONTH(C1394)+1))</f>
        <v>116.884</v>
      </c>
      <c r="L1394" s="462">
        <f>IF(S1394=0,0,VLOOKUP(YEAR(S1394),INPC!$B$4:$O$29,MONTH(S1394)+1))</f>
        <v>120.15900000000001</v>
      </c>
      <c r="M1394" s="463">
        <f t="shared" si="176"/>
        <v>1.028</v>
      </c>
      <c r="N1394" s="465">
        <f t="shared" si="177"/>
        <v>306.69123555555558</v>
      </c>
      <c r="O1394" s="179"/>
      <c r="P1394" s="180">
        <v>4</v>
      </c>
      <c r="Q1394" s="173" t="s">
        <v>583</v>
      </c>
      <c r="R1394" s="173" t="s">
        <v>230</v>
      </c>
      <c r="S1394" s="174">
        <v>44635</v>
      </c>
      <c r="T1394" s="173" t="s">
        <v>33</v>
      </c>
      <c r="U1394" s="182">
        <v>123.27</v>
      </c>
      <c r="V1394" s="177">
        <f>IF(U1394=0,0,IF(T1394="MXN",1/HLOOKUP(YEAR(S1394)+(MONTH(S1394)/100),TC!$5:$37,DAY(S1394)+2,FALSE),VLOOKUP(T1394,Equivalencia!$1:$23,((MAX(Equivalencia!$3:$3)-YEAR(S1394))*14)+MONTH(S1394)+2,FALSE)))</f>
        <v>1</v>
      </c>
      <c r="W1394" s="178">
        <f t="shared" si="178"/>
        <v>123.27</v>
      </c>
      <c r="X1394" s="481">
        <f t="shared" si="179"/>
        <v>-175.06777777777779</v>
      </c>
      <c r="Y1394" s="179"/>
      <c r="Z1394" s="466">
        <f t="shared" si="180"/>
        <v>306.69123555555558</v>
      </c>
      <c r="AA1394" s="473">
        <f t="shared" si="181"/>
        <v>-183.4212355555556</v>
      </c>
      <c r="AB1394" s="339">
        <f t="shared" si="182"/>
        <v>-0.58681062479516133</v>
      </c>
    </row>
    <row r="1395" spans="2:28" ht="20.100000000000001" customHeight="1">
      <c r="B1395" s="172">
        <v>1427200</v>
      </c>
      <c r="C1395" s="174">
        <v>44516</v>
      </c>
      <c r="D1395" s="181" t="s">
        <v>427</v>
      </c>
      <c r="E1395" s="173" t="s">
        <v>33</v>
      </c>
      <c r="F1395" s="176">
        <v>372.92222222222222</v>
      </c>
      <c r="G1395" s="175">
        <f t="shared" si="173"/>
        <v>5</v>
      </c>
      <c r="H1395" s="175">
        <f t="shared" si="174"/>
        <v>372.92222222222222</v>
      </c>
      <c r="I1395" s="177">
        <f>IF(G1395=0,0,IF(E1395="MXN",1/HLOOKUP(YEAR(C1395)+(MONTH(C1395)/100),TC!$5:$37,DAY(C1395)+2,FALSE),VLOOKUP(E1395,Equivalencia!$5:$23,((MAX(Equivalencia!$3:$3)-YEAR(C1395))*14)+MONTH(C1395)+2,FALSE)))</f>
        <v>1</v>
      </c>
      <c r="J1395" s="178">
        <f t="shared" si="175"/>
        <v>372.92222222222222</v>
      </c>
      <c r="K1395" s="462">
        <f>IF(C1395=0,0,VLOOKUP(YEAR(C1395),INPC!$B$4:$O$29,MONTH(C1395)+1))</f>
        <v>116.884</v>
      </c>
      <c r="L1395" s="462">
        <f>IF(S1395=0,0,VLOOKUP(YEAR(S1395),INPC!$B$4:$O$29,MONTH(S1395)+1))</f>
        <v>120.15900000000001</v>
      </c>
      <c r="M1395" s="463">
        <f t="shared" si="176"/>
        <v>1.028</v>
      </c>
      <c r="N1395" s="465">
        <f t="shared" si="177"/>
        <v>383.36404444444446</v>
      </c>
      <c r="O1395" s="179"/>
      <c r="P1395" s="180">
        <v>5</v>
      </c>
      <c r="Q1395" s="173" t="s">
        <v>583</v>
      </c>
      <c r="R1395" s="173" t="s">
        <v>230</v>
      </c>
      <c r="S1395" s="174">
        <v>44635</v>
      </c>
      <c r="T1395" s="173" t="s">
        <v>33</v>
      </c>
      <c r="U1395" s="182">
        <v>153.25434782608696</v>
      </c>
      <c r="V1395" s="177">
        <f>IF(U1395=0,0,IF(T1395="MXN",1/HLOOKUP(YEAR(S1395)+(MONTH(S1395)/100),TC!$5:$37,DAY(S1395)+2,FALSE),VLOOKUP(T1395,Equivalencia!$1:$23,((MAX(Equivalencia!$3:$3)-YEAR(S1395))*14)+MONTH(S1395)+2,FALSE)))</f>
        <v>1</v>
      </c>
      <c r="W1395" s="178">
        <f t="shared" si="178"/>
        <v>153.25434782608696</v>
      </c>
      <c r="X1395" s="481">
        <f t="shared" si="179"/>
        <v>-219.66787439613526</v>
      </c>
      <c r="Y1395" s="179"/>
      <c r="Z1395" s="466">
        <f t="shared" si="180"/>
        <v>383.36404444444446</v>
      </c>
      <c r="AA1395" s="473">
        <f t="shared" si="181"/>
        <v>-230.1096966183575</v>
      </c>
      <c r="AB1395" s="339">
        <f t="shared" si="182"/>
        <v>-0.58904474259309869</v>
      </c>
    </row>
    <row r="1396" spans="2:28" ht="20.100000000000001" customHeight="1">
      <c r="B1396" s="172">
        <v>1427200</v>
      </c>
      <c r="C1396" s="174">
        <v>44516</v>
      </c>
      <c r="D1396" s="181" t="s">
        <v>427</v>
      </c>
      <c r="E1396" s="173" t="s">
        <v>33</v>
      </c>
      <c r="F1396" s="176">
        <v>74.73</v>
      </c>
      <c r="G1396" s="175">
        <f t="shared" si="173"/>
        <v>1</v>
      </c>
      <c r="H1396" s="175">
        <f t="shared" si="174"/>
        <v>74.73</v>
      </c>
      <c r="I1396" s="177">
        <f>IF(G1396=0,0,IF(E1396="MXN",1/HLOOKUP(YEAR(C1396)+(MONTH(C1396)/100),TC!$5:$37,DAY(C1396)+2,FALSE),VLOOKUP(E1396,Equivalencia!$5:$23,((MAX(Equivalencia!$3:$3)-YEAR(C1396))*14)+MONTH(C1396)+2,FALSE)))</f>
        <v>1</v>
      </c>
      <c r="J1396" s="178">
        <f t="shared" si="175"/>
        <v>74.73</v>
      </c>
      <c r="K1396" s="462">
        <f>IF(C1396=0,0,VLOOKUP(YEAR(C1396),INPC!$B$4:$O$29,MONTH(C1396)+1))</f>
        <v>116.884</v>
      </c>
      <c r="L1396" s="462">
        <f>IF(S1396=0,0,VLOOKUP(YEAR(S1396),INPC!$B$4:$O$29,MONTH(S1396)+1))</f>
        <v>120.15900000000001</v>
      </c>
      <c r="M1396" s="463">
        <f t="shared" si="176"/>
        <v>1.028</v>
      </c>
      <c r="N1396" s="465">
        <f t="shared" si="177"/>
        <v>76.82244</v>
      </c>
      <c r="O1396" s="179"/>
      <c r="P1396" s="180">
        <v>1</v>
      </c>
      <c r="Q1396" s="173" t="s">
        <v>583</v>
      </c>
      <c r="R1396" s="173" t="s">
        <v>230</v>
      </c>
      <c r="S1396" s="174">
        <v>44635</v>
      </c>
      <c r="T1396" s="173" t="s">
        <v>33</v>
      </c>
      <c r="U1396" s="182">
        <v>30.650869565217391</v>
      </c>
      <c r="V1396" s="177">
        <f>IF(U1396=0,0,IF(T1396="MXN",1/HLOOKUP(YEAR(S1396)+(MONTH(S1396)/100),TC!$5:$37,DAY(S1396)+2,FALSE),VLOOKUP(T1396,Equivalencia!$1:$23,((MAX(Equivalencia!$3:$3)-YEAR(S1396))*14)+MONTH(S1396)+2,FALSE)))</f>
        <v>1</v>
      </c>
      <c r="W1396" s="178">
        <f t="shared" si="178"/>
        <v>30.650869565217391</v>
      </c>
      <c r="X1396" s="481">
        <f t="shared" si="179"/>
        <v>-44.079130434782613</v>
      </c>
      <c r="Y1396" s="179"/>
      <c r="Z1396" s="466">
        <f t="shared" si="180"/>
        <v>76.82244</v>
      </c>
      <c r="AA1396" s="473">
        <f t="shared" si="181"/>
        <v>-46.171570434782609</v>
      </c>
      <c r="AB1396" s="339">
        <f t="shared" si="182"/>
        <v>-0.58984518178486023</v>
      </c>
    </row>
    <row r="1397" spans="2:28" ht="20.100000000000001" customHeight="1">
      <c r="B1397" s="172">
        <v>1427200</v>
      </c>
      <c r="C1397" s="174">
        <v>44523</v>
      </c>
      <c r="D1397" s="181" t="s">
        <v>427</v>
      </c>
      <c r="E1397" s="173" t="s">
        <v>33</v>
      </c>
      <c r="F1397" s="176">
        <v>65.209999999999994</v>
      </c>
      <c r="G1397" s="175">
        <f t="shared" si="173"/>
        <v>1</v>
      </c>
      <c r="H1397" s="175">
        <f t="shared" si="174"/>
        <v>65.209999999999994</v>
      </c>
      <c r="I1397" s="177">
        <f>IF(G1397=0,0,IF(E1397="MXN",1/HLOOKUP(YEAR(C1397)+(MONTH(C1397)/100),TC!$5:$37,DAY(C1397)+2,FALSE),VLOOKUP(E1397,Equivalencia!$5:$23,((MAX(Equivalencia!$3:$3)-YEAR(C1397))*14)+MONTH(C1397)+2,FALSE)))</f>
        <v>1</v>
      </c>
      <c r="J1397" s="178">
        <f t="shared" si="175"/>
        <v>65.209999999999994</v>
      </c>
      <c r="K1397" s="462">
        <f>IF(C1397=0,0,VLOOKUP(YEAR(C1397),INPC!$B$4:$O$29,MONTH(C1397)+1))</f>
        <v>116.884</v>
      </c>
      <c r="L1397" s="462">
        <f>IF(S1397=0,0,VLOOKUP(YEAR(S1397),INPC!$B$4:$O$29,MONTH(S1397)+1))</f>
        <v>120.15900000000001</v>
      </c>
      <c r="M1397" s="463">
        <f t="shared" si="176"/>
        <v>1.028</v>
      </c>
      <c r="N1397" s="465">
        <f t="shared" si="177"/>
        <v>67.035879999999992</v>
      </c>
      <c r="O1397" s="179"/>
      <c r="P1397" s="180">
        <v>1</v>
      </c>
      <c r="Q1397" s="173" t="s">
        <v>583</v>
      </c>
      <c r="R1397" s="173" t="s">
        <v>230</v>
      </c>
      <c r="S1397" s="174">
        <v>44635</v>
      </c>
      <c r="T1397" s="173" t="s">
        <v>33</v>
      </c>
      <c r="U1397" s="182">
        <v>30.650869565217391</v>
      </c>
      <c r="V1397" s="177">
        <f>IF(U1397=0,0,IF(T1397="MXN",1/HLOOKUP(YEAR(S1397)+(MONTH(S1397)/100),TC!$5:$37,DAY(S1397)+2,FALSE),VLOOKUP(T1397,Equivalencia!$1:$23,((MAX(Equivalencia!$3:$3)-YEAR(S1397))*14)+MONTH(S1397)+2,FALSE)))</f>
        <v>1</v>
      </c>
      <c r="W1397" s="178">
        <f t="shared" si="178"/>
        <v>30.650869565217391</v>
      </c>
      <c r="X1397" s="481">
        <f t="shared" si="179"/>
        <v>-34.559130434782602</v>
      </c>
      <c r="Y1397" s="179"/>
      <c r="Z1397" s="466">
        <f t="shared" si="180"/>
        <v>67.035879999999992</v>
      </c>
      <c r="AA1397" s="473">
        <f t="shared" si="181"/>
        <v>-36.3850104347826</v>
      </c>
      <c r="AB1397" s="339">
        <f t="shared" si="182"/>
        <v>-0.52996672956268376</v>
      </c>
    </row>
    <row r="1398" spans="2:28" ht="20.100000000000001" customHeight="1">
      <c r="B1398" s="172">
        <v>1427200</v>
      </c>
      <c r="C1398" s="174">
        <v>44523</v>
      </c>
      <c r="D1398" s="181" t="s">
        <v>427</v>
      </c>
      <c r="E1398" s="173" t="s">
        <v>33</v>
      </c>
      <c r="F1398" s="176">
        <v>617.53</v>
      </c>
      <c r="G1398" s="175">
        <f t="shared" si="173"/>
        <v>10</v>
      </c>
      <c r="H1398" s="175">
        <f t="shared" si="174"/>
        <v>617.53</v>
      </c>
      <c r="I1398" s="177">
        <f>IF(G1398=0,0,IF(E1398="MXN",1/HLOOKUP(YEAR(C1398)+(MONTH(C1398)/100),TC!$5:$37,DAY(C1398)+2,FALSE),VLOOKUP(E1398,Equivalencia!$5:$23,((MAX(Equivalencia!$3:$3)-YEAR(C1398))*14)+MONTH(C1398)+2,FALSE)))</f>
        <v>1</v>
      </c>
      <c r="J1398" s="178">
        <f t="shared" si="175"/>
        <v>617.53</v>
      </c>
      <c r="K1398" s="462">
        <f>IF(C1398=0,0,VLOOKUP(YEAR(C1398),INPC!$B$4:$O$29,MONTH(C1398)+1))</f>
        <v>116.884</v>
      </c>
      <c r="L1398" s="462">
        <f>IF(S1398=0,0,VLOOKUP(YEAR(S1398),INPC!$B$4:$O$29,MONTH(S1398)+1))</f>
        <v>120.15900000000001</v>
      </c>
      <c r="M1398" s="463">
        <f t="shared" si="176"/>
        <v>1.028</v>
      </c>
      <c r="N1398" s="465">
        <f t="shared" si="177"/>
        <v>634.82083999999998</v>
      </c>
      <c r="O1398" s="179"/>
      <c r="P1398" s="180">
        <v>10</v>
      </c>
      <c r="Q1398" s="173" t="s">
        <v>583</v>
      </c>
      <c r="R1398" s="173" t="s">
        <v>230</v>
      </c>
      <c r="S1398" s="174">
        <v>44635</v>
      </c>
      <c r="T1398" s="173" t="s">
        <v>33</v>
      </c>
      <c r="U1398" s="182">
        <v>306.50869565217391</v>
      </c>
      <c r="V1398" s="177">
        <f>IF(U1398=0,0,IF(T1398="MXN",1/HLOOKUP(YEAR(S1398)+(MONTH(S1398)/100),TC!$5:$37,DAY(S1398)+2,FALSE),VLOOKUP(T1398,Equivalencia!$1:$23,((MAX(Equivalencia!$3:$3)-YEAR(S1398))*14)+MONTH(S1398)+2,FALSE)))</f>
        <v>1</v>
      </c>
      <c r="W1398" s="178">
        <f t="shared" si="178"/>
        <v>306.50869565217391</v>
      </c>
      <c r="X1398" s="481">
        <f t="shared" si="179"/>
        <v>-311.02130434782606</v>
      </c>
      <c r="Y1398" s="179"/>
      <c r="Z1398" s="466">
        <f t="shared" si="180"/>
        <v>634.82083999999998</v>
      </c>
      <c r="AA1398" s="473">
        <f t="shared" si="181"/>
        <v>-328.31214434782606</v>
      </c>
      <c r="AB1398" s="339">
        <f t="shared" si="182"/>
        <v>-0.50365375665607515</v>
      </c>
    </row>
    <row r="1399" spans="2:28" ht="20.100000000000001" customHeight="1">
      <c r="B1399" s="172">
        <v>1427200</v>
      </c>
      <c r="C1399" s="174">
        <v>44523</v>
      </c>
      <c r="D1399" s="181" t="s">
        <v>427</v>
      </c>
      <c r="E1399" s="173" t="s">
        <v>33</v>
      </c>
      <c r="F1399" s="176">
        <v>61.64</v>
      </c>
      <c r="G1399" s="175">
        <f t="shared" si="173"/>
        <v>1</v>
      </c>
      <c r="H1399" s="175">
        <f t="shared" si="174"/>
        <v>61.64</v>
      </c>
      <c r="I1399" s="177">
        <f>IF(G1399=0,0,IF(E1399="MXN",1/HLOOKUP(YEAR(C1399)+(MONTH(C1399)/100),TC!$5:$37,DAY(C1399)+2,FALSE),VLOOKUP(E1399,Equivalencia!$5:$23,((MAX(Equivalencia!$3:$3)-YEAR(C1399))*14)+MONTH(C1399)+2,FALSE)))</f>
        <v>1</v>
      </c>
      <c r="J1399" s="178">
        <f t="shared" si="175"/>
        <v>61.64</v>
      </c>
      <c r="K1399" s="462">
        <f>IF(C1399=0,0,VLOOKUP(YEAR(C1399),INPC!$B$4:$O$29,MONTH(C1399)+1))</f>
        <v>116.884</v>
      </c>
      <c r="L1399" s="462">
        <f>IF(S1399=0,0,VLOOKUP(YEAR(S1399),INPC!$B$4:$O$29,MONTH(S1399)+1))</f>
        <v>120.15900000000001</v>
      </c>
      <c r="M1399" s="463">
        <f t="shared" si="176"/>
        <v>1.028</v>
      </c>
      <c r="N1399" s="465">
        <f t="shared" si="177"/>
        <v>63.365920000000003</v>
      </c>
      <c r="O1399" s="179"/>
      <c r="P1399" s="180">
        <v>1</v>
      </c>
      <c r="Q1399" s="173" t="s">
        <v>583</v>
      </c>
      <c r="R1399" s="173" t="s">
        <v>230</v>
      </c>
      <c r="S1399" s="174">
        <v>44635</v>
      </c>
      <c r="T1399" s="173" t="s">
        <v>33</v>
      </c>
      <c r="U1399" s="182">
        <v>30.650869565217391</v>
      </c>
      <c r="V1399" s="177">
        <f>IF(U1399=0,0,IF(T1399="MXN",1/HLOOKUP(YEAR(S1399)+(MONTH(S1399)/100),TC!$5:$37,DAY(S1399)+2,FALSE),VLOOKUP(T1399,Equivalencia!$1:$23,((MAX(Equivalencia!$3:$3)-YEAR(S1399))*14)+MONTH(S1399)+2,FALSE)))</f>
        <v>1</v>
      </c>
      <c r="W1399" s="178">
        <f t="shared" si="178"/>
        <v>30.650869565217391</v>
      </c>
      <c r="X1399" s="481">
        <f t="shared" si="179"/>
        <v>-30.989130434782609</v>
      </c>
      <c r="Y1399" s="179"/>
      <c r="Z1399" s="466">
        <f t="shared" si="180"/>
        <v>63.365920000000003</v>
      </c>
      <c r="AA1399" s="473">
        <f t="shared" si="181"/>
        <v>-32.715050434782611</v>
      </c>
      <c r="AB1399" s="339">
        <f t="shared" si="182"/>
        <v>-0.50274384222554525</v>
      </c>
    </row>
    <row r="1400" spans="2:28" ht="20.100000000000001" customHeight="1">
      <c r="B1400" s="172">
        <v>1427200</v>
      </c>
      <c r="C1400" s="174">
        <v>44523</v>
      </c>
      <c r="D1400" s="181" t="s">
        <v>427</v>
      </c>
      <c r="E1400" s="173" t="s">
        <v>33</v>
      </c>
      <c r="F1400" s="176">
        <v>185.76</v>
      </c>
      <c r="G1400" s="175">
        <f t="shared" si="173"/>
        <v>3</v>
      </c>
      <c r="H1400" s="175">
        <f t="shared" si="174"/>
        <v>185.76</v>
      </c>
      <c r="I1400" s="177">
        <f>IF(G1400=0,0,IF(E1400="MXN",1/HLOOKUP(YEAR(C1400)+(MONTH(C1400)/100),TC!$5:$37,DAY(C1400)+2,FALSE),VLOOKUP(E1400,Equivalencia!$5:$23,((MAX(Equivalencia!$3:$3)-YEAR(C1400))*14)+MONTH(C1400)+2,FALSE)))</f>
        <v>1</v>
      </c>
      <c r="J1400" s="178">
        <f t="shared" si="175"/>
        <v>185.76</v>
      </c>
      <c r="K1400" s="462">
        <f>IF(C1400=0,0,VLOOKUP(YEAR(C1400),INPC!$B$4:$O$29,MONTH(C1400)+1))</f>
        <v>116.884</v>
      </c>
      <c r="L1400" s="462">
        <f>IF(S1400=0,0,VLOOKUP(YEAR(S1400),INPC!$B$4:$O$29,MONTH(S1400)+1))</f>
        <v>120.15900000000001</v>
      </c>
      <c r="M1400" s="463">
        <f t="shared" si="176"/>
        <v>1.028</v>
      </c>
      <c r="N1400" s="465">
        <f t="shared" si="177"/>
        <v>190.96127999999999</v>
      </c>
      <c r="O1400" s="179"/>
      <c r="P1400" s="180">
        <v>3</v>
      </c>
      <c r="Q1400" s="173" t="s">
        <v>583</v>
      </c>
      <c r="R1400" s="173" t="s">
        <v>230</v>
      </c>
      <c r="S1400" s="174">
        <v>44635</v>
      </c>
      <c r="T1400" s="173" t="s">
        <v>33</v>
      </c>
      <c r="U1400" s="182">
        <v>91.952608695652174</v>
      </c>
      <c r="V1400" s="177">
        <f>IF(U1400=0,0,IF(T1400="MXN",1/HLOOKUP(YEAR(S1400)+(MONTH(S1400)/100),TC!$5:$37,DAY(S1400)+2,FALSE),VLOOKUP(T1400,Equivalencia!$1:$23,((MAX(Equivalencia!$3:$3)-YEAR(S1400))*14)+MONTH(S1400)+2,FALSE)))</f>
        <v>1</v>
      </c>
      <c r="W1400" s="178">
        <f t="shared" si="178"/>
        <v>91.952608695652174</v>
      </c>
      <c r="X1400" s="481">
        <f t="shared" si="179"/>
        <v>-93.807391304347817</v>
      </c>
      <c r="Y1400" s="179"/>
      <c r="Z1400" s="466">
        <f t="shared" si="180"/>
        <v>190.96127999999999</v>
      </c>
      <c r="AA1400" s="473">
        <f t="shared" si="181"/>
        <v>-99.008671304347814</v>
      </c>
      <c r="AB1400" s="339">
        <f t="shared" si="182"/>
        <v>-0.50499241658240646</v>
      </c>
    </row>
    <row r="1401" spans="2:28" ht="20.100000000000001" customHeight="1">
      <c r="B1401" s="172">
        <v>1427200</v>
      </c>
      <c r="C1401" s="174">
        <v>44529</v>
      </c>
      <c r="D1401" s="181" t="s">
        <v>427</v>
      </c>
      <c r="E1401" s="173" t="s">
        <v>33</v>
      </c>
      <c r="F1401" s="176">
        <v>290.12</v>
      </c>
      <c r="G1401" s="175">
        <f t="shared" si="173"/>
        <v>5</v>
      </c>
      <c r="H1401" s="175">
        <f t="shared" si="174"/>
        <v>290.12</v>
      </c>
      <c r="I1401" s="177">
        <f>IF(G1401=0,0,IF(E1401="MXN",1/HLOOKUP(YEAR(C1401)+(MONTH(C1401)/100),TC!$5:$37,DAY(C1401)+2,FALSE),VLOOKUP(E1401,Equivalencia!$5:$23,((MAX(Equivalencia!$3:$3)-YEAR(C1401))*14)+MONTH(C1401)+2,FALSE)))</f>
        <v>1</v>
      </c>
      <c r="J1401" s="178">
        <f t="shared" si="175"/>
        <v>290.12</v>
      </c>
      <c r="K1401" s="462">
        <f>IF(C1401=0,0,VLOOKUP(YEAR(C1401),INPC!$B$4:$O$29,MONTH(C1401)+1))</f>
        <v>116.884</v>
      </c>
      <c r="L1401" s="462">
        <f>IF(S1401=0,0,VLOOKUP(YEAR(S1401),INPC!$B$4:$O$29,MONTH(S1401)+1))</f>
        <v>120.15900000000001</v>
      </c>
      <c r="M1401" s="463">
        <f t="shared" si="176"/>
        <v>1.028</v>
      </c>
      <c r="N1401" s="465">
        <f t="shared" si="177"/>
        <v>298.24336</v>
      </c>
      <c r="O1401" s="179"/>
      <c r="P1401" s="180">
        <v>5</v>
      </c>
      <c r="Q1401" s="173" t="s">
        <v>583</v>
      </c>
      <c r="R1401" s="173" t="s">
        <v>230</v>
      </c>
      <c r="S1401" s="174">
        <v>44635</v>
      </c>
      <c r="T1401" s="173" t="s">
        <v>33</v>
      </c>
      <c r="U1401" s="182">
        <v>153.25434782608696</v>
      </c>
      <c r="V1401" s="177">
        <f>IF(U1401=0,0,IF(T1401="MXN",1/HLOOKUP(YEAR(S1401)+(MONTH(S1401)/100),TC!$5:$37,DAY(S1401)+2,FALSE),VLOOKUP(T1401,Equivalencia!$1:$23,((MAX(Equivalencia!$3:$3)-YEAR(S1401))*14)+MONTH(S1401)+2,FALSE)))</f>
        <v>1</v>
      </c>
      <c r="W1401" s="178">
        <f t="shared" si="178"/>
        <v>153.25434782608696</v>
      </c>
      <c r="X1401" s="481">
        <f t="shared" si="179"/>
        <v>-136.86565217391305</v>
      </c>
      <c r="Y1401" s="179"/>
      <c r="Z1401" s="466">
        <f t="shared" si="180"/>
        <v>298.24336</v>
      </c>
      <c r="AA1401" s="473">
        <f t="shared" si="181"/>
        <v>-144.98901217391304</v>
      </c>
      <c r="AB1401" s="339">
        <f t="shared" si="182"/>
        <v>-0.47175531564150364</v>
      </c>
    </row>
    <row r="1402" spans="2:28" ht="20.100000000000001" customHeight="1">
      <c r="B1402" s="172">
        <v>1427200</v>
      </c>
      <c r="C1402" s="174">
        <v>44529</v>
      </c>
      <c r="D1402" s="181" t="s">
        <v>427</v>
      </c>
      <c r="E1402" s="173" t="s">
        <v>33</v>
      </c>
      <c r="F1402" s="176">
        <v>346.92</v>
      </c>
      <c r="G1402" s="175">
        <f t="shared" si="173"/>
        <v>6</v>
      </c>
      <c r="H1402" s="175">
        <f t="shared" si="174"/>
        <v>346.92</v>
      </c>
      <c r="I1402" s="177">
        <f>IF(G1402=0,0,IF(E1402="MXN",1/HLOOKUP(YEAR(C1402)+(MONTH(C1402)/100),TC!$5:$37,DAY(C1402)+2,FALSE),VLOOKUP(E1402,Equivalencia!$5:$23,((MAX(Equivalencia!$3:$3)-YEAR(C1402))*14)+MONTH(C1402)+2,FALSE)))</f>
        <v>1</v>
      </c>
      <c r="J1402" s="178">
        <f t="shared" si="175"/>
        <v>346.92</v>
      </c>
      <c r="K1402" s="462">
        <f>IF(C1402=0,0,VLOOKUP(YEAR(C1402),INPC!$B$4:$O$29,MONTH(C1402)+1))</f>
        <v>116.884</v>
      </c>
      <c r="L1402" s="462">
        <f>IF(S1402=0,0,VLOOKUP(YEAR(S1402),INPC!$B$4:$O$29,MONTH(S1402)+1))</f>
        <v>120.15900000000001</v>
      </c>
      <c r="M1402" s="463">
        <f t="shared" si="176"/>
        <v>1.028</v>
      </c>
      <c r="N1402" s="465">
        <f t="shared" si="177"/>
        <v>356.63376000000005</v>
      </c>
      <c r="O1402" s="179"/>
      <c r="P1402" s="180">
        <v>6</v>
      </c>
      <c r="Q1402" s="173" t="s">
        <v>583</v>
      </c>
      <c r="R1402" s="173" t="s">
        <v>230</v>
      </c>
      <c r="S1402" s="174">
        <v>44635</v>
      </c>
      <c r="T1402" s="173" t="s">
        <v>33</v>
      </c>
      <c r="U1402" s="182">
        <v>183.90521739130435</v>
      </c>
      <c r="V1402" s="177">
        <f>IF(U1402=0,0,IF(T1402="MXN",1/HLOOKUP(YEAR(S1402)+(MONTH(S1402)/100),TC!$5:$37,DAY(S1402)+2,FALSE),VLOOKUP(T1402,Equivalencia!$1:$23,((MAX(Equivalencia!$3:$3)-YEAR(S1402))*14)+MONTH(S1402)+2,FALSE)))</f>
        <v>1</v>
      </c>
      <c r="W1402" s="178">
        <f t="shared" si="178"/>
        <v>183.90521739130435</v>
      </c>
      <c r="X1402" s="481">
        <f t="shared" si="179"/>
        <v>-163.01478260869567</v>
      </c>
      <c r="Y1402" s="179"/>
      <c r="Z1402" s="466">
        <f t="shared" si="180"/>
        <v>356.63376000000005</v>
      </c>
      <c r="AA1402" s="473">
        <f t="shared" si="181"/>
        <v>-172.7285426086957</v>
      </c>
      <c r="AB1402" s="339">
        <f t="shared" si="182"/>
        <v>-0.46989156753342465</v>
      </c>
    </row>
    <row r="1403" spans="2:28" ht="20.100000000000001" customHeight="1">
      <c r="B1403" s="172">
        <v>1427200</v>
      </c>
      <c r="C1403" s="174">
        <v>44531</v>
      </c>
      <c r="D1403" s="181" t="s">
        <v>427</v>
      </c>
      <c r="E1403" s="173" t="s">
        <v>33</v>
      </c>
      <c r="F1403" s="176">
        <v>58.69</v>
      </c>
      <c r="G1403" s="175">
        <f t="shared" si="173"/>
        <v>1</v>
      </c>
      <c r="H1403" s="175">
        <f t="shared" si="174"/>
        <v>58.69</v>
      </c>
      <c r="I1403" s="177">
        <f>IF(G1403=0,0,IF(E1403="MXN",1/HLOOKUP(YEAR(C1403)+(MONTH(C1403)/100),TC!$5:$37,DAY(C1403)+2,FALSE),VLOOKUP(E1403,Equivalencia!$5:$23,((MAX(Equivalencia!$3:$3)-YEAR(C1403))*14)+MONTH(C1403)+2,FALSE)))</f>
        <v>1</v>
      </c>
      <c r="J1403" s="178">
        <f t="shared" si="175"/>
        <v>58.69</v>
      </c>
      <c r="K1403" s="462">
        <f>IF(C1403=0,0,VLOOKUP(YEAR(C1403),INPC!$B$4:$O$29,MONTH(C1403)+1))</f>
        <v>117.30800000000001</v>
      </c>
      <c r="L1403" s="462">
        <f>IF(S1403=0,0,VLOOKUP(YEAR(S1403),INPC!$B$4:$O$29,MONTH(S1403)+1))</f>
        <v>120.15900000000001</v>
      </c>
      <c r="M1403" s="463">
        <f t="shared" si="176"/>
        <v>1.0243</v>
      </c>
      <c r="N1403" s="465">
        <f t="shared" si="177"/>
        <v>60.116166999999997</v>
      </c>
      <c r="O1403" s="179"/>
      <c r="P1403" s="180">
        <v>1</v>
      </c>
      <c r="Q1403" s="173" t="s">
        <v>583</v>
      </c>
      <c r="R1403" s="173" t="s">
        <v>230</v>
      </c>
      <c r="S1403" s="174">
        <v>44635</v>
      </c>
      <c r="T1403" s="173" t="s">
        <v>33</v>
      </c>
      <c r="U1403" s="182">
        <v>30.650869565217391</v>
      </c>
      <c r="V1403" s="177">
        <f>IF(U1403=0,0,IF(T1403="MXN",1/HLOOKUP(YEAR(S1403)+(MONTH(S1403)/100),TC!$5:$37,DAY(S1403)+2,FALSE),VLOOKUP(T1403,Equivalencia!$1:$23,((MAX(Equivalencia!$3:$3)-YEAR(S1403))*14)+MONTH(S1403)+2,FALSE)))</f>
        <v>1</v>
      </c>
      <c r="W1403" s="178">
        <f t="shared" si="178"/>
        <v>30.650869565217391</v>
      </c>
      <c r="X1403" s="481">
        <f t="shared" si="179"/>
        <v>-28.039130434782606</v>
      </c>
      <c r="Y1403" s="179"/>
      <c r="Z1403" s="466">
        <f t="shared" si="180"/>
        <v>60.116166999999997</v>
      </c>
      <c r="AA1403" s="473">
        <f t="shared" si="181"/>
        <v>-29.465297434782606</v>
      </c>
      <c r="AB1403" s="339">
        <f t="shared" si="182"/>
        <v>-0.47774970923125926</v>
      </c>
    </row>
    <row r="1404" spans="2:28" ht="20.100000000000001" customHeight="1">
      <c r="B1404" s="172">
        <v>1427200</v>
      </c>
      <c r="C1404" s="174">
        <v>44531</v>
      </c>
      <c r="D1404" s="181" t="s">
        <v>427</v>
      </c>
      <c r="E1404" s="173" t="s">
        <v>33</v>
      </c>
      <c r="F1404" s="176">
        <v>55.54</v>
      </c>
      <c r="G1404" s="175">
        <f t="shared" si="173"/>
        <v>1</v>
      </c>
      <c r="H1404" s="175">
        <f t="shared" si="174"/>
        <v>55.54</v>
      </c>
      <c r="I1404" s="177">
        <f>IF(G1404=0,0,IF(E1404="MXN",1/HLOOKUP(YEAR(C1404)+(MONTH(C1404)/100),TC!$5:$37,DAY(C1404)+2,FALSE),VLOOKUP(E1404,Equivalencia!$5:$23,((MAX(Equivalencia!$3:$3)-YEAR(C1404))*14)+MONTH(C1404)+2,FALSE)))</f>
        <v>1</v>
      </c>
      <c r="J1404" s="178">
        <f t="shared" si="175"/>
        <v>55.54</v>
      </c>
      <c r="K1404" s="462">
        <f>IF(C1404=0,0,VLOOKUP(YEAR(C1404),INPC!$B$4:$O$29,MONTH(C1404)+1))</f>
        <v>117.30800000000001</v>
      </c>
      <c r="L1404" s="462">
        <f>IF(S1404=0,0,VLOOKUP(YEAR(S1404),INPC!$B$4:$O$29,MONTH(S1404)+1))</f>
        <v>120.15900000000001</v>
      </c>
      <c r="M1404" s="463">
        <f t="shared" si="176"/>
        <v>1.0243</v>
      </c>
      <c r="N1404" s="465">
        <f t="shared" si="177"/>
        <v>56.889621999999996</v>
      </c>
      <c r="O1404" s="179"/>
      <c r="P1404" s="180">
        <v>1</v>
      </c>
      <c r="Q1404" s="173" t="s">
        <v>583</v>
      </c>
      <c r="R1404" s="173" t="s">
        <v>230</v>
      </c>
      <c r="S1404" s="174">
        <v>44635</v>
      </c>
      <c r="T1404" s="173" t="s">
        <v>33</v>
      </c>
      <c r="U1404" s="182">
        <v>30.650869565217391</v>
      </c>
      <c r="V1404" s="177">
        <f>IF(U1404=0,0,IF(T1404="MXN",1/HLOOKUP(YEAR(S1404)+(MONTH(S1404)/100),TC!$5:$37,DAY(S1404)+2,FALSE),VLOOKUP(T1404,Equivalencia!$1:$23,((MAX(Equivalencia!$3:$3)-YEAR(S1404))*14)+MONTH(S1404)+2,FALSE)))</f>
        <v>1</v>
      </c>
      <c r="W1404" s="178">
        <f t="shared" si="178"/>
        <v>30.650869565217391</v>
      </c>
      <c r="X1404" s="481">
        <f t="shared" si="179"/>
        <v>-24.889130434782608</v>
      </c>
      <c r="Y1404" s="179"/>
      <c r="Z1404" s="466">
        <f t="shared" si="180"/>
        <v>56.889621999999996</v>
      </c>
      <c r="AA1404" s="473">
        <f t="shared" si="181"/>
        <v>-26.238752434782604</v>
      </c>
      <c r="AB1404" s="339">
        <f t="shared" si="182"/>
        <v>-0.44812982417685643</v>
      </c>
    </row>
    <row r="1405" spans="2:28" ht="20.100000000000001" customHeight="1">
      <c r="B1405" s="172">
        <v>1427200</v>
      </c>
      <c r="C1405" s="174">
        <v>44537</v>
      </c>
      <c r="D1405" s="181" t="s">
        <v>427</v>
      </c>
      <c r="E1405" s="173" t="s">
        <v>33</v>
      </c>
      <c r="F1405" s="176">
        <v>613.64799999999991</v>
      </c>
      <c r="G1405" s="175">
        <f t="shared" si="173"/>
        <v>12</v>
      </c>
      <c r="H1405" s="175">
        <f t="shared" si="174"/>
        <v>613.64799999999991</v>
      </c>
      <c r="I1405" s="177">
        <f>IF(G1405=0,0,IF(E1405="MXN",1/HLOOKUP(YEAR(C1405)+(MONTH(C1405)/100),TC!$5:$37,DAY(C1405)+2,FALSE),VLOOKUP(E1405,Equivalencia!$5:$23,((MAX(Equivalencia!$3:$3)-YEAR(C1405))*14)+MONTH(C1405)+2,FALSE)))</f>
        <v>1</v>
      </c>
      <c r="J1405" s="178">
        <f t="shared" si="175"/>
        <v>613.64799999999991</v>
      </c>
      <c r="K1405" s="462">
        <f>IF(C1405=0,0,VLOOKUP(YEAR(C1405),INPC!$B$4:$O$29,MONTH(C1405)+1))</f>
        <v>117.30800000000001</v>
      </c>
      <c r="L1405" s="462">
        <f>IF(S1405=0,0,VLOOKUP(YEAR(S1405),INPC!$B$4:$O$29,MONTH(S1405)+1))</f>
        <v>120.15900000000001</v>
      </c>
      <c r="M1405" s="463">
        <f t="shared" si="176"/>
        <v>1.0243</v>
      </c>
      <c r="N1405" s="465">
        <f t="shared" si="177"/>
        <v>628.55964639999991</v>
      </c>
      <c r="O1405" s="179"/>
      <c r="P1405" s="180">
        <v>12</v>
      </c>
      <c r="Q1405" s="173" t="s">
        <v>583</v>
      </c>
      <c r="R1405" s="173" t="s">
        <v>230</v>
      </c>
      <c r="S1405" s="174">
        <v>44635</v>
      </c>
      <c r="T1405" s="173" t="s">
        <v>33</v>
      </c>
      <c r="U1405" s="182">
        <v>367.8104347826087</v>
      </c>
      <c r="V1405" s="177">
        <f>IF(U1405=0,0,IF(T1405="MXN",1/HLOOKUP(YEAR(S1405)+(MONTH(S1405)/100),TC!$5:$37,DAY(S1405)+2,FALSE),VLOOKUP(T1405,Equivalencia!$1:$23,((MAX(Equivalencia!$3:$3)-YEAR(S1405))*14)+MONTH(S1405)+2,FALSE)))</f>
        <v>1</v>
      </c>
      <c r="W1405" s="178">
        <f t="shared" si="178"/>
        <v>367.8104347826087</v>
      </c>
      <c r="X1405" s="481">
        <f t="shared" si="179"/>
        <v>-245.83756521739122</v>
      </c>
      <c r="Y1405" s="179"/>
      <c r="Z1405" s="466">
        <f t="shared" si="180"/>
        <v>628.55964639999991</v>
      </c>
      <c r="AA1405" s="473">
        <f t="shared" si="181"/>
        <v>-260.74921161739121</v>
      </c>
      <c r="AB1405" s="339">
        <f t="shared" si="182"/>
        <v>-0.40061658347683238</v>
      </c>
    </row>
    <row r="1406" spans="2:28" ht="20.100000000000001" customHeight="1">
      <c r="B1406" s="172">
        <v>1427200</v>
      </c>
      <c r="C1406" s="174">
        <v>44537</v>
      </c>
      <c r="D1406" s="181" t="s">
        <v>427</v>
      </c>
      <c r="E1406" s="173" t="s">
        <v>33</v>
      </c>
      <c r="F1406" s="176">
        <v>153.41199999999998</v>
      </c>
      <c r="G1406" s="175">
        <f t="shared" si="173"/>
        <v>3</v>
      </c>
      <c r="H1406" s="175">
        <f t="shared" si="174"/>
        <v>153.41199999999998</v>
      </c>
      <c r="I1406" s="177">
        <f>IF(G1406=0,0,IF(E1406="MXN",1/HLOOKUP(YEAR(C1406)+(MONTH(C1406)/100),TC!$5:$37,DAY(C1406)+2,FALSE),VLOOKUP(E1406,Equivalencia!$5:$23,((MAX(Equivalencia!$3:$3)-YEAR(C1406))*14)+MONTH(C1406)+2,FALSE)))</f>
        <v>1</v>
      </c>
      <c r="J1406" s="178">
        <f t="shared" si="175"/>
        <v>153.41199999999998</v>
      </c>
      <c r="K1406" s="462">
        <f>IF(C1406=0,0,VLOOKUP(YEAR(C1406),INPC!$B$4:$O$29,MONTH(C1406)+1))</f>
        <v>117.30800000000001</v>
      </c>
      <c r="L1406" s="462">
        <f>IF(S1406=0,0,VLOOKUP(YEAR(S1406),INPC!$B$4:$O$29,MONTH(S1406)+1))</f>
        <v>120.15900000000001</v>
      </c>
      <c r="M1406" s="463">
        <f t="shared" si="176"/>
        <v>1.0243</v>
      </c>
      <c r="N1406" s="465">
        <f t="shared" si="177"/>
        <v>157.13991159999998</v>
      </c>
      <c r="O1406" s="179"/>
      <c r="P1406" s="180">
        <v>3</v>
      </c>
      <c r="Q1406" s="173" t="s">
        <v>583</v>
      </c>
      <c r="R1406" s="173" t="s">
        <v>230</v>
      </c>
      <c r="S1406" s="174">
        <v>44635</v>
      </c>
      <c r="T1406" s="173" t="s">
        <v>33</v>
      </c>
      <c r="U1406" s="182">
        <v>92.801999999999992</v>
      </c>
      <c r="V1406" s="177">
        <f>IF(U1406=0,0,IF(T1406="MXN",1/HLOOKUP(YEAR(S1406)+(MONTH(S1406)/100),TC!$5:$37,DAY(S1406)+2,FALSE),VLOOKUP(T1406,Equivalencia!$1:$23,((MAX(Equivalencia!$3:$3)-YEAR(S1406))*14)+MONTH(S1406)+2,FALSE)))</f>
        <v>1</v>
      </c>
      <c r="W1406" s="178">
        <f t="shared" si="178"/>
        <v>92.801999999999992</v>
      </c>
      <c r="X1406" s="481">
        <f t="shared" si="179"/>
        <v>-60.609999999999985</v>
      </c>
      <c r="Y1406" s="179"/>
      <c r="Z1406" s="466">
        <f t="shared" si="180"/>
        <v>157.13991159999998</v>
      </c>
      <c r="AA1406" s="473">
        <f t="shared" si="181"/>
        <v>-64.337911599999984</v>
      </c>
      <c r="AB1406" s="339">
        <f t="shared" si="182"/>
        <v>-0.39507991552160193</v>
      </c>
    </row>
    <row r="1407" spans="2:28" ht="20.100000000000001" customHeight="1">
      <c r="B1407" s="172">
        <v>1427200</v>
      </c>
      <c r="C1407" s="174">
        <v>44550</v>
      </c>
      <c r="D1407" s="181" t="s">
        <v>427</v>
      </c>
      <c r="E1407" s="173" t="s">
        <v>33</v>
      </c>
      <c r="F1407" s="176">
        <v>97.874666666666656</v>
      </c>
      <c r="G1407" s="175">
        <f t="shared" si="173"/>
        <v>2</v>
      </c>
      <c r="H1407" s="175">
        <f t="shared" si="174"/>
        <v>97.874666666666656</v>
      </c>
      <c r="I1407" s="177">
        <f>IF(G1407=0,0,IF(E1407="MXN",1/HLOOKUP(YEAR(C1407)+(MONTH(C1407)/100),TC!$5:$37,DAY(C1407)+2,FALSE),VLOOKUP(E1407,Equivalencia!$5:$23,((MAX(Equivalencia!$3:$3)-YEAR(C1407))*14)+MONTH(C1407)+2,FALSE)))</f>
        <v>1</v>
      </c>
      <c r="J1407" s="178">
        <f t="shared" si="175"/>
        <v>97.874666666666656</v>
      </c>
      <c r="K1407" s="462">
        <f>IF(C1407=0,0,VLOOKUP(YEAR(C1407),INPC!$B$4:$O$29,MONTH(C1407)+1))</f>
        <v>117.30800000000001</v>
      </c>
      <c r="L1407" s="462">
        <f>IF(S1407=0,0,VLOOKUP(YEAR(S1407),INPC!$B$4:$O$29,MONTH(S1407)+1))</f>
        <v>120.15900000000001</v>
      </c>
      <c r="M1407" s="463">
        <f t="shared" si="176"/>
        <v>1.0243</v>
      </c>
      <c r="N1407" s="465">
        <f t="shared" si="177"/>
        <v>100.25302106666665</v>
      </c>
      <c r="O1407" s="179"/>
      <c r="P1407" s="180">
        <v>2</v>
      </c>
      <c r="Q1407" s="173" t="s">
        <v>583</v>
      </c>
      <c r="R1407" s="173" t="s">
        <v>230</v>
      </c>
      <c r="S1407" s="174">
        <v>44635</v>
      </c>
      <c r="T1407" s="173" t="s">
        <v>33</v>
      </c>
      <c r="U1407" s="182">
        <v>61.867999999999995</v>
      </c>
      <c r="V1407" s="177">
        <f>IF(U1407=0,0,IF(T1407="MXN",1/HLOOKUP(YEAR(S1407)+(MONTH(S1407)/100),TC!$5:$37,DAY(S1407)+2,FALSE),VLOOKUP(T1407,Equivalencia!$1:$23,((MAX(Equivalencia!$3:$3)-YEAR(S1407))*14)+MONTH(S1407)+2,FALSE)))</f>
        <v>1</v>
      </c>
      <c r="W1407" s="178">
        <f t="shared" si="178"/>
        <v>61.867999999999995</v>
      </c>
      <c r="X1407" s="481">
        <f t="shared" si="179"/>
        <v>-36.006666666666661</v>
      </c>
      <c r="Y1407" s="179"/>
      <c r="Z1407" s="466">
        <f t="shared" si="180"/>
        <v>100.25302106666665</v>
      </c>
      <c r="AA1407" s="473">
        <f t="shared" si="181"/>
        <v>-38.385021066666653</v>
      </c>
      <c r="AB1407" s="339">
        <f t="shared" si="182"/>
        <v>-0.36788545895430891</v>
      </c>
    </row>
    <row r="1408" spans="2:28" ht="20.100000000000001" customHeight="1">
      <c r="B1408" s="172">
        <v>1427200</v>
      </c>
      <c r="C1408" s="174">
        <v>44550</v>
      </c>
      <c r="D1408" s="181" t="s">
        <v>427</v>
      </c>
      <c r="E1408" s="173" t="s">
        <v>33</v>
      </c>
      <c r="F1408" s="176">
        <v>636.18533333333323</v>
      </c>
      <c r="G1408" s="175">
        <f t="shared" si="173"/>
        <v>13</v>
      </c>
      <c r="H1408" s="175">
        <f t="shared" si="174"/>
        <v>636.18533333333323</v>
      </c>
      <c r="I1408" s="177">
        <f>IF(G1408=0,0,IF(E1408="MXN",1/HLOOKUP(YEAR(C1408)+(MONTH(C1408)/100),TC!$5:$37,DAY(C1408)+2,FALSE),VLOOKUP(E1408,Equivalencia!$5:$23,((MAX(Equivalencia!$3:$3)-YEAR(C1408))*14)+MONTH(C1408)+2,FALSE)))</f>
        <v>1</v>
      </c>
      <c r="J1408" s="178">
        <f t="shared" si="175"/>
        <v>636.18533333333323</v>
      </c>
      <c r="K1408" s="462">
        <f>IF(C1408=0,0,VLOOKUP(YEAR(C1408),INPC!$B$4:$O$29,MONTH(C1408)+1))</f>
        <v>117.30800000000001</v>
      </c>
      <c r="L1408" s="462">
        <f>IF(S1408=0,0,VLOOKUP(YEAR(S1408),INPC!$B$4:$O$29,MONTH(S1408)+1))</f>
        <v>120.15900000000001</v>
      </c>
      <c r="M1408" s="463">
        <f t="shared" si="176"/>
        <v>1.0243</v>
      </c>
      <c r="N1408" s="465">
        <f t="shared" si="177"/>
        <v>651.64463693333323</v>
      </c>
      <c r="O1408" s="179"/>
      <c r="P1408" s="180">
        <v>13</v>
      </c>
      <c r="Q1408" s="173" t="s">
        <v>583</v>
      </c>
      <c r="R1408" s="173" t="s">
        <v>230</v>
      </c>
      <c r="S1408" s="174">
        <v>44636</v>
      </c>
      <c r="T1408" s="173" t="s">
        <v>33</v>
      </c>
      <c r="U1408" s="182">
        <v>442.91</v>
      </c>
      <c r="V1408" s="177">
        <f>IF(U1408=0,0,IF(T1408="MXN",1/HLOOKUP(YEAR(S1408)+(MONTH(S1408)/100),TC!$5:$37,DAY(S1408)+2,FALSE),VLOOKUP(T1408,Equivalencia!$1:$23,((MAX(Equivalencia!$3:$3)-YEAR(S1408))*14)+MONTH(S1408)+2,FALSE)))</f>
        <v>1</v>
      </c>
      <c r="W1408" s="178">
        <f t="shared" si="178"/>
        <v>442.91</v>
      </c>
      <c r="X1408" s="481">
        <f t="shared" si="179"/>
        <v>-193.27533333333321</v>
      </c>
      <c r="Y1408" s="179"/>
      <c r="Z1408" s="466">
        <f t="shared" si="180"/>
        <v>651.64463693333323</v>
      </c>
      <c r="AA1408" s="473">
        <f t="shared" si="181"/>
        <v>-208.73463693333321</v>
      </c>
      <c r="AB1408" s="339">
        <f t="shared" si="182"/>
        <v>-0.30380350380077903</v>
      </c>
    </row>
    <row r="1409" spans="2:28" ht="20.100000000000001" customHeight="1">
      <c r="B1409" s="172">
        <v>1427200</v>
      </c>
      <c r="C1409" s="174">
        <v>44641</v>
      </c>
      <c r="D1409" s="181" t="s">
        <v>430</v>
      </c>
      <c r="E1409" s="173" t="s">
        <v>33</v>
      </c>
      <c r="F1409" s="176">
        <v>2107.5500000000002</v>
      </c>
      <c r="G1409" s="175">
        <f t="shared" si="173"/>
        <v>3</v>
      </c>
      <c r="H1409" s="175">
        <f t="shared" si="174"/>
        <v>2107.5500000000002</v>
      </c>
      <c r="I1409" s="177">
        <f>IF(G1409=0,0,IF(E1409="MXN",1/HLOOKUP(YEAR(C1409)+(MONTH(C1409)/100),TC!$5:$37,DAY(C1409)+2,FALSE),VLOOKUP(E1409,Equivalencia!$5:$23,((MAX(Equivalencia!$3:$3)-YEAR(C1409))*14)+MONTH(C1409)+2,FALSE)))</f>
        <v>1</v>
      </c>
      <c r="J1409" s="178">
        <f t="shared" si="175"/>
        <v>2107.5500000000002</v>
      </c>
      <c r="K1409" s="462">
        <f>IF(C1409=0,0,VLOOKUP(YEAR(C1409),INPC!$B$4:$O$29,MONTH(C1409)+1))</f>
        <v>120.15900000000001</v>
      </c>
      <c r="L1409" s="462">
        <f>IF(S1409=0,0,VLOOKUP(YEAR(S1409),INPC!$B$4:$O$29,MONTH(S1409)+1))</f>
        <v>121.02200000000001</v>
      </c>
      <c r="M1409" s="463">
        <f t="shared" si="176"/>
        <v>1.0071000000000001</v>
      </c>
      <c r="N1409" s="465">
        <f t="shared" si="177"/>
        <v>2122.5136050000006</v>
      </c>
      <c r="O1409" s="179"/>
      <c r="P1409" s="180">
        <v>3</v>
      </c>
      <c r="Q1409" s="173" t="s">
        <v>583</v>
      </c>
      <c r="R1409" s="173" t="s">
        <v>230</v>
      </c>
      <c r="S1409" s="174">
        <v>44687</v>
      </c>
      <c r="T1409" s="173" t="s">
        <v>33</v>
      </c>
      <c r="U1409" s="182">
        <v>1121.2733333333333</v>
      </c>
      <c r="V1409" s="177">
        <f>IF(U1409=0,0,IF(T1409="MXN",1/HLOOKUP(YEAR(S1409)+(MONTH(S1409)/100),TC!$5:$37,DAY(S1409)+2,FALSE),VLOOKUP(T1409,Equivalencia!$1:$23,((MAX(Equivalencia!$3:$3)-YEAR(S1409))*14)+MONTH(S1409)+2,FALSE)))</f>
        <v>1</v>
      </c>
      <c r="W1409" s="178">
        <f t="shared" si="178"/>
        <v>1121.2733333333333</v>
      </c>
      <c r="X1409" s="481">
        <f t="shared" si="179"/>
        <v>-986.27666666666687</v>
      </c>
      <c r="Y1409" s="179"/>
      <c r="Z1409" s="466">
        <f t="shared" si="180"/>
        <v>2122.5136050000006</v>
      </c>
      <c r="AA1409" s="473">
        <f t="shared" si="181"/>
        <v>-1001.2402716666672</v>
      </c>
      <c r="AB1409" s="339">
        <f t="shared" si="182"/>
        <v>-0.46797308090753087</v>
      </c>
    </row>
    <row r="1410" spans="2:28" ht="20.100000000000001" customHeight="1">
      <c r="B1410" s="172">
        <v>1427200</v>
      </c>
      <c r="C1410" s="174">
        <v>44642</v>
      </c>
      <c r="D1410" s="181" t="s">
        <v>430</v>
      </c>
      <c r="E1410" s="173" t="s">
        <v>33</v>
      </c>
      <c r="F1410" s="176">
        <v>2160.65</v>
      </c>
      <c r="G1410" s="175">
        <f t="shared" si="173"/>
        <v>3</v>
      </c>
      <c r="H1410" s="175">
        <f t="shared" si="174"/>
        <v>2160.65</v>
      </c>
      <c r="I1410" s="177">
        <f>IF(G1410=0,0,IF(E1410="MXN",1/HLOOKUP(YEAR(C1410)+(MONTH(C1410)/100),TC!$5:$37,DAY(C1410)+2,FALSE),VLOOKUP(E1410,Equivalencia!$5:$23,((MAX(Equivalencia!$3:$3)-YEAR(C1410))*14)+MONTH(C1410)+2,FALSE)))</f>
        <v>1</v>
      </c>
      <c r="J1410" s="178">
        <f t="shared" si="175"/>
        <v>2160.65</v>
      </c>
      <c r="K1410" s="462">
        <f>IF(C1410=0,0,VLOOKUP(YEAR(C1410),INPC!$B$4:$O$29,MONTH(C1410)+1))</f>
        <v>120.15900000000001</v>
      </c>
      <c r="L1410" s="462">
        <f>IF(S1410=0,0,VLOOKUP(YEAR(S1410),INPC!$B$4:$O$29,MONTH(S1410)+1))</f>
        <v>121.02200000000001</v>
      </c>
      <c r="M1410" s="463">
        <f t="shared" si="176"/>
        <v>1.0071000000000001</v>
      </c>
      <c r="N1410" s="465">
        <f t="shared" si="177"/>
        <v>2175.9906150000002</v>
      </c>
      <c r="O1410" s="179"/>
      <c r="P1410" s="180">
        <v>3</v>
      </c>
      <c r="Q1410" s="173" t="s">
        <v>583</v>
      </c>
      <c r="R1410" s="173" t="s">
        <v>230</v>
      </c>
      <c r="S1410" s="174">
        <v>44687</v>
      </c>
      <c r="T1410" s="173" t="s">
        <v>33</v>
      </c>
      <c r="U1410" s="182">
        <v>1121.2733333333333</v>
      </c>
      <c r="V1410" s="177">
        <f>IF(U1410=0,0,IF(T1410="MXN",1/HLOOKUP(YEAR(S1410)+(MONTH(S1410)/100),TC!$5:$37,DAY(S1410)+2,FALSE),VLOOKUP(T1410,Equivalencia!$1:$23,((MAX(Equivalencia!$3:$3)-YEAR(S1410))*14)+MONTH(S1410)+2,FALSE)))</f>
        <v>1</v>
      </c>
      <c r="W1410" s="178">
        <f t="shared" si="178"/>
        <v>1121.2733333333333</v>
      </c>
      <c r="X1410" s="481">
        <f t="shared" si="179"/>
        <v>-1039.3766666666668</v>
      </c>
      <c r="Y1410" s="179"/>
      <c r="Z1410" s="466">
        <f t="shared" si="180"/>
        <v>2175.9906150000002</v>
      </c>
      <c r="AA1410" s="473">
        <f t="shared" si="181"/>
        <v>-1054.7172816666668</v>
      </c>
      <c r="AB1410" s="339">
        <f t="shared" si="182"/>
        <v>-0.48104814137720908</v>
      </c>
    </row>
    <row r="1411" spans="2:28" ht="20.100000000000001" customHeight="1">
      <c r="B1411" s="172">
        <v>1427200</v>
      </c>
      <c r="C1411" s="174">
        <v>44658</v>
      </c>
      <c r="D1411" s="181" t="s">
        <v>430</v>
      </c>
      <c r="E1411" s="173" t="s">
        <v>33</v>
      </c>
      <c r="F1411" s="176">
        <v>1878.46</v>
      </c>
      <c r="G1411" s="175">
        <f t="shared" si="173"/>
        <v>3</v>
      </c>
      <c r="H1411" s="175">
        <f t="shared" si="174"/>
        <v>1878.46</v>
      </c>
      <c r="I1411" s="177">
        <f>IF(G1411=0,0,IF(E1411="MXN",1/HLOOKUP(YEAR(C1411)+(MONTH(C1411)/100),TC!$5:$37,DAY(C1411)+2,FALSE),VLOOKUP(E1411,Equivalencia!$5:$23,((MAX(Equivalencia!$3:$3)-YEAR(C1411))*14)+MONTH(C1411)+2,FALSE)))</f>
        <v>1</v>
      </c>
      <c r="J1411" s="178">
        <f t="shared" si="175"/>
        <v>1878.46</v>
      </c>
      <c r="K1411" s="462">
        <f>IF(C1411=0,0,VLOOKUP(YEAR(C1411),INPC!$B$4:$O$29,MONTH(C1411)+1))</f>
        <v>120.809</v>
      </c>
      <c r="L1411" s="462">
        <f>IF(S1411=0,0,VLOOKUP(YEAR(S1411),INPC!$B$4:$O$29,MONTH(S1411)+1))</f>
        <v>121.02200000000001</v>
      </c>
      <c r="M1411" s="463">
        <f t="shared" si="176"/>
        <v>1.0017</v>
      </c>
      <c r="N1411" s="465">
        <f t="shared" si="177"/>
        <v>1881.6533820000002</v>
      </c>
      <c r="O1411" s="179"/>
      <c r="P1411" s="180">
        <v>3</v>
      </c>
      <c r="Q1411" s="173" t="s">
        <v>583</v>
      </c>
      <c r="R1411" s="173" t="s">
        <v>230</v>
      </c>
      <c r="S1411" s="174">
        <v>44687</v>
      </c>
      <c r="T1411" s="173" t="s">
        <v>33</v>
      </c>
      <c r="U1411" s="182">
        <v>1121.2733333333333</v>
      </c>
      <c r="V1411" s="177">
        <f>IF(U1411=0,0,IF(T1411="MXN",1/HLOOKUP(YEAR(S1411)+(MONTH(S1411)/100),TC!$5:$37,DAY(S1411)+2,FALSE),VLOOKUP(T1411,Equivalencia!$1:$23,((MAX(Equivalencia!$3:$3)-YEAR(S1411))*14)+MONTH(S1411)+2,FALSE)))</f>
        <v>1</v>
      </c>
      <c r="W1411" s="178">
        <f t="shared" si="178"/>
        <v>1121.2733333333333</v>
      </c>
      <c r="X1411" s="481">
        <f t="shared" si="179"/>
        <v>-757.18666666666672</v>
      </c>
      <c r="Y1411" s="179"/>
      <c r="Z1411" s="466">
        <f t="shared" si="180"/>
        <v>1881.6533820000002</v>
      </c>
      <c r="AA1411" s="473">
        <f t="shared" si="181"/>
        <v>-760.38004866666688</v>
      </c>
      <c r="AB1411" s="339">
        <f t="shared" si="182"/>
        <v>-0.40308905521899152</v>
      </c>
    </row>
    <row r="1412" spans="2:28" ht="20.100000000000001" customHeight="1">
      <c r="B1412" s="172">
        <v>1427200</v>
      </c>
      <c r="C1412" s="174">
        <v>44503</v>
      </c>
      <c r="D1412" s="181" t="s">
        <v>203</v>
      </c>
      <c r="E1412" s="173" t="s">
        <v>33</v>
      </c>
      <c r="F1412" s="176">
        <v>8124.0500000000011</v>
      </c>
      <c r="G1412" s="175">
        <f t="shared" si="173"/>
        <v>58</v>
      </c>
      <c r="H1412" s="175">
        <f t="shared" si="174"/>
        <v>8124.0500000000011</v>
      </c>
      <c r="I1412" s="177">
        <f>IF(G1412=0,0,IF(E1412="MXN",1/HLOOKUP(YEAR(C1412)+(MONTH(C1412)/100),TC!$5:$37,DAY(C1412)+2,FALSE),VLOOKUP(E1412,Equivalencia!$5:$23,((MAX(Equivalencia!$3:$3)-YEAR(C1412))*14)+MONTH(C1412)+2,FALSE)))</f>
        <v>1</v>
      </c>
      <c r="J1412" s="178">
        <f t="shared" si="175"/>
        <v>8124.0500000000011</v>
      </c>
      <c r="K1412" s="462">
        <f>IF(C1412=0,0,VLOOKUP(YEAR(C1412),INPC!$B$4:$O$29,MONTH(C1412)+1))</f>
        <v>116.884</v>
      </c>
      <c r="L1412" s="462">
        <f>IF(S1412=0,0,VLOOKUP(YEAR(S1412),INPC!$B$4:$O$29,MONTH(S1412)+1))</f>
        <v>118.002</v>
      </c>
      <c r="M1412" s="463">
        <f t="shared" si="176"/>
        <v>1.0095000000000001</v>
      </c>
      <c r="N1412" s="465">
        <f t="shared" si="177"/>
        <v>8201.2284750000017</v>
      </c>
      <c r="O1412" s="179"/>
      <c r="P1412" s="180">
        <v>58</v>
      </c>
      <c r="Q1412" s="173" t="s">
        <v>583</v>
      </c>
      <c r="R1412" s="173" t="s">
        <v>230</v>
      </c>
      <c r="S1412" s="174">
        <v>44588</v>
      </c>
      <c r="T1412" s="173" t="s">
        <v>33</v>
      </c>
      <c r="U1412" s="182">
        <v>6090.0519402985074</v>
      </c>
      <c r="V1412" s="177">
        <f>IF(U1412=0,0,IF(T1412="MXN",1/HLOOKUP(YEAR(S1412)+(MONTH(S1412)/100),TC!$5:$37,DAY(S1412)+2,FALSE),VLOOKUP(T1412,Equivalencia!$1:$23,((MAX(Equivalencia!$3:$3)-YEAR(S1412))*14)+MONTH(S1412)+2,FALSE)))</f>
        <v>1</v>
      </c>
      <c r="W1412" s="178">
        <f t="shared" si="178"/>
        <v>6090.0519402985074</v>
      </c>
      <c r="X1412" s="481">
        <f t="shared" si="179"/>
        <v>-2033.9980597014937</v>
      </c>
      <c r="Y1412" s="179"/>
      <c r="Z1412" s="466">
        <f t="shared" si="180"/>
        <v>8201.2284750000017</v>
      </c>
      <c r="AA1412" s="473">
        <f t="shared" si="181"/>
        <v>-2111.1765347014943</v>
      </c>
      <c r="AB1412" s="339">
        <f t="shared" si="182"/>
        <v>-0.25036749647054035</v>
      </c>
    </row>
    <row r="1413" spans="2:28" ht="20.100000000000001" customHeight="1">
      <c r="B1413" s="172">
        <v>1427200</v>
      </c>
      <c r="C1413" s="174">
        <v>44508</v>
      </c>
      <c r="D1413" s="181" t="s">
        <v>203</v>
      </c>
      <c r="E1413" s="173" t="s">
        <v>33</v>
      </c>
      <c r="F1413" s="176">
        <v>144.74</v>
      </c>
      <c r="G1413" s="175">
        <f t="shared" si="173"/>
        <v>1</v>
      </c>
      <c r="H1413" s="175">
        <f t="shared" si="174"/>
        <v>144.74</v>
      </c>
      <c r="I1413" s="177">
        <f>IF(G1413=0,0,IF(E1413="MXN",1/HLOOKUP(YEAR(C1413)+(MONTH(C1413)/100),TC!$5:$37,DAY(C1413)+2,FALSE),VLOOKUP(E1413,Equivalencia!$5:$23,((MAX(Equivalencia!$3:$3)-YEAR(C1413))*14)+MONTH(C1413)+2,FALSE)))</f>
        <v>1</v>
      </c>
      <c r="J1413" s="178">
        <f t="shared" si="175"/>
        <v>144.74</v>
      </c>
      <c r="K1413" s="462">
        <f>IF(C1413=0,0,VLOOKUP(YEAR(C1413),INPC!$B$4:$O$29,MONTH(C1413)+1))</f>
        <v>116.884</v>
      </c>
      <c r="L1413" s="462">
        <f>IF(S1413=0,0,VLOOKUP(YEAR(S1413),INPC!$B$4:$O$29,MONTH(S1413)+1))</f>
        <v>118.002</v>
      </c>
      <c r="M1413" s="463">
        <f t="shared" si="176"/>
        <v>1.0095000000000001</v>
      </c>
      <c r="N1413" s="465">
        <f t="shared" si="177"/>
        <v>146.11503000000002</v>
      </c>
      <c r="O1413" s="179"/>
      <c r="P1413" s="180">
        <v>1</v>
      </c>
      <c r="Q1413" s="173" t="s">
        <v>583</v>
      </c>
      <c r="R1413" s="173" t="s">
        <v>230</v>
      </c>
      <c r="S1413" s="174">
        <v>44588</v>
      </c>
      <c r="T1413" s="173" t="s">
        <v>33</v>
      </c>
      <c r="U1413" s="182">
        <v>105.00089552238806</v>
      </c>
      <c r="V1413" s="177">
        <f>IF(U1413=0,0,IF(T1413="MXN",1/HLOOKUP(YEAR(S1413)+(MONTH(S1413)/100),TC!$5:$37,DAY(S1413)+2,FALSE),VLOOKUP(T1413,Equivalencia!$1:$23,((MAX(Equivalencia!$3:$3)-YEAR(S1413))*14)+MONTH(S1413)+2,FALSE)))</f>
        <v>1</v>
      </c>
      <c r="W1413" s="178">
        <f t="shared" si="178"/>
        <v>105.00089552238806</v>
      </c>
      <c r="X1413" s="481">
        <f t="shared" si="179"/>
        <v>-39.739104477611946</v>
      </c>
      <c r="Y1413" s="179"/>
      <c r="Z1413" s="466">
        <f t="shared" si="180"/>
        <v>146.11503000000002</v>
      </c>
      <c r="AA1413" s="473">
        <f t="shared" si="181"/>
        <v>-41.114134477611955</v>
      </c>
      <c r="AB1413" s="339">
        <f t="shared" si="182"/>
        <v>-0.27455509518869659</v>
      </c>
    </row>
    <row r="1414" spans="2:28" ht="20.100000000000001" customHeight="1">
      <c r="B1414" s="172">
        <v>1427200</v>
      </c>
      <c r="C1414" s="174">
        <v>44508</v>
      </c>
      <c r="D1414" s="181" t="s">
        <v>203</v>
      </c>
      <c r="E1414" s="173" t="s">
        <v>33</v>
      </c>
      <c r="F1414" s="176">
        <v>144.74</v>
      </c>
      <c r="G1414" s="175">
        <f t="shared" si="173"/>
        <v>1</v>
      </c>
      <c r="H1414" s="175">
        <f t="shared" si="174"/>
        <v>144.74</v>
      </c>
      <c r="I1414" s="177">
        <f>IF(G1414=0,0,IF(E1414="MXN",1/HLOOKUP(YEAR(C1414)+(MONTH(C1414)/100),TC!$5:$37,DAY(C1414)+2,FALSE),VLOOKUP(E1414,Equivalencia!$5:$23,((MAX(Equivalencia!$3:$3)-YEAR(C1414))*14)+MONTH(C1414)+2,FALSE)))</f>
        <v>1</v>
      </c>
      <c r="J1414" s="178">
        <f t="shared" si="175"/>
        <v>144.74</v>
      </c>
      <c r="K1414" s="462">
        <f>IF(C1414=0,0,VLOOKUP(YEAR(C1414),INPC!$B$4:$O$29,MONTH(C1414)+1))</f>
        <v>116.884</v>
      </c>
      <c r="L1414" s="462">
        <f>IF(S1414=0,0,VLOOKUP(YEAR(S1414),INPC!$B$4:$O$29,MONTH(S1414)+1))</f>
        <v>118.002</v>
      </c>
      <c r="M1414" s="463">
        <f t="shared" si="176"/>
        <v>1.0095000000000001</v>
      </c>
      <c r="N1414" s="465">
        <f t="shared" si="177"/>
        <v>146.11503000000002</v>
      </c>
      <c r="O1414" s="179"/>
      <c r="P1414" s="180">
        <v>1</v>
      </c>
      <c r="Q1414" s="173" t="s">
        <v>583</v>
      </c>
      <c r="R1414" s="173" t="s">
        <v>230</v>
      </c>
      <c r="S1414" s="174">
        <v>44588</v>
      </c>
      <c r="T1414" s="173" t="s">
        <v>33</v>
      </c>
      <c r="U1414" s="182">
        <v>105.00089552238806</v>
      </c>
      <c r="V1414" s="177">
        <f>IF(U1414=0,0,IF(T1414="MXN",1/HLOOKUP(YEAR(S1414)+(MONTH(S1414)/100),TC!$5:$37,DAY(S1414)+2,FALSE),VLOOKUP(T1414,Equivalencia!$1:$23,((MAX(Equivalencia!$3:$3)-YEAR(S1414))*14)+MONTH(S1414)+2,FALSE)))</f>
        <v>1</v>
      </c>
      <c r="W1414" s="178">
        <f t="shared" si="178"/>
        <v>105.00089552238806</v>
      </c>
      <c r="X1414" s="481">
        <f t="shared" si="179"/>
        <v>-39.739104477611946</v>
      </c>
      <c r="Y1414" s="179"/>
      <c r="Z1414" s="466">
        <f t="shared" si="180"/>
        <v>146.11503000000002</v>
      </c>
      <c r="AA1414" s="473">
        <f t="shared" si="181"/>
        <v>-41.114134477611955</v>
      </c>
      <c r="AB1414" s="339">
        <f t="shared" si="182"/>
        <v>-0.27455509518869659</v>
      </c>
    </row>
    <row r="1415" spans="2:28" ht="20.100000000000001" customHeight="1">
      <c r="B1415" s="172">
        <v>1427200</v>
      </c>
      <c r="C1415" s="174">
        <v>44508</v>
      </c>
      <c r="D1415" s="181" t="s">
        <v>203</v>
      </c>
      <c r="E1415" s="173" t="s">
        <v>33</v>
      </c>
      <c r="F1415" s="176">
        <v>1011.1600000000001</v>
      </c>
      <c r="G1415" s="175">
        <f t="shared" si="173"/>
        <v>7</v>
      </c>
      <c r="H1415" s="175">
        <f t="shared" si="174"/>
        <v>1011.1600000000001</v>
      </c>
      <c r="I1415" s="177">
        <f>IF(G1415=0,0,IF(E1415="MXN",1/HLOOKUP(YEAR(C1415)+(MONTH(C1415)/100),TC!$5:$37,DAY(C1415)+2,FALSE),VLOOKUP(E1415,Equivalencia!$5:$23,((MAX(Equivalencia!$3:$3)-YEAR(C1415))*14)+MONTH(C1415)+2,FALSE)))</f>
        <v>1</v>
      </c>
      <c r="J1415" s="178">
        <f t="shared" si="175"/>
        <v>1011.1600000000001</v>
      </c>
      <c r="K1415" s="462">
        <f>IF(C1415=0,0,VLOOKUP(YEAR(C1415),INPC!$B$4:$O$29,MONTH(C1415)+1))</f>
        <v>116.884</v>
      </c>
      <c r="L1415" s="462">
        <f>IF(S1415=0,0,VLOOKUP(YEAR(S1415),INPC!$B$4:$O$29,MONTH(S1415)+1))</f>
        <v>118.002</v>
      </c>
      <c r="M1415" s="463">
        <f t="shared" si="176"/>
        <v>1.0095000000000001</v>
      </c>
      <c r="N1415" s="465">
        <f t="shared" si="177"/>
        <v>1020.7660200000001</v>
      </c>
      <c r="O1415" s="179"/>
      <c r="P1415" s="180">
        <v>7</v>
      </c>
      <c r="Q1415" s="173" t="s">
        <v>583</v>
      </c>
      <c r="R1415" s="173" t="s">
        <v>230</v>
      </c>
      <c r="S1415" s="174">
        <v>44588</v>
      </c>
      <c r="T1415" s="173" t="s">
        <v>33</v>
      </c>
      <c r="U1415" s="182">
        <v>735.00626865671643</v>
      </c>
      <c r="V1415" s="177">
        <f>IF(U1415=0,0,IF(T1415="MXN",1/HLOOKUP(YEAR(S1415)+(MONTH(S1415)/100),TC!$5:$37,DAY(S1415)+2,FALSE),VLOOKUP(T1415,Equivalencia!$1:$23,((MAX(Equivalencia!$3:$3)-YEAR(S1415))*14)+MONTH(S1415)+2,FALSE)))</f>
        <v>1</v>
      </c>
      <c r="W1415" s="178">
        <f t="shared" si="178"/>
        <v>735.00626865671643</v>
      </c>
      <c r="X1415" s="481">
        <f t="shared" si="179"/>
        <v>-276.15373134328365</v>
      </c>
      <c r="Y1415" s="179"/>
      <c r="Z1415" s="466">
        <f t="shared" si="180"/>
        <v>1020.7660200000001</v>
      </c>
      <c r="AA1415" s="473">
        <f t="shared" si="181"/>
        <v>-285.75975134328371</v>
      </c>
      <c r="AB1415" s="339">
        <f t="shared" si="182"/>
        <v>-0.27310586983591478</v>
      </c>
    </row>
    <row r="1416" spans="2:28" ht="20.100000000000001" customHeight="1">
      <c r="B1416" s="172">
        <v>1427200</v>
      </c>
      <c r="C1416" s="174">
        <v>44679</v>
      </c>
      <c r="D1416" s="181" t="s">
        <v>393</v>
      </c>
      <c r="E1416" s="173" t="s">
        <v>33</v>
      </c>
      <c r="F1416" s="176">
        <v>1073.0899999999999</v>
      </c>
      <c r="G1416" s="175">
        <f t="shared" si="173"/>
        <v>13</v>
      </c>
      <c r="H1416" s="175">
        <f t="shared" si="174"/>
        <v>1073.0899999999999</v>
      </c>
      <c r="I1416" s="177">
        <f>IF(G1416=0,0,IF(E1416="MXN",1/HLOOKUP(YEAR(C1416)+(MONTH(C1416)/100),TC!$5:$37,DAY(C1416)+2,FALSE),VLOOKUP(E1416,Equivalencia!$5:$23,((MAX(Equivalencia!$3:$3)-YEAR(C1416))*14)+MONTH(C1416)+2,FALSE)))</f>
        <v>1</v>
      </c>
      <c r="J1416" s="178">
        <f t="shared" si="175"/>
        <v>1073.0899999999999</v>
      </c>
      <c r="K1416" s="462">
        <f>IF(C1416=0,0,VLOOKUP(YEAR(C1416),INPC!$B$4:$O$29,MONTH(C1416)+1))</f>
        <v>120.809</v>
      </c>
      <c r="L1416" s="462">
        <f>IF(S1416=0,0,VLOOKUP(YEAR(S1416),INPC!$B$4:$O$29,MONTH(S1416)+1))</f>
        <v>122.044</v>
      </c>
      <c r="M1416" s="463">
        <f t="shared" si="176"/>
        <v>1.0102</v>
      </c>
      <c r="N1416" s="465">
        <f t="shared" si="177"/>
        <v>1084.0355179999999</v>
      </c>
      <c r="O1416" s="179"/>
      <c r="P1416" s="180">
        <v>13</v>
      </c>
      <c r="Q1416" s="173" t="s">
        <v>583</v>
      </c>
      <c r="R1416" s="173" t="s">
        <v>230</v>
      </c>
      <c r="S1416" s="174">
        <v>44725</v>
      </c>
      <c r="T1416" s="173" t="s">
        <v>33</v>
      </c>
      <c r="U1416" s="182">
        <v>764.94888888888897</v>
      </c>
      <c r="V1416" s="177">
        <f>IF(U1416=0,0,IF(T1416="MXN",1/HLOOKUP(YEAR(S1416)+(MONTH(S1416)/100),TC!$5:$37,DAY(S1416)+2,FALSE),VLOOKUP(T1416,Equivalencia!$1:$23,((MAX(Equivalencia!$3:$3)-YEAR(S1416))*14)+MONTH(S1416)+2,FALSE)))</f>
        <v>1</v>
      </c>
      <c r="W1416" s="178">
        <f t="shared" si="178"/>
        <v>764.94888888888897</v>
      </c>
      <c r="X1416" s="481">
        <f t="shared" si="179"/>
        <v>-308.14111111111094</v>
      </c>
      <c r="Y1416" s="179"/>
      <c r="Z1416" s="466">
        <f t="shared" si="180"/>
        <v>1084.0355179999999</v>
      </c>
      <c r="AA1416" s="473">
        <f t="shared" si="181"/>
        <v>-319.08662911111094</v>
      </c>
      <c r="AB1416" s="339">
        <f t="shared" si="182"/>
        <v>-0.28715309164292924</v>
      </c>
    </row>
    <row r="1417" spans="2:28" ht="20.100000000000001" customHeight="1">
      <c r="B1417" s="172">
        <v>1427200</v>
      </c>
      <c r="C1417" s="174">
        <v>44683</v>
      </c>
      <c r="D1417" s="181" t="s">
        <v>393</v>
      </c>
      <c r="E1417" s="173" t="s">
        <v>33</v>
      </c>
      <c r="F1417" s="176">
        <v>168.21</v>
      </c>
      <c r="G1417" s="175">
        <f t="shared" si="173"/>
        <v>2</v>
      </c>
      <c r="H1417" s="175">
        <f t="shared" si="174"/>
        <v>168.21</v>
      </c>
      <c r="I1417" s="177">
        <f>IF(G1417=0,0,IF(E1417="MXN",1/HLOOKUP(YEAR(C1417)+(MONTH(C1417)/100),TC!$5:$37,DAY(C1417)+2,FALSE),VLOOKUP(E1417,Equivalencia!$5:$23,((MAX(Equivalencia!$3:$3)-YEAR(C1417))*14)+MONTH(C1417)+2,FALSE)))</f>
        <v>1</v>
      </c>
      <c r="J1417" s="178">
        <f t="shared" si="175"/>
        <v>168.21</v>
      </c>
      <c r="K1417" s="462">
        <f>IF(C1417=0,0,VLOOKUP(YEAR(C1417),INPC!$B$4:$O$29,MONTH(C1417)+1))</f>
        <v>121.02200000000001</v>
      </c>
      <c r="L1417" s="462">
        <f>IF(S1417=0,0,VLOOKUP(YEAR(S1417),INPC!$B$4:$O$29,MONTH(S1417)+1))</f>
        <v>122.044</v>
      </c>
      <c r="M1417" s="463">
        <f t="shared" si="176"/>
        <v>1.0084</v>
      </c>
      <c r="N1417" s="465">
        <f t="shared" si="177"/>
        <v>169.622964</v>
      </c>
      <c r="O1417" s="179"/>
      <c r="P1417" s="180">
        <v>2</v>
      </c>
      <c r="Q1417" s="173" t="s">
        <v>583</v>
      </c>
      <c r="R1417" s="173" t="s">
        <v>230</v>
      </c>
      <c r="S1417" s="174">
        <v>44725</v>
      </c>
      <c r="T1417" s="173" t="s">
        <v>33</v>
      </c>
      <c r="U1417" s="182">
        <v>117.68444444444445</v>
      </c>
      <c r="V1417" s="177">
        <f>IF(U1417=0,0,IF(T1417="MXN",1/HLOOKUP(YEAR(S1417)+(MONTH(S1417)/100),TC!$5:$37,DAY(S1417)+2,FALSE),VLOOKUP(T1417,Equivalencia!$1:$23,((MAX(Equivalencia!$3:$3)-YEAR(S1417))*14)+MONTH(S1417)+2,FALSE)))</f>
        <v>1</v>
      </c>
      <c r="W1417" s="178">
        <f t="shared" si="178"/>
        <v>117.68444444444445</v>
      </c>
      <c r="X1417" s="481">
        <f t="shared" si="179"/>
        <v>-50.525555555555556</v>
      </c>
      <c r="Y1417" s="179"/>
      <c r="Z1417" s="466">
        <f t="shared" si="180"/>
        <v>169.622964</v>
      </c>
      <c r="AA1417" s="473">
        <f t="shared" si="181"/>
        <v>-51.938519555555544</v>
      </c>
      <c r="AB1417" s="339">
        <f t="shared" si="182"/>
        <v>-0.30037188963531036</v>
      </c>
    </row>
    <row r="1418" spans="2:28" ht="20.100000000000001" customHeight="1">
      <c r="B1418" s="172">
        <v>1427200</v>
      </c>
      <c r="C1418" s="174">
        <v>44683</v>
      </c>
      <c r="D1418" s="181" t="s">
        <v>393</v>
      </c>
      <c r="E1418" s="173" t="s">
        <v>33</v>
      </c>
      <c r="F1418" s="176">
        <v>253.06333333333336</v>
      </c>
      <c r="G1418" s="175">
        <f t="shared" si="173"/>
        <v>3</v>
      </c>
      <c r="H1418" s="175">
        <f t="shared" si="174"/>
        <v>253.06333333333336</v>
      </c>
      <c r="I1418" s="177">
        <f>IF(G1418=0,0,IF(E1418="MXN",1/HLOOKUP(YEAR(C1418)+(MONTH(C1418)/100),TC!$5:$37,DAY(C1418)+2,FALSE),VLOOKUP(E1418,Equivalencia!$5:$23,((MAX(Equivalencia!$3:$3)-YEAR(C1418))*14)+MONTH(C1418)+2,FALSE)))</f>
        <v>1</v>
      </c>
      <c r="J1418" s="178">
        <f t="shared" si="175"/>
        <v>253.06333333333336</v>
      </c>
      <c r="K1418" s="462">
        <f>IF(C1418=0,0,VLOOKUP(YEAR(C1418),INPC!$B$4:$O$29,MONTH(C1418)+1))</f>
        <v>121.02200000000001</v>
      </c>
      <c r="L1418" s="462">
        <f>IF(S1418=0,0,VLOOKUP(YEAR(S1418),INPC!$B$4:$O$29,MONTH(S1418)+1))</f>
        <v>122.044</v>
      </c>
      <c r="M1418" s="463">
        <f t="shared" si="176"/>
        <v>1.0084</v>
      </c>
      <c r="N1418" s="465">
        <f t="shared" si="177"/>
        <v>255.18906533333336</v>
      </c>
      <c r="O1418" s="179"/>
      <c r="P1418" s="180">
        <v>3</v>
      </c>
      <c r="Q1418" s="173" t="s">
        <v>583</v>
      </c>
      <c r="R1418" s="173" t="s">
        <v>230</v>
      </c>
      <c r="S1418" s="174">
        <v>44725</v>
      </c>
      <c r="T1418" s="173" t="s">
        <v>33</v>
      </c>
      <c r="U1418" s="182">
        <v>176.52666666666667</v>
      </c>
      <c r="V1418" s="177">
        <f>IF(U1418=0,0,IF(T1418="MXN",1/HLOOKUP(YEAR(S1418)+(MONTH(S1418)/100),TC!$5:$37,DAY(S1418)+2,FALSE),VLOOKUP(T1418,Equivalencia!$1:$23,((MAX(Equivalencia!$3:$3)-YEAR(S1418))*14)+MONTH(S1418)+2,FALSE)))</f>
        <v>1</v>
      </c>
      <c r="W1418" s="178">
        <f t="shared" si="178"/>
        <v>176.52666666666667</v>
      </c>
      <c r="X1418" s="481">
        <f t="shared" si="179"/>
        <v>-76.53666666666669</v>
      </c>
      <c r="Y1418" s="179"/>
      <c r="Z1418" s="466">
        <f t="shared" si="180"/>
        <v>255.18906533333336</v>
      </c>
      <c r="AA1418" s="473">
        <f t="shared" si="181"/>
        <v>-78.662398666666689</v>
      </c>
      <c r="AB1418" s="339">
        <f t="shared" si="182"/>
        <v>-0.30244075923023228</v>
      </c>
    </row>
    <row r="1419" spans="2:28" ht="20.100000000000001" customHeight="1">
      <c r="B1419" s="172">
        <v>1427200</v>
      </c>
      <c r="C1419" s="174">
        <v>44683</v>
      </c>
      <c r="D1419" s="181" t="s">
        <v>393</v>
      </c>
      <c r="E1419" s="173" t="s">
        <v>33</v>
      </c>
      <c r="F1419" s="176">
        <v>506.12666666666672</v>
      </c>
      <c r="G1419" s="175">
        <f t="shared" si="173"/>
        <v>6</v>
      </c>
      <c r="H1419" s="175">
        <f t="shared" si="174"/>
        <v>506.12666666666672</v>
      </c>
      <c r="I1419" s="177">
        <f>IF(G1419=0,0,IF(E1419="MXN",1/HLOOKUP(YEAR(C1419)+(MONTH(C1419)/100),TC!$5:$37,DAY(C1419)+2,FALSE),VLOOKUP(E1419,Equivalencia!$5:$23,((MAX(Equivalencia!$3:$3)-YEAR(C1419))*14)+MONTH(C1419)+2,FALSE)))</f>
        <v>1</v>
      </c>
      <c r="J1419" s="178">
        <f t="shared" si="175"/>
        <v>506.12666666666672</v>
      </c>
      <c r="K1419" s="462">
        <f>IF(C1419=0,0,VLOOKUP(YEAR(C1419),INPC!$B$4:$O$29,MONTH(C1419)+1))</f>
        <v>121.02200000000001</v>
      </c>
      <c r="L1419" s="462">
        <f>IF(S1419=0,0,VLOOKUP(YEAR(S1419),INPC!$B$4:$O$29,MONTH(S1419)+1))</f>
        <v>122.044</v>
      </c>
      <c r="M1419" s="463">
        <f t="shared" si="176"/>
        <v>1.0084</v>
      </c>
      <c r="N1419" s="465">
        <f t="shared" si="177"/>
        <v>510.37813066666672</v>
      </c>
      <c r="O1419" s="179"/>
      <c r="P1419" s="180">
        <v>6</v>
      </c>
      <c r="Q1419" s="173" t="s">
        <v>583</v>
      </c>
      <c r="R1419" s="173" t="s">
        <v>230</v>
      </c>
      <c r="S1419" s="174">
        <v>44725</v>
      </c>
      <c r="T1419" s="173" t="s">
        <v>33</v>
      </c>
      <c r="U1419" s="182">
        <v>352.37</v>
      </c>
      <c r="V1419" s="177">
        <f>IF(U1419=0,0,IF(T1419="MXN",1/HLOOKUP(YEAR(S1419)+(MONTH(S1419)/100),TC!$5:$37,DAY(S1419)+2,FALSE),VLOOKUP(T1419,Equivalencia!$1:$23,((MAX(Equivalencia!$3:$3)-YEAR(S1419))*14)+MONTH(S1419)+2,FALSE)))</f>
        <v>1</v>
      </c>
      <c r="W1419" s="178">
        <f t="shared" si="178"/>
        <v>352.37</v>
      </c>
      <c r="X1419" s="481">
        <f t="shared" si="179"/>
        <v>-153.75666666666672</v>
      </c>
      <c r="Y1419" s="179"/>
      <c r="Z1419" s="466">
        <f t="shared" si="180"/>
        <v>510.37813066666672</v>
      </c>
      <c r="AA1419" s="473">
        <f t="shared" si="181"/>
        <v>-158.00813066666672</v>
      </c>
      <c r="AB1419" s="339">
        <f t="shared" si="182"/>
        <v>-0.30379088238780816</v>
      </c>
    </row>
    <row r="1420" spans="2:28" ht="20.100000000000001" customHeight="1">
      <c r="B1420" s="172"/>
      <c r="C1420" s="174"/>
      <c r="D1420" s="181"/>
      <c r="E1420" s="173"/>
      <c r="F1420" s="176"/>
      <c r="G1420" s="175">
        <f t="shared" si="173"/>
        <v>0</v>
      </c>
      <c r="H1420" s="175">
        <f t="shared" si="174"/>
        <v>0</v>
      </c>
      <c r="I1420" s="177">
        <f>IF(G1420=0,0,IF(E1420="MXN",1/HLOOKUP(YEAR(C1420)+(MONTH(C1420)/100),TC!$5:$37,DAY(C1420)+2,FALSE),VLOOKUP(E1420,Equivalencia!$5:$23,((MAX(Equivalencia!$3:$3)-YEAR(C1420))*14)+MONTH(C1420)+2,FALSE)))</f>
        <v>0</v>
      </c>
      <c r="J1420" s="178">
        <f t="shared" si="175"/>
        <v>0</v>
      </c>
      <c r="K1420" s="462">
        <f>IF(C1420=0,0,VLOOKUP(YEAR(C1420),INPC!$B$4:$O$29,MONTH(C1420)+1))</f>
        <v>0</v>
      </c>
      <c r="L1420" s="462">
        <f>IF(S1420=0,0,VLOOKUP(YEAR(S1420),INPC!$B$4:$O$29,MONTH(S1420)+1))</f>
        <v>0</v>
      </c>
      <c r="M1420" s="463">
        <f t="shared" si="176"/>
        <v>0</v>
      </c>
      <c r="N1420" s="465">
        <f t="shared" si="177"/>
        <v>0</v>
      </c>
      <c r="O1420" s="179"/>
      <c r="P1420" s="180"/>
      <c r="Q1420" s="173"/>
      <c r="R1420" s="173"/>
      <c r="S1420" s="174"/>
      <c r="T1420" s="173"/>
      <c r="U1420" s="182"/>
      <c r="V1420" s="177">
        <f>IF(U1420=0,0,IF(T1420="MXN",1/HLOOKUP(YEAR(S1420)+(MONTH(S1420)/100),TC!$5:$37,DAY(S1420)+2,FALSE),VLOOKUP(T1420,Equivalencia!$1:$23,((MAX(Equivalencia!$3:$3)-YEAR(S1420))*14)+MONTH(S1420)+2,FALSE)))</f>
        <v>0</v>
      </c>
      <c r="W1420" s="178">
        <f t="shared" si="178"/>
        <v>0</v>
      </c>
      <c r="X1420" s="481">
        <f t="shared" si="179"/>
        <v>0</v>
      </c>
      <c r="Y1420" s="179"/>
      <c r="Z1420" s="466">
        <f t="shared" si="180"/>
        <v>0</v>
      </c>
      <c r="AA1420" s="473">
        <f t="shared" si="181"/>
        <v>0</v>
      </c>
      <c r="AB1420" s="339">
        <f t="shared" si="182"/>
        <v>0</v>
      </c>
    </row>
    <row r="1421" spans="2:28" ht="20.100000000000001" customHeight="1">
      <c r="B1421" s="172"/>
      <c r="C1421" s="174"/>
      <c r="D1421" s="181"/>
      <c r="E1421" s="173"/>
      <c r="F1421" s="176"/>
      <c r="G1421" s="175">
        <f t="shared" si="173"/>
        <v>0</v>
      </c>
      <c r="H1421" s="175">
        <f t="shared" si="174"/>
        <v>0</v>
      </c>
      <c r="I1421" s="177">
        <f>IF(G1421=0,0,IF(E1421="MXN",1/HLOOKUP(YEAR(C1421)+(MONTH(C1421)/100),TC!$5:$37,DAY(C1421)+2,FALSE),VLOOKUP(E1421,Equivalencia!$5:$23,((MAX(Equivalencia!$3:$3)-YEAR(C1421))*14)+MONTH(C1421)+2,FALSE)))</f>
        <v>0</v>
      </c>
      <c r="J1421" s="178">
        <f t="shared" si="175"/>
        <v>0</v>
      </c>
      <c r="K1421" s="462">
        <f>IF(C1421=0,0,VLOOKUP(YEAR(C1421),INPC!$B$4:$O$29,MONTH(C1421)+1))</f>
        <v>0</v>
      </c>
      <c r="L1421" s="462">
        <f>IF(S1421=0,0,VLOOKUP(YEAR(S1421),INPC!$B$4:$O$29,MONTH(S1421)+1))</f>
        <v>0</v>
      </c>
      <c r="M1421" s="463">
        <f t="shared" si="176"/>
        <v>0</v>
      </c>
      <c r="N1421" s="465">
        <f t="shared" si="177"/>
        <v>0</v>
      </c>
      <c r="O1421" s="179"/>
      <c r="P1421" s="180"/>
      <c r="Q1421" s="173"/>
      <c r="R1421" s="173"/>
      <c r="S1421" s="174"/>
      <c r="T1421" s="173"/>
      <c r="U1421" s="182"/>
      <c r="V1421" s="177">
        <f>IF(U1421=0,0,IF(T1421="MXN",1/HLOOKUP(YEAR(S1421)+(MONTH(S1421)/100),TC!$5:$37,DAY(S1421)+2,FALSE),VLOOKUP(T1421,Equivalencia!$1:$23,((MAX(Equivalencia!$3:$3)-YEAR(S1421))*14)+MONTH(S1421)+2,FALSE)))</f>
        <v>0</v>
      </c>
      <c r="W1421" s="178">
        <f t="shared" si="178"/>
        <v>0</v>
      </c>
      <c r="X1421" s="481">
        <f t="shared" si="179"/>
        <v>0</v>
      </c>
      <c r="Y1421" s="179"/>
      <c r="Z1421" s="466">
        <f t="shared" si="180"/>
        <v>0</v>
      </c>
      <c r="AA1421" s="473">
        <f t="shared" si="181"/>
        <v>0</v>
      </c>
      <c r="AB1421" s="339">
        <f t="shared" si="182"/>
        <v>0</v>
      </c>
    </row>
    <row r="1422" spans="2:28" ht="20.100000000000001" customHeight="1">
      <c r="B1422" s="172"/>
      <c r="C1422" s="174"/>
      <c r="D1422" s="181"/>
      <c r="E1422" s="173"/>
      <c r="F1422" s="176"/>
      <c r="G1422" s="175">
        <f t="shared" si="173"/>
        <v>0</v>
      </c>
      <c r="H1422" s="175">
        <f t="shared" si="174"/>
        <v>0</v>
      </c>
      <c r="I1422" s="177">
        <f>IF(G1422=0,0,IF(E1422="MXN",1/HLOOKUP(YEAR(C1422)+(MONTH(C1422)/100),TC!$5:$37,DAY(C1422)+2,FALSE),VLOOKUP(E1422,Equivalencia!$5:$23,((MAX(Equivalencia!$3:$3)-YEAR(C1422))*14)+MONTH(C1422)+2,FALSE)))</f>
        <v>0</v>
      </c>
      <c r="J1422" s="178">
        <f t="shared" si="175"/>
        <v>0</v>
      </c>
      <c r="K1422" s="462">
        <f>IF(C1422=0,0,VLOOKUP(YEAR(C1422),INPC!$B$4:$O$29,MONTH(C1422)+1))</f>
        <v>0</v>
      </c>
      <c r="L1422" s="462">
        <f>IF(S1422=0,0,VLOOKUP(YEAR(S1422),INPC!$B$4:$O$29,MONTH(S1422)+1))</f>
        <v>0</v>
      </c>
      <c r="M1422" s="463">
        <f t="shared" si="176"/>
        <v>0</v>
      </c>
      <c r="N1422" s="465">
        <f t="shared" si="177"/>
        <v>0</v>
      </c>
      <c r="O1422" s="179"/>
      <c r="P1422" s="180"/>
      <c r="Q1422" s="173"/>
      <c r="R1422" s="173"/>
      <c r="S1422" s="174"/>
      <c r="T1422" s="173"/>
      <c r="U1422" s="182"/>
      <c r="V1422" s="177">
        <f>IF(U1422=0,0,IF(T1422="MXN",1/HLOOKUP(YEAR(S1422)+(MONTH(S1422)/100),TC!$5:$37,DAY(S1422)+2,FALSE),VLOOKUP(T1422,Equivalencia!$1:$23,((MAX(Equivalencia!$3:$3)-YEAR(S1422))*14)+MONTH(S1422)+2,FALSE)))</f>
        <v>0</v>
      </c>
      <c r="W1422" s="178">
        <f t="shared" si="178"/>
        <v>0</v>
      </c>
      <c r="X1422" s="481">
        <f t="shared" si="179"/>
        <v>0</v>
      </c>
      <c r="Y1422" s="179"/>
      <c r="Z1422" s="466">
        <f t="shared" si="180"/>
        <v>0</v>
      </c>
      <c r="AA1422" s="473">
        <f t="shared" si="181"/>
        <v>0</v>
      </c>
      <c r="AB1422" s="339">
        <f t="shared" si="182"/>
        <v>0</v>
      </c>
    </row>
    <row r="1423" spans="2:28" ht="20.100000000000001" customHeight="1">
      <c r="B1423" s="172"/>
      <c r="C1423" s="174"/>
      <c r="D1423" s="181"/>
      <c r="E1423" s="173"/>
      <c r="F1423" s="176"/>
      <c r="G1423" s="175">
        <f t="shared" si="173"/>
        <v>0</v>
      </c>
      <c r="H1423" s="175">
        <f t="shared" si="174"/>
        <v>0</v>
      </c>
      <c r="I1423" s="177">
        <f>IF(G1423=0,0,IF(E1423="MXN",1/HLOOKUP(YEAR(C1423)+(MONTH(C1423)/100),TC!$5:$37,DAY(C1423)+2,FALSE),VLOOKUP(E1423,Equivalencia!$5:$23,((MAX(Equivalencia!$3:$3)-YEAR(C1423))*14)+MONTH(C1423)+2,FALSE)))</f>
        <v>0</v>
      </c>
      <c r="J1423" s="178">
        <f t="shared" si="175"/>
        <v>0</v>
      </c>
      <c r="K1423" s="462">
        <f>IF(C1423=0,0,VLOOKUP(YEAR(C1423),INPC!$B$4:$O$29,MONTH(C1423)+1))</f>
        <v>0</v>
      </c>
      <c r="L1423" s="462">
        <f>IF(S1423=0,0,VLOOKUP(YEAR(S1423),INPC!$B$4:$O$29,MONTH(S1423)+1))</f>
        <v>0</v>
      </c>
      <c r="M1423" s="463">
        <f t="shared" si="176"/>
        <v>0</v>
      </c>
      <c r="N1423" s="465">
        <f t="shared" si="177"/>
        <v>0</v>
      </c>
      <c r="O1423" s="179"/>
      <c r="P1423" s="180"/>
      <c r="Q1423" s="173"/>
      <c r="R1423" s="173"/>
      <c r="S1423" s="174"/>
      <c r="T1423" s="173"/>
      <c r="U1423" s="182"/>
      <c r="V1423" s="177">
        <f>IF(U1423=0,0,IF(T1423="MXN",1/HLOOKUP(YEAR(S1423)+(MONTH(S1423)/100),TC!$5:$37,DAY(S1423)+2,FALSE),VLOOKUP(T1423,Equivalencia!$1:$23,((MAX(Equivalencia!$3:$3)-YEAR(S1423))*14)+MONTH(S1423)+2,FALSE)))</f>
        <v>0</v>
      </c>
      <c r="W1423" s="178">
        <f t="shared" si="178"/>
        <v>0</v>
      </c>
      <c r="X1423" s="481">
        <f t="shared" si="179"/>
        <v>0</v>
      </c>
      <c r="Y1423" s="179"/>
      <c r="Z1423" s="466">
        <f t="shared" si="180"/>
        <v>0</v>
      </c>
      <c r="AA1423" s="473">
        <f t="shared" si="181"/>
        <v>0</v>
      </c>
      <c r="AB1423" s="339">
        <f t="shared" si="182"/>
        <v>0</v>
      </c>
    </row>
    <row r="1424" spans="2:28" ht="20.100000000000001" customHeight="1">
      <c r="B1424" s="172"/>
      <c r="C1424" s="174"/>
      <c r="D1424" s="181"/>
      <c r="E1424" s="173"/>
      <c r="F1424" s="176"/>
      <c r="G1424" s="175">
        <f t="shared" si="173"/>
        <v>0</v>
      </c>
      <c r="H1424" s="175">
        <f t="shared" si="174"/>
        <v>0</v>
      </c>
      <c r="I1424" s="177">
        <f>IF(G1424=0,0,IF(E1424="MXN",1/HLOOKUP(YEAR(C1424)+(MONTH(C1424)/100),TC!$5:$37,DAY(C1424)+2,FALSE),VLOOKUP(E1424,Equivalencia!$5:$23,((MAX(Equivalencia!$3:$3)-YEAR(C1424))*14)+MONTH(C1424)+2,FALSE)))</f>
        <v>0</v>
      </c>
      <c r="J1424" s="178">
        <f t="shared" si="175"/>
        <v>0</v>
      </c>
      <c r="K1424" s="462">
        <f>IF(C1424=0,0,VLOOKUP(YEAR(C1424),INPC!$B$4:$O$29,MONTH(C1424)+1))</f>
        <v>0</v>
      </c>
      <c r="L1424" s="462">
        <f>IF(S1424=0,0,VLOOKUP(YEAR(S1424),INPC!$B$4:$O$29,MONTH(S1424)+1))</f>
        <v>0</v>
      </c>
      <c r="M1424" s="463">
        <f t="shared" si="176"/>
        <v>0</v>
      </c>
      <c r="N1424" s="465">
        <f t="shared" si="177"/>
        <v>0</v>
      </c>
      <c r="O1424" s="179"/>
      <c r="P1424" s="180"/>
      <c r="Q1424" s="173"/>
      <c r="R1424" s="173"/>
      <c r="S1424" s="174"/>
      <c r="T1424" s="173"/>
      <c r="U1424" s="182"/>
      <c r="V1424" s="177">
        <f>IF(U1424=0,0,IF(T1424="MXN",1/HLOOKUP(YEAR(S1424)+(MONTH(S1424)/100),TC!$5:$37,DAY(S1424)+2,FALSE),VLOOKUP(T1424,Equivalencia!$1:$23,((MAX(Equivalencia!$3:$3)-YEAR(S1424))*14)+MONTH(S1424)+2,FALSE)))</f>
        <v>0</v>
      </c>
      <c r="W1424" s="178">
        <f t="shared" si="178"/>
        <v>0</v>
      </c>
      <c r="X1424" s="481">
        <f t="shared" si="179"/>
        <v>0</v>
      </c>
      <c r="Y1424" s="179"/>
      <c r="Z1424" s="466">
        <f t="shared" si="180"/>
        <v>0</v>
      </c>
      <c r="AA1424" s="473">
        <f t="shared" si="181"/>
        <v>0</v>
      </c>
      <c r="AB1424" s="339">
        <f t="shared" si="182"/>
        <v>0</v>
      </c>
    </row>
    <row r="1425" spans="2:28" ht="20.100000000000001" customHeight="1">
      <c r="B1425" s="172"/>
      <c r="C1425" s="174"/>
      <c r="D1425" s="181"/>
      <c r="E1425" s="173"/>
      <c r="F1425" s="176"/>
      <c r="G1425" s="175">
        <f t="shared" si="173"/>
        <v>0</v>
      </c>
      <c r="H1425" s="175">
        <f t="shared" si="174"/>
        <v>0</v>
      </c>
      <c r="I1425" s="177">
        <f>IF(G1425=0,0,IF(E1425="MXN",1/HLOOKUP(YEAR(C1425)+(MONTH(C1425)/100),TC!$5:$37,DAY(C1425)+2,FALSE),VLOOKUP(E1425,Equivalencia!$5:$23,((MAX(Equivalencia!$3:$3)-YEAR(C1425))*14)+MONTH(C1425)+2,FALSE)))</f>
        <v>0</v>
      </c>
      <c r="J1425" s="178">
        <f t="shared" si="175"/>
        <v>0</v>
      </c>
      <c r="K1425" s="462">
        <f>IF(C1425=0,0,VLOOKUP(YEAR(C1425),INPC!$B$4:$O$29,MONTH(C1425)+1))</f>
        <v>0</v>
      </c>
      <c r="L1425" s="462">
        <f>IF(S1425=0,0,VLOOKUP(YEAR(S1425),INPC!$B$4:$O$29,MONTH(S1425)+1))</f>
        <v>0</v>
      </c>
      <c r="M1425" s="463">
        <f t="shared" si="176"/>
        <v>0</v>
      </c>
      <c r="N1425" s="465">
        <f t="shared" si="177"/>
        <v>0</v>
      </c>
      <c r="O1425" s="179"/>
      <c r="P1425" s="180"/>
      <c r="Q1425" s="173"/>
      <c r="R1425" s="173"/>
      <c r="S1425" s="174"/>
      <c r="T1425" s="173"/>
      <c r="U1425" s="182"/>
      <c r="V1425" s="177">
        <f>IF(U1425=0,0,IF(T1425="MXN",1/HLOOKUP(YEAR(S1425)+(MONTH(S1425)/100),TC!$5:$37,DAY(S1425)+2,FALSE),VLOOKUP(T1425,Equivalencia!$1:$23,((MAX(Equivalencia!$3:$3)-YEAR(S1425))*14)+MONTH(S1425)+2,FALSE)))</f>
        <v>0</v>
      </c>
      <c r="W1425" s="178">
        <f t="shared" si="178"/>
        <v>0</v>
      </c>
      <c r="X1425" s="481">
        <f t="shared" si="179"/>
        <v>0</v>
      </c>
      <c r="Y1425" s="179"/>
      <c r="Z1425" s="466">
        <f t="shared" si="180"/>
        <v>0</v>
      </c>
      <c r="AA1425" s="473">
        <f t="shared" si="181"/>
        <v>0</v>
      </c>
      <c r="AB1425" s="339">
        <f t="shared" si="182"/>
        <v>0</v>
      </c>
    </row>
    <row r="1426" spans="2:28" ht="20.100000000000001" customHeight="1">
      <c r="B1426" s="172"/>
      <c r="C1426" s="174"/>
      <c r="D1426" s="181"/>
      <c r="E1426" s="173"/>
      <c r="F1426" s="176"/>
      <c r="G1426" s="175">
        <f t="shared" si="173"/>
        <v>0</v>
      </c>
      <c r="H1426" s="175">
        <f t="shared" si="174"/>
        <v>0</v>
      </c>
      <c r="I1426" s="177">
        <f>IF(G1426=0,0,IF(E1426="MXN",1/HLOOKUP(YEAR(C1426)+(MONTH(C1426)/100),TC!$5:$37,DAY(C1426)+2,FALSE),VLOOKUP(E1426,Equivalencia!$5:$23,((MAX(Equivalencia!$3:$3)-YEAR(C1426))*14)+MONTH(C1426)+2,FALSE)))</f>
        <v>0</v>
      </c>
      <c r="J1426" s="178">
        <f t="shared" si="175"/>
        <v>0</v>
      </c>
      <c r="K1426" s="462">
        <f>IF(C1426=0,0,VLOOKUP(YEAR(C1426),INPC!$B$4:$O$29,MONTH(C1426)+1))</f>
        <v>0</v>
      </c>
      <c r="L1426" s="462">
        <f>IF(S1426=0,0,VLOOKUP(YEAR(S1426),INPC!$B$4:$O$29,MONTH(S1426)+1))</f>
        <v>0</v>
      </c>
      <c r="M1426" s="463">
        <f t="shared" si="176"/>
        <v>0</v>
      </c>
      <c r="N1426" s="465">
        <f t="shared" si="177"/>
        <v>0</v>
      </c>
      <c r="O1426" s="179"/>
      <c r="P1426" s="180"/>
      <c r="Q1426" s="173"/>
      <c r="R1426" s="173"/>
      <c r="S1426" s="174"/>
      <c r="T1426" s="173"/>
      <c r="U1426" s="182"/>
      <c r="V1426" s="177">
        <f>IF(U1426=0,0,IF(T1426="MXN",1/HLOOKUP(YEAR(S1426)+(MONTH(S1426)/100),TC!$5:$37,DAY(S1426)+2,FALSE),VLOOKUP(T1426,Equivalencia!$1:$23,((MAX(Equivalencia!$3:$3)-YEAR(S1426))*14)+MONTH(S1426)+2,FALSE)))</f>
        <v>0</v>
      </c>
      <c r="W1426" s="178">
        <f t="shared" si="178"/>
        <v>0</v>
      </c>
      <c r="X1426" s="481">
        <f t="shared" si="179"/>
        <v>0</v>
      </c>
      <c r="Y1426" s="179"/>
      <c r="Z1426" s="466">
        <f t="shared" si="180"/>
        <v>0</v>
      </c>
      <c r="AA1426" s="473">
        <f t="shared" si="181"/>
        <v>0</v>
      </c>
      <c r="AB1426" s="339">
        <f t="shared" si="182"/>
        <v>0</v>
      </c>
    </row>
    <row r="1427" spans="2:28" ht="20.100000000000001" customHeight="1">
      <c r="B1427" s="172"/>
      <c r="C1427" s="174"/>
      <c r="D1427" s="181"/>
      <c r="E1427" s="173"/>
      <c r="F1427" s="176"/>
      <c r="G1427" s="175">
        <f t="shared" si="173"/>
        <v>0</v>
      </c>
      <c r="H1427" s="175">
        <f t="shared" si="174"/>
        <v>0</v>
      </c>
      <c r="I1427" s="177">
        <f>IF(G1427=0,0,IF(E1427="MXN",1/HLOOKUP(YEAR(C1427)+(MONTH(C1427)/100),TC!$5:$37,DAY(C1427)+2,FALSE),VLOOKUP(E1427,Equivalencia!$5:$23,((MAX(Equivalencia!$3:$3)-YEAR(C1427))*14)+MONTH(C1427)+2,FALSE)))</f>
        <v>0</v>
      </c>
      <c r="J1427" s="178">
        <f t="shared" si="175"/>
        <v>0</v>
      </c>
      <c r="K1427" s="462">
        <f>IF(C1427=0,0,VLOOKUP(YEAR(C1427),INPC!$B$4:$O$29,MONTH(C1427)+1))</f>
        <v>0</v>
      </c>
      <c r="L1427" s="462">
        <f>IF(S1427=0,0,VLOOKUP(YEAR(S1427),INPC!$B$4:$O$29,MONTH(S1427)+1))</f>
        <v>0</v>
      </c>
      <c r="M1427" s="463">
        <f t="shared" si="176"/>
        <v>0</v>
      </c>
      <c r="N1427" s="465">
        <f t="shared" si="177"/>
        <v>0</v>
      </c>
      <c r="O1427" s="179"/>
      <c r="P1427" s="180"/>
      <c r="Q1427" s="173"/>
      <c r="R1427" s="173"/>
      <c r="S1427" s="174"/>
      <c r="T1427" s="173"/>
      <c r="U1427" s="182"/>
      <c r="V1427" s="177">
        <f>IF(U1427=0,0,IF(T1427="MXN",1/HLOOKUP(YEAR(S1427)+(MONTH(S1427)/100),TC!$5:$37,DAY(S1427)+2,FALSE),VLOOKUP(T1427,Equivalencia!$1:$23,((MAX(Equivalencia!$3:$3)-YEAR(S1427))*14)+MONTH(S1427)+2,FALSE)))</f>
        <v>0</v>
      </c>
      <c r="W1427" s="178">
        <f t="shared" si="178"/>
        <v>0</v>
      </c>
      <c r="X1427" s="481">
        <f t="shared" si="179"/>
        <v>0</v>
      </c>
      <c r="Y1427" s="179"/>
      <c r="Z1427" s="466">
        <f t="shared" si="180"/>
        <v>0</v>
      </c>
      <c r="AA1427" s="473">
        <f t="shared" si="181"/>
        <v>0</v>
      </c>
      <c r="AB1427" s="339">
        <f t="shared" si="182"/>
        <v>0</v>
      </c>
    </row>
    <row r="1428" spans="2:28" ht="20.100000000000001" customHeight="1">
      <c r="B1428" s="172"/>
      <c r="C1428" s="174"/>
      <c r="D1428" s="181"/>
      <c r="E1428" s="173"/>
      <c r="F1428" s="176"/>
      <c r="G1428" s="175">
        <f t="shared" si="173"/>
        <v>0</v>
      </c>
      <c r="H1428" s="175">
        <f t="shared" si="174"/>
        <v>0</v>
      </c>
      <c r="I1428" s="177">
        <f>IF(G1428=0,0,IF(E1428="MXN",1/HLOOKUP(YEAR(C1428)+(MONTH(C1428)/100),TC!$5:$37,DAY(C1428)+2,FALSE),VLOOKUP(E1428,Equivalencia!$5:$23,((MAX(Equivalencia!$3:$3)-YEAR(C1428))*14)+MONTH(C1428)+2,FALSE)))</f>
        <v>0</v>
      </c>
      <c r="J1428" s="178">
        <f t="shared" si="175"/>
        <v>0</v>
      </c>
      <c r="K1428" s="462">
        <f>IF(C1428=0,0,VLOOKUP(YEAR(C1428),INPC!$B$4:$O$29,MONTH(C1428)+1))</f>
        <v>0</v>
      </c>
      <c r="L1428" s="462">
        <f>IF(S1428=0,0,VLOOKUP(YEAR(S1428),INPC!$B$4:$O$29,MONTH(S1428)+1))</f>
        <v>0</v>
      </c>
      <c r="M1428" s="463">
        <f t="shared" si="176"/>
        <v>0</v>
      </c>
      <c r="N1428" s="465">
        <f t="shared" si="177"/>
        <v>0</v>
      </c>
      <c r="O1428" s="179"/>
      <c r="P1428" s="180"/>
      <c r="Q1428" s="173"/>
      <c r="R1428" s="173"/>
      <c r="S1428" s="174"/>
      <c r="T1428" s="173"/>
      <c r="U1428" s="182"/>
      <c r="V1428" s="177">
        <f>IF(U1428=0,0,IF(T1428="MXN",1/HLOOKUP(YEAR(S1428)+(MONTH(S1428)/100),TC!$5:$37,DAY(S1428)+2,FALSE),VLOOKUP(T1428,Equivalencia!$1:$23,((MAX(Equivalencia!$3:$3)-YEAR(S1428))*14)+MONTH(S1428)+2,FALSE)))</f>
        <v>0</v>
      </c>
      <c r="W1428" s="178">
        <f t="shared" si="178"/>
        <v>0</v>
      </c>
      <c r="X1428" s="481">
        <f t="shared" si="179"/>
        <v>0</v>
      </c>
      <c r="Y1428" s="179"/>
      <c r="Z1428" s="466">
        <f t="shared" si="180"/>
        <v>0</v>
      </c>
      <c r="AA1428" s="473">
        <f t="shared" si="181"/>
        <v>0</v>
      </c>
      <c r="AB1428" s="339">
        <f t="shared" si="182"/>
        <v>0</v>
      </c>
    </row>
    <row r="1429" spans="2:28" ht="20.100000000000001" customHeight="1">
      <c r="B1429" s="172"/>
      <c r="C1429" s="174"/>
      <c r="D1429" s="181"/>
      <c r="E1429" s="173"/>
      <c r="F1429" s="176"/>
      <c r="G1429" s="175">
        <f t="shared" si="173"/>
        <v>0</v>
      </c>
      <c r="H1429" s="175">
        <f t="shared" si="174"/>
        <v>0</v>
      </c>
      <c r="I1429" s="177">
        <f>IF(G1429=0,0,IF(E1429="MXN",1/HLOOKUP(YEAR(C1429)+(MONTH(C1429)/100),TC!$5:$37,DAY(C1429)+2,FALSE),VLOOKUP(E1429,Equivalencia!$5:$23,((MAX(Equivalencia!$3:$3)-YEAR(C1429))*14)+MONTH(C1429)+2,FALSE)))</f>
        <v>0</v>
      </c>
      <c r="J1429" s="178">
        <f t="shared" si="175"/>
        <v>0</v>
      </c>
      <c r="K1429" s="462">
        <f>IF(C1429=0,0,VLOOKUP(YEAR(C1429),INPC!$B$4:$O$29,MONTH(C1429)+1))</f>
        <v>0</v>
      </c>
      <c r="L1429" s="462">
        <f>IF(S1429=0,0,VLOOKUP(YEAR(S1429),INPC!$B$4:$O$29,MONTH(S1429)+1))</f>
        <v>0</v>
      </c>
      <c r="M1429" s="463">
        <f t="shared" si="176"/>
        <v>0</v>
      </c>
      <c r="N1429" s="465">
        <f t="shared" si="177"/>
        <v>0</v>
      </c>
      <c r="O1429" s="179"/>
      <c r="P1429" s="180"/>
      <c r="Q1429" s="173"/>
      <c r="R1429" s="173"/>
      <c r="S1429" s="174"/>
      <c r="T1429" s="173"/>
      <c r="U1429" s="182"/>
      <c r="V1429" s="177">
        <f>IF(U1429=0,0,IF(T1429="MXN",1/HLOOKUP(YEAR(S1429)+(MONTH(S1429)/100),TC!$5:$37,DAY(S1429)+2,FALSE),VLOOKUP(T1429,Equivalencia!$1:$23,((MAX(Equivalencia!$3:$3)-YEAR(S1429))*14)+MONTH(S1429)+2,FALSE)))</f>
        <v>0</v>
      </c>
      <c r="W1429" s="178">
        <f t="shared" si="178"/>
        <v>0</v>
      </c>
      <c r="X1429" s="481">
        <f t="shared" si="179"/>
        <v>0</v>
      </c>
      <c r="Y1429" s="179"/>
      <c r="Z1429" s="466">
        <f t="shared" si="180"/>
        <v>0</v>
      </c>
      <c r="AA1429" s="473">
        <f t="shared" si="181"/>
        <v>0</v>
      </c>
      <c r="AB1429" s="339">
        <f t="shared" si="182"/>
        <v>0</v>
      </c>
    </row>
    <row r="1430" spans="2:28" ht="20.100000000000001" customHeight="1">
      <c r="B1430" s="172"/>
      <c r="C1430" s="174"/>
      <c r="D1430" s="181"/>
      <c r="E1430" s="173"/>
      <c r="F1430" s="176"/>
      <c r="G1430" s="175">
        <f t="shared" si="173"/>
        <v>0</v>
      </c>
      <c r="H1430" s="175">
        <f t="shared" si="174"/>
        <v>0</v>
      </c>
      <c r="I1430" s="177">
        <f>IF(G1430=0,0,IF(E1430="MXN",1/HLOOKUP(YEAR(C1430)+(MONTH(C1430)/100),TC!$5:$37,DAY(C1430)+2,FALSE),VLOOKUP(E1430,Equivalencia!$5:$23,((MAX(Equivalencia!$3:$3)-YEAR(C1430))*14)+MONTH(C1430)+2,FALSE)))</f>
        <v>0</v>
      </c>
      <c r="J1430" s="178">
        <f t="shared" si="175"/>
        <v>0</v>
      </c>
      <c r="K1430" s="462">
        <f>IF(C1430=0,0,VLOOKUP(YEAR(C1430),INPC!$B$4:$O$29,MONTH(C1430)+1))</f>
        <v>0</v>
      </c>
      <c r="L1430" s="462">
        <f>IF(S1430=0,0,VLOOKUP(YEAR(S1430),INPC!$B$4:$O$29,MONTH(S1430)+1))</f>
        <v>0</v>
      </c>
      <c r="M1430" s="463">
        <f t="shared" si="176"/>
        <v>0</v>
      </c>
      <c r="N1430" s="465">
        <f t="shared" si="177"/>
        <v>0</v>
      </c>
      <c r="O1430" s="179"/>
      <c r="P1430" s="180"/>
      <c r="Q1430" s="173"/>
      <c r="R1430" s="173"/>
      <c r="S1430" s="174"/>
      <c r="T1430" s="173"/>
      <c r="U1430" s="182"/>
      <c r="V1430" s="177">
        <f>IF(U1430=0,0,IF(T1430="MXN",1/HLOOKUP(YEAR(S1430)+(MONTH(S1430)/100),TC!$5:$37,DAY(S1430)+2,FALSE),VLOOKUP(T1430,Equivalencia!$1:$23,((MAX(Equivalencia!$3:$3)-YEAR(S1430))*14)+MONTH(S1430)+2,FALSE)))</f>
        <v>0</v>
      </c>
      <c r="W1430" s="178">
        <f t="shared" si="178"/>
        <v>0</v>
      </c>
      <c r="X1430" s="481">
        <f t="shared" si="179"/>
        <v>0</v>
      </c>
      <c r="Y1430" s="179"/>
      <c r="Z1430" s="466">
        <f t="shared" si="180"/>
        <v>0</v>
      </c>
      <c r="AA1430" s="473">
        <f t="shared" si="181"/>
        <v>0</v>
      </c>
      <c r="AB1430" s="339">
        <f t="shared" si="182"/>
        <v>0</v>
      </c>
    </row>
    <row r="1431" spans="2:28" ht="20.100000000000001" customHeight="1">
      <c r="B1431" s="172"/>
      <c r="C1431" s="174"/>
      <c r="D1431" s="181"/>
      <c r="E1431" s="173"/>
      <c r="F1431" s="176"/>
      <c r="G1431" s="175">
        <f t="shared" si="173"/>
        <v>0</v>
      </c>
      <c r="H1431" s="175">
        <f t="shared" si="174"/>
        <v>0</v>
      </c>
      <c r="I1431" s="177">
        <f>IF(G1431=0,0,IF(E1431="MXN",1/HLOOKUP(YEAR(C1431)+(MONTH(C1431)/100),TC!$5:$37,DAY(C1431)+2,FALSE),VLOOKUP(E1431,Equivalencia!$5:$23,((MAX(Equivalencia!$3:$3)-YEAR(C1431))*14)+MONTH(C1431)+2,FALSE)))</f>
        <v>0</v>
      </c>
      <c r="J1431" s="178">
        <f t="shared" si="175"/>
        <v>0</v>
      </c>
      <c r="K1431" s="462">
        <f>IF(C1431=0,0,VLOOKUP(YEAR(C1431),INPC!$B$4:$O$29,MONTH(C1431)+1))</f>
        <v>0</v>
      </c>
      <c r="L1431" s="462">
        <f>IF(S1431=0,0,VLOOKUP(YEAR(S1431),INPC!$B$4:$O$29,MONTH(S1431)+1))</f>
        <v>0</v>
      </c>
      <c r="M1431" s="463">
        <f t="shared" si="176"/>
        <v>0</v>
      </c>
      <c r="N1431" s="465">
        <f t="shared" si="177"/>
        <v>0</v>
      </c>
      <c r="O1431" s="179"/>
      <c r="P1431" s="180"/>
      <c r="Q1431" s="173"/>
      <c r="R1431" s="173"/>
      <c r="S1431" s="174"/>
      <c r="T1431" s="173"/>
      <c r="U1431" s="182"/>
      <c r="V1431" s="177">
        <f>IF(U1431=0,0,IF(T1431="MXN",1/HLOOKUP(YEAR(S1431)+(MONTH(S1431)/100),TC!$5:$37,DAY(S1431)+2,FALSE),VLOOKUP(T1431,Equivalencia!$1:$23,((MAX(Equivalencia!$3:$3)-YEAR(S1431))*14)+MONTH(S1431)+2,FALSE)))</f>
        <v>0</v>
      </c>
      <c r="W1431" s="178">
        <f t="shared" si="178"/>
        <v>0</v>
      </c>
      <c r="X1431" s="481">
        <f t="shared" si="179"/>
        <v>0</v>
      </c>
      <c r="Y1431" s="179"/>
      <c r="Z1431" s="466">
        <f t="shared" si="180"/>
        <v>0</v>
      </c>
      <c r="AA1431" s="473">
        <f t="shared" si="181"/>
        <v>0</v>
      </c>
      <c r="AB1431" s="339">
        <f t="shared" si="182"/>
        <v>0</v>
      </c>
    </row>
    <row r="1432" spans="2:28" ht="20.100000000000001" customHeight="1">
      <c r="B1432" s="172"/>
      <c r="C1432" s="174"/>
      <c r="D1432" s="181"/>
      <c r="E1432" s="173"/>
      <c r="F1432" s="176"/>
      <c r="G1432" s="175">
        <f t="shared" si="173"/>
        <v>0</v>
      </c>
      <c r="H1432" s="175">
        <f t="shared" si="174"/>
        <v>0</v>
      </c>
      <c r="I1432" s="177">
        <f>IF(G1432=0,0,IF(E1432="MXN",1/HLOOKUP(YEAR(C1432)+(MONTH(C1432)/100),TC!$5:$37,DAY(C1432)+2,FALSE),VLOOKUP(E1432,Equivalencia!$5:$23,((MAX(Equivalencia!$3:$3)-YEAR(C1432))*14)+MONTH(C1432)+2,FALSE)))</f>
        <v>0</v>
      </c>
      <c r="J1432" s="178">
        <f t="shared" si="175"/>
        <v>0</v>
      </c>
      <c r="K1432" s="462">
        <f>IF(C1432=0,0,VLOOKUP(YEAR(C1432),INPC!$B$4:$O$29,MONTH(C1432)+1))</f>
        <v>0</v>
      </c>
      <c r="L1432" s="462">
        <f>IF(S1432=0,0,VLOOKUP(YEAR(S1432),INPC!$B$4:$O$29,MONTH(S1432)+1))</f>
        <v>0</v>
      </c>
      <c r="M1432" s="463">
        <f t="shared" si="176"/>
        <v>0</v>
      </c>
      <c r="N1432" s="465">
        <f t="shared" si="177"/>
        <v>0</v>
      </c>
      <c r="O1432" s="179"/>
      <c r="P1432" s="180"/>
      <c r="Q1432" s="173"/>
      <c r="R1432" s="173"/>
      <c r="S1432" s="174"/>
      <c r="T1432" s="173"/>
      <c r="U1432" s="182"/>
      <c r="V1432" s="177">
        <f>IF(U1432=0,0,IF(T1432="MXN",1/HLOOKUP(YEAR(S1432)+(MONTH(S1432)/100),TC!$5:$37,DAY(S1432)+2,FALSE),VLOOKUP(T1432,Equivalencia!$1:$23,((MAX(Equivalencia!$3:$3)-YEAR(S1432))*14)+MONTH(S1432)+2,FALSE)))</f>
        <v>0</v>
      </c>
      <c r="W1432" s="178">
        <f t="shared" si="178"/>
        <v>0</v>
      </c>
      <c r="X1432" s="481">
        <f t="shared" si="179"/>
        <v>0</v>
      </c>
      <c r="Y1432" s="179"/>
      <c r="Z1432" s="466">
        <f t="shared" si="180"/>
        <v>0</v>
      </c>
      <c r="AA1432" s="473">
        <f t="shared" si="181"/>
        <v>0</v>
      </c>
      <c r="AB1432" s="339">
        <f t="shared" si="182"/>
        <v>0</v>
      </c>
    </row>
    <row r="1433" spans="2:28" ht="20.100000000000001" customHeight="1">
      <c r="B1433" s="172"/>
      <c r="C1433" s="174"/>
      <c r="D1433" s="181"/>
      <c r="E1433" s="173"/>
      <c r="F1433" s="176"/>
      <c r="G1433" s="175">
        <f t="shared" si="173"/>
        <v>0</v>
      </c>
      <c r="H1433" s="175">
        <f t="shared" si="174"/>
        <v>0</v>
      </c>
      <c r="I1433" s="177">
        <f>IF(G1433=0,0,IF(E1433="MXN",1/HLOOKUP(YEAR(C1433)+(MONTH(C1433)/100),TC!$5:$37,DAY(C1433)+2,FALSE),VLOOKUP(E1433,Equivalencia!$5:$23,((MAX(Equivalencia!$3:$3)-YEAR(C1433))*14)+MONTH(C1433)+2,FALSE)))</f>
        <v>0</v>
      </c>
      <c r="J1433" s="178">
        <f t="shared" si="175"/>
        <v>0</v>
      </c>
      <c r="K1433" s="462">
        <f>IF(C1433=0,0,VLOOKUP(YEAR(C1433),INPC!$B$4:$O$29,MONTH(C1433)+1))</f>
        <v>0</v>
      </c>
      <c r="L1433" s="462">
        <f>IF(S1433=0,0,VLOOKUP(YEAR(S1433),INPC!$B$4:$O$29,MONTH(S1433)+1))</f>
        <v>0</v>
      </c>
      <c r="M1433" s="463">
        <f t="shared" si="176"/>
        <v>0</v>
      </c>
      <c r="N1433" s="465">
        <f t="shared" si="177"/>
        <v>0</v>
      </c>
      <c r="O1433" s="179"/>
      <c r="P1433" s="180"/>
      <c r="Q1433" s="173"/>
      <c r="R1433" s="173"/>
      <c r="S1433" s="174"/>
      <c r="T1433" s="173"/>
      <c r="U1433" s="182"/>
      <c r="V1433" s="177">
        <f>IF(U1433=0,0,IF(T1433="MXN",1/HLOOKUP(YEAR(S1433)+(MONTH(S1433)/100),TC!$5:$37,DAY(S1433)+2,FALSE),VLOOKUP(T1433,Equivalencia!$1:$23,((MAX(Equivalencia!$3:$3)-YEAR(S1433))*14)+MONTH(S1433)+2,FALSE)))</f>
        <v>0</v>
      </c>
      <c r="W1433" s="178">
        <f t="shared" si="178"/>
        <v>0</v>
      </c>
      <c r="X1433" s="481">
        <f t="shared" si="179"/>
        <v>0</v>
      </c>
      <c r="Y1433" s="179"/>
      <c r="Z1433" s="466">
        <f t="shared" si="180"/>
        <v>0</v>
      </c>
      <c r="AA1433" s="473">
        <f t="shared" si="181"/>
        <v>0</v>
      </c>
      <c r="AB1433" s="339">
        <f t="shared" si="182"/>
        <v>0</v>
      </c>
    </row>
    <row r="1434" spans="2:28" ht="20.100000000000001" customHeight="1">
      <c r="B1434" s="172"/>
      <c r="C1434" s="174"/>
      <c r="D1434" s="181"/>
      <c r="E1434" s="173"/>
      <c r="F1434" s="176"/>
      <c r="G1434" s="175">
        <f t="shared" si="173"/>
        <v>0</v>
      </c>
      <c r="H1434" s="175">
        <f t="shared" si="174"/>
        <v>0</v>
      </c>
      <c r="I1434" s="177">
        <f>IF(G1434=0,0,IF(E1434="MXN",1/HLOOKUP(YEAR(C1434)+(MONTH(C1434)/100),TC!$5:$37,DAY(C1434)+2,FALSE),VLOOKUP(E1434,Equivalencia!$5:$23,((MAX(Equivalencia!$3:$3)-YEAR(C1434))*14)+MONTH(C1434)+2,FALSE)))</f>
        <v>0</v>
      </c>
      <c r="J1434" s="178">
        <f t="shared" si="175"/>
        <v>0</v>
      </c>
      <c r="K1434" s="462">
        <f>IF(C1434=0,0,VLOOKUP(YEAR(C1434),INPC!$B$4:$O$29,MONTH(C1434)+1))</f>
        <v>0</v>
      </c>
      <c r="L1434" s="462">
        <f>IF(S1434=0,0,VLOOKUP(YEAR(S1434),INPC!$B$4:$O$29,MONTH(S1434)+1))</f>
        <v>0</v>
      </c>
      <c r="M1434" s="463">
        <f t="shared" si="176"/>
        <v>0</v>
      </c>
      <c r="N1434" s="465">
        <f t="shared" si="177"/>
        <v>0</v>
      </c>
      <c r="O1434" s="179"/>
      <c r="P1434" s="180"/>
      <c r="Q1434" s="173"/>
      <c r="R1434" s="173"/>
      <c r="S1434" s="174"/>
      <c r="T1434" s="173"/>
      <c r="U1434" s="182"/>
      <c r="V1434" s="177">
        <f>IF(U1434=0,0,IF(T1434="MXN",1/HLOOKUP(YEAR(S1434)+(MONTH(S1434)/100),TC!$5:$37,DAY(S1434)+2,FALSE),VLOOKUP(T1434,Equivalencia!$1:$23,((MAX(Equivalencia!$3:$3)-YEAR(S1434))*14)+MONTH(S1434)+2,FALSE)))</f>
        <v>0</v>
      </c>
      <c r="W1434" s="178">
        <f t="shared" si="178"/>
        <v>0</v>
      </c>
      <c r="X1434" s="481">
        <f t="shared" si="179"/>
        <v>0</v>
      </c>
      <c r="Y1434" s="179"/>
      <c r="Z1434" s="466">
        <f t="shared" si="180"/>
        <v>0</v>
      </c>
      <c r="AA1434" s="473">
        <f t="shared" si="181"/>
        <v>0</v>
      </c>
      <c r="AB1434" s="339">
        <f t="shared" si="182"/>
        <v>0</v>
      </c>
    </row>
    <row r="1435" spans="2:28" ht="20.100000000000001" customHeight="1">
      <c r="B1435" s="172"/>
      <c r="C1435" s="174"/>
      <c r="D1435" s="181"/>
      <c r="E1435" s="173"/>
      <c r="F1435" s="176"/>
      <c r="G1435" s="175">
        <f t="shared" si="173"/>
        <v>0</v>
      </c>
      <c r="H1435" s="175">
        <f t="shared" si="174"/>
        <v>0</v>
      </c>
      <c r="I1435" s="177">
        <f>IF(G1435=0,0,IF(E1435="MXN",1/HLOOKUP(YEAR(C1435)+(MONTH(C1435)/100),TC!$5:$37,DAY(C1435)+2,FALSE),VLOOKUP(E1435,Equivalencia!$5:$23,((MAX(Equivalencia!$3:$3)-YEAR(C1435))*14)+MONTH(C1435)+2,FALSE)))</f>
        <v>0</v>
      </c>
      <c r="J1435" s="178">
        <f t="shared" si="175"/>
        <v>0</v>
      </c>
      <c r="K1435" s="462">
        <f>IF(C1435=0,0,VLOOKUP(YEAR(C1435),INPC!$B$4:$O$29,MONTH(C1435)+1))</f>
        <v>0</v>
      </c>
      <c r="L1435" s="462">
        <f>IF(S1435=0,0,VLOOKUP(YEAR(S1435),INPC!$B$4:$O$29,MONTH(S1435)+1))</f>
        <v>0</v>
      </c>
      <c r="M1435" s="463">
        <f t="shared" si="176"/>
        <v>0</v>
      </c>
      <c r="N1435" s="465">
        <f t="shared" si="177"/>
        <v>0</v>
      </c>
      <c r="O1435" s="179"/>
      <c r="P1435" s="180"/>
      <c r="Q1435" s="173"/>
      <c r="R1435" s="173"/>
      <c r="S1435" s="174"/>
      <c r="T1435" s="173"/>
      <c r="U1435" s="182"/>
      <c r="V1435" s="177">
        <f>IF(U1435=0,0,IF(T1435="MXN",1/HLOOKUP(YEAR(S1435)+(MONTH(S1435)/100),TC!$5:$37,DAY(S1435)+2,FALSE),VLOOKUP(T1435,Equivalencia!$1:$23,((MAX(Equivalencia!$3:$3)-YEAR(S1435))*14)+MONTH(S1435)+2,FALSE)))</f>
        <v>0</v>
      </c>
      <c r="W1435" s="178">
        <f t="shared" si="178"/>
        <v>0</v>
      </c>
      <c r="X1435" s="481">
        <f t="shared" si="179"/>
        <v>0</v>
      </c>
      <c r="Y1435" s="179"/>
      <c r="Z1435" s="466">
        <f t="shared" si="180"/>
        <v>0</v>
      </c>
      <c r="AA1435" s="473">
        <f t="shared" si="181"/>
        <v>0</v>
      </c>
      <c r="AB1435" s="339">
        <f t="shared" si="182"/>
        <v>0</v>
      </c>
    </row>
    <row r="1436" spans="2:28" ht="20.100000000000001" customHeight="1">
      <c r="B1436" s="172"/>
      <c r="C1436" s="174"/>
      <c r="D1436" s="181"/>
      <c r="E1436" s="173"/>
      <c r="F1436" s="176"/>
      <c r="G1436" s="175">
        <f t="shared" si="173"/>
        <v>0</v>
      </c>
      <c r="H1436" s="175">
        <f t="shared" si="174"/>
        <v>0</v>
      </c>
      <c r="I1436" s="177">
        <f>IF(G1436=0,0,IF(E1436="MXN",1/HLOOKUP(YEAR(C1436)+(MONTH(C1436)/100),TC!$5:$37,DAY(C1436)+2,FALSE),VLOOKUP(E1436,Equivalencia!$5:$23,((MAX(Equivalencia!$3:$3)-YEAR(C1436))*14)+MONTH(C1436)+2,FALSE)))</f>
        <v>0</v>
      </c>
      <c r="J1436" s="178">
        <f t="shared" si="175"/>
        <v>0</v>
      </c>
      <c r="K1436" s="462">
        <f>IF(C1436=0,0,VLOOKUP(YEAR(C1436),INPC!$B$4:$O$29,MONTH(C1436)+1))</f>
        <v>0</v>
      </c>
      <c r="L1436" s="462">
        <f>IF(S1436=0,0,VLOOKUP(YEAR(S1436),INPC!$B$4:$O$29,MONTH(S1436)+1))</f>
        <v>0</v>
      </c>
      <c r="M1436" s="463">
        <f t="shared" si="176"/>
        <v>0</v>
      </c>
      <c r="N1436" s="465">
        <f t="shared" si="177"/>
        <v>0</v>
      </c>
      <c r="O1436" s="179"/>
      <c r="P1436" s="180"/>
      <c r="Q1436" s="173"/>
      <c r="R1436" s="173"/>
      <c r="S1436" s="174"/>
      <c r="T1436" s="173"/>
      <c r="U1436" s="182"/>
      <c r="V1436" s="177">
        <f>IF(U1436=0,0,IF(T1436="MXN",1/HLOOKUP(YEAR(S1436)+(MONTH(S1436)/100),TC!$5:$37,DAY(S1436)+2,FALSE),VLOOKUP(T1436,Equivalencia!$1:$23,((MAX(Equivalencia!$3:$3)-YEAR(S1436))*14)+MONTH(S1436)+2,FALSE)))</f>
        <v>0</v>
      </c>
      <c r="W1436" s="178">
        <f t="shared" si="178"/>
        <v>0</v>
      </c>
      <c r="X1436" s="481">
        <f t="shared" si="179"/>
        <v>0</v>
      </c>
      <c r="Y1436" s="179"/>
      <c r="Z1436" s="466">
        <f t="shared" si="180"/>
        <v>0</v>
      </c>
      <c r="AA1436" s="473">
        <f t="shared" si="181"/>
        <v>0</v>
      </c>
      <c r="AB1436" s="339">
        <f t="shared" si="182"/>
        <v>0</v>
      </c>
    </row>
    <row r="1437" spans="2:28" ht="20.100000000000001" customHeight="1">
      <c r="B1437" s="172"/>
      <c r="C1437" s="174"/>
      <c r="D1437" s="181"/>
      <c r="E1437" s="173"/>
      <c r="F1437" s="176"/>
      <c r="G1437" s="175">
        <f t="shared" si="173"/>
        <v>0</v>
      </c>
      <c r="H1437" s="175">
        <f t="shared" si="174"/>
        <v>0</v>
      </c>
      <c r="I1437" s="177">
        <f>IF(G1437=0,0,IF(E1437="MXN",1/HLOOKUP(YEAR(C1437)+(MONTH(C1437)/100),TC!$5:$37,DAY(C1437)+2,FALSE),VLOOKUP(E1437,Equivalencia!$5:$23,((MAX(Equivalencia!$3:$3)-YEAR(C1437))*14)+MONTH(C1437)+2,FALSE)))</f>
        <v>0</v>
      </c>
      <c r="J1437" s="178">
        <f t="shared" si="175"/>
        <v>0</v>
      </c>
      <c r="K1437" s="462">
        <f>IF(C1437=0,0,VLOOKUP(YEAR(C1437),INPC!$B$4:$O$29,MONTH(C1437)+1))</f>
        <v>0</v>
      </c>
      <c r="L1437" s="462">
        <f>IF(S1437=0,0,VLOOKUP(YEAR(S1437),INPC!$B$4:$O$29,MONTH(S1437)+1))</f>
        <v>0</v>
      </c>
      <c r="M1437" s="463">
        <f t="shared" si="176"/>
        <v>0</v>
      </c>
      <c r="N1437" s="465">
        <f t="shared" si="177"/>
        <v>0</v>
      </c>
      <c r="O1437" s="179"/>
      <c r="P1437" s="180"/>
      <c r="Q1437" s="173"/>
      <c r="R1437" s="173"/>
      <c r="S1437" s="174"/>
      <c r="T1437" s="173"/>
      <c r="U1437" s="182"/>
      <c r="V1437" s="177">
        <f>IF(U1437=0,0,IF(T1437="MXN",1/HLOOKUP(YEAR(S1437)+(MONTH(S1437)/100),TC!$5:$37,DAY(S1437)+2,FALSE),VLOOKUP(T1437,Equivalencia!$1:$23,((MAX(Equivalencia!$3:$3)-YEAR(S1437))*14)+MONTH(S1437)+2,FALSE)))</f>
        <v>0</v>
      </c>
      <c r="W1437" s="178">
        <f t="shared" si="178"/>
        <v>0</v>
      </c>
      <c r="X1437" s="481">
        <f t="shared" si="179"/>
        <v>0</v>
      </c>
      <c r="Y1437" s="179"/>
      <c r="Z1437" s="466">
        <f t="shared" si="180"/>
        <v>0</v>
      </c>
      <c r="AA1437" s="473">
        <f t="shared" si="181"/>
        <v>0</v>
      </c>
      <c r="AB1437" s="339">
        <f t="shared" si="182"/>
        <v>0</v>
      </c>
    </row>
    <row r="1438" spans="2:28" ht="20.100000000000001" customHeight="1">
      <c r="B1438" s="172"/>
      <c r="C1438" s="174"/>
      <c r="D1438" s="181"/>
      <c r="E1438" s="173"/>
      <c r="F1438" s="176"/>
      <c r="G1438" s="175">
        <f t="shared" si="173"/>
        <v>0</v>
      </c>
      <c r="H1438" s="175">
        <f t="shared" si="174"/>
        <v>0</v>
      </c>
      <c r="I1438" s="177">
        <f>IF(G1438=0,0,IF(E1438="MXN",1/HLOOKUP(YEAR(C1438)+(MONTH(C1438)/100),TC!$5:$37,DAY(C1438)+2,FALSE),VLOOKUP(E1438,Equivalencia!$5:$23,((MAX(Equivalencia!$3:$3)-YEAR(C1438))*14)+MONTH(C1438)+2,FALSE)))</f>
        <v>0</v>
      </c>
      <c r="J1438" s="178">
        <f t="shared" si="175"/>
        <v>0</v>
      </c>
      <c r="K1438" s="462">
        <f>IF(C1438=0,0,VLOOKUP(YEAR(C1438),INPC!$B$4:$O$29,MONTH(C1438)+1))</f>
        <v>0</v>
      </c>
      <c r="L1438" s="462">
        <f>IF(S1438=0,0,VLOOKUP(YEAR(S1438),INPC!$B$4:$O$29,MONTH(S1438)+1))</f>
        <v>0</v>
      </c>
      <c r="M1438" s="463">
        <f t="shared" si="176"/>
        <v>0</v>
      </c>
      <c r="N1438" s="465">
        <f t="shared" si="177"/>
        <v>0</v>
      </c>
      <c r="O1438" s="179"/>
      <c r="P1438" s="180"/>
      <c r="Q1438" s="173"/>
      <c r="R1438" s="173"/>
      <c r="S1438" s="174"/>
      <c r="T1438" s="173"/>
      <c r="U1438" s="182"/>
      <c r="V1438" s="177">
        <f>IF(U1438=0,0,IF(T1438="MXN",1/HLOOKUP(YEAR(S1438)+(MONTH(S1438)/100),TC!$5:$37,DAY(S1438)+2,FALSE),VLOOKUP(T1438,Equivalencia!$1:$23,((MAX(Equivalencia!$3:$3)-YEAR(S1438))*14)+MONTH(S1438)+2,FALSE)))</f>
        <v>0</v>
      </c>
      <c r="W1438" s="178">
        <f t="shared" si="178"/>
        <v>0</v>
      </c>
      <c r="X1438" s="481">
        <f t="shared" si="179"/>
        <v>0</v>
      </c>
      <c r="Y1438" s="179"/>
      <c r="Z1438" s="466">
        <f t="shared" si="180"/>
        <v>0</v>
      </c>
      <c r="AA1438" s="473">
        <f t="shared" si="181"/>
        <v>0</v>
      </c>
      <c r="AB1438" s="339">
        <f t="shared" si="182"/>
        <v>0</v>
      </c>
    </row>
    <row r="1439" spans="2:28" ht="20.100000000000001" customHeight="1">
      <c r="B1439" s="172"/>
      <c r="C1439" s="174"/>
      <c r="D1439" s="181"/>
      <c r="E1439" s="173"/>
      <c r="F1439" s="176"/>
      <c r="G1439" s="175">
        <f t="shared" si="173"/>
        <v>0</v>
      </c>
      <c r="H1439" s="175">
        <f t="shared" si="174"/>
        <v>0</v>
      </c>
      <c r="I1439" s="177">
        <f>IF(G1439=0,0,IF(E1439="MXN",1/HLOOKUP(YEAR(C1439)+(MONTH(C1439)/100),TC!$5:$37,DAY(C1439)+2,FALSE),VLOOKUP(E1439,Equivalencia!$5:$23,((MAX(Equivalencia!$3:$3)-YEAR(C1439))*14)+MONTH(C1439)+2,FALSE)))</f>
        <v>0</v>
      </c>
      <c r="J1439" s="178">
        <f t="shared" si="175"/>
        <v>0</v>
      </c>
      <c r="K1439" s="462">
        <f>IF(C1439=0,0,VLOOKUP(YEAR(C1439),INPC!$B$4:$O$29,MONTH(C1439)+1))</f>
        <v>0</v>
      </c>
      <c r="L1439" s="462">
        <f>IF(S1439=0,0,VLOOKUP(YEAR(S1439),INPC!$B$4:$O$29,MONTH(S1439)+1))</f>
        <v>0</v>
      </c>
      <c r="M1439" s="463">
        <f t="shared" si="176"/>
        <v>0</v>
      </c>
      <c r="N1439" s="465">
        <f t="shared" si="177"/>
        <v>0</v>
      </c>
      <c r="O1439" s="179"/>
      <c r="P1439" s="180"/>
      <c r="Q1439" s="173"/>
      <c r="R1439" s="173"/>
      <c r="S1439" s="174"/>
      <c r="T1439" s="173"/>
      <c r="U1439" s="182"/>
      <c r="V1439" s="177">
        <f>IF(U1439=0,0,IF(T1439="MXN",1/HLOOKUP(YEAR(S1439)+(MONTH(S1439)/100),TC!$5:$37,DAY(S1439)+2,FALSE),VLOOKUP(T1439,Equivalencia!$1:$23,((MAX(Equivalencia!$3:$3)-YEAR(S1439))*14)+MONTH(S1439)+2,FALSE)))</f>
        <v>0</v>
      </c>
      <c r="W1439" s="178">
        <f t="shared" si="178"/>
        <v>0</v>
      </c>
      <c r="X1439" s="481">
        <f t="shared" si="179"/>
        <v>0</v>
      </c>
      <c r="Y1439" s="179"/>
      <c r="Z1439" s="466">
        <f t="shared" si="180"/>
        <v>0</v>
      </c>
      <c r="AA1439" s="473">
        <f t="shared" si="181"/>
        <v>0</v>
      </c>
      <c r="AB1439" s="339">
        <f t="shared" si="182"/>
        <v>0</v>
      </c>
    </row>
    <row r="1440" spans="2:28" ht="20.100000000000001" customHeight="1">
      <c r="B1440" s="172"/>
      <c r="C1440" s="174"/>
      <c r="D1440" s="181"/>
      <c r="E1440" s="173"/>
      <c r="F1440" s="176"/>
      <c r="G1440" s="175">
        <f t="shared" si="173"/>
        <v>0</v>
      </c>
      <c r="H1440" s="175">
        <f t="shared" si="174"/>
        <v>0</v>
      </c>
      <c r="I1440" s="177">
        <f>IF(G1440=0,0,IF(E1440="MXN",1/HLOOKUP(YEAR(C1440)+(MONTH(C1440)/100),TC!$5:$37,DAY(C1440)+2,FALSE),VLOOKUP(E1440,Equivalencia!$5:$23,((MAX(Equivalencia!$3:$3)-YEAR(C1440))*14)+MONTH(C1440)+2,FALSE)))</f>
        <v>0</v>
      </c>
      <c r="J1440" s="178">
        <f t="shared" si="175"/>
        <v>0</v>
      </c>
      <c r="K1440" s="462">
        <f>IF(C1440=0,0,VLOOKUP(YEAR(C1440),INPC!$B$4:$O$29,MONTH(C1440)+1))</f>
        <v>0</v>
      </c>
      <c r="L1440" s="462">
        <f>IF(S1440=0,0,VLOOKUP(YEAR(S1440),INPC!$B$4:$O$29,MONTH(S1440)+1))</f>
        <v>0</v>
      </c>
      <c r="M1440" s="463">
        <f t="shared" si="176"/>
        <v>0</v>
      </c>
      <c r="N1440" s="465">
        <f t="shared" si="177"/>
        <v>0</v>
      </c>
      <c r="O1440" s="179"/>
      <c r="P1440" s="180"/>
      <c r="Q1440" s="173"/>
      <c r="R1440" s="173"/>
      <c r="S1440" s="174"/>
      <c r="T1440" s="173"/>
      <c r="U1440" s="182"/>
      <c r="V1440" s="177">
        <f>IF(U1440=0,0,IF(T1440="MXN",1/HLOOKUP(YEAR(S1440)+(MONTH(S1440)/100),TC!$5:$37,DAY(S1440)+2,FALSE),VLOOKUP(T1440,Equivalencia!$1:$23,((MAX(Equivalencia!$3:$3)-YEAR(S1440))*14)+MONTH(S1440)+2,FALSE)))</f>
        <v>0</v>
      </c>
      <c r="W1440" s="178">
        <f t="shared" si="178"/>
        <v>0</v>
      </c>
      <c r="X1440" s="481">
        <f t="shared" si="179"/>
        <v>0</v>
      </c>
      <c r="Y1440" s="179"/>
      <c r="Z1440" s="466">
        <f t="shared" si="180"/>
        <v>0</v>
      </c>
      <c r="AA1440" s="473">
        <f t="shared" si="181"/>
        <v>0</v>
      </c>
      <c r="AB1440" s="339">
        <f t="shared" si="182"/>
        <v>0</v>
      </c>
    </row>
    <row r="1441" spans="2:28" ht="20.100000000000001" customHeight="1">
      <c r="B1441" s="172"/>
      <c r="C1441" s="174"/>
      <c r="D1441" s="181"/>
      <c r="E1441" s="173"/>
      <c r="F1441" s="176"/>
      <c r="G1441" s="175">
        <f t="shared" si="173"/>
        <v>0</v>
      </c>
      <c r="H1441" s="175">
        <f t="shared" si="174"/>
        <v>0</v>
      </c>
      <c r="I1441" s="177">
        <f>IF(G1441=0,0,IF(E1441="MXN",1/HLOOKUP(YEAR(C1441)+(MONTH(C1441)/100),TC!$5:$37,DAY(C1441)+2,FALSE),VLOOKUP(E1441,Equivalencia!$5:$23,((MAX(Equivalencia!$3:$3)-YEAR(C1441))*14)+MONTH(C1441)+2,FALSE)))</f>
        <v>0</v>
      </c>
      <c r="J1441" s="178">
        <f t="shared" si="175"/>
        <v>0</v>
      </c>
      <c r="K1441" s="462">
        <f>IF(C1441=0,0,VLOOKUP(YEAR(C1441),INPC!$B$4:$O$29,MONTH(C1441)+1))</f>
        <v>0</v>
      </c>
      <c r="L1441" s="462">
        <f>IF(S1441=0,0,VLOOKUP(YEAR(S1441),INPC!$B$4:$O$29,MONTH(S1441)+1))</f>
        <v>0</v>
      </c>
      <c r="M1441" s="463">
        <f t="shared" si="176"/>
        <v>0</v>
      </c>
      <c r="N1441" s="465">
        <f t="shared" si="177"/>
        <v>0</v>
      </c>
      <c r="O1441" s="179"/>
      <c r="P1441" s="180"/>
      <c r="Q1441" s="173"/>
      <c r="R1441" s="173"/>
      <c r="S1441" s="174"/>
      <c r="T1441" s="173"/>
      <c r="U1441" s="182"/>
      <c r="V1441" s="177">
        <f>IF(U1441=0,0,IF(T1441="MXN",1/HLOOKUP(YEAR(S1441)+(MONTH(S1441)/100),TC!$5:$37,DAY(S1441)+2,FALSE),VLOOKUP(T1441,Equivalencia!$1:$23,((MAX(Equivalencia!$3:$3)-YEAR(S1441))*14)+MONTH(S1441)+2,FALSE)))</f>
        <v>0</v>
      </c>
      <c r="W1441" s="178">
        <f t="shared" si="178"/>
        <v>0</v>
      </c>
      <c r="X1441" s="481">
        <f t="shared" si="179"/>
        <v>0</v>
      </c>
      <c r="Y1441" s="179"/>
      <c r="Z1441" s="466">
        <f t="shared" si="180"/>
        <v>0</v>
      </c>
      <c r="AA1441" s="473">
        <f t="shared" si="181"/>
        <v>0</v>
      </c>
      <c r="AB1441" s="339">
        <f t="shared" si="182"/>
        <v>0</v>
      </c>
    </row>
    <row r="1442" spans="2:28" ht="20.100000000000001" customHeight="1">
      <c r="B1442" s="172"/>
      <c r="C1442" s="174"/>
      <c r="D1442" s="181"/>
      <c r="E1442" s="173"/>
      <c r="F1442" s="176"/>
      <c r="G1442" s="175">
        <f t="shared" si="173"/>
        <v>0</v>
      </c>
      <c r="H1442" s="175">
        <f t="shared" si="174"/>
        <v>0</v>
      </c>
      <c r="I1442" s="177">
        <f>IF(G1442=0,0,IF(E1442="MXN",1/HLOOKUP(YEAR(C1442)+(MONTH(C1442)/100),TC!$5:$37,DAY(C1442)+2,FALSE),VLOOKUP(E1442,Equivalencia!$5:$23,((MAX(Equivalencia!$3:$3)-YEAR(C1442))*14)+MONTH(C1442)+2,FALSE)))</f>
        <v>0</v>
      </c>
      <c r="J1442" s="178">
        <f t="shared" si="175"/>
        <v>0</v>
      </c>
      <c r="K1442" s="462">
        <f>IF(C1442=0,0,VLOOKUP(YEAR(C1442),INPC!$B$4:$O$29,MONTH(C1442)+1))</f>
        <v>0</v>
      </c>
      <c r="L1442" s="462">
        <f>IF(S1442=0,0,VLOOKUP(YEAR(S1442),INPC!$B$4:$O$29,MONTH(S1442)+1))</f>
        <v>0</v>
      </c>
      <c r="M1442" s="463">
        <f t="shared" si="176"/>
        <v>0</v>
      </c>
      <c r="N1442" s="465">
        <f t="shared" si="177"/>
        <v>0</v>
      </c>
      <c r="O1442" s="179"/>
      <c r="P1442" s="180"/>
      <c r="Q1442" s="173"/>
      <c r="R1442" s="173"/>
      <c r="S1442" s="174"/>
      <c r="T1442" s="173"/>
      <c r="U1442" s="182"/>
      <c r="V1442" s="177">
        <f>IF(U1442=0,0,IF(T1442="MXN",1/HLOOKUP(YEAR(S1442)+(MONTH(S1442)/100),TC!$5:$37,DAY(S1442)+2,FALSE),VLOOKUP(T1442,Equivalencia!$1:$23,((MAX(Equivalencia!$3:$3)-YEAR(S1442))*14)+MONTH(S1442)+2,FALSE)))</f>
        <v>0</v>
      </c>
      <c r="W1442" s="178">
        <f t="shared" si="178"/>
        <v>0</v>
      </c>
      <c r="X1442" s="481">
        <f t="shared" si="179"/>
        <v>0</v>
      </c>
      <c r="Y1442" s="179"/>
      <c r="Z1442" s="466">
        <f t="shared" si="180"/>
        <v>0</v>
      </c>
      <c r="AA1442" s="473">
        <f t="shared" si="181"/>
        <v>0</v>
      </c>
      <c r="AB1442" s="339">
        <f t="shared" si="182"/>
        <v>0</v>
      </c>
    </row>
    <row r="1443" spans="2:28" ht="20.100000000000001" customHeight="1">
      <c r="B1443" s="172"/>
      <c r="C1443" s="174"/>
      <c r="D1443" s="181"/>
      <c r="E1443" s="173"/>
      <c r="F1443" s="176"/>
      <c r="G1443" s="175">
        <f t="shared" si="173"/>
        <v>0</v>
      </c>
      <c r="H1443" s="175">
        <f t="shared" si="174"/>
        <v>0</v>
      </c>
      <c r="I1443" s="177">
        <f>IF(G1443=0,0,IF(E1443="MXN",1/HLOOKUP(YEAR(C1443)+(MONTH(C1443)/100),TC!$5:$37,DAY(C1443)+2,FALSE),VLOOKUP(E1443,Equivalencia!$5:$23,((MAX(Equivalencia!$3:$3)-YEAR(C1443))*14)+MONTH(C1443)+2,FALSE)))</f>
        <v>0</v>
      </c>
      <c r="J1443" s="178">
        <f t="shared" si="175"/>
        <v>0</v>
      </c>
      <c r="K1443" s="462">
        <f>IF(C1443=0,0,VLOOKUP(YEAR(C1443),INPC!$B$4:$O$29,MONTH(C1443)+1))</f>
        <v>0</v>
      </c>
      <c r="L1443" s="462">
        <f>IF(S1443=0,0,VLOOKUP(YEAR(S1443),INPC!$B$4:$O$29,MONTH(S1443)+1))</f>
        <v>0</v>
      </c>
      <c r="M1443" s="463">
        <f t="shared" si="176"/>
        <v>0</v>
      </c>
      <c r="N1443" s="465">
        <f t="shared" si="177"/>
        <v>0</v>
      </c>
      <c r="O1443" s="179"/>
      <c r="P1443" s="180"/>
      <c r="Q1443" s="173"/>
      <c r="R1443" s="173"/>
      <c r="S1443" s="174"/>
      <c r="T1443" s="173"/>
      <c r="U1443" s="182"/>
      <c r="V1443" s="177">
        <f>IF(U1443=0,0,IF(T1443="MXN",1/HLOOKUP(YEAR(S1443)+(MONTH(S1443)/100),TC!$5:$37,DAY(S1443)+2,FALSE),VLOOKUP(T1443,Equivalencia!$1:$23,((MAX(Equivalencia!$3:$3)-YEAR(S1443))*14)+MONTH(S1443)+2,FALSE)))</f>
        <v>0</v>
      </c>
      <c r="W1443" s="178">
        <f t="shared" si="178"/>
        <v>0</v>
      </c>
      <c r="X1443" s="481">
        <f t="shared" si="179"/>
        <v>0</v>
      </c>
      <c r="Y1443" s="179"/>
      <c r="Z1443" s="466">
        <f t="shared" si="180"/>
        <v>0</v>
      </c>
      <c r="AA1443" s="473">
        <f t="shared" si="181"/>
        <v>0</v>
      </c>
      <c r="AB1443" s="339">
        <f t="shared" si="182"/>
        <v>0</v>
      </c>
    </row>
    <row r="1444" spans="2:28" ht="20.100000000000001" customHeight="1">
      <c r="B1444" s="172"/>
      <c r="C1444" s="174"/>
      <c r="D1444" s="181"/>
      <c r="E1444" s="173"/>
      <c r="F1444" s="176"/>
      <c r="G1444" s="175">
        <f t="shared" si="173"/>
        <v>0</v>
      </c>
      <c r="H1444" s="175">
        <f t="shared" si="174"/>
        <v>0</v>
      </c>
      <c r="I1444" s="177">
        <f>IF(G1444=0,0,IF(E1444="MXN",1/HLOOKUP(YEAR(C1444)+(MONTH(C1444)/100),TC!$5:$37,DAY(C1444)+2,FALSE),VLOOKUP(E1444,Equivalencia!$5:$23,((MAX(Equivalencia!$3:$3)-YEAR(C1444))*14)+MONTH(C1444)+2,FALSE)))</f>
        <v>0</v>
      </c>
      <c r="J1444" s="178">
        <f t="shared" si="175"/>
        <v>0</v>
      </c>
      <c r="K1444" s="462">
        <f>IF(C1444=0,0,VLOOKUP(YEAR(C1444),INPC!$B$4:$O$29,MONTH(C1444)+1))</f>
        <v>0</v>
      </c>
      <c r="L1444" s="462">
        <f>IF(S1444=0,0,VLOOKUP(YEAR(S1444),INPC!$B$4:$O$29,MONTH(S1444)+1))</f>
        <v>0</v>
      </c>
      <c r="M1444" s="463">
        <f t="shared" si="176"/>
        <v>0</v>
      </c>
      <c r="N1444" s="465">
        <f t="shared" si="177"/>
        <v>0</v>
      </c>
      <c r="O1444" s="179"/>
      <c r="P1444" s="180"/>
      <c r="Q1444" s="173"/>
      <c r="R1444" s="173"/>
      <c r="S1444" s="174"/>
      <c r="T1444" s="173"/>
      <c r="U1444" s="182"/>
      <c r="V1444" s="177">
        <f>IF(U1444=0,0,IF(T1444="MXN",1/HLOOKUP(YEAR(S1444)+(MONTH(S1444)/100),TC!$5:$37,DAY(S1444)+2,FALSE),VLOOKUP(T1444,Equivalencia!$1:$23,((MAX(Equivalencia!$3:$3)-YEAR(S1444))*14)+MONTH(S1444)+2,FALSE)))</f>
        <v>0</v>
      </c>
      <c r="W1444" s="178">
        <f t="shared" si="178"/>
        <v>0</v>
      </c>
      <c r="X1444" s="481">
        <f t="shared" si="179"/>
        <v>0</v>
      </c>
      <c r="Y1444" s="179"/>
      <c r="Z1444" s="466">
        <f t="shared" si="180"/>
        <v>0</v>
      </c>
      <c r="AA1444" s="473">
        <f t="shared" si="181"/>
        <v>0</v>
      </c>
      <c r="AB1444" s="339">
        <f t="shared" si="182"/>
        <v>0</v>
      </c>
    </row>
    <row r="1445" spans="2:28" ht="20.100000000000001" customHeight="1">
      <c r="B1445" s="172"/>
      <c r="C1445" s="174"/>
      <c r="D1445" s="181"/>
      <c r="E1445" s="173"/>
      <c r="F1445" s="176"/>
      <c r="G1445" s="175">
        <f t="shared" si="173"/>
        <v>0</v>
      </c>
      <c r="H1445" s="175">
        <f t="shared" si="174"/>
        <v>0</v>
      </c>
      <c r="I1445" s="177">
        <f>IF(G1445=0,0,IF(E1445="MXN",1/HLOOKUP(YEAR(C1445)+(MONTH(C1445)/100),TC!$5:$37,DAY(C1445)+2,FALSE),VLOOKUP(E1445,Equivalencia!$5:$23,((MAX(Equivalencia!$3:$3)-YEAR(C1445))*14)+MONTH(C1445)+2,FALSE)))</f>
        <v>0</v>
      </c>
      <c r="J1445" s="178">
        <f t="shared" si="175"/>
        <v>0</v>
      </c>
      <c r="K1445" s="462">
        <f>IF(C1445=0,0,VLOOKUP(YEAR(C1445),INPC!$B$4:$O$29,MONTH(C1445)+1))</f>
        <v>0</v>
      </c>
      <c r="L1445" s="462">
        <f>IF(S1445=0,0,VLOOKUP(YEAR(S1445),INPC!$B$4:$O$29,MONTH(S1445)+1))</f>
        <v>0</v>
      </c>
      <c r="M1445" s="463">
        <f t="shared" si="176"/>
        <v>0</v>
      </c>
      <c r="N1445" s="465">
        <f t="shared" si="177"/>
        <v>0</v>
      </c>
      <c r="O1445" s="179"/>
      <c r="P1445" s="180"/>
      <c r="Q1445" s="173"/>
      <c r="R1445" s="173"/>
      <c r="S1445" s="174"/>
      <c r="T1445" s="173"/>
      <c r="U1445" s="182"/>
      <c r="V1445" s="177">
        <f>IF(U1445=0,0,IF(T1445="MXN",1/HLOOKUP(YEAR(S1445)+(MONTH(S1445)/100),TC!$5:$37,DAY(S1445)+2,FALSE),VLOOKUP(T1445,Equivalencia!$1:$23,((MAX(Equivalencia!$3:$3)-YEAR(S1445))*14)+MONTH(S1445)+2,FALSE)))</f>
        <v>0</v>
      </c>
      <c r="W1445" s="178">
        <f t="shared" si="178"/>
        <v>0</v>
      </c>
      <c r="X1445" s="481">
        <f t="shared" si="179"/>
        <v>0</v>
      </c>
      <c r="Y1445" s="179"/>
      <c r="Z1445" s="466">
        <f t="shared" si="180"/>
        <v>0</v>
      </c>
      <c r="AA1445" s="473">
        <f t="shared" si="181"/>
        <v>0</v>
      </c>
      <c r="AB1445" s="339">
        <f t="shared" si="182"/>
        <v>0</v>
      </c>
    </row>
    <row r="1446" spans="2:28" ht="20.100000000000001" customHeight="1">
      <c r="B1446" s="172"/>
      <c r="C1446" s="174"/>
      <c r="D1446" s="181"/>
      <c r="E1446" s="173"/>
      <c r="F1446" s="176"/>
      <c r="G1446" s="175">
        <f t="shared" si="173"/>
        <v>0</v>
      </c>
      <c r="H1446" s="175">
        <f t="shared" si="174"/>
        <v>0</v>
      </c>
      <c r="I1446" s="177">
        <f>IF(G1446=0,0,IF(E1446="MXN",1/HLOOKUP(YEAR(C1446)+(MONTH(C1446)/100),TC!$5:$37,DAY(C1446)+2,FALSE),VLOOKUP(E1446,Equivalencia!$5:$23,((MAX(Equivalencia!$3:$3)-YEAR(C1446))*14)+MONTH(C1446)+2,FALSE)))</f>
        <v>0</v>
      </c>
      <c r="J1446" s="178">
        <f t="shared" si="175"/>
        <v>0</v>
      </c>
      <c r="K1446" s="462">
        <f>IF(C1446=0,0,VLOOKUP(YEAR(C1446),INPC!$B$4:$O$29,MONTH(C1446)+1))</f>
        <v>0</v>
      </c>
      <c r="L1446" s="462">
        <f>IF(S1446=0,0,VLOOKUP(YEAR(S1446),INPC!$B$4:$O$29,MONTH(S1446)+1))</f>
        <v>0</v>
      </c>
      <c r="M1446" s="463">
        <f t="shared" si="176"/>
        <v>0</v>
      </c>
      <c r="N1446" s="465">
        <f t="shared" si="177"/>
        <v>0</v>
      </c>
      <c r="O1446" s="179"/>
      <c r="P1446" s="180"/>
      <c r="Q1446" s="173"/>
      <c r="R1446" s="173"/>
      <c r="S1446" s="174"/>
      <c r="T1446" s="173"/>
      <c r="U1446" s="182"/>
      <c r="V1446" s="177">
        <f>IF(U1446=0,0,IF(T1446="MXN",1/HLOOKUP(YEAR(S1446)+(MONTH(S1446)/100),TC!$5:$37,DAY(S1446)+2,FALSE),VLOOKUP(T1446,Equivalencia!$1:$23,((MAX(Equivalencia!$3:$3)-YEAR(S1446))*14)+MONTH(S1446)+2,FALSE)))</f>
        <v>0</v>
      </c>
      <c r="W1446" s="178">
        <f t="shared" si="178"/>
        <v>0</v>
      </c>
      <c r="X1446" s="481">
        <f t="shared" si="179"/>
        <v>0</v>
      </c>
      <c r="Y1446" s="179"/>
      <c r="Z1446" s="466">
        <f t="shared" si="180"/>
        <v>0</v>
      </c>
      <c r="AA1446" s="473">
        <f t="shared" si="181"/>
        <v>0</v>
      </c>
      <c r="AB1446" s="339">
        <f t="shared" si="182"/>
        <v>0</v>
      </c>
    </row>
    <row r="1447" spans="2:28" ht="20.100000000000001" customHeight="1">
      <c r="B1447" s="172"/>
      <c r="C1447" s="174"/>
      <c r="D1447" s="181"/>
      <c r="E1447" s="173"/>
      <c r="F1447" s="176"/>
      <c r="G1447" s="175">
        <f t="shared" si="173"/>
        <v>0</v>
      </c>
      <c r="H1447" s="175">
        <f t="shared" si="174"/>
        <v>0</v>
      </c>
      <c r="I1447" s="177">
        <f>IF(G1447=0,0,IF(E1447="MXN",1/HLOOKUP(YEAR(C1447)+(MONTH(C1447)/100),TC!$5:$37,DAY(C1447)+2,FALSE),VLOOKUP(E1447,Equivalencia!$5:$23,((MAX(Equivalencia!$3:$3)-YEAR(C1447))*14)+MONTH(C1447)+2,FALSE)))</f>
        <v>0</v>
      </c>
      <c r="J1447" s="178">
        <f t="shared" si="175"/>
        <v>0</v>
      </c>
      <c r="K1447" s="462">
        <f>IF(C1447=0,0,VLOOKUP(YEAR(C1447),INPC!$B$4:$O$29,MONTH(C1447)+1))</f>
        <v>0</v>
      </c>
      <c r="L1447" s="462">
        <f>IF(S1447=0,0,VLOOKUP(YEAR(S1447),INPC!$B$4:$O$29,MONTH(S1447)+1))</f>
        <v>0</v>
      </c>
      <c r="M1447" s="463">
        <f t="shared" si="176"/>
        <v>0</v>
      </c>
      <c r="N1447" s="465">
        <f t="shared" si="177"/>
        <v>0</v>
      </c>
      <c r="O1447" s="179"/>
      <c r="P1447" s="180"/>
      <c r="Q1447" s="173"/>
      <c r="R1447" s="173"/>
      <c r="S1447" s="174"/>
      <c r="T1447" s="173"/>
      <c r="U1447" s="182"/>
      <c r="V1447" s="177">
        <f>IF(U1447=0,0,IF(T1447="MXN",1/HLOOKUP(YEAR(S1447)+(MONTH(S1447)/100),TC!$5:$37,DAY(S1447)+2,FALSE),VLOOKUP(T1447,Equivalencia!$1:$23,((MAX(Equivalencia!$3:$3)-YEAR(S1447))*14)+MONTH(S1447)+2,FALSE)))</f>
        <v>0</v>
      </c>
      <c r="W1447" s="178">
        <f t="shared" si="178"/>
        <v>0</v>
      </c>
      <c r="X1447" s="481">
        <f t="shared" si="179"/>
        <v>0</v>
      </c>
      <c r="Y1447" s="179"/>
      <c r="Z1447" s="466">
        <f t="shared" si="180"/>
        <v>0</v>
      </c>
      <c r="AA1447" s="473">
        <f t="shared" si="181"/>
        <v>0</v>
      </c>
      <c r="AB1447" s="339">
        <f t="shared" si="182"/>
        <v>0</v>
      </c>
    </row>
    <row r="1448" spans="2:28" ht="20.100000000000001" customHeight="1">
      <c r="B1448" s="172"/>
      <c r="C1448" s="174"/>
      <c r="D1448" s="181"/>
      <c r="E1448" s="173"/>
      <c r="F1448" s="176"/>
      <c r="G1448" s="175">
        <f t="shared" si="173"/>
        <v>0</v>
      </c>
      <c r="H1448" s="175">
        <f t="shared" si="174"/>
        <v>0</v>
      </c>
      <c r="I1448" s="177">
        <f>IF(G1448=0,0,IF(E1448="MXN",1/HLOOKUP(YEAR(C1448)+(MONTH(C1448)/100),TC!$5:$37,DAY(C1448)+2,FALSE),VLOOKUP(E1448,Equivalencia!$5:$23,((MAX(Equivalencia!$3:$3)-YEAR(C1448))*14)+MONTH(C1448)+2,FALSE)))</f>
        <v>0</v>
      </c>
      <c r="J1448" s="178">
        <f t="shared" si="175"/>
        <v>0</v>
      </c>
      <c r="K1448" s="462">
        <f>IF(C1448=0,0,VLOOKUP(YEAR(C1448),INPC!$B$4:$O$29,MONTH(C1448)+1))</f>
        <v>0</v>
      </c>
      <c r="L1448" s="462">
        <f>IF(S1448=0,0,VLOOKUP(YEAR(S1448),INPC!$B$4:$O$29,MONTH(S1448)+1))</f>
        <v>0</v>
      </c>
      <c r="M1448" s="463">
        <f t="shared" si="176"/>
        <v>0</v>
      </c>
      <c r="N1448" s="465">
        <f t="shared" si="177"/>
        <v>0</v>
      </c>
      <c r="O1448" s="179"/>
      <c r="P1448" s="180"/>
      <c r="Q1448" s="173"/>
      <c r="R1448" s="173"/>
      <c r="S1448" s="174"/>
      <c r="T1448" s="173"/>
      <c r="U1448" s="182"/>
      <c r="V1448" s="177">
        <f>IF(U1448=0,0,IF(T1448="MXN",1/HLOOKUP(YEAR(S1448)+(MONTH(S1448)/100),TC!$5:$37,DAY(S1448)+2,FALSE),VLOOKUP(T1448,Equivalencia!$1:$23,((MAX(Equivalencia!$3:$3)-YEAR(S1448))*14)+MONTH(S1448)+2,FALSE)))</f>
        <v>0</v>
      </c>
      <c r="W1448" s="178">
        <f t="shared" si="178"/>
        <v>0</v>
      </c>
      <c r="X1448" s="481">
        <f t="shared" si="179"/>
        <v>0</v>
      </c>
      <c r="Y1448" s="179"/>
      <c r="Z1448" s="466">
        <f t="shared" si="180"/>
        <v>0</v>
      </c>
      <c r="AA1448" s="473">
        <f t="shared" si="181"/>
        <v>0</v>
      </c>
      <c r="AB1448" s="339">
        <f t="shared" si="182"/>
        <v>0</v>
      </c>
    </row>
    <row r="1449" spans="2:28" ht="20.100000000000001" customHeight="1">
      <c r="B1449" s="172"/>
      <c r="C1449" s="174"/>
      <c r="D1449" s="181"/>
      <c r="E1449" s="173"/>
      <c r="F1449" s="176"/>
      <c r="G1449" s="175">
        <f t="shared" si="173"/>
        <v>0</v>
      </c>
      <c r="H1449" s="175">
        <f t="shared" si="174"/>
        <v>0</v>
      </c>
      <c r="I1449" s="177">
        <f>IF(G1449=0,0,IF(E1449="MXN",1/HLOOKUP(YEAR(C1449)+(MONTH(C1449)/100),TC!$5:$37,DAY(C1449)+2,FALSE),VLOOKUP(E1449,Equivalencia!$5:$23,((MAX(Equivalencia!$3:$3)-YEAR(C1449))*14)+MONTH(C1449)+2,FALSE)))</f>
        <v>0</v>
      </c>
      <c r="J1449" s="178">
        <f t="shared" si="175"/>
        <v>0</v>
      </c>
      <c r="K1449" s="462">
        <f>IF(C1449=0,0,VLOOKUP(YEAR(C1449),INPC!$B$4:$O$29,MONTH(C1449)+1))</f>
        <v>0</v>
      </c>
      <c r="L1449" s="462">
        <f>IF(S1449=0,0,VLOOKUP(YEAR(S1449),INPC!$B$4:$O$29,MONTH(S1449)+1))</f>
        <v>0</v>
      </c>
      <c r="M1449" s="463">
        <f t="shared" si="176"/>
        <v>0</v>
      </c>
      <c r="N1449" s="465">
        <f t="shared" si="177"/>
        <v>0</v>
      </c>
      <c r="O1449" s="179"/>
      <c r="P1449" s="180"/>
      <c r="Q1449" s="173"/>
      <c r="R1449" s="173"/>
      <c r="S1449" s="174"/>
      <c r="T1449" s="173"/>
      <c r="U1449" s="182"/>
      <c r="V1449" s="177">
        <f>IF(U1449=0,0,IF(T1449="MXN",1/HLOOKUP(YEAR(S1449)+(MONTH(S1449)/100),TC!$5:$37,DAY(S1449)+2,FALSE),VLOOKUP(T1449,Equivalencia!$1:$23,((MAX(Equivalencia!$3:$3)-YEAR(S1449))*14)+MONTH(S1449)+2,FALSE)))</f>
        <v>0</v>
      </c>
      <c r="W1449" s="178">
        <f t="shared" si="178"/>
        <v>0</v>
      </c>
      <c r="X1449" s="481">
        <f t="shared" si="179"/>
        <v>0</v>
      </c>
      <c r="Y1449" s="179"/>
      <c r="Z1449" s="466">
        <f t="shared" si="180"/>
        <v>0</v>
      </c>
      <c r="AA1449" s="473">
        <f t="shared" si="181"/>
        <v>0</v>
      </c>
      <c r="AB1449" s="339">
        <f t="shared" si="182"/>
        <v>0</v>
      </c>
    </row>
    <row r="1450" spans="2:28" ht="20.100000000000001" customHeight="1">
      <c r="B1450" s="172"/>
      <c r="C1450" s="174"/>
      <c r="D1450" s="181"/>
      <c r="E1450" s="173"/>
      <c r="F1450" s="176"/>
      <c r="G1450" s="175">
        <f t="shared" si="173"/>
        <v>0</v>
      </c>
      <c r="H1450" s="175">
        <f t="shared" si="174"/>
        <v>0</v>
      </c>
      <c r="I1450" s="177">
        <f>IF(G1450=0,0,IF(E1450="MXN",1/HLOOKUP(YEAR(C1450)+(MONTH(C1450)/100),TC!$5:$37,DAY(C1450)+2,FALSE),VLOOKUP(E1450,Equivalencia!$5:$23,((MAX(Equivalencia!$3:$3)-YEAR(C1450))*14)+MONTH(C1450)+2,FALSE)))</f>
        <v>0</v>
      </c>
      <c r="J1450" s="178">
        <f t="shared" si="175"/>
        <v>0</v>
      </c>
      <c r="K1450" s="462">
        <f>IF(C1450=0,0,VLOOKUP(YEAR(C1450),INPC!$B$4:$O$29,MONTH(C1450)+1))</f>
        <v>0</v>
      </c>
      <c r="L1450" s="462">
        <f>IF(S1450=0,0,VLOOKUP(YEAR(S1450),INPC!$B$4:$O$29,MONTH(S1450)+1))</f>
        <v>0</v>
      </c>
      <c r="M1450" s="463">
        <f t="shared" si="176"/>
        <v>0</v>
      </c>
      <c r="N1450" s="465">
        <f t="shared" si="177"/>
        <v>0</v>
      </c>
      <c r="O1450" s="179"/>
      <c r="P1450" s="180"/>
      <c r="Q1450" s="173"/>
      <c r="R1450" s="173"/>
      <c r="S1450" s="174"/>
      <c r="T1450" s="173"/>
      <c r="U1450" s="182"/>
      <c r="V1450" s="177">
        <f>IF(U1450=0,0,IF(T1450="MXN",1/HLOOKUP(YEAR(S1450)+(MONTH(S1450)/100),TC!$5:$37,DAY(S1450)+2,FALSE),VLOOKUP(T1450,Equivalencia!$1:$23,((MAX(Equivalencia!$3:$3)-YEAR(S1450))*14)+MONTH(S1450)+2,FALSE)))</f>
        <v>0</v>
      </c>
      <c r="W1450" s="178">
        <f t="shared" si="178"/>
        <v>0</v>
      </c>
      <c r="X1450" s="481">
        <f t="shared" si="179"/>
        <v>0</v>
      </c>
      <c r="Y1450" s="179"/>
      <c r="Z1450" s="466">
        <f t="shared" si="180"/>
        <v>0</v>
      </c>
      <c r="AA1450" s="473">
        <f t="shared" si="181"/>
        <v>0</v>
      </c>
      <c r="AB1450" s="339">
        <f t="shared" si="182"/>
        <v>0</v>
      </c>
    </row>
    <row r="1451" spans="2:28" ht="20.100000000000001" customHeight="1">
      <c r="B1451" s="172"/>
      <c r="C1451" s="174"/>
      <c r="D1451" s="181"/>
      <c r="E1451" s="173"/>
      <c r="F1451" s="176"/>
      <c r="G1451" s="175">
        <f t="shared" si="173"/>
        <v>0</v>
      </c>
      <c r="H1451" s="175">
        <f t="shared" si="174"/>
        <v>0</v>
      </c>
      <c r="I1451" s="177">
        <f>IF(G1451=0,0,IF(E1451="MXN",1/HLOOKUP(YEAR(C1451)+(MONTH(C1451)/100),TC!$5:$37,DAY(C1451)+2,FALSE),VLOOKUP(E1451,Equivalencia!$5:$23,((MAX(Equivalencia!$3:$3)-YEAR(C1451))*14)+MONTH(C1451)+2,FALSE)))</f>
        <v>0</v>
      </c>
      <c r="J1451" s="178">
        <f t="shared" si="175"/>
        <v>0</v>
      </c>
      <c r="K1451" s="462">
        <f>IF(C1451=0,0,VLOOKUP(YEAR(C1451),INPC!$B$4:$O$29,MONTH(C1451)+1))</f>
        <v>0</v>
      </c>
      <c r="L1451" s="462">
        <f>IF(S1451=0,0,VLOOKUP(YEAR(S1451),INPC!$B$4:$O$29,MONTH(S1451)+1))</f>
        <v>0</v>
      </c>
      <c r="M1451" s="463">
        <f t="shared" si="176"/>
        <v>0</v>
      </c>
      <c r="N1451" s="465">
        <f t="shared" si="177"/>
        <v>0</v>
      </c>
      <c r="O1451" s="179"/>
      <c r="P1451" s="180"/>
      <c r="Q1451" s="173"/>
      <c r="R1451" s="173"/>
      <c r="S1451" s="174"/>
      <c r="T1451" s="173"/>
      <c r="U1451" s="182"/>
      <c r="V1451" s="177">
        <f>IF(U1451=0,0,IF(T1451="MXN",1/HLOOKUP(YEAR(S1451)+(MONTH(S1451)/100),TC!$5:$37,DAY(S1451)+2,FALSE),VLOOKUP(T1451,Equivalencia!$1:$23,((MAX(Equivalencia!$3:$3)-YEAR(S1451))*14)+MONTH(S1451)+2,FALSE)))</f>
        <v>0</v>
      </c>
      <c r="W1451" s="178">
        <f t="shared" si="178"/>
        <v>0</v>
      </c>
      <c r="X1451" s="481">
        <f t="shared" si="179"/>
        <v>0</v>
      </c>
      <c r="Y1451" s="179"/>
      <c r="Z1451" s="466">
        <f t="shared" si="180"/>
        <v>0</v>
      </c>
      <c r="AA1451" s="473">
        <f t="shared" si="181"/>
        <v>0</v>
      </c>
      <c r="AB1451" s="339">
        <f t="shared" si="182"/>
        <v>0</v>
      </c>
    </row>
    <row r="1452" spans="2:28" ht="20.100000000000001" customHeight="1">
      <c r="B1452" s="172"/>
      <c r="C1452" s="174"/>
      <c r="D1452" s="181"/>
      <c r="E1452" s="173"/>
      <c r="F1452" s="176"/>
      <c r="G1452" s="175">
        <f t="shared" si="173"/>
        <v>0</v>
      </c>
      <c r="H1452" s="175">
        <f t="shared" si="174"/>
        <v>0</v>
      </c>
      <c r="I1452" s="177">
        <f>IF(G1452=0,0,IF(E1452="MXN",1/HLOOKUP(YEAR(C1452)+(MONTH(C1452)/100),TC!$5:$37,DAY(C1452)+2,FALSE),VLOOKUP(E1452,Equivalencia!$5:$23,((MAX(Equivalencia!$3:$3)-YEAR(C1452))*14)+MONTH(C1452)+2,FALSE)))</f>
        <v>0</v>
      </c>
      <c r="J1452" s="178">
        <f t="shared" si="175"/>
        <v>0</v>
      </c>
      <c r="K1452" s="462">
        <f>IF(C1452=0,0,VLOOKUP(YEAR(C1452),INPC!$B$4:$O$29,MONTH(C1452)+1))</f>
        <v>0</v>
      </c>
      <c r="L1452" s="462">
        <f>IF(S1452=0,0,VLOOKUP(YEAR(S1452),INPC!$B$4:$O$29,MONTH(S1452)+1))</f>
        <v>0</v>
      </c>
      <c r="M1452" s="463">
        <f t="shared" si="176"/>
        <v>0</v>
      </c>
      <c r="N1452" s="465">
        <f t="shared" si="177"/>
        <v>0</v>
      </c>
      <c r="O1452" s="179"/>
      <c r="P1452" s="180"/>
      <c r="Q1452" s="173"/>
      <c r="R1452" s="173"/>
      <c r="S1452" s="174"/>
      <c r="T1452" s="173"/>
      <c r="U1452" s="182"/>
      <c r="V1452" s="177">
        <f>IF(U1452=0,0,IF(T1452="MXN",1/HLOOKUP(YEAR(S1452)+(MONTH(S1452)/100),TC!$5:$37,DAY(S1452)+2,FALSE),VLOOKUP(T1452,Equivalencia!$1:$23,((MAX(Equivalencia!$3:$3)-YEAR(S1452))*14)+MONTH(S1452)+2,FALSE)))</f>
        <v>0</v>
      </c>
      <c r="W1452" s="178">
        <f t="shared" si="178"/>
        <v>0</v>
      </c>
      <c r="X1452" s="481">
        <f t="shared" si="179"/>
        <v>0</v>
      </c>
      <c r="Y1452" s="179"/>
      <c r="Z1452" s="466">
        <f t="shared" si="180"/>
        <v>0</v>
      </c>
      <c r="AA1452" s="473">
        <f t="shared" si="181"/>
        <v>0</v>
      </c>
      <c r="AB1452" s="339">
        <f t="shared" si="182"/>
        <v>0</v>
      </c>
    </row>
    <row r="1453" spans="2:28" ht="20.100000000000001" customHeight="1">
      <c r="B1453" s="172"/>
      <c r="C1453" s="174"/>
      <c r="D1453" s="181"/>
      <c r="E1453" s="173"/>
      <c r="F1453" s="176"/>
      <c r="G1453" s="175">
        <f t="shared" si="173"/>
        <v>0</v>
      </c>
      <c r="H1453" s="175">
        <f t="shared" si="174"/>
        <v>0</v>
      </c>
      <c r="I1453" s="177">
        <f>IF(G1453=0,0,IF(E1453="MXN",1/HLOOKUP(YEAR(C1453)+(MONTH(C1453)/100),TC!$5:$37,DAY(C1453)+2,FALSE),VLOOKUP(E1453,Equivalencia!$5:$23,((MAX(Equivalencia!$3:$3)-YEAR(C1453))*14)+MONTH(C1453)+2,FALSE)))</f>
        <v>0</v>
      </c>
      <c r="J1453" s="178">
        <f t="shared" si="175"/>
        <v>0</v>
      </c>
      <c r="K1453" s="462">
        <f>IF(C1453=0,0,VLOOKUP(YEAR(C1453),INPC!$B$4:$O$29,MONTH(C1453)+1))</f>
        <v>0</v>
      </c>
      <c r="L1453" s="462">
        <f>IF(S1453=0,0,VLOOKUP(YEAR(S1453),INPC!$B$4:$O$29,MONTH(S1453)+1))</f>
        <v>0</v>
      </c>
      <c r="M1453" s="463">
        <f t="shared" si="176"/>
        <v>0</v>
      </c>
      <c r="N1453" s="465">
        <f t="shared" si="177"/>
        <v>0</v>
      </c>
      <c r="O1453" s="179"/>
      <c r="P1453" s="180"/>
      <c r="Q1453" s="173"/>
      <c r="R1453" s="173"/>
      <c r="S1453" s="174"/>
      <c r="T1453" s="173"/>
      <c r="U1453" s="182"/>
      <c r="V1453" s="177">
        <f>IF(U1453=0,0,IF(T1453="MXN",1/HLOOKUP(YEAR(S1453)+(MONTH(S1453)/100),TC!$5:$37,DAY(S1453)+2,FALSE),VLOOKUP(T1453,Equivalencia!$1:$23,((MAX(Equivalencia!$3:$3)-YEAR(S1453))*14)+MONTH(S1453)+2,FALSE)))</f>
        <v>0</v>
      </c>
      <c r="W1453" s="178">
        <f t="shared" si="178"/>
        <v>0</v>
      </c>
      <c r="X1453" s="481">
        <f t="shared" si="179"/>
        <v>0</v>
      </c>
      <c r="Y1453" s="179"/>
      <c r="Z1453" s="466">
        <f t="shared" si="180"/>
        <v>0</v>
      </c>
      <c r="AA1453" s="473">
        <f t="shared" si="181"/>
        <v>0</v>
      </c>
      <c r="AB1453" s="339">
        <f t="shared" si="182"/>
        <v>0</v>
      </c>
    </row>
    <row r="1454" spans="2:28" ht="20.100000000000001" customHeight="1">
      <c r="B1454" s="172"/>
      <c r="C1454" s="174"/>
      <c r="D1454" s="181"/>
      <c r="E1454" s="173"/>
      <c r="F1454" s="176"/>
      <c r="G1454" s="175">
        <f t="shared" si="173"/>
        <v>0</v>
      </c>
      <c r="H1454" s="175">
        <f t="shared" si="174"/>
        <v>0</v>
      </c>
      <c r="I1454" s="177">
        <f>IF(G1454=0,0,IF(E1454="MXN",1/HLOOKUP(YEAR(C1454)+(MONTH(C1454)/100),TC!$5:$37,DAY(C1454)+2,FALSE),VLOOKUP(E1454,Equivalencia!$5:$23,((MAX(Equivalencia!$3:$3)-YEAR(C1454))*14)+MONTH(C1454)+2,FALSE)))</f>
        <v>0</v>
      </c>
      <c r="J1454" s="178">
        <f t="shared" si="175"/>
        <v>0</v>
      </c>
      <c r="K1454" s="462">
        <f>IF(C1454=0,0,VLOOKUP(YEAR(C1454),INPC!$B$4:$O$29,MONTH(C1454)+1))</f>
        <v>0</v>
      </c>
      <c r="L1454" s="462">
        <f>IF(S1454=0,0,VLOOKUP(YEAR(S1454),INPC!$B$4:$O$29,MONTH(S1454)+1))</f>
        <v>0</v>
      </c>
      <c r="M1454" s="463">
        <f t="shared" si="176"/>
        <v>0</v>
      </c>
      <c r="N1454" s="465">
        <f t="shared" si="177"/>
        <v>0</v>
      </c>
      <c r="O1454" s="179"/>
      <c r="P1454" s="180"/>
      <c r="Q1454" s="173"/>
      <c r="R1454" s="173"/>
      <c r="S1454" s="174"/>
      <c r="T1454" s="173"/>
      <c r="U1454" s="182"/>
      <c r="V1454" s="177">
        <f>IF(U1454=0,0,IF(T1454="MXN",1/HLOOKUP(YEAR(S1454)+(MONTH(S1454)/100),TC!$5:$37,DAY(S1454)+2,FALSE),VLOOKUP(T1454,Equivalencia!$1:$23,((MAX(Equivalencia!$3:$3)-YEAR(S1454))*14)+MONTH(S1454)+2,FALSE)))</f>
        <v>0</v>
      </c>
      <c r="W1454" s="178">
        <f t="shared" si="178"/>
        <v>0</v>
      </c>
      <c r="X1454" s="481">
        <f t="shared" si="179"/>
        <v>0</v>
      </c>
      <c r="Y1454" s="179"/>
      <c r="Z1454" s="466">
        <f t="shared" si="180"/>
        <v>0</v>
      </c>
      <c r="AA1454" s="473">
        <f t="shared" si="181"/>
        <v>0</v>
      </c>
      <c r="AB1454" s="339">
        <f t="shared" si="182"/>
        <v>0</v>
      </c>
    </row>
    <row r="1455" spans="2:28" ht="20.100000000000001" customHeight="1">
      <c r="B1455" s="172"/>
      <c r="C1455" s="174"/>
      <c r="D1455" s="181"/>
      <c r="E1455" s="173"/>
      <c r="F1455" s="176"/>
      <c r="G1455" s="175">
        <f t="shared" si="173"/>
        <v>0</v>
      </c>
      <c r="H1455" s="175">
        <f t="shared" si="174"/>
        <v>0</v>
      </c>
      <c r="I1455" s="177">
        <f>IF(G1455=0,0,IF(E1455="MXN",1/HLOOKUP(YEAR(C1455)+(MONTH(C1455)/100),TC!$5:$37,DAY(C1455)+2,FALSE),VLOOKUP(E1455,Equivalencia!$5:$23,((MAX(Equivalencia!$3:$3)-YEAR(C1455))*14)+MONTH(C1455)+2,FALSE)))</f>
        <v>0</v>
      </c>
      <c r="J1455" s="178">
        <f t="shared" si="175"/>
        <v>0</v>
      </c>
      <c r="K1455" s="462">
        <f>IF(C1455=0,0,VLOOKUP(YEAR(C1455),INPC!$B$4:$O$29,MONTH(C1455)+1))</f>
        <v>0</v>
      </c>
      <c r="L1455" s="462">
        <f>IF(S1455=0,0,VLOOKUP(YEAR(S1455),INPC!$B$4:$O$29,MONTH(S1455)+1))</f>
        <v>0</v>
      </c>
      <c r="M1455" s="463">
        <f t="shared" si="176"/>
        <v>0</v>
      </c>
      <c r="N1455" s="465">
        <f t="shared" si="177"/>
        <v>0</v>
      </c>
      <c r="O1455" s="179"/>
      <c r="P1455" s="180"/>
      <c r="Q1455" s="173"/>
      <c r="R1455" s="173"/>
      <c r="S1455" s="174"/>
      <c r="T1455" s="173"/>
      <c r="U1455" s="182"/>
      <c r="V1455" s="177">
        <f>IF(U1455=0,0,IF(T1455="MXN",1/HLOOKUP(YEAR(S1455)+(MONTH(S1455)/100),TC!$5:$37,DAY(S1455)+2,FALSE),VLOOKUP(T1455,Equivalencia!$1:$23,((MAX(Equivalencia!$3:$3)-YEAR(S1455))*14)+MONTH(S1455)+2,FALSE)))</f>
        <v>0</v>
      </c>
      <c r="W1455" s="178">
        <f t="shared" si="178"/>
        <v>0</v>
      </c>
      <c r="X1455" s="481">
        <f t="shared" si="179"/>
        <v>0</v>
      </c>
      <c r="Y1455" s="179"/>
      <c r="Z1455" s="466">
        <f t="shared" si="180"/>
        <v>0</v>
      </c>
      <c r="AA1455" s="473">
        <f t="shared" si="181"/>
        <v>0</v>
      </c>
      <c r="AB1455" s="339">
        <f t="shared" si="182"/>
        <v>0</v>
      </c>
    </row>
    <row r="1456" spans="2:28" ht="20.100000000000001" customHeight="1">
      <c r="B1456" s="172"/>
      <c r="C1456" s="174"/>
      <c r="D1456" s="181"/>
      <c r="E1456" s="173"/>
      <c r="F1456" s="176"/>
      <c r="G1456" s="175">
        <f t="shared" si="173"/>
        <v>0</v>
      </c>
      <c r="H1456" s="175">
        <f t="shared" si="174"/>
        <v>0</v>
      </c>
      <c r="I1456" s="177">
        <f>IF(G1456=0,0,IF(E1456="MXN",1/HLOOKUP(YEAR(C1456)+(MONTH(C1456)/100),TC!$5:$37,DAY(C1456)+2,FALSE),VLOOKUP(E1456,Equivalencia!$5:$23,((MAX(Equivalencia!$3:$3)-YEAR(C1456))*14)+MONTH(C1456)+2,FALSE)))</f>
        <v>0</v>
      </c>
      <c r="J1456" s="178">
        <f t="shared" si="175"/>
        <v>0</v>
      </c>
      <c r="K1456" s="462">
        <f>IF(C1456=0,0,VLOOKUP(YEAR(C1456),INPC!$B$4:$O$29,MONTH(C1456)+1))</f>
        <v>0</v>
      </c>
      <c r="L1456" s="462">
        <f>IF(S1456=0,0,VLOOKUP(YEAR(S1456),INPC!$B$4:$O$29,MONTH(S1456)+1))</f>
        <v>0</v>
      </c>
      <c r="M1456" s="463">
        <f t="shared" si="176"/>
        <v>0</v>
      </c>
      <c r="N1456" s="465">
        <f t="shared" si="177"/>
        <v>0</v>
      </c>
      <c r="O1456" s="179"/>
      <c r="P1456" s="180"/>
      <c r="Q1456" s="173"/>
      <c r="R1456" s="173"/>
      <c r="S1456" s="174"/>
      <c r="T1456" s="173"/>
      <c r="U1456" s="182"/>
      <c r="V1456" s="177">
        <f>IF(U1456=0,0,IF(T1456="MXN",1/HLOOKUP(YEAR(S1456)+(MONTH(S1456)/100),TC!$5:$37,DAY(S1456)+2,FALSE),VLOOKUP(T1456,Equivalencia!$1:$23,((MAX(Equivalencia!$3:$3)-YEAR(S1456))*14)+MONTH(S1456)+2,FALSE)))</f>
        <v>0</v>
      </c>
      <c r="W1456" s="178">
        <f t="shared" si="178"/>
        <v>0</v>
      </c>
      <c r="X1456" s="481">
        <f t="shared" si="179"/>
        <v>0</v>
      </c>
      <c r="Y1456" s="179"/>
      <c r="Z1456" s="466">
        <f t="shared" si="180"/>
        <v>0</v>
      </c>
      <c r="AA1456" s="473">
        <f t="shared" si="181"/>
        <v>0</v>
      </c>
      <c r="AB1456" s="339">
        <f t="shared" si="182"/>
        <v>0</v>
      </c>
    </row>
    <row r="1457" spans="2:28" ht="20.100000000000001" customHeight="1">
      <c r="B1457" s="172"/>
      <c r="C1457" s="174"/>
      <c r="D1457" s="181"/>
      <c r="E1457" s="173"/>
      <c r="F1457" s="176"/>
      <c r="G1457" s="175">
        <f t="shared" si="173"/>
        <v>0</v>
      </c>
      <c r="H1457" s="175">
        <f t="shared" si="174"/>
        <v>0</v>
      </c>
      <c r="I1457" s="177">
        <f>IF(G1457=0,0,IF(E1457="MXN",1/HLOOKUP(YEAR(C1457)+(MONTH(C1457)/100),TC!$5:$37,DAY(C1457)+2,FALSE),VLOOKUP(E1457,Equivalencia!$5:$23,((MAX(Equivalencia!$3:$3)-YEAR(C1457))*14)+MONTH(C1457)+2,FALSE)))</f>
        <v>0</v>
      </c>
      <c r="J1457" s="178">
        <f t="shared" si="175"/>
        <v>0</v>
      </c>
      <c r="K1457" s="462">
        <f>IF(C1457=0,0,VLOOKUP(YEAR(C1457),INPC!$B$4:$O$29,MONTH(C1457)+1))</f>
        <v>0</v>
      </c>
      <c r="L1457" s="462">
        <f>IF(S1457=0,0,VLOOKUP(YEAR(S1457),INPC!$B$4:$O$29,MONTH(S1457)+1))</f>
        <v>0</v>
      </c>
      <c r="M1457" s="463">
        <f t="shared" si="176"/>
        <v>0</v>
      </c>
      <c r="N1457" s="465">
        <f t="shared" si="177"/>
        <v>0</v>
      </c>
      <c r="O1457" s="179"/>
      <c r="P1457" s="180"/>
      <c r="Q1457" s="173"/>
      <c r="R1457" s="173"/>
      <c r="S1457" s="174"/>
      <c r="T1457" s="173"/>
      <c r="U1457" s="182"/>
      <c r="V1457" s="177">
        <f>IF(U1457=0,0,IF(T1457="MXN",1/HLOOKUP(YEAR(S1457)+(MONTH(S1457)/100),TC!$5:$37,DAY(S1457)+2,FALSE),VLOOKUP(T1457,Equivalencia!$1:$23,((MAX(Equivalencia!$3:$3)-YEAR(S1457))*14)+MONTH(S1457)+2,FALSE)))</f>
        <v>0</v>
      </c>
      <c r="W1457" s="178">
        <f t="shared" si="178"/>
        <v>0</v>
      </c>
      <c r="X1457" s="481">
        <f t="shared" si="179"/>
        <v>0</v>
      </c>
      <c r="Y1457" s="179"/>
      <c r="Z1457" s="466">
        <f t="shared" si="180"/>
        <v>0</v>
      </c>
      <c r="AA1457" s="473">
        <f t="shared" si="181"/>
        <v>0</v>
      </c>
      <c r="AB1457" s="339">
        <f t="shared" si="182"/>
        <v>0</v>
      </c>
    </row>
    <row r="1458" spans="2:28" ht="20.100000000000001" customHeight="1">
      <c r="B1458" s="172"/>
      <c r="C1458" s="174"/>
      <c r="D1458" s="181"/>
      <c r="E1458" s="173"/>
      <c r="F1458" s="176"/>
      <c r="G1458" s="175">
        <f t="shared" si="173"/>
        <v>0</v>
      </c>
      <c r="H1458" s="175">
        <f t="shared" si="174"/>
        <v>0</v>
      </c>
      <c r="I1458" s="177">
        <f>IF(G1458=0,0,IF(E1458="MXN",1/HLOOKUP(YEAR(C1458)+(MONTH(C1458)/100),TC!$5:$37,DAY(C1458)+2,FALSE),VLOOKUP(E1458,Equivalencia!$5:$23,((MAX(Equivalencia!$3:$3)-YEAR(C1458))*14)+MONTH(C1458)+2,FALSE)))</f>
        <v>0</v>
      </c>
      <c r="J1458" s="178">
        <f t="shared" si="175"/>
        <v>0</v>
      </c>
      <c r="K1458" s="462">
        <f>IF(C1458=0,0,VLOOKUP(YEAR(C1458),INPC!$B$4:$O$29,MONTH(C1458)+1))</f>
        <v>0</v>
      </c>
      <c r="L1458" s="462">
        <f>IF(S1458=0,0,VLOOKUP(YEAR(S1458),INPC!$B$4:$O$29,MONTH(S1458)+1))</f>
        <v>0</v>
      </c>
      <c r="M1458" s="463">
        <f t="shared" si="176"/>
        <v>0</v>
      </c>
      <c r="N1458" s="465">
        <f t="shared" si="177"/>
        <v>0</v>
      </c>
      <c r="O1458" s="179"/>
      <c r="P1458" s="180"/>
      <c r="Q1458" s="173"/>
      <c r="R1458" s="173"/>
      <c r="S1458" s="174"/>
      <c r="T1458" s="173"/>
      <c r="U1458" s="182"/>
      <c r="V1458" s="177">
        <f>IF(U1458=0,0,IF(T1458="MXN",1/HLOOKUP(YEAR(S1458)+(MONTH(S1458)/100),TC!$5:$37,DAY(S1458)+2,FALSE),VLOOKUP(T1458,Equivalencia!$1:$23,((MAX(Equivalencia!$3:$3)-YEAR(S1458))*14)+MONTH(S1458)+2,FALSE)))</f>
        <v>0</v>
      </c>
      <c r="W1458" s="178">
        <f t="shared" si="178"/>
        <v>0</v>
      </c>
      <c r="X1458" s="481">
        <f t="shared" si="179"/>
        <v>0</v>
      </c>
      <c r="Y1458" s="179"/>
      <c r="Z1458" s="466">
        <f t="shared" si="180"/>
        <v>0</v>
      </c>
      <c r="AA1458" s="473">
        <f t="shared" si="181"/>
        <v>0</v>
      </c>
      <c r="AB1458" s="339">
        <f t="shared" si="182"/>
        <v>0</v>
      </c>
    </row>
    <row r="1459" spans="2:28" ht="20.100000000000001" customHeight="1">
      <c r="B1459" s="172"/>
      <c r="C1459" s="174"/>
      <c r="D1459" s="181"/>
      <c r="E1459" s="173"/>
      <c r="F1459" s="176"/>
      <c r="G1459" s="175">
        <f t="shared" si="173"/>
        <v>0</v>
      </c>
      <c r="H1459" s="175">
        <f t="shared" si="174"/>
        <v>0</v>
      </c>
      <c r="I1459" s="177">
        <f>IF(G1459=0,0,IF(E1459="MXN",1/HLOOKUP(YEAR(C1459)+(MONTH(C1459)/100),TC!$5:$37,DAY(C1459)+2,FALSE),VLOOKUP(E1459,Equivalencia!$5:$23,((MAX(Equivalencia!$3:$3)-YEAR(C1459))*14)+MONTH(C1459)+2,FALSE)))</f>
        <v>0</v>
      </c>
      <c r="J1459" s="178">
        <f t="shared" si="175"/>
        <v>0</v>
      </c>
      <c r="K1459" s="462">
        <f>IF(C1459=0,0,VLOOKUP(YEAR(C1459),INPC!$B$4:$O$29,MONTH(C1459)+1))</f>
        <v>0</v>
      </c>
      <c r="L1459" s="462">
        <f>IF(S1459=0,0,VLOOKUP(YEAR(S1459),INPC!$B$4:$O$29,MONTH(S1459)+1))</f>
        <v>0</v>
      </c>
      <c r="M1459" s="463">
        <f t="shared" si="176"/>
        <v>0</v>
      </c>
      <c r="N1459" s="465">
        <f t="shared" si="177"/>
        <v>0</v>
      </c>
      <c r="O1459" s="179"/>
      <c r="P1459" s="180"/>
      <c r="Q1459" s="173"/>
      <c r="R1459" s="173"/>
      <c r="S1459" s="174"/>
      <c r="T1459" s="173"/>
      <c r="U1459" s="182"/>
      <c r="V1459" s="177">
        <f>IF(U1459=0,0,IF(T1459="MXN",1/HLOOKUP(YEAR(S1459)+(MONTH(S1459)/100),TC!$5:$37,DAY(S1459)+2,FALSE),VLOOKUP(T1459,Equivalencia!$1:$23,((MAX(Equivalencia!$3:$3)-YEAR(S1459))*14)+MONTH(S1459)+2,FALSE)))</f>
        <v>0</v>
      </c>
      <c r="W1459" s="178">
        <f t="shared" si="178"/>
        <v>0</v>
      </c>
      <c r="X1459" s="481">
        <f t="shared" si="179"/>
        <v>0</v>
      </c>
      <c r="Y1459" s="179"/>
      <c r="Z1459" s="466">
        <f t="shared" si="180"/>
        <v>0</v>
      </c>
      <c r="AA1459" s="473">
        <f t="shared" si="181"/>
        <v>0</v>
      </c>
      <c r="AB1459" s="339">
        <f t="shared" si="182"/>
        <v>0</v>
      </c>
    </row>
    <row r="1460" spans="2:28" ht="20.100000000000001" customHeight="1">
      <c r="B1460" s="172"/>
      <c r="C1460" s="174"/>
      <c r="D1460" s="181"/>
      <c r="E1460" s="173"/>
      <c r="F1460" s="176"/>
      <c r="G1460" s="175">
        <f t="shared" si="173"/>
        <v>0</v>
      </c>
      <c r="H1460" s="175">
        <f t="shared" si="174"/>
        <v>0</v>
      </c>
      <c r="I1460" s="177">
        <f>IF(G1460=0,0,IF(E1460="MXN",1/HLOOKUP(YEAR(C1460)+(MONTH(C1460)/100),TC!$5:$37,DAY(C1460)+2,FALSE),VLOOKUP(E1460,Equivalencia!$5:$23,((MAX(Equivalencia!$3:$3)-YEAR(C1460))*14)+MONTH(C1460)+2,FALSE)))</f>
        <v>0</v>
      </c>
      <c r="J1460" s="178">
        <f t="shared" si="175"/>
        <v>0</v>
      </c>
      <c r="K1460" s="462">
        <f>IF(C1460=0,0,VLOOKUP(YEAR(C1460),INPC!$B$4:$O$29,MONTH(C1460)+1))</f>
        <v>0</v>
      </c>
      <c r="L1460" s="462">
        <f>IF(S1460=0,0,VLOOKUP(YEAR(S1460),INPC!$B$4:$O$29,MONTH(S1460)+1))</f>
        <v>0</v>
      </c>
      <c r="M1460" s="463">
        <f t="shared" si="176"/>
        <v>0</v>
      </c>
      <c r="N1460" s="465">
        <f t="shared" si="177"/>
        <v>0</v>
      </c>
      <c r="O1460" s="179"/>
      <c r="P1460" s="180"/>
      <c r="Q1460" s="173"/>
      <c r="R1460" s="173"/>
      <c r="S1460" s="174"/>
      <c r="T1460" s="173"/>
      <c r="U1460" s="182"/>
      <c r="V1460" s="177">
        <f>IF(U1460=0,0,IF(T1460="MXN",1/HLOOKUP(YEAR(S1460)+(MONTH(S1460)/100),TC!$5:$37,DAY(S1460)+2,FALSE),VLOOKUP(T1460,Equivalencia!$1:$23,((MAX(Equivalencia!$3:$3)-YEAR(S1460))*14)+MONTH(S1460)+2,FALSE)))</f>
        <v>0</v>
      </c>
      <c r="W1460" s="178">
        <f t="shared" si="178"/>
        <v>0</v>
      </c>
      <c r="X1460" s="481">
        <f t="shared" si="179"/>
        <v>0</v>
      </c>
      <c r="Y1460" s="179"/>
      <c r="Z1460" s="466">
        <f t="shared" si="180"/>
        <v>0</v>
      </c>
      <c r="AA1460" s="473">
        <f t="shared" si="181"/>
        <v>0</v>
      </c>
      <c r="AB1460" s="339">
        <f t="shared" si="182"/>
        <v>0</v>
      </c>
    </row>
    <row r="1461" spans="2:28" ht="20.100000000000001" customHeight="1">
      <c r="B1461" s="172"/>
      <c r="C1461" s="174"/>
      <c r="D1461" s="181"/>
      <c r="E1461" s="173"/>
      <c r="F1461" s="176"/>
      <c r="G1461" s="175">
        <f t="shared" si="173"/>
        <v>0</v>
      </c>
      <c r="H1461" s="175">
        <f t="shared" si="174"/>
        <v>0</v>
      </c>
      <c r="I1461" s="177">
        <f>IF(G1461=0,0,IF(E1461="MXN",1/HLOOKUP(YEAR(C1461)+(MONTH(C1461)/100),TC!$5:$37,DAY(C1461)+2,FALSE),VLOOKUP(E1461,Equivalencia!$5:$23,((MAX(Equivalencia!$3:$3)-YEAR(C1461))*14)+MONTH(C1461)+2,FALSE)))</f>
        <v>0</v>
      </c>
      <c r="J1461" s="178">
        <f t="shared" si="175"/>
        <v>0</v>
      </c>
      <c r="K1461" s="462">
        <f>IF(C1461=0,0,VLOOKUP(YEAR(C1461),INPC!$B$4:$O$29,MONTH(C1461)+1))</f>
        <v>0</v>
      </c>
      <c r="L1461" s="462">
        <f>IF(S1461=0,0,VLOOKUP(YEAR(S1461),INPC!$B$4:$O$29,MONTH(S1461)+1))</f>
        <v>0</v>
      </c>
      <c r="M1461" s="463">
        <f t="shared" si="176"/>
        <v>0</v>
      </c>
      <c r="N1461" s="465">
        <f t="shared" si="177"/>
        <v>0</v>
      </c>
      <c r="O1461" s="179"/>
      <c r="P1461" s="180"/>
      <c r="Q1461" s="173"/>
      <c r="R1461" s="173"/>
      <c r="S1461" s="174"/>
      <c r="T1461" s="173"/>
      <c r="U1461" s="182"/>
      <c r="V1461" s="177">
        <f>IF(U1461=0,0,IF(T1461="MXN",1/HLOOKUP(YEAR(S1461)+(MONTH(S1461)/100),TC!$5:$37,DAY(S1461)+2,FALSE),VLOOKUP(T1461,Equivalencia!$1:$23,((MAX(Equivalencia!$3:$3)-YEAR(S1461))*14)+MONTH(S1461)+2,FALSE)))</f>
        <v>0</v>
      </c>
      <c r="W1461" s="178">
        <f t="shared" si="178"/>
        <v>0</v>
      </c>
      <c r="X1461" s="481">
        <f t="shared" si="179"/>
        <v>0</v>
      </c>
      <c r="Y1461" s="179"/>
      <c r="Z1461" s="466">
        <f t="shared" si="180"/>
        <v>0</v>
      </c>
      <c r="AA1461" s="473">
        <f t="shared" si="181"/>
        <v>0</v>
      </c>
      <c r="AB1461" s="339">
        <f t="shared" si="182"/>
        <v>0</v>
      </c>
    </row>
    <row r="1462" spans="2:28" ht="20.100000000000001" customHeight="1">
      <c r="B1462" s="172"/>
      <c r="C1462" s="174"/>
      <c r="D1462" s="181"/>
      <c r="E1462" s="173"/>
      <c r="F1462" s="176"/>
      <c r="G1462" s="175">
        <f t="shared" si="173"/>
        <v>0</v>
      </c>
      <c r="H1462" s="175">
        <f t="shared" si="174"/>
        <v>0</v>
      </c>
      <c r="I1462" s="177">
        <f>IF(G1462=0,0,IF(E1462="MXN",1/HLOOKUP(YEAR(C1462)+(MONTH(C1462)/100),TC!$5:$37,DAY(C1462)+2,FALSE),VLOOKUP(E1462,Equivalencia!$5:$23,((MAX(Equivalencia!$3:$3)-YEAR(C1462))*14)+MONTH(C1462)+2,FALSE)))</f>
        <v>0</v>
      </c>
      <c r="J1462" s="178">
        <f t="shared" si="175"/>
        <v>0</v>
      </c>
      <c r="K1462" s="462">
        <f>IF(C1462=0,0,VLOOKUP(YEAR(C1462),INPC!$B$4:$O$29,MONTH(C1462)+1))</f>
        <v>0</v>
      </c>
      <c r="L1462" s="462">
        <f>IF(S1462=0,0,VLOOKUP(YEAR(S1462),INPC!$B$4:$O$29,MONTH(S1462)+1))</f>
        <v>0</v>
      </c>
      <c r="M1462" s="463">
        <f t="shared" si="176"/>
        <v>0</v>
      </c>
      <c r="N1462" s="465">
        <f t="shared" si="177"/>
        <v>0</v>
      </c>
      <c r="O1462" s="179"/>
      <c r="P1462" s="180"/>
      <c r="Q1462" s="173"/>
      <c r="R1462" s="173"/>
      <c r="S1462" s="174"/>
      <c r="T1462" s="173"/>
      <c r="U1462" s="182"/>
      <c r="V1462" s="177">
        <f>IF(U1462=0,0,IF(T1462="MXN",1/HLOOKUP(YEAR(S1462)+(MONTH(S1462)/100),TC!$5:$37,DAY(S1462)+2,FALSE),VLOOKUP(T1462,Equivalencia!$1:$23,((MAX(Equivalencia!$3:$3)-YEAR(S1462))*14)+MONTH(S1462)+2,FALSE)))</f>
        <v>0</v>
      </c>
      <c r="W1462" s="178">
        <f t="shared" si="178"/>
        <v>0</v>
      </c>
      <c r="X1462" s="481">
        <f t="shared" si="179"/>
        <v>0</v>
      </c>
      <c r="Y1462" s="179"/>
      <c r="Z1462" s="466">
        <f t="shared" si="180"/>
        <v>0</v>
      </c>
      <c r="AA1462" s="473">
        <f t="shared" si="181"/>
        <v>0</v>
      </c>
      <c r="AB1462" s="339">
        <f t="shared" si="182"/>
        <v>0</v>
      </c>
    </row>
    <row r="1463" spans="2:28" ht="20.100000000000001" customHeight="1">
      <c r="B1463" s="172"/>
      <c r="C1463" s="174"/>
      <c r="D1463" s="181"/>
      <c r="E1463" s="173"/>
      <c r="F1463" s="176"/>
      <c r="G1463" s="175">
        <f t="shared" si="173"/>
        <v>0</v>
      </c>
      <c r="H1463" s="175">
        <f t="shared" si="174"/>
        <v>0</v>
      </c>
      <c r="I1463" s="177">
        <f>IF(G1463=0,0,IF(E1463="MXN",1/HLOOKUP(YEAR(C1463)+(MONTH(C1463)/100),TC!$5:$37,DAY(C1463)+2,FALSE),VLOOKUP(E1463,Equivalencia!$5:$23,((MAX(Equivalencia!$3:$3)-YEAR(C1463))*14)+MONTH(C1463)+2,FALSE)))</f>
        <v>0</v>
      </c>
      <c r="J1463" s="178">
        <f t="shared" si="175"/>
        <v>0</v>
      </c>
      <c r="K1463" s="462">
        <f>IF(C1463=0,0,VLOOKUP(YEAR(C1463),INPC!$B$4:$O$29,MONTH(C1463)+1))</f>
        <v>0</v>
      </c>
      <c r="L1463" s="462">
        <f>IF(S1463=0,0,VLOOKUP(YEAR(S1463),INPC!$B$4:$O$29,MONTH(S1463)+1))</f>
        <v>0</v>
      </c>
      <c r="M1463" s="463">
        <f t="shared" si="176"/>
        <v>0</v>
      </c>
      <c r="N1463" s="465">
        <f t="shared" si="177"/>
        <v>0</v>
      </c>
      <c r="O1463" s="179"/>
      <c r="P1463" s="180"/>
      <c r="Q1463" s="173"/>
      <c r="R1463" s="173"/>
      <c r="S1463" s="174"/>
      <c r="T1463" s="173"/>
      <c r="U1463" s="182"/>
      <c r="V1463" s="177">
        <f>IF(U1463=0,0,IF(T1463="MXN",1/HLOOKUP(YEAR(S1463)+(MONTH(S1463)/100),TC!$5:$37,DAY(S1463)+2,FALSE),VLOOKUP(T1463,Equivalencia!$1:$23,((MAX(Equivalencia!$3:$3)-YEAR(S1463))*14)+MONTH(S1463)+2,FALSE)))</f>
        <v>0</v>
      </c>
      <c r="W1463" s="178">
        <f t="shared" si="178"/>
        <v>0</v>
      </c>
      <c r="X1463" s="481">
        <f t="shared" si="179"/>
        <v>0</v>
      </c>
      <c r="Y1463" s="179"/>
      <c r="Z1463" s="466">
        <f t="shared" si="180"/>
        <v>0</v>
      </c>
      <c r="AA1463" s="473">
        <f t="shared" si="181"/>
        <v>0</v>
      </c>
      <c r="AB1463" s="339">
        <f t="shared" si="182"/>
        <v>0</v>
      </c>
    </row>
    <row r="1464" spans="2:28" ht="20.100000000000001" customHeight="1">
      <c r="B1464" s="172"/>
      <c r="C1464" s="174"/>
      <c r="D1464" s="181"/>
      <c r="E1464" s="173"/>
      <c r="F1464" s="176"/>
      <c r="G1464" s="175">
        <f t="shared" si="173"/>
        <v>0</v>
      </c>
      <c r="H1464" s="175">
        <f t="shared" si="174"/>
        <v>0</v>
      </c>
      <c r="I1464" s="177">
        <f>IF(G1464=0,0,IF(E1464="MXN",1/HLOOKUP(YEAR(C1464)+(MONTH(C1464)/100),TC!$5:$37,DAY(C1464)+2,FALSE),VLOOKUP(E1464,Equivalencia!$5:$23,((MAX(Equivalencia!$3:$3)-YEAR(C1464))*14)+MONTH(C1464)+2,FALSE)))</f>
        <v>0</v>
      </c>
      <c r="J1464" s="178">
        <f t="shared" si="175"/>
        <v>0</v>
      </c>
      <c r="K1464" s="462">
        <f>IF(C1464=0,0,VLOOKUP(YEAR(C1464),INPC!$B$4:$O$29,MONTH(C1464)+1))</f>
        <v>0</v>
      </c>
      <c r="L1464" s="462">
        <f>IF(S1464=0,0,VLOOKUP(YEAR(S1464),INPC!$B$4:$O$29,MONTH(S1464)+1))</f>
        <v>0</v>
      </c>
      <c r="M1464" s="463">
        <f t="shared" si="176"/>
        <v>0</v>
      </c>
      <c r="N1464" s="465">
        <f t="shared" si="177"/>
        <v>0</v>
      </c>
      <c r="O1464" s="179"/>
      <c r="P1464" s="180"/>
      <c r="Q1464" s="173"/>
      <c r="R1464" s="173"/>
      <c r="S1464" s="174"/>
      <c r="T1464" s="173"/>
      <c r="U1464" s="182"/>
      <c r="V1464" s="177">
        <f>IF(U1464=0,0,IF(T1464="MXN",1/HLOOKUP(YEAR(S1464)+(MONTH(S1464)/100),TC!$5:$37,DAY(S1464)+2,FALSE),VLOOKUP(T1464,Equivalencia!$1:$23,((MAX(Equivalencia!$3:$3)-YEAR(S1464))*14)+MONTH(S1464)+2,FALSE)))</f>
        <v>0</v>
      </c>
      <c r="W1464" s="178">
        <f t="shared" si="178"/>
        <v>0</v>
      </c>
      <c r="X1464" s="481">
        <f t="shared" si="179"/>
        <v>0</v>
      </c>
      <c r="Y1464" s="179"/>
      <c r="Z1464" s="466">
        <f t="shared" si="180"/>
        <v>0</v>
      </c>
      <c r="AA1464" s="473">
        <f t="shared" si="181"/>
        <v>0</v>
      </c>
      <c r="AB1464" s="339">
        <f t="shared" si="182"/>
        <v>0</v>
      </c>
    </row>
    <row r="1465" spans="2:28" ht="20.100000000000001" customHeight="1">
      <c r="B1465" s="172"/>
      <c r="C1465" s="174"/>
      <c r="D1465" s="181"/>
      <c r="E1465" s="173"/>
      <c r="F1465" s="176"/>
      <c r="G1465" s="175">
        <f t="shared" si="173"/>
        <v>0</v>
      </c>
      <c r="H1465" s="175">
        <f t="shared" si="174"/>
        <v>0</v>
      </c>
      <c r="I1465" s="177">
        <f>IF(G1465=0,0,IF(E1465="MXN",1/HLOOKUP(YEAR(C1465)+(MONTH(C1465)/100),TC!$5:$37,DAY(C1465)+2,FALSE),VLOOKUP(E1465,Equivalencia!$5:$23,((MAX(Equivalencia!$3:$3)-YEAR(C1465))*14)+MONTH(C1465)+2,FALSE)))</f>
        <v>0</v>
      </c>
      <c r="J1465" s="178">
        <f t="shared" si="175"/>
        <v>0</v>
      </c>
      <c r="K1465" s="462">
        <f>IF(C1465=0,0,VLOOKUP(YEAR(C1465),INPC!$B$4:$O$29,MONTH(C1465)+1))</f>
        <v>0</v>
      </c>
      <c r="L1465" s="462">
        <f>IF(S1465=0,0,VLOOKUP(YEAR(S1465),INPC!$B$4:$O$29,MONTH(S1465)+1))</f>
        <v>0</v>
      </c>
      <c r="M1465" s="463">
        <f t="shared" si="176"/>
        <v>0</v>
      </c>
      <c r="N1465" s="465">
        <f t="shared" si="177"/>
        <v>0</v>
      </c>
      <c r="O1465" s="179"/>
      <c r="P1465" s="180"/>
      <c r="Q1465" s="173"/>
      <c r="R1465" s="173"/>
      <c r="S1465" s="174"/>
      <c r="T1465" s="173"/>
      <c r="U1465" s="182"/>
      <c r="V1465" s="177">
        <f>IF(U1465=0,0,IF(T1465="MXN",1/HLOOKUP(YEAR(S1465)+(MONTH(S1465)/100),TC!$5:$37,DAY(S1465)+2,FALSE),VLOOKUP(T1465,Equivalencia!$1:$23,((MAX(Equivalencia!$3:$3)-YEAR(S1465))*14)+MONTH(S1465)+2,FALSE)))</f>
        <v>0</v>
      </c>
      <c r="W1465" s="178">
        <f t="shared" si="178"/>
        <v>0</v>
      </c>
      <c r="X1465" s="481">
        <f t="shared" si="179"/>
        <v>0</v>
      </c>
      <c r="Y1465" s="179"/>
      <c r="Z1465" s="466">
        <f t="shared" si="180"/>
        <v>0</v>
      </c>
      <c r="AA1465" s="473">
        <f t="shared" si="181"/>
        <v>0</v>
      </c>
      <c r="AB1465" s="339">
        <f t="shared" si="182"/>
        <v>0</v>
      </c>
    </row>
    <row r="1466" spans="2:28" ht="20.100000000000001" customHeight="1">
      <c r="B1466" s="172"/>
      <c r="C1466" s="174"/>
      <c r="D1466" s="181"/>
      <c r="E1466" s="173"/>
      <c r="F1466" s="176"/>
      <c r="G1466" s="175">
        <f t="shared" si="173"/>
        <v>0</v>
      </c>
      <c r="H1466" s="175">
        <f t="shared" si="174"/>
        <v>0</v>
      </c>
      <c r="I1466" s="177">
        <f>IF(G1466=0,0,IF(E1466="MXN",1/HLOOKUP(YEAR(C1466)+(MONTH(C1466)/100),TC!$5:$37,DAY(C1466)+2,FALSE),VLOOKUP(E1466,Equivalencia!$5:$23,((MAX(Equivalencia!$3:$3)-YEAR(C1466))*14)+MONTH(C1466)+2,FALSE)))</f>
        <v>0</v>
      </c>
      <c r="J1466" s="178">
        <f t="shared" si="175"/>
        <v>0</v>
      </c>
      <c r="K1466" s="462">
        <f>IF(C1466=0,0,VLOOKUP(YEAR(C1466),INPC!$B$4:$O$29,MONTH(C1466)+1))</f>
        <v>0</v>
      </c>
      <c r="L1466" s="462">
        <f>IF(S1466=0,0,VLOOKUP(YEAR(S1466),INPC!$B$4:$O$29,MONTH(S1466)+1))</f>
        <v>0</v>
      </c>
      <c r="M1466" s="463">
        <f t="shared" si="176"/>
        <v>0</v>
      </c>
      <c r="N1466" s="465">
        <f t="shared" si="177"/>
        <v>0</v>
      </c>
      <c r="O1466" s="179"/>
      <c r="P1466" s="180"/>
      <c r="Q1466" s="173"/>
      <c r="R1466" s="173"/>
      <c r="S1466" s="174"/>
      <c r="T1466" s="173"/>
      <c r="U1466" s="182"/>
      <c r="V1466" s="177">
        <f>IF(U1466=0,0,IF(T1466="MXN",1/HLOOKUP(YEAR(S1466)+(MONTH(S1466)/100),TC!$5:$37,DAY(S1466)+2,FALSE),VLOOKUP(T1466,Equivalencia!$1:$23,((MAX(Equivalencia!$3:$3)-YEAR(S1466))*14)+MONTH(S1466)+2,FALSE)))</f>
        <v>0</v>
      </c>
      <c r="W1466" s="178">
        <f t="shared" si="178"/>
        <v>0</v>
      </c>
      <c r="X1466" s="481">
        <f t="shared" si="179"/>
        <v>0</v>
      </c>
      <c r="Y1466" s="179"/>
      <c r="Z1466" s="466">
        <f t="shared" si="180"/>
        <v>0</v>
      </c>
      <c r="AA1466" s="473">
        <f t="shared" si="181"/>
        <v>0</v>
      </c>
      <c r="AB1466" s="339">
        <f t="shared" si="182"/>
        <v>0</v>
      </c>
    </row>
    <row r="1467" spans="2:28" ht="20.100000000000001" customHeight="1">
      <c r="B1467" s="172"/>
      <c r="C1467" s="174"/>
      <c r="D1467" s="181"/>
      <c r="E1467" s="173"/>
      <c r="F1467" s="176"/>
      <c r="G1467" s="175">
        <f t="shared" si="173"/>
        <v>0</v>
      </c>
      <c r="H1467" s="175">
        <f t="shared" si="174"/>
        <v>0</v>
      </c>
      <c r="I1467" s="177">
        <f>IF(G1467=0,0,IF(E1467="MXN",1/HLOOKUP(YEAR(C1467)+(MONTH(C1467)/100),TC!$5:$37,DAY(C1467)+2,FALSE),VLOOKUP(E1467,Equivalencia!$5:$23,((MAX(Equivalencia!$3:$3)-YEAR(C1467))*14)+MONTH(C1467)+2,FALSE)))</f>
        <v>0</v>
      </c>
      <c r="J1467" s="178">
        <f t="shared" si="175"/>
        <v>0</v>
      </c>
      <c r="K1467" s="462">
        <f>IF(C1467=0,0,VLOOKUP(YEAR(C1467),INPC!$B$4:$O$29,MONTH(C1467)+1))</f>
        <v>0</v>
      </c>
      <c r="L1467" s="462">
        <f>IF(S1467=0,0,VLOOKUP(YEAR(S1467),INPC!$B$4:$O$29,MONTH(S1467)+1))</f>
        <v>0</v>
      </c>
      <c r="M1467" s="463">
        <f t="shared" si="176"/>
        <v>0</v>
      </c>
      <c r="N1467" s="465">
        <f t="shared" si="177"/>
        <v>0</v>
      </c>
      <c r="O1467" s="179"/>
      <c r="P1467" s="180"/>
      <c r="Q1467" s="173"/>
      <c r="R1467" s="173"/>
      <c r="S1467" s="174"/>
      <c r="T1467" s="173"/>
      <c r="U1467" s="182"/>
      <c r="V1467" s="177">
        <f>IF(U1467=0,0,IF(T1467="MXN",1/HLOOKUP(YEAR(S1467)+(MONTH(S1467)/100),TC!$5:$37,DAY(S1467)+2,FALSE),VLOOKUP(T1467,Equivalencia!$1:$23,((MAX(Equivalencia!$3:$3)-YEAR(S1467))*14)+MONTH(S1467)+2,FALSE)))</f>
        <v>0</v>
      </c>
      <c r="W1467" s="178">
        <f t="shared" si="178"/>
        <v>0</v>
      </c>
      <c r="X1467" s="481">
        <f t="shared" si="179"/>
        <v>0</v>
      </c>
      <c r="Y1467" s="179"/>
      <c r="Z1467" s="466">
        <f t="shared" si="180"/>
        <v>0</v>
      </c>
      <c r="AA1467" s="473">
        <f t="shared" si="181"/>
        <v>0</v>
      </c>
      <c r="AB1467" s="339">
        <f t="shared" si="182"/>
        <v>0</v>
      </c>
    </row>
    <row r="1468" spans="2:28" ht="20.100000000000001" customHeight="1">
      <c r="B1468" s="172"/>
      <c r="C1468" s="174"/>
      <c r="D1468" s="181"/>
      <c r="E1468" s="173"/>
      <c r="F1468" s="176"/>
      <c r="G1468" s="175">
        <f t="shared" si="173"/>
        <v>0</v>
      </c>
      <c r="H1468" s="175">
        <f t="shared" si="174"/>
        <v>0</v>
      </c>
      <c r="I1468" s="177">
        <f>IF(G1468=0,0,IF(E1468="MXN",1/HLOOKUP(YEAR(C1468)+(MONTH(C1468)/100),TC!$5:$37,DAY(C1468)+2,FALSE),VLOOKUP(E1468,Equivalencia!$5:$23,((MAX(Equivalencia!$3:$3)-YEAR(C1468))*14)+MONTH(C1468)+2,FALSE)))</f>
        <v>0</v>
      </c>
      <c r="J1468" s="178">
        <f t="shared" si="175"/>
        <v>0</v>
      </c>
      <c r="K1468" s="462">
        <f>IF(C1468=0,0,VLOOKUP(YEAR(C1468),INPC!$B$4:$O$29,MONTH(C1468)+1))</f>
        <v>0</v>
      </c>
      <c r="L1468" s="462">
        <f>IF(S1468=0,0,VLOOKUP(YEAR(S1468),INPC!$B$4:$O$29,MONTH(S1468)+1))</f>
        <v>0</v>
      </c>
      <c r="M1468" s="463">
        <f t="shared" si="176"/>
        <v>0</v>
      </c>
      <c r="N1468" s="465">
        <f t="shared" si="177"/>
        <v>0</v>
      </c>
      <c r="O1468" s="179"/>
      <c r="P1468" s="180"/>
      <c r="Q1468" s="173"/>
      <c r="R1468" s="173"/>
      <c r="S1468" s="174"/>
      <c r="T1468" s="173"/>
      <c r="U1468" s="182"/>
      <c r="V1468" s="177">
        <f>IF(U1468=0,0,IF(T1468="MXN",1/HLOOKUP(YEAR(S1468)+(MONTH(S1468)/100),TC!$5:$37,DAY(S1468)+2,FALSE),VLOOKUP(T1468,Equivalencia!$1:$23,((MAX(Equivalencia!$3:$3)-YEAR(S1468))*14)+MONTH(S1468)+2,FALSE)))</f>
        <v>0</v>
      </c>
      <c r="W1468" s="178">
        <f t="shared" si="178"/>
        <v>0</v>
      </c>
      <c r="X1468" s="481">
        <f t="shared" si="179"/>
        <v>0</v>
      </c>
      <c r="Y1468" s="179"/>
      <c r="Z1468" s="466">
        <f t="shared" si="180"/>
        <v>0</v>
      </c>
      <c r="AA1468" s="473">
        <f t="shared" si="181"/>
        <v>0</v>
      </c>
      <c r="AB1468" s="339">
        <f t="shared" si="182"/>
        <v>0</v>
      </c>
    </row>
    <row r="1469" spans="2:28" ht="20.100000000000001" customHeight="1">
      <c r="B1469" s="172"/>
      <c r="C1469" s="174"/>
      <c r="D1469" s="181"/>
      <c r="E1469" s="173"/>
      <c r="F1469" s="176"/>
      <c r="G1469" s="175">
        <f t="shared" si="173"/>
        <v>0</v>
      </c>
      <c r="H1469" s="175">
        <f t="shared" si="174"/>
        <v>0</v>
      </c>
      <c r="I1469" s="177">
        <f>IF(G1469=0,0,IF(E1469="MXN",1/HLOOKUP(YEAR(C1469)+(MONTH(C1469)/100),TC!$5:$37,DAY(C1469)+2,FALSE),VLOOKUP(E1469,Equivalencia!$5:$23,((MAX(Equivalencia!$3:$3)-YEAR(C1469))*14)+MONTH(C1469)+2,FALSE)))</f>
        <v>0</v>
      </c>
      <c r="J1469" s="178">
        <f t="shared" si="175"/>
        <v>0</v>
      </c>
      <c r="K1469" s="462">
        <f>IF(C1469=0,0,VLOOKUP(YEAR(C1469),INPC!$B$4:$O$29,MONTH(C1469)+1))</f>
        <v>0</v>
      </c>
      <c r="L1469" s="462">
        <f>IF(S1469=0,0,VLOOKUP(YEAR(S1469),INPC!$B$4:$O$29,MONTH(S1469)+1))</f>
        <v>0</v>
      </c>
      <c r="M1469" s="463">
        <f t="shared" si="176"/>
        <v>0</v>
      </c>
      <c r="N1469" s="465">
        <f t="shared" si="177"/>
        <v>0</v>
      </c>
      <c r="O1469" s="179"/>
      <c r="P1469" s="180"/>
      <c r="Q1469" s="173"/>
      <c r="R1469" s="173"/>
      <c r="S1469" s="174"/>
      <c r="T1469" s="173"/>
      <c r="U1469" s="182"/>
      <c r="V1469" s="177">
        <f>IF(U1469=0,0,IF(T1469="MXN",1/HLOOKUP(YEAR(S1469)+(MONTH(S1469)/100),TC!$5:$37,DAY(S1469)+2,FALSE),VLOOKUP(T1469,Equivalencia!$1:$23,((MAX(Equivalencia!$3:$3)-YEAR(S1469))*14)+MONTH(S1469)+2,FALSE)))</f>
        <v>0</v>
      </c>
      <c r="W1469" s="178">
        <f t="shared" si="178"/>
        <v>0</v>
      </c>
      <c r="X1469" s="481">
        <f t="shared" si="179"/>
        <v>0</v>
      </c>
      <c r="Y1469" s="179"/>
      <c r="Z1469" s="466">
        <f t="shared" si="180"/>
        <v>0</v>
      </c>
      <c r="AA1469" s="473">
        <f t="shared" si="181"/>
        <v>0</v>
      </c>
      <c r="AB1469" s="339">
        <f t="shared" si="182"/>
        <v>0</v>
      </c>
    </row>
    <row r="1470" spans="2:28" ht="20.100000000000001" customHeight="1">
      <c r="B1470" s="172"/>
      <c r="C1470" s="174"/>
      <c r="D1470" s="181"/>
      <c r="E1470" s="173"/>
      <c r="F1470" s="176"/>
      <c r="G1470" s="175">
        <f t="shared" si="173"/>
        <v>0</v>
      </c>
      <c r="H1470" s="175">
        <f t="shared" si="174"/>
        <v>0</v>
      </c>
      <c r="I1470" s="177">
        <f>IF(G1470=0,0,IF(E1470="MXN",1/HLOOKUP(YEAR(C1470)+(MONTH(C1470)/100),TC!$5:$37,DAY(C1470)+2,FALSE),VLOOKUP(E1470,Equivalencia!$5:$23,((MAX(Equivalencia!$3:$3)-YEAR(C1470))*14)+MONTH(C1470)+2,FALSE)))</f>
        <v>0</v>
      </c>
      <c r="J1470" s="178">
        <f t="shared" si="175"/>
        <v>0</v>
      </c>
      <c r="K1470" s="462">
        <f>IF(C1470=0,0,VLOOKUP(YEAR(C1470),INPC!$B$4:$O$29,MONTH(C1470)+1))</f>
        <v>0</v>
      </c>
      <c r="L1470" s="462">
        <f>IF(S1470=0,0,VLOOKUP(YEAR(S1470),INPC!$B$4:$O$29,MONTH(S1470)+1))</f>
        <v>0</v>
      </c>
      <c r="M1470" s="463">
        <f t="shared" si="176"/>
        <v>0</v>
      </c>
      <c r="N1470" s="465">
        <f t="shared" si="177"/>
        <v>0</v>
      </c>
      <c r="O1470" s="179"/>
      <c r="P1470" s="180"/>
      <c r="Q1470" s="173"/>
      <c r="R1470" s="173"/>
      <c r="S1470" s="174"/>
      <c r="T1470" s="173"/>
      <c r="U1470" s="182"/>
      <c r="V1470" s="177">
        <f>IF(U1470=0,0,IF(T1470="MXN",1/HLOOKUP(YEAR(S1470)+(MONTH(S1470)/100),TC!$5:$37,DAY(S1470)+2,FALSE),VLOOKUP(T1470,Equivalencia!$1:$23,((MAX(Equivalencia!$3:$3)-YEAR(S1470))*14)+MONTH(S1470)+2,FALSE)))</f>
        <v>0</v>
      </c>
      <c r="W1470" s="178">
        <f t="shared" si="178"/>
        <v>0</v>
      </c>
      <c r="X1470" s="481">
        <f t="shared" si="179"/>
        <v>0</v>
      </c>
      <c r="Y1470" s="179"/>
      <c r="Z1470" s="466">
        <f t="shared" si="180"/>
        <v>0</v>
      </c>
      <c r="AA1470" s="473">
        <f t="shared" si="181"/>
        <v>0</v>
      </c>
      <c r="AB1470" s="339">
        <f t="shared" si="182"/>
        <v>0</v>
      </c>
    </row>
    <row r="1471" spans="2:28" ht="20.100000000000001" customHeight="1">
      <c r="B1471" s="172"/>
      <c r="C1471" s="174"/>
      <c r="D1471" s="181"/>
      <c r="E1471" s="173"/>
      <c r="F1471" s="176"/>
      <c r="G1471" s="175">
        <f t="shared" si="173"/>
        <v>0</v>
      </c>
      <c r="H1471" s="175">
        <f t="shared" si="174"/>
        <v>0</v>
      </c>
      <c r="I1471" s="177">
        <f>IF(G1471=0,0,IF(E1471="MXN",1/HLOOKUP(YEAR(C1471)+(MONTH(C1471)/100),TC!$5:$37,DAY(C1471)+2,FALSE),VLOOKUP(E1471,Equivalencia!$5:$23,((MAX(Equivalencia!$3:$3)-YEAR(C1471))*14)+MONTH(C1471)+2,FALSE)))</f>
        <v>0</v>
      </c>
      <c r="J1471" s="178">
        <f t="shared" si="175"/>
        <v>0</v>
      </c>
      <c r="K1471" s="462">
        <f>IF(C1471=0,0,VLOOKUP(YEAR(C1471),INPC!$B$4:$O$29,MONTH(C1471)+1))</f>
        <v>0</v>
      </c>
      <c r="L1471" s="462">
        <f>IF(S1471=0,0,VLOOKUP(YEAR(S1471),INPC!$B$4:$O$29,MONTH(S1471)+1))</f>
        <v>0</v>
      </c>
      <c r="M1471" s="463">
        <f t="shared" si="176"/>
        <v>0</v>
      </c>
      <c r="N1471" s="465">
        <f t="shared" si="177"/>
        <v>0</v>
      </c>
      <c r="O1471" s="179"/>
      <c r="P1471" s="180"/>
      <c r="Q1471" s="173"/>
      <c r="R1471" s="173"/>
      <c r="S1471" s="174"/>
      <c r="T1471" s="173"/>
      <c r="U1471" s="182"/>
      <c r="V1471" s="177">
        <f>IF(U1471=0,0,IF(T1471="MXN",1/HLOOKUP(YEAR(S1471)+(MONTH(S1471)/100),TC!$5:$37,DAY(S1471)+2,FALSE),VLOOKUP(T1471,Equivalencia!$1:$23,((MAX(Equivalencia!$3:$3)-YEAR(S1471))*14)+MONTH(S1471)+2,FALSE)))</f>
        <v>0</v>
      </c>
      <c r="W1471" s="178">
        <f t="shared" si="178"/>
        <v>0</v>
      </c>
      <c r="X1471" s="481">
        <f t="shared" si="179"/>
        <v>0</v>
      </c>
      <c r="Y1471" s="179"/>
      <c r="Z1471" s="466">
        <f t="shared" si="180"/>
        <v>0</v>
      </c>
      <c r="AA1471" s="473">
        <f t="shared" si="181"/>
        <v>0</v>
      </c>
      <c r="AB1471" s="339">
        <f t="shared" si="182"/>
        <v>0</v>
      </c>
    </row>
    <row r="1472" spans="2:28" ht="20.100000000000001" customHeight="1">
      <c r="B1472" s="172"/>
      <c r="C1472" s="174"/>
      <c r="D1472" s="181"/>
      <c r="E1472" s="173"/>
      <c r="F1472" s="176"/>
      <c r="G1472" s="175">
        <f t="shared" si="173"/>
        <v>0</v>
      </c>
      <c r="H1472" s="175">
        <f t="shared" si="174"/>
        <v>0</v>
      </c>
      <c r="I1472" s="177">
        <f>IF(G1472=0,0,IF(E1472="MXN",1/HLOOKUP(YEAR(C1472)+(MONTH(C1472)/100),TC!$5:$37,DAY(C1472)+2,FALSE),VLOOKUP(E1472,Equivalencia!$5:$23,((MAX(Equivalencia!$3:$3)-YEAR(C1472))*14)+MONTH(C1472)+2,FALSE)))</f>
        <v>0</v>
      </c>
      <c r="J1472" s="178">
        <f t="shared" si="175"/>
        <v>0</v>
      </c>
      <c r="K1472" s="462">
        <f>IF(C1472=0,0,VLOOKUP(YEAR(C1472),INPC!$B$4:$O$29,MONTH(C1472)+1))</f>
        <v>0</v>
      </c>
      <c r="L1472" s="462">
        <f>IF(S1472=0,0,VLOOKUP(YEAR(S1472),INPC!$B$4:$O$29,MONTH(S1472)+1))</f>
        <v>0</v>
      </c>
      <c r="M1472" s="463">
        <f t="shared" si="176"/>
        <v>0</v>
      </c>
      <c r="N1472" s="465">
        <f t="shared" si="177"/>
        <v>0</v>
      </c>
      <c r="O1472" s="179"/>
      <c r="P1472" s="180"/>
      <c r="Q1472" s="173"/>
      <c r="R1472" s="173"/>
      <c r="S1472" s="174"/>
      <c r="T1472" s="173"/>
      <c r="U1472" s="182"/>
      <c r="V1472" s="177">
        <f>IF(U1472=0,0,IF(T1472="MXN",1/HLOOKUP(YEAR(S1472)+(MONTH(S1472)/100),TC!$5:$37,DAY(S1472)+2,FALSE),VLOOKUP(T1472,Equivalencia!$1:$23,((MAX(Equivalencia!$3:$3)-YEAR(S1472))*14)+MONTH(S1472)+2,FALSE)))</f>
        <v>0</v>
      </c>
      <c r="W1472" s="178">
        <f t="shared" si="178"/>
        <v>0</v>
      </c>
      <c r="X1472" s="481">
        <f t="shared" si="179"/>
        <v>0</v>
      </c>
      <c r="Y1472" s="179"/>
      <c r="Z1472" s="466">
        <f t="shared" si="180"/>
        <v>0</v>
      </c>
      <c r="AA1472" s="473">
        <f t="shared" si="181"/>
        <v>0</v>
      </c>
      <c r="AB1472" s="339">
        <f t="shared" si="182"/>
        <v>0</v>
      </c>
    </row>
    <row r="1473" spans="2:28" ht="20.100000000000001" customHeight="1">
      <c r="B1473" s="172"/>
      <c r="C1473" s="174"/>
      <c r="D1473" s="181"/>
      <c r="E1473" s="173"/>
      <c r="F1473" s="176"/>
      <c r="G1473" s="175">
        <f t="shared" si="173"/>
        <v>0</v>
      </c>
      <c r="H1473" s="175">
        <f t="shared" si="174"/>
        <v>0</v>
      </c>
      <c r="I1473" s="177">
        <f>IF(G1473=0,0,IF(E1473="MXN",1/HLOOKUP(YEAR(C1473)+(MONTH(C1473)/100),TC!$5:$37,DAY(C1473)+2,FALSE),VLOOKUP(E1473,Equivalencia!$5:$23,((MAX(Equivalencia!$3:$3)-YEAR(C1473))*14)+MONTH(C1473)+2,FALSE)))</f>
        <v>0</v>
      </c>
      <c r="J1473" s="178">
        <f t="shared" si="175"/>
        <v>0</v>
      </c>
      <c r="K1473" s="462">
        <f>IF(C1473=0,0,VLOOKUP(YEAR(C1473),INPC!$B$4:$O$29,MONTH(C1473)+1))</f>
        <v>0</v>
      </c>
      <c r="L1473" s="462">
        <f>IF(S1473=0,0,VLOOKUP(YEAR(S1473),INPC!$B$4:$O$29,MONTH(S1473)+1))</f>
        <v>0</v>
      </c>
      <c r="M1473" s="463">
        <f t="shared" si="176"/>
        <v>0</v>
      </c>
      <c r="N1473" s="465">
        <f t="shared" si="177"/>
        <v>0</v>
      </c>
      <c r="O1473" s="179"/>
      <c r="P1473" s="180"/>
      <c r="Q1473" s="173"/>
      <c r="R1473" s="173"/>
      <c r="S1473" s="174"/>
      <c r="T1473" s="173"/>
      <c r="U1473" s="182"/>
      <c r="V1473" s="177">
        <f>IF(U1473=0,0,IF(T1473="MXN",1/HLOOKUP(YEAR(S1473)+(MONTH(S1473)/100),TC!$5:$37,DAY(S1473)+2,FALSE),VLOOKUP(T1473,Equivalencia!$1:$23,((MAX(Equivalencia!$3:$3)-YEAR(S1473))*14)+MONTH(S1473)+2,FALSE)))</f>
        <v>0</v>
      </c>
      <c r="W1473" s="178">
        <f t="shared" si="178"/>
        <v>0</v>
      </c>
      <c r="X1473" s="481">
        <f t="shared" si="179"/>
        <v>0</v>
      </c>
      <c r="Y1473" s="179"/>
      <c r="Z1473" s="466">
        <f t="shared" si="180"/>
        <v>0</v>
      </c>
      <c r="AA1473" s="473">
        <f t="shared" si="181"/>
        <v>0</v>
      </c>
      <c r="AB1473" s="339">
        <f t="shared" si="182"/>
        <v>0</v>
      </c>
    </row>
    <row r="1474" spans="2:28" ht="20.100000000000001" customHeight="1">
      <c r="B1474" s="172"/>
      <c r="C1474" s="174"/>
      <c r="D1474" s="181"/>
      <c r="E1474" s="173"/>
      <c r="F1474" s="176"/>
      <c r="G1474" s="175">
        <f t="shared" si="173"/>
        <v>0</v>
      </c>
      <c r="H1474" s="175">
        <f t="shared" si="174"/>
        <v>0</v>
      </c>
      <c r="I1474" s="177">
        <f>IF(G1474=0,0,IF(E1474="MXN",1/HLOOKUP(YEAR(C1474)+(MONTH(C1474)/100),TC!$5:$37,DAY(C1474)+2,FALSE),VLOOKUP(E1474,Equivalencia!$5:$23,((MAX(Equivalencia!$3:$3)-YEAR(C1474))*14)+MONTH(C1474)+2,FALSE)))</f>
        <v>0</v>
      </c>
      <c r="J1474" s="178">
        <f t="shared" si="175"/>
        <v>0</v>
      </c>
      <c r="K1474" s="462">
        <f>IF(C1474=0,0,VLOOKUP(YEAR(C1474),INPC!$B$4:$O$29,MONTH(C1474)+1))</f>
        <v>0</v>
      </c>
      <c r="L1474" s="462">
        <f>IF(S1474=0,0,VLOOKUP(YEAR(S1474),INPC!$B$4:$O$29,MONTH(S1474)+1))</f>
        <v>0</v>
      </c>
      <c r="M1474" s="463">
        <f t="shared" si="176"/>
        <v>0</v>
      </c>
      <c r="N1474" s="465">
        <f t="shared" si="177"/>
        <v>0</v>
      </c>
      <c r="O1474" s="179"/>
      <c r="P1474" s="180"/>
      <c r="Q1474" s="173"/>
      <c r="R1474" s="173"/>
      <c r="S1474" s="174"/>
      <c r="T1474" s="173"/>
      <c r="U1474" s="182"/>
      <c r="V1474" s="177">
        <f>IF(U1474=0,0,IF(T1474="MXN",1/HLOOKUP(YEAR(S1474)+(MONTH(S1474)/100),TC!$5:$37,DAY(S1474)+2,FALSE),VLOOKUP(T1474,Equivalencia!$1:$23,((MAX(Equivalencia!$3:$3)-YEAR(S1474))*14)+MONTH(S1474)+2,FALSE)))</f>
        <v>0</v>
      </c>
      <c r="W1474" s="178">
        <f t="shared" si="178"/>
        <v>0</v>
      </c>
      <c r="X1474" s="481">
        <f t="shared" si="179"/>
        <v>0</v>
      </c>
      <c r="Y1474" s="179"/>
      <c r="Z1474" s="466">
        <f t="shared" si="180"/>
        <v>0</v>
      </c>
      <c r="AA1474" s="473">
        <f t="shared" si="181"/>
        <v>0</v>
      </c>
      <c r="AB1474" s="339">
        <f t="shared" si="182"/>
        <v>0</v>
      </c>
    </row>
    <row r="1475" spans="2:28" ht="20.100000000000001" customHeight="1">
      <c r="B1475" s="172"/>
      <c r="C1475" s="174"/>
      <c r="D1475" s="181"/>
      <c r="E1475" s="173"/>
      <c r="F1475" s="176"/>
      <c r="G1475" s="175">
        <f t="shared" si="173"/>
        <v>0</v>
      </c>
      <c r="H1475" s="175">
        <f t="shared" si="174"/>
        <v>0</v>
      </c>
      <c r="I1475" s="177">
        <f>IF(G1475=0,0,IF(E1475="MXN",1/HLOOKUP(YEAR(C1475)+(MONTH(C1475)/100),TC!$5:$37,DAY(C1475)+2,FALSE),VLOOKUP(E1475,Equivalencia!$5:$23,((MAX(Equivalencia!$3:$3)-YEAR(C1475))*14)+MONTH(C1475)+2,FALSE)))</f>
        <v>0</v>
      </c>
      <c r="J1475" s="178">
        <f t="shared" si="175"/>
        <v>0</v>
      </c>
      <c r="K1475" s="462">
        <f>IF(C1475=0,0,VLOOKUP(YEAR(C1475),INPC!$B$4:$O$29,MONTH(C1475)+1))</f>
        <v>0</v>
      </c>
      <c r="L1475" s="462">
        <f>IF(S1475=0,0,VLOOKUP(YEAR(S1475),INPC!$B$4:$O$29,MONTH(S1475)+1))</f>
        <v>0</v>
      </c>
      <c r="M1475" s="463">
        <f t="shared" si="176"/>
        <v>0</v>
      </c>
      <c r="N1475" s="465">
        <f t="shared" si="177"/>
        <v>0</v>
      </c>
      <c r="O1475" s="179"/>
      <c r="P1475" s="180"/>
      <c r="Q1475" s="173"/>
      <c r="R1475" s="173"/>
      <c r="S1475" s="174"/>
      <c r="T1475" s="173"/>
      <c r="U1475" s="182"/>
      <c r="V1475" s="177">
        <f>IF(U1475=0,0,IF(T1475="MXN",1/HLOOKUP(YEAR(S1475)+(MONTH(S1475)/100),TC!$5:$37,DAY(S1475)+2,FALSE),VLOOKUP(T1475,Equivalencia!$1:$23,((MAX(Equivalencia!$3:$3)-YEAR(S1475))*14)+MONTH(S1475)+2,FALSE)))</f>
        <v>0</v>
      </c>
      <c r="W1475" s="178">
        <f t="shared" si="178"/>
        <v>0</v>
      </c>
      <c r="X1475" s="481">
        <f t="shared" si="179"/>
        <v>0</v>
      </c>
      <c r="Y1475" s="179"/>
      <c r="Z1475" s="466">
        <f t="shared" si="180"/>
        <v>0</v>
      </c>
      <c r="AA1475" s="473">
        <f t="shared" si="181"/>
        <v>0</v>
      </c>
      <c r="AB1475" s="339">
        <f t="shared" si="182"/>
        <v>0</v>
      </c>
    </row>
    <row r="1476" spans="2:28" ht="20.100000000000001" customHeight="1">
      <c r="B1476" s="172"/>
      <c r="C1476" s="174"/>
      <c r="D1476" s="181"/>
      <c r="E1476" s="173"/>
      <c r="F1476" s="176"/>
      <c r="G1476" s="175">
        <f t="shared" si="173"/>
        <v>0</v>
      </c>
      <c r="H1476" s="175">
        <f t="shared" si="174"/>
        <v>0</v>
      </c>
      <c r="I1476" s="177">
        <f>IF(G1476=0,0,IF(E1476="MXN",1/HLOOKUP(YEAR(C1476)+(MONTH(C1476)/100),TC!$5:$37,DAY(C1476)+2,FALSE),VLOOKUP(E1476,Equivalencia!$5:$23,((MAX(Equivalencia!$3:$3)-YEAR(C1476))*14)+MONTH(C1476)+2,FALSE)))</f>
        <v>0</v>
      </c>
      <c r="J1476" s="178">
        <f t="shared" si="175"/>
        <v>0</v>
      </c>
      <c r="K1476" s="462">
        <f>IF(C1476=0,0,VLOOKUP(YEAR(C1476),INPC!$B$4:$O$29,MONTH(C1476)+1))</f>
        <v>0</v>
      </c>
      <c r="L1476" s="462">
        <f>IF(S1476=0,0,VLOOKUP(YEAR(S1476),INPC!$B$4:$O$29,MONTH(S1476)+1))</f>
        <v>0</v>
      </c>
      <c r="M1476" s="463">
        <f t="shared" si="176"/>
        <v>0</v>
      </c>
      <c r="N1476" s="465">
        <f t="shared" si="177"/>
        <v>0</v>
      </c>
      <c r="O1476" s="179"/>
      <c r="P1476" s="180"/>
      <c r="Q1476" s="173"/>
      <c r="R1476" s="173"/>
      <c r="S1476" s="174"/>
      <c r="T1476" s="173"/>
      <c r="U1476" s="182"/>
      <c r="V1476" s="177">
        <f>IF(U1476=0,0,IF(T1476="MXN",1/HLOOKUP(YEAR(S1476)+(MONTH(S1476)/100),TC!$5:$37,DAY(S1476)+2,FALSE),VLOOKUP(T1476,Equivalencia!$1:$23,((MAX(Equivalencia!$3:$3)-YEAR(S1476))*14)+MONTH(S1476)+2,FALSE)))</f>
        <v>0</v>
      </c>
      <c r="W1476" s="178">
        <f t="shared" si="178"/>
        <v>0</v>
      </c>
      <c r="X1476" s="481">
        <f t="shared" si="179"/>
        <v>0</v>
      </c>
      <c r="Y1476" s="179"/>
      <c r="Z1476" s="466">
        <f t="shared" si="180"/>
        <v>0</v>
      </c>
      <c r="AA1476" s="473">
        <f t="shared" si="181"/>
        <v>0</v>
      </c>
      <c r="AB1476" s="339">
        <f t="shared" si="182"/>
        <v>0</v>
      </c>
    </row>
    <row r="1477" spans="2:28" ht="20.100000000000001" customHeight="1">
      <c r="B1477" s="172"/>
      <c r="C1477" s="174"/>
      <c r="D1477" s="181"/>
      <c r="E1477" s="173"/>
      <c r="F1477" s="176"/>
      <c r="G1477" s="175">
        <f t="shared" si="173"/>
        <v>0</v>
      </c>
      <c r="H1477" s="175">
        <f t="shared" si="174"/>
        <v>0</v>
      </c>
      <c r="I1477" s="177">
        <f>IF(G1477=0,0,IF(E1477="MXN",1/HLOOKUP(YEAR(C1477)+(MONTH(C1477)/100),TC!$5:$37,DAY(C1477)+2,FALSE),VLOOKUP(E1477,Equivalencia!$5:$23,((MAX(Equivalencia!$3:$3)-YEAR(C1477))*14)+MONTH(C1477)+2,FALSE)))</f>
        <v>0</v>
      </c>
      <c r="J1477" s="178">
        <f t="shared" si="175"/>
        <v>0</v>
      </c>
      <c r="K1477" s="462">
        <f>IF(C1477=0,0,VLOOKUP(YEAR(C1477),INPC!$B$4:$O$29,MONTH(C1477)+1))</f>
        <v>0</v>
      </c>
      <c r="L1477" s="462">
        <f>IF(S1477=0,0,VLOOKUP(YEAR(S1477),INPC!$B$4:$O$29,MONTH(S1477)+1))</f>
        <v>0</v>
      </c>
      <c r="M1477" s="463">
        <f t="shared" si="176"/>
        <v>0</v>
      </c>
      <c r="N1477" s="465">
        <f t="shared" si="177"/>
        <v>0</v>
      </c>
      <c r="O1477" s="179"/>
      <c r="P1477" s="180"/>
      <c r="Q1477" s="173"/>
      <c r="R1477" s="173"/>
      <c r="S1477" s="174"/>
      <c r="T1477" s="173"/>
      <c r="U1477" s="182"/>
      <c r="V1477" s="177">
        <f>IF(U1477=0,0,IF(T1477="MXN",1/HLOOKUP(YEAR(S1477)+(MONTH(S1477)/100),TC!$5:$37,DAY(S1477)+2,FALSE),VLOOKUP(T1477,Equivalencia!$1:$23,((MAX(Equivalencia!$3:$3)-YEAR(S1477))*14)+MONTH(S1477)+2,FALSE)))</f>
        <v>0</v>
      </c>
      <c r="W1477" s="178">
        <f t="shared" si="178"/>
        <v>0</v>
      </c>
      <c r="X1477" s="481">
        <f t="shared" si="179"/>
        <v>0</v>
      </c>
      <c r="Y1477" s="179"/>
      <c r="Z1477" s="466">
        <f t="shared" si="180"/>
        <v>0</v>
      </c>
      <c r="AA1477" s="473">
        <f t="shared" si="181"/>
        <v>0</v>
      </c>
      <c r="AB1477" s="339">
        <f t="shared" si="182"/>
        <v>0</v>
      </c>
    </row>
    <row r="1478" spans="2:28" ht="20.100000000000001" customHeight="1">
      <c r="B1478" s="172"/>
      <c r="C1478" s="174"/>
      <c r="D1478" s="181"/>
      <c r="E1478" s="173"/>
      <c r="F1478" s="176"/>
      <c r="G1478" s="175">
        <f t="shared" si="173"/>
        <v>0</v>
      </c>
      <c r="H1478" s="175">
        <f t="shared" si="174"/>
        <v>0</v>
      </c>
      <c r="I1478" s="177">
        <f>IF(G1478=0,0,IF(E1478="MXN",1/HLOOKUP(YEAR(C1478)+(MONTH(C1478)/100),TC!$5:$37,DAY(C1478)+2,FALSE),VLOOKUP(E1478,Equivalencia!$5:$23,((MAX(Equivalencia!$3:$3)-YEAR(C1478))*14)+MONTH(C1478)+2,FALSE)))</f>
        <v>0</v>
      </c>
      <c r="J1478" s="178">
        <f t="shared" si="175"/>
        <v>0</v>
      </c>
      <c r="K1478" s="462">
        <f>IF(C1478=0,0,VLOOKUP(YEAR(C1478),INPC!$B$4:$O$29,MONTH(C1478)+1))</f>
        <v>0</v>
      </c>
      <c r="L1478" s="462">
        <f>IF(S1478=0,0,VLOOKUP(YEAR(S1478),INPC!$B$4:$O$29,MONTH(S1478)+1))</f>
        <v>0</v>
      </c>
      <c r="M1478" s="463">
        <f t="shared" si="176"/>
        <v>0</v>
      </c>
      <c r="N1478" s="465">
        <f t="shared" si="177"/>
        <v>0</v>
      </c>
      <c r="O1478" s="179"/>
      <c r="P1478" s="180"/>
      <c r="Q1478" s="173"/>
      <c r="R1478" s="173"/>
      <c r="S1478" s="174"/>
      <c r="T1478" s="173"/>
      <c r="U1478" s="182"/>
      <c r="V1478" s="177">
        <f>IF(U1478=0,0,IF(T1478="MXN",1/HLOOKUP(YEAR(S1478)+(MONTH(S1478)/100),TC!$5:$37,DAY(S1478)+2,FALSE),VLOOKUP(T1478,Equivalencia!$1:$23,((MAX(Equivalencia!$3:$3)-YEAR(S1478))*14)+MONTH(S1478)+2,FALSE)))</f>
        <v>0</v>
      </c>
      <c r="W1478" s="178">
        <f t="shared" si="178"/>
        <v>0</v>
      </c>
      <c r="X1478" s="481">
        <f t="shared" si="179"/>
        <v>0</v>
      </c>
      <c r="Y1478" s="179"/>
      <c r="Z1478" s="466">
        <f t="shared" si="180"/>
        <v>0</v>
      </c>
      <c r="AA1478" s="473">
        <f t="shared" si="181"/>
        <v>0</v>
      </c>
      <c r="AB1478" s="339">
        <f t="shared" si="182"/>
        <v>0</v>
      </c>
    </row>
    <row r="1479" spans="2:28" ht="20.100000000000001" customHeight="1">
      <c r="B1479" s="172"/>
      <c r="C1479" s="174"/>
      <c r="D1479" s="181"/>
      <c r="E1479" s="173"/>
      <c r="F1479" s="176"/>
      <c r="G1479" s="175">
        <f t="shared" si="173"/>
        <v>0</v>
      </c>
      <c r="H1479" s="175">
        <f t="shared" si="174"/>
        <v>0</v>
      </c>
      <c r="I1479" s="177">
        <f>IF(G1479=0,0,IF(E1479="MXN",1/HLOOKUP(YEAR(C1479)+(MONTH(C1479)/100),TC!$5:$37,DAY(C1479)+2,FALSE),VLOOKUP(E1479,Equivalencia!$5:$23,((MAX(Equivalencia!$3:$3)-YEAR(C1479))*14)+MONTH(C1479)+2,FALSE)))</f>
        <v>0</v>
      </c>
      <c r="J1479" s="178">
        <f t="shared" si="175"/>
        <v>0</v>
      </c>
      <c r="K1479" s="462">
        <f>IF(C1479=0,0,VLOOKUP(YEAR(C1479),INPC!$B$4:$O$29,MONTH(C1479)+1))</f>
        <v>0</v>
      </c>
      <c r="L1479" s="462">
        <f>IF(S1479=0,0,VLOOKUP(YEAR(S1479),INPC!$B$4:$O$29,MONTH(S1479)+1))</f>
        <v>0</v>
      </c>
      <c r="M1479" s="463">
        <f t="shared" si="176"/>
        <v>0</v>
      </c>
      <c r="N1479" s="465">
        <f t="shared" si="177"/>
        <v>0</v>
      </c>
      <c r="O1479" s="179"/>
      <c r="P1479" s="180"/>
      <c r="Q1479" s="173"/>
      <c r="R1479" s="173"/>
      <c r="S1479" s="174"/>
      <c r="T1479" s="173"/>
      <c r="U1479" s="182"/>
      <c r="V1479" s="177">
        <f>IF(U1479=0,0,IF(T1479="MXN",1/HLOOKUP(YEAR(S1479)+(MONTH(S1479)/100),TC!$5:$37,DAY(S1479)+2,FALSE),VLOOKUP(T1479,Equivalencia!$1:$23,((MAX(Equivalencia!$3:$3)-YEAR(S1479))*14)+MONTH(S1479)+2,FALSE)))</f>
        <v>0</v>
      </c>
      <c r="W1479" s="178">
        <f t="shared" si="178"/>
        <v>0</v>
      </c>
      <c r="X1479" s="481">
        <f t="shared" si="179"/>
        <v>0</v>
      </c>
      <c r="Y1479" s="179"/>
      <c r="Z1479" s="466">
        <f t="shared" si="180"/>
        <v>0</v>
      </c>
      <c r="AA1479" s="473">
        <f t="shared" si="181"/>
        <v>0</v>
      </c>
      <c r="AB1479" s="339">
        <f t="shared" si="182"/>
        <v>0</v>
      </c>
    </row>
    <row r="1480" spans="2:28" ht="20.100000000000001" customHeight="1">
      <c r="B1480" s="172"/>
      <c r="C1480" s="174"/>
      <c r="D1480" s="181"/>
      <c r="E1480" s="173"/>
      <c r="F1480" s="176"/>
      <c r="G1480" s="175">
        <f t="shared" si="173"/>
        <v>0</v>
      </c>
      <c r="H1480" s="175">
        <f t="shared" si="174"/>
        <v>0</v>
      </c>
      <c r="I1480" s="177">
        <f>IF(G1480=0,0,IF(E1480="MXN",1/HLOOKUP(YEAR(C1480)+(MONTH(C1480)/100),TC!$5:$37,DAY(C1480)+2,FALSE),VLOOKUP(E1480,Equivalencia!$5:$23,((MAX(Equivalencia!$3:$3)-YEAR(C1480))*14)+MONTH(C1480)+2,FALSE)))</f>
        <v>0</v>
      </c>
      <c r="J1480" s="178">
        <f t="shared" si="175"/>
        <v>0</v>
      </c>
      <c r="K1480" s="462">
        <f>IF(C1480=0,0,VLOOKUP(YEAR(C1480),INPC!$B$4:$O$29,MONTH(C1480)+1))</f>
        <v>0</v>
      </c>
      <c r="L1480" s="462">
        <f>IF(S1480=0,0,VLOOKUP(YEAR(S1480),INPC!$B$4:$O$29,MONTH(S1480)+1))</f>
        <v>0</v>
      </c>
      <c r="M1480" s="463">
        <f t="shared" si="176"/>
        <v>0</v>
      </c>
      <c r="N1480" s="465">
        <f t="shared" si="177"/>
        <v>0</v>
      </c>
      <c r="O1480" s="179"/>
      <c r="P1480" s="180"/>
      <c r="Q1480" s="173"/>
      <c r="R1480" s="173"/>
      <c r="S1480" s="174"/>
      <c r="T1480" s="173"/>
      <c r="U1480" s="182"/>
      <c r="V1480" s="177">
        <f>IF(U1480=0,0,IF(T1480="MXN",1/HLOOKUP(YEAR(S1480)+(MONTH(S1480)/100),TC!$5:$37,DAY(S1480)+2,FALSE),VLOOKUP(T1480,Equivalencia!$1:$23,((MAX(Equivalencia!$3:$3)-YEAR(S1480))*14)+MONTH(S1480)+2,FALSE)))</f>
        <v>0</v>
      </c>
      <c r="W1480" s="178">
        <f t="shared" si="178"/>
        <v>0</v>
      </c>
      <c r="X1480" s="481">
        <f t="shared" si="179"/>
        <v>0</v>
      </c>
      <c r="Y1480" s="179"/>
      <c r="Z1480" s="466">
        <f t="shared" si="180"/>
        <v>0</v>
      </c>
      <c r="AA1480" s="473">
        <f t="shared" si="181"/>
        <v>0</v>
      </c>
      <c r="AB1480" s="339">
        <f t="shared" si="182"/>
        <v>0</v>
      </c>
    </row>
    <row r="1481" spans="2:28" ht="20.100000000000001" customHeight="1">
      <c r="B1481" s="172"/>
      <c r="C1481" s="174"/>
      <c r="D1481" s="181"/>
      <c r="E1481" s="173"/>
      <c r="F1481" s="176"/>
      <c r="G1481" s="175">
        <f t="shared" si="173"/>
        <v>0</v>
      </c>
      <c r="H1481" s="175">
        <f t="shared" si="174"/>
        <v>0</v>
      </c>
      <c r="I1481" s="177">
        <f>IF(G1481=0,0,IF(E1481="MXN",1/HLOOKUP(YEAR(C1481)+(MONTH(C1481)/100),TC!$5:$37,DAY(C1481)+2,FALSE),VLOOKUP(E1481,Equivalencia!$5:$23,((MAX(Equivalencia!$3:$3)-YEAR(C1481))*14)+MONTH(C1481)+2,FALSE)))</f>
        <v>0</v>
      </c>
      <c r="J1481" s="178">
        <f t="shared" si="175"/>
        <v>0</v>
      </c>
      <c r="K1481" s="462">
        <f>IF(C1481=0,0,VLOOKUP(YEAR(C1481),INPC!$B$4:$O$29,MONTH(C1481)+1))</f>
        <v>0</v>
      </c>
      <c r="L1481" s="462">
        <f>IF(S1481=0,0,VLOOKUP(YEAR(S1481),INPC!$B$4:$O$29,MONTH(S1481)+1))</f>
        <v>0</v>
      </c>
      <c r="M1481" s="463">
        <f t="shared" si="176"/>
        <v>0</v>
      </c>
      <c r="N1481" s="465">
        <f t="shared" si="177"/>
        <v>0</v>
      </c>
      <c r="O1481" s="179"/>
      <c r="P1481" s="180"/>
      <c r="Q1481" s="173"/>
      <c r="R1481" s="173"/>
      <c r="S1481" s="174"/>
      <c r="T1481" s="173"/>
      <c r="U1481" s="182"/>
      <c r="V1481" s="177">
        <f>IF(U1481=0,0,IF(T1481="MXN",1/HLOOKUP(YEAR(S1481)+(MONTH(S1481)/100),TC!$5:$37,DAY(S1481)+2,FALSE),VLOOKUP(T1481,Equivalencia!$1:$23,((MAX(Equivalencia!$3:$3)-YEAR(S1481))*14)+MONTH(S1481)+2,FALSE)))</f>
        <v>0</v>
      </c>
      <c r="W1481" s="178">
        <f t="shared" si="178"/>
        <v>0</v>
      </c>
      <c r="X1481" s="481">
        <f t="shared" si="179"/>
        <v>0</v>
      </c>
      <c r="Y1481" s="179"/>
      <c r="Z1481" s="466">
        <f t="shared" si="180"/>
        <v>0</v>
      </c>
      <c r="AA1481" s="473">
        <f t="shared" si="181"/>
        <v>0</v>
      </c>
      <c r="AB1481" s="339">
        <f t="shared" si="182"/>
        <v>0</v>
      </c>
    </row>
    <row r="1482" spans="2:28" ht="20.100000000000001" customHeight="1">
      <c r="B1482" s="172"/>
      <c r="C1482" s="174"/>
      <c r="D1482" s="181"/>
      <c r="E1482" s="173"/>
      <c r="F1482" s="176"/>
      <c r="G1482" s="175">
        <f t="shared" si="173"/>
        <v>0</v>
      </c>
      <c r="H1482" s="175">
        <f t="shared" si="174"/>
        <v>0</v>
      </c>
      <c r="I1482" s="177">
        <f>IF(G1482=0,0,IF(E1482="MXN",1/HLOOKUP(YEAR(C1482)+(MONTH(C1482)/100),TC!$5:$37,DAY(C1482)+2,FALSE),VLOOKUP(E1482,Equivalencia!$5:$23,((MAX(Equivalencia!$3:$3)-YEAR(C1482))*14)+MONTH(C1482)+2,FALSE)))</f>
        <v>0</v>
      </c>
      <c r="J1482" s="178">
        <f t="shared" si="175"/>
        <v>0</v>
      </c>
      <c r="K1482" s="462">
        <f>IF(C1482=0,0,VLOOKUP(YEAR(C1482),INPC!$B$4:$O$29,MONTH(C1482)+1))</f>
        <v>0</v>
      </c>
      <c r="L1482" s="462">
        <f>IF(S1482=0,0,VLOOKUP(YEAR(S1482),INPC!$B$4:$O$29,MONTH(S1482)+1))</f>
        <v>0</v>
      </c>
      <c r="M1482" s="463">
        <f t="shared" si="176"/>
        <v>0</v>
      </c>
      <c r="N1482" s="465">
        <f t="shared" si="177"/>
        <v>0</v>
      </c>
      <c r="O1482" s="179"/>
      <c r="P1482" s="180"/>
      <c r="Q1482" s="173"/>
      <c r="R1482" s="173"/>
      <c r="S1482" s="174"/>
      <c r="T1482" s="173"/>
      <c r="U1482" s="182"/>
      <c r="V1482" s="177">
        <f>IF(U1482=0,0,IF(T1482="MXN",1/HLOOKUP(YEAR(S1482)+(MONTH(S1482)/100),TC!$5:$37,DAY(S1482)+2,FALSE),VLOOKUP(T1482,Equivalencia!$1:$23,((MAX(Equivalencia!$3:$3)-YEAR(S1482))*14)+MONTH(S1482)+2,FALSE)))</f>
        <v>0</v>
      </c>
      <c r="W1482" s="178">
        <f t="shared" si="178"/>
        <v>0</v>
      </c>
      <c r="X1482" s="481">
        <f t="shared" si="179"/>
        <v>0</v>
      </c>
      <c r="Y1482" s="179"/>
      <c r="Z1482" s="466">
        <f t="shared" si="180"/>
        <v>0</v>
      </c>
      <c r="AA1482" s="473">
        <f t="shared" si="181"/>
        <v>0</v>
      </c>
      <c r="AB1482" s="339">
        <f t="shared" si="182"/>
        <v>0</v>
      </c>
    </row>
    <row r="1483" spans="2:28" ht="20.100000000000001" customHeight="1">
      <c r="B1483" s="172"/>
      <c r="C1483" s="174"/>
      <c r="D1483" s="181"/>
      <c r="E1483" s="173"/>
      <c r="F1483" s="176"/>
      <c r="G1483" s="175">
        <f t="shared" si="173"/>
        <v>0</v>
      </c>
      <c r="H1483" s="175">
        <f t="shared" si="174"/>
        <v>0</v>
      </c>
      <c r="I1483" s="177">
        <f>IF(G1483=0,0,IF(E1483="MXN",1/HLOOKUP(YEAR(C1483)+(MONTH(C1483)/100),TC!$5:$37,DAY(C1483)+2,FALSE),VLOOKUP(E1483,Equivalencia!$5:$23,((MAX(Equivalencia!$3:$3)-YEAR(C1483))*14)+MONTH(C1483)+2,FALSE)))</f>
        <v>0</v>
      </c>
      <c r="J1483" s="178">
        <f t="shared" si="175"/>
        <v>0</v>
      </c>
      <c r="K1483" s="462">
        <f>IF(C1483=0,0,VLOOKUP(YEAR(C1483),INPC!$B$4:$O$29,MONTH(C1483)+1))</f>
        <v>0</v>
      </c>
      <c r="L1483" s="462">
        <f>IF(S1483=0,0,VLOOKUP(YEAR(S1483),INPC!$B$4:$O$29,MONTH(S1483)+1))</f>
        <v>0</v>
      </c>
      <c r="M1483" s="463">
        <f t="shared" si="176"/>
        <v>0</v>
      </c>
      <c r="N1483" s="465">
        <f t="shared" si="177"/>
        <v>0</v>
      </c>
      <c r="O1483" s="179"/>
      <c r="P1483" s="180"/>
      <c r="Q1483" s="173"/>
      <c r="R1483" s="173"/>
      <c r="S1483" s="174"/>
      <c r="T1483" s="173"/>
      <c r="U1483" s="182"/>
      <c r="V1483" s="177">
        <f>IF(U1483=0,0,IF(T1483="MXN",1/HLOOKUP(YEAR(S1483)+(MONTH(S1483)/100),TC!$5:$37,DAY(S1483)+2,FALSE),VLOOKUP(T1483,Equivalencia!$1:$23,((MAX(Equivalencia!$3:$3)-YEAR(S1483))*14)+MONTH(S1483)+2,FALSE)))</f>
        <v>0</v>
      </c>
      <c r="W1483" s="178">
        <f t="shared" si="178"/>
        <v>0</v>
      </c>
      <c r="X1483" s="481">
        <f t="shared" si="179"/>
        <v>0</v>
      </c>
      <c r="Y1483" s="179"/>
      <c r="Z1483" s="466">
        <f t="shared" si="180"/>
        <v>0</v>
      </c>
      <c r="AA1483" s="473">
        <f t="shared" si="181"/>
        <v>0</v>
      </c>
      <c r="AB1483" s="339">
        <f t="shared" si="182"/>
        <v>0</v>
      </c>
    </row>
    <row r="1484" spans="2:28" ht="20.100000000000001" customHeight="1">
      <c r="B1484" s="172"/>
      <c r="C1484" s="174"/>
      <c r="D1484" s="181"/>
      <c r="E1484" s="173"/>
      <c r="F1484" s="176"/>
      <c r="G1484" s="175">
        <f t="shared" si="173"/>
        <v>0</v>
      </c>
      <c r="H1484" s="175">
        <f t="shared" si="174"/>
        <v>0</v>
      </c>
      <c r="I1484" s="177">
        <f>IF(G1484=0,0,IF(E1484="MXN",1/HLOOKUP(YEAR(C1484)+(MONTH(C1484)/100),TC!$5:$37,DAY(C1484)+2,FALSE),VLOOKUP(E1484,Equivalencia!$5:$23,((MAX(Equivalencia!$3:$3)-YEAR(C1484))*14)+MONTH(C1484)+2,FALSE)))</f>
        <v>0</v>
      </c>
      <c r="J1484" s="178">
        <f t="shared" si="175"/>
        <v>0</v>
      </c>
      <c r="K1484" s="462">
        <f>IF(C1484=0,0,VLOOKUP(YEAR(C1484),INPC!$B$4:$O$29,MONTH(C1484)+1))</f>
        <v>0</v>
      </c>
      <c r="L1484" s="462">
        <f>IF(S1484=0,0,VLOOKUP(YEAR(S1484),INPC!$B$4:$O$29,MONTH(S1484)+1))</f>
        <v>0</v>
      </c>
      <c r="M1484" s="463">
        <f t="shared" si="176"/>
        <v>0</v>
      </c>
      <c r="N1484" s="465">
        <f t="shared" si="177"/>
        <v>0</v>
      </c>
      <c r="O1484" s="179"/>
      <c r="P1484" s="180"/>
      <c r="Q1484" s="173"/>
      <c r="R1484" s="173"/>
      <c r="S1484" s="174"/>
      <c r="T1484" s="173"/>
      <c r="U1484" s="182"/>
      <c r="V1484" s="177">
        <f>IF(U1484=0,0,IF(T1484="MXN",1/HLOOKUP(YEAR(S1484)+(MONTH(S1484)/100),TC!$5:$37,DAY(S1484)+2,FALSE),VLOOKUP(T1484,Equivalencia!$1:$23,((MAX(Equivalencia!$3:$3)-YEAR(S1484))*14)+MONTH(S1484)+2,FALSE)))</f>
        <v>0</v>
      </c>
      <c r="W1484" s="178">
        <f t="shared" si="178"/>
        <v>0</v>
      </c>
      <c r="X1484" s="481">
        <f t="shared" si="179"/>
        <v>0</v>
      </c>
      <c r="Y1484" s="179"/>
      <c r="Z1484" s="466">
        <f t="shared" si="180"/>
        <v>0</v>
      </c>
      <c r="AA1484" s="473">
        <f t="shared" si="181"/>
        <v>0</v>
      </c>
      <c r="AB1484" s="339">
        <f t="shared" si="182"/>
        <v>0</v>
      </c>
    </row>
    <row r="1485" spans="2:28" ht="20.100000000000001" customHeight="1">
      <c r="B1485" s="172"/>
      <c r="C1485" s="174"/>
      <c r="D1485" s="181"/>
      <c r="E1485" s="173"/>
      <c r="F1485" s="176"/>
      <c r="G1485" s="175">
        <f t="shared" si="173"/>
        <v>0</v>
      </c>
      <c r="H1485" s="175">
        <f t="shared" si="174"/>
        <v>0</v>
      </c>
      <c r="I1485" s="177">
        <f>IF(G1485=0,0,IF(E1485="MXN",1/HLOOKUP(YEAR(C1485)+(MONTH(C1485)/100),TC!$5:$37,DAY(C1485)+2,FALSE),VLOOKUP(E1485,Equivalencia!$5:$23,((MAX(Equivalencia!$3:$3)-YEAR(C1485))*14)+MONTH(C1485)+2,FALSE)))</f>
        <v>0</v>
      </c>
      <c r="J1485" s="178">
        <f t="shared" si="175"/>
        <v>0</v>
      </c>
      <c r="K1485" s="462">
        <f>IF(C1485=0,0,VLOOKUP(YEAR(C1485),INPC!$B$4:$O$29,MONTH(C1485)+1))</f>
        <v>0</v>
      </c>
      <c r="L1485" s="462">
        <f>IF(S1485=0,0,VLOOKUP(YEAR(S1485),INPC!$B$4:$O$29,MONTH(S1485)+1))</f>
        <v>0</v>
      </c>
      <c r="M1485" s="463">
        <f t="shared" si="176"/>
        <v>0</v>
      </c>
      <c r="N1485" s="465">
        <f t="shared" si="177"/>
        <v>0</v>
      </c>
      <c r="O1485" s="179"/>
      <c r="P1485" s="180"/>
      <c r="Q1485" s="173"/>
      <c r="R1485" s="173"/>
      <c r="S1485" s="174"/>
      <c r="T1485" s="173"/>
      <c r="U1485" s="182"/>
      <c r="V1485" s="177">
        <f>IF(U1485=0,0,IF(T1485="MXN",1/HLOOKUP(YEAR(S1485)+(MONTH(S1485)/100),TC!$5:$37,DAY(S1485)+2,FALSE),VLOOKUP(T1485,Equivalencia!$1:$23,((MAX(Equivalencia!$3:$3)-YEAR(S1485))*14)+MONTH(S1485)+2,FALSE)))</f>
        <v>0</v>
      </c>
      <c r="W1485" s="178">
        <f t="shared" si="178"/>
        <v>0</v>
      </c>
      <c r="X1485" s="481">
        <f t="shared" si="179"/>
        <v>0</v>
      </c>
      <c r="Y1485" s="179"/>
      <c r="Z1485" s="466">
        <f t="shared" si="180"/>
        <v>0</v>
      </c>
      <c r="AA1485" s="473">
        <f t="shared" si="181"/>
        <v>0</v>
      </c>
      <c r="AB1485" s="339">
        <f t="shared" si="182"/>
        <v>0</v>
      </c>
    </row>
    <row r="1486" spans="2:28" ht="20.100000000000001" customHeight="1">
      <c r="B1486" s="172"/>
      <c r="C1486" s="174"/>
      <c r="D1486" s="181"/>
      <c r="E1486" s="173"/>
      <c r="F1486" s="176"/>
      <c r="G1486" s="175">
        <f t="shared" si="173"/>
        <v>0</v>
      </c>
      <c r="H1486" s="175">
        <f t="shared" si="174"/>
        <v>0</v>
      </c>
      <c r="I1486" s="177">
        <f>IF(G1486=0,0,IF(E1486="MXN",1/HLOOKUP(YEAR(C1486)+(MONTH(C1486)/100),TC!$5:$37,DAY(C1486)+2,FALSE),VLOOKUP(E1486,Equivalencia!$5:$23,((MAX(Equivalencia!$3:$3)-YEAR(C1486))*14)+MONTH(C1486)+2,FALSE)))</f>
        <v>0</v>
      </c>
      <c r="J1486" s="178">
        <f t="shared" si="175"/>
        <v>0</v>
      </c>
      <c r="K1486" s="462">
        <f>IF(C1486=0,0,VLOOKUP(YEAR(C1486),INPC!$B$4:$O$29,MONTH(C1486)+1))</f>
        <v>0</v>
      </c>
      <c r="L1486" s="462">
        <f>IF(S1486=0,0,VLOOKUP(YEAR(S1486),INPC!$B$4:$O$29,MONTH(S1486)+1))</f>
        <v>0</v>
      </c>
      <c r="M1486" s="463">
        <f t="shared" si="176"/>
        <v>0</v>
      </c>
      <c r="N1486" s="465">
        <f t="shared" si="177"/>
        <v>0</v>
      </c>
      <c r="O1486" s="179"/>
      <c r="P1486" s="180"/>
      <c r="Q1486" s="173"/>
      <c r="R1486" s="173"/>
      <c r="S1486" s="174"/>
      <c r="T1486" s="173"/>
      <c r="U1486" s="182"/>
      <c r="V1486" s="177">
        <f>IF(U1486=0,0,IF(T1486="MXN",1/HLOOKUP(YEAR(S1486)+(MONTH(S1486)/100),TC!$5:$37,DAY(S1486)+2,FALSE),VLOOKUP(T1486,Equivalencia!$1:$23,((MAX(Equivalencia!$3:$3)-YEAR(S1486))*14)+MONTH(S1486)+2,FALSE)))</f>
        <v>0</v>
      </c>
      <c r="W1486" s="178">
        <f t="shared" si="178"/>
        <v>0</v>
      </c>
      <c r="X1486" s="481">
        <f t="shared" si="179"/>
        <v>0</v>
      </c>
      <c r="Y1486" s="179"/>
      <c r="Z1486" s="466">
        <f t="shared" si="180"/>
        <v>0</v>
      </c>
      <c r="AA1486" s="473">
        <f t="shared" si="181"/>
        <v>0</v>
      </c>
      <c r="AB1486" s="339">
        <f t="shared" si="182"/>
        <v>0</v>
      </c>
    </row>
    <row r="1487" spans="2:28" ht="20.100000000000001" customHeight="1">
      <c r="B1487" s="172"/>
      <c r="C1487" s="174"/>
      <c r="D1487" s="181"/>
      <c r="E1487" s="173"/>
      <c r="F1487" s="176"/>
      <c r="G1487" s="175">
        <f t="shared" si="173"/>
        <v>0</v>
      </c>
      <c r="H1487" s="175">
        <f t="shared" si="174"/>
        <v>0</v>
      </c>
      <c r="I1487" s="177">
        <f>IF(G1487=0,0,IF(E1487="MXN",1/HLOOKUP(YEAR(C1487)+(MONTH(C1487)/100),TC!$5:$37,DAY(C1487)+2,FALSE),VLOOKUP(E1487,Equivalencia!$5:$23,((MAX(Equivalencia!$3:$3)-YEAR(C1487))*14)+MONTH(C1487)+2,FALSE)))</f>
        <v>0</v>
      </c>
      <c r="J1487" s="178">
        <f t="shared" si="175"/>
        <v>0</v>
      </c>
      <c r="K1487" s="462">
        <f>IF(C1487=0,0,VLOOKUP(YEAR(C1487),INPC!$B$4:$O$29,MONTH(C1487)+1))</f>
        <v>0</v>
      </c>
      <c r="L1487" s="462">
        <f>IF(S1487=0,0,VLOOKUP(YEAR(S1487),INPC!$B$4:$O$29,MONTH(S1487)+1))</f>
        <v>0</v>
      </c>
      <c r="M1487" s="463">
        <f t="shared" si="176"/>
        <v>0</v>
      </c>
      <c r="N1487" s="465">
        <f t="shared" si="177"/>
        <v>0</v>
      </c>
      <c r="O1487" s="179"/>
      <c r="P1487" s="180"/>
      <c r="Q1487" s="173"/>
      <c r="R1487" s="173"/>
      <c r="S1487" s="174"/>
      <c r="T1487" s="173"/>
      <c r="U1487" s="182"/>
      <c r="V1487" s="177">
        <f>IF(U1487=0,0,IF(T1487="MXN",1/HLOOKUP(YEAR(S1487)+(MONTH(S1487)/100),TC!$5:$37,DAY(S1487)+2,FALSE),VLOOKUP(T1487,Equivalencia!$1:$23,((MAX(Equivalencia!$3:$3)-YEAR(S1487))*14)+MONTH(S1487)+2,FALSE)))</f>
        <v>0</v>
      </c>
      <c r="W1487" s="178">
        <f t="shared" si="178"/>
        <v>0</v>
      </c>
      <c r="X1487" s="481">
        <f t="shared" si="179"/>
        <v>0</v>
      </c>
      <c r="Y1487" s="179"/>
      <c r="Z1487" s="466">
        <f t="shared" si="180"/>
        <v>0</v>
      </c>
      <c r="AA1487" s="473">
        <f t="shared" si="181"/>
        <v>0</v>
      </c>
      <c r="AB1487" s="339">
        <f t="shared" si="182"/>
        <v>0</v>
      </c>
    </row>
    <row r="1488" spans="2:28" ht="20.100000000000001" customHeight="1">
      <c r="B1488" s="172"/>
      <c r="C1488" s="174"/>
      <c r="D1488" s="181"/>
      <c r="E1488" s="173"/>
      <c r="F1488" s="176"/>
      <c r="G1488" s="175">
        <f t="shared" si="173"/>
        <v>0</v>
      </c>
      <c r="H1488" s="175">
        <f t="shared" si="174"/>
        <v>0</v>
      </c>
      <c r="I1488" s="177">
        <f>IF(G1488=0,0,IF(E1488="MXN",1/HLOOKUP(YEAR(C1488)+(MONTH(C1488)/100),TC!$5:$37,DAY(C1488)+2,FALSE),VLOOKUP(E1488,Equivalencia!$5:$23,((MAX(Equivalencia!$3:$3)-YEAR(C1488))*14)+MONTH(C1488)+2,FALSE)))</f>
        <v>0</v>
      </c>
      <c r="J1488" s="178">
        <f t="shared" si="175"/>
        <v>0</v>
      </c>
      <c r="K1488" s="462">
        <f>IF(C1488=0,0,VLOOKUP(YEAR(C1488),INPC!$B$4:$O$29,MONTH(C1488)+1))</f>
        <v>0</v>
      </c>
      <c r="L1488" s="462">
        <f>IF(S1488=0,0,VLOOKUP(YEAR(S1488),INPC!$B$4:$O$29,MONTH(S1488)+1))</f>
        <v>0</v>
      </c>
      <c r="M1488" s="463">
        <f t="shared" si="176"/>
        <v>0</v>
      </c>
      <c r="N1488" s="465">
        <f t="shared" si="177"/>
        <v>0</v>
      </c>
      <c r="O1488" s="179"/>
      <c r="P1488" s="180"/>
      <c r="Q1488" s="173"/>
      <c r="R1488" s="173"/>
      <c r="S1488" s="174"/>
      <c r="T1488" s="173"/>
      <c r="U1488" s="182"/>
      <c r="V1488" s="177">
        <f>IF(U1488=0,0,IF(T1488="MXN",1/HLOOKUP(YEAR(S1488)+(MONTH(S1488)/100),TC!$5:$37,DAY(S1488)+2,FALSE),VLOOKUP(T1488,Equivalencia!$1:$23,((MAX(Equivalencia!$3:$3)-YEAR(S1488))*14)+MONTH(S1488)+2,FALSE)))</f>
        <v>0</v>
      </c>
      <c r="W1488" s="178">
        <f t="shared" si="178"/>
        <v>0</v>
      </c>
      <c r="X1488" s="481">
        <f t="shared" si="179"/>
        <v>0</v>
      </c>
      <c r="Y1488" s="179"/>
      <c r="Z1488" s="466">
        <f t="shared" si="180"/>
        <v>0</v>
      </c>
      <c r="AA1488" s="473">
        <f t="shared" si="181"/>
        <v>0</v>
      </c>
      <c r="AB1488" s="339">
        <f t="shared" si="182"/>
        <v>0</v>
      </c>
    </row>
    <row r="1489" spans="2:28" ht="20.100000000000001" customHeight="1">
      <c r="B1489" s="172"/>
      <c r="C1489" s="174"/>
      <c r="D1489" s="181"/>
      <c r="E1489" s="173"/>
      <c r="F1489" s="176"/>
      <c r="G1489" s="175">
        <f t="shared" si="173"/>
        <v>0</v>
      </c>
      <c r="H1489" s="175">
        <f t="shared" si="174"/>
        <v>0</v>
      </c>
      <c r="I1489" s="177">
        <f>IF(G1489=0,0,IF(E1489="MXN",1/HLOOKUP(YEAR(C1489)+(MONTH(C1489)/100),TC!$5:$37,DAY(C1489)+2,FALSE),VLOOKUP(E1489,Equivalencia!$5:$23,((MAX(Equivalencia!$3:$3)-YEAR(C1489))*14)+MONTH(C1489)+2,FALSE)))</f>
        <v>0</v>
      </c>
      <c r="J1489" s="178">
        <f t="shared" si="175"/>
        <v>0</v>
      </c>
      <c r="K1489" s="462">
        <f>IF(C1489=0,0,VLOOKUP(YEAR(C1489),INPC!$B$4:$O$29,MONTH(C1489)+1))</f>
        <v>0</v>
      </c>
      <c r="L1489" s="462">
        <f>IF(S1489=0,0,VLOOKUP(YEAR(S1489),INPC!$B$4:$O$29,MONTH(S1489)+1))</f>
        <v>0</v>
      </c>
      <c r="M1489" s="463">
        <f t="shared" si="176"/>
        <v>0</v>
      </c>
      <c r="N1489" s="465">
        <f t="shared" si="177"/>
        <v>0</v>
      </c>
      <c r="O1489" s="179"/>
      <c r="P1489" s="180"/>
      <c r="Q1489" s="173"/>
      <c r="R1489" s="173"/>
      <c r="S1489" s="174"/>
      <c r="T1489" s="173"/>
      <c r="U1489" s="182"/>
      <c r="V1489" s="177">
        <f>IF(U1489=0,0,IF(T1489="MXN",1/HLOOKUP(YEAR(S1489)+(MONTH(S1489)/100),TC!$5:$37,DAY(S1489)+2,FALSE),VLOOKUP(T1489,Equivalencia!$1:$23,((MAX(Equivalencia!$3:$3)-YEAR(S1489))*14)+MONTH(S1489)+2,FALSE)))</f>
        <v>0</v>
      </c>
      <c r="W1489" s="178">
        <f t="shared" si="178"/>
        <v>0</v>
      </c>
      <c r="X1489" s="481">
        <f t="shared" si="179"/>
        <v>0</v>
      </c>
      <c r="Y1489" s="179"/>
      <c r="Z1489" s="466">
        <f t="shared" si="180"/>
        <v>0</v>
      </c>
      <c r="AA1489" s="473">
        <f t="shared" si="181"/>
        <v>0</v>
      </c>
      <c r="AB1489" s="339">
        <f t="shared" si="182"/>
        <v>0</v>
      </c>
    </row>
    <row r="1490" spans="2:28" ht="20.100000000000001" customHeight="1">
      <c r="B1490" s="172"/>
      <c r="C1490" s="174"/>
      <c r="D1490" s="181"/>
      <c r="E1490" s="173"/>
      <c r="F1490" s="176"/>
      <c r="G1490" s="175">
        <f t="shared" si="173"/>
        <v>0</v>
      </c>
      <c r="H1490" s="175">
        <f t="shared" si="174"/>
        <v>0</v>
      </c>
      <c r="I1490" s="177">
        <f>IF(G1490=0,0,IF(E1490="MXN",1/HLOOKUP(YEAR(C1490)+(MONTH(C1490)/100),TC!$5:$37,DAY(C1490)+2,FALSE),VLOOKUP(E1490,Equivalencia!$5:$23,((MAX(Equivalencia!$3:$3)-YEAR(C1490))*14)+MONTH(C1490)+2,FALSE)))</f>
        <v>0</v>
      </c>
      <c r="J1490" s="178">
        <f t="shared" si="175"/>
        <v>0</v>
      </c>
      <c r="K1490" s="462">
        <f>IF(C1490=0,0,VLOOKUP(YEAR(C1490),INPC!$B$4:$O$29,MONTH(C1490)+1))</f>
        <v>0</v>
      </c>
      <c r="L1490" s="462">
        <f>IF(S1490=0,0,VLOOKUP(YEAR(S1490),INPC!$B$4:$O$29,MONTH(S1490)+1))</f>
        <v>0</v>
      </c>
      <c r="M1490" s="463">
        <f t="shared" si="176"/>
        <v>0</v>
      </c>
      <c r="N1490" s="465">
        <f t="shared" si="177"/>
        <v>0</v>
      </c>
      <c r="O1490" s="179"/>
      <c r="P1490" s="180"/>
      <c r="Q1490" s="173"/>
      <c r="R1490" s="173"/>
      <c r="S1490" s="174"/>
      <c r="T1490" s="173"/>
      <c r="U1490" s="182"/>
      <c r="V1490" s="177">
        <f>IF(U1490=0,0,IF(T1490="MXN",1/HLOOKUP(YEAR(S1490)+(MONTH(S1490)/100),TC!$5:$37,DAY(S1490)+2,FALSE),VLOOKUP(T1490,Equivalencia!$1:$23,((MAX(Equivalencia!$3:$3)-YEAR(S1490))*14)+MONTH(S1490)+2,FALSE)))</f>
        <v>0</v>
      </c>
      <c r="W1490" s="178">
        <f t="shared" si="178"/>
        <v>0</v>
      </c>
      <c r="X1490" s="481">
        <f t="shared" si="179"/>
        <v>0</v>
      </c>
      <c r="Y1490" s="179"/>
      <c r="Z1490" s="466">
        <f t="shared" si="180"/>
        <v>0</v>
      </c>
      <c r="AA1490" s="473">
        <f t="shared" si="181"/>
        <v>0</v>
      </c>
      <c r="AB1490" s="339">
        <f t="shared" si="182"/>
        <v>0</v>
      </c>
    </row>
    <row r="1491" spans="2:28" ht="20.100000000000001" customHeight="1">
      <c r="B1491" s="172"/>
      <c r="C1491" s="174"/>
      <c r="D1491" s="181"/>
      <c r="E1491" s="173"/>
      <c r="F1491" s="176"/>
      <c r="G1491" s="175">
        <f t="shared" si="173"/>
        <v>0</v>
      </c>
      <c r="H1491" s="175">
        <f t="shared" si="174"/>
        <v>0</v>
      </c>
      <c r="I1491" s="177">
        <f>IF(G1491=0,0,IF(E1491="MXN",1/HLOOKUP(YEAR(C1491)+(MONTH(C1491)/100),TC!$5:$37,DAY(C1491)+2,FALSE),VLOOKUP(E1491,Equivalencia!$5:$23,((MAX(Equivalencia!$3:$3)-YEAR(C1491))*14)+MONTH(C1491)+2,FALSE)))</f>
        <v>0</v>
      </c>
      <c r="J1491" s="178">
        <f t="shared" si="175"/>
        <v>0</v>
      </c>
      <c r="K1491" s="462">
        <f>IF(C1491=0,0,VLOOKUP(YEAR(C1491),INPC!$B$4:$O$29,MONTH(C1491)+1))</f>
        <v>0</v>
      </c>
      <c r="L1491" s="462">
        <f>IF(S1491=0,0,VLOOKUP(YEAR(S1491),INPC!$B$4:$O$29,MONTH(S1491)+1))</f>
        <v>0</v>
      </c>
      <c r="M1491" s="463">
        <f t="shared" si="176"/>
        <v>0</v>
      </c>
      <c r="N1491" s="465">
        <f t="shared" si="177"/>
        <v>0</v>
      </c>
      <c r="O1491" s="179"/>
      <c r="P1491" s="180"/>
      <c r="Q1491" s="173"/>
      <c r="R1491" s="173"/>
      <c r="S1491" s="174"/>
      <c r="T1491" s="173"/>
      <c r="U1491" s="182"/>
      <c r="V1491" s="177">
        <f>IF(U1491=0,0,IF(T1491="MXN",1/HLOOKUP(YEAR(S1491)+(MONTH(S1491)/100),TC!$5:$37,DAY(S1491)+2,FALSE),VLOOKUP(T1491,Equivalencia!$1:$23,((MAX(Equivalencia!$3:$3)-YEAR(S1491))*14)+MONTH(S1491)+2,FALSE)))</f>
        <v>0</v>
      </c>
      <c r="W1491" s="178">
        <f t="shared" si="178"/>
        <v>0</v>
      </c>
      <c r="X1491" s="481">
        <f t="shared" si="179"/>
        <v>0</v>
      </c>
      <c r="Y1491" s="179"/>
      <c r="Z1491" s="466">
        <f t="shared" si="180"/>
        <v>0</v>
      </c>
      <c r="AA1491" s="473">
        <f t="shared" si="181"/>
        <v>0</v>
      </c>
      <c r="AB1491" s="339">
        <f t="shared" si="182"/>
        <v>0</v>
      </c>
    </row>
    <row r="1492" spans="2:28" ht="20.100000000000001" customHeight="1">
      <c r="B1492" s="172"/>
      <c r="C1492" s="174"/>
      <c r="D1492" s="181"/>
      <c r="E1492" s="173"/>
      <c r="F1492" s="176"/>
      <c r="G1492" s="175">
        <f t="shared" si="173"/>
        <v>0</v>
      </c>
      <c r="H1492" s="175">
        <f t="shared" si="174"/>
        <v>0</v>
      </c>
      <c r="I1492" s="177">
        <f>IF(G1492=0,0,IF(E1492="MXN",1/HLOOKUP(YEAR(C1492)+(MONTH(C1492)/100),TC!$5:$37,DAY(C1492)+2,FALSE),VLOOKUP(E1492,Equivalencia!$5:$23,((MAX(Equivalencia!$3:$3)-YEAR(C1492))*14)+MONTH(C1492)+2,FALSE)))</f>
        <v>0</v>
      </c>
      <c r="J1492" s="178">
        <f t="shared" si="175"/>
        <v>0</v>
      </c>
      <c r="K1492" s="462">
        <f>IF(C1492=0,0,VLOOKUP(YEAR(C1492),INPC!$B$4:$O$29,MONTH(C1492)+1))</f>
        <v>0</v>
      </c>
      <c r="L1492" s="462">
        <f>IF(S1492=0,0,VLOOKUP(YEAR(S1492),INPC!$B$4:$O$29,MONTH(S1492)+1))</f>
        <v>0</v>
      </c>
      <c r="M1492" s="463">
        <f t="shared" si="176"/>
        <v>0</v>
      </c>
      <c r="N1492" s="465">
        <f t="shared" si="177"/>
        <v>0</v>
      </c>
      <c r="O1492" s="179"/>
      <c r="P1492" s="180"/>
      <c r="Q1492" s="173"/>
      <c r="R1492" s="173"/>
      <c r="S1492" s="174"/>
      <c r="T1492" s="173"/>
      <c r="U1492" s="182"/>
      <c r="V1492" s="177">
        <f>IF(U1492=0,0,IF(T1492="MXN",1/HLOOKUP(YEAR(S1492)+(MONTH(S1492)/100),TC!$5:$37,DAY(S1492)+2,FALSE),VLOOKUP(T1492,Equivalencia!$1:$23,((MAX(Equivalencia!$3:$3)-YEAR(S1492))*14)+MONTH(S1492)+2,FALSE)))</f>
        <v>0</v>
      </c>
      <c r="W1492" s="178">
        <f t="shared" si="178"/>
        <v>0</v>
      </c>
      <c r="X1492" s="481">
        <f t="shared" si="179"/>
        <v>0</v>
      </c>
      <c r="Y1492" s="179"/>
      <c r="Z1492" s="466">
        <f t="shared" si="180"/>
        <v>0</v>
      </c>
      <c r="AA1492" s="473">
        <f t="shared" si="181"/>
        <v>0</v>
      </c>
      <c r="AB1492" s="339">
        <f t="shared" si="182"/>
        <v>0</v>
      </c>
    </row>
    <row r="1493" spans="2:28" ht="20.100000000000001" customHeight="1">
      <c r="B1493" s="172"/>
      <c r="C1493" s="174"/>
      <c r="D1493" s="181"/>
      <c r="E1493" s="173"/>
      <c r="F1493" s="176"/>
      <c r="G1493" s="175">
        <f t="shared" si="173"/>
        <v>0</v>
      </c>
      <c r="H1493" s="175">
        <f t="shared" si="174"/>
        <v>0</v>
      </c>
      <c r="I1493" s="177">
        <f>IF(G1493=0,0,IF(E1493="MXN",1/HLOOKUP(YEAR(C1493)+(MONTH(C1493)/100),TC!$5:$37,DAY(C1493)+2,FALSE),VLOOKUP(E1493,Equivalencia!$5:$23,((MAX(Equivalencia!$3:$3)-YEAR(C1493))*14)+MONTH(C1493)+2,FALSE)))</f>
        <v>0</v>
      </c>
      <c r="J1493" s="178">
        <f t="shared" si="175"/>
        <v>0</v>
      </c>
      <c r="K1493" s="462">
        <f>IF(C1493=0,0,VLOOKUP(YEAR(C1493),INPC!$B$4:$O$29,MONTH(C1493)+1))</f>
        <v>0</v>
      </c>
      <c r="L1493" s="462">
        <f>IF(S1493=0,0,VLOOKUP(YEAR(S1493),INPC!$B$4:$O$29,MONTH(S1493)+1))</f>
        <v>0</v>
      </c>
      <c r="M1493" s="463">
        <f t="shared" si="176"/>
        <v>0</v>
      </c>
      <c r="N1493" s="465">
        <f t="shared" si="177"/>
        <v>0</v>
      </c>
      <c r="O1493" s="179"/>
      <c r="P1493" s="180"/>
      <c r="Q1493" s="173"/>
      <c r="R1493" s="173"/>
      <c r="S1493" s="174"/>
      <c r="T1493" s="173"/>
      <c r="U1493" s="182"/>
      <c r="V1493" s="177">
        <f>IF(U1493=0,0,IF(T1493="MXN",1/HLOOKUP(YEAR(S1493)+(MONTH(S1493)/100),TC!$5:$37,DAY(S1493)+2,FALSE),VLOOKUP(T1493,Equivalencia!$1:$23,((MAX(Equivalencia!$3:$3)-YEAR(S1493))*14)+MONTH(S1493)+2,FALSE)))</f>
        <v>0</v>
      </c>
      <c r="W1493" s="178">
        <f t="shared" si="178"/>
        <v>0</v>
      </c>
      <c r="X1493" s="481">
        <f t="shared" si="179"/>
        <v>0</v>
      </c>
      <c r="Y1493" s="179"/>
      <c r="Z1493" s="466">
        <f t="shared" si="180"/>
        <v>0</v>
      </c>
      <c r="AA1493" s="473">
        <f t="shared" si="181"/>
        <v>0</v>
      </c>
      <c r="AB1493" s="339">
        <f t="shared" si="182"/>
        <v>0</v>
      </c>
    </row>
    <row r="1494" spans="2:28" ht="20.100000000000001" customHeight="1">
      <c r="B1494" s="172"/>
      <c r="C1494" s="174"/>
      <c r="D1494" s="181"/>
      <c r="E1494" s="173"/>
      <c r="F1494" s="176"/>
      <c r="G1494" s="175">
        <f t="shared" si="173"/>
        <v>0</v>
      </c>
      <c r="H1494" s="175">
        <f t="shared" si="174"/>
        <v>0</v>
      </c>
      <c r="I1494" s="177">
        <f>IF(G1494=0,0,IF(E1494="MXN",1/HLOOKUP(YEAR(C1494)+(MONTH(C1494)/100),TC!$5:$37,DAY(C1494)+2,FALSE),VLOOKUP(E1494,Equivalencia!$5:$23,((MAX(Equivalencia!$3:$3)-YEAR(C1494))*14)+MONTH(C1494)+2,FALSE)))</f>
        <v>0</v>
      </c>
      <c r="J1494" s="178">
        <f t="shared" si="175"/>
        <v>0</v>
      </c>
      <c r="K1494" s="462">
        <f>IF(C1494=0,0,VLOOKUP(YEAR(C1494),INPC!$B$4:$O$29,MONTH(C1494)+1))</f>
        <v>0</v>
      </c>
      <c r="L1494" s="462">
        <f>IF(S1494=0,0,VLOOKUP(YEAR(S1494),INPC!$B$4:$O$29,MONTH(S1494)+1))</f>
        <v>0</v>
      </c>
      <c r="M1494" s="463">
        <f t="shared" si="176"/>
        <v>0</v>
      </c>
      <c r="N1494" s="465">
        <f t="shared" si="177"/>
        <v>0</v>
      </c>
      <c r="O1494" s="179"/>
      <c r="P1494" s="180"/>
      <c r="Q1494" s="173"/>
      <c r="R1494" s="173"/>
      <c r="S1494" s="174"/>
      <c r="T1494" s="173"/>
      <c r="U1494" s="182"/>
      <c r="V1494" s="177">
        <f>IF(U1494=0,0,IF(T1494="MXN",1/HLOOKUP(YEAR(S1494)+(MONTH(S1494)/100),TC!$5:$37,DAY(S1494)+2,FALSE),VLOOKUP(T1494,Equivalencia!$1:$23,((MAX(Equivalencia!$3:$3)-YEAR(S1494))*14)+MONTH(S1494)+2,FALSE)))</f>
        <v>0</v>
      </c>
      <c r="W1494" s="178">
        <f t="shared" si="178"/>
        <v>0</v>
      </c>
      <c r="X1494" s="481">
        <f t="shared" si="179"/>
        <v>0</v>
      </c>
      <c r="Y1494" s="179"/>
      <c r="Z1494" s="466">
        <f t="shared" si="180"/>
        <v>0</v>
      </c>
      <c r="AA1494" s="473">
        <f t="shared" si="181"/>
        <v>0</v>
      </c>
      <c r="AB1494" s="339">
        <f t="shared" si="182"/>
        <v>0</v>
      </c>
    </row>
    <row r="1495" spans="2:28" ht="20.100000000000001" customHeight="1">
      <c r="B1495" s="172"/>
      <c r="C1495" s="174"/>
      <c r="D1495" s="181"/>
      <c r="E1495" s="173"/>
      <c r="F1495" s="176"/>
      <c r="G1495" s="175">
        <f t="shared" si="173"/>
        <v>0</v>
      </c>
      <c r="H1495" s="175">
        <f t="shared" si="174"/>
        <v>0</v>
      </c>
      <c r="I1495" s="177">
        <f>IF(G1495=0,0,IF(E1495="MXN",1/HLOOKUP(YEAR(C1495)+(MONTH(C1495)/100),TC!$5:$37,DAY(C1495)+2,FALSE),VLOOKUP(E1495,Equivalencia!$5:$23,((MAX(Equivalencia!$3:$3)-YEAR(C1495))*14)+MONTH(C1495)+2,FALSE)))</f>
        <v>0</v>
      </c>
      <c r="J1495" s="178">
        <f t="shared" si="175"/>
        <v>0</v>
      </c>
      <c r="K1495" s="462">
        <f>IF(C1495=0,0,VLOOKUP(YEAR(C1495),INPC!$B$4:$O$29,MONTH(C1495)+1))</f>
        <v>0</v>
      </c>
      <c r="L1495" s="462">
        <f>IF(S1495=0,0,VLOOKUP(YEAR(S1495),INPC!$B$4:$O$29,MONTH(S1495)+1))</f>
        <v>0</v>
      </c>
      <c r="M1495" s="463">
        <f t="shared" si="176"/>
        <v>0</v>
      </c>
      <c r="N1495" s="465">
        <f t="shared" si="177"/>
        <v>0</v>
      </c>
      <c r="O1495" s="179"/>
      <c r="P1495" s="180"/>
      <c r="Q1495" s="173"/>
      <c r="R1495" s="173"/>
      <c r="S1495" s="174"/>
      <c r="T1495" s="173"/>
      <c r="U1495" s="182"/>
      <c r="V1495" s="177">
        <f>IF(U1495=0,0,IF(T1495="MXN",1/HLOOKUP(YEAR(S1495)+(MONTH(S1495)/100),TC!$5:$37,DAY(S1495)+2,FALSE),VLOOKUP(T1495,Equivalencia!$1:$23,((MAX(Equivalencia!$3:$3)-YEAR(S1495))*14)+MONTH(S1495)+2,FALSE)))</f>
        <v>0</v>
      </c>
      <c r="W1495" s="178">
        <f t="shared" si="178"/>
        <v>0</v>
      </c>
      <c r="X1495" s="481">
        <f t="shared" si="179"/>
        <v>0</v>
      </c>
      <c r="Y1495" s="179"/>
      <c r="Z1495" s="466">
        <f t="shared" si="180"/>
        <v>0</v>
      </c>
      <c r="AA1495" s="473">
        <f t="shared" si="181"/>
        <v>0</v>
      </c>
      <c r="AB1495" s="339">
        <f t="shared" si="182"/>
        <v>0</v>
      </c>
    </row>
    <row r="1496" spans="2:28" ht="20.100000000000001" customHeight="1">
      <c r="B1496" s="172"/>
      <c r="C1496" s="174"/>
      <c r="D1496" s="181"/>
      <c r="E1496" s="173"/>
      <c r="F1496" s="176"/>
      <c r="G1496" s="175">
        <f t="shared" si="173"/>
        <v>0</v>
      </c>
      <c r="H1496" s="175">
        <f t="shared" si="174"/>
        <v>0</v>
      </c>
      <c r="I1496" s="177">
        <f>IF(G1496=0,0,IF(E1496="MXN",1/HLOOKUP(YEAR(C1496)+(MONTH(C1496)/100),TC!$5:$37,DAY(C1496)+2,FALSE),VLOOKUP(E1496,Equivalencia!$5:$23,((MAX(Equivalencia!$3:$3)-YEAR(C1496))*14)+MONTH(C1496)+2,FALSE)))</f>
        <v>0</v>
      </c>
      <c r="J1496" s="178">
        <f t="shared" si="175"/>
        <v>0</v>
      </c>
      <c r="K1496" s="462">
        <f>IF(C1496=0,0,VLOOKUP(YEAR(C1496),INPC!$B$4:$O$29,MONTH(C1496)+1))</f>
        <v>0</v>
      </c>
      <c r="L1496" s="462">
        <f>IF(S1496=0,0,VLOOKUP(YEAR(S1496),INPC!$B$4:$O$29,MONTH(S1496)+1))</f>
        <v>0</v>
      </c>
      <c r="M1496" s="463">
        <f t="shared" si="176"/>
        <v>0</v>
      </c>
      <c r="N1496" s="465">
        <f t="shared" si="177"/>
        <v>0</v>
      </c>
      <c r="O1496" s="179"/>
      <c r="P1496" s="180"/>
      <c r="Q1496" s="173"/>
      <c r="R1496" s="173"/>
      <c r="S1496" s="174"/>
      <c r="T1496" s="173"/>
      <c r="U1496" s="182"/>
      <c r="V1496" s="177">
        <f>IF(U1496=0,0,IF(T1496="MXN",1/HLOOKUP(YEAR(S1496)+(MONTH(S1496)/100),TC!$5:$37,DAY(S1496)+2,FALSE),VLOOKUP(T1496,Equivalencia!$1:$23,((MAX(Equivalencia!$3:$3)-YEAR(S1496))*14)+MONTH(S1496)+2,FALSE)))</f>
        <v>0</v>
      </c>
      <c r="W1496" s="178">
        <f t="shared" si="178"/>
        <v>0</v>
      </c>
      <c r="X1496" s="481">
        <f t="shared" si="179"/>
        <v>0</v>
      </c>
      <c r="Y1496" s="179"/>
      <c r="Z1496" s="466">
        <f t="shared" si="180"/>
        <v>0</v>
      </c>
      <c r="AA1496" s="473">
        <f t="shared" si="181"/>
        <v>0</v>
      </c>
      <c r="AB1496" s="339">
        <f t="shared" si="182"/>
        <v>0</v>
      </c>
    </row>
    <row r="1497" spans="2:28" ht="20.100000000000001" customHeight="1">
      <c r="B1497" s="172"/>
      <c r="C1497" s="174"/>
      <c r="D1497" s="181"/>
      <c r="E1497" s="173"/>
      <c r="F1497" s="176"/>
      <c r="G1497" s="175">
        <f t="shared" si="173"/>
        <v>0</v>
      </c>
      <c r="H1497" s="175">
        <f t="shared" si="174"/>
        <v>0</v>
      </c>
      <c r="I1497" s="177">
        <f>IF(G1497=0,0,IF(E1497="MXN",1/HLOOKUP(YEAR(C1497)+(MONTH(C1497)/100),TC!$5:$37,DAY(C1497)+2,FALSE),VLOOKUP(E1497,Equivalencia!$5:$23,((MAX(Equivalencia!$3:$3)-YEAR(C1497))*14)+MONTH(C1497)+2,FALSE)))</f>
        <v>0</v>
      </c>
      <c r="J1497" s="178">
        <f t="shared" si="175"/>
        <v>0</v>
      </c>
      <c r="K1497" s="462">
        <f>IF(C1497=0,0,VLOOKUP(YEAR(C1497),INPC!$B$4:$O$29,MONTH(C1497)+1))</f>
        <v>0</v>
      </c>
      <c r="L1497" s="462">
        <f>IF(S1497=0,0,VLOOKUP(YEAR(S1497),INPC!$B$4:$O$29,MONTH(S1497)+1))</f>
        <v>0</v>
      </c>
      <c r="M1497" s="463">
        <f t="shared" si="176"/>
        <v>0</v>
      </c>
      <c r="N1497" s="465">
        <f t="shared" si="177"/>
        <v>0</v>
      </c>
      <c r="O1497" s="179"/>
      <c r="P1497" s="180"/>
      <c r="Q1497" s="173"/>
      <c r="R1497" s="173"/>
      <c r="S1497" s="174"/>
      <c r="T1497" s="173"/>
      <c r="U1497" s="182"/>
      <c r="V1497" s="177">
        <f>IF(U1497=0,0,IF(T1497="MXN",1/HLOOKUP(YEAR(S1497)+(MONTH(S1497)/100),TC!$5:$37,DAY(S1497)+2,FALSE),VLOOKUP(T1497,Equivalencia!$1:$23,((MAX(Equivalencia!$3:$3)-YEAR(S1497))*14)+MONTH(S1497)+2,FALSE)))</f>
        <v>0</v>
      </c>
      <c r="W1497" s="178">
        <f t="shared" si="178"/>
        <v>0</v>
      </c>
      <c r="X1497" s="481">
        <f t="shared" si="179"/>
        <v>0</v>
      </c>
      <c r="Y1497" s="179"/>
      <c r="Z1497" s="466">
        <f t="shared" si="180"/>
        <v>0</v>
      </c>
      <c r="AA1497" s="473">
        <f t="shared" si="181"/>
        <v>0</v>
      </c>
      <c r="AB1497" s="339">
        <f t="shared" si="182"/>
        <v>0</v>
      </c>
    </row>
    <row r="1498" spans="2:28" ht="20.100000000000001" customHeight="1">
      <c r="B1498" s="172"/>
      <c r="C1498" s="174"/>
      <c r="D1498" s="181"/>
      <c r="E1498" s="173"/>
      <c r="F1498" s="176"/>
      <c r="G1498" s="175">
        <f t="shared" si="173"/>
        <v>0</v>
      </c>
      <c r="H1498" s="175">
        <f t="shared" si="174"/>
        <v>0</v>
      </c>
      <c r="I1498" s="177">
        <f>IF(G1498=0,0,IF(E1498="MXN",1/HLOOKUP(YEAR(C1498)+(MONTH(C1498)/100),TC!$5:$37,DAY(C1498)+2,FALSE),VLOOKUP(E1498,Equivalencia!$5:$23,((MAX(Equivalencia!$3:$3)-YEAR(C1498))*14)+MONTH(C1498)+2,FALSE)))</f>
        <v>0</v>
      </c>
      <c r="J1498" s="178">
        <f t="shared" si="175"/>
        <v>0</v>
      </c>
      <c r="K1498" s="462">
        <f>IF(C1498=0,0,VLOOKUP(YEAR(C1498),INPC!$B$4:$O$29,MONTH(C1498)+1))</f>
        <v>0</v>
      </c>
      <c r="L1498" s="462">
        <f>IF(S1498=0,0,VLOOKUP(YEAR(S1498),INPC!$B$4:$O$29,MONTH(S1498)+1))</f>
        <v>0</v>
      </c>
      <c r="M1498" s="463">
        <f t="shared" si="176"/>
        <v>0</v>
      </c>
      <c r="N1498" s="465">
        <f t="shared" si="177"/>
        <v>0</v>
      </c>
      <c r="O1498" s="179"/>
      <c r="P1498" s="180"/>
      <c r="Q1498" s="173"/>
      <c r="R1498" s="173"/>
      <c r="S1498" s="174"/>
      <c r="T1498" s="173"/>
      <c r="U1498" s="182"/>
      <c r="V1498" s="177">
        <f>IF(U1498=0,0,IF(T1498="MXN",1/HLOOKUP(YEAR(S1498)+(MONTH(S1498)/100),TC!$5:$37,DAY(S1498)+2,FALSE),VLOOKUP(T1498,Equivalencia!$1:$23,((MAX(Equivalencia!$3:$3)-YEAR(S1498))*14)+MONTH(S1498)+2,FALSE)))</f>
        <v>0</v>
      </c>
      <c r="W1498" s="178">
        <f t="shared" si="178"/>
        <v>0</v>
      </c>
      <c r="X1498" s="481">
        <f t="shared" si="179"/>
        <v>0</v>
      </c>
      <c r="Y1498" s="179"/>
      <c r="Z1498" s="466">
        <f t="shared" si="180"/>
        <v>0</v>
      </c>
      <c r="AA1498" s="473">
        <f t="shared" si="181"/>
        <v>0</v>
      </c>
      <c r="AB1498" s="339">
        <f t="shared" si="182"/>
        <v>0</v>
      </c>
    </row>
    <row r="1499" spans="2:28" ht="20.100000000000001" customHeight="1">
      <c r="B1499" s="172"/>
      <c r="C1499" s="174"/>
      <c r="D1499" s="181"/>
      <c r="E1499" s="173"/>
      <c r="F1499" s="176"/>
      <c r="G1499" s="175">
        <f t="shared" si="173"/>
        <v>0</v>
      </c>
      <c r="H1499" s="175">
        <f t="shared" si="174"/>
        <v>0</v>
      </c>
      <c r="I1499" s="177">
        <f>IF(G1499=0,0,IF(E1499="MXN",1/HLOOKUP(YEAR(C1499)+(MONTH(C1499)/100),TC!$5:$37,DAY(C1499)+2,FALSE),VLOOKUP(E1499,Equivalencia!$5:$23,((MAX(Equivalencia!$3:$3)-YEAR(C1499))*14)+MONTH(C1499)+2,FALSE)))</f>
        <v>0</v>
      </c>
      <c r="J1499" s="178">
        <f t="shared" si="175"/>
        <v>0</v>
      </c>
      <c r="K1499" s="462">
        <f>IF(C1499=0,0,VLOOKUP(YEAR(C1499),INPC!$B$4:$O$29,MONTH(C1499)+1))</f>
        <v>0</v>
      </c>
      <c r="L1499" s="462">
        <f>IF(S1499=0,0,VLOOKUP(YEAR(S1499),INPC!$B$4:$O$29,MONTH(S1499)+1))</f>
        <v>0</v>
      </c>
      <c r="M1499" s="463">
        <f t="shared" si="176"/>
        <v>0</v>
      </c>
      <c r="N1499" s="465">
        <f t="shared" si="177"/>
        <v>0</v>
      </c>
      <c r="O1499" s="179"/>
      <c r="P1499" s="180"/>
      <c r="Q1499" s="173"/>
      <c r="R1499" s="173"/>
      <c r="S1499" s="174"/>
      <c r="T1499" s="173"/>
      <c r="U1499" s="182"/>
      <c r="V1499" s="177">
        <f>IF(U1499=0,0,IF(T1499="MXN",1/HLOOKUP(YEAR(S1499)+(MONTH(S1499)/100),TC!$5:$37,DAY(S1499)+2,FALSE),VLOOKUP(T1499,Equivalencia!$1:$23,((MAX(Equivalencia!$3:$3)-YEAR(S1499))*14)+MONTH(S1499)+2,FALSE)))</f>
        <v>0</v>
      </c>
      <c r="W1499" s="178">
        <f t="shared" si="178"/>
        <v>0</v>
      </c>
      <c r="X1499" s="481">
        <f t="shared" si="179"/>
        <v>0</v>
      </c>
      <c r="Y1499" s="179"/>
      <c r="Z1499" s="466">
        <f t="shared" si="180"/>
        <v>0</v>
      </c>
      <c r="AA1499" s="473">
        <f t="shared" si="181"/>
        <v>0</v>
      </c>
      <c r="AB1499" s="339">
        <f t="shared" si="182"/>
        <v>0</v>
      </c>
    </row>
    <row r="1500" spans="2:28" ht="20.100000000000001" customHeight="1">
      <c r="B1500" s="172"/>
      <c r="C1500" s="174"/>
      <c r="D1500" s="181"/>
      <c r="E1500" s="173"/>
      <c r="F1500" s="176"/>
      <c r="G1500" s="175">
        <f t="shared" si="173"/>
        <v>0</v>
      </c>
      <c r="H1500" s="175">
        <f t="shared" si="174"/>
        <v>0</v>
      </c>
      <c r="I1500" s="177">
        <f>IF(G1500=0,0,IF(E1500="MXN",1/HLOOKUP(YEAR(C1500)+(MONTH(C1500)/100),TC!$5:$37,DAY(C1500)+2,FALSE),VLOOKUP(E1500,Equivalencia!$5:$23,((MAX(Equivalencia!$3:$3)-YEAR(C1500))*14)+MONTH(C1500)+2,FALSE)))</f>
        <v>0</v>
      </c>
      <c r="J1500" s="178">
        <f t="shared" si="175"/>
        <v>0</v>
      </c>
      <c r="K1500" s="462">
        <f>IF(C1500=0,0,VLOOKUP(YEAR(C1500),INPC!$B$4:$O$29,MONTH(C1500)+1))</f>
        <v>0</v>
      </c>
      <c r="L1500" s="462">
        <f>IF(S1500=0,0,VLOOKUP(YEAR(S1500),INPC!$B$4:$O$29,MONTH(S1500)+1))</f>
        <v>0</v>
      </c>
      <c r="M1500" s="463">
        <f t="shared" si="176"/>
        <v>0</v>
      </c>
      <c r="N1500" s="465">
        <f t="shared" si="177"/>
        <v>0</v>
      </c>
      <c r="O1500" s="179"/>
      <c r="P1500" s="180"/>
      <c r="Q1500" s="173"/>
      <c r="R1500" s="173"/>
      <c r="S1500" s="174"/>
      <c r="T1500" s="173"/>
      <c r="U1500" s="182"/>
      <c r="V1500" s="177">
        <f>IF(U1500=0,0,IF(T1500="MXN",1/HLOOKUP(YEAR(S1500)+(MONTH(S1500)/100),TC!$5:$37,DAY(S1500)+2,FALSE),VLOOKUP(T1500,Equivalencia!$1:$23,((MAX(Equivalencia!$3:$3)-YEAR(S1500))*14)+MONTH(S1500)+2,FALSE)))</f>
        <v>0</v>
      </c>
      <c r="W1500" s="178">
        <f t="shared" si="178"/>
        <v>0</v>
      </c>
      <c r="X1500" s="481">
        <f t="shared" si="179"/>
        <v>0</v>
      </c>
      <c r="Y1500" s="179"/>
      <c r="Z1500" s="466">
        <f t="shared" si="180"/>
        <v>0</v>
      </c>
      <c r="AA1500" s="473">
        <f t="shared" si="181"/>
        <v>0</v>
      </c>
      <c r="AB1500" s="339">
        <f t="shared" si="182"/>
        <v>0</v>
      </c>
    </row>
    <row r="1501" spans="2:28" ht="20.100000000000001" customHeight="1">
      <c r="B1501" s="172"/>
      <c r="C1501" s="174"/>
      <c r="D1501" s="181"/>
      <c r="E1501" s="173"/>
      <c r="F1501" s="176"/>
      <c r="G1501" s="175">
        <f t="shared" si="173"/>
        <v>0</v>
      </c>
      <c r="H1501" s="175">
        <f t="shared" si="174"/>
        <v>0</v>
      </c>
      <c r="I1501" s="177">
        <f>IF(G1501=0,0,IF(E1501="MXN",1/HLOOKUP(YEAR(C1501)+(MONTH(C1501)/100),TC!$5:$37,DAY(C1501)+2,FALSE),VLOOKUP(E1501,Equivalencia!$5:$23,((MAX(Equivalencia!$3:$3)-YEAR(C1501))*14)+MONTH(C1501)+2,FALSE)))</f>
        <v>0</v>
      </c>
      <c r="J1501" s="178">
        <f t="shared" si="175"/>
        <v>0</v>
      </c>
      <c r="K1501" s="462">
        <f>IF(C1501=0,0,VLOOKUP(YEAR(C1501),INPC!$B$4:$O$29,MONTH(C1501)+1))</f>
        <v>0</v>
      </c>
      <c r="L1501" s="462">
        <f>IF(S1501=0,0,VLOOKUP(YEAR(S1501),INPC!$B$4:$O$29,MONTH(S1501)+1))</f>
        <v>0</v>
      </c>
      <c r="M1501" s="463">
        <f t="shared" si="176"/>
        <v>0</v>
      </c>
      <c r="N1501" s="465">
        <f t="shared" si="177"/>
        <v>0</v>
      </c>
      <c r="O1501" s="179"/>
      <c r="P1501" s="180"/>
      <c r="Q1501" s="173"/>
      <c r="R1501" s="173"/>
      <c r="S1501" s="174"/>
      <c r="T1501" s="173"/>
      <c r="U1501" s="182"/>
      <c r="V1501" s="177">
        <f>IF(U1501=0,0,IF(T1501="MXN",1/HLOOKUP(YEAR(S1501)+(MONTH(S1501)/100),TC!$5:$37,DAY(S1501)+2,FALSE),VLOOKUP(T1501,Equivalencia!$1:$23,((MAX(Equivalencia!$3:$3)-YEAR(S1501))*14)+MONTH(S1501)+2,FALSE)))</f>
        <v>0</v>
      </c>
      <c r="W1501" s="178">
        <f t="shared" si="178"/>
        <v>0</v>
      </c>
      <c r="X1501" s="481">
        <f t="shared" si="179"/>
        <v>0</v>
      </c>
      <c r="Y1501" s="179"/>
      <c r="Z1501" s="466">
        <f t="shared" si="180"/>
        <v>0</v>
      </c>
      <c r="AA1501" s="473">
        <f t="shared" si="181"/>
        <v>0</v>
      </c>
      <c r="AB1501" s="339">
        <f t="shared" si="182"/>
        <v>0</v>
      </c>
    </row>
    <row r="1502" spans="2:28" ht="20.100000000000001" customHeight="1">
      <c r="B1502" s="172"/>
      <c r="C1502" s="174"/>
      <c r="D1502" s="181"/>
      <c r="E1502" s="173"/>
      <c r="F1502" s="176"/>
      <c r="G1502" s="175">
        <f t="shared" si="173"/>
        <v>0</v>
      </c>
      <c r="H1502" s="175">
        <f t="shared" si="174"/>
        <v>0</v>
      </c>
      <c r="I1502" s="177">
        <f>IF(G1502=0,0,IF(E1502="MXN",1/HLOOKUP(YEAR(C1502)+(MONTH(C1502)/100),TC!$5:$37,DAY(C1502)+2,FALSE),VLOOKUP(E1502,Equivalencia!$5:$23,((MAX(Equivalencia!$3:$3)-YEAR(C1502))*14)+MONTH(C1502)+2,FALSE)))</f>
        <v>0</v>
      </c>
      <c r="J1502" s="178">
        <f t="shared" si="175"/>
        <v>0</v>
      </c>
      <c r="K1502" s="462">
        <f>IF(C1502=0,0,VLOOKUP(YEAR(C1502),INPC!$B$4:$O$29,MONTH(C1502)+1))</f>
        <v>0</v>
      </c>
      <c r="L1502" s="462">
        <f>IF(S1502=0,0,VLOOKUP(YEAR(S1502),INPC!$B$4:$O$29,MONTH(S1502)+1))</f>
        <v>0</v>
      </c>
      <c r="M1502" s="463">
        <f t="shared" si="176"/>
        <v>0</v>
      </c>
      <c r="N1502" s="465">
        <f t="shared" si="177"/>
        <v>0</v>
      </c>
      <c r="O1502" s="179"/>
      <c r="P1502" s="180"/>
      <c r="Q1502" s="173"/>
      <c r="R1502" s="173"/>
      <c r="S1502" s="174"/>
      <c r="T1502" s="173"/>
      <c r="U1502" s="182"/>
      <c r="V1502" s="177">
        <f>IF(U1502=0,0,IF(T1502="MXN",1/HLOOKUP(YEAR(S1502)+(MONTH(S1502)/100),TC!$5:$37,DAY(S1502)+2,FALSE),VLOOKUP(T1502,Equivalencia!$1:$23,((MAX(Equivalencia!$3:$3)-YEAR(S1502))*14)+MONTH(S1502)+2,FALSE)))</f>
        <v>0</v>
      </c>
      <c r="W1502" s="178">
        <f t="shared" si="178"/>
        <v>0</v>
      </c>
      <c r="X1502" s="481">
        <f t="shared" si="179"/>
        <v>0</v>
      </c>
      <c r="Y1502" s="179"/>
      <c r="Z1502" s="466">
        <f t="shared" si="180"/>
        <v>0</v>
      </c>
      <c r="AA1502" s="473">
        <f t="shared" si="181"/>
        <v>0</v>
      </c>
      <c r="AB1502" s="339">
        <f t="shared" si="182"/>
        <v>0</v>
      </c>
    </row>
    <row r="1503" spans="2:28" ht="20.100000000000001" customHeight="1">
      <c r="B1503" s="172"/>
      <c r="C1503" s="174"/>
      <c r="D1503" s="181"/>
      <c r="E1503" s="173"/>
      <c r="F1503" s="176"/>
      <c r="G1503" s="175">
        <f t="shared" si="173"/>
        <v>0</v>
      </c>
      <c r="H1503" s="175">
        <f t="shared" si="174"/>
        <v>0</v>
      </c>
      <c r="I1503" s="177">
        <f>IF(G1503=0,0,IF(E1503="MXN",1/HLOOKUP(YEAR(C1503)+(MONTH(C1503)/100),TC!$5:$37,DAY(C1503)+2,FALSE),VLOOKUP(E1503,Equivalencia!$5:$23,((MAX(Equivalencia!$3:$3)-YEAR(C1503))*14)+MONTH(C1503)+2,FALSE)))</f>
        <v>0</v>
      </c>
      <c r="J1503" s="178">
        <f t="shared" si="175"/>
        <v>0</v>
      </c>
      <c r="K1503" s="462">
        <f>IF(C1503=0,0,VLOOKUP(YEAR(C1503),INPC!$B$4:$O$29,MONTH(C1503)+1))</f>
        <v>0</v>
      </c>
      <c r="L1503" s="462">
        <f>IF(S1503=0,0,VLOOKUP(YEAR(S1503),INPC!$B$4:$O$29,MONTH(S1503)+1))</f>
        <v>0</v>
      </c>
      <c r="M1503" s="463">
        <f t="shared" si="176"/>
        <v>0</v>
      </c>
      <c r="N1503" s="465">
        <f t="shared" si="177"/>
        <v>0</v>
      </c>
      <c r="O1503" s="179"/>
      <c r="P1503" s="180"/>
      <c r="Q1503" s="173"/>
      <c r="R1503" s="173"/>
      <c r="S1503" s="174"/>
      <c r="T1503" s="173"/>
      <c r="U1503" s="182"/>
      <c r="V1503" s="177">
        <f>IF(U1503=0,0,IF(T1503="MXN",1/HLOOKUP(YEAR(S1503)+(MONTH(S1503)/100),TC!$5:$37,DAY(S1503)+2,FALSE),VLOOKUP(T1503,Equivalencia!$1:$23,((MAX(Equivalencia!$3:$3)-YEAR(S1503))*14)+MONTH(S1503)+2,FALSE)))</f>
        <v>0</v>
      </c>
      <c r="W1503" s="178">
        <f t="shared" si="178"/>
        <v>0</v>
      </c>
      <c r="X1503" s="481">
        <f t="shared" si="179"/>
        <v>0</v>
      </c>
      <c r="Y1503" s="179"/>
      <c r="Z1503" s="466">
        <f t="shared" si="180"/>
        <v>0</v>
      </c>
      <c r="AA1503" s="473">
        <f t="shared" si="181"/>
        <v>0</v>
      </c>
      <c r="AB1503" s="339">
        <f t="shared" si="182"/>
        <v>0</v>
      </c>
    </row>
    <row r="1504" spans="2:28" ht="20.100000000000001" customHeight="1">
      <c r="B1504" s="172"/>
      <c r="C1504" s="174"/>
      <c r="D1504" s="181"/>
      <c r="E1504" s="173"/>
      <c r="F1504" s="176"/>
      <c r="G1504" s="175">
        <f t="shared" si="173"/>
        <v>0</v>
      </c>
      <c r="H1504" s="175">
        <f t="shared" si="174"/>
        <v>0</v>
      </c>
      <c r="I1504" s="177">
        <f>IF(G1504=0,0,IF(E1504="MXN",1/HLOOKUP(YEAR(C1504)+(MONTH(C1504)/100),TC!$5:$37,DAY(C1504)+2,FALSE),VLOOKUP(E1504,Equivalencia!$5:$23,((MAX(Equivalencia!$3:$3)-YEAR(C1504))*14)+MONTH(C1504)+2,FALSE)))</f>
        <v>0</v>
      </c>
      <c r="J1504" s="178">
        <f t="shared" si="175"/>
        <v>0</v>
      </c>
      <c r="K1504" s="462">
        <f>IF(C1504=0,0,VLOOKUP(YEAR(C1504),INPC!$B$4:$O$29,MONTH(C1504)+1))</f>
        <v>0</v>
      </c>
      <c r="L1504" s="462">
        <f>IF(S1504=0,0,VLOOKUP(YEAR(S1504),INPC!$B$4:$O$29,MONTH(S1504)+1))</f>
        <v>0</v>
      </c>
      <c r="M1504" s="463">
        <f t="shared" si="176"/>
        <v>0</v>
      </c>
      <c r="N1504" s="465">
        <f t="shared" si="177"/>
        <v>0</v>
      </c>
      <c r="O1504" s="179"/>
      <c r="P1504" s="180"/>
      <c r="Q1504" s="173"/>
      <c r="R1504" s="173"/>
      <c r="S1504" s="174"/>
      <c r="T1504" s="173"/>
      <c r="U1504" s="182"/>
      <c r="V1504" s="177">
        <f>IF(U1504=0,0,IF(T1504="MXN",1/HLOOKUP(YEAR(S1504)+(MONTH(S1504)/100),TC!$5:$37,DAY(S1504)+2,FALSE),VLOOKUP(T1504,Equivalencia!$1:$23,((MAX(Equivalencia!$3:$3)-YEAR(S1504))*14)+MONTH(S1504)+2,FALSE)))</f>
        <v>0</v>
      </c>
      <c r="W1504" s="178">
        <f t="shared" si="178"/>
        <v>0</v>
      </c>
      <c r="X1504" s="481">
        <f t="shared" si="179"/>
        <v>0</v>
      </c>
      <c r="Y1504" s="179"/>
      <c r="Z1504" s="466">
        <f t="shared" si="180"/>
        <v>0</v>
      </c>
      <c r="AA1504" s="473">
        <f t="shared" si="181"/>
        <v>0</v>
      </c>
      <c r="AB1504" s="339">
        <f t="shared" si="182"/>
        <v>0</v>
      </c>
    </row>
    <row r="1505" spans="2:28" ht="20.100000000000001" customHeight="1">
      <c r="B1505" s="172"/>
      <c r="C1505" s="174"/>
      <c r="D1505" s="181"/>
      <c r="E1505" s="173"/>
      <c r="F1505" s="176"/>
      <c r="G1505" s="175">
        <f t="shared" si="173"/>
        <v>0</v>
      </c>
      <c r="H1505" s="175">
        <f t="shared" si="174"/>
        <v>0</v>
      </c>
      <c r="I1505" s="177">
        <f>IF(G1505=0,0,IF(E1505="MXN",1/HLOOKUP(YEAR(C1505)+(MONTH(C1505)/100),TC!$5:$37,DAY(C1505)+2,FALSE),VLOOKUP(E1505,Equivalencia!$5:$23,((MAX(Equivalencia!$3:$3)-YEAR(C1505))*14)+MONTH(C1505)+2,FALSE)))</f>
        <v>0</v>
      </c>
      <c r="J1505" s="178">
        <f t="shared" si="175"/>
        <v>0</v>
      </c>
      <c r="K1505" s="462">
        <f>IF(C1505=0,0,VLOOKUP(YEAR(C1505),INPC!$B$4:$O$29,MONTH(C1505)+1))</f>
        <v>0</v>
      </c>
      <c r="L1505" s="462">
        <f>IF(S1505=0,0,VLOOKUP(YEAR(S1505),INPC!$B$4:$O$29,MONTH(S1505)+1))</f>
        <v>0</v>
      </c>
      <c r="M1505" s="463">
        <f t="shared" si="176"/>
        <v>0</v>
      </c>
      <c r="N1505" s="465">
        <f t="shared" si="177"/>
        <v>0</v>
      </c>
      <c r="O1505" s="179"/>
      <c r="P1505" s="180"/>
      <c r="Q1505" s="173"/>
      <c r="R1505" s="173"/>
      <c r="S1505" s="174"/>
      <c r="T1505" s="173"/>
      <c r="U1505" s="182"/>
      <c r="V1505" s="177">
        <f>IF(U1505=0,0,IF(T1505="MXN",1/HLOOKUP(YEAR(S1505)+(MONTH(S1505)/100),TC!$5:$37,DAY(S1505)+2,FALSE),VLOOKUP(T1505,Equivalencia!$1:$23,((MAX(Equivalencia!$3:$3)-YEAR(S1505))*14)+MONTH(S1505)+2,FALSE)))</f>
        <v>0</v>
      </c>
      <c r="W1505" s="178">
        <f t="shared" si="178"/>
        <v>0</v>
      </c>
      <c r="X1505" s="481">
        <f t="shared" si="179"/>
        <v>0</v>
      </c>
      <c r="Y1505" s="179"/>
      <c r="Z1505" s="466">
        <f t="shared" si="180"/>
        <v>0</v>
      </c>
      <c r="AA1505" s="473">
        <f t="shared" si="181"/>
        <v>0</v>
      </c>
      <c r="AB1505" s="339">
        <f t="shared" si="182"/>
        <v>0</v>
      </c>
    </row>
    <row r="1506" spans="2:28" ht="20.100000000000001" customHeight="1">
      <c r="B1506" s="172"/>
      <c r="C1506" s="174"/>
      <c r="D1506" s="181"/>
      <c r="E1506" s="173"/>
      <c r="F1506" s="176"/>
      <c r="G1506" s="175">
        <f t="shared" si="173"/>
        <v>0</v>
      </c>
      <c r="H1506" s="175">
        <f t="shared" si="174"/>
        <v>0</v>
      </c>
      <c r="I1506" s="177">
        <f>IF(G1506=0,0,IF(E1506="MXN",1/HLOOKUP(YEAR(C1506)+(MONTH(C1506)/100),TC!$5:$37,DAY(C1506)+2,FALSE),VLOOKUP(E1506,Equivalencia!$5:$23,((MAX(Equivalencia!$3:$3)-YEAR(C1506))*14)+MONTH(C1506)+2,FALSE)))</f>
        <v>0</v>
      </c>
      <c r="J1506" s="178">
        <f t="shared" si="175"/>
        <v>0</v>
      </c>
      <c r="K1506" s="462">
        <f>IF(C1506=0,0,VLOOKUP(YEAR(C1506),INPC!$B$4:$O$29,MONTH(C1506)+1))</f>
        <v>0</v>
      </c>
      <c r="L1506" s="462">
        <f>IF(S1506=0,0,VLOOKUP(YEAR(S1506),INPC!$B$4:$O$29,MONTH(S1506)+1))</f>
        <v>0</v>
      </c>
      <c r="M1506" s="463">
        <f t="shared" si="176"/>
        <v>0</v>
      </c>
      <c r="N1506" s="465">
        <f t="shared" si="177"/>
        <v>0</v>
      </c>
      <c r="O1506" s="179"/>
      <c r="P1506" s="180"/>
      <c r="Q1506" s="173"/>
      <c r="R1506" s="173"/>
      <c r="S1506" s="174"/>
      <c r="T1506" s="173"/>
      <c r="U1506" s="182"/>
      <c r="V1506" s="177">
        <f>IF(U1506=0,0,IF(T1506="MXN",1/HLOOKUP(YEAR(S1506)+(MONTH(S1506)/100),TC!$5:$37,DAY(S1506)+2,FALSE),VLOOKUP(T1506,Equivalencia!$1:$23,((MAX(Equivalencia!$3:$3)-YEAR(S1506))*14)+MONTH(S1506)+2,FALSE)))</f>
        <v>0</v>
      </c>
      <c r="W1506" s="178">
        <f t="shared" si="178"/>
        <v>0</v>
      </c>
      <c r="X1506" s="481">
        <f t="shared" si="179"/>
        <v>0</v>
      </c>
      <c r="Y1506" s="179"/>
      <c r="Z1506" s="466">
        <f t="shared" si="180"/>
        <v>0</v>
      </c>
      <c r="AA1506" s="473">
        <f t="shared" si="181"/>
        <v>0</v>
      </c>
      <c r="AB1506" s="339">
        <f t="shared" si="182"/>
        <v>0</v>
      </c>
    </row>
    <row r="1507" spans="2:28" ht="20.100000000000001" customHeight="1">
      <c r="B1507" s="172"/>
      <c r="C1507" s="174"/>
      <c r="D1507" s="181"/>
      <c r="E1507" s="173"/>
      <c r="F1507" s="176"/>
      <c r="G1507" s="175">
        <f t="shared" si="173"/>
        <v>0</v>
      </c>
      <c r="H1507" s="175">
        <f t="shared" si="174"/>
        <v>0</v>
      </c>
      <c r="I1507" s="177">
        <f>IF(G1507=0,0,IF(E1507="MXN",1/HLOOKUP(YEAR(C1507)+(MONTH(C1507)/100),TC!$5:$37,DAY(C1507)+2,FALSE),VLOOKUP(E1507,Equivalencia!$5:$23,((MAX(Equivalencia!$3:$3)-YEAR(C1507))*14)+MONTH(C1507)+2,FALSE)))</f>
        <v>0</v>
      </c>
      <c r="J1507" s="178">
        <f t="shared" si="175"/>
        <v>0</v>
      </c>
      <c r="K1507" s="462">
        <f>IF(C1507=0,0,VLOOKUP(YEAR(C1507),INPC!$B$4:$O$29,MONTH(C1507)+1))</f>
        <v>0</v>
      </c>
      <c r="L1507" s="462">
        <f>IF(S1507=0,0,VLOOKUP(YEAR(S1507),INPC!$B$4:$O$29,MONTH(S1507)+1))</f>
        <v>0</v>
      </c>
      <c r="M1507" s="463">
        <f t="shared" si="176"/>
        <v>0</v>
      </c>
      <c r="N1507" s="465">
        <f t="shared" si="177"/>
        <v>0</v>
      </c>
      <c r="O1507" s="179"/>
      <c r="P1507" s="180"/>
      <c r="Q1507" s="173"/>
      <c r="R1507" s="173"/>
      <c r="S1507" s="174"/>
      <c r="T1507" s="173"/>
      <c r="U1507" s="182"/>
      <c r="V1507" s="177">
        <f>IF(U1507=0,0,IF(T1507="MXN",1/HLOOKUP(YEAR(S1507)+(MONTH(S1507)/100),TC!$5:$37,DAY(S1507)+2,FALSE),VLOOKUP(T1507,Equivalencia!$1:$23,((MAX(Equivalencia!$3:$3)-YEAR(S1507))*14)+MONTH(S1507)+2,FALSE)))</f>
        <v>0</v>
      </c>
      <c r="W1507" s="178">
        <f t="shared" si="178"/>
        <v>0</v>
      </c>
      <c r="X1507" s="481">
        <f t="shared" si="179"/>
        <v>0</v>
      </c>
      <c r="Y1507" s="179"/>
      <c r="Z1507" s="466">
        <f t="shared" si="180"/>
        <v>0</v>
      </c>
      <c r="AA1507" s="473">
        <f t="shared" si="181"/>
        <v>0</v>
      </c>
      <c r="AB1507" s="339">
        <f t="shared" si="182"/>
        <v>0</v>
      </c>
    </row>
    <row r="1508" spans="2:28" ht="20.100000000000001" customHeight="1">
      <c r="B1508" s="172"/>
      <c r="C1508" s="174"/>
      <c r="D1508" s="181"/>
      <c r="E1508" s="173"/>
      <c r="F1508" s="176"/>
      <c r="G1508" s="175">
        <f t="shared" si="173"/>
        <v>0</v>
      </c>
      <c r="H1508" s="175">
        <f t="shared" si="174"/>
        <v>0</v>
      </c>
      <c r="I1508" s="177">
        <f>IF(G1508=0,0,IF(E1508="MXN",1/HLOOKUP(YEAR(C1508)+(MONTH(C1508)/100),TC!$5:$37,DAY(C1508)+2,FALSE),VLOOKUP(E1508,Equivalencia!$5:$23,((MAX(Equivalencia!$3:$3)-YEAR(C1508))*14)+MONTH(C1508)+2,FALSE)))</f>
        <v>0</v>
      </c>
      <c r="J1508" s="178">
        <f t="shared" si="175"/>
        <v>0</v>
      </c>
      <c r="K1508" s="462">
        <f>IF(C1508=0,0,VLOOKUP(YEAR(C1508),INPC!$B$4:$O$29,MONTH(C1508)+1))</f>
        <v>0</v>
      </c>
      <c r="L1508" s="462">
        <f>IF(S1508=0,0,VLOOKUP(YEAR(S1508),INPC!$B$4:$O$29,MONTH(S1508)+1))</f>
        <v>0</v>
      </c>
      <c r="M1508" s="463">
        <f t="shared" si="176"/>
        <v>0</v>
      </c>
      <c r="N1508" s="465">
        <f t="shared" si="177"/>
        <v>0</v>
      </c>
      <c r="O1508" s="179"/>
      <c r="P1508" s="180"/>
      <c r="Q1508" s="173"/>
      <c r="R1508" s="173"/>
      <c r="S1508" s="174"/>
      <c r="T1508" s="173"/>
      <c r="U1508" s="182"/>
      <c r="V1508" s="177">
        <f>IF(U1508=0,0,IF(T1508="MXN",1/HLOOKUP(YEAR(S1508)+(MONTH(S1508)/100),TC!$5:$37,DAY(S1508)+2,FALSE),VLOOKUP(T1508,Equivalencia!$1:$23,((MAX(Equivalencia!$3:$3)-YEAR(S1508))*14)+MONTH(S1508)+2,FALSE)))</f>
        <v>0</v>
      </c>
      <c r="W1508" s="178">
        <f t="shared" si="178"/>
        <v>0</v>
      </c>
      <c r="X1508" s="481">
        <f t="shared" si="179"/>
        <v>0</v>
      </c>
      <c r="Y1508" s="179"/>
      <c r="Z1508" s="466">
        <f t="shared" si="180"/>
        <v>0</v>
      </c>
      <c r="AA1508" s="473">
        <f t="shared" si="181"/>
        <v>0</v>
      </c>
      <c r="AB1508" s="339">
        <f t="shared" si="182"/>
        <v>0</v>
      </c>
    </row>
    <row r="1509" spans="2:28" ht="20.100000000000001" customHeight="1">
      <c r="B1509" s="172"/>
      <c r="C1509" s="174"/>
      <c r="D1509" s="181"/>
      <c r="E1509" s="173"/>
      <c r="F1509" s="176"/>
      <c r="G1509" s="175">
        <f t="shared" ref="G1509:G1763" si="183">+P1509</f>
        <v>0</v>
      </c>
      <c r="H1509" s="175">
        <f t="shared" ref="H1509:H1763" si="184">IF(F1509=0,0,(F1509/G1509)*P1509)</f>
        <v>0</v>
      </c>
      <c r="I1509" s="177">
        <f>IF(G1509=0,0,IF(E1509="MXN",1/HLOOKUP(YEAR(C1509)+(MONTH(C1509)/100),TC!$5:$37,DAY(C1509)+2,FALSE),VLOOKUP(E1509,Equivalencia!$5:$23,((MAX(Equivalencia!$3:$3)-YEAR(C1509))*14)+MONTH(C1509)+2,FALSE)))</f>
        <v>0</v>
      </c>
      <c r="J1509" s="178">
        <f t="shared" ref="J1509:J1763" si="185">+H1509*I1509</f>
        <v>0</v>
      </c>
      <c r="K1509" s="462">
        <f>IF(C1509=0,0,VLOOKUP(YEAR(C1509),INPC!$B$4:$O$29,MONTH(C1509)+1))</f>
        <v>0</v>
      </c>
      <c r="L1509" s="462">
        <f>IF(S1509=0,0,VLOOKUP(YEAR(S1509),INPC!$B$4:$O$29,MONTH(S1509)+1))</f>
        <v>0</v>
      </c>
      <c r="M1509" s="463">
        <f t="shared" ref="M1509:M1763" si="186">IF(H1509=0,0,IF(R1509=$AF$4,1,IF(TRUNC(L1509/K1509,4)&gt;=1,TRUNC(L1509/K1509,4),1)))</f>
        <v>0</v>
      </c>
      <c r="N1509" s="465">
        <f t="shared" ref="N1509:N1763" si="187">+M1509*J1509</f>
        <v>0</v>
      </c>
      <c r="O1509" s="179"/>
      <c r="P1509" s="180"/>
      <c r="Q1509" s="173"/>
      <c r="R1509" s="173"/>
      <c r="S1509" s="174"/>
      <c r="T1509" s="173"/>
      <c r="U1509" s="182"/>
      <c r="V1509" s="177">
        <f>IF(U1509=0,0,IF(T1509="MXN",1/HLOOKUP(YEAR(S1509)+(MONTH(S1509)/100),TC!$5:$37,DAY(S1509)+2,FALSE),VLOOKUP(T1509,Equivalencia!$1:$23,((MAX(Equivalencia!$3:$3)-YEAR(S1509))*14)+MONTH(S1509)+2,FALSE)))</f>
        <v>0</v>
      </c>
      <c r="W1509" s="178">
        <f t="shared" ref="W1509:W1763" si="188">+V1509*U1509</f>
        <v>0</v>
      </c>
      <c r="X1509" s="481">
        <f t="shared" ref="X1509:X1763" si="189">+W1509-J1509</f>
        <v>0</v>
      </c>
      <c r="Y1509" s="179"/>
      <c r="Z1509" s="466">
        <f t="shared" ref="Z1509:Z1763" si="190">N1509</f>
        <v>0</v>
      </c>
      <c r="AA1509" s="473">
        <f t="shared" ref="AA1509:AA1763" si="191">+W1509-Z1509</f>
        <v>0</v>
      </c>
      <c r="AB1509" s="339">
        <f t="shared" ref="AB1509:AB1763" si="192">+IF(P1509=0,0,(U1509/F1509)-1)</f>
        <v>0</v>
      </c>
    </row>
    <row r="1510" spans="2:28" ht="20.100000000000001" customHeight="1">
      <c r="B1510" s="172"/>
      <c r="C1510" s="174"/>
      <c r="D1510" s="181"/>
      <c r="E1510" s="173"/>
      <c r="F1510" s="176"/>
      <c r="G1510" s="175">
        <f t="shared" si="183"/>
        <v>0</v>
      </c>
      <c r="H1510" s="175">
        <f t="shared" si="184"/>
        <v>0</v>
      </c>
      <c r="I1510" s="177">
        <f>IF(G1510=0,0,IF(E1510="MXN",1/HLOOKUP(YEAR(C1510)+(MONTH(C1510)/100),TC!$5:$37,DAY(C1510)+2,FALSE),VLOOKUP(E1510,Equivalencia!$5:$23,((MAX(Equivalencia!$3:$3)-YEAR(C1510))*14)+MONTH(C1510)+2,FALSE)))</f>
        <v>0</v>
      </c>
      <c r="J1510" s="178">
        <f t="shared" si="185"/>
        <v>0</v>
      </c>
      <c r="K1510" s="462">
        <f>IF(C1510=0,0,VLOOKUP(YEAR(C1510),INPC!$B$4:$O$29,MONTH(C1510)+1))</f>
        <v>0</v>
      </c>
      <c r="L1510" s="462">
        <f>IF(S1510=0,0,VLOOKUP(YEAR(S1510),INPC!$B$4:$O$29,MONTH(S1510)+1))</f>
        <v>0</v>
      </c>
      <c r="M1510" s="463">
        <f t="shared" si="186"/>
        <v>0</v>
      </c>
      <c r="N1510" s="465">
        <f t="shared" si="187"/>
        <v>0</v>
      </c>
      <c r="O1510" s="179"/>
      <c r="P1510" s="180"/>
      <c r="Q1510" s="173"/>
      <c r="R1510" s="173"/>
      <c r="S1510" s="174"/>
      <c r="T1510" s="173"/>
      <c r="U1510" s="182"/>
      <c r="V1510" s="177">
        <f>IF(U1510=0,0,IF(T1510="MXN",1/HLOOKUP(YEAR(S1510)+(MONTH(S1510)/100),TC!$5:$37,DAY(S1510)+2,FALSE),VLOOKUP(T1510,Equivalencia!$1:$23,((MAX(Equivalencia!$3:$3)-YEAR(S1510))*14)+MONTH(S1510)+2,FALSE)))</f>
        <v>0</v>
      </c>
      <c r="W1510" s="178">
        <f t="shared" si="188"/>
        <v>0</v>
      </c>
      <c r="X1510" s="481">
        <f t="shared" si="189"/>
        <v>0</v>
      </c>
      <c r="Y1510" s="179"/>
      <c r="Z1510" s="466">
        <f t="shared" si="190"/>
        <v>0</v>
      </c>
      <c r="AA1510" s="473">
        <f t="shared" si="191"/>
        <v>0</v>
      </c>
      <c r="AB1510" s="339">
        <f t="shared" si="192"/>
        <v>0</v>
      </c>
    </row>
    <row r="1511" spans="2:28" ht="20.100000000000001" customHeight="1">
      <c r="B1511" s="172"/>
      <c r="C1511" s="174"/>
      <c r="D1511" s="181"/>
      <c r="E1511" s="173"/>
      <c r="F1511" s="176"/>
      <c r="G1511" s="175">
        <f t="shared" si="183"/>
        <v>0</v>
      </c>
      <c r="H1511" s="175">
        <f t="shared" si="184"/>
        <v>0</v>
      </c>
      <c r="I1511" s="177">
        <f>IF(G1511=0,0,IF(E1511="MXN",1/HLOOKUP(YEAR(C1511)+(MONTH(C1511)/100),TC!$5:$37,DAY(C1511)+2,FALSE),VLOOKUP(E1511,Equivalencia!$5:$23,((MAX(Equivalencia!$3:$3)-YEAR(C1511))*14)+MONTH(C1511)+2,FALSE)))</f>
        <v>0</v>
      </c>
      <c r="J1511" s="178">
        <f t="shared" si="185"/>
        <v>0</v>
      </c>
      <c r="K1511" s="462">
        <f>IF(C1511=0,0,VLOOKUP(YEAR(C1511),INPC!$B$4:$O$29,MONTH(C1511)+1))</f>
        <v>0</v>
      </c>
      <c r="L1511" s="462">
        <f>IF(S1511=0,0,VLOOKUP(YEAR(S1511),INPC!$B$4:$O$29,MONTH(S1511)+1))</f>
        <v>0</v>
      </c>
      <c r="M1511" s="463">
        <f t="shared" si="186"/>
        <v>0</v>
      </c>
      <c r="N1511" s="465">
        <f t="shared" si="187"/>
        <v>0</v>
      </c>
      <c r="O1511" s="179"/>
      <c r="P1511" s="180"/>
      <c r="Q1511" s="173"/>
      <c r="R1511" s="173"/>
      <c r="S1511" s="174"/>
      <c r="T1511" s="173"/>
      <c r="U1511" s="182"/>
      <c r="V1511" s="177">
        <f>IF(U1511=0,0,IF(T1511="MXN",1/HLOOKUP(YEAR(S1511)+(MONTH(S1511)/100),TC!$5:$37,DAY(S1511)+2,FALSE),VLOOKUP(T1511,Equivalencia!$1:$23,((MAX(Equivalencia!$3:$3)-YEAR(S1511))*14)+MONTH(S1511)+2,FALSE)))</f>
        <v>0</v>
      </c>
      <c r="W1511" s="178">
        <f t="shared" si="188"/>
        <v>0</v>
      </c>
      <c r="X1511" s="481">
        <f t="shared" si="189"/>
        <v>0</v>
      </c>
      <c r="Y1511" s="179"/>
      <c r="Z1511" s="466">
        <f t="shared" si="190"/>
        <v>0</v>
      </c>
      <c r="AA1511" s="473">
        <f t="shared" si="191"/>
        <v>0</v>
      </c>
      <c r="AB1511" s="339">
        <f t="shared" si="192"/>
        <v>0</v>
      </c>
    </row>
    <row r="1512" spans="2:28" ht="20.100000000000001" customHeight="1">
      <c r="B1512" s="172"/>
      <c r="C1512" s="174"/>
      <c r="D1512" s="181"/>
      <c r="E1512" s="173"/>
      <c r="F1512" s="176"/>
      <c r="G1512" s="175">
        <f t="shared" si="183"/>
        <v>0</v>
      </c>
      <c r="H1512" s="175">
        <f t="shared" si="184"/>
        <v>0</v>
      </c>
      <c r="I1512" s="177">
        <f>IF(G1512=0,0,IF(E1512="MXN",1/HLOOKUP(YEAR(C1512)+(MONTH(C1512)/100),TC!$5:$37,DAY(C1512)+2,FALSE),VLOOKUP(E1512,Equivalencia!$5:$23,((MAX(Equivalencia!$3:$3)-YEAR(C1512))*14)+MONTH(C1512)+2,FALSE)))</f>
        <v>0</v>
      </c>
      <c r="J1512" s="178">
        <f t="shared" si="185"/>
        <v>0</v>
      </c>
      <c r="K1512" s="462">
        <f>IF(C1512=0,0,VLOOKUP(YEAR(C1512),INPC!$B$4:$O$29,MONTH(C1512)+1))</f>
        <v>0</v>
      </c>
      <c r="L1512" s="462">
        <f>IF(S1512=0,0,VLOOKUP(YEAR(S1512),INPC!$B$4:$O$29,MONTH(S1512)+1))</f>
        <v>0</v>
      </c>
      <c r="M1512" s="463">
        <f t="shared" si="186"/>
        <v>0</v>
      </c>
      <c r="N1512" s="465">
        <f t="shared" si="187"/>
        <v>0</v>
      </c>
      <c r="O1512" s="179"/>
      <c r="P1512" s="180"/>
      <c r="Q1512" s="173"/>
      <c r="R1512" s="173"/>
      <c r="S1512" s="174"/>
      <c r="T1512" s="173"/>
      <c r="U1512" s="182"/>
      <c r="V1512" s="177">
        <f>IF(U1512=0,0,IF(T1512="MXN",1/HLOOKUP(YEAR(S1512)+(MONTH(S1512)/100),TC!$5:$37,DAY(S1512)+2,FALSE),VLOOKUP(T1512,Equivalencia!$1:$23,((MAX(Equivalencia!$3:$3)-YEAR(S1512))*14)+MONTH(S1512)+2,FALSE)))</f>
        <v>0</v>
      </c>
      <c r="W1512" s="178">
        <f t="shared" si="188"/>
        <v>0</v>
      </c>
      <c r="X1512" s="481">
        <f t="shared" si="189"/>
        <v>0</v>
      </c>
      <c r="Y1512" s="179"/>
      <c r="Z1512" s="466">
        <f t="shared" si="190"/>
        <v>0</v>
      </c>
      <c r="AA1512" s="473">
        <f t="shared" si="191"/>
        <v>0</v>
      </c>
      <c r="AB1512" s="339">
        <f t="shared" si="192"/>
        <v>0</v>
      </c>
    </row>
    <row r="1513" spans="2:28" ht="20.100000000000001" customHeight="1">
      <c r="B1513" s="172"/>
      <c r="C1513" s="174"/>
      <c r="D1513" s="181"/>
      <c r="E1513" s="173"/>
      <c r="F1513" s="176"/>
      <c r="G1513" s="175">
        <f t="shared" si="183"/>
        <v>0</v>
      </c>
      <c r="H1513" s="175">
        <f t="shared" si="184"/>
        <v>0</v>
      </c>
      <c r="I1513" s="177">
        <f>IF(G1513=0,0,IF(E1513="MXN",1/HLOOKUP(YEAR(C1513)+(MONTH(C1513)/100),TC!$5:$37,DAY(C1513)+2,FALSE),VLOOKUP(E1513,Equivalencia!$5:$23,((MAX(Equivalencia!$3:$3)-YEAR(C1513))*14)+MONTH(C1513)+2,FALSE)))</f>
        <v>0</v>
      </c>
      <c r="J1513" s="178">
        <f t="shared" si="185"/>
        <v>0</v>
      </c>
      <c r="K1513" s="462">
        <f>IF(C1513=0,0,VLOOKUP(YEAR(C1513),INPC!$B$4:$O$29,MONTH(C1513)+1))</f>
        <v>0</v>
      </c>
      <c r="L1513" s="462">
        <f>IF(S1513=0,0,VLOOKUP(YEAR(S1513),INPC!$B$4:$O$29,MONTH(S1513)+1))</f>
        <v>0</v>
      </c>
      <c r="M1513" s="463">
        <f t="shared" si="186"/>
        <v>0</v>
      </c>
      <c r="N1513" s="465">
        <f t="shared" si="187"/>
        <v>0</v>
      </c>
      <c r="O1513" s="179"/>
      <c r="P1513" s="180"/>
      <c r="Q1513" s="173"/>
      <c r="R1513" s="173"/>
      <c r="S1513" s="174"/>
      <c r="T1513" s="173"/>
      <c r="U1513" s="182"/>
      <c r="V1513" s="177">
        <f>IF(U1513=0,0,IF(T1513="MXN",1/HLOOKUP(YEAR(S1513)+(MONTH(S1513)/100),TC!$5:$37,DAY(S1513)+2,FALSE),VLOOKUP(T1513,Equivalencia!$1:$23,((MAX(Equivalencia!$3:$3)-YEAR(S1513))*14)+MONTH(S1513)+2,FALSE)))</f>
        <v>0</v>
      </c>
      <c r="W1513" s="178">
        <f t="shared" si="188"/>
        <v>0</v>
      </c>
      <c r="X1513" s="481">
        <f t="shared" si="189"/>
        <v>0</v>
      </c>
      <c r="Y1513" s="179"/>
      <c r="Z1513" s="466">
        <f t="shared" si="190"/>
        <v>0</v>
      </c>
      <c r="AA1513" s="473">
        <f t="shared" si="191"/>
        <v>0</v>
      </c>
      <c r="AB1513" s="339">
        <f t="shared" si="192"/>
        <v>0</v>
      </c>
    </row>
    <row r="1514" spans="2:28" ht="20.100000000000001" customHeight="1">
      <c r="B1514" s="172"/>
      <c r="C1514" s="174"/>
      <c r="D1514" s="181"/>
      <c r="E1514" s="173"/>
      <c r="F1514" s="176"/>
      <c r="G1514" s="175">
        <f t="shared" si="183"/>
        <v>0</v>
      </c>
      <c r="H1514" s="175">
        <f t="shared" si="184"/>
        <v>0</v>
      </c>
      <c r="I1514" s="177">
        <f>IF(G1514=0,0,IF(E1514="MXN",1/HLOOKUP(YEAR(C1514)+(MONTH(C1514)/100),TC!$5:$37,DAY(C1514)+2,FALSE),VLOOKUP(E1514,Equivalencia!$5:$23,((MAX(Equivalencia!$3:$3)-YEAR(C1514))*14)+MONTH(C1514)+2,FALSE)))</f>
        <v>0</v>
      </c>
      <c r="J1514" s="178">
        <f t="shared" si="185"/>
        <v>0</v>
      </c>
      <c r="K1514" s="462">
        <f>IF(C1514=0,0,VLOOKUP(YEAR(C1514),INPC!$B$4:$O$29,MONTH(C1514)+1))</f>
        <v>0</v>
      </c>
      <c r="L1514" s="462">
        <f>IF(S1514=0,0,VLOOKUP(YEAR(S1514),INPC!$B$4:$O$29,MONTH(S1514)+1))</f>
        <v>0</v>
      </c>
      <c r="M1514" s="463">
        <f t="shared" si="186"/>
        <v>0</v>
      </c>
      <c r="N1514" s="465">
        <f t="shared" si="187"/>
        <v>0</v>
      </c>
      <c r="O1514" s="179"/>
      <c r="P1514" s="180"/>
      <c r="Q1514" s="173"/>
      <c r="R1514" s="173"/>
      <c r="S1514" s="174"/>
      <c r="T1514" s="173"/>
      <c r="U1514" s="182"/>
      <c r="V1514" s="177">
        <f>IF(U1514=0,0,IF(T1514="MXN",1/HLOOKUP(YEAR(S1514)+(MONTH(S1514)/100),TC!$5:$37,DAY(S1514)+2,FALSE),VLOOKUP(T1514,Equivalencia!$1:$23,((MAX(Equivalencia!$3:$3)-YEAR(S1514))*14)+MONTH(S1514)+2,FALSE)))</f>
        <v>0</v>
      </c>
      <c r="W1514" s="178">
        <f t="shared" si="188"/>
        <v>0</v>
      </c>
      <c r="X1514" s="481">
        <f t="shared" si="189"/>
        <v>0</v>
      </c>
      <c r="Y1514" s="179"/>
      <c r="Z1514" s="466">
        <f t="shared" si="190"/>
        <v>0</v>
      </c>
      <c r="AA1514" s="473">
        <f t="shared" si="191"/>
        <v>0</v>
      </c>
      <c r="AB1514" s="339">
        <f t="shared" si="192"/>
        <v>0</v>
      </c>
    </row>
    <row r="1515" spans="2:28" ht="20.100000000000001" customHeight="1">
      <c r="B1515" s="172"/>
      <c r="C1515" s="174"/>
      <c r="D1515" s="181"/>
      <c r="E1515" s="173"/>
      <c r="F1515" s="176"/>
      <c r="G1515" s="175">
        <f t="shared" si="183"/>
        <v>0</v>
      </c>
      <c r="H1515" s="175">
        <f t="shared" si="184"/>
        <v>0</v>
      </c>
      <c r="I1515" s="177">
        <f>IF(G1515=0,0,IF(E1515="MXN",1/HLOOKUP(YEAR(C1515)+(MONTH(C1515)/100),TC!$5:$37,DAY(C1515)+2,FALSE),VLOOKUP(E1515,Equivalencia!$5:$23,((MAX(Equivalencia!$3:$3)-YEAR(C1515))*14)+MONTH(C1515)+2,FALSE)))</f>
        <v>0</v>
      </c>
      <c r="J1515" s="178">
        <f t="shared" si="185"/>
        <v>0</v>
      </c>
      <c r="K1515" s="462">
        <f>IF(C1515=0,0,VLOOKUP(YEAR(C1515),INPC!$B$4:$O$29,MONTH(C1515)+1))</f>
        <v>0</v>
      </c>
      <c r="L1515" s="462">
        <f>IF(S1515=0,0,VLOOKUP(YEAR(S1515),INPC!$B$4:$O$29,MONTH(S1515)+1))</f>
        <v>0</v>
      </c>
      <c r="M1515" s="463">
        <f t="shared" si="186"/>
        <v>0</v>
      </c>
      <c r="N1515" s="465">
        <f t="shared" si="187"/>
        <v>0</v>
      </c>
      <c r="O1515" s="179"/>
      <c r="P1515" s="180"/>
      <c r="Q1515" s="173"/>
      <c r="R1515" s="173"/>
      <c r="S1515" s="174"/>
      <c r="T1515" s="173"/>
      <c r="U1515" s="182"/>
      <c r="V1515" s="177">
        <f>IF(U1515=0,0,IF(T1515="MXN",1/HLOOKUP(YEAR(S1515)+(MONTH(S1515)/100),TC!$5:$37,DAY(S1515)+2,FALSE),VLOOKUP(T1515,Equivalencia!$1:$23,((MAX(Equivalencia!$3:$3)-YEAR(S1515))*14)+MONTH(S1515)+2,FALSE)))</f>
        <v>0</v>
      </c>
      <c r="W1515" s="178">
        <f t="shared" si="188"/>
        <v>0</v>
      </c>
      <c r="X1515" s="481">
        <f t="shared" si="189"/>
        <v>0</v>
      </c>
      <c r="Y1515" s="179"/>
      <c r="Z1515" s="466">
        <f t="shared" si="190"/>
        <v>0</v>
      </c>
      <c r="AA1515" s="473">
        <f t="shared" si="191"/>
        <v>0</v>
      </c>
      <c r="AB1515" s="339">
        <f t="shared" si="192"/>
        <v>0</v>
      </c>
    </row>
    <row r="1516" spans="2:28" ht="20.100000000000001" customHeight="1">
      <c r="B1516" s="172"/>
      <c r="C1516" s="174"/>
      <c r="D1516" s="181"/>
      <c r="E1516" s="173"/>
      <c r="F1516" s="176"/>
      <c r="G1516" s="175">
        <f t="shared" si="183"/>
        <v>0</v>
      </c>
      <c r="H1516" s="175">
        <f t="shared" si="184"/>
        <v>0</v>
      </c>
      <c r="I1516" s="177">
        <f>IF(G1516=0,0,IF(E1516="MXN",1/HLOOKUP(YEAR(C1516)+(MONTH(C1516)/100),TC!$5:$37,DAY(C1516)+2,FALSE),VLOOKUP(E1516,Equivalencia!$5:$23,((MAX(Equivalencia!$3:$3)-YEAR(C1516))*14)+MONTH(C1516)+2,FALSE)))</f>
        <v>0</v>
      </c>
      <c r="J1516" s="178">
        <f t="shared" si="185"/>
        <v>0</v>
      </c>
      <c r="K1516" s="462">
        <f>IF(C1516=0,0,VLOOKUP(YEAR(C1516),INPC!$B$4:$O$29,MONTH(C1516)+1))</f>
        <v>0</v>
      </c>
      <c r="L1516" s="462">
        <f>IF(S1516=0,0,VLOOKUP(YEAR(S1516),INPC!$B$4:$O$29,MONTH(S1516)+1))</f>
        <v>0</v>
      </c>
      <c r="M1516" s="463">
        <f t="shared" si="186"/>
        <v>0</v>
      </c>
      <c r="N1516" s="465">
        <f t="shared" si="187"/>
        <v>0</v>
      </c>
      <c r="O1516" s="179"/>
      <c r="P1516" s="180"/>
      <c r="Q1516" s="173"/>
      <c r="R1516" s="173"/>
      <c r="S1516" s="174"/>
      <c r="T1516" s="173"/>
      <c r="U1516" s="182"/>
      <c r="V1516" s="177">
        <f>IF(U1516=0,0,IF(T1516="MXN",1/HLOOKUP(YEAR(S1516)+(MONTH(S1516)/100),TC!$5:$37,DAY(S1516)+2,FALSE),VLOOKUP(T1516,Equivalencia!$1:$23,((MAX(Equivalencia!$3:$3)-YEAR(S1516))*14)+MONTH(S1516)+2,FALSE)))</f>
        <v>0</v>
      </c>
      <c r="W1516" s="178">
        <f t="shared" si="188"/>
        <v>0</v>
      </c>
      <c r="X1516" s="481">
        <f t="shared" si="189"/>
        <v>0</v>
      </c>
      <c r="Y1516" s="179"/>
      <c r="Z1516" s="466">
        <f t="shared" si="190"/>
        <v>0</v>
      </c>
      <c r="AA1516" s="473">
        <f t="shared" si="191"/>
        <v>0</v>
      </c>
      <c r="AB1516" s="339">
        <f t="shared" si="192"/>
        <v>0</v>
      </c>
    </row>
    <row r="1517" spans="2:28" ht="20.100000000000001" customHeight="1">
      <c r="B1517" s="172"/>
      <c r="C1517" s="174"/>
      <c r="D1517" s="181"/>
      <c r="E1517" s="173"/>
      <c r="F1517" s="176"/>
      <c r="G1517" s="175">
        <f t="shared" si="183"/>
        <v>0</v>
      </c>
      <c r="H1517" s="175">
        <f t="shared" si="184"/>
        <v>0</v>
      </c>
      <c r="I1517" s="177">
        <f>IF(G1517=0,0,IF(E1517="MXN",1/HLOOKUP(YEAR(C1517)+(MONTH(C1517)/100),TC!$5:$37,DAY(C1517)+2,FALSE),VLOOKUP(E1517,Equivalencia!$5:$23,((MAX(Equivalencia!$3:$3)-YEAR(C1517))*14)+MONTH(C1517)+2,FALSE)))</f>
        <v>0</v>
      </c>
      <c r="J1517" s="178">
        <f t="shared" si="185"/>
        <v>0</v>
      </c>
      <c r="K1517" s="462">
        <f>IF(C1517=0,0,VLOOKUP(YEAR(C1517),INPC!$B$4:$O$29,MONTH(C1517)+1))</f>
        <v>0</v>
      </c>
      <c r="L1517" s="462">
        <f>IF(S1517=0,0,VLOOKUP(YEAR(S1517),INPC!$B$4:$O$29,MONTH(S1517)+1))</f>
        <v>0</v>
      </c>
      <c r="M1517" s="463">
        <f t="shared" si="186"/>
        <v>0</v>
      </c>
      <c r="N1517" s="465">
        <f t="shared" si="187"/>
        <v>0</v>
      </c>
      <c r="O1517" s="179"/>
      <c r="P1517" s="180"/>
      <c r="Q1517" s="173"/>
      <c r="R1517" s="173"/>
      <c r="S1517" s="174"/>
      <c r="T1517" s="173"/>
      <c r="U1517" s="182"/>
      <c r="V1517" s="177">
        <f>IF(U1517=0,0,IF(T1517="MXN",1/HLOOKUP(YEAR(S1517)+(MONTH(S1517)/100),TC!$5:$37,DAY(S1517)+2,FALSE),VLOOKUP(T1517,Equivalencia!$1:$23,((MAX(Equivalencia!$3:$3)-YEAR(S1517))*14)+MONTH(S1517)+2,FALSE)))</f>
        <v>0</v>
      </c>
      <c r="W1517" s="178">
        <f t="shared" si="188"/>
        <v>0</v>
      </c>
      <c r="X1517" s="481">
        <f t="shared" si="189"/>
        <v>0</v>
      </c>
      <c r="Y1517" s="179"/>
      <c r="Z1517" s="466">
        <f t="shared" si="190"/>
        <v>0</v>
      </c>
      <c r="AA1517" s="473">
        <f t="shared" si="191"/>
        <v>0</v>
      </c>
      <c r="AB1517" s="339">
        <f t="shared" si="192"/>
        <v>0</v>
      </c>
    </row>
    <row r="1518" spans="2:28" ht="20.100000000000001" customHeight="1">
      <c r="B1518" s="172"/>
      <c r="C1518" s="174"/>
      <c r="D1518" s="181"/>
      <c r="E1518" s="173"/>
      <c r="F1518" s="176"/>
      <c r="G1518" s="175">
        <f t="shared" si="183"/>
        <v>0</v>
      </c>
      <c r="H1518" s="175">
        <f t="shared" si="184"/>
        <v>0</v>
      </c>
      <c r="I1518" s="177">
        <f>IF(G1518=0,0,IF(E1518="MXN",1/HLOOKUP(YEAR(C1518)+(MONTH(C1518)/100),TC!$5:$37,DAY(C1518)+2,FALSE),VLOOKUP(E1518,Equivalencia!$5:$23,((MAX(Equivalencia!$3:$3)-YEAR(C1518))*14)+MONTH(C1518)+2,FALSE)))</f>
        <v>0</v>
      </c>
      <c r="J1518" s="178">
        <f t="shared" si="185"/>
        <v>0</v>
      </c>
      <c r="K1518" s="462">
        <f>IF(C1518=0,0,VLOOKUP(YEAR(C1518),INPC!$B$4:$O$29,MONTH(C1518)+1))</f>
        <v>0</v>
      </c>
      <c r="L1518" s="462">
        <f>IF(S1518=0,0,VLOOKUP(YEAR(S1518),INPC!$B$4:$O$29,MONTH(S1518)+1))</f>
        <v>0</v>
      </c>
      <c r="M1518" s="463">
        <f t="shared" si="186"/>
        <v>0</v>
      </c>
      <c r="N1518" s="465">
        <f t="shared" si="187"/>
        <v>0</v>
      </c>
      <c r="O1518" s="179"/>
      <c r="P1518" s="180"/>
      <c r="Q1518" s="173"/>
      <c r="R1518" s="173"/>
      <c r="S1518" s="174"/>
      <c r="T1518" s="173"/>
      <c r="U1518" s="182"/>
      <c r="V1518" s="177">
        <f>IF(U1518=0,0,IF(T1518="MXN",1/HLOOKUP(YEAR(S1518)+(MONTH(S1518)/100),TC!$5:$37,DAY(S1518)+2,FALSE),VLOOKUP(T1518,Equivalencia!$1:$23,((MAX(Equivalencia!$3:$3)-YEAR(S1518))*14)+MONTH(S1518)+2,FALSE)))</f>
        <v>0</v>
      </c>
      <c r="W1518" s="178">
        <f t="shared" si="188"/>
        <v>0</v>
      </c>
      <c r="X1518" s="481">
        <f t="shared" si="189"/>
        <v>0</v>
      </c>
      <c r="Y1518" s="179"/>
      <c r="Z1518" s="466">
        <f t="shared" si="190"/>
        <v>0</v>
      </c>
      <c r="AA1518" s="473">
        <f t="shared" si="191"/>
        <v>0</v>
      </c>
      <c r="AB1518" s="339">
        <f t="shared" si="192"/>
        <v>0</v>
      </c>
    </row>
    <row r="1519" spans="2:28" ht="20.100000000000001" customHeight="1">
      <c r="B1519" s="172"/>
      <c r="C1519" s="174"/>
      <c r="D1519" s="181"/>
      <c r="E1519" s="173"/>
      <c r="F1519" s="176"/>
      <c r="G1519" s="175">
        <f t="shared" si="183"/>
        <v>0</v>
      </c>
      <c r="H1519" s="175">
        <f t="shared" si="184"/>
        <v>0</v>
      </c>
      <c r="I1519" s="177">
        <f>IF(G1519=0,0,IF(E1519="MXN",1/HLOOKUP(YEAR(C1519)+(MONTH(C1519)/100),TC!$5:$37,DAY(C1519)+2,FALSE),VLOOKUP(E1519,Equivalencia!$5:$23,((MAX(Equivalencia!$3:$3)-YEAR(C1519))*14)+MONTH(C1519)+2,FALSE)))</f>
        <v>0</v>
      </c>
      <c r="J1519" s="178">
        <f t="shared" si="185"/>
        <v>0</v>
      </c>
      <c r="K1519" s="462">
        <f>IF(C1519=0,0,VLOOKUP(YEAR(C1519),INPC!$B$4:$O$29,MONTH(C1519)+1))</f>
        <v>0</v>
      </c>
      <c r="L1519" s="462">
        <f>IF(S1519=0,0,VLOOKUP(YEAR(S1519),INPC!$B$4:$O$29,MONTH(S1519)+1))</f>
        <v>0</v>
      </c>
      <c r="M1519" s="463">
        <f t="shared" si="186"/>
        <v>0</v>
      </c>
      <c r="N1519" s="465">
        <f t="shared" si="187"/>
        <v>0</v>
      </c>
      <c r="O1519" s="179"/>
      <c r="P1519" s="180"/>
      <c r="Q1519" s="173"/>
      <c r="R1519" s="173"/>
      <c r="S1519" s="174"/>
      <c r="T1519" s="173"/>
      <c r="U1519" s="182"/>
      <c r="V1519" s="177">
        <f>IF(U1519=0,0,IF(T1519="MXN",1/HLOOKUP(YEAR(S1519)+(MONTH(S1519)/100),TC!$5:$37,DAY(S1519)+2,FALSE),VLOOKUP(T1519,Equivalencia!$1:$23,((MAX(Equivalencia!$3:$3)-YEAR(S1519))*14)+MONTH(S1519)+2,FALSE)))</f>
        <v>0</v>
      </c>
      <c r="W1519" s="178">
        <f t="shared" si="188"/>
        <v>0</v>
      </c>
      <c r="X1519" s="481">
        <f t="shared" si="189"/>
        <v>0</v>
      </c>
      <c r="Y1519" s="179"/>
      <c r="Z1519" s="466">
        <f t="shared" si="190"/>
        <v>0</v>
      </c>
      <c r="AA1519" s="473">
        <f t="shared" si="191"/>
        <v>0</v>
      </c>
      <c r="AB1519" s="339">
        <f t="shared" si="192"/>
        <v>0</v>
      </c>
    </row>
    <row r="1520" spans="2:28" ht="20.100000000000001" customHeight="1">
      <c r="B1520" s="172"/>
      <c r="C1520" s="174"/>
      <c r="D1520" s="181"/>
      <c r="E1520" s="173"/>
      <c r="F1520" s="176"/>
      <c r="G1520" s="175">
        <f t="shared" si="183"/>
        <v>0</v>
      </c>
      <c r="H1520" s="175">
        <f t="shared" si="184"/>
        <v>0</v>
      </c>
      <c r="I1520" s="177">
        <f>IF(G1520=0,0,IF(E1520="MXN",1/HLOOKUP(YEAR(C1520)+(MONTH(C1520)/100),TC!$5:$37,DAY(C1520)+2,FALSE),VLOOKUP(E1520,Equivalencia!$5:$23,((MAX(Equivalencia!$3:$3)-YEAR(C1520))*14)+MONTH(C1520)+2,FALSE)))</f>
        <v>0</v>
      </c>
      <c r="J1520" s="178">
        <f t="shared" si="185"/>
        <v>0</v>
      </c>
      <c r="K1520" s="462">
        <f>IF(C1520=0,0,VLOOKUP(YEAR(C1520),INPC!$B$4:$O$29,MONTH(C1520)+1))</f>
        <v>0</v>
      </c>
      <c r="L1520" s="462">
        <f>IF(S1520=0,0,VLOOKUP(YEAR(S1520),INPC!$B$4:$O$29,MONTH(S1520)+1))</f>
        <v>0</v>
      </c>
      <c r="M1520" s="463">
        <f t="shared" si="186"/>
        <v>0</v>
      </c>
      <c r="N1520" s="465">
        <f t="shared" si="187"/>
        <v>0</v>
      </c>
      <c r="O1520" s="179"/>
      <c r="P1520" s="180"/>
      <c r="Q1520" s="173"/>
      <c r="R1520" s="173"/>
      <c r="S1520" s="174"/>
      <c r="T1520" s="173"/>
      <c r="U1520" s="182"/>
      <c r="V1520" s="177">
        <f>IF(U1520=0,0,IF(T1520="MXN",1/HLOOKUP(YEAR(S1520)+(MONTH(S1520)/100),TC!$5:$37,DAY(S1520)+2,FALSE),VLOOKUP(T1520,Equivalencia!$1:$23,((MAX(Equivalencia!$3:$3)-YEAR(S1520))*14)+MONTH(S1520)+2,FALSE)))</f>
        <v>0</v>
      </c>
      <c r="W1520" s="178">
        <f t="shared" si="188"/>
        <v>0</v>
      </c>
      <c r="X1520" s="481">
        <f t="shared" si="189"/>
        <v>0</v>
      </c>
      <c r="Y1520" s="179"/>
      <c r="Z1520" s="466">
        <f t="shared" si="190"/>
        <v>0</v>
      </c>
      <c r="AA1520" s="473">
        <f t="shared" si="191"/>
        <v>0</v>
      </c>
      <c r="AB1520" s="339">
        <f t="shared" si="192"/>
        <v>0</v>
      </c>
    </row>
    <row r="1521" spans="2:28" ht="20.100000000000001" customHeight="1">
      <c r="B1521" s="172"/>
      <c r="C1521" s="174"/>
      <c r="D1521" s="181"/>
      <c r="E1521" s="173"/>
      <c r="F1521" s="176"/>
      <c r="G1521" s="175">
        <f t="shared" si="183"/>
        <v>0</v>
      </c>
      <c r="H1521" s="175">
        <f t="shared" si="184"/>
        <v>0</v>
      </c>
      <c r="I1521" s="177">
        <f>IF(G1521=0,0,IF(E1521="MXN",1/HLOOKUP(YEAR(C1521)+(MONTH(C1521)/100),TC!$5:$37,DAY(C1521)+2,FALSE),VLOOKUP(E1521,Equivalencia!$5:$23,((MAX(Equivalencia!$3:$3)-YEAR(C1521))*14)+MONTH(C1521)+2,FALSE)))</f>
        <v>0</v>
      </c>
      <c r="J1521" s="178">
        <f t="shared" si="185"/>
        <v>0</v>
      </c>
      <c r="K1521" s="462">
        <f>IF(C1521=0,0,VLOOKUP(YEAR(C1521),INPC!$B$4:$O$29,MONTH(C1521)+1))</f>
        <v>0</v>
      </c>
      <c r="L1521" s="462">
        <f>IF(S1521=0,0,VLOOKUP(YEAR(S1521),INPC!$B$4:$O$29,MONTH(S1521)+1))</f>
        <v>0</v>
      </c>
      <c r="M1521" s="463">
        <f t="shared" si="186"/>
        <v>0</v>
      </c>
      <c r="N1521" s="465">
        <f t="shared" si="187"/>
        <v>0</v>
      </c>
      <c r="O1521" s="179"/>
      <c r="P1521" s="180"/>
      <c r="Q1521" s="173"/>
      <c r="R1521" s="173"/>
      <c r="S1521" s="174"/>
      <c r="T1521" s="173"/>
      <c r="U1521" s="182"/>
      <c r="V1521" s="177">
        <f>IF(U1521=0,0,IF(T1521="MXN",1/HLOOKUP(YEAR(S1521)+(MONTH(S1521)/100),TC!$5:$37,DAY(S1521)+2,FALSE),VLOOKUP(T1521,Equivalencia!$1:$23,((MAX(Equivalencia!$3:$3)-YEAR(S1521))*14)+MONTH(S1521)+2,FALSE)))</f>
        <v>0</v>
      </c>
      <c r="W1521" s="178">
        <f t="shared" si="188"/>
        <v>0</v>
      </c>
      <c r="X1521" s="481">
        <f t="shared" si="189"/>
        <v>0</v>
      </c>
      <c r="Y1521" s="179"/>
      <c r="Z1521" s="466">
        <f t="shared" si="190"/>
        <v>0</v>
      </c>
      <c r="AA1521" s="473">
        <f t="shared" si="191"/>
        <v>0</v>
      </c>
      <c r="AB1521" s="339">
        <f t="shared" si="192"/>
        <v>0</v>
      </c>
    </row>
    <row r="1522" spans="2:28" ht="20.100000000000001" customHeight="1">
      <c r="B1522" s="172"/>
      <c r="C1522" s="174"/>
      <c r="D1522" s="181"/>
      <c r="E1522" s="173"/>
      <c r="F1522" s="176"/>
      <c r="G1522" s="175">
        <f t="shared" si="183"/>
        <v>0</v>
      </c>
      <c r="H1522" s="175">
        <f t="shared" si="184"/>
        <v>0</v>
      </c>
      <c r="I1522" s="177">
        <f>IF(G1522=0,0,IF(E1522="MXN",1/HLOOKUP(YEAR(C1522)+(MONTH(C1522)/100),TC!$5:$37,DAY(C1522)+2,FALSE),VLOOKUP(E1522,Equivalencia!$5:$23,((MAX(Equivalencia!$3:$3)-YEAR(C1522))*14)+MONTH(C1522)+2,FALSE)))</f>
        <v>0</v>
      </c>
      <c r="J1522" s="178">
        <f t="shared" si="185"/>
        <v>0</v>
      </c>
      <c r="K1522" s="462">
        <f>IF(C1522=0,0,VLOOKUP(YEAR(C1522),INPC!$B$4:$O$29,MONTH(C1522)+1))</f>
        <v>0</v>
      </c>
      <c r="L1522" s="462">
        <f>IF(S1522=0,0,VLOOKUP(YEAR(S1522),INPC!$B$4:$O$29,MONTH(S1522)+1))</f>
        <v>0</v>
      </c>
      <c r="M1522" s="463">
        <f t="shared" si="186"/>
        <v>0</v>
      </c>
      <c r="N1522" s="465">
        <f t="shared" si="187"/>
        <v>0</v>
      </c>
      <c r="O1522" s="179"/>
      <c r="P1522" s="180"/>
      <c r="Q1522" s="173"/>
      <c r="R1522" s="173"/>
      <c r="S1522" s="174"/>
      <c r="T1522" s="173"/>
      <c r="U1522" s="182"/>
      <c r="V1522" s="177">
        <f>IF(U1522=0,0,IF(T1522="MXN",1/HLOOKUP(YEAR(S1522)+(MONTH(S1522)/100),TC!$5:$37,DAY(S1522)+2,FALSE),VLOOKUP(T1522,Equivalencia!$1:$23,((MAX(Equivalencia!$3:$3)-YEAR(S1522))*14)+MONTH(S1522)+2,FALSE)))</f>
        <v>0</v>
      </c>
      <c r="W1522" s="178">
        <f t="shared" si="188"/>
        <v>0</v>
      </c>
      <c r="X1522" s="481">
        <f t="shared" si="189"/>
        <v>0</v>
      </c>
      <c r="Y1522" s="179"/>
      <c r="Z1522" s="466">
        <f t="shared" si="190"/>
        <v>0</v>
      </c>
      <c r="AA1522" s="473">
        <f t="shared" si="191"/>
        <v>0</v>
      </c>
      <c r="AB1522" s="339">
        <f t="shared" si="192"/>
        <v>0</v>
      </c>
    </row>
    <row r="1523" spans="2:28" ht="20.100000000000001" customHeight="1">
      <c r="B1523" s="172"/>
      <c r="C1523" s="174"/>
      <c r="D1523" s="181"/>
      <c r="E1523" s="173"/>
      <c r="F1523" s="176"/>
      <c r="G1523" s="175">
        <f t="shared" si="183"/>
        <v>0</v>
      </c>
      <c r="H1523" s="175">
        <f t="shared" si="184"/>
        <v>0</v>
      </c>
      <c r="I1523" s="177">
        <f>IF(G1523=0,0,IF(E1523="MXN",1/HLOOKUP(YEAR(C1523)+(MONTH(C1523)/100),TC!$5:$37,DAY(C1523)+2,FALSE),VLOOKUP(E1523,Equivalencia!$5:$23,((MAX(Equivalencia!$3:$3)-YEAR(C1523))*14)+MONTH(C1523)+2,FALSE)))</f>
        <v>0</v>
      </c>
      <c r="J1523" s="178">
        <f t="shared" si="185"/>
        <v>0</v>
      </c>
      <c r="K1523" s="462">
        <f>IF(C1523=0,0,VLOOKUP(YEAR(C1523),INPC!$B$4:$O$29,MONTH(C1523)+1))</f>
        <v>0</v>
      </c>
      <c r="L1523" s="462">
        <f>IF(S1523=0,0,VLOOKUP(YEAR(S1523),INPC!$B$4:$O$29,MONTH(S1523)+1))</f>
        <v>0</v>
      </c>
      <c r="M1523" s="463">
        <f t="shared" si="186"/>
        <v>0</v>
      </c>
      <c r="N1523" s="465">
        <f t="shared" si="187"/>
        <v>0</v>
      </c>
      <c r="O1523" s="179"/>
      <c r="P1523" s="180"/>
      <c r="Q1523" s="173"/>
      <c r="R1523" s="173"/>
      <c r="S1523" s="174"/>
      <c r="T1523" s="173"/>
      <c r="U1523" s="182"/>
      <c r="V1523" s="177">
        <f>IF(U1523=0,0,IF(T1523="MXN",1/HLOOKUP(YEAR(S1523)+(MONTH(S1523)/100),TC!$5:$37,DAY(S1523)+2,FALSE),VLOOKUP(T1523,Equivalencia!$1:$23,((MAX(Equivalencia!$3:$3)-YEAR(S1523))*14)+MONTH(S1523)+2,FALSE)))</f>
        <v>0</v>
      </c>
      <c r="W1523" s="178">
        <f t="shared" si="188"/>
        <v>0</v>
      </c>
      <c r="X1523" s="481">
        <f t="shared" si="189"/>
        <v>0</v>
      </c>
      <c r="Y1523" s="179"/>
      <c r="Z1523" s="466">
        <f t="shared" si="190"/>
        <v>0</v>
      </c>
      <c r="AA1523" s="473">
        <f t="shared" si="191"/>
        <v>0</v>
      </c>
      <c r="AB1523" s="339">
        <f t="shared" si="192"/>
        <v>0</v>
      </c>
    </row>
    <row r="1524" spans="2:28" ht="20.100000000000001" customHeight="1">
      <c r="B1524" s="172"/>
      <c r="C1524" s="174"/>
      <c r="D1524" s="181"/>
      <c r="E1524" s="173"/>
      <c r="F1524" s="176"/>
      <c r="G1524" s="175">
        <f t="shared" si="183"/>
        <v>0</v>
      </c>
      <c r="H1524" s="175">
        <f t="shared" si="184"/>
        <v>0</v>
      </c>
      <c r="I1524" s="177">
        <f>IF(G1524=0,0,IF(E1524="MXN",1/HLOOKUP(YEAR(C1524)+(MONTH(C1524)/100),TC!$5:$37,DAY(C1524)+2,FALSE),VLOOKUP(E1524,Equivalencia!$5:$23,((MAX(Equivalencia!$3:$3)-YEAR(C1524))*14)+MONTH(C1524)+2,FALSE)))</f>
        <v>0</v>
      </c>
      <c r="J1524" s="178">
        <f t="shared" si="185"/>
        <v>0</v>
      </c>
      <c r="K1524" s="462">
        <f>IF(C1524=0,0,VLOOKUP(YEAR(C1524),INPC!$B$4:$O$29,MONTH(C1524)+1))</f>
        <v>0</v>
      </c>
      <c r="L1524" s="462">
        <f>IF(S1524=0,0,VLOOKUP(YEAR(S1524),INPC!$B$4:$O$29,MONTH(S1524)+1))</f>
        <v>0</v>
      </c>
      <c r="M1524" s="463">
        <f t="shared" si="186"/>
        <v>0</v>
      </c>
      <c r="N1524" s="465">
        <f t="shared" si="187"/>
        <v>0</v>
      </c>
      <c r="O1524" s="179"/>
      <c r="P1524" s="180"/>
      <c r="Q1524" s="173"/>
      <c r="R1524" s="173"/>
      <c r="S1524" s="174"/>
      <c r="T1524" s="173"/>
      <c r="U1524" s="182"/>
      <c r="V1524" s="177">
        <f>IF(U1524=0,0,IF(T1524="MXN",1/HLOOKUP(YEAR(S1524)+(MONTH(S1524)/100),TC!$5:$37,DAY(S1524)+2,FALSE),VLOOKUP(T1524,Equivalencia!$1:$23,((MAX(Equivalencia!$3:$3)-YEAR(S1524))*14)+MONTH(S1524)+2,FALSE)))</f>
        <v>0</v>
      </c>
      <c r="W1524" s="178">
        <f t="shared" si="188"/>
        <v>0</v>
      </c>
      <c r="X1524" s="481">
        <f t="shared" si="189"/>
        <v>0</v>
      </c>
      <c r="Y1524" s="179"/>
      <c r="Z1524" s="466">
        <f t="shared" si="190"/>
        <v>0</v>
      </c>
      <c r="AA1524" s="473">
        <f t="shared" si="191"/>
        <v>0</v>
      </c>
      <c r="AB1524" s="339">
        <f t="shared" si="192"/>
        <v>0</v>
      </c>
    </row>
    <row r="1525" spans="2:28" ht="20.100000000000001" customHeight="1">
      <c r="B1525" s="172"/>
      <c r="C1525" s="174"/>
      <c r="D1525" s="181"/>
      <c r="E1525" s="173"/>
      <c r="F1525" s="176"/>
      <c r="G1525" s="175">
        <f t="shared" si="183"/>
        <v>0</v>
      </c>
      <c r="H1525" s="175">
        <f t="shared" si="184"/>
        <v>0</v>
      </c>
      <c r="I1525" s="177">
        <f>IF(G1525=0,0,IF(E1525="MXN",1/HLOOKUP(YEAR(C1525)+(MONTH(C1525)/100),TC!$5:$37,DAY(C1525)+2,FALSE),VLOOKUP(E1525,Equivalencia!$5:$23,((MAX(Equivalencia!$3:$3)-YEAR(C1525))*14)+MONTH(C1525)+2,FALSE)))</f>
        <v>0</v>
      </c>
      <c r="J1525" s="178">
        <f t="shared" si="185"/>
        <v>0</v>
      </c>
      <c r="K1525" s="462">
        <f>IF(C1525=0,0,VLOOKUP(YEAR(C1525),INPC!$B$4:$O$29,MONTH(C1525)+1))</f>
        <v>0</v>
      </c>
      <c r="L1525" s="462">
        <f>IF(S1525=0,0,VLOOKUP(YEAR(S1525),INPC!$B$4:$O$29,MONTH(S1525)+1))</f>
        <v>0</v>
      </c>
      <c r="M1525" s="463">
        <f t="shared" si="186"/>
        <v>0</v>
      </c>
      <c r="N1525" s="465">
        <f t="shared" si="187"/>
        <v>0</v>
      </c>
      <c r="O1525" s="179"/>
      <c r="P1525" s="180"/>
      <c r="Q1525" s="173"/>
      <c r="R1525" s="173"/>
      <c r="S1525" s="174"/>
      <c r="T1525" s="173"/>
      <c r="U1525" s="182"/>
      <c r="V1525" s="177">
        <f>IF(U1525=0,0,IF(T1525="MXN",1/HLOOKUP(YEAR(S1525)+(MONTH(S1525)/100),TC!$5:$37,DAY(S1525)+2,FALSE),VLOOKUP(T1525,Equivalencia!$1:$23,((MAX(Equivalencia!$3:$3)-YEAR(S1525))*14)+MONTH(S1525)+2,FALSE)))</f>
        <v>0</v>
      </c>
      <c r="W1525" s="178">
        <f t="shared" si="188"/>
        <v>0</v>
      </c>
      <c r="X1525" s="481">
        <f t="shared" si="189"/>
        <v>0</v>
      </c>
      <c r="Y1525" s="179"/>
      <c r="Z1525" s="466">
        <f t="shared" si="190"/>
        <v>0</v>
      </c>
      <c r="AA1525" s="473">
        <f t="shared" si="191"/>
        <v>0</v>
      </c>
      <c r="AB1525" s="339">
        <f t="shared" si="192"/>
        <v>0</v>
      </c>
    </row>
    <row r="1526" spans="2:28" ht="20.100000000000001" customHeight="1">
      <c r="B1526" s="172"/>
      <c r="C1526" s="174"/>
      <c r="D1526" s="181"/>
      <c r="E1526" s="173"/>
      <c r="F1526" s="176"/>
      <c r="G1526" s="175">
        <f t="shared" si="183"/>
        <v>0</v>
      </c>
      <c r="H1526" s="175">
        <f t="shared" si="184"/>
        <v>0</v>
      </c>
      <c r="I1526" s="177">
        <f>IF(G1526=0,0,IF(E1526="MXN",1/HLOOKUP(YEAR(C1526)+(MONTH(C1526)/100),TC!$5:$37,DAY(C1526)+2,FALSE),VLOOKUP(E1526,Equivalencia!$5:$23,((MAX(Equivalencia!$3:$3)-YEAR(C1526))*14)+MONTH(C1526)+2,FALSE)))</f>
        <v>0</v>
      </c>
      <c r="J1526" s="178">
        <f t="shared" si="185"/>
        <v>0</v>
      </c>
      <c r="K1526" s="462">
        <f>IF(C1526=0,0,VLOOKUP(YEAR(C1526),INPC!$B$4:$O$29,MONTH(C1526)+1))</f>
        <v>0</v>
      </c>
      <c r="L1526" s="462">
        <f>IF(S1526=0,0,VLOOKUP(YEAR(S1526),INPC!$B$4:$O$29,MONTH(S1526)+1))</f>
        <v>0</v>
      </c>
      <c r="M1526" s="463">
        <f t="shared" si="186"/>
        <v>0</v>
      </c>
      <c r="N1526" s="465">
        <f t="shared" si="187"/>
        <v>0</v>
      </c>
      <c r="O1526" s="179"/>
      <c r="P1526" s="180"/>
      <c r="Q1526" s="173"/>
      <c r="R1526" s="173"/>
      <c r="S1526" s="174"/>
      <c r="T1526" s="173"/>
      <c r="U1526" s="182"/>
      <c r="V1526" s="177">
        <f>IF(U1526=0,0,IF(T1526="MXN",1/HLOOKUP(YEAR(S1526)+(MONTH(S1526)/100),TC!$5:$37,DAY(S1526)+2,FALSE),VLOOKUP(T1526,Equivalencia!$1:$23,((MAX(Equivalencia!$3:$3)-YEAR(S1526))*14)+MONTH(S1526)+2,FALSE)))</f>
        <v>0</v>
      </c>
      <c r="W1526" s="178">
        <f t="shared" si="188"/>
        <v>0</v>
      </c>
      <c r="X1526" s="481">
        <f t="shared" si="189"/>
        <v>0</v>
      </c>
      <c r="Y1526" s="179"/>
      <c r="Z1526" s="466">
        <f t="shared" si="190"/>
        <v>0</v>
      </c>
      <c r="AA1526" s="473">
        <f t="shared" si="191"/>
        <v>0</v>
      </c>
      <c r="AB1526" s="339">
        <f t="shared" si="192"/>
        <v>0</v>
      </c>
    </row>
    <row r="1527" spans="2:28" ht="20.100000000000001" customHeight="1">
      <c r="B1527" s="172"/>
      <c r="C1527" s="174"/>
      <c r="D1527" s="181"/>
      <c r="E1527" s="173"/>
      <c r="F1527" s="176"/>
      <c r="G1527" s="175">
        <f t="shared" si="183"/>
        <v>0</v>
      </c>
      <c r="H1527" s="175">
        <f t="shared" si="184"/>
        <v>0</v>
      </c>
      <c r="I1527" s="177">
        <f>IF(G1527=0,0,IF(E1527="MXN",1/HLOOKUP(YEAR(C1527)+(MONTH(C1527)/100),TC!$5:$37,DAY(C1527)+2,FALSE),VLOOKUP(E1527,Equivalencia!$5:$23,((MAX(Equivalencia!$3:$3)-YEAR(C1527))*14)+MONTH(C1527)+2,FALSE)))</f>
        <v>0</v>
      </c>
      <c r="J1527" s="178">
        <f t="shared" si="185"/>
        <v>0</v>
      </c>
      <c r="K1527" s="462">
        <f>IF(C1527=0,0,VLOOKUP(YEAR(C1527),INPC!$B$4:$O$29,MONTH(C1527)+1))</f>
        <v>0</v>
      </c>
      <c r="L1527" s="462">
        <f>IF(S1527=0,0,VLOOKUP(YEAR(S1527),INPC!$B$4:$O$29,MONTH(S1527)+1))</f>
        <v>0</v>
      </c>
      <c r="M1527" s="463">
        <f t="shared" si="186"/>
        <v>0</v>
      </c>
      <c r="N1527" s="465">
        <f t="shared" si="187"/>
        <v>0</v>
      </c>
      <c r="O1527" s="179"/>
      <c r="P1527" s="180"/>
      <c r="Q1527" s="173"/>
      <c r="R1527" s="173"/>
      <c r="S1527" s="174"/>
      <c r="T1527" s="173"/>
      <c r="U1527" s="182"/>
      <c r="V1527" s="177">
        <f>IF(U1527=0,0,IF(T1527="MXN",1/HLOOKUP(YEAR(S1527)+(MONTH(S1527)/100),TC!$5:$37,DAY(S1527)+2,FALSE),VLOOKUP(T1527,Equivalencia!$1:$23,((MAX(Equivalencia!$3:$3)-YEAR(S1527))*14)+MONTH(S1527)+2,FALSE)))</f>
        <v>0</v>
      </c>
      <c r="W1527" s="178">
        <f t="shared" si="188"/>
        <v>0</v>
      </c>
      <c r="X1527" s="481">
        <f t="shared" si="189"/>
        <v>0</v>
      </c>
      <c r="Y1527" s="179"/>
      <c r="Z1527" s="466">
        <f t="shared" si="190"/>
        <v>0</v>
      </c>
      <c r="AA1527" s="473">
        <f t="shared" si="191"/>
        <v>0</v>
      </c>
      <c r="AB1527" s="339">
        <f t="shared" si="192"/>
        <v>0</v>
      </c>
    </row>
    <row r="1528" spans="2:28" ht="20.100000000000001" customHeight="1">
      <c r="B1528" s="172"/>
      <c r="C1528" s="174"/>
      <c r="D1528" s="181"/>
      <c r="E1528" s="173"/>
      <c r="F1528" s="176"/>
      <c r="G1528" s="175">
        <f t="shared" si="183"/>
        <v>0</v>
      </c>
      <c r="H1528" s="175">
        <f t="shared" si="184"/>
        <v>0</v>
      </c>
      <c r="I1528" s="177">
        <f>IF(G1528=0,0,IF(E1528="MXN",1/HLOOKUP(YEAR(C1528)+(MONTH(C1528)/100),TC!$5:$37,DAY(C1528)+2,FALSE),VLOOKUP(E1528,Equivalencia!$5:$23,((MAX(Equivalencia!$3:$3)-YEAR(C1528))*14)+MONTH(C1528)+2,FALSE)))</f>
        <v>0</v>
      </c>
      <c r="J1528" s="178">
        <f t="shared" si="185"/>
        <v>0</v>
      </c>
      <c r="K1528" s="462">
        <f>IF(C1528=0,0,VLOOKUP(YEAR(C1528),INPC!$B$4:$O$29,MONTH(C1528)+1))</f>
        <v>0</v>
      </c>
      <c r="L1528" s="462">
        <f>IF(S1528=0,0,VLOOKUP(YEAR(S1528),INPC!$B$4:$O$29,MONTH(S1528)+1))</f>
        <v>0</v>
      </c>
      <c r="M1528" s="463">
        <f t="shared" si="186"/>
        <v>0</v>
      </c>
      <c r="N1528" s="465">
        <f t="shared" si="187"/>
        <v>0</v>
      </c>
      <c r="O1528" s="179"/>
      <c r="P1528" s="180"/>
      <c r="Q1528" s="173"/>
      <c r="R1528" s="173"/>
      <c r="S1528" s="174"/>
      <c r="T1528" s="173"/>
      <c r="U1528" s="182"/>
      <c r="V1528" s="177">
        <f>IF(U1528=0,0,IF(T1528="MXN",1/HLOOKUP(YEAR(S1528)+(MONTH(S1528)/100),TC!$5:$37,DAY(S1528)+2,FALSE),VLOOKUP(T1528,Equivalencia!$1:$23,((MAX(Equivalencia!$3:$3)-YEAR(S1528))*14)+MONTH(S1528)+2,FALSE)))</f>
        <v>0</v>
      </c>
      <c r="W1528" s="178">
        <f t="shared" si="188"/>
        <v>0</v>
      </c>
      <c r="X1528" s="481">
        <f t="shared" si="189"/>
        <v>0</v>
      </c>
      <c r="Y1528" s="179"/>
      <c r="Z1528" s="466">
        <f t="shared" si="190"/>
        <v>0</v>
      </c>
      <c r="AA1528" s="473">
        <f t="shared" si="191"/>
        <v>0</v>
      </c>
      <c r="AB1528" s="339">
        <f t="shared" si="192"/>
        <v>0</v>
      </c>
    </row>
    <row r="1529" spans="2:28" ht="20.100000000000001" customHeight="1">
      <c r="B1529" s="172"/>
      <c r="C1529" s="174"/>
      <c r="D1529" s="181"/>
      <c r="E1529" s="173"/>
      <c r="F1529" s="176"/>
      <c r="G1529" s="175">
        <f t="shared" si="183"/>
        <v>0</v>
      </c>
      <c r="H1529" s="175">
        <f t="shared" si="184"/>
        <v>0</v>
      </c>
      <c r="I1529" s="177">
        <f>IF(G1529=0,0,IF(E1529="MXN",1/HLOOKUP(YEAR(C1529)+(MONTH(C1529)/100),TC!$5:$37,DAY(C1529)+2,FALSE),VLOOKUP(E1529,Equivalencia!$5:$23,((MAX(Equivalencia!$3:$3)-YEAR(C1529))*14)+MONTH(C1529)+2,FALSE)))</f>
        <v>0</v>
      </c>
      <c r="J1529" s="178">
        <f t="shared" si="185"/>
        <v>0</v>
      </c>
      <c r="K1529" s="462">
        <f>IF(C1529=0,0,VLOOKUP(YEAR(C1529),INPC!$B$4:$O$29,MONTH(C1529)+1))</f>
        <v>0</v>
      </c>
      <c r="L1529" s="462">
        <f>IF(S1529=0,0,VLOOKUP(YEAR(S1529),INPC!$B$4:$O$29,MONTH(S1529)+1))</f>
        <v>0</v>
      </c>
      <c r="M1529" s="463">
        <f t="shared" si="186"/>
        <v>0</v>
      </c>
      <c r="N1529" s="465">
        <f t="shared" si="187"/>
        <v>0</v>
      </c>
      <c r="O1529" s="179"/>
      <c r="P1529" s="180"/>
      <c r="Q1529" s="173"/>
      <c r="R1529" s="173"/>
      <c r="S1529" s="174"/>
      <c r="T1529" s="173"/>
      <c r="U1529" s="182"/>
      <c r="V1529" s="177">
        <f>IF(U1529=0,0,IF(T1529="MXN",1/HLOOKUP(YEAR(S1529)+(MONTH(S1529)/100),TC!$5:$37,DAY(S1529)+2,FALSE),VLOOKUP(T1529,Equivalencia!$1:$23,((MAX(Equivalencia!$3:$3)-YEAR(S1529))*14)+MONTH(S1529)+2,FALSE)))</f>
        <v>0</v>
      </c>
      <c r="W1529" s="178">
        <f t="shared" si="188"/>
        <v>0</v>
      </c>
      <c r="X1529" s="481">
        <f t="shared" si="189"/>
        <v>0</v>
      </c>
      <c r="Y1529" s="179"/>
      <c r="Z1529" s="466">
        <f t="shared" si="190"/>
        <v>0</v>
      </c>
      <c r="AA1529" s="473">
        <f t="shared" si="191"/>
        <v>0</v>
      </c>
      <c r="AB1529" s="339">
        <f t="shared" si="192"/>
        <v>0</v>
      </c>
    </row>
    <row r="1530" spans="2:28" ht="20.100000000000001" customHeight="1">
      <c r="B1530" s="172"/>
      <c r="C1530" s="174"/>
      <c r="D1530" s="181"/>
      <c r="E1530" s="173"/>
      <c r="F1530" s="176"/>
      <c r="G1530" s="175">
        <f t="shared" si="183"/>
        <v>0</v>
      </c>
      <c r="H1530" s="175">
        <f t="shared" si="184"/>
        <v>0</v>
      </c>
      <c r="I1530" s="177">
        <f>IF(G1530=0,0,IF(E1530="MXN",1/HLOOKUP(YEAR(C1530)+(MONTH(C1530)/100),TC!$5:$37,DAY(C1530)+2,FALSE),VLOOKUP(E1530,Equivalencia!$5:$23,((MAX(Equivalencia!$3:$3)-YEAR(C1530))*14)+MONTH(C1530)+2,FALSE)))</f>
        <v>0</v>
      </c>
      <c r="J1530" s="178">
        <f t="shared" si="185"/>
        <v>0</v>
      </c>
      <c r="K1530" s="462">
        <f>IF(C1530=0,0,VLOOKUP(YEAR(C1530),INPC!$B$4:$O$29,MONTH(C1530)+1))</f>
        <v>0</v>
      </c>
      <c r="L1530" s="462">
        <f>IF(S1530=0,0,VLOOKUP(YEAR(S1530),INPC!$B$4:$O$29,MONTH(S1530)+1))</f>
        <v>0</v>
      </c>
      <c r="M1530" s="463">
        <f t="shared" si="186"/>
        <v>0</v>
      </c>
      <c r="N1530" s="465">
        <f t="shared" si="187"/>
        <v>0</v>
      </c>
      <c r="O1530" s="179"/>
      <c r="P1530" s="180"/>
      <c r="Q1530" s="173"/>
      <c r="R1530" s="173"/>
      <c r="S1530" s="174"/>
      <c r="T1530" s="173"/>
      <c r="U1530" s="182"/>
      <c r="V1530" s="177">
        <f>IF(U1530=0,0,IF(T1530="MXN",1/HLOOKUP(YEAR(S1530)+(MONTH(S1530)/100),TC!$5:$37,DAY(S1530)+2,FALSE),VLOOKUP(T1530,Equivalencia!$1:$23,((MAX(Equivalencia!$3:$3)-YEAR(S1530))*14)+MONTH(S1530)+2,FALSE)))</f>
        <v>0</v>
      </c>
      <c r="W1530" s="178">
        <f t="shared" si="188"/>
        <v>0</v>
      </c>
      <c r="X1530" s="481">
        <f t="shared" si="189"/>
        <v>0</v>
      </c>
      <c r="Y1530" s="179"/>
      <c r="Z1530" s="466">
        <f t="shared" si="190"/>
        <v>0</v>
      </c>
      <c r="AA1530" s="473">
        <f t="shared" si="191"/>
        <v>0</v>
      </c>
      <c r="AB1530" s="339">
        <f t="shared" si="192"/>
        <v>0</v>
      </c>
    </row>
    <row r="1531" spans="2:28" ht="20.100000000000001" customHeight="1">
      <c r="B1531" s="172"/>
      <c r="C1531" s="174"/>
      <c r="D1531" s="181"/>
      <c r="E1531" s="173"/>
      <c r="F1531" s="176"/>
      <c r="G1531" s="175">
        <f t="shared" si="183"/>
        <v>0</v>
      </c>
      <c r="H1531" s="175">
        <f t="shared" si="184"/>
        <v>0</v>
      </c>
      <c r="I1531" s="177">
        <f>IF(G1531=0,0,IF(E1531="MXN",1/HLOOKUP(YEAR(C1531)+(MONTH(C1531)/100),TC!$5:$37,DAY(C1531)+2,FALSE),VLOOKUP(E1531,Equivalencia!$5:$23,((MAX(Equivalencia!$3:$3)-YEAR(C1531))*14)+MONTH(C1531)+2,FALSE)))</f>
        <v>0</v>
      </c>
      <c r="J1531" s="178">
        <f t="shared" si="185"/>
        <v>0</v>
      </c>
      <c r="K1531" s="462">
        <f>IF(C1531=0,0,VLOOKUP(YEAR(C1531),INPC!$B$4:$O$29,MONTH(C1531)+1))</f>
        <v>0</v>
      </c>
      <c r="L1531" s="462">
        <f>IF(S1531=0,0,VLOOKUP(YEAR(S1531),INPC!$B$4:$O$29,MONTH(S1531)+1))</f>
        <v>0</v>
      </c>
      <c r="M1531" s="463">
        <f t="shared" si="186"/>
        <v>0</v>
      </c>
      <c r="N1531" s="465">
        <f t="shared" si="187"/>
        <v>0</v>
      </c>
      <c r="O1531" s="179"/>
      <c r="P1531" s="180"/>
      <c r="Q1531" s="173"/>
      <c r="R1531" s="173"/>
      <c r="S1531" s="174"/>
      <c r="T1531" s="173"/>
      <c r="U1531" s="182"/>
      <c r="V1531" s="177">
        <f>IF(U1531=0,0,IF(T1531="MXN",1/HLOOKUP(YEAR(S1531)+(MONTH(S1531)/100),TC!$5:$37,DAY(S1531)+2,FALSE),VLOOKUP(T1531,Equivalencia!$1:$23,((MAX(Equivalencia!$3:$3)-YEAR(S1531))*14)+MONTH(S1531)+2,FALSE)))</f>
        <v>0</v>
      </c>
      <c r="W1531" s="178">
        <f t="shared" si="188"/>
        <v>0</v>
      </c>
      <c r="X1531" s="481">
        <f t="shared" si="189"/>
        <v>0</v>
      </c>
      <c r="Y1531" s="179"/>
      <c r="Z1531" s="466">
        <f t="shared" si="190"/>
        <v>0</v>
      </c>
      <c r="AA1531" s="473">
        <f t="shared" si="191"/>
        <v>0</v>
      </c>
      <c r="AB1531" s="339">
        <f t="shared" si="192"/>
        <v>0</v>
      </c>
    </row>
    <row r="1532" spans="2:28" ht="20.100000000000001" customHeight="1">
      <c r="B1532" s="172"/>
      <c r="C1532" s="174"/>
      <c r="D1532" s="181"/>
      <c r="E1532" s="173"/>
      <c r="F1532" s="176"/>
      <c r="G1532" s="175">
        <f t="shared" si="183"/>
        <v>0</v>
      </c>
      <c r="H1532" s="175">
        <f t="shared" si="184"/>
        <v>0</v>
      </c>
      <c r="I1532" s="177">
        <f>IF(G1532=0,0,IF(E1532="MXN",1/HLOOKUP(YEAR(C1532)+(MONTH(C1532)/100),TC!$5:$37,DAY(C1532)+2,FALSE),VLOOKUP(E1532,Equivalencia!$5:$23,((MAX(Equivalencia!$3:$3)-YEAR(C1532))*14)+MONTH(C1532)+2,FALSE)))</f>
        <v>0</v>
      </c>
      <c r="J1532" s="178">
        <f t="shared" si="185"/>
        <v>0</v>
      </c>
      <c r="K1532" s="462">
        <f>IF(C1532=0,0,VLOOKUP(YEAR(C1532),INPC!$B$4:$O$29,MONTH(C1532)+1))</f>
        <v>0</v>
      </c>
      <c r="L1532" s="462">
        <f>IF(S1532=0,0,VLOOKUP(YEAR(S1532),INPC!$B$4:$O$29,MONTH(S1532)+1))</f>
        <v>0</v>
      </c>
      <c r="M1532" s="463">
        <f t="shared" si="186"/>
        <v>0</v>
      </c>
      <c r="N1532" s="465">
        <f t="shared" si="187"/>
        <v>0</v>
      </c>
      <c r="O1532" s="179"/>
      <c r="P1532" s="180"/>
      <c r="Q1532" s="173"/>
      <c r="R1532" s="173"/>
      <c r="S1532" s="174"/>
      <c r="T1532" s="173"/>
      <c r="U1532" s="182"/>
      <c r="V1532" s="177">
        <f>IF(U1532=0,0,IF(T1532="MXN",1/HLOOKUP(YEAR(S1532)+(MONTH(S1532)/100),TC!$5:$37,DAY(S1532)+2,FALSE),VLOOKUP(T1532,Equivalencia!$1:$23,((MAX(Equivalencia!$3:$3)-YEAR(S1532))*14)+MONTH(S1532)+2,FALSE)))</f>
        <v>0</v>
      </c>
      <c r="W1532" s="178">
        <f t="shared" si="188"/>
        <v>0</v>
      </c>
      <c r="X1532" s="481">
        <f t="shared" si="189"/>
        <v>0</v>
      </c>
      <c r="Y1532" s="179"/>
      <c r="Z1532" s="466">
        <f t="shared" si="190"/>
        <v>0</v>
      </c>
      <c r="AA1532" s="473">
        <f t="shared" si="191"/>
        <v>0</v>
      </c>
      <c r="AB1532" s="339">
        <f t="shared" si="192"/>
        <v>0</v>
      </c>
    </row>
    <row r="1533" spans="2:28" ht="20.100000000000001" customHeight="1">
      <c r="B1533" s="172"/>
      <c r="C1533" s="174"/>
      <c r="D1533" s="181"/>
      <c r="E1533" s="173"/>
      <c r="F1533" s="176"/>
      <c r="G1533" s="175">
        <f t="shared" si="183"/>
        <v>0</v>
      </c>
      <c r="H1533" s="175">
        <f t="shared" si="184"/>
        <v>0</v>
      </c>
      <c r="I1533" s="177">
        <f>IF(G1533=0,0,IF(E1533="MXN",1/HLOOKUP(YEAR(C1533)+(MONTH(C1533)/100),TC!$5:$37,DAY(C1533)+2,FALSE),VLOOKUP(E1533,Equivalencia!$5:$23,((MAX(Equivalencia!$3:$3)-YEAR(C1533))*14)+MONTH(C1533)+2,FALSE)))</f>
        <v>0</v>
      </c>
      <c r="J1533" s="178">
        <f t="shared" si="185"/>
        <v>0</v>
      </c>
      <c r="K1533" s="462">
        <f>IF(C1533=0,0,VLOOKUP(YEAR(C1533),INPC!$B$4:$O$29,MONTH(C1533)+1))</f>
        <v>0</v>
      </c>
      <c r="L1533" s="462">
        <f>IF(S1533=0,0,VLOOKUP(YEAR(S1533),INPC!$B$4:$O$29,MONTH(S1533)+1))</f>
        <v>0</v>
      </c>
      <c r="M1533" s="463">
        <f t="shared" si="186"/>
        <v>0</v>
      </c>
      <c r="N1533" s="465">
        <f t="shared" si="187"/>
        <v>0</v>
      </c>
      <c r="O1533" s="179"/>
      <c r="P1533" s="180"/>
      <c r="Q1533" s="173"/>
      <c r="R1533" s="173"/>
      <c r="S1533" s="174"/>
      <c r="T1533" s="173"/>
      <c r="U1533" s="182"/>
      <c r="V1533" s="177">
        <f>IF(U1533=0,0,IF(T1533="MXN",1/HLOOKUP(YEAR(S1533)+(MONTH(S1533)/100),TC!$5:$37,DAY(S1533)+2,FALSE),VLOOKUP(T1533,Equivalencia!$1:$23,((MAX(Equivalencia!$3:$3)-YEAR(S1533))*14)+MONTH(S1533)+2,FALSE)))</f>
        <v>0</v>
      </c>
      <c r="W1533" s="178">
        <f t="shared" si="188"/>
        <v>0</v>
      </c>
      <c r="X1533" s="481">
        <f t="shared" si="189"/>
        <v>0</v>
      </c>
      <c r="Y1533" s="179"/>
      <c r="Z1533" s="466">
        <f t="shared" si="190"/>
        <v>0</v>
      </c>
      <c r="AA1533" s="473">
        <f t="shared" si="191"/>
        <v>0</v>
      </c>
      <c r="AB1533" s="339">
        <f t="shared" si="192"/>
        <v>0</v>
      </c>
    </row>
    <row r="1534" spans="2:28" ht="20.100000000000001" customHeight="1">
      <c r="B1534" s="172"/>
      <c r="C1534" s="174"/>
      <c r="D1534" s="181"/>
      <c r="E1534" s="173"/>
      <c r="F1534" s="176"/>
      <c r="G1534" s="175">
        <f t="shared" si="183"/>
        <v>0</v>
      </c>
      <c r="H1534" s="175">
        <f t="shared" si="184"/>
        <v>0</v>
      </c>
      <c r="I1534" s="177">
        <f>IF(G1534=0,0,IF(E1534="MXN",1/HLOOKUP(YEAR(C1534)+(MONTH(C1534)/100),TC!$5:$37,DAY(C1534)+2,FALSE),VLOOKUP(E1534,Equivalencia!$5:$23,((MAX(Equivalencia!$3:$3)-YEAR(C1534))*14)+MONTH(C1534)+2,FALSE)))</f>
        <v>0</v>
      </c>
      <c r="J1534" s="178">
        <f t="shared" si="185"/>
        <v>0</v>
      </c>
      <c r="K1534" s="462">
        <f>IF(C1534=0,0,VLOOKUP(YEAR(C1534),INPC!$B$4:$O$29,MONTH(C1534)+1))</f>
        <v>0</v>
      </c>
      <c r="L1534" s="462">
        <f>IF(S1534=0,0,VLOOKUP(YEAR(S1534),INPC!$B$4:$O$29,MONTH(S1534)+1))</f>
        <v>0</v>
      </c>
      <c r="M1534" s="463">
        <f t="shared" si="186"/>
        <v>0</v>
      </c>
      <c r="N1534" s="465">
        <f t="shared" si="187"/>
        <v>0</v>
      </c>
      <c r="O1534" s="179"/>
      <c r="P1534" s="180"/>
      <c r="Q1534" s="173"/>
      <c r="R1534" s="173"/>
      <c r="S1534" s="174"/>
      <c r="T1534" s="173"/>
      <c r="U1534" s="182"/>
      <c r="V1534" s="177">
        <f>IF(U1534=0,0,IF(T1534="MXN",1/HLOOKUP(YEAR(S1534)+(MONTH(S1534)/100),TC!$5:$37,DAY(S1534)+2,FALSE),VLOOKUP(T1534,Equivalencia!$1:$23,((MAX(Equivalencia!$3:$3)-YEAR(S1534))*14)+MONTH(S1534)+2,FALSE)))</f>
        <v>0</v>
      </c>
      <c r="W1534" s="178">
        <f t="shared" si="188"/>
        <v>0</v>
      </c>
      <c r="X1534" s="481">
        <f t="shared" si="189"/>
        <v>0</v>
      </c>
      <c r="Y1534" s="179"/>
      <c r="Z1534" s="466">
        <f t="shared" si="190"/>
        <v>0</v>
      </c>
      <c r="AA1534" s="473">
        <f t="shared" si="191"/>
        <v>0</v>
      </c>
      <c r="AB1534" s="339">
        <f t="shared" si="192"/>
        <v>0</v>
      </c>
    </row>
    <row r="1535" spans="2:28" ht="20.100000000000001" customHeight="1">
      <c r="B1535" s="172"/>
      <c r="C1535" s="174"/>
      <c r="D1535" s="181"/>
      <c r="E1535" s="173"/>
      <c r="F1535" s="176"/>
      <c r="G1535" s="175">
        <f t="shared" si="183"/>
        <v>0</v>
      </c>
      <c r="H1535" s="175">
        <f t="shared" si="184"/>
        <v>0</v>
      </c>
      <c r="I1535" s="177">
        <f>IF(G1535=0,0,IF(E1535="MXN",1/HLOOKUP(YEAR(C1535)+(MONTH(C1535)/100),TC!$5:$37,DAY(C1535)+2,FALSE),VLOOKUP(E1535,Equivalencia!$5:$23,((MAX(Equivalencia!$3:$3)-YEAR(C1535))*14)+MONTH(C1535)+2,FALSE)))</f>
        <v>0</v>
      </c>
      <c r="J1535" s="178">
        <f t="shared" si="185"/>
        <v>0</v>
      </c>
      <c r="K1535" s="462">
        <f>IF(C1535=0,0,VLOOKUP(YEAR(C1535),INPC!$B$4:$O$29,MONTH(C1535)+1))</f>
        <v>0</v>
      </c>
      <c r="L1535" s="462">
        <f>IF(S1535=0,0,VLOOKUP(YEAR(S1535),INPC!$B$4:$O$29,MONTH(S1535)+1))</f>
        <v>0</v>
      </c>
      <c r="M1535" s="463">
        <f t="shared" si="186"/>
        <v>0</v>
      </c>
      <c r="N1535" s="465">
        <f t="shared" si="187"/>
        <v>0</v>
      </c>
      <c r="O1535" s="179"/>
      <c r="P1535" s="180"/>
      <c r="Q1535" s="173"/>
      <c r="R1535" s="173"/>
      <c r="S1535" s="174"/>
      <c r="T1535" s="173"/>
      <c r="U1535" s="182"/>
      <c r="V1535" s="177">
        <f>IF(U1535=0,0,IF(T1535="MXN",1/HLOOKUP(YEAR(S1535)+(MONTH(S1535)/100),TC!$5:$37,DAY(S1535)+2,FALSE),VLOOKUP(T1535,Equivalencia!$1:$23,((MAX(Equivalencia!$3:$3)-YEAR(S1535))*14)+MONTH(S1535)+2,FALSE)))</f>
        <v>0</v>
      </c>
      <c r="W1535" s="178">
        <f t="shared" si="188"/>
        <v>0</v>
      </c>
      <c r="X1535" s="481">
        <f t="shared" si="189"/>
        <v>0</v>
      </c>
      <c r="Y1535" s="179"/>
      <c r="Z1535" s="466">
        <f t="shared" si="190"/>
        <v>0</v>
      </c>
      <c r="AA1535" s="473">
        <f t="shared" si="191"/>
        <v>0</v>
      </c>
      <c r="AB1535" s="339">
        <f t="shared" si="192"/>
        <v>0</v>
      </c>
    </row>
    <row r="1536" spans="2:28" ht="20.100000000000001" customHeight="1">
      <c r="B1536" s="172"/>
      <c r="C1536" s="174"/>
      <c r="D1536" s="181"/>
      <c r="E1536" s="173"/>
      <c r="F1536" s="176"/>
      <c r="G1536" s="175">
        <f t="shared" si="183"/>
        <v>0</v>
      </c>
      <c r="H1536" s="175">
        <f t="shared" si="184"/>
        <v>0</v>
      </c>
      <c r="I1536" s="177">
        <f>IF(G1536=0,0,IF(E1536="MXN",1/HLOOKUP(YEAR(C1536)+(MONTH(C1536)/100),TC!$5:$37,DAY(C1536)+2,FALSE),VLOOKUP(E1536,Equivalencia!$5:$23,((MAX(Equivalencia!$3:$3)-YEAR(C1536))*14)+MONTH(C1536)+2,FALSE)))</f>
        <v>0</v>
      </c>
      <c r="J1536" s="178">
        <f t="shared" si="185"/>
        <v>0</v>
      </c>
      <c r="K1536" s="462">
        <f>IF(C1536=0,0,VLOOKUP(YEAR(C1536),INPC!$B$4:$O$29,MONTH(C1536)+1))</f>
        <v>0</v>
      </c>
      <c r="L1536" s="462">
        <f>IF(S1536=0,0,VLOOKUP(YEAR(S1536),INPC!$B$4:$O$29,MONTH(S1536)+1))</f>
        <v>0</v>
      </c>
      <c r="M1536" s="463">
        <f t="shared" si="186"/>
        <v>0</v>
      </c>
      <c r="N1536" s="465">
        <f t="shared" si="187"/>
        <v>0</v>
      </c>
      <c r="O1536" s="179"/>
      <c r="P1536" s="180"/>
      <c r="Q1536" s="173"/>
      <c r="R1536" s="173"/>
      <c r="S1536" s="174"/>
      <c r="T1536" s="173"/>
      <c r="U1536" s="182"/>
      <c r="V1536" s="177">
        <f>IF(U1536=0,0,IF(T1536="MXN",1/HLOOKUP(YEAR(S1536)+(MONTH(S1536)/100),TC!$5:$37,DAY(S1536)+2,FALSE),VLOOKUP(T1536,Equivalencia!$1:$23,((MAX(Equivalencia!$3:$3)-YEAR(S1536))*14)+MONTH(S1536)+2,FALSE)))</f>
        <v>0</v>
      </c>
      <c r="W1536" s="178">
        <f t="shared" si="188"/>
        <v>0</v>
      </c>
      <c r="X1536" s="481">
        <f t="shared" si="189"/>
        <v>0</v>
      </c>
      <c r="Y1536" s="179"/>
      <c r="Z1536" s="466">
        <f t="shared" si="190"/>
        <v>0</v>
      </c>
      <c r="AA1536" s="473">
        <f t="shared" si="191"/>
        <v>0</v>
      </c>
      <c r="AB1536" s="339">
        <f t="shared" si="192"/>
        <v>0</v>
      </c>
    </row>
    <row r="1537" spans="2:28" ht="20.100000000000001" customHeight="1">
      <c r="B1537" s="172"/>
      <c r="C1537" s="174"/>
      <c r="D1537" s="181"/>
      <c r="E1537" s="173"/>
      <c r="F1537" s="176"/>
      <c r="G1537" s="175">
        <f t="shared" si="183"/>
        <v>0</v>
      </c>
      <c r="H1537" s="175">
        <f t="shared" si="184"/>
        <v>0</v>
      </c>
      <c r="I1537" s="177">
        <f>IF(G1537=0,0,IF(E1537="MXN",1/HLOOKUP(YEAR(C1537)+(MONTH(C1537)/100),TC!$5:$37,DAY(C1537)+2,FALSE),VLOOKUP(E1537,Equivalencia!$5:$23,((MAX(Equivalencia!$3:$3)-YEAR(C1537))*14)+MONTH(C1537)+2,FALSE)))</f>
        <v>0</v>
      </c>
      <c r="J1537" s="178">
        <f t="shared" si="185"/>
        <v>0</v>
      </c>
      <c r="K1537" s="462">
        <f>IF(C1537=0,0,VLOOKUP(YEAR(C1537),INPC!$B$4:$O$29,MONTH(C1537)+1))</f>
        <v>0</v>
      </c>
      <c r="L1537" s="462">
        <f>IF(S1537=0,0,VLOOKUP(YEAR(S1537),INPC!$B$4:$O$29,MONTH(S1537)+1))</f>
        <v>0</v>
      </c>
      <c r="M1537" s="463">
        <f t="shared" si="186"/>
        <v>0</v>
      </c>
      <c r="N1537" s="465">
        <f t="shared" si="187"/>
        <v>0</v>
      </c>
      <c r="O1537" s="179"/>
      <c r="P1537" s="180"/>
      <c r="Q1537" s="173"/>
      <c r="R1537" s="173"/>
      <c r="S1537" s="174"/>
      <c r="T1537" s="173"/>
      <c r="U1537" s="182"/>
      <c r="V1537" s="177">
        <f>IF(U1537=0,0,IF(T1537="MXN",1/HLOOKUP(YEAR(S1537)+(MONTH(S1537)/100),TC!$5:$37,DAY(S1537)+2,FALSE),VLOOKUP(T1537,Equivalencia!$1:$23,((MAX(Equivalencia!$3:$3)-YEAR(S1537))*14)+MONTH(S1537)+2,FALSE)))</f>
        <v>0</v>
      </c>
      <c r="W1537" s="178">
        <f t="shared" si="188"/>
        <v>0</v>
      </c>
      <c r="X1537" s="481">
        <f t="shared" si="189"/>
        <v>0</v>
      </c>
      <c r="Y1537" s="179"/>
      <c r="Z1537" s="466">
        <f t="shared" si="190"/>
        <v>0</v>
      </c>
      <c r="AA1537" s="473">
        <f t="shared" si="191"/>
        <v>0</v>
      </c>
      <c r="AB1537" s="339">
        <f t="shared" si="192"/>
        <v>0</v>
      </c>
    </row>
    <row r="1538" spans="2:28" ht="20.100000000000001" customHeight="1">
      <c r="B1538" s="172"/>
      <c r="C1538" s="174"/>
      <c r="D1538" s="181"/>
      <c r="E1538" s="173"/>
      <c r="F1538" s="176"/>
      <c r="G1538" s="175">
        <f t="shared" si="183"/>
        <v>0</v>
      </c>
      <c r="H1538" s="175">
        <f t="shared" si="184"/>
        <v>0</v>
      </c>
      <c r="I1538" s="177">
        <f>IF(G1538=0,0,IF(E1538="MXN",1/HLOOKUP(YEAR(C1538)+(MONTH(C1538)/100),TC!$5:$37,DAY(C1538)+2,FALSE),VLOOKUP(E1538,Equivalencia!$5:$23,((MAX(Equivalencia!$3:$3)-YEAR(C1538))*14)+MONTH(C1538)+2,FALSE)))</f>
        <v>0</v>
      </c>
      <c r="J1538" s="178">
        <f t="shared" si="185"/>
        <v>0</v>
      </c>
      <c r="K1538" s="462">
        <f>IF(C1538=0,0,VLOOKUP(YEAR(C1538),INPC!$B$4:$O$29,MONTH(C1538)+1))</f>
        <v>0</v>
      </c>
      <c r="L1538" s="462">
        <f>IF(S1538=0,0,VLOOKUP(YEAR(S1538),INPC!$B$4:$O$29,MONTH(S1538)+1))</f>
        <v>0</v>
      </c>
      <c r="M1538" s="463">
        <f t="shared" si="186"/>
        <v>0</v>
      </c>
      <c r="N1538" s="465">
        <f t="shared" si="187"/>
        <v>0</v>
      </c>
      <c r="O1538" s="179"/>
      <c r="P1538" s="180"/>
      <c r="Q1538" s="173"/>
      <c r="R1538" s="173"/>
      <c r="S1538" s="174"/>
      <c r="T1538" s="173"/>
      <c r="U1538" s="182"/>
      <c r="V1538" s="177">
        <f>IF(U1538=0,0,IF(T1538="MXN",1/HLOOKUP(YEAR(S1538)+(MONTH(S1538)/100),TC!$5:$37,DAY(S1538)+2,FALSE),VLOOKUP(T1538,Equivalencia!$1:$23,((MAX(Equivalencia!$3:$3)-YEAR(S1538))*14)+MONTH(S1538)+2,FALSE)))</f>
        <v>0</v>
      </c>
      <c r="W1538" s="178">
        <f t="shared" si="188"/>
        <v>0</v>
      </c>
      <c r="X1538" s="481">
        <f t="shared" si="189"/>
        <v>0</v>
      </c>
      <c r="Y1538" s="179"/>
      <c r="Z1538" s="466">
        <f t="shared" si="190"/>
        <v>0</v>
      </c>
      <c r="AA1538" s="473">
        <f t="shared" si="191"/>
        <v>0</v>
      </c>
      <c r="AB1538" s="339">
        <f t="shared" si="192"/>
        <v>0</v>
      </c>
    </row>
    <row r="1539" spans="2:28" ht="20.100000000000001" customHeight="1">
      <c r="B1539" s="172"/>
      <c r="C1539" s="174"/>
      <c r="D1539" s="181"/>
      <c r="E1539" s="173"/>
      <c r="F1539" s="176"/>
      <c r="G1539" s="175">
        <f t="shared" si="183"/>
        <v>0</v>
      </c>
      <c r="H1539" s="175">
        <f t="shared" si="184"/>
        <v>0</v>
      </c>
      <c r="I1539" s="177">
        <f>IF(G1539=0,0,IF(E1539="MXN",1/HLOOKUP(YEAR(C1539)+(MONTH(C1539)/100),TC!$5:$37,DAY(C1539)+2,FALSE),VLOOKUP(E1539,Equivalencia!$5:$23,((MAX(Equivalencia!$3:$3)-YEAR(C1539))*14)+MONTH(C1539)+2,FALSE)))</f>
        <v>0</v>
      </c>
      <c r="J1539" s="178">
        <f t="shared" si="185"/>
        <v>0</v>
      </c>
      <c r="K1539" s="462">
        <f>IF(C1539=0,0,VLOOKUP(YEAR(C1539),INPC!$B$4:$O$29,MONTH(C1539)+1))</f>
        <v>0</v>
      </c>
      <c r="L1539" s="462">
        <f>IF(S1539=0,0,VLOOKUP(YEAR(S1539),INPC!$B$4:$O$29,MONTH(S1539)+1))</f>
        <v>0</v>
      </c>
      <c r="M1539" s="463">
        <f t="shared" si="186"/>
        <v>0</v>
      </c>
      <c r="N1539" s="465">
        <f t="shared" si="187"/>
        <v>0</v>
      </c>
      <c r="O1539" s="179"/>
      <c r="P1539" s="180"/>
      <c r="Q1539" s="173"/>
      <c r="R1539" s="173"/>
      <c r="S1539" s="174"/>
      <c r="T1539" s="173"/>
      <c r="U1539" s="182"/>
      <c r="V1539" s="177">
        <f>IF(U1539=0,0,IF(T1539="MXN",1/HLOOKUP(YEAR(S1539)+(MONTH(S1539)/100),TC!$5:$37,DAY(S1539)+2,FALSE),VLOOKUP(T1539,Equivalencia!$1:$23,((MAX(Equivalencia!$3:$3)-YEAR(S1539))*14)+MONTH(S1539)+2,FALSE)))</f>
        <v>0</v>
      </c>
      <c r="W1539" s="178">
        <f t="shared" si="188"/>
        <v>0</v>
      </c>
      <c r="X1539" s="481">
        <f t="shared" si="189"/>
        <v>0</v>
      </c>
      <c r="Y1539" s="179"/>
      <c r="Z1539" s="466">
        <f t="shared" si="190"/>
        <v>0</v>
      </c>
      <c r="AA1539" s="473">
        <f t="shared" si="191"/>
        <v>0</v>
      </c>
      <c r="AB1539" s="339">
        <f t="shared" si="192"/>
        <v>0</v>
      </c>
    </row>
    <row r="1540" spans="2:28" ht="20.100000000000001" customHeight="1">
      <c r="B1540" s="172"/>
      <c r="C1540" s="174"/>
      <c r="D1540" s="181"/>
      <c r="E1540" s="173"/>
      <c r="F1540" s="176"/>
      <c r="G1540" s="175">
        <f t="shared" si="183"/>
        <v>0</v>
      </c>
      <c r="H1540" s="175">
        <f t="shared" si="184"/>
        <v>0</v>
      </c>
      <c r="I1540" s="177">
        <f>IF(G1540=0,0,IF(E1540="MXN",1/HLOOKUP(YEAR(C1540)+(MONTH(C1540)/100),TC!$5:$37,DAY(C1540)+2,FALSE),VLOOKUP(E1540,Equivalencia!$5:$23,((MAX(Equivalencia!$3:$3)-YEAR(C1540))*14)+MONTH(C1540)+2,FALSE)))</f>
        <v>0</v>
      </c>
      <c r="J1540" s="178">
        <f t="shared" si="185"/>
        <v>0</v>
      </c>
      <c r="K1540" s="462">
        <f>IF(C1540=0,0,VLOOKUP(YEAR(C1540),INPC!$B$4:$O$29,MONTH(C1540)+1))</f>
        <v>0</v>
      </c>
      <c r="L1540" s="462">
        <f>IF(S1540=0,0,VLOOKUP(YEAR(S1540),INPC!$B$4:$O$29,MONTH(S1540)+1))</f>
        <v>0</v>
      </c>
      <c r="M1540" s="463">
        <f t="shared" si="186"/>
        <v>0</v>
      </c>
      <c r="N1540" s="465">
        <f t="shared" si="187"/>
        <v>0</v>
      </c>
      <c r="O1540" s="179"/>
      <c r="P1540" s="180"/>
      <c r="Q1540" s="173"/>
      <c r="R1540" s="173"/>
      <c r="S1540" s="174"/>
      <c r="T1540" s="173"/>
      <c r="U1540" s="182"/>
      <c r="V1540" s="177">
        <f>IF(U1540=0,0,IF(T1540="MXN",1/HLOOKUP(YEAR(S1540)+(MONTH(S1540)/100),TC!$5:$37,DAY(S1540)+2,FALSE),VLOOKUP(T1540,Equivalencia!$1:$23,((MAX(Equivalencia!$3:$3)-YEAR(S1540))*14)+MONTH(S1540)+2,FALSE)))</f>
        <v>0</v>
      </c>
      <c r="W1540" s="178">
        <f t="shared" si="188"/>
        <v>0</v>
      </c>
      <c r="X1540" s="481">
        <f t="shared" si="189"/>
        <v>0</v>
      </c>
      <c r="Y1540" s="179"/>
      <c r="Z1540" s="466">
        <f t="shared" si="190"/>
        <v>0</v>
      </c>
      <c r="AA1540" s="473">
        <f t="shared" si="191"/>
        <v>0</v>
      </c>
      <c r="AB1540" s="339">
        <f t="shared" si="192"/>
        <v>0</v>
      </c>
    </row>
    <row r="1541" spans="2:28" ht="20.100000000000001" customHeight="1">
      <c r="B1541" s="172"/>
      <c r="C1541" s="174"/>
      <c r="D1541" s="181"/>
      <c r="E1541" s="173"/>
      <c r="F1541" s="176"/>
      <c r="G1541" s="175">
        <f t="shared" si="183"/>
        <v>0</v>
      </c>
      <c r="H1541" s="175">
        <f t="shared" si="184"/>
        <v>0</v>
      </c>
      <c r="I1541" s="177">
        <f>IF(G1541=0,0,IF(E1541="MXN",1/HLOOKUP(YEAR(C1541)+(MONTH(C1541)/100),TC!$5:$37,DAY(C1541)+2,FALSE),VLOOKUP(E1541,Equivalencia!$5:$23,((MAX(Equivalencia!$3:$3)-YEAR(C1541))*14)+MONTH(C1541)+2,FALSE)))</f>
        <v>0</v>
      </c>
      <c r="J1541" s="178">
        <f t="shared" si="185"/>
        <v>0</v>
      </c>
      <c r="K1541" s="462">
        <f>IF(C1541=0,0,VLOOKUP(YEAR(C1541),INPC!$B$4:$O$29,MONTH(C1541)+1))</f>
        <v>0</v>
      </c>
      <c r="L1541" s="462">
        <f>IF(S1541=0,0,VLOOKUP(YEAR(S1541),INPC!$B$4:$O$29,MONTH(S1541)+1))</f>
        <v>0</v>
      </c>
      <c r="M1541" s="463">
        <f t="shared" si="186"/>
        <v>0</v>
      </c>
      <c r="N1541" s="465">
        <f t="shared" si="187"/>
        <v>0</v>
      </c>
      <c r="O1541" s="179"/>
      <c r="P1541" s="180"/>
      <c r="Q1541" s="173"/>
      <c r="R1541" s="173"/>
      <c r="S1541" s="174"/>
      <c r="T1541" s="173"/>
      <c r="U1541" s="182"/>
      <c r="V1541" s="177">
        <f>IF(U1541=0,0,IF(T1541="MXN",1/HLOOKUP(YEAR(S1541)+(MONTH(S1541)/100),TC!$5:$37,DAY(S1541)+2,FALSE),VLOOKUP(T1541,Equivalencia!$1:$23,((MAX(Equivalencia!$3:$3)-YEAR(S1541))*14)+MONTH(S1541)+2,FALSE)))</f>
        <v>0</v>
      </c>
      <c r="W1541" s="178">
        <f t="shared" si="188"/>
        <v>0</v>
      </c>
      <c r="X1541" s="481">
        <f t="shared" si="189"/>
        <v>0</v>
      </c>
      <c r="Y1541" s="179"/>
      <c r="Z1541" s="466">
        <f t="shared" si="190"/>
        <v>0</v>
      </c>
      <c r="AA1541" s="473">
        <f t="shared" si="191"/>
        <v>0</v>
      </c>
      <c r="AB1541" s="339">
        <f t="shared" si="192"/>
        <v>0</v>
      </c>
    </row>
    <row r="1542" spans="2:28" ht="20.100000000000001" customHeight="1">
      <c r="B1542" s="172"/>
      <c r="C1542" s="174"/>
      <c r="D1542" s="181"/>
      <c r="E1542" s="173"/>
      <c r="F1542" s="176"/>
      <c r="G1542" s="175">
        <f t="shared" si="183"/>
        <v>0</v>
      </c>
      <c r="H1542" s="175">
        <f t="shared" si="184"/>
        <v>0</v>
      </c>
      <c r="I1542" s="177">
        <f>IF(G1542=0,0,IF(E1542="MXN",1/HLOOKUP(YEAR(C1542)+(MONTH(C1542)/100),TC!$5:$37,DAY(C1542)+2,FALSE),VLOOKUP(E1542,Equivalencia!$5:$23,((MAX(Equivalencia!$3:$3)-YEAR(C1542))*14)+MONTH(C1542)+2,FALSE)))</f>
        <v>0</v>
      </c>
      <c r="J1542" s="178">
        <f t="shared" si="185"/>
        <v>0</v>
      </c>
      <c r="K1542" s="462">
        <f>IF(C1542=0,0,VLOOKUP(YEAR(C1542),INPC!$B$4:$O$29,MONTH(C1542)+1))</f>
        <v>0</v>
      </c>
      <c r="L1542" s="462">
        <f>IF(S1542=0,0,VLOOKUP(YEAR(S1542),INPC!$B$4:$O$29,MONTH(S1542)+1))</f>
        <v>0</v>
      </c>
      <c r="M1542" s="463">
        <f t="shared" si="186"/>
        <v>0</v>
      </c>
      <c r="N1542" s="465">
        <f t="shared" si="187"/>
        <v>0</v>
      </c>
      <c r="O1542" s="179"/>
      <c r="P1542" s="180"/>
      <c r="Q1542" s="173"/>
      <c r="R1542" s="173"/>
      <c r="S1542" s="174"/>
      <c r="T1542" s="173"/>
      <c r="U1542" s="182"/>
      <c r="V1542" s="177">
        <f>IF(U1542=0,0,IF(T1542="MXN",1/HLOOKUP(YEAR(S1542)+(MONTH(S1542)/100),TC!$5:$37,DAY(S1542)+2,FALSE),VLOOKUP(T1542,Equivalencia!$1:$23,((MAX(Equivalencia!$3:$3)-YEAR(S1542))*14)+MONTH(S1542)+2,FALSE)))</f>
        <v>0</v>
      </c>
      <c r="W1542" s="178">
        <f t="shared" si="188"/>
        <v>0</v>
      </c>
      <c r="X1542" s="481">
        <f t="shared" si="189"/>
        <v>0</v>
      </c>
      <c r="Y1542" s="179"/>
      <c r="Z1542" s="466">
        <f t="shared" si="190"/>
        <v>0</v>
      </c>
      <c r="AA1542" s="473">
        <f t="shared" si="191"/>
        <v>0</v>
      </c>
      <c r="AB1542" s="339">
        <f t="shared" si="192"/>
        <v>0</v>
      </c>
    </row>
    <row r="1543" spans="2:28" ht="20.100000000000001" customHeight="1">
      <c r="B1543" s="172"/>
      <c r="C1543" s="174"/>
      <c r="D1543" s="181"/>
      <c r="E1543" s="173"/>
      <c r="F1543" s="176"/>
      <c r="G1543" s="175">
        <f t="shared" si="183"/>
        <v>0</v>
      </c>
      <c r="H1543" s="175">
        <f t="shared" si="184"/>
        <v>0</v>
      </c>
      <c r="I1543" s="177">
        <f>IF(G1543=0,0,IF(E1543="MXN",1/HLOOKUP(YEAR(C1543)+(MONTH(C1543)/100),TC!$5:$37,DAY(C1543)+2,FALSE),VLOOKUP(E1543,Equivalencia!$5:$23,((MAX(Equivalencia!$3:$3)-YEAR(C1543))*14)+MONTH(C1543)+2,FALSE)))</f>
        <v>0</v>
      </c>
      <c r="J1543" s="178">
        <f t="shared" si="185"/>
        <v>0</v>
      </c>
      <c r="K1543" s="462">
        <f>IF(C1543=0,0,VLOOKUP(YEAR(C1543),INPC!$B$4:$O$29,MONTH(C1543)+1))</f>
        <v>0</v>
      </c>
      <c r="L1543" s="462">
        <f>IF(S1543=0,0,VLOOKUP(YEAR(S1543),INPC!$B$4:$O$29,MONTH(S1543)+1))</f>
        <v>0</v>
      </c>
      <c r="M1543" s="463">
        <f t="shared" si="186"/>
        <v>0</v>
      </c>
      <c r="N1543" s="465">
        <f t="shared" si="187"/>
        <v>0</v>
      </c>
      <c r="O1543" s="179"/>
      <c r="P1543" s="180"/>
      <c r="Q1543" s="173"/>
      <c r="R1543" s="173"/>
      <c r="S1543" s="174"/>
      <c r="T1543" s="173"/>
      <c r="U1543" s="182"/>
      <c r="V1543" s="177">
        <f>IF(U1543=0,0,IF(T1543="MXN",1/HLOOKUP(YEAR(S1543)+(MONTH(S1543)/100),TC!$5:$37,DAY(S1543)+2,FALSE),VLOOKUP(T1543,Equivalencia!$1:$23,((MAX(Equivalencia!$3:$3)-YEAR(S1543))*14)+MONTH(S1543)+2,FALSE)))</f>
        <v>0</v>
      </c>
      <c r="W1543" s="178">
        <f t="shared" si="188"/>
        <v>0</v>
      </c>
      <c r="X1543" s="481">
        <f t="shared" si="189"/>
        <v>0</v>
      </c>
      <c r="Y1543" s="179"/>
      <c r="Z1543" s="466">
        <f t="shared" si="190"/>
        <v>0</v>
      </c>
      <c r="AA1543" s="473">
        <f t="shared" si="191"/>
        <v>0</v>
      </c>
      <c r="AB1543" s="339">
        <f t="shared" si="192"/>
        <v>0</v>
      </c>
    </row>
    <row r="1544" spans="2:28" ht="20.100000000000001" customHeight="1">
      <c r="B1544" s="172"/>
      <c r="C1544" s="174"/>
      <c r="D1544" s="181"/>
      <c r="E1544" s="173"/>
      <c r="F1544" s="176"/>
      <c r="G1544" s="175">
        <f t="shared" si="183"/>
        <v>0</v>
      </c>
      <c r="H1544" s="175">
        <f t="shared" si="184"/>
        <v>0</v>
      </c>
      <c r="I1544" s="177">
        <f>IF(G1544=0,0,IF(E1544="MXN",1/HLOOKUP(YEAR(C1544)+(MONTH(C1544)/100),TC!$5:$37,DAY(C1544)+2,FALSE),VLOOKUP(E1544,Equivalencia!$5:$23,((MAX(Equivalencia!$3:$3)-YEAR(C1544))*14)+MONTH(C1544)+2,FALSE)))</f>
        <v>0</v>
      </c>
      <c r="J1544" s="178">
        <f t="shared" si="185"/>
        <v>0</v>
      </c>
      <c r="K1544" s="462">
        <f>IF(C1544=0,0,VLOOKUP(YEAR(C1544),INPC!$B$4:$O$29,MONTH(C1544)+1))</f>
        <v>0</v>
      </c>
      <c r="L1544" s="462">
        <f>IF(S1544=0,0,VLOOKUP(YEAR(S1544),INPC!$B$4:$O$29,MONTH(S1544)+1))</f>
        <v>0</v>
      </c>
      <c r="M1544" s="463">
        <f t="shared" si="186"/>
        <v>0</v>
      </c>
      <c r="N1544" s="465">
        <f t="shared" si="187"/>
        <v>0</v>
      </c>
      <c r="O1544" s="179"/>
      <c r="P1544" s="180"/>
      <c r="Q1544" s="173"/>
      <c r="R1544" s="173"/>
      <c r="S1544" s="174"/>
      <c r="T1544" s="173"/>
      <c r="U1544" s="182"/>
      <c r="V1544" s="177">
        <f>IF(U1544=0,0,IF(T1544="MXN",1/HLOOKUP(YEAR(S1544)+(MONTH(S1544)/100),TC!$5:$37,DAY(S1544)+2,FALSE),VLOOKUP(T1544,Equivalencia!$1:$23,((MAX(Equivalencia!$3:$3)-YEAR(S1544))*14)+MONTH(S1544)+2,FALSE)))</f>
        <v>0</v>
      </c>
      <c r="W1544" s="178">
        <f t="shared" si="188"/>
        <v>0</v>
      </c>
      <c r="X1544" s="481">
        <f t="shared" si="189"/>
        <v>0</v>
      </c>
      <c r="Y1544" s="179"/>
      <c r="Z1544" s="466">
        <f t="shared" si="190"/>
        <v>0</v>
      </c>
      <c r="AA1544" s="473">
        <f t="shared" si="191"/>
        <v>0</v>
      </c>
      <c r="AB1544" s="339">
        <f t="shared" si="192"/>
        <v>0</v>
      </c>
    </row>
    <row r="1545" spans="2:28" ht="20.100000000000001" customHeight="1">
      <c r="B1545" s="172"/>
      <c r="C1545" s="174"/>
      <c r="D1545" s="181"/>
      <c r="E1545" s="173"/>
      <c r="F1545" s="176"/>
      <c r="G1545" s="175">
        <f t="shared" si="183"/>
        <v>0</v>
      </c>
      <c r="H1545" s="175">
        <f t="shared" si="184"/>
        <v>0</v>
      </c>
      <c r="I1545" s="177">
        <f>IF(G1545=0,0,IF(E1545="MXN",1/HLOOKUP(YEAR(C1545)+(MONTH(C1545)/100),TC!$5:$37,DAY(C1545)+2,FALSE),VLOOKUP(E1545,Equivalencia!$5:$23,((MAX(Equivalencia!$3:$3)-YEAR(C1545))*14)+MONTH(C1545)+2,FALSE)))</f>
        <v>0</v>
      </c>
      <c r="J1545" s="178">
        <f t="shared" si="185"/>
        <v>0</v>
      </c>
      <c r="K1545" s="462">
        <f>IF(C1545=0,0,VLOOKUP(YEAR(C1545),INPC!$B$4:$O$29,MONTH(C1545)+1))</f>
        <v>0</v>
      </c>
      <c r="L1545" s="462">
        <f>IF(S1545=0,0,VLOOKUP(YEAR(S1545),INPC!$B$4:$O$29,MONTH(S1545)+1))</f>
        <v>0</v>
      </c>
      <c r="M1545" s="463">
        <f t="shared" si="186"/>
        <v>0</v>
      </c>
      <c r="N1545" s="465">
        <f t="shared" si="187"/>
        <v>0</v>
      </c>
      <c r="O1545" s="179"/>
      <c r="P1545" s="180"/>
      <c r="Q1545" s="173"/>
      <c r="R1545" s="173"/>
      <c r="S1545" s="174"/>
      <c r="T1545" s="173"/>
      <c r="U1545" s="182"/>
      <c r="V1545" s="177">
        <f>IF(U1545=0,0,IF(T1545="MXN",1/HLOOKUP(YEAR(S1545)+(MONTH(S1545)/100),TC!$5:$37,DAY(S1545)+2,FALSE),VLOOKUP(T1545,Equivalencia!$1:$23,((MAX(Equivalencia!$3:$3)-YEAR(S1545))*14)+MONTH(S1545)+2,FALSE)))</f>
        <v>0</v>
      </c>
      <c r="W1545" s="178">
        <f t="shared" si="188"/>
        <v>0</v>
      </c>
      <c r="X1545" s="481">
        <f t="shared" si="189"/>
        <v>0</v>
      </c>
      <c r="Y1545" s="179"/>
      <c r="Z1545" s="466">
        <f t="shared" si="190"/>
        <v>0</v>
      </c>
      <c r="AA1545" s="473">
        <f t="shared" si="191"/>
        <v>0</v>
      </c>
      <c r="AB1545" s="339">
        <f t="shared" si="192"/>
        <v>0</v>
      </c>
    </row>
    <row r="1546" spans="2:28" ht="20.100000000000001" customHeight="1">
      <c r="B1546" s="172"/>
      <c r="C1546" s="174"/>
      <c r="D1546" s="181"/>
      <c r="E1546" s="173"/>
      <c r="F1546" s="176"/>
      <c r="G1546" s="175">
        <f t="shared" si="183"/>
        <v>0</v>
      </c>
      <c r="H1546" s="175">
        <f t="shared" si="184"/>
        <v>0</v>
      </c>
      <c r="I1546" s="177">
        <f>IF(G1546=0,0,IF(E1546="MXN",1/HLOOKUP(YEAR(C1546)+(MONTH(C1546)/100),TC!$5:$37,DAY(C1546)+2,FALSE),VLOOKUP(E1546,Equivalencia!$5:$23,((MAX(Equivalencia!$3:$3)-YEAR(C1546))*14)+MONTH(C1546)+2,FALSE)))</f>
        <v>0</v>
      </c>
      <c r="J1546" s="178">
        <f t="shared" si="185"/>
        <v>0</v>
      </c>
      <c r="K1546" s="462">
        <f>IF(C1546=0,0,VLOOKUP(YEAR(C1546),INPC!$B$4:$O$29,MONTH(C1546)+1))</f>
        <v>0</v>
      </c>
      <c r="L1546" s="462">
        <f>IF(S1546=0,0,VLOOKUP(YEAR(S1546),INPC!$B$4:$O$29,MONTH(S1546)+1))</f>
        <v>0</v>
      </c>
      <c r="M1546" s="463">
        <f t="shared" si="186"/>
        <v>0</v>
      </c>
      <c r="N1546" s="465">
        <f t="shared" si="187"/>
        <v>0</v>
      </c>
      <c r="O1546" s="179"/>
      <c r="P1546" s="180"/>
      <c r="Q1546" s="173"/>
      <c r="R1546" s="173"/>
      <c r="S1546" s="174"/>
      <c r="T1546" s="173"/>
      <c r="U1546" s="182"/>
      <c r="V1546" s="177">
        <f>IF(U1546=0,0,IF(T1546="MXN",1/HLOOKUP(YEAR(S1546)+(MONTH(S1546)/100),TC!$5:$37,DAY(S1546)+2,FALSE),VLOOKUP(T1546,Equivalencia!$1:$23,((MAX(Equivalencia!$3:$3)-YEAR(S1546))*14)+MONTH(S1546)+2,FALSE)))</f>
        <v>0</v>
      </c>
      <c r="W1546" s="178">
        <f t="shared" si="188"/>
        <v>0</v>
      </c>
      <c r="X1546" s="481">
        <f t="shared" si="189"/>
        <v>0</v>
      </c>
      <c r="Y1546" s="179"/>
      <c r="Z1546" s="466">
        <f t="shared" si="190"/>
        <v>0</v>
      </c>
      <c r="AA1546" s="473">
        <f t="shared" si="191"/>
        <v>0</v>
      </c>
      <c r="AB1546" s="339">
        <f t="shared" si="192"/>
        <v>0</v>
      </c>
    </row>
    <row r="1547" spans="2:28" ht="20.100000000000001" customHeight="1">
      <c r="B1547" s="172"/>
      <c r="C1547" s="174"/>
      <c r="D1547" s="181"/>
      <c r="E1547" s="173"/>
      <c r="F1547" s="176"/>
      <c r="G1547" s="175">
        <f t="shared" si="183"/>
        <v>0</v>
      </c>
      <c r="H1547" s="175">
        <f t="shared" si="184"/>
        <v>0</v>
      </c>
      <c r="I1547" s="177">
        <f>IF(G1547=0,0,IF(E1547="MXN",1/HLOOKUP(YEAR(C1547)+(MONTH(C1547)/100),TC!$5:$37,DAY(C1547)+2,FALSE),VLOOKUP(E1547,Equivalencia!$5:$23,((MAX(Equivalencia!$3:$3)-YEAR(C1547))*14)+MONTH(C1547)+2,FALSE)))</f>
        <v>0</v>
      </c>
      <c r="J1547" s="178">
        <f t="shared" si="185"/>
        <v>0</v>
      </c>
      <c r="K1547" s="462">
        <f>IF(C1547=0,0,VLOOKUP(YEAR(C1547),INPC!$B$4:$O$29,MONTH(C1547)+1))</f>
        <v>0</v>
      </c>
      <c r="L1547" s="462">
        <f>IF(S1547=0,0,VLOOKUP(YEAR(S1547),INPC!$B$4:$O$29,MONTH(S1547)+1))</f>
        <v>0</v>
      </c>
      <c r="M1547" s="463">
        <f t="shared" si="186"/>
        <v>0</v>
      </c>
      <c r="N1547" s="465">
        <f t="shared" si="187"/>
        <v>0</v>
      </c>
      <c r="O1547" s="179"/>
      <c r="P1547" s="180"/>
      <c r="Q1547" s="173"/>
      <c r="R1547" s="173"/>
      <c r="S1547" s="174"/>
      <c r="T1547" s="173"/>
      <c r="U1547" s="182"/>
      <c r="V1547" s="177">
        <f>IF(U1547=0,0,IF(T1547="MXN",1/HLOOKUP(YEAR(S1547)+(MONTH(S1547)/100),TC!$5:$37,DAY(S1547)+2,FALSE),VLOOKUP(T1547,Equivalencia!$1:$23,((MAX(Equivalencia!$3:$3)-YEAR(S1547))*14)+MONTH(S1547)+2,FALSE)))</f>
        <v>0</v>
      </c>
      <c r="W1547" s="178">
        <f t="shared" si="188"/>
        <v>0</v>
      </c>
      <c r="X1547" s="481">
        <f t="shared" si="189"/>
        <v>0</v>
      </c>
      <c r="Y1547" s="179"/>
      <c r="Z1547" s="466">
        <f t="shared" si="190"/>
        <v>0</v>
      </c>
      <c r="AA1547" s="473">
        <f t="shared" si="191"/>
        <v>0</v>
      </c>
      <c r="AB1547" s="339">
        <f t="shared" si="192"/>
        <v>0</v>
      </c>
    </row>
    <row r="1548" spans="2:28" ht="20.100000000000001" customHeight="1">
      <c r="B1548" s="172"/>
      <c r="C1548" s="174"/>
      <c r="D1548" s="181"/>
      <c r="E1548" s="173"/>
      <c r="F1548" s="176"/>
      <c r="G1548" s="175">
        <f t="shared" si="183"/>
        <v>0</v>
      </c>
      <c r="H1548" s="175">
        <f t="shared" si="184"/>
        <v>0</v>
      </c>
      <c r="I1548" s="177">
        <f>IF(G1548=0,0,IF(E1548="MXN",1/HLOOKUP(YEAR(C1548)+(MONTH(C1548)/100),TC!$5:$37,DAY(C1548)+2,FALSE),VLOOKUP(E1548,Equivalencia!$5:$23,((MAX(Equivalencia!$3:$3)-YEAR(C1548))*14)+MONTH(C1548)+2,FALSE)))</f>
        <v>0</v>
      </c>
      <c r="J1548" s="178">
        <f t="shared" si="185"/>
        <v>0</v>
      </c>
      <c r="K1548" s="462">
        <f>IF(C1548=0,0,VLOOKUP(YEAR(C1548),INPC!$B$4:$O$29,MONTH(C1548)+1))</f>
        <v>0</v>
      </c>
      <c r="L1548" s="462">
        <f>IF(S1548=0,0,VLOOKUP(YEAR(S1548),INPC!$B$4:$O$29,MONTH(S1548)+1))</f>
        <v>0</v>
      </c>
      <c r="M1548" s="463">
        <f t="shared" si="186"/>
        <v>0</v>
      </c>
      <c r="N1548" s="465">
        <f t="shared" si="187"/>
        <v>0</v>
      </c>
      <c r="O1548" s="179"/>
      <c r="P1548" s="180"/>
      <c r="Q1548" s="173"/>
      <c r="R1548" s="173"/>
      <c r="S1548" s="174"/>
      <c r="T1548" s="173"/>
      <c r="U1548" s="182"/>
      <c r="V1548" s="177">
        <f>IF(U1548=0,0,IF(T1548="MXN",1/HLOOKUP(YEAR(S1548)+(MONTH(S1548)/100),TC!$5:$37,DAY(S1548)+2,FALSE),VLOOKUP(T1548,Equivalencia!$1:$23,((MAX(Equivalencia!$3:$3)-YEAR(S1548))*14)+MONTH(S1548)+2,FALSE)))</f>
        <v>0</v>
      </c>
      <c r="W1548" s="178">
        <f t="shared" si="188"/>
        <v>0</v>
      </c>
      <c r="X1548" s="481">
        <f t="shared" si="189"/>
        <v>0</v>
      </c>
      <c r="Y1548" s="179"/>
      <c r="Z1548" s="466">
        <f t="shared" si="190"/>
        <v>0</v>
      </c>
      <c r="AA1548" s="473">
        <f t="shared" si="191"/>
        <v>0</v>
      </c>
      <c r="AB1548" s="339">
        <f t="shared" si="192"/>
        <v>0</v>
      </c>
    </row>
    <row r="1549" spans="2:28" ht="20.100000000000001" customHeight="1">
      <c r="B1549" s="172"/>
      <c r="C1549" s="174"/>
      <c r="D1549" s="181"/>
      <c r="E1549" s="173"/>
      <c r="F1549" s="176"/>
      <c r="G1549" s="175">
        <f t="shared" si="183"/>
        <v>0</v>
      </c>
      <c r="H1549" s="175">
        <f t="shared" si="184"/>
        <v>0</v>
      </c>
      <c r="I1549" s="177">
        <f>IF(G1549=0,0,IF(E1549="MXN",1/HLOOKUP(YEAR(C1549)+(MONTH(C1549)/100),TC!$5:$37,DAY(C1549)+2,FALSE),VLOOKUP(E1549,Equivalencia!$5:$23,((MAX(Equivalencia!$3:$3)-YEAR(C1549))*14)+MONTH(C1549)+2,FALSE)))</f>
        <v>0</v>
      </c>
      <c r="J1549" s="178">
        <f t="shared" si="185"/>
        <v>0</v>
      </c>
      <c r="K1549" s="462">
        <f>IF(C1549=0,0,VLOOKUP(YEAR(C1549),INPC!$B$4:$O$29,MONTH(C1549)+1))</f>
        <v>0</v>
      </c>
      <c r="L1549" s="462">
        <f>IF(S1549=0,0,VLOOKUP(YEAR(S1549),INPC!$B$4:$O$29,MONTH(S1549)+1))</f>
        <v>0</v>
      </c>
      <c r="M1549" s="463">
        <f t="shared" si="186"/>
        <v>0</v>
      </c>
      <c r="N1549" s="465">
        <f t="shared" si="187"/>
        <v>0</v>
      </c>
      <c r="O1549" s="179"/>
      <c r="P1549" s="180"/>
      <c r="Q1549" s="173"/>
      <c r="R1549" s="173"/>
      <c r="S1549" s="174"/>
      <c r="T1549" s="173"/>
      <c r="U1549" s="182"/>
      <c r="V1549" s="177">
        <f>IF(U1549=0,0,IF(T1549="MXN",1/HLOOKUP(YEAR(S1549)+(MONTH(S1549)/100),TC!$5:$37,DAY(S1549)+2,FALSE),VLOOKUP(T1549,Equivalencia!$1:$23,((MAX(Equivalencia!$3:$3)-YEAR(S1549))*14)+MONTH(S1549)+2,FALSE)))</f>
        <v>0</v>
      </c>
      <c r="W1549" s="178">
        <f t="shared" si="188"/>
        <v>0</v>
      </c>
      <c r="X1549" s="481">
        <f t="shared" si="189"/>
        <v>0</v>
      </c>
      <c r="Y1549" s="179"/>
      <c r="Z1549" s="466">
        <f t="shared" si="190"/>
        <v>0</v>
      </c>
      <c r="AA1549" s="473">
        <f t="shared" si="191"/>
        <v>0</v>
      </c>
      <c r="AB1549" s="339">
        <f t="shared" si="192"/>
        <v>0</v>
      </c>
    </row>
    <row r="1550" spans="2:28" ht="20.100000000000001" customHeight="1">
      <c r="B1550" s="172"/>
      <c r="C1550" s="174"/>
      <c r="D1550" s="181"/>
      <c r="E1550" s="173"/>
      <c r="F1550" s="176"/>
      <c r="G1550" s="175">
        <f t="shared" si="183"/>
        <v>0</v>
      </c>
      <c r="H1550" s="175">
        <f t="shared" si="184"/>
        <v>0</v>
      </c>
      <c r="I1550" s="177">
        <f>IF(G1550=0,0,IF(E1550="MXN",1/HLOOKUP(YEAR(C1550)+(MONTH(C1550)/100),TC!$5:$37,DAY(C1550)+2,FALSE),VLOOKUP(E1550,Equivalencia!$5:$23,((MAX(Equivalencia!$3:$3)-YEAR(C1550))*14)+MONTH(C1550)+2,FALSE)))</f>
        <v>0</v>
      </c>
      <c r="J1550" s="178">
        <f t="shared" si="185"/>
        <v>0</v>
      </c>
      <c r="K1550" s="462">
        <f>IF(C1550=0,0,VLOOKUP(YEAR(C1550),INPC!$B$4:$O$29,MONTH(C1550)+1))</f>
        <v>0</v>
      </c>
      <c r="L1550" s="462">
        <f>IF(S1550=0,0,VLOOKUP(YEAR(S1550),INPC!$B$4:$O$29,MONTH(S1550)+1))</f>
        <v>0</v>
      </c>
      <c r="M1550" s="463">
        <f t="shared" si="186"/>
        <v>0</v>
      </c>
      <c r="N1550" s="465">
        <f t="shared" si="187"/>
        <v>0</v>
      </c>
      <c r="O1550" s="179"/>
      <c r="P1550" s="180"/>
      <c r="Q1550" s="173"/>
      <c r="R1550" s="173"/>
      <c r="S1550" s="174"/>
      <c r="T1550" s="173"/>
      <c r="U1550" s="182"/>
      <c r="V1550" s="177">
        <f>IF(U1550=0,0,IF(T1550="MXN",1/HLOOKUP(YEAR(S1550)+(MONTH(S1550)/100),TC!$5:$37,DAY(S1550)+2,FALSE),VLOOKUP(T1550,Equivalencia!$1:$23,((MAX(Equivalencia!$3:$3)-YEAR(S1550))*14)+MONTH(S1550)+2,FALSE)))</f>
        <v>0</v>
      </c>
      <c r="W1550" s="178">
        <f t="shared" si="188"/>
        <v>0</v>
      </c>
      <c r="X1550" s="481">
        <f t="shared" si="189"/>
        <v>0</v>
      </c>
      <c r="Y1550" s="179"/>
      <c r="Z1550" s="466">
        <f t="shared" si="190"/>
        <v>0</v>
      </c>
      <c r="AA1550" s="473">
        <f t="shared" si="191"/>
        <v>0</v>
      </c>
      <c r="AB1550" s="339">
        <f t="shared" si="192"/>
        <v>0</v>
      </c>
    </row>
    <row r="1551" spans="2:28" ht="20.100000000000001" customHeight="1">
      <c r="B1551" s="172"/>
      <c r="C1551" s="174"/>
      <c r="D1551" s="181"/>
      <c r="E1551" s="173"/>
      <c r="F1551" s="176"/>
      <c r="G1551" s="175">
        <f t="shared" si="183"/>
        <v>0</v>
      </c>
      <c r="H1551" s="175">
        <f t="shared" si="184"/>
        <v>0</v>
      </c>
      <c r="I1551" s="177">
        <f>IF(G1551=0,0,IF(E1551="MXN",1/HLOOKUP(YEAR(C1551)+(MONTH(C1551)/100),TC!$5:$37,DAY(C1551)+2,FALSE),VLOOKUP(E1551,Equivalencia!$5:$23,((MAX(Equivalencia!$3:$3)-YEAR(C1551))*14)+MONTH(C1551)+2,FALSE)))</f>
        <v>0</v>
      </c>
      <c r="J1551" s="178">
        <f t="shared" si="185"/>
        <v>0</v>
      </c>
      <c r="K1551" s="462">
        <f>IF(C1551=0,0,VLOOKUP(YEAR(C1551),INPC!$B$4:$O$29,MONTH(C1551)+1))</f>
        <v>0</v>
      </c>
      <c r="L1551" s="462">
        <f>IF(S1551=0,0,VLOOKUP(YEAR(S1551),INPC!$B$4:$O$29,MONTH(S1551)+1))</f>
        <v>0</v>
      </c>
      <c r="M1551" s="463">
        <f t="shared" si="186"/>
        <v>0</v>
      </c>
      <c r="N1551" s="465">
        <f t="shared" si="187"/>
        <v>0</v>
      </c>
      <c r="O1551" s="179"/>
      <c r="P1551" s="180"/>
      <c r="Q1551" s="173"/>
      <c r="R1551" s="173"/>
      <c r="S1551" s="174"/>
      <c r="T1551" s="173"/>
      <c r="U1551" s="182"/>
      <c r="V1551" s="177">
        <f>IF(U1551=0,0,IF(T1551="MXN",1/HLOOKUP(YEAR(S1551)+(MONTH(S1551)/100),TC!$5:$37,DAY(S1551)+2,FALSE),VLOOKUP(T1551,Equivalencia!$1:$23,((MAX(Equivalencia!$3:$3)-YEAR(S1551))*14)+MONTH(S1551)+2,FALSE)))</f>
        <v>0</v>
      </c>
      <c r="W1551" s="178">
        <f t="shared" si="188"/>
        <v>0</v>
      </c>
      <c r="X1551" s="481">
        <f t="shared" si="189"/>
        <v>0</v>
      </c>
      <c r="Y1551" s="179"/>
      <c r="Z1551" s="466">
        <f t="shared" si="190"/>
        <v>0</v>
      </c>
      <c r="AA1551" s="473">
        <f t="shared" si="191"/>
        <v>0</v>
      </c>
      <c r="AB1551" s="339">
        <f t="shared" si="192"/>
        <v>0</v>
      </c>
    </row>
    <row r="1552" spans="2:28" ht="20.100000000000001" customHeight="1">
      <c r="B1552" s="172"/>
      <c r="C1552" s="174"/>
      <c r="D1552" s="181"/>
      <c r="E1552" s="173"/>
      <c r="F1552" s="176"/>
      <c r="G1552" s="175">
        <f t="shared" si="183"/>
        <v>0</v>
      </c>
      <c r="H1552" s="175">
        <f t="shared" si="184"/>
        <v>0</v>
      </c>
      <c r="I1552" s="177">
        <f>IF(G1552=0,0,IF(E1552="MXN",1/HLOOKUP(YEAR(C1552)+(MONTH(C1552)/100),TC!$5:$37,DAY(C1552)+2,FALSE),VLOOKUP(E1552,Equivalencia!$5:$23,((MAX(Equivalencia!$3:$3)-YEAR(C1552))*14)+MONTH(C1552)+2,FALSE)))</f>
        <v>0</v>
      </c>
      <c r="J1552" s="178">
        <f t="shared" si="185"/>
        <v>0</v>
      </c>
      <c r="K1552" s="462">
        <f>IF(C1552=0,0,VLOOKUP(YEAR(C1552),INPC!$B$4:$O$29,MONTH(C1552)+1))</f>
        <v>0</v>
      </c>
      <c r="L1552" s="462">
        <f>IF(S1552=0,0,VLOOKUP(YEAR(S1552),INPC!$B$4:$O$29,MONTH(S1552)+1))</f>
        <v>0</v>
      </c>
      <c r="M1552" s="463">
        <f t="shared" si="186"/>
        <v>0</v>
      </c>
      <c r="N1552" s="465">
        <f t="shared" si="187"/>
        <v>0</v>
      </c>
      <c r="O1552" s="179"/>
      <c r="P1552" s="180"/>
      <c r="Q1552" s="173"/>
      <c r="R1552" s="173"/>
      <c r="S1552" s="174"/>
      <c r="T1552" s="173"/>
      <c r="U1552" s="182"/>
      <c r="V1552" s="177">
        <f>IF(U1552=0,0,IF(T1552="MXN",1/HLOOKUP(YEAR(S1552)+(MONTH(S1552)/100),TC!$5:$37,DAY(S1552)+2,FALSE),VLOOKUP(T1552,Equivalencia!$1:$23,((MAX(Equivalencia!$3:$3)-YEAR(S1552))*14)+MONTH(S1552)+2,FALSE)))</f>
        <v>0</v>
      </c>
      <c r="W1552" s="178">
        <f t="shared" si="188"/>
        <v>0</v>
      </c>
      <c r="X1552" s="481">
        <f t="shared" si="189"/>
        <v>0</v>
      </c>
      <c r="Y1552" s="179"/>
      <c r="Z1552" s="466">
        <f t="shared" si="190"/>
        <v>0</v>
      </c>
      <c r="AA1552" s="473">
        <f t="shared" si="191"/>
        <v>0</v>
      </c>
      <c r="AB1552" s="339">
        <f t="shared" si="192"/>
        <v>0</v>
      </c>
    </row>
    <row r="1553" spans="2:28" ht="20.100000000000001" customHeight="1">
      <c r="B1553" s="172"/>
      <c r="C1553" s="174"/>
      <c r="D1553" s="181"/>
      <c r="E1553" s="173"/>
      <c r="F1553" s="176"/>
      <c r="G1553" s="175">
        <f t="shared" si="183"/>
        <v>0</v>
      </c>
      <c r="H1553" s="175">
        <f t="shared" si="184"/>
        <v>0</v>
      </c>
      <c r="I1553" s="177">
        <f>IF(G1553=0,0,IF(E1553="MXN",1/HLOOKUP(YEAR(C1553)+(MONTH(C1553)/100),TC!$5:$37,DAY(C1553)+2,FALSE),VLOOKUP(E1553,Equivalencia!$5:$23,((MAX(Equivalencia!$3:$3)-YEAR(C1553))*14)+MONTH(C1553)+2,FALSE)))</f>
        <v>0</v>
      </c>
      <c r="J1553" s="178">
        <f t="shared" si="185"/>
        <v>0</v>
      </c>
      <c r="K1553" s="462">
        <f>IF(C1553=0,0,VLOOKUP(YEAR(C1553),INPC!$B$4:$O$29,MONTH(C1553)+1))</f>
        <v>0</v>
      </c>
      <c r="L1553" s="462">
        <f>IF(S1553=0,0,VLOOKUP(YEAR(S1553),INPC!$B$4:$O$29,MONTH(S1553)+1))</f>
        <v>0</v>
      </c>
      <c r="M1553" s="463">
        <f t="shared" si="186"/>
        <v>0</v>
      </c>
      <c r="N1553" s="465">
        <f t="shared" si="187"/>
        <v>0</v>
      </c>
      <c r="O1553" s="179"/>
      <c r="P1553" s="180"/>
      <c r="Q1553" s="173"/>
      <c r="R1553" s="173"/>
      <c r="S1553" s="174"/>
      <c r="T1553" s="173"/>
      <c r="U1553" s="182"/>
      <c r="V1553" s="177">
        <f>IF(U1553=0,0,IF(T1553="MXN",1/HLOOKUP(YEAR(S1553)+(MONTH(S1553)/100),TC!$5:$37,DAY(S1553)+2,FALSE),VLOOKUP(T1553,Equivalencia!$1:$23,((MAX(Equivalencia!$3:$3)-YEAR(S1553))*14)+MONTH(S1553)+2,FALSE)))</f>
        <v>0</v>
      </c>
      <c r="W1553" s="178">
        <f t="shared" si="188"/>
        <v>0</v>
      </c>
      <c r="X1553" s="481">
        <f t="shared" si="189"/>
        <v>0</v>
      </c>
      <c r="Y1553" s="179"/>
      <c r="Z1553" s="466">
        <f t="shared" si="190"/>
        <v>0</v>
      </c>
      <c r="AA1553" s="473">
        <f t="shared" si="191"/>
        <v>0</v>
      </c>
      <c r="AB1553" s="339">
        <f t="shared" si="192"/>
        <v>0</v>
      </c>
    </row>
    <row r="1554" spans="2:28" ht="20.100000000000001" customHeight="1">
      <c r="B1554" s="172"/>
      <c r="C1554" s="174"/>
      <c r="D1554" s="181"/>
      <c r="E1554" s="173"/>
      <c r="F1554" s="176"/>
      <c r="G1554" s="175">
        <f t="shared" si="183"/>
        <v>0</v>
      </c>
      <c r="H1554" s="175">
        <f t="shared" si="184"/>
        <v>0</v>
      </c>
      <c r="I1554" s="177">
        <f>IF(G1554=0,0,IF(E1554="MXN",1/HLOOKUP(YEAR(C1554)+(MONTH(C1554)/100),TC!$5:$37,DAY(C1554)+2,FALSE),VLOOKUP(E1554,Equivalencia!$5:$23,((MAX(Equivalencia!$3:$3)-YEAR(C1554))*14)+MONTH(C1554)+2,FALSE)))</f>
        <v>0</v>
      </c>
      <c r="J1554" s="178">
        <f t="shared" si="185"/>
        <v>0</v>
      </c>
      <c r="K1554" s="462">
        <f>IF(C1554=0,0,VLOOKUP(YEAR(C1554),INPC!$B$4:$O$29,MONTH(C1554)+1))</f>
        <v>0</v>
      </c>
      <c r="L1554" s="462">
        <f>IF(S1554=0,0,VLOOKUP(YEAR(S1554),INPC!$B$4:$O$29,MONTH(S1554)+1))</f>
        <v>0</v>
      </c>
      <c r="M1554" s="463">
        <f t="shared" si="186"/>
        <v>0</v>
      </c>
      <c r="N1554" s="465">
        <f t="shared" si="187"/>
        <v>0</v>
      </c>
      <c r="O1554" s="179"/>
      <c r="P1554" s="180"/>
      <c r="Q1554" s="173"/>
      <c r="R1554" s="173"/>
      <c r="S1554" s="174"/>
      <c r="T1554" s="173"/>
      <c r="U1554" s="182"/>
      <c r="V1554" s="177">
        <f>IF(U1554=0,0,IF(T1554="MXN",1/HLOOKUP(YEAR(S1554)+(MONTH(S1554)/100),TC!$5:$37,DAY(S1554)+2,FALSE),VLOOKUP(T1554,Equivalencia!$1:$23,((MAX(Equivalencia!$3:$3)-YEAR(S1554))*14)+MONTH(S1554)+2,FALSE)))</f>
        <v>0</v>
      </c>
      <c r="W1554" s="178">
        <f t="shared" si="188"/>
        <v>0</v>
      </c>
      <c r="X1554" s="481">
        <f t="shared" si="189"/>
        <v>0</v>
      </c>
      <c r="Y1554" s="179"/>
      <c r="Z1554" s="466">
        <f t="shared" si="190"/>
        <v>0</v>
      </c>
      <c r="AA1554" s="473">
        <f t="shared" si="191"/>
        <v>0</v>
      </c>
      <c r="AB1554" s="339">
        <f t="shared" si="192"/>
        <v>0</v>
      </c>
    </row>
    <row r="1555" spans="2:28" ht="20.100000000000001" customHeight="1">
      <c r="B1555" s="172"/>
      <c r="C1555" s="174"/>
      <c r="D1555" s="181"/>
      <c r="E1555" s="173"/>
      <c r="F1555" s="176"/>
      <c r="G1555" s="175">
        <f t="shared" si="183"/>
        <v>0</v>
      </c>
      <c r="H1555" s="175">
        <f t="shared" si="184"/>
        <v>0</v>
      </c>
      <c r="I1555" s="177">
        <f>IF(G1555=0,0,IF(E1555="MXN",1/HLOOKUP(YEAR(C1555)+(MONTH(C1555)/100),TC!$5:$37,DAY(C1555)+2,FALSE),VLOOKUP(E1555,Equivalencia!$5:$23,((MAX(Equivalencia!$3:$3)-YEAR(C1555))*14)+MONTH(C1555)+2,FALSE)))</f>
        <v>0</v>
      </c>
      <c r="J1555" s="178">
        <f t="shared" si="185"/>
        <v>0</v>
      </c>
      <c r="K1555" s="462">
        <f>IF(C1555=0,0,VLOOKUP(YEAR(C1555),INPC!$B$4:$O$29,MONTH(C1555)+1))</f>
        <v>0</v>
      </c>
      <c r="L1555" s="462">
        <f>IF(S1555=0,0,VLOOKUP(YEAR(S1555),INPC!$B$4:$O$29,MONTH(S1555)+1))</f>
        <v>0</v>
      </c>
      <c r="M1555" s="463">
        <f t="shared" si="186"/>
        <v>0</v>
      </c>
      <c r="N1555" s="465">
        <f t="shared" si="187"/>
        <v>0</v>
      </c>
      <c r="O1555" s="179"/>
      <c r="P1555" s="180"/>
      <c r="Q1555" s="173"/>
      <c r="R1555" s="173"/>
      <c r="S1555" s="174"/>
      <c r="T1555" s="173"/>
      <c r="U1555" s="182"/>
      <c r="V1555" s="177">
        <f>IF(U1555=0,0,IF(T1555="MXN",1/HLOOKUP(YEAR(S1555)+(MONTH(S1555)/100),TC!$5:$37,DAY(S1555)+2,FALSE),VLOOKUP(T1555,Equivalencia!$1:$23,((MAX(Equivalencia!$3:$3)-YEAR(S1555))*14)+MONTH(S1555)+2,FALSE)))</f>
        <v>0</v>
      </c>
      <c r="W1555" s="178">
        <f t="shared" si="188"/>
        <v>0</v>
      </c>
      <c r="X1555" s="481">
        <f t="shared" si="189"/>
        <v>0</v>
      </c>
      <c r="Y1555" s="179"/>
      <c r="Z1555" s="466">
        <f t="shared" si="190"/>
        <v>0</v>
      </c>
      <c r="AA1555" s="473">
        <f t="shared" si="191"/>
        <v>0</v>
      </c>
      <c r="AB1555" s="339">
        <f t="shared" si="192"/>
        <v>0</v>
      </c>
    </row>
    <row r="1556" spans="2:28" ht="20.100000000000001" customHeight="1">
      <c r="B1556" s="172"/>
      <c r="C1556" s="174"/>
      <c r="D1556" s="181"/>
      <c r="E1556" s="173"/>
      <c r="F1556" s="176"/>
      <c r="G1556" s="175">
        <f t="shared" si="183"/>
        <v>0</v>
      </c>
      <c r="H1556" s="175">
        <f t="shared" si="184"/>
        <v>0</v>
      </c>
      <c r="I1556" s="177">
        <f>IF(G1556=0,0,IF(E1556="MXN",1/HLOOKUP(YEAR(C1556)+(MONTH(C1556)/100),TC!$5:$37,DAY(C1556)+2,FALSE),VLOOKUP(E1556,Equivalencia!$5:$23,((MAX(Equivalencia!$3:$3)-YEAR(C1556))*14)+MONTH(C1556)+2,FALSE)))</f>
        <v>0</v>
      </c>
      <c r="J1556" s="178">
        <f t="shared" si="185"/>
        <v>0</v>
      </c>
      <c r="K1556" s="462">
        <f>IF(C1556=0,0,VLOOKUP(YEAR(C1556),INPC!$B$4:$O$29,MONTH(C1556)+1))</f>
        <v>0</v>
      </c>
      <c r="L1556" s="462">
        <f>IF(S1556=0,0,VLOOKUP(YEAR(S1556),INPC!$B$4:$O$29,MONTH(S1556)+1))</f>
        <v>0</v>
      </c>
      <c r="M1556" s="463">
        <f t="shared" si="186"/>
        <v>0</v>
      </c>
      <c r="N1556" s="465">
        <f t="shared" si="187"/>
        <v>0</v>
      </c>
      <c r="O1556" s="179"/>
      <c r="P1556" s="180"/>
      <c r="Q1556" s="173"/>
      <c r="R1556" s="173"/>
      <c r="S1556" s="174"/>
      <c r="T1556" s="173"/>
      <c r="U1556" s="182"/>
      <c r="V1556" s="177">
        <f>IF(U1556=0,0,IF(T1556="MXN",1/HLOOKUP(YEAR(S1556)+(MONTH(S1556)/100),TC!$5:$37,DAY(S1556)+2,FALSE),VLOOKUP(T1556,Equivalencia!$1:$23,((MAX(Equivalencia!$3:$3)-YEAR(S1556))*14)+MONTH(S1556)+2,FALSE)))</f>
        <v>0</v>
      </c>
      <c r="W1556" s="178">
        <f t="shared" si="188"/>
        <v>0</v>
      </c>
      <c r="X1556" s="481">
        <f t="shared" si="189"/>
        <v>0</v>
      </c>
      <c r="Y1556" s="179"/>
      <c r="Z1556" s="466">
        <f t="shared" si="190"/>
        <v>0</v>
      </c>
      <c r="AA1556" s="473">
        <f t="shared" si="191"/>
        <v>0</v>
      </c>
      <c r="AB1556" s="339">
        <f t="shared" si="192"/>
        <v>0</v>
      </c>
    </row>
    <row r="1557" spans="2:28" ht="20.100000000000001" customHeight="1">
      <c r="B1557" s="172"/>
      <c r="C1557" s="174"/>
      <c r="D1557" s="181"/>
      <c r="E1557" s="173"/>
      <c r="F1557" s="176"/>
      <c r="G1557" s="175">
        <f t="shared" si="183"/>
        <v>0</v>
      </c>
      <c r="H1557" s="175">
        <f t="shared" si="184"/>
        <v>0</v>
      </c>
      <c r="I1557" s="177">
        <f>IF(G1557=0,0,IF(E1557="MXN",1/HLOOKUP(YEAR(C1557)+(MONTH(C1557)/100),TC!$5:$37,DAY(C1557)+2,FALSE),VLOOKUP(E1557,Equivalencia!$5:$23,((MAX(Equivalencia!$3:$3)-YEAR(C1557))*14)+MONTH(C1557)+2,FALSE)))</f>
        <v>0</v>
      </c>
      <c r="J1557" s="178">
        <f t="shared" si="185"/>
        <v>0</v>
      </c>
      <c r="K1557" s="462">
        <f>IF(C1557=0,0,VLOOKUP(YEAR(C1557),INPC!$B$4:$O$29,MONTH(C1557)+1))</f>
        <v>0</v>
      </c>
      <c r="L1557" s="462">
        <f>IF(S1557=0,0,VLOOKUP(YEAR(S1557),INPC!$B$4:$O$29,MONTH(S1557)+1))</f>
        <v>0</v>
      </c>
      <c r="M1557" s="463">
        <f t="shared" si="186"/>
        <v>0</v>
      </c>
      <c r="N1557" s="465">
        <f t="shared" si="187"/>
        <v>0</v>
      </c>
      <c r="O1557" s="179"/>
      <c r="P1557" s="180"/>
      <c r="Q1557" s="173"/>
      <c r="R1557" s="173"/>
      <c r="S1557" s="174"/>
      <c r="T1557" s="173"/>
      <c r="U1557" s="182"/>
      <c r="V1557" s="177">
        <f>IF(U1557=0,0,IF(T1557="MXN",1/HLOOKUP(YEAR(S1557)+(MONTH(S1557)/100),TC!$5:$37,DAY(S1557)+2,FALSE),VLOOKUP(T1557,Equivalencia!$1:$23,((MAX(Equivalencia!$3:$3)-YEAR(S1557))*14)+MONTH(S1557)+2,FALSE)))</f>
        <v>0</v>
      </c>
      <c r="W1557" s="178">
        <f t="shared" si="188"/>
        <v>0</v>
      </c>
      <c r="X1557" s="481">
        <f t="shared" si="189"/>
        <v>0</v>
      </c>
      <c r="Y1557" s="179"/>
      <c r="Z1557" s="466">
        <f t="shared" si="190"/>
        <v>0</v>
      </c>
      <c r="AA1557" s="473">
        <f t="shared" si="191"/>
        <v>0</v>
      </c>
      <c r="AB1557" s="339">
        <f t="shared" si="192"/>
        <v>0</v>
      </c>
    </row>
    <row r="1558" spans="2:28" ht="20.100000000000001" customHeight="1">
      <c r="B1558" s="172"/>
      <c r="C1558" s="174"/>
      <c r="D1558" s="181"/>
      <c r="E1558" s="173"/>
      <c r="F1558" s="176"/>
      <c r="G1558" s="175">
        <f t="shared" si="183"/>
        <v>0</v>
      </c>
      <c r="H1558" s="175">
        <f t="shared" si="184"/>
        <v>0</v>
      </c>
      <c r="I1558" s="177">
        <f>IF(G1558=0,0,IF(E1558="MXN",1/HLOOKUP(YEAR(C1558)+(MONTH(C1558)/100),TC!$5:$37,DAY(C1558)+2,FALSE),VLOOKUP(E1558,Equivalencia!$5:$23,((MAX(Equivalencia!$3:$3)-YEAR(C1558))*14)+MONTH(C1558)+2,FALSE)))</f>
        <v>0</v>
      </c>
      <c r="J1558" s="178">
        <f t="shared" si="185"/>
        <v>0</v>
      </c>
      <c r="K1558" s="462">
        <f>IF(C1558=0,0,VLOOKUP(YEAR(C1558),INPC!$B$4:$O$29,MONTH(C1558)+1))</f>
        <v>0</v>
      </c>
      <c r="L1558" s="462">
        <f>IF(S1558=0,0,VLOOKUP(YEAR(S1558),INPC!$B$4:$O$29,MONTH(S1558)+1))</f>
        <v>0</v>
      </c>
      <c r="M1558" s="463">
        <f t="shared" si="186"/>
        <v>0</v>
      </c>
      <c r="N1558" s="465">
        <f t="shared" si="187"/>
        <v>0</v>
      </c>
      <c r="O1558" s="179"/>
      <c r="P1558" s="180"/>
      <c r="Q1558" s="173"/>
      <c r="R1558" s="173"/>
      <c r="S1558" s="174"/>
      <c r="T1558" s="173"/>
      <c r="U1558" s="182"/>
      <c r="V1558" s="177">
        <f>IF(U1558=0,0,IF(T1558="MXN",1/HLOOKUP(YEAR(S1558)+(MONTH(S1558)/100),TC!$5:$37,DAY(S1558)+2,FALSE),VLOOKUP(T1558,Equivalencia!$1:$23,((MAX(Equivalencia!$3:$3)-YEAR(S1558))*14)+MONTH(S1558)+2,FALSE)))</f>
        <v>0</v>
      </c>
      <c r="W1558" s="178">
        <f t="shared" si="188"/>
        <v>0</v>
      </c>
      <c r="X1558" s="481">
        <f t="shared" si="189"/>
        <v>0</v>
      </c>
      <c r="Y1558" s="179"/>
      <c r="Z1558" s="466">
        <f t="shared" si="190"/>
        <v>0</v>
      </c>
      <c r="AA1558" s="473">
        <f t="shared" si="191"/>
        <v>0</v>
      </c>
      <c r="AB1558" s="339">
        <f t="shared" si="192"/>
        <v>0</v>
      </c>
    </row>
    <row r="1559" spans="2:28" ht="20.100000000000001" customHeight="1">
      <c r="B1559" s="172"/>
      <c r="C1559" s="174"/>
      <c r="D1559" s="181"/>
      <c r="E1559" s="173"/>
      <c r="F1559" s="176"/>
      <c r="G1559" s="175">
        <f t="shared" si="183"/>
        <v>0</v>
      </c>
      <c r="H1559" s="175">
        <f t="shared" si="184"/>
        <v>0</v>
      </c>
      <c r="I1559" s="177">
        <f>IF(G1559=0,0,IF(E1559="MXN",1/HLOOKUP(YEAR(C1559)+(MONTH(C1559)/100),TC!$5:$37,DAY(C1559)+2,FALSE),VLOOKUP(E1559,Equivalencia!$5:$23,((MAX(Equivalencia!$3:$3)-YEAR(C1559))*14)+MONTH(C1559)+2,FALSE)))</f>
        <v>0</v>
      </c>
      <c r="J1559" s="178">
        <f t="shared" si="185"/>
        <v>0</v>
      </c>
      <c r="K1559" s="462">
        <f>IF(C1559=0,0,VLOOKUP(YEAR(C1559),INPC!$B$4:$O$29,MONTH(C1559)+1))</f>
        <v>0</v>
      </c>
      <c r="L1559" s="462">
        <f>IF(S1559=0,0,VLOOKUP(YEAR(S1559),INPC!$B$4:$O$29,MONTH(S1559)+1))</f>
        <v>0</v>
      </c>
      <c r="M1559" s="463">
        <f t="shared" si="186"/>
        <v>0</v>
      </c>
      <c r="N1559" s="465">
        <f t="shared" si="187"/>
        <v>0</v>
      </c>
      <c r="O1559" s="179"/>
      <c r="P1559" s="180"/>
      <c r="Q1559" s="173"/>
      <c r="R1559" s="173"/>
      <c r="S1559" s="174"/>
      <c r="T1559" s="173"/>
      <c r="U1559" s="182"/>
      <c r="V1559" s="177">
        <f>IF(U1559=0,0,IF(T1559="MXN",1/HLOOKUP(YEAR(S1559)+(MONTH(S1559)/100),TC!$5:$37,DAY(S1559)+2,FALSE),VLOOKUP(T1559,Equivalencia!$1:$23,((MAX(Equivalencia!$3:$3)-YEAR(S1559))*14)+MONTH(S1559)+2,FALSE)))</f>
        <v>0</v>
      </c>
      <c r="W1559" s="178">
        <f t="shared" si="188"/>
        <v>0</v>
      </c>
      <c r="X1559" s="481">
        <f t="shared" si="189"/>
        <v>0</v>
      </c>
      <c r="Y1559" s="179"/>
      <c r="Z1559" s="466">
        <f t="shared" si="190"/>
        <v>0</v>
      </c>
      <c r="AA1559" s="473">
        <f t="shared" si="191"/>
        <v>0</v>
      </c>
      <c r="AB1559" s="339">
        <f t="shared" si="192"/>
        <v>0</v>
      </c>
    </row>
    <row r="1560" spans="2:28" ht="20.100000000000001" customHeight="1">
      <c r="B1560" s="172"/>
      <c r="C1560" s="174"/>
      <c r="D1560" s="181"/>
      <c r="E1560" s="173"/>
      <c r="F1560" s="176"/>
      <c r="G1560" s="175">
        <f t="shared" si="183"/>
        <v>0</v>
      </c>
      <c r="H1560" s="175">
        <f t="shared" si="184"/>
        <v>0</v>
      </c>
      <c r="I1560" s="177">
        <f>IF(G1560=0,0,IF(E1560="MXN",1/HLOOKUP(YEAR(C1560)+(MONTH(C1560)/100),TC!$5:$37,DAY(C1560)+2,FALSE),VLOOKUP(E1560,Equivalencia!$5:$23,((MAX(Equivalencia!$3:$3)-YEAR(C1560))*14)+MONTH(C1560)+2,FALSE)))</f>
        <v>0</v>
      </c>
      <c r="J1560" s="178">
        <f t="shared" si="185"/>
        <v>0</v>
      </c>
      <c r="K1560" s="462">
        <f>IF(C1560=0,0,VLOOKUP(YEAR(C1560),INPC!$B$4:$O$29,MONTH(C1560)+1))</f>
        <v>0</v>
      </c>
      <c r="L1560" s="462">
        <f>IF(S1560=0,0,VLOOKUP(YEAR(S1560),INPC!$B$4:$O$29,MONTH(S1560)+1))</f>
        <v>0</v>
      </c>
      <c r="M1560" s="463">
        <f t="shared" si="186"/>
        <v>0</v>
      </c>
      <c r="N1560" s="465">
        <f t="shared" si="187"/>
        <v>0</v>
      </c>
      <c r="O1560" s="179"/>
      <c r="P1560" s="180"/>
      <c r="Q1560" s="173"/>
      <c r="R1560" s="173"/>
      <c r="S1560" s="174"/>
      <c r="T1560" s="173"/>
      <c r="U1560" s="182"/>
      <c r="V1560" s="177">
        <f>IF(U1560=0,0,IF(T1560="MXN",1/HLOOKUP(YEAR(S1560)+(MONTH(S1560)/100),TC!$5:$37,DAY(S1560)+2,FALSE),VLOOKUP(T1560,Equivalencia!$1:$23,((MAX(Equivalencia!$3:$3)-YEAR(S1560))*14)+MONTH(S1560)+2,FALSE)))</f>
        <v>0</v>
      </c>
      <c r="W1560" s="178">
        <f t="shared" si="188"/>
        <v>0</v>
      </c>
      <c r="X1560" s="481">
        <f t="shared" si="189"/>
        <v>0</v>
      </c>
      <c r="Y1560" s="179"/>
      <c r="Z1560" s="466">
        <f t="shared" si="190"/>
        <v>0</v>
      </c>
      <c r="AA1560" s="473">
        <f t="shared" si="191"/>
        <v>0</v>
      </c>
      <c r="AB1560" s="339">
        <f t="shared" si="192"/>
        <v>0</v>
      </c>
    </row>
    <row r="1561" spans="2:28" ht="20.100000000000001" customHeight="1">
      <c r="B1561" s="172"/>
      <c r="C1561" s="174"/>
      <c r="D1561" s="181"/>
      <c r="E1561" s="173"/>
      <c r="F1561" s="176"/>
      <c r="G1561" s="175">
        <f t="shared" si="183"/>
        <v>0</v>
      </c>
      <c r="H1561" s="175">
        <f t="shared" si="184"/>
        <v>0</v>
      </c>
      <c r="I1561" s="177">
        <f>IF(G1561=0,0,IF(E1561="MXN",1/HLOOKUP(YEAR(C1561)+(MONTH(C1561)/100),TC!$5:$37,DAY(C1561)+2,FALSE),VLOOKUP(E1561,Equivalencia!$5:$23,((MAX(Equivalencia!$3:$3)-YEAR(C1561))*14)+MONTH(C1561)+2,FALSE)))</f>
        <v>0</v>
      </c>
      <c r="J1561" s="178">
        <f t="shared" si="185"/>
        <v>0</v>
      </c>
      <c r="K1561" s="462">
        <f>IF(C1561=0,0,VLOOKUP(YEAR(C1561),INPC!$B$4:$O$29,MONTH(C1561)+1))</f>
        <v>0</v>
      </c>
      <c r="L1561" s="462">
        <f>IF(S1561=0,0,VLOOKUP(YEAR(S1561),INPC!$B$4:$O$29,MONTH(S1561)+1))</f>
        <v>0</v>
      </c>
      <c r="M1561" s="463">
        <f t="shared" si="186"/>
        <v>0</v>
      </c>
      <c r="N1561" s="465">
        <f t="shared" si="187"/>
        <v>0</v>
      </c>
      <c r="O1561" s="179"/>
      <c r="P1561" s="180"/>
      <c r="Q1561" s="173"/>
      <c r="R1561" s="173"/>
      <c r="S1561" s="174"/>
      <c r="T1561" s="173"/>
      <c r="U1561" s="182"/>
      <c r="V1561" s="177">
        <f>IF(U1561=0,0,IF(T1561="MXN",1/HLOOKUP(YEAR(S1561)+(MONTH(S1561)/100),TC!$5:$37,DAY(S1561)+2,FALSE),VLOOKUP(T1561,Equivalencia!$1:$23,((MAX(Equivalencia!$3:$3)-YEAR(S1561))*14)+MONTH(S1561)+2,FALSE)))</f>
        <v>0</v>
      </c>
      <c r="W1561" s="178">
        <f t="shared" si="188"/>
        <v>0</v>
      </c>
      <c r="X1561" s="481">
        <f t="shared" si="189"/>
        <v>0</v>
      </c>
      <c r="Y1561" s="179"/>
      <c r="Z1561" s="466">
        <f t="shared" si="190"/>
        <v>0</v>
      </c>
      <c r="AA1561" s="473">
        <f t="shared" si="191"/>
        <v>0</v>
      </c>
      <c r="AB1561" s="339">
        <f t="shared" si="192"/>
        <v>0</v>
      </c>
    </row>
    <row r="1562" spans="2:28" ht="20.100000000000001" customHeight="1">
      <c r="B1562" s="172"/>
      <c r="C1562" s="174"/>
      <c r="D1562" s="181"/>
      <c r="E1562" s="173"/>
      <c r="F1562" s="176"/>
      <c r="G1562" s="175">
        <f t="shared" si="183"/>
        <v>0</v>
      </c>
      <c r="H1562" s="175">
        <f t="shared" si="184"/>
        <v>0</v>
      </c>
      <c r="I1562" s="177">
        <f>IF(G1562=0,0,IF(E1562="MXN",1/HLOOKUP(YEAR(C1562)+(MONTH(C1562)/100),TC!$5:$37,DAY(C1562)+2,FALSE),VLOOKUP(E1562,Equivalencia!$5:$23,((MAX(Equivalencia!$3:$3)-YEAR(C1562))*14)+MONTH(C1562)+2,FALSE)))</f>
        <v>0</v>
      </c>
      <c r="J1562" s="178">
        <f t="shared" si="185"/>
        <v>0</v>
      </c>
      <c r="K1562" s="462">
        <f>IF(C1562=0,0,VLOOKUP(YEAR(C1562),INPC!$B$4:$O$29,MONTH(C1562)+1))</f>
        <v>0</v>
      </c>
      <c r="L1562" s="462">
        <f>IF(S1562=0,0,VLOOKUP(YEAR(S1562),INPC!$B$4:$O$29,MONTH(S1562)+1))</f>
        <v>0</v>
      </c>
      <c r="M1562" s="463">
        <f t="shared" si="186"/>
        <v>0</v>
      </c>
      <c r="N1562" s="465">
        <f t="shared" si="187"/>
        <v>0</v>
      </c>
      <c r="O1562" s="179"/>
      <c r="P1562" s="180"/>
      <c r="Q1562" s="173"/>
      <c r="R1562" s="173"/>
      <c r="S1562" s="174"/>
      <c r="T1562" s="173"/>
      <c r="U1562" s="182"/>
      <c r="V1562" s="177">
        <f>IF(U1562=0,0,IF(T1562="MXN",1/HLOOKUP(YEAR(S1562)+(MONTH(S1562)/100),TC!$5:$37,DAY(S1562)+2,FALSE),VLOOKUP(T1562,Equivalencia!$1:$23,((MAX(Equivalencia!$3:$3)-YEAR(S1562))*14)+MONTH(S1562)+2,FALSE)))</f>
        <v>0</v>
      </c>
      <c r="W1562" s="178">
        <f t="shared" si="188"/>
        <v>0</v>
      </c>
      <c r="X1562" s="481">
        <f t="shared" si="189"/>
        <v>0</v>
      </c>
      <c r="Y1562" s="179"/>
      <c r="Z1562" s="466">
        <f t="shared" si="190"/>
        <v>0</v>
      </c>
      <c r="AA1562" s="473">
        <f t="shared" si="191"/>
        <v>0</v>
      </c>
      <c r="AB1562" s="339">
        <f t="shared" si="192"/>
        <v>0</v>
      </c>
    </row>
    <row r="1563" spans="2:28" ht="20.100000000000001" customHeight="1">
      <c r="B1563" s="172"/>
      <c r="C1563" s="174"/>
      <c r="D1563" s="181"/>
      <c r="E1563" s="173"/>
      <c r="F1563" s="176"/>
      <c r="G1563" s="175">
        <f t="shared" si="183"/>
        <v>0</v>
      </c>
      <c r="H1563" s="175">
        <f t="shared" si="184"/>
        <v>0</v>
      </c>
      <c r="I1563" s="177">
        <f>IF(G1563=0,0,IF(E1563="MXN",1/HLOOKUP(YEAR(C1563)+(MONTH(C1563)/100),TC!$5:$37,DAY(C1563)+2,FALSE),VLOOKUP(E1563,Equivalencia!$5:$23,((MAX(Equivalencia!$3:$3)-YEAR(C1563))*14)+MONTH(C1563)+2,FALSE)))</f>
        <v>0</v>
      </c>
      <c r="J1563" s="178">
        <f t="shared" si="185"/>
        <v>0</v>
      </c>
      <c r="K1563" s="462">
        <f>IF(C1563=0,0,VLOOKUP(YEAR(C1563),INPC!$B$4:$O$29,MONTH(C1563)+1))</f>
        <v>0</v>
      </c>
      <c r="L1563" s="462">
        <f>IF(S1563=0,0,VLOOKUP(YEAR(S1563),INPC!$B$4:$O$29,MONTH(S1563)+1))</f>
        <v>0</v>
      </c>
      <c r="M1563" s="463">
        <f t="shared" si="186"/>
        <v>0</v>
      </c>
      <c r="N1563" s="465">
        <f t="shared" si="187"/>
        <v>0</v>
      </c>
      <c r="O1563" s="179"/>
      <c r="P1563" s="180"/>
      <c r="Q1563" s="173"/>
      <c r="R1563" s="173"/>
      <c r="S1563" s="174"/>
      <c r="T1563" s="173"/>
      <c r="U1563" s="182"/>
      <c r="V1563" s="177">
        <f>IF(U1563=0,0,IF(T1563="MXN",1/HLOOKUP(YEAR(S1563)+(MONTH(S1563)/100),TC!$5:$37,DAY(S1563)+2,FALSE),VLOOKUP(T1563,Equivalencia!$1:$23,((MAX(Equivalencia!$3:$3)-YEAR(S1563))*14)+MONTH(S1563)+2,FALSE)))</f>
        <v>0</v>
      </c>
      <c r="W1563" s="178">
        <f t="shared" si="188"/>
        <v>0</v>
      </c>
      <c r="X1563" s="481">
        <f t="shared" si="189"/>
        <v>0</v>
      </c>
      <c r="Y1563" s="179"/>
      <c r="Z1563" s="466">
        <f t="shared" si="190"/>
        <v>0</v>
      </c>
      <c r="AA1563" s="473">
        <f t="shared" si="191"/>
        <v>0</v>
      </c>
      <c r="AB1563" s="339">
        <f t="shared" si="192"/>
        <v>0</v>
      </c>
    </row>
    <row r="1564" spans="2:28" ht="20.100000000000001" customHeight="1">
      <c r="B1564" s="172"/>
      <c r="C1564" s="174"/>
      <c r="D1564" s="181"/>
      <c r="E1564" s="173"/>
      <c r="F1564" s="176"/>
      <c r="G1564" s="175">
        <f t="shared" si="183"/>
        <v>0</v>
      </c>
      <c r="H1564" s="175">
        <f t="shared" si="184"/>
        <v>0</v>
      </c>
      <c r="I1564" s="177">
        <f>IF(G1564=0,0,IF(E1564="MXN",1/HLOOKUP(YEAR(C1564)+(MONTH(C1564)/100),TC!$5:$37,DAY(C1564)+2,FALSE),VLOOKUP(E1564,Equivalencia!$5:$23,((MAX(Equivalencia!$3:$3)-YEAR(C1564))*14)+MONTH(C1564)+2,FALSE)))</f>
        <v>0</v>
      </c>
      <c r="J1564" s="178">
        <f t="shared" si="185"/>
        <v>0</v>
      </c>
      <c r="K1564" s="462">
        <f>IF(C1564=0,0,VLOOKUP(YEAR(C1564),INPC!$B$4:$O$29,MONTH(C1564)+1))</f>
        <v>0</v>
      </c>
      <c r="L1564" s="462">
        <f>IF(S1564=0,0,VLOOKUP(YEAR(S1564),INPC!$B$4:$O$29,MONTH(S1564)+1))</f>
        <v>0</v>
      </c>
      <c r="M1564" s="463">
        <f t="shared" si="186"/>
        <v>0</v>
      </c>
      <c r="N1564" s="465">
        <f t="shared" si="187"/>
        <v>0</v>
      </c>
      <c r="O1564" s="179"/>
      <c r="P1564" s="180"/>
      <c r="Q1564" s="173"/>
      <c r="R1564" s="173"/>
      <c r="S1564" s="174"/>
      <c r="T1564" s="173"/>
      <c r="U1564" s="182"/>
      <c r="V1564" s="177">
        <f>IF(U1564=0,0,IF(T1564="MXN",1/HLOOKUP(YEAR(S1564)+(MONTH(S1564)/100),TC!$5:$37,DAY(S1564)+2,FALSE),VLOOKUP(T1564,Equivalencia!$1:$23,((MAX(Equivalencia!$3:$3)-YEAR(S1564))*14)+MONTH(S1564)+2,FALSE)))</f>
        <v>0</v>
      </c>
      <c r="W1564" s="178">
        <f t="shared" si="188"/>
        <v>0</v>
      </c>
      <c r="X1564" s="481">
        <f t="shared" si="189"/>
        <v>0</v>
      </c>
      <c r="Y1564" s="179"/>
      <c r="Z1564" s="466">
        <f t="shared" si="190"/>
        <v>0</v>
      </c>
      <c r="AA1564" s="473">
        <f t="shared" si="191"/>
        <v>0</v>
      </c>
      <c r="AB1564" s="339">
        <f t="shared" si="192"/>
        <v>0</v>
      </c>
    </row>
    <row r="1565" spans="2:28" ht="20.100000000000001" customHeight="1">
      <c r="B1565" s="172"/>
      <c r="C1565" s="174"/>
      <c r="D1565" s="181"/>
      <c r="E1565" s="173"/>
      <c r="F1565" s="176"/>
      <c r="G1565" s="175">
        <f t="shared" si="183"/>
        <v>0</v>
      </c>
      <c r="H1565" s="175">
        <f t="shared" si="184"/>
        <v>0</v>
      </c>
      <c r="I1565" s="177">
        <f>IF(G1565=0,0,IF(E1565="MXN",1/HLOOKUP(YEAR(C1565)+(MONTH(C1565)/100),TC!$5:$37,DAY(C1565)+2,FALSE),VLOOKUP(E1565,Equivalencia!$5:$23,((MAX(Equivalencia!$3:$3)-YEAR(C1565))*14)+MONTH(C1565)+2,FALSE)))</f>
        <v>0</v>
      </c>
      <c r="J1565" s="178">
        <f t="shared" si="185"/>
        <v>0</v>
      </c>
      <c r="K1565" s="462">
        <f>IF(C1565=0,0,VLOOKUP(YEAR(C1565),INPC!$B$4:$O$29,MONTH(C1565)+1))</f>
        <v>0</v>
      </c>
      <c r="L1565" s="462">
        <f>IF(S1565=0,0,VLOOKUP(YEAR(S1565),INPC!$B$4:$O$29,MONTH(S1565)+1))</f>
        <v>0</v>
      </c>
      <c r="M1565" s="463">
        <f t="shared" si="186"/>
        <v>0</v>
      </c>
      <c r="N1565" s="465">
        <f t="shared" si="187"/>
        <v>0</v>
      </c>
      <c r="O1565" s="179"/>
      <c r="P1565" s="180"/>
      <c r="Q1565" s="173"/>
      <c r="R1565" s="173"/>
      <c r="S1565" s="174"/>
      <c r="T1565" s="173"/>
      <c r="U1565" s="182"/>
      <c r="V1565" s="177">
        <f>IF(U1565=0,0,IF(T1565="MXN",1/HLOOKUP(YEAR(S1565)+(MONTH(S1565)/100),TC!$5:$37,DAY(S1565)+2,FALSE),VLOOKUP(T1565,Equivalencia!$1:$23,((MAX(Equivalencia!$3:$3)-YEAR(S1565))*14)+MONTH(S1565)+2,FALSE)))</f>
        <v>0</v>
      </c>
      <c r="W1565" s="178">
        <f t="shared" si="188"/>
        <v>0</v>
      </c>
      <c r="X1565" s="481">
        <f t="shared" si="189"/>
        <v>0</v>
      </c>
      <c r="Y1565" s="179"/>
      <c r="Z1565" s="466">
        <f t="shared" si="190"/>
        <v>0</v>
      </c>
      <c r="AA1565" s="473">
        <f t="shared" si="191"/>
        <v>0</v>
      </c>
      <c r="AB1565" s="339">
        <f t="shared" si="192"/>
        <v>0</v>
      </c>
    </row>
    <row r="1566" spans="2:28" ht="20.100000000000001" customHeight="1">
      <c r="B1566" s="172"/>
      <c r="C1566" s="174"/>
      <c r="D1566" s="181"/>
      <c r="E1566" s="173"/>
      <c r="F1566" s="176"/>
      <c r="G1566" s="175">
        <f t="shared" si="183"/>
        <v>0</v>
      </c>
      <c r="H1566" s="175">
        <f t="shared" si="184"/>
        <v>0</v>
      </c>
      <c r="I1566" s="177">
        <f>IF(G1566=0,0,IF(E1566="MXN",1/HLOOKUP(YEAR(C1566)+(MONTH(C1566)/100),TC!$5:$37,DAY(C1566)+2,FALSE),VLOOKUP(E1566,Equivalencia!$5:$23,((MAX(Equivalencia!$3:$3)-YEAR(C1566))*14)+MONTH(C1566)+2,FALSE)))</f>
        <v>0</v>
      </c>
      <c r="J1566" s="178">
        <f t="shared" si="185"/>
        <v>0</v>
      </c>
      <c r="K1566" s="462">
        <f>IF(C1566=0,0,VLOOKUP(YEAR(C1566),INPC!$B$4:$O$29,MONTH(C1566)+1))</f>
        <v>0</v>
      </c>
      <c r="L1566" s="462">
        <f>IF(S1566=0,0,VLOOKUP(YEAR(S1566),INPC!$B$4:$O$29,MONTH(S1566)+1))</f>
        <v>0</v>
      </c>
      <c r="M1566" s="463">
        <f t="shared" si="186"/>
        <v>0</v>
      </c>
      <c r="N1566" s="465">
        <f t="shared" si="187"/>
        <v>0</v>
      </c>
      <c r="O1566" s="179"/>
      <c r="P1566" s="180"/>
      <c r="Q1566" s="173"/>
      <c r="R1566" s="173"/>
      <c r="S1566" s="174"/>
      <c r="T1566" s="173"/>
      <c r="U1566" s="182"/>
      <c r="V1566" s="177">
        <f>IF(U1566=0,0,IF(T1566="MXN",1/HLOOKUP(YEAR(S1566)+(MONTH(S1566)/100),TC!$5:$37,DAY(S1566)+2,FALSE),VLOOKUP(T1566,Equivalencia!$1:$23,((MAX(Equivalencia!$3:$3)-YEAR(S1566))*14)+MONTH(S1566)+2,FALSE)))</f>
        <v>0</v>
      </c>
      <c r="W1566" s="178">
        <f t="shared" si="188"/>
        <v>0</v>
      </c>
      <c r="X1566" s="481">
        <f t="shared" si="189"/>
        <v>0</v>
      </c>
      <c r="Y1566" s="179"/>
      <c r="Z1566" s="466">
        <f t="shared" si="190"/>
        <v>0</v>
      </c>
      <c r="AA1566" s="473">
        <f t="shared" si="191"/>
        <v>0</v>
      </c>
      <c r="AB1566" s="339">
        <f t="shared" si="192"/>
        <v>0</v>
      </c>
    </row>
    <row r="1567" spans="2:28" ht="20.100000000000001" customHeight="1">
      <c r="B1567" s="172"/>
      <c r="C1567" s="174"/>
      <c r="D1567" s="181"/>
      <c r="E1567" s="173"/>
      <c r="F1567" s="176"/>
      <c r="G1567" s="175">
        <f t="shared" si="183"/>
        <v>0</v>
      </c>
      <c r="H1567" s="175">
        <f t="shared" si="184"/>
        <v>0</v>
      </c>
      <c r="I1567" s="177">
        <f>IF(G1567=0,0,IF(E1567="MXN",1/HLOOKUP(YEAR(C1567)+(MONTH(C1567)/100),TC!$5:$37,DAY(C1567)+2,FALSE),VLOOKUP(E1567,Equivalencia!$5:$23,((MAX(Equivalencia!$3:$3)-YEAR(C1567))*14)+MONTH(C1567)+2,FALSE)))</f>
        <v>0</v>
      </c>
      <c r="J1567" s="178">
        <f t="shared" si="185"/>
        <v>0</v>
      </c>
      <c r="K1567" s="462">
        <f>IF(C1567=0,0,VLOOKUP(YEAR(C1567),INPC!$B$4:$O$29,MONTH(C1567)+1))</f>
        <v>0</v>
      </c>
      <c r="L1567" s="462">
        <f>IF(S1567=0,0,VLOOKUP(YEAR(S1567),INPC!$B$4:$O$29,MONTH(S1567)+1))</f>
        <v>0</v>
      </c>
      <c r="M1567" s="463">
        <f t="shared" si="186"/>
        <v>0</v>
      </c>
      <c r="N1567" s="465">
        <f t="shared" si="187"/>
        <v>0</v>
      </c>
      <c r="O1567" s="179"/>
      <c r="P1567" s="180"/>
      <c r="Q1567" s="173"/>
      <c r="R1567" s="173"/>
      <c r="S1567" s="174"/>
      <c r="T1567" s="173"/>
      <c r="U1567" s="182"/>
      <c r="V1567" s="177">
        <f>IF(U1567=0,0,IF(T1567="MXN",1/HLOOKUP(YEAR(S1567)+(MONTH(S1567)/100),TC!$5:$37,DAY(S1567)+2,FALSE),VLOOKUP(T1567,Equivalencia!$1:$23,((MAX(Equivalencia!$3:$3)-YEAR(S1567))*14)+MONTH(S1567)+2,FALSE)))</f>
        <v>0</v>
      </c>
      <c r="W1567" s="178">
        <f t="shared" si="188"/>
        <v>0</v>
      </c>
      <c r="X1567" s="481">
        <f t="shared" si="189"/>
        <v>0</v>
      </c>
      <c r="Y1567" s="179"/>
      <c r="Z1567" s="466">
        <f t="shared" si="190"/>
        <v>0</v>
      </c>
      <c r="AA1567" s="473">
        <f t="shared" si="191"/>
        <v>0</v>
      </c>
      <c r="AB1567" s="339">
        <f t="shared" si="192"/>
        <v>0</v>
      </c>
    </row>
    <row r="1568" spans="2:28" ht="20.100000000000001" customHeight="1">
      <c r="B1568" s="172"/>
      <c r="C1568" s="174"/>
      <c r="D1568" s="181"/>
      <c r="E1568" s="173"/>
      <c r="F1568" s="176"/>
      <c r="G1568" s="175">
        <f t="shared" si="183"/>
        <v>0</v>
      </c>
      <c r="H1568" s="175">
        <f t="shared" si="184"/>
        <v>0</v>
      </c>
      <c r="I1568" s="177">
        <f>IF(G1568=0,0,IF(E1568="MXN",1/HLOOKUP(YEAR(C1568)+(MONTH(C1568)/100),TC!$5:$37,DAY(C1568)+2,FALSE),VLOOKUP(E1568,Equivalencia!$5:$23,((MAX(Equivalencia!$3:$3)-YEAR(C1568))*14)+MONTH(C1568)+2,FALSE)))</f>
        <v>0</v>
      </c>
      <c r="J1568" s="178">
        <f t="shared" si="185"/>
        <v>0</v>
      </c>
      <c r="K1568" s="462">
        <f>IF(C1568=0,0,VLOOKUP(YEAR(C1568),INPC!$B$4:$O$29,MONTH(C1568)+1))</f>
        <v>0</v>
      </c>
      <c r="L1568" s="462">
        <f>IF(S1568=0,0,VLOOKUP(YEAR(S1568),INPC!$B$4:$O$29,MONTH(S1568)+1))</f>
        <v>0</v>
      </c>
      <c r="M1568" s="463">
        <f t="shared" si="186"/>
        <v>0</v>
      </c>
      <c r="N1568" s="465">
        <f t="shared" si="187"/>
        <v>0</v>
      </c>
      <c r="O1568" s="179"/>
      <c r="P1568" s="180"/>
      <c r="Q1568" s="173"/>
      <c r="R1568" s="173"/>
      <c r="S1568" s="174"/>
      <c r="T1568" s="173"/>
      <c r="U1568" s="182"/>
      <c r="V1568" s="177">
        <f>IF(U1568=0,0,IF(T1568="MXN",1/HLOOKUP(YEAR(S1568)+(MONTH(S1568)/100),TC!$5:$37,DAY(S1568)+2,FALSE),VLOOKUP(T1568,Equivalencia!$1:$23,((MAX(Equivalencia!$3:$3)-YEAR(S1568))*14)+MONTH(S1568)+2,FALSE)))</f>
        <v>0</v>
      </c>
      <c r="W1568" s="178">
        <f t="shared" si="188"/>
        <v>0</v>
      </c>
      <c r="X1568" s="481">
        <f t="shared" si="189"/>
        <v>0</v>
      </c>
      <c r="Y1568" s="179"/>
      <c r="Z1568" s="466">
        <f t="shared" si="190"/>
        <v>0</v>
      </c>
      <c r="AA1568" s="473">
        <f t="shared" si="191"/>
        <v>0</v>
      </c>
      <c r="AB1568" s="339">
        <f t="shared" si="192"/>
        <v>0</v>
      </c>
    </row>
    <row r="1569" spans="2:28" ht="20.100000000000001" customHeight="1">
      <c r="B1569" s="172"/>
      <c r="C1569" s="174"/>
      <c r="D1569" s="181"/>
      <c r="E1569" s="173"/>
      <c r="F1569" s="176"/>
      <c r="G1569" s="175">
        <f t="shared" si="183"/>
        <v>0</v>
      </c>
      <c r="H1569" s="175">
        <f t="shared" si="184"/>
        <v>0</v>
      </c>
      <c r="I1569" s="177">
        <f>IF(G1569=0,0,IF(E1569="MXN",1/HLOOKUP(YEAR(C1569)+(MONTH(C1569)/100),TC!$5:$37,DAY(C1569)+2,FALSE),VLOOKUP(E1569,Equivalencia!$5:$23,((MAX(Equivalencia!$3:$3)-YEAR(C1569))*14)+MONTH(C1569)+2,FALSE)))</f>
        <v>0</v>
      </c>
      <c r="J1569" s="178">
        <f t="shared" si="185"/>
        <v>0</v>
      </c>
      <c r="K1569" s="462">
        <f>IF(C1569=0,0,VLOOKUP(YEAR(C1569),INPC!$B$4:$O$29,MONTH(C1569)+1))</f>
        <v>0</v>
      </c>
      <c r="L1569" s="462">
        <f>IF(S1569=0,0,VLOOKUP(YEAR(S1569),INPC!$B$4:$O$29,MONTH(S1569)+1))</f>
        <v>0</v>
      </c>
      <c r="M1569" s="463">
        <f t="shared" si="186"/>
        <v>0</v>
      </c>
      <c r="N1569" s="465">
        <f t="shared" si="187"/>
        <v>0</v>
      </c>
      <c r="O1569" s="179"/>
      <c r="P1569" s="180"/>
      <c r="Q1569" s="173"/>
      <c r="R1569" s="173"/>
      <c r="S1569" s="174"/>
      <c r="T1569" s="173"/>
      <c r="U1569" s="182"/>
      <c r="V1569" s="177">
        <f>IF(U1569=0,0,IF(T1569="MXN",1/HLOOKUP(YEAR(S1569)+(MONTH(S1569)/100),TC!$5:$37,DAY(S1569)+2,FALSE),VLOOKUP(T1569,Equivalencia!$1:$23,((MAX(Equivalencia!$3:$3)-YEAR(S1569))*14)+MONTH(S1569)+2,FALSE)))</f>
        <v>0</v>
      </c>
      <c r="W1569" s="178">
        <f t="shared" si="188"/>
        <v>0</v>
      </c>
      <c r="X1569" s="481">
        <f t="shared" si="189"/>
        <v>0</v>
      </c>
      <c r="Y1569" s="179"/>
      <c r="Z1569" s="466">
        <f t="shared" si="190"/>
        <v>0</v>
      </c>
      <c r="AA1569" s="473">
        <f t="shared" si="191"/>
        <v>0</v>
      </c>
      <c r="AB1569" s="339">
        <f t="shared" si="192"/>
        <v>0</v>
      </c>
    </row>
    <row r="1570" spans="2:28" ht="20.100000000000001" customHeight="1">
      <c r="B1570" s="172"/>
      <c r="C1570" s="174"/>
      <c r="D1570" s="181"/>
      <c r="E1570" s="173"/>
      <c r="F1570" s="176"/>
      <c r="G1570" s="175">
        <f t="shared" si="183"/>
        <v>0</v>
      </c>
      <c r="H1570" s="175">
        <f t="shared" si="184"/>
        <v>0</v>
      </c>
      <c r="I1570" s="177">
        <f>IF(G1570=0,0,IF(E1570="MXN",1/HLOOKUP(YEAR(C1570)+(MONTH(C1570)/100),TC!$5:$37,DAY(C1570)+2,FALSE),VLOOKUP(E1570,Equivalencia!$5:$23,((MAX(Equivalencia!$3:$3)-YEAR(C1570))*14)+MONTH(C1570)+2,FALSE)))</f>
        <v>0</v>
      </c>
      <c r="J1570" s="178">
        <f t="shared" si="185"/>
        <v>0</v>
      </c>
      <c r="K1570" s="462">
        <f>IF(C1570=0,0,VLOOKUP(YEAR(C1570),INPC!$B$4:$O$29,MONTH(C1570)+1))</f>
        <v>0</v>
      </c>
      <c r="L1570" s="462">
        <f>IF(S1570=0,0,VLOOKUP(YEAR(S1570),INPC!$B$4:$O$29,MONTH(S1570)+1))</f>
        <v>0</v>
      </c>
      <c r="M1570" s="463">
        <f t="shared" si="186"/>
        <v>0</v>
      </c>
      <c r="N1570" s="465">
        <f t="shared" si="187"/>
        <v>0</v>
      </c>
      <c r="O1570" s="179"/>
      <c r="P1570" s="180"/>
      <c r="Q1570" s="173"/>
      <c r="R1570" s="173"/>
      <c r="S1570" s="174"/>
      <c r="T1570" s="173"/>
      <c r="U1570" s="182"/>
      <c r="V1570" s="177">
        <f>IF(U1570=0,0,IF(T1570="MXN",1/HLOOKUP(YEAR(S1570)+(MONTH(S1570)/100),TC!$5:$37,DAY(S1570)+2,FALSE),VLOOKUP(T1570,Equivalencia!$1:$23,((MAX(Equivalencia!$3:$3)-YEAR(S1570))*14)+MONTH(S1570)+2,FALSE)))</f>
        <v>0</v>
      </c>
      <c r="W1570" s="178">
        <f t="shared" si="188"/>
        <v>0</v>
      </c>
      <c r="X1570" s="481">
        <f t="shared" si="189"/>
        <v>0</v>
      </c>
      <c r="Y1570" s="179"/>
      <c r="Z1570" s="466">
        <f t="shared" si="190"/>
        <v>0</v>
      </c>
      <c r="AA1570" s="473">
        <f t="shared" si="191"/>
        <v>0</v>
      </c>
      <c r="AB1570" s="339">
        <f t="shared" si="192"/>
        <v>0</v>
      </c>
    </row>
    <row r="1571" spans="2:28" ht="20.100000000000001" customHeight="1">
      <c r="B1571" s="172"/>
      <c r="C1571" s="174"/>
      <c r="D1571" s="181"/>
      <c r="E1571" s="173"/>
      <c r="F1571" s="176"/>
      <c r="G1571" s="175">
        <f t="shared" si="183"/>
        <v>0</v>
      </c>
      <c r="H1571" s="175">
        <f t="shared" si="184"/>
        <v>0</v>
      </c>
      <c r="I1571" s="177">
        <f>IF(G1571=0,0,IF(E1571="MXN",1/HLOOKUP(YEAR(C1571)+(MONTH(C1571)/100),TC!$5:$37,DAY(C1571)+2,FALSE),VLOOKUP(E1571,Equivalencia!$5:$23,((MAX(Equivalencia!$3:$3)-YEAR(C1571))*14)+MONTH(C1571)+2,FALSE)))</f>
        <v>0</v>
      </c>
      <c r="J1571" s="178">
        <f t="shared" si="185"/>
        <v>0</v>
      </c>
      <c r="K1571" s="462">
        <f>IF(C1571=0,0,VLOOKUP(YEAR(C1571),INPC!$B$4:$O$29,MONTH(C1571)+1))</f>
        <v>0</v>
      </c>
      <c r="L1571" s="462">
        <f>IF(S1571=0,0,VLOOKUP(YEAR(S1571),INPC!$B$4:$O$29,MONTH(S1571)+1))</f>
        <v>0</v>
      </c>
      <c r="M1571" s="463">
        <f t="shared" si="186"/>
        <v>0</v>
      </c>
      <c r="N1571" s="465">
        <f t="shared" si="187"/>
        <v>0</v>
      </c>
      <c r="O1571" s="179"/>
      <c r="P1571" s="180"/>
      <c r="Q1571" s="173"/>
      <c r="R1571" s="173"/>
      <c r="S1571" s="174"/>
      <c r="T1571" s="173"/>
      <c r="U1571" s="182"/>
      <c r="V1571" s="177">
        <f>IF(U1571=0,0,IF(T1571="MXN",1/HLOOKUP(YEAR(S1571)+(MONTH(S1571)/100),TC!$5:$37,DAY(S1571)+2,FALSE),VLOOKUP(T1571,Equivalencia!$1:$23,((MAX(Equivalencia!$3:$3)-YEAR(S1571))*14)+MONTH(S1571)+2,FALSE)))</f>
        <v>0</v>
      </c>
      <c r="W1571" s="178">
        <f t="shared" si="188"/>
        <v>0</v>
      </c>
      <c r="X1571" s="481">
        <f t="shared" si="189"/>
        <v>0</v>
      </c>
      <c r="Y1571" s="179"/>
      <c r="Z1571" s="466">
        <f t="shared" si="190"/>
        <v>0</v>
      </c>
      <c r="AA1571" s="473">
        <f t="shared" si="191"/>
        <v>0</v>
      </c>
      <c r="AB1571" s="339">
        <f t="shared" si="192"/>
        <v>0</v>
      </c>
    </row>
    <row r="1572" spans="2:28" ht="20.100000000000001" customHeight="1">
      <c r="B1572" s="172"/>
      <c r="C1572" s="174"/>
      <c r="D1572" s="181"/>
      <c r="E1572" s="173"/>
      <c r="F1572" s="176"/>
      <c r="G1572" s="175">
        <f t="shared" si="183"/>
        <v>0</v>
      </c>
      <c r="H1572" s="175">
        <f t="shared" si="184"/>
        <v>0</v>
      </c>
      <c r="I1572" s="177">
        <f>IF(G1572=0,0,IF(E1572="MXN",1/HLOOKUP(YEAR(C1572)+(MONTH(C1572)/100),TC!$5:$37,DAY(C1572)+2,FALSE),VLOOKUP(E1572,Equivalencia!$5:$23,((MAX(Equivalencia!$3:$3)-YEAR(C1572))*14)+MONTH(C1572)+2,FALSE)))</f>
        <v>0</v>
      </c>
      <c r="J1572" s="178">
        <f t="shared" si="185"/>
        <v>0</v>
      </c>
      <c r="K1572" s="462">
        <f>IF(C1572=0,0,VLOOKUP(YEAR(C1572),INPC!$B$4:$O$29,MONTH(C1572)+1))</f>
        <v>0</v>
      </c>
      <c r="L1572" s="462">
        <f>IF(S1572=0,0,VLOOKUP(YEAR(S1572),INPC!$B$4:$O$29,MONTH(S1572)+1))</f>
        <v>0</v>
      </c>
      <c r="M1572" s="463">
        <f t="shared" si="186"/>
        <v>0</v>
      </c>
      <c r="N1572" s="465">
        <f t="shared" si="187"/>
        <v>0</v>
      </c>
      <c r="O1572" s="179"/>
      <c r="P1572" s="180"/>
      <c r="Q1572" s="173"/>
      <c r="R1572" s="173"/>
      <c r="S1572" s="174"/>
      <c r="T1572" s="173"/>
      <c r="U1572" s="182"/>
      <c r="V1572" s="177">
        <f>IF(U1572=0,0,IF(T1572="MXN",1/HLOOKUP(YEAR(S1572)+(MONTH(S1572)/100),TC!$5:$37,DAY(S1572)+2,FALSE),VLOOKUP(T1572,Equivalencia!$1:$23,((MAX(Equivalencia!$3:$3)-YEAR(S1572))*14)+MONTH(S1572)+2,FALSE)))</f>
        <v>0</v>
      </c>
      <c r="W1572" s="178">
        <f t="shared" si="188"/>
        <v>0</v>
      </c>
      <c r="X1572" s="481">
        <f t="shared" si="189"/>
        <v>0</v>
      </c>
      <c r="Y1572" s="179"/>
      <c r="Z1572" s="466">
        <f t="shared" si="190"/>
        <v>0</v>
      </c>
      <c r="AA1572" s="473">
        <f t="shared" si="191"/>
        <v>0</v>
      </c>
      <c r="AB1572" s="339">
        <f t="shared" si="192"/>
        <v>0</v>
      </c>
    </row>
    <row r="1573" spans="2:28" ht="20.100000000000001" customHeight="1">
      <c r="B1573" s="172"/>
      <c r="C1573" s="174"/>
      <c r="D1573" s="181"/>
      <c r="E1573" s="173"/>
      <c r="F1573" s="176"/>
      <c r="G1573" s="175">
        <f t="shared" si="183"/>
        <v>0</v>
      </c>
      <c r="H1573" s="175">
        <f t="shared" si="184"/>
        <v>0</v>
      </c>
      <c r="I1573" s="177">
        <f>IF(G1573=0,0,IF(E1573="MXN",1/HLOOKUP(YEAR(C1573)+(MONTH(C1573)/100),TC!$5:$37,DAY(C1573)+2,FALSE),VLOOKUP(E1573,Equivalencia!$5:$23,((MAX(Equivalencia!$3:$3)-YEAR(C1573))*14)+MONTH(C1573)+2,FALSE)))</f>
        <v>0</v>
      </c>
      <c r="J1573" s="178">
        <f t="shared" si="185"/>
        <v>0</v>
      </c>
      <c r="K1573" s="462">
        <f>IF(C1573=0,0,VLOOKUP(YEAR(C1573),INPC!$B$4:$O$29,MONTH(C1573)+1))</f>
        <v>0</v>
      </c>
      <c r="L1573" s="462">
        <f>IF(S1573=0,0,VLOOKUP(YEAR(S1573),INPC!$B$4:$O$29,MONTH(S1573)+1))</f>
        <v>0</v>
      </c>
      <c r="M1573" s="463">
        <f t="shared" si="186"/>
        <v>0</v>
      </c>
      <c r="N1573" s="465">
        <f t="shared" si="187"/>
        <v>0</v>
      </c>
      <c r="O1573" s="179"/>
      <c r="P1573" s="180"/>
      <c r="Q1573" s="173"/>
      <c r="R1573" s="173"/>
      <c r="S1573" s="174"/>
      <c r="T1573" s="173"/>
      <c r="U1573" s="182"/>
      <c r="V1573" s="177">
        <f>IF(U1573=0,0,IF(T1573="MXN",1/HLOOKUP(YEAR(S1573)+(MONTH(S1573)/100),TC!$5:$37,DAY(S1573)+2,FALSE),VLOOKUP(T1573,Equivalencia!$1:$23,((MAX(Equivalencia!$3:$3)-YEAR(S1573))*14)+MONTH(S1573)+2,FALSE)))</f>
        <v>0</v>
      </c>
      <c r="W1573" s="178">
        <f t="shared" si="188"/>
        <v>0</v>
      </c>
      <c r="X1573" s="481">
        <f t="shared" si="189"/>
        <v>0</v>
      </c>
      <c r="Y1573" s="179"/>
      <c r="Z1573" s="466">
        <f t="shared" si="190"/>
        <v>0</v>
      </c>
      <c r="AA1573" s="473">
        <f t="shared" si="191"/>
        <v>0</v>
      </c>
      <c r="AB1573" s="339">
        <f t="shared" si="192"/>
        <v>0</v>
      </c>
    </row>
    <row r="1574" spans="2:28" ht="20.100000000000001" customHeight="1">
      <c r="B1574" s="172"/>
      <c r="C1574" s="174"/>
      <c r="D1574" s="181"/>
      <c r="E1574" s="173"/>
      <c r="F1574" s="176"/>
      <c r="G1574" s="175">
        <f t="shared" si="183"/>
        <v>0</v>
      </c>
      <c r="H1574" s="175">
        <f t="shared" si="184"/>
        <v>0</v>
      </c>
      <c r="I1574" s="177">
        <f>IF(G1574=0,0,IF(E1574="MXN",1/HLOOKUP(YEAR(C1574)+(MONTH(C1574)/100),TC!$5:$37,DAY(C1574)+2,FALSE),VLOOKUP(E1574,Equivalencia!$5:$23,((MAX(Equivalencia!$3:$3)-YEAR(C1574))*14)+MONTH(C1574)+2,FALSE)))</f>
        <v>0</v>
      </c>
      <c r="J1574" s="178">
        <f t="shared" si="185"/>
        <v>0</v>
      </c>
      <c r="K1574" s="462">
        <f>IF(C1574=0,0,VLOOKUP(YEAR(C1574),INPC!$B$4:$O$29,MONTH(C1574)+1))</f>
        <v>0</v>
      </c>
      <c r="L1574" s="462">
        <f>IF(S1574=0,0,VLOOKUP(YEAR(S1574),INPC!$B$4:$O$29,MONTH(S1574)+1))</f>
        <v>0</v>
      </c>
      <c r="M1574" s="463">
        <f t="shared" si="186"/>
        <v>0</v>
      </c>
      <c r="N1574" s="465">
        <f t="shared" si="187"/>
        <v>0</v>
      </c>
      <c r="O1574" s="179"/>
      <c r="P1574" s="180"/>
      <c r="Q1574" s="173"/>
      <c r="R1574" s="173"/>
      <c r="S1574" s="174"/>
      <c r="T1574" s="173"/>
      <c r="U1574" s="182"/>
      <c r="V1574" s="177">
        <f>IF(U1574=0,0,IF(T1574="MXN",1/HLOOKUP(YEAR(S1574)+(MONTH(S1574)/100),TC!$5:$37,DAY(S1574)+2,FALSE),VLOOKUP(T1574,Equivalencia!$1:$23,((MAX(Equivalencia!$3:$3)-YEAR(S1574))*14)+MONTH(S1574)+2,FALSE)))</f>
        <v>0</v>
      </c>
      <c r="W1574" s="178">
        <f t="shared" si="188"/>
        <v>0</v>
      </c>
      <c r="X1574" s="481">
        <f t="shared" si="189"/>
        <v>0</v>
      </c>
      <c r="Y1574" s="179"/>
      <c r="Z1574" s="466">
        <f t="shared" si="190"/>
        <v>0</v>
      </c>
      <c r="AA1574" s="473">
        <f t="shared" si="191"/>
        <v>0</v>
      </c>
      <c r="AB1574" s="339">
        <f t="shared" si="192"/>
        <v>0</v>
      </c>
    </row>
    <row r="1575" spans="2:28" ht="20.100000000000001" customHeight="1">
      <c r="B1575" s="172"/>
      <c r="C1575" s="174"/>
      <c r="D1575" s="181"/>
      <c r="E1575" s="173"/>
      <c r="F1575" s="176"/>
      <c r="G1575" s="175">
        <f t="shared" si="183"/>
        <v>0</v>
      </c>
      <c r="H1575" s="175">
        <f t="shared" si="184"/>
        <v>0</v>
      </c>
      <c r="I1575" s="177">
        <f>IF(G1575=0,0,IF(E1575="MXN",1/HLOOKUP(YEAR(C1575)+(MONTH(C1575)/100),TC!$5:$37,DAY(C1575)+2,FALSE),VLOOKUP(E1575,Equivalencia!$5:$23,((MAX(Equivalencia!$3:$3)-YEAR(C1575))*14)+MONTH(C1575)+2,FALSE)))</f>
        <v>0</v>
      </c>
      <c r="J1575" s="178">
        <f t="shared" si="185"/>
        <v>0</v>
      </c>
      <c r="K1575" s="462">
        <f>IF(C1575=0,0,VLOOKUP(YEAR(C1575),INPC!$B$4:$O$29,MONTH(C1575)+1))</f>
        <v>0</v>
      </c>
      <c r="L1575" s="462">
        <f>IF(S1575=0,0,VLOOKUP(YEAR(S1575),INPC!$B$4:$O$29,MONTH(S1575)+1))</f>
        <v>0</v>
      </c>
      <c r="M1575" s="463">
        <f t="shared" si="186"/>
        <v>0</v>
      </c>
      <c r="N1575" s="465">
        <f t="shared" si="187"/>
        <v>0</v>
      </c>
      <c r="O1575" s="179"/>
      <c r="P1575" s="180"/>
      <c r="Q1575" s="173"/>
      <c r="R1575" s="173"/>
      <c r="S1575" s="174"/>
      <c r="T1575" s="173"/>
      <c r="U1575" s="182"/>
      <c r="V1575" s="177">
        <f>IF(U1575=0,0,IF(T1575="MXN",1/HLOOKUP(YEAR(S1575)+(MONTH(S1575)/100),TC!$5:$37,DAY(S1575)+2,FALSE),VLOOKUP(T1575,Equivalencia!$1:$23,((MAX(Equivalencia!$3:$3)-YEAR(S1575))*14)+MONTH(S1575)+2,FALSE)))</f>
        <v>0</v>
      </c>
      <c r="W1575" s="178">
        <f t="shared" si="188"/>
        <v>0</v>
      </c>
      <c r="X1575" s="481">
        <f t="shared" si="189"/>
        <v>0</v>
      </c>
      <c r="Y1575" s="179"/>
      <c r="Z1575" s="466">
        <f t="shared" si="190"/>
        <v>0</v>
      </c>
      <c r="AA1575" s="473">
        <f t="shared" si="191"/>
        <v>0</v>
      </c>
      <c r="AB1575" s="339">
        <f t="shared" si="192"/>
        <v>0</v>
      </c>
    </row>
    <row r="1576" spans="2:28" ht="20.100000000000001" customHeight="1">
      <c r="B1576" s="172"/>
      <c r="C1576" s="174"/>
      <c r="D1576" s="181"/>
      <c r="E1576" s="173"/>
      <c r="F1576" s="176"/>
      <c r="G1576" s="175">
        <f t="shared" si="183"/>
        <v>0</v>
      </c>
      <c r="H1576" s="175">
        <f t="shared" si="184"/>
        <v>0</v>
      </c>
      <c r="I1576" s="177">
        <f>IF(G1576=0,0,IF(E1576="MXN",1/HLOOKUP(YEAR(C1576)+(MONTH(C1576)/100),TC!$5:$37,DAY(C1576)+2,FALSE),VLOOKUP(E1576,Equivalencia!$5:$23,((MAX(Equivalencia!$3:$3)-YEAR(C1576))*14)+MONTH(C1576)+2,FALSE)))</f>
        <v>0</v>
      </c>
      <c r="J1576" s="178">
        <f t="shared" si="185"/>
        <v>0</v>
      </c>
      <c r="K1576" s="462">
        <f>IF(C1576=0,0,VLOOKUP(YEAR(C1576),INPC!$B$4:$O$29,MONTH(C1576)+1))</f>
        <v>0</v>
      </c>
      <c r="L1576" s="462">
        <f>IF(S1576=0,0,VLOOKUP(YEAR(S1576),INPC!$B$4:$O$29,MONTH(S1576)+1))</f>
        <v>0</v>
      </c>
      <c r="M1576" s="463">
        <f t="shared" si="186"/>
        <v>0</v>
      </c>
      <c r="N1576" s="465">
        <f t="shared" si="187"/>
        <v>0</v>
      </c>
      <c r="O1576" s="179"/>
      <c r="P1576" s="180"/>
      <c r="Q1576" s="173"/>
      <c r="R1576" s="173"/>
      <c r="S1576" s="174"/>
      <c r="T1576" s="173"/>
      <c r="U1576" s="182"/>
      <c r="V1576" s="177">
        <f>IF(U1576=0,0,IF(T1576="MXN",1/HLOOKUP(YEAR(S1576)+(MONTH(S1576)/100),TC!$5:$37,DAY(S1576)+2,FALSE),VLOOKUP(T1576,Equivalencia!$1:$23,((MAX(Equivalencia!$3:$3)-YEAR(S1576))*14)+MONTH(S1576)+2,FALSE)))</f>
        <v>0</v>
      </c>
      <c r="W1576" s="178">
        <f t="shared" si="188"/>
        <v>0</v>
      </c>
      <c r="X1576" s="481">
        <f t="shared" si="189"/>
        <v>0</v>
      </c>
      <c r="Y1576" s="179"/>
      <c r="Z1576" s="466">
        <f t="shared" si="190"/>
        <v>0</v>
      </c>
      <c r="AA1576" s="473">
        <f t="shared" si="191"/>
        <v>0</v>
      </c>
      <c r="AB1576" s="339">
        <f t="shared" si="192"/>
        <v>0</v>
      </c>
    </row>
    <row r="1577" spans="2:28" ht="20.100000000000001" customHeight="1">
      <c r="B1577" s="172"/>
      <c r="C1577" s="174"/>
      <c r="D1577" s="181"/>
      <c r="E1577" s="173"/>
      <c r="F1577" s="176"/>
      <c r="G1577" s="175">
        <f t="shared" si="183"/>
        <v>0</v>
      </c>
      <c r="H1577" s="175">
        <f t="shared" si="184"/>
        <v>0</v>
      </c>
      <c r="I1577" s="177">
        <f>IF(G1577=0,0,IF(E1577="MXN",1/HLOOKUP(YEAR(C1577)+(MONTH(C1577)/100),TC!$5:$37,DAY(C1577)+2,FALSE),VLOOKUP(E1577,Equivalencia!$5:$23,((MAX(Equivalencia!$3:$3)-YEAR(C1577))*14)+MONTH(C1577)+2,FALSE)))</f>
        <v>0</v>
      </c>
      <c r="J1577" s="178">
        <f t="shared" si="185"/>
        <v>0</v>
      </c>
      <c r="K1577" s="462">
        <f>IF(C1577=0,0,VLOOKUP(YEAR(C1577),INPC!$B$4:$O$29,MONTH(C1577)+1))</f>
        <v>0</v>
      </c>
      <c r="L1577" s="462">
        <f>IF(S1577=0,0,VLOOKUP(YEAR(S1577),INPC!$B$4:$O$29,MONTH(S1577)+1))</f>
        <v>0</v>
      </c>
      <c r="M1577" s="463">
        <f t="shared" si="186"/>
        <v>0</v>
      </c>
      <c r="N1577" s="465">
        <f t="shared" si="187"/>
        <v>0</v>
      </c>
      <c r="O1577" s="179"/>
      <c r="P1577" s="180"/>
      <c r="Q1577" s="173"/>
      <c r="R1577" s="173"/>
      <c r="S1577" s="174"/>
      <c r="T1577" s="173"/>
      <c r="U1577" s="182"/>
      <c r="V1577" s="177">
        <f>IF(U1577=0,0,IF(T1577="MXN",1/HLOOKUP(YEAR(S1577)+(MONTH(S1577)/100),TC!$5:$37,DAY(S1577)+2,FALSE),VLOOKUP(T1577,Equivalencia!$1:$23,((MAX(Equivalencia!$3:$3)-YEAR(S1577))*14)+MONTH(S1577)+2,FALSE)))</f>
        <v>0</v>
      </c>
      <c r="W1577" s="178">
        <f t="shared" si="188"/>
        <v>0</v>
      </c>
      <c r="X1577" s="481">
        <f t="shared" si="189"/>
        <v>0</v>
      </c>
      <c r="Y1577" s="179"/>
      <c r="Z1577" s="466">
        <f t="shared" si="190"/>
        <v>0</v>
      </c>
      <c r="AA1577" s="473">
        <f t="shared" si="191"/>
        <v>0</v>
      </c>
      <c r="AB1577" s="339">
        <f t="shared" si="192"/>
        <v>0</v>
      </c>
    </row>
    <row r="1578" spans="2:28" ht="20.100000000000001" customHeight="1">
      <c r="B1578" s="172"/>
      <c r="C1578" s="174"/>
      <c r="D1578" s="181"/>
      <c r="E1578" s="173"/>
      <c r="F1578" s="176"/>
      <c r="G1578" s="175">
        <f t="shared" si="183"/>
        <v>0</v>
      </c>
      <c r="H1578" s="175">
        <f t="shared" si="184"/>
        <v>0</v>
      </c>
      <c r="I1578" s="177">
        <f>IF(G1578=0,0,IF(E1578="MXN",1/HLOOKUP(YEAR(C1578)+(MONTH(C1578)/100),TC!$5:$37,DAY(C1578)+2,FALSE),VLOOKUP(E1578,Equivalencia!$5:$23,((MAX(Equivalencia!$3:$3)-YEAR(C1578))*14)+MONTH(C1578)+2,FALSE)))</f>
        <v>0</v>
      </c>
      <c r="J1578" s="178">
        <f t="shared" si="185"/>
        <v>0</v>
      </c>
      <c r="K1578" s="462">
        <f>IF(C1578=0,0,VLOOKUP(YEAR(C1578),INPC!$B$4:$O$29,MONTH(C1578)+1))</f>
        <v>0</v>
      </c>
      <c r="L1578" s="462">
        <f>IF(S1578=0,0,VLOOKUP(YEAR(S1578),INPC!$B$4:$O$29,MONTH(S1578)+1))</f>
        <v>0</v>
      </c>
      <c r="M1578" s="463">
        <f t="shared" si="186"/>
        <v>0</v>
      </c>
      <c r="N1578" s="465">
        <f t="shared" si="187"/>
        <v>0</v>
      </c>
      <c r="O1578" s="179"/>
      <c r="P1578" s="180"/>
      <c r="Q1578" s="173"/>
      <c r="R1578" s="173"/>
      <c r="S1578" s="174"/>
      <c r="T1578" s="173"/>
      <c r="U1578" s="182"/>
      <c r="V1578" s="177">
        <f>IF(U1578=0,0,IF(T1578="MXN",1/HLOOKUP(YEAR(S1578)+(MONTH(S1578)/100),TC!$5:$37,DAY(S1578)+2,FALSE),VLOOKUP(T1578,Equivalencia!$1:$23,((MAX(Equivalencia!$3:$3)-YEAR(S1578))*14)+MONTH(S1578)+2,FALSE)))</f>
        <v>0</v>
      </c>
      <c r="W1578" s="178">
        <f t="shared" si="188"/>
        <v>0</v>
      </c>
      <c r="X1578" s="481">
        <f t="shared" si="189"/>
        <v>0</v>
      </c>
      <c r="Y1578" s="179"/>
      <c r="Z1578" s="466">
        <f t="shared" si="190"/>
        <v>0</v>
      </c>
      <c r="AA1578" s="473">
        <f t="shared" si="191"/>
        <v>0</v>
      </c>
      <c r="AB1578" s="339">
        <f t="shared" si="192"/>
        <v>0</v>
      </c>
    </row>
    <row r="1579" spans="2:28" ht="20.100000000000001" customHeight="1">
      <c r="B1579" s="172"/>
      <c r="C1579" s="174"/>
      <c r="D1579" s="181"/>
      <c r="E1579" s="173"/>
      <c r="F1579" s="176"/>
      <c r="G1579" s="175">
        <f t="shared" si="183"/>
        <v>0</v>
      </c>
      <c r="H1579" s="175">
        <f t="shared" si="184"/>
        <v>0</v>
      </c>
      <c r="I1579" s="177">
        <f>IF(G1579=0,0,IF(E1579="MXN",1/HLOOKUP(YEAR(C1579)+(MONTH(C1579)/100),TC!$5:$37,DAY(C1579)+2,FALSE),VLOOKUP(E1579,Equivalencia!$5:$23,((MAX(Equivalencia!$3:$3)-YEAR(C1579))*14)+MONTH(C1579)+2,FALSE)))</f>
        <v>0</v>
      </c>
      <c r="J1579" s="178">
        <f t="shared" si="185"/>
        <v>0</v>
      </c>
      <c r="K1579" s="462">
        <f>IF(C1579=0,0,VLOOKUP(YEAR(C1579),INPC!$B$4:$O$29,MONTH(C1579)+1))</f>
        <v>0</v>
      </c>
      <c r="L1579" s="462">
        <f>IF(S1579=0,0,VLOOKUP(YEAR(S1579),INPC!$B$4:$O$29,MONTH(S1579)+1))</f>
        <v>0</v>
      </c>
      <c r="M1579" s="463">
        <f t="shared" si="186"/>
        <v>0</v>
      </c>
      <c r="N1579" s="465">
        <f t="shared" si="187"/>
        <v>0</v>
      </c>
      <c r="O1579" s="179"/>
      <c r="P1579" s="180"/>
      <c r="Q1579" s="173"/>
      <c r="R1579" s="173"/>
      <c r="S1579" s="174"/>
      <c r="T1579" s="173"/>
      <c r="U1579" s="182"/>
      <c r="V1579" s="177">
        <f>IF(U1579=0,0,IF(T1579="MXN",1/HLOOKUP(YEAR(S1579)+(MONTH(S1579)/100),TC!$5:$37,DAY(S1579)+2,FALSE),VLOOKUP(T1579,Equivalencia!$1:$23,((MAX(Equivalencia!$3:$3)-YEAR(S1579))*14)+MONTH(S1579)+2,FALSE)))</f>
        <v>0</v>
      </c>
      <c r="W1579" s="178">
        <f t="shared" si="188"/>
        <v>0</v>
      </c>
      <c r="X1579" s="481">
        <f t="shared" si="189"/>
        <v>0</v>
      </c>
      <c r="Y1579" s="179"/>
      <c r="Z1579" s="466">
        <f t="shared" si="190"/>
        <v>0</v>
      </c>
      <c r="AA1579" s="473">
        <f t="shared" si="191"/>
        <v>0</v>
      </c>
      <c r="AB1579" s="339">
        <f t="shared" si="192"/>
        <v>0</v>
      </c>
    </row>
    <row r="1580" spans="2:28" ht="20.100000000000001" customHeight="1">
      <c r="B1580" s="172"/>
      <c r="C1580" s="174"/>
      <c r="D1580" s="181"/>
      <c r="E1580" s="173"/>
      <c r="F1580" s="176"/>
      <c r="G1580" s="175">
        <f t="shared" si="183"/>
        <v>0</v>
      </c>
      <c r="H1580" s="175">
        <f t="shared" si="184"/>
        <v>0</v>
      </c>
      <c r="I1580" s="177">
        <f>IF(G1580=0,0,IF(E1580="MXN",1/HLOOKUP(YEAR(C1580)+(MONTH(C1580)/100),TC!$5:$37,DAY(C1580)+2,FALSE),VLOOKUP(E1580,Equivalencia!$5:$23,((MAX(Equivalencia!$3:$3)-YEAR(C1580))*14)+MONTH(C1580)+2,FALSE)))</f>
        <v>0</v>
      </c>
      <c r="J1580" s="178">
        <f t="shared" si="185"/>
        <v>0</v>
      </c>
      <c r="K1580" s="462">
        <f>IF(C1580=0,0,VLOOKUP(YEAR(C1580),INPC!$B$4:$O$29,MONTH(C1580)+1))</f>
        <v>0</v>
      </c>
      <c r="L1580" s="462">
        <f>IF(S1580=0,0,VLOOKUP(YEAR(S1580),INPC!$B$4:$O$29,MONTH(S1580)+1))</f>
        <v>0</v>
      </c>
      <c r="M1580" s="463">
        <f t="shared" si="186"/>
        <v>0</v>
      </c>
      <c r="N1580" s="465">
        <f t="shared" si="187"/>
        <v>0</v>
      </c>
      <c r="O1580" s="179"/>
      <c r="P1580" s="180"/>
      <c r="Q1580" s="173"/>
      <c r="R1580" s="173"/>
      <c r="S1580" s="174"/>
      <c r="T1580" s="173"/>
      <c r="U1580" s="182"/>
      <c r="V1580" s="177">
        <f>IF(U1580=0,0,IF(T1580="MXN",1/HLOOKUP(YEAR(S1580)+(MONTH(S1580)/100),TC!$5:$37,DAY(S1580)+2,FALSE),VLOOKUP(T1580,Equivalencia!$1:$23,((MAX(Equivalencia!$3:$3)-YEAR(S1580))*14)+MONTH(S1580)+2,FALSE)))</f>
        <v>0</v>
      </c>
      <c r="W1580" s="178">
        <f t="shared" si="188"/>
        <v>0</v>
      </c>
      <c r="X1580" s="481">
        <f t="shared" si="189"/>
        <v>0</v>
      </c>
      <c r="Y1580" s="179"/>
      <c r="Z1580" s="466">
        <f t="shared" si="190"/>
        <v>0</v>
      </c>
      <c r="AA1580" s="473">
        <f t="shared" si="191"/>
        <v>0</v>
      </c>
      <c r="AB1580" s="339">
        <f t="shared" si="192"/>
        <v>0</v>
      </c>
    </row>
    <row r="1581" spans="2:28" ht="20.100000000000001" customHeight="1">
      <c r="B1581" s="172"/>
      <c r="C1581" s="174"/>
      <c r="D1581" s="181"/>
      <c r="E1581" s="173"/>
      <c r="F1581" s="176"/>
      <c r="G1581" s="175">
        <f t="shared" si="183"/>
        <v>0</v>
      </c>
      <c r="H1581" s="175">
        <f t="shared" si="184"/>
        <v>0</v>
      </c>
      <c r="I1581" s="177">
        <f>IF(G1581=0,0,IF(E1581="MXN",1/HLOOKUP(YEAR(C1581)+(MONTH(C1581)/100),TC!$5:$37,DAY(C1581)+2,FALSE),VLOOKUP(E1581,Equivalencia!$5:$23,((MAX(Equivalencia!$3:$3)-YEAR(C1581))*14)+MONTH(C1581)+2,FALSE)))</f>
        <v>0</v>
      </c>
      <c r="J1581" s="178">
        <f t="shared" si="185"/>
        <v>0</v>
      </c>
      <c r="K1581" s="462">
        <f>IF(C1581=0,0,VLOOKUP(YEAR(C1581),INPC!$B$4:$O$29,MONTH(C1581)+1))</f>
        <v>0</v>
      </c>
      <c r="L1581" s="462">
        <f>IF(S1581=0,0,VLOOKUP(YEAR(S1581),INPC!$B$4:$O$29,MONTH(S1581)+1))</f>
        <v>0</v>
      </c>
      <c r="M1581" s="463">
        <f t="shared" si="186"/>
        <v>0</v>
      </c>
      <c r="N1581" s="465">
        <f t="shared" si="187"/>
        <v>0</v>
      </c>
      <c r="O1581" s="179"/>
      <c r="P1581" s="180"/>
      <c r="Q1581" s="173"/>
      <c r="R1581" s="173"/>
      <c r="S1581" s="174"/>
      <c r="T1581" s="173"/>
      <c r="U1581" s="182"/>
      <c r="V1581" s="177">
        <f>IF(U1581=0,0,IF(T1581="MXN",1/HLOOKUP(YEAR(S1581)+(MONTH(S1581)/100),TC!$5:$37,DAY(S1581)+2,FALSE),VLOOKUP(T1581,Equivalencia!$1:$23,((MAX(Equivalencia!$3:$3)-YEAR(S1581))*14)+MONTH(S1581)+2,FALSE)))</f>
        <v>0</v>
      </c>
      <c r="W1581" s="178">
        <f t="shared" si="188"/>
        <v>0</v>
      </c>
      <c r="X1581" s="481">
        <f t="shared" si="189"/>
        <v>0</v>
      </c>
      <c r="Y1581" s="179"/>
      <c r="Z1581" s="466">
        <f t="shared" si="190"/>
        <v>0</v>
      </c>
      <c r="AA1581" s="473">
        <f t="shared" si="191"/>
        <v>0</v>
      </c>
      <c r="AB1581" s="339">
        <f t="shared" si="192"/>
        <v>0</v>
      </c>
    </row>
    <row r="1582" spans="2:28" ht="20.100000000000001" customHeight="1">
      <c r="B1582" s="172"/>
      <c r="C1582" s="174"/>
      <c r="D1582" s="181"/>
      <c r="E1582" s="173"/>
      <c r="F1582" s="176"/>
      <c r="G1582" s="175">
        <f t="shared" si="183"/>
        <v>0</v>
      </c>
      <c r="H1582" s="175">
        <f t="shared" si="184"/>
        <v>0</v>
      </c>
      <c r="I1582" s="177">
        <f>IF(G1582=0,0,IF(E1582="MXN",1/HLOOKUP(YEAR(C1582)+(MONTH(C1582)/100),TC!$5:$37,DAY(C1582)+2,FALSE),VLOOKUP(E1582,Equivalencia!$5:$23,((MAX(Equivalencia!$3:$3)-YEAR(C1582))*14)+MONTH(C1582)+2,FALSE)))</f>
        <v>0</v>
      </c>
      <c r="J1582" s="178">
        <f t="shared" si="185"/>
        <v>0</v>
      </c>
      <c r="K1582" s="462">
        <f>IF(C1582=0,0,VLOOKUP(YEAR(C1582),INPC!$B$4:$O$29,MONTH(C1582)+1))</f>
        <v>0</v>
      </c>
      <c r="L1582" s="462">
        <f>IF(S1582=0,0,VLOOKUP(YEAR(S1582),INPC!$B$4:$O$29,MONTH(S1582)+1))</f>
        <v>0</v>
      </c>
      <c r="M1582" s="463">
        <f t="shared" si="186"/>
        <v>0</v>
      </c>
      <c r="N1582" s="465">
        <f t="shared" si="187"/>
        <v>0</v>
      </c>
      <c r="O1582" s="179"/>
      <c r="P1582" s="180"/>
      <c r="Q1582" s="173"/>
      <c r="R1582" s="173"/>
      <c r="S1582" s="174"/>
      <c r="T1582" s="173"/>
      <c r="U1582" s="182"/>
      <c r="V1582" s="177">
        <f>IF(U1582=0,0,IF(T1582="MXN",1/HLOOKUP(YEAR(S1582)+(MONTH(S1582)/100),TC!$5:$37,DAY(S1582)+2,FALSE),VLOOKUP(T1582,Equivalencia!$1:$23,((MAX(Equivalencia!$3:$3)-YEAR(S1582))*14)+MONTH(S1582)+2,FALSE)))</f>
        <v>0</v>
      </c>
      <c r="W1582" s="178">
        <f t="shared" si="188"/>
        <v>0</v>
      </c>
      <c r="X1582" s="481">
        <f t="shared" si="189"/>
        <v>0</v>
      </c>
      <c r="Y1582" s="179"/>
      <c r="Z1582" s="466">
        <f t="shared" si="190"/>
        <v>0</v>
      </c>
      <c r="AA1582" s="473">
        <f t="shared" si="191"/>
        <v>0</v>
      </c>
      <c r="AB1582" s="339">
        <f t="shared" si="192"/>
        <v>0</v>
      </c>
    </row>
    <row r="1583" spans="2:28" ht="20.100000000000001" customHeight="1">
      <c r="B1583" s="172"/>
      <c r="C1583" s="174"/>
      <c r="D1583" s="181"/>
      <c r="E1583" s="173"/>
      <c r="F1583" s="176"/>
      <c r="G1583" s="175">
        <f t="shared" si="183"/>
        <v>0</v>
      </c>
      <c r="H1583" s="175">
        <f t="shared" si="184"/>
        <v>0</v>
      </c>
      <c r="I1583" s="177">
        <f>IF(G1583=0,0,IF(E1583="MXN",1/HLOOKUP(YEAR(C1583)+(MONTH(C1583)/100),TC!$5:$37,DAY(C1583)+2,FALSE),VLOOKUP(E1583,Equivalencia!$5:$23,((MAX(Equivalencia!$3:$3)-YEAR(C1583))*14)+MONTH(C1583)+2,FALSE)))</f>
        <v>0</v>
      </c>
      <c r="J1583" s="178">
        <f t="shared" si="185"/>
        <v>0</v>
      </c>
      <c r="K1583" s="462">
        <f>IF(C1583=0,0,VLOOKUP(YEAR(C1583),INPC!$B$4:$O$29,MONTH(C1583)+1))</f>
        <v>0</v>
      </c>
      <c r="L1583" s="462">
        <f>IF(S1583=0,0,VLOOKUP(YEAR(S1583),INPC!$B$4:$O$29,MONTH(S1583)+1))</f>
        <v>0</v>
      </c>
      <c r="M1583" s="463">
        <f t="shared" si="186"/>
        <v>0</v>
      </c>
      <c r="N1583" s="465">
        <f t="shared" si="187"/>
        <v>0</v>
      </c>
      <c r="O1583" s="179"/>
      <c r="P1583" s="180"/>
      <c r="Q1583" s="173"/>
      <c r="R1583" s="173"/>
      <c r="S1583" s="174"/>
      <c r="T1583" s="173"/>
      <c r="U1583" s="182"/>
      <c r="V1583" s="177">
        <f>IF(U1583=0,0,IF(T1583="MXN",1/HLOOKUP(YEAR(S1583)+(MONTH(S1583)/100),TC!$5:$37,DAY(S1583)+2,FALSE),VLOOKUP(T1583,Equivalencia!$1:$23,((MAX(Equivalencia!$3:$3)-YEAR(S1583))*14)+MONTH(S1583)+2,FALSE)))</f>
        <v>0</v>
      </c>
      <c r="W1583" s="178">
        <f t="shared" si="188"/>
        <v>0</v>
      </c>
      <c r="X1583" s="481">
        <f t="shared" si="189"/>
        <v>0</v>
      </c>
      <c r="Y1583" s="179"/>
      <c r="Z1583" s="466">
        <f t="shared" si="190"/>
        <v>0</v>
      </c>
      <c r="AA1583" s="473">
        <f t="shared" si="191"/>
        <v>0</v>
      </c>
      <c r="AB1583" s="339">
        <f t="shared" si="192"/>
        <v>0</v>
      </c>
    </row>
    <row r="1584" spans="2:28" ht="20.100000000000001" customHeight="1">
      <c r="B1584" s="172"/>
      <c r="C1584" s="174"/>
      <c r="D1584" s="181"/>
      <c r="E1584" s="173"/>
      <c r="F1584" s="176"/>
      <c r="G1584" s="175">
        <f t="shared" si="183"/>
        <v>0</v>
      </c>
      <c r="H1584" s="175">
        <f t="shared" si="184"/>
        <v>0</v>
      </c>
      <c r="I1584" s="177">
        <f>IF(G1584=0,0,IF(E1584="MXN",1/HLOOKUP(YEAR(C1584)+(MONTH(C1584)/100),TC!$5:$37,DAY(C1584)+2,FALSE),VLOOKUP(E1584,Equivalencia!$5:$23,((MAX(Equivalencia!$3:$3)-YEAR(C1584))*14)+MONTH(C1584)+2,FALSE)))</f>
        <v>0</v>
      </c>
      <c r="J1584" s="178">
        <f t="shared" si="185"/>
        <v>0</v>
      </c>
      <c r="K1584" s="462">
        <f>IF(C1584=0,0,VLOOKUP(YEAR(C1584),INPC!$B$4:$O$29,MONTH(C1584)+1))</f>
        <v>0</v>
      </c>
      <c r="L1584" s="462">
        <f>IF(S1584=0,0,VLOOKUP(YEAR(S1584),INPC!$B$4:$O$29,MONTH(S1584)+1))</f>
        <v>0</v>
      </c>
      <c r="M1584" s="463">
        <f t="shared" si="186"/>
        <v>0</v>
      </c>
      <c r="N1584" s="465">
        <f t="shared" si="187"/>
        <v>0</v>
      </c>
      <c r="O1584" s="179"/>
      <c r="P1584" s="180"/>
      <c r="Q1584" s="173"/>
      <c r="R1584" s="173"/>
      <c r="S1584" s="174"/>
      <c r="T1584" s="173"/>
      <c r="U1584" s="182"/>
      <c r="V1584" s="177">
        <f>IF(U1584=0,0,IF(T1584="MXN",1/HLOOKUP(YEAR(S1584)+(MONTH(S1584)/100),TC!$5:$37,DAY(S1584)+2,FALSE),VLOOKUP(T1584,Equivalencia!$1:$23,((MAX(Equivalencia!$3:$3)-YEAR(S1584))*14)+MONTH(S1584)+2,FALSE)))</f>
        <v>0</v>
      </c>
      <c r="W1584" s="178">
        <f t="shared" si="188"/>
        <v>0</v>
      </c>
      <c r="X1584" s="481">
        <f t="shared" si="189"/>
        <v>0</v>
      </c>
      <c r="Y1584" s="179"/>
      <c r="Z1584" s="466">
        <f t="shared" si="190"/>
        <v>0</v>
      </c>
      <c r="AA1584" s="473">
        <f t="shared" si="191"/>
        <v>0</v>
      </c>
      <c r="AB1584" s="339">
        <f t="shared" si="192"/>
        <v>0</v>
      </c>
    </row>
    <row r="1585" spans="2:28" ht="20.100000000000001" customHeight="1">
      <c r="B1585" s="172"/>
      <c r="C1585" s="174"/>
      <c r="D1585" s="181"/>
      <c r="E1585" s="173"/>
      <c r="F1585" s="176"/>
      <c r="G1585" s="175">
        <f t="shared" si="183"/>
        <v>0</v>
      </c>
      <c r="H1585" s="175">
        <f t="shared" si="184"/>
        <v>0</v>
      </c>
      <c r="I1585" s="177">
        <f>IF(G1585=0,0,IF(E1585="MXN",1/HLOOKUP(YEAR(C1585)+(MONTH(C1585)/100),TC!$5:$37,DAY(C1585)+2,FALSE),VLOOKUP(E1585,Equivalencia!$5:$23,((MAX(Equivalencia!$3:$3)-YEAR(C1585))*14)+MONTH(C1585)+2,FALSE)))</f>
        <v>0</v>
      </c>
      <c r="J1585" s="178">
        <f t="shared" si="185"/>
        <v>0</v>
      </c>
      <c r="K1585" s="462">
        <f>IF(C1585=0,0,VLOOKUP(YEAR(C1585),INPC!$B$4:$O$29,MONTH(C1585)+1))</f>
        <v>0</v>
      </c>
      <c r="L1585" s="462">
        <f>IF(S1585=0,0,VLOOKUP(YEAR(S1585),INPC!$B$4:$O$29,MONTH(S1585)+1))</f>
        <v>0</v>
      </c>
      <c r="M1585" s="463">
        <f t="shared" si="186"/>
        <v>0</v>
      </c>
      <c r="N1585" s="465">
        <f t="shared" si="187"/>
        <v>0</v>
      </c>
      <c r="O1585" s="179"/>
      <c r="P1585" s="180"/>
      <c r="Q1585" s="173"/>
      <c r="R1585" s="173"/>
      <c r="S1585" s="174"/>
      <c r="T1585" s="173"/>
      <c r="U1585" s="182"/>
      <c r="V1585" s="177">
        <f>IF(U1585=0,0,IF(T1585="MXN",1/HLOOKUP(YEAR(S1585)+(MONTH(S1585)/100),TC!$5:$37,DAY(S1585)+2,FALSE),VLOOKUP(T1585,Equivalencia!$1:$23,((MAX(Equivalencia!$3:$3)-YEAR(S1585))*14)+MONTH(S1585)+2,FALSE)))</f>
        <v>0</v>
      </c>
      <c r="W1585" s="178">
        <f t="shared" si="188"/>
        <v>0</v>
      </c>
      <c r="X1585" s="481">
        <f t="shared" si="189"/>
        <v>0</v>
      </c>
      <c r="Y1585" s="179"/>
      <c r="Z1585" s="466">
        <f t="shared" si="190"/>
        <v>0</v>
      </c>
      <c r="AA1585" s="473">
        <f t="shared" si="191"/>
        <v>0</v>
      </c>
      <c r="AB1585" s="339">
        <f t="shared" si="192"/>
        <v>0</v>
      </c>
    </row>
    <row r="1586" spans="2:28" ht="20.100000000000001" customHeight="1">
      <c r="B1586" s="172"/>
      <c r="C1586" s="174"/>
      <c r="D1586" s="181"/>
      <c r="E1586" s="173"/>
      <c r="F1586" s="176"/>
      <c r="G1586" s="175">
        <f t="shared" si="183"/>
        <v>0</v>
      </c>
      <c r="H1586" s="175">
        <f t="shared" si="184"/>
        <v>0</v>
      </c>
      <c r="I1586" s="177">
        <f>IF(G1586=0,0,IF(E1586="MXN",1/HLOOKUP(YEAR(C1586)+(MONTH(C1586)/100),TC!$5:$37,DAY(C1586)+2,FALSE),VLOOKUP(E1586,Equivalencia!$5:$23,((MAX(Equivalencia!$3:$3)-YEAR(C1586))*14)+MONTH(C1586)+2,FALSE)))</f>
        <v>0</v>
      </c>
      <c r="J1586" s="178">
        <f t="shared" si="185"/>
        <v>0</v>
      </c>
      <c r="K1586" s="462">
        <f>IF(C1586=0,0,VLOOKUP(YEAR(C1586),INPC!$B$4:$O$29,MONTH(C1586)+1))</f>
        <v>0</v>
      </c>
      <c r="L1586" s="462">
        <f>IF(S1586=0,0,VLOOKUP(YEAR(S1586),INPC!$B$4:$O$29,MONTH(S1586)+1))</f>
        <v>0</v>
      </c>
      <c r="M1586" s="463">
        <f t="shared" si="186"/>
        <v>0</v>
      </c>
      <c r="N1586" s="465">
        <f t="shared" si="187"/>
        <v>0</v>
      </c>
      <c r="O1586" s="179"/>
      <c r="P1586" s="180"/>
      <c r="Q1586" s="173"/>
      <c r="R1586" s="173"/>
      <c r="S1586" s="174"/>
      <c r="T1586" s="173"/>
      <c r="U1586" s="182"/>
      <c r="V1586" s="177">
        <f>IF(U1586=0,0,IF(T1586="MXN",1/HLOOKUP(YEAR(S1586)+(MONTH(S1586)/100),TC!$5:$37,DAY(S1586)+2,FALSE),VLOOKUP(T1586,Equivalencia!$1:$23,((MAX(Equivalencia!$3:$3)-YEAR(S1586))*14)+MONTH(S1586)+2,FALSE)))</f>
        <v>0</v>
      </c>
      <c r="W1586" s="178">
        <f t="shared" si="188"/>
        <v>0</v>
      </c>
      <c r="X1586" s="481">
        <f t="shared" si="189"/>
        <v>0</v>
      </c>
      <c r="Y1586" s="179"/>
      <c r="Z1586" s="466">
        <f t="shared" si="190"/>
        <v>0</v>
      </c>
      <c r="AA1586" s="473">
        <f t="shared" si="191"/>
        <v>0</v>
      </c>
      <c r="AB1586" s="339">
        <f t="shared" si="192"/>
        <v>0</v>
      </c>
    </row>
    <row r="1587" spans="2:28" ht="20.100000000000001" customHeight="1">
      <c r="B1587" s="172"/>
      <c r="C1587" s="174"/>
      <c r="D1587" s="181"/>
      <c r="E1587" s="173"/>
      <c r="F1587" s="176"/>
      <c r="G1587" s="175">
        <f t="shared" si="183"/>
        <v>0</v>
      </c>
      <c r="H1587" s="175">
        <f t="shared" si="184"/>
        <v>0</v>
      </c>
      <c r="I1587" s="177">
        <f>IF(G1587=0,0,IF(E1587="MXN",1/HLOOKUP(YEAR(C1587)+(MONTH(C1587)/100),TC!$5:$37,DAY(C1587)+2,FALSE),VLOOKUP(E1587,Equivalencia!$5:$23,((MAX(Equivalencia!$3:$3)-YEAR(C1587))*14)+MONTH(C1587)+2,FALSE)))</f>
        <v>0</v>
      </c>
      <c r="J1587" s="178">
        <f t="shared" si="185"/>
        <v>0</v>
      </c>
      <c r="K1587" s="462">
        <f>IF(C1587=0,0,VLOOKUP(YEAR(C1587),INPC!$B$4:$O$29,MONTH(C1587)+1))</f>
        <v>0</v>
      </c>
      <c r="L1587" s="462">
        <f>IF(S1587=0,0,VLOOKUP(YEAR(S1587),INPC!$B$4:$O$29,MONTH(S1587)+1))</f>
        <v>0</v>
      </c>
      <c r="M1587" s="463">
        <f t="shared" si="186"/>
        <v>0</v>
      </c>
      <c r="N1587" s="465">
        <f t="shared" si="187"/>
        <v>0</v>
      </c>
      <c r="O1587" s="179"/>
      <c r="P1587" s="180"/>
      <c r="Q1587" s="173"/>
      <c r="R1587" s="173"/>
      <c r="S1587" s="174"/>
      <c r="T1587" s="173"/>
      <c r="U1587" s="182"/>
      <c r="V1587" s="177">
        <f>IF(U1587=0,0,IF(T1587="MXN",1/HLOOKUP(YEAR(S1587)+(MONTH(S1587)/100),TC!$5:$37,DAY(S1587)+2,FALSE),VLOOKUP(T1587,Equivalencia!$1:$23,((MAX(Equivalencia!$3:$3)-YEAR(S1587))*14)+MONTH(S1587)+2,FALSE)))</f>
        <v>0</v>
      </c>
      <c r="W1587" s="178">
        <f t="shared" si="188"/>
        <v>0</v>
      </c>
      <c r="X1587" s="481">
        <f t="shared" si="189"/>
        <v>0</v>
      </c>
      <c r="Y1587" s="179"/>
      <c r="Z1587" s="466">
        <f t="shared" si="190"/>
        <v>0</v>
      </c>
      <c r="AA1587" s="473">
        <f t="shared" si="191"/>
        <v>0</v>
      </c>
      <c r="AB1587" s="339">
        <f t="shared" si="192"/>
        <v>0</v>
      </c>
    </row>
    <row r="1588" spans="2:28" ht="20.100000000000001" customHeight="1">
      <c r="B1588" s="172"/>
      <c r="C1588" s="174"/>
      <c r="D1588" s="181"/>
      <c r="E1588" s="173"/>
      <c r="F1588" s="176"/>
      <c r="G1588" s="175">
        <f t="shared" si="183"/>
        <v>0</v>
      </c>
      <c r="H1588" s="175">
        <f t="shared" si="184"/>
        <v>0</v>
      </c>
      <c r="I1588" s="177">
        <f>IF(G1588=0,0,IF(E1588="MXN",1/HLOOKUP(YEAR(C1588)+(MONTH(C1588)/100),TC!$5:$37,DAY(C1588)+2,FALSE),VLOOKUP(E1588,Equivalencia!$5:$23,((MAX(Equivalencia!$3:$3)-YEAR(C1588))*14)+MONTH(C1588)+2,FALSE)))</f>
        <v>0</v>
      </c>
      <c r="J1588" s="178">
        <f t="shared" si="185"/>
        <v>0</v>
      </c>
      <c r="K1588" s="462">
        <f>IF(C1588=0,0,VLOOKUP(YEAR(C1588),INPC!$B$4:$O$29,MONTH(C1588)+1))</f>
        <v>0</v>
      </c>
      <c r="L1588" s="462">
        <f>IF(S1588=0,0,VLOOKUP(YEAR(S1588),INPC!$B$4:$O$29,MONTH(S1588)+1))</f>
        <v>0</v>
      </c>
      <c r="M1588" s="463">
        <f t="shared" si="186"/>
        <v>0</v>
      </c>
      <c r="N1588" s="465">
        <f t="shared" si="187"/>
        <v>0</v>
      </c>
      <c r="O1588" s="179"/>
      <c r="P1588" s="180"/>
      <c r="Q1588" s="173"/>
      <c r="R1588" s="173"/>
      <c r="S1588" s="174"/>
      <c r="T1588" s="173"/>
      <c r="U1588" s="182"/>
      <c r="V1588" s="177">
        <f>IF(U1588=0,0,IF(T1588="MXN",1/HLOOKUP(YEAR(S1588)+(MONTH(S1588)/100),TC!$5:$37,DAY(S1588)+2,FALSE),VLOOKUP(T1588,Equivalencia!$1:$23,((MAX(Equivalencia!$3:$3)-YEAR(S1588))*14)+MONTH(S1588)+2,FALSE)))</f>
        <v>0</v>
      </c>
      <c r="W1588" s="178">
        <f t="shared" si="188"/>
        <v>0</v>
      </c>
      <c r="X1588" s="481">
        <f t="shared" si="189"/>
        <v>0</v>
      </c>
      <c r="Y1588" s="179"/>
      <c r="Z1588" s="466">
        <f t="shared" si="190"/>
        <v>0</v>
      </c>
      <c r="AA1588" s="473">
        <f t="shared" si="191"/>
        <v>0</v>
      </c>
      <c r="AB1588" s="339">
        <f t="shared" si="192"/>
        <v>0</v>
      </c>
    </row>
    <row r="1589" spans="2:28" ht="20.100000000000001" customHeight="1">
      <c r="B1589" s="172"/>
      <c r="C1589" s="174"/>
      <c r="D1589" s="181"/>
      <c r="E1589" s="173"/>
      <c r="F1589" s="176"/>
      <c r="G1589" s="175">
        <f t="shared" si="183"/>
        <v>0</v>
      </c>
      <c r="H1589" s="175">
        <f t="shared" si="184"/>
        <v>0</v>
      </c>
      <c r="I1589" s="177">
        <f>IF(G1589=0,0,IF(E1589="MXN",1/HLOOKUP(YEAR(C1589)+(MONTH(C1589)/100),TC!$5:$37,DAY(C1589)+2,FALSE),VLOOKUP(E1589,Equivalencia!$5:$23,((MAX(Equivalencia!$3:$3)-YEAR(C1589))*14)+MONTH(C1589)+2,FALSE)))</f>
        <v>0</v>
      </c>
      <c r="J1589" s="178">
        <f t="shared" si="185"/>
        <v>0</v>
      </c>
      <c r="K1589" s="462">
        <f>IF(C1589=0,0,VLOOKUP(YEAR(C1589),INPC!$B$4:$O$29,MONTH(C1589)+1))</f>
        <v>0</v>
      </c>
      <c r="L1589" s="462">
        <f>IF(S1589=0,0,VLOOKUP(YEAR(S1589),INPC!$B$4:$O$29,MONTH(S1589)+1))</f>
        <v>0</v>
      </c>
      <c r="M1589" s="463">
        <f t="shared" si="186"/>
        <v>0</v>
      </c>
      <c r="N1589" s="465">
        <f t="shared" si="187"/>
        <v>0</v>
      </c>
      <c r="O1589" s="179"/>
      <c r="P1589" s="180"/>
      <c r="Q1589" s="173"/>
      <c r="R1589" s="173"/>
      <c r="S1589" s="174"/>
      <c r="T1589" s="173"/>
      <c r="U1589" s="182"/>
      <c r="V1589" s="177">
        <f>IF(U1589=0,0,IF(T1589="MXN",1/HLOOKUP(YEAR(S1589)+(MONTH(S1589)/100),TC!$5:$37,DAY(S1589)+2,FALSE),VLOOKUP(T1589,Equivalencia!$1:$23,((MAX(Equivalencia!$3:$3)-YEAR(S1589))*14)+MONTH(S1589)+2,FALSE)))</f>
        <v>0</v>
      </c>
      <c r="W1589" s="178">
        <f t="shared" si="188"/>
        <v>0</v>
      </c>
      <c r="X1589" s="481">
        <f t="shared" si="189"/>
        <v>0</v>
      </c>
      <c r="Y1589" s="179"/>
      <c r="Z1589" s="466">
        <f t="shared" si="190"/>
        <v>0</v>
      </c>
      <c r="AA1589" s="473">
        <f t="shared" si="191"/>
        <v>0</v>
      </c>
      <c r="AB1589" s="339">
        <f t="shared" si="192"/>
        <v>0</v>
      </c>
    </row>
    <row r="1590" spans="2:28" ht="20.100000000000001" customHeight="1">
      <c r="B1590" s="172"/>
      <c r="C1590" s="174"/>
      <c r="D1590" s="181"/>
      <c r="E1590" s="173"/>
      <c r="F1590" s="176"/>
      <c r="G1590" s="175">
        <f t="shared" si="183"/>
        <v>0</v>
      </c>
      <c r="H1590" s="175">
        <f t="shared" si="184"/>
        <v>0</v>
      </c>
      <c r="I1590" s="177">
        <f>IF(G1590=0,0,IF(E1590="MXN",1/HLOOKUP(YEAR(C1590)+(MONTH(C1590)/100),TC!$5:$37,DAY(C1590)+2,FALSE),VLOOKUP(E1590,Equivalencia!$5:$23,((MAX(Equivalencia!$3:$3)-YEAR(C1590))*14)+MONTH(C1590)+2,FALSE)))</f>
        <v>0</v>
      </c>
      <c r="J1590" s="178">
        <f t="shared" si="185"/>
        <v>0</v>
      </c>
      <c r="K1590" s="462">
        <f>IF(C1590=0,0,VLOOKUP(YEAR(C1590),INPC!$B$4:$O$29,MONTH(C1590)+1))</f>
        <v>0</v>
      </c>
      <c r="L1590" s="462">
        <f>IF(S1590=0,0,VLOOKUP(YEAR(S1590),INPC!$B$4:$O$29,MONTH(S1590)+1))</f>
        <v>0</v>
      </c>
      <c r="M1590" s="463">
        <f t="shared" si="186"/>
        <v>0</v>
      </c>
      <c r="N1590" s="465">
        <f t="shared" si="187"/>
        <v>0</v>
      </c>
      <c r="O1590" s="179"/>
      <c r="P1590" s="180"/>
      <c r="Q1590" s="173"/>
      <c r="R1590" s="173"/>
      <c r="S1590" s="174"/>
      <c r="T1590" s="173"/>
      <c r="U1590" s="182"/>
      <c r="V1590" s="177">
        <f>IF(U1590=0,0,IF(T1590="MXN",1/HLOOKUP(YEAR(S1590)+(MONTH(S1590)/100),TC!$5:$37,DAY(S1590)+2,FALSE),VLOOKUP(T1590,Equivalencia!$1:$23,((MAX(Equivalencia!$3:$3)-YEAR(S1590))*14)+MONTH(S1590)+2,FALSE)))</f>
        <v>0</v>
      </c>
      <c r="W1590" s="178">
        <f t="shared" si="188"/>
        <v>0</v>
      </c>
      <c r="X1590" s="481">
        <f t="shared" si="189"/>
        <v>0</v>
      </c>
      <c r="Y1590" s="179"/>
      <c r="Z1590" s="466">
        <f t="shared" si="190"/>
        <v>0</v>
      </c>
      <c r="AA1590" s="473">
        <f t="shared" si="191"/>
        <v>0</v>
      </c>
      <c r="AB1590" s="339">
        <f t="shared" si="192"/>
        <v>0</v>
      </c>
    </row>
    <row r="1591" spans="2:28" ht="20.100000000000001" customHeight="1">
      <c r="B1591" s="172"/>
      <c r="C1591" s="174"/>
      <c r="D1591" s="181"/>
      <c r="E1591" s="173"/>
      <c r="F1591" s="176"/>
      <c r="G1591" s="175">
        <f t="shared" si="183"/>
        <v>0</v>
      </c>
      <c r="H1591" s="175">
        <f t="shared" si="184"/>
        <v>0</v>
      </c>
      <c r="I1591" s="177">
        <f>IF(G1591=0,0,IF(E1591="MXN",1/HLOOKUP(YEAR(C1591)+(MONTH(C1591)/100),TC!$5:$37,DAY(C1591)+2,FALSE),VLOOKUP(E1591,Equivalencia!$5:$23,((MAX(Equivalencia!$3:$3)-YEAR(C1591))*14)+MONTH(C1591)+2,FALSE)))</f>
        <v>0</v>
      </c>
      <c r="J1591" s="178">
        <f t="shared" si="185"/>
        <v>0</v>
      </c>
      <c r="K1591" s="462">
        <f>IF(C1591=0,0,VLOOKUP(YEAR(C1591),INPC!$B$4:$O$29,MONTH(C1591)+1))</f>
        <v>0</v>
      </c>
      <c r="L1591" s="462">
        <f>IF(S1591=0,0,VLOOKUP(YEAR(S1591),INPC!$B$4:$O$29,MONTH(S1591)+1))</f>
        <v>0</v>
      </c>
      <c r="M1591" s="463">
        <f t="shared" si="186"/>
        <v>0</v>
      </c>
      <c r="N1591" s="465">
        <f t="shared" si="187"/>
        <v>0</v>
      </c>
      <c r="O1591" s="179"/>
      <c r="P1591" s="180"/>
      <c r="Q1591" s="173"/>
      <c r="R1591" s="173"/>
      <c r="S1591" s="174"/>
      <c r="T1591" s="173"/>
      <c r="U1591" s="182"/>
      <c r="V1591" s="177">
        <f>IF(U1591=0,0,IF(T1591="MXN",1/HLOOKUP(YEAR(S1591)+(MONTH(S1591)/100),TC!$5:$37,DAY(S1591)+2,FALSE),VLOOKUP(T1591,Equivalencia!$1:$23,((MAX(Equivalencia!$3:$3)-YEAR(S1591))*14)+MONTH(S1591)+2,FALSE)))</f>
        <v>0</v>
      </c>
      <c r="W1591" s="178">
        <f t="shared" si="188"/>
        <v>0</v>
      </c>
      <c r="X1591" s="481">
        <f t="shared" si="189"/>
        <v>0</v>
      </c>
      <c r="Y1591" s="179"/>
      <c r="Z1591" s="466">
        <f t="shared" si="190"/>
        <v>0</v>
      </c>
      <c r="AA1591" s="473">
        <f t="shared" si="191"/>
        <v>0</v>
      </c>
      <c r="AB1591" s="339">
        <f t="shared" si="192"/>
        <v>0</v>
      </c>
    </row>
    <row r="1592" spans="2:28" ht="20.100000000000001" customHeight="1">
      <c r="B1592" s="172"/>
      <c r="C1592" s="174"/>
      <c r="D1592" s="181"/>
      <c r="E1592" s="173"/>
      <c r="F1592" s="176"/>
      <c r="G1592" s="175">
        <f t="shared" si="183"/>
        <v>0</v>
      </c>
      <c r="H1592" s="175">
        <f t="shared" si="184"/>
        <v>0</v>
      </c>
      <c r="I1592" s="177">
        <f>IF(G1592=0,0,IF(E1592="MXN",1/HLOOKUP(YEAR(C1592)+(MONTH(C1592)/100),TC!$5:$37,DAY(C1592)+2,FALSE),VLOOKUP(E1592,Equivalencia!$5:$23,((MAX(Equivalencia!$3:$3)-YEAR(C1592))*14)+MONTH(C1592)+2,FALSE)))</f>
        <v>0</v>
      </c>
      <c r="J1592" s="178">
        <f t="shared" si="185"/>
        <v>0</v>
      </c>
      <c r="K1592" s="462">
        <f>IF(C1592=0,0,VLOOKUP(YEAR(C1592),INPC!$B$4:$O$29,MONTH(C1592)+1))</f>
        <v>0</v>
      </c>
      <c r="L1592" s="462">
        <f>IF(S1592=0,0,VLOOKUP(YEAR(S1592),INPC!$B$4:$O$29,MONTH(S1592)+1))</f>
        <v>0</v>
      </c>
      <c r="M1592" s="463">
        <f t="shared" si="186"/>
        <v>0</v>
      </c>
      <c r="N1592" s="465">
        <f t="shared" si="187"/>
        <v>0</v>
      </c>
      <c r="O1592" s="179"/>
      <c r="P1592" s="180"/>
      <c r="Q1592" s="173"/>
      <c r="R1592" s="173"/>
      <c r="S1592" s="174"/>
      <c r="T1592" s="173"/>
      <c r="U1592" s="182"/>
      <c r="V1592" s="177">
        <f>IF(U1592=0,0,IF(T1592="MXN",1/HLOOKUP(YEAR(S1592)+(MONTH(S1592)/100),TC!$5:$37,DAY(S1592)+2,FALSE),VLOOKUP(T1592,Equivalencia!$1:$23,((MAX(Equivalencia!$3:$3)-YEAR(S1592))*14)+MONTH(S1592)+2,FALSE)))</f>
        <v>0</v>
      </c>
      <c r="W1592" s="178">
        <f t="shared" si="188"/>
        <v>0</v>
      </c>
      <c r="X1592" s="481">
        <f t="shared" si="189"/>
        <v>0</v>
      </c>
      <c r="Y1592" s="179"/>
      <c r="Z1592" s="466">
        <f t="shared" si="190"/>
        <v>0</v>
      </c>
      <c r="AA1592" s="473">
        <f t="shared" si="191"/>
        <v>0</v>
      </c>
      <c r="AB1592" s="339">
        <f t="shared" si="192"/>
        <v>0</v>
      </c>
    </row>
    <row r="1593" spans="2:28" ht="20.100000000000001" customHeight="1">
      <c r="B1593" s="172"/>
      <c r="C1593" s="174"/>
      <c r="D1593" s="181"/>
      <c r="E1593" s="173"/>
      <c r="F1593" s="176"/>
      <c r="G1593" s="175">
        <f t="shared" si="183"/>
        <v>0</v>
      </c>
      <c r="H1593" s="175">
        <f t="shared" si="184"/>
        <v>0</v>
      </c>
      <c r="I1593" s="177">
        <f>IF(G1593=0,0,IF(E1593="MXN",1/HLOOKUP(YEAR(C1593)+(MONTH(C1593)/100),TC!$5:$37,DAY(C1593)+2,FALSE),VLOOKUP(E1593,Equivalencia!$5:$23,((MAX(Equivalencia!$3:$3)-YEAR(C1593))*14)+MONTH(C1593)+2,FALSE)))</f>
        <v>0</v>
      </c>
      <c r="J1593" s="178">
        <f t="shared" si="185"/>
        <v>0</v>
      </c>
      <c r="K1593" s="462">
        <f>IF(C1593=0,0,VLOOKUP(YEAR(C1593),INPC!$B$4:$O$29,MONTH(C1593)+1))</f>
        <v>0</v>
      </c>
      <c r="L1593" s="462">
        <f>IF(S1593=0,0,VLOOKUP(YEAR(S1593),INPC!$B$4:$O$29,MONTH(S1593)+1))</f>
        <v>0</v>
      </c>
      <c r="M1593" s="463">
        <f t="shared" si="186"/>
        <v>0</v>
      </c>
      <c r="N1593" s="465">
        <f t="shared" si="187"/>
        <v>0</v>
      </c>
      <c r="O1593" s="179"/>
      <c r="P1593" s="180"/>
      <c r="Q1593" s="173"/>
      <c r="R1593" s="173"/>
      <c r="S1593" s="174"/>
      <c r="T1593" s="173"/>
      <c r="U1593" s="182"/>
      <c r="V1593" s="177">
        <f>IF(U1593=0,0,IF(T1593="MXN",1/HLOOKUP(YEAR(S1593)+(MONTH(S1593)/100),TC!$5:$37,DAY(S1593)+2,FALSE),VLOOKUP(T1593,Equivalencia!$1:$23,((MAX(Equivalencia!$3:$3)-YEAR(S1593))*14)+MONTH(S1593)+2,FALSE)))</f>
        <v>0</v>
      </c>
      <c r="W1593" s="178">
        <f t="shared" si="188"/>
        <v>0</v>
      </c>
      <c r="X1593" s="481">
        <f t="shared" si="189"/>
        <v>0</v>
      </c>
      <c r="Y1593" s="179"/>
      <c r="Z1593" s="466">
        <f t="shared" si="190"/>
        <v>0</v>
      </c>
      <c r="AA1593" s="473">
        <f t="shared" si="191"/>
        <v>0</v>
      </c>
      <c r="AB1593" s="339">
        <f t="shared" si="192"/>
        <v>0</v>
      </c>
    </row>
    <row r="1594" spans="2:28" ht="20.100000000000001" customHeight="1">
      <c r="B1594" s="172"/>
      <c r="C1594" s="174"/>
      <c r="D1594" s="181"/>
      <c r="E1594" s="173"/>
      <c r="F1594" s="176"/>
      <c r="G1594" s="175">
        <f t="shared" si="183"/>
        <v>0</v>
      </c>
      <c r="H1594" s="175">
        <f t="shared" si="184"/>
        <v>0</v>
      </c>
      <c r="I1594" s="177">
        <f>IF(G1594=0,0,IF(E1594="MXN",1/HLOOKUP(YEAR(C1594)+(MONTH(C1594)/100),TC!$5:$37,DAY(C1594)+2,FALSE),VLOOKUP(E1594,Equivalencia!$5:$23,((MAX(Equivalencia!$3:$3)-YEAR(C1594))*14)+MONTH(C1594)+2,FALSE)))</f>
        <v>0</v>
      </c>
      <c r="J1594" s="178">
        <f t="shared" si="185"/>
        <v>0</v>
      </c>
      <c r="K1594" s="462">
        <f>IF(C1594=0,0,VLOOKUP(YEAR(C1594),INPC!$B$4:$O$29,MONTH(C1594)+1))</f>
        <v>0</v>
      </c>
      <c r="L1594" s="462">
        <f>IF(S1594=0,0,VLOOKUP(YEAR(S1594),INPC!$B$4:$O$29,MONTH(S1594)+1))</f>
        <v>0</v>
      </c>
      <c r="M1594" s="463">
        <f t="shared" si="186"/>
        <v>0</v>
      </c>
      <c r="N1594" s="465">
        <f t="shared" si="187"/>
        <v>0</v>
      </c>
      <c r="O1594" s="179"/>
      <c r="P1594" s="180"/>
      <c r="Q1594" s="173"/>
      <c r="R1594" s="173"/>
      <c r="S1594" s="174"/>
      <c r="T1594" s="173"/>
      <c r="U1594" s="182"/>
      <c r="V1594" s="177">
        <f>IF(U1594=0,0,IF(T1594="MXN",1/HLOOKUP(YEAR(S1594)+(MONTH(S1594)/100),TC!$5:$37,DAY(S1594)+2,FALSE),VLOOKUP(T1594,Equivalencia!$1:$23,((MAX(Equivalencia!$3:$3)-YEAR(S1594))*14)+MONTH(S1594)+2,FALSE)))</f>
        <v>0</v>
      </c>
      <c r="W1594" s="178">
        <f t="shared" si="188"/>
        <v>0</v>
      </c>
      <c r="X1594" s="481">
        <f t="shared" si="189"/>
        <v>0</v>
      </c>
      <c r="Y1594" s="179"/>
      <c r="Z1594" s="466">
        <f t="shared" si="190"/>
        <v>0</v>
      </c>
      <c r="AA1594" s="473">
        <f t="shared" si="191"/>
        <v>0</v>
      </c>
      <c r="AB1594" s="339">
        <f t="shared" si="192"/>
        <v>0</v>
      </c>
    </row>
    <row r="1595" spans="2:28" ht="20.100000000000001" customHeight="1">
      <c r="B1595" s="172"/>
      <c r="C1595" s="174"/>
      <c r="D1595" s="181"/>
      <c r="E1595" s="173"/>
      <c r="F1595" s="176"/>
      <c r="G1595" s="175">
        <f t="shared" si="183"/>
        <v>0</v>
      </c>
      <c r="H1595" s="175">
        <f t="shared" si="184"/>
        <v>0</v>
      </c>
      <c r="I1595" s="177">
        <f>IF(G1595=0,0,IF(E1595="MXN",1/HLOOKUP(YEAR(C1595)+(MONTH(C1595)/100),TC!$5:$37,DAY(C1595)+2,FALSE),VLOOKUP(E1595,Equivalencia!$5:$23,((MAX(Equivalencia!$3:$3)-YEAR(C1595))*14)+MONTH(C1595)+2,FALSE)))</f>
        <v>0</v>
      </c>
      <c r="J1595" s="178">
        <f t="shared" si="185"/>
        <v>0</v>
      </c>
      <c r="K1595" s="462">
        <f>IF(C1595=0,0,VLOOKUP(YEAR(C1595),INPC!$B$4:$O$29,MONTH(C1595)+1))</f>
        <v>0</v>
      </c>
      <c r="L1595" s="462">
        <f>IF(S1595=0,0,VLOOKUP(YEAR(S1595),INPC!$B$4:$O$29,MONTH(S1595)+1))</f>
        <v>0</v>
      </c>
      <c r="M1595" s="463">
        <f t="shared" si="186"/>
        <v>0</v>
      </c>
      <c r="N1595" s="465">
        <f t="shared" si="187"/>
        <v>0</v>
      </c>
      <c r="O1595" s="179"/>
      <c r="P1595" s="180"/>
      <c r="Q1595" s="173"/>
      <c r="R1595" s="173"/>
      <c r="S1595" s="174"/>
      <c r="T1595" s="173"/>
      <c r="U1595" s="182"/>
      <c r="V1595" s="177">
        <f>IF(U1595=0,0,IF(T1595="MXN",1/HLOOKUP(YEAR(S1595)+(MONTH(S1595)/100),TC!$5:$37,DAY(S1595)+2,FALSE),VLOOKUP(T1595,Equivalencia!$1:$23,((MAX(Equivalencia!$3:$3)-YEAR(S1595))*14)+MONTH(S1595)+2,FALSE)))</f>
        <v>0</v>
      </c>
      <c r="W1595" s="178">
        <f t="shared" si="188"/>
        <v>0</v>
      </c>
      <c r="X1595" s="481">
        <f t="shared" si="189"/>
        <v>0</v>
      </c>
      <c r="Y1595" s="179"/>
      <c r="Z1595" s="466">
        <f t="shared" si="190"/>
        <v>0</v>
      </c>
      <c r="AA1595" s="473">
        <f t="shared" si="191"/>
        <v>0</v>
      </c>
      <c r="AB1595" s="339">
        <f t="shared" si="192"/>
        <v>0</v>
      </c>
    </row>
    <row r="1596" spans="2:28" ht="20.100000000000001" customHeight="1">
      <c r="B1596" s="172"/>
      <c r="C1596" s="174"/>
      <c r="D1596" s="181"/>
      <c r="E1596" s="173"/>
      <c r="F1596" s="176"/>
      <c r="G1596" s="175">
        <f t="shared" si="183"/>
        <v>0</v>
      </c>
      <c r="H1596" s="175">
        <f t="shared" si="184"/>
        <v>0</v>
      </c>
      <c r="I1596" s="177">
        <f>IF(G1596=0,0,IF(E1596="MXN",1/HLOOKUP(YEAR(C1596)+(MONTH(C1596)/100),TC!$5:$37,DAY(C1596)+2,FALSE),VLOOKUP(E1596,Equivalencia!$5:$23,((MAX(Equivalencia!$3:$3)-YEAR(C1596))*14)+MONTH(C1596)+2,FALSE)))</f>
        <v>0</v>
      </c>
      <c r="J1596" s="178">
        <f t="shared" si="185"/>
        <v>0</v>
      </c>
      <c r="K1596" s="462">
        <f>IF(C1596=0,0,VLOOKUP(YEAR(C1596),INPC!$B$4:$O$29,MONTH(C1596)+1))</f>
        <v>0</v>
      </c>
      <c r="L1596" s="462">
        <f>IF(S1596=0,0,VLOOKUP(YEAR(S1596),INPC!$B$4:$O$29,MONTH(S1596)+1))</f>
        <v>0</v>
      </c>
      <c r="M1596" s="463">
        <f t="shared" si="186"/>
        <v>0</v>
      </c>
      <c r="N1596" s="465">
        <f t="shared" si="187"/>
        <v>0</v>
      </c>
      <c r="O1596" s="179"/>
      <c r="P1596" s="180"/>
      <c r="Q1596" s="173"/>
      <c r="R1596" s="173"/>
      <c r="S1596" s="174"/>
      <c r="T1596" s="173"/>
      <c r="U1596" s="182"/>
      <c r="V1596" s="177">
        <f>IF(U1596=0,0,IF(T1596="MXN",1/HLOOKUP(YEAR(S1596)+(MONTH(S1596)/100),TC!$5:$37,DAY(S1596)+2,FALSE),VLOOKUP(T1596,Equivalencia!$1:$23,((MAX(Equivalencia!$3:$3)-YEAR(S1596))*14)+MONTH(S1596)+2,FALSE)))</f>
        <v>0</v>
      </c>
      <c r="W1596" s="178">
        <f t="shared" si="188"/>
        <v>0</v>
      </c>
      <c r="X1596" s="481">
        <f t="shared" si="189"/>
        <v>0</v>
      </c>
      <c r="Y1596" s="179"/>
      <c r="Z1596" s="466">
        <f t="shared" si="190"/>
        <v>0</v>
      </c>
      <c r="AA1596" s="473">
        <f t="shared" si="191"/>
        <v>0</v>
      </c>
      <c r="AB1596" s="339">
        <f t="shared" si="192"/>
        <v>0</v>
      </c>
    </row>
    <row r="1597" spans="2:28" ht="20.100000000000001" customHeight="1">
      <c r="B1597" s="172"/>
      <c r="C1597" s="174"/>
      <c r="D1597" s="181"/>
      <c r="E1597" s="173"/>
      <c r="F1597" s="176"/>
      <c r="G1597" s="175">
        <f t="shared" si="183"/>
        <v>0</v>
      </c>
      <c r="H1597" s="175">
        <f t="shared" si="184"/>
        <v>0</v>
      </c>
      <c r="I1597" s="177">
        <f>IF(G1597=0,0,IF(E1597="MXN",1/HLOOKUP(YEAR(C1597)+(MONTH(C1597)/100),TC!$5:$37,DAY(C1597)+2,FALSE),VLOOKUP(E1597,Equivalencia!$5:$23,((MAX(Equivalencia!$3:$3)-YEAR(C1597))*14)+MONTH(C1597)+2,FALSE)))</f>
        <v>0</v>
      </c>
      <c r="J1597" s="178">
        <f t="shared" si="185"/>
        <v>0</v>
      </c>
      <c r="K1597" s="462">
        <f>IF(C1597=0,0,VLOOKUP(YEAR(C1597),INPC!$B$4:$O$29,MONTH(C1597)+1))</f>
        <v>0</v>
      </c>
      <c r="L1597" s="462">
        <f>IF(S1597=0,0,VLOOKUP(YEAR(S1597),INPC!$B$4:$O$29,MONTH(S1597)+1))</f>
        <v>0</v>
      </c>
      <c r="M1597" s="463">
        <f t="shared" si="186"/>
        <v>0</v>
      </c>
      <c r="N1597" s="465">
        <f t="shared" si="187"/>
        <v>0</v>
      </c>
      <c r="O1597" s="179"/>
      <c r="P1597" s="180"/>
      <c r="Q1597" s="173"/>
      <c r="R1597" s="173"/>
      <c r="S1597" s="174"/>
      <c r="T1597" s="173"/>
      <c r="U1597" s="182"/>
      <c r="V1597" s="177">
        <f>IF(U1597=0,0,IF(T1597="MXN",1/HLOOKUP(YEAR(S1597)+(MONTH(S1597)/100),TC!$5:$37,DAY(S1597)+2,FALSE),VLOOKUP(T1597,Equivalencia!$1:$23,((MAX(Equivalencia!$3:$3)-YEAR(S1597))*14)+MONTH(S1597)+2,FALSE)))</f>
        <v>0</v>
      </c>
      <c r="W1597" s="178">
        <f t="shared" si="188"/>
        <v>0</v>
      </c>
      <c r="X1597" s="481">
        <f t="shared" si="189"/>
        <v>0</v>
      </c>
      <c r="Y1597" s="179"/>
      <c r="Z1597" s="466">
        <f t="shared" si="190"/>
        <v>0</v>
      </c>
      <c r="AA1597" s="473">
        <f t="shared" si="191"/>
        <v>0</v>
      </c>
      <c r="AB1597" s="339">
        <f t="shared" si="192"/>
        <v>0</v>
      </c>
    </row>
    <row r="1598" spans="2:28" ht="20.100000000000001" customHeight="1">
      <c r="B1598" s="172"/>
      <c r="C1598" s="174"/>
      <c r="D1598" s="181"/>
      <c r="E1598" s="173"/>
      <c r="F1598" s="176"/>
      <c r="G1598" s="175">
        <f t="shared" si="183"/>
        <v>0</v>
      </c>
      <c r="H1598" s="175">
        <f t="shared" si="184"/>
        <v>0</v>
      </c>
      <c r="I1598" s="177">
        <f>IF(G1598=0,0,IF(E1598="MXN",1/HLOOKUP(YEAR(C1598)+(MONTH(C1598)/100),TC!$5:$37,DAY(C1598)+2,FALSE),VLOOKUP(E1598,Equivalencia!$5:$23,((MAX(Equivalencia!$3:$3)-YEAR(C1598))*14)+MONTH(C1598)+2,FALSE)))</f>
        <v>0</v>
      </c>
      <c r="J1598" s="178">
        <f t="shared" si="185"/>
        <v>0</v>
      </c>
      <c r="K1598" s="462">
        <f>IF(C1598=0,0,VLOOKUP(YEAR(C1598),INPC!$B$4:$O$29,MONTH(C1598)+1))</f>
        <v>0</v>
      </c>
      <c r="L1598" s="462">
        <f>IF(S1598=0,0,VLOOKUP(YEAR(S1598),INPC!$B$4:$O$29,MONTH(S1598)+1))</f>
        <v>0</v>
      </c>
      <c r="M1598" s="463">
        <f t="shared" si="186"/>
        <v>0</v>
      </c>
      <c r="N1598" s="465">
        <f t="shared" si="187"/>
        <v>0</v>
      </c>
      <c r="O1598" s="179"/>
      <c r="P1598" s="180"/>
      <c r="Q1598" s="173"/>
      <c r="R1598" s="173"/>
      <c r="S1598" s="174"/>
      <c r="T1598" s="173"/>
      <c r="U1598" s="182"/>
      <c r="V1598" s="177">
        <f>IF(U1598=0,0,IF(T1598="MXN",1/HLOOKUP(YEAR(S1598)+(MONTH(S1598)/100),TC!$5:$37,DAY(S1598)+2,FALSE),VLOOKUP(T1598,Equivalencia!$1:$23,((MAX(Equivalencia!$3:$3)-YEAR(S1598))*14)+MONTH(S1598)+2,FALSE)))</f>
        <v>0</v>
      </c>
      <c r="W1598" s="178">
        <f t="shared" si="188"/>
        <v>0</v>
      </c>
      <c r="X1598" s="481">
        <f t="shared" si="189"/>
        <v>0</v>
      </c>
      <c r="Y1598" s="179"/>
      <c r="Z1598" s="466">
        <f t="shared" si="190"/>
        <v>0</v>
      </c>
      <c r="AA1598" s="473">
        <f t="shared" si="191"/>
        <v>0</v>
      </c>
      <c r="AB1598" s="339">
        <f t="shared" si="192"/>
        <v>0</v>
      </c>
    </row>
    <row r="1599" spans="2:28" ht="20.100000000000001" customHeight="1">
      <c r="B1599" s="172"/>
      <c r="C1599" s="174"/>
      <c r="D1599" s="181"/>
      <c r="E1599" s="173"/>
      <c r="F1599" s="176"/>
      <c r="G1599" s="175">
        <f t="shared" si="183"/>
        <v>0</v>
      </c>
      <c r="H1599" s="175">
        <f t="shared" si="184"/>
        <v>0</v>
      </c>
      <c r="I1599" s="177">
        <f>IF(G1599=0,0,IF(E1599="MXN",1/HLOOKUP(YEAR(C1599)+(MONTH(C1599)/100),TC!$5:$37,DAY(C1599)+2,FALSE),VLOOKUP(E1599,Equivalencia!$5:$23,((MAX(Equivalencia!$3:$3)-YEAR(C1599))*14)+MONTH(C1599)+2,FALSE)))</f>
        <v>0</v>
      </c>
      <c r="J1599" s="178">
        <f t="shared" si="185"/>
        <v>0</v>
      </c>
      <c r="K1599" s="462">
        <f>IF(C1599=0,0,VLOOKUP(YEAR(C1599),INPC!$B$4:$O$29,MONTH(C1599)+1))</f>
        <v>0</v>
      </c>
      <c r="L1599" s="462">
        <f>IF(S1599=0,0,VLOOKUP(YEAR(S1599),INPC!$B$4:$O$29,MONTH(S1599)+1))</f>
        <v>0</v>
      </c>
      <c r="M1599" s="463">
        <f t="shared" si="186"/>
        <v>0</v>
      </c>
      <c r="N1599" s="465">
        <f t="shared" si="187"/>
        <v>0</v>
      </c>
      <c r="O1599" s="179"/>
      <c r="P1599" s="180"/>
      <c r="Q1599" s="173"/>
      <c r="R1599" s="173"/>
      <c r="S1599" s="174"/>
      <c r="T1599" s="173"/>
      <c r="U1599" s="182"/>
      <c r="V1599" s="177">
        <f>IF(U1599=0,0,IF(T1599="MXN",1/HLOOKUP(YEAR(S1599)+(MONTH(S1599)/100),TC!$5:$37,DAY(S1599)+2,FALSE),VLOOKUP(T1599,Equivalencia!$1:$23,((MAX(Equivalencia!$3:$3)-YEAR(S1599))*14)+MONTH(S1599)+2,FALSE)))</f>
        <v>0</v>
      </c>
      <c r="W1599" s="178">
        <f t="shared" si="188"/>
        <v>0</v>
      </c>
      <c r="X1599" s="481">
        <f t="shared" si="189"/>
        <v>0</v>
      </c>
      <c r="Y1599" s="179"/>
      <c r="Z1599" s="466">
        <f t="shared" si="190"/>
        <v>0</v>
      </c>
      <c r="AA1599" s="473">
        <f t="shared" si="191"/>
        <v>0</v>
      </c>
      <c r="AB1599" s="339">
        <f t="shared" si="192"/>
        <v>0</v>
      </c>
    </row>
    <row r="1600" spans="2:28" ht="20.100000000000001" customHeight="1">
      <c r="B1600" s="172"/>
      <c r="C1600" s="174"/>
      <c r="D1600" s="181"/>
      <c r="E1600" s="173"/>
      <c r="F1600" s="176"/>
      <c r="G1600" s="175">
        <f t="shared" si="183"/>
        <v>0</v>
      </c>
      <c r="H1600" s="175">
        <f t="shared" si="184"/>
        <v>0</v>
      </c>
      <c r="I1600" s="177">
        <f>IF(G1600=0,0,IF(E1600="MXN",1/HLOOKUP(YEAR(C1600)+(MONTH(C1600)/100),TC!$5:$37,DAY(C1600)+2,FALSE),VLOOKUP(E1600,Equivalencia!$5:$23,((MAX(Equivalencia!$3:$3)-YEAR(C1600))*14)+MONTH(C1600)+2,FALSE)))</f>
        <v>0</v>
      </c>
      <c r="J1600" s="178">
        <f t="shared" si="185"/>
        <v>0</v>
      </c>
      <c r="K1600" s="462">
        <f>IF(C1600=0,0,VLOOKUP(YEAR(C1600),INPC!$B$4:$O$29,MONTH(C1600)+1))</f>
        <v>0</v>
      </c>
      <c r="L1600" s="462">
        <f>IF(S1600=0,0,VLOOKUP(YEAR(S1600),INPC!$B$4:$O$29,MONTH(S1600)+1))</f>
        <v>0</v>
      </c>
      <c r="M1600" s="463">
        <f t="shared" si="186"/>
        <v>0</v>
      </c>
      <c r="N1600" s="465">
        <f t="shared" si="187"/>
        <v>0</v>
      </c>
      <c r="O1600" s="179"/>
      <c r="P1600" s="180"/>
      <c r="Q1600" s="173"/>
      <c r="R1600" s="173"/>
      <c r="S1600" s="174"/>
      <c r="T1600" s="173"/>
      <c r="U1600" s="182"/>
      <c r="V1600" s="177">
        <f>IF(U1600=0,0,IF(T1600="MXN",1/HLOOKUP(YEAR(S1600)+(MONTH(S1600)/100),TC!$5:$37,DAY(S1600)+2,FALSE),VLOOKUP(T1600,Equivalencia!$1:$23,((MAX(Equivalencia!$3:$3)-YEAR(S1600))*14)+MONTH(S1600)+2,FALSE)))</f>
        <v>0</v>
      </c>
      <c r="W1600" s="178">
        <f t="shared" si="188"/>
        <v>0</v>
      </c>
      <c r="X1600" s="481">
        <f t="shared" si="189"/>
        <v>0</v>
      </c>
      <c r="Y1600" s="179"/>
      <c r="Z1600" s="466">
        <f t="shared" si="190"/>
        <v>0</v>
      </c>
      <c r="AA1600" s="473">
        <f t="shared" si="191"/>
        <v>0</v>
      </c>
      <c r="AB1600" s="339">
        <f t="shared" si="192"/>
        <v>0</v>
      </c>
    </row>
    <row r="1601" spans="2:28" ht="20.100000000000001" customHeight="1">
      <c r="B1601" s="172"/>
      <c r="C1601" s="174"/>
      <c r="D1601" s="181"/>
      <c r="E1601" s="173"/>
      <c r="F1601" s="176"/>
      <c r="G1601" s="175">
        <f t="shared" si="183"/>
        <v>0</v>
      </c>
      <c r="H1601" s="175">
        <f t="shared" si="184"/>
        <v>0</v>
      </c>
      <c r="I1601" s="177">
        <f>IF(G1601=0,0,IF(E1601="MXN",1/HLOOKUP(YEAR(C1601)+(MONTH(C1601)/100),TC!$5:$37,DAY(C1601)+2,FALSE),VLOOKUP(E1601,Equivalencia!$5:$23,((MAX(Equivalencia!$3:$3)-YEAR(C1601))*14)+MONTH(C1601)+2,FALSE)))</f>
        <v>0</v>
      </c>
      <c r="J1601" s="178">
        <f t="shared" si="185"/>
        <v>0</v>
      </c>
      <c r="K1601" s="462">
        <f>IF(C1601=0,0,VLOOKUP(YEAR(C1601),INPC!$B$4:$O$29,MONTH(C1601)+1))</f>
        <v>0</v>
      </c>
      <c r="L1601" s="462">
        <f>IF(S1601=0,0,VLOOKUP(YEAR(S1601),INPC!$B$4:$O$29,MONTH(S1601)+1))</f>
        <v>0</v>
      </c>
      <c r="M1601" s="463">
        <f t="shared" si="186"/>
        <v>0</v>
      </c>
      <c r="N1601" s="465">
        <f t="shared" si="187"/>
        <v>0</v>
      </c>
      <c r="O1601" s="179"/>
      <c r="P1601" s="180"/>
      <c r="Q1601" s="173"/>
      <c r="R1601" s="173"/>
      <c r="S1601" s="174"/>
      <c r="T1601" s="173"/>
      <c r="U1601" s="182"/>
      <c r="V1601" s="177">
        <f>IF(U1601=0,0,IF(T1601="MXN",1/HLOOKUP(YEAR(S1601)+(MONTH(S1601)/100),TC!$5:$37,DAY(S1601)+2,FALSE),VLOOKUP(T1601,Equivalencia!$1:$23,((MAX(Equivalencia!$3:$3)-YEAR(S1601))*14)+MONTH(S1601)+2,FALSE)))</f>
        <v>0</v>
      </c>
      <c r="W1601" s="178">
        <f t="shared" si="188"/>
        <v>0</v>
      </c>
      <c r="X1601" s="481">
        <f t="shared" si="189"/>
        <v>0</v>
      </c>
      <c r="Y1601" s="179"/>
      <c r="Z1601" s="466">
        <f t="shared" si="190"/>
        <v>0</v>
      </c>
      <c r="AA1601" s="473">
        <f t="shared" si="191"/>
        <v>0</v>
      </c>
      <c r="AB1601" s="339">
        <f t="shared" si="192"/>
        <v>0</v>
      </c>
    </row>
    <row r="1602" spans="2:28" ht="20.100000000000001" customHeight="1">
      <c r="B1602" s="172"/>
      <c r="C1602" s="174"/>
      <c r="D1602" s="181"/>
      <c r="E1602" s="173"/>
      <c r="F1602" s="176"/>
      <c r="G1602" s="175">
        <f t="shared" si="183"/>
        <v>0</v>
      </c>
      <c r="H1602" s="175">
        <f t="shared" si="184"/>
        <v>0</v>
      </c>
      <c r="I1602" s="177">
        <f>IF(G1602=0,0,IF(E1602="MXN",1/HLOOKUP(YEAR(C1602)+(MONTH(C1602)/100),TC!$5:$37,DAY(C1602)+2,FALSE),VLOOKUP(E1602,Equivalencia!$5:$23,((MAX(Equivalencia!$3:$3)-YEAR(C1602))*14)+MONTH(C1602)+2,FALSE)))</f>
        <v>0</v>
      </c>
      <c r="J1602" s="178">
        <f t="shared" si="185"/>
        <v>0</v>
      </c>
      <c r="K1602" s="462">
        <f>IF(C1602=0,0,VLOOKUP(YEAR(C1602),INPC!$B$4:$O$29,MONTH(C1602)+1))</f>
        <v>0</v>
      </c>
      <c r="L1602" s="462">
        <f>IF(S1602=0,0,VLOOKUP(YEAR(S1602),INPC!$B$4:$O$29,MONTH(S1602)+1))</f>
        <v>0</v>
      </c>
      <c r="M1602" s="463">
        <f t="shared" si="186"/>
        <v>0</v>
      </c>
      <c r="N1602" s="465">
        <f t="shared" si="187"/>
        <v>0</v>
      </c>
      <c r="O1602" s="179"/>
      <c r="P1602" s="180"/>
      <c r="Q1602" s="173"/>
      <c r="R1602" s="173"/>
      <c r="S1602" s="174"/>
      <c r="T1602" s="173"/>
      <c r="U1602" s="182"/>
      <c r="V1602" s="177">
        <f>IF(U1602=0,0,IF(T1602="MXN",1/HLOOKUP(YEAR(S1602)+(MONTH(S1602)/100),TC!$5:$37,DAY(S1602)+2,FALSE),VLOOKUP(T1602,Equivalencia!$1:$23,((MAX(Equivalencia!$3:$3)-YEAR(S1602))*14)+MONTH(S1602)+2,FALSE)))</f>
        <v>0</v>
      </c>
      <c r="W1602" s="178">
        <f t="shared" si="188"/>
        <v>0</v>
      </c>
      <c r="X1602" s="481">
        <f t="shared" si="189"/>
        <v>0</v>
      </c>
      <c r="Y1602" s="179"/>
      <c r="Z1602" s="466">
        <f t="shared" si="190"/>
        <v>0</v>
      </c>
      <c r="AA1602" s="473">
        <f t="shared" si="191"/>
        <v>0</v>
      </c>
      <c r="AB1602" s="339">
        <f t="shared" si="192"/>
        <v>0</v>
      </c>
    </row>
    <row r="1603" spans="2:28" ht="20.100000000000001" customHeight="1">
      <c r="B1603" s="172"/>
      <c r="C1603" s="174"/>
      <c r="D1603" s="181"/>
      <c r="E1603" s="173"/>
      <c r="F1603" s="176"/>
      <c r="G1603" s="175">
        <f t="shared" si="183"/>
        <v>0</v>
      </c>
      <c r="H1603" s="175">
        <f t="shared" si="184"/>
        <v>0</v>
      </c>
      <c r="I1603" s="177">
        <f>IF(G1603=0,0,IF(E1603="MXN",1/HLOOKUP(YEAR(C1603)+(MONTH(C1603)/100),TC!$5:$37,DAY(C1603)+2,FALSE),VLOOKUP(E1603,Equivalencia!$5:$23,((MAX(Equivalencia!$3:$3)-YEAR(C1603))*14)+MONTH(C1603)+2,FALSE)))</f>
        <v>0</v>
      </c>
      <c r="J1603" s="178">
        <f t="shared" si="185"/>
        <v>0</v>
      </c>
      <c r="K1603" s="462">
        <f>IF(C1603=0,0,VLOOKUP(YEAR(C1603),INPC!$B$4:$O$29,MONTH(C1603)+1))</f>
        <v>0</v>
      </c>
      <c r="L1603" s="462">
        <f>IF(S1603=0,0,VLOOKUP(YEAR(S1603),INPC!$B$4:$O$29,MONTH(S1603)+1))</f>
        <v>0</v>
      </c>
      <c r="M1603" s="463">
        <f t="shared" si="186"/>
        <v>0</v>
      </c>
      <c r="N1603" s="465">
        <f t="shared" si="187"/>
        <v>0</v>
      </c>
      <c r="O1603" s="179"/>
      <c r="P1603" s="180"/>
      <c r="Q1603" s="173"/>
      <c r="R1603" s="173"/>
      <c r="S1603" s="174"/>
      <c r="T1603" s="173"/>
      <c r="U1603" s="182"/>
      <c r="V1603" s="177">
        <f>IF(U1603=0,0,IF(T1603="MXN",1/HLOOKUP(YEAR(S1603)+(MONTH(S1603)/100),TC!$5:$37,DAY(S1603)+2,FALSE),VLOOKUP(T1603,Equivalencia!$1:$23,((MAX(Equivalencia!$3:$3)-YEAR(S1603))*14)+MONTH(S1603)+2,FALSE)))</f>
        <v>0</v>
      </c>
      <c r="W1603" s="178">
        <f t="shared" si="188"/>
        <v>0</v>
      </c>
      <c r="X1603" s="481">
        <f t="shared" si="189"/>
        <v>0</v>
      </c>
      <c r="Y1603" s="179"/>
      <c r="Z1603" s="466">
        <f t="shared" si="190"/>
        <v>0</v>
      </c>
      <c r="AA1603" s="473">
        <f t="shared" si="191"/>
        <v>0</v>
      </c>
      <c r="AB1603" s="339">
        <f t="shared" si="192"/>
        <v>0</v>
      </c>
    </row>
    <row r="1604" spans="2:28" ht="20.100000000000001" customHeight="1">
      <c r="B1604" s="172"/>
      <c r="C1604" s="174"/>
      <c r="D1604" s="181"/>
      <c r="E1604" s="173"/>
      <c r="F1604" s="176"/>
      <c r="G1604" s="175">
        <f t="shared" si="183"/>
        <v>0</v>
      </c>
      <c r="H1604" s="175">
        <f t="shared" si="184"/>
        <v>0</v>
      </c>
      <c r="I1604" s="177">
        <f>IF(G1604=0,0,IF(E1604="MXN",1/HLOOKUP(YEAR(C1604)+(MONTH(C1604)/100),TC!$5:$37,DAY(C1604)+2,FALSE),VLOOKUP(E1604,Equivalencia!$5:$23,((MAX(Equivalencia!$3:$3)-YEAR(C1604))*14)+MONTH(C1604)+2,FALSE)))</f>
        <v>0</v>
      </c>
      <c r="J1604" s="178">
        <f t="shared" si="185"/>
        <v>0</v>
      </c>
      <c r="K1604" s="462">
        <f>IF(C1604=0,0,VLOOKUP(YEAR(C1604),INPC!$B$4:$O$29,MONTH(C1604)+1))</f>
        <v>0</v>
      </c>
      <c r="L1604" s="462">
        <f>IF(S1604=0,0,VLOOKUP(YEAR(S1604),INPC!$B$4:$O$29,MONTH(S1604)+1))</f>
        <v>0</v>
      </c>
      <c r="M1604" s="463">
        <f t="shared" si="186"/>
        <v>0</v>
      </c>
      <c r="N1604" s="465">
        <f t="shared" si="187"/>
        <v>0</v>
      </c>
      <c r="O1604" s="179"/>
      <c r="P1604" s="180"/>
      <c r="Q1604" s="173"/>
      <c r="R1604" s="173"/>
      <c r="S1604" s="174"/>
      <c r="T1604" s="173"/>
      <c r="U1604" s="182"/>
      <c r="V1604" s="177">
        <f>IF(U1604=0,0,IF(T1604="MXN",1/HLOOKUP(YEAR(S1604)+(MONTH(S1604)/100),TC!$5:$37,DAY(S1604)+2,FALSE),VLOOKUP(T1604,Equivalencia!$1:$23,((MAX(Equivalencia!$3:$3)-YEAR(S1604))*14)+MONTH(S1604)+2,FALSE)))</f>
        <v>0</v>
      </c>
      <c r="W1604" s="178">
        <f t="shared" si="188"/>
        <v>0</v>
      </c>
      <c r="X1604" s="481">
        <f t="shared" si="189"/>
        <v>0</v>
      </c>
      <c r="Y1604" s="179"/>
      <c r="Z1604" s="466">
        <f t="shared" si="190"/>
        <v>0</v>
      </c>
      <c r="AA1604" s="473">
        <f t="shared" si="191"/>
        <v>0</v>
      </c>
      <c r="AB1604" s="339">
        <f t="shared" si="192"/>
        <v>0</v>
      </c>
    </row>
    <row r="1605" spans="2:28" ht="20.100000000000001" customHeight="1">
      <c r="B1605" s="172"/>
      <c r="C1605" s="174"/>
      <c r="D1605" s="181"/>
      <c r="E1605" s="173"/>
      <c r="F1605" s="176"/>
      <c r="G1605" s="175">
        <f t="shared" si="183"/>
        <v>0</v>
      </c>
      <c r="H1605" s="175">
        <f t="shared" si="184"/>
        <v>0</v>
      </c>
      <c r="I1605" s="177">
        <f>IF(G1605=0,0,IF(E1605="MXN",1/HLOOKUP(YEAR(C1605)+(MONTH(C1605)/100),TC!$5:$37,DAY(C1605)+2,FALSE),VLOOKUP(E1605,Equivalencia!$5:$23,((MAX(Equivalencia!$3:$3)-YEAR(C1605))*14)+MONTH(C1605)+2,FALSE)))</f>
        <v>0</v>
      </c>
      <c r="J1605" s="178">
        <f t="shared" si="185"/>
        <v>0</v>
      </c>
      <c r="K1605" s="462">
        <f>IF(C1605=0,0,VLOOKUP(YEAR(C1605),INPC!$B$4:$O$29,MONTH(C1605)+1))</f>
        <v>0</v>
      </c>
      <c r="L1605" s="462">
        <f>IF(S1605=0,0,VLOOKUP(YEAR(S1605),INPC!$B$4:$O$29,MONTH(S1605)+1))</f>
        <v>0</v>
      </c>
      <c r="M1605" s="463">
        <f t="shared" si="186"/>
        <v>0</v>
      </c>
      <c r="N1605" s="465">
        <f t="shared" si="187"/>
        <v>0</v>
      </c>
      <c r="O1605" s="179"/>
      <c r="P1605" s="180"/>
      <c r="Q1605" s="173"/>
      <c r="R1605" s="173"/>
      <c r="S1605" s="174"/>
      <c r="T1605" s="173"/>
      <c r="U1605" s="182"/>
      <c r="V1605" s="177">
        <f>IF(U1605=0,0,IF(T1605="MXN",1/HLOOKUP(YEAR(S1605)+(MONTH(S1605)/100),TC!$5:$37,DAY(S1605)+2,FALSE),VLOOKUP(T1605,Equivalencia!$1:$23,((MAX(Equivalencia!$3:$3)-YEAR(S1605))*14)+MONTH(S1605)+2,FALSE)))</f>
        <v>0</v>
      </c>
      <c r="W1605" s="178">
        <f t="shared" si="188"/>
        <v>0</v>
      </c>
      <c r="X1605" s="481">
        <f t="shared" si="189"/>
        <v>0</v>
      </c>
      <c r="Y1605" s="179"/>
      <c r="Z1605" s="466">
        <f t="shared" si="190"/>
        <v>0</v>
      </c>
      <c r="AA1605" s="473">
        <f t="shared" si="191"/>
        <v>0</v>
      </c>
      <c r="AB1605" s="339">
        <f t="shared" si="192"/>
        <v>0</v>
      </c>
    </row>
    <row r="1606" spans="2:28" ht="20.100000000000001" customHeight="1">
      <c r="B1606" s="172"/>
      <c r="C1606" s="174"/>
      <c r="D1606" s="181"/>
      <c r="E1606" s="173"/>
      <c r="F1606" s="176"/>
      <c r="G1606" s="175">
        <f t="shared" si="183"/>
        <v>0</v>
      </c>
      <c r="H1606" s="175">
        <f t="shared" si="184"/>
        <v>0</v>
      </c>
      <c r="I1606" s="177">
        <f>IF(G1606=0,0,IF(E1606="MXN",1/HLOOKUP(YEAR(C1606)+(MONTH(C1606)/100),TC!$5:$37,DAY(C1606)+2,FALSE),VLOOKUP(E1606,Equivalencia!$5:$23,((MAX(Equivalencia!$3:$3)-YEAR(C1606))*14)+MONTH(C1606)+2,FALSE)))</f>
        <v>0</v>
      </c>
      <c r="J1606" s="178">
        <f t="shared" si="185"/>
        <v>0</v>
      </c>
      <c r="K1606" s="462">
        <f>IF(C1606=0,0,VLOOKUP(YEAR(C1606),INPC!$B$4:$O$29,MONTH(C1606)+1))</f>
        <v>0</v>
      </c>
      <c r="L1606" s="462">
        <f>IF(S1606=0,0,VLOOKUP(YEAR(S1606),INPC!$B$4:$O$29,MONTH(S1606)+1))</f>
        <v>0</v>
      </c>
      <c r="M1606" s="463">
        <f t="shared" si="186"/>
        <v>0</v>
      </c>
      <c r="N1606" s="465">
        <f t="shared" si="187"/>
        <v>0</v>
      </c>
      <c r="O1606" s="179"/>
      <c r="P1606" s="180"/>
      <c r="Q1606" s="173"/>
      <c r="R1606" s="173"/>
      <c r="S1606" s="174"/>
      <c r="T1606" s="173"/>
      <c r="U1606" s="182"/>
      <c r="V1606" s="177">
        <f>IF(U1606=0,0,IF(T1606="MXN",1/HLOOKUP(YEAR(S1606)+(MONTH(S1606)/100),TC!$5:$37,DAY(S1606)+2,FALSE),VLOOKUP(T1606,Equivalencia!$1:$23,((MAX(Equivalencia!$3:$3)-YEAR(S1606))*14)+MONTH(S1606)+2,FALSE)))</f>
        <v>0</v>
      </c>
      <c r="W1606" s="178">
        <f t="shared" si="188"/>
        <v>0</v>
      </c>
      <c r="X1606" s="481">
        <f t="shared" si="189"/>
        <v>0</v>
      </c>
      <c r="Y1606" s="179"/>
      <c r="Z1606" s="466">
        <f t="shared" si="190"/>
        <v>0</v>
      </c>
      <c r="AA1606" s="473">
        <f t="shared" si="191"/>
        <v>0</v>
      </c>
      <c r="AB1606" s="339">
        <f t="shared" si="192"/>
        <v>0</v>
      </c>
    </row>
    <row r="1607" spans="2:28" ht="20.100000000000001" customHeight="1">
      <c r="B1607" s="172"/>
      <c r="C1607" s="174"/>
      <c r="D1607" s="181"/>
      <c r="E1607" s="173"/>
      <c r="F1607" s="176"/>
      <c r="G1607" s="175">
        <f t="shared" si="183"/>
        <v>0</v>
      </c>
      <c r="H1607" s="175">
        <f t="shared" si="184"/>
        <v>0</v>
      </c>
      <c r="I1607" s="177">
        <f>IF(G1607=0,0,IF(E1607="MXN",1/HLOOKUP(YEAR(C1607)+(MONTH(C1607)/100),TC!$5:$37,DAY(C1607)+2,FALSE),VLOOKUP(E1607,Equivalencia!$5:$23,((MAX(Equivalencia!$3:$3)-YEAR(C1607))*14)+MONTH(C1607)+2,FALSE)))</f>
        <v>0</v>
      </c>
      <c r="J1607" s="178">
        <f t="shared" si="185"/>
        <v>0</v>
      </c>
      <c r="K1607" s="462">
        <f>IF(C1607=0,0,VLOOKUP(YEAR(C1607),INPC!$B$4:$O$29,MONTH(C1607)+1))</f>
        <v>0</v>
      </c>
      <c r="L1607" s="462">
        <f>IF(S1607=0,0,VLOOKUP(YEAR(S1607),INPC!$B$4:$O$29,MONTH(S1607)+1))</f>
        <v>0</v>
      </c>
      <c r="M1607" s="463">
        <f t="shared" si="186"/>
        <v>0</v>
      </c>
      <c r="N1607" s="465">
        <f t="shared" si="187"/>
        <v>0</v>
      </c>
      <c r="O1607" s="179"/>
      <c r="P1607" s="180"/>
      <c r="Q1607" s="173"/>
      <c r="R1607" s="173"/>
      <c r="S1607" s="174"/>
      <c r="T1607" s="173"/>
      <c r="U1607" s="182"/>
      <c r="V1607" s="177">
        <f>IF(U1607=0,0,IF(T1607="MXN",1/HLOOKUP(YEAR(S1607)+(MONTH(S1607)/100),TC!$5:$37,DAY(S1607)+2,FALSE),VLOOKUP(T1607,Equivalencia!$1:$23,((MAX(Equivalencia!$3:$3)-YEAR(S1607))*14)+MONTH(S1607)+2,FALSE)))</f>
        <v>0</v>
      </c>
      <c r="W1607" s="178">
        <f t="shared" si="188"/>
        <v>0</v>
      </c>
      <c r="X1607" s="481">
        <f t="shared" si="189"/>
        <v>0</v>
      </c>
      <c r="Y1607" s="179"/>
      <c r="Z1607" s="466">
        <f t="shared" si="190"/>
        <v>0</v>
      </c>
      <c r="AA1607" s="473">
        <f t="shared" si="191"/>
        <v>0</v>
      </c>
      <c r="AB1607" s="339">
        <f t="shared" si="192"/>
        <v>0</v>
      </c>
    </row>
    <row r="1608" spans="2:28" ht="20.100000000000001" customHeight="1">
      <c r="B1608" s="172"/>
      <c r="C1608" s="174"/>
      <c r="D1608" s="181"/>
      <c r="E1608" s="173"/>
      <c r="F1608" s="176"/>
      <c r="G1608" s="175">
        <f t="shared" si="183"/>
        <v>0</v>
      </c>
      <c r="H1608" s="175">
        <f t="shared" si="184"/>
        <v>0</v>
      </c>
      <c r="I1608" s="177">
        <f>IF(G1608=0,0,IF(E1608="MXN",1/HLOOKUP(YEAR(C1608)+(MONTH(C1608)/100),TC!$5:$37,DAY(C1608)+2,FALSE),VLOOKUP(E1608,Equivalencia!$5:$23,((MAX(Equivalencia!$3:$3)-YEAR(C1608))*14)+MONTH(C1608)+2,FALSE)))</f>
        <v>0</v>
      </c>
      <c r="J1608" s="178">
        <f t="shared" si="185"/>
        <v>0</v>
      </c>
      <c r="K1608" s="462">
        <f>IF(C1608=0,0,VLOOKUP(YEAR(C1608),INPC!$B$4:$O$29,MONTH(C1608)+1))</f>
        <v>0</v>
      </c>
      <c r="L1608" s="462">
        <f>IF(S1608=0,0,VLOOKUP(YEAR(S1608),INPC!$B$4:$O$29,MONTH(S1608)+1))</f>
        <v>0</v>
      </c>
      <c r="M1608" s="463">
        <f t="shared" si="186"/>
        <v>0</v>
      </c>
      <c r="N1608" s="465">
        <f t="shared" si="187"/>
        <v>0</v>
      </c>
      <c r="O1608" s="179"/>
      <c r="P1608" s="180"/>
      <c r="Q1608" s="173"/>
      <c r="R1608" s="173"/>
      <c r="S1608" s="174"/>
      <c r="T1608" s="173"/>
      <c r="U1608" s="182"/>
      <c r="V1608" s="177">
        <f>IF(U1608=0,0,IF(T1608="MXN",1/HLOOKUP(YEAR(S1608)+(MONTH(S1608)/100),TC!$5:$37,DAY(S1608)+2,FALSE),VLOOKUP(T1608,Equivalencia!$1:$23,((MAX(Equivalencia!$3:$3)-YEAR(S1608))*14)+MONTH(S1608)+2,FALSE)))</f>
        <v>0</v>
      </c>
      <c r="W1608" s="178">
        <f t="shared" si="188"/>
        <v>0</v>
      </c>
      <c r="X1608" s="481">
        <f t="shared" si="189"/>
        <v>0</v>
      </c>
      <c r="Y1608" s="179"/>
      <c r="Z1608" s="466">
        <f t="shared" si="190"/>
        <v>0</v>
      </c>
      <c r="AA1608" s="473">
        <f t="shared" si="191"/>
        <v>0</v>
      </c>
      <c r="AB1608" s="339">
        <f t="shared" si="192"/>
        <v>0</v>
      </c>
    </row>
    <row r="1609" spans="2:28" ht="20.100000000000001" customHeight="1">
      <c r="B1609" s="172"/>
      <c r="C1609" s="174"/>
      <c r="D1609" s="181"/>
      <c r="E1609" s="173"/>
      <c r="F1609" s="176"/>
      <c r="G1609" s="175">
        <f t="shared" si="183"/>
        <v>0</v>
      </c>
      <c r="H1609" s="175">
        <f t="shared" si="184"/>
        <v>0</v>
      </c>
      <c r="I1609" s="177">
        <f>IF(G1609=0,0,IF(E1609="MXN",1/HLOOKUP(YEAR(C1609)+(MONTH(C1609)/100),TC!$5:$37,DAY(C1609)+2,FALSE),VLOOKUP(E1609,Equivalencia!$5:$23,((MAX(Equivalencia!$3:$3)-YEAR(C1609))*14)+MONTH(C1609)+2,FALSE)))</f>
        <v>0</v>
      </c>
      <c r="J1609" s="178">
        <f t="shared" si="185"/>
        <v>0</v>
      </c>
      <c r="K1609" s="462">
        <f>IF(C1609=0,0,VLOOKUP(YEAR(C1609),INPC!$B$4:$O$29,MONTH(C1609)+1))</f>
        <v>0</v>
      </c>
      <c r="L1609" s="462">
        <f>IF(S1609=0,0,VLOOKUP(YEAR(S1609),INPC!$B$4:$O$29,MONTH(S1609)+1))</f>
        <v>0</v>
      </c>
      <c r="M1609" s="463">
        <f t="shared" si="186"/>
        <v>0</v>
      </c>
      <c r="N1609" s="465">
        <f t="shared" si="187"/>
        <v>0</v>
      </c>
      <c r="O1609" s="179"/>
      <c r="P1609" s="180"/>
      <c r="Q1609" s="173"/>
      <c r="R1609" s="173"/>
      <c r="S1609" s="174"/>
      <c r="T1609" s="173"/>
      <c r="U1609" s="182"/>
      <c r="V1609" s="177">
        <f>IF(U1609=0,0,IF(T1609="MXN",1/HLOOKUP(YEAR(S1609)+(MONTH(S1609)/100),TC!$5:$37,DAY(S1609)+2,FALSE),VLOOKUP(T1609,Equivalencia!$1:$23,((MAX(Equivalencia!$3:$3)-YEAR(S1609))*14)+MONTH(S1609)+2,FALSE)))</f>
        <v>0</v>
      </c>
      <c r="W1609" s="178">
        <f t="shared" si="188"/>
        <v>0</v>
      </c>
      <c r="X1609" s="481">
        <f t="shared" si="189"/>
        <v>0</v>
      </c>
      <c r="Y1609" s="179"/>
      <c r="Z1609" s="466">
        <f t="shared" si="190"/>
        <v>0</v>
      </c>
      <c r="AA1609" s="473">
        <f t="shared" si="191"/>
        <v>0</v>
      </c>
      <c r="AB1609" s="339">
        <f t="shared" si="192"/>
        <v>0</v>
      </c>
    </row>
    <row r="1610" spans="2:28" ht="20.100000000000001" customHeight="1">
      <c r="B1610" s="172"/>
      <c r="C1610" s="174"/>
      <c r="D1610" s="181"/>
      <c r="E1610" s="173"/>
      <c r="F1610" s="176"/>
      <c r="G1610" s="175">
        <f t="shared" si="183"/>
        <v>0</v>
      </c>
      <c r="H1610" s="175">
        <f t="shared" si="184"/>
        <v>0</v>
      </c>
      <c r="I1610" s="177">
        <f>IF(G1610=0,0,IF(E1610="MXN",1/HLOOKUP(YEAR(C1610)+(MONTH(C1610)/100),TC!$5:$37,DAY(C1610)+2,FALSE),VLOOKUP(E1610,Equivalencia!$5:$23,((MAX(Equivalencia!$3:$3)-YEAR(C1610))*14)+MONTH(C1610)+2,FALSE)))</f>
        <v>0</v>
      </c>
      <c r="J1610" s="178">
        <f t="shared" si="185"/>
        <v>0</v>
      </c>
      <c r="K1610" s="462">
        <f>IF(C1610=0,0,VLOOKUP(YEAR(C1610),INPC!$B$4:$O$29,MONTH(C1610)+1))</f>
        <v>0</v>
      </c>
      <c r="L1610" s="462">
        <f>IF(S1610=0,0,VLOOKUP(YEAR(S1610),INPC!$B$4:$O$29,MONTH(S1610)+1))</f>
        <v>0</v>
      </c>
      <c r="M1610" s="463">
        <f t="shared" si="186"/>
        <v>0</v>
      </c>
      <c r="N1610" s="465">
        <f t="shared" si="187"/>
        <v>0</v>
      </c>
      <c r="O1610" s="179"/>
      <c r="P1610" s="180"/>
      <c r="Q1610" s="173"/>
      <c r="R1610" s="173"/>
      <c r="S1610" s="174"/>
      <c r="T1610" s="173"/>
      <c r="U1610" s="182"/>
      <c r="V1610" s="177">
        <f>IF(U1610=0,0,IF(T1610="MXN",1/HLOOKUP(YEAR(S1610)+(MONTH(S1610)/100),TC!$5:$37,DAY(S1610)+2,FALSE),VLOOKUP(T1610,Equivalencia!$1:$23,((MAX(Equivalencia!$3:$3)-YEAR(S1610))*14)+MONTH(S1610)+2,FALSE)))</f>
        <v>0</v>
      </c>
      <c r="W1610" s="178">
        <f t="shared" si="188"/>
        <v>0</v>
      </c>
      <c r="X1610" s="481">
        <f t="shared" si="189"/>
        <v>0</v>
      </c>
      <c r="Y1610" s="179"/>
      <c r="Z1610" s="466">
        <f t="shared" si="190"/>
        <v>0</v>
      </c>
      <c r="AA1610" s="473">
        <f t="shared" si="191"/>
        <v>0</v>
      </c>
      <c r="AB1610" s="339">
        <f t="shared" si="192"/>
        <v>0</v>
      </c>
    </row>
    <row r="1611" spans="2:28" ht="20.100000000000001" customHeight="1">
      <c r="B1611" s="172"/>
      <c r="C1611" s="174"/>
      <c r="D1611" s="181"/>
      <c r="E1611" s="173"/>
      <c r="F1611" s="176"/>
      <c r="G1611" s="175">
        <f t="shared" si="183"/>
        <v>0</v>
      </c>
      <c r="H1611" s="175">
        <f t="shared" si="184"/>
        <v>0</v>
      </c>
      <c r="I1611" s="177">
        <f>IF(G1611=0,0,IF(E1611="MXN",1/HLOOKUP(YEAR(C1611)+(MONTH(C1611)/100),TC!$5:$37,DAY(C1611)+2,FALSE),VLOOKUP(E1611,Equivalencia!$5:$23,((MAX(Equivalencia!$3:$3)-YEAR(C1611))*14)+MONTH(C1611)+2,FALSE)))</f>
        <v>0</v>
      </c>
      <c r="J1611" s="178">
        <f t="shared" si="185"/>
        <v>0</v>
      </c>
      <c r="K1611" s="462">
        <f>IF(C1611=0,0,VLOOKUP(YEAR(C1611),INPC!$B$4:$O$29,MONTH(C1611)+1))</f>
        <v>0</v>
      </c>
      <c r="L1611" s="462">
        <f>IF(S1611=0,0,VLOOKUP(YEAR(S1611),INPC!$B$4:$O$29,MONTH(S1611)+1))</f>
        <v>0</v>
      </c>
      <c r="M1611" s="463">
        <f t="shared" si="186"/>
        <v>0</v>
      </c>
      <c r="N1611" s="465">
        <f t="shared" si="187"/>
        <v>0</v>
      </c>
      <c r="O1611" s="179"/>
      <c r="P1611" s="180"/>
      <c r="Q1611" s="173"/>
      <c r="R1611" s="173"/>
      <c r="S1611" s="174"/>
      <c r="T1611" s="173"/>
      <c r="U1611" s="182"/>
      <c r="V1611" s="177">
        <f>IF(U1611=0,0,IF(T1611="MXN",1/HLOOKUP(YEAR(S1611)+(MONTH(S1611)/100),TC!$5:$37,DAY(S1611)+2,FALSE),VLOOKUP(T1611,Equivalencia!$1:$23,((MAX(Equivalencia!$3:$3)-YEAR(S1611))*14)+MONTH(S1611)+2,FALSE)))</f>
        <v>0</v>
      </c>
      <c r="W1611" s="178">
        <f t="shared" si="188"/>
        <v>0</v>
      </c>
      <c r="X1611" s="481">
        <f t="shared" si="189"/>
        <v>0</v>
      </c>
      <c r="Y1611" s="179"/>
      <c r="Z1611" s="466">
        <f t="shared" si="190"/>
        <v>0</v>
      </c>
      <c r="AA1611" s="473">
        <f t="shared" si="191"/>
        <v>0</v>
      </c>
      <c r="AB1611" s="339">
        <f t="shared" si="192"/>
        <v>0</v>
      </c>
    </row>
    <row r="1612" spans="2:28" ht="20.100000000000001" customHeight="1">
      <c r="B1612" s="172"/>
      <c r="C1612" s="174"/>
      <c r="D1612" s="181"/>
      <c r="E1612" s="173"/>
      <c r="F1612" s="176"/>
      <c r="G1612" s="175">
        <f t="shared" si="183"/>
        <v>0</v>
      </c>
      <c r="H1612" s="175">
        <f t="shared" si="184"/>
        <v>0</v>
      </c>
      <c r="I1612" s="177">
        <f>IF(G1612=0,0,IF(E1612="MXN",1/HLOOKUP(YEAR(C1612)+(MONTH(C1612)/100),TC!$5:$37,DAY(C1612)+2,FALSE),VLOOKUP(E1612,Equivalencia!$5:$23,((MAX(Equivalencia!$3:$3)-YEAR(C1612))*14)+MONTH(C1612)+2,FALSE)))</f>
        <v>0</v>
      </c>
      <c r="J1612" s="178">
        <f t="shared" si="185"/>
        <v>0</v>
      </c>
      <c r="K1612" s="462">
        <f>IF(C1612=0,0,VLOOKUP(YEAR(C1612),INPC!$B$4:$O$29,MONTH(C1612)+1))</f>
        <v>0</v>
      </c>
      <c r="L1612" s="462">
        <f>IF(S1612=0,0,VLOOKUP(YEAR(S1612),INPC!$B$4:$O$29,MONTH(S1612)+1))</f>
        <v>0</v>
      </c>
      <c r="M1612" s="463">
        <f t="shared" si="186"/>
        <v>0</v>
      </c>
      <c r="N1612" s="465">
        <f t="shared" si="187"/>
        <v>0</v>
      </c>
      <c r="O1612" s="179"/>
      <c r="P1612" s="180"/>
      <c r="Q1612" s="173"/>
      <c r="R1612" s="173"/>
      <c r="S1612" s="174"/>
      <c r="T1612" s="173"/>
      <c r="U1612" s="182"/>
      <c r="V1612" s="177">
        <f>IF(U1612=0,0,IF(T1612="MXN",1/HLOOKUP(YEAR(S1612)+(MONTH(S1612)/100),TC!$5:$37,DAY(S1612)+2,FALSE),VLOOKUP(T1612,Equivalencia!$1:$23,((MAX(Equivalencia!$3:$3)-YEAR(S1612))*14)+MONTH(S1612)+2,FALSE)))</f>
        <v>0</v>
      </c>
      <c r="W1612" s="178">
        <f t="shared" si="188"/>
        <v>0</v>
      </c>
      <c r="X1612" s="481">
        <f t="shared" si="189"/>
        <v>0</v>
      </c>
      <c r="Y1612" s="179"/>
      <c r="Z1612" s="466">
        <f t="shared" si="190"/>
        <v>0</v>
      </c>
      <c r="AA1612" s="473">
        <f t="shared" si="191"/>
        <v>0</v>
      </c>
      <c r="AB1612" s="339">
        <f t="shared" si="192"/>
        <v>0</v>
      </c>
    </row>
    <row r="1613" spans="2:28" ht="20.100000000000001" customHeight="1">
      <c r="B1613" s="172"/>
      <c r="C1613" s="174"/>
      <c r="D1613" s="181"/>
      <c r="E1613" s="173"/>
      <c r="F1613" s="176"/>
      <c r="G1613" s="175">
        <f t="shared" si="183"/>
        <v>0</v>
      </c>
      <c r="H1613" s="175">
        <f t="shared" si="184"/>
        <v>0</v>
      </c>
      <c r="I1613" s="177">
        <f>IF(G1613=0,0,IF(E1613="MXN",1/HLOOKUP(YEAR(C1613)+(MONTH(C1613)/100),TC!$5:$37,DAY(C1613)+2,FALSE),VLOOKUP(E1613,Equivalencia!$5:$23,((MAX(Equivalencia!$3:$3)-YEAR(C1613))*14)+MONTH(C1613)+2,FALSE)))</f>
        <v>0</v>
      </c>
      <c r="J1613" s="178">
        <f t="shared" si="185"/>
        <v>0</v>
      </c>
      <c r="K1613" s="462">
        <f>IF(C1613=0,0,VLOOKUP(YEAR(C1613),INPC!$B$4:$O$29,MONTH(C1613)+1))</f>
        <v>0</v>
      </c>
      <c r="L1613" s="462">
        <f>IF(S1613=0,0,VLOOKUP(YEAR(S1613),INPC!$B$4:$O$29,MONTH(S1613)+1))</f>
        <v>0</v>
      </c>
      <c r="M1613" s="463">
        <f t="shared" si="186"/>
        <v>0</v>
      </c>
      <c r="N1613" s="465">
        <f t="shared" si="187"/>
        <v>0</v>
      </c>
      <c r="O1613" s="179"/>
      <c r="P1613" s="180"/>
      <c r="Q1613" s="173"/>
      <c r="R1613" s="173"/>
      <c r="S1613" s="174"/>
      <c r="T1613" s="173"/>
      <c r="U1613" s="182"/>
      <c r="V1613" s="177">
        <f>IF(U1613=0,0,IF(T1613="MXN",1/HLOOKUP(YEAR(S1613)+(MONTH(S1613)/100),TC!$5:$37,DAY(S1613)+2,FALSE),VLOOKUP(T1613,Equivalencia!$1:$23,((MAX(Equivalencia!$3:$3)-YEAR(S1613))*14)+MONTH(S1613)+2,FALSE)))</f>
        <v>0</v>
      </c>
      <c r="W1613" s="178">
        <f t="shared" si="188"/>
        <v>0</v>
      </c>
      <c r="X1613" s="481">
        <f t="shared" si="189"/>
        <v>0</v>
      </c>
      <c r="Y1613" s="179"/>
      <c r="Z1613" s="466">
        <f t="shared" si="190"/>
        <v>0</v>
      </c>
      <c r="AA1613" s="473">
        <f t="shared" si="191"/>
        <v>0</v>
      </c>
      <c r="AB1613" s="339">
        <f t="shared" si="192"/>
        <v>0</v>
      </c>
    </row>
    <row r="1614" spans="2:28" ht="20.100000000000001" customHeight="1">
      <c r="B1614" s="172"/>
      <c r="C1614" s="174"/>
      <c r="D1614" s="181"/>
      <c r="E1614" s="173"/>
      <c r="F1614" s="176"/>
      <c r="G1614" s="175">
        <f t="shared" si="183"/>
        <v>0</v>
      </c>
      <c r="H1614" s="175">
        <f t="shared" si="184"/>
        <v>0</v>
      </c>
      <c r="I1614" s="177">
        <f>IF(G1614=0,0,IF(E1614="MXN",1/HLOOKUP(YEAR(C1614)+(MONTH(C1614)/100),TC!$5:$37,DAY(C1614)+2,FALSE),VLOOKUP(E1614,Equivalencia!$5:$23,((MAX(Equivalencia!$3:$3)-YEAR(C1614))*14)+MONTH(C1614)+2,FALSE)))</f>
        <v>0</v>
      </c>
      <c r="J1614" s="178">
        <f t="shared" si="185"/>
        <v>0</v>
      </c>
      <c r="K1614" s="462">
        <f>IF(C1614=0,0,VLOOKUP(YEAR(C1614),INPC!$B$4:$O$29,MONTH(C1614)+1))</f>
        <v>0</v>
      </c>
      <c r="L1614" s="462">
        <f>IF(S1614=0,0,VLOOKUP(YEAR(S1614),INPC!$B$4:$O$29,MONTH(S1614)+1))</f>
        <v>0</v>
      </c>
      <c r="M1614" s="463">
        <f t="shared" si="186"/>
        <v>0</v>
      </c>
      <c r="N1614" s="465">
        <f t="shared" si="187"/>
        <v>0</v>
      </c>
      <c r="O1614" s="179"/>
      <c r="P1614" s="180"/>
      <c r="Q1614" s="173"/>
      <c r="R1614" s="173"/>
      <c r="S1614" s="174"/>
      <c r="T1614" s="173"/>
      <c r="U1614" s="182"/>
      <c r="V1614" s="177">
        <f>IF(U1614=0,0,IF(T1614="MXN",1/HLOOKUP(YEAR(S1614)+(MONTH(S1614)/100),TC!$5:$37,DAY(S1614)+2,FALSE),VLOOKUP(T1614,Equivalencia!$1:$23,((MAX(Equivalencia!$3:$3)-YEAR(S1614))*14)+MONTH(S1614)+2,FALSE)))</f>
        <v>0</v>
      </c>
      <c r="W1614" s="178">
        <f t="shared" si="188"/>
        <v>0</v>
      </c>
      <c r="X1614" s="481">
        <f t="shared" si="189"/>
        <v>0</v>
      </c>
      <c r="Y1614" s="179"/>
      <c r="Z1614" s="466">
        <f t="shared" si="190"/>
        <v>0</v>
      </c>
      <c r="AA1614" s="473">
        <f t="shared" si="191"/>
        <v>0</v>
      </c>
      <c r="AB1614" s="339">
        <f t="shared" si="192"/>
        <v>0</v>
      </c>
    </row>
    <row r="1615" spans="2:28" ht="20.100000000000001" customHeight="1">
      <c r="B1615" s="172"/>
      <c r="C1615" s="174"/>
      <c r="D1615" s="181"/>
      <c r="E1615" s="173"/>
      <c r="F1615" s="176"/>
      <c r="G1615" s="175">
        <f t="shared" si="183"/>
        <v>0</v>
      </c>
      <c r="H1615" s="175">
        <f t="shared" si="184"/>
        <v>0</v>
      </c>
      <c r="I1615" s="177">
        <f>IF(G1615=0,0,IF(E1615="MXN",1/HLOOKUP(YEAR(C1615)+(MONTH(C1615)/100),TC!$5:$37,DAY(C1615)+2,FALSE),VLOOKUP(E1615,Equivalencia!$5:$23,((MAX(Equivalencia!$3:$3)-YEAR(C1615))*14)+MONTH(C1615)+2,FALSE)))</f>
        <v>0</v>
      </c>
      <c r="J1615" s="178">
        <f t="shared" si="185"/>
        <v>0</v>
      </c>
      <c r="K1615" s="462">
        <f>IF(C1615=0,0,VLOOKUP(YEAR(C1615),INPC!$B$4:$O$29,MONTH(C1615)+1))</f>
        <v>0</v>
      </c>
      <c r="L1615" s="462">
        <f>IF(S1615=0,0,VLOOKUP(YEAR(S1615),INPC!$B$4:$O$29,MONTH(S1615)+1))</f>
        <v>0</v>
      </c>
      <c r="M1615" s="463">
        <f t="shared" si="186"/>
        <v>0</v>
      </c>
      <c r="N1615" s="465">
        <f t="shared" si="187"/>
        <v>0</v>
      </c>
      <c r="O1615" s="179"/>
      <c r="P1615" s="180"/>
      <c r="Q1615" s="173"/>
      <c r="R1615" s="173"/>
      <c r="S1615" s="174"/>
      <c r="T1615" s="173"/>
      <c r="U1615" s="182"/>
      <c r="V1615" s="177">
        <f>IF(U1615=0,0,IF(T1615="MXN",1/HLOOKUP(YEAR(S1615)+(MONTH(S1615)/100),TC!$5:$37,DAY(S1615)+2,FALSE),VLOOKUP(T1615,Equivalencia!$1:$23,((MAX(Equivalencia!$3:$3)-YEAR(S1615))*14)+MONTH(S1615)+2,FALSE)))</f>
        <v>0</v>
      </c>
      <c r="W1615" s="178">
        <f t="shared" si="188"/>
        <v>0</v>
      </c>
      <c r="X1615" s="481">
        <f t="shared" si="189"/>
        <v>0</v>
      </c>
      <c r="Y1615" s="179"/>
      <c r="Z1615" s="466">
        <f t="shared" si="190"/>
        <v>0</v>
      </c>
      <c r="AA1615" s="473">
        <f t="shared" si="191"/>
        <v>0</v>
      </c>
      <c r="AB1615" s="339">
        <f t="shared" si="192"/>
        <v>0</v>
      </c>
    </row>
    <row r="1616" spans="2:28" ht="20.100000000000001" customHeight="1">
      <c r="B1616" s="172"/>
      <c r="C1616" s="174"/>
      <c r="D1616" s="181"/>
      <c r="E1616" s="173"/>
      <c r="F1616" s="176"/>
      <c r="G1616" s="175">
        <f t="shared" si="183"/>
        <v>0</v>
      </c>
      <c r="H1616" s="175">
        <f t="shared" si="184"/>
        <v>0</v>
      </c>
      <c r="I1616" s="177">
        <f>IF(G1616=0,0,IF(E1616="MXN",1/HLOOKUP(YEAR(C1616)+(MONTH(C1616)/100),TC!$5:$37,DAY(C1616)+2,FALSE),VLOOKUP(E1616,Equivalencia!$5:$23,((MAX(Equivalencia!$3:$3)-YEAR(C1616))*14)+MONTH(C1616)+2,FALSE)))</f>
        <v>0</v>
      </c>
      <c r="J1616" s="178">
        <f t="shared" si="185"/>
        <v>0</v>
      </c>
      <c r="K1616" s="462">
        <f>IF(C1616=0,0,VLOOKUP(YEAR(C1616),INPC!$B$4:$O$29,MONTH(C1616)+1))</f>
        <v>0</v>
      </c>
      <c r="L1616" s="462">
        <f>IF(S1616=0,0,VLOOKUP(YEAR(S1616),INPC!$B$4:$O$29,MONTH(S1616)+1))</f>
        <v>0</v>
      </c>
      <c r="M1616" s="463">
        <f t="shared" si="186"/>
        <v>0</v>
      </c>
      <c r="N1616" s="465">
        <f t="shared" si="187"/>
        <v>0</v>
      </c>
      <c r="O1616" s="179"/>
      <c r="P1616" s="180"/>
      <c r="Q1616" s="173"/>
      <c r="R1616" s="173"/>
      <c r="S1616" s="174"/>
      <c r="T1616" s="173"/>
      <c r="U1616" s="182"/>
      <c r="V1616" s="177">
        <f>IF(U1616=0,0,IF(T1616="MXN",1/HLOOKUP(YEAR(S1616)+(MONTH(S1616)/100),TC!$5:$37,DAY(S1616)+2,FALSE),VLOOKUP(T1616,Equivalencia!$1:$23,((MAX(Equivalencia!$3:$3)-YEAR(S1616))*14)+MONTH(S1616)+2,FALSE)))</f>
        <v>0</v>
      </c>
      <c r="W1616" s="178">
        <f t="shared" si="188"/>
        <v>0</v>
      </c>
      <c r="X1616" s="481">
        <f t="shared" si="189"/>
        <v>0</v>
      </c>
      <c r="Y1616" s="179"/>
      <c r="Z1616" s="466">
        <f t="shared" si="190"/>
        <v>0</v>
      </c>
      <c r="AA1616" s="473">
        <f t="shared" si="191"/>
        <v>0</v>
      </c>
      <c r="AB1616" s="339">
        <f t="shared" si="192"/>
        <v>0</v>
      </c>
    </row>
    <row r="1617" spans="2:28" ht="20.100000000000001" customHeight="1">
      <c r="B1617" s="172"/>
      <c r="C1617" s="174"/>
      <c r="D1617" s="181"/>
      <c r="E1617" s="173"/>
      <c r="F1617" s="176"/>
      <c r="G1617" s="175">
        <f t="shared" si="183"/>
        <v>0</v>
      </c>
      <c r="H1617" s="175">
        <f t="shared" si="184"/>
        <v>0</v>
      </c>
      <c r="I1617" s="177">
        <f>IF(G1617=0,0,IF(E1617="MXN",1/HLOOKUP(YEAR(C1617)+(MONTH(C1617)/100),TC!$5:$37,DAY(C1617)+2,FALSE),VLOOKUP(E1617,Equivalencia!$5:$23,((MAX(Equivalencia!$3:$3)-YEAR(C1617))*14)+MONTH(C1617)+2,FALSE)))</f>
        <v>0</v>
      </c>
      <c r="J1617" s="178">
        <f t="shared" si="185"/>
        <v>0</v>
      </c>
      <c r="K1617" s="462">
        <f>IF(C1617=0,0,VLOOKUP(YEAR(C1617),INPC!$B$4:$O$29,MONTH(C1617)+1))</f>
        <v>0</v>
      </c>
      <c r="L1617" s="462">
        <f>IF(S1617=0,0,VLOOKUP(YEAR(S1617),INPC!$B$4:$O$29,MONTH(S1617)+1))</f>
        <v>0</v>
      </c>
      <c r="M1617" s="463">
        <f t="shared" si="186"/>
        <v>0</v>
      </c>
      <c r="N1617" s="465">
        <f t="shared" si="187"/>
        <v>0</v>
      </c>
      <c r="O1617" s="179"/>
      <c r="P1617" s="180"/>
      <c r="Q1617" s="173"/>
      <c r="R1617" s="173"/>
      <c r="S1617" s="174"/>
      <c r="T1617" s="173"/>
      <c r="U1617" s="182"/>
      <c r="V1617" s="177">
        <f>IF(U1617=0,0,IF(T1617="MXN",1/HLOOKUP(YEAR(S1617)+(MONTH(S1617)/100),TC!$5:$37,DAY(S1617)+2,FALSE),VLOOKUP(T1617,Equivalencia!$1:$23,((MAX(Equivalencia!$3:$3)-YEAR(S1617))*14)+MONTH(S1617)+2,FALSE)))</f>
        <v>0</v>
      </c>
      <c r="W1617" s="178">
        <f t="shared" si="188"/>
        <v>0</v>
      </c>
      <c r="X1617" s="481">
        <f t="shared" si="189"/>
        <v>0</v>
      </c>
      <c r="Y1617" s="179"/>
      <c r="Z1617" s="466">
        <f t="shared" si="190"/>
        <v>0</v>
      </c>
      <c r="AA1617" s="473">
        <f t="shared" si="191"/>
        <v>0</v>
      </c>
      <c r="AB1617" s="339">
        <f t="shared" si="192"/>
        <v>0</v>
      </c>
    </row>
    <row r="1618" spans="2:28" ht="20.100000000000001" customHeight="1">
      <c r="B1618" s="172"/>
      <c r="C1618" s="174"/>
      <c r="D1618" s="181"/>
      <c r="E1618" s="173"/>
      <c r="F1618" s="176"/>
      <c r="G1618" s="175">
        <f t="shared" si="183"/>
        <v>0</v>
      </c>
      <c r="H1618" s="175">
        <f t="shared" si="184"/>
        <v>0</v>
      </c>
      <c r="I1618" s="177">
        <f>IF(G1618=0,0,IF(E1618="MXN",1/HLOOKUP(YEAR(C1618)+(MONTH(C1618)/100),TC!$5:$37,DAY(C1618)+2,FALSE),VLOOKUP(E1618,Equivalencia!$5:$23,((MAX(Equivalencia!$3:$3)-YEAR(C1618))*14)+MONTH(C1618)+2,FALSE)))</f>
        <v>0</v>
      </c>
      <c r="J1618" s="178">
        <f t="shared" si="185"/>
        <v>0</v>
      </c>
      <c r="K1618" s="462">
        <f>IF(C1618=0,0,VLOOKUP(YEAR(C1618),INPC!$B$4:$O$29,MONTH(C1618)+1))</f>
        <v>0</v>
      </c>
      <c r="L1618" s="462">
        <f>IF(S1618=0,0,VLOOKUP(YEAR(S1618),INPC!$B$4:$O$29,MONTH(S1618)+1))</f>
        <v>0</v>
      </c>
      <c r="M1618" s="463">
        <f t="shared" si="186"/>
        <v>0</v>
      </c>
      <c r="N1618" s="465">
        <f t="shared" si="187"/>
        <v>0</v>
      </c>
      <c r="O1618" s="179"/>
      <c r="P1618" s="180"/>
      <c r="Q1618" s="173"/>
      <c r="R1618" s="173"/>
      <c r="S1618" s="174"/>
      <c r="T1618" s="173"/>
      <c r="U1618" s="182"/>
      <c r="V1618" s="177">
        <f>IF(U1618=0,0,IF(T1618="MXN",1/HLOOKUP(YEAR(S1618)+(MONTH(S1618)/100),TC!$5:$37,DAY(S1618)+2,FALSE),VLOOKUP(T1618,Equivalencia!$1:$23,((MAX(Equivalencia!$3:$3)-YEAR(S1618))*14)+MONTH(S1618)+2,FALSE)))</f>
        <v>0</v>
      </c>
      <c r="W1618" s="178">
        <f t="shared" si="188"/>
        <v>0</v>
      </c>
      <c r="X1618" s="481">
        <f t="shared" si="189"/>
        <v>0</v>
      </c>
      <c r="Y1618" s="179"/>
      <c r="Z1618" s="466">
        <f t="shared" si="190"/>
        <v>0</v>
      </c>
      <c r="AA1618" s="473">
        <f t="shared" si="191"/>
        <v>0</v>
      </c>
      <c r="AB1618" s="339">
        <f t="shared" si="192"/>
        <v>0</v>
      </c>
    </row>
    <row r="1619" spans="2:28" ht="20.100000000000001" customHeight="1">
      <c r="B1619" s="172"/>
      <c r="C1619" s="174"/>
      <c r="D1619" s="181"/>
      <c r="E1619" s="173"/>
      <c r="F1619" s="176"/>
      <c r="G1619" s="175">
        <f t="shared" si="183"/>
        <v>0</v>
      </c>
      <c r="H1619" s="175">
        <f t="shared" si="184"/>
        <v>0</v>
      </c>
      <c r="I1619" s="177">
        <f>IF(G1619=0,0,IF(E1619="MXN",1/HLOOKUP(YEAR(C1619)+(MONTH(C1619)/100),TC!$5:$37,DAY(C1619)+2,FALSE),VLOOKUP(E1619,Equivalencia!$5:$23,((MAX(Equivalencia!$3:$3)-YEAR(C1619))*14)+MONTH(C1619)+2,FALSE)))</f>
        <v>0</v>
      </c>
      <c r="J1619" s="178">
        <f t="shared" si="185"/>
        <v>0</v>
      </c>
      <c r="K1619" s="462">
        <f>IF(C1619=0,0,VLOOKUP(YEAR(C1619),INPC!$B$4:$O$29,MONTH(C1619)+1))</f>
        <v>0</v>
      </c>
      <c r="L1619" s="462">
        <f>IF(S1619=0,0,VLOOKUP(YEAR(S1619),INPC!$B$4:$O$29,MONTH(S1619)+1))</f>
        <v>0</v>
      </c>
      <c r="M1619" s="463">
        <f t="shared" si="186"/>
        <v>0</v>
      </c>
      <c r="N1619" s="465">
        <f t="shared" si="187"/>
        <v>0</v>
      </c>
      <c r="O1619" s="179"/>
      <c r="P1619" s="180"/>
      <c r="Q1619" s="173"/>
      <c r="R1619" s="173"/>
      <c r="S1619" s="174"/>
      <c r="T1619" s="173"/>
      <c r="U1619" s="182"/>
      <c r="V1619" s="177">
        <f>IF(U1619=0,0,IF(T1619="MXN",1/HLOOKUP(YEAR(S1619)+(MONTH(S1619)/100),TC!$5:$37,DAY(S1619)+2,FALSE),VLOOKUP(T1619,Equivalencia!$1:$23,((MAX(Equivalencia!$3:$3)-YEAR(S1619))*14)+MONTH(S1619)+2,FALSE)))</f>
        <v>0</v>
      </c>
      <c r="W1619" s="178">
        <f t="shared" si="188"/>
        <v>0</v>
      </c>
      <c r="X1619" s="481">
        <f t="shared" si="189"/>
        <v>0</v>
      </c>
      <c r="Y1619" s="179"/>
      <c r="Z1619" s="466">
        <f t="shared" si="190"/>
        <v>0</v>
      </c>
      <c r="AA1619" s="473">
        <f t="shared" si="191"/>
        <v>0</v>
      </c>
      <c r="AB1619" s="339">
        <f t="shared" si="192"/>
        <v>0</v>
      </c>
    </row>
    <row r="1620" spans="2:28" ht="20.100000000000001" customHeight="1">
      <c r="B1620" s="172"/>
      <c r="C1620" s="174"/>
      <c r="D1620" s="181"/>
      <c r="E1620" s="173"/>
      <c r="F1620" s="176"/>
      <c r="G1620" s="175">
        <f t="shared" si="183"/>
        <v>0</v>
      </c>
      <c r="H1620" s="175">
        <f t="shared" si="184"/>
        <v>0</v>
      </c>
      <c r="I1620" s="177">
        <f>IF(G1620=0,0,IF(E1620="MXN",1/HLOOKUP(YEAR(C1620)+(MONTH(C1620)/100),TC!$5:$37,DAY(C1620)+2,FALSE),VLOOKUP(E1620,Equivalencia!$5:$23,((MAX(Equivalencia!$3:$3)-YEAR(C1620))*14)+MONTH(C1620)+2,FALSE)))</f>
        <v>0</v>
      </c>
      <c r="J1620" s="178">
        <f t="shared" si="185"/>
        <v>0</v>
      </c>
      <c r="K1620" s="462">
        <f>IF(C1620=0,0,VLOOKUP(YEAR(C1620),INPC!$B$4:$O$29,MONTH(C1620)+1))</f>
        <v>0</v>
      </c>
      <c r="L1620" s="462">
        <f>IF(S1620=0,0,VLOOKUP(YEAR(S1620),INPC!$B$4:$O$29,MONTH(S1620)+1))</f>
        <v>0</v>
      </c>
      <c r="M1620" s="463">
        <f t="shared" si="186"/>
        <v>0</v>
      </c>
      <c r="N1620" s="465">
        <f t="shared" si="187"/>
        <v>0</v>
      </c>
      <c r="O1620" s="179"/>
      <c r="P1620" s="180"/>
      <c r="Q1620" s="173"/>
      <c r="R1620" s="173"/>
      <c r="S1620" s="174"/>
      <c r="T1620" s="173"/>
      <c r="U1620" s="182"/>
      <c r="V1620" s="177">
        <f>IF(U1620=0,0,IF(T1620="MXN",1/HLOOKUP(YEAR(S1620)+(MONTH(S1620)/100),TC!$5:$37,DAY(S1620)+2,FALSE),VLOOKUP(T1620,Equivalencia!$1:$23,((MAX(Equivalencia!$3:$3)-YEAR(S1620))*14)+MONTH(S1620)+2,FALSE)))</f>
        <v>0</v>
      </c>
      <c r="W1620" s="178">
        <f t="shared" si="188"/>
        <v>0</v>
      </c>
      <c r="X1620" s="481">
        <f t="shared" si="189"/>
        <v>0</v>
      </c>
      <c r="Y1620" s="179"/>
      <c r="Z1620" s="466">
        <f t="shared" si="190"/>
        <v>0</v>
      </c>
      <c r="AA1620" s="473">
        <f t="shared" si="191"/>
        <v>0</v>
      </c>
      <c r="AB1620" s="339">
        <f t="shared" si="192"/>
        <v>0</v>
      </c>
    </row>
    <row r="1621" spans="2:28" ht="20.100000000000001" customHeight="1">
      <c r="B1621" s="172"/>
      <c r="C1621" s="174"/>
      <c r="D1621" s="181"/>
      <c r="E1621" s="173"/>
      <c r="F1621" s="176"/>
      <c r="G1621" s="175">
        <f t="shared" si="183"/>
        <v>0</v>
      </c>
      <c r="H1621" s="175">
        <f t="shared" si="184"/>
        <v>0</v>
      </c>
      <c r="I1621" s="177">
        <f>IF(G1621=0,0,IF(E1621="MXN",1/HLOOKUP(YEAR(C1621)+(MONTH(C1621)/100),TC!$5:$37,DAY(C1621)+2,FALSE),VLOOKUP(E1621,Equivalencia!$5:$23,((MAX(Equivalencia!$3:$3)-YEAR(C1621))*14)+MONTH(C1621)+2,FALSE)))</f>
        <v>0</v>
      </c>
      <c r="J1621" s="178">
        <f t="shared" si="185"/>
        <v>0</v>
      </c>
      <c r="K1621" s="462">
        <f>IF(C1621=0,0,VLOOKUP(YEAR(C1621),INPC!$B$4:$O$29,MONTH(C1621)+1))</f>
        <v>0</v>
      </c>
      <c r="L1621" s="462">
        <f>IF(S1621=0,0,VLOOKUP(YEAR(S1621),INPC!$B$4:$O$29,MONTH(S1621)+1))</f>
        <v>0</v>
      </c>
      <c r="M1621" s="463">
        <f t="shared" si="186"/>
        <v>0</v>
      </c>
      <c r="N1621" s="465">
        <f t="shared" si="187"/>
        <v>0</v>
      </c>
      <c r="O1621" s="179"/>
      <c r="P1621" s="180"/>
      <c r="Q1621" s="173"/>
      <c r="R1621" s="173"/>
      <c r="S1621" s="174"/>
      <c r="T1621" s="173"/>
      <c r="U1621" s="182"/>
      <c r="V1621" s="177">
        <f>IF(U1621=0,0,IF(T1621="MXN",1/HLOOKUP(YEAR(S1621)+(MONTH(S1621)/100),TC!$5:$37,DAY(S1621)+2,FALSE),VLOOKUP(T1621,Equivalencia!$1:$23,((MAX(Equivalencia!$3:$3)-YEAR(S1621))*14)+MONTH(S1621)+2,FALSE)))</f>
        <v>0</v>
      </c>
      <c r="W1621" s="178">
        <f t="shared" si="188"/>
        <v>0</v>
      </c>
      <c r="X1621" s="481">
        <f t="shared" si="189"/>
        <v>0</v>
      </c>
      <c r="Y1621" s="179"/>
      <c r="Z1621" s="466">
        <f t="shared" si="190"/>
        <v>0</v>
      </c>
      <c r="AA1621" s="473">
        <f t="shared" si="191"/>
        <v>0</v>
      </c>
      <c r="AB1621" s="339">
        <f t="shared" si="192"/>
        <v>0</v>
      </c>
    </row>
    <row r="1622" spans="2:28" ht="20.100000000000001" customHeight="1">
      <c r="B1622" s="172"/>
      <c r="C1622" s="174"/>
      <c r="D1622" s="181"/>
      <c r="E1622" s="173"/>
      <c r="F1622" s="176"/>
      <c r="G1622" s="175">
        <f t="shared" si="183"/>
        <v>0</v>
      </c>
      <c r="H1622" s="175">
        <f t="shared" si="184"/>
        <v>0</v>
      </c>
      <c r="I1622" s="177">
        <f>IF(G1622=0,0,IF(E1622="MXN",1/HLOOKUP(YEAR(C1622)+(MONTH(C1622)/100),TC!$5:$37,DAY(C1622)+2,FALSE),VLOOKUP(E1622,Equivalencia!$5:$23,((MAX(Equivalencia!$3:$3)-YEAR(C1622))*14)+MONTH(C1622)+2,FALSE)))</f>
        <v>0</v>
      </c>
      <c r="J1622" s="178">
        <f t="shared" si="185"/>
        <v>0</v>
      </c>
      <c r="K1622" s="462">
        <f>IF(C1622=0,0,VLOOKUP(YEAR(C1622),INPC!$B$4:$O$29,MONTH(C1622)+1))</f>
        <v>0</v>
      </c>
      <c r="L1622" s="462">
        <f>IF(S1622=0,0,VLOOKUP(YEAR(S1622),INPC!$B$4:$O$29,MONTH(S1622)+1))</f>
        <v>0</v>
      </c>
      <c r="M1622" s="463">
        <f t="shared" si="186"/>
        <v>0</v>
      </c>
      <c r="N1622" s="465">
        <f t="shared" si="187"/>
        <v>0</v>
      </c>
      <c r="O1622" s="179"/>
      <c r="P1622" s="180"/>
      <c r="Q1622" s="173"/>
      <c r="R1622" s="173"/>
      <c r="S1622" s="174"/>
      <c r="T1622" s="173"/>
      <c r="U1622" s="182"/>
      <c r="V1622" s="177">
        <f>IF(U1622=0,0,IF(T1622="MXN",1/HLOOKUP(YEAR(S1622)+(MONTH(S1622)/100),TC!$5:$37,DAY(S1622)+2,FALSE),VLOOKUP(T1622,Equivalencia!$1:$23,((MAX(Equivalencia!$3:$3)-YEAR(S1622))*14)+MONTH(S1622)+2,FALSE)))</f>
        <v>0</v>
      </c>
      <c r="W1622" s="178">
        <f t="shared" si="188"/>
        <v>0</v>
      </c>
      <c r="X1622" s="481">
        <f t="shared" si="189"/>
        <v>0</v>
      </c>
      <c r="Y1622" s="179"/>
      <c r="Z1622" s="466">
        <f t="shared" si="190"/>
        <v>0</v>
      </c>
      <c r="AA1622" s="473">
        <f t="shared" si="191"/>
        <v>0</v>
      </c>
      <c r="AB1622" s="339">
        <f t="shared" si="192"/>
        <v>0</v>
      </c>
    </row>
    <row r="1623" spans="2:28" ht="20.100000000000001" customHeight="1">
      <c r="B1623" s="172"/>
      <c r="C1623" s="174"/>
      <c r="D1623" s="181"/>
      <c r="E1623" s="173"/>
      <c r="F1623" s="176"/>
      <c r="G1623" s="175">
        <f t="shared" si="183"/>
        <v>0</v>
      </c>
      <c r="H1623" s="175">
        <f t="shared" si="184"/>
        <v>0</v>
      </c>
      <c r="I1623" s="177">
        <f>IF(G1623=0,0,IF(E1623="MXN",1/HLOOKUP(YEAR(C1623)+(MONTH(C1623)/100),TC!$5:$37,DAY(C1623)+2,FALSE),VLOOKUP(E1623,Equivalencia!$5:$23,((MAX(Equivalencia!$3:$3)-YEAR(C1623))*14)+MONTH(C1623)+2,FALSE)))</f>
        <v>0</v>
      </c>
      <c r="J1623" s="178">
        <f t="shared" si="185"/>
        <v>0</v>
      </c>
      <c r="K1623" s="462">
        <f>IF(C1623=0,0,VLOOKUP(YEAR(C1623),INPC!$B$4:$O$29,MONTH(C1623)+1))</f>
        <v>0</v>
      </c>
      <c r="L1623" s="462">
        <f>IF(S1623=0,0,VLOOKUP(YEAR(S1623),INPC!$B$4:$O$29,MONTH(S1623)+1))</f>
        <v>0</v>
      </c>
      <c r="M1623" s="463">
        <f t="shared" si="186"/>
        <v>0</v>
      </c>
      <c r="N1623" s="465">
        <f t="shared" si="187"/>
        <v>0</v>
      </c>
      <c r="O1623" s="179"/>
      <c r="P1623" s="180"/>
      <c r="Q1623" s="173"/>
      <c r="R1623" s="173"/>
      <c r="S1623" s="174"/>
      <c r="T1623" s="173"/>
      <c r="U1623" s="182"/>
      <c r="V1623" s="177">
        <f>IF(U1623=0,0,IF(T1623="MXN",1/HLOOKUP(YEAR(S1623)+(MONTH(S1623)/100),TC!$5:$37,DAY(S1623)+2,FALSE),VLOOKUP(T1623,Equivalencia!$1:$23,((MAX(Equivalencia!$3:$3)-YEAR(S1623))*14)+MONTH(S1623)+2,FALSE)))</f>
        <v>0</v>
      </c>
      <c r="W1623" s="178">
        <f t="shared" si="188"/>
        <v>0</v>
      </c>
      <c r="X1623" s="481">
        <f t="shared" si="189"/>
        <v>0</v>
      </c>
      <c r="Y1623" s="179"/>
      <c r="Z1623" s="466">
        <f t="shared" si="190"/>
        <v>0</v>
      </c>
      <c r="AA1623" s="473">
        <f t="shared" si="191"/>
        <v>0</v>
      </c>
      <c r="AB1623" s="339">
        <f t="shared" si="192"/>
        <v>0</v>
      </c>
    </row>
    <row r="1624" spans="2:28" ht="20.100000000000001" customHeight="1">
      <c r="B1624" s="172"/>
      <c r="C1624" s="174"/>
      <c r="D1624" s="181"/>
      <c r="E1624" s="173"/>
      <c r="F1624" s="176"/>
      <c r="G1624" s="175">
        <f t="shared" si="183"/>
        <v>0</v>
      </c>
      <c r="H1624" s="175">
        <f t="shared" si="184"/>
        <v>0</v>
      </c>
      <c r="I1624" s="177">
        <f>IF(G1624=0,0,IF(E1624="MXN",1/HLOOKUP(YEAR(C1624)+(MONTH(C1624)/100),TC!$5:$37,DAY(C1624)+2,FALSE),VLOOKUP(E1624,Equivalencia!$5:$23,((MAX(Equivalencia!$3:$3)-YEAR(C1624))*14)+MONTH(C1624)+2,FALSE)))</f>
        <v>0</v>
      </c>
      <c r="J1624" s="178">
        <f t="shared" si="185"/>
        <v>0</v>
      </c>
      <c r="K1624" s="462">
        <f>IF(C1624=0,0,VLOOKUP(YEAR(C1624),INPC!$B$4:$O$29,MONTH(C1624)+1))</f>
        <v>0</v>
      </c>
      <c r="L1624" s="462">
        <f>IF(S1624=0,0,VLOOKUP(YEAR(S1624),INPC!$B$4:$O$29,MONTH(S1624)+1))</f>
        <v>0</v>
      </c>
      <c r="M1624" s="463">
        <f t="shared" si="186"/>
        <v>0</v>
      </c>
      <c r="N1624" s="465">
        <f t="shared" si="187"/>
        <v>0</v>
      </c>
      <c r="O1624" s="179"/>
      <c r="P1624" s="180"/>
      <c r="Q1624" s="173"/>
      <c r="R1624" s="173"/>
      <c r="S1624" s="174"/>
      <c r="T1624" s="173"/>
      <c r="U1624" s="182"/>
      <c r="V1624" s="177">
        <f>IF(U1624=0,0,IF(T1624="MXN",1/HLOOKUP(YEAR(S1624)+(MONTH(S1624)/100),TC!$5:$37,DAY(S1624)+2,FALSE),VLOOKUP(T1624,Equivalencia!$1:$23,((MAX(Equivalencia!$3:$3)-YEAR(S1624))*14)+MONTH(S1624)+2,FALSE)))</f>
        <v>0</v>
      </c>
      <c r="W1624" s="178">
        <f t="shared" si="188"/>
        <v>0</v>
      </c>
      <c r="X1624" s="481">
        <f t="shared" si="189"/>
        <v>0</v>
      </c>
      <c r="Y1624" s="179"/>
      <c r="Z1624" s="466">
        <f t="shared" si="190"/>
        <v>0</v>
      </c>
      <c r="AA1624" s="473">
        <f t="shared" si="191"/>
        <v>0</v>
      </c>
      <c r="AB1624" s="339">
        <f t="shared" si="192"/>
        <v>0</v>
      </c>
    </row>
    <row r="1625" spans="2:28" ht="20.100000000000001" customHeight="1">
      <c r="B1625" s="172"/>
      <c r="C1625" s="174"/>
      <c r="D1625" s="181"/>
      <c r="E1625" s="173"/>
      <c r="F1625" s="176"/>
      <c r="G1625" s="175">
        <f t="shared" si="183"/>
        <v>0</v>
      </c>
      <c r="H1625" s="175">
        <f t="shared" si="184"/>
        <v>0</v>
      </c>
      <c r="I1625" s="177">
        <f>IF(G1625=0,0,IF(E1625="MXN",1/HLOOKUP(YEAR(C1625)+(MONTH(C1625)/100),TC!$5:$37,DAY(C1625)+2,FALSE),VLOOKUP(E1625,Equivalencia!$5:$23,((MAX(Equivalencia!$3:$3)-YEAR(C1625))*14)+MONTH(C1625)+2,FALSE)))</f>
        <v>0</v>
      </c>
      <c r="J1625" s="178">
        <f t="shared" si="185"/>
        <v>0</v>
      </c>
      <c r="K1625" s="462">
        <f>IF(C1625=0,0,VLOOKUP(YEAR(C1625),INPC!$B$4:$O$29,MONTH(C1625)+1))</f>
        <v>0</v>
      </c>
      <c r="L1625" s="462">
        <f>IF(S1625=0,0,VLOOKUP(YEAR(S1625),INPC!$B$4:$O$29,MONTH(S1625)+1))</f>
        <v>0</v>
      </c>
      <c r="M1625" s="463">
        <f t="shared" si="186"/>
        <v>0</v>
      </c>
      <c r="N1625" s="465">
        <f t="shared" si="187"/>
        <v>0</v>
      </c>
      <c r="O1625" s="179"/>
      <c r="P1625" s="180"/>
      <c r="Q1625" s="173"/>
      <c r="R1625" s="173"/>
      <c r="S1625" s="174"/>
      <c r="T1625" s="173"/>
      <c r="U1625" s="182"/>
      <c r="V1625" s="177">
        <f>IF(U1625=0,0,IF(T1625="MXN",1/HLOOKUP(YEAR(S1625)+(MONTH(S1625)/100),TC!$5:$37,DAY(S1625)+2,FALSE),VLOOKUP(T1625,Equivalencia!$1:$23,((MAX(Equivalencia!$3:$3)-YEAR(S1625))*14)+MONTH(S1625)+2,FALSE)))</f>
        <v>0</v>
      </c>
      <c r="W1625" s="178">
        <f t="shared" si="188"/>
        <v>0</v>
      </c>
      <c r="X1625" s="481">
        <f t="shared" si="189"/>
        <v>0</v>
      </c>
      <c r="Y1625" s="179"/>
      <c r="Z1625" s="466">
        <f t="shared" si="190"/>
        <v>0</v>
      </c>
      <c r="AA1625" s="473">
        <f t="shared" si="191"/>
        <v>0</v>
      </c>
      <c r="AB1625" s="339">
        <f t="shared" si="192"/>
        <v>0</v>
      </c>
    </row>
    <row r="1626" spans="2:28" ht="20.100000000000001" customHeight="1">
      <c r="B1626" s="172"/>
      <c r="C1626" s="174"/>
      <c r="D1626" s="181"/>
      <c r="E1626" s="173"/>
      <c r="F1626" s="176"/>
      <c r="G1626" s="175">
        <f t="shared" si="183"/>
        <v>0</v>
      </c>
      <c r="H1626" s="175">
        <f t="shared" si="184"/>
        <v>0</v>
      </c>
      <c r="I1626" s="177">
        <f>IF(G1626=0,0,IF(E1626="MXN",1/HLOOKUP(YEAR(C1626)+(MONTH(C1626)/100),TC!$5:$37,DAY(C1626)+2,FALSE),VLOOKUP(E1626,Equivalencia!$5:$23,((MAX(Equivalencia!$3:$3)-YEAR(C1626))*14)+MONTH(C1626)+2,FALSE)))</f>
        <v>0</v>
      </c>
      <c r="J1626" s="178">
        <f t="shared" si="185"/>
        <v>0</v>
      </c>
      <c r="K1626" s="462">
        <f>IF(C1626=0,0,VLOOKUP(YEAR(C1626),INPC!$B$4:$O$29,MONTH(C1626)+1))</f>
        <v>0</v>
      </c>
      <c r="L1626" s="462">
        <f>IF(S1626=0,0,VLOOKUP(YEAR(S1626),INPC!$B$4:$O$29,MONTH(S1626)+1))</f>
        <v>0</v>
      </c>
      <c r="M1626" s="463">
        <f t="shared" si="186"/>
        <v>0</v>
      </c>
      <c r="N1626" s="465">
        <f t="shared" si="187"/>
        <v>0</v>
      </c>
      <c r="O1626" s="179"/>
      <c r="P1626" s="180"/>
      <c r="Q1626" s="173"/>
      <c r="R1626" s="173"/>
      <c r="S1626" s="174"/>
      <c r="T1626" s="173"/>
      <c r="U1626" s="182"/>
      <c r="V1626" s="177">
        <f>IF(U1626=0,0,IF(T1626="MXN",1/HLOOKUP(YEAR(S1626)+(MONTH(S1626)/100),TC!$5:$37,DAY(S1626)+2,FALSE),VLOOKUP(T1626,Equivalencia!$1:$23,((MAX(Equivalencia!$3:$3)-YEAR(S1626))*14)+MONTH(S1626)+2,FALSE)))</f>
        <v>0</v>
      </c>
      <c r="W1626" s="178">
        <f t="shared" si="188"/>
        <v>0</v>
      </c>
      <c r="X1626" s="481">
        <f t="shared" si="189"/>
        <v>0</v>
      </c>
      <c r="Y1626" s="179"/>
      <c r="Z1626" s="466">
        <f t="shared" si="190"/>
        <v>0</v>
      </c>
      <c r="AA1626" s="473">
        <f t="shared" si="191"/>
        <v>0</v>
      </c>
      <c r="AB1626" s="339">
        <f t="shared" si="192"/>
        <v>0</v>
      </c>
    </row>
    <row r="1627" spans="2:28" ht="20.100000000000001" customHeight="1">
      <c r="B1627" s="172"/>
      <c r="C1627" s="174"/>
      <c r="D1627" s="181"/>
      <c r="E1627" s="173"/>
      <c r="F1627" s="176"/>
      <c r="G1627" s="175">
        <f t="shared" si="183"/>
        <v>0</v>
      </c>
      <c r="H1627" s="175">
        <f t="shared" si="184"/>
        <v>0</v>
      </c>
      <c r="I1627" s="177">
        <f>IF(G1627=0,0,IF(E1627="MXN",1/HLOOKUP(YEAR(C1627)+(MONTH(C1627)/100),TC!$5:$37,DAY(C1627)+2,FALSE),VLOOKUP(E1627,Equivalencia!$5:$23,((MAX(Equivalencia!$3:$3)-YEAR(C1627))*14)+MONTH(C1627)+2,FALSE)))</f>
        <v>0</v>
      </c>
      <c r="J1627" s="178">
        <f t="shared" si="185"/>
        <v>0</v>
      </c>
      <c r="K1627" s="462">
        <f>IF(C1627=0,0,VLOOKUP(YEAR(C1627),INPC!$B$4:$O$29,MONTH(C1627)+1))</f>
        <v>0</v>
      </c>
      <c r="L1627" s="462">
        <f>IF(S1627=0,0,VLOOKUP(YEAR(S1627),INPC!$B$4:$O$29,MONTH(S1627)+1))</f>
        <v>0</v>
      </c>
      <c r="M1627" s="463">
        <f t="shared" si="186"/>
        <v>0</v>
      </c>
      <c r="N1627" s="465">
        <f t="shared" si="187"/>
        <v>0</v>
      </c>
      <c r="O1627" s="179"/>
      <c r="P1627" s="180"/>
      <c r="Q1627" s="173"/>
      <c r="R1627" s="173"/>
      <c r="S1627" s="174"/>
      <c r="T1627" s="173"/>
      <c r="U1627" s="182"/>
      <c r="V1627" s="177">
        <f>IF(U1627=0,0,IF(T1627="MXN",1/HLOOKUP(YEAR(S1627)+(MONTH(S1627)/100),TC!$5:$37,DAY(S1627)+2,FALSE),VLOOKUP(T1627,Equivalencia!$1:$23,((MAX(Equivalencia!$3:$3)-YEAR(S1627))*14)+MONTH(S1627)+2,FALSE)))</f>
        <v>0</v>
      </c>
      <c r="W1627" s="178">
        <f t="shared" si="188"/>
        <v>0</v>
      </c>
      <c r="X1627" s="481">
        <f t="shared" si="189"/>
        <v>0</v>
      </c>
      <c r="Y1627" s="179"/>
      <c r="Z1627" s="466">
        <f t="shared" si="190"/>
        <v>0</v>
      </c>
      <c r="AA1627" s="473">
        <f t="shared" si="191"/>
        <v>0</v>
      </c>
      <c r="AB1627" s="339">
        <f t="shared" si="192"/>
        <v>0</v>
      </c>
    </row>
    <row r="1628" spans="2:28" ht="20.100000000000001" customHeight="1">
      <c r="B1628" s="172"/>
      <c r="C1628" s="174"/>
      <c r="D1628" s="181"/>
      <c r="E1628" s="173"/>
      <c r="F1628" s="176"/>
      <c r="G1628" s="175">
        <f t="shared" si="183"/>
        <v>0</v>
      </c>
      <c r="H1628" s="175">
        <f t="shared" si="184"/>
        <v>0</v>
      </c>
      <c r="I1628" s="177">
        <f>IF(G1628=0,0,IF(E1628="MXN",1/HLOOKUP(YEAR(C1628)+(MONTH(C1628)/100),TC!$5:$37,DAY(C1628)+2,FALSE),VLOOKUP(E1628,Equivalencia!$5:$23,((MAX(Equivalencia!$3:$3)-YEAR(C1628))*14)+MONTH(C1628)+2,FALSE)))</f>
        <v>0</v>
      </c>
      <c r="J1628" s="178">
        <f t="shared" si="185"/>
        <v>0</v>
      </c>
      <c r="K1628" s="462">
        <f>IF(C1628=0,0,VLOOKUP(YEAR(C1628),INPC!$B$4:$O$29,MONTH(C1628)+1))</f>
        <v>0</v>
      </c>
      <c r="L1628" s="462">
        <f>IF(S1628=0,0,VLOOKUP(YEAR(S1628),INPC!$B$4:$O$29,MONTH(S1628)+1))</f>
        <v>0</v>
      </c>
      <c r="M1628" s="463">
        <f t="shared" si="186"/>
        <v>0</v>
      </c>
      <c r="N1628" s="465">
        <f t="shared" si="187"/>
        <v>0</v>
      </c>
      <c r="O1628" s="179"/>
      <c r="P1628" s="180"/>
      <c r="Q1628" s="173"/>
      <c r="R1628" s="173"/>
      <c r="S1628" s="174"/>
      <c r="T1628" s="173"/>
      <c r="U1628" s="182"/>
      <c r="V1628" s="177">
        <f>IF(U1628=0,0,IF(T1628="MXN",1/HLOOKUP(YEAR(S1628)+(MONTH(S1628)/100),TC!$5:$37,DAY(S1628)+2,FALSE),VLOOKUP(T1628,Equivalencia!$1:$23,((MAX(Equivalencia!$3:$3)-YEAR(S1628))*14)+MONTH(S1628)+2,FALSE)))</f>
        <v>0</v>
      </c>
      <c r="W1628" s="178">
        <f t="shared" si="188"/>
        <v>0</v>
      </c>
      <c r="X1628" s="481">
        <f t="shared" si="189"/>
        <v>0</v>
      </c>
      <c r="Y1628" s="179"/>
      <c r="Z1628" s="466">
        <f t="shared" si="190"/>
        <v>0</v>
      </c>
      <c r="AA1628" s="473">
        <f t="shared" si="191"/>
        <v>0</v>
      </c>
      <c r="AB1628" s="339">
        <f t="shared" si="192"/>
        <v>0</v>
      </c>
    </row>
    <row r="1629" spans="2:28" ht="20.100000000000001" customHeight="1">
      <c r="B1629" s="172"/>
      <c r="C1629" s="174"/>
      <c r="D1629" s="181"/>
      <c r="E1629" s="173"/>
      <c r="F1629" s="176"/>
      <c r="G1629" s="175">
        <f t="shared" si="183"/>
        <v>0</v>
      </c>
      <c r="H1629" s="175">
        <f t="shared" si="184"/>
        <v>0</v>
      </c>
      <c r="I1629" s="177">
        <f>IF(G1629=0,0,IF(E1629="MXN",1/HLOOKUP(YEAR(C1629)+(MONTH(C1629)/100),TC!$5:$37,DAY(C1629)+2,FALSE),VLOOKUP(E1629,Equivalencia!$5:$23,((MAX(Equivalencia!$3:$3)-YEAR(C1629))*14)+MONTH(C1629)+2,FALSE)))</f>
        <v>0</v>
      </c>
      <c r="J1629" s="178">
        <f t="shared" si="185"/>
        <v>0</v>
      </c>
      <c r="K1629" s="462">
        <f>IF(C1629=0,0,VLOOKUP(YEAR(C1629),INPC!$B$4:$O$29,MONTH(C1629)+1))</f>
        <v>0</v>
      </c>
      <c r="L1629" s="462">
        <f>IF(S1629=0,0,VLOOKUP(YEAR(S1629),INPC!$B$4:$O$29,MONTH(S1629)+1))</f>
        <v>0</v>
      </c>
      <c r="M1629" s="463">
        <f t="shared" si="186"/>
        <v>0</v>
      </c>
      <c r="N1629" s="465">
        <f t="shared" si="187"/>
        <v>0</v>
      </c>
      <c r="O1629" s="179"/>
      <c r="P1629" s="180"/>
      <c r="Q1629" s="173"/>
      <c r="R1629" s="173"/>
      <c r="S1629" s="174"/>
      <c r="T1629" s="173"/>
      <c r="U1629" s="182"/>
      <c r="V1629" s="177">
        <f>IF(U1629=0,0,IF(T1629="MXN",1/HLOOKUP(YEAR(S1629)+(MONTH(S1629)/100),TC!$5:$37,DAY(S1629)+2,FALSE),VLOOKUP(T1629,Equivalencia!$1:$23,((MAX(Equivalencia!$3:$3)-YEAR(S1629))*14)+MONTH(S1629)+2,FALSE)))</f>
        <v>0</v>
      </c>
      <c r="W1629" s="178">
        <f t="shared" si="188"/>
        <v>0</v>
      </c>
      <c r="X1629" s="481">
        <f t="shared" si="189"/>
        <v>0</v>
      </c>
      <c r="Y1629" s="179"/>
      <c r="Z1629" s="466">
        <f t="shared" si="190"/>
        <v>0</v>
      </c>
      <c r="AA1629" s="473">
        <f t="shared" si="191"/>
        <v>0</v>
      </c>
      <c r="AB1629" s="339">
        <f t="shared" si="192"/>
        <v>0</v>
      </c>
    </row>
    <row r="1630" spans="2:28" ht="20.100000000000001" customHeight="1">
      <c r="B1630" s="172"/>
      <c r="C1630" s="174"/>
      <c r="D1630" s="181"/>
      <c r="E1630" s="173"/>
      <c r="F1630" s="176"/>
      <c r="G1630" s="175">
        <f t="shared" si="183"/>
        <v>0</v>
      </c>
      <c r="H1630" s="175">
        <f t="shared" si="184"/>
        <v>0</v>
      </c>
      <c r="I1630" s="177">
        <f>IF(G1630=0,0,IF(E1630="MXN",1/HLOOKUP(YEAR(C1630)+(MONTH(C1630)/100),TC!$5:$37,DAY(C1630)+2,FALSE),VLOOKUP(E1630,Equivalencia!$5:$23,((MAX(Equivalencia!$3:$3)-YEAR(C1630))*14)+MONTH(C1630)+2,FALSE)))</f>
        <v>0</v>
      </c>
      <c r="J1630" s="178">
        <f t="shared" si="185"/>
        <v>0</v>
      </c>
      <c r="K1630" s="462">
        <f>IF(C1630=0,0,VLOOKUP(YEAR(C1630),INPC!$B$4:$O$29,MONTH(C1630)+1))</f>
        <v>0</v>
      </c>
      <c r="L1630" s="462">
        <f>IF(S1630=0,0,VLOOKUP(YEAR(S1630),INPC!$B$4:$O$29,MONTH(S1630)+1))</f>
        <v>0</v>
      </c>
      <c r="M1630" s="463">
        <f t="shared" si="186"/>
        <v>0</v>
      </c>
      <c r="N1630" s="465">
        <f t="shared" si="187"/>
        <v>0</v>
      </c>
      <c r="O1630" s="179"/>
      <c r="P1630" s="180"/>
      <c r="Q1630" s="173"/>
      <c r="R1630" s="173"/>
      <c r="S1630" s="174"/>
      <c r="T1630" s="173"/>
      <c r="U1630" s="182"/>
      <c r="V1630" s="177">
        <f>IF(U1630=0,0,IF(T1630="MXN",1/HLOOKUP(YEAR(S1630)+(MONTH(S1630)/100),TC!$5:$37,DAY(S1630)+2,FALSE),VLOOKUP(T1630,Equivalencia!$1:$23,((MAX(Equivalencia!$3:$3)-YEAR(S1630))*14)+MONTH(S1630)+2,FALSE)))</f>
        <v>0</v>
      </c>
      <c r="W1630" s="178">
        <f t="shared" si="188"/>
        <v>0</v>
      </c>
      <c r="X1630" s="481">
        <f t="shared" si="189"/>
        <v>0</v>
      </c>
      <c r="Y1630" s="179"/>
      <c r="Z1630" s="466">
        <f t="shared" si="190"/>
        <v>0</v>
      </c>
      <c r="AA1630" s="473">
        <f t="shared" si="191"/>
        <v>0</v>
      </c>
      <c r="AB1630" s="339">
        <f t="shared" si="192"/>
        <v>0</v>
      </c>
    </row>
    <row r="1631" spans="2:28" ht="20.100000000000001" customHeight="1">
      <c r="B1631" s="172"/>
      <c r="C1631" s="174"/>
      <c r="D1631" s="181"/>
      <c r="E1631" s="173"/>
      <c r="F1631" s="176"/>
      <c r="G1631" s="175">
        <f t="shared" si="183"/>
        <v>0</v>
      </c>
      <c r="H1631" s="175">
        <f t="shared" si="184"/>
        <v>0</v>
      </c>
      <c r="I1631" s="177">
        <f>IF(G1631=0,0,IF(E1631="MXN",1/HLOOKUP(YEAR(C1631)+(MONTH(C1631)/100),TC!$5:$37,DAY(C1631)+2,FALSE),VLOOKUP(E1631,Equivalencia!$5:$23,((MAX(Equivalencia!$3:$3)-YEAR(C1631))*14)+MONTH(C1631)+2,FALSE)))</f>
        <v>0</v>
      </c>
      <c r="J1631" s="178">
        <f t="shared" si="185"/>
        <v>0</v>
      </c>
      <c r="K1631" s="462">
        <f>IF(C1631=0,0,VLOOKUP(YEAR(C1631),INPC!$B$4:$O$29,MONTH(C1631)+1))</f>
        <v>0</v>
      </c>
      <c r="L1631" s="462">
        <f>IF(S1631=0,0,VLOOKUP(YEAR(S1631),INPC!$B$4:$O$29,MONTH(S1631)+1))</f>
        <v>0</v>
      </c>
      <c r="M1631" s="463">
        <f t="shared" si="186"/>
        <v>0</v>
      </c>
      <c r="N1631" s="465">
        <f t="shared" si="187"/>
        <v>0</v>
      </c>
      <c r="O1631" s="179"/>
      <c r="P1631" s="180"/>
      <c r="Q1631" s="173"/>
      <c r="R1631" s="173"/>
      <c r="S1631" s="174"/>
      <c r="T1631" s="173"/>
      <c r="U1631" s="182"/>
      <c r="V1631" s="177">
        <f>IF(U1631=0,0,IF(T1631="MXN",1/HLOOKUP(YEAR(S1631)+(MONTH(S1631)/100),TC!$5:$37,DAY(S1631)+2,FALSE),VLOOKUP(T1631,Equivalencia!$1:$23,((MAX(Equivalencia!$3:$3)-YEAR(S1631))*14)+MONTH(S1631)+2,FALSE)))</f>
        <v>0</v>
      </c>
      <c r="W1631" s="178">
        <f t="shared" si="188"/>
        <v>0</v>
      </c>
      <c r="X1631" s="481">
        <f t="shared" si="189"/>
        <v>0</v>
      </c>
      <c r="Y1631" s="179"/>
      <c r="Z1631" s="466">
        <f t="shared" si="190"/>
        <v>0</v>
      </c>
      <c r="AA1631" s="473">
        <f t="shared" si="191"/>
        <v>0</v>
      </c>
      <c r="AB1631" s="339">
        <f t="shared" si="192"/>
        <v>0</v>
      </c>
    </row>
    <row r="1632" spans="2:28" ht="20.100000000000001" customHeight="1">
      <c r="B1632" s="172"/>
      <c r="C1632" s="174"/>
      <c r="D1632" s="181"/>
      <c r="E1632" s="173"/>
      <c r="F1632" s="176"/>
      <c r="G1632" s="175">
        <f t="shared" si="183"/>
        <v>0</v>
      </c>
      <c r="H1632" s="175">
        <f t="shared" si="184"/>
        <v>0</v>
      </c>
      <c r="I1632" s="177">
        <f>IF(G1632=0,0,IF(E1632="MXN",1/HLOOKUP(YEAR(C1632)+(MONTH(C1632)/100),TC!$5:$37,DAY(C1632)+2,FALSE),VLOOKUP(E1632,Equivalencia!$5:$23,((MAX(Equivalencia!$3:$3)-YEAR(C1632))*14)+MONTH(C1632)+2,FALSE)))</f>
        <v>0</v>
      </c>
      <c r="J1632" s="178">
        <f t="shared" si="185"/>
        <v>0</v>
      </c>
      <c r="K1632" s="462">
        <f>IF(C1632=0,0,VLOOKUP(YEAR(C1632),INPC!$B$4:$O$29,MONTH(C1632)+1))</f>
        <v>0</v>
      </c>
      <c r="L1632" s="462">
        <f>IF(S1632=0,0,VLOOKUP(YEAR(S1632),INPC!$B$4:$O$29,MONTH(S1632)+1))</f>
        <v>0</v>
      </c>
      <c r="M1632" s="463">
        <f t="shared" si="186"/>
        <v>0</v>
      </c>
      <c r="N1632" s="465">
        <f t="shared" si="187"/>
        <v>0</v>
      </c>
      <c r="O1632" s="179"/>
      <c r="P1632" s="180"/>
      <c r="Q1632" s="173"/>
      <c r="R1632" s="173"/>
      <c r="S1632" s="174"/>
      <c r="T1632" s="173"/>
      <c r="U1632" s="182"/>
      <c r="V1632" s="177">
        <f>IF(U1632=0,0,IF(T1632="MXN",1/HLOOKUP(YEAR(S1632)+(MONTH(S1632)/100),TC!$5:$37,DAY(S1632)+2,FALSE),VLOOKUP(T1632,Equivalencia!$1:$23,((MAX(Equivalencia!$3:$3)-YEAR(S1632))*14)+MONTH(S1632)+2,FALSE)))</f>
        <v>0</v>
      </c>
      <c r="W1632" s="178">
        <f t="shared" si="188"/>
        <v>0</v>
      </c>
      <c r="X1632" s="481">
        <f t="shared" si="189"/>
        <v>0</v>
      </c>
      <c r="Y1632" s="179"/>
      <c r="Z1632" s="466">
        <f t="shared" si="190"/>
        <v>0</v>
      </c>
      <c r="AA1632" s="473">
        <f t="shared" si="191"/>
        <v>0</v>
      </c>
      <c r="AB1632" s="339">
        <f t="shared" si="192"/>
        <v>0</v>
      </c>
    </row>
    <row r="1633" spans="2:28" ht="20.100000000000001" customHeight="1">
      <c r="B1633" s="172"/>
      <c r="C1633" s="174"/>
      <c r="D1633" s="181"/>
      <c r="E1633" s="173"/>
      <c r="F1633" s="176"/>
      <c r="G1633" s="175">
        <f t="shared" si="183"/>
        <v>0</v>
      </c>
      <c r="H1633" s="175">
        <f t="shared" si="184"/>
        <v>0</v>
      </c>
      <c r="I1633" s="177">
        <f>IF(G1633=0,0,IF(E1633="MXN",1/HLOOKUP(YEAR(C1633)+(MONTH(C1633)/100),TC!$5:$37,DAY(C1633)+2,FALSE),VLOOKUP(E1633,Equivalencia!$5:$23,((MAX(Equivalencia!$3:$3)-YEAR(C1633))*14)+MONTH(C1633)+2,FALSE)))</f>
        <v>0</v>
      </c>
      <c r="J1633" s="178">
        <f t="shared" si="185"/>
        <v>0</v>
      </c>
      <c r="K1633" s="462">
        <f>IF(C1633=0,0,VLOOKUP(YEAR(C1633),INPC!$B$4:$O$29,MONTH(C1633)+1))</f>
        <v>0</v>
      </c>
      <c r="L1633" s="462">
        <f>IF(S1633=0,0,VLOOKUP(YEAR(S1633),INPC!$B$4:$O$29,MONTH(S1633)+1))</f>
        <v>0</v>
      </c>
      <c r="M1633" s="463">
        <f t="shared" si="186"/>
        <v>0</v>
      </c>
      <c r="N1633" s="465">
        <f t="shared" si="187"/>
        <v>0</v>
      </c>
      <c r="O1633" s="179"/>
      <c r="P1633" s="180"/>
      <c r="Q1633" s="173"/>
      <c r="R1633" s="173"/>
      <c r="S1633" s="174"/>
      <c r="T1633" s="173"/>
      <c r="U1633" s="182"/>
      <c r="V1633" s="177">
        <f>IF(U1633=0,0,IF(T1633="MXN",1/HLOOKUP(YEAR(S1633)+(MONTH(S1633)/100),TC!$5:$37,DAY(S1633)+2,FALSE),VLOOKUP(T1633,Equivalencia!$1:$23,((MAX(Equivalencia!$3:$3)-YEAR(S1633))*14)+MONTH(S1633)+2,FALSE)))</f>
        <v>0</v>
      </c>
      <c r="W1633" s="178">
        <f t="shared" si="188"/>
        <v>0</v>
      </c>
      <c r="X1633" s="481">
        <f t="shared" si="189"/>
        <v>0</v>
      </c>
      <c r="Y1633" s="179"/>
      <c r="Z1633" s="466">
        <f t="shared" si="190"/>
        <v>0</v>
      </c>
      <c r="AA1633" s="473">
        <f t="shared" si="191"/>
        <v>0</v>
      </c>
      <c r="AB1633" s="339">
        <f t="shared" si="192"/>
        <v>0</v>
      </c>
    </row>
    <row r="1634" spans="2:28" ht="20.100000000000001" customHeight="1">
      <c r="B1634" s="172"/>
      <c r="C1634" s="174"/>
      <c r="D1634" s="181"/>
      <c r="E1634" s="173"/>
      <c r="F1634" s="176"/>
      <c r="G1634" s="175">
        <f t="shared" si="183"/>
        <v>0</v>
      </c>
      <c r="H1634" s="175">
        <f t="shared" si="184"/>
        <v>0</v>
      </c>
      <c r="I1634" s="177">
        <f>IF(G1634=0,0,IF(E1634="MXN",1/HLOOKUP(YEAR(C1634)+(MONTH(C1634)/100),TC!$5:$37,DAY(C1634)+2,FALSE),VLOOKUP(E1634,Equivalencia!$5:$23,((MAX(Equivalencia!$3:$3)-YEAR(C1634))*14)+MONTH(C1634)+2,FALSE)))</f>
        <v>0</v>
      </c>
      <c r="J1634" s="178">
        <f t="shared" si="185"/>
        <v>0</v>
      </c>
      <c r="K1634" s="462">
        <f>IF(C1634=0,0,VLOOKUP(YEAR(C1634),INPC!$B$4:$O$29,MONTH(C1634)+1))</f>
        <v>0</v>
      </c>
      <c r="L1634" s="462">
        <f>IF(S1634=0,0,VLOOKUP(YEAR(S1634),INPC!$B$4:$O$29,MONTH(S1634)+1))</f>
        <v>0</v>
      </c>
      <c r="M1634" s="463">
        <f t="shared" si="186"/>
        <v>0</v>
      </c>
      <c r="N1634" s="465">
        <f t="shared" si="187"/>
        <v>0</v>
      </c>
      <c r="O1634" s="179"/>
      <c r="P1634" s="180"/>
      <c r="Q1634" s="173"/>
      <c r="R1634" s="173"/>
      <c r="S1634" s="174"/>
      <c r="T1634" s="173"/>
      <c r="U1634" s="182"/>
      <c r="V1634" s="177">
        <f>IF(U1634=0,0,IF(T1634="MXN",1/HLOOKUP(YEAR(S1634)+(MONTH(S1634)/100),TC!$5:$37,DAY(S1634)+2,FALSE),VLOOKUP(T1634,Equivalencia!$1:$23,((MAX(Equivalencia!$3:$3)-YEAR(S1634))*14)+MONTH(S1634)+2,FALSE)))</f>
        <v>0</v>
      </c>
      <c r="W1634" s="178">
        <f t="shared" si="188"/>
        <v>0</v>
      </c>
      <c r="X1634" s="481">
        <f t="shared" si="189"/>
        <v>0</v>
      </c>
      <c r="Y1634" s="179"/>
      <c r="Z1634" s="466">
        <f t="shared" si="190"/>
        <v>0</v>
      </c>
      <c r="AA1634" s="473">
        <f t="shared" si="191"/>
        <v>0</v>
      </c>
      <c r="AB1634" s="339">
        <f t="shared" si="192"/>
        <v>0</v>
      </c>
    </row>
    <row r="1635" spans="2:28" ht="20.100000000000001" customHeight="1">
      <c r="B1635" s="172"/>
      <c r="C1635" s="174"/>
      <c r="D1635" s="181"/>
      <c r="E1635" s="173"/>
      <c r="F1635" s="176"/>
      <c r="G1635" s="175">
        <f t="shared" si="183"/>
        <v>0</v>
      </c>
      <c r="H1635" s="175">
        <f t="shared" si="184"/>
        <v>0</v>
      </c>
      <c r="I1635" s="177">
        <f>IF(G1635=0,0,IF(E1635="MXN",1/HLOOKUP(YEAR(C1635)+(MONTH(C1635)/100),TC!$5:$37,DAY(C1635)+2,FALSE),VLOOKUP(E1635,Equivalencia!$5:$23,((MAX(Equivalencia!$3:$3)-YEAR(C1635))*14)+MONTH(C1635)+2,FALSE)))</f>
        <v>0</v>
      </c>
      <c r="J1635" s="178">
        <f t="shared" si="185"/>
        <v>0</v>
      </c>
      <c r="K1635" s="462">
        <f>IF(C1635=0,0,VLOOKUP(YEAR(C1635),INPC!$B$4:$O$29,MONTH(C1635)+1))</f>
        <v>0</v>
      </c>
      <c r="L1635" s="462">
        <f>IF(S1635=0,0,VLOOKUP(YEAR(S1635),INPC!$B$4:$O$29,MONTH(S1635)+1))</f>
        <v>0</v>
      </c>
      <c r="M1635" s="463">
        <f t="shared" si="186"/>
        <v>0</v>
      </c>
      <c r="N1635" s="465">
        <f t="shared" si="187"/>
        <v>0</v>
      </c>
      <c r="O1635" s="179"/>
      <c r="P1635" s="180"/>
      <c r="Q1635" s="173"/>
      <c r="R1635" s="173"/>
      <c r="S1635" s="174"/>
      <c r="T1635" s="173"/>
      <c r="U1635" s="182"/>
      <c r="V1635" s="177">
        <f>IF(U1635=0,0,IF(T1635="MXN",1/HLOOKUP(YEAR(S1635)+(MONTH(S1635)/100),TC!$5:$37,DAY(S1635)+2,FALSE),VLOOKUP(T1635,Equivalencia!$1:$23,((MAX(Equivalencia!$3:$3)-YEAR(S1635))*14)+MONTH(S1635)+2,FALSE)))</f>
        <v>0</v>
      </c>
      <c r="W1635" s="178">
        <f t="shared" si="188"/>
        <v>0</v>
      </c>
      <c r="X1635" s="481">
        <f t="shared" si="189"/>
        <v>0</v>
      </c>
      <c r="Y1635" s="179"/>
      <c r="Z1635" s="466">
        <f t="shared" si="190"/>
        <v>0</v>
      </c>
      <c r="AA1635" s="473">
        <f t="shared" si="191"/>
        <v>0</v>
      </c>
      <c r="AB1635" s="339">
        <f t="shared" si="192"/>
        <v>0</v>
      </c>
    </row>
    <row r="1636" spans="2:28" ht="20.100000000000001" customHeight="1">
      <c r="B1636" s="172"/>
      <c r="C1636" s="174"/>
      <c r="D1636" s="181"/>
      <c r="E1636" s="173"/>
      <c r="F1636" s="176"/>
      <c r="G1636" s="175">
        <f t="shared" si="183"/>
        <v>0</v>
      </c>
      <c r="H1636" s="175">
        <f t="shared" si="184"/>
        <v>0</v>
      </c>
      <c r="I1636" s="177">
        <f>IF(G1636=0,0,IF(E1636="MXN",1/HLOOKUP(YEAR(C1636)+(MONTH(C1636)/100),TC!$5:$37,DAY(C1636)+2,FALSE),VLOOKUP(E1636,Equivalencia!$5:$23,((MAX(Equivalencia!$3:$3)-YEAR(C1636))*14)+MONTH(C1636)+2,FALSE)))</f>
        <v>0</v>
      </c>
      <c r="J1636" s="178">
        <f t="shared" si="185"/>
        <v>0</v>
      </c>
      <c r="K1636" s="462">
        <f>IF(C1636=0,0,VLOOKUP(YEAR(C1636),INPC!$B$4:$O$29,MONTH(C1636)+1))</f>
        <v>0</v>
      </c>
      <c r="L1636" s="462">
        <f>IF(S1636=0,0,VLOOKUP(YEAR(S1636),INPC!$B$4:$O$29,MONTH(S1636)+1))</f>
        <v>0</v>
      </c>
      <c r="M1636" s="463">
        <f t="shared" si="186"/>
        <v>0</v>
      </c>
      <c r="N1636" s="465">
        <f t="shared" si="187"/>
        <v>0</v>
      </c>
      <c r="O1636" s="179"/>
      <c r="P1636" s="180"/>
      <c r="Q1636" s="173"/>
      <c r="R1636" s="173"/>
      <c r="S1636" s="174"/>
      <c r="T1636" s="173"/>
      <c r="U1636" s="182"/>
      <c r="V1636" s="177">
        <f>IF(U1636=0,0,IF(T1636="MXN",1/HLOOKUP(YEAR(S1636)+(MONTH(S1636)/100),TC!$5:$37,DAY(S1636)+2,FALSE),VLOOKUP(T1636,Equivalencia!$1:$23,((MAX(Equivalencia!$3:$3)-YEAR(S1636))*14)+MONTH(S1636)+2,FALSE)))</f>
        <v>0</v>
      </c>
      <c r="W1636" s="178">
        <f t="shared" si="188"/>
        <v>0</v>
      </c>
      <c r="X1636" s="481">
        <f t="shared" si="189"/>
        <v>0</v>
      </c>
      <c r="Y1636" s="179"/>
      <c r="Z1636" s="466">
        <f t="shared" si="190"/>
        <v>0</v>
      </c>
      <c r="AA1636" s="473">
        <f t="shared" si="191"/>
        <v>0</v>
      </c>
      <c r="AB1636" s="339">
        <f t="shared" si="192"/>
        <v>0</v>
      </c>
    </row>
    <row r="1637" spans="2:28" ht="20.100000000000001" customHeight="1">
      <c r="B1637" s="172"/>
      <c r="C1637" s="174"/>
      <c r="D1637" s="181"/>
      <c r="E1637" s="173"/>
      <c r="F1637" s="176"/>
      <c r="G1637" s="175">
        <f t="shared" si="183"/>
        <v>0</v>
      </c>
      <c r="H1637" s="175">
        <f t="shared" si="184"/>
        <v>0</v>
      </c>
      <c r="I1637" s="177">
        <f>IF(G1637=0,0,IF(E1637="MXN",1/HLOOKUP(YEAR(C1637)+(MONTH(C1637)/100),TC!$5:$37,DAY(C1637)+2,FALSE),VLOOKUP(E1637,Equivalencia!$5:$23,((MAX(Equivalencia!$3:$3)-YEAR(C1637))*14)+MONTH(C1637)+2,FALSE)))</f>
        <v>0</v>
      </c>
      <c r="J1637" s="178">
        <f t="shared" si="185"/>
        <v>0</v>
      </c>
      <c r="K1637" s="462">
        <f>IF(C1637=0,0,VLOOKUP(YEAR(C1637),INPC!$B$4:$O$29,MONTH(C1637)+1))</f>
        <v>0</v>
      </c>
      <c r="L1637" s="462">
        <f>IF(S1637=0,0,VLOOKUP(YEAR(S1637),INPC!$B$4:$O$29,MONTH(S1637)+1))</f>
        <v>0</v>
      </c>
      <c r="M1637" s="463">
        <f t="shared" si="186"/>
        <v>0</v>
      </c>
      <c r="N1637" s="465">
        <f t="shared" si="187"/>
        <v>0</v>
      </c>
      <c r="O1637" s="179"/>
      <c r="P1637" s="180"/>
      <c r="Q1637" s="173"/>
      <c r="R1637" s="173"/>
      <c r="S1637" s="174"/>
      <c r="T1637" s="173"/>
      <c r="U1637" s="182"/>
      <c r="V1637" s="177">
        <f>IF(U1637=0,0,IF(T1637="MXN",1/HLOOKUP(YEAR(S1637)+(MONTH(S1637)/100),TC!$5:$37,DAY(S1637)+2,FALSE),VLOOKUP(T1637,Equivalencia!$1:$23,((MAX(Equivalencia!$3:$3)-YEAR(S1637))*14)+MONTH(S1637)+2,FALSE)))</f>
        <v>0</v>
      </c>
      <c r="W1637" s="178">
        <f t="shared" si="188"/>
        <v>0</v>
      </c>
      <c r="X1637" s="481">
        <f t="shared" si="189"/>
        <v>0</v>
      </c>
      <c r="Y1637" s="179"/>
      <c r="Z1637" s="466">
        <f t="shared" si="190"/>
        <v>0</v>
      </c>
      <c r="AA1637" s="473">
        <f t="shared" si="191"/>
        <v>0</v>
      </c>
      <c r="AB1637" s="339">
        <f t="shared" si="192"/>
        <v>0</v>
      </c>
    </row>
    <row r="1638" spans="2:28" ht="20.100000000000001" customHeight="1">
      <c r="B1638" s="172"/>
      <c r="C1638" s="174"/>
      <c r="D1638" s="181"/>
      <c r="E1638" s="173"/>
      <c r="F1638" s="176"/>
      <c r="G1638" s="175">
        <f t="shared" si="183"/>
        <v>0</v>
      </c>
      <c r="H1638" s="175">
        <f t="shared" si="184"/>
        <v>0</v>
      </c>
      <c r="I1638" s="177">
        <f>IF(G1638=0,0,IF(E1638="MXN",1/HLOOKUP(YEAR(C1638)+(MONTH(C1638)/100),TC!$5:$37,DAY(C1638)+2,FALSE),VLOOKUP(E1638,Equivalencia!$5:$23,((MAX(Equivalencia!$3:$3)-YEAR(C1638))*14)+MONTH(C1638)+2,FALSE)))</f>
        <v>0</v>
      </c>
      <c r="J1638" s="178">
        <f t="shared" si="185"/>
        <v>0</v>
      </c>
      <c r="K1638" s="462">
        <f>IF(C1638=0,0,VLOOKUP(YEAR(C1638),INPC!$B$4:$O$29,MONTH(C1638)+1))</f>
        <v>0</v>
      </c>
      <c r="L1638" s="462">
        <f>IF(S1638=0,0,VLOOKUP(YEAR(S1638),INPC!$B$4:$O$29,MONTH(S1638)+1))</f>
        <v>0</v>
      </c>
      <c r="M1638" s="463">
        <f t="shared" si="186"/>
        <v>0</v>
      </c>
      <c r="N1638" s="465">
        <f t="shared" si="187"/>
        <v>0</v>
      </c>
      <c r="O1638" s="179"/>
      <c r="P1638" s="180"/>
      <c r="Q1638" s="173"/>
      <c r="R1638" s="173"/>
      <c r="S1638" s="174"/>
      <c r="T1638" s="173"/>
      <c r="U1638" s="182"/>
      <c r="V1638" s="177">
        <f>IF(U1638=0,0,IF(T1638="MXN",1/HLOOKUP(YEAR(S1638)+(MONTH(S1638)/100),TC!$5:$37,DAY(S1638)+2,FALSE),VLOOKUP(T1638,Equivalencia!$1:$23,((MAX(Equivalencia!$3:$3)-YEAR(S1638))*14)+MONTH(S1638)+2,FALSE)))</f>
        <v>0</v>
      </c>
      <c r="W1638" s="178">
        <f t="shared" si="188"/>
        <v>0</v>
      </c>
      <c r="X1638" s="481">
        <f t="shared" si="189"/>
        <v>0</v>
      </c>
      <c r="Y1638" s="179"/>
      <c r="Z1638" s="466">
        <f t="shared" si="190"/>
        <v>0</v>
      </c>
      <c r="AA1638" s="473">
        <f t="shared" si="191"/>
        <v>0</v>
      </c>
      <c r="AB1638" s="339">
        <f t="shared" si="192"/>
        <v>0</v>
      </c>
    </row>
    <row r="1639" spans="2:28" ht="20.100000000000001" customHeight="1">
      <c r="B1639" s="172"/>
      <c r="C1639" s="174"/>
      <c r="D1639" s="181"/>
      <c r="E1639" s="173"/>
      <c r="F1639" s="176"/>
      <c r="G1639" s="175">
        <f t="shared" si="183"/>
        <v>0</v>
      </c>
      <c r="H1639" s="175">
        <f t="shared" si="184"/>
        <v>0</v>
      </c>
      <c r="I1639" s="177">
        <f>IF(G1639=0,0,IF(E1639="MXN",1/HLOOKUP(YEAR(C1639)+(MONTH(C1639)/100),TC!$5:$37,DAY(C1639)+2,FALSE),VLOOKUP(E1639,Equivalencia!$5:$23,((MAX(Equivalencia!$3:$3)-YEAR(C1639))*14)+MONTH(C1639)+2,FALSE)))</f>
        <v>0</v>
      </c>
      <c r="J1639" s="178">
        <f t="shared" si="185"/>
        <v>0</v>
      </c>
      <c r="K1639" s="462">
        <f>IF(C1639=0,0,VLOOKUP(YEAR(C1639),INPC!$B$4:$O$29,MONTH(C1639)+1))</f>
        <v>0</v>
      </c>
      <c r="L1639" s="462">
        <f>IF(S1639=0,0,VLOOKUP(YEAR(S1639),INPC!$B$4:$O$29,MONTH(S1639)+1))</f>
        <v>0</v>
      </c>
      <c r="M1639" s="463">
        <f t="shared" si="186"/>
        <v>0</v>
      </c>
      <c r="N1639" s="465">
        <f t="shared" si="187"/>
        <v>0</v>
      </c>
      <c r="O1639" s="179"/>
      <c r="P1639" s="180"/>
      <c r="Q1639" s="173"/>
      <c r="R1639" s="173"/>
      <c r="S1639" s="174"/>
      <c r="T1639" s="173"/>
      <c r="U1639" s="182"/>
      <c r="V1639" s="177">
        <f>IF(U1639=0,0,IF(T1639="MXN",1/HLOOKUP(YEAR(S1639)+(MONTH(S1639)/100),TC!$5:$37,DAY(S1639)+2,FALSE),VLOOKUP(T1639,Equivalencia!$1:$23,((MAX(Equivalencia!$3:$3)-YEAR(S1639))*14)+MONTH(S1639)+2,FALSE)))</f>
        <v>0</v>
      </c>
      <c r="W1639" s="178">
        <f t="shared" si="188"/>
        <v>0</v>
      </c>
      <c r="X1639" s="481">
        <f t="shared" si="189"/>
        <v>0</v>
      </c>
      <c r="Y1639" s="179"/>
      <c r="Z1639" s="466">
        <f t="shared" si="190"/>
        <v>0</v>
      </c>
      <c r="AA1639" s="473">
        <f t="shared" si="191"/>
        <v>0</v>
      </c>
      <c r="AB1639" s="339">
        <f t="shared" si="192"/>
        <v>0</v>
      </c>
    </row>
    <row r="1640" spans="2:28" ht="20.100000000000001" customHeight="1">
      <c r="B1640" s="172"/>
      <c r="C1640" s="174"/>
      <c r="D1640" s="181"/>
      <c r="E1640" s="173"/>
      <c r="F1640" s="176"/>
      <c r="G1640" s="175">
        <f t="shared" si="183"/>
        <v>0</v>
      </c>
      <c r="H1640" s="175">
        <f t="shared" si="184"/>
        <v>0</v>
      </c>
      <c r="I1640" s="177">
        <f>IF(G1640=0,0,IF(E1640="MXN",1/HLOOKUP(YEAR(C1640)+(MONTH(C1640)/100),TC!$5:$37,DAY(C1640)+2,FALSE),VLOOKUP(E1640,Equivalencia!$5:$23,((MAX(Equivalencia!$3:$3)-YEAR(C1640))*14)+MONTH(C1640)+2,FALSE)))</f>
        <v>0</v>
      </c>
      <c r="J1640" s="178">
        <f t="shared" si="185"/>
        <v>0</v>
      </c>
      <c r="K1640" s="462">
        <f>IF(C1640=0,0,VLOOKUP(YEAR(C1640),INPC!$B$4:$O$29,MONTH(C1640)+1))</f>
        <v>0</v>
      </c>
      <c r="L1640" s="462">
        <f>IF(S1640=0,0,VLOOKUP(YEAR(S1640),INPC!$B$4:$O$29,MONTH(S1640)+1))</f>
        <v>0</v>
      </c>
      <c r="M1640" s="463">
        <f t="shared" si="186"/>
        <v>0</v>
      </c>
      <c r="N1640" s="465">
        <f t="shared" si="187"/>
        <v>0</v>
      </c>
      <c r="O1640" s="179"/>
      <c r="P1640" s="180"/>
      <c r="Q1640" s="173"/>
      <c r="R1640" s="173"/>
      <c r="S1640" s="174"/>
      <c r="T1640" s="173"/>
      <c r="U1640" s="182"/>
      <c r="V1640" s="177">
        <f>IF(U1640=0,0,IF(T1640="MXN",1/HLOOKUP(YEAR(S1640)+(MONTH(S1640)/100),TC!$5:$37,DAY(S1640)+2,FALSE),VLOOKUP(T1640,Equivalencia!$1:$23,((MAX(Equivalencia!$3:$3)-YEAR(S1640))*14)+MONTH(S1640)+2,FALSE)))</f>
        <v>0</v>
      </c>
      <c r="W1640" s="178">
        <f t="shared" si="188"/>
        <v>0</v>
      </c>
      <c r="X1640" s="481">
        <f t="shared" si="189"/>
        <v>0</v>
      </c>
      <c r="Y1640" s="179"/>
      <c r="Z1640" s="466">
        <f t="shared" si="190"/>
        <v>0</v>
      </c>
      <c r="AA1640" s="473">
        <f t="shared" si="191"/>
        <v>0</v>
      </c>
      <c r="AB1640" s="339">
        <f t="shared" si="192"/>
        <v>0</v>
      </c>
    </row>
    <row r="1641" spans="2:28" ht="20.100000000000001" customHeight="1">
      <c r="B1641" s="172"/>
      <c r="C1641" s="174"/>
      <c r="D1641" s="181"/>
      <c r="E1641" s="173"/>
      <c r="F1641" s="176"/>
      <c r="G1641" s="175">
        <f t="shared" si="183"/>
        <v>0</v>
      </c>
      <c r="H1641" s="175">
        <f t="shared" si="184"/>
        <v>0</v>
      </c>
      <c r="I1641" s="177">
        <f>IF(G1641=0,0,IF(E1641="MXN",1/HLOOKUP(YEAR(C1641)+(MONTH(C1641)/100),TC!$5:$37,DAY(C1641)+2,FALSE),VLOOKUP(E1641,Equivalencia!$5:$23,((MAX(Equivalencia!$3:$3)-YEAR(C1641))*14)+MONTH(C1641)+2,FALSE)))</f>
        <v>0</v>
      </c>
      <c r="J1641" s="178">
        <f t="shared" si="185"/>
        <v>0</v>
      </c>
      <c r="K1641" s="462">
        <f>IF(C1641=0,0,VLOOKUP(YEAR(C1641),INPC!$B$4:$O$29,MONTH(C1641)+1))</f>
        <v>0</v>
      </c>
      <c r="L1641" s="462">
        <f>IF(S1641=0,0,VLOOKUP(YEAR(S1641),INPC!$B$4:$O$29,MONTH(S1641)+1))</f>
        <v>0</v>
      </c>
      <c r="M1641" s="463">
        <f t="shared" si="186"/>
        <v>0</v>
      </c>
      <c r="N1641" s="465">
        <f t="shared" si="187"/>
        <v>0</v>
      </c>
      <c r="O1641" s="179"/>
      <c r="P1641" s="180"/>
      <c r="Q1641" s="173"/>
      <c r="R1641" s="173"/>
      <c r="S1641" s="174"/>
      <c r="T1641" s="173"/>
      <c r="U1641" s="182"/>
      <c r="V1641" s="177">
        <f>IF(U1641=0,0,IF(T1641="MXN",1/HLOOKUP(YEAR(S1641)+(MONTH(S1641)/100),TC!$5:$37,DAY(S1641)+2,FALSE),VLOOKUP(T1641,Equivalencia!$1:$23,((MAX(Equivalencia!$3:$3)-YEAR(S1641))*14)+MONTH(S1641)+2,FALSE)))</f>
        <v>0</v>
      </c>
      <c r="W1641" s="178">
        <f t="shared" si="188"/>
        <v>0</v>
      </c>
      <c r="X1641" s="481">
        <f t="shared" si="189"/>
        <v>0</v>
      </c>
      <c r="Y1641" s="179"/>
      <c r="Z1641" s="466">
        <f t="shared" si="190"/>
        <v>0</v>
      </c>
      <c r="AA1641" s="473">
        <f t="shared" si="191"/>
        <v>0</v>
      </c>
      <c r="AB1641" s="339">
        <f t="shared" si="192"/>
        <v>0</v>
      </c>
    </row>
    <row r="1642" spans="2:28" ht="20.100000000000001" customHeight="1">
      <c r="B1642" s="172"/>
      <c r="C1642" s="174"/>
      <c r="D1642" s="181"/>
      <c r="E1642" s="173"/>
      <c r="F1642" s="176"/>
      <c r="G1642" s="175">
        <f t="shared" si="183"/>
        <v>0</v>
      </c>
      <c r="H1642" s="175">
        <f t="shared" si="184"/>
        <v>0</v>
      </c>
      <c r="I1642" s="177">
        <f>IF(G1642=0,0,IF(E1642="MXN",1/HLOOKUP(YEAR(C1642)+(MONTH(C1642)/100),TC!$5:$37,DAY(C1642)+2,FALSE),VLOOKUP(E1642,Equivalencia!$5:$23,((MAX(Equivalencia!$3:$3)-YEAR(C1642))*14)+MONTH(C1642)+2,FALSE)))</f>
        <v>0</v>
      </c>
      <c r="J1642" s="178">
        <f t="shared" si="185"/>
        <v>0</v>
      </c>
      <c r="K1642" s="462">
        <f>IF(C1642=0,0,VLOOKUP(YEAR(C1642),INPC!$B$4:$O$29,MONTH(C1642)+1))</f>
        <v>0</v>
      </c>
      <c r="L1642" s="462">
        <f>IF(S1642=0,0,VLOOKUP(YEAR(S1642),INPC!$B$4:$O$29,MONTH(S1642)+1))</f>
        <v>0</v>
      </c>
      <c r="M1642" s="463">
        <f t="shared" si="186"/>
        <v>0</v>
      </c>
      <c r="N1642" s="465">
        <f t="shared" si="187"/>
        <v>0</v>
      </c>
      <c r="O1642" s="179"/>
      <c r="P1642" s="180"/>
      <c r="Q1642" s="173"/>
      <c r="R1642" s="173"/>
      <c r="S1642" s="174"/>
      <c r="T1642" s="173"/>
      <c r="U1642" s="182"/>
      <c r="V1642" s="177">
        <f>IF(U1642=0,0,IF(T1642="MXN",1/HLOOKUP(YEAR(S1642)+(MONTH(S1642)/100),TC!$5:$37,DAY(S1642)+2,FALSE),VLOOKUP(T1642,Equivalencia!$1:$23,((MAX(Equivalencia!$3:$3)-YEAR(S1642))*14)+MONTH(S1642)+2,FALSE)))</f>
        <v>0</v>
      </c>
      <c r="W1642" s="178">
        <f t="shared" si="188"/>
        <v>0</v>
      </c>
      <c r="X1642" s="481">
        <f t="shared" si="189"/>
        <v>0</v>
      </c>
      <c r="Y1642" s="179"/>
      <c r="Z1642" s="466">
        <f t="shared" si="190"/>
        <v>0</v>
      </c>
      <c r="AA1642" s="473">
        <f t="shared" si="191"/>
        <v>0</v>
      </c>
      <c r="AB1642" s="339">
        <f t="shared" si="192"/>
        <v>0</v>
      </c>
    </row>
    <row r="1643" spans="2:28" ht="20.100000000000001" customHeight="1">
      <c r="B1643" s="172"/>
      <c r="C1643" s="174"/>
      <c r="D1643" s="181"/>
      <c r="E1643" s="173"/>
      <c r="F1643" s="176"/>
      <c r="G1643" s="175">
        <f t="shared" si="183"/>
        <v>0</v>
      </c>
      <c r="H1643" s="175">
        <f t="shared" si="184"/>
        <v>0</v>
      </c>
      <c r="I1643" s="177">
        <f>IF(G1643=0,0,IF(E1643="MXN",1/HLOOKUP(YEAR(C1643)+(MONTH(C1643)/100),TC!$5:$37,DAY(C1643)+2,FALSE),VLOOKUP(E1643,Equivalencia!$5:$23,((MAX(Equivalencia!$3:$3)-YEAR(C1643))*14)+MONTH(C1643)+2,FALSE)))</f>
        <v>0</v>
      </c>
      <c r="J1643" s="178">
        <f t="shared" si="185"/>
        <v>0</v>
      </c>
      <c r="K1643" s="462">
        <f>IF(C1643=0,0,VLOOKUP(YEAR(C1643),INPC!$B$4:$O$29,MONTH(C1643)+1))</f>
        <v>0</v>
      </c>
      <c r="L1643" s="462">
        <f>IF(S1643=0,0,VLOOKUP(YEAR(S1643),INPC!$B$4:$O$29,MONTH(S1643)+1))</f>
        <v>0</v>
      </c>
      <c r="M1643" s="463">
        <f t="shared" si="186"/>
        <v>0</v>
      </c>
      <c r="N1643" s="465">
        <f t="shared" si="187"/>
        <v>0</v>
      </c>
      <c r="O1643" s="179"/>
      <c r="P1643" s="180"/>
      <c r="Q1643" s="173"/>
      <c r="R1643" s="173"/>
      <c r="S1643" s="174"/>
      <c r="T1643" s="173"/>
      <c r="U1643" s="182"/>
      <c r="V1643" s="177">
        <f>IF(U1643=0,0,IF(T1643="MXN",1/HLOOKUP(YEAR(S1643)+(MONTH(S1643)/100),TC!$5:$37,DAY(S1643)+2,FALSE),VLOOKUP(T1643,Equivalencia!$1:$23,((MAX(Equivalencia!$3:$3)-YEAR(S1643))*14)+MONTH(S1643)+2,FALSE)))</f>
        <v>0</v>
      </c>
      <c r="W1643" s="178">
        <f t="shared" si="188"/>
        <v>0</v>
      </c>
      <c r="X1643" s="481">
        <f t="shared" si="189"/>
        <v>0</v>
      </c>
      <c r="Y1643" s="179"/>
      <c r="Z1643" s="466">
        <f t="shared" si="190"/>
        <v>0</v>
      </c>
      <c r="AA1643" s="473">
        <f t="shared" si="191"/>
        <v>0</v>
      </c>
      <c r="AB1643" s="339">
        <f t="shared" si="192"/>
        <v>0</v>
      </c>
    </row>
    <row r="1644" spans="2:28" ht="20.100000000000001" customHeight="1">
      <c r="B1644" s="172"/>
      <c r="C1644" s="174"/>
      <c r="D1644" s="181"/>
      <c r="E1644" s="173"/>
      <c r="F1644" s="176"/>
      <c r="G1644" s="175">
        <f t="shared" si="183"/>
        <v>0</v>
      </c>
      <c r="H1644" s="175">
        <f t="shared" si="184"/>
        <v>0</v>
      </c>
      <c r="I1644" s="177">
        <f>IF(G1644=0,0,IF(E1644="MXN",1/HLOOKUP(YEAR(C1644)+(MONTH(C1644)/100),TC!$5:$37,DAY(C1644)+2,FALSE),VLOOKUP(E1644,Equivalencia!$5:$23,((MAX(Equivalencia!$3:$3)-YEAR(C1644))*14)+MONTH(C1644)+2,FALSE)))</f>
        <v>0</v>
      </c>
      <c r="J1644" s="178">
        <f t="shared" si="185"/>
        <v>0</v>
      </c>
      <c r="K1644" s="462">
        <f>IF(C1644=0,0,VLOOKUP(YEAR(C1644),INPC!$B$4:$O$29,MONTH(C1644)+1))</f>
        <v>0</v>
      </c>
      <c r="L1644" s="462">
        <f>IF(S1644=0,0,VLOOKUP(YEAR(S1644),INPC!$B$4:$O$29,MONTH(S1644)+1))</f>
        <v>0</v>
      </c>
      <c r="M1644" s="463">
        <f t="shared" si="186"/>
        <v>0</v>
      </c>
      <c r="N1644" s="465">
        <f t="shared" si="187"/>
        <v>0</v>
      </c>
      <c r="O1644" s="179"/>
      <c r="P1644" s="180"/>
      <c r="Q1644" s="173"/>
      <c r="R1644" s="173"/>
      <c r="S1644" s="174"/>
      <c r="T1644" s="173"/>
      <c r="U1644" s="182"/>
      <c r="V1644" s="177">
        <f>IF(U1644=0,0,IF(T1644="MXN",1/HLOOKUP(YEAR(S1644)+(MONTH(S1644)/100),TC!$5:$37,DAY(S1644)+2,FALSE),VLOOKUP(T1644,Equivalencia!$1:$23,((MAX(Equivalencia!$3:$3)-YEAR(S1644))*14)+MONTH(S1644)+2,FALSE)))</f>
        <v>0</v>
      </c>
      <c r="W1644" s="178">
        <f t="shared" si="188"/>
        <v>0</v>
      </c>
      <c r="X1644" s="481">
        <f t="shared" si="189"/>
        <v>0</v>
      </c>
      <c r="Y1644" s="179"/>
      <c r="Z1644" s="466">
        <f t="shared" si="190"/>
        <v>0</v>
      </c>
      <c r="AA1644" s="473">
        <f t="shared" si="191"/>
        <v>0</v>
      </c>
      <c r="AB1644" s="339">
        <f t="shared" si="192"/>
        <v>0</v>
      </c>
    </row>
    <row r="1645" spans="2:28" ht="20.100000000000001" customHeight="1">
      <c r="B1645" s="172"/>
      <c r="C1645" s="174"/>
      <c r="D1645" s="181"/>
      <c r="E1645" s="173"/>
      <c r="F1645" s="176"/>
      <c r="G1645" s="175">
        <f t="shared" si="183"/>
        <v>0</v>
      </c>
      <c r="H1645" s="175">
        <f t="shared" si="184"/>
        <v>0</v>
      </c>
      <c r="I1645" s="177">
        <f>IF(G1645=0,0,IF(E1645="MXN",1/HLOOKUP(YEAR(C1645)+(MONTH(C1645)/100),TC!$5:$37,DAY(C1645)+2,FALSE),VLOOKUP(E1645,Equivalencia!$5:$23,((MAX(Equivalencia!$3:$3)-YEAR(C1645))*14)+MONTH(C1645)+2,FALSE)))</f>
        <v>0</v>
      </c>
      <c r="J1645" s="178">
        <f t="shared" si="185"/>
        <v>0</v>
      </c>
      <c r="K1645" s="462">
        <f>IF(C1645=0,0,VLOOKUP(YEAR(C1645),INPC!$B$4:$O$29,MONTH(C1645)+1))</f>
        <v>0</v>
      </c>
      <c r="L1645" s="462">
        <f>IF(S1645=0,0,VLOOKUP(YEAR(S1645),INPC!$B$4:$O$29,MONTH(S1645)+1))</f>
        <v>0</v>
      </c>
      <c r="M1645" s="463">
        <f t="shared" si="186"/>
        <v>0</v>
      </c>
      <c r="N1645" s="465">
        <f t="shared" si="187"/>
        <v>0</v>
      </c>
      <c r="O1645" s="179"/>
      <c r="P1645" s="180"/>
      <c r="Q1645" s="173"/>
      <c r="R1645" s="173"/>
      <c r="S1645" s="174"/>
      <c r="T1645" s="173"/>
      <c r="U1645" s="182"/>
      <c r="V1645" s="177">
        <f>IF(U1645=0,0,IF(T1645="MXN",1/HLOOKUP(YEAR(S1645)+(MONTH(S1645)/100),TC!$5:$37,DAY(S1645)+2,FALSE),VLOOKUP(T1645,Equivalencia!$1:$23,((MAX(Equivalencia!$3:$3)-YEAR(S1645))*14)+MONTH(S1645)+2,FALSE)))</f>
        <v>0</v>
      </c>
      <c r="W1645" s="178">
        <f t="shared" si="188"/>
        <v>0</v>
      </c>
      <c r="X1645" s="481">
        <f t="shared" si="189"/>
        <v>0</v>
      </c>
      <c r="Y1645" s="179"/>
      <c r="Z1645" s="466">
        <f t="shared" si="190"/>
        <v>0</v>
      </c>
      <c r="AA1645" s="473">
        <f t="shared" si="191"/>
        <v>0</v>
      </c>
      <c r="AB1645" s="339">
        <f t="shared" si="192"/>
        <v>0</v>
      </c>
    </row>
    <row r="1646" spans="2:28" ht="20.100000000000001" customHeight="1">
      <c r="B1646" s="172"/>
      <c r="C1646" s="174"/>
      <c r="D1646" s="181"/>
      <c r="E1646" s="173"/>
      <c r="F1646" s="176"/>
      <c r="G1646" s="175">
        <f t="shared" si="183"/>
        <v>0</v>
      </c>
      <c r="H1646" s="175">
        <f t="shared" si="184"/>
        <v>0</v>
      </c>
      <c r="I1646" s="177">
        <f>IF(G1646=0,0,IF(E1646="MXN",1/HLOOKUP(YEAR(C1646)+(MONTH(C1646)/100),TC!$5:$37,DAY(C1646)+2,FALSE),VLOOKUP(E1646,Equivalencia!$5:$23,((MAX(Equivalencia!$3:$3)-YEAR(C1646))*14)+MONTH(C1646)+2,FALSE)))</f>
        <v>0</v>
      </c>
      <c r="J1646" s="178">
        <f t="shared" si="185"/>
        <v>0</v>
      </c>
      <c r="K1646" s="462">
        <f>IF(C1646=0,0,VLOOKUP(YEAR(C1646),INPC!$B$4:$O$29,MONTH(C1646)+1))</f>
        <v>0</v>
      </c>
      <c r="L1646" s="462">
        <f>IF(S1646=0,0,VLOOKUP(YEAR(S1646),INPC!$B$4:$O$29,MONTH(S1646)+1))</f>
        <v>0</v>
      </c>
      <c r="M1646" s="463">
        <f t="shared" si="186"/>
        <v>0</v>
      </c>
      <c r="N1646" s="465">
        <f t="shared" si="187"/>
        <v>0</v>
      </c>
      <c r="O1646" s="179"/>
      <c r="P1646" s="180"/>
      <c r="Q1646" s="173"/>
      <c r="R1646" s="173"/>
      <c r="S1646" s="174"/>
      <c r="T1646" s="173"/>
      <c r="U1646" s="182"/>
      <c r="V1646" s="177">
        <f>IF(U1646=0,0,IF(T1646="MXN",1/HLOOKUP(YEAR(S1646)+(MONTH(S1646)/100),TC!$5:$37,DAY(S1646)+2,FALSE),VLOOKUP(T1646,Equivalencia!$1:$23,((MAX(Equivalencia!$3:$3)-YEAR(S1646))*14)+MONTH(S1646)+2,FALSE)))</f>
        <v>0</v>
      </c>
      <c r="W1646" s="178">
        <f t="shared" si="188"/>
        <v>0</v>
      </c>
      <c r="X1646" s="481">
        <f t="shared" si="189"/>
        <v>0</v>
      </c>
      <c r="Y1646" s="179"/>
      <c r="Z1646" s="466">
        <f t="shared" si="190"/>
        <v>0</v>
      </c>
      <c r="AA1646" s="473">
        <f t="shared" si="191"/>
        <v>0</v>
      </c>
      <c r="AB1646" s="339">
        <f t="shared" si="192"/>
        <v>0</v>
      </c>
    </row>
    <row r="1647" spans="2:28" ht="20.100000000000001" customHeight="1">
      <c r="B1647" s="172"/>
      <c r="C1647" s="174"/>
      <c r="D1647" s="181"/>
      <c r="E1647" s="173"/>
      <c r="F1647" s="176"/>
      <c r="G1647" s="175">
        <f t="shared" si="183"/>
        <v>0</v>
      </c>
      <c r="H1647" s="175">
        <f t="shared" si="184"/>
        <v>0</v>
      </c>
      <c r="I1647" s="177">
        <f>IF(G1647=0,0,IF(E1647="MXN",1/HLOOKUP(YEAR(C1647)+(MONTH(C1647)/100),TC!$5:$37,DAY(C1647)+2,FALSE),VLOOKUP(E1647,Equivalencia!$5:$23,((MAX(Equivalencia!$3:$3)-YEAR(C1647))*14)+MONTH(C1647)+2,FALSE)))</f>
        <v>0</v>
      </c>
      <c r="J1647" s="178">
        <f t="shared" si="185"/>
        <v>0</v>
      </c>
      <c r="K1647" s="462">
        <f>IF(C1647=0,0,VLOOKUP(YEAR(C1647),INPC!$B$4:$O$29,MONTH(C1647)+1))</f>
        <v>0</v>
      </c>
      <c r="L1647" s="462">
        <f>IF(S1647=0,0,VLOOKUP(YEAR(S1647),INPC!$B$4:$O$29,MONTH(S1647)+1))</f>
        <v>0</v>
      </c>
      <c r="M1647" s="463">
        <f t="shared" si="186"/>
        <v>0</v>
      </c>
      <c r="N1647" s="465">
        <f t="shared" si="187"/>
        <v>0</v>
      </c>
      <c r="O1647" s="179"/>
      <c r="P1647" s="180"/>
      <c r="Q1647" s="173"/>
      <c r="R1647" s="173"/>
      <c r="S1647" s="174"/>
      <c r="T1647" s="173"/>
      <c r="U1647" s="182"/>
      <c r="V1647" s="177">
        <f>IF(U1647=0,0,IF(T1647="MXN",1/HLOOKUP(YEAR(S1647)+(MONTH(S1647)/100),TC!$5:$37,DAY(S1647)+2,FALSE),VLOOKUP(T1647,Equivalencia!$1:$23,((MAX(Equivalencia!$3:$3)-YEAR(S1647))*14)+MONTH(S1647)+2,FALSE)))</f>
        <v>0</v>
      </c>
      <c r="W1647" s="178">
        <f t="shared" si="188"/>
        <v>0</v>
      </c>
      <c r="X1647" s="481">
        <f t="shared" si="189"/>
        <v>0</v>
      </c>
      <c r="Y1647" s="179"/>
      <c r="Z1647" s="466">
        <f t="shared" si="190"/>
        <v>0</v>
      </c>
      <c r="AA1647" s="473">
        <f t="shared" si="191"/>
        <v>0</v>
      </c>
      <c r="AB1647" s="339">
        <f t="shared" si="192"/>
        <v>0</v>
      </c>
    </row>
    <row r="1648" spans="2:28" ht="20.100000000000001" customHeight="1">
      <c r="B1648" s="172"/>
      <c r="C1648" s="174"/>
      <c r="D1648" s="181"/>
      <c r="E1648" s="173"/>
      <c r="F1648" s="176"/>
      <c r="G1648" s="175">
        <f t="shared" si="183"/>
        <v>0</v>
      </c>
      <c r="H1648" s="175">
        <f t="shared" si="184"/>
        <v>0</v>
      </c>
      <c r="I1648" s="177">
        <f>IF(G1648=0,0,IF(E1648="MXN",1/HLOOKUP(YEAR(C1648)+(MONTH(C1648)/100),TC!$5:$37,DAY(C1648)+2,FALSE),VLOOKUP(E1648,Equivalencia!$5:$23,((MAX(Equivalencia!$3:$3)-YEAR(C1648))*14)+MONTH(C1648)+2,FALSE)))</f>
        <v>0</v>
      </c>
      <c r="J1648" s="178">
        <f t="shared" si="185"/>
        <v>0</v>
      </c>
      <c r="K1648" s="462">
        <f>IF(C1648=0,0,VLOOKUP(YEAR(C1648),INPC!$B$4:$O$29,MONTH(C1648)+1))</f>
        <v>0</v>
      </c>
      <c r="L1648" s="462">
        <f>IF(S1648=0,0,VLOOKUP(YEAR(S1648),INPC!$B$4:$O$29,MONTH(S1648)+1))</f>
        <v>0</v>
      </c>
      <c r="M1648" s="463">
        <f t="shared" si="186"/>
        <v>0</v>
      </c>
      <c r="N1648" s="465">
        <f t="shared" si="187"/>
        <v>0</v>
      </c>
      <c r="O1648" s="179"/>
      <c r="P1648" s="180"/>
      <c r="Q1648" s="173"/>
      <c r="R1648" s="173"/>
      <c r="S1648" s="174"/>
      <c r="T1648" s="173"/>
      <c r="U1648" s="182"/>
      <c r="V1648" s="177">
        <f>IF(U1648=0,0,IF(T1648="MXN",1/HLOOKUP(YEAR(S1648)+(MONTH(S1648)/100),TC!$5:$37,DAY(S1648)+2,FALSE),VLOOKUP(T1648,Equivalencia!$1:$23,((MAX(Equivalencia!$3:$3)-YEAR(S1648))*14)+MONTH(S1648)+2,FALSE)))</f>
        <v>0</v>
      </c>
      <c r="W1648" s="178">
        <f t="shared" si="188"/>
        <v>0</v>
      </c>
      <c r="X1648" s="481">
        <f t="shared" si="189"/>
        <v>0</v>
      </c>
      <c r="Y1648" s="179"/>
      <c r="Z1648" s="466">
        <f t="shared" si="190"/>
        <v>0</v>
      </c>
      <c r="AA1648" s="473">
        <f t="shared" si="191"/>
        <v>0</v>
      </c>
      <c r="AB1648" s="339">
        <f t="shared" si="192"/>
        <v>0</v>
      </c>
    </row>
    <row r="1649" spans="2:28" ht="20.100000000000001" customHeight="1">
      <c r="B1649" s="172"/>
      <c r="C1649" s="174"/>
      <c r="D1649" s="181"/>
      <c r="E1649" s="173"/>
      <c r="F1649" s="176"/>
      <c r="G1649" s="175">
        <f t="shared" si="183"/>
        <v>0</v>
      </c>
      <c r="H1649" s="175">
        <f t="shared" si="184"/>
        <v>0</v>
      </c>
      <c r="I1649" s="177">
        <f>IF(G1649=0,0,IF(E1649="MXN",1/HLOOKUP(YEAR(C1649)+(MONTH(C1649)/100),TC!$5:$37,DAY(C1649)+2,FALSE),VLOOKUP(E1649,Equivalencia!$5:$23,((MAX(Equivalencia!$3:$3)-YEAR(C1649))*14)+MONTH(C1649)+2,FALSE)))</f>
        <v>0</v>
      </c>
      <c r="J1649" s="178">
        <f t="shared" si="185"/>
        <v>0</v>
      </c>
      <c r="K1649" s="462">
        <f>IF(C1649=0,0,VLOOKUP(YEAR(C1649),INPC!$B$4:$O$29,MONTH(C1649)+1))</f>
        <v>0</v>
      </c>
      <c r="L1649" s="462">
        <f>IF(S1649=0,0,VLOOKUP(YEAR(S1649),INPC!$B$4:$O$29,MONTH(S1649)+1))</f>
        <v>0</v>
      </c>
      <c r="M1649" s="463">
        <f t="shared" si="186"/>
        <v>0</v>
      </c>
      <c r="N1649" s="465">
        <f t="shared" si="187"/>
        <v>0</v>
      </c>
      <c r="O1649" s="179"/>
      <c r="P1649" s="180"/>
      <c r="Q1649" s="173"/>
      <c r="R1649" s="173"/>
      <c r="S1649" s="174"/>
      <c r="T1649" s="173"/>
      <c r="U1649" s="182"/>
      <c r="V1649" s="177">
        <f>IF(U1649=0,0,IF(T1649="MXN",1/HLOOKUP(YEAR(S1649)+(MONTH(S1649)/100),TC!$5:$37,DAY(S1649)+2,FALSE),VLOOKUP(T1649,Equivalencia!$1:$23,((MAX(Equivalencia!$3:$3)-YEAR(S1649))*14)+MONTH(S1649)+2,FALSE)))</f>
        <v>0</v>
      </c>
      <c r="W1649" s="178">
        <f t="shared" si="188"/>
        <v>0</v>
      </c>
      <c r="X1649" s="481">
        <f t="shared" si="189"/>
        <v>0</v>
      </c>
      <c r="Y1649" s="179"/>
      <c r="Z1649" s="466">
        <f t="shared" si="190"/>
        <v>0</v>
      </c>
      <c r="AA1649" s="473">
        <f t="shared" si="191"/>
        <v>0</v>
      </c>
      <c r="AB1649" s="339">
        <f t="shared" si="192"/>
        <v>0</v>
      </c>
    </row>
    <row r="1650" spans="2:28" ht="20.100000000000001" customHeight="1">
      <c r="B1650" s="172"/>
      <c r="C1650" s="174"/>
      <c r="D1650" s="181"/>
      <c r="E1650" s="173"/>
      <c r="F1650" s="176"/>
      <c r="G1650" s="175">
        <f t="shared" si="183"/>
        <v>0</v>
      </c>
      <c r="H1650" s="175">
        <f t="shared" si="184"/>
        <v>0</v>
      </c>
      <c r="I1650" s="177">
        <f>IF(G1650=0,0,IF(E1650="MXN",1/HLOOKUP(YEAR(C1650)+(MONTH(C1650)/100),TC!$5:$37,DAY(C1650)+2,FALSE),VLOOKUP(E1650,Equivalencia!$5:$23,((MAX(Equivalencia!$3:$3)-YEAR(C1650))*14)+MONTH(C1650)+2,FALSE)))</f>
        <v>0</v>
      </c>
      <c r="J1650" s="178">
        <f t="shared" si="185"/>
        <v>0</v>
      </c>
      <c r="K1650" s="462">
        <f>IF(C1650=0,0,VLOOKUP(YEAR(C1650),INPC!$B$4:$O$29,MONTH(C1650)+1))</f>
        <v>0</v>
      </c>
      <c r="L1650" s="462">
        <f>IF(S1650=0,0,VLOOKUP(YEAR(S1650),INPC!$B$4:$O$29,MONTH(S1650)+1))</f>
        <v>0</v>
      </c>
      <c r="M1650" s="463">
        <f t="shared" si="186"/>
        <v>0</v>
      </c>
      <c r="N1650" s="465">
        <f t="shared" si="187"/>
        <v>0</v>
      </c>
      <c r="O1650" s="179"/>
      <c r="P1650" s="180"/>
      <c r="Q1650" s="173"/>
      <c r="R1650" s="173"/>
      <c r="S1650" s="174"/>
      <c r="T1650" s="173"/>
      <c r="U1650" s="182"/>
      <c r="V1650" s="177">
        <f>IF(U1650=0,0,IF(T1650="MXN",1/HLOOKUP(YEAR(S1650)+(MONTH(S1650)/100),TC!$5:$37,DAY(S1650)+2,FALSE),VLOOKUP(T1650,Equivalencia!$1:$23,((MAX(Equivalencia!$3:$3)-YEAR(S1650))*14)+MONTH(S1650)+2,FALSE)))</f>
        <v>0</v>
      </c>
      <c r="W1650" s="178">
        <f t="shared" si="188"/>
        <v>0</v>
      </c>
      <c r="X1650" s="481">
        <f t="shared" si="189"/>
        <v>0</v>
      </c>
      <c r="Y1650" s="179"/>
      <c r="Z1650" s="466">
        <f t="shared" si="190"/>
        <v>0</v>
      </c>
      <c r="AA1650" s="473">
        <f t="shared" si="191"/>
        <v>0</v>
      </c>
      <c r="AB1650" s="339">
        <f t="shared" si="192"/>
        <v>0</v>
      </c>
    </row>
    <row r="1651" spans="2:28" ht="20.100000000000001" customHeight="1">
      <c r="B1651" s="172"/>
      <c r="C1651" s="174"/>
      <c r="D1651" s="181"/>
      <c r="E1651" s="173"/>
      <c r="F1651" s="176"/>
      <c r="G1651" s="175">
        <f t="shared" si="183"/>
        <v>0</v>
      </c>
      <c r="H1651" s="175">
        <f t="shared" si="184"/>
        <v>0</v>
      </c>
      <c r="I1651" s="177">
        <f>IF(G1651=0,0,IF(E1651="MXN",1/HLOOKUP(YEAR(C1651)+(MONTH(C1651)/100),TC!$5:$37,DAY(C1651)+2,FALSE),VLOOKUP(E1651,Equivalencia!$5:$23,((MAX(Equivalencia!$3:$3)-YEAR(C1651))*14)+MONTH(C1651)+2,FALSE)))</f>
        <v>0</v>
      </c>
      <c r="J1651" s="178">
        <f t="shared" si="185"/>
        <v>0</v>
      </c>
      <c r="K1651" s="462">
        <f>IF(C1651=0,0,VLOOKUP(YEAR(C1651),INPC!$B$4:$O$29,MONTH(C1651)+1))</f>
        <v>0</v>
      </c>
      <c r="L1651" s="462">
        <f>IF(S1651=0,0,VLOOKUP(YEAR(S1651),INPC!$B$4:$O$29,MONTH(S1651)+1))</f>
        <v>0</v>
      </c>
      <c r="M1651" s="463">
        <f t="shared" si="186"/>
        <v>0</v>
      </c>
      <c r="N1651" s="465">
        <f t="shared" si="187"/>
        <v>0</v>
      </c>
      <c r="O1651" s="179"/>
      <c r="P1651" s="180"/>
      <c r="Q1651" s="173"/>
      <c r="R1651" s="173"/>
      <c r="S1651" s="174"/>
      <c r="T1651" s="173"/>
      <c r="U1651" s="182"/>
      <c r="V1651" s="177">
        <f>IF(U1651=0,0,IF(T1651="MXN",1/HLOOKUP(YEAR(S1651)+(MONTH(S1651)/100),TC!$5:$37,DAY(S1651)+2,FALSE),VLOOKUP(T1651,Equivalencia!$1:$23,((MAX(Equivalencia!$3:$3)-YEAR(S1651))*14)+MONTH(S1651)+2,FALSE)))</f>
        <v>0</v>
      </c>
      <c r="W1651" s="178">
        <f t="shared" si="188"/>
        <v>0</v>
      </c>
      <c r="X1651" s="481">
        <f t="shared" si="189"/>
        <v>0</v>
      </c>
      <c r="Y1651" s="179"/>
      <c r="Z1651" s="466">
        <f t="shared" si="190"/>
        <v>0</v>
      </c>
      <c r="AA1651" s="473">
        <f t="shared" si="191"/>
        <v>0</v>
      </c>
      <c r="AB1651" s="339">
        <f t="shared" si="192"/>
        <v>0</v>
      </c>
    </row>
    <row r="1652" spans="2:28" ht="20.100000000000001" customHeight="1">
      <c r="B1652" s="172"/>
      <c r="C1652" s="174"/>
      <c r="D1652" s="181"/>
      <c r="E1652" s="173"/>
      <c r="F1652" s="176"/>
      <c r="G1652" s="175">
        <f t="shared" si="183"/>
        <v>0</v>
      </c>
      <c r="H1652" s="175">
        <f t="shared" si="184"/>
        <v>0</v>
      </c>
      <c r="I1652" s="177">
        <f>IF(G1652=0,0,IF(E1652="MXN",1/HLOOKUP(YEAR(C1652)+(MONTH(C1652)/100),TC!$5:$37,DAY(C1652)+2,FALSE),VLOOKUP(E1652,Equivalencia!$5:$23,((MAX(Equivalencia!$3:$3)-YEAR(C1652))*14)+MONTH(C1652)+2,FALSE)))</f>
        <v>0</v>
      </c>
      <c r="J1652" s="178">
        <f t="shared" si="185"/>
        <v>0</v>
      </c>
      <c r="K1652" s="462">
        <f>IF(C1652=0,0,VLOOKUP(YEAR(C1652),INPC!$B$4:$O$29,MONTH(C1652)+1))</f>
        <v>0</v>
      </c>
      <c r="L1652" s="462">
        <f>IF(S1652=0,0,VLOOKUP(YEAR(S1652),INPC!$B$4:$O$29,MONTH(S1652)+1))</f>
        <v>0</v>
      </c>
      <c r="M1652" s="463">
        <f t="shared" si="186"/>
        <v>0</v>
      </c>
      <c r="N1652" s="465">
        <f t="shared" si="187"/>
        <v>0</v>
      </c>
      <c r="O1652" s="179"/>
      <c r="P1652" s="180"/>
      <c r="Q1652" s="173"/>
      <c r="R1652" s="173"/>
      <c r="S1652" s="174"/>
      <c r="T1652" s="173"/>
      <c r="U1652" s="182"/>
      <c r="V1652" s="177">
        <f>IF(U1652=0,0,IF(T1652="MXN",1/HLOOKUP(YEAR(S1652)+(MONTH(S1652)/100),TC!$5:$37,DAY(S1652)+2,FALSE),VLOOKUP(T1652,Equivalencia!$1:$23,((MAX(Equivalencia!$3:$3)-YEAR(S1652))*14)+MONTH(S1652)+2,FALSE)))</f>
        <v>0</v>
      </c>
      <c r="W1652" s="178">
        <f t="shared" si="188"/>
        <v>0</v>
      </c>
      <c r="X1652" s="481">
        <f t="shared" si="189"/>
        <v>0</v>
      </c>
      <c r="Y1652" s="179"/>
      <c r="Z1652" s="466">
        <f t="shared" si="190"/>
        <v>0</v>
      </c>
      <c r="AA1652" s="473">
        <f t="shared" si="191"/>
        <v>0</v>
      </c>
      <c r="AB1652" s="339">
        <f t="shared" si="192"/>
        <v>0</v>
      </c>
    </row>
    <row r="1653" spans="2:28" ht="20.100000000000001" customHeight="1">
      <c r="B1653" s="172"/>
      <c r="C1653" s="174"/>
      <c r="D1653" s="181"/>
      <c r="E1653" s="173"/>
      <c r="F1653" s="176"/>
      <c r="G1653" s="175">
        <f t="shared" si="183"/>
        <v>0</v>
      </c>
      <c r="H1653" s="175">
        <f t="shared" si="184"/>
        <v>0</v>
      </c>
      <c r="I1653" s="177">
        <f>IF(G1653=0,0,IF(E1653="MXN",1/HLOOKUP(YEAR(C1653)+(MONTH(C1653)/100),TC!$5:$37,DAY(C1653)+2,FALSE),VLOOKUP(E1653,Equivalencia!$5:$23,((MAX(Equivalencia!$3:$3)-YEAR(C1653))*14)+MONTH(C1653)+2,FALSE)))</f>
        <v>0</v>
      </c>
      <c r="J1653" s="178">
        <f t="shared" si="185"/>
        <v>0</v>
      </c>
      <c r="K1653" s="462">
        <f>IF(C1653=0,0,VLOOKUP(YEAR(C1653),INPC!$B$4:$O$29,MONTH(C1653)+1))</f>
        <v>0</v>
      </c>
      <c r="L1653" s="462">
        <f>IF(S1653=0,0,VLOOKUP(YEAR(S1653),INPC!$B$4:$O$29,MONTH(S1653)+1))</f>
        <v>0</v>
      </c>
      <c r="M1653" s="463">
        <f t="shared" si="186"/>
        <v>0</v>
      </c>
      <c r="N1653" s="465">
        <f t="shared" si="187"/>
        <v>0</v>
      </c>
      <c r="O1653" s="179"/>
      <c r="P1653" s="180"/>
      <c r="Q1653" s="173"/>
      <c r="R1653" s="173"/>
      <c r="S1653" s="174"/>
      <c r="T1653" s="173"/>
      <c r="U1653" s="182"/>
      <c r="V1653" s="177">
        <f>IF(U1653=0,0,IF(T1653="MXN",1/HLOOKUP(YEAR(S1653)+(MONTH(S1653)/100),TC!$5:$37,DAY(S1653)+2,FALSE),VLOOKUP(T1653,Equivalencia!$1:$23,((MAX(Equivalencia!$3:$3)-YEAR(S1653))*14)+MONTH(S1653)+2,FALSE)))</f>
        <v>0</v>
      </c>
      <c r="W1653" s="178">
        <f t="shared" si="188"/>
        <v>0</v>
      </c>
      <c r="X1653" s="481">
        <f t="shared" si="189"/>
        <v>0</v>
      </c>
      <c r="Y1653" s="179"/>
      <c r="Z1653" s="466">
        <f t="shared" si="190"/>
        <v>0</v>
      </c>
      <c r="AA1653" s="473">
        <f t="shared" si="191"/>
        <v>0</v>
      </c>
      <c r="AB1653" s="339">
        <f t="shared" si="192"/>
        <v>0</v>
      </c>
    </row>
    <row r="1654" spans="2:28" ht="20.100000000000001" customHeight="1">
      <c r="B1654" s="172"/>
      <c r="C1654" s="174"/>
      <c r="D1654" s="181"/>
      <c r="E1654" s="173"/>
      <c r="F1654" s="176"/>
      <c r="G1654" s="175">
        <f t="shared" si="183"/>
        <v>0</v>
      </c>
      <c r="H1654" s="175">
        <f t="shared" si="184"/>
        <v>0</v>
      </c>
      <c r="I1654" s="177">
        <f>IF(G1654=0,0,IF(E1654="MXN",1/HLOOKUP(YEAR(C1654)+(MONTH(C1654)/100),TC!$5:$37,DAY(C1654)+2,FALSE),VLOOKUP(E1654,Equivalencia!$5:$23,((MAX(Equivalencia!$3:$3)-YEAR(C1654))*14)+MONTH(C1654)+2,FALSE)))</f>
        <v>0</v>
      </c>
      <c r="J1654" s="178">
        <f t="shared" si="185"/>
        <v>0</v>
      </c>
      <c r="K1654" s="462">
        <f>IF(C1654=0,0,VLOOKUP(YEAR(C1654),INPC!$B$4:$O$29,MONTH(C1654)+1))</f>
        <v>0</v>
      </c>
      <c r="L1654" s="462">
        <f>IF(S1654=0,0,VLOOKUP(YEAR(S1654),INPC!$B$4:$O$29,MONTH(S1654)+1))</f>
        <v>0</v>
      </c>
      <c r="M1654" s="463">
        <f t="shared" si="186"/>
        <v>0</v>
      </c>
      <c r="N1654" s="465">
        <f t="shared" si="187"/>
        <v>0</v>
      </c>
      <c r="O1654" s="179"/>
      <c r="P1654" s="180"/>
      <c r="Q1654" s="173"/>
      <c r="R1654" s="173"/>
      <c r="S1654" s="174"/>
      <c r="T1654" s="173"/>
      <c r="U1654" s="182"/>
      <c r="V1654" s="177">
        <f>IF(U1654=0,0,IF(T1654="MXN",1/HLOOKUP(YEAR(S1654)+(MONTH(S1654)/100),TC!$5:$37,DAY(S1654)+2,FALSE),VLOOKUP(T1654,Equivalencia!$1:$23,((MAX(Equivalencia!$3:$3)-YEAR(S1654))*14)+MONTH(S1654)+2,FALSE)))</f>
        <v>0</v>
      </c>
      <c r="W1654" s="178">
        <f t="shared" si="188"/>
        <v>0</v>
      </c>
      <c r="X1654" s="481">
        <f t="shared" si="189"/>
        <v>0</v>
      </c>
      <c r="Y1654" s="179"/>
      <c r="Z1654" s="466">
        <f t="shared" si="190"/>
        <v>0</v>
      </c>
      <c r="AA1654" s="473">
        <f t="shared" si="191"/>
        <v>0</v>
      </c>
      <c r="AB1654" s="339">
        <f t="shared" si="192"/>
        <v>0</v>
      </c>
    </row>
    <row r="1655" spans="2:28" ht="20.100000000000001" customHeight="1">
      <c r="B1655" s="172"/>
      <c r="C1655" s="174"/>
      <c r="D1655" s="181"/>
      <c r="E1655" s="173"/>
      <c r="F1655" s="176"/>
      <c r="G1655" s="175">
        <f t="shared" si="183"/>
        <v>0</v>
      </c>
      <c r="H1655" s="175">
        <f t="shared" si="184"/>
        <v>0</v>
      </c>
      <c r="I1655" s="177">
        <f>IF(G1655=0,0,IF(E1655="MXN",1/HLOOKUP(YEAR(C1655)+(MONTH(C1655)/100),TC!$5:$37,DAY(C1655)+2,FALSE),VLOOKUP(E1655,Equivalencia!$5:$23,((MAX(Equivalencia!$3:$3)-YEAR(C1655))*14)+MONTH(C1655)+2,FALSE)))</f>
        <v>0</v>
      </c>
      <c r="J1655" s="178">
        <f t="shared" si="185"/>
        <v>0</v>
      </c>
      <c r="K1655" s="462">
        <f>IF(C1655=0,0,VLOOKUP(YEAR(C1655),INPC!$B$4:$O$29,MONTH(C1655)+1))</f>
        <v>0</v>
      </c>
      <c r="L1655" s="462">
        <f>IF(S1655=0,0,VLOOKUP(YEAR(S1655),INPC!$B$4:$O$29,MONTH(S1655)+1))</f>
        <v>0</v>
      </c>
      <c r="M1655" s="463">
        <f t="shared" si="186"/>
        <v>0</v>
      </c>
      <c r="N1655" s="465">
        <f t="shared" si="187"/>
        <v>0</v>
      </c>
      <c r="O1655" s="179"/>
      <c r="P1655" s="180"/>
      <c r="Q1655" s="173"/>
      <c r="R1655" s="173"/>
      <c r="S1655" s="174"/>
      <c r="T1655" s="173"/>
      <c r="U1655" s="182"/>
      <c r="V1655" s="177">
        <f>IF(U1655=0,0,IF(T1655="MXN",1/HLOOKUP(YEAR(S1655)+(MONTH(S1655)/100),TC!$5:$37,DAY(S1655)+2,FALSE),VLOOKUP(T1655,Equivalencia!$1:$23,((MAX(Equivalencia!$3:$3)-YEAR(S1655))*14)+MONTH(S1655)+2,FALSE)))</f>
        <v>0</v>
      </c>
      <c r="W1655" s="178">
        <f t="shared" si="188"/>
        <v>0</v>
      </c>
      <c r="X1655" s="481">
        <f t="shared" si="189"/>
        <v>0</v>
      </c>
      <c r="Y1655" s="179"/>
      <c r="Z1655" s="466">
        <f t="shared" si="190"/>
        <v>0</v>
      </c>
      <c r="AA1655" s="473">
        <f t="shared" si="191"/>
        <v>0</v>
      </c>
      <c r="AB1655" s="339">
        <f t="shared" si="192"/>
        <v>0</v>
      </c>
    </row>
    <row r="1656" spans="2:28" ht="20.100000000000001" customHeight="1">
      <c r="B1656" s="172"/>
      <c r="C1656" s="174"/>
      <c r="D1656" s="181"/>
      <c r="E1656" s="173"/>
      <c r="F1656" s="176"/>
      <c r="G1656" s="175">
        <f t="shared" si="183"/>
        <v>0</v>
      </c>
      <c r="H1656" s="175">
        <f t="shared" si="184"/>
        <v>0</v>
      </c>
      <c r="I1656" s="177">
        <f>IF(G1656=0,0,IF(E1656="MXN",1/HLOOKUP(YEAR(C1656)+(MONTH(C1656)/100),TC!$5:$37,DAY(C1656)+2,FALSE),VLOOKUP(E1656,Equivalencia!$5:$23,((MAX(Equivalencia!$3:$3)-YEAR(C1656))*14)+MONTH(C1656)+2,FALSE)))</f>
        <v>0</v>
      </c>
      <c r="J1656" s="178">
        <f t="shared" si="185"/>
        <v>0</v>
      </c>
      <c r="K1656" s="462">
        <f>IF(C1656=0,0,VLOOKUP(YEAR(C1656),INPC!$B$4:$O$29,MONTH(C1656)+1))</f>
        <v>0</v>
      </c>
      <c r="L1656" s="462">
        <f>IF(S1656=0,0,VLOOKUP(YEAR(S1656),INPC!$B$4:$O$29,MONTH(S1656)+1))</f>
        <v>0</v>
      </c>
      <c r="M1656" s="463">
        <f t="shared" si="186"/>
        <v>0</v>
      </c>
      <c r="N1656" s="465">
        <f t="shared" si="187"/>
        <v>0</v>
      </c>
      <c r="O1656" s="179"/>
      <c r="P1656" s="180"/>
      <c r="Q1656" s="173"/>
      <c r="R1656" s="173"/>
      <c r="S1656" s="174"/>
      <c r="T1656" s="173"/>
      <c r="U1656" s="182"/>
      <c r="V1656" s="177">
        <f>IF(U1656=0,0,IF(T1656="MXN",1/HLOOKUP(YEAR(S1656)+(MONTH(S1656)/100),TC!$5:$37,DAY(S1656)+2,FALSE),VLOOKUP(T1656,Equivalencia!$1:$23,((MAX(Equivalencia!$3:$3)-YEAR(S1656))*14)+MONTH(S1656)+2,FALSE)))</f>
        <v>0</v>
      </c>
      <c r="W1656" s="178">
        <f t="shared" si="188"/>
        <v>0</v>
      </c>
      <c r="X1656" s="481">
        <f t="shared" si="189"/>
        <v>0</v>
      </c>
      <c r="Y1656" s="179"/>
      <c r="Z1656" s="466">
        <f t="shared" si="190"/>
        <v>0</v>
      </c>
      <c r="AA1656" s="473">
        <f t="shared" si="191"/>
        <v>0</v>
      </c>
      <c r="AB1656" s="339">
        <f t="shared" si="192"/>
        <v>0</v>
      </c>
    </row>
    <row r="1657" spans="2:28" ht="20.100000000000001" customHeight="1">
      <c r="B1657" s="172"/>
      <c r="C1657" s="174"/>
      <c r="D1657" s="181"/>
      <c r="E1657" s="173"/>
      <c r="F1657" s="176"/>
      <c r="G1657" s="175">
        <f t="shared" si="183"/>
        <v>0</v>
      </c>
      <c r="H1657" s="175">
        <f t="shared" si="184"/>
        <v>0</v>
      </c>
      <c r="I1657" s="177">
        <f>IF(G1657=0,0,IF(E1657="MXN",1/HLOOKUP(YEAR(C1657)+(MONTH(C1657)/100),TC!$5:$37,DAY(C1657)+2,FALSE),VLOOKUP(E1657,Equivalencia!$5:$23,((MAX(Equivalencia!$3:$3)-YEAR(C1657))*14)+MONTH(C1657)+2,FALSE)))</f>
        <v>0</v>
      </c>
      <c r="J1657" s="178">
        <f t="shared" si="185"/>
        <v>0</v>
      </c>
      <c r="K1657" s="462">
        <f>IF(C1657=0,0,VLOOKUP(YEAR(C1657),INPC!$B$4:$O$29,MONTH(C1657)+1))</f>
        <v>0</v>
      </c>
      <c r="L1657" s="462">
        <f>IF(S1657=0,0,VLOOKUP(YEAR(S1657),INPC!$B$4:$O$29,MONTH(S1657)+1))</f>
        <v>0</v>
      </c>
      <c r="M1657" s="463">
        <f t="shared" si="186"/>
        <v>0</v>
      </c>
      <c r="N1657" s="465">
        <f t="shared" si="187"/>
        <v>0</v>
      </c>
      <c r="O1657" s="179"/>
      <c r="P1657" s="180"/>
      <c r="Q1657" s="173"/>
      <c r="R1657" s="173"/>
      <c r="S1657" s="174"/>
      <c r="T1657" s="173"/>
      <c r="U1657" s="182"/>
      <c r="V1657" s="177">
        <f>IF(U1657=0,0,IF(T1657="MXN",1/HLOOKUP(YEAR(S1657)+(MONTH(S1657)/100),TC!$5:$37,DAY(S1657)+2,FALSE),VLOOKUP(T1657,Equivalencia!$1:$23,((MAX(Equivalencia!$3:$3)-YEAR(S1657))*14)+MONTH(S1657)+2,FALSE)))</f>
        <v>0</v>
      </c>
      <c r="W1657" s="178">
        <f t="shared" si="188"/>
        <v>0</v>
      </c>
      <c r="X1657" s="481">
        <f t="shared" si="189"/>
        <v>0</v>
      </c>
      <c r="Y1657" s="179"/>
      <c r="Z1657" s="466">
        <f t="shared" si="190"/>
        <v>0</v>
      </c>
      <c r="AA1657" s="473">
        <f t="shared" si="191"/>
        <v>0</v>
      </c>
      <c r="AB1657" s="339">
        <f t="shared" si="192"/>
        <v>0</v>
      </c>
    </row>
    <row r="1658" spans="2:28" ht="20.100000000000001" customHeight="1">
      <c r="B1658" s="172"/>
      <c r="C1658" s="174"/>
      <c r="D1658" s="181"/>
      <c r="E1658" s="173"/>
      <c r="F1658" s="176"/>
      <c r="G1658" s="175">
        <f t="shared" si="183"/>
        <v>0</v>
      </c>
      <c r="H1658" s="175">
        <f t="shared" si="184"/>
        <v>0</v>
      </c>
      <c r="I1658" s="177">
        <f>IF(G1658=0,0,IF(E1658="MXN",1/HLOOKUP(YEAR(C1658)+(MONTH(C1658)/100),TC!$5:$37,DAY(C1658)+2,FALSE),VLOOKUP(E1658,Equivalencia!$5:$23,((MAX(Equivalencia!$3:$3)-YEAR(C1658))*14)+MONTH(C1658)+2,FALSE)))</f>
        <v>0</v>
      </c>
      <c r="J1658" s="178">
        <f t="shared" si="185"/>
        <v>0</v>
      </c>
      <c r="K1658" s="462">
        <f>IF(C1658=0,0,VLOOKUP(YEAR(C1658),INPC!$B$4:$O$29,MONTH(C1658)+1))</f>
        <v>0</v>
      </c>
      <c r="L1658" s="462">
        <f>IF(S1658=0,0,VLOOKUP(YEAR(S1658),INPC!$B$4:$O$29,MONTH(S1658)+1))</f>
        <v>0</v>
      </c>
      <c r="M1658" s="463">
        <f t="shared" si="186"/>
        <v>0</v>
      </c>
      <c r="N1658" s="465">
        <f t="shared" si="187"/>
        <v>0</v>
      </c>
      <c r="O1658" s="179"/>
      <c r="P1658" s="180"/>
      <c r="Q1658" s="173"/>
      <c r="R1658" s="173"/>
      <c r="S1658" s="174"/>
      <c r="T1658" s="173"/>
      <c r="U1658" s="182"/>
      <c r="V1658" s="177">
        <f>IF(U1658=0,0,IF(T1658="MXN",1/HLOOKUP(YEAR(S1658)+(MONTH(S1658)/100),TC!$5:$37,DAY(S1658)+2,FALSE),VLOOKUP(T1658,Equivalencia!$1:$23,((MAX(Equivalencia!$3:$3)-YEAR(S1658))*14)+MONTH(S1658)+2,FALSE)))</f>
        <v>0</v>
      </c>
      <c r="W1658" s="178">
        <f t="shared" si="188"/>
        <v>0</v>
      </c>
      <c r="X1658" s="481">
        <f t="shared" si="189"/>
        <v>0</v>
      </c>
      <c r="Y1658" s="179"/>
      <c r="Z1658" s="466">
        <f t="shared" si="190"/>
        <v>0</v>
      </c>
      <c r="AA1658" s="473">
        <f t="shared" si="191"/>
        <v>0</v>
      </c>
      <c r="AB1658" s="339">
        <f t="shared" si="192"/>
        <v>0</v>
      </c>
    </row>
    <row r="1659" spans="2:28" ht="20.100000000000001" customHeight="1">
      <c r="B1659" s="172"/>
      <c r="C1659" s="174"/>
      <c r="D1659" s="181"/>
      <c r="E1659" s="173"/>
      <c r="F1659" s="176"/>
      <c r="G1659" s="175">
        <f t="shared" si="183"/>
        <v>0</v>
      </c>
      <c r="H1659" s="175">
        <f t="shared" si="184"/>
        <v>0</v>
      </c>
      <c r="I1659" s="177">
        <f>IF(G1659=0,0,IF(E1659="MXN",1/HLOOKUP(YEAR(C1659)+(MONTH(C1659)/100),TC!$5:$37,DAY(C1659)+2,FALSE),VLOOKUP(E1659,Equivalencia!$5:$23,((MAX(Equivalencia!$3:$3)-YEAR(C1659))*14)+MONTH(C1659)+2,FALSE)))</f>
        <v>0</v>
      </c>
      <c r="J1659" s="178">
        <f t="shared" si="185"/>
        <v>0</v>
      </c>
      <c r="K1659" s="462">
        <f>IF(C1659=0,0,VLOOKUP(YEAR(C1659),INPC!$B$4:$O$29,MONTH(C1659)+1))</f>
        <v>0</v>
      </c>
      <c r="L1659" s="462">
        <f>IF(S1659=0,0,VLOOKUP(YEAR(S1659),INPC!$B$4:$O$29,MONTH(S1659)+1))</f>
        <v>0</v>
      </c>
      <c r="M1659" s="463">
        <f t="shared" si="186"/>
        <v>0</v>
      </c>
      <c r="N1659" s="465">
        <f t="shared" si="187"/>
        <v>0</v>
      </c>
      <c r="O1659" s="179"/>
      <c r="P1659" s="180"/>
      <c r="Q1659" s="173"/>
      <c r="R1659" s="173"/>
      <c r="S1659" s="174"/>
      <c r="T1659" s="173"/>
      <c r="U1659" s="182"/>
      <c r="V1659" s="177">
        <f>IF(U1659=0,0,IF(T1659="MXN",1/HLOOKUP(YEAR(S1659)+(MONTH(S1659)/100),TC!$5:$37,DAY(S1659)+2,FALSE),VLOOKUP(T1659,Equivalencia!$1:$23,((MAX(Equivalencia!$3:$3)-YEAR(S1659))*14)+MONTH(S1659)+2,FALSE)))</f>
        <v>0</v>
      </c>
      <c r="W1659" s="178">
        <f t="shared" si="188"/>
        <v>0</v>
      </c>
      <c r="X1659" s="481">
        <f t="shared" si="189"/>
        <v>0</v>
      </c>
      <c r="Y1659" s="179"/>
      <c r="Z1659" s="466">
        <f t="shared" si="190"/>
        <v>0</v>
      </c>
      <c r="AA1659" s="473">
        <f t="shared" si="191"/>
        <v>0</v>
      </c>
      <c r="AB1659" s="339">
        <f t="shared" si="192"/>
        <v>0</v>
      </c>
    </row>
    <row r="1660" spans="2:28" ht="20.100000000000001" customHeight="1">
      <c r="B1660" s="172"/>
      <c r="C1660" s="174"/>
      <c r="D1660" s="181"/>
      <c r="E1660" s="173"/>
      <c r="F1660" s="176"/>
      <c r="G1660" s="175">
        <f t="shared" si="183"/>
        <v>0</v>
      </c>
      <c r="H1660" s="175">
        <f t="shared" si="184"/>
        <v>0</v>
      </c>
      <c r="I1660" s="177">
        <f>IF(G1660=0,0,IF(E1660="MXN",1/HLOOKUP(YEAR(C1660)+(MONTH(C1660)/100),TC!$5:$37,DAY(C1660)+2,FALSE),VLOOKUP(E1660,Equivalencia!$5:$23,((MAX(Equivalencia!$3:$3)-YEAR(C1660))*14)+MONTH(C1660)+2,FALSE)))</f>
        <v>0</v>
      </c>
      <c r="J1660" s="178">
        <f t="shared" si="185"/>
        <v>0</v>
      </c>
      <c r="K1660" s="462">
        <f>IF(C1660=0,0,VLOOKUP(YEAR(C1660),INPC!$B$4:$O$29,MONTH(C1660)+1))</f>
        <v>0</v>
      </c>
      <c r="L1660" s="462">
        <f>IF(S1660=0,0,VLOOKUP(YEAR(S1660),INPC!$B$4:$O$29,MONTH(S1660)+1))</f>
        <v>0</v>
      </c>
      <c r="M1660" s="463">
        <f t="shared" si="186"/>
        <v>0</v>
      </c>
      <c r="N1660" s="465">
        <f t="shared" si="187"/>
        <v>0</v>
      </c>
      <c r="O1660" s="179"/>
      <c r="P1660" s="180"/>
      <c r="Q1660" s="173"/>
      <c r="R1660" s="173"/>
      <c r="S1660" s="174"/>
      <c r="T1660" s="173"/>
      <c r="U1660" s="182"/>
      <c r="V1660" s="177">
        <f>IF(U1660=0,0,IF(T1660="MXN",1/HLOOKUP(YEAR(S1660)+(MONTH(S1660)/100),TC!$5:$37,DAY(S1660)+2,FALSE),VLOOKUP(T1660,Equivalencia!$1:$23,((MAX(Equivalencia!$3:$3)-YEAR(S1660))*14)+MONTH(S1660)+2,FALSE)))</f>
        <v>0</v>
      </c>
      <c r="W1660" s="178">
        <f t="shared" si="188"/>
        <v>0</v>
      </c>
      <c r="X1660" s="481">
        <f t="shared" si="189"/>
        <v>0</v>
      </c>
      <c r="Y1660" s="179"/>
      <c r="Z1660" s="466">
        <f t="shared" si="190"/>
        <v>0</v>
      </c>
      <c r="AA1660" s="473">
        <f t="shared" si="191"/>
        <v>0</v>
      </c>
      <c r="AB1660" s="339">
        <f t="shared" si="192"/>
        <v>0</v>
      </c>
    </row>
    <row r="1661" spans="2:28" ht="20.100000000000001" customHeight="1">
      <c r="B1661" s="172"/>
      <c r="C1661" s="174"/>
      <c r="D1661" s="181"/>
      <c r="E1661" s="173"/>
      <c r="F1661" s="176"/>
      <c r="G1661" s="175">
        <f t="shared" si="183"/>
        <v>0</v>
      </c>
      <c r="H1661" s="175">
        <f t="shared" si="184"/>
        <v>0</v>
      </c>
      <c r="I1661" s="177">
        <f>IF(G1661=0,0,IF(E1661="MXN",1/HLOOKUP(YEAR(C1661)+(MONTH(C1661)/100),TC!$5:$37,DAY(C1661)+2,FALSE),VLOOKUP(E1661,Equivalencia!$5:$23,((MAX(Equivalencia!$3:$3)-YEAR(C1661))*14)+MONTH(C1661)+2,FALSE)))</f>
        <v>0</v>
      </c>
      <c r="J1661" s="178">
        <f t="shared" si="185"/>
        <v>0</v>
      </c>
      <c r="K1661" s="462">
        <f>IF(C1661=0,0,VLOOKUP(YEAR(C1661),INPC!$B$4:$O$29,MONTH(C1661)+1))</f>
        <v>0</v>
      </c>
      <c r="L1661" s="462">
        <f>IF(S1661=0,0,VLOOKUP(YEAR(S1661),INPC!$B$4:$O$29,MONTH(S1661)+1))</f>
        <v>0</v>
      </c>
      <c r="M1661" s="463">
        <f t="shared" si="186"/>
        <v>0</v>
      </c>
      <c r="N1661" s="465">
        <f t="shared" si="187"/>
        <v>0</v>
      </c>
      <c r="O1661" s="179"/>
      <c r="P1661" s="180"/>
      <c r="Q1661" s="173"/>
      <c r="R1661" s="173"/>
      <c r="S1661" s="174"/>
      <c r="T1661" s="173"/>
      <c r="U1661" s="182"/>
      <c r="V1661" s="177">
        <f>IF(U1661=0,0,IF(T1661="MXN",1/HLOOKUP(YEAR(S1661)+(MONTH(S1661)/100),TC!$5:$37,DAY(S1661)+2,FALSE),VLOOKUP(T1661,Equivalencia!$1:$23,((MAX(Equivalencia!$3:$3)-YEAR(S1661))*14)+MONTH(S1661)+2,FALSE)))</f>
        <v>0</v>
      </c>
      <c r="W1661" s="178">
        <f t="shared" si="188"/>
        <v>0</v>
      </c>
      <c r="X1661" s="481">
        <f t="shared" si="189"/>
        <v>0</v>
      </c>
      <c r="Y1661" s="179"/>
      <c r="Z1661" s="466">
        <f t="shared" si="190"/>
        <v>0</v>
      </c>
      <c r="AA1661" s="473">
        <f t="shared" si="191"/>
        <v>0</v>
      </c>
      <c r="AB1661" s="339">
        <f t="shared" si="192"/>
        <v>0</v>
      </c>
    </row>
    <row r="1662" spans="2:28" ht="20.100000000000001" customHeight="1">
      <c r="B1662" s="172"/>
      <c r="C1662" s="174"/>
      <c r="D1662" s="181"/>
      <c r="E1662" s="173"/>
      <c r="F1662" s="176"/>
      <c r="G1662" s="175">
        <f t="shared" si="183"/>
        <v>0</v>
      </c>
      <c r="H1662" s="175">
        <f t="shared" si="184"/>
        <v>0</v>
      </c>
      <c r="I1662" s="177">
        <f>IF(G1662=0,0,IF(E1662="MXN",1/HLOOKUP(YEAR(C1662)+(MONTH(C1662)/100),TC!$5:$37,DAY(C1662)+2,FALSE),VLOOKUP(E1662,Equivalencia!$5:$23,((MAX(Equivalencia!$3:$3)-YEAR(C1662))*14)+MONTH(C1662)+2,FALSE)))</f>
        <v>0</v>
      </c>
      <c r="J1662" s="178">
        <f t="shared" si="185"/>
        <v>0</v>
      </c>
      <c r="K1662" s="462">
        <f>IF(C1662=0,0,VLOOKUP(YEAR(C1662),INPC!$B$4:$O$29,MONTH(C1662)+1))</f>
        <v>0</v>
      </c>
      <c r="L1662" s="462">
        <f>IF(S1662=0,0,VLOOKUP(YEAR(S1662),INPC!$B$4:$O$29,MONTH(S1662)+1))</f>
        <v>0</v>
      </c>
      <c r="M1662" s="463">
        <f t="shared" si="186"/>
        <v>0</v>
      </c>
      <c r="N1662" s="465">
        <f t="shared" si="187"/>
        <v>0</v>
      </c>
      <c r="O1662" s="179"/>
      <c r="P1662" s="180"/>
      <c r="Q1662" s="173"/>
      <c r="R1662" s="173"/>
      <c r="S1662" s="174"/>
      <c r="T1662" s="173"/>
      <c r="U1662" s="182"/>
      <c r="V1662" s="177">
        <f>IF(U1662=0,0,IF(T1662="MXN",1/HLOOKUP(YEAR(S1662)+(MONTH(S1662)/100),TC!$5:$37,DAY(S1662)+2,FALSE),VLOOKUP(T1662,Equivalencia!$1:$23,((MAX(Equivalencia!$3:$3)-YEAR(S1662))*14)+MONTH(S1662)+2,FALSE)))</f>
        <v>0</v>
      </c>
      <c r="W1662" s="178">
        <f t="shared" si="188"/>
        <v>0</v>
      </c>
      <c r="X1662" s="481">
        <f t="shared" si="189"/>
        <v>0</v>
      </c>
      <c r="Y1662" s="179"/>
      <c r="Z1662" s="466">
        <f t="shared" si="190"/>
        <v>0</v>
      </c>
      <c r="AA1662" s="473">
        <f t="shared" si="191"/>
        <v>0</v>
      </c>
      <c r="AB1662" s="339">
        <f t="shared" si="192"/>
        <v>0</v>
      </c>
    </row>
    <row r="1663" spans="2:28" ht="20.100000000000001" customHeight="1">
      <c r="B1663" s="172"/>
      <c r="C1663" s="174"/>
      <c r="D1663" s="181"/>
      <c r="E1663" s="173"/>
      <c r="F1663" s="176"/>
      <c r="G1663" s="175">
        <f t="shared" si="183"/>
        <v>0</v>
      </c>
      <c r="H1663" s="175">
        <f t="shared" si="184"/>
        <v>0</v>
      </c>
      <c r="I1663" s="177">
        <f>IF(G1663=0,0,IF(E1663="MXN",1/HLOOKUP(YEAR(C1663)+(MONTH(C1663)/100),TC!$5:$37,DAY(C1663)+2,FALSE),VLOOKUP(E1663,Equivalencia!$5:$23,((MAX(Equivalencia!$3:$3)-YEAR(C1663))*14)+MONTH(C1663)+2,FALSE)))</f>
        <v>0</v>
      </c>
      <c r="J1663" s="178">
        <f t="shared" si="185"/>
        <v>0</v>
      </c>
      <c r="K1663" s="462">
        <f>IF(C1663=0,0,VLOOKUP(YEAR(C1663),INPC!$B$4:$O$29,MONTH(C1663)+1))</f>
        <v>0</v>
      </c>
      <c r="L1663" s="462">
        <f>IF(S1663=0,0,VLOOKUP(YEAR(S1663),INPC!$B$4:$O$29,MONTH(S1663)+1))</f>
        <v>0</v>
      </c>
      <c r="M1663" s="463">
        <f t="shared" si="186"/>
        <v>0</v>
      </c>
      <c r="N1663" s="465">
        <f t="shared" si="187"/>
        <v>0</v>
      </c>
      <c r="O1663" s="179"/>
      <c r="P1663" s="180"/>
      <c r="Q1663" s="173"/>
      <c r="R1663" s="173"/>
      <c r="S1663" s="174"/>
      <c r="T1663" s="173"/>
      <c r="U1663" s="182"/>
      <c r="V1663" s="177">
        <f>IF(U1663=0,0,IF(T1663="MXN",1/HLOOKUP(YEAR(S1663)+(MONTH(S1663)/100),TC!$5:$37,DAY(S1663)+2,FALSE),VLOOKUP(T1663,Equivalencia!$1:$23,((MAX(Equivalencia!$3:$3)-YEAR(S1663))*14)+MONTH(S1663)+2,FALSE)))</f>
        <v>0</v>
      </c>
      <c r="W1663" s="178">
        <f t="shared" si="188"/>
        <v>0</v>
      </c>
      <c r="X1663" s="481">
        <f t="shared" si="189"/>
        <v>0</v>
      </c>
      <c r="Y1663" s="179"/>
      <c r="Z1663" s="466">
        <f t="shared" si="190"/>
        <v>0</v>
      </c>
      <c r="AA1663" s="473">
        <f t="shared" si="191"/>
        <v>0</v>
      </c>
      <c r="AB1663" s="339">
        <f t="shared" si="192"/>
        <v>0</v>
      </c>
    </row>
    <row r="1664" spans="2:28" ht="20.100000000000001" customHeight="1">
      <c r="B1664" s="172"/>
      <c r="C1664" s="174"/>
      <c r="D1664" s="181"/>
      <c r="E1664" s="173"/>
      <c r="F1664" s="176"/>
      <c r="G1664" s="175">
        <f t="shared" si="183"/>
        <v>0</v>
      </c>
      <c r="H1664" s="175">
        <f t="shared" si="184"/>
        <v>0</v>
      </c>
      <c r="I1664" s="177">
        <f>IF(G1664=0,0,IF(E1664="MXN",1/HLOOKUP(YEAR(C1664)+(MONTH(C1664)/100),TC!$5:$37,DAY(C1664)+2,FALSE),VLOOKUP(E1664,Equivalencia!$5:$23,((MAX(Equivalencia!$3:$3)-YEAR(C1664))*14)+MONTH(C1664)+2,FALSE)))</f>
        <v>0</v>
      </c>
      <c r="J1664" s="178">
        <f t="shared" si="185"/>
        <v>0</v>
      </c>
      <c r="K1664" s="462">
        <f>IF(C1664=0,0,VLOOKUP(YEAR(C1664),INPC!$B$4:$O$29,MONTH(C1664)+1))</f>
        <v>0</v>
      </c>
      <c r="L1664" s="462">
        <f>IF(S1664=0,0,VLOOKUP(YEAR(S1664),INPC!$B$4:$O$29,MONTH(S1664)+1))</f>
        <v>0</v>
      </c>
      <c r="M1664" s="463">
        <f t="shared" si="186"/>
        <v>0</v>
      </c>
      <c r="N1664" s="465">
        <f t="shared" si="187"/>
        <v>0</v>
      </c>
      <c r="O1664" s="179"/>
      <c r="P1664" s="180"/>
      <c r="Q1664" s="173"/>
      <c r="R1664" s="173"/>
      <c r="S1664" s="174"/>
      <c r="T1664" s="173"/>
      <c r="U1664" s="182"/>
      <c r="V1664" s="177">
        <f>IF(U1664=0,0,IF(T1664="MXN",1/HLOOKUP(YEAR(S1664)+(MONTH(S1664)/100),TC!$5:$37,DAY(S1664)+2,FALSE),VLOOKUP(T1664,Equivalencia!$1:$23,((MAX(Equivalencia!$3:$3)-YEAR(S1664))*14)+MONTH(S1664)+2,FALSE)))</f>
        <v>0</v>
      </c>
      <c r="W1664" s="178">
        <f t="shared" si="188"/>
        <v>0</v>
      </c>
      <c r="X1664" s="481">
        <f t="shared" si="189"/>
        <v>0</v>
      </c>
      <c r="Y1664" s="179"/>
      <c r="Z1664" s="466">
        <f t="shared" si="190"/>
        <v>0</v>
      </c>
      <c r="AA1664" s="473">
        <f t="shared" si="191"/>
        <v>0</v>
      </c>
      <c r="AB1664" s="339">
        <f t="shared" si="192"/>
        <v>0</v>
      </c>
    </row>
    <row r="1665" spans="2:28" ht="20.100000000000001" customHeight="1">
      <c r="B1665" s="172"/>
      <c r="C1665" s="174"/>
      <c r="D1665" s="181"/>
      <c r="E1665" s="173"/>
      <c r="F1665" s="176"/>
      <c r="G1665" s="175">
        <f t="shared" si="183"/>
        <v>0</v>
      </c>
      <c r="H1665" s="175">
        <f t="shared" si="184"/>
        <v>0</v>
      </c>
      <c r="I1665" s="177">
        <f>IF(G1665=0,0,IF(E1665="MXN",1/HLOOKUP(YEAR(C1665)+(MONTH(C1665)/100),TC!$5:$37,DAY(C1665)+2,FALSE),VLOOKUP(E1665,Equivalencia!$5:$23,((MAX(Equivalencia!$3:$3)-YEAR(C1665))*14)+MONTH(C1665)+2,FALSE)))</f>
        <v>0</v>
      </c>
      <c r="J1665" s="178">
        <f t="shared" si="185"/>
        <v>0</v>
      </c>
      <c r="K1665" s="462">
        <f>IF(C1665=0,0,VLOOKUP(YEAR(C1665),INPC!$B$4:$O$29,MONTH(C1665)+1))</f>
        <v>0</v>
      </c>
      <c r="L1665" s="462">
        <f>IF(S1665=0,0,VLOOKUP(YEAR(S1665),INPC!$B$4:$O$29,MONTH(S1665)+1))</f>
        <v>0</v>
      </c>
      <c r="M1665" s="463">
        <f t="shared" si="186"/>
        <v>0</v>
      </c>
      <c r="N1665" s="465">
        <f t="shared" si="187"/>
        <v>0</v>
      </c>
      <c r="O1665" s="179"/>
      <c r="P1665" s="180"/>
      <c r="Q1665" s="173"/>
      <c r="R1665" s="173"/>
      <c r="S1665" s="174"/>
      <c r="T1665" s="173"/>
      <c r="U1665" s="182"/>
      <c r="V1665" s="177">
        <f>IF(U1665=0,0,IF(T1665="MXN",1/HLOOKUP(YEAR(S1665)+(MONTH(S1665)/100),TC!$5:$37,DAY(S1665)+2,FALSE),VLOOKUP(T1665,Equivalencia!$1:$23,((MAX(Equivalencia!$3:$3)-YEAR(S1665))*14)+MONTH(S1665)+2,FALSE)))</f>
        <v>0</v>
      </c>
      <c r="W1665" s="178">
        <f t="shared" si="188"/>
        <v>0</v>
      </c>
      <c r="X1665" s="481">
        <f t="shared" si="189"/>
        <v>0</v>
      </c>
      <c r="Y1665" s="179"/>
      <c r="Z1665" s="466">
        <f t="shared" si="190"/>
        <v>0</v>
      </c>
      <c r="AA1665" s="473">
        <f t="shared" si="191"/>
        <v>0</v>
      </c>
      <c r="AB1665" s="339">
        <f t="shared" si="192"/>
        <v>0</v>
      </c>
    </row>
    <row r="1666" spans="2:28" ht="20.100000000000001" customHeight="1">
      <c r="B1666" s="172"/>
      <c r="C1666" s="174"/>
      <c r="D1666" s="181"/>
      <c r="E1666" s="173"/>
      <c r="F1666" s="176"/>
      <c r="G1666" s="175">
        <f t="shared" si="183"/>
        <v>0</v>
      </c>
      <c r="H1666" s="175">
        <f t="shared" si="184"/>
        <v>0</v>
      </c>
      <c r="I1666" s="177">
        <f>IF(G1666=0,0,IF(E1666="MXN",1/HLOOKUP(YEAR(C1666)+(MONTH(C1666)/100),TC!$5:$37,DAY(C1666)+2,FALSE),VLOOKUP(E1666,Equivalencia!$5:$23,((MAX(Equivalencia!$3:$3)-YEAR(C1666))*14)+MONTH(C1666)+2,FALSE)))</f>
        <v>0</v>
      </c>
      <c r="J1666" s="178">
        <f t="shared" si="185"/>
        <v>0</v>
      </c>
      <c r="K1666" s="462">
        <f>IF(C1666=0,0,VLOOKUP(YEAR(C1666),INPC!$B$4:$O$29,MONTH(C1666)+1))</f>
        <v>0</v>
      </c>
      <c r="L1666" s="462">
        <f>IF(S1666=0,0,VLOOKUP(YEAR(S1666),INPC!$B$4:$O$29,MONTH(S1666)+1))</f>
        <v>0</v>
      </c>
      <c r="M1666" s="463">
        <f t="shared" si="186"/>
        <v>0</v>
      </c>
      <c r="N1666" s="465">
        <f t="shared" si="187"/>
        <v>0</v>
      </c>
      <c r="O1666" s="179"/>
      <c r="P1666" s="180"/>
      <c r="Q1666" s="173"/>
      <c r="R1666" s="173"/>
      <c r="S1666" s="174"/>
      <c r="T1666" s="173"/>
      <c r="U1666" s="182"/>
      <c r="V1666" s="177">
        <f>IF(U1666=0,0,IF(T1666="MXN",1/HLOOKUP(YEAR(S1666)+(MONTH(S1666)/100),TC!$5:$37,DAY(S1666)+2,FALSE),VLOOKUP(T1666,Equivalencia!$1:$23,((MAX(Equivalencia!$3:$3)-YEAR(S1666))*14)+MONTH(S1666)+2,FALSE)))</f>
        <v>0</v>
      </c>
      <c r="W1666" s="178">
        <f t="shared" si="188"/>
        <v>0</v>
      </c>
      <c r="X1666" s="481">
        <f t="shared" si="189"/>
        <v>0</v>
      </c>
      <c r="Y1666" s="179"/>
      <c r="Z1666" s="466">
        <f t="shared" si="190"/>
        <v>0</v>
      </c>
      <c r="AA1666" s="473">
        <f t="shared" si="191"/>
        <v>0</v>
      </c>
      <c r="AB1666" s="339">
        <f t="shared" si="192"/>
        <v>0</v>
      </c>
    </row>
    <row r="1667" spans="2:28" ht="20.100000000000001" customHeight="1">
      <c r="B1667" s="172"/>
      <c r="C1667" s="174"/>
      <c r="D1667" s="181"/>
      <c r="E1667" s="173"/>
      <c r="F1667" s="176"/>
      <c r="G1667" s="175">
        <f t="shared" si="183"/>
        <v>0</v>
      </c>
      <c r="H1667" s="175">
        <f t="shared" si="184"/>
        <v>0</v>
      </c>
      <c r="I1667" s="177">
        <f>IF(G1667=0,0,IF(E1667="MXN",1/HLOOKUP(YEAR(C1667)+(MONTH(C1667)/100),TC!$5:$37,DAY(C1667)+2,FALSE),VLOOKUP(E1667,Equivalencia!$5:$23,((MAX(Equivalencia!$3:$3)-YEAR(C1667))*14)+MONTH(C1667)+2,FALSE)))</f>
        <v>0</v>
      </c>
      <c r="J1667" s="178">
        <f t="shared" si="185"/>
        <v>0</v>
      </c>
      <c r="K1667" s="462">
        <f>IF(C1667=0,0,VLOOKUP(YEAR(C1667),INPC!$B$4:$O$29,MONTH(C1667)+1))</f>
        <v>0</v>
      </c>
      <c r="L1667" s="462">
        <f>IF(S1667=0,0,VLOOKUP(YEAR(S1667),INPC!$B$4:$O$29,MONTH(S1667)+1))</f>
        <v>0</v>
      </c>
      <c r="M1667" s="463">
        <f t="shared" si="186"/>
        <v>0</v>
      </c>
      <c r="N1667" s="465">
        <f t="shared" si="187"/>
        <v>0</v>
      </c>
      <c r="O1667" s="179"/>
      <c r="P1667" s="180"/>
      <c r="Q1667" s="173"/>
      <c r="R1667" s="173"/>
      <c r="S1667" s="174"/>
      <c r="T1667" s="173"/>
      <c r="U1667" s="182"/>
      <c r="V1667" s="177">
        <f>IF(U1667=0,0,IF(T1667="MXN",1/HLOOKUP(YEAR(S1667)+(MONTH(S1667)/100),TC!$5:$37,DAY(S1667)+2,FALSE),VLOOKUP(T1667,Equivalencia!$1:$23,((MAX(Equivalencia!$3:$3)-YEAR(S1667))*14)+MONTH(S1667)+2,FALSE)))</f>
        <v>0</v>
      </c>
      <c r="W1667" s="178">
        <f t="shared" si="188"/>
        <v>0</v>
      </c>
      <c r="X1667" s="481">
        <f t="shared" si="189"/>
        <v>0</v>
      </c>
      <c r="Y1667" s="179"/>
      <c r="Z1667" s="466">
        <f t="shared" si="190"/>
        <v>0</v>
      </c>
      <c r="AA1667" s="473">
        <f t="shared" si="191"/>
        <v>0</v>
      </c>
      <c r="AB1667" s="339">
        <f t="shared" si="192"/>
        <v>0</v>
      </c>
    </row>
    <row r="1668" spans="2:28" ht="20.100000000000001" customHeight="1">
      <c r="B1668" s="172"/>
      <c r="C1668" s="174"/>
      <c r="D1668" s="181"/>
      <c r="E1668" s="173"/>
      <c r="F1668" s="176"/>
      <c r="G1668" s="175">
        <f t="shared" si="183"/>
        <v>0</v>
      </c>
      <c r="H1668" s="175">
        <f t="shared" si="184"/>
        <v>0</v>
      </c>
      <c r="I1668" s="177">
        <f>IF(G1668=0,0,IF(E1668="MXN",1/HLOOKUP(YEAR(C1668)+(MONTH(C1668)/100),TC!$5:$37,DAY(C1668)+2,FALSE),VLOOKUP(E1668,Equivalencia!$5:$23,((MAX(Equivalencia!$3:$3)-YEAR(C1668))*14)+MONTH(C1668)+2,FALSE)))</f>
        <v>0</v>
      </c>
      <c r="J1668" s="178">
        <f t="shared" si="185"/>
        <v>0</v>
      </c>
      <c r="K1668" s="462">
        <f>IF(C1668=0,0,VLOOKUP(YEAR(C1668),INPC!$B$4:$O$29,MONTH(C1668)+1))</f>
        <v>0</v>
      </c>
      <c r="L1668" s="462">
        <f>IF(S1668=0,0,VLOOKUP(YEAR(S1668),INPC!$B$4:$O$29,MONTH(S1668)+1))</f>
        <v>0</v>
      </c>
      <c r="M1668" s="463">
        <f t="shared" si="186"/>
        <v>0</v>
      </c>
      <c r="N1668" s="465">
        <f t="shared" si="187"/>
        <v>0</v>
      </c>
      <c r="O1668" s="179"/>
      <c r="P1668" s="180"/>
      <c r="Q1668" s="173"/>
      <c r="R1668" s="173"/>
      <c r="S1668" s="174"/>
      <c r="T1668" s="173"/>
      <c r="U1668" s="182"/>
      <c r="V1668" s="177">
        <f>IF(U1668=0,0,IF(T1668="MXN",1/HLOOKUP(YEAR(S1668)+(MONTH(S1668)/100),TC!$5:$37,DAY(S1668)+2,FALSE),VLOOKUP(T1668,Equivalencia!$1:$23,((MAX(Equivalencia!$3:$3)-YEAR(S1668))*14)+MONTH(S1668)+2,FALSE)))</f>
        <v>0</v>
      </c>
      <c r="W1668" s="178">
        <f t="shared" si="188"/>
        <v>0</v>
      </c>
      <c r="X1668" s="481">
        <f t="shared" si="189"/>
        <v>0</v>
      </c>
      <c r="Y1668" s="179"/>
      <c r="Z1668" s="466">
        <f t="shared" si="190"/>
        <v>0</v>
      </c>
      <c r="AA1668" s="473">
        <f t="shared" si="191"/>
        <v>0</v>
      </c>
      <c r="AB1668" s="339">
        <f t="shared" si="192"/>
        <v>0</v>
      </c>
    </row>
    <row r="1669" spans="2:28" ht="20.100000000000001" customHeight="1">
      <c r="B1669" s="172"/>
      <c r="C1669" s="174"/>
      <c r="D1669" s="181"/>
      <c r="E1669" s="173"/>
      <c r="F1669" s="176"/>
      <c r="G1669" s="175">
        <f t="shared" si="183"/>
        <v>0</v>
      </c>
      <c r="H1669" s="175">
        <f t="shared" si="184"/>
        <v>0</v>
      </c>
      <c r="I1669" s="177">
        <f>IF(G1669=0,0,IF(E1669="MXN",1/HLOOKUP(YEAR(C1669)+(MONTH(C1669)/100),TC!$5:$37,DAY(C1669)+2,FALSE),VLOOKUP(E1669,Equivalencia!$5:$23,((MAX(Equivalencia!$3:$3)-YEAR(C1669))*14)+MONTH(C1669)+2,FALSE)))</f>
        <v>0</v>
      </c>
      <c r="J1669" s="178">
        <f t="shared" si="185"/>
        <v>0</v>
      </c>
      <c r="K1669" s="462">
        <f>IF(C1669=0,0,VLOOKUP(YEAR(C1669),INPC!$B$4:$O$29,MONTH(C1669)+1))</f>
        <v>0</v>
      </c>
      <c r="L1669" s="462">
        <f>IF(S1669=0,0,VLOOKUP(YEAR(S1669),INPC!$B$4:$O$29,MONTH(S1669)+1))</f>
        <v>0</v>
      </c>
      <c r="M1669" s="463">
        <f t="shared" si="186"/>
        <v>0</v>
      </c>
      <c r="N1669" s="465">
        <f t="shared" si="187"/>
        <v>0</v>
      </c>
      <c r="O1669" s="179"/>
      <c r="P1669" s="180"/>
      <c r="Q1669" s="173"/>
      <c r="R1669" s="173"/>
      <c r="S1669" s="174"/>
      <c r="T1669" s="173"/>
      <c r="U1669" s="182"/>
      <c r="V1669" s="177">
        <f>IF(U1669=0,0,IF(T1669="MXN",1/HLOOKUP(YEAR(S1669)+(MONTH(S1669)/100),TC!$5:$37,DAY(S1669)+2,FALSE),VLOOKUP(T1669,Equivalencia!$1:$23,((MAX(Equivalencia!$3:$3)-YEAR(S1669))*14)+MONTH(S1669)+2,FALSE)))</f>
        <v>0</v>
      </c>
      <c r="W1669" s="178">
        <f t="shared" si="188"/>
        <v>0</v>
      </c>
      <c r="X1669" s="481">
        <f t="shared" si="189"/>
        <v>0</v>
      </c>
      <c r="Y1669" s="179"/>
      <c r="Z1669" s="466">
        <f t="shared" si="190"/>
        <v>0</v>
      </c>
      <c r="AA1669" s="473">
        <f t="shared" si="191"/>
        <v>0</v>
      </c>
      <c r="AB1669" s="339">
        <f t="shared" si="192"/>
        <v>0</v>
      </c>
    </row>
    <row r="1670" spans="2:28" ht="20.100000000000001" customHeight="1">
      <c r="B1670" s="172"/>
      <c r="C1670" s="174"/>
      <c r="D1670" s="181"/>
      <c r="E1670" s="173"/>
      <c r="F1670" s="176"/>
      <c r="G1670" s="175">
        <f t="shared" si="183"/>
        <v>0</v>
      </c>
      <c r="H1670" s="175">
        <f t="shared" si="184"/>
        <v>0</v>
      </c>
      <c r="I1670" s="177">
        <f>IF(G1670=0,0,IF(E1670="MXN",1/HLOOKUP(YEAR(C1670)+(MONTH(C1670)/100),TC!$5:$37,DAY(C1670)+2,FALSE),VLOOKUP(E1670,Equivalencia!$5:$23,((MAX(Equivalencia!$3:$3)-YEAR(C1670))*14)+MONTH(C1670)+2,FALSE)))</f>
        <v>0</v>
      </c>
      <c r="J1670" s="178">
        <f t="shared" si="185"/>
        <v>0</v>
      </c>
      <c r="K1670" s="462">
        <f>IF(C1670=0,0,VLOOKUP(YEAR(C1670),INPC!$B$4:$O$29,MONTH(C1670)+1))</f>
        <v>0</v>
      </c>
      <c r="L1670" s="462">
        <f>IF(S1670=0,0,VLOOKUP(YEAR(S1670),INPC!$B$4:$O$29,MONTH(S1670)+1))</f>
        <v>0</v>
      </c>
      <c r="M1670" s="463">
        <f t="shared" si="186"/>
        <v>0</v>
      </c>
      <c r="N1670" s="465">
        <f t="shared" si="187"/>
        <v>0</v>
      </c>
      <c r="O1670" s="179"/>
      <c r="P1670" s="180"/>
      <c r="Q1670" s="173"/>
      <c r="R1670" s="173"/>
      <c r="S1670" s="174"/>
      <c r="T1670" s="173"/>
      <c r="U1670" s="182"/>
      <c r="V1670" s="177">
        <f>IF(U1670=0,0,IF(T1670="MXN",1/HLOOKUP(YEAR(S1670)+(MONTH(S1670)/100),TC!$5:$37,DAY(S1670)+2,FALSE),VLOOKUP(T1670,Equivalencia!$1:$23,((MAX(Equivalencia!$3:$3)-YEAR(S1670))*14)+MONTH(S1670)+2,FALSE)))</f>
        <v>0</v>
      </c>
      <c r="W1670" s="178">
        <f t="shared" si="188"/>
        <v>0</v>
      </c>
      <c r="X1670" s="481">
        <f t="shared" si="189"/>
        <v>0</v>
      </c>
      <c r="Y1670" s="179"/>
      <c r="Z1670" s="466">
        <f t="shared" si="190"/>
        <v>0</v>
      </c>
      <c r="AA1670" s="473">
        <f t="shared" si="191"/>
        <v>0</v>
      </c>
      <c r="AB1670" s="339">
        <f t="shared" si="192"/>
        <v>0</v>
      </c>
    </row>
    <row r="1671" spans="2:28" ht="20.100000000000001" customHeight="1">
      <c r="B1671" s="172"/>
      <c r="C1671" s="174"/>
      <c r="D1671" s="181"/>
      <c r="E1671" s="173"/>
      <c r="F1671" s="176"/>
      <c r="G1671" s="175">
        <f t="shared" si="183"/>
        <v>0</v>
      </c>
      <c r="H1671" s="175">
        <f t="shared" si="184"/>
        <v>0</v>
      </c>
      <c r="I1671" s="177">
        <f>IF(G1671=0,0,IF(E1671="MXN",1/HLOOKUP(YEAR(C1671)+(MONTH(C1671)/100),TC!$5:$37,DAY(C1671)+2,FALSE),VLOOKUP(E1671,Equivalencia!$5:$23,((MAX(Equivalencia!$3:$3)-YEAR(C1671))*14)+MONTH(C1671)+2,FALSE)))</f>
        <v>0</v>
      </c>
      <c r="J1671" s="178">
        <f t="shared" si="185"/>
        <v>0</v>
      </c>
      <c r="K1671" s="462">
        <f>IF(C1671=0,0,VLOOKUP(YEAR(C1671),INPC!$B$4:$O$29,MONTH(C1671)+1))</f>
        <v>0</v>
      </c>
      <c r="L1671" s="462">
        <f>IF(S1671=0,0,VLOOKUP(YEAR(S1671),INPC!$B$4:$O$29,MONTH(S1671)+1))</f>
        <v>0</v>
      </c>
      <c r="M1671" s="463">
        <f t="shared" si="186"/>
        <v>0</v>
      </c>
      <c r="N1671" s="465">
        <f t="shared" si="187"/>
        <v>0</v>
      </c>
      <c r="O1671" s="179"/>
      <c r="P1671" s="180"/>
      <c r="Q1671" s="173"/>
      <c r="R1671" s="173"/>
      <c r="S1671" s="174"/>
      <c r="T1671" s="173"/>
      <c r="U1671" s="182"/>
      <c r="V1671" s="177">
        <f>IF(U1671=0,0,IF(T1671="MXN",1/HLOOKUP(YEAR(S1671)+(MONTH(S1671)/100),TC!$5:$37,DAY(S1671)+2,FALSE),VLOOKUP(T1671,Equivalencia!$1:$23,((MAX(Equivalencia!$3:$3)-YEAR(S1671))*14)+MONTH(S1671)+2,FALSE)))</f>
        <v>0</v>
      </c>
      <c r="W1671" s="178">
        <f t="shared" si="188"/>
        <v>0</v>
      </c>
      <c r="X1671" s="481">
        <f t="shared" si="189"/>
        <v>0</v>
      </c>
      <c r="Y1671" s="179"/>
      <c r="Z1671" s="466">
        <f t="shared" si="190"/>
        <v>0</v>
      </c>
      <c r="AA1671" s="473">
        <f t="shared" si="191"/>
        <v>0</v>
      </c>
      <c r="AB1671" s="339">
        <f t="shared" si="192"/>
        <v>0</v>
      </c>
    </row>
    <row r="1672" spans="2:28" ht="20.100000000000001" customHeight="1">
      <c r="B1672" s="172"/>
      <c r="C1672" s="174"/>
      <c r="D1672" s="181"/>
      <c r="E1672" s="173"/>
      <c r="F1672" s="176"/>
      <c r="G1672" s="175">
        <f t="shared" si="183"/>
        <v>0</v>
      </c>
      <c r="H1672" s="175">
        <f t="shared" si="184"/>
        <v>0</v>
      </c>
      <c r="I1672" s="177">
        <f>IF(G1672=0,0,IF(E1672="MXN",1/HLOOKUP(YEAR(C1672)+(MONTH(C1672)/100),TC!$5:$37,DAY(C1672)+2,FALSE),VLOOKUP(E1672,Equivalencia!$5:$23,((MAX(Equivalencia!$3:$3)-YEAR(C1672))*14)+MONTH(C1672)+2,FALSE)))</f>
        <v>0</v>
      </c>
      <c r="J1672" s="178">
        <f t="shared" si="185"/>
        <v>0</v>
      </c>
      <c r="K1672" s="462">
        <f>IF(C1672=0,0,VLOOKUP(YEAR(C1672),INPC!$B$4:$O$29,MONTH(C1672)+1))</f>
        <v>0</v>
      </c>
      <c r="L1672" s="462">
        <f>IF(S1672=0,0,VLOOKUP(YEAR(S1672),INPC!$B$4:$O$29,MONTH(S1672)+1))</f>
        <v>0</v>
      </c>
      <c r="M1672" s="463">
        <f t="shared" si="186"/>
        <v>0</v>
      </c>
      <c r="N1672" s="465">
        <f t="shared" si="187"/>
        <v>0</v>
      </c>
      <c r="O1672" s="179"/>
      <c r="P1672" s="180"/>
      <c r="Q1672" s="173"/>
      <c r="R1672" s="173"/>
      <c r="S1672" s="174"/>
      <c r="T1672" s="173"/>
      <c r="U1672" s="182"/>
      <c r="V1672" s="177">
        <f>IF(U1672=0,0,IF(T1672="MXN",1/HLOOKUP(YEAR(S1672)+(MONTH(S1672)/100),TC!$5:$37,DAY(S1672)+2,FALSE),VLOOKUP(T1672,Equivalencia!$1:$23,((MAX(Equivalencia!$3:$3)-YEAR(S1672))*14)+MONTH(S1672)+2,FALSE)))</f>
        <v>0</v>
      </c>
      <c r="W1672" s="178">
        <f t="shared" si="188"/>
        <v>0</v>
      </c>
      <c r="X1672" s="481">
        <f t="shared" si="189"/>
        <v>0</v>
      </c>
      <c r="Y1672" s="179"/>
      <c r="Z1672" s="466">
        <f t="shared" si="190"/>
        <v>0</v>
      </c>
      <c r="AA1672" s="473">
        <f t="shared" si="191"/>
        <v>0</v>
      </c>
      <c r="AB1672" s="339">
        <f t="shared" si="192"/>
        <v>0</v>
      </c>
    </row>
    <row r="1673" spans="2:28" ht="20.100000000000001" customHeight="1">
      <c r="B1673" s="172"/>
      <c r="C1673" s="174"/>
      <c r="D1673" s="181"/>
      <c r="E1673" s="173"/>
      <c r="F1673" s="176"/>
      <c r="G1673" s="175">
        <f t="shared" si="183"/>
        <v>0</v>
      </c>
      <c r="H1673" s="175">
        <f t="shared" si="184"/>
        <v>0</v>
      </c>
      <c r="I1673" s="177">
        <f>IF(G1673=0,0,IF(E1673="MXN",1/HLOOKUP(YEAR(C1673)+(MONTH(C1673)/100),TC!$5:$37,DAY(C1673)+2,FALSE),VLOOKUP(E1673,Equivalencia!$5:$23,((MAX(Equivalencia!$3:$3)-YEAR(C1673))*14)+MONTH(C1673)+2,FALSE)))</f>
        <v>0</v>
      </c>
      <c r="J1673" s="178">
        <f t="shared" si="185"/>
        <v>0</v>
      </c>
      <c r="K1673" s="462">
        <f>IF(C1673=0,0,VLOOKUP(YEAR(C1673),INPC!$B$4:$O$29,MONTH(C1673)+1))</f>
        <v>0</v>
      </c>
      <c r="L1673" s="462">
        <f>IF(S1673=0,0,VLOOKUP(YEAR(S1673),INPC!$B$4:$O$29,MONTH(S1673)+1))</f>
        <v>0</v>
      </c>
      <c r="M1673" s="463">
        <f t="shared" si="186"/>
        <v>0</v>
      </c>
      <c r="N1673" s="465">
        <f t="shared" si="187"/>
        <v>0</v>
      </c>
      <c r="O1673" s="179"/>
      <c r="P1673" s="180"/>
      <c r="Q1673" s="173"/>
      <c r="R1673" s="173"/>
      <c r="S1673" s="174"/>
      <c r="T1673" s="173"/>
      <c r="U1673" s="182"/>
      <c r="V1673" s="177">
        <f>IF(U1673=0,0,IF(T1673="MXN",1/HLOOKUP(YEAR(S1673)+(MONTH(S1673)/100),TC!$5:$37,DAY(S1673)+2,FALSE),VLOOKUP(T1673,Equivalencia!$1:$23,((MAX(Equivalencia!$3:$3)-YEAR(S1673))*14)+MONTH(S1673)+2,FALSE)))</f>
        <v>0</v>
      </c>
      <c r="W1673" s="178">
        <f t="shared" si="188"/>
        <v>0</v>
      </c>
      <c r="X1673" s="481">
        <f t="shared" si="189"/>
        <v>0</v>
      </c>
      <c r="Y1673" s="179"/>
      <c r="Z1673" s="466">
        <f t="shared" si="190"/>
        <v>0</v>
      </c>
      <c r="AA1673" s="473">
        <f t="shared" si="191"/>
        <v>0</v>
      </c>
      <c r="AB1673" s="339">
        <f t="shared" si="192"/>
        <v>0</v>
      </c>
    </row>
    <row r="1674" spans="2:28" ht="20.100000000000001" customHeight="1">
      <c r="B1674" s="172"/>
      <c r="C1674" s="174"/>
      <c r="D1674" s="181"/>
      <c r="E1674" s="173"/>
      <c r="F1674" s="176"/>
      <c r="G1674" s="175">
        <f t="shared" si="183"/>
        <v>0</v>
      </c>
      <c r="H1674" s="175">
        <f t="shared" si="184"/>
        <v>0</v>
      </c>
      <c r="I1674" s="177">
        <f>IF(G1674=0,0,IF(E1674="MXN",1/HLOOKUP(YEAR(C1674)+(MONTH(C1674)/100),TC!$5:$37,DAY(C1674)+2,FALSE),VLOOKUP(E1674,Equivalencia!$5:$23,((MAX(Equivalencia!$3:$3)-YEAR(C1674))*14)+MONTH(C1674)+2,FALSE)))</f>
        <v>0</v>
      </c>
      <c r="J1674" s="178">
        <f t="shared" si="185"/>
        <v>0</v>
      </c>
      <c r="K1674" s="462">
        <f>IF(C1674=0,0,VLOOKUP(YEAR(C1674),INPC!$B$4:$O$29,MONTH(C1674)+1))</f>
        <v>0</v>
      </c>
      <c r="L1674" s="462">
        <f>IF(S1674=0,0,VLOOKUP(YEAR(S1674),INPC!$B$4:$O$29,MONTH(S1674)+1))</f>
        <v>0</v>
      </c>
      <c r="M1674" s="463">
        <f t="shared" si="186"/>
        <v>0</v>
      </c>
      <c r="N1674" s="465">
        <f t="shared" si="187"/>
        <v>0</v>
      </c>
      <c r="O1674" s="179"/>
      <c r="P1674" s="180"/>
      <c r="Q1674" s="173"/>
      <c r="R1674" s="173"/>
      <c r="S1674" s="174"/>
      <c r="T1674" s="173"/>
      <c r="U1674" s="182"/>
      <c r="V1674" s="177">
        <f>IF(U1674=0,0,IF(T1674="MXN",1/HLOOKUP(YEAR(S1674)+(MONTH(S1674)/100),TC!$5:$37,DAY(S1674)+2,FALSE),VLOOKUP(T1674,Equivalencia!$1:$23,((MAX(Equivalencia!$3:$3)-YEAR(S1674))*14)+MONTH(S1674)+2,FALSE)))</f>
        <v>0</v>
      </c>
      <c r="W1674" s="178">
        <f t="shared" si="188"/>
        <v>0</v>
      </c>
      <c r="X1674" s="481">
        <f t="shared" si="189"/>
        <v>0</v>
      </c>
      <c r="Y1674" s="179"/>
      <c r="Z1674" s="466">
        <f t="shared" si="190"/>
        <v>0</v>
      </c>
      <c r="AA1674" s="473">
        <f t="shared" si="191"/>
        <v>0</v>
      </c>
      <c r="AB1674" s="339">
        <f t="shared" si="192"/>
        <v>0</v>
      </c>
    </row>
    <row r="1675" spans="2:28" ht="20.100000000000001" customHeight="1">
      <c r="B1675" s="172"/>
      <c r="C1675" s="174"/>
      <c r="D1675" s="181"/>
      <c r="E1675" s="173"/>
      <c r="F1675" s="176"/>
      <c r="G1675" s="175">
        <f t="shared" si="183"/>
        <v>0</v>
      </c>
      <c r="H1675" s="175">
        <f t="shared" si="184"/>
        <v>0</v>
      </c>
      <c r="I1675" s="177">
        <f>IF(G1675=0,0,IF(E1675="MXN",1/HLOOKUP(YEAR(C1675)+(MONTH(C1675)/100),TC!$5:$37,DAY(C1675)+2,FALSE),VLOOKUP(E1675,Equivalencia!$5:$23,((MAX(Equivalencia!$3:$3)-YEAR(C1675))*14)+MONTH(C1675)+2,FALSE)))</f>
        <v>0</v>
      </c>
      <c r="J1675" s="178">
        <f t="shared" si="185"/>
        <v>0</v>
      </c>
      <c r="K1675" s="462">
        <f>IF(C1675=0,0,VLOOKUP(YEAR(C1675),INPC!$B$4:$O$29,MONTH(C1675)+1))</f>
        <v>0</v>
      </c>
      <c r="L1675" s="462">
        <f>IF(S1675=0,0,VLOOKUP(YEAR(S1675),INPC!$B$4:$O$29,MONTH(S1675)+1))</f>
        <v>0</v>
      </c>
      <c r="M1675" s="463">
        <f t="shared" si="186"/>
        <v>0</v>
      </c>
      <c r="N1675" s="465">
        <f t="shared" si="187"/>
        <v>0</v>
      </c>
      <c r="O1675" s="179"/>
      <c r="P1675" s="180"/>
      <c r="Q1675" s="173"/>
      <c r="R1675" s="173"/>
      <c r="S1675" s="174"/>
      <c r="T1675" s="173"/>
      <c r="U1675" s="182"/>
      <c r="V1675" s="177">
        <f>IF(U1675=0,0,IF(T1675="MXN",1/HLOOKUP(YEAR(S1675)+(MONTH(S1675)/100),TC!$5:$37,DAY(S1675)+2,FALSE),VLOOKUP(T1675,Equivalencia!$1:$23,((MAX(Equivalencia!$3:$3)-YEAR(S1675))*14)+MONTH(S1675)+2,FALSE)))</f>
        <v>0</v>
      </c>
      <c r="W1675" s="178">
        <f t="shared" si="188"/>
        <v>0</v>
      </c>
      <c r="X1675" s="481">
        <f t="shared" si="189"/>
        <v>0</v>
      </c>
      <c r="Y1675" s="179"/>
      <c r="Z1675" s="466">
        <f t="shared" si="190"/>
        <v>0</v>
      </c>
      <c r="AA1675" s="473">
        <f t="shared" si="191"/>
        <v>0</v>
      </c>
      <c r="AB1675" s="339">
        <f t="shared" si="192"/>
        <v>0</v>
      </c>
    </row>
    <row r="1676" spans="2:28" ht="20.100000000000001" customHeight="1">
      <c r="B1676" s="172"/>
      <c r="C1676" s="174"/>
      <c r="D1676" s="181"/>
      <c r="E1676" s="173"/>
      <c r="F1676" s="176"/>
      <c r="G1676" s="175">
        <f t="shared" si="183"/>
        <v>0</v>
      </c>
      <c r="H1676" s="175">
        <f t="shared" si="184"/>
        <v>0</v>
      </c>
      <c r="I1676" s="177">
        <f>IF(G1676=0,0,IF(E1676="MXN",1/HLOOKUP(YEAR(C1676)+(MONTH(C1676)/100),TC!$5:$37,DAY(C1676)+2,FALSE),VLOOKUP(E1676,Equivalencia!$5:$23,((MAX(Equivalencia!$3:$3)-YEAR(C1676))*14)+MONTH(C1676)+2,FALSE)))</f>
        <v>0</v>
      </c>
      <c r="J1676" s="178">
        <f t="shared" si="185"/>
        <v>0</v>
      </c>
      <c r="K1676" s="462">
        <f>IF(C1676=0,0,VLOOKUP(YEAR(C1676),INPC!$B$4:$O$29,MONTH(C1676)+1))</f>
        <v>0</v>
      </c>
      <c r="L1676" s="462">
        <f>IF(S1676=0,0,VLOOKUP(YEAR(S1676),INPC!$B$4:$O$29,MONTH(S1676)+1))</f>
        <v>0</v>
      </c>
      <c r="M1676" s="463">
        <f t="shared" si="186"/>
        <v>0</v>
      </c>
      <c r="N1676" s="465">
        <f t="shared" si="187"/>
        <v>0</v>
      </c>
      <c r="O1676" s="179"/>
      <c r="P1676" s="180"/>
      <c r="Q1676" s="173"/>
      <c r="R1676" s="173"/>
      <c r="S1676" s="174"/>
      <c r="T1676" s="173"/>
      <c r="U1676" s="182"/>
      <c r="V1676" s="177">
        <f>IF(U1676=0,0,IF(T1676="MXN",1/HLOOKUP(YEAR(S1676)+(MONTH(S1676)/100),TC!$5:$37,DAY(S1676)+2,FALSE),VLOOKUP(T1676,Equivalencia!$1:$23,((MAX(Equivalencia!$3:$3)-YEAR(S1676))*14)+MONTH(S1676)+2,FALSE)))</f>
        <v>0</v>
      </c>
      <c r="W1676" s="178">
        <f t="shared" si="188"/>
        <v>0</v>
      </c>
      <c r="X1676" s="481">
        <f t="shared" si="189"/>
        <v>0</v>
      </c>
      <c r="Y1676" s="179"/>
      <c r="Z1676" s="466">
        <f t="shared" si="190"/>
        <v>0</v>
      </c>
      <c r="AA1676" s="473">
        <f t="shared" si="191"/>
        <v>0</v>
      </c>
      <c r="AB1676" s="339">
        <f t="shared" si="192"/>
        <v>0</v>
      </c>
    </row>
    <row r="1677" spans="2:28" ht="20.100000000000001" customHeight="1">
      <c r="B1677" s="172"/>
      <c r="C1677" s="174"/>
      <c r="D1677" s="181"/>
      <c r="E1677" s="173"/>
      <c r="F1677" s="176"/>
      <c r="G1677" s="175">
        <f t="shared" si="183"/>
        <v>0</v>
      </c>
      <c r="H1677" s="175">
        <f t="shared" si="184"/>
        <v>0</v>
      </c>
      <c r="I1677" s="177">
        <f>IF(G1677=0,0,IF(E1677="MXN",1/HLOOKUP(YEAR(C1677)+(MONTH(C1677)/100),TC!$5:$37,DAY(C1677)+2,FALSE),VLOOKUP(E1677,Equivalencia!$5:$23,((MAX(Equivalencia!$3:$3)-YEAR(C1677))*14)+MONTH(C1677)+2,FALSE)))</f>
        <v>0</v>
      </c>
      <c r="J1677" s="178">
        <f t="shared" si="185"/>
        <v>0</v>
      </c>
      <c r="K1677" s="462">
        <f>IF(C1677=0,0,VLOOKUP(YEAR(C1677),INPC!$B$4:$O$29,MONTH(C1677)+1))</f>
        <v>0</v>
      </c>
      <c r="L1677" s="462">
        <f>IF(S1677=0,0,VLOOKUP(YEAR(S1677),INPC!$B$4:$O$29,MONTH(S1677)+1))</f>
        <v>0</v>
      </c>
      <c r="M1677" s="463">
        <f t="shared" si="186"/>
        <v>0</v>
      </c>
      <c r="N1677" s="465">
        <f t="shared" si="187"/>
        <v>0</v>
      </c>
      <c r="O1677" s="179"/>
      <c r="P1677" s="180"/>
      <c r="Q1677" s="173"/>
      <c r="R1677" s="173"/>
      <c r="S1677" s="174"/>
      <c r="T1677" s="173"/>
      <c r="U1677" s="182"/>
      <c r="V1677" s="177">
        <f>IF(U1677=0,0,IF(T1677="MXN",1/HLOOKUP(YEAR(S1677)+(MONTH(S1677)/100),TC!$5:$37,DAY(S1677)+2,FALSE),VLOOKUP(T1677,Equivalencia!$1:$23,((MAX(Equivalencia!$3:$3)-YEAR(S1677))*14)+MONTH(S1677)+2,FALSE)))</f>
        <v>0</v>
      </c>
      <c r="W1677" s="178">
        <f t="shared" si="188"/>
        <v>0</v>
      </c>
      <c r="X1677" s="481">
        <f t="shared" si="189"/>
        <v>0</v>
      </c>
      <c r="Y1677" s="179"/>
      <c r="Z1677" s="466">
        <f t="shared" si="190"/>
        <v>0</v>
      </c>
      <c r="AA1677" s="473">
        <f t="shared" si="191"/>
        <v>0</v>
      </c>
      <c r="AB1677" s="339">
        <f t="shared" si="192"/>
        <v>0</v>
      </c>
    </row>
    <row r="1678" spans="2:28" ht="20.100000000000001" customHeight="1">
      <c r="B1678" s="172"/>
      <c r="C1678" s="174"/>
      <c r="D1678" s="181"/>
      <c r="E1678" s="173"/>
      <c r="F1678" s="176"/>
      <c r="G1678" s="175">
        <f t="shared" si="183"/>
        <v>0</v>
      </c>
      <c r="H1678" s="175">
        <f t="shared" si="184"/>
        <v>0</v>
      </c>
      <c r="I1678" s="177">
        <f>IF(G1678=0,0,IF(E1678="MXN",1/HLOOKUP(YEAR(C1678)+(MONTH(C1678)/100),TC!$5:$37,DAY(C1678)+2,FALSE),VLOOKUP(E1678,Equivalencia!$5:$23,((MAX(Equivalencia!$3:$3)-YEAR(C1678))*14)+MONTH(C1678)+2,FALSE)))</f>
        <v>0</v>
      </c>
      <c r="J1678" s="178">
        <f t="shared" si="185"/>
        <v>0</v>
      </c>
      <c r="K1678" s="462">
        <f>IF(C1678=0,0,VLOOKUP(YEAR(C1678),INPC!$B$4:$O$29,MONTH(C1678)+1))</f>
        <v>0</v>
      </c>
      <c r="L1678" s="462">
        <f>IF(S1678=0,0,VLOOKUP(YEAR(S1678),INPC!$B$4:$O$29,MONTH(S1678)+1))</f>
        <v>0</v>
      </c>
      <c r="M1678" s="463">
        <f t="shared" si="186"/>
        <v>0</v>
      </c>
      <c r="N1678" s="465">
        <f t="shared" si="187"/>
        <v>0</v>
      </c>
      <c r="O1678" s="179"/>
      <c r="P1678" s="180"/>
      <c r="Q1678" s="173"/>
      <c r="R1678" s="173"/>
      <c r="S1678" s="174"/>
      <c r="T1678" s="173"/>
      <c r="U1678" s="182"/>
      <c r="V1678" s="177">
        <f>IF(U1678=0,0,IF(T1678="MXN",1/HLOOKUP(YEAR(S1678)+(MONTH(S1678)/100),TC!$5:$37,DAY(S1678)+2,FALSE),VLOOKUP(T1678,Equivalencia!$1:$23,((MAX(Equivalencia!$3:$3)-YEAR(S1678))*14)+MONTH(S1678)+2,FALSE)))</f>
        <v>0</v>
      </c>
      <c r="W1678" s="178">
        <f t="shared" si="188"/>
        <v>0</v>
      </c>
      <c r="X1678" s="481">
        <f t="shared" si="189"/>
        <v>0</v>
      </c>
      <c r="Y1678" s="179"/>
      <c r="Z1678" s="466">
        <f t="shared" si="190"/>
        <v>0</v>
      </c>
      <c r="AA1678" s="473">
        <f t="shared" si="191"/>
        <v>0</v>
      </c>
      <c r="AB1678" s="339">
        <f t="shared" si="192"/>
        <v>0</v>
      </c>
    </row>
    <row r="1679" spans="2:28" ht="20.100000000000001" customHeight="1">
      <c r="B1679" s="172"/>
      <c r="C1679" s="174"/>
      <c r="D1679" s="181"/>
      <c r="E1679" s="173"/>
      <c r="F1679" s="176"/>
      <c r="G1679" s="175">
        <f t="shared" si="183"/>
        <v>0</v>
      </c>
      <c r="H1679" s="175">
        <f t="shared" si="184"/>
        <v>0</v>
      </c>
      <c r="I1679" s="177">
        <f>IF(G1679=0,0,IF(E1679="MXN",1/HLOOKUP(YEAR(C1679)+(MONTH(C1679)/100),TC!$5:$37,DAY(C1679)+2,FALSE),VLOOKUP(E1679,Equivalencia!$5:$23,((MAX(Equivalencia!$3:$3)-YEAR(C1679))*14)+MONTH(C1679)+2,FALSE)))</f>
        <v>0</v>
      </c>
      <c r="J1679" s="178">
        <f t="shared" si="185"/>
        <v>0</v>
      </c>
      <c r="K1679" s="462">
        <f>IF(C1679=0,0,VLOOKUP(YEAR(C1679),INPC!$B$4:$O$29,MONTH(C1679)+1))</f>
        <v>0</v>
      </c>
      <c r="L1679" s="462">
        <f>IF(S1679=0,0,VLOOKUP(YEAR(S1679),INPC!$B$4:$O$29,MONTH(S1679)+1))</f>
        <v>0</v>
      </c>
      <c r="M1679" s="463">
        <f t="shared" si="186"/>
        <v>0</v>
      </c>
      <c r="N1679" s="465">
        <f t="shared" si="187"/>
        <v>0</v>
      </c>
      <c r="O1679" s="179"/>
      <c r="P1679" s="180"/>
      <c r="Q1679" s="173"/>
      <c r="R1679" s="173"/>
      <c r="S1679" s="174"/>
      <c r="T1679" s="173"/>
      <c r="U1679" s="182"/>
      <c r="V1679" s="177">
        <f>IF(U1679=0,0,IF(T1679="MXN",1/HLOOKUP(YEAR(S1679)+(MONTH(S1679)/100),TC!$5:$37,DAY(S1679)+2,FALSE),VLOOKUP(T1679,Equivalencia!$1:$23,((MAX(Equivalencia!$3:$3)-YEAR(S1679))*14)+MONTH(S1679)+2,FALSE)))</f>
        <v>0</v>
      </c>
      <c r="W1679" s="178">
        <f t="shared" si="188"/>
        <v>0</v>
      </c>
      <c r="X1679" s="481">
        <f t="shared" si="189"/>
        <v>0</v>
      </c>
      <c r="Y1679" s="179"/>
      <c r="Z1679" s="466">
        <f t="shared" si="190"/>
        <v>0</v>
      </c>
      <c r="AA1679" s="473">
        <f t="shared" si="191"/>
        <v>0</v>
      </c>
      <c r="AB1679" s="339">
        <f t="shared" si="192"/>
        <v>0</v>
      </c>
    </row>
    <row r="1680" spans="2:28" ht="20.100000000000001" customHeight="1">
      <c r="B1680" s="172"/>
      <c r="C1680" s="174"/>
      <c r="D1680" s="181"/>
      <c r="E1680" s="173"/>
      <c r="F1680" s="176"/>
      <c r="G1680" s="175">
        <f t="shared" si="183"/>
        <v>0</v>
      </c>
      <c r="H1680" s="175">
        <f t="shared" si="184"/>
        <v>0</v>
      </c>
      <c r="I1680" s="177">
        <f>IF(G1680=0,0,IF(E1680="MXN",1/HLOOKUP(YEAR(C1680)+(MONTH(C1680)/100),TC!$5:$37,DAY(C1680)+2,FALSE),VLOOKUP(E1680,Equivalencia!$5:$23,((MAX(Equivalencia!$3:$3)-YEAR(C1680))*14)+MONTH(C1680)+2,FALSE)))</f>
        <v>0</v>
      </c>
      <c r="J1680" s="178">
        <f t="shared" si="185"/>
        <v>0</v>
      </c>
      <c r="K1680" s="462">
        <f>IF(C1680=0,0,VLOOKUP(YEAR(C1680),INPC!$B$4:$O$29,MONTH(C1680)+1))</f>
        <v>0</v>
      </c>
      <c r="L1680" s="462">
        <f>IF(S1680=0,0,VLOOKUP(YEAR(S1680),INPC!$B$4:$O$29,MONTH(S1680)+1))</f>
        <v>0</v>
      </c>
      <c r="M1680" s="463">
        <f t="shared" si="186"/>
        <v>0</v>
      </c>
      <c r="N1680" s="465">
        <f t="shared" si="187"/>
        <v>0</v>
      </c>
      <c r="O1680" s="179"/>
      <c r="P1680" s="180"/>
      <c r="Q1680" s="173"/>
      <c r="R1680" s="173"/>
      <c r="S1680" s="174"/>
      <c r="T1680" s="173"/>
      <c r="U1680" s="182"/>
      <c r="V1680" s="177">
        <f>IF(U1680=0,0,IF(T1680="MXN",1/HLOOKUP(YEAR(S1680)+(MONTH(S1680)/100),TC!$5:$37,DAY(S1680)+2,FALSE),VLOOKUP(T1680,Equivalencia!$1:$23,((MAX(Equivalencia!$3:$3)-YEAR(S1680))*14)+MONTH(S1680)+2,FALSE)))</f>
        <v>0</v>
      </c>
      <c r="W1680" s="178">
        <f t="shared" si="188"/>
        <v>0</v>
      </c>
      <c r="X1680" s="481">
        <f t="shared" si="189"/>
        <v>0</v>
      </c>
      <c r="Y1680" s="179"/>
      <c r="Z1680" s="466">
        <f t="shared" si="190"/>
        <v>0</v>
      </c>
      <c r="AA1680" s="473">
        <f t="shared" si="191"/>
        <v>0</v>
      </c>
      <c r="AB1680" s="339">
        <f t="shared" si="192"/>
        <v>0</v>
      </c>
    </row>
    <row r="1681" spans="2:28" ht="20.100000000000001" customHeight="1">
      <c r="B1681" s="172"/>
      <c r="C1681" s="174"/>
      <c r="D1681" s="181"/>
      <c r="E1681" s="173"/>
      <c r="F1681" s="176"/>
      <c r="G1681" s="175">
        <f t="shared" si="183"/>
        <v>0</v>
      </c>
      <c r="H1681" s="175">
        <f t="shared" si="184"/>
        <v>0</v>
      </c>
      <c r="I1681" s="177">
        <f>IF(G1681=0,0,IF(E1681="MXN",1/HLOOKUP(YEAR(C1681)+(MONTH(C1681)/100),TC!$5:$37,DAY(C1681)+2,FALSE),VLOOKUP(E1681,Equivalencia!$5:$23,((MAX(Equivalencia!$3:$3)-YEAR(C1681))*14)+MONTH(C1681)+2,FALSE)))</f>
        <v>0</v>
      </c>
      <c r="J1681" s="178">
        <f t="shared" si="185"/>
        <v>0</v>
      </c>
      <c r="K1681" s="462">
        <f>IF(C1681=0,0,VLOOKUP(YEAR(C1681),INPC!$B$4:$O$29,MONTH(C1681)+1))</f>
        <v>0</v>
      </c>
      <c r="L1681" s="462">
        <f>IF(S1681=0,0,VLOOKUP(YEAR(S1681),INPC!$B$4:$O$29,MONTH(S1681)+1))</f>
        <v>0</v>
      </c>
      <c r="M1681" s="463">
        <f t="shared" si="186"/>
        <v>0</v>
      </c>
      <c r="N1681" s="465">
        <f t="shared" si="187"/>
        <v>0</v>
      </c>
      <c r="O1681" s="179"/>
      <c r="P1681" s="180"/>
      <c r="Q1681" s="173"/>
      <c r="R1681" s="173"/>
      <c r="S1681" s="174"/>
      <c r="T1681" s="173"/>
      <c r="U1681" s="182"/>
      <c r="V1681" s="177">
        <f>IF(U1681=0,0,IF(T1681="MXN",1/HLOOKUP(YEAR(S1681)+(MONTH(S1681)/100),TC!$5:$37,DAY(S1681)+2,FALSE),VLOOKUP(T1681,Equivalencia!$1:$23,((MAX(Equivalencia!$3:$3)-YEAR(S1681))*14)+MONTH(S1681)+2,FALSE)))</f>
        <v>0</v>
      </c>
      <c r="W1681" s="178">
        <f t="shared" si="188"/>
        <v>0</v>
      </c>
      <c r="X1681" s="481">
        <f t="shared" si="189"/>
        <v>0</v>
      </c>
      <c r="Y1681" s="179"/>
      <c r="Z1681" s="466">
        <f t="shared" si="190"/>
        <v>0</v>
      </c>
      <c r="AA1681" s="473">
        <f t="shared" si="191"/>
        <v>0</v>
      </c>
      <c r="AB1681" s="339">
        <f t="shared" si="192"/>
        <v>0</v>
      </c>
    </row>
    <row r="1682" spans="2:28" ht="20.100000000000001" customHeight="1">
      <c r="B1682" s="172"/>
      <c r="C1682" s="174"/>
      <c r="D1682" s="181"/>
      <c r="E1682" s="173"/>
      <c r="F1682" s="176"/>
      <c r="G1682" s="175">
        <f t="shared" si="183"/>
        <v>0</v>
      </c>
      <c r="H1682" s="175">
        <f t="shared" si="184"/>
        <v>0</v>
      </c>
      <c r="I1682" s="177">
        <f>IF(G1682=0,0,IF(E1682="MXN",1/HLOOKUP(YEAR(C1682)+(MONTH(C1682)/100),TC!$5:$37,DAY(C1682)+2,FALSE),VLOOKUP(E1682,Equivalencia!$5:$23,((MAX(Equivalencia!$3:$3)-YEAR(C1682))*14)+MONTH(C1682)+2,FALSE)))</f>
        <v>0</v>
      </c>
      <c r="J1682" s="178">
        <f t="shared" si="185"/>
        <v>0</v>
      </c>
      <c r="K1682" s="462">
        <f>IF(C1682=0,0,VLOOKUP(YEAR(C1682),INPC!$B$4:$O$29,MONTH(C1682)+1))</f>
        <v>0</v>
      </c>
      <c r="L1682" s="462">
        <f>IF(S1682=0,0,VLOOKUP(YEAR(S1682),INPC!$B$4:$O$29,MONTH(S1682)+1))</f>
        <v>0</v>
      </c>
      <c r="M1682" s="463">
        <f t="shared" si="186"/>
        <v>0</v>
      </c>
      <c r="N1682" s="465">
        <f t="shared" si="187"/>
        <v>0</v>
      </c>
      <c r="O1682" s="179"/>
      <c r="P1682" s="180"/>
      <c r="Q1682" s="173"/>
      <c r="R1682" s="173"/>
      <c r="S1682" s="174"/>
      <c r="T1682" s="173"/>
      <c r="U1682" s="182"/>
      <c r="V1682" s="177">
        <f>IF(U1682=0,0,IF(T1682="MXN",1/HLOOKUP(YEAR(S1682)+(MONTH(S1682)/100),TC!$5:$37,DAY(S1682)+2,FALSE),VLOOKUP(T1682,Equivalencia!$1:$23,((MAX(Equivalencia!$3:$3)-YEAR(S1682))*14)+MONTH(S1682)+2,FALSE)))</f>
        <v>0</v>
      </c>
      <c r="W1682" s="178">
        <f t="shared" si="188"/>
        <v>0</v>
      </c>
      <c r="X1682" s="481">
        <f t="shared" si="189"/>
        <v>0</v>
      </c>
      <c r="Y1682" s="179"/>
      <c r="Z1682" s="466">
        <f t="shared" si="190"/>
        <v>0</v>
      </c>
      <c r="AA1682" s="473">
        <f t="shared" si="191"/>
        <v>0</v>
      </c>
      <c r="AB1682" s="339">
        <f t="shared" si="192"/>
        <v>0</v>
      </c>
    </row>
    <row r="1683" spans="2:28" ht="20.100000000000001" customHeight="1">
      <c r="B1683" s="172"/>
      <c r="C1683" s="174"/>
      <c r="D1683" s="181"/>
      <c r="E1683" s="173"/>
      <c r="F1683" s="176"/>
      <c r="G1683" s="175">
        <f t="shared" si="183"/>
        <v>0</v>
      </c>
      <c r="H1683" s="175">
        <f t="shared" si="184"/>
        <v>0</v>
      </c>
      <c r="I1683" s="177">
        <f>IF(G1683=0,0,IF(E1683="MXN",1/HLOOKUP(YEAR(C1683)+(MONTH(C1683)/100),TC!$5:$37,DAY(C1683)+2,FALSE),VLOOKUP(E1683,Equivalencia!$5:$23,((MAX(Equivalencia!$3:$3)-YEAR(C1683))*14)+MONTH(C1683)+2,FALSE)))</f>
        <v>0</v>
      </c>
      <c r="J1683" s="178">
        <f t="shared" si="185"/>
        <v>0</v>
      </c>
      <c r="K1683" s="462">
        <f>IF(C1683=0,0,VLOOKUP(YEAR(C1683),INPC!$B$4:$O$29,MONTH(C1683)+1))</f>
        <v>0</v>
      </c>
      <c r="L1683" s="462">
        <f>IF(S1683=0,0,VLOOKUP(YEAR(S1683),INPC!$B$4:$O$29,MONTH(S1683)+1))</f>
        <v>0</v>
      </c>
      <c r="M1683" s="463">
        <f t="shared" si="186"/>
        <v>0</v>
      </c>
      <c r="N1683" s="465">
        <f t="shared" si="187"/>
        <v>0</v>
      </c>
      <c r="O1683" s="179"/>
      <c r="P1683" s="180"/>
      <c r="Q1683" s="173"/>
      <c r="R1683" s="173"/>
      <c r="S1683" s="174"/>
      <c r="T1683" s="173"/>
      <c r="U1683" s="182"/>
      <c r="V1683" s="177">
        <f>IF(U1683=0,0,IF(T1683="MXN",1/HLOOKUP(YEAR(S1683)+(MONTH(S1683)/100),TC!$5:$37,DAY(S1683)+2,FALSE),VLOOKUP(T1683,Equivalencia!$1:$23,((MAX(Equivalencia!$3:$3)-YEAR(S1683))*14)+MONTH(S1683)+2,FALSE)))</f>
        <v>0</v>
      </c>
      <c r="W1683" s="178">
        <f t="shared" si="188"/>
        <v>0</v>
      </c>
      <c r="X1683" s="481">
        <f t="shared" si="189"/>
        <v>0</v>
      </c>
      <c r="Y1683" s="179"/>
      <c r="Z1683" s="466">
        <f t="shared" si="190"/>
        <v>0</v>
      </c>
      <c r="AA1683" s="473">
        <f t="shared" si="191"/>
        <v>0</v>
      </c>
      <c r="AB1683" s="339">
        <f t="shared" si="192"/>
        <v>0</v>
      </c>
    </row>
    <row r="1684" spans="2:28" ht="20.100000000000001" customHeight="1">
      <c r="B1684" s="172"/>
      <c r="C1684" s="174"/>
      <c r="D1684" s="181"/>
      <c r="E1684" s="173"/>
      <c r="F1684" s="176"/>
      <c r="G1684" s="175">
        <f t="shared" si="183"/>
        <v>0</v>
      </c>
      <c r="H1684" s="175">
        <f t="shared" si="184"/>
        <v>0</v>
      </c>
      <c r="I1684" s="177">
        <f>IF(G1684=0,0,IF(E1684="MXN",1/HLOOKUP(YEAR(C1684)+(MONTH(C1684)/100),TC!$5:$37,DAY(C1684)+2,FALSE),VLOOKUP(E1684,Equivalencia!$5:$23,((MAX(Equivalencia!$3:$3)-YEAR(C1684))*14)+MONTH(C1684)+2,FALSE)))</f>
        <v>0</v>
      </c>
      <c r="J1684" s="178">
        <f t="shared" si="185"/>
        <v>0</v>
      </c>
      <c r="K1684" s="462">
        <f>IF(C1684=0,0,VLOOKUP(YEAR(C1684),INPC!$B$4:$O$29,MONTH(C1684)+1))</f>
        <v>0</v>
      </c>
      <c r="L1684" s="462">
        <f>IF(S1684=0,0,VLOOKUP(YEAR(S1684),INPC!$B$4:$O$29,MONTH(S1684)+1))</f>
        <v>0</v>
      </c>
      <c r="M1684" s="463">
        <f t="shared" si="186"/>
        <v>0</v>
      </c>
      <c r="N1684" s="465">
        <f t="shared" si="187"/>
        <v>0</v>
      </c>
      <c r="O1684" s="179"/>
      <c r="P1684" s="180"/>
      <c r="Q1684" s="173"/>
      <c r="R1684" s="173"/>
      <c r="S1684" s="174"/>
      <c r="T1684" s="173"/>
      <c r="U1684" s="182"/>
      <c r="V1684" s="177">
        <f>IF(U1684=0,0,IF(T1684="MXN",1/HLOOKUP(YEAR(S1684)+(MONTH(S1684)/100),TC!$5:$37,DAY(S1684)+2,FALSE),VLOOKUP(T1684,Equivalencia!$1:$23,((MAX(Equivalencia!$3:$3)-YEAR(S1684))*14)+MONTH(S1684)+2,FALSE)))</f>
        <v>0</v>
      </c>
      <c r="W1684" s="178">
        <f t="shared" si="188"/>
        <v>0</v>
      </c>
      <c r="X1684" s="481">
        <f t="shared" si="189"/>
        <v>0</v>
      </c>
      <c r="Y1684" s="179"/>
      <c r="Z1684" s="466">
        <f t="shared" si="190"/>
        <v>0</v>
      </c>
      <c r="AA1684" s="473">
        <f t="shared" si="191"/>
        <v>0</v>
      </c>
      <c r="AB1684" s="339">
        <f t="shared" si="192"/>
        <v>0</v>
      </c>
    </row>
    <row r="1685" spans="2:28" ht="20.100000000000001" customHeight="1">
      <c r="B1685" s="172"/>
      <c r="C1685" s="174"/>
      <c r="D1685" s="181"/>
      <c r="E1685" s="173"/>
      <c r="F1685" s="176"/>
      <c r="G1685" s="175">
        <f t="shared" si="183"/>
        <v>0</v>
      </c>
      <c r="H1685" s="175">
        <f t="shared" si="184"/>
        <v>0</v>
      </c>
      <c r="I1685" s="177">
        <f>IF(G1685=0,0,IF(E1685="MXN",1/HLOOKUP(YEAR(C1685)+(MONTH(C1685)/100),TC!$5:$37,DAY(C1685)+2,FALSE),VLOOKUP(E1685,Equivalencia!$5:$23,((MAX(Equivalencia!$3:$3)-YEAR(C1685))*14)+MONTH(C1685)+2,FALSE)))</f>
        <v>0</v>
      </c>
      <c r="J1685" s="178">
        <f t="shared" si="185"/>
        <v>0</v>
      </c>
      <c r="K1685" s="462">
        <f>IF(C1685=0,0,VLOOKUP(YEAR(C1685),INPC!$B$4:$O$29,MONTH(C1685)+1))</f>
        <v>0</v>
      </c>
      <c r="L1685" s="462">
        <f>IF(S1685=0,0,VLOOKUP(YEAR(S1685),INPC!$B$4:$O$29,MONTH(S1685)+1))</f>
        <v>0</v>
      </c>
      <c r="M1685" s="463">
        <f t="shared" si="186"/>
        <v>0</v>
      </c>
      <c r="N1685" s="465">
        <f t="shared" si="187"/>
        <v>0</v>
      </c>
      <c r="O1685" s="179"/>
      <c r="P1685" s="180"/>
      <c r="Q1685" s="173"/>
      <c r="R1685" s="173"/>
      <c r="S1685" s="174"/>
      <c r="T1685" s="173"/>
      <c r="U1685" s="182"/>
      <c r="V1685" s="177">
        <f>IF(U1685=0,0,IF(T1685="MXN",1/HLOOKUP(YEAR(S1685)+(MONTH(S1685)/100),TC!$5:$37,DAY(S1685)+2,FALSE),VLOOKUP(T1685,Equivalencia!$1:$23,((MAX(Equivalencia!$3:$3)-YEAR(S1685))*14)+MONTH(S1685)+2,FALSE)))</f>
        <v>0</v>
      </c>
      <c r="W1685" s="178">
        <f t="shared" si="188"/>
        <v>0</v>
      </c>
      <c r="X1685" s="481">
        <f t="shared" si="189"/>
        <v>0</v>
      </c>
      <c r="Y1685" s="179"/>
      <c r="Z1685" s="466">
        <f t="shared" si="190"/>
        <v>0</v>
      </c>
      <c r="AA1685" s="473">
        <f t="shared" si="191"/>
        <v>0</v>
      </c>
      <c r="AB1685" s="339">
        <f t="shared" si="192"/>
        <v>0</v>
      </c>
    </row>
    <row r="1686" spans="2:28" ht="20.100000000000001" customHeight="1">
      <c r="B1686" s="172"/>
      <c r="C1686" s="174"/>
      <c r="D1686" s="181"/>
      <c r="E1686" s="173"/>
      <c r="F1686" s="176"/>
      <c r="G1686" s="175">
        <f t="shared" si="183"/>
        <v>0</v>
      </c>
      <c r="H1686" s="175">
        <f t="shared" si="184"/>
        <v>0</v>
      </c>
      <c r="I1686" s="177">
        <f>IF(G1686=0,0,IF(E1686="MXN",1/HLOOKUP(YEAR(C1686)+(MONTH(C1686)/100),TC!$5:$37,DAY(C1686)+2,FALSE),VLOOKUP(E1686,Equivalencia!$5:$23,((MAX(Equivalencia!$3:$3)-YEAR(C1686))*14)+MONTH(C1686)+2,FALSE)))</f>
        <v>0</v>
      </c>
      <c r="J1686" s="178">
        <f t="shared" si="185"/>
        <v>0</v>
      </c>
      <c r="K1686" s="462">
        <f>IF(C1686=0,0,VLOOKUP(YEAR(C1686),INPC!$B$4:$O$29,MONTH(C1686)+1))</f>
        <v>0</v>
      </c>
      <c r="L1686" s="462">
        <f>IF(S1686=0,0,VLOOKUP(YEAR(S1686),INPC!$B$4:$O$29,MONTH(S1686)+1))</f>
        <v>0</v>
      </c>
      <c r="M1686" s="463">
        <f t="shared" si="186"/>
        <v>0</v>
      </c>
      <c r="N1686" s="465">
        <f t="shared" si="187"/>
        <v>0</v>
      </c>
      <c r="O1686" s="179"/>
      <c r="P1686" s="180"/>
      <c r="Q1686" s="173"/>
      <c r="R1686" s="173"/>
      <c r="S1686" s="174"/>
      <c r="T1686" s="173"/>
      <c r="U1686" s="182"/>
      <c r="V1686" s="177">
        <f>IF(U1686=0,0,IF(T1686="MXN",1/HLOOKUP(YEAR(S1686)+(MONTH(S1686)/100),TC!$5:$37,DAY(S1686)+2,FALSE),VLOOKUP(T1686,Equivalencia!$1:$23,((MAX(Equivalencia!$3:$3)-YEAR(S1686))*14)+MONTH(S1686)+2,FALSE)))</f>
        <v>0</v>
      </c>
      <c r="W1686" s="178">
        <f t="shared" si="188"/>
        <v>0</v>
      </c>
      <c r="X1686" s="481">
        <f t="shared" si="189"/>
        <v>0</v>
      </c>
      <c r="Y1686" s="179"/>
      <c r="Z1686" s="466">
        <f t="shared" si="190"/>
        <v>0</v>
      </c>
      <c r="AA1686" s="473">
        <f t="shared" si="191"/>
        <v>0</v>
      </c>
      <c r="AB1686" s="339">
        <f t="shared" si="192"/>
        <v>0</v>
      </c>
    </row>
    <row r="1687" spans="2:28" ht="20.100000000000001" customHeight="1">
      <c r="B1687" s="172"/>
      <c r="C1687" s="174"/>
      <c r="D1687" s="181"/>
      <c r="E1687" s="173"/>
      <c r="F1687" s="176"/>
      <c r="G1687" s="175">
        <f t="shared" si="183"/>
        <v>0</v>
      </c>
      <c r="H1687" s="175">
        <f t="shared" si="184"/>
        <v>0</v>
      </c>
      <c r="I1687" s="177">
        <f>IF(G1687=0,0,IF(E1687="MXN",1/HLOOKUP(YEAR(C1687)+(MONTH(C1687)/100),TC!$5:$37,DAY(C1687)+2,FALSE),VLOOKUP(E1687,Equivalencia!$5:$23,((MAX(Equivalencia!$3:$3)-YEAR(C1687))*14)+MONTH(C1687)+2,FALSE)))</f>
        <v>0</v>
      </c>
      <c r="J1687" s="178">
        <f t="shared" si="185"/>
        <v>0</v>
      </c>
      <c r="K1687" s="462">
        <f>IF(C1687=0,0,VLOOKUP(YEAR(C1687),INPC!$B$4:$O$29,MONTH(C1687)+1))</f>
        <v>0</v>
      </c>
      <c r="L1687" s="462">
        <f>IF(S1687=0,0,VLOOKUP(YEAR(S1687),INPC!$B$4:$O$29,MONTH(S1687)+1))</f>
        <v>0</v>
      </c>
      <c r="M1687" s="463">
        <f t="shared" si="186"/>
        <v>0</v>
      </c>
      <c r="N1687" s="465">
        <f t="shared" si="187"/>
        <v>0</v>
      </c>
      <c r="O1687" s="179"/>
      <c r="P1687" s="180"/>
      <c r="Q1687" s="173"/>
      <c r="R1687" s="173"/>
      <c r="S1687" s="174"/>
      <c r="T1687" s="173"/>
      <c r="U1687" s="182"/>
      <c r="V1687" s="177">
        <f>IF(U1687=0,0,IF(T1687="MXN",1/HLOOKUP(YEAR(S1687)+(MONTH(S1687)/100),TC!$5:$37,DAY(S1687)+2,FALSE),VLOOKUP(T1687,Equivalencia!$1:$23,((MAX(Equivalencia!$3:$3)-YEAR(S1687))*14)+MONTH(S1687)+2,FALSE)))</f>
        <v>0</v>
      </c>
      <c r="W1687" s="178">
        <f t="shared" si="188"/>
        <v>0</v>
      </c>
      <c r="X1687" s="481">
        <f t="shared" si="189"/>
        <v>0</v>
      </c>
      <c r="Y1687" s="179"/>
      <c r="Z1687" s="466">
        <f t="shared" si="190"/>
        <v>0</v>
      </c>
      <c r="AA1687" s="473">
        <f t="shared" si="191"/>
        <v>0</v>
      </c>
      <c r="AB1687" s="339">
        <f t="shared" si="192"/>
        <v>0</v>
      </c>
    </row>
    <row r="1688" spans="2:28" ht="20.100000000000001" customHeight="1">
      <c r="B1688" s="172"/>
      <c r="C1688" s="174"/>
      <c r="D1688" s="181"/>
      <c r="E1688" s="173"/>
      <c r="F1688" s="176"/>
      <c r="G1688" s="175">
        <f t="shared" si="183"/>
        <v>0</v>
      </c>
      <c r="H1688" s="175">
        <f t="shared" si="184"/>
        <v>0</v>
      </c>
      <c r="I1688" s="177">
        <f>IF(G1688=0,0,IF(E1688="MXN",1/HLOOKUP(YEAR(C1688)+(MONTH(C1688)/100),TC!$5:$37,DAY(C1688)+2,FALSE),VLOOKUP(E1688,Equivalencia!$5:$23,((MAX(Equivalencia!$3:$3)-YEAR(C1688))*14)+MONTH(C1688)+2,FALSE)))</f>
        <v>0</v>
      </c>
      <c r="J1688" s="178">
        <f t="shared" si="185"/>
        <v>0</v>
      </c>
      <c r="K1688" s="462">
        <f>IF(C1688=0,0,VLOOKUP(YEAR(C1688),INPC!$B$4:$O$29,MONTH(C1688)+1))</f>
        <v>0</v>
      </c>
      <c r="L1688" s="462">
        <f>IF(S1688=0,0,VLOOKUP(YEAR(S1688),INPC!$B$4:$O$29,MONTH(S1688)+1))</f>
        <v>0</v>
      </c>
      <c r="M1688" s="463">
        <f t="shared" si="186"/>
        <v>0</v>
      </c>
      <c r="N1688" s="465">
        <f t="shared" si="187"/>
        <v>0</v>
      </c>
      <c r="O1688" s="179"/>
      <c r="P1688" s="180"/>
      <c r="Q1688" s="173"/>
      <c r="R1688" s="173"/>
      <c r="S1688" s="174"/>
      <c r="T1688" s="173"/>
      <c r="U1688" s="182"/>
      <c r="V1688" s="177">
        <f>IF(U1688=0,0,IF(T1688="MXN",1/HLOOKUP(YEAR(S1688)+(MONTH(S1688)/100),TC!$5:$37,DAY(S1688)+2,FALSE),VLOOKUP(T1688,Equivalencia!$1:$23,((MAX(Equivalencia!$3:$3)-YEAR(S1688))*14)+MONTH(S1688)+2,FALSE)))</f>
        <v>0</v>
      </c>
      <c r="W1688" s="178">
        <f t="shared" si="188"/>
        <v>0</v>
      </c>
      <c r="X1688" s="481">
        <f t="shared" si="189"/>
        <v>0</v>
      </c>
      <c r="Y1688" s="179"/>
      <c r="Z1688" s="466">
        <f t="shared" si="190"/>
        <v>0</v>
      </c>
      <c r="AA1688" s="473">
        <f t="shared" si="191"/>
        <v>0</v>
      </c>
      <c r="AB1688" s="339">
        <f t="shared" si="192"/>
        <v>0</v>
      </c>
    </row>
    <row r="1689" spans="2:28" ht="20.100000000000001" customHeight="1">
      <c r="B1689" s="172"/>
      <c r="C1689" s="174"/>
      <c r="D1689" s="181"/>
      <c r="E1689" s="173"/>
      <c r="F1689" s="176"/>
      <c r="G1689" s="175">
        <f t="shared" si="183"/>
        <v>0</v>
      </c>
      <c r="H1689" s="175">
        <f t="shared" si="184"/>
        <v>0</v>
      </c>
      <c r="I1689" s="177">
        <f>IF(G1689=0,0,IF(E1689="MXN",1/HLOOKUP(YEAR(C1689)+(MONTH(C1689)/100),TC!$5:$37,DAY(C1689)+2,FALSE),VLOOKUP(E1689,Equivalencia!$5:$23,((MAX(Equivalencia!$3:$3)-YEAR(C1689))*14)+MONTH(C1689)+2,FALSE)))</f>
        <v>0</v>
      </c>
      <c r="J1689" s="178">
        <f t="shared" si="185"/>
        <v>0</v>
      </c>
      <c r="K1689" s="462">
        <f>IF(C1689=0,0,VLOOKUP(YEAR(C1689),INPC!$B$4:$O$29,MONTH(C1689)+1))</f>
        <v>0</v>
      </c>
      <c r="L1689" s="462">
        <f>IF(S1689=0,0,VLOOKUP(YEAR(S1689),INPC!$B$4:$O$29,MONTH(S1689)+1))</f>
        <v>0</v>
      </c>
      <c r="M1689" s="463">
        <f t="shared" si="186"/>
        <v>0</v>
      </c>
      <c r="N1689" s="465">
        <f t="shared" si="187"/>
        <v>0</v>
      </c>
      <c r="O1689" s="179"/>
      <c r="P1689" s="180"/>
      <c r="Q1689" s="173"/>
      <c r="R1689" s="173"/>
      <c r="S1689" s="174"/>
      <c r="T1689" s="173"/>
      <c r="U1689" s="182"/>
      <c r="V1689" s="177">
        <f>IF(U1689=0,0,IF(T1689="MXN",1/HLOOKUP(YEAR(S1689)+(MONTH(S1689)/100),TC!$5:$37,DAY(S1689)+2,FALSE),VLOOKUP(T1689,Equivalencia!$1:$23,((MAX(Equivalencia!$3:$3)-YEAR(S1689))*14)+MONTH(S1689)+2,FALSE)))</f>
        <v>0</v>
      </c>
      <c r="W1689" s="178">
        <f t="shared" si="188"/>
        <v>0</v>
      </c>
      <c r="X1689" s="481">
        <f t="shared" si="189"/>
        <v>0</v>
      </c>
      <c r="Y1689" s="179"/>
      <c r="Z1689" s="466">
        <f t="shared" si="190"/>
        <v>0</v>
      </c>
      <c r="AA1689" s="473">
        <f t="shared" si="191"/>
        <v>0</v>
      </c>
      <c r="AB1689" s="339">
        <f t="shared" si="192"/>
        <v>0</v>
      </c>
    </row>
    <row r="1690" spans="2:28" ht="20.100000000000001" customHeight="1">
      <c r="B1690" s="172"/>
      <c r="C1690" s="174"/>
      <c r="D1690" s="181"/>
      <c r="E1690" s="173"/>
      <c r="F1690" s="176"/>
      <c r="G1690" s="175">
        <f t="shared" si="183"/>
        <v>0</v>
      </c>
      <c r="H1690" s="175">
        <f t="shared" si="184"/>
        <v>0</v>
      </c>
      <c r="I1690" s="177">
        <f>IF(G1690=0,0,IF(E1690="MXN",1/HLOOKUP(YEAR(C1690)+(MONTH(C1690)/100),TC!$5:$37,DAY(C1690)+2,FALSE),VLOOKUP(E1690,Equivalencia!$5:$23,((MAX(Equivalencia!$3:$3)-YEAR(C1690))*14)+MONTH(C1690)+2,FALSE)))</f>
        <v>0</v>
      </c>
      <c r="J1690" s="178">
        <f t="shared" si="185"/>
        <v>0</v>
      </c>
      <c r="K1690" s="462">
        <f>IF(C1690=0,0,VLOOKUP(YEAR(C1690),INPC!$B$4:$O$29,MONTH(C1690)+1))</f>
        <v>0</v>
      </c>
      <c r="L1690" s="462">
        <f>IF(S1690=0,0,VLOOKUP(YEAR(S1690),INPC!$B$4:$O$29,MONTH(S1690)+1))</f>
        <v>0</v>
      </c>
      <c r="M1690" s="463">
        <f t="shared" si="186"/>
        <v>0</v>
      </c>
      <c r="N1690" s="465">
        <f t="shared" si="187"/>
        <v>0</v>
      </c>
      <c r="O1690" s="179"/>
      <c r="P1690" s="180"/>
      <c r="Q1690" s="173"/>
      <c r="R1690" s="173"/>
      <c r="S1690" s="174"/>
      <c r="T1690" s="173"/>
      <c r="U1690" s="182"/>
      <c r="V1690" s="177">
        <f>IF(U1690=0,0,IF(T1690="MXN",1/HLOOKUP(YEAR(S1690)+(MONTH(S1690)/100),TC!$5:$37,DAY(S1690)+2,FALSE),VLOOKUP(T1690,Equivalencia!$1:$23,((MAX(Equivalencia!$3:$3)-YEAR(S1690))*14)+MONTH(S1690)+2,FALSE)))</f>
        <v>0</v>
      </c>
      <c r="W1690" s="178">
        <f t="shared" si="188"/>
        <v>0</v>
      </c>
      <c r="X1690" s="481">
        <f t="shared" si="189"/>
        <v>0</v>
      </c>
      <c r="Y1690" s="179"/>
      <c r="Z1690" s="466">
        <f t="shared" si="190"/>
        <v>0</v>
      </c>
      <c r="AA1690" s="473">
        <f t="shared" si="191"/>
        <v>0</v>
      </c>
      <c r="AB1690" s="339">
        <f t="shared" si="192"/>
        <v>0</v>
      </c>
    </row>
    <row r="1691" spans="2:28" ht="20.100000000000001" customHeight="1">
      <c r="B1691" s="172"/>
      <c r="C1691" s="174"/>
      <c r="D1691" s="181"/>
      <c r="E1691" s="173"/>
      <c r="F1691" s="176"/>
      <c r="G1691" s="175">
        <f t="shared" si="183"/>
        <v>0</v>
      </c>
      <c r="H1691" s="175">
        <f t="shared" si="184"/>
        <v>0</v>
      </c>
      <c r="I1691" s="177">
        <f>IF(G1691=0,0,IF(E1691="MXN",1/HLOOKUP(YEAR(C1691)+(MONTH(C1691)/100),TC!$5:$37,DAY(C1691)+2,FALSE),VLOOKUP(E1691,Equivalencia!$5:$23,((MAX(Equivalencia!$3:$3)-YEAR(C1691))*14)+MONTH(C1691)+2,FALSE)))</f>
        <v>0</v>
      </c>
      <c r="J1691" s="178">
        <f t="shared" si="185"/>
        <v>0</v>
      </c>
      <c r="K1691" s="462">
        <f>IF(C1691=0,0,VLOOKUP(YEAR(C1691),INPC!$B$4:$O$29,MONTH(C1691)+1))</f>
        <v>0</v>
      </c>
      <c r="L1691" s="462">
        <f>IF(S1691=0,0,VLOOKUP(YEAR(S1691),INPC!$B$4:$O$29,MONTH(S1691)+1))</f>
        <v>0</v>
      </c>
      <c r="M1691" s="463">
        <f t="shared" si="186"/>
        <v>0</v>
      </c>
      <c r="N1691" s="465">
        <f t="shared" si="187"/>
        <v>0</v>
      </c>
      <c r="O1691" s="179"/>
      <c r="P1691" s="180"/>
      <c r="Q1691" s="173"/>
      <c r="R1691" s="173"/>
      <c r="S1691" s="174"/>
      <c r="T1691" s="173"/>
      <c r="U1691" s="182"/>
      <c r="V1691" s="177">
        <f>IF(U1691=0,0,IF(T1691="MXN",1/HLOOKUP(YEAR(S1691)+(MONTH(S1691)/100),TC!$5:$37,DAY(S1691)+2,FALSE),VLOOKUP(T1691,Equivalencia!$1:$23,((MAX(Equivalencia!$3:$3)-YEAR(S1691))*14)+MONTH(S1691)+2,FALSE)))</f>
        <v>0</v>
      </c>
      <c r="W1691" s="178">
        <f t="shared" si="188"/>
        <v>0</v>
      </c>
      <c r="X1691" s="481">
        <f t="shared" si="189"/>
        <v>0</v>
      </c>
      <c r="Y1691" s="179"/>
      <c r="Z1691" s="466">
        <f t="shared" si="190"/>
        <v>0</v>
      </c>
      <c r="AA1691" s="473">
        <f t="shared" si="191"/>
        <v>0</v>
      </c>
      <c r="AB1691" s="339">
        <f t="shared" si="192"/>
        <v>0</v>
      </c>
    </row>
    <row r="1692" spans="2:28" ht="20.100000000000001" customHeight="1">
      <c r="B1692" s="172"/>
      <c r="C1692" s="174"/>
      <c r="D1692" s="181"/>
      <c r="E1692" s="173"/>
      <c r="F1692" s="176"/>
      <c r="G1692" s="175">
        <f t="shared" si="183"/>
        <v>0</v>
      </c>
      <c r="H1692" s="175">
        <f t="shared" si="184"/>
        <v>0</v>
      </c>
      <c r="I1692" s="177">
        <f>IF(G1692=0,0,IF(E1692="MXN",1/HLOOKUP(YEAR(C1692)+(MONTH(C1692)/100),TC!$5:$37,DAY(C1692)+2,FALSE),VLOOKUP(E1692,Equivalencia!$5:$23,((MAX(Equivalencia!$3:$3)-YEAR(C1692))*14)+MONTH(C1692)+2,FALSE)))</f>
        <v>0</v>
      </c>
      <c r="J1692" s="178">
        <f t="shared" si="185"/>
        <v>0</v>
      </c>
      <c r="K1692" s="462">
        <f>IF(C1692=0,0,VLOOKUP(YEAR(C1692),INPC!$B$4:$O$29,MONTH(C1692)+1))</f>
        <v>0</v>
      </c>
      <c r="L1692" s="462">
        <f>IF(S1692=0,0,VLOOKUP(YEAR(S1692),INPC!$B$4:$O$29,MONTH(S1692)+1))</f>
        <v>0</v>
      </c>
      <c r="M1692" s="463">
        <f t="shared" si="186"/>
        <v>0</v>
      </c>
      <c r="N1692" s="465">
        <f t="shared" si="187"/>
        <v>0</v>
      </c>
      <c r="O1692" s="179"/>
      <c r="P1692" s="180"/>
      <c r="Q1692" s="173"/>
      <c r="R1692" s="173"/>
      <c r="S1692" s="174"/>
      <c r="T1692" s="173"/>
      <c r="U1692" s="182"/>
      <c r="V1692" s="177">
        <f>IF(U1692=0,0,IF(T1692="MXN",1/HLOOKUP(YEAR(S1692)+(MONTH(S1692)/100),TC!$5:$37,DAY(S1692)+2,FALSE),VLOOKUP(T1692,Equivalencia!$1:$23,((MAX(Equivalencia!$3:$3)-YEAR(S1692))*14)+MONTH(S1692)+2,FALSE)))</f>
        <v>0</v>
      </c>
      <c r="W1692" s="178">
        <f t="shared" si="188"/>
        <v>0</v>
      </c>
      <c r="X1692" s="481">
        <f t="shared" si="189"/>
        <v>0</v>
      </c>
      <c r="Y1692" s="179"/>
      <c r="Z1692" s="466">
        <f t="shared" si="190"/>
        <v>0</v>
      </c>
      <c r="AA1692" s="473">
        <f t="shared" si="191"/>
        <v>0</v>
      </c>
      <c r="AB1692" s="339">
        <f t="shared" si="192"/>
        <v>0</v>
      </c>
    </row>
    <row r="1693" spans="2:28" ht="20.100000000000001" customHeight="1">
      <c r="B1693" s="172"/>
      <c r="C1693" s="174"/>
      <c r="D1693" s="181"/>
      <c r="E1693" s="173"/>
      <c r="F1693" s="176"/>
      <c r="G1693" s="175">
        <f t="shared" si="183"/>
        <v>0</v>
      </c>
      <c r="H1693" s="175">
        <f t="shared" si="184"/>
        <v>0</v>
      </c>
      <c r="I1693" s="177">
        <f>IF(G1693=0,0,IF(E1693="MXN",1/HLOOKUP(YEAR(C1693)+(MONTH(C1693)/100),TC!$5:$37,DAY(C1693)+2,FALSE),VLOOKUP(E1693,Equivalencia!$5:$23,((MAX(Equivalencia!$3:$3)-YEAR(C1693))*14)+MONTH(C1693)+2,FALSE)))</f>
        <v>0</v>
      </c>
      <c r="J1693" s="178">
        <f t="shared" si="185"/>
        <v>0</v>
      </c>
      <c r="K1693" s="462">
        <f>IF(C1693=0,0,VLOOKUP(YEAR(C1693),INPC!$B$4:$O$29,MONTH(C1693)+1))</f>
        <v>0</v>
      </c>
      <c r="L1693" s="462">
        <f>IF(S1693=0,0,VLOOKUP(YEAR(S1693),INPC!$B$4:$O$29,MONTH(S1693)+1))</f>
        <v>0</v>
      </c>
      <c r="M1693" s="463">
        <f t="shared" si="186"/>
        <v>0</v>
      </c>
      <c r="N1693" s="465">
        <f t="shared" si="187"/>
        <v>0</v>
      </c>
      <c r="O1693" s="179"/>
      <c r="P1693" s="180"/>
      <c r="Q1693" s="173"/>
      <c r="R1693" s="173"/>
      <c r="S1693" s="174"/>
      <c r="T1693" s="173"/>
      <c r="U1693" s="182"/>
      <c r="V1693" s="177">
        <f>IF(U1693=0,0,IF(T1693="MXN",1/HLOOKUP(YEAR(S1693)+(MONTH(S1693)/100),TC!$5:$37,DAY(S1693)+2,FALSE),VLOOKUP(T1693,Equivalencia!$1:$23,((MAX(Equivalencia!$3:$3)-YEAR(S1693))*14)+MONTH(S1693)+2,FALSE)))</f>
        <v>0</v>
      </c>
      <c r="W1693" s="178">
        <f t="shared" si="188"/>
        <v>0</v>
      </c>
      <c r="X1693" s="481">
        <f t="shared" si="189"/>
        <v>0</v>
      </c>
      <c r="Y1693" s="179"/>
      <c r="Z1693" s="466">
        <f t="shared" si="190"/>
        <v>0</v>
      </c>
      <c r="AA1693" s="473">
        <f t="shared" si="191"/>
        <v>0</v>
      </c>
      <c r="AB1693" s="339">
        <f t="shared" si="192"/>
        <v>0</v>
      </c>
    </row>
    <row r="1694" spans="2:28" ht="20.100000000000001" customHeight="1">
      <c r="B1694" s="172"/>
      <c r="C1694" s="174"/>
      <c r="D1694" s="181"/>
      <c r="E1694" s="173"/>
      <c r="F1694" s="176"/>
      <c r="G1694" s="175">
        <f t="shared" si="183"/>
        <v>0</v>
      </c>
      <c r="H1694" s="175">
        <f t="shared" si="184"/>
        <v>0</v>
      </c>
      <c r="I1694" s="177">
        <f>IF(G1694=0,0,IF(E1694="MXN",1/HLOOKUP(YEAR(C1694)+(MONTH(C1694)/100),TC!$5:$37,DAY(C1694)+2,FALSE),VLOOKUP(E1694,Equivalencia!$5:$23,((MAX(Equivalencia!$3:$3)-YEAR(C1694))*14)+MONTH(C1694)+2,FALSE)))</f>
        <v>0</v>
      </c>
      <c r="J1694" s="178">
        <f t="shared" si="185"/>
        <v>0</v>
      </c>
      <c r="K1694" s="462">
        <f>IF(C1694=0,0,VLOOKUP(YEAR(C1694),INPC!$B$4:$O$29,MONTH(C1694)+1))</f>
        <v>0</v>
      </c>
      <c r="L1694" s="462">
        <f>IF(S1694=0,0,VLOOKUP(YEAR(S1694),INPC!$B$4:$O$29,MONTH(S1694)+1))</f>
        <v>0</v>
      </c>
      <c r="M1694" s="463">
        <f t="shared" si="186"/>
        <v>0</v>
      </c>
      <c r="N1694" s="465">
        <f t="shared" si="187"/>
        <v>0</v>
      </c>
      <c r="O1694" s="179"/>
      <c r="P1694" s="180"/>
      <c r="Q1694" s="173"/>
      <c r="R1694" s="173"/>
      <c r="S1694" s="174"/>
      <c r="T1694" s="173"/>
      <c r="U1694" s="182"/>
      <c r="V1694" s="177">
        <f>IF(U1694=0,0,IF(T1694="MXN",1/HLOOKUP(YEAR(S1694)+(MONTH(S1694)/100),TC!$5:$37,DAY(S1694)+2,FALSE),VLOOKUP(T1694,Equivalencia!$1:$23,((MAX(Equivalencia!$3:$3)-YEAR(S1694))*14)+MONTH(S1694)+2,FALSE)))</f>
        <v>0</v>
      </c>
      <c r="W1694" s="178">
        <f t="shared" si="188"/>
        <v>0</v>
      </c>
      <c r="X1694" s="481">
        <f t="shared" si="189"/>
        <v>0</v>
      </c>
      <c r="Y1694" s="179"/>
      <c r="Z1694" s="466">
        <f t="shared" si="190"/>
        <v>0</v>
      </c>
      <c r="AA1694" s="473">
        <f t="shared" si="191"/>
        <v>0</v>
      </c>
      <c r="AB1694" s="339">
        <f t="shared" si="192"/>
        <v>0</v>
      </c>
    </row>
    <row r="1695" spans="2:28" ht="20.100000000000001" customHeight="1">
      <c r="B1695" s="172"/>
      <c r="C1695" s="174"/>
      <c r="D1695" s="181"/>
      <c r="E1695" s="173"/>
      <c r="F1695" s="176"/>
      <c r="G1695" s="175">
        <f t="shared" si="183"/>
        <v>0</v>
      </c>
      <c r="H1695" s="175">
        <f t="shared" si="184"/>
        <v>0</v>
      </c>
      <c r="I1695" s="177">
        <f>IF(G1695=0,0,IF(E1695="MXN",1/HLOOKUP(YEAR(C1695)+(MONTH(C1695)/100),TC!$5:$37,DAY(C1695)+2,FALSE),VLOOKUP(E1695,Equivalencia!$5:$23,((MAX(Equivalencia!$3:$3)-YEAR(C1695))*14)+MONTH(C1695)+2,FALSE)))</f>
        <v>0</v>
      </c>
      <c r="J1695" s="178">
        <f t="shared" si="185"/>
        <v>0</v>
      </c>
      <c r="K1695" s="462">
        <f>IF(C1695=0,0,VLOOKUP(YEAR(C1695),INPC!$B$4:$O$29,MONTH(C1695)+1))</f>
        <v>0</v>
      </c>
      <c r="L1695" s="462">
        <f>IF(S1695=0,0,VLOOKUP(YEAR(S1695),INPC!$B$4:$O$29,MONTH(S1695)+1))</f>
        <v>0</v>
      </c>
      <c r="M1695" s="463">
        <f t="shared" si="186"/>
        <v>0</v>
      </c>
      <c r="N1695" s="465">
        <f t="shared" si="187"/>
        <v>0</v>
      </c>
      <c r="O1695" s="179"/>
      <c r="P1695" s="180"/>
      <c r="Q1695" s="173"/>
      <c r="R1695" s="173"/>
      <c r="S1695" s="174"/>
      <c r="T1695" s="173"/>
      <c r="U1695" s="182"/>
      <c r="V1695" s="177">
        <f>IF(U1695=0,0,IF(T1695="MXN",1/HLOOKUP(YEAR(S1695)+(MONTH(S1695)/100),TC!$5:$37,DAY(S1695)+2,FALSE),VLOOKUP(T1695,Equivalencia!$1:$23,((MAX(Equivalencia!$3:$3)-YEAR(S1695))*14)+MONTH(S1695)+2,FALSE)))</f>
        <v>0</v>
      </c>
      <c r="W1695" s="178">
        <f t="shared" si="188"/>
        <v>0</v>
      </c>
      <c r="X1695" s="481">
        <f t="shared" si="189"/>
        <v>0</v>
      </c>
      <c r="Y1695" s="179"/>
      <c r="Z1695" s="466">
        <f t="shared" si="190"/>
        <v>0</v>
      </c>
      <c r="AA1695" s="473">
        <f t="shared" si="191"/>
        <v>0</v>
      </c>
      <c r="AB1695" s="339">
        <f t="shared" si="192"/>
        <v>0</v>
      </c>
    </row>
    <row r="1696" spans="2:28" ht="20.100000000000001" customHeight="1">
      <c r="B1696" s="172"/>
      <c r="C1696" s="174"/>
      <c r="D1696" s="181"/>
      <c r="E1696" s="173"/>
      <c r="F1696" s="176"/>
      <c r="G1696" s="175">
        <f t="shared" si="183"/>
        <v>0</v>
      </c>
      <c r="H1696" s="175">
        <f t="shared" si="184"/>
        <v>0</v>
      </c>
      <c r="I1696" s="177">
        <f>IF(G1696=0,0,IF(E1696="MXN",1/HLOOKUP(YEAR(C1696)+(MONTH(C1696)/100),TC!$5:$37,DAY(C1696)+2,FALSE),VLOOKUP(E1696,Equivalencia!$5:$23,((MAX(Equivalencia!$3:$3)-YEAR(C1696))*14)+MONTH(C1696)+2,FALSE)))</f>
        <v>0</v>
      </c>
      <c r="J1696" s="178">
        <f t="shared" si="185"/>
        <v>0</v>
      </c>
      <c r="K1696" s="462">
        <f>IF(C1696=0,0,VLOOKUP(YEAR(C1696),INPC!$B$4:$O$29,MONTH(C1696)+1))</f>
        <v>0</v>
      </c>
      <c r="L1696" s="462">
        <f>IF(S1696=0,0,VLOOKUP(YEAR(S1696),INPC!$B$4:$O$29,MONTH(S1696)+1))</f>
        <v>0</v>
      </c>
      <c r="M1696" s="463">
        <f t="shared" si="186"/>
        <v>0</v>
      </c>
      <c r="N1696" s="465">
        <f t="shared" si="187"/>
        <v>0</v>
      </c>
      <c r="O1696" s="179"/>
      <c r="P1696" s="180"/>
      <c r="Q1696" s="173"/>
      <c r="R1696" s="173"/>
      <c r="S1696" s="174"/>
      <c r="T1696" s="173"/>
      <c r="U1696" s="182"/>
      <c r="V1696" s="177">
        <f>IF(U1696=0,0,IF(T1696="MXN",1/HLOOKUP(YEAR(S1696)+(MONTH(S1696)/100),TC!$5:$37,DAY(S1696)+2,FALSE),VLOOKUP(T1696,Equivalencia!$1:$23,((MAX(Equivalencia!$3:$3)-YEAR(S1696))*14)+MONTH(S1696)+2,FALSE)))</f>
        <v>0</v>
      </c>
      <c r="W1696" s="178">
        <f t="shared" si="188"/>
        <v>0</v>
      </c>
      <c r="X1696" s="481">
        <f t="shared" si="189"/>
        <v>0</v>
      </c>
      <c r="Y1696" s="179"/>
      <c r="Z1696" s="466">
        <f t="shared" si="190"/>
        <v>0</v>
      </c>
      <c r="AA1696" s="473">
        <f t="shared" si="191"/>
        <v>0</v>
      </c>
      <c r="AB1696" s="339">
        <f t="shared" si="192"/>
        <v>0</v>
      </c>
    </row>
    <row r="1697" spans="2:28" ht="20.100000000000001" customHeight="1">
      <c r="B1697" s="172"/>
      <c r="C1697" s="174"/>
      <c r="D1697" s="181"/>
      <c r="E1697" s="173"/>
      <c r="F1697" s="176"/>
      <c r="G1697" s="175">
        <f t="shared" si="183"/>
        <v>0</v>
      </c>
      <c r="H1697" s="175">
        <f t="shared" si="184"/>
        <v>0</v>
      </c>
      <c r="I1697" s="177">
        <f>IF(G1697=0,0,IF(E1697="MXN",1/HLOOKUP(YEAR(C1697)+(MONTH(C1697)/100),TC!$5:$37,DAY(C1697)+2,FALSE),VLOOKUP(E1697,Equivalencia!$5:$23,((MAX(Equivalencia!$3:$3)-YEAR(C1697))*14)+MONTH(C1697)+2,FALSE)))</f>
        <v>0</v>
      </c>
      <c r="J1697" s="178">
        <f t="shared" si="185"/>
        <v>0</v>
      </c>
      <c r="K1697" s="462">
        <f>IF(C1697=0,0,VLOOKUP(YEAR(C1697),INPC!$B$4:$O$29,MONTH(C1697)+1))</f>
        <v>0</v>
      </c>
      <c r="L1697" s="462">
        <f>IF(S1697=0,0,VLOOKUP(YEAR(S1697),INPC!$B$4:$O$29,MONTH(S1697)+1))</f>
        <v>0</v>
      </c>
      <c r="M1697" s="463">
        <f t="shared" si="186"/>
        <v>0</v>
      </c>
      <c r="N1697" s="465">
        <f t="shared" si="187"/>
        <v>0</v>
      </c>
      <c r="O1697" s="179"/>
      <c r="P1697" s="180"/>
      <c r="Q1697" s="173"/>
      <c r="R1697" s="173"/>
      <c r="S1697" s="174"/>
      <c r="T1697" s="173"/>
      <c r="U1697" s="182"/>
      <c r="V1697" s="177">
        <f>IF(U1697=0,0,IF(T1697="MXN",1/HLOOKUP(YEAR(S1697)+(MONTH(S1697)/100),TC!$5:$37,DAY(S1697)+2,FALSE),VLOOKUP(T1697,Equivalencia!$1:$23,((MAX(Equivalencia!$3:$3)-YEAR(S1697))*14)+MONTH(S1697)+2,FALSE)))</f>
        <v>0</v>
      </c>
      <c r="W1697" s="178">
        <f t="shared" si="188"/>
        <v>0</v>
      </c>
      <c r="X1697" s="481">
        <f t="shared" si="189"/>
        <v>0</v>
      </c>
      <c r="Y1697" s="179"/>
      <c r="Z1697" s="466">
        <f t="shared" si="190"/>
        <v>0</v>
      </c>
      <c r="AA1697" s="473">
        <f t="shared" si="191"/>
        <v>0</v>
      </c>
      <c r="AB1697" s="339">
        <f t="shared" si="192"/>
        <v>0</v>
      </c>
    </row>
    <row r="1698" spans="2:28" ht="20.100000000000001" customHeight="1">
      <c r="B1698" s="172"/>
      <c r="C1698" s="174"/>
      <c r="D1698" s="181"/>
      <c r="E1698" s="173"/>
      <c r="F1698" s="176"/>
      <c r="G1698" s="175">
        <f t="shared" si="183"/>
        <v>0</v>
      </c>
      <c r="H1698" s="175">
        <f t="shared" si="184"/>
        <v>0</v>
      </c>
      <c r="I1698" s="177">
        <f>IF(G1698=0,0,IF(E1698="MXN",1/HLOOKUP(YEAR(C1698)+(MONTH(C1698)/100),TC!$5:$37,DAY(C1698)+2,FALSE),VLOOKUP(E1698,Equivalencia!$5:$23,((MAX(Equivalencia!$3:$3)-YEAR(C1698))*14)+MONTH(C1698)+2,FALSE)))</f>
        <v>0</v>
      </c>
      <c r="J1698" s="178">
        <f t="shared" si="185"/>
        <v>0</v>
      </c>
      <c r="K1698" s="462">
        <f>IF(C1698=0,0,VLOOKUP(YEAR(C1698),INPC!$B$4:$O$29,MONTH(C1698)+1))</f>
        <v>0</v>
      </c>
      <c r="L1698" s="462">
        <f>IF(S1698=0,0,VLOOKUP(YEAR(S1698),INPC!$B$4:$O$29,MONTH(S1698)+1))</f>
        <v>0</v>
      </c>
      <c r="M1698" s="463">
        <f t="shared" si="186"/>
        <v>0</v>
      </c>
      <c r="N1698" s="465">
        <f t="shared" si="187"/>
        <v>0</v>
      </c>
      <c r="O1698" s="179"/>
      <c r="P1698" s="180"/>
      <c r="Q1698" s="173"/>
      <c r="R1698" s="173"/>
      <c r="S1698" s="174"/>
      <c r="T1698" s="173"/>
      <c r="U1698" s="182"/>
      <c r="V1698" s="177">
        <f>IF(U1698=0,0,IF(T1698="MXN",1/HLOOKUP(YEAR(S1698)+(MONTH(S1698)/100),TC!$5:$37,DAY(S1698)+2,FALSE),VLOOKUP(T1698,Equivalencia!$1:$23,((MAX(Equivalencia!$3:$3)-YEAR(S1698))*14)+MONTH(S1698)+2,FALSE)))</f>
        <v>0</v>
      </c>
      <c r="W1698" s="178">
        <f t="shared" si="188"/>
        <v>0</v>
      </c>
      <c r="X1698" s="481">
        <f t="shared" si="189"/>
        <v>0</v>
      </c>
      <c r="Y1698" s="179"/>
      <c r="Z1698" s="466">
        <f t="shared" si="190"/>
        <v>0</v>
      </c>
      <c r="AA1698" s="473">
        <f t="shared" si="191"/>
        <v>0</v>
      </c>
      <c r="AB1698" s="339">
        <f t="shared" si="192"/>
        <v>0</v>
      </c>
    </row>
    <row r="1699" spans="2:28" ht="20.100000000000001" customHeight="1">
      <c r="B1699" s="172"/>
      <c r="C1699" s="174"/>
      <c r="D1699" s="181"/>
      <c r="E1699" s="173"/>
      <c r="F1699" s="176"/>
      <c r="G1699" s="175">
        <f t="shared" si="183"/>
        <v>0</v>
      </c>
      <c r="H1699" s="175">
        <f t="shared" si="184"/>
        <v>0</v>
      </c>
      <c r="I1699" s="177">
        <f>IF(G1699=0,0,IF(E1699="MXN",1/HLOOKUP(YEAR(C1699)+(MONTH(C1699)/100),TC!$5:$37,DAY(C1699)+2,FALSE),VLOOKUP(E1699,Equivalencia!$5:$23,((MAX(Equivalencia!$3:$3)-YEAR(C1699))*14)+MONTH(C1699)+2,FALSE)))</f>
        <v>0</v>
      </c>
      <c r="J1699" s="178">
        <f t="shared" si="185"/>
        <v>0</v>
      </c>
      <c r="K1699" s="462">
        <f>IF(C1699=0,0,VLOOKUP(YEAR(C1699),INPC!$B$4:$O$29,MONTH(C1699)+1))</f>
        <v>0</v>
      </c>
      <c r="L1699" s="462">
        <f>IF(S1699=0,0,VLOOKUP(YEAR(S1699),INPC!$B$4:$O$29,MONTH(S1699)+1))</f>
        <v>0</v>
      </c>
      <c r="M1699" s="463">
        <f t="shared" si="186"/>
        <v>0</v>
      </c>
      <c r="N1699" s="465">
        <f t="shared" si="187"/>
        <v>0</v>
      </c>
      <c r="O1699" s="179"/>
      <c r="P1699" s="180"/>
      <c r="Q1699" s="173"/>
      <c r="R1699" s="173"/>
      <c r="S1699" s="174"/>
      <c r="T1699" s="173"/>
      <c r="U1699" s="182"/>
      <c r="V1699" s="177">
        <f>IF(U1699=0,0,IF(T1699="MXN",1/HLOOKUP(YEAR(S1699)+(MONTH(S1699)/100),TC!$5:$37,DAY(S1699)+2,FALSE),VLOOKUP(T1699,Equivalencia!$1:$23,((MAX(Equivalencia!$3:$3)-YEAR(S1699))*14)+MONTH(S1699)+2,FALSE)))</f>
        <v>0</v>
      </c>
      <c r="W1699" s="178">
        <f t="shared" si="188"/>
        <v>0</v>
      </c>
      <c r="X1699" s="481">
        <f t="shared" si="189"/>
        <v>0</v>
      </c>
      <c r="Y1699" s="179"/>
      <c r="Z1699" s="466">
        <f t="shared" si="190"/>
        <v>0</v>
      </c>
      <c r="AA1699" s="473">
        <f t="shared" si="191"/>
        <v>0</v>
      </c>
      <c r="AB1699" s="339">
        <f t="shared" si="192"/>
        <v>0</v>
      </c>
    </row>
    <row r="1700" spans="2:28" ht="20.100000000000001" customHeight="1">
      <c r="B1700" s="172"/>
      <c r="C1700" s="174"/>
      <c r="D1700" s="181"/>
      <c r="E1700" s="173"/>
      <c r="F1700" s="176"/>
      <c r="G1700" s="175">
        <f t="shared" si="183"/>
        <v>0</v>
      </c>
      <c r="H1700" s="175">
        <f t="shared" si="184"/>
        <v>0</v>
      </c>
      <c r="I1700" s="177">
        <f>IF(G1700=0,0,IF(E1700="MXN",1/HLOOKUP(YEAR(C1700)+(MONTH(C1700)/100),TC!$5:$37,DAY(C1700)+2,FALSE),VLOOKUP(E1700,Equivalencia!$5:$23,((MAX(Equivalencia!$3:$3)-YEAR(C1700))*14)+MONTH(C1700)+2,FALSE)))</f>
        <v>0</v>
      </c>
      <c r="J1700" s="178">
        <f t="shared" si="185"/>
        <v>0</v>
      </c>
      <c r="K1700" s="462">
        <f>IF(C1700=0,0,VLOOKUP(YEAR(C1700),INPC!$B$4:$O$29,MONTH(C1700)+1))</f>
        <v>0</v>
      </c>
      <c r="L1700" s="462">
        <f>IF(S1700=0,0,VLOOKUP(YEAR(S1700),INPC!$B$4:$O$29,MONTH(S1700)+1))</f>
        <v>0</v>
      </c>
      <c r="M1700" s="463">
        <f t="shared" si="186"/>
        <v>0</v>
      </c>
      <c r="N1700" s="465">
        <f t="shared" si="187"/>
        <v>0</v>
      </c>
      <c r="O1700" s="179"/>
      <c r="P1700" s="180"/>
      <c r="Q1700" s="173"/>
      <c r="R1700" s="173"/>
      <c r="S1700" s="174"/>
      <c r="T1700" s="173"/>
      <c r="U1700" s="182"/>
      <c r="V1700" s="177">
        <f>IF(U1700=0,0,IF(T1700="MXN",1/HLOOKUP(YEAR(S1700)+(MONTH(S1700)/100),TC!$5:$37,DAY(S1700)+2,FALSE),VLOOKUP(T1700,Equivalencia!$1:$23,((MAX(Equivalencia!$3:$3)-YEAR(S1700))*14)+MONTH(S1700)+2,FALSE)))</f>
        <v>0</v>
      </c>
      <c r="W1700" s="178">
        <f t="shared" si="188"/>
        <v>0</v>
      </c>
      <c r="X1700" s="481">
        <f t="shared" si="189"/>
        <v>0</v>
      </c>
      <c r="Y1700" s="179"/>
      <c r="Z1700" s="466">
        <f t="shared" si="190"/>
        <v>0</v>
      </c>
      <c r="AA1700" s="473">
        <f t="shared" si="191"/>
        <v>0</v>
      </c>
      <c r="AB1700" s="339">
        <f t="shared" si="192"/>
        <v>0</v>
      </c>
    </row>
    <row r="1701" spans="2:28" ht="20.100000000000001" customHeight="1">
      <c r="B1701" s="172"/>
      <c r="C1701" s="174"/>
      <c r="D1701" s="181"/>
      <c r="E1701" s="173"/>
      <c r="F1701" s="176"/>
      <c r="G1701" s="175">
        <f t="shared" si="183"/>
        <v>0</v>
      </c>
      <c r="H1701" s="175">
        <f t="shared" si="184"/>
        <v>0</v>
      </c>
      <c r="I1701" s="177">
        <f>IF(G1701=0,0,IF(E1701="MXN",1/HLOOKUP(YEAR(C1701)+(MONTH(C1701)/100),TC!$5:$37,DAY(C1701)+2,FALSE),VLOOKUP(E1701,Equivalencia!$5:$23,((MAX(Equivalencia!$3:$3)-YEAR(C1701))*14)+MONTH(C1701)+2,FALSE)))</f>
        <v>0</v>
      </c>
      <c r="J1701" s="178">
        <f t="shared" si="185"/>
        <v>0</v>
      </c>
      <c r="K1701" s="462">
        <f>IF(C1701=0,0,VLOOKUP(YEAR(C1701),INPC!$B$4:$O$29,MONTH(C1701)+1))</f>
        <v>0</v>
      </c>
      <c r="L1701" s="462">
        <f>IF(S1701=0,0,VLOOKUP(YEAR(S1701),INPC!$B$4:$O$29,MONTH(S1701)+1))</f>
        <v>0</v>
      </c>
      <c r="M1701" s="463">
        <f t="shared" si="186"/>
        <v>0</v>
      </c>
      <c r="N1701" s="465">
        <f t="shared" si="187"/>
        <v>0</v>
      </c>
      <c r="O1701" s="179"/>
      <c r="P1701" s="180"/>
      <c r="Q1701" s="173"/>
      <c r="R1701" s="173"/>
      <c r="S1701" s="174"/>
      <c r="T1701" s="173"/>
      <c r="U1701" s="182"/>
      <c r="V1701" s="177">
        <f>IF(U1701=0,0,IF(T1701="MXN",1/HLOOKUP(YEAR(S1701)+(MONTH(S1701)/100),TC!$5:$37,DAY(S1701)+2,FALSE),VLOOKUP(T1701,Equivalencia!$1:$23,((MAX(Equivalencia!$3:$3)-YEAR(S1701))*14)+MONTH(S1701)+2,FALSE)))</f>
        <v>0</v>
      </c>
      <c r="W1701" s="178">
        <f t="shared" si="188"/>
        <v>0</v>
      </c>
      <c r="X1701" s="481">
        <f t="shared" si="189"/>
        <v>0</v>
      </c>
      <c r="Y1701" s="179"/>
      <c r="Z1701" s="466">
        <f t="shared" si="190"/>
        <v>0</v>
      </c>
      <c r="AA1701" s="473">
        <f t="shared" si="191"/>
        <v>0</v>
      </c>
      <c r="AB1701" s="339">
        <f t="shared" si="192"/>
        <v>0</v>
      </c>
    </row>
    <row r="1702" spans="2:28" ht="20.100000000000001" customHeight="1">
      <c r="B1702" s="172"/>
      <c r="C1702" s="174"/>
      <c r="D1702" s="181"/>
      <c r="E1702" s="173"/>
      <c r="F1702" s="176"/>
      <c r="G1702" s="175">
        <f t="shared" si="183"/>
        <v>0</v>
      </c>
      <c r="H1702" s="175">
        <f t="shared" si="184"/>
        <v>0</v>
      </c>
      <c r="I1702" s="177">
        <f>IF(G1702=0,0,IF(E1702="MXN",1/HLOOKUP(YEAR(C1702)+(MONTH(C1702)/100),TC!$5:$37,DAY(C1702)+2,FALSE),VLOOKUP(E1702,Equivalencia!$5:$23,((MAX(Equivalencia!$3:$3)-YEAR(C1702))*14)+MONTH(C1702)+2,FALSE)))</f>
        <v>0</v>
      </c>
      <c r="J1702" s="178">
        <f t="shared" si="185"/>
        <v>0</v>
      </c>
      <c r="K1702" s="462">
        <f>IF(C1702=0,0,VLOOKUP(YEAR(C1702),INPC!$B$4:$O$29,MONTH(C1702)+1))</f>
        <v>0</v>
      </c>
      <c r="L1702" s="462">
        <f>IF(S1702=0,0,VLOOKUP(YEAR(S1702),INPC!$B$4:$O$29,MONTH(S1702)+1))</f>
        <v>0</v>
      </c>
      <c r="M1702" s="463">
        <f t="shared" si="186"/>
        <v>0</v>
      </c>
      <c r="N1702" s="465">
        <f t="shared" si="187"/>
        <v>0</v>
      </c>
      <c r="O1702" s="179"/>
      <c r="P1702" s="180"/>
      <c r="Q1702" s="173"/>
      <c r="R1702" s="173"/>
      <c r="S1702" s="174"/>
      <c r="T1702" s="173"/>
      <c r="U1702" s="182"/>
      <c r="V1702" s="177">
        <f>IF(U1702=0,0,IF(T1702="MXN",1/HLOOKUP(YEAR(S1702)+(MONTH(S1702)/100),TC!$5:$37,DAY(S1702)+2,FALSE),VLOOKUP(T1702,Equivalencia!$1:$23,((MAX(Equivalencia!$3:$3)-YEAR(S1702))*14)+MONTH(S1702)+2,FALSE)))</f>
        <v>0</v>
      </c>
      <c r="W1702" s="178">
        <f t="shared" si="188"/>
        <v>0</v>
      </c>
      <c r="X1702" s="481">
        <f t="shared" si="189"/>
        <v>0</v>
      </c>
      <c r="Y1702" s="179"/>
      <c r="Z1702" s="466">
        <f t="shared" si="190"/>
        <v>0</v>
      </c>
      <c r="AA1702" s="473">
        <f t="shared" si="191"/>
        <v>0</v>
      </c>
      <c r="AB1702" s="339">
        <f t="shared" si="192"/>
        <v>0</v>
      </c>
    </row>
    <row r="1703" spans="2:28" ht="20.100000000000001" customHeight="1">
      <c r="B1703" s="172"/>
      <c r="C1703" s="174"/>
      <c r="D1703" s="181"/>
      <c r="E1703" s="173"/>
      <c r="F1703" s="176"/>
      <c r="G1703" s="175">
        <f t="shared" si="183"/>
        <v>0</v>
      </c>
      <c r="H1703" s="175">
        <f t="shared" si="184"/>
        <v>0</v>
      </c>
      <c r="I1703" s="177">
        <f>IF(G1703=0,0,IF(E1703="MXN",1/HLOOKUP(YEAR(C1703)+(MONTH(C1703)/100),TC!$5:$37,DAY(C1703)+2,FALSE),VLOOKUP(E1703,Equivalencia!$5:$23,((MAX(Equivalencia!$3:$3)-YEAR(C1703))*14)+MONTH(C1703)+2,FALSE)))</f>
        <v>0</v>
      </c>
      <c r="J1703" s="178">
        <f t="shared" si="185"/>
        <v>0</v>
      </c>
      <c r="K1703" s="462">
        <f>IF(C1703=0,0,VLOOKUP(YEAR(C1703),INPC!$B$4:$O$29,MONTH(C1703)+1))</f>
        <v>0</v>
      </c>
      <c r="L1703" s="462">
        <f>IF(S1703=0,0,VLOOKUP(YEAR(S1703),INPC!$B$4:$O$29,MONTH(S1703)+1))</f>
        <v>0</v>
      </c>
      <c r="M1703" s="463">
        <f t="shared" si="186"/>
        <v>0</v>
      </c>
      <c r="N1703" s="465">
        <f t="shared" si="187"/>
        <v>0</v>
      </c>
      <c r="O1703" s="179"/>
      <c r="P1703" s="180"/>
      <c r="Q1703" s="173"/>
      <c r="R1703" s="173"/>
      <c r="S1703" s="174"/>
      <c r="T1703" s="173"/>
      <c r="U1703" s="182"/>
      <c r="V1703" s="177">
        <f>IF(U1703=0,0,IF(T1703="MXN",1/HLOOKUP(YEAR(S1703)+(MONTH(S1703)/100),TC!$5:$37,DAY(S1703)+2,FALSE),VLOOKUP(T1703,Equivalencia!$1:$23,((MAX(Equivalencia!$3:$3)-YEAR(S1703))*14)+MONTH(S1703)+2,FALSE)))</f>
        <v>0</v>
      </c>
      <c r="W1703" s="178">
        <f t="shared" si="188"/>
        <v>0</v>
      </c>
      <c r="X1703" s="481">
        <f t="shared" si="189"/>
        <v>0</v>
      </c>
      <c r="Y1703" s="179"/>
      <c r="Z1703" s="466">
        <f t="shared" si="190"/>
        <v>0</v>
      </c>
      <c r="AA1703" s="473">
        <f t="shared" si="191"/>
        <v>0</v>
      </c>
      <c r="AB1703" s="339">
        <f t="shared" si="192"/>
        <v>0</v>
      </c>
    </row>
    <row r="1704" spans="2:28" ht="20.100000000000001" customHeight="1">
      <c r="B1704" s="172"/>
      <c r="C1704" s="174"/>
      <c r="D1704" s="181"/>
      <c r="E1704" s="173"/>
      <c r="F1704" s="176"/>
      <c r="G1704" s="175">
        <f t="shared" si="183"/>
        <v>0</v>
      </c>
      <c r="H1704" s="175">
        <f t="shared" si="184"/>
        <v>0</v>
      </c>
      <c r="I1704" s="177">
        <f>IF(G1704=0,0,IF(E1704="MXN",1/HLOOKUP(YEAR(C1704)+(MONTH(C1704)/100),TC!$5:$37,DAY(C1704)+2,FALSE),VLOOKUP(E1704,Equivalencia!$5:$23,((MAX(Equivalencia!$3:$3)-YEAR(C1704))*14)+MONTH(C1704)+2,FALSE)))</f>
        <v>0</v>
      </c>
      <c r="J1704" s="178">
        <f t="shared" si="185"/>
        <v>0</v>
      </c>
      <c r="K1704" s="462">
        <f>IF(C1704=0,0,VLOOKUP(YEAR(C1704),INPC!$B$4:$O$29,MONTH(C1704)+1))</f>
        <v>0</v>
      </c>
      <c r="L1704" s="462">
        <f>IF(S1704=0,0,VLOOKUP(YEAR(S1704),INPC!$B$4:$O$29,MONTH(S1704)+1))</f>
        <v>0</v>
      </c>
      <c r="M1704" s="463">
        <f t="shared" si="186"/>
        <v>0</v>
      </c>
      <c r="N1704" s="465">
        <f t="shared" si="187"/>
        <v>0</v>
      </c>
      <c r="O1704" s="179"/>
      <c r="P1704" s="180"/>
      <c r="Q1704" s="173"/>
      <c r="R1704" s="173"/>
      <c r="S1704" s="174"/>
      <c r="T1704" s="173"/>
      <c r="U1704" s="182"/>
      <c r="V1704" s="177">
        <f>IF(U1704=0,0,IF(T1704="MXN",1/HLOOKUP(YEAR(S1704)+(MONTH(S1704)/100),TC!$5:$37,DAY(S1704)+2,FALSE),VLOOKUP(T1704,Equivalencia!$1:$23,((MAX(Equivalencia!$3:$3)-YEAR(S1704))*14)+MONTH(S1704)+2,FALSE)))</f>
        <v>0</v>
      </c>
      <c r="W1704" s="178">
        <f t="shared" si="188"/>
        <v>0</v>
      </c>
      <c r="X1704" s="481">
        <f t="shared" si="189"/>
        <v>0</v>
      </c>
      <c r="Y1704" s="179"/>
      <c r="Z1704" s="466">
        <f t="shared" si="190"/>
        <v>0</v>
      </c>
      <c r="AA1704" s="473">
        <f t="shared" si="191"/>
        <v>0</v>
      </c>
      <c r="AB1704" s="339">
        <f t="shared" si="192"/>
        <v>0</v>
      </c>
    </row>
    <row r="1705" spans="2:28" ht="20.100000000000001" customHeight="1">
      <c r="B1705" s="172"/>
      <c r="C1705" s="174"/>
      <c r="D1705" s="181"/>
      <c r="E1705" s="173"/>
      <c r="F1705" s="176"/>
      <c r="G1705" s="175">
        <f t="shared" si="183"/>
        <v>0</v>
      </c>
      <c r="H1705" s="175">
        <f t="shared" si="184"/>
        <v>0</v>
      </c>
      <c r="I1705" s="177">
        <f>IF(G1705=0,0,IF(E1705="MXN",1/HLOOKUP(YEAR(C1705)+(MONTH(C1705)/100),TC!$5:$37,DAY(C1705)+2,FALSE),VLOOKUP(E1705,Equivalencia!$5:$23,((MAX(Equivalencia!$3:$3)-YEAR(C1705))*14)+MONTH(C1705)+2,FALSE)))</f>
        <v>0</v>
      </c>
      <c r="J1705" s="178">
        <f t="shared" si="185"/>
        <v>0</v>
      </c>
      <c r="K1705" s="462">
        <f>IF(C1705=0,0,VLOOKUP(YEAR(C1705),INPC!$B$4:$O$29,MONTH(C1705)+1))</f>
        <v>0</v>
      </c>
      <c r="L1705" s="462">
        <f>IF(S1705=0,0,VLOOKUP(YEAR(S1705),INPC!$B$4:$O$29,MONTH(S1705)+1))</f>
        <v>0</v>
      </c>
      <c r="M1705" s="463">
        <f t="shared" si="186"/>
        <v>0</v>
      </c>
      <c r="N1705" s="465">
        <f t="shared" si="187"/>
        <v>0</v>
      </c>
      <c r="O1705" s="179"/>
      <c r="P1705" s="180"/>
      <c r="Q1705" s="173"/>
      <c r="R1705" s="173"/>
      <c r="S1705" s="174"/>
      <c r="T1705" s="173"/>
      <c r="U1705" s="182"/>
      <c r="V1705" s="177">
        <f>IF(U1705=0,0,IF(T1705="MXN",1/HLOOKUP(YEAR(S1705)+(MONTH(S1705)/100),TC!$5:$37,DAY(S1705)+2,FALSE),VLOOKUP(T1705,Equivalencia!$1:$23,((MAX(Equivalencia!$3:$3)-YEAR(S1705))*14)+MONTH(S1705)+2,FALSE)))</f>
        <v>0</v>
      </c>
      <c r="W1705" s="178">
        <f t="shared" si="188"/>
        <v>0</v>
      </c>
      <c r="X1705" s="481">
        <f t="shared" si="189"/>
        <v>0</v>
      </c>
      <c r="Y1705" s="179"/>
      <c r="Z1705" s="466">
        <f t="shared" si="190"/>
        <v>0</v>
      </c>
      <c r="AA1705" s="473">
        <f t="shared" si="191"/>
        <v>0</v>
      </c>
      <c r="AB1705" s="339">
        <f t="shared" si="192"/>
        <v>0</v>
      </c>
    </row>
    <row r="1706" spans="2:28" ht="20.100000000000001" customHeight="1">
      <c r="B1706" s="172"/>
      <c r="C1706" s="174"/>
      <c r="D1706" s="181"/>
      <c r="E1706" s="173"/>
      <c r="F1706" s="176"/>
      <c r="G1706" s="175">
        <f t="shared" si="183"/>
        <v>0</v>
      </c>
      <c r="H1706" s="175">
        <f t="shared" si="184"/>
        <v>0</v>
      </c>
      <c r="I1706" s="177">
        <f>IF(G1706=0,0,IF(E1706="MXN",1/HLOOKUP(YEAR(C1706)+(MONTH(C1706)/100),TC!$5:$37,DAY(C1706)+2,FALSE),VLOOKUP(E1706,Equivalencia!$5:$23,((MAX(Equivalencia!$3:$3)-YEAR(C1706))*14)+MONTH(C1706)+2,FALSE)))</f>
        <v>0</v>
      </c>
      <c r="J1706" s="178">
        <f t="shared" si="185"/>
        <v>0</v>
      </c>
      <c r="K1706" s="462">
        <f>IF(C1706=0,0,VLOOKUP(YEAR(C1706),INPC!$B$4:$O$29,MONTH(C1706)+1))</f>
        <v>0</v>
      </c>
      <c r="L1706" s="462">
        <f>IF(S1706=0,0,VLOOKUP(YEAR(S1706),INPC!$B$4:$O$29,MONTH(S1706)+1))</f>
        <v>0</v>
      </c>
      <c r="M1706" s="463">
        <f t="shared" si="186"/>
        <v>0</v>
      </c>
      <c r="N1706" s="465">
        <f t="shared" si="187"/>
        <v>0</v>
      </c>
      <c r="O1706" s="179"/>
      <c r="P1706" s="180"/>
      <c r="Q1706" s="173"/>
      <c r="R1706" s="173"/>
      <c r="S1706" s="174"/>
      <c r="T1706" s="173"/>
      <c r="U1706" s="182"/>
      <c r="V1706" s="177">
        <f>IF(U1706=0,0,IF(T1706="MXN",1/HLOOKUP(YEAR(S1706)+(MONTH(S1706)/100),TC!$5:$37,DAY(S1706)+2,FALSE),VLOOKUP(T1706,Equivalencia!$1:$23,((MAX(Equivalencia!$3:$3)-YEAR(S1706))*14)+MONTH(S1706)+2,FALSE)))</f>
        <v>0</v>
      </c>
      <c r="W1706" s="178">
        <f t="shared" si="188"/>
        <v>0</v>
      </c>
      <c r="X1706" s="481">
        <f t="shared" si="189"/>
        <v>0</v>
      </c>
      <c r="Y1706" s="179"/>
      <c r="Z1706" s="466">
        <f t="shared" si="190"/>
        <v>0</v>
      </c>
      <c r="AA1706" s="473">
        <f t="shared" si="191"/>
        <v>0</v>
      </c>
      <c r="AB1706" s="339">
        <f t="shared" si="192"/>
        <v>0</v>
      </c>
    </row>
    <row r="1707" spans="2:28" ht="20.100000000000001" customHeight="1">
      <c r="B1707" s="172"/>
      <c r="C1707" s="174"/>
      <c r="D1707" s="181"/>
      <c r="E1707" s="173"/>
      <c r="F1707" s="176"/>
      <c r="G1707" s="175">
        <f t="shared" si="183"/>
        <v>0</v>
      </c>
      <c r="H1707" s="175">
        <f t="shared" si="184"/>
        <v>0</v>
      </c>
      <c r="I1707" s="177">
        <f>IF(G1707=0,0,IF(E1707="MXN",1/HLOOKUP(YEAR(C1707)+(MONTH(C1707)/100),TC!$5:$37,DAY(C1707)+2,FALSE),VLOOKUP(E1707,Equivalencia!$5:$23,((MAX(Equivalencia!$3:$3)-YEAR(C1707))*14)+MONTH(C1707)+2,FALSE)))</f>
        <v>0</v>
      </c>
      <c r="J1707" s="178">
        <f t="shared" si="185"/>
        <v>0</v>
      </c>
      <c r="K1707" s="462">
        <f>IF(C1707=0,0,VLOOKUP(YEAR(C1707),INPC!$B$4:$O$29,MONTH(C1707)+1))</f>
        <v>0</v>
      </c>
      <c r="L1707" s="462">
        <f>IF(S1707=0,0,VLOOKUP(YEAR(S1707),INPC!$B$4:$O$29,MONTH(S1707)+1))</f>
        <v>0</v>
      </c>
      <c r="M1707" s="463">
        <f t="shared" si="186"/>
        <v>0</v>
      </c>
      <c r="N1707" s="465">
        <f t="shared" si="187"/>
        <v>0</v>
      </c>
      <c r="O1707" s="179"/>
      <c r="P1707" s="180"/>
      <c r="Q1707" s="173"/>
      <c r="R1707" s="173"/>
      <c r="S1707" s="174"/>
      <c r="T1707" s="173"/>
      <c r="U1707" s="182"/>
      <c r="V1707" s="177">
        <f>IF(U1707=0,0,IF(T1707="MXN",1/HLOOKUP(YEAR(S1707)+(MONTH(S1707)/100),TC!$5:$37,DAY(S1707)+2,FALSE),VLOOKUP(T1707,Equivalencia!$1:$23,((MAX(Equivalencia!$3:$3)-YEAR(S1707))*14)+MONTH(S1707)+2,FALSE)))</f>
        <v>0</v>
      </c>
      <c r="W1707" s="178">
        <f t="shared" si="188"/>
        <v>0</v>
      </c>
      <c r="X1707" s="481">
        <f t="shared" si="189"/>
        <v>0</v>
      </c>
      <c r="Y1707" s="179"/>
      <c r="Z1707" s="466">
        <f t="shared" si="190"/>
        <v>0</v>
      </c>
      <c r="AA1707" s="473">
        <f t="shared" si="191"/>
        <v>0</v>
      </c>
      <c r="AB1707" s="339">
        <f t="shared" si="192"/>
        <v>0</v>
      </c>
    </row>
    <row r="1708" spans="2:28" ht="20.100000000000001" customHeight="1">
      <c r="B1708" s="172"/>
      <c r="C1708" s="174"/>
      <c r="D1708" s="181"/>
      <c r="E1708" s="173"/>
      <c r="F1708" s="176"/>
      <c r="G1708" s="175">
        <f t="shared" si="183"/>
        <v>0</v>
      </c>
      <c r="H1708" s="175">
        <f t="shared" si="184"/>
        <v>0</v>
      </c>
      <c r="I1708" s="177">
        <f>IF(G1708=0,0,IF(E1708="MXN",1/HLOOKUP(YEAR(C1708)+(MONTH(C1708)/100),TC!$5:$37,DAY(C1708)+2,FALSE),VLOOKUP(E1708,Equivalencia!$5:$23,((MAX(Equivalencia!$3:$3)-YEAR(C1708))*14)+MONTH(C1708)+2,FALSE)))</f>
        <v>0</v>
      </c>
      <c r="J1708" s="178">
        <f t="shared" si="185"/>
        <v>0</v>
      </c>
      <c r="K1708" s="462">
        <f>IF(C1708=0,0,VLOOKUP(YEAR(C1708),INPC!$B$4:$O$29,MONTH(C1708)+1))</f>
        <v>0</v>
      </c>
      <c r="L1708" s="462">
        <f>IF(S1708=0,0,VLOOKUP(YEAR(S1708),INPC!$B$4:$O$29,MONTH(S1708)+1))</f>
        <v>0</v>
      </c>
      <c r="M1708" s="463">
        <f t="shared" si="186"/>
        <v>0</v>
      </c>
      <c r="N1708" s="465">
        <f t="shared" si="187"/>
        <v>0</v>
      </c>
      <c r="O1708" s="179"/>
      <c r="P1708" s="180"/>
      <c r="Q1708" s="173"/>
      <c r="R1708" s="173"/>
      <c r="S1708" s="174"/>
      <c r="T1708" s="173"/>
      <c r="U1708" s="182"/>
      <c r="V1708" s="177">
        <f>IF(U1708=0,0,IF(T1708="MXN",1/HLOOKUP(YEAR(S1708)+(MONTH(S1708)/100),TC!$5:$37,DAY(S1708)+2,FALSE),VLOOKUP(T1708,Equivalencia!$1:$23,((MAX(Equivalencia!$3:$3)-YEAR(S1708))*14)+MONTH(S1708)+2,FALSE)))</f>
        <v>0</v>
      </c>
      <c r="W1708" s="178">
        <f t="shared" si="188"/>
        <v>0</v>
      </c>
      <c r="X1708" s="481">
        <f t="shared" si="189"/>
        <v>0</v>
      </c>
      <c r="Y1708" s="179"/>
      <c r="Z1708" s="466">
        <f t="shared" si="190"/>
        <v>0</v>
      </c>
      <c r="AA1708" s="473">
        <f t="shared" si="191"/>
        <v>0</v>
      </c>
      <c r="AB1708" s="339">
        <f t="shared" si="192"/>
        <v>0</v>
      </c>
    </row>
    <row r="1709" spans="2:28" ht="20.100000000000001" customHeight="1">
      <c r="B1709" s="172"/>
      <c r="C1709" s="174"/>
      <c r="D1709" s="181"/>
      <c r="E1709" s="173"/>
      <c r="F1709" s="176"/>
      <c r="G1709" s="175">
        <f t="shared" si="183"/>
        <v>0</v>
      </c>
      <c r="H1709" s="175">
        <f t="shared" si="184"/>
        <v>0</v>
      </c>
      <c r="I1709" s="177">
        <f>IF(G1709=0,0,IF(E1709="MXN",1/HLOOKUP(YEAR(C1709)+(MONTH(C1709)/100),TC!$5:$37,DAY(C1709)+2,FALSE),VLOOKUP(E1709,Equivalencia!$5:$23,((MAX(Equivalencia!$3:$3)-YEAR(C1709))*14)+MONTH(C1709)+2,FALSE)))</f>
        <v>0</v>
      </c>
      <c r="J1709" s="178">
        <f t="shared" si="185"/>
        <v>0</v>
      </c>
      <c r="K1709" s="462">
        <f>IF(C1709=0,0,VLOOKUP(YEAR(C1709),INPC!$B$4:$O$29,MONTH(C1709)+1))</f>
        <v>0</v>
      </c>
      <c r="L1709" s="462">
        <f>IF(S1709=0,0,VLOOKUP(YEAR(S1709),INPC!$B$4:$O$29,MONTH(S1709)+1))</f>
        <v>0</v>
      </c>
      <c r="M1709" s="463">
        <f t="shared" si="186"/>
        <v>0</v>
      </c>
      <c r="N1709" s="465">
        <f t="shared" si="187"/>
        <v>0</v>
      </c>
      <c r="O1709" s="179"/>
      <c r="P1709" s="180"/>
      <c r="Q1709" s="173"/>
      <c r="R1709" s="173"/>
      <c r="S1709" s="174"/>
      <c r="T1709" s="173"/>
      <c r="U1709" s="182"/>
      <c r="V1709" s="177">
        <f>IF(U1709=0,0,IF(T1709="MXN",1/HLOOKUP(YEAR(S1709)+(MONTH(S1709)/100),TC!$5:$37,DAY(S1709)+2,FALSE),VLOOKUP(T1709,Equivalencia!$1:$23,((MAX(Equivalencia!$3:$3)-YEAR(S1709))*14)+MONTH(S1709)+2,FALSE)))</f>
        <v>0</v>
      </c>
      <c r="W1709" s="178">
        <f t="shared" si="188"/>
        <v>0</v>
      </c>
      <c r="X1709" s="481">
        <f t="shared" si="189"/>
        <v>0</v>
      </c>
      <c r="Y1709" s="179"/>
      <c r="Z1709" s="466">
        <f t="shared" si="190"/>
        <v>0</v>
      </c>
      <c r="AA1709" s="473">
        <f t="shared" si="191"/>
        <v>0</v>
      </c>
      <c r="AB1709" s="339">
        <f t="shared" si="192"/>
        <v>0</v>
      </c>
    </row>
    <row r="1710" spans="2:28" ht="20.100000000000001" customHeight="1">
      <c r="B1710" s="172"/>
      <c r="C1710" s="174"/>
      <c r="D1710" s="181"/>
      <c r="E1710" s="173"/>
      <c r="F1710" s="176"/>
      <c r="G1710" s="175">
        <f t="shared" si="183"/>
        <v>0</v>
      </c>
      <c r="H1710" s="175">
        <f t="shared" si="184"/>
        <v>0</v>
      </c>
      <c r="I1710" s="177">
        <f>IF(G1710=0,0,IF(E1710="MXN",1/HLOOKUP(YEAR(C1710)+(MONTH(C1710)/100),TC!$5:$37,DAY(C1710)+2,FALSE),VLOOKUP(E1710,Equivalencia!$5:$23,((MAX(Equivalencia!$3:$3)-YEAR(C1710))*14)+MONTH(C1710)+2,FALSE)))</f>
        <v>0</v>
      </c>
      <c r="J1710" s="178">
        <f t="shared" si="185"/>
        <v>0</v>
      </c>
      <c r="K1710" s="462">
        <f>IF(C1710=0,0,VLOOKUP(YEAR(C1710),INPC!$B$4:$O$29,MONTH(C1710)+1))</f>
        <v>0</v>
      </c>
      <c r="L1710" s="462">
        <f>IF(S1710=0,0,VLOOKUP(YEAR(S1710),INPC!$B$4:$O$29,MONTH(S1710)+1))</f>
        <v>0</v>
      </c>
      <c r="M1710" s="463">
        <f t="shared" si="186"/>
        <v>0</v>
      </c>
      <c r="N1710" s="465">
        <f t="shared" si="187"/>
        <v>0</v>
      </c>
      <c r="O1710" s="179"/>
      <c r="P1710" s="180"/>
      <c r="Q1710" s="173"/>
      <c r="R1710" s="173"/>
      <c r="S1710" s="174"/>
      <c r="T1710" s="173"/>
      <c r="U1710" s="182"/>
      <c r="V1710" s="177">
        <f>IF(U1710=0,0,IF(T1710="MXN",1/HLOOKUP(YEAR(S1710)+(MONTH(S1710)/100),TC!$5:$37,DAY(S1710)+2,FALSE),VLOOKUP(T1710,Equivalencia!$1:$23,((MAX(Equivalencia!$3:$3)-YEAR(S1710))*14)+MONTH(S1710)+2,FALSE)))</f>
        <v>0</v>
      </c>
      <c r="W1710" s="178">
        <f t="shared" si="188"/>
        <v>0</v>
      </c>
      <c r="X1710" s="481">
        <f t="shared" si="189"/>
        <v>0</v>
      </c>
      <c r="Y1710" s="179"/>
      <c r="Z1710" s="466">
        <f t="shared" si="190"/>
        <v>0</v>
      </c>
      <c r="AA1710" s="473">
        <f t="shared" si="191"/>
        <v>0</v>
      </c>
      <c r="AB1710" s="339">
        <f t="shared" si="192"/>
        <v>0</v>
      </c>
    </row>
    <row r="1711" spans="2:28" ht="20.100000000000001" customHeight="1">
      <c r="B1711" s="172"/>
      <c r="C1711" s="174"/>
      <c r="D1711" s="181"/>
      <c r="E1711" s="173"/>
      <c r="F1711" s="176"/>
      <c r="G1711" s="175">
        <f t="shared" si="183"/>
        <v>0</v>
      </c>
      <c r="H1711" s="175">
        <f t="shared" si="184"/>
        <v>0</v>
      </c>
      <c r="I1711" s="177">
        <f>IF(G1711=0,0,IF(E1711="MXN",1/HLOOKUP(YEAR(C1711)+(MONTH(C1711)/100),TC!$5:$37,DAY(C1711)+2,FALSE),VLOOKUP(E1711,Equivalencia!$5:$23,((MAX(Equivalencia!$3:$3)-YEAR(C1711))*14)+MONTH(C1711)+2,FALSE)))</f>
        <v>0</v>
      </c>
      <c r="J1711" s="178">
        <f t="shared" si="185"/>
        <v>0</v>
      </c>
      <c r="K1711" s="462">
        <f>IF(C1711=0,0,VLOOKUP(YEAR(C1711),INPC!$B$4:$O$29,MONTH(C1711)+1))</f>
        <v>0</v>
      </c>
      <c r="L1711" s="462">
        <f>IF(S1711=0,0,VLOOKUP(YEAR(S1711),INPC!$B$4:$O$29,MONTH(S1711)+1))</f>
        <v>0</v>
      </c>
      <c r="M1711" s="463">
        <f t="shared" si="186"/>
        <v>0</v>
      </c>
      <c r="N1711" s="465">
        <f t="shared" si="187"/>
        <v>0</v>
      </c>
      <c r="O1711" s="179"/>
      <c r="P1711" s="180"/>
      <c r="Q1711" s="173"/>
      <c r="R1711" s="173"/>
      <c r="S1711" s="174"/>
      <c r="T1711" s="173"/>
      <c r="U1711" s="182"/>
      <c r="V1711" s="177">
        <f>IF(U1711=0,0,IF(T1711="MXN",1/HLOOKUP(YEAR(S1711)+(MONTH(S1711)/100),TC!$5:$37,DAY(S1711)+2,FALSE),VLOOKUP(T1711,Equivalencia!$1:$23,((MAX(Equivalencia!$3:$3)-YEAR(S1711))*14)+MONTH(S1711)+2,FALSE)))</f>
        <v>0</v>
      </c>
      <c r="W1711" s="178">
        <f t="shared" si="188"/>
        <v>0</v>
      </c>
      <c r="X1711" s="481">
        <f t="shared" si="189"/>
        <v>0</v>
      </c>
      <c r="Y1711" s="179"/>
      <c r="Z1711" s="466">
        <f t="shared" si="190"/>
        <v>0</v>
      </c>
      <c r="AA1711" s="473">
        <f t="shared" si="191"/>
        <v>0</v>
      </c>
      <c r="AB1711" s="339">
        <f t="shared" si="192"/>
        <v>0</v>
      </c>
    </row>
    <row r="1712" spans="2:28" ht="20.100000000000001" customHeight="1">
      <c r="B1712" s="172"/>
      <c r="C1712" s="174"/>
      <c r="D1712" s="181"/>
      <c r="E1712" s="173"/>
      <c r="F1712" s="176"/>
      <c r="G1712" s="175">
        <f t="shared" si="183"/>
        <v>0</v>
      </c>
      <c r="H1712" s="175">
        <f t="shared" si="184"/>
        <v>0</v>
      </c>
      <c r="I1712" s="177">
        <f>IF(G1712=0,0,IF(E1712="MXN",1/HLOOKUP(YEAR(C1712)+(MONTH(C1712)/100),TC!$5:$37,DAY(C1712)+2,FALSE),VLOOKUP(E1712,Equivalencia!$5:$23,((MAX(Equivalencia!$3:$3)-YEAR(C1712))*14)+MONTH(C1712)+2,FALSE)))</f>
        <v>0</v>
      </c>
      <c r="J1712" s="178">
        <f t="shared" si="185"/>
        <v>0</v>
      </c>
      <c r="K1712" s="462">
        <f>IF(C1712=0,0,VLOOKUP(YEAR(C1712),INPC!$B$4:$O$29,MONTH(C1712)+1))</f>
        <v>0</v>
      </c>
      <c r="L1712" s="462">
        <f>IF(S1712=0,0,VLOOKUP(YEAR(S1712),INPC!$B$4:$O$29,MONTH(S1712)+1))</f>
        <v>0</v>
      </c>
      <c r="M1712" s="463">
        <f t="shared" si="186"/>
        <v>0</v>
      </c>
      <c r="N1712" s="465">
        <f t="shared" si="187"/>
        <v>0</v>
      </c>
      <c r="O1712" s="179"/>
      <c r="P1712" s="180"/>
      <c r="Q1712" s="173"/>
      <c r="R1712" s="173"/>
      <c r="S1712" s="174"/>
      <c r="T1712" s="173"/>
      <c r="U1712" s="182"/>
      <c r="V1712" s="177">
        <f>IF(U1712=0,0,IF(T1712="MXN",1/HLOOKUP(YEAR(S1712)+(MONTH(S1712)/100),TC!$5:$37,DAY(S1712)+2,FALSE),VLOOKUP(T1712,Equivalencia!$1:$23,((MAX(Equivalencia!$3:$3)-YEAR(S1712))*14)+MONTH(S1712)+2,FALSE)))</f>
        <v>0</v>
      </c>
      <c r="W1712" s="178">
        <f t="shared" si="188"/>
        <v>0</v>
      </c>
      <c r="X1712" s="481">
        <f t="shared" si="189"/>
        <v>0</v>
      </c>
      <c r="Y1712" s="179"/>
      <c r="Z1712" s="466">
        <f t="shared" si="190"/>
        <v>0</v>
      </c>
      <c r="AA1712" s="473">
        <f t="shared" si="191"/>
        <v>0</v>
      </c>
      <c r="AB1712" s="339">
        <f t="shared" si="192"/>
        <v>0</v>
      </c>
    </row>
    <row r="1713" spans="2:28" ht="20.100000000000001" customHeight="1">
      <c r="B1713" s="172"/>
      <c r="C1713" s="174"/>
      <c r="D1713" s="181"/>
      <c r="E1713" s="173"/>
      <c r="F1713" s="176"/>
      <c r="G1713" s="175">
        <f t="shared" si="183"/>
        <v>0</v>
      </c>
      <c r="H1713" s="175">
        <f t="shared" si="184"/>
        <v>0</v>
      </c>
      <c r="I1713" s="177">
        <f>IF(G1713=0,0,IF(E1713="MXN",1/HLOOKUP(YEAR(C1713)+(MONTH(C1713)/100),TC!$5:$37,DAY(C1713)+2,FALSE),VLOOKUP(E1713,Equivalencia!$5:$23,((MAX(Equivalencia!$3:$3)-YEAR(C1713))*14)+MONTH(C1713)+2,FALSE)))</f>
        <v>0</v>
      </c>
      <c r="J1713" s="178">
        <f t="shared" si="185"/>
        <v>0</v>
      </c>
      <c r="K1713" s="462">
        <f>IF(C1713=0,0,VLOOKUP(YEAR(C1713),INPC!$B$4:$O$29,MONTH(C1713)+1))</f>
        <v>0</v>
      </c>
      <c r="L1713" s="462">
        <f>IF(S1713=0,0,VLOOKUP(YEAR(S1713),INPC!$B$4:$O$29,MONTH(S1713)+1))</f>
        <v>0</v>
      </c>
      <c r="M1713" s="463">
        <f t="shared" si="186"/>
        <v>0</v>
      </c>
      <c r="N1713" s="465">
        <f t="shared" si="187"/>
        <v>0</v>
      </c>
      <c r="O1713" s="179"/>
      <c r="P1713" s="180"/>
      <c r="Q1713" s="173"/>
      <c r="R1713" s="173"/>
      <c r="S1713" s="174"/>
      <c r="T1713" s="173"/>
      <c r="U1713" s="182"/>
      <c r="V1713" s="177">
        <f>IF(U1713=0,0,IF(T1713="MXN",1/HLOOKUP(YEAR(S1713)+(MONTH(S1713)/100),TC!$5:$37,DAY(S1713)+2,FALSE),VLOOKUP(T1713,Equivalencia!$1:$23,((MAX(Equivalencia!$3:$3)-YEAR(S1713))*14)+MONTH(S1713)+2,FALSE)))</f>
        <v>0</v>
      </c>
      <c r="W1713" s="178">
        <f t="shared" si="188"/>
        <v>0</v>
      </c>
      <c r="X1713" s="481">
        <f t="shared" si="189"/>
        <v>0</v>
      </c>
      <c r="Y1713" s="179"/>
      <c r="Z1713" s="466">
        <f t="shared" si="190"/>
        <v>0</v>
      </c>
      <c r="AA1713" s="473">
        <f t="shared" si="191"/>
        <v>0</v>
      </c>
      <c r="AB1713" s="339">
        <f t="shared" si="192"/>
        <v>0</v>
      </c>
    </row>
    <row r="1714" spans="2:28" ht="20.100000000000001" customHeight="1">
      <c r="B1714" s="172"/>
      <c r="C1714" s="174"/>
      <c r="D1714" s="181"/>
      <c r="E1714" s="173"/>
      <c r="F1714" s="176"/>
      <c r="G1714" s="175">
        <f t="shared" si="183"/>
        <v>0</v>
      </c>
      <c r="H1714" s="175">
        <f t="shared" si="184"/>
        <v>0</v>
      </c>
      <c r="I1714" s="177">
        <f>IF(G1714=0,0,IF(E1714="MXN",1/HLOOKUP(YEAR(C1714)+(MONTH(C1714)/100),TC!$5:$37,DAY(C1714)+2,FALSE),VLOOKUP(E1714,Equivalencia!$5:$23,((MAX(Equivalencia!$3:$3)-YEAR(C1714))*14)+MONTH(C1714)+2,FALSE)))</f>
        <v>0</v>
      </c>
      <c r="J1714" s="178">
        <f t="shared" si="185"/>
        <v>0</v>
      </c>
      <c r="K1714" s="462">
        <f>IF(C1714=0,0,VLOOKUP(YEAR(C1714),INPC!$B$4:$O$29,MONTH(C1714)+1))</f>
        <v>0</v>
      </c>
      <c r="L1714" s="462">
        <f>IF(S1714=0,0,VLOOKUP(YEAR(S1714),INPC!$B$4:$O$29,MONTH(S1714)+1))</f>
        <v>0</v>
      </c>
      <c r="M1714" s="463">
        <f t="shared" si="186"/>
        <v>0</v>
      </c>
      <c r="N1714" s="465">
        <f t="shared" si="187"/>
        <v>0</v>
      </c>
      <c r="O1714" s="179"/>
      <c r="P1714" s="180"/>
      <c r="Q1714" s="173"/>
      <c r="R1714" s="173"/>
      <c r="S1714" s="174"/>
      <c r="T1714" s="173"/>
      <c r="U1714" s="182"/>
      <c r="V1714" s="177">
        <f>IF(U1714=0,0,IF(T1714="MXN",1/HLOOKUP(YEAR(S1714)+(MONTH(S1714)/100),TC!$5:$37,DAY(S1714)+2,FALSE),VLOOKUP(T1714,Equivalencia!$1:$23,((MAX(Equivalencia!$3:$3)-YEAR(S1714))*14)+MONTH(S1714)+2,FALSE)))</f>
        <v>0</v>
      </c>
      <c r="W1714" s="178">
        <f t="shared" si="188"/>
        <v>0</v>
      </c>
      <c r="X1714" s="481">
        <f t="shared" si="189"/>
        <v>0</v>
      </c>
      <c r="Y1714" s="179"/>
      <c r="Z1714" s="466">
        <f t="shared" si="190"/>
        <v>0</v>
      </c>
      <c r="AA1714" s="473">
        <f t="shared" si="191"/>
        <v>0</v>
      </c>
      <c r="AB1714" s="339">
        <f t="shared" si="192"/>
        <v>0</v>
      </c>
    </row>
    <row r="1715" spans="2:28" ht="20.100000000000001" customHeight="1">
      <c r="B1715" s="172"/>
      <c r="C1715" s="174"/>
      <c r="D1715" s="181"/>
      <c r="E1715" s="173"/>
      <c r="F1715" s="176"/>
      <c r="G1715" s="175">
        <f t="shared" si="183"/>
        <v>0</v>
      </c>
      <c r="H1715" s="175">
        <f t="shared" si="184"/>
        <v>0</v>
      </c>
      <c r="I1715" s="177">
        <f>IF(G1715=0,0,IF(E1715="MXN",1/HLOOKUP(YEAR(C1715)+(MONTH(C1715)/100),TC!$5:$37,DAY(C1715)+2,FALSE),VLOOKUP(E1715,Equivalencia!$5:$23,((MAX(Equivalencia!$3:$3)-YEAR(C1715))*14)+MONTH(C1715)+2,FALSE)))</f>
        <v>0</v>
      </c>
      <c r="J1715" s="178">
        <f t="shared" si="185"/>
        <v>0</v>
      </c>
      <c r="K1715" s="462">
        <f>IF(C1715=0,0,VLOOKUP(YEAR(C1715),INPC!$B$4:$O$29,MONTH(C1715)+1))</f>
        <v>0</v>
      </c>
      <c r="L1715" s="462">
        <f>IF(S1715=0,0,VLOOKUP(YEAR(S1715),INPC!$B$4:$O$29,MONTH(S1715)+1))</f>
        <v>0</v>
      </c>
      <c r="M1715" s="463">
        <f t="shared" si="186"/>
        <v>0</v>
      </c>
      <c r="N1715" s="465">
        <f t="shared" si="187"/>
        <v>0</v>
      </c>
      <c r="O1715" s="179"/>
      <c r="P1715" s="180"/>
      <c r="Q1715" s="173"/>
      <c r="R1715" s="173"/>
      <c r="S1715" s="174"/>
      <c r="T1715" s="173"/>
      <c r="U1715" s="182"/>
      <c r="V1715" s="177">
        <f>IF(U1715=0,0,IF(T1715="MXN",1/HLOOKUP(YEAR(S1715)+(MONTH(S1715)/100),TC!$5:$37,DAY(S1715)+2,FALSE),VLOOKUP(T1715,Equivalencia!$1:$23,((MAX(Equivalencia!$3:$3)-YEAR(S1715))*14)+MONTH(S1715)+2,FALSE)))</f>
        <v>0</v>
      </c>
      <c r="W1715" s="178">
        <f t="shared" si="188"/>
        <v>0</v>
      </c>
      <c r="X1715" s="481">
        <f t="shared" si="189"/>
        <v>0</v>
      </c>
      <c r="Y1715" s="179"/>
      <c r="Z1715" s="466">
        <f t="shared" si="190"/>
        <v>0</v>
      </c>
      <c r="AA1715" s="473">
        <f t="shared" si="191"/>
        <v>0</v>
      </c>
      <c r="AB1715" s="339">
        <f t="shared" si="192"/>
        <v>0</v>
      </c>
    </row>
    <row r="1716" spans="2:28" ht="20.100000000000001" customHeight="1">
      <c r="B1716" s="172"/>
      <c r="C1716" s="174"/>
      <c r="D1716" s="181"/>
      <c r="E1716" s="173"/>
      <c r="F1716" s="176"/>
      <c r="G1716" s="175">
        <f t="shared" si="183"/>
        <v>0</v>
      </c>
      <c r="H1716" s="175">
        <f t="shared" si="184"/>
        <v>0</v>
      </c>
      <c r="I1716" s="177">
        <f>IF(G1716=0,0,IF(E1716="MXN",1/HLOOKUP(YEAR(C1716)+(MONTH(C1716)/100),TC!$5:$37,DAY(C1716)+2,FALSE),VLOOKUP(E1716,Equivalencia!$5:$23,((MAX(Equivalencia!$3:$3)-YEAR(C1716))*14)+MONTH(C1716)+2,FALSE)))</f>
        <v>0</v>
      </c>
      <c r="J1716" s="178">
        <f t="shared" si="185"/>
        <v>0</v>
      </c>
      <c r="K1716" s="462">
        <f>IF(C1716=0,0,VLOOKUP(YEAR(C1716),INPC!$B$4:$O$29,MONTH(C1716)+1))</f>
        <v>0</v>
      </c>
      <c r="L1716" s="462">
        <f>IF(S1716=0,0,VLOOKUP(YEAR(S1716),INPC!$B$4:$O$29,MONTH(S1716)+1))</f>
        <v>0</v>
      </c>
      <c r="M1716" s="463">
        <f t="shared" si="186"/>
        <v>0</v>
      </c>
      <c r="N1716" s="465">
        <f t="shared" si="187"/>
        <v>0</v>
      </c>
      <c r="O1716" s="179"/>
      <c r="P1716" s="180"/>
      <c r="Q1716" s="173"/>
      <c r="R1716" s="173"/>
      <c r="S1716" s="174"/>
      <c r="T1716" s="173"/>
      <c r="U1716" s="182"/>
      <c r="V1716" s="177">
        <f>IF(U1716=0,0,IF(T1716="MXN",1/HLOOKUP(YEAR(S1716)+(MONTH(S1716)/100),TC!$5:$37,DAY(S1716)+2,FALSE),VLOOKUP(T1716,Equivalencia!$1:$23,((MAX(Equivalencia!$3:$3)-YEAR(S1716))*14)+MONTH(S1716)+2,FALSE)))</f>
        <v>0</v>
      </c>
      <c r="W1716" s="178">
        <f t="shared" si="188"/>
        <v>0</v>
      </c>
      <c r="X1716" s="481">
        <f t="shared" si="189"/>
        <v>0</v>
      </c>
      <c r="Y1716" s="179"/>
      <c r="Z1716" s="466">
        <f t="shared" si="190"/>
        <v>0</v>
      </c>
      <c r="AA1716" s="473">
        <f t="shared" si="191"/>
        <v>0</v>
      </c>
      <c r="AB1716" s="339">
        <f t="shared" si="192"/>
        <v>0</v>
      </c>
    </row>
    <row r="1717" spans="2:28" ht="20.100000000000001" customHeight="1">
      <c r="B1717" s="172"/>
      <c r="C1717" s="174"/>
      <c r="D1717" s="181"/>
      <c r="E1717" s="173"/>
      <c r="F1717" s="176"/>
      <c r="G1717" s="175">
        <f t="shared" si="183"/>
        <v>0</v>
      </c>
      <c r="H1717" s="175">
        <f t="shared" si="184"/>
        <v>0</v>
      </c>
      <c r="I1717" s="177">
        <f>IF(G1717=0,0,IF(E1717="MXN",1/HLOOKUP(YEAR(C1717)+(MONTH(C1717)/100),TC!$5:$37,DAY(C1717)+2,FALSE),VLOOKUP(E1717,Equivalencia!$5:$23,((MAX(Equivalencia!$3:$3)-YEAR(C1717))*14)+MONTH(C1717)+2,FALSE)))</f>
        <v>0</v>
      </c>
      <c r="J1717" s="178">
        <f t="shared" si="185"/>
        <v>0</v>
      </c>
      <c r="K1717" s="462">
        <f>IF(C1717=0,0,VLOOKUP(YEAR(C1717),INPC!$B$4:$O$29,MONTH(C1717)+1))</f>
        <v>0</v>
      </c>
      <c r="L1717" s="462">
        <f>IF(S1717=0,0,VLOOKUP(YEAR(S1717),INPC!$B$4:$O$29,MONTH(S1717)+1))</f>
        <v>0</v>
      </c>
      <c r="M1717" s="463">
        <f t="shared" si="186"/>
        <v>0</v>
      </c>
      <c r="N1717" s="465">
        <f t="shared" si="187"/>
        <v>0</v>
      </c>
      <c r="O1717" s="179"/>
      <c r="P1717" s="180"/>
      <c r="Q1717" s="173"/>
      <c r="R1717" s="173"/>
      <c r="S1717" s="174"/>
      <c r="T1717" s="173"/>
      <c r="U1717" s="182"/>
      <c r="V1717" s="177">
        <f>IF(U1717=0,0,IF(T1717="MXN",1/HLOOKUP(YEAR(S1717)+(MONTH(S1717)/100),TC!$5:$37,DAY(S1717)+2,FALSE),VLOOKUP(T1717,Equivalencia!$1:$23,((MAX(Equivalencia!$3:$3)-YEAR(S1717))*14)+MONTH(S1717)+2,FALSE)))</f>
        <v>0</v>
      </c>
      <c r="W1717" s="178">
        <f t="shared" si="188"/>
        <v>0</v>
      </c>
      <c r="X1717" s="481">
        <f t="shared" si="189"/>
        <v>0</v>
      </c>
      <c r="Y1717" s="179"/>
      <c r="Z1717" s="466">
        <f t="shared" si="190"/>
        <v>0</v>
      </c>
      <c r="AA1717" s="473">
        <f t="shared" si="191"/>
        <v>0</v>
      </c>
      <c r="AB1717" s="339">
        <f t="shared" si="192"/>
        <v>0</v>
      </c>
    </row>
    <row r="1718" spans="2:28" ht="20.100000000000001" customHeight="1">
      <c r="B1718" s="172"/>
      <c r="C1718" s="174"/>
      <c r="D1718" s="181"/>
      <c r="E1718" s="173"/>
      <c r="F1718" s="176"/>
      <c r="G1718" s="175">
        <f t="shared" si="183"/>
        <v>0</v>
      </c>
      <c r="H1718" s="175">
        <f t="shared" si="184"/>
        <v>0</v>
      </c>
      <c r="I1718" s="177">
        <f>IF(G1718=0,0,IF(E1718="MXN",1/HLOOKUP(YEAR(C1718)+(MONTH(C1718)/100),TC!$5:$37,DAY(C1718)+2,FALSE),VLOOKUP(E1718,Equivalencia!$5:$23,((MAX(Equivalencia!$3:$3)-YEAR(C1718))*14)+MONTH(C1718)+2,FALSE)))</f>
        <v>0</v>
      </c>
      <c r="J1718" s="178">
        <f t="shared" si="185"/>
        <v>0</v>
      </c>
      <c r="K1718" s="462">
        <f>IF(C1718=0,0,VLOOKUP(YEAR(C1718),INPC!$B$4:$O$29,MONTH(C1718)+1))</f>
        <v>0</v>
      </c>
      <c r="L1718" s="462">
        <f>IF(S1718=0,0,VLOOKUP(YEAR(S1718),INPC!$B$4:$O$29,MONTH(S1718)+1))</f>
        <v>0</v>
      </c>
      <c r="M1718" s="463">
        <f t="shared" si="186"/>
        <v>0</v>
      </c>
      <c r="N1718" s="465">
        <f t="shared" si="187"/>
        <v>0</v>
      </c>
      <c r="O1718" s="179"/>
      <c r="P1718" s="180"/>
      <c r="Q1718" s="173"/>
      <c r="R1718" s="173"/>
      <c r="S1718" s="174"/>
      <c r="T1718" s="173"/>
      <c r="U1718" s="182"/>
      <c r="V1718" s="177">
        <f>IF(U1718=0,0,IF(T1718="MXN",1/HLOOKUP(YEAR(S1718)+(MONTH(S1718)/100),TC!$5:$37,DAY(S1718)+2,FALSE),VLOOKUP(T1718,Equivalencia!$1:$23,((MAX(Equivalencia!$3:$3)-YEAR(S1718))*14)+MONTH(S1718)+2,FALSE)))</f>
        <v>0</v>
      </c>
      <c r="W1718" s="178">
        <f t="shared" si="188"/>
        <v>0</v>
      </c>
      <c r="X1718" s="481">
        <f t="shared" si="189"/>
        <v>0</v>
      </c>
      <c r="Y1718" s="179"/>
      <c r="Z1718" s="466">
        <f t="shared" si="190"/>
        <v>0</v>
      </c>
      <c r="AA1718" s="473">
        <f t="shared" si="191"/>
        <v>0</v>
      </c>
      <c r="AB1718" s="339">
        <f t="shared" si="192"/>
        <v>0</v>
      </c>
    </row>
    <row r="1719" spans="2:28" ht="20.100000000000001" customHeight="1">
      <c r="B1719" s="172"/>
      <c r="C1719" s="174"/>
      <c r="D1719" s="181"/>
      <c r="E1719" s="173"/>
      <c r="F1719" s="176"/>
      <c r="G1719" s="175">
        <f t="shared" si="183"/>
        <v>0</v>
      </c>
      <c r="H1719" s="175">
        <f t="shared" si="184"/>
        <v>0</v>
      </c>
      <c r="I1719" s="177">
        <f>IF(G1719=0,0,IF(E1719="MXN",1/HLOOKUP(YEAR(C1719)+(MONTH(C1719)/100),TC!$5:$37,DAY(C1719)+2,FALSE),VLOOKUP(E1719,Equivalencia!$5:$23,((MAX(Equivalencia!$3:$3)-YEAR(C1719))*14)+MONTH(C1719)+2,FALSE)))</f>
        <v>0</v>
      </c>
      <c r="J1719" s="178">
        <f t="shared" si="185"/>
        <v>0</v>
      </c>
      <c r="K1719" s="462">
        <f>IF(C1719=0,0,VLOOKUP(YEAR(C1719),INPC!$B$4:$O$29,MONTH(C1719)+1))</f>
        <v>0</v>
      </c>
      <c r="L1719" s="462">
        <f>IF(S1719=0,0,VLOOKUP(YEAR(S1719),INPC!$B$4:$O$29,MONTH(S1719)+1))</f>
        <v>0</v>
      </c>
      <c r="M1719" s="463">
        <f t="shared" si="186"/>
        <v>0</v>
      </c>
      <c r="N1719" s="465">
        <f t="shared" si="187"/>
        <v>0</v>
      </c>
      <c r="O1719" s="179"/>
      <c r="P1719" s="180"/>
      <c r="Q1719" s="173"/>
      <c r="R1719" s="173"/>
      <c r="S1719" s="174"/>
      <c r="T1719" s="173"/>
      <c r="U1719" s="182"/>
      <c r="V1719" s="177">
        <f>IF(U1719=0,0,IF(T1719="MXN",1/HLOOKUP(YEAR(S1719)+(MONTH(S1719)/100),TC!$5:$37,DAY(S1719)+2,FALSE),VLOOKUP(T1719,Equivalencia!$1:$23,((MAX(Equivalencia!$3:$3)-YEAR(S1719))*14)+MONTH(S1719)+2,FALSE)))</f>
        <v>0</v>
      </c>
      <c r="W1719" s="178">
        <f t="shared" si="188"/>
        <v>0</v>
      </c>
      <c r="X1719" s="481">
        <f t="shared" si="189"/>
        <v>0</v>
      </c>
      <c r="Y1719" s="179"/>
      <c r="Z1719" s="466">
        <f t="shared" si="190"/>
        <v>0</v>
      </c>
      <c r="AA1719" s="473">
        <f t="shared" si="191"/>
        <v>0</v>
      </c>
      <c r="AB1719" s="339">
        <f t="shared" si="192"/>
        <v>0</v>
      </c>
    </row>
    <row r="1720" spans="2:28" ht="20.100000000000001" customHeight="1">
      <c r="B1720" s="172"/>
      <c r="C1720" s="174"/>
      <c r="D1720" s="181"/>
      <c r="E1720" s="173"/>
      <c r="F1720" s="176"/>
      <c r="G1720" s="175">
        <f t="shared" si="183"/>
        <v>0</v>
      </c>
      <c r="H1720" s="175">
        <f t="shared" si="184"/>
        <v>0</v>
      </c>
      <c r="I1720" s="177">
        <f>IF(G1720=0,0,IF(E1720="MXN",1/HLOOKUP(YEAR(C1720)+(MONTH(C1720)/100),TC!$5:$37,DAY(C1720)+2,FALSE),VLOOKUP(E1720,Equivalencia!$5:$23,((MAX(Equivalencia!$3:$3)-YEAR(C1720))*14)+MONTH(C1720)+2,FALSE)))</f>
        <v>0</v>
      </c>
      <c r="J1720" s="178">
        <f t="shared" si="185"/>
        <v>0</v>
      </c>
      <c r="K1720" s="462">
        <f>IF(C1720=0,0,VLOOKUP(YEAR(C1720),INPC!$B$4:$O$29,MONTH(C1720)+1))</f>
        <v>0</v>
      </c>
      <c r="L1720" s="462">
        <f>IF(S1720=0,0,VLOOKUP(YEAR(S1720),INPC!$B$4:$O$29,MONTH(S1720)+1))</f>
        <v>0</v>
      </c>
      <c r="M1720" s="463">
        <f t="shared" si="186"/>
        <v>0</v>
      </c>
      <c r="N1720" s="465">
        <f t="shared" si="187"/>
        <v>0</v>
      </c>
      <c r="O1720" s="179"/>
      <c r="P1720" s="180"/>
      <c r="Q1720" s="173"/>
      <c r="R1720" s="173"/>
      <c r="S1720" s="174"/>
      <c r="T1720" s="173"/>
      <c r="U1720" s="182"/>
      <c r="V1720" s="177">
        <f>IF(U1720=0,0,IF(T1720="MXN",1/HLOOKUP(YEAR(S1720)+(MONTH(S1720)/100),TC!$5:$37,DAY(S1720)+2,FALSE),VLOOKUP(T1720,Equivalencia!$1:$23,((MAX(Equivalencia!$3:$3)-YEAR(S1720))*14)+MONTH(S1720)+2,FALSE)))</f>
        <v>0</v>
      </c>
      <c r="W1720" s="178">
        <f t="shared" si="188"/>
        <v>0</v>
      </c>
      <c r="X1720" s="481">
        <f t="shared" si="189"/>
        <v>0</v>
      </c>
      <c r="Y1720" s="179"/>
      <c r="Z1720" s="466">
        <f t="shared" si="190"/>
        <v>0</v>
      </c>
      <c r="AA1720" s="473">
        <f t="shared" si="191"/>
        <v>0</v>
      </c>
      <c r="AB1720" s="339">
        <f t="shared" si="192"/>
        <v>0</v>
      </c>
    </row>
    <row r="1721" spans="2:28" ht="20.100000000000001" customHeight="1">
      <c r="B1721" s="172"/>
      <c r="C1721" s="174"/>
      <c r="D1721" s="181"/>
      <c r="E1721" s="173"/>
      <c r="F1721" s="176"/>
      <c r="G1721" s="175">
        <f t="shared" si="183"/>
        <v>0</v>
      </c>
      <c r="H1721" s="175">
        <f t="shared" si="184"/>
        <v>0</v>
      </c>
      <c r="I1721" s="177">
        <f>IF(G1721=0,0,IF(E1721="MXN",1/HLOOKUP(YEAR(C1721)+(MONTH(C1721)/100),TC!$5:$37,DAY(C1721)+2,FALSE),VLOOKUP(E1721,Equivalencia!$5:$23,((MAX(Equivalencia!$3:$3)-YEAR(C1721))*14)+MONTH(C1721)+2,FALSE)))</f>
        <v>0</v>
      </c>
      <c r="J1721" s="178">
        <f t="shared" si="185"/>
        <v>0</v>
      </c>
      <c r="K1721" s="462">
        <f>IF(C1721=0,0,VLOOKUP(YEAR(C1721),INPC!$B$4:$O$29,MONTH(C1721)+1))</f>
        <v>0</v>
      </c>
      <c r="L1721" s="462">
        <f>IF(S1721=0,0,VLOOKUP(YEAR(S1721),INPC!$B$4:$O$29,MONTH(S1721)+1))</f>
        <v>0</v>
      </c>
      <c r="M1721" s="463">
        <f t="shared" si="186"/>
        <v>0</v>
      </c>
      <c r="N1721" s="465">
        <f t="shared" si="187"/>
        <v>0</v>
      </c>
      <c r="O1721" s="179"/>
      <c r="P1721" s="180"/>
      <c r="Q1721" s="173"/>
      <c r="R1721" s="173"/>
      <c r="S1721" s="174"/>
      <c r="T1721" s="173"/>
      <c r="U1721" s="182"/>
      <c r="V1721" s="177">
        <f>IF(U1721=0,0,IF(T1721="MXN",1/HLOOKUP(YEAR(S1721)+(MONTH(S1721)/100),TC!$5:$37,DAY(S1721)+2,FALSE),VLOOKUP(T1721,Equivalencia!$1:$23,((MAX(Equivalencia!$3:$3)-YEAR(S1721))*14)+MONTH(S1721)+2,FALSE)))</f>
        <v>0</v>
      </c>
      <c r="W1721" s="178">
        <f t="shared" si="188"/>
        <v>0</v>
      </c>
      <c r="X1721" s="481">
        <f t="shared" si="189"/>
        <v>0</v>
      </c>
      <c r="Y1721" s="179"/>
      <c r="Z1721" s="466">
        <f t="shared" si="190"/>
        <v>0</v>
      </c>
      <c r="AA1721" s="473">
        <f t="shared" si="191"/>
        <v>0</v>
      </c>
      <c r="AB1721" s="339">
        <f t="shared" si="192"/>
        <v>0</v>
      </c>
    </row>
    <row r="1722" spans="2:28" ht="20.100000000000001" customHeight="1">
      <c r="B1722" s="172"/>
      <c r="C1722" s="174"/>
      <c r="D1722" s="181"/>
      <c r="E1722" s="173"/>
      <c r="F1722" s="176"/>
      <c r="G1722" s="175">
        <f t="shared" si="183"/>
        <v>0</v>
      </c>
      <c r="H1722" s="175">
        <f t="shared" si="184"/>
        <v>0</v>
      </c>
      <c r="I1722" s="177">
        <f>IF(G1722=0,0,IF(E1722="MXN",1/HLOOKUP(YEAR(C1722)+(MONTH(C1722)/100),TC!$5:$37,DAY(C1722)+2,FALSE),VLOOKUP(E1722,Equivalencia!$5:$23,((MAX(Equivalencia!$3:$3)-YEAR(C1722))*14)+MONTH(C1722)+2,FALSE)))</f>
        <v>0</v>
      </c>
      <c r="J1722" s="178">
        <f t="shared" si="185"/>
        <v>0</v>
      </c>
      <c r="K1722" s="462">
        <f>IF(C1722=0,0,VLOOKUP(YEAR(C1722),INPC!$B$4:$O$29,MONTH(C1722)+1))</f>
        <v>0</v>
      </c>
      <c r="L1722" s="462">
        <f>IF(S1722=0,0,VLOOKUP(YEAR(S1722),INPC!$B$4:$O$29,MONTH(S1722)+1))</f>
        <v>0</v>
      </c>
      <c r="M1722" s="463">
        <f t="shared" si="186"/>
        <v>0</v>
      </c>
      <c r="N1722" s="465">
        <f t="shared" si="187"/>
        <v>0</v>
      </c>
      <c r="O1722" s="179"/>
      <c r="P1722" s="180"/>
      <c r="Q1722" s="173"/>
      <c r="R1722" s="173"/>
      <c r="S1722" s="174"/>
      <c r="T1722" s="173"/>
      <c r="U1722" s="182"/>
      <c r="V1722" s="177">
        <f>IF(U1722=0,0,IF(T1722="MXN",1/HLOOKUP(YEAR(S1722)+(MONTH(S1722)/100),TC!$5:$37,DAY(S1722)+2,FALSE),VLOOKUP(T1722,Equivalencia!$1:$23,((MAX(Equivalencia!$3:$3)-YEAR(S1722))*14)+MONTH(S1722)+2,FALSE)))</f>
        <v>0</v>
      </c>
      <c r="W1722" s="178">
        <f t="shared" si="188"/>
        <v>0</v>
      </c>
      <c r="X1722" s="481">
        <f t="shared" si="189"/>
        <v>0</v>
      </c>
      <c r="Y1722" s="179"/>
      <c r="Z1722" s="466">
        <f t="shared" si="190"/>
        <v>0</v>
      </c>
      <c r="AA1722" s="473">
        <f t="shared" si="191"/>
        <v>0</v>
      </c>
      <c r="AB1722" s="339">
        <f t="shared" si="192"/>
        <v>0</v>
      </c>
    </row>
    <row r="1723" spans="2:28" ht="20.100000000000001" customHeight="1">
      <c r="B1723" s="172"/>
      <c r="C1723" s="174"/>
      <c r="D1723" s="181"/>
      <c r="E1723" s="173"/>
      <c r="F1723" s="176"/>
      <c r="G1723" s="175">
        <f t="shared" si="183"/>
        <v>0</v>
      </c>
      <c r="H1723" s="175">
        <f t="shared" si="184"/>
        <v>0</v>
      </c>
      <c r="I1723" s="177">
        <f>IF(G1723=0,0,IF(E1723="MXN",1/HLOOKUP(YEAR(C1723)+(MONTH(C1723)/100),TC!$5:$37,DAY(C1723)+2,FALSE),VLOOKUP(E1723,Equivalencia!$5:$23,((MAX(Equivalencia!$3:$3)-YEAR(C1723))*14)+MONTH(C1723)+2,FALSE)))</f>
        <v>0</v>
      </c>
      <c r="J1723" s="178">
        <f t="shared" si="185"/>
        <v>0</v>
      </c>
      <c r="K1723" s="462">
        <f>IF(C1723=0,0,VLOOKUP(YEAR(C1723),INPC!$B$4:$O$29,MONTH(C1723)+1))</f>
        <v>0</v>
      </c>
      <c r="L1723" s="462">
        <f>IF(S1723=0,0,VLOOKUP(YEAR(S1723),INPC!$B$4:$O$29,MONTH(S1723)+1))</f>
        <v>0</v>
      </c>
      <c r="M1723" s="463">
        <f t="shared" si="186"/>
        <v>0</v>
      </c>
      <c r="N1723" s="465">
        <f t="shared" si="187"/>
        <v>0</v>
      </c>
      <c r="O1723" s="179"/>
      <c r="P1723" s="180"/>
      <c r="Q1723" s="173"/>
      <c r="R1723" s="173"/>
      <c r="S1723" s="174"/>
      <c r="T1723" s="173"/>
      <c r="U1723" s="182"/>
      <c r="V1723" s="177">
        <f>IF(U1723=0,0,IF(T1723="MXN",1/HLOOKUP(YEAR(S1723)+(MONTH(S1723)/100),TC!$5:$37,DAY(S1723)+2,FALSE),VLOOKUP(T1723,Equivalencia!$1:$23,((MAX(Equivalencia!$3:$3)-YEAR(S1723))*14)+MONTH(S1723)+2,FALSE)))</f>
        <v>0</v>
      </c>
      <c r="W1723" s="178">
        <f t="shared" si="188"/>
        <v>0</v>
      </c>
      <c r="X1723" s="481">
        <f t="shared" si="189"/>
        <v>0</v>
      </c>
      <c r="Y1723" s="179"/>
      <c r="Z1723" s="466">
        <f t="shared" si="190"/>
        <v>0</v>
      </c>
      <c r="AA1723" s="473">
        <f t="shared" si="191"/>
        <v>0</v>
      </c>
      <c r="AB1723" s="339">
        <f t="shared" si="192"/>
        <v>0</v>
      </c>
    </row>
    <row r="1724" spans="2:28" ht="20.100000000000001" customHeight="1">
      <c r="B1724" s="172"/>
      <c r="C1724" s="174"/>
      <c r="D1724" s="181"/>
      <c r="E1724" s="173"/>
      <c r="F1724" s="176"/>
      <c r="G1724" s="175">
        <f t="shared" si="183"/>
        <v>0</v>
      </c>
      <c r="H1724" s="175">
        <f t="shared" si="184"/>
        <v>0</v>
      </c>
      <c r="I1724" s="177">
        <f>IF(G1724=0,0,IF(E1724="MXN",1/HLOOKUP(YEAR(C1724)+(MONTH(C1724)/100),TC!$5:$37,DAY(C1724)+2,FALSE),VLOOKUP(E1724,Equivalencia!$5:$23,((MAX(Equivalencia!$3:$3)-YEAR(C1724))*14)+MONTH(C1724)+2,FALSE)))</f>
        <v>0</v>
      </c>
      <c r="J1724" s="178">
        <f t="shared" si="185"/>
        <v>0</v>
      </c>
      <c r="K1724" s="462">
        <f>IF(C1724=0,0,VLOOKUP(YEAR(C1724),INPC!$B$4:$O$29,MONTH(C1724)+1))</f>
        <v>0</v>
      </c>
      <c r="L1724" s="462">
        <f>IF(S1724=0,0,VLOOKUP(YEAR(S1724),INPC!$B$4:$O$29,MONTH(S1724)+1))</f>
        <v>0</v>
      </c>
      <c r="M1724" s="463">
        <f t="shared" si="186"/>
        <v>0</v>
      </c>
      <c r="N1724" s="465">
        <f t="shared" si="187"/>
        <v>0</v>
      </c>
      <c r="O1724" s="179"/>
      <c r="P1724" s="180"/>
      <c r="Q1724" s="173"/>
      <c r="R1724" s="173"/>
      <c r="S1724" s="174"/>
      <c r="T1724" s="173"/>
      <c r="U1724" s="182"/>
      <c r="V1724" s="177">
        <f>IF(U1724=0,0,IF(T1724="MXN",1/HLOOKUP(YEAR(S1724)+(MONTH(S1724)/100),TC!$5:$37,DAY(S1724)+2,FALSE),VLOOKUP(T1724,Equivalencia!$1:$23,((MAX(Equivalencia!$3:$3)-YEAR(S1724))*14)+MONTH(S1724)+2,FALSE)))</f>
        <v>0</v>
      </c>
      <c r="W1724" s="178">
        <f t="shared" si="188"/>
        <v>0</v>
      </c>
      <c r="X1724" s="481">
        <f t="shared" si="189"/>
        <v>0</v>
      </c>
      <c r="Y1724" s="179"/>
      <c r="Z1724" s="466">
        <f t="shared" si="190"/>
        <v>0</v>
      </c>
      <c r="AA1724" s="473">
        <f t="shared" si="191"/>
        <v>0</v>
      </c>
      <c r="AB1724" s="339">
        <f t="shared" si="192"/>
        <v>0</v>
      </c>
    </row>
    <row r="1725" spans="2:28" ht="20.100000000000001" customHeight="1">
      <c r="B1725" s="172"/>
      <c r="C1725" s="174"/>
      <c r="D1725" s="181"/>
      <c r="E1725" s="173"/>
      <c r="F1725" s="176"/>
      <c r="G1725" s="175">
        <f t="shared" si="183"/>
        <v>0</v>
      </c>
      <c r="H1725" s="175">
        <f t="shared" si="184"/>
        <v>0</v>
      </c>
      <c r="I1725" s="177">
        <f>IF(G1725=0,0,IF(E1725="MXN",1/HLOOKUP(YEAR(C1725)+(MONTH(C1725)/100),TC!$5:$37,DAY(C1725)+2,FALSE),VLOOKUP(E1725,Equivalencia!$5:$23,((MAX(Equivalencia!$3:$3)-YEAR(C1725))*14)+MONTH(C1725)+2,FALSE)))</f>
        <v>0</v>
      </c>
      <c r="J1725" s="178">
        <f t="shared" si="185"/>
        <v>0</v>
      </c>
      <c r="K1725" s="462">
        <f>IF(C1725=0,0,VLOOKUP(YEAR(C1725),INPC!$B$4:$O$29,MONTH(C1725)+1))</f>
        <v>0</v>
      </c>
      <c r="L1725" s="462">
        <f>IF(S1725=0,0,VLOOKUP(YEAR(S1725),INPC!$B$4:$O$29,MONTH(S1725)+1))</f>
        <v>0</v>
      </c>
      <c r="M1725" s="463">
        <f t="shared" si="186"/>
        <v>0</v>
      </c>
      <c r="N1725" s="465">
        <f t="shared" si="187"/>
        <v>0</v>
      </c>
      <c r="O1725" s="179"/>
      <c r="P1725" s="180"/>
      <c r="Q1725" s="173"/>
      <c r="R1725" s="173"/>
      <c r="S1725" s="174"/>
      <c r="T1725" s="173"/>
      <c r="U1725" s="182"/>
      <c r="V1725" s="177">
        <f>IF(U1725=0,0,IF(T1725="MXN",1/HLOOKUP(YEAR(S1725)+(MONTH(S1725)/100),TC!$5:$37,DAY(S1725)+2,FALSE),VLOOKUP(T1725,Equivalencia!$1:$23,((MAX(Equivalencia!$3:$3)-YEAR(S1725))*14)+MONTH(S1725)+2,FALSE)))</f>
        <v>0</v>
      </c>
      <c r="W1725" s="178">
        <f t="shared" si="188"/>
        <v>0</v>
      </c>
      <c r="X1725" s="481">
        <f t="shared" si="189"/>
        <v>0</v>
      </c>
      <c r="Y1725" s="179"/>
      <c r="Z1725" s="466">
        <f t="shared" si="190"/>
        <v>0</v>
      </c>
      <c r="AA1725" s="473">
        <f t="shared" si="191"/>
        <v>0</v>
      </c>
      <c r="AB1725" s="339">
        <f t="shared" si="192"/>
        <v>0</v>
      </c>
    </row>
    <row r="1726" spans="2:28" ht="20.100000000000001" customHeight="1">
      <c r="B1726" s="172"/>
      <c r="C1726" s="174"/>
      <c r="D1726" s="181"/>
      <c r="E1726" s="173"/>
      <c r="F1726" s="176"/>
      <c r="G1726" s="175">
        <f t="shared" si="183"/>
        <v>0</v>
      </c>
      <c r="H1726" s="175">
        <f t="shared" si="184"/>
        <v>0</v>
      </c>
      <c r="I1726" s="177">
        <f>IF(G1726=0,0,IF(E1726="MXN",1/HLOOKUP(YEAR(C1726)+(MONTH(C1726)/100),TC!$5:$37,DAY(C1726)+2,FALSE),VLOOKUP(E1726,Equivalencia!$5:$23,((MAX(Equivalencia!$3:$3)-YEAR(C1726))*14)+MONTH(C1726)+2,FALSE)))</f>
        <v>0</v>
      </c>
      <c r="J1726" s="178">
        <f t="shared" si="185"/>
        <v>0</v>
      </c>
      <c r="K1726" s="462">
        <f>IF(C1726=0,0,VLOOKUP(YEAR(C1726),INPC!$B$4:$O$29,MONTH(C1726)+1))</f>
        <v>0</v>
      </c>
      <c r="L1726" s="462">
        <f>IF(S1726=0,0,VLOOKUP(YEAR(S1726),INPC!$B$4:$O$29,MONTH(S1726)+1))</f>
        <v>0</v>
      </c>
      <c r="M1726" s="463">
        <f t="shared" si="186"/>
        <v>0</v>
      </c>
      <c r="N1726" s="465">
        <f t="shared" si="187"/>
        <v>0</v>
      </c>
      <c r="O1726" s="179"/>
      <c r="P1726" s="180"/>
      <c r="Q1726" s="173"/>
      <c r="R1726" s="173"/>
      <c r="S1726" s="174"/>
      <c r="T1726" s="173"/>
      <c r="U1726" s="182"/>
      <c r="V1726" s="177">
        <f>IF(U1726=0,0,IF(T1726="MXN",1/HLOOKUP(YEAR(S1726)+(MONTH(S1726)/100),TC!$5:$37,DAY(S1726)+2,FALSE),VLOOKUP(T1726,Equivalencia!$1:$23,((MAX(Equivalencia!$3:$3)-YEAR(S1726))*14)+MONTH(S1726)+2,FALSE)))</f>
        <v>0</v>
      </c>
      <c r="W1726" s="178">
        <f t="shared" si="188"/>
        <v>0</v>
      </c>
      <c r="X1726" s="481">
        <f t="shared" si="189"/>
        <v>0</v>
      </c>
      <c r="Y1726" s="179"/>
      <c r="Z1726" s="466">
        <f t="shared" si="190"/>
        <v>0</v>
      </c>
      <c r="AA1726" s="473">
        <f t="shared" si="191"/>
        <v>0</v>
      </c>
      <c r="AB1726" s="339">
        <f t="shared" si="192"/>
        <v>0</v>
      </c>
    </row>
    <row r="1727" spans="2:28" ht="20.100000000000001" customHeight="1">
      <c r="B1727" s="172"/>
      <c r="C1727" s="174"/>
      <c r="D1727" s="181"/>
      <c r="E1727" s="173"/>
      <c r="F1727" s="176"/>
      <c r="G1727" s="175">
        <f t="shared" si="183"/>
        <v>0</v>
      </c>
      <c r="H1727" s="175">
        <f t="shared" si="184"/>
        <v>0</v>
      </c>
      <c r="I1727" s="177">
        <f>IF(G1727=0,0,IF(E1727="MXN",1/HLOOKUP(YEAR(C1727)+(MONTH(C1727)/100),TC!$5:$37,DAY(C1727)+2,FALSE),VLOOKUP(E1727,Equivalencia!$5:$23,((MAX(Equivalencia!$3:$3)-YEAR(C1727))*14)+MONTH(C1727)+2,FALSE)))</f>
        <v>0</v>
      </c>
      <c r="J1727" s="178">
        <f t="shared" si="185"/>
        <v>0</v>
      </c>
      <c r="K1727" s="462">
        <f>IF(C1727=0,0,VLOOKUP(YEAR(C1727),INPC!$B$4:$O$29,MONTH(C1727)+1))</f>
        <v>0</v>
      </c>
      <c r="L1727" s="462">
        <f>IF(S1727=0,0,VLOOKUP(YEAR(S1727),INPC!$B$4:$O$29,MONTH(S1727)+1))</f>
        <v>0</v>
      </c>
      <c r="M1727" s="463">
        <f t="shared" si="186"/>
        <v>0</v>
      </c>
      <c r="N1727" s="465">
        <f t="shared" si="187"/>
        <v>0</v>
      </c>
      <c r="O1727" s="179"/>
      <c r="P1727" s="180"/>
      <c r="Q1727" s="173"/>
      <c r="R1727" s="173"/>
      <c r="S1727" s="174"/>
      <c r="T1727" s="173"/>
      <c r="U1727" s="182"/>
      <c r="V1727" s="177">
        <f>IF(U1727=0,0,IF(T1727="MXN",1/HLOOKUP(YEAR(S1727)+(MONTH(S1727)/100),TC!$5:$37,DAY(S1727)+2,FALSE),VLOOKUP(T1727,Equivalencia!$1:$23,((MAX(Equivalencia!$3:$3)-YEAR(S1727))*14)+MONTH(S1727)+2,FALSE)))</f>
        <v>0</v>
      </c>
      <c r="W1727" s="178">
        <f t="shared" si="188"/>
        <v>0</v>
      </c>
      <c r="X1727" s="481">
        <f t="shared" si="189"/>
        <v>0</v>
      </c>
      <c r="Y1727" s="179"/>
      <c r="Z1727" s="466">
        <f t="shared" si="190"/>
        <v>0</v>
      </c>
      <c r="AA1727" s="473">
        <f t="shared" si="191"/>
        <v>0</v>
      </c>
      <c r="AB1727" s="339">
        <f t="shared" si="192"/>
        <v>0</v>
      </c>
    </row>
    <row r="1728" spans="2:28" ht="20.100000000000001" customHeight="1">
      <c r="B1728" s="172"/>
      <c r="C1728" s="174"/>
      <c r="D1728" s="181"/>
      <c r="E1728" s="173"/>
      <c r="F1728" s="176"/>
      <c r="G1728" s="175">
        <f t="shared" si="183"/>
        <v>0</v>
      </c>
      <c r="H1728" s="175">
        <f t="shared" si="184"/>
        <v>0</v>
      </c>
      <c r="I1728" s="177">
        <f>IF(G1728=0,0,IF(E1728="MXN",1/HLOOKUP(YEAR(C1728)+(MONTH(C1728)/100),TC!$5:$37,DAY(C1728)+2,FALSE),VLOOKUP(E1728,Equivalencia!$5:$23,((MAX(Equivalencia!$3:$3)-YEAR(C1728))*14)+MONTH(C1728)+2,FALSE)))</f>
        <v>0</v>
      </c>
      <c r="J1728" s="178">
        <f t="shared" si="185"/>
        <v>0</v>
      </c>
      <c r="K1728" s="462">
        <f>IF(C1728=0,0,VLOOKUP(YEAR(C1728),INPC!$B$4:$O$29,MONTH(C1728)+1))</f>
        <v>0</v>
      </c>
      <c r="L1728" s="462">
        <f>IF(S1728=0,0,VLOOKUP(YEAR(S1728),INPC!$B$4:$O$29,MONTH(S1728)+1))</f>
        <v>0</v>
      </c>
      <c r="M1728" s="463">
        <f t="shared" si="186"/>
        <v>0</v>
      </c>
      <c r="N1728" s="465">
        <f t="shared" si="187"/>
        <v>0</v>
      </c>
      <c r="O1728" s="179"/>
      <c r="P1728" s="180"/>
      <c r="Q1728" s="173"/>
      <c r="R1728" s="173"/>
      <c r="S1728" s="174"/>
      <c r="T1728" s="173"/>
      <c r="U1728" s="182"/>
      <c r="V1728" s="177">
        <f>IF(U1728=0,0,IF(T1728="MXN",1/HLOOKUP(YEAR(S1728)+(MONTH(S1728)/100),TC!$5:$37,DAY(S1728)+2,FALSE),VLOOKUP(T1728,Equivalencia!$1:$23,((MAX(Equivalencia!$3:$3)-YEAR(S1728))*14)+MONTH(S1728)+2,FALSE)))</f>
        <v>0</v>
      </c>
      <c r="W1728" s="178">
        <f t="shared" si="188"/>
        <v>0</v>
      </c>
      <c r="X1728" s="481">
        <f t="shared" si="189"/>
        <v>0</v>
      </c>
      <c r="Y1728" s="179"/>
      <c r="Z1728" s="466">
        <f t="shared" si="190"/>
        <v>0</v>
      </c>
      <c r="AA1728" s="473">
        <f t="shared" si="191"/>
        <v>0</v>
      </c>
      <c r="AB1728" s="339">
        <f t="shared" si="192"/>
        <v>0</v>
      </c>
    </row>
    <row r="1729" spans="2:28" ht="20.100000000000001" customHeight="1">
      <c r="B1729" s="172"/>
      <c r="C1729" s="174"/>
      <c r="D1729" s="181"/>
      <c r="E1729" s="173"/>
      <c r="F1729" s="176"/>
      <c r="G1729" s="175">
        <f t="shared" si="183"/>
        <v>0</v>
      </c>
      <c r="H1729" s="175">
        <f t="shared" si="184"/>
        <v>0</v>
      </c>
      <c r="I1729" s="177">
        <f>IF(G1729=0,0,IF(E1729="MXN",1/HLOOKUP(YEAR(C1729)+(MONTH(C1729)/100),TC!$5:$37,DAY(C1729)+2,FALSE),VLOOKUP(E1729,Equivalencia!$5:$23,((MAX(Equivalencia!$3:$3)-YEAR(C1729))*14)+MONTH(C1729)+2,FALSE)))</f>
        <v>0</v>
      </c>
      <c r="J1729" s="178">
        <f t="shared" si="185"/>
        <v>0</v>
      </c>
      <c r="K1729" s="462">
        <f>IF(C1729=0,0,VLOOKUP(YEAR(C1729),INPC!$B$4:$O$29,MONTH(C1729)+1))</f>
        <v>0</v>
      </c>
      <c r="L1729" s="462">
        <f>IF(S1729=0,0,VLOOKUP(YEAR(S1729),INPC!$B$4:$O$29,MONTH(S1729)+1))</f>
        <v>0</v>
      </c>
      <c r="M1729" s="463">
        <f t="shared" si="186"/>
        <v>0</v>
      </c>
      <c r="N1729" s="465">
        <f t="shared" si="187"/>
        <v>0</v>
      </c>
      <c r="O1729" s="179"/>
      <c r="P1729" s="180"/>
      <c r="Q1729" s="173"/>
      <c r="R1729" s="173"/>
      <c r="S1729" s="174"/>
      <c r="T1729" s="173"/>
      <c r="U1729" s="182"/>
      <c r="V1729" s="177">
        <f>IF(U1729=0,0,IF(T1729="MXN",1/HLOOKUP(YEAR(S1729)+(MONTH(S1729)/100),TC!$5:$37,DAY(S1729)+2,FALSE),VLOOKUP(T1729,Equivalencia!$1:$23,((MAX(Equivalencia!$3:$3)-YEAR(S1729))*14)+MONTH(S1729)+2,FALSE)))</f>
        <v>0</v>
      </c>
      <c r="W1729" s="178">
        <f t="shared" si="188"/>
        <v>0</v>
      </c>
      <c r="X1729" s="481">
        <f t="shared" si="189"/>
        <v>0</v>
      </c>
      <c r="Y1729" s="179"/>
      <c r="Z1729" s="466">
        <f t="shared" si="190"/>
        <v>0</v>
      </c>
      <c r="AA1729" s="473">
        <f t="shared" si="191"/>
        <v>0</v>
      </c>
      <c r="AB1729" s="339">
        <f t="shared" si="192"/>
        <v>0</v>
      </c>
    </row>
    <row r="1730" spans="2:28" ht="20.100000000000001" customHeight="1">
      <c r="B1730" s="172"/>
      <c r="C1730" s="174"/>
      <c r="D1730" s="181"/>
      <c r="E1730" s="173"/>
      <c r="F1730" s="176"/>
      <c r="G1730" s="175">
        <f t="shared" si="183"/>
        <v>0</v>
      </c>
      <c r="H1730" s="175">
        <f t="shared" si="184"/>
        <v>0</v>
      </c>
      <c r="I1730" s="177">
        <f>IF(G1730=0,0,IF(E1730="MXN",1/HLOOKUP(YEAR(C1730)+(MONTH(C1730)/100),TC!$5:$37,DAY(C1730)+2,FALSE),VLOOKUP(E1730,Equivalencia!$5:$23,((MAX(Equivalencia!$3:$3)-YEAR(C1730))*14)+MONTH(C1730)+2,FALSE)))</f>
        <v>0</v>
      </c>
      <c r="J1730" s="178">
        <f t="shared" si="185"/>
        <v>0</v>
      </c>
      <c r="K1730" s="462">
        <f>IF(C1730=0,0,VLOOKUP(YEAR(C1730),INPC!$B$4:$O$29,MONTH(C1730)+1))</f>
        <v>0</v>
      </c>
      <c r="L1730" s="462">
        <f>IF(S1730=0,0,VLOOKUP(YEAR(S1730),INPC!$B$4:$O$29,MONTH(S1730)+1))</f>
        <v>0</v>
      </c>
      <c r="M1730" s="463">
        <f t="shared" si="186"/>
        <v>0</v>
      </c>
      <c r="N1730" s="465">
        <f t="shared" si="187"/>
        <v>0</v>
      </c>
      <c r="O1730" s="179"/>
      <c r="P1730" s="180"/>
      <c r="Q1730" s="173"/>
      <c r="R1730" s="173"/>
      <c r="S1730" s="174"/>
      <c r="T1730" s="173"/>
      <c r="U1730" s="182"/>
      <c r="V1730" s="177">
        <f>IF(U1730=0,0,IF(T1730="MXN",1/HLOOKUP(YEAR(S1730)+(MONTH(S1730)/100),TC!$5:$37,DAY(S1730)+2,FALSE),VLOOKUP(T1730,Equivalencia!$1:$23,((MAX(Equivalencia!$3:$3)-YEAR(S1730))*14)+MONTH(S1730)+2,FALSE)))</f>
        <v>0</v>
      </c>
      <c r="W1730" s="178">
        <f t="shared" si="188"/>
        <v>0</v>
      </c>
      <c r="X1730" s="481">
        <f t="shared" si="189"/>
        <v>0</v>
      </c>
      <c r="Y1730" s="179"/>
      <c r="Z1730" s="466">
        <f t="shared" si="190"/>
        <v>0</v>
      </c>
      <c r="AA1730" s="473">
        <f t="shared" si="191"/>
        <v>0</v>
      </c>
      <c r="AB1730" s="339">
        <f t="shared" si="192"/>
        <v>0</v>
      </c>
    </row>
    <row r="1731" spans="2:28" ht="20.100000000000001" customHeight="1">
      <c r="B1731" s="172"/>
      <c r="C1731" s="174"/>
      <c r="D1731" s="181"/>
      <c r="E1731" s="173"/>
      <c r="F1731" s="176"/>
      <c r="G1731" s="175">
        <f t="shared" si="183"/>
        <v>0</v>
      </c>
      <c r="H1731" s="175">
        <f t="shared" si="184"/>
        <v>0</v>
      </c>
      <c r="I1731" s="177">
        <f>IF(G1731=0,0,IF(E1731="MXN",1/HLOOKUP(YEAR(C1731)+(MONTH(C1731)/100),TC!$5:$37,DAY(C1731)+2,FALSE),VLOOKUP(E1731,Equivalencia!$5:$23,((MAX(Equivalencia!$3:$3)-YEAR(C1731))*14)+MONTH(C1731)+2,FALSE)))</f>
        <v>0</v>
      </c>
      <c r="J1731" s="178">
        <f t="shared" si="185"/>
        <v>0</v>
      </c>
      <c r="K1731" s="462">
        <f>IF(C1731=0,0,VLOOKUP(YEAR(C1731),INPC!$B$4:$O$29,MONTH(C1731)+1))</f>
        <v>0</v>
      </c>
      <c r="L1731" s="462">
        <f>IF(S1731=0,0,VLOOKUP(YEAR(S1731),INPC!$B$4:$O$29,MONTH(S1731)+1))</f>
        <v>0</v>
      </c>
      <c r="M1731" s="463">
        <f t="shared" si="186"/>
        <v>0</v>
      </c>
      <c r="N1731" s="465">
        <f t="shared" si="187"/>
        <v>0</v>
      </c>
      <c r="O1731" s="179"/>
      <c r="P1731" s="180"/>
      <c r="Q1731" s="173"/>
      <c r="R1731" s="173"/>
      <c r="S1731" s="174"/>
      <c r="T1731" s="173"/>
      <c r="U1731" s="182"/>
      <c r="V1731" s="177">
        <f>IF(U1731=0,0,IF(T1731="MXN",1/HLOOKUP(YEAR(S1731)+(MONTH(S1731)/100),TC!$5:$37,DAY(S1731)+2,FALSE),VLOOKUP(T1731,Equivalencia!$1:$23,((MAX(Equivalencia!$3:$3)-YEAR(S1731))*14)+MONTH(S1731)+2,FALSE)))</f>
        <v>0</v>
      </c>
      <c r="W1731" s="178">
        <f t="shared" si="188"/>
        <v>0</v>
      </c>
      <c r="X1731" s="481">
        <f t="shared" si="189"/>
        <v>0</v>
      </c>
      <c r="Y1731" s="179"/>
      <c r="Z1731" s="466">
        <f t="shared" si="190"/>
        <v>0</v>
      </c>
      <c r="AA1731" s="473">
        <f t="shared" si="191"/>
        <v>0</v>
      </c>
      <c r="AB1731" s="339">
        <f t="shared" si="192"/>
        <v>0</v>
      </c>
    </row>
    <row r="1732" spans="2:28" ht="20.100000000000001" customHeight="1">
      <c r="B1732" s="172"/>
      <c r="C1732" s="174"/>
      <c r="D1732" s="181"/>
      <c r="E1732" s="173"/>
      <c r="F1732" s="176"/>
      <c r="G1732" s="175">
        <f t="shared" si="183"/>
        <v>0</v>
      </c>
      <c r="H1732" s="175">
        <f t="shared" si="184"/>
        <v>0</v>
      </c>
      <c r="I1732" s="177">
        <f>IF(G1732=0,0,IF(E1732="MXN",1/HLOOKUP(YEAR(C1732)+(MONTH(C1732)/100),TC!$5:$37,DAY(C1732)+2,FALSE),VLOOKUP(E1732,Equivalencia!$5:$23,((MAX(Equivalencia!$3:$3)-YEAR(C1732))*14)+MONTH(C1732)+2,FALSE)))</f>
        <v>0</v>
      </c>
      <c r="J1732" s="178">
        <f t="shared" si="185"/>
        <v>0</v>
      </c>
      <c r="K1732" s="462">
        <f>IF(C1732=0,0,VLOOKUP(YEAR(C1732),INPC!$B$4:$O$29,MONTH(C1732)+1))</f>
        <v>0</v>
      </c>
      <c r="L1732" s="462">
        <f>IF(S1732=0,0,VLOOKUP(YEAR(S1732),INPC!$B$4:$O$29,MONTH(S1732)+1))</f>
        <v>0</v>
      </c>
      <c r="M1732" s="463">
        <f t="shared" si="186"/>
        <v>0</v>
      </c>
      <c r="N1732" s="465">
        <f t="shared" si="187"/>
        <v>0</v>
      </c>
      <c r="O1732" s="179"/>
      <c r="P1732" s="180"/>
      <c r="Q1732" s="173"/>
      <c r="R1732" s="173"/>
      <c r="S1732" s="174"/>
      <c r="T1732" s="173"/>
      <c r="U1732" s="182"/>
      <c r="V1732" s="177">
        <f>IF(U1732=0,0,IF(T1732="MXN",1/HLOOKUP(YEAR(S1732)+(MONTH(S1732)/100),TC!$5:$37,DAY(S1732)+2,FALSE),VLOOKUP(T1732,Equivalencia!$1:$23,((MAX(Equivalencia!$3:$3)-YEAR(S1732))*14)+MONTH(S1732)+2,FALSE)))</f>
        <v>0</v>
      </c>
      <c r="W1732" s="178">
        <f t="shared" si="188"/>
        <v>0</v>
      </c>
      <c r="X1732" s="481">
        <f t="shared" si="189"/>
        <v>0</v>
      </c>
      <c r="Y1732" s="179"/>
      <c r="Z1732" s="466">
        <f t="shared" si="190"/>
        <v>0</v>
      </c>
      <c r="AA1732" s="473">
        <f t="shared" si="191"/>
        <v>0</v>
      </c>
      <c r="AB1732" s="339">
        <f t="shared" si="192"/>
        <v>0</v>
      </c>
    </row>
    <row r="1733" spans="2:28" ht="20.100000000000001" customHeight="1">
      <c r="B1733" s="172"/>
      <c r="C1733" s="174"/>
      <c r="D1733" s="181"/>
      <c r="E1733" s="173"/>
      <c r="F1733" s="176"/>
      <c r="G1733" s="175">
        <f t="shared" si="183"/>
        <v>0</v>
      </c>
      <c r="H1733" s="175">
        <f t="shared" si="184"/>
        <v>0</v>
      </c>
      <c r="I1733" s="177">
        <f>IF(G1733=0,0,IF(E1733="MXN",1/HLOOKUP(YEAR(C1733)+(MONTH(C1733)/100),TC!$5:$37,DAY(C1733)+2,FALSE),VLOOKUP(E1733,Equivalencia!$5:$23,((MAX(Equivalencia!$3:$3)-YEAR(C1733))*14)+MONTH(C1733)+2,FALSE)))</f>
        <v>0</v>
      </c>
      <c r="J1733" s="178">
        <f t="shared" si="185"/>
        <v>0</v>
      </c>
      <c r="K1733" s="462">
        <f>IF(C1733=0,0,VLOOKUP(YEAR(C1733),INPC!$B$4:$O$29,MONTH(C1733)+1))</f>
        <v>0</v>
      </c>
      <c r="L1733" s="462">
        <f>IF(S1733=0,0,VLOOKUP(YEAR(S1733),INPC!$B$4:$O$29,MONTH(S1733)+1))</f>
        <v>0</v>
      </c>
      <c r="M1733" s="463">
        <f t="shared" si="186"/>
        <v>0</v>
      </c>
      <c r="N1733" s="465">
        <f t="shared" si="187"/>
        <v>0</v>
      </c>
      <c r="O1733" s="179"/>
      <c r="P1733" s="180"/>
      <c r="Q1733" s="173"/>
      <c r="R1733" s="173"/>
      <c r="S1733" s="174"/>
      <c r="T1733" s="173"/>
      <c r="U1733" s="182"/>
      <c r="V1733" s="177">
        <f>IF(U1733=0,0,IF(T1733="MXN",1/HLOOKUP(YEAR(S1733)+(MONTH(S1733)/100),TC!$5:$37,DAY(S1733)+2,FALSE),VLOOKUP(T1733,Equivalencia!$1:$23,((MAX(Equivalencia!$3:$3)-YEAR(S1733))*14)+MONTH(S1733)+2,FALSE)))</f>
        <v>0</v>
      </c>
      <c r="W1733" s="178">
        <f t="shared" si="188"/>
        <v>0</v>
      </c>
      <c r="X1733" s="481">
        <f t="shared" si="189"/>
        <v>0</v>
      </c>
      <c r="Y1733" s="179"/>
      <c r="Z1733" s="466">
        <f t="shared" si="190"/>
        <v>0</v>
      </c>
      <c r="AA1733" s="473">
        <f t="shared" si="191"/>
        <v>0</v>
      </c>
      <c r="AB1733" s="339">
        <f t="shared" si="192"/>
        <v>0</v>
      </c>
    </row>
    <row r="1734" spans="2:28" ht="20.100000000000001" customHeight="1">
      <c r="B1734" s="172"/>
      <c r="C1734" s="174"/>
      <c r="D1734" s="181"/>
      <c r="E1734" s="173"/>
      <c r="F1734" s="176"/>
      <c r="G1734" s="175">
        <f t="shared" si="183"/>
        <v>0</v>
      </c>
      <c r="H1734" s="175">
        <f t="shared" si="184"/>
        <v>0</v>
      </c>
      <c r="I1734" s="177">
        <f>IF(G1734=0,0,IF(E1734="MXN",1/HLOOKUP(YEAR(C1734)+(MONTH(C1734)/100),TC!$5:$37,DAY(C1734)+2,FALSE),VLOOKUP(E1734,Equivalencia!$5:$23,((MAX(Equivalencia!$3:$3)-YEAR(C1734))*14)+MONTH(C1734)+2,FALSE)))</f>
        <v>0</v>
      </c>
      <c r="J1734" s="178">
        <f t="shared" si="185"/>
        <v>0</v>
      </c>
      <c r="K1734" s="462">
        <f>IF(C1734=0,0,VLOOKUP(YEAR(C1734),INPC!$B$4:$O$29,MONTH(C1734)+1))</f>
        <v>0</v>
      </c>
      <c r="L1734" s="462">
        <f>IF(S1734=0,0,VLOOKUP(YEAR(S1734),INPC!$B$4:$O$29,MONTH(S1734)+1))</f>
        <v>0</v>
      </c>
      <c r="M1734" s="463">
        <f t="shared" si="186"/>
        <v>0</v>
      </c>
      <c r="N1734" s="465">
        <f t="shared" si="187"/>
        <v>0</v>
      </c>
      <c r="O1734" s="179"/>
      <c r="P1734" s="180"/>
      <c r="Q1734" s="173"/>
      <c r="R1734" s="173"/>
      <c r="S1734" s="174"/>
      <c r="T1734" s="173"/>
      <c r="U1734" s="182"/>
      <c r="V1734" s="177">
        <f>IF(U1734=0,0,IF(T1734="MXN",1/HLOOKUP(YEAR(S1734)+(MONTH(S1734)/100),TC!$5:$37,DAY(S1734)+2,FALSE),VLOOKUP(T1734,Equivalencia!$1:$23,((MAX(Equivalencia!$3:$3)-YEAR(S1734))*14)+MONTH(S1734)+2,FALSE)))</f>
        <v>0</v>
      </c>
      <c r="W1734" s="178">
        <f t="shared" si="188"/>
        <v>0</v>
      </c>
      <c r="X1734" s="481">
        <f t="shared" si="189"/>
        <v>0</v>
      </c>
      <c r="Y1734" s="179"/>
      <c r="Z1734" s="466">
        <f t="shared" si="190"/>
        <v>0</v>
      </c>
      <c r="AA1734" s="473">
        <f t="shared" si="191"/>
        <v>0</v>
      </c>
      <c r="AB1734" s="339">
        <f t="shared" si="192"/>
        <v>0</v>
      </c>
    </row>
    <row r="1735" spans="2:28" ht="20.100000000000001" customHeight="1">
      <c r="B1735" s="172"/>
      <c r="C1735" s="174"/>
      <c r="D1735" s="181"/>
      <c r="E1735" s="173"/>
      <c r="F1735" s="176"/>
      <c r="G1735" s="175">
        <f t="shared" si="183"/>
        <v>0</v>
      </c>
      <c r="H1735" s="175">
        <f t="shared" si="184"/>
        <v>0</v>
      </c>
      <c r="I1735" s="177">
        <f>IF(G1735=0,0,IF(E1735="MXN",1/HLOOKUP(YEAR(C1735)+(MONTH(C1735)/100),TC!$5:$37,DAY(C1735)+2,FALSE),VLOOKUP(E1735,Equivalencia!$5:$23,((MAX(Equivalencia!$3:$3)-YEAR(C1735))*14)+MONTH(C1735)+2,FALSE)))</f>
        <v>0</v>
      </c>
      <c r="J1735" s="178">
        <f t="shared" si="185"/>
        <v>0</v>
      </c>
      <c r="K1735" s="462">
        <f>IF(C1735=0,0,VLOOKUP(YEAR(C1735),INPC!$B$4:$O$29,MONTH(C1735)+1))</f>
        <v>0</v>
      </c>
      <c r="L1735" s="462">
        <f>IF(S1735=0,0,VLOOKUP(YEAR(S1735),INPC!$B$4:$O$29,MONTH(S1735)+1))</f>
        <v>0</v>
      </c>
      <c r="M1735" s="463">
        <f t="shared" si="186"/>
        <v>0</v>
      </c>
      <c r="N1735" s="465">
        <f t="shared" si="187"/>
        <v>0</v>
      </c>
      <c r="O1735" s="179"/>
      <c r="P1735" s="180"/>
      <c r="Q1735" s="173"/>
      <c r="R1735" s="173"/>
      <c r="S1735" s="174"/>
      <c r="T1735" s="173"/>
      <c r="U1735" s="182"/>
      <c r="V1735" s="177">
        <f>IF(U1735=0,0,IF(T1735="MXN",1/HLOOKUP(YEAR(S1735)+(MONTH(S1735)/100),TC!$5:$37,DAY(S1735)+2,FALSE),VLOOKUP(T1735,Equivalencia!$1:$23,((MAX(Equivalencia!$3:$3)-YEAR(S1735))*14)+MONTH(S1735)+2,FALSE)))</f>
        <v>0</v>
      </c>
      <c r="W1735" s="178">
        <f t="shared" si="188"/>
        <v>0</v>
      </c>
      <c r="X1735" s="481">
        <f t="shared" si="189"/>
        <v>0</v>
      </c>
      <c r="Y1735" s="179"/>
      <c r="Z1735" s="466">
        <f t="shared" si="190"/>
        <v>0</v>
      </c>
      <c r="AA1735" s="473">
        <f t="shared" si="191"/>
        <v>0</v>
      </c>
      <c r="AB1735" s="339">
        <f t="shared" si="192"/>
        <v>0</v>
      </c>
    </row>
    <row r="1736" spans="2:28" ht="20.100000000000001" customHeight="1">
      <c r="B1736" s="172"/>
      <c r="C1736" s="174"/>
      <c r="D1736" s="181"/>
      <c r="E1736" s="173"/>
      <c r="F1736" s="176"/>
      <c r="G1736" s="175">
        <f t="shared" si="183"/>
        <v>0</v>
      </c>
      <c r="H1736" s="175">
        <f t="shared" si="184"/>
        <v>0</v>
      </c>
      <c r="I1736" s="177">
        <f>IF(G1736=0,0,IF(E1736="MXN",1/HLOOKUP(YEAR(C1736)+(MONTH(C1736)/100),TC!$5:$37,DAY(C1736)+2,FALSE),VLOOKUP(E1736,Equivalencia!$5:$23,((MAX(Equivalencia!$3:$3)-YEAR(C1736))*14)+MONTH(C1736)+2,FALSE)))</f>
        <v>0</v>
      </c>
      <c r="J1736" s="178">
        <f t="shared" si="185"/>
        <v>0</v>
      </c>
      <c r="K1736" s="462">
        <f>IF(C1736=0,0,VLOOKUP(YEAR(C1736),INPC!$B$4:$O$29,MONTH(C1736)+1))</f>
        <v>0</v>
      </c>
      <c r="L1736" s="462">
        <f>IF(S1736=0,0,VLOOKUP(YEAR(S1736),INPC!$B$4:$O$29,MONTH(S1736)+1))</f>
        <v>0</v>
      </c>
      <c r="M1736" s="463">
        <f t="shared" si="186"/>
        <v>0</v>
      </c>
      <c r="N1736" s="465">
        <f t="shared" si="187"/>
        <v>0</v>
      </c>
      <c r="O1736" s="179"/>
      <c r="P1736" s="180"/>
      <c r="Q1736" s="173"/>
      <c r="R1736" s="173"/>
      <c r="S1736" s="174"/>
      <c r="T1736" s="173"/>
      <c r="U1736" s="182"/>
      <c r="V1736" s="177">
        <f>IF(U1736=0,0,IF(T1736="MXN",1/HLOOKUP(YEAR(S1736)+(MONTH(S1736)/100),TC!$5:$37,DAY(S1736)+2,FALSE),VLOOKUP(T1736,Equivalencia!$1:$23,((MAX(Equivalencia!$3:$3)-YEAR(S1736))*14)+MONTH(S1736)+2,FALSE)))</f>
        <v>0</v>
      </c>
      <c r="W1736" s="178">
        <f t="shared" si="188"/>
        <v>0</v>
      </c>
      <c r="X1736" s="481">
        <f t="shared" si="189"/>
        <v>0</v>
      </c>
      <c r="Y1736" s="179"/>
      <c r="Z1736" s="466">
        <f t="shared" si="190"/>
        <v>0</v>
      </c>
      <c r="AA1736" s="473">
        <f t="shared" si="191"/>
        <v>0</v>
      </c>
      <c r="AB1736" s="339">
        <f t="shared" si="192"/>
        <v>0</v>
      </c>
    </row>
    <row r="1737" spans="2:28" ht="20.100000000000001" customHeight="1">
      <c r="B1737" s="172"/>
      <c r="C1737" s="174"/>
      <c r="D1737" s="181"/>
      <c r="E1737" s="173"/>
      <c r="F1737" s="176"/>
      <c r="G1737" s="175">
        <f t="shared" si="183"/>
        <v>0</v>
      </c>
      <c r="H1737" s="175">
        <f t="shared" si="184"/>
        <v>0</v>
      </c>
      <c r="I1737" s="177">
        <f>IF(G1737=0,0,IF(E1737="MXN",1/HLOOKUP(YEAR(C1737)+(MONTH(C1737)/100),TC!$5:$37,DAY(C1737)+2,FALSE),VLOOKUP(E1737,Equivalencia!$5:$23,((MAX(Equivalencia!$3:$3)-YEAR(C1737))*14)+MONTH(C1737)+2,FALSE)))</f>
        <v>0</v>
      </c>
      <c r="J1737" s="178">
        <f t="shared" si="185"/>
        <v>0</v>
      </c>
      <c r="K1737" s="462">
        <f>IF(C1737=0,0,VLOOKUP(YEAR(C1737),INPC!$B$4:$O$29,MONTH(C1737)+1))</f>
        <v>0</v>
      </c>
      <c r="L1737" s="462">
        <f>IF(S1737=0,0,VLOOKUP(YEAR(S1737),INPC!$B$4:$O$29,MONTH(S1737)+1))</f>
        <v>0</v>
      </c>
      <c r="M1737" s="463">
        <f t="shared" si="186"/>
        <v>0</v>
      </c>
      <c r="N1737" s="465">
        <f t="shared" si="187"/>
        <v>0</v>
      </c>
      <c r="O1737" s="179"/>
      <c r="P1737" s="180"/>
      <c r="Q1737" s="173"/>
      <c r="R1737" s="173"/>
      <c r="S1737" s="174"/>
      <c r="T1737" s="173"/>
      <c r="U1737" s="182"/>
      <c r="V1737" s="177">
        <f>IF(U1737=0,0,IF(T1737="MXN",1/HLOOKUP(YEAR(S1737)+(MONTH(S1737)/100),TC!$5:$37,DAY(S1737)+2,FALSE),VLOOKUP(T1737,Equivalencia!$1:$23,((MAX(Equivalencia!$3:$3)-YEAR(S1737))*14)+MONTH(S1737)+2,FALSE)))</f>
        <v>0</v>
      </c>
      <c r="W1737" s="178">
        <f t="shared" si="188"/>
        <v>0</v>
      </c>
      <c r="X1737" s="481">
        <f t="shared" si="189"/>
        <v>0</v>
      </c>
      <c r="Y1737" s="179"/>
      <c r="Z1737" s="466">
        <f t="shared" si="190"/>
        <v>0</v>
      </c>
      <c r="AA1737" s="473">
        <f t="shared" si="191"/>
        <v>0</v>
      </c>
      <c r="AB1737" s="339">
        <f t="shared" si="192"/>
        <v>0</v>
      </c>
    </row>
    <row r="1738" spans="2:28" ht="20.100000000000001" customHeight="1">
      <c r="B1738" s="172"/>
      <c r="C1738" s="174"/>
      <c r="D1738" s="181"/>
      <c r="E1738" s="173"/>
      <c r="F1738" s="176"/>
      <c r="G1738" s="175">
        <f t="shared" si="183"/>
        <v>0</v>
      </c>
      <c r="H1738" s="175">
        <f t="shared" si="184"/>
        <v>0</v>
      </c>
      <c r="I1738" s="177">
        <f>IF(G1738=0,0,IF(E1738="MXN",1/HLOOKUP(YEAR(C1738)+(MONTH(C1738)/100),TC!$5:$37,DAY(C1738)+2,FALSE),VLOOKUP(E1738,Equivalencia!$5:$23,((MAX(Equivalencia!$3:$3)-YEAR(C1738))*14)+MONTH(C1738)+2,FALSE)))</f>
        <v>0</v>
      </c>
      <c r="J1738" s="178">
        <f t="shared" si="185"/>
        <v>0</v>
      </c>
      <c r="K1738" s="462">
        <f>IF(C1738=0,0,VLOOKUP(YEAR(C1738),INPC!$B$4:$O$29,MONTH(C1738)+1))</f>
        <v>0</v>
      </c>
      <c r="L1738" s="462">
        <f>IF(S1738=0,0,VLOOKUP(YEAR(S1738),INPC!$B$4:$O$29,MONTH(S1738)+1))</f>
        <v>0</v>
      </c>
      <c r="M1738" s="463">
        <f t="shared" si="186"/>
        <v>0</v>
      </c>
      <c r="N1738" s="465">
        <f t="shared" si="187"/>
        <v>0</v>
      </c>
      <c r="O1738" s="179"/>
      <c r="P1738" s="180"/>
      <c r="Q1738" s="173"/>
      <c r="R1738" s="173"/>
      <c r="S1738" s="174"/>
      <c r="T1738" s="173"/>
      <c r="U1738" s="182"/>
      <c r="V1738" s="177">
        <f>IF(U1738=0,0,IF(T1738="MXN",1/HLOOKUP(YEAR(S1738)+(MONTH(S1738)/100),TC!$5:$37,DAY(S1738)+2,FALSE),VLOOKUP(T1738,Equivalencia!$1:$23,((MAX(Equivalencia!$3:$3)-YEAR(S1738))*14)+MONTH(S1738)+2,FALSE)))</f>
        <v>0</v>
      </c>
      <c r="W1738" s="178">
        <f t="shared" si="188"/>
        <v>0</v>
      </c>
      <c r="X1738" s="481">
        <f t="shared" si="189"/>
        <v>0</v>
      </c>
      <c r="Y1738" s="179"/>
      <c r="Z1738" s="466">
        <f t="shared" si="190"/>
        <v>0</v>
      </c>
      <c r="AA1738" s="473">
        <f t="shared" si="191"/>
        <v>0</v>
      </c>
      <c r="AB1738" s="339">
        <f t="shared" si="192"/>
        <v>0</v>
      </c>
    </row>
    <row r="1739" spans="2:28" ht="20.100000000000001" customHeight="1">
      <c r="B1739" s="172"/>
      <c r="C1739" s="174"/>
      <c r="D1739" s="181"/>
      <c r="E1739" s="173"/>
      <c r="F1739" s="176"/>
      <c r="G1739" s="175">
        <f t="shared" si="183"/>
        <v>0</v>
      </c>
      <c r="H1739" s="175">
        <f t="shared" si="184"/>
        <v>0</v>
      </c>
      <c r="I1739" s="177">
        <f>IF(G1739=0,0,IF(E1739="MXN",1/HLOOKUP(YEAR(C1739)+(MONTH(C1739)/100),TC!$5:$37,DAY(C1739)+2,FALSE),VLOOKUP(E1739,Equivalencia!$5:$23,((MAX(Equivalencia!$3:$3)-YEAR(C1739))*14)+MONTH(C1739)+2,FALSE)))</f>
        <v>0</v>
      </c>
      <c r="J1739" s="178">
        <f t="shared" si="185"/>
        <v>0</v>
      </c>
      <c r="K1739" s="462">
        <f>IF(C1739=0,0,VLOOKUP(YEAR(C1739),INPC!$B$4:$O$29,MONTH(C1739)+1))</f>
        <v>0</v>
      </c>
      <c r="L1739" s="462">
        <f>IF(S1739=0,0,VLOOKUP(YEAR(S1739),INPC!$B$4:$O$29,MONTH(S1739)+1))</f>
        <v>0</v>
      </c>
      <c r="M1739" s="463">
        <f t="shared" si="186"/>
        <v>0</v>
      </c>
      <c r="N1739" s="465">
        <f t="shared" si="187"/>
        <v>0</v>
      </c>
      <c r="O1739" s="179"/>
      <c r="P1739" s="180"/>
      <c r="Q1739" s="173"/>
      <c r="R1739" s="173"/>
      <c r="S1739" s="174"/>
      <c r="T1739" s="173"/>
      <c r="U1739" s="182"/>
      <c r="V1739" s="177">
        <f>IF(U1739=0,0,IF(T1739="MXN",1/HLOOKUP(YEAR(S1739)+(MONTH(S1739)/100),TC!$5:$37,DAY(S1739)+2,FALSE),VLOOKUP(T1739,Equivalencia!$1:$23,((MAX(Equivalencia!$3:$3)-YEAR(S1739))*14)+MONTH(S1739)+2,FALSE)))</f>
        <v>0</v>
      </c>
      <c r="W1739" s="178">
        <f t="shared" si="188"/>
        <v>0</v>
      </c>
      <c r="X1739" s="481">
        <f t="shared" si="189"/>
        <v>0</v>
      </c>
      <c r="Y1739" s="179"/>
      <c r="Z1739" s="466">
        <f t="shared" si="190"/>
        <v>0</v>
      </c>
      <c r="AA1739" s="473">
        <f t="shared" si="191"/>
        <v>0</v>
      </c>
      <c r="AB1739" s="339">
        <f t="shared" si="192"/>
        <v>0</v>
      </c>
    </row>
    <row r="1740" spans="2:28" ht="20.100000000000001" customHeight="1">
      <c r="B1740" s="172"/>
      <c r="C1740" s="174"/>
      <c r="D1740" s="181"/>
      <c r="E1740" s="173"/>
      <c r="F1740" s="176"/>
      <c r="G1740" s="175">
        <f t="shared" si="183"/>
        <v>0</v>
      </c>
      <c r="H1740" s="175">
        <f t="shared" si="184"/>
        <v>0</v>
      </c>
      <c r="I1740" s="177">
        <f>IF(G1740=0,0,IF(E1740="MXN",1/HLOOKUP(YEAR(C1740)+(MONTH(C1740)/100),TC!$5:$37,DAY(C1740)+2,FALSE),VLOOKUP(E1740,Equivalencia!$5:$23,((MAX(Equivalencia!$3:$3)-YEAR(C1740))*14)+MONTH(C1740)+2,FALSE)))</f>
        <v>0</v>
      </c>
      <c r="J1740" s="178">
        <f t="shared" si="185"/>
        <v>0</v>
      </c>
      <c r="K1740" s="462">
        <f>IF(C1740=0,0,VLOOKUP(YEAR(C1740),INPC!$B$4:$O$29,MONTH(C1740)+1))</f>
        <v>0</v>
      </c>
      <c r="L1740" s="462">
        <f>IF(S1740=0,0,VLOOKUP(YEAR(S1740),INPC!$B$4:$O$29,MONTH(S1740)+1))</f>
        <v>0</v>
      </c>
      <c r="M1740" s="463">
        <f t="shared" si="186"/>
        <v>0</v>
      </c>
      <c r="N1740" s="465">
        <f t="shared" si="187"/>
        <v>0</v>
      </c>
      <c r="O1740" s="179"/>
      <c r="P1740" s="180"/>
      <c r="Q1740" s="173"/>
      <c r="R1740" s="173"/>
      <c r="S1740" s="174"/>
      <c r="T1740" s="173"/>
      <c r="U1740" s="182"/>
      <c r="V1740" s="177">
        <f>IF(U1740=0,0,IF(T1740="MXN",1/HLOOKUP(YEAR(S1740)+(MONTH(S1740)/100),TC!$5:$37,DAY(S1740)+2,FALSE),VLOOKUP(T1740,Equivalencia!$1:$23,((MAX(Equivalencia!$3:$3)-YEAR(S1740))*14)+MONTH(S1740)+2,FALSE)))</f>
        <v>0</v>
      </c>
      <c r="W1740" s="178">
        <f t="shared" si="188"/>
        <v>0</v>
      </c>
      <c r="X1740" s="481">
        <f t="shared" si="189"/>
        <v>0</v>
      </c>
      <c r="Y1740" s="179"/>
      <c r="Z1740" s="466">
        <f t="shared" si="190"/>
        <v>0</v>
      </c>
      <c r="AA1740" s="473">
        <f t="shared" si="191"/>
        <v>0</v>
      </c>
      <c r="AB1740" s="339">
        <f t="shared" si="192"/>
        <v>0</v>
      </c>
    </row>
    <row r="1741" spans="2:28" ht="20.100000000000001" customHeight="1">
      <c r="B1741" s="172"/>
      <c r="C1741" s="174"/>
      <c r="D1741" s="181"/>
      <c r="E1741" s="173"/>
      <c r="F1741" s="176"/>
      <c r="G1741" s="175">
        <f t="shared" si="183"/>
        <v>0</v>
      </c>
      <c r="H1741" s="175">
        <f t="shared" si="184"/>
        <v>0</v>
      </c>
      <c r="I1741" s="177">
        <f>IF(G1741=0,0,IF(E1741="MXN",1/HLOOKUP(YEAR(C1741)+(MONTH(C1741)/100),TC!$5:$37,DAY(C1741)+2,FALSE),VLOOKUP(E1741,Equivalencia!$5:$23,((MAX(Equivalencia!$3:$3)-YEAR(C1741))*14)+MONTH(C1741)+2,FALSE)))</f>
        <v>0</v>
      </c>
      <c r="J1741" s="178">
        <f t="shared" si="185"/>
        <v>0</v>
      </c>
      <c r="K1741" s="462">
        <f>IF(C1741=0,0,VLOOKUP(YEAR(C1741),INPC!$B$4:$O$29,MONTH(C1741)+1))</f>
        <v>0</v>
      </c>
      <c r="L1741" s="462">
        <f>IF(S1741=0,0,VLOOKUP(YEAR(S1741),INPC!$B$4:$O$29,MONTH(S1741)+1))</f>
        <v>0</v>
      </c>
      <c r="M1741" s="463">
        <f t="shared" si="186"/>
        <v>0</v>
      </c>
      <c r="N1741" s="465">
        <f t="shared" si="187"/>
        <v>0</v>
      </c>
      <c r="O1741" s="179"/>
      <c r="P1741" s="180"/>
      <c r="Q1741" s="173"/>
      <c r="R1741" s="173"/>
      <c r="S1741" s="174"/>
      <c r="T1741" s="173"/>
      <c r="U1741" s="182"/>
      <c r="V1741" s="177">
        <f>IF(U1741=0,0,IF(T1741="MXN",1/HLOOKUP(YEAR(S1741)+(MONTH(S1741)/100),TC!$5:$37,DAY(S1741)+2,FALSE),VLOOKUP(T1741,Equivalencia!$1:$23,((MAX(Equivalencia!$3:$3)-YEAR(S1741))*14)+MONTH(S1741)+2,FALSE)))</f>
        <v>0</v>
      </c>
      <c r="W1741" s="178">
        <f t="shared" si="188"/>
        <v>0</v>
      </c>
      <c r="X1741" s="481">
        <f t="shared" si="189"/>
        <v>0</v>
      </c>
      <c r="Y1741" s="179"/>
      <c r="Z1741" s="466">
        <f t="shared" si="190"/>
        <v>0</v>
      </c>
      <c r="AA1741" s="473">
        <f t="shared" si="191"/>
        <v>0</v>
      </c>
      <c r="AB1741" s="339">
        <f t="shared" si="192"/>
        <v>0</v>
      </c>
    </row>
    <row r="1742" spans="2:28" ht="20.100000000000001" customHeight="1">
      <c r="B1742" s="172"/>
      <c r="C1742" s="174"/>
      <c r="D1742" s="181"/>
      <c r="E1742" s="173"/>
      <c r="F1742" s="176"/>
      <c r="G1742" s="175">
        <f t="shared" si="183"/>
        <v>0</v>
      </c>
      <c r="H1742" s="175">
        <f t="shared" si="184"/>
        <v>0</v>
      </c>
      <c r="I1742" s="177">
        <f>IF(G1742=0,0,IF(E1742="MXN",1/HLOOKUP(YEAR(C1742)+(MONTH(C1742)/100),TC!$5:$37,DAY(C1742)+2,FALSE),VLOOKUP(E1742,Equivalencia!$5:$23,((MAX(Equivalencia!$3:$3)-YEAR(C1742))*14)+MONTH(C1742)+2,FALSE)))</f>
        <v>0</v>
      </c>
      <c r="J1742" s="178">
        <f t="shared" si="185"/>
        <v>0</v>
      </c>
      <c r="K1742" s="462">
        <f>IF(C1742=0,0,VLOOKUP(YEAR(C1742),INPC!$B$4:$O$29,MONTH(C1742)+1))</f>
        <v>0</v>
      </c>
      <c r="L1742" s="462">
        <f>IF(S1742=0,0,VLOOKUP(YEAR(S1742),INPC!$B$4:$O$29,MONTH(S1742)+1))</f>
        <v>0</v>
      </c>
      <c r="M1742" s="463">
        <f t="shared" si="186"/>
        <v>0</v>
      </c>
      <c r="N1742" s="465">
        <f t="shared" si="187"/>
        <v>0</v>
      </c>
      <c r="O1742" s="179"/>
      <c r="P1742" s="180"/>
      <c r="Q1742" s="173"/>
      <c r="R1742" s="173"/>
      <c r="S1742" s="174"/>
      <c r="T1742" s="173"/>
      <c r="U1742" s="182"/>
      <c r="V1742" s="177">
        <f>IF(U1742=0,0,IF(T1742="MXN",1/HLOOKUP(YEAR(S1742)+(MONTH(S1742)/100),TC!$5:$37,DAY(S1742)+2,FALSE),VLOOKUP(T1742,Equivalencia!$1:$23,((MAX(Equivalencia!$3:$3)-YEAR(S1742))*14)+MONTH(S1742)+2,FALSE)))</f>
        <v>0</v>
      </c>
      <c r="W1742" s="178">
        <f t="shared" si="188"/>
        <v>0</v>
      </c>
      <c r="X1742" s="481">
        <f t="shared" si="189"/>
        <v>0</v>
      </c>
      <c r="Y1742" s="179"/>
      <c r="Z1742" s="466">
        <f t="shared" si="190"/>
        <v>0</v>
      </c>
      <c r="AA1742" s="473">
        <f t="shared" si="191"/>
        <v>0</v>
      </c>
      <c r="AB1742" s="339">
        <f t="shared" si="192"/>
        <v>0</v>
      </c>
    </row>
    <row r="1743" spans="2:28" ht="20.100000000000001" customHeight="1">
      <c r="B1743" s="172"/>
      <c r="C1743" s="174"/>
      <c r="D1743" s="181"/>
      <c r="E1743" s="173"/>
      <c r="F1743" s="176"/>
      <c r="G1743" s="175">
        <f t="shared" si="183"/>
        <v>0</v>
      </c>
      <c r="H1743" s="175">
        <f t="shared" si="184"/>
        <v>0</v>
      </c>
      <c r="I1743" s="177">
        <f>IF(G1743=0,0,IF(E1743="MXN",1/HLOOKUP(YEAR(C1743)+(MONTH(C1743)/100),TC!$5:$37,DAY(C1743)+2,FALSE),VLOOKUP(E1743,Equivalencia!$5:$23,((MAX(Equivalencia!$3:$3)-YEAR(C1743))*14)+MONTH(C1743)+2,FALSE)))</f>
        <v>0</v>
      </c>
      <c r="J1743" s="178">
        <f t="shared" si="185"/>
        <v>0</v>
      </c>
      <c r="K1743" s="462">
        <f>IF(C1743=0,0,VLOOKUP(YEAR(C1743),INPC!$B$4:$O$29,MONTH(C1743)+1))</f>
        <v>0</v>
      </c>
      <c r="L1743" s="462">
        <f>IF(S1743=0,0,VLOOKUP(YEAR(S1743),INPC!$B$4:$O$29,MONTH(S1743)+1))</f>
        <v>0</v>
      </c>
      <c r="M1743" s="463">
        <f t="shared" si="186"/>
        <v>0</v>
      </c>
      <c r="N1743" s="465">
        <f t="shared" si="187"/>
        <v>0</v>
      </c>
      <c r="O1743" s="179"/>
      <c r="P1743" s="180"/>
      <c r="Q1743" s="173"/>
      <c r="R1743" s="173"/>
      <c r="S1743" s="174"/>
      <c r="T1743" s="173"/>
      <c r="U1743" s="182"/>
      <c r="V1743" s="177">
        <f>IF(U1743=0,0,IF(T1743="MXN",1/HLOOKUP(YEAR(S1743)+(MONTH(S1743)/100),TC!$5:$37,DAY(S1743)+2,FALSE),VLOOKUP(T1743,Equivalencia!$1:$23,((MAX(Equivalencia!$3:$3)-YEAR(S1743))*14)+MONTH(S1743)+2,FALSE)))</f>
        <v>0</v>
      </c>
      <c r="W1743" s="178">
        <f t="shared" si="188"/>
        <v>0</v>
      </c>
      <c r="X1743" s="481">
        <f t="shared" si="189"/>
        <v>0</v>
      </c>
      <c r="Y1743" s="179"/>
      <c r="Z1743" s="466">
        <f t="shared" si="190"/>
        <v>0</v>
      </c>
      <c r="AA1743" s="473">
        <f t="shared" si="191"/>
        <v>0</v>
      </c>
      <c r="AB1743" s="339">
        <f t="shared" si="192"/>
        <v>0</v>
      </c>
    </row>
    <row r="1744" spans="2:28" ht="20.100000000000001" customHeight="1">
      <c r="B1744" s="172"/>
      <c r="C1744" s="174"/>
      <c r="D1744" s="181"/>
      <c r="E1744" s="173"/>
      <c r="F1744" s="176"/>
      <c r="G1744" s="175">
        <f t="shared" si="183"/>
        <v>0</v>
      </c>
      <c r="H1744" s="175">
        <f t="shared" si="184"/>
        <v>0</v>
      </c>
      <c r="I1744" s="177">
        <f>IF(G1744=0,0,IF(E1744="MXN",1/HLOOKUP(YEAR(C1744)+(MONTH(C1744)/100),TC!$5:$37,DAY(C1744)+2,FALSE),VLOOKUP(E1744,Equivalencia!$5:$23,((MAX(Equivalencia!$3:$3)-YEAR(C1744))*14)+MONTH(C1744)+2,FALSE)))</f>
        <v>0</v>
      </c>
      <c r="J1744" s="178">
        <f t="shared" si="185"/>
        <v>0</v>
      </c>
      <c r="K1744" s="462">
        <f>IF(C1744=0,0,VLOOKUP(YEAR(C1744),INPC!$B$4:$O$29,MONTH(C1744)+1))</f>
        <v>0</v>
      </c>
      <c r="L1744" s="462">
        <f>IF(S1744=0,0,VLOOKUP(YEAR(S1744),INPC!$B$4:$O$29,MONTH(S1744)+1))</f>
        <v>0</v>
      </c>
      <c r="M1744" s="463">
        <f t="shared" si="186"/>
        <v>0</v>
      </c>
      <c r="N1744" s="465">
        <f t="shared" si="187"/>
        <v>0</v>
      </c>
      <c r="O1744" s="179"/>
      <c r="P1744" s="180"/>
      <c r="Q1744" s="173"/>
      <c r="R1744" s="173"/>
      <c r="S1744" s="174"/>
      <c r="T1744" s="173"/>
      <c r="U1744" s="182"/>
      <c r="V1744" s="177">
        <f>IF(U1744=0,0,IF(T1744="MXN",1/HLOOKUP(YEAR(S1744)+(MONTH(S1744)/100),TC!$5:$37,DAY(S1744)+2,FALSE),VLOOKUP(T1744,Equivalencia!$1:$23,((MAX(Equivalencia!$3:$3)-YEAR(S1744))*14)+MONTH(S1744)+2,FALSE)))</f>
        <v>0</v>
      </c>
      <c r="W1744" s="178">
        <f t="shared" si="188"/>
        <v>0</v>
      </c>
      <c r="X1744" s="481">
        <f t="shared" si="189"/>
        <v>0</v>
      </c>
      <c r="Y1744" s="179"/>
      <c r="Z1744" s="466">
        <f t="shared" si="190"/>
        <v>0</v>
      </c>
      <c r="AA1744" s="473">
        <f t="shared" si="191"/>
        <v>0</v>
      </c>
      <c r="AB1744" s="339">
        <f t="shared" si="192"/>
        <v>0</v>
      </c>
    </row>
    <row r="1745" spans="2:28" ht="20.100000000000001" customHeight="1">
      <c r="B1745" s="172"/>
      <c r="C1745" s="174"/>
      <c r="D1745" s="181"/>
      <c r="E1745" s="173"/>
      <c r="F1745" s="176"/>
      <c r="G1745" s="175">
        <f t="shared" si="183"/>
        <v>0</v>
      </c>
      <c r="H1745" s="175">
        <f t="shared" si="184"/>
        <v>0</v>
      </c>
      <c r="I1745" s="177">
        <f>IF(G1745=0,0,IF(E1745="MXN",1/HLOOKUP(YEAR(C1745)+(MONTH(C1745)/100),TC!$5:$37,DAY(C1745)+2,FALSE),VLOOKUP(E1745,Equivalencia!$5:$23,((MAX(Equivalencia!$3:$3)-YEAR(C1745))*14)+MONTH(C1745)+2,FALSE)))</f>
        <v>0</v>
      </c>
      <c r="J1745" s="178">
        <f t="shared" si="185"/>
        <v>0</v>
      </c>
      <c r="K1745" s="462">
        <f>IF(C1745=0,0,VLOOKUP(YEAR(C1745),INPC!$B$4:$O$29,MONTH(C1745)+1))</f>
        <v>0</v>
      </c>
      <c r="L1745" s="462">
        <f>IF(S1745=0,0,VLOOKUP(YEAR(S1745),INPC!$B$4:$O$29,MONTH(S1745)+1))</f>
        <v>0</v>
      </c>
      <c r="M1745" s="463">
        <f t="shared" si="186"/>
        <v>0</v>
      </c>
      <c r="N1745" s="465">
        <f t="shared" si="187"/>
        <v>0</v>
      </c>
      <c r="O1745" s="179"/>
      <c r="P1745" s="180"/>
      <c r="Q1745" s="173"/>
      <c r="R1745" s="173"/>
      <c r="S1745" s="174"/>
      <c r="T1745" s="173"/>
      <c r="U1745" s="182"/>
      <c r="V1745" s="177">
        <f>IF(U1745=0,0,IF(T1745="MXN",1/HLOOKUP(YEAR(S1745)+(MONTH(S1745)/100),TC!$5:$37,DAY(S1745)+2,FALSE),VLOOKUP(T1745,Equivalencia!$1:$23,((MAX(Equivalencia!$3:$3)-YEAR(S1745))*14)+MONTH(S1745)+2,FALSE)))</f>
        <v>0</v>
      </c>
      <c r="W1745" s="178">
        <f t="shared" si="188"/>
        <v>0</v>
      </c>
      <c r="X1745" s="481">
        <f t="shared" si="189"/>
        <v>0</v>
      </c>
      <c r="Y1745" s="179"/>
      <c r="Z1745" s="466">
        <f t="shared" si="190"/>
        <v>0</v>
      </c>
      <c r="AA1745" s="473">
        <f t="shared" si="191"/>
        <v>0</v>
      </c>
      <c r="AB1745" s="339">
        <f t="shared" si="192"/>
        <v>0</v>
      </c>
    </row>
    <row r="1746" spans="2:28" ht="20.100000000000001" customHeight="1">
      <c r="B1746" s="172"/>
      <c r="C1746" s="174"/>
      <c r="D1746" s="181"/>
      <c r="E1746" s="173"/>
      <c r="F1746" s="176"/>
      <c r="G1746" s="175">
        <f t="shared" si="183"/>
        <v>0</v>
      </c>
      <c r="H1746" s="175">
        <f t="shared" si="184"/>
        <v>0</v>
      </c>
      <c r="I1746" s="177">
        <f>IF(G1746=0,0,IF(E1746="MXN",1/HLOOKUP(YEAR(C1746)+(MONTH(C1746)/100),TC!$5:$37,DAY(C1746)+2,FALSE),VLOOKUP(E1746,Equivalencia!$5:$23,((MAX(Equivalencia!$3:$3)-YEAR(C1746))*14)+MONTH(C1746)+2,FALSE)))</f>
        <v>0</v>
      </c>
      <c r="J1746" s="178">
        <f t="shared" si="185"/>
        <v>0</v>
      </c>
      <c r="K1746" s="462">
        <f>IF(C1746=0,0,VLOOKUP(YEAR(C1746),INPC!$B$4:$O$29,MONTH(C1746)+1))</f>
        <v>0</v>
      </c>
      <c r="L1746" s="462">
        <f>IF(S1746=0,0,VLOOKUP(YEAR(S1746),INPC!$B$4:$O$29,MONTH(S1746)+1))</f>
        <v>0</v>
      </c>
      <c r="M1746" s="463">
        <f t="shared" si="186"/>
        <v>0</v>
      </c>
      <c r="N1746" s="465">
        <f t="shared" si="187"/>
        <v>0</v>
      </c>
      <c r="O1746" s="179"/>
      <c r="P1746" s="180"/>
      <c r="Q1746" s="173"/>
      <c r="R1746" s="173"/>
      <c r="S1746" s="174"/>
      <c r="T1746" s="173"/>
      <c r="U1746" s="182"/>
      <c r="V1746" s="177">
        <f>IF(U1746=0,0,IF(T1746="MXN",1/HLOOKUP(YEAR(S1746)+(MONTH(S1746)/100),TC!$5:$37,DAY(S1746)+2,FALSE),VLOOKUP(T1746,Equivalencia!$1:$23,((MAX(Equivalencia!$3:$3)-YEAR(S1746))*14)+MONTH(S1746)+2,FALSE)))</f>
        <v>0</v>
      </c>
      <c r="W1746" s="178">
        <f t="shared" si="188"/>
        <v>0</v>
      </c>
      <c r="X1746" s="481">
        <f t="shared" si="189"/>
        <v>0</v>
      </c>
      <c r="Y1746" s="179"/>
      <c r="Z1746" s="466">
        <f t="shared" si="190"/>
        <v>0</v>
      </c>
      <c r="AA1746" s="473">
        <f t="shared" si="191"/>
        <v>0</v>
      </c>
      <c r="AB1746" s="339">
        <f t="shared" si="192"/>
        <v>0</v>
      </c>
    </row>
    <row r="1747" spans="2:28" ht="20.100000000000001" customHeight="1">
      <c r="B1747" s="172"/>
      <c r="C1747" s="174"/>
      <c r="D1747" s="181"/>
      <c r="E1747" s="173"/>
      <c r="F1747" s="176"/>
      <c r="G1747" s="175">
        <f t="shared" si="183"/>
        <v>0</v>
      </c>
      <c r="H1747" s="175">
        <f t="shared" si="184"/>
        <v>0</v>
      </c>
      <c r="I1747" s="177">
        <f>IF(G1747=0,0,IF(E1747="MXN",1/HLOOKUP(YEAR(C1747)+(MONTH(C1747)/100),TC!$5:$37,DAY(C1747)+2,FALSE),VLOOKUP(E1747,Equivalencia!$5:$23,((MAX(Equivalencia!$3:$3)-YEAR(C1747))*14)+MONTH(C1747)+2,FALSE)))</f>
        <v>0</v>
      </c>
      <c r="J1747" s="178">
        <f t="shared" si="185"/>
        <v>0</v>
      </c>
      <c r="K1747" s="462">
        <f>IF(C1747=0,0,VLOOKUP(YEAR(C1747),INPC!$B$4:$O$29,MONTH(C1747)+1))</f>
        <v>0</v>
      </c>
      <c r="L1747" s="462">
        <f>IF(S1747=0,0,VLOOKUP(YEAR(S1747),INPC!$B$4:$O$29,MONTH(S1747)+1))</f>
        <v>0</v>
      </c>
      <c r="M1747" s="463">
        <f t="shared" si="186"/>
        <v>0</v>
      </c>
      <c r="N1747" s="465">
        <f t="shared" si="187"/>
        <v>0</v>
      </c>
      <c r="O1747" s="179"/>
      <c r="P1747" s="180"/>
      <c r="Q1747" s="173"/>
      <c r="R1747" s="173"/>
      <c r="S1747" s="174"/>
      <c r="T1747" s="173"/>
      <c r="U1747" s="182"/>
      <c r="V1747" s="177">
        <f>IF(U1747=0,0,IF(T1747="MXN",1/HLOOKUP(YEAR(S1747)+(MONTH(S1747)/100),TC!$5:$37,DAY(S1747)+2,FALSE),VLOOKUP(T1747,Equivalencia!$1:$23,((MAX(Equivalencia!$3:$3)-YEAR(S1747))*14)+MONTH(S1747)+2,FALSE)))</f>
        <v>0</v>
      </c>
      <c r="W1747" s="178">
        <f t="shared" si="188"/>
        <v>0</v>
      </c>
      <c r="X1747" s="481">
        <f t="shared" si="189"/>
        <v>0</v>
      </c>
      <c r="Y1747" s="179"/>
      <c r="Z1747" s="466">
        <f t="shared" si="190"/>
        <v>0</v>
      </c>
      <c r="AA1747" s="473">
        <f t="shared" si="191"/>
        <v>0</v>
      </c>
      <c r="AB1747" s="339">
        <f t="shared" si="192"/>
        <v>0</v>
      </c>
    </row>
    <row r="1748" spans="2:28" ht="20.100000000000001" customHeight="1">
      <c r="B1748" s="172"/>
      <c r="C1748" s="174"/>
      <c r="D1748" s="181"/>
      <c r="E1748" s="173"/>
      <c r="F1748" s="176"/>
      <c r="G1748" s="175">
        <f t="shared" si="183"/>
        <v>0</v>
      </c>
      <c r="H1748" s="175">
        <f t="shared" si="184"/>
        <v>0</v>
      </c>
      <c r="I1748" s="177">
        <f>IF(G1748=0,0,IF(E1748="MXN",1/HLOOKUP(YEAR(C1748)+(MONTH(C1748)/100),TC!$5:$37,DAY(C1748)+2,FALSE),VLOOKUP(E1748,Equivalencia!$5:$23,((MAX(Equivalencia!$3:$3)-YEAR(C1748))*14)+MONTH(C1748)+2,FALSE)))</f>
        <v>0</v>
      </c>
      <c r="J1748" s="178">
        <f t="shared" si="185"/>
        <v>0</v>
      </c>
      <c r="K1748" s="462">
        <f>IF(C1748=0,0,VLOOKUP(YEAR(C1748),INPC!$B$4:$O$29,MONTH(C1748)+1))</f>
        <v>0</v>
      </c>
      <c r="L1748" s="462">
        <f>IF(S1748=0,0,VLOOKUP(YEAR(S1748),INPC!$B$4:$O$29,MONTH(S1748)+1))</f>
        <v>0</v>
      </c>
      <c r="M1748" s="463">
        <f t="shared" si="186"/>
        <v>0</v>
      </c>
      <c r="N1748" s="465">
        <f t="shared" si="187"/>
        <v>0</v>
      </c>
      <c r="O1748" s="179"/>
      <c r="P1748" s="180"/>
      <c r="Q1748" s="173"/>
      <c r="R1748" s="173"/>
      <c r="S1748" s="174"/>
      <c r="T1748" s="173"/>
      <c r="U1748" s="182"/>
      <c r="V1748" s="177">
        <f>IF(U1748=0,0,IF(T1748="MXN",1/HLOOKUP(YEAR(S1748)+(MONTH(S1748)/100),TC!$5:$37,DAY(S1748)+2,FALSE),VLOOKUP(T1748,Equivalencia!$1:$23,((MAX(Equivalencia!$3:$3)-YEAR(S1748))*14)+MONTH(S1748)+2,FALSE)))</f>
        <v>0</v>
      </c>
      <c r="W1748" s="178">
        <f t="shared" si="188"/>
        <v>0</v>
      </c>
      <c r="X1748" s="481">
        <f t="shared" si="189"/>
        <v>0</v>
      </c>
      <c r="Y1748" s="179"/>
      <c r="Z1748" s="466">
        <f t="shared" si="190"/>
        <v>0</v>
      </c>
      <c r="AA1748" s="473">
        <f t="shared" si="191"/>
        <v>0</v>
      </c>
      <c r="AB1748" s="339">
        <f t="shared" si="192"/>
        <v>0</v>
      </c>
    </row>
    <row r="1749" spans="2:28" ht="20.100000000000001" customHeight="1">
      <c r="B1749" s="172"/>
      <c r="C1749" s="174"/>
      <c r="D1749" s="181"/>
      <c r="E1749" s="173"/>
      <c r="F1749" s="176"/>
      <c r="G1749" s="175">
        <f t="shared" si="183"/>
        <v>0</v>
      </c>
      <c r="H1749" s="175">
        <f t="shared" si="184"/>
        <v>0</v>
      </c>
      <c r="I1749" s="177">
        <f>IF(G1749=0,0,IF(E1749="MXN",1/HLOOKUP(YEAR(C1749)+(MONTH(C1749)/100),TC!$5:$37,DAY(C1749)+2,FALSE),VLOOKUP(E1749,Equivalencia!$5:$23,((MAX(Equivalencia!$3:$3)-YEAR(C1749))*14)+MONTH(C1749)+2,FALSE)))</f>
        <v>0</v>
      </c>
      <c r="J1749" s="178">
        <f t="shared" si="185"/>
        <v>0</v>
      </c>
      <c r="K1749" s="462">
        <f>IF(C1749=0,0,VLOOKUP(YEAR(C1749),INPC!$B$4:$O$29,MONTH(C1749)+1))</f>
        <v>0</v>
      </c>
      <c r="L1749" s="462">
        <f>IF(S1749=0,0,VLOOKUP(YEAR(S1749),INPC!$B$4:$O$29,MONTH(S1749)+1))</f>
        <v>0</v>
      </c>
      <c r="M1749" s="463">
        <f t="shared" si="186"/>
        <v>0</v>
      </c>
      <c r="N1749" s="465">
        <f t="shared" si="187"/>
        <v>0</v>
      </c>
      <c r="O1749" s="179"/>
      <c r="P1749" s="180"/>
      <c r="Q1749" s="173"/>
      <c r="R1749" s="173"/>
      <c r="S1749" s="174"/>
      <c r="T1749" s="173"/>
      <c r="U1749" s="182"/>
      <c r="V1749" s="177">
        <f>IF(U1749=0,0,IF(T1749="MXN",1/HLOOKUP(YEAR(S1749)+(MONTH(S1749)/100),TC!$5:$37,DAY(S1749)+2,FALSE),VLOOKUP(T1749,Equivalencia!$1:$23,((MAX(Equivalencia!$3:$3)-YEAR(S1749))*14)+MONTH(S1749)+2,FALSE)))</f>
        <v>0</v>
      </c>
      <c r="W1749" s="178">
        <f t="shared" si="188"/>
        <v>0</v>
      </c>
      <c r="X1749" s="481">
        <f t="shared" si="189"/>
        <v>0</v>
      </c>
      <c r="Y1749" s="179"/>
      <c r="Z1749" s="466">
        <f t="shared" si="190"/>
        <v>0</v>
      </c>
      <c r="AA1749" s="473">
        <f t="shared" si="191"/>
        <v>0</v>
      </c>
      <c r="AB1749" s="339">
        <f t="shared" si="192"/>
        <v>0</v>
      </c>
    </row>
    <row r="1750" spans="2:28" ht="20.100000000000001" customHeight="1">
      <c r="B1750" s="172"/>
      <c r="C1750" s="174"/>
      <c r="D1750" s="181"/>
      <c r="E1750" s="173"/>
      <c r="F1750" s="176"/>
      <c r="G1750" s="175">
        <f t="shared" si="183"/>
        <v>0</v>
      </c>
      <c r="H1750" s="175">
        <f t="shared" si="184"/>
        <v>0</v>
      </c>
      <c r="I1750" s="177">
        <f>IF(G1750=0,0,IF(E1750="MXN",1/HLOOKUP(YEAR(C1750)+(MONTH(C1750)/100),TC!$5:$37,DAY(C1750)+2,FALSE),VLOOKUP(E1750,Equivalencia!$5:$23,((MAX(Equivalencia!$3:$3)-YEAR(C1750))*14)+MONTH(C1750)+2,FALSE)))</f>
        <v>0</v>
      </c>
      <c r="J1750" s="178">
        <f t="shared" si="185"/>
        <v>0</v>
      </c>
      <c r="K1750" s="462">
        <f>IF(C1750=0,0,VLOOKUP(YEAR(C1750),INPC!$B$4:$O$29,MONTH(C1750)+1))</f>
        <v>0</v>
      </c>
      <c r="L1750" s="462">
        <f>IF(S1750=0,0,VLOOKUP(YEAR(S1750),INPC!$B$4:$O$29,MONTH(S1750)+1))</f>
        <v>0</v>
      </c>
      <c r="M1750" s="463">
        <f t="shared" si="186"/>
        <v>0</v>
      </c>
      <c r="N1750" s="465">
        <f t="shared" si="187"/>
        <v>0</v>
      </c>
      <c r="O1750" s="179"/>
      <c r="P1750" s="180"/>
      <c r="Q1750" s="173"/>
      <c r="R1750" s="173"/>
      <c r="S1750" s="174"/>
      <c r="T1750" s="173"/>
      <c r="U1750" s="182"/>
      <c r="V1750" s="177">
        <f>IF(U1750=0,0,IF(T1750="MXN",1/HLOOKUP(YEAR(S1750)+(MONTH(S1750)/100),TC!$5:$37,DAY(S1750)+2,FALSE),VLOOKUP(T1750,Equivalencia!$1:$23,((MAX(Equivalencia!$3:$3)-YEAR(S1750))*14)+MONTH(S1750)+2,FALSE)))</f>
        <v>0</v>
      </c>
      <c r="W1750" s="178">
        <f t="shared" si="188"/>
        <v>0</v>
      </c>
      <c r="X1750" s="481">
        <f t="shared" si="189"/>
        <v>0</v>
      </c>
      <c r="Y1750" s="179"/>
      <c r="Z1750" s="466">
        <f t="shared" si="190"/>
        <v>0</v>
      </c>
      <c r="AA1750" s="473">
        <f t="shared" si="191"/>
        <v>0</v>
      </c>
      <c r="AB1750" s="339">
        <f t="shared" si="192"/>
        <v>0</v>
      </c>
    </row>
    <row r="1751" spans="2:28" ht="20.100000000000001" customHeight="1">
      <c r="B1751" s="172"/>
      <c r="C1751" s="174"/>
      <c r="D1751" s="181"/>
      <c r="E1751" s="173"/>
      <c r="F1751" s="176"/>
      <c r="G1751" s="175">
        <f t="shared" si="183"/>
        <v>0</v>
      </c>
      <c r="H1751" s="175">
        <f t="shared" si="184"/>
        <v>0</v>
      </c>
      <c r="I1751" s="177">
        <f>IF(G1751=0,0,IF(E1751="MXN",1/HLOOKUP(YEAR(C1751)+(MONTH(C1751)/100),TC!$5:$37,DAY(C1751)+2,FALSE),VLOOKUP(E1751,Equivalencia!$5:$23,((MAX(Equivalencia!$3:$3)-YEAR(C1751))*14)+MONTH(C1751)+2,FALSE)))</f>
        <v>0</v>
      </c>
      <c r="J1751" s="178">
        <f t="shared" si="185"/>
        <v>0</v>
      </c>
      <c r="K1751" s="462">
        <f>IF(C1751=0,0,VLOOKUP(YEAR(C1751),INPC!$B$4:$O$29,MONTH(C1751)+1))</f>
        <v>0</v>
      </c>
      <c r="L1751" s="462">
        <f>IF(S1751=0,0,VLOOKUP(YEAR(S1751),INPC!$B$4:$O$29,MONTH(S1751)+1))</f>
        <v>0</v>
      </c>
      <c r="M1751" s="463">
        <f t="shared" si="186"/>
        <v>0</v>
      </c>
      <c r="N1751" s="465">
        <f t="shared" si="187"/>
        <v>0</v>
      </c>
      <c r="O1751" s="179"/>
      <c r="P1751" s="180"/>
      <c r="Q1751" s="173"/>
      <c r="R1751" s="173"/>
      <c r="S1751" s="174"/>
      <c r="T1751" s="173"/>
      <c r="U1751" s="182"/>
      <c r="V1751" s="177">
        <f>IF(U1751=0,0,IF(T1751="MXN",1/HLOOKUP(YEAR(S1751)+(MONTH(S1751)/100),TC!$5:$37,DAY(S1751)+2,FALSE),VLOOKUP(T1751,Equivalencia!$1:$23,((MAX(Equivalencia!$3:$3)-YEAR(S1751))*14)+MONTH(S1751)+2,FALSE)))</f>
        <v>0</v>
      </c>
      <c r="W1751" s="178">
        <f t="shared" si="188"/>
        <v>0</v>
      </c>
      <c r="X1751" s="481">
        <f t="shared" si="189"/>
        <v>0</v>
      </c>
      <c r="Y1751" s="179"/>
      <c r="Z1751" s="466">
        <f t="shared" si="190"/>
        <v>0</v>
      </c>
      <c r="AA1751" s="473">
        <f t="shared" si="191"/>
        <v>0</v>
      </c>
      <c r="AB1751" s="339">
        <f t="shared" si="192"/>
        <v>0</v>
      </c>
    </row>
    <row r="1752" spans="2:28" ht="20.100000000000001" customHeight="1">
      <c r="B1752" s="172"/>
      <c r="C1752" s="174"/>
      <c r="D1752" s="181"/>
      <c r="E1752" s="173"/>
      <c r="F1752" s="176"/>
      <c r="G1752" s="175">
        <f t="shared" si="183"/>
        <v>0</v>
      </c>
      <c r="H1752" s="175">
        <f t="shared" si="184"/>
        <v>0</v>
      </c>
      <c r="I1752" s="177">
        <f>IF(G1752=0,0,IF(E1752="MXN",1/HLOOKUP(YEAR(C1752)+(MONTH(C1752)/100),TC!$5:$37,DAY(C1752)+2,FALSE),VLOOKUP(E1752,Equivalencia!$5:$23,((MAX(Equivalencia!$3:$3)-YEAR(C1752))*14)+MONTH(C1752)+2,FALSE)))</f>
        <v>0</v>
      </c>
      <c r="J1752" s="178">
        <f t="shared" si="185"/>
        <v>0</v>
      </c>
      <c r="K1752" s="462">
        <f>IF(C1752=0,0,VLOOKUP(YEAR(C1752),INPC!$B$4:$O$29,MONTH(C1752)+1))</f>
        <v>0</v>
      </c>
      <c r="L1752" s="462">
        <f>IF(S1752=0,0,VLOOKUP(YEAR(S1752),INPC!$B$4:$O$29,MONTH(S1752)+1))</f>
        <v>0</v>
      </c>
      <c r="M1752" s="463">
        <f t="shared" si="186"/>
        <v>0</v>
      </c>
      <c r="N1752" s="465">
        <f t="shared" si="187"/>
        <v>0</v>
      </c>
      <c r="O1752" s="179"/>
      <c r="P1752" s="180"/>
      <c r="Q1752" s="173"/>
      <c r="R1752" s="173"/>
      <c r="S1752" s="174"/>
      <c r="T1752" s="173"/>
      <c r="U1752" s="182"/>
      <c r="V1752" s="177">
        <f>IF(U1752=0,0,IF(T1752="MXN",1/HLOOKUP(YEAR(S1752)+(MONTH(S1752)/100),TC!$5:$37,DAY(S1752)+2,FALSE),VLOOKUP(T1752,Equivalencia!$1:$23,((MAX(Equivalencia!$3:$3)-YEAR(S1752))*14)+MONTH(S1752)+2,FALSE)))</f>
        <v>0</v>
      </c>
      <c r="W1752" s="178">
        <f t="shared" si="188"/>
        <v>0</v>
      </c>
      <c r="X1752" s="481">
        <f t="shared" si="189"/>
        <v>0</v>
      </c>
      <c r="Y1752" s="179"/>
      <c r="Z1752" s="466">
        <f t="shared" si="190"/>
        <v>0</v>
      </c>
      <c r="AA1752" s="473">
        <f t="shared" si="191"/>
        <v>0</v>
      </c>
      <c r="AB1752" s="339">
        <f t="shared" si="192"/>
        <v>0</v>
      </c>
    </row>
    <row r="1753" spans="2:28" ht="20.100000000000001" customHeight="1">
      <c r="B1753" s="172"/>
      <c r="C1753" s="174"/>
      <c r="D1753" s="181"/>
      <c r="E1753" s="173"/>
      <c r="F1753" s="176"/>
      <c r="G1753" s="175">
        <f t="shared" si="183"/>
        <v>0</v>
      </c>
      <c r="H1753" s="175">
        <f t="shared" si="184"/>
        <v>0</v>
      </c>
      <c r="I1753" s="177">
        <f>IF(G1753=0,0,IF(E1753="MXN",1/HLOOKUP(YEAR(C1753)+(MONTH(C1753)/100),TC!$5:$37,DAY(C1753)+2,FALSE),VLOOKUP(E1753,Equivalencia!$5:$23,((MAX(Equivalencia!$3:$3)-YEAR(C1753))*14)+MONTH(C1753)+2,FALSE)))</f>
        <v>0</v>
      </c>
      <c r="J1753" s="178">
        <f t="shared" si="185"/>
        <v>0</v>
      </c>
      <c r="K1753" s="462">
        <f>IF(C1753=0,0,VLOOKUP(YEAR(C1753),INPC!$B$4:$O$29,MONTH(C1753)+1))</f>
        <v>0</v>
      </c>
      <c r="L1753" s="462">
        <f>IF(S1753=0,0,VLOOKUP(YEAR(S1753),INPC!$B$4:$O$29,MONTH(S1753)+1))</f>
        <v>0</v>
      </c>
      <c r="M1753" s="463">
        <f t="shared" si="186"/>
        <v>0</v>
      </c>
      <c r="N1753" s="465">
        <f t="shared" si="187"/>
        <v>0</v>
      </c>
      <c r="O1753" s="179"/>
      <c r="P1753" s="180"/>
      <c r="Q1753" s="173"/>
      <c r="R1753" s="173"/>
      <c r="S1753" s="174"/>
      <c r="T1753" s="173"/>
      <c r="U1753" s="182"/>
      <c r="V1753" s="177">
        <f>IF(U1753=0,0,IF(T1753="MXN",1/HLOOKUP(YEAR(S1753)+(MONTH(S1753)/100),TC!$5:$37,DAY(S1753)+2,FALSE),VLOOKUP(T1753,Equivalencia!$1:$23,((MAX(Equivalencia!$3:$3)-YEAR(S1753))*14)+MONTH(S1753)+2,FALSE)))</f>
        <v>0</v>
      </c>
      <c r="W1753" s="178">
        <f t="shared" si="188"/>
        <v>0</v>
      </c>
      <c r="X1753" s="481">
        <f t="shared" si="189"/>
        <v>0</v>
      </c>
      <c r="Y1753" s="179"/>
      <c r="Z1753" s="466">
        <f t="shared" si="190"/>
        <v>0</v>
      </c>
      <c r="AA1753" s="473">
        <f t="shared" si="191"/>
        <v>0</v>
      </c>
      <c r="AB1753" s="339">
        <f t="shared" si="192"/>
        <v>0</v>
      </c>
    </row>
    <row r="1754" spans="2:28" ht="20.100000000000001" customHeight="1">
      <c r="B1754" s="172"/>
      <c r="C1754" s="174"/>
      <c r="D1754" s="181"/>
      <c r="E1754" s="173"/>
      <c r="F1754" s="176"/>
      <c r="G1754" s="175">
        <f t="shared" si="183"/>
        <v>0</v>
      </c>
      <c r="H1754" s="175">
        <f t="shared" si="184"/>
        <v>0</v>
      </c>
      <c r="I1754" s="177">
        <f>IF(G1754=0,0,IF(E1754="MXN",1/HLOOKUP(YEAR(C1754)+(MONTH(C1754)/100),TC!$5:$37,DAY(C1754)+2,FALSE),VLOOKUP(E1754,Equivalencia!$5:$23,((MAX(Equivalencia!$3:$3)-YEAR(C1754))*14)+MONTH(C1754)+2,FALSE)))</f>
        <v>0</v>
      </c>
      <c r="J1754" s="178">
        <f t="shared" si="185"/>
        <v>0</v>
      </c>
      <c r="K1754" s="462">
        <f>IF(C1754=0,0,VLOOKUP(YEAR(C1754),INPC!$B$4:$O$29,MONTH(C1754)+1))</f>
        <v>0</v>
      </c>
      <c r="L1754" s="462">
        <f>IF(S1754=0,0,VLOOKUP(YEAR(S1754),INPC!$B$4:$O$29,MONTH(S1754)+1))</f>
        <v>0</v>
      </c>
      <c r="M1754" s="463">
        <f t="shared" si="186"/>
        <v>0</v>
      </c>
      <c r="N1754" s="465">
        <f t="shared" si="187"/>
        <v>0</v>
      </c>
      <c r="O1754" s="179"/>
      <c r="P1754" s="180"/>
      <c r="Q1754" s="173"/>
      <c r="R1754" s="173"/>
      <c r="S1754" s="174"/>
      <c r="T1754" s="173"/>
      <c r="U1754" s="182"/>
      <c r="V1754" s="177">
        <f>IF(U1754=0,0,IF(T1754="MXN",1/HLOOKUP(YEAR(S1754)+(MONTH(S1754)/100),TC!$5:$37,DAY(S1754)+2,FALSE),VLOOKUP(T1754,Equivalencia!$1:$23,((MAX(Equivalencia!$3:$3)-YEAR(S1754))*14)+MONTH(S1754)+2,FALSE)))</f>
        <v>0</v>
      </c>
      <c r="W1754" s="178">
        <f t="shared" si="188"/>
        <v>0</v>
      </c>
      <c r="X1754" s="481">
        <f t="shared" si="189"/>
        <v>0</v>
      </c>
      <c r="Y1754" s="179"/>
      <c r="Z1754" s="466">
        <f t="shared" si="190"/>
        <v>0</v>
      </c>
      <c r="AA1754" s="473">
        <f t="shared" si="191"/>
        <v>0</v>
      </c>
      <c r="AB1754" s="339">
        <f t="shared" si="192"/>
        <v>0</v>
      </c>
    </row>
    <row r="1755" spans="2:28" ht="20.100000000000001" customHeight="1">
      <c r="B1755" s="172"/>
      <c r="C1755" s="174"/>
      <c r="D1755" s="181"/>
      <c r="E1755" s="173"/>
      <c r="F1755" s="176"/>
      <c r="G1755" s="175">
        <f t="shared" si="183"/>
        <v>0</v>
      </c>
      <c r="H1755" s="175">
        <f t="shared" si="184"/>
        <v>0</v>
      </c>
      <c r="I1755" s="177">
        <f>IF(G1755=0,0,IF(E1755="MXN",1/HLOOKUP(YEAR(C1755)+(MONTH(C1755)/100),TC!$5:$37,DAY(C1755)+2,FALSE),VLOOKUP(E1755,Equivalencia!$5:$23,((MAX(Equivalencia!$3:$3)-YEAR(C1755))*14)+MONTH(C1755)+2,FALSE)))</f>
        <v>0</v>
      </c>
      <c r="J1755" s="178">
        <f t="shared" si="185"/>
        <v>0</v>
      </c>
      <c r="K1755" s="462">
        <f>IF(C1755=0,0,VLOOKUP(YEAR(C1755),INPC!$B$4:$O$29,MONTH(C1755)+1))</f>
        <v>0</v>
      </c>
      <c r="L1755" s="462">
        <f>IF(S1755=0,0,VLOOKUP(YEAR(S1755),INPC!$B$4:$O$29,MONTH(S1755)+1))</f>
        <v>0</v>
      </c>
      <c r="M1755" s="463">
        <f t="shared" si="186"/>
        <v>0</v>
      </c>
      <c r="N1755" s="465">
        <f t="shared" si="187"/>
        <v>0</v>
      </c>
      <c r="O1755" s="179"/>
      <c r="P1755" s="180"/>
      <c r="Q1755" s="173"/>
      <c r="R1755" s="173"/>
      <c r="S1755" s="174"/>
      <c r="T1755" s="173"/>
      <c r="U1755" s="182"/>
      <c r="V1755" s="177">
        <f>IF(U1755=0,0,IF(T1755="MXN",1/HLOOKUP(YEAR(S1755)+(MONTH(S1755)/100),TC!$5:$37,DAY(S1755)+2,FALSE),VLOOKUP(T1755,Equivalencia!$1:$23,((MAX(Equivalencia!$3:$3)-YEAR(S1755))*14)+MONTH(S1755)+2,FALSE)))</f>
        <v>0</v>
      </c>
      <c r="W1755" s="178">
        <f t="shared" si="188"/>
        <v>0</v>
      </c>
      <c r="X1755" s="481">
        <f t="shared" si="189"/>
        <v>0</v>
      </c>
      <c r="Y1755" s="179"/>
      <c r="Z1755" s="466">
        <f t="shared" si="190"/>
        <v>0</v>
      </c>
      <c r="AA1755" s="473">
        <f t="shared" si="191"/>
        <v>0</v>
      </c>
      <c r="AB1755" s="339">
        <f t="shared" si="192"/>
        <v>0</v>
      </c>
    </row>
    <row r="1756" spans="2:28" ht="20.100000000000001" customHeight="1">
      <c r="B1756" s="172"/>
      <c r="C1756" s="174"/>
      <c r="D1756" s="181"/>
      <c r="E1756" s="173"/>
      <c r="F1756" s="176"/>
      <c r="G1756" s="175">
        <f t="shared" si="183"/>
        <v>0</v>
      </c>
      <c r="H1756" s="175">
        <f t="shared" si="184"/>
        <v>0</v>
      </c>
      <c r="I1756" s="177">
        <f>IF(G1756=0,0,IF(E1756="MXN",1/HLOOKUP(YEAR(C1756)+(MONTH(C1756)/100),TC!$5:$37,DAY(C1756)+2,FALSE),VLOOKUP(E1756,Equivalencia!$5:$23,((MAX(Equivalencia!$3:$3)-YEAR(C1756))*14)+MONTH(C1756)+2,FALSE)))</f>
        <v>0</v>
      </c>
      <c r="J1756" s="178">
        <f t="shared" si="185"/>
        <v>0</v>
      </c>
      <c r="K1756" s="462">
        <f>IF(C1756=0,0,VLOOKUP(YEAR(C1756),INPC!$B$4:$O$29,MONTH(C1756)+1))</f>
        <v>0</v>
      </c>
      <c r="L1756" s="462">
        <f>IF(S1756=0,0,VLOOKUP(YEAR(S1756),INPC!$B$4:$O$29,MONTH(S1756)+1))</f>
        <v>0</v>
      </c>
      <c r="M1756" s="463">
        <f t="shared" si="186"/>
        <v>0</v>
      </c>
      <c r="N1756" s="465">
        <f t="shared" si="187"/>
        <v>0</v>
      </c>
      <c r="O1756" s="179"/>
      <c r="P1756" s="180"/>
      <c r="Q1756" s="173"/>
      <c r="R1756" s="173"/>
      <c r="S1756" s="174"/>
      <c r="T1756" s="173"/>
      <c r="U1756" s="182"/>
      <c r="V1756" s="177">
        <f>IF(U1756=0,0,IF(T1756="MXN",1/HLOOKUP(YEAR(S1756)+(MONTH(S1756)/100),TC!$5:$37,DAY(S1756)+2,FALSE),VLOOKUP(T1756,Equivalencia!$1:$23,((MAX(Equivalencia!$3:$3)-YEAR(S1756))*14)+MONTH(S1756)+2,FALSE)))</f>
        <v>0</v>
      </c>
      <c r="W1756" s="178">
        <f t="shared" si="188"/>
        <v>0</v>
      </c>
      <c r="X1756" s="481">
        <f t="shared" si="189"/>
        <v>0</v>
      </c>
      <c r="Y1756" s="179"/>
      <c r="Z1756" s="466">
        <f t="shared" si="190"/>
        <v>0</v>
      </c>
      <c r="AA1756" s="473">
        <f t="shared" si="191"/>
        <v>0</v>
      </c>
      <c r="AB1756" s="339">
        <f t="shared" si="192"/>
        <v>0</v>
      </c>
    </row>
    <row r="1757" spans="2:28" ht="20.100000000000001" customHeight="1">
      <c r="B1757" s="172"/>
      <c r="C1757" s="174"/>
      <c r="D1757" s="181"/>
      <c r="E1757" s="173"/>
      <c r="F1757" s="176"/>
      <c r="G1757" s="175">
        <f t="shared" si="183"/>
        <v>0</v>
      </c>
      <c r="H1757" s="175">
        <f t="shared" si="184"/>
        <v>0</v>
      </c>
      <c r="I1757" s="177">
        <f>IF(G1757=0,0,IF(E1757="MXN",1/HLOOKUP(YEAR(C1757)+(MONTH(C1757)/100),TC!$5:$37,DAY(C1757)+2,FALSE),VLOOKUP(E1757,Equivalencia!$5:$23,((MAX(Equivalencia!$3:$3)-YEAR(C1757))*14)+MONTH(C1757)+2,FALSE)))</f>
        <v>0</v>
      </c>
      <c r="J1757" s="178">
        <f t="shared" si="185"/>
        <v>0</v>
      </c>
      <c r="K1757" s="462">
        <f>IF(C1757=0,0,VLOOKUP(YEAR(C1757),INPC!$B$4:$O$29,MONTH(C1757)+1))</f>
        <v>0</v>
      </c>
      <c r="L1757" s="462">
        <f>IF(S1757=0,0,VLOOKUP(YEAR(S1757),INPC!$B$4:$O$29,MONTH(S1757)+1))</f>
        <v>0</v>
      </c>
      <c r="M1757" s="463">
        <f t="shared" si="186"/>
        <v>0</v>
      </c>
      <c r="N1757" s="465">
        <f t="shared" si="187"/>
        <v>0</v>
      </c>
      <c r="O1757" s="179"/>
      <c r="P1757" s="180"/>
      <c r="Q1757" s="173"/>
      <c r="R1757" s="173"/>
      <c r="S1757" s="174"/>
      <c r="T1757" s="173"/>
      <c r="U1757" s="182"/>
      <c r="V1757" s="177">
        <f>IF(U1757=0,0,IF(T1757="MXN",1/HLOOKUP(YEAR(S1757)+(MONTH(S1757)/100),TC!$5:$37,DAY(S1757)+2,FALSE),VLOOKUP(T1757,Equivalencia!$1:$23,((MAX(Equivalencia!$3:$3)-YEAR(S1757))*14)+MONTH(S1757)+2,FALSE)))</f>
        <v>0</v>
      </c>
      <c r="W1757" s="178">
        <f t="shared" si="188"/>
        <v>0</v>
      </c>
      <c r="X1757" s="481">
        <f t="shared" si="189"/>
        <v>0</v>
      </c>
      <c r="Y1757" s="179"/>
      <c r="Z1757" s="466">
        <f t="shared" si="190"/>
        <v>0</v>
      </c>
      <c r="AA1757" s="473">
        <f t="shared" si="191"/>
        <v>0</v>
      </c>
      <c r="AB1757" s="339">
        <f t="shared" si="192"/>
        <v>0</v>
      </c>
    </row>
    <row r="1758" spans="2:28" ht="20.100000000000001" customHeight="1">
      <c r="B1758" s="172"/>
      <c r="C1758" s="174"/>
      <c r="D1758" s="181"/>
      <c r="E1758" s="173"/>
      <c r="F1758" s="176"/>
      <c r="G1758" s="175">
        <f t="shared" si="183"/>
        <v>0</v>
      </c>
      <c r="H1758" s="175">
        <f t="shared" si="184"/>
        <v>0</v>
      </c>
      <c r="I1758" s="177">
        <f>IF(G1758=0,0,IF(E1758="MXN",1/HLOOKUP(YEAR(C1758)+(MONTH(C1758)/100),TC!$5:$37,DAY(C1758)+2,FALSE),VLOOKUP(E1758,Equivalencia!$5:$23,((MAX(Equivalencia!$3:$3)-YEAR(C1758))*14)+MONTH(C1758)+2,FALSE)))</f>
        <v>0</v>
      </c>
      <c r="J1758" s="178">
        <f t="shared" si="185"/>
        <v>0</v>
      </c>
      <c r="K1758" s="462">
        <f>IF(C1758=0,0,VLOOKUP(YEAR(C1758),INPC!$B$4:$O$29,MONTH(C1758)+1))</f>
        <v>0</v>
      </c>
      <c r="L1758" s="462">
        <f>IF(S1758=0,0,VLOOKUP(YEAR(S1758),INPC!$B$4:$O$29,MONTH(S1758)+1))</f>
        <v>0</v>
      </c>
      <c r="M1758" s="463">
        <f t="shared" si="186"/>
        <v>0</v>
      </c>
      <c r="N1758" s="465">
        <f t="shared" si="187"/>
        <v>0</v>
      </c>
      <c r="O1758" s="179"/>
      <c r="P1758" s="180"/>
      <c r="Q1758" s="173"/>
      <c r="R1758" s="173"/>
      <c r="S1758" s="174"/>
      <c r="T1758" s="173"/>
      <c r="U1758" s="182"/>
      <c r="V1758" s="177">
        <f>IF(U1758=0,0,IF(T1758="MXN",1/HLOOKUP(YEAR(S1758)+(MONTH(S1758)/100),TC!$5:$37,DAY(S1758)+2,FALSE),VLOOKUP(T1758,Equivalencia!$1:$23,((MAX(Equivalencia!$3:$3)-YEAR(S1758))*14)+MONTH(S1758)+2,FALSE)))</f>
        <v>0</v>
      </c>
      <c r="W1758" s="178">
        <f t="shared" si="188"/>
        <v>0</v>
      </c>
      <c r="X1758" s="481">
        <f t="shared" si="189"/>
        <v>0</v>
      </c>
      <c r="Y1758" s="179"/>
      <c r="Z1758" s="466">
        <f t="shared" si="190"/>
        <v>0</v>
      </c>
      <c r="AA1758" s="473">
        <f t="shared" si="191"/>
        <v>0</v>
      </c>
      <c r="AB1758" s="339">
        <f t="shared" si="192"/>
        <v>0</v>
      </c>
    </row>
    <row r="1759" spans="2:28" ht="20.100000000000001" customHeight="1">
      <c r="B1759" s="172"/>
      <c r="C1759" s="174"/>
      <c r="D1759" s="181"/>
      <c r="E1759" s="173"/>
      <c r="F1759" s="176"/>
      <c r="G1759" s="175">
        <f t="shared" si="183"/>
        <v>0</v>
      </c>
      <c r="H1759" s="175">
        <f t="shared" si="184"/>
        <v>0</v>
      </c>
      <c r="I1759" s="177">
        <f>IF(G1759=0,0,IF(E1759="MXN",1/HLOOKUP(YEAR(C1759)+(MONTH(C1759)/100),TC!$5:$37,DAY(C1759)+2,FALSE),VLOOKUP(E1759,Equivalencia!$5:$23,((MAX(Equivalencia!$3:$3)-YEAR(C1759))*14)+MONTH(C1759)+2,FALSE)))</f>
        <v>0</v>
      </c>
      <c r="J1759" s="178">
        <f t="shared" si="185"/>
        <v>0</v>
      </c>
      <c r="K1759" s="462">
        <f>IF(C1759=0,0,VLOOKUP(YEAR(C1759),INPC!$B$4:$O$29,MONTH(C1759)+1))</f>
        <v>0</v>
      </c>
      <c r="L1759" s="462">
        <f>IF(S1759=0,0,VLOOKUP(YEAR(S1759),INPC!$B$4:$O$29,MONTH(S1759)+1))</f>
        <v>0</v>
      </c>
      <c r="M1759" s="463">
        <f t="shared" si="186"/>
        <v>0</v>
      </c>
      <c r="N1759" s="465">
        <f t="shared" si="187"/>
        <v>0</v>
      </c>
      <c r="O1759" s="179"/>
      <c r="P1759" s="180"/>
      <c r="Q1759" s="173"/>
      <c r="R1759" s="173"/>
      <c r="S1759" s="174"/>
      <c r="T1759" s="173"/>
      <c r="U1759" s="182"/>
      <c r="V1759" s="177">
        <f>IF(U1759=0,0,IF(T1759="MXN",1/HLOOKUP(YEAR(S1759)+(MONTH(S1759)/100),TC!$5:$37,DAY(S1759)+2,FALSE),VLOOKUP(T1759,Equivalencia!$1:$23,((MAX(Equivalencia!$3:$3)-YEAR(S1759))*14)+MONTH(S1759)+2,FALSE)))</f>
        <v>0</v>
      </c>
      <c r="W1759" s="178">
        <f t="shared" si="188"/>
        <v>0</v>
      </c>
      <c r="X1759" s="481">
        <f t="shared" si="189"/>
        <v>0</v>
      </c>
      <c r="Y1759" s="179"/>
      <c r="Z1759" s="466">
        <f t="shared" si="190"/>
        <v>0</v>
      </c>
      <c r="AA1759" s="473">
        <f t="shared" si="191"/>
        <v>0</v>
      </c>
      <c r="AB1759" s="339">
        <f t="shared" si="192"/>
        <v>0</v>
      </c>
    </row>
    <row r="1760" spans="2:28" ht="20.100000000000001" customHeight="1">
      <c r="B1760" s="172"/>
      <c r="C1760" s="174"/>
      <c r="D1760" s="181"/>
      <c r="E1760" s="173"/>
      <c r="F1760" s="176"/>
      <c r="G1760" s="175">
        <f t="shared" si="183"/>
        <v>0</v>
      </c>
      <c r="H1760" s="175">
        <f t="shared" si="184"/>
        <v>0</v>
      </c>
      <c r="I1760" s="177">
        <f>IF(G1760=0,0,IF(E1760="MXN",1/HLOOKUP(YEAR(C1760)+(MONTH(C1760)/100),TC!$5:$37,DAY(C1760)+2,FALSE),VLOOKUP(E1760,Equivalencia!$5:$23,((MAX(Equivalencia!$3:$3)-YEAR(C1760))*14)+MONTH(C1760)+2,FALSE)))</f>
        <v>0</v>
      </c>
      <c r="J1760" s="178">
        <f t="shared" si="185"/>
        <v>0</v>
      </c>
      <c r="K1760" s="462">
        <f>IF(C1760=0,0,VLOOKUP(YEAR(C1760),INPC!$B$4:$O$29,MONTH(C1760)+1))</f>
        <v>0</v>
      </c>
      <c r="L1760" s="462">
        <f>IF(S1760=0,0,VLOOKUP(YEAR(S1760),INPC!$B$4:$O$29,MONTH(S1760)+1))</f>
        <v>0</v>
      </c>
      <c r="M1760" s="463">
        <f t="shared" si="186"/>
        <v>0</v>
      </c>
      <c r="N1760" s="465">
        <f t="shared" si="187"/>
        <v>0</v>
      </c>
      <c r="O1760" s="179"/>
      <c r="P1760" s="180"/>
      <c r="Q1760" s="173"/>
      <c r="R1760" s="173"/>
      <c r="S1760" s="174"/>
      <c r="T1760" s="173"/>
      <c r="U1760" s="182"/>
      <c r="V1760" s="177">
        <f>IF(U1760=0,0,IF(T1760="MXN",1/HLOOKUP(YEAR(S1760)+(MONTH(S1760)/100),TC!$5:$37,DAY(S1760)+2,FALSE),VLOOKUP(T1760,Equivalencia!$1:$23,((MAX(Equivalencia!$3:$3)-YEAR(S1760))*14)+MONTH(S1760)+2,FALSE)))</f>
        <v>0</v>
      </c>
      <c r="W1760" s="178">
        <f t="shared" si="188"/>
        <v>0</v>
      </c>
      <c r="X1760" s="481">
        <f t="shared" si="189"/>
        <v>0</v>
      </c>
      <c r="Y1760" s="179"/>
      <c r="Z1760" s="466">
        <f t="shared" si="190"/>
        <v>0</v>
      </c>
      <c r="AA1760" s="473">
        <f t="shared" si="191"/>
        <v>0</v>
      </c>
      <c r="AB1760" s="339">
        <f t="shared" si="192"/>
        <v>0</v>
      </c>
    </row>
    <row r="1761" spans="2:28" ht="20.100000000000001" customHeight="1">
      <c r="B1761" s="172"/>
      <c r="C1761" s="174"/>
      <c r="D1761" s="181"/>
      <c r="E1761" s="173"/>
      <c r="F1761" s="176"/>
      <c r="G1761" s="175">
        <f t="shared" si="183"/>
        <v>0</v>
      </c>
      <c r="H1761" s="175">
        <f t="shared" si="184"/>
        <v>0</v>
      </c>
      <c r="I1761" s="177">
        <f>IF(G1761=0,0,IF(E1761="MXN",1/HLOOKUP(YEAR(C1761)+(MONTH(C1761)/100),TC!$5:$37,DAY(C1761)+2,FALSE),VLOOKUP(E1761,Equivalencia!$5:$23,((MAX(Equivalencia!$3:$3)-YEAR(C1761))*14)+MONTH(C1761)+2,FALSE)))</f>
        <v>0</v>
      </c>
      <c r="J1761" s="178">
        <f t="shared" si="185"/>
        <v>0</v>
      </c>
      <c r="K1761" s="462">
        <f>IF(C1761=0,0,VLOOKUP(YEAR(C1761),INPC!$B$4:$O$29,MONTH(C1761)+1))</f>
        <v>0</v>
      </c>
      <c r="L1761" s="462">
        <f>IF(S1761=0,0,VLOOKUP(YEAR(S1761),INPC!$B$4:$O$29,MONTH(S1761)+1))</f>
        <v>0</v>
      </c>
      <c r="M1761" s="463">
        <f t="shared" si="186"/>
        <v>0</v>
      </c>
      <c r="N1761" s="465">
        <f t="shared" si="187"/>
        <v>0</v>
      </c>
      <c r="O1761" s="179"/>
      <c r="P1761" s="180"/>
      <c r="Q1761" s="173"/>
      <c r="R1761" s="173"/>
      <c r="S1761" s="174"/>
      <c r="T1761" s="173"/>
      <c r="U1761" s="182"/>
      <c r="V1761" s="177">
        <f>IF(U1761=0,0,IF(T1761="MXN",1/HLOOKUP(YEAR(S1761)+(MONTH(S1761)/100),TC!$5:$37,DAY(S1761)+2,FALSE),VLOOKUP(T1761,Equivalencia!$1:$23,((MAX(Equivalencia!$3:$3)-YEAR(S1761))*14)+MONTH(S1761)+2,FALSE)))</f>
        <v>0</v>
      </c>
      <c r="W1761" s="178">
        <f t="shared" si="188"/>
        <v>0</v>
      </c>
      <c r="X1761" s="481">
        <f t="shared" si="189"/>
        <v>0</v>
      </c>
      <c r="Y1761" s="179"/>
      <c r="Z1761" s="466">
        <f t="shared" si="190"/>
        <v>0</v>
      </c>
      <c r="AA1761" s="473">
        <f t="shared" si="191"/>
        <v>0</v>
      </c>
      <c r="AB1761" s="339">
        <f t="shared" si="192"/>
        <v>0</v>
      </c>
    </row>
    <row r="1762" spans="2:28" ht="20.100000000000001" customHeight="1">
      <c r="B1762" s="172"/>
      <c r="C1762" s="174"/>
      <c r="D1762" s="181"/>
      <c r="E1762" s="173"/>
      <c r="F1762" s="176"/>
      <c r="G1762" s="175">
        <f t="shared" si="183"/>
        <v>0</v>
      </c>
      <c r="H1762" s="175">
        <f t="shared" si="184"/>
        <v>0</v>
      </c>
      <c r="I1762" s="177">
        <f>IF(G1762=0,0,IF(E1762="MXN",1/HLOOKUP(YEAR(C1762)+(MONTH(C1762)/100),TC!$5:$37,DAY(C1762)+2,FALSE),VLOOKUP(E1762,Equivalencia!$5:$23,((MAX(Equivalencia!$3:$3)-YEAR(C1762))*14)+MONTH(C1762)+2,FALSE)))</f>
        <v>0</v>
      </c>
      <c r="J1762" s="178">
        <f t="shared" si="185"/>
        <v>0</v>
      </c>
      <c r="K1762" s="462">
        <f>IF(C1762=0,0,VLOOKUP(YEAR(C1762),INPC!$B$4:$O$29,MONTH(C1762)+1))</f>
        <v>0</v>
      </c>
      <c r="L1762" s="462">
        <f>IF(S1762=0,0,VLOOKUP(YEAR(S1762),INPC!$B$4:$O$29,MONTH(S1762)+1))</f>
        <v>0</v>
      </c>
      <c r="M1762" s="463">
        <f t="shared" si="186"/>
        <v>0</v>
      </c>
      <c r="N1762" s="465">
        <f t="shared" si="187"/>
        <v>0</v>
      </c>
      <c r="O1762" s="179"/>
      <c r="P1762" s="180"/>
      <c r="Q1762" s="173"/>
      <c r="R1762" s="173"/>
      <c r="S1762" s="174"/>
      <c r="T1762" s="173"/>
      <c r="U1762" s="182"/>
      <c r="V1762" s="177">
        <f>IF(U1762=0,0,IF(T1762="MXN",1/HLOOKUP(YEAR(S1762)+(MONTH(S1762)/100),TC!$5:$37,DAY(S1762)+2,FALSE),VLOOKUP(T1762,Equivalencia!$1:$23,((MAX(Equivalencia!$3:$3)-YEAR(S1762))*14)+MONTH(S1762)+2,FALSE)))</f>
        <v>0</v>
      </c>
      <c r="W1762" s="178">
        <f t="shared" si="188"/>
        <v>0</v>
      </c>
      <c r="X1762" s="481">
        <f t="shared" si="189"/>
        <v>0</v>
      </c>
      <c r="Y1762" s="179"/>
      <c r="Z1762" s="466">
        <f t="shared" si="190"/>
        <v>0</v>
      </c>
      <c r="AA1762" s="473">
        <f t="shared" si="191"/>
        <v>0</v>
      </c>
      <c r="AB1762" s="339">
        <f t="shared" si="192"/>
        <v>0</v>
      </c>
    </row>
    <row r="1763" spans="2:28" ht="20.100000000000001" customHeight="1">
      <c r="B1763" s="172"/>
      <c r="C1763" s="174"/>
      <c r="D1763" s="181"/>
      <c r="E1763" s="173"/>
      <c r="F1763" s="176"/>
      <c r="G1763" s="175">
        <f t="shared" si="183"/>
        <v>0</v>
      </c>
      <c r="H1763" s="175">
        <f t="shared" si="184"/>
        <v>0</v>
      </c>
      <c r="I1763" s="177">
        <f>IF(G1763=0,0,IF(E1763="MXN",1/HLOOKUP(YEAR(C1763)+(MONTH(C1763)/100),TC!$5:$37,DAY(C1763)+2,FALSE),VLOOKUP(E1763,Equivalencia!$5:$23,((MAX(Equivalencia!$3:$3)-YEAR(C1763))*14)+MONTH(C1763)+2,FALSE)))</f>
        <v>0</v>
      </c>
      <c r="J1763" s="178">
        <f t="shared" si="185"/>
        <v>0</v>
      </c>
      <c r="K1763" s="462">
        <f>IF(C1763=0,0,VLOOKUP(YEAR(C1763),INPC!$B$4:$O$29,MONTH(C1763)+1))</f>
        <v>0</v>
      </c>
      <c r="L1763" s="462">
        <f>IF(S1763=0,0,VLOOKUP(YEAR(S1763),INPC!$B$4:$O$29,MONTH(S1763)+1))</f>
        <v>0</v>
      </c>
      <c r="M1763" s="463">
        <f t="shared" si="186"/>
        <v>0</v>
      </c>
      <c r="N1763" s="465">
        <f t="shared" si="187"/>
        <v>0</v>
      </c>
      <c r="O1763" s="179"/>
      <c r="P1763" s="180"/>
      <c r="Q1763" s="173"/>
      <c r="R1763" s="173"/>
      <c r="S1763" s="174"/>
      <c r="T1763" s="173"/>
      <c r="U1763" s="182"/>
      <c r="V1763" s="177">
        <f>IF(U1763=0,0,IF(T1763="MXN",1/HLOOKUP(YEAR(S1763)+(MONTH(S1763)/100),TC!$5:$37,DAY(S1763)+2,FALSE),VLOOKUP(T1763,Equivalencia!$1:$23,((MAX(Equivalencia!$3:$3)-YEAR(S1763))*14)+MONTH(S1763)+2,FALSE)))</f>
        <v>0</v>
      </c>
      <c r="W1763" s="178">
        <f t="shared" si="188"/>
        <v>0</v>
      </c>
      <c r="X1763" s="481">
        <f t="shared" si="189"/>
        <v>0</v>
      </c>
      <c r="Y1763" s="179"/>
      <c r="Z1763" s="466">
        <f t="shared" si="190"/>
        <v>0</v>
      </c>
      <c r="AA1763" s="473">
        <f t="shared" si="191"/>
        <v>0</v>
      </c>
      <c r="AB1763" s="339">
        <f t="shared" si="192"/>
        <v>0</v>
      </c>
    </row>
    <row r="1764" spans="2:28" ht="20.100000000000001" customHeight="1">
      <c r="B1764" s="172"/>
      <c r="C1764" s="174"/>
      <c r="D1764" s="181"/>
      <c r="E1764" s="173"/>
      <c r="F1764" s="176"/>
      <c r="G1764" s="175">
        <f t="shared" ref="G1764:G2006" si="193">+P1764</f>
        <v>0</v>
      </c>
      <c r="H1764" s="175">
        <f t="shared" ref="H1764:H2006" si="194">IF(F1764=0,0,(F1764/G1764)*P1764)</f>
        <v>0</v>
      </c>
      <c r="I1764" s="177">
        <f>IF(G1764=0,0,IF(E1764="MXN",1/HLOOKUP(YEAR(C1764)+(MONTH(C1764)/100),TC!$5:$37,DAY(C1764)+2,FALSE),VLOOKUP(E1764,Equivalencia!$5:$23,((MAX(Equivalencia!$3:$3)-YEAR(C1764))*14)+MONTH(C1764)+2,FALSE)))</f>
        <v>0</v>
      </c>
      <c r="J1764" s="178">
        <f t="shared" ref="J1764:J2006" si="195">+H1764*I1764</f>
        <v>0</v>
      </c>
      <c r="K1764" s="462">
        <f>IF(C1764=0,0,VLOOKUP(YEAR(C1764),INPC!$B$4:$O$29,MONTH(C1764)+1))</f>
        <v>0</v>
      </c>
      <c r="L1764" s="462">
        <f>IF(S1764=0,0,VLOOKUP(YEAR(S1764),INPC!$B$4:$O$29,MONTH(S1764)+1))</f>
        <v>0</v>
      </c>
      <c r="M1764" s="463">
        <f t="shared" ref="M1764:M2006" si="196">IF(H1764=0,0,IF(R1764=$AF$4,1,IF(TRUNC(L1764/K1764,4)&gt;=1,TRUNC(L1764/K1764,4),1)))</f>
        <v>0</v>
      </c>
      <c r="N1764" s="465">
        <f t="shared" ref="N1764:N2006" si="197">+M1764*J1764</f>
        <v>0</v>
      </c>
      <c r="O1764" s="179"/>
      <c r="P1764" s="180"/>
      <c r="Q1764" s="173"/>
      <c r="R1764" s="173"/>
      <c r="S1764" s="174"/>
      <c r="T1764" s="173"/>
      <c r="U1764" s="182"/>
      <c r="V1764" s="177">
        <f>IF(U1764=0,0,IF(T1764="MXN",1/HLOOKUP(YEAR(S1764)+(MONTH(S1764)/100),TC!$5:$37,DAY(S1764)+2,FALSE),VLOOKUP(T1764,Equivalencia!$1:$23,((MAX(Equivalencia!$3:$3)-YEAR(S1764))*14)+MONTH(S1764)+2,FALSE)))</f>
        <v>0</v>
      </c>
      <c r="W1764" s="178">
        <f t="shared" ref="W1764:W2006" si="198">+V1764*U1764</f>
        <v>0</v>
      </c>
      <c r="X1764" s="481">
        <f t="shared" ref="X1764:X2006" si="199">+W1764-J1764</f>
        <v>0</v>
      </c>
      <c r="Y1764" s="179"/>
      <c r="Z1764" s="466">
        <f t="shared" ref="Z1764:Z2006" si="200">N1764</f>
        <v>0</v>
      </c>
      <c r="AA1764" s="473">
        <f t="shared" ref="AA1764:AA2006" si="201">+W1764-Z1764</f>
        <v>0</v>
      </c>
      <c r="AB1764" s="339">
        <f t="shared" ref="AB1764:AB2006" si="202">+IF(P1764=0,0,(U1764/F1764)-1)</f>
        <v>0</v>
      </c>
    </row>
    <row r="1765" spans="2:28" ht="20.100000000000001" customHeight="1">
      <c r="B1765" s="172"/>
      <c r="C1765" s="174"/>
      <c r="D1765" s="181"/>
      <c r="E1765" s="173"/>
      <c r="F1765" s="176"/>
      <c r="G1765" s="175">
        <f t="shared" si="193"/>
        <v>0</v>
      </c>
      <c r="H1765" s="175">
        <f t="shared" si="194"/>
        <v>0</v>
      </c>
      <c r="I1765" s="177">
        <f>IF(G1765=0,0,IF(E1765="MXN",1/HLOOKUP(YEAR(C1765)+(MONTH(C1765)/100),TC!$5:$37,DAY(C1765)+2,FALSE),VLOOKUP(E1765,Equivalencia!$5:$23,((MAX(Equivalencia!$3:$3)-YEAR(C1765))*14)+MONTH(C1765)+2,FALSE)))</f>
        <v>0</v>
      </c>
      <c r="J1765" s="178">
        <f t="shared" si="195"/>
        <v>0</v>
      </c>
      <c r="K1765" s="462">
        <f>IF(C1765=0,0,VLOOKUP(YEAR(C1765),INPC!$B$4:$O$29,MONTH(C1765)+1))</f>
        <v>0</v>
      </c>
      <c r="L1765" s="462">
        <f>IF(S1765=0,0,VLOOKUP(YEAR(S1765),INPC!$B$4:$O$29,MONTH(S1765)+1))</f>
        <v>0</v>
      </c>
      <c r="M1765" s="463">
        <f t="shared" si="196"/>
        <v>0</v>
      </c>
      <c r="N1765" s="465">
        <f t="shared" si="197"/>
        <v>0</v>
      </c>
      <c r="O1765" s="179"/>
      <c r="P1765" s="180"/>
      <c r="Q1765" s="173"/>
      <c r="R1765" s="173"/>
      <c r="S1765" s="174"/>
      <c r="T1765" s="173"/>
      <c r="U1765" s="182"/>
      <c r="V1765" s="177">
        <f>IF(U1765=0,0,IF(T1765="MXN",1/HLOOKUP(YEAR(S1765)+(MONTH(S1765)/100),TC!$5:$37,DAY(S1765)+2,FALSE),VLOOKUP(T1765,Equivalencia!$1:$23,((MAX(Equivalencia!$3:$3)-YEAR(S1765))*14)+MONTH(S1765)+2,FALSE)))</f>
        <v>0</v>
      </c>
      <c r="W1765" s="178">
        <f t="shared" si="198"/>
        <v>0</v>
      </c>
      <c r="X1765" s="481">
        <f t="shared" si="199"/>
        <v>0</v>
      </c>
      <c r="Y1765" s="179"/>
      <c r="Z1765" s="466">
        <f t="shared" si="200"/>
        <v>0</v>
      </c>
      <c r="AA1765" s="473">
        <f t="shared" si="201"/>
        <v>0</v>
      </c>
      <c r="AB1765" s="339">
        <f t="shared" si="202"/>
        <v>0</v>
      </c>
    </row>
    <row r="1766" spans="2:28" ht="20.100000000000001" customHeight="1">
      <c r="B1766" s="172"/>
      <c r="C1766" s="174"/>
      <c r="D1766" s="181"/>
      <c r="E1766" s="173"/>
      <c r="F1766" s="176"/>
      <c r="G1766" s="175">
        <f t="shared" si="193"/>
        <v>0</v>
      </c>
      <c r="H1766" s="175">
        <f t="shared" si="194"/>
        <v>0</v>
      </c>
      <c r="I1766" s="177">
        <f>IF(G1766=0,0,IF(E1766="MXN",1/HLOOKUP(YEAR(C1766)+(MONTH(C1766)/100),TC!$5:$37,DAY(C1766)+2,FALSE),VLOOKUP(E1766,Equivalencia!$5:$23,((MAX(Equivalencia!$3:$3)-YEAR(C1766))*14)+MONTH(C1766)+2,FALSE)))</f>
        <v>0</v>
      </c>
      <c r="J1766" s="178">
        <f t="shared" si="195"/>
        <v>0</v>
      </c>
      <c r="K1766" s="462">
        <f>IF(C1766=0,0,VLOOKUP(YEAR(C1766),INPC!$B$4:$O$29,MONTH(C1766)+1))</f>
        <v>0</v>
      </c>
      <c r="L1766" s="462">
        <f>IF(S1766=0,0,VLOOKUP(YEAR(S1766),INPC!$B$4:$O$29,MONTH(S1766)+1))</f>
        <v>0</v>
      </c>
      <c r="M1766" s="463">
        <f t="shared" si="196"/>
        <v>0</v>
      </c>
      <c r="N1766" s="465">
        <f t="shared" si="197"/>
        <v>0</v>
      </c>
      <c r="O1766" s="179"/>
      <c r="P1766" s="180"/>
      <c r="Q1766" s="173"/>
      <c r="R1766" s="173"/>
      <c r="S1766" s="174"/>
      <c r="T1766" s="173"/>
      <c r="U1766" s="182"/>
      <c r="V1766" s="177">
        <f>IF(U1766=0,0,IF(T1766="MXN",1/HLOOKUP(YEAR(S1766)+(MONTH(S1766)/100),TC!$5:$37,DAY(S1766)+2,FALSE),VLOOKUP(T1766,Equivalencia!$1:$23,((MAX(Equivalencia!$3:$3)-YEAR(S1766))*14)+MONTH(S1766)+2,FALSE)))</f>
        <v>0</v>
      </c>
      <c r="W1766" s="178">
        <f t="shared" si="198"/>
        <v>0</v>
      </c>
      <c r="X1766" s="481">
        <f t="shared" si="199"/>
        <v>0</v>
      </c>
      <c r="Y1766" s="179"/>
      <c r="Z1766" s="466">
        <f t="shared" si="200"/>
        <v>0</v>
      </c>
      <c r="AA1766" s="473">
        <f t="shared" si="201"/>
        <v>0</v>
      </c>
      <c r="AB1766" s="339">
        <f t="shared" si="202"/>
        <v>0</v>
      </c>
    </row>
    <row r="1767" spans="2:28" ht="20.100000000000001" customHeight="1">
      <c r="B1767" s="172"/>
      <c r="C1767" s="174"/>
      <c r="D1767" s="181"/>
      <c r="E1767" s="173"/>
      <c r="F1767" s="176"/>
      <c r="G1767" s="175">
        <f t="shared" si="193"/>
        <v>0</v>
      </c>
      <c r="H1767" s="175">
        <f t="shared" si="194"/>
        <v>0</v>
      </c>
      <c r="I1767" s="177">
        <f>IF(G1767=0,0,IF(E1767="MXN",1/HLOOKUP(YEAR(C1767)+(MONTH(C1767)/100),TC!$5:$37,DAY(C1767)+2,FALSE),VLOOKUP(E1767,Equivalencia!$5:$23,((MAX(Equivalencia!$3:$3)-YEAR(C1767))*14)+MONTH(C1767)+2,FALSE)))</f>
        <v>0</v>
      </c>
      <c r="J1767" s="178">
        <f t="shared" si="195"/>
        <v>0</v>
      </c>
      <c r="K1767" s="462">
        <f>IF(C1767=0,0,VLOOKUP(YEAR(C1767),INPC!$B$4:$O$29,MONTH(C1767)+1))</f>
        <v>0</v>
      </c>
      <c r="L1767" s="462">
        <f>IF(S1767=0,0,VLOOKUP(YEAR(S1767),INPC!$B$4:$O$29,MONTH(S1767)+1))</f>
        <v>0</v>
      </c>
      <c r="M1767" s="463">
        <f t="shared" si="196"/>
        <v>0</v>
      </c>
      <c r="N1767" s="465">
        <f t="shared" si="197"/>
        <v>0</v>
      </c>
      <c r="O1767" s="179"/>
      <c r="P1767" s="180"/>
      <c r="Q1767" s="173"/>
      <c r="R1767" s="173"/>
      <c r="S1767" s="174"/>
      <c r="T1767" s="173"/>
      <c r="U1767" s="182"/>
      <c r="V1767" s="177">
        <f>IF(U1767=0,0,IF(T1767="MXN",1/HLOOKUP(YEAR(S1767)+(MONTH(S1767)/100),TC!$5:$37,DAY(S1767)+2,FALSE),VLOOKUP(T1767,Equivalencia!$1:$23,((MAX(Equivalencia!$3:$3)-YEAR(S1767))*14)+MONTH(S1767)+2,FALSE)))</f>
        <v>0</v>
      </c>
      <c r="W1767" s="178">
        <f t="shared" si="198"/>
        <v>0</v>
      </c>
      <c r="X1767" s="481">
        <f t="shared" si="199"/>
        <v>0</v>
      </c>
      <c r="Y1767" s="179"/>
      <c r="Z1767" s="466">
        <f t="shared" si="200"/>
        <v>0</v>
      </c>
      <c r="AA1767" s="473">
        <f t="shared" si="201"/>
        <v>0</v>
      </c>
      <c r="AB1767" s="339">
        <f t="shared" si="202"/>
        <v>0</v>
      </c>
    </row>
    <row r="1768" spans="2:28" ht="20.100000000000001" customHeight="1">
      <c r="B1768" s="172"/>
      <c r="C1768" s="174"/>
      <c r="D1768" s="181"/>
      <c r="E1768" s="173"/>
      <c r="F1768" s="176"/>
      <c r="G1768" s="175">
        <f t="shared" si="193"/>
        <v>0</v>
      </c>
      <c r="H1768" s="175">
        <f t="shared" si="194"/>
        <v>0</v>
      </c>
      <c r="I1768" s="177">
        <f>IF(G1768=0,0,IF(E1768="MXN",1/HLOOKUP(YEAR(C1768)+(MONTH(C1768)/100),TC!$5:$37,DAY(C1768)+2,FALSE),VLOOKUP(E1768,Equivalencia!$5:$23,((MAX(Equivalencia!$3:$3)-YEAR(C1768))*14)+MONTH(C1768)+2,FALSE)))</f>
        <v>0</v>
      </c>
      <c r="J1768" s="178">
        <f t="shared" si="195"/>
        <v>0</v>
      </c>
      <c r="K1768" s="462">
        <f>IF(C1768=0,0,VLOOKUP(YEAR(C1768),INPC!$B$4:$O$29,MONTH(C1768)+1))</f>
        <v>0</v>
      </c>
      <c r="L1768" s="462">
        <f>IF(S1768=0,0,VLOOKUP(YEAR(S1768),INPC!$B$4:$O$29,MONTH(S1768)+1))</f>
        <v>0</v>
      </c>
      <c r="M1768" s="463">
        <f t="shared" si="196"/>
        <v>0</v>
      </c>
      <c r="N1768" s="465">
        <f t="shared" si="197"/>
        <v>0</v>
      </c>
      <c r="O1768" s="179"/>
      <c r="P1768" s="180"/>
      <c r="Q1768" s="173"/>
      <c r="R1768" s="173"/>
      <c r="S1768" s="174"/>
      <c r="T1768" s="173"/>
      <c r="U1768" s="182"/>
      <c r="V1768" s="177">
        <f>IF(U1768=0,0,IF(T1768="MXN",1/HLOOKUP(YEAR(S1768)+(MONTH(S1768)/100),TC!$5:$37,DAY(S1768)+2,FALSE),VLOOKUP(T1768,Equivalencia!$1:$23,((MAX(Equivalencia!$3:$3)-YEAR(S1768))*14)+MONTH(S1768)+2,FALSE)))</f>
        <v>0</v>
      </c>
      <c r="W1768" s="178">
        <f t="shared" si="198"/>
        <v>0</v>
      </c>
      <c r="X1768" s="481">
        <f t="shared" si="199"/>
        <v>0</v>
      </c>
      <c r="Y1768" s="179"/>
      <c r="Z1768" s="466">
        <f t="shared" si="200"/>
        <v>0</v>
      </c>
      <c r="AA1768" s="473">
        <f t="shared" si="201"/>
        <v>0</v>
      </c>
      <c r="AB1768" s="339">
        <f t="shared" si="202"/>
        <v>0</v>
      </c>
    </row>
    <row r="1769" spans="2:28" ht="20.100000000000001" customHeight="1">
      <c r="B1769" s="172"/>
      <c r="C1769" s="174"/>
      <c r="D1769" s="181"/>
      <c r="E1769" s="173"/>
      <c r="F1769" s="176"/>
      <c r="G1769" s="175">
        <f t="shared" si="193"/>
        <v>0</v>
      </c>
      <c r="H1769" s="175">
        <f t="shared" si="194"/>
        <v>0</v>
      </c>
      <c r="I1769" s="177">
        <f>IF(G1769=0,0,IF(E1769="MXN",1/HLOOKUP(YEAR(C1769)+(MONTH(C1769)/100),TC!$5:$37,DAY(C1769)+2,FALSE),VLOOKUP(E1769,Equivalencia!$5:$23,((MAX(Equivalencia!$3:$3)-YEAR(C1769))*14)+MONTH(C1769)+2,FALSE)))</f>
        <v>0</v>
      </c>
      <c r="J1769" s="178">
        <f t="shared" si="195"/>
        <v>0</v>
      </c>
      <c r="K1769" s="462">
        <f>IF(C1769=0,0,VLOOKUP(YEAR(C1769),INPC!$B$4:$O$29,MONTH(C1769)+1))</f>
        <v>0</v>
      </c>
      <c r="L1769" s="462">
        <f>IF(S1769=0,0,VLOOKUP(YEAR(S1769),INPC!$B$4:$O$29,MONTH(S1769)+1))</f>
        <v>0</v>
      </c>
      <c r="M1769" s="463">
        <f t="shared" si="196"/>
        <v>0</v>
      </c>
      <c r="N1769" s="465">
        <f t="shared" si="197"/>
        <v>0</v>
      </c>
      <c r="O1769" s="179"/>
      <c r="P1769" s="180"/>
      <c r="Q1769" s="173"/>
      <c r="R1769" s="173"/>
      <c r="S1769" s="174"/>
      <c r="T1769" s="173"/>
      <c r="U1769" s="182"/>
      <c r="V1769" s="177">
        <f>IF(U1769=0,0,IF(T1769="MXN",1/HLOOKUP(YEAR(S1769)+(MONTH(S1769)/100),TC!$5:$37,DAY(S1769)+2,FALSE),VLOOKUP(T1769,Equivalencia!$1:$23,((MAX(Equivalencia!$3:$3)-YEAR(S1769))*14)+MONTH(S1769)+2,FALSE)))</f>
        <v>0</v>
      </c>
      <c r="W1769" s="178">
        <f t="shared" si="198"/>
        <v>0</v>
      </c>
      <c r="X1769" s="481">
        <f t="shared" si="199"/>
        <v>0</v>
      </c>
      <c r="Y1769" s="179"/>
      <c r="Z1769" s="466">
        <f t="shared" si="200"/>
        <v>0</v>
      </c>
      <c r="AA1769" s="473">
        <f t="shared" si="201"/>
        <v>0</v>
      </c>
      <c r="AB1769" s="339">
        <f t="shared" si="202"/>
        <v>0</v>
      </c>
    </row>
    <row r="1770" spans="2:28" ht="20.100000000000001" customHeight="1">
      <c r="B1770" s="172"/>
      <c r="C1770" s="174"/>
      <c r="D1770" s="181"/>
      <c r="E1770" s="173"/>
      <c r="F1770" s="176"/>
      <c r="G1770" s="175">
        <f t="shared" si="193"/>
        <v>0</v>
      </c>
      <c r="H1770" s="175">
        <f t="shared" si="194"/>
        <v>0</v>
      </c>
      <c r="I1770" s="177">
        <f>IF(G1770=0,0,IF(E1770="MXN",1/HLOOKUP(YEAR(C1770)+(MONTH(C1770)/100),TC!$5:$37,DAY(C1770)+2,FALSE),VLOOKUP(E1770,Equivalencia!$5:$23,((MAX(Equivalencia!$3:$3)-YEAR(C1770))*14)+MONTH(C1770)+2,FALSE)))</f>
        <v>0</v>
      </c>
      <c r="J1770" s="178">
        <f t="shared" si="195"/>
        <v>0</v>
      </c>
      <c r="K1770" s="462">
        <f>IF(C1770=0,0,VLOOKUP(YEAR(C1770),INPC!$B$4:$O$29,MONTH(C1770)+1))</f>
        <v>0</v>
      </c>
      <c r="L1770" s="462">
        <f>IF(S1770=0,0,VLOOKUP(YEAR(S1770),INPC!$B$4:$O$29,MONTH(S1770)+1))</f>
        <v>0</v>
      </c>
      <c r="M1770" s="463">
        <f t="shared" si="196"/>
        <v>0</v>
      </c>
      <c r="N1770" s="465">
        <f t="shared" si="197"/>
        <v>0</v>
      </c>
      <c r="O1770" s="179"/>
      <c r="P1770" s="180"/>
      <c r="Q1770" s="173"/>
      <c r="R1770" s="173"/>
      <c r="S1770" s="174"/>
      <c r="T1770" s="173"/>
      <c r="U1770" s="182"/>
      <c r="V1770" s="177">
        <f>IF(U1770=0,0,IF(T1770="MXN",1/HLOOKUP(YEAR(S1770)+(MONTH(S1770)/100),TC!$5:$37,DAY(S1770)+2,FALSE),VLOOKUP(T1770,Equivalencia!$1:$23,((MAX(Equivalencia!$3:$3)-YEAR(S1770))*14)+MONTH(S1770)+2,FALSE)))</f>
        <v>0</v>
      </c>
      <c r="W1770" s="178">
        <f t="shared" si="198"/>
        <v>0</v>
      </c>
      <c r="X1770" s="481">
        <f t="shared" si="199"/>
        <v>0</v>
      </c>
      <c r="Y1770" s="179"/>
      <c r="Z1770" s="466">
        <f t="shared" si="200"/>
        <v>0</v>
      </c>
      <c r="AA1770" s="473">
        <f t="shared" si="201"/>
        <v>0</v>
      </c>
      <c r="AB1770" s="339">
        <f t="shared" si="202"/>
        <v>0</v>
      </c>
    </row>
    <row r="1771" spans="2:28" ht="20.100000000000001" customHeight="1">
      <c r="B1771" s="172"/>
      <c r="C1771" s="174"/>
      <c r="D1771" s="181"/>
      <c r="E1771" s="173"/>
      <c r="F1771" s="176"/>
      <c r="G1771" s="175">
        <f t="shared" si="193"/>
        <v>0</v>
      </c>
      <c r="H1771" s="175">
        <f t="shared" si="194"/>
        <v>0</v>
      </c>
      <c r="I1771" s="177">
        <f>IF(G1771=0,0,IF(E1771="MXN",1/HLOOKUP(YEAR(C1771)+(MONTH(C1771)/100),TC!$5:$37,DAY(C1771)+2,FALSE),VLOOKUP(E1771,Equivalencia!$5:$23,((MAX(Equivalencia!$3:$3)-YEAR(C1771))*14)+MONTH(C1771)+2,FALSE)))</f>
        <v>0</v>
      </c>
      <c r="J1771" s="178">
        <f t="shared" si="195"/>
        <v>0</v>
      </c>
      <c r="K1771" s="462">
        <f>IF(C1771=0,0,VLOOKUP(YEAR(C1771),INPC!$B$4:$O$29,MONTH(C1771)+1))</f>
        <v>0</v>
      </c>
      <c r="L1771" s="462">
        <f>IF(S1771=0,0,VLOOKUP(YEAR(S1771),INPC!$B$4:$O$29,MONTH(S1771)+1))</f>
        <v>0</v>
      </c>
      <c r="M1771" s="463">
        <f t="shared" si="196"/>
        <v>0</v>
      </c>
      <c r="N1771" s="465">
        <f t="shared" si="197"/>
        <v>0</v>
      </c>
      <c r="O1771" s="179"/>
      <c r="P1771" s="180"/>
      <c r="Q1771" s="173"/>
      <c r="R1771" s="173"/>
      <c r="S1771" s="174"/>
      <c r="T1771" s="173"/>
      <c r="U1771" s="182"/>
      <c r="V1771" s="177">
        <f>IF(U1771=0,0,IF(T1771="MXN",1/HLOOKUP(YEAR(S1771)+(MONTH(S1771)/100),TC!$5:$37,DAY(S1771)+2,FALSE),VLOOKUP(T1771,Equivalencia!$1:$23,((MAX(Equivalencia!$3:$3)-YEAR(S1771))*14)+MONTH(S1771)+2,FALSE)))</f>
        <v>0</v>
      </c>
      <c r="W1771" s="178">
        <f t="shared" si="198"/>
        <v>0</v>
      </c>
      <c r="X1771" s="481">
        <f t="shared" si="199"/>
        <v>0</v>
      </c>
      <c r="Y1771" s="179"/>
      <c r="Z1771" s="466">
        <f t="shared" si="200"/>
        <v>0</v>
      </c>
      <c r="AA1771" s="473">
        <f t="shared" si="201"/>
        <v>0</v>
      </c>
      <c r="AB1771" s="339">
        <f t="shared" si="202"/>
        <v>0</v>
      </c>
    </row>
    <row r="1772" spans="2:28" ht="20.100000000000001" customHeight="1">
      <c r="B1772" s="172"/>
      <c r="C1772" s="174"/>
      <c r="D1772" s="181"/>
      <c r="E1772" s="173"/>
      <c r="F1772" s="176"/>
      <c r="G1772" s="175">
        <f t="shared" si="193"/>
        <v>0</v>
      </c>
      <c r="H1772" s="175">
        <f t="shared" si="194"/>
        <v>0</v>
      </c>
      <c r="I1772" s="177">
        <f>IF(G1772=0,0,IF(E1772="MXN",1/HLOOKUP(YEAR(C1772)+(MONTH(C1772)/100),TC!$5:$37,DAY(C1772)+2,FALSE),VLOOKUP(E1772,Equivalencia!$5:$23,((MAX(Equivalencia!$3:$3)-YEAR(C1772))*14)+MONTH(C1772)+2,FALSE)))</f>
        <v>0</v>
      </c>
      <c r="J1772" s="178">
        <f t="shared" si="195"/>
        <v>0</v>
      </c>
      <c r="K1772" s="462">
        <f>IF(C1772=0,0,VLOOKUP(YEAR(C1772),INPC!$B$4:$O$29,MONTH(C1772)+1))</f>
        <v>0</v>
      </c>
      <c r="L1772" s="462">
        <f>IF(S1772=0,0,VLOOKUP(YEAR(S1772),INPC!$B$4:$O$29,MONTH(S1772)+1))</f>
        <v>0</v>
      </c>
      <c r="M1772" s="463">
        <f t="shared" si="196"/>
        <v>0</v>
      </c>
      <c r="N1772" s="465">
        <f t="shared" si="197"/>
        <v>0</v>
      </c>
      <c r="O1772" s="179"/>
      <c r="P1772" s="180"/>
      <c r="Q1772" s="173"/>
      <c r="R1772" s="173"/>
      <c r="S1772" s="174"/>
      <c r="T1772" s="173"/>
      <c r="U1772" s="182"/>
      <c r="V1772" s="177">
        <f>IF(U1772=0,0,IF(T1772="MXN",1/HLOOKUP(YEAR(S1772)+(MONTH(S1772)/100),TC!$5:$37,DAY(S1772)+2,FALSE),VLOOKUP(T1772,Equivalencia!$1:$23,((MAX(Equivalencia!$3:$3)-YEAR(S1772))*14)+MONTH(S1772)+2,FALSE)))</f>
        <v>0</v>
      </c>
      <c r="W1772" s="178">
        <f t="shared" si="198"/>
        <v>0</v>
      </c>
      <c r="X1772" s="481">
        <f t="shared" si="199"/>
        <v>0</v>
      </c>
      <c r="Y1772" s="179"/>
      <c r="Z1772" s="466">
        <f t="shared" si="200"/>
        <v>0</v>
      </c>
      <c r="AA1772" s="473">
        <f t="shared" si="201"/>
        <v>0</v>
      </c>
      <c r="AB1772" s="339">
        <f t="shared" si="202"/>
        <v>0</v>
      </c>
    </row>
    <row r="1773" spans="2:28" ht="20.100000000000001" customHeight="1">
      <c r="B1773" s="172"/>
      <c r="C1773" s="174"/>
      <c r="D1773" s="181"/>
      <c r="E1773" s="173"/>
      <c r="F1773" s="176"/>
      <c r="G1773" s="175">
        <f t="shared" si="193"/>
        <v>0</v>
      </c>
      <c r="H1773" s="175">
        <f t="shared" si="194"/>
        <v>0</v>
      </c>
      <c r="I1773" s="177">
        <f>IF(G1773=0,0,IF(E1773="MXN",1/HLOOKUP(YEAR(C1773)+(MONTH(C1773)/100),TC!$5:$37,DAY(C1773)+2,FALSE),VLOOKUP(E1773,Equivalencia!$5:$23,((MAX(Equivalencia!$3:$3)-YEAR(C1773))*14)+MONTH(C1773)+2,FALSE)))</f>
        <v>0</v>
      </c>
      <c r="J1773" s="178">
        <f t="shared" si="195"/>
        <v>0</v>
      </c>
      <c r="K1773" s="462">
        <f>IF(C1773=0,0,VLOOKUP(YEAR(C1773),INPC!$B$4:$O$29,MONTH(C1773)+1))</f>
        <v>0</v>
      </c>
      <c r="L1773" s="462">
        <f>IF(S1773=0,0,VLOOKUP(YEAR(S1773),INPC!$B$4:$O$29,MONTH(S1773)+1))</f>
        <v>0</v>
      </c>
      <c r="M1773" s="463">
        <f t="shared" si="196"/>
        <v>0</v>
      </c>
      <c r="N1773" s="465">
        <f t="shared" si="197"/>
        <v>0</v>
      </c>
      <c r="O1773" s="179"/>
      <c r="P1773" s="180"/>
      <c r="Q1773" s="173"/>
      <c r="R1773" s="173"/>
      <c r="S1773" s="174"/>
      <c r="T1773" s="173"/>
      <c r="U1773" s="182"/>
      <c r="V1773" s="177">
        <f>IF(U1773=0,0,IF(T1773="MXN",1/HLOOKUP(YEAR(S1773)+(MONTH(S1773)/100),TC!$5:$37,DAY(S1773)+2,FALSE),VLOOKUP(T1773,Equivalencia!$1:$23,((MAX(Equivalencia!$3:$3)-YEAR(S1773))*14)+MONTH(S1773)+2,FALSE)))</f>
        <v>0</v>
      </c>
      <c r="W1773" s="178">
        <f t="shared" si="198"/>
        <v>0</v>
      </c>
      <c r="X1773" s="481">
        <f t="shared" si="199"/>
        <v>0</v>
      </c>
      <c r="Y1773" s="179"/>
      <c r="Z1773" s="466">
        <f t="shared" si="200"/>
        <v>0</v>
      </c>
      <c r="AA1773" s="473">
        <f t="shared" si="201"/>
        <v>0</v>
      </c>
      <c r="AB1773" s="339">
        <f t="shared" si="202"/>
        <v>0</v>
      </c>
    </row>
    <row r="1774" spans="2:28" ht="20.100000000000001" customHeight="1">
      <c r="B1774" s="172"/>
      <c r="C1774" s="174"/>
      <c r="D1774" s="181"/>
      <c r="E1774" s="173"/>
      <c r="F1774" s="176"/>
      <c r="G1774" s="175">
        <f t="shared" si="193"/>
        <v>0</v>
      </c>
      <c r="H1774" s="175">
        <f t="shared" si="194"/>
        <v>0</v>
      </c>
      <c r="I1774" s="177">
        <f>IF(G1774=0,0,IF(E1774="MXN",1/HLOOKUP(YEAR(C1774)+(MONTH(C1774)/100),TC!$5:$37,DAY(C1774)+2,FALSE),VLOOKUP(E1774,Equivalencia!$5:$23,((MAX(Equivalencia!$3:$3)-YEAR(C1774))*14)+MONTH(C1774)+2,FALSE)))</f>
        <v>0</v>
      </c>
      <c r="J1774" s="178">
        <f t="shared" si="195"/>
        <v>0</v>
      </c>
      <c r="K1774" s="462">
        <f>IF(C1774=0,0,VLOOKUP(YEAR(C1774),INPC!$B$4:$O$29,MONTH(C1774)+1))</f>
        <v>0</v>
      </c>
      <c r="L1774" s="462">
        <f>IF(S1774=0,0,VLOOKUP(YEAR(S1774),INPC!$B$4:$O$29,MONTH(S1774)+1))</f>
        <v>0</v>
      </c>
      <c r="M1774" s="463">
        <f t="shared" si="196"/>
        <v>0</v>
      </c>
      <c r="N1774" s="465">
        <f t="shared" si="197"/>
        <v>0</v>
      </c>
      <c r="O1774" s="179"/>
      <c r="P1774" s="180"/>
      <c r="Q1774" s="173"/>
      <c r="R1774" s="173"/>
      <c r="S1774" s="174"/>
      <c r="T1774" s="173"/>
      <c r="U1774" s="182"/>
      <c r="V1774" s="177">
        <f>IF(U1774=0,0,IF(T1774="MXN",1/HLOOKUP(YEAR(S1774)+(MONTH(S1774)/100),TC!$5:$37,DAY(S1774)+2,FALSE),VLOOKUP(T1774,Equivalencia!$1:$23,((MAX(Equivalencia!$3:$3)-YEAR(S1774))*14)+MONTH(S1774)+2,FALSE)))</f>
        <v>0</v>
      </c>
      <c r="W1774" s="178">
        <f t="shared" si="198"/>
        <v>0</v>
      </c>
      <c r="X1774" s="481">
        <f t="shared" si="199"/>
        <v>0</v>
      </c>
      <c r="Y1774" s="179"/>
      <c r="Z1774" s="466">
        <f t="shared" si="200"/>
        <v>0</v>
      </c>
      <c r="AA1774" s="473">
        <f t="shared" si="201"/>
        <v>0</v>
      </c>
      <c r="AB1774" s="339">
        <f t="shared" si="202"/>
        <v>0</v>
      </c>
    </row>
    <row r="1775" spans="2:28" ht="20.100000000000001" customHeight="1">
      <c r="B1775" s="172"/>
      <c r="C1775" s="174"/>
      <c r="D1775" s="181"/>
      <c r="E1775" s="173"/>
      <c r="F1775" s="176"/>
      <c r="G1775" s="175">
        <f t="shared" si="193"/>
        <v>0</v>
      </c>
      <c r="H1775" s="175">
        <f t="shared" si="194"/>
        <v>0</v>
      </c>
      <c r="I1775" s="177">
        <f>IF(G1775=0,0,IF(E1775="MXN",1/HLOOKUP(YEAR(C1775)+(MONTH(C1775)/100),TC!$5:$37,DAY(C1775)+2,FALSE),VLOOKUP(E1775,Equivalencia!$5:$23,((MAX(Equivalencia!$3:$3)-YEAR(C1775))*14)+MONTH(C1775)+2,FALSE)))</f>
        <v>0</v>
      </c>
      <c r="J1775" s="178">
        <f t="shared" si="195"/>
        <v>0</v>
      </c>
      <c r="K1775" s="462">
        <f>IF(C1775=0,0,VLOOKUP(YEAR(C1775),INPC!$B$4:$O$29,MONTH(C1775)+1))</f>
        <v>0</v>
      </c>
      <c r="L1775" s="462">
        <f>IF(S1775=0,0,VLOOKUP(YEAR(S1775),INPC!$B$4:$O$29,MONTH(S1775)+1))</f>
        <v>0</v>
      </c>
      <c r="M1775" s="463">
        <f t="shared" si="196"/>
        <v>0</v>
      </c>
      <c r="N1775" s="465">
        <f t="shared" si="197"/>
        <v>0</v>
      </c>
      <c r="O1775" s="179"/>
      <c r="P1775" s="180"/>
      <c r="Q1775" s="173"/>
      <c r="R1775" s="173"/>
      <c r="S1775" s="174"/>
      <c r="T1775" s="173"/>
      <c r="U1775" s="182"/>
      <c r="V1775" s="177">
        <f>IF(U1775=0,0,IF(T1775="MXN",1/HLOOKUP(YEAR(S1775)+(MONTH(S1775)/100),TC!$5:$37,DAY(S1775)+2,FALSE),VLOOKUP(T1775,Equivalencia!$1:$23,((MAX(Equivalencia!$3:$3)-YEAR(S1775))*14)+MONTH(S1775)+2,FALSE)))</f>
        <v>0</v>
      </c>
      <c r="W1775" s="178">
        <f t="shared" si="198"/>
        <v>0</v>
      </c>
      <c r="X1775" s="481">
        <f t="shared" si="199"/>
        <v>0</v>
      </c>
      <c r="Y1775" s="179"/>
      <c r="Z1775" s="466">
        <f t="shared" si="200"/>
        <v>0</v>
      </c>
      <c r="AA1775" s="473">
        <f t="shared" si="201"/>
        <v>0</v>
      </c>
      <c r="AB1775" s="339">
        <f t="shared" si="202"/>
        <v>0</v>
      </c>
    </row>
    <row r="1776" spans="2:28" ht="20.100000000000001" customHeight="1">
      <c r="B1776" s="172"/>
      <c r="C1776" s="174"/>
      <c r="D1776" s="181"/>
      <c r="E1776" s="173"/>
      <c r="F1776" s="176"/>
      <c r="G1776" s="175">
        <f t="shared" si="193"/>
        <v>0</v>
      </c>
      <c r="H1776" s="175">
        <f t="shared" si="194"/>
        <v>0</v>
      </c>
      <c r="I1776" s="177">
        <f>IF(G1776=0,0,IF(E1776="MXN",1/HLOOKUP(YEAR(C1776)+(MONTH(C1776)/100),TC!$5:$37,DAY(C1776)+2,FALSE),VLOOKUP(E1776,Equivalencia!$5:$23,((MAX(Equivalencia!$3:$3)-YEAR(C1776))*14)+MONTH(C1776)+2,FALSE)))</f>
        <v>0</v>
      </c>
      <c r="J1776" s="178">
        <f t="shared" si="195"/>
        <v>0</v>
      </c>
      <c r="K1776" s="462">
        <f>IF(C1776=0,0,VLOOKUP(YEAR(C1776),INPC!$B$4:$O$29,MONTH(C1776)+1))</f>
        <v>0</v>
      </c>
      <c r="L1776" s="462">
        <f>IF(S1776=0,0,VLOOKUP(YEAR(S1776),INPC!$B$4:$O$29,MONTH(S1776)+1))</f>
        <v>0</v>
      </c>
      <c r="M1776" s="463">
        <f t="shared" si="196"/>
        <v>0</v>
      </c>
      <c r="N1776" s="465">
        <f t="shared" si="197"/>
        <v>0</v>
      </c>
      <c r="O1776" s="179"/>
      <c r="P1776" s="180"/>
      <c r="Q1776" s="173"/>
      <c r="R1776" s="173"/>
      <c r="S1776" s="174"/>
      <c r="T1776" s="173"/>
      <c r="U1776" s="182"/>
      <c r="V1776" s="177">
        <f>IF(U1776=0,0,IF(T1776="MXN",1/HLOOKUP(YEAR(S1776)+(MONTH(S1776)/100),TC!$5:$37,DAY(S1776)+2,FALSE),VLOOKUP(T1776,Equivalencia!$1:$23,((MAX(Equivalencia!$3:$3)-YEAR(S1776))*14)+MONTH(S1776)+2,FALSE)))</f>
        <v>0</v>
      </c>
      <c r="W1776" s="178">
        <f t="shared" si="198"/>
        <v>0</v>
      </c>
      <c r="X1776" s="481">
        <f t="shared" si="199"/>
        <v>0</v>
      </c>
      <c r="Y1776" s="179"/>
      <c r="Z1776" s="466">
        <f t="shared" si="200"/>
        <v>0</v>
      </c>
      <c r="AA1776" s="473">
        <f t="shared" si="201"/>
        <v>0</v>
      </c>
      <c r="AB1776" s="339">
        <f t="shared" si="202"/>
        <v>0</v>
      </c>
    </row>
    <row r="1777" spans="2:28" ht="20.100000000000001" customHeight="1">
      <c r="B1777" s="172"/>
      <c r="C1777" s="174"/>
      <c r="D1777" s="181"/>
      <c r="E1777" s="173"/>
      <c r="F1777" s="176"/>
      <c r="G1777" s="175">
        <f t="shared" si="193"/>
        <v>0</v>
      </c>
      <c r="H1777" s="175">
        <f t="shared" si="194"/>
        <v>0</v>
      </c>
      <c r="I1777" s="177">
        <f>IF(G1777=0,0,IF(E1777="MXN",1/HLOOKUP(YEAR(C1777)+(MONTH(C1777)/100),TC!$5:$37,DAY(C1777)+2,FALSE),VLOOKUP(E1777,Equivalencia!$5:$23,((MAX(Equivalencia!$3:$3)-YEAR(C1777))*14)+MONTH(C1777)+2,FALSE)))</f>
        <v>0</v>
      </c>
      <c r="J1777" s="178">
        <f t="shared" si="195"/>
        <v>0</v>
      </c>
      <c r="K1777" s="462">
        <f>IF(C1777=0,0,VLOOKUP(YEAR(C1777),INPC!$B$4:$O$29,MONTH(C1777)+1))</f>
        <v>0</v>
      </c>
      <c r="L1777" s="462">
        <f>IF(S1777=0,0,VLOOKUP(YEAR(S1777),INPC!$B$4:$O$29,MONTH(S1777)+1))</f>
        <v>0</v>
      </c>
      <c r="M1777" s="463">
        <f t="shared" si="196"/>
        <v>0</v>
      </c>
      <c r="N1777" s="465">
        <f t="shared" si="197"/>
        <v>0</v>
      </c>
      <c r="O1777" s="179"/>
      <c r="P1777" s="180"/>
      <c r="Q1777" s="173"/>
      <c r="R1777" s="173"/>
      <c r="S1777" s="174"/>
      <c r="T1777" s="173"/>
      <c r="U1777" s="182"/>
      <c r="V1777" s="177">
        <f>IF(U1777=0,0,IF(T1777="MXN",1/HLOOKUP(YEAR(S1777)+(MONTH(S1777)/100),TC!$5:$37,DAY(S1777)+2,FALSE),VLOOKUP(T1777,Equivalencia!$1:$23,((MAX(Equivalencia!$3:$3)-YEAR(S1777))*14)+MONTH(S1777)+2,FALSE)))</f>
        <v>0</v>
      </c>
      <c r="W1777" s="178">
        <f t="shared" si="198"/>
        <v>0</v>
      </c>
      <c r="X1777" s="481">
        <f t="shared" si="199"/>
        <v>0</v>
      </c>
      <c r="Y1777" s="179"/>
      <c r="Z1777" s="466">
        <f t="shared" si="200"/>
        <v>0</v>
      </c>
      <c r="AA1777" s="473">
        <f t="shared" si="201"/>
        <v>0</v>
      </c>
      <c r="AB1777" s="339">
        <f t="shared" si="202"/>
        <v>0</v>
      </c>
    </row>
    <row r="1778" spans="2:28" ht="20.100000000000001" customHeight="1">
      <c r="B1778" s="172"/>
      <c r="C1778" s="174"/>
      <c r="D1778" s="181"/>
      <c r="E1778" s="173"/>
      <c r="F1778" s="176"/>
      <c r="G1778" s="175">
        <f t="shared" si="193"/>
        <v>0</v>
      </c>
      <c r="H1778" s="175">
        <f t="shared" si="194"/>
        <v>0</v>
      </c>
      <c r="I1778" s="177">
        <f>IF(G1778=0,0,IF(E1778="MXN",1/HLOOKUP(YEAR(C1778)+(MONTH(C1778)/100),TC!$5:$37,DAY(C1778)+2,FALSE),VLOOKUP(E1778,Equivalencia!$5:$23,((MAX(Equivalencia!$3:$3)-YEAR(C1778))*14)+MONTH(C1778)+2,FALSE)))</f>
        <v>0</v>
      </c>
      <c r="J1778" s="178">
        <f t="shared" si="195"/>
        <v>0</v>
      </c>
      <c r="K1778" s="462">
        <f>IF(C1778=0,0,VLOOKUP(YEAR(C1778),INPC!$B$4:$O$29,MONTH(C1778)+1))</f>
        <v>0</v>
      </c>
      <c r="L1778" s="462">
        <f>IF(S1778=0,0,VLOOKUP(YEAR(S1778),INPC!$B$4:$O$29,MONTH(S1778)+1))</f>
        <v>0</v>
      </c>
      <c r="M1778" s="463">
        <f t="shared" si="196"/>
        <v>0</v>
      </c>
      <c r="N1778" s="465">
        <f t="shared" si="197"/>
        <v>0</v>
      </c>
      <c r="O1778" s="179"/>
      <c r="P1778" s="180"/>
      <c r="Q1778" s="173"/>
      <c r="R1778" s="173"/>
      <c r="S1778" s="174"/>
      <c r="T1778" s="173"/>
      <c r="U1778" s="182"/>
      <c r="V1778" s="177">
        <f>IF(U1778=0,0,IF(T1778="MXN",1/HLOOKUP(YEAR(S1778)+(MONTH(S1778)/100),TC!$5:$37,DAY(S1778)+2,FALSE),VLOOKUP(T1778,Equivalencia!$1:$23,((MAX(Equivalencia!$3:$3)-YEAR(S1778))*14)+MONTH(S1778)+2,FALSE)))</f>
        <v>0</v>
      </c>
      <c r="W1778" s="178">
        <f t="shared" si="198"/>
        <v>0</v>
      </c>
      <c r="X1778" s="481">
        <f t="shared" si="199"/>
        <v>0</v>
      </c>
      <c r="Y1778" s="179"/>
      <c r="Z1778" s="466">
        <f t="shared" si="200"/>
        <v>0</v>
      </c>
      <c r="AA1778" s="473">
        <f t="shared" si="201"/>
        <v>0</v>
      </c>
      <c r="AB1778" s="339">
        <f t="shared" si="202"/>
        <v>0</v>
      </c>
    </row>
    <row r="1779" spans="2:28" ht="20.100000000000001" customHeight="1">
      <c r="B1779" s="172"/>
      <c r="C1779" s="174"/>
      <c r="D1779" s="181"/>
      <c r="E1779" s="173"/>
      <c r="F1779" s="176"/>
      <c r="G1779" s="175">
        <f t="shared" si="193"/>
        <v>0</v>
      </c>
      <c r="H1779" s="175">
        <f t="shared" si="194"/>
        <v>0</v>
      </c>
      <c r="I1779" s="177">
        <f>IF(G1779=0,0,IF(E1779="MXN",1/HLOOKUP(YEAR(C1779)+(MONTH(C1779)/100),TC!$5:$37,DAY(C1779)+2,FALSE),VLOOKUP(E1779,Equivalencia!$5:$23,((MAX(Equivalencia!$3:$3)-YEAR(C1779))*14)+MONTH(C1779)+2,FALSE)))</f>
        <v>0</v>
      </c>
      <c r="J1779" s="178">
        <f t="shared" si="195"/>
        <v>0</v>
      </c>
      <c r="K1779" s="462">
        <f>IF(C1779=0,0,VLOOKUP(YEAR(C1779),INPC!$B$4:$O$29,MONTH(C1779)+1))</f>
        <v>0</v>
      </c>
      <c r="L1779" s="462">
        <f>IF(S1779=0,0,VLOOKUP(YEAR(S1779),INPC!$B$4:$O$29,MONTH(S1779)+1))</f>
        <v>0</v>
      </c>
      <c r="M1779" s="463">
        <f t="shared" si="196"/>
        <v>0</v>
      </c>
      <c r="N1779" s="465">
        <f t="shared" si="197"/>
        <v>0</v>
      </c>
      <c r="O1779" s="179"/>
      <c r="P1779" s="180"/>
      <c r="Q1779" s="173"/>
      <c r="R1779" s="173"/>
      <c r="S1779" s="174"/>
      <c r="T1779" s="173"/>
      <c r="U1779" s="182"/>
      <c r="V1779" s="177">
        <f>IF(U1779=0,0,IF(T1779="MXN",1/HLOOKUP(YEAR(S1779)+(MONTH(S1779)/100),TC!$5:$37,DAY(S1779)+2,FALSE),VLOOKUP(T1779,Equivalencia!$1:$23,((MAX(Equivalencia!$3:$3)-YEAR(S1779))*14)+MONTH(S1779)+2,FALSE)))</f>
        <v>0</v>
      </c>
      <c r="W1779" s="178">
        <f t="shared" si="198"/>
        <v>0</v>
      </c>
      <c r="X1779" s="481">
        <f t="shared" si="199"/>
        <v>0</v>
      </c>
      <c r="Y1779" s="179"/>
      <c r="Z1779" s="466">
        <f t="shared" si="200"/>
        <v>0</v>
      </c>
      <c r="AA1779" s="473">
        <f t="shared" si="201"/>
        <v>0</v>
      </c>
      <c r="AB1779" s="339">
        <f t="shared" si="202"/>
        <v>0</v>
      </c>
    </row>
    <row r="1780" spans="2:28" ht="20.100000000000001" customHeight="1">
      <c r="B1780" s="172"/>
      <c r="C1780" s="174"/>
      <c r="D1780" s="181"/>
      <c r="E1780" s="173"/>
      <c r="F1780" s="176"/>
      <c r="G1780" s="175">
        <f t="shared" si="193"/>
        <v>0</v>
      </c>
      <c r="H1780" s="175">
        <f t="shared" si="194"/>
        <v>0</v>
      </c>
      <c r="I1780" s="177">
        <f>IF(G1780=0,0,IF(E1780="MXN",1/HLOOKUP(YEAR(C1780)+(MONTH(C1780)/100),TC!$5:$37,DAY(C1780)+2,FALSE),VLOOKUP(E1780,Equivalencia!$5:$23,((MAX(Equivalencia!$3:$3)-YEAR(C1780))*14)+MONTH(C1780)+2,FALSE)))</f>
        <v>0</v>
      </c>
      <c r="J1780" s="178">
        <f t="shared" si="195"/>
        <v>0</v>
      </c>
      <c r="K1780" s="462">
        <f>IF(C1780=0,0,VLOOKUP(YEAR(C1780),INPC!$B$4:$O$29,MONTH(C1780)+1))</f>
        <v>0</v>
      </c>
      <c r="L1780" s="462">
        <f>IF(S1780=0,0,VLOOKUP(YEAR(S1780),INPC!$B$4:$O$29,MONTH(S1780)+1))</f>
        <v>0</v>
      </c>
      <c r="M1780" s="463">
        <f t="shared" si="196"/>
        <v>0</v>
      </c>
      <c r="N1780" s="465">
        <f t="shared" si="197"/>
        <v>0</v>
      </c>
      <c r="O1780" s="179"/>
      <c r="P1780" s="180"/>
      <c r="Q1780" s="173"/>
      <c r="R1780" s="173"/>
      <c r="S1780" s="174"/>
      <c r="T1780" s="173"/>
      <c r="U1780" s="182"/>
      <c r="V1780" s="177">
        <f>IF(U1780=0,0,IF(T1780="MXN",1/HLOOKUP(YEAR(S1780)+(MONTH(S1780)/100),TC!$5:$37,DAY(S1780)+2,FALSE),VLOOKUP(T1780,Equivalencia!$1:$23,((MAX(Equivalencia!$3:$3)-YEAR(S1780))*14)+MONTH(S1780)+2,FALSE)))</f>
        <v>0</v>
      </c>
      <c r="W1780" s="178">
        <f t="shared" si="198"/>
        <v>0</v>
      </c>
      <c r="X1780" s="481">
        <f t="shared" si="199"/>
        <v>0</v>
      </c>
      <c r="Y1780" s="179"/>
      <c r="Z1780" s="466">
        <f t="shared" si="200"/>
        <v>0</v>
      </c>
      <c r="AA1780" s="473">
        <f t="shared" si="201"/>
        <v>0</v>
      </c>
      <c r="AB1780" s="339">
        <f t="shared" si="202"/>
        <v>0</v>
      </c>
    </row>
    <row r="1781" spans="2:28" ht="20.100000000000001" customHeight="1">
      <c r="B1781" s="172"/>
      <c r="C1781" s="174"/>
      <c r="D1781" s="181"/>
      <c r="E1781" s="173"/>
      <c r="F1781" s="176"/>
      <c r="G1781" s="175">
        <f t="shared" si="193"/>
        <v>0</v>
      </c>
      <c r="H1781" s="175">
        <f t="shared" si="194"/>
        <v>0</v>
      </c>
      <c r="I1781" s="177">
        <f>IF(G1781=0,0,IF(E1781="MXN",1/HLOOKUP(YEAR(C1781)+(MONTH(C1781)/100),TC!$5:$37,DAY(C1781)+2,FALSE),VLOOKUP(E1781,Equivalencia!$5:$23,((MAX(Equivalencia!$3:$3)-YEAR(C1781))*14)+MONTH(C1781)+2,FALSE)))</f>
        <v>0</v>
      </c>
      <c r="J1781" s="178">
        <f t="shared" si="195"/>
        <v>0</v>
      </c>
      <c r="K1781" s="462">
        <f>IF(C1781=0,0,VLOOKUP(YEAR(C1781),INPC!$B$4:$O$29,MONTH(C1781)+1))</f>
        <v>0</v>
      </c>
      <c r="L1781" s="462">
        <f>IF(S1781=0,0,VLOOKUP(YEAR(S1781),INPC!$B$4:$O$29,MONTH(S1781)+1))</f>
        <v>0</v>
      </c>
      <c r="M1781" s="463">
        <f t="shared" si="196"/>
        <v>0</v>
      </c>
      <c r="N1781" s="465">
        <f t="shared" si="197"/>
        <v>0</v>
      </c>
      <c r="O1781" s="179"/>
      <c r="P1781" s="180"/>
      <c r="Q1781" s="173"/>
      <c r="R1781" s="173"/>
      <c r="S1781" s="174"/>
      <c r="T1781" s="173"/>
      <c r="U1781" s="182"/>
      <c r="V1781" s="177">
        <f>IF(U1781=0,0,IF(T1781="MXN",1/HLOOKUP(YEAR(S1781)+(MONTH(S1781)/100),TC!$5:$37,DAY(S1781)+2,FALSE),VLOOKUP(T1781,Equivalencia!$1:$23,((MAX(Equivalencia!$3:$3)-YEAR(S1781))*14)+MONTH(S1781)+2,FALSE)))</f>
        <v>0</v>
      </c>
      <c r="W1781" s="178">
        <f t="shared" si="198"/>
        <v>0</v>
      </c>
      <c r="X1781" s="481">
        <f t="shared" si="199"/>
        <v>0</v>
      </c>
      <c r="Y1781" s="179"/>
      <c r="Z1781" s="466">
        <f t="shared" si="200"/>
        <v>0</v>
      </c>
      <c r="AA1781" s="473">
        <f t="shared" si="201"/>
        <v>0</v>
      </c>
      <c r="AB1781" s="339">
        <f t="shared" si="202"/>
        <v>0</v>
      </c>
    </row>
    <row r="1782" spans="2:28" ht="20.100000000000001" customHeight="1">
      <c r="B1782" s="172"/>
      <c r="C1782" s="174"/>
      <c r="D1782" s="181"/>
      <c r="E1782" s="173"/>
      <c r="F1782" s="176"/>
      <c r="G1782" s="175">
        <f t="shared" si="193"/>
        <v>0</v>
      </c>
      <c r="H1782" s="175">
        <f t="shared" si="194"/>
        <v>0</v>
      </c>
      <c r="I1782" s="177">
        <f>IF(G1782=0,0,IF(E1782="MXN",1/HLOOKUP(YEAR(C1782)+(MONTH(C1782)/100),TC!$5:$37,DAY(C1782)+2,FALSE),VLOOKUP(E1782,Equivalencia!$5:$23,((MAX(Equivalencia!$3:$3)-YEAR(C1782))*14)+MONTH(C1782)+2,FALSE)))</f>
        <v>0</v>
      </c>
      <c r="J1782" s="178">
        <f t="shared" si="195"/>
        <v>0</v>
      </c>
      <c r="K1782" s="462">
        <f>IF(C1782=0,0,VLOOKUP(YEAR(C1782),INPC!$B$4:$O$29,MONTH(C1782)+1))</f>
        <v>0</v>
      </c>
      <c r="L1782" s="462">
        <f>IF(S1782=0,0,VLOOKUP(YEAR(S1782),INPC!$B$4:$O$29,MONTH(S1782)+1))</f>
        <v>0</v>
      </c>
      <c r="M1782" s="463">
        <f t="shared" si="196"/>
        <v>0</v>
      </c>
      <c r="N1782" s="465">
        <f t="shared" si="197"/>
        <v>0</v>
      </c>
      <c r="O1782" s="179"/>
      <c r="P1782" s="180"/>
      <c r="Q1782" s="173"/>
      <c r="R1782" s="173"/>
      <c r="S1782" s="174"/>
      <c r="T1782" s="173"/>
      <c r="U1782" s="182"/>
      <c r="V1782" s="177">
        <f>IF(U1782=0,0,IF(T1782="MXN",1/HLOOKUP(YEAR(S1782)+(MONTH(S1782)/100),TC!$5:$37,DAY(S1782)+2,FALSE),VLOOKUP(T1782,Equivalencia!$1:$23,((MAX(Equivalencia!$3:$3)-YEAR(S1782))*14)+MONTH(S1782)+2,FALSE)))</f>
        <v>0</v>
      </c>
      <c r="W1782" s="178">
        <f t="shared" si="198"/>
        <v>0</v>
      </c>
      <c r="X1782" s="481">
        <f t="shared" si="199"/>
        <v>0</v>
      </c>
      <c r="Y1782" s="179"/>
      <c r="Z1782" s="466">
        <f t="shared" si="200"/>
        <v>0</v>
      </c>
      <c r="AA1782" s="473">
        <f t="shared" si="201"/>
        <v>0</v>
      </c>
      <c r="AB1782" s="339">
        <f t="shared" si="202"/>
        <v>0</v>
      </c>
    </row>
    <row r="1783" spans="2:28" ht="20.100000000000001" customHeight="1">
      <c r="B1783" s="172"/>
      <c r="C1783" s="174"/>
      <c r="D1783" s="181"/>
      <c r="E1783" s="173"/>
      <c r="F1783" s="176"/>
      <c r="G1783" s="175">
        <f t="shared" si="193"/>
        <v>0</v>
      </c>
      <c r="H1783" s="175">
        <f t="shared" si="194"/>
        <v>0</v>
      </c>
      <c r="I1783" s="177">
        <f>IF(G1783=0,0,IF(E1783="MXN",1/HLOOKUP(YEAR(C1783)+(MONTH(C1783)/100),TC!$5:$37,DAY(C1783)+2,FALSE),VLOOKUP(E1783,Equivalencia!$5:$23,((MAX(Equivalencia!$3:$3)-YEAR(C1783))*14)+MONTH(C1783)+2,FALSE)))</f>
        <v>0</v>
      </c>
      <c r="J1783" s="178">
        <f t="shared" si="195"/>
        <v>0</v>
      </c>
      <c r="K1783" s="462">
        <f>IF(C1783=0,0,VLOOKUP(YEAR(C1783),INPC!$B$4:$O$29,MONTH(C1783)+1))</f>
        <v>0</v>
      </c>
      <c r="L1783" s="462">
        <f>IF(S1783=0,0,VLOOKUP(YEAR(S1783),INPC!$B$4:$O$29,MONTH(S1783)+1))</f>
        <v>0</v>
      </c>
      <c r="M1783" s="463">
        <f t="shared" si="196"/>
        <v>0</v>
      </c>
      <c r="N1783" s="465">
        <f t="shared" si="197"/>
        <v>0</v>
      </c>
      <c r="O1783" s="179"/>
      <c r="P1783" s="180"/>
      <c r="Q1783" s="173"/>
      <c r="R1783" s="173"/>
      <c r="S1783" s="174"/>
      <c r="T1783" s="173"/>
      <c r="U1783" s="182"/>
      <c r="V1783" s="177">
        <f>IF(U1783=0,0,IF(T1783="MXN",1/HLOOKUP(YEAR(S1783)+(MONTH(S1783)/100),TC!$5:$37,DAY(S1783)+2,FALSE),VLOOKUP(T1783,Equivalencia!$1:$23,((MAX(Equivalencia!$3:$3)-YEAR(S1783))*14)+MONTH(S1783)+2,FALSE)))</f>
        <v>0</v>
      </c>
      <c r="W1783" s="178">
        <f t="shared" si="198"/>
        <v>0</v>
      </c>
      <c r="X1783" s="481">
        <f t="shared" si="199"/>
        <v>0</v>
      </c>
      <c r="Y1783" s="179"/>
      <c r="Z1783" s="466">
        <f t="shared" si="200"/>
        <v>0</v>
      </c>
      <c r="AA1783" s="473">
        <f t="shared" si="201"/>
        <v>0</v>
      </c>
      <c r="AB1783" s="339">
        <f t="shared" si="202"/>
        <v>0</v>
      </c>
    </row>
    <row r="1784" spans="2:28" ht="20.100000000000001" customHeight="1">
      <c r="B1784" s="172"/>
      <c r="C1784" s="174"/>
      <c r="D1784" s="181"/>
      <c r="E1784" s="173"/>
      <c r="F1784" s="176"/>
      <c r="G1784" s="175">
        <f t="shared" si="193"/>
        <v>0</v>
      </c>
      <c r="H1784" s="175">
        <f t="shared" si="194"/>
        <v>0</v>
      </c>
      <c r="I1784" s="177">
        <f>IF(G1784=0,0,IF(E1784="MXN",1/HLOOKUP(YEAR(C1784)+(MONTH(C1784)/100),TC!$5:$37,DAY(C1784)+2,FALSE),VLOOKUP(E1784,Equivalencia!$5:$23,((MAX(Equivalencia!$3:$3)-YEAR(C1784))*14)+MONTH(C1784)+2,FALSE)))</f>
        <v>0</v>
      </c>
      <c r="J1784" s="178">
        <f t="shared" si="195"/>
        <v>0</v>
      </c>
      <c r="K1784" s="462">
        <f>IF(C1784=0,0,VLOOKUP(YEAR(C1784),INPC!$B$4:$O$29,MONTH(C1784)+1))</f>
        <v>0</v>
      </c>
      <c r="L1784" s="462">
        <f>IF(S1784=0,0,VLOOKUP(YEAR(S1784),INPC!$B$4:$O$29,MONTH(S1784)+1))</f>
        <v>0</v>
      </c>
      <c r="M1784" s="463">
        <f t="shared" si="196"/>
        <v>0</v>
      </c>
      <c r="N1784" s="465">
        <f t="shared" si="197"/>
        <v>0</v>
      </c>
      <c r="O1784" s="179"/>
      <c r="P1784" s="180"/>
      <c r="Q1784" s="173"/>
      <c r="R1784" s="173"/>
      <c r="S1784" s="174"/>
      <c r="T1784" s="173"/>
      <c r="U1784" s="182"/>
      <c r="V1784" s="177">
        <f>IF(U1784=0,0,IF(T1784="MXN",1/HLOOKUP(YEAR(S1784)+(MONTH(S1784)/100),TC!$5:$37,DAY(S1784)+2,FALSE),VLOOKUP(T1784,Equivalencia!$1:$23,((MAX(Equivalencia!$3:$3)-YEAR(S1784))*14)+MONTH(S1784)+2,FALSE)))</f>
        <v>0</v>
      </c>
      <c r="W1784" s="178">
        <f t="shared" si="198"/>
        <v>0</v>
      </c>
      <c r="X1784" s="481">
        <f t="shared" si="199"/>
        <v>0</v>
      </c>
      <c r="Y1784" s="179"/>
      <c r="Z1784" s="466">
        <f t="shared" si="200"/>
        <v>0</v>
      </c>
      <c r="AA1784" s="473">
        <f t="shared" si="201"/>
        <v>0</v>
      </c>
      <c r="AB1784" s="339">
        <f t="shared" si="202"/>
        <v>0</v>
      </c>
    </row>
    <row r="1785" spans="2:28" ht="20.100000000000001" customHeight="1">
      <c r="B1785" s="172"/>
      <c r="C1785" s="174"/>
      <c r="D1785" s="181"/>
      <c r="E1785" s="173"/>
      <c r="F1785" s="176"/>
      <c r="G1785" s="175">
        <f t="shared" si="193"/>
        <v>0</v>
      </c>
      <c r="H1785" s="175">
        <f t="shared" si="194"/>
        <v>0</v>
      </c>
      <c r="I1785" s="177">
        <f>IF(G1785=0,0,IF(E1785="MXN",1/HLOOKUP(YEAR(C1785)+(MONTH(C1785)/100),TC!$5:$37,DAY(C1785)+2,FALSE),VLOOKUP(E1785,Equivalencia!$5:$23,((MAX(Equivalencia!$3:$3)-YEAR(C1785))*14)+MONTH(C1785)+2,FALSE)))</f>
        <v>0</v>
      </c>
      <c r="J1785" s="178">
        <f t="shared" si="195"/>
        <v>0</v>
      </c>
      <c r="K1785" s="462">
        <f>IF(C1785=0,0,VLOOKUP(YEAR(C1785),INPC!$B$4:$O$29,MONTH(C1785)+1))</f>
        <v>0</v>
      </c>
      <c r="L1785" s="462">
        <f>IF(S1785=0,0,VLOOKUP(YEAR(S1785),INPC!$B$4:$O$29,MONTH(S1785)+1))</f>
        <v>0</v>
      </c>
      <c r="M1785" s="463">
        <f t="shared" si="196"/>
        <v>0</v>
      </c>
      <c r="N1785" s="465">
        <f t="shared" si="197"/>
        <v>0</v>
      </c>
      <c r="O1785" s="179"/>
      <c r="P1785" s="180"/>
      <c r="Q1785" s="173"/>
      <c r="R1785" s="173"/>
      <c r="S1785" s="174"/>
      <c r="T1785" s="173"/>
      <c r="U1785" s="182"/>
      <c r="V1785" s="177">
        <f>IF(U1785=0,0,IF(T1785="MXN",1/HLOOKUP(YEAR(S1785)+(MONTH(S1785)/100),TC!$5:$37,DAY(S1785)+2,FALSE),VLOOKUP(T1785,Equivalencia!$1:$23,((MAX(Equivalencia!$3:$3)-YEAR(S1785))*14)+MONTH(S1785)+2,FALSE)))</f>
        <v>0</v>
      </c>
      <c r="W1785" s="178">
        <f t="shared" si="198"/>
        <v>0</v>
      </c>
      <c r="X1785" s="481">
        <f t="shared" si="199"/>
        <v>0</v>
      </c>
      <c r="Y1785" s="179"/>
      <c r="Z1785" s="466">
        <f t="shared" si="200"/>
        <v>0</v>
      </c>
      <c r="AA1785" s="473">
        <f t="shared" si="201"/>
        <v>0</v>
      </c>
      <c r="AB1785" s="339">
        <f t="shared" si="202"/>
        <v>0</v>
      </c>
    </row>
    <row r="1786" spans="2:28" ht="20.100000000000001" customHeight="1">
      <c r="B1786" s="172"/>
      <c r="C1786" s="174"/>
      <c r="D1786" s="181"/>
      <c r="E1786" s="173"/>
      <c r="F1786" s="176"/>
      <c r="G1786" s="175">
        <f t="shared" si="193"/>
        <v>0</v>
      </c>
      <c r="H1786" s="175">
        <f t="shared" si="194"/>
        <v>0</v>
      </c>
      <c r="I1786" s="177">
        <f>IF(G1786=0,0,IF(E1786="MXN",1/HLOOKUP(YEAR(C1786)+(MONTH(C1786)/100),TC!$5:$37,DAY(C1786)+2,FALSE),VLOOKUP(E1786,Equivalencia!$5:$23,((MAX(Equivalencia!$3:$3)-YEAR(C1786))*14)+MONTH(C1786)+2,FALSE)))</f>
        <v>0</v>
      </c>
      <c r="J1786" s="178">
        <f t="shared" si="195"/>
        <v>0</v>
      </c>
      <c r="K1786" s="462">
        <f>IF(C1786=0,0,VLOOKUP(YEAR(C1786),INPC!$B$4:$O$29,MONTH(C1786)+1))</f>
        <v>0</v>
      </c>
      <c r="L1786" s="462">
        <f>IF(S1786=0,0,VLOOKUP(YEAR(S1786),INPC!$B$4:$O$29,MONTH(S1786)+1))</f>
        <v>0</v>
      </c>
      <c r="M1786" s="463">
        <f t="shared" si="196"/>
        <v>0</v>
      </c>
      <c r="N1786" s="465">
        <f t="shared" si="197"/>
        <v>0</v>
      </c>
      <c r="O1786" s="179"/>
      <c r="P1786" s="180"/>
      <c r="Q1786" s="173"/>
      <c r="R1786" s="173"/>
      <c r="S1786" s="174"/>
      <c r="T1786" s="173"/>
      <c r="U1786" s="182"/>
      <c r="V1786" s="177">
        <f>IF(U1786=0,0,IF(T1786="MXN",1/HLOOKUP(YEAR(S1786)+(MONTH(S1786)/100),TC!$5:$37,DAY(S1786)+2,FALSE),VLOOKUP(T1786,Equivalencia!$1:$23,((MAX(Equivalencia!$3:$3)-YEAR(S1786))*14)+MONTH(S1786)+2,FALSE)))</f>
        <v>0</v>
      </c>
      <c r="W1786" s="178">
        <f t="shared" si="198"/>
        <v>0</v>
      </c>
      <c r="X1786" s="481">
        <f t="shared" si="199"/>
        <v>0</v>
      </c>
      <c r="Y1786" s="179"/>
      <c r="Z1786" s="466">
        <f t="shared" si="200"/>
        <v>0</v>
      </c>
      <c r="AA1786" s="473">
        <f t="shared" si="201"/>
        <v>0</v>
      </c>
      <c r="AB1786" s="339">
        <f t="shared" si="202"/>
        <v>0</v>
      </c>
    </row>
    <row r="1787" spans="2:28" ht="20.100000000000001" customHeight="1">
      <c r="B1787" s="172"/>
      <c r="C1787" s="174"/>
      <c r="D1787" s="181"/>
      <c r="E1787" s="173"/>
      <c r="F1787" s="176"/>
      <c r="G1787" s="175">
        <f t="shared" si="193"/>
        <v>0</v>
      </c>
      <c r="H1787" s="175">
        <f t="shared" si="194"/>
        <v>0</v>
      </c>
      <c r="I1787" s="177">
        <f>IF(G1787=0,0,IF(E1787="MXN",1/HLOOKUP(YEAR(C1787)+(MONTH(C1787)/100),TC!$5:$37,DAY(C1787)+2,FALSE),VLOOKUP(E1787,Equivalencia!$5:$23,((MAX(Equivalencia!$3:$3)-YEAR(C1787))*14)+MONTH(C1787)+2,FALSE)))</f>
        <v>0</v>
      </c>
      <c r="J1787" s="178">
        <f t="shared" si="195"/>
        <v>0</v>
      </c>
      <c r="K1787" s="462">
        <f>IF(C1787=0,0,VLOOKUP(YEAR(C1787),INPC!$B$4:$O$29,MONTH(C1787)+1))</f>
        <v>0</v>
      </c>
      <c r="L1787" s="462">
        <f>IF(S1787=0,0,VLOOKUP(YEAR(S1787),INPC!$B$4:$O$29,MONTH(S1787)+1))</f>
        <v>0</v>
      </c>
      <c r="M1787" s="463">
        <f t="shared" si="196"/>
        <v>0</v>
      </c>
      <c r="N1787" s="465">
        <f t="shared" si="197"/>
        <v>0</v>
      </c>
      <c r="O1787" s="179"/>
      <c r="P1787" s="180"/>
      <c r="Q1787" s="173"/>
      <c r="R1787" s="173"/>
      <c r="S1787" s="174"/>
      <c r="T1787" s="173"/>
      <c r="U1787" s="182"/>
      <c r="V1787" s="177">
        <f>IF(U1787=0,0,IF(T1787="MXN",1/HLOOKUP(YEAR(S1787)+(MONTH(S1787)/100),TC!$5:$37,DAY(S1787)+2,FALSE),VLOOKUP(T1787,Equivalencia!$1:$23,((MAX(Equivalencia!$3:$3)-YEAR(S1787))*14)+MONTH(S1787)+2,FALSE)))</f>
        <v>0</v>
      </c>
      <c r="W1787" s="178">
        <f t="shared" si="198"/>
        <v>0</v>
      </c>
      <c r="X1787" s="481">
        <f t="shared" si="199"/>
        <v>0</v>
      </c>
      <c r="Y1787" s="179"/>
      <c r="Z1787" s="466">
        <f t="shared" si="200"/>
        <v>0</v>
      </c>
      <c r="AA1787" s="473">
        <f t="shared" si="201"/>
        <v>0</v>
      </c>
      <c r="AB1787" s="339">
        <f t="shared" si="202"/>
        <v>0</v>
      </c>
    </row>
    <row r="1788" spans="2:28" ht="20.100000000000001" customHeight="1">
      <c r="B1788" s="172"/>
      <c r="C1788" s="174"/>
      <c r="D1788" s="181"/>
      <c r="E1788" s="173"/>
      <c r="F1788" s="176"/>
      <c r="G1788" s="175">
        <f t="shared" si="193"/>
        <v>0</v>
      </c>
      <c r="H1788" s="175">
        <f t="shared" si="194"/>
        <v>0</v>
      </c>
      <c r="I1788" s="177">
        <f>IF(G1788=0,0,IF(E1788="MXN",1/HLOOKUP(YEAR(C1788)+(MONTH(C1788)/100),TC!$5:$37,DAY(C1788)+2,FALSE),VLOOKUP(E1788,Equivalencia!$5:$23,((MAX(Equivalencia!$3:$3)-YEAR(C1788))*14)+MONTH(C1788)+2,FALSE)))</f>
        <v>0</v>
      </c>
      <c r="J1788" s="178">
        <f t="shared" si="195"/>
        <v>0</v>
      </c>
      <c r="K1788" s="462">
        <f>IF(C1788=0,0,VLOOKUP(YEAR(C1788),INPC!$B$4:$O$29,MONTH(C1788)+1))</f>
        <v>0</v>
      </c>
      <c r="L1788" s="462">
        <f>IF(S1788=0,0,VLOOKUP(YEAR(S1788),INPC!$B$4:$O$29,MONTH(S1788)+1))</f>
        <v>0</v>
      </c>
      <c r="M1788" s="463">
        <f t="shared" si="196"/>
        <v>0</v>
      </c>
      <c r="N1788" s="465">
        <f t="shared" si="197"/>
        <v>0</v>
      </c>
      <c r="O1788" s="179"/>
      <c r="P1788" s="180"/>
      <c r="Q1788" s="173"/>
      <c r="R1788" s="173"/>
      <c r="S1788" s="174"/>
      <c r="T1788" s="173"/>
      <c r="U1788" s="182"/>
      <c r="V1788" s="177">
        <f>IF(U1788=0,0,IF(T1788="MXN",1/HLOOKUP(YEAR(S1788)+(MONTH(S1788)/100),TC!$5:$37,DAY(S1788)+2,FALSE),VLOOKUP(T1788,Equivalencia!$1:$23,((MAX(Equivalencia!$3:$3)-YEAR(S1788))*14)+MONTH(S1788)+2,FALSE)))</f>
        <v>0</v>
      </c>
      <c r="W1788" s="178">
        <f t="shared" si="198"/>
        <v>0</v>
      </c>
      <c r="X1788" s="481">
        <f t="shared" si="199"/>
        <v>0</v>
      </c>
      <c r="Y1788" s="179"/>
      <c r="Z1788" s="466">
        <f t="shared" si="200"/>
        <v>0</v>
      </c>
      <c r="AA1788" s="473">
        <f t="shared" si="201"/>
        <v>0</v>
      </c>
      <c r="AB1788" s="339">
        <f t="shared" si="202"/>
        <v>0</v>
      </c>
    </row>
    <row r="1789" spans="2:28" ht="20.100000000000001" customHeight="1">
      <c r="B1789" s="172"/>
      <c r="C1789" s="174"/>
      <c r="D1789" s="181"/>
      <c r="E1789" s="173"/>
      <c r="F1789" s="176"/>
      <c r="G1789" s="175">
        <f t="shared" si="193"/>
        <v>0</v>
      </c>
      <c r="H1789" s="175">
        <f t="shared" si="194"/>
        <v>0</v>
      </c>
      <c r="I1789" s="177">
        <f>IF(G1789=0,0,IF(E1789="MXN",1/HLOOKUP(YEAR(C1789)+(MONTH(C1789)/100),TC!$5:$37,DAY(C1789)+2,FALSE),VLOOKUP(E1789,Equivalencia!$5:$23,((MAX(Equivalencia!$3:$3)-YEAR(C1789))*14)+MONTH(C1789)+2,FALSE)))</f>
        <v>0</v>
      </c>
      <c r="J1789" s="178">
        <f t="shared" si="195"/>
        <v>0</v>
      </c>
      <c r="K1789" s="462">
        <f>IF(C1789=0,0,VLOOKUP(YEAR(C1789),INPC!$B$4:$O$29,MONTH(C1789)+1))</f>
        <v>0</v>
      </c>
      <c r="L1789" s="462">
        <f>IF(S1789=0,0,VLOOKUP(YEAR(S1789),INPC!$B$4:$O$29,MONTH(S1789)+1))</f>
        <v>0</v>
      </c>
      <c r="M1789" s="463">
        <f t="shared" si="196"/>
        <v>0</v>
      </c>
      <c r="N1789" s="465">
        <f t="shared" si="197"/>
        <v>0</v>
      </c>
      <c r="O1789" s="179"/>
      <c r="P1789" s="180"/>
      <c r="Q1789" s="173"/>
      <c r="R1789" s="173"/>
      <c r="S1789" s="174"/>
      <c r="T1789" s="173"/>
      <c r="U1789" s="182"/>
      <c r="V1789" s="177">
        <f>IF(U1789=0,0,IF(T1789="MXN",1/HLOOKUP(YEAR(S1789)+(MONTH(S1789)/100),TC!$5:$37,DAY(S1789)+2,FALSE),VLOOKUP(T1789,Equivalencia!$1:$23,((MAX(Equivalencia!$3:$3)-YEAR(S1789))*14)+MONTH(S1789)+2,FALSE)))</f>
        <v>0</v>
      </c>
      <c r="W1789" s="178">
        <f t="shared" si="198"/>
        <v>0</v>
      </c>
      <c r="X1789" s="481">
        <f t="shared" si="199"/>
        <v>0</v>
      </c>
      <c r="Y1789" s="179"/>
      <c r="Z1789" s="466">
        <f t="shared" si="200"/>
        <v>0</v>
      </c>
      <c r="AA1789" s="473">
        <f t="shared" si="201"/>
        <v>0</v>
      </c>
      <c r="AB1789" s="339">
        <f t="shared" si="202"/>
        <v>0</v>
      </c>
    </row>
    <row r="1790" spans="2:28" ht="20.100000000000001" customHeight="1">
      <c r="B1790" s="172"/>
      <c r="C1790" s="174"/>
      <c r="D1790" s="181"/>
      <c r="E1790" s="173"/>
      <c r="F1790" s="176"/>
      <c r="G1790" s="175">
        <f t="shared" si="193"/>
        <v>0</v>
      </c>
      <c r="H1790" s="175">
        <f t="shared" si="194"/>
        <v>0</v>
      </c>
      <c r="I1790" s="177">
        <f>IF(G1790=0,0,IF(E1790="MXN",1/HLOOKUP(YEAR(C1790)+(MONTH(C1790)/100),TC!$5:$37,DAY(C1790)+2,FALSE),VLOOKUP(E1790,Equivalencia!$5:$23,((MAX(Equivalencia!$3:$3)-YEAR(C1790))*14)+MONTH(C1790)+2,FALSE)))</f>
        <v>0</v>
      </c>
      <c r="J1790" s="178">
        <f t="shared" si="195"/>
        <v>0</v>
      </c>
      <c r="K1790" s="462">
        <f>IF(C1790=0,0,VLOOKUP(YEAR(C1790),INPC!$B$4:$O$29,MONTH(C1790)+1))</f>
        <v>0</v>
      </c>
      <c r="L1790" s="462">
        <f>IF(S1790=0,0,VLOOKUP(YEAR(S1790),INPC!$B$4:$O$29,MONTH(S1790)+1))</f>
        <v>0</v>
      </c>
      <c r="M1790" s="463">
        <f t="shared" si="196"/>
        <v>0</v>
      </c>
      <c r="N1790" s="465">
        <f t="shared" si="197"/>
        <v>0</v>
      </c>
      <c r="O1790" s="179"/>
      <c r="P1790" s="180"/>
      <c r="Q1790" s="173"/>
      <c r="R1790" s="173"/>
      <c r="S1790" s="174"/>
      <c r="T1790" s="173"/>
      <c r="U1790" s="182"/>
      <c r="V1790" s="177">
        <f>IF(U1790=0,0,IF(T1790="MXN",1/HLOOKUP(YEAR(S1790)+(MONTH(S1790)/100),TC!$5:$37,DAY(S1790)+2,FALSE),VLOOKUP(T1790,Equivalencia!$1:$23,((MAX(Equivalencia!$3:$3)-YEAR(S1790))*14)+MONTH(S1790)+2,FALSE)))</f>
        <v>0</v>
      </c>
      <c r="W1790" s="178">
        <f t="shared" si="198"/>
        <v>0</v>
      </c>
      <c r="X1790" s="481">
        <f t="shared" si="199"/>
        <v>0</v>
      </c>
      <c r="Y1790" s="179"/>
      <c r="Z1790" s="466">
        <f t="shared" si="200"/>
        <v>0</v>
      </c>
      <c r="AA1790" s="473">
        <f t="shared" si="201"/>
        <v>0</v>
      </c>
      <c r="AB1790" s="339">
        <f t="shared" si="202"/>
        <v>0</v>
      </c>
    </row>
    <row r="1791" spans="2:28" ht="20.100000000000001" customHeight="1">
      <c r="B1791" s="172"/>
      <c r="C1791" s="174"/>
      <c r="D1791" s="181"/>
      <c r="E1791" s="173"/>
      <c r="F1791" s="176"/>
      <c r="G1791" s="175">
        <f t="shared" si="193"/>
        <v>0</v>
      </c>
      <c r="H1791" s="175">
        <f t="shared" si="194"/>
        <v>0</v>
      </c>
      <c r="I1791" s="177">
        <f>IF(G1791=0,0,IF(E1791="MXN",1/HLOOKUP(YEAR(C1791)+(MONTH(C1791)/100),TC!$5:$37,DAY(C1791)+2,FALSE),VLOOKUP(E1791,Equivalencia!$5:$23,((MAX(Equivalencia!$3:$3)-YEAR(C1791))*14)+MONTH(C1791)+2,FALSE)))</f>
        <v>0</v>
      </c>
      <c r="J1791" s="178">
        <f t="shared" si="195"/>
        <v>0</v>
      </c>
      <c r="K1791" s="462">
        <f>IF(C1791=0,0,VLOOKUP(YEAR(C1791),INPC!$B$4:$O$29,MONTH(C1791)+1))</f>
        <v>0</v>
      </c>
      <c r="L1791" s="462">
        <f>IF(S1791=0,0,VLOOKUP(YEAR(S1791),INPC!$B$4:$O$29,MONTH(S1791)+1))</f>
        <v>0</v>
      </c>
      <c r="M1791" s="463">
        <f t="shared" si="196"/>
        <v>0</v>
      </c>
      <c r="N1791" s="465">
        <f t="shared" si="197"/>
        <v>0</v>
      </c>
      <c r="O1791" s="179"/>
      <c r="P1791" s="180"/>
      <c r="Q1791" s="173"/>
      <c r="R1791" s="173"/>
      <c r="S1791" s="174"/>
      <c r="T1791" s="173"/>
      <c r="U1791" s="182"/>
      <c r="V1791" s="177">
        <f>IF(U1791=0,0,IF(T1791="MXN",1/HLOOKUP(YEAR(S1791)+(MONTH(S1791)/100),TC!$5:$37,DAY(S1791)+2,FALSE),VLOOKUP(T1791,Equivalencia!$1:$23,((MAX(Equivalencia!$3:$3)-YEAR(S1791))*14)+MONTH(S1791)+2,FALSE)))</f>
        <v>0</v>
      </c>
      <c r="W1791" s="178">
        <f t="shared" si="198"/>
        <v>0</v>
      </c>
      <c r="X1791" s="481">
        <f t="shared" si="199"/>
        <v>0</v>
      </c>
      <c r="Y1791" s="179"/>
      <c r="Z1791" s="466">
        <f t="shared" si="200"/>
        <v>0</v>
      </c>
      <c r="AA1791" s="473">
        <f t="shared" si="201"/>
        <v>0</v>
      </c>
      <c r="AB1791" s="339">
        <f t="shared" si="202"/>
        <v>0</v>
      </c>
    </row>
    <row r="1792" spans="2:28" ht="20.100000000000001" customHeight="1">
      <c r="B1792" s="172"/>
      <c r="C1792" s="174"/>
      <c r="D1792" s="181"/>
      <c r="E1792" s="173"/>
      <c r="F1792" s="176"/>
      <c r="G1792" s="175">
        <f t="shared" si="193"/>
        <v>0</v>
      </c>
      <c r="H1792" s="175">
        <f t="shared" si="194"/>
        <v>0</v>
      </c>
      <c r="I1792" s="177">
        <f>IF(G1792=0,0,IF(E1792="MXN",1/HLOOKUP(YEAR(C1792)+(MONTH(C1792)/100),TC!$5:$37,DAY(C1792)+2,FALSE),VLOOKUP(E1792,Equivalencia!$5:$23,((MAX(Equivalencia!$3:$3)-YEAR(C1792))*14)+MONTH(C1792)+2,FALSE)))</f>
        <v>0</v>
      </c>
      <c r="J1792" s="178">
        <f t="shared" si="195"/>
        <v>0</v>
      </c>
      <c r="K1792" s="462">
        <f>IF(C1792=0,0,VLOOKUP(YEAR(C1792),INPC!$B$4:$O$29,MONTH(C1792)+1))</f>
        <v>0</v>
      </c>
      <c r="L1792" s="462">
        <f>IF(S1792=0,0,VLOOKUP(YEAR(S1792),INPC!$B$4:$O$29,MONTH(S1792)+1))</f>
        <v>0</v>
      </c>
      <c r="M1792" s="463">
        <f t="shared" si="196"/>
        <v>0</v>
      </c>
      <c r="N1792" s="465">
        <f t="shared" si="197"/>
        <v>0</v>
      </c>
      <c r="O1792" s="179"/>
      <c r="P1792" s="180"/>
      <c r="Q1792" s="173"/>
      <c r="R1792" s="173"/>
      <c r="S1792" s="174"/>
      <c r="T1792" s="173"/>
      <c r="U1792" s="182"/>
      <c r="V1792" s="177">
        <f>IF(U1792=0,0,IF(T1792="MXN",1/HLOOKUP(YEAR(S1792)+(MONTH(S1792)/100),TC!$5:$37,DAY(S1792)+2,FALSE),VLOOKUP(T1792,Equivalencia!$1:$23,((MAX(Equivalencia!$3:$3)-YEAR(S1792))*14)+MONTH(S1792)+2,FALSE)))</f>
        <v>0</v>
      </c>
      <c r="W1792" s="178">
        <f t="shared" si="198"/>
        <v>0</v>
      </c>
      <c r="X1792" s="481">
        <f t="shared" si="199"/>
        <v>0</v>
      </c>
      <c r="Y1792" s="179"/>
      <c r="Z1792" s="466">
        <f t="shared" si="200"/>
        <v>0</v>
      </c>
      <c r="AA1792" s="473">
        <f t="shared" si="201"/>
        <v>0</v>
      </c>
      <c r="AB1792" s="339">
        <f t="shared" si="202"/>
        <v>0</v>
      </c>
    </row>
    <row r="1793" spans="2:28" ht="20.100000000000001" customHeight="1">
      <c r="B1793" s="172"/>
      <c r="C1793" s="174"/>
      <c r="D1793" s="181"/>
      <c r="E1793" s="173"/>
      <c r="F1793" s="176"/>
      <c r="G1793" s="175">
        <f t="shared" si="193"/>
        <v>0</v>
      </c>
      <c r="H1793" s="175">
        <f t="shared" si="194"/>
        <v>0</v>
      </c>
      <c r="I1793" s="177">
        <f>IF(G1793=0,0,IF(E1793="MXN",1/HLOOKUP(YEAR(C1793)+(MONTH(C1793)/100),TC!$5:$37,DAY(C1793)+2,FALSE),VLOOKUP(E1793,Equivalencia!$5:$23,((MAX(Equivalencia!$3:$3)-YEAR(C1793))*14)+MONTH(C1793)+2,FALSE)))</f>
        <v>0</v>
      </c>
      <c r="J1793" s="178">
        <f t="shared" si="195"/>
        <v>0</v>
      </c>
      <c r="K1793" s="462">
        <f>IF(C1793=0,0,VLOOKUP(YEAR(C1793),INPC!$B$4:$O$29,MONTH(C1793)+1))</f>
        <v>0</v>
      </c>
      <c r="L1793" s="462">
        <f>IF(S1793=0,0,VLOOKUP(YEAR(S1793),INPC!$B$4:$O$29,MONTH(S1793)+1))</f>
        <v>0</v>
      </c>
      <c r="M1793" s="463">
        <f t="shared" si="196"/>
        <v>0</v>
      </c>
      <c r="N1793" s="465">
        <f t="shared" si="197"/>
        <v>0</v>
      </c>
      <c r="O1793" s="179"/>
      <c r="P1793" s="180"/>
      <c r="Q1793" s="173"/>
      <c r="R1793" s="173"/>
      <c r="S1793" s="174"/>
      <c r="T1793" s="173"/>
      <c r="U1793" s="182"/>
      <c r="V1793" s="177">
        <f>IF(U1793=0,0,IF(T1793="MXN",1/HLOOKUP(YEAR(S1793)+(MONTH(S1793)/100),TC!$5:$37,DAY(S1793)+2,FALSE),VLOOKUP(T1793,Equivalencia!$1:$23,((MAX(Equivalencia!$3:$3)-YEAR(S1793))*14)+MONTH(S1793)+2,FALSE)))</f>
        <v>0</v>
      </c>
      <c r="W1793" s="178">
        <f t="shared" si="198"/>
        <v>0</v>
      </c>
      <c r="X1793" s="481">
        <f t="shared" si="199"/>
        <v>0</v>
      </c>
      <c r="Y1793" s="179"/>
      <c r="Z1793" s="466">
        <f t="shared" si="200"/>
        <v>0</v>
      </c>
      <c r="AA1793" s="473">
        <f t="shared" si="201"/>
        <v>0</v>
      </c>
      <c r="AB1793" s="339">
        <f t="shared" si="202"/>
        <v>0</v>
      </c>
    </row>
    <row r="1794" spans="2:28" ht="20.100000000000001" customHeight="1">
      <c r="B1794" s="172"/>
      <c r="C1794" s="174"/>
      <c r="D1794" s="181"/>
      <c r="E1794" s="173"/>
      <c r="F1794" s="176"/>
      <c r="G1794" s="175">
        <f t="shared" si="193"/>
        <v>0</v>
      </c>
      <c r="H1794" s="175">
        <f t="shared" si="194"/>
        <v>0</v>
      </c>
      <c r="I1794" s="177">
        <f>IF(G1794=0,0,IF(E1794="MXN",1/HLOOKUP(YEAR(C1794)+(MONTH(C1794)/100),TC!$5:$37,DAY(C1794)+2,FALSE),VLOOKUP(E1794,Equivalencia!$5:$23,((MAX(Equivalencia!$3:$3)-YEAR(C1794))*14)+MONTH(C1794)+2,FALSE)))</f>
        <v>0</v>
      </c>
      <c r="J1794" s="178">
        <f t="shared" si="195"/>
        <v>0</v>
      </c>
      <c r="K1794" s="462">
        <f>IF(C1794=0,0,VLOOKUP(YEAR(C1794),INPC!$B$4:$O$29,MONTH(C1794)+1))</f>
        <v>0</v>
      </c>
      <c r="L1794" s="462">
        <f>IF(S1794=0,0,VLOOKUP(YEAR(S1794),INPC!$B$4:$O$29,MONTH(S1794)+1))</f>
        <v>0</v>
      </c>
      <c r="M1794" s="463">
        <f t="shared" si="196"/>
        <v>0</v>
      </c>
      <c r="N1794" s="465">
        <f t="shared" si="197"/>
        <v>0</v>
      </c>
      <c r="O1794" s="179"/>
      <c r="P1794" s="180"/>
      <c r="Q1794" s="173"/>
      <c r="R1794" s="173"/>
      <c r="S1794" s="174"/>
      <c r="T1794" s="173"/>
      <c r="U1794" s="182"/>
      <c r="V1794" s="177">
        <f>IF(U1794=0,0,IF(T1794="MXN",1/HLOOKUP(YEAR(S1794)+(MONTH(S1794)/100),TC!$5:$37,DAY(S1794)+2,FALSE),VLOOKUP(T1794,Equivalencia!$1:$23,((MAX(Equivalencia!$3:$3)-YEAR(S1794))*14)+MONTH(S1794)+2,FALSE)))</f>
        <v>0</v>
      </c>
      <c r="W1794" s="178">
        <f t="shared" si="198"/>
        <v>0</v>
      </c>
      <c r="X1794" s="481">
        <f t="shared" si="199"/>
        <v>0</v>
      </c>
      <c r="Y1794" s="179"/>
      <c r="Z1794" s="466">
        <f t="shared" si="200"/>
        <v>0</v>
      </c>
      <c r="AA1794" s="473">
        <f t="shared" si="201"/>
        <v>0</v>
      </c>
      <c r="AB1794" s="339">
        <f t="shared" si="202"/>
        <v>0</v>
      </c>
    </row>
    <row r="1795" spans="2:28" ht="20.100000000000001" customHeight="1">
      <c r="B1795" s="172"/>
      <c r="C1795" s="174"/>
      <c r="D1795" s="181"/>
      <c r="E1795" s="173"/>
      <c r="F1795" s="176"/>
      <c r="G1795" s="175">
        <f t="shared" si="193"/>
        <v>0</v>
      </c>
      <c r="H1795" s="175">
        <f t="shared" si="194"/>
        <v>0</v>
      </c>
      <c r="I1795" s="177">
        <f>IF(G1795=0,0,IF(E1795="MXN",1/HLOOKUP(YEAR(C1795)+(MONTH(C1795)/100),TC!$5:$37,DAY(C1795)+2,FALSE),VLOOKUP(E1795,Equivalencia!$5:$23,((MAX(Equivalencia!$3:$3)-YEAR(C1795))*14)+MONTH(C1795)+2,FALSE)))</f>
        <v>0</v>
      </c>
      <c r="J1795" s="178">
        <f t="shared" si="195"/>
        <v>0</v>
      </c>
      <c r="K1795" s="462">
        <f>IF(C1795=0,0,VLOOKUP(YEAR(C1795),INPC!$B$4:$O$29,MONTH(C1795)+1))</f>
        <v>0</v>
      </c>
      <c r="L1795" s="462">
        <f>IF(S1795=0,0,VLOOKUP(YEAR(S1795),INPC!$B$4:$O$29,MONTH(S1795)+1))</f>
        <v>0</v>
      </c>
      <c r="M1795" s="463">
        <f t="shared" si="196"/>
        <v>0</v>
      </c>
      <c r="N1795" s="465">
        <f t="shared" si="197"/>
        <v>0</v>
      </c>
      <c r="O1795" s="179"/>
      <c r="P1795" s="180"/>
      <c r="Q1795" s="173"/>
      <c r="R1795" s="173"/>
      <c r="S1795" s="174"/>
      <c r="T1795" s="173"/>
      <c r="U1795" s="182"/>
      <c r="V1795" s="177">
        <f>IF(U1795=0,0,IF(T1795="MXN",1/HLOOKUP(YEAR(S1795)+(MONTH(S1795)/100),TC!$5:$37,DAY(S1795)+2,FALSE),VLOOKUP(T1795,Equivalencia!$1:$23,((MAX(Equivalencia!$3:$3)-YEAR(S1795))*14)+MONTH(S1795)+2,FALSE)))</f>
        <v>0</v>
      </c>
      <c r="W1795" s="178">
        <f t="shared" si="198"/>
        <v>0</v>
      </c>
      <c r="X1795" s="481">
        <f t="shared" si="199"/>
        <v>0</v>
      </c>
      <c r="Y1795" s="179"/>
      <c r="Z1795" s="466">
        <f t="shared" si="200"/>
        <v>0</v>
      </c>
      <c r="AA1795" s="473">
        <f t="shared" si="201"/>
        <v>0</v>
      </c>
      <c r="AB1795" s="339">
        <f t="shared" si="202"/>
        <v>0</v>
      </c>
    </row>
    <row r="1796" spans="2:28" ht="20.100000000000001" customHeight="1">
      <c r="B1796" s="172"/>
      <c r="C1796" s="174"/>
      <c r="D1796" s="181"/>
      <c r="E1796" s="173"/>
      <c r="F1796" s="176"/>
      <c r="G1796" s="175">
        <f t="shared" si="193"/>
        <v>0</v>
      </c>
      <c r="H1796" s="175">
        <f t="shared" si="194"/>
        <v>0</v>
      </c>
      <c r="I1796" s="177">
        <f>IF(G1796=0,0,IF(E1796="MXN",1/HLOOKUP(YEAR(C1796)+(MONTH(C1796)/100),TC!$5:$37,DAY(C1796)+2,FALSE),VLOOKUP(E1796,Equivalencia!$5:$23,((MAX(Equivalencia!$3:$3)-YEAR(C1796))*14)+MONTH(C1796)+2,FALSE)))</f>
        <v>0</v>
      </c>
      <c r="J1796" s="178">
        <f t="shared" si="195"/>
        <v>0</v>
      </c>
      <c r="K1796" s="462">
        <f>IF(C1796=0,0,VLOOKUP(YEAR(C1796),INPC!$B$4:$O$29,MONTH(C1796)+1))</f>
        <v>0</v>
      </c>
      <c r="L1796" s="462">
        <f>IF(S1796=0,0,VLOOKUP(YEAR(S1796),INPC!$B$4:$O$29,MONTH(S1796)+1))</f>
        <v>0</v>
      </c>
      <c r="M1796" s="463">
        <f t="shared" si="196"/>
        <v>0</v>
      </c>
      <c r="N1796" s="465">
        <f t="shared" si="197"/>
        <v>0</v>
      </c>
      <c r="O1796" s="179"/>
      <c r="P1796" s="180"/>
      <c r="Q1796" s="173"/>
      <c r="R1796" s="173"/>
      <c r="S1796" s="174"/>
      <c r="T1796" s="173"/>
      <c r="U1796" s="182"/>
      <c r="V1796" s="177">
        <f>IF(U1796=0,0,IF(T1796="MXN",1/HLOOKUP(YEAR(S1796)+(MONTH(S1796)/100),TC!$5:$37,DAY(S1796)+2,FALSE),VLOOKUP(T1796,Equivalencia!$1:$23,((MAX(Equivalencia!$3:$3)-YEAR(S1796))*14)+MONTH(S1796)+2,FALSE)))</f>
        <v>0</v>
      </c>
      <c r="W1796" s="178">
        <f t="shared" si="198"/>
        <v>0</v>
      </c>
      <c r="X1796" s="481">
        <f t="shared" si="199"/>
        <v>0</v>
      </c>
      <c r="Y1796" s="179"/>
      <c r="Z1796" s="466">
        <f t="shared" si="200"/>
        <v>0</v>
      </c>
      <c r="AA1796" s="473">
        <f t="shared" si="201"/>
        <v>0</v>
      </c>
      <c r="AB1796" s="339">
        <f t="shared" si="202"/>
        <v>0</v>
      </c>
    </row>
    <row r="1797" spans="2:28" ht="20.100000000000001" customHeight="1">
      <c r="B1797" s="172"/>
      <c r="C1797" s="174"/>
      <c r="D1797" s="181"/>
      <c r="E1797" s="173"/>
      <c r="F1797" s="176"/>
      <c r="G1797" s="175">
        <f t="shared" si="193"/>
        <v>0</v>
      </c>
      <c r="H1797" s="175">
        <f t="shared" si="194"/>
        <v>0</v>
      </c>
      <c r="I1797" s="177">
        <f>IF(G1797=0,0,IF(E1797="MXN",1/HLOOKUP(YEAR(C1797)+(MONTH(C1797)/100),TC!$5:$37,DAY(C1797)+2,FALSE),VLOOKUP(E1797,Equivalencia!$5:$23,((MAX(Equivalencia!$3:$3)-YEAR(C1797))*14)+MONTH(C1797)+2,FALSE)))</f>
        <v>0</v>
      </c>
      <c r="J1797" s="178">
        <f t="shared" si="195"/>
        <v>0</v>
      </c>
      <c r="K1797" s="462">
        <f>IF(C1797=0,0,VLOOKUP(YEAR(C1797),INPC!$B$4:$O$29,MONTH(C1797)+1))</f>
        <v>0</v>
      </c>
      <c r="L1797" s="462">
        <f>IF(S1797=0,0,VLOOKUP(YEAR(S1797),INPC!$B$4:$O$29,MONTH(S1797)+1))</f>
        <v>0</v>
      </c>
      <c r="M1797" s="463">
        <f t="shared" si="196"/>
        <v>0</v>
      </c>
      <c r="N1797" s="465">
        <f t="shared" si="197"/>
        <v>0</v>
      </c>
      <c r="O1797" s="179"/>
      <c r="P1797" s="180"/>
      <c r="Q1797" s="173"/>
      <c r="R1797" s="173"/>
      <c r="S1797" s="174"/>
      <c r="T1797" s="173"/>
      <c r="U1797" s="182"/>
      <c r="V1797" s="177">
        <f>IF(U1797=0,0,IF(T1797="MXN",1/HLOOKUP(YEAR(S1797)+(MONTH(S1797)/100),TC!$5:$37,DAY(S1797)+2,FALSE),VLOOKUP(T1797,Equivalencia!$1:$23,((MAX(Equivalencia!$3:$3)-YEAR(S1797))*14)+MONTH(S1797)+2,FALSE)))</f>
        <v>0</v>
      </c>
      <c r="W1797" s="178">
        <f t="shared" si="198"/>
        <v>0</v>
      </c>
      <c r="X1797" s="481">
        <f t="shared" si="199"/>
        <v>0</v>
      </c>
      <c r="Y1797" s="179"/>
      <c r="Z1797" s="466">
        <f t="shared" si="200"/>
        <v>0</v>
      </c>
      <c r="AA1797" s="473">
        <f t="shared" si="201"/>
        <v>0</v>
      </c>
      <c r="AB1797" s="339">
        <f t="shared" si="202"/>
        <v>0</v>
      </c>
    </row>
    <row r="1798" spans="2:28" ht="20.100000000000001" customHeight="1">
      <c r="B1798" s="172"/>
      <c r="C1798" s="174"/>
      <c r="D1798" s="181"/>
      <c r="E1798" s="173"/>
      <c r="F1798" s="176"/>
      <c r="G1798" s="175">
        <f t="shared" si="193"/>
        <v>0</v>
      </c>
      <c r="H1798" s="175">
        <f t="shared" si="194"/>
        <v>0</v>
      </c>
      <c r="I1798" s="177">
        <f>IF(G1798=0,0,IF(E1798="MXN",1/HLOOKUP(YEAR(C1798)+(MONTH(C1798)/100),TC!$5:$37,DAY(C1798)+2,FALSE),VLOOKUP(E1798,Equivalencia!$5:$23,((MAX(Equivalencia!$3:$3)-YEAR(C1798))*14)+MONTH(C1798)+2,FALSE)))</f>
        <v>0</v>
      </c>
      <c r="J1798" s="178">
        <f t="shared" si="195"/>
        <v>0</v>
      </c>
      <c r="K1798" s="462">
        <f>IF(C1798=0,0,VLOOKUP(YEAR(C1798),INPC!$B$4:$O$29,MONTH(C1798)+1))</f>
        <v>0</v>
      </c>
      <c r="L1798" s="462">
        <f>IF(S1798=0,0,VLOOKUP(YEAR(S1798),INPC!$B$4:$O$29,MONTH(S1798)+1))</f>
        <v>0</v>
      </c>
      <c r="M1798" s="463">
        <f t="shared" si="196"/>
        <v>0</v>
      </c>
      <c r="N1798" s="465">
        <f t="shared" si="197"/>
        <v>0</v>
      </c>
      <c r="O1798" s="179"/>
      <c r="P1798" s="180"/>
      <c r="Q1798" s="173"/>
      <c r="R1798" s="173"/>
      <c r="S1798" s="174"/>
      <c r="T1798" s="173"/>
      <c r="U1798" s="182"/>
      <c r="V1798" s="177">
        <f>IF(U1798=0,0,IF(T1798="MXN",1/HLOOKUP(YEAR(S1798)+(MONTH(S1798)/100),TC!$5:$37,DAY(S1798)+2,FALSE),VLOOKUP(T1798,Equivalencia!$1:$23,((MAX(Equivalencia!$3:$3)-YEAR(S1798))*14)+MONTH(S1798)+2,FALSE)))</f>
        <v>0</v>
      </c>
      <c r="W1798" s="178">
        <f t="shared" si="198"/>
        <v>0</v>
      </c>
      <c r="X1798" s="481">
        <f t="shared" si="199"/>
        <v>0</v>
      </c>
      <c r="Y1798" s="179"/>
      <c r="Z1798" s="466">
        <f t="shared" si="200"/>
        <v>0</v>
      </c>
      <c r="AA1798" s="473">
        <f t="shared" si="201"/>
        <v>0</v>
      </c>
      <c r="AB1798" s="339">
        <f t="shared" si="202"/>
        <v>0</v>
      </c>
    </row>
    <row r="1799" spans="2:28" ht="20.100000000000001" customHeight="1">
      <c r="B1799" s="172"/>
      <c r="C1799" s="174"/>
      <c r="D1799" s="181"/>
      <c r="E1799" s="173"/>
      <c r="F1799" s="176"/>
      <c r="G1799" s="175">
        <f t="shared" si="193"/>
        <v>0</v>
      </c>
      <c r="H1799" s="175">
        <f t="shared" si="194"/>
        <v>0</v>
      </c>
      <c r="I1799" s="177">
        <f>IF(G1799=0,0,IF(E1799="MXN",1/HLOOKUP(YEAR(C1799)+(MONTH(C1799)/100),TC!$5:$37,DAY(C1799)+2,FALSE),VLOOKUP(E1799,Equivalencia!$5:$23,((MAX(Equivalencia!$3:$3)-YEAR(C1799))*14)+MONTH(C1799)+2,FALSE)))</f>
        <v>0</v>
      </c>
      <c r="J1799" s="178">
        <f t="shared" si="195"/>
        <v>0</v>
      </c>
      <c r="K1799" s="462">
        <f>IF(C1799=0,0,VLOOKUP(YEAR(C1799),INPC!$B$4:$O$29,MONTH(C1799)+1))</f>
        <v>0</v>
      </c>
      <c r="L1799" s="462">
        <f>IF(S1799=0,0,VLOOKUP(YEAR(S1799),INPC!$B$4:$O$29,MONTH(S1799)+1))</f>
        <v>0</v>
      </c>
      <c r="M1799" s="463">
        <f t="shared" si="196"/>
        <v>0</v>
      </c>
      <c r="N1799" s="465">
        <f t="shared" si="197"/>
        <v>0</v>
      </c>
      <c r="O1799" s="179"/>
      <c r="P1799" s="180"/>
      <c r="Q1799" s="173"/>
      <c r="R1799" s="173"/>
      <c r="S1799" s="174"/>
      <c r="T1799" s="173"/>
      <c r="U1799" s="182"/>
      <c r="V1799" s="177">
        <f>IF(U1799=0,0,IF(T1799="MXN",1/HLOOKUP(YEAR(S1799)+(MONTH(S1799)/100),TC!$5:$37,DAY(S1799)+2,FALSE),VLOOKUP(T1799,Equivalencia!$1:$23,((MAX(Equivalencia!$3:$3)-YEAR(S1799))*14)+MONTH(S1799)+2,FALSE)))</f>
        <v>0</v>
      </c>
      <c r="W1799" s="178">
        <f t="shared" si="198"/>
        <v>0</v>
      </c>
      <c r="X1799" s="481">
        <f t="shared" si="199"/>
        <v>0</v>
      </c>
      <c r="Y1799" s="179"/>
      <c r="Z1799" s="466">
        <f t="shared" si="200"/>
        <v>0</v>
      </c>
      <c r="AA1799" s="473">
        <f t="shared" si="201"/>
        <v>0</v>
      </c>
      <c r="AB1799" s="339">
        <f t="shared" si="202"/>
        <v>0</v>
      </c>
    </row>
    <row r="1800" spans="2:28" ht="20.100000000000001" customHeight="1">
      <c r="B1800" s="172"/>
      <c r="C1800" s="174"/>
      <c r="D1800" s="181"/>
      <c r="E1800" s="173"/>
      <c r="F1800" s="176"/>
      <c r="G1800" s="175">
        <f t="shared" si="193"/>
        <v>0</v>
      </c>
      <c r="H1800" s="175">
        <f t="shared" si="194"/>
        <v>0</v>
      </c>
      <c r="I1800" s="177">
        <f>IF(G1800=0,0,IF(E1800="MXN",1/HLOOKUP(YEAR(C1800)+(MONTH(C1800)/100),TC!$5:$37,DAY(C1800)+2,FALSE),VLOOKUP(E1800,Equivalencia!$5:$23,((MAX(Equivalencia!$3:$3)-YEAR(C1800))*14)+MONTH(C1800)+2,FALSE)))</f>
        <v>0</v>
      </c>
      <c r="J1800" s="178">
        <f t="shared" si="195"/>
        <v>0</v>
      </c>
      <c r="K1800" s="462">
        <f>IF(C1800=0,0,VLOOKUP(YEAR(C1800),INPC!$B$4:$O$29,MONTH(C1800)+1))</f>
        <v>0</v>
      </c>
      <c r="L1800" s="462">
        <f>IF(S1800=0,0,VLOOKUP(YEAR(S1800),INPC!$B$4:$O$29,MONTH(S1800)+1))</f>
        <v>0</v>
      </c>
      <c r="M1800" s="463">
        <f t="shared" si="196"/>
        <v>0</v>
      </c>
      <c r="N1800" s="465">
        <f t="shared" si="197"/>
        <v>0</v>
      </c>
      <c r="O1800" s="179"/>
      <c r="P1800" s="180"/>
      <c r="Q1800" s="173"/>
      <c r="R1800" s="173"/>
      <c r="S1800" s="174"/>
      <c r="T1800" s="173"/>
      <c r="U1800" s="182"/>
      <c r="V1800" s="177">
        <f>IF(U1800=0,0,IF(T1800="MXN",1/HLOOKUP(YEAR(S1800)+(MONTH(S1800)/100),TC!$5:$37,DAY(S1800)+2,FALSE),VLOOKUP(T1800,Equivalencia!$1:$23,((MAX(Equivalencia!$3:$3)-YEAR(S1800))*14)+MONTH(S1800)+2,FALSE)))</f>
        <v>0</v>
      </c>
      <c r="W1800" s="178">
        <f t="shared" si="198"/>
        <v>0</v>
      </c>
      <c r="X1800" s="481">
        <f t="shared" si="199"/>
        <v>0</v>
      </c>
      <c r="Y1800" s="179"/>
      <c r="Z1800" s="466">
        <f t="shared" si="200"/>
        <v>0</v>
      </c>
      <c r="AA1800" s="473">
        <f t="shared" si="201"/>
        <v>0</v>
      </c>
      <c r="AB1800" s="339">
        <f t="shared" si="202"/>
        <v>0</v>
      </c>
    </row>
    <row r="1801" spans="2:28" ht="20.100000000000001" customHeight="1">
      <c r="B1801" s="172"/>
      <c r="C1801" s="174"/>
      <c r="D1801" s="181"/>
      <c r="E1801" s="173"/>
      <c r="F1801" s="176"/>
      <c r="G1801" s="175">
        <f t="shared" si="193"/>
        <v>0</v>
      </c>
      <c r="H1801" s="175">
        <f t="shared" si="194"/>
        <v>0</v>
      </c>
      <c r="I1801" s="177">
        <f>IF(G1801=0,0,IF(E1801="MXN",1/HLOOKUP(YEAR(C1801)+(MONTH(C1801)/100),TC!$5:$37,DAY(C1801)+2,FALSE),VLOOKUP(E1801,Equivalencia!$5:$23,((MAX(Equivalencia!$3:$3)-YEAR(C1801))*14)+MONTH(C1801)+2,FALSE)))</f>
        <v>0</v>
      </c>
      <c r="J1801" s="178">
        <f t="shared" si="195"/>
        <v>0</v>
      </c>
      <c r="K1801" s="462">
        <f>IF(C1801=0,0,VLOOKUP(YEAR(C1801),INPC!$B$4:$O$29,MONTH(C1801)+1))</f>
        <v>0</v>
      </c>
      <c r="L1801" s="462">
        <f>IF(S1801=0,0,VLOOKUP(YEAR(S1801),INPC!$B$4:$O$29,MONTH(S1801)+1))</f>
        <v>0</v>
      </c>
      <c r="M1801" s="463">
        <f t="shared" si="196"/>
        <v>0</v>
      </c>
      <c r="N1801" s="465">
        <f t="shared" si="197"/>
        <v>0</v>
      </c>
      <c r="O1801" s="179"/>
      <c r="P1801" s="180"/>
      <c r="Q1801" s="173"/>
      <c r="R1801" s="173"/>
      <c r="S1801" s="174"/>
      <c r="T1801" s="173"/>
      <c r="U1801" s="182"/>
      <c r="V1801" s="177">
        <f>IF(U1801=0,0,IF(T1801="MXN",1/HLOOKUP(YEAR(S1801)+(MONTH(S1801)/100),TC!$5:$37,DAY(S1801)+2,FALSE),VLOOKUP(T1801,Equivalencia!$1:$23,((MAX(Equivalencia!$3:$3)-YEAR(S1801))*14)+MONTH(S1801)+2,FALSE)))</f>
        <v>0</v>
      </c>
      <c r="W1801" s="178">
        <f t="shared" si="198"/>
        <v>0</v>
      </c>
      <c r="X1801" s="481">
        <f t="shared" si="199"/>
        <v>0</v>
      </c>
      <c r="Y1801" s="179"/>
      <c r="Z1801" s="466">
        <f t="shared" si="200"/>
        <v>0</v>
      </c>
      <c r="AA1801" s="473">
        <f t="shared" si="201"/>
        <v>0</v>
      </c>
      <c r="AB1801" s="339">
        <f t="shared" si="202"/>
        <v>0</v>
      </c>
    </row>
    <row r="1802" spans="2:28" ht="20.100000000000001" customHeight="1">
      <c r="B1802" s="172"/>
      <c r="C1802" s="174"/>
      <c r="D1802" s="181"/>
      <c r="E1802" s="173"/>
      <c r="F1802" s="176"/>
      <c r="G1802" s="175">
        <f t="shared" si="193"/>
        <v>0</v>
      </c>
      <c r="H1802" s="175">
        <f t="shared" si="194"/>
        <v>0</v>
      </c>
      <c r="I1802" s="177">
        <f>IF(G1802=0,0,IF(E1802="MXN",1/HLOOKUP(YEAR(C1802)+(MONTH(C1802)/100),TC!$5:$37,DAY(C1802)+2,FALSE),VLOOKUP(E1802,Equivalencia!$5:$23,((MAX(Equivalencia!$3:$3)-YEAR(C1802))*14)+MONTH(C1802)+2,FALSE)))</f>
        <v>0</v>
      </c>
      <c r="J1802" s="178">
        <f t="shared" si="195"/>
        <v>0</v>
      </c>
      <c r="K1802" s="462">
        <f>IF(C1802=0,0,VLOOKUP(YEAR(C1802),INPC!$B$4:$O$29,MONTH(C1802)+1))</f>
        <v>0</v>
      </c>
      <c r="L1802" s="462">
        <f>IF(S1802=0,0,VLOOKUP(YEAR(S1802),INPC!$B$4:$O$29,MONTH(S1802)+1))</f>
        <v>0</v>
      </c>
      <c r="M1802" s="463">
        <f t="shared" si="196"/>
        <v>0</v>
      </c>
      <c r="N1802" s="465">
        <f t="shared" si="197"/>
        <v>0</v>
      </c>
      <c r="O1802" s="179"/>
      <c r="P1802" s="180"/>
      <c r="Q1802" s="173"/>
      <c r="R1802" s="173"/>
      <c r="S1802" s="174"/>
      <c r="T1802" s="173"/>
      <c r="U1802" s="182"/>
      <c r="V1802" s="177">
        <f>IF(U1802=0,0,IF(T1802="MXN",1/HLOOKUP(YEAR(S1802)+(MONTH(S1802)/100),TC!$5:$37,DAY(S1802)+2,FALSE),VLOOKUP(T1802,Equivalencia!$1:$23,((MAX(Equivalencia!$3:$3)-YEAR(S1802))*14)+MONTH(S1802)+2,FALSE)))</f>
        <v>0</v>
      </c>
      <c r="W1802" s="178">
        <f t="shared" si="198"/>
        <v>0</v>
      </c>
      <c r="X1802" s="481">
        <f t="shared" si="199"/>
        <v>0</v>
      </c>
      <c r="Y1802" s="179"/>
      <c r="Z1802" s="466">
        <f t="shared" si="200"/>
        <v>0</v>
      </c>
      <c r="AA1802" s="473">
        <f t="shared" si="201"/>
        <v>0</v>
      </c>
      <c r="AB1802" s="339">
        <f t="shared" si="202"/>
        <v>0</v>
      </c>
    </row>
    <row r="1803" spans="2:28" ht="20.100000000000001" customHeight="1">
      <c r="B1803" s="172"/>
      <c r="C1803" s="174"/>
      <c r="D1803" s="181"/>
      <c r="E1803" s="173"/>
      <c r="F1803" s="176"/>
      <c r="G1803" s="175">
        <f t="shared" si="193"/>
        <v>0</v>
      </c>
      <c r="H1803" s="175">
        <f t="shared" si="194"/>
        <v>0</v>
      </c>
      <c r="I1803" s="177">
        <f>IF(G1803=0,0,IF(E1803="MXN",1/HLOOKUP(YEAR(C1803)+(MONTH(C1803)/100),TC!$5:$37,DAY(C1803)+2,FALSE),VLOOKUP(E1803,Equivalencia!$5:$23,((MAX(Equivalencia!$3:$3)-YEAR(C1803))*14)+MONTH(C1803)+2,FALSE)))</f>
        <v>0</v>
      </c>
      <c r="J1803" s="178">
        <f t="shared" si="195"/>
        <v>0</v>
      </c>
      <c r="K1803" s="462">
        <f>IF(C1803=0,0,VLOOKUP(YEAR(C1803),INPC!$B$4:$O$29,MONTH(C1803)+1))</f>
        <v>0</v>
      </c>
      <c r="L1803" s="462">
        <f>IF(S1803=0,0,VLOOKUP(YEAR(S1803),INPC!$B$4:$O$29,MONTH(S1803)+1))</f>
        <v>0</v>
      </c>
      <c r="M1803" s="463">
        <f t="shared" si="196"/>
        <v>0</v>
      </c>
      <c r="N1803" s="465">
        <f t="shared" si="197"/>
        <v>0</v>
      </c>
      <c r="O1803" s="179"/>
      <c r="P1803" s="180"/>
      <c r="Q1803" s="173"/>
      <c r="R1803" s="173"/>
      <c r="S1803" s="174"/>
      <c r="T1803" s="173"/>
      <c r="U1803" s="182"/>
      <c r="V1803" s="177">
        <f>IF(U1803=0,0,IF(T1803="MXN",1/HLOOKUP(YEAR(S1803)+(MONTH(S1803)/100),TC!$5:$37,DAY(S1803)+2,FALSE),VLOOKUP(T1803,Equivalencia!$1:$23,((MAX(Equivalencia!$3:$3)-YEAR(S1803))*14)+MONTH(S1803)+2,FALSE)))</f>
        <v>0</v>
      </c>
      <c r="W1803" s="178">
        <f t="shared" si="198"/>
        <v>0</v>
      </c>
      <c r="X1803" s="481">
        <f t="shared" si="199"/>
        <v>0</v>
      </c>
      <c r="Y1803" s="179"/>
      <c r="Z1803" s="466">
        <f t="shared" si="200"/>
        <v>0</v>
      </c>
      <c r="AA1803" s="473">
        <f t="shared" si="201"/>
        <v>0</v>
      </c>
      <c r="AB1803" s="339">
        <f t="shared" si="202"/>
        <v>0</v>
      </c>
    </row>
    <row r="1804" spans="2:28" ht="20.100000000000001" customHeight="1">
      <c r="B1804" s="172"/>
      <c r="C1804" s="174"/>
      <c r="D1804" s="181"/>
      <c r="E1804" s="173"/>
      <c r="F1804" s="176"/>
      <c r="G1804" s="175">
        <f t="shared" si="193"/>
        <v>0</v>
      </c>
      <c r="H1804" s="175">
        <f t="shared" si="194"/>
        <v>0</v>
      </c>
      <c r="I1804" s="177">
        <f>IF(G1804=0,0,IF(E1804="MXN",1/HLOOKUP(YEAR(C1804)+(MONTH(C1804)/100),TC!$5:$37,DAY(C1804)+2,FALSE),VLOOKUP(E1804,Equivalencia!$5:$23,((MAX(Equivalencia!$3:$3)-YEAR(C1804))*14)+MONTH(C1804)+2,FALSE)))</f>
        <v>0</v>
      </c>
      <c r="J1804" s="178">
        <f t="shared" si="195"/>
        <v>0</v>
      </c>
      <c r="K1804" s="462">
        <f>IF(C1804=0,0,VLOOKUP(YEAR(C1804),INPC!$B$4:$O$29,MONTH(C1804)+1))</f>
        <v>0</v>
      </c>
      <c r="L1804" s="462">
        <f>IF(S1804=0,0,VLOOKUP(YEAR(S1804),INPC!$B$4:$O$29,MONTH(S1804)+1))</f>
        <v>0</v>
      </c>
      <c r="M1804" s="463">
        <f t="shared" si="196"/>
        <v>0</v>
      </c>
      <c r="N1804" s="465">
        <f t="shared" si="197"/>
        <v>0</v>
      </c>
      <c r="O1804" s="179"/>
      <c r="P1804" s="180"/>
      <c r="Q1804" s="173"/>
      <c r="R1804" s="173"/>
      <c r="S1804" s="174"/>
      <c r="T1804" s="173"/>
      <c r="U1804" s="182"/>
      <c r="V1804" s="177">
        <f>IF(U1804=0,0,IF(T1804="MXN",1/HLOOKUP(YEAR(S1804)+(MONTH(S1804)/100),TC!$5:$37,DAY(S1804)+2,FALSE),VLOOKUP(T1804,Equivalencia!$1:$23,((MAX(Equivalencia!$3:$3)-YEAR(S1804))*14)+MONTH(S1804)+2,FALSE)))</f>
        <v>0</v>
      </c>
      <c r="W1804" s="178">
        <f t="shared" si="198"/>
        <v>0</v>
      </c>
      <c r="X1804" s="481">
        <f t="shared" si="199"/>
        <v>0</v>
      </c>
      <c r="Y1804" s="179"/>
      <c r="Z1804" s="466">
        <f t="shared" si="200"/>
        <v>0</v>
      </c>
      <c r="AA1804" s="473">
        <f t="shared" si="201"/>
        <v>0</v>
      </c>
      <c r="AB1804" s="339">
        <f t="shared" si="202"/>
        <v>0</v>
      </c>
    </row>
    <row r="1805" spans="2:28" ht="20.100000000000001" customHeight="1">
      <c r="B1805" s="172"/>
      <c r="C1805" s="174"/>
      <c r="D1805" s="181"/>
      <c r="E1805" s="173"/>
      <c r="F1805" s="176"/>
      <c r="G1805" s="175">
        <f t="shared" si="193"/>
        <v>0</v>
      </c>
      <c r="H1805" s="175">
        <f t="shared" si="194"/>
        <v>0</v>
      </c>
      <c r="I1805" s="177">
        <f>IF(G1805=0,0,IF(E1805="MXN",1/HLOOKUP(YEAR(C1805)+(MONTH(C1805)/100),TC!$5:$37,DAY(C1805)+2,FALSE),VLOOKUP(E1805,Equivalencia!$5:$23,((MAX(Equivalencia!$3:$3)-YEAR(C1805))*14)+MONTH(C1805)+2,FALSE)))</f>
        <v>0</v>
      </c>
      <c r="J1805" s="178">
        <f t="shared" si="195"/>
        <v>0</v>
      </c>
      <c r="K1805" s="462">
        <f>IF(C1805=0,0,VLOOKUP(YEAR(C1805),INPC!$B$4:$O$29,MONTH(C1805)+1))</f>
        <v>0</v>
      </c>
      <c r="L1805" s="462">
        <f>IF(S1805=0,0,VLOOKUP(YEAR(S1805),INPC!$B$4:$O$29,MONTH(S1805)+1))</f>
        <v>0</v>
      </c>
      <c r="M1805" s="463">
        <f t="shared" si="196"/>
        <v>0</v>
      </c>
      <c r="N1805" s="465">
        <f t="shared" si="197"/>
        <v>0</v>
      </c>
      <c r="O1805" s="179"/>
      <c r="P1805" s="180"/>
      <c r="Q1805" s="173"/>
      <c r="R1805" s="173"/>
      <c r="S1805" s="174"/>
      <c r="T1805" s="173"/>
      <c r="U1805" s="182"/>
      <c r="V1805" s="177">
        <f>IF(U1805=0,0,IF(T1805="MXN",1/HLOOKUP(YEAR(S1805)+(MONTH(S1805)/100),TC!$5:$37,DAY(S1805)+2,FALSE),VLOOKUP(T1805,Equivalencia!$1:$23,((MAX(Equivalencia!$3:$3)-YEAR(S1805))*14)+MONTH(S1805)+2,FALSE)))</f>
        <v>0</v>
      </c>
      <c r="W1805" s="178">
        <f t="shared" si="198"/>
        <v>0</v>
      </c>
      <c r="X1805" s="481">
        <f t="shared" si="199"/>
        <v>0</v>
      </c>
      <c r="Y1805" s="179"/>
      <c r="Z1805" s="466">
        <f t="shared" si="200"/>
        <v>0</v>
      </c>
      <c r="AA1805" s="473">
        <f t="shared" si="201"/>
        <v>0</v>
      </c>
      <c r="AB1805" s="339">
        <f t="shared" si="202"/>
        <v>0</v>
      </c>
    </row>
    <row r="1806" spans="2:28" ht="20.100000000000001" customHeight="1">
      <c r="B1806" s="172"/>
      <c r="C1806" s="174"/>
      <c r="D1806" s="181"/>
      <c r="E1806" s="173"/>
      <c r="F1806" s="176"/>
      <c r="G1806" s="175">
        <f t="shared" si="193"/>
        <v>0</v>
      </c>
      <c r="H1806" s="175">
        <f t="shared" si="194"/>
        <v>0</v>
      </c>
      <c r="I1806" s="177">
        <f>IF(G1806=0,0,IF(E1806="MXN",1/HLOOKUP(YEAR(C1806)+(MONTH(C1806)/100),TC!$5:$37,DAY(C1806)+2,FALSE),VLOOKUP(E1806,Equivalencia!$5:$23,((MAX(Equivalencia!$3:$3)-YEAR(C1806))*14)+MONTH(C1806)+2,FALSE)))</f>
        <v>0</v>
      </c>
      <c r="J1806" s="178">
        <f t="shared" si="195"/>
        <v>0</v>
      </c>
      <c r="K1806" s="462">
        <f>IF(C1806=0,0,VLOOKUP(YEAR(C1806),INPC!$B$4:$O$29,MONTH(C1806)+1))</f>
        <v>0</v>
      </c>
      <c r="L1806" s="462">
        <f>IF(S1806=0,0,VLOOKUP(YEAR(S1806),INPC!$B$4:$O$29,MONTH(S1806)+1))</f>
        <v>0</v>
      </c>
      <c r="M1806" s="463">
        <f t="shared" si="196"/>
        <v>0</v>
      </c>
      <c r="N1806" s="465">
        <f t="shared" si="197"/>
        <v>0</v>
      </c>
      <c r="O1806" s="179"/>
      <c r="P1806" s="180"/>
      <c r="Q1806" s="173"/>
      <c r="R1806" s="173"/>
      <c r="S1806" s="174"/>
      <c r="T1806" s="173"/>
      <c r="U1806" s="182"/>
      <c r="V1806" s="177">
        <f>IF(U1806=0,0,IF(T1806="MXN",1/HLOOKUP(YEAR(S1806)+(MONTH(S1806)/100),TC!$5:$37,DAY(S1806)+2,FALSE),VLOOKUP(T1806,Equivalencia!$1:$23,((MAX(Equivalencia!$3:$3)-YEAR(S1806))*14)+MONTH(S1806)+2,FALSE)))</f>
        <v>0</v>
      </c>
      <c r="W1806" s="178">
        <f t="shared" si="198"/>
        <v>0</v>
      </c>
      <c r="X1806" s="481">
        <f t="shared" si="199"/>
        <v>0</v>
      </c>
      <c r="Y1806" s="179"/>
      <c r="Z1806" s="466">
        <f t="shared" si="200"/>
        <v>0</v>
      </c>
      <c r="AA1806" s="473">
        <f t="shared" si="201"/>
        <v>0</v>
      </c>
      <c r="AB1806" s="339">
        <f t="shared" si="202"/>
        <v>0</v>
      </c>
    </row>
    <row r="1807" spans="2:28" ht="20.100000000000001" customHeight="1">
      <c r="B1807" s="172"/>
      <c r="C1807" s="174"/>
      <c r="D1807" s="181"/>
      <c r="E1807" s="173"/>
      <c r="F1807" s="176"/>
      <c r="G1807" s="175">
        <f t="shared" si="193"/>
        <v>0</v>
      </c>
      <c r="H1807" s="175">
        <f t="shared" si="194"/>
        <v>0</v>
      </c>
      <c r="I1807" s="177">
        <f>IF(G1807=0,0,IF(E1807="MXN",1/HLOOKUP(YEAR(C1807)+(MONTH(C1807)/100),TC!$5:$37,DAY(C1807)+2,FALSE),VLOOKUP(E1807,Equivalencia!$5:$23,((MAX(Equivalencia!$3:$3)-YEAR(C1807))*14)+MONTH(C1807)+2,FALSE)))</f>
        <v>0</v>
      </c>
      <c r="J1807" s="178">
        <f t="shared" si="195"/>
        <v>0</v>
      </c>
      <c r="K1807" s="462">
        <f>IF(C1807=0,0,VLOOKUP(YEAR(C1807),INPC!$B$4:$O$29,MONTH(C1807)+1))</f>
        <v>0</v>
      </c>
      <c r="L1807" s="462">
        <f>IF(S1807=0,0,VLOOKUP(YEAR(S1807),INPC!$B$4:$O$29,MONTH(S1807)+1))</f>
        <v>0</v>
      </c>
      <c r="M1807" s="463">
        <f t="shared" si="196"/>
        <v>0</v>
      </c>
      <c r="N1807" s="465">
        <f t="shared" si="197"/>
        <v>0</v>
      </c>
      <c r="O1807" s="179"/>
      <c r="P1807" s="180"/>
      <c r="Q1807" s="173"/>
      <c r="R1807" s="173"/>
      <c r="S1807" s="174"/>
      <c r="T1807" s="173"/>
      <c r="U1807" s="182"/>
      <c r="V1807" s="177">
        <f>IF(U1807=0,0,IF(T1807="MXN",1/HLOOKUP(YEAR(S1807)+(MONTH(S1807)/100),TC!$5:$37,DAY(S1807)+2,FALSE),VLOOKUP(T1807,Equivalencia!$1:$23,((MAX(Equivalencia!$3:$3)-YEAR(S1807))*14)+MONTH(S1807)+2,FALSE)))</f>
        <v>0</v>
      </c>
      <c r="W1807" s="178">
        <f t="shared" si="198"/>
        <v>0</v>
      </c>
      <c r="X1807" s="481">
        <f t="shared" si="199"/>
        <v>0</v>
      </c>
      <c r="Y1807" s="179"/>
      <c r="Z1807" s="466">
        <f t="shared" si="200"/>
        <v>0</v>
      </c>
      <c r="AA1807" s="473">
        <f t="shared" si="201"/>
        <v>0</v>
      </c>
      <c r="AB1807" s="339">
        <f t="shared" si="202"/>
        <v>0</v>
      </c>
    </row>
    <row r="1808" spans="2:28" ht="20.100000000000001" customHeight="1">
      <c r="B1808" s="172"/>
      <c r="C1808" s="174"/>
      <c r="D1808" s="181"/>
      <c r="E1808" s="173"/>
      <c r="F1808" s="176"/>
      <c r="G1808" s="175">
        <f t="shared" si="193"/>
        <v>0</v>
      </c>
      <c r="H1808" s="175">
        <f t="shared" si="194"/>
        <v>0</v>
      </c>
      <c r="I1808" s="177">
        <f>IF(G1808=0,0,IF(E1808="MXN",1/HLOOKUP(YEAR(C1808)+(MONTH(C1808)/100),TC!$5:$37,DAY(C1808)+2,FALSE),VLOOKUP(E1808,Equivalencia!$5:$23,((MAX(Equivalencia!$3:$3)-YEAR(C1808))*14)+MONTH(C1808)+2,FALSE)))</f>
        <v>0</v>
      </c>
      <c r="J1808" s="178">
        <f t="shared" si="195"/>
        <v>0</v>
      </c>
      <c r="K1808" s="462">
        <f>IF(C1808=0,0,VLOOKUP(YEAR(C1808),INPC!$B$4:$O$29,MONTH(C1808)+1))</f>
        <v>0</v>
      </c>
      <c r="L1808" s="462">
        <f>IF(S1808=0,0,VLOOKUP(YEAR(S1808),INPC!$B$4:$O$29,MONTH(S1808)+1))</f>
        <v>0</v>
      </c>
      <c r="M1808" s="463">
        <f t="shared" si="196"/>
        <v>0</v>
      </c>
      <c r="N1808" s="465">
        <f t="shared" si="197"/>
        <v>0</v>
      </c>
      <c r="O1808" s="179"/>
      <c r="P1808" s="180"/>
      <c r="Q1808" s="173"/>
      <c r="R1808" s="173"/>
      <c r="S1808" s="174"/>
      <c r="T1808" s="173"/>
      <c r="U1808" s="182"/>
      <c r="V1808" s="177">
        <f>IF(U1808=0,0,IF(T1808="MXN",1/HLOOKUP(YEAR(S1808)+(MONTH(S1808)/100),TC!$5:$37,DAY(S1808)+2,FALSE),VLOOKUP(T1808,Equivalencia!$1:$23,((MAX(Equivalencia!$3:$3)-YEAR(S1808))*14)+MONTH(S1808)+2,FALSE)))</f>
        <v>0</v>
      </c>
      <c r="W1808" s="178">
        <f t="shared" si="198"/>
        <v>0</v>
      </c>
      <c r="X1808" s="481">
        <f t="shared" si="199"/>
        <v>0</v>
      </c>
      <c r="Y1808" s="179"/>
      <c r="Z1808" s="466">
        <f t="shared" si="200"/>
        <v>0</v>
      </c>
      <c r="AA1808" s="473">
        <f t="shared" si="201"/>
        <v>0</v>
      </c>
      <c r="AB1808" s="339">
        <f t="shared" si="202"/>
        <v>0</v>
      </c>
    </row>
    <row r="1809" spans="2:28" ht="20.100000000000001" customHeight="1">
      <c r="B1809" s="172"/>
      <c r="C1809" s="174"/>
      <c r="D1809" s="181"/>
      <c r="E1809" s="173"/>
      <c r="F1809" s="176"/>
      <c r="G1809" s="175">
        <f t="shared" si="193"/>
        <v>0</v>
      </c>
      <c r="H1809" s="175">
        <f t="shared" si="194"/>
        <v>0</v>
      </c>
      <c r="I1809" s="177">
        <f>IF(G1809=0,0,IF(E1809="MXN",1/HLOOKUP(YEAR(C1809)+(MONTH(C1809)/100),TC!$5:$37,DAY(C1809)+2,FALSE),VLOOKUP(E1809,Equivalencia!$5:$23,((MAX(Equivalencia!$3:$3)-YEAR(C1809))*14)+MONTH(C1809)+2,FALSE)))</f>
        <v>0</v>
      </c>
      <c r="J1809" s="178">
        <f t="shared" si="195"/>
        <v>0</v>
      </c>
      <c r="K1809" s="462">
        <f>IF(C1809=0,0,VLOOKUP(YEAR(C1809),INPC!$B$4:$O$29,MONTH(C1809)+1))</f>
        <v>0</v>
      </c>
      <c r="L1809" s="462">
        <f>IF(S1809=0,0,VLOOKUP(YEAR(S1809),INPC!$B$4:$O$29,MONTH(S1809)+1))</f>
        <v>0</v>
      </c>
      <c r="M1809" s="463">
        <f t="shared" si="196"/>
        <v>0</v>
      </c>
      <c r="N1809" s="465">
        <f t="shared" si="197"/>
        <v>0</v>
      </c>
      <c r="O1809" s="179"/>
      <c r="P1809" s="180"/>
      <c r="Q1809" s="173"/>
      <c r="R1809" s="173"/>
      <c r="S1809" s="174"/>
      <c r="T1809" s="173"/>
      <c r="U1809" s="182"/>
      <c r="V1809" s="177">
        <f>IF(U1809=0,0,IF(T1809="MXN",1/HLOOKUP(YEAR(S1809)+(MONTH(S1809)/100),TC!$5:$37,DAY(S1809)+2,FALSE),VLOOKUP(T1809,Equivalencia!$1:$23,((MAX(Equivalencia!$3:$3)-YEAR(S1809))*14)+MONTH(S1809)+2,FALSE)))</f>
        <v>0</v>
      </c>
      <c r="W1809" s="178">
        <f t="shared" si="198"/>
        <v>0</v>
      </c>
      <c r="X1809" s="481">
        <f t="shared" si="199"/>
        <v>0</v>
      </c>
      <c r="Y1809" s="179"/>
      <c r="Z1809" s="466">
        <f t="shared" si="200"/>
        <v>0</v>
      </c>
      <c r="AA1809" s="473">
        <f t="shared" si="201"/>
        <v>0</v>
      </c>
      <c r="AB1809" s="339">
        <f t="shared" si="202"/>
        <v>0</v>
      </c>
    </row>
    <row r="1810" spans="2:28" ht="20.100000000000001" customHeight="1">
      <c r="B1810" s="172"/>
      <c r="C1810" s="174"/>
      <c r="D1810" s="181"/>
      <c r="E1810" s="173"/>
      <c r="F1810" s="176"/>
      <c r="G1810" s="175">
        <f t="shared" si="193"/>
        <v>0</v>
      </c>
      <c r="H1810" s="175">
        <f t="shared" si="194"/>
        <v>0</v>
      </c>
      <c r="I1810" s="177">
        <f>IF(G1810=0,0,IF(E1810="MXN",1/HLOOKUP(YEAR(C1810)+(MONTH(C1810)/100),TC!$5:$37,DAY(C1810)+2,FALSE),VLOOKUP(E1810,Equivalencia!$5:$23,((MAX(Equivalencia!$3:$3)-YEAR(C1810))*14)+MONTH(C1810)+2,FALSE)))</f>
        <v>0</v>
      </c>
      <c r="J1810" s="178">
        <f t="shared" si="195"/>
        <v>0</v>
      </c>
      <c r="K1810" s="462">
        <f>IF(C1810=0,0,VLOOKUP(YEAR(C1810),INPC!$B$4:$O$29,MONTH(C1810)+1))</f>
        <v>0</v>
      </c>
      <c r="L1810" s="462">
        <f>IF(S1810=0,0,VLOOKUP(YEAR(S1810),INPC!$B$4:$O$29,MONTH(S1810)+1))</f>
        <v>0</v>
      </c>
      <c r="M1810" s="463">
        <f t="shared" si="196"/>
        <v>0</v>
      </c>
      <c r="N1810" s="465">
        <f t="shared" si="197"/>
        <v>0</v>
      </c>
      <c r="O1810" s="179"/>
      <c r="P1810" s="180"/>
      <c r="Q1810" s="173"/>
      <c r="R1810" s="173"/>
      <c r="S1810" s="174"/>
      <c r="T1810" s="173"/>
      <c r="U1810" s="182"/>
      <c r="V1810" s="177">
        <f>IF(U1810=0,0,IF(T1810="MXN",1/HLOOKUP(YEAR(S1810)+(MONTH(S1810)/100),TC!$5:$37,DAY(S1810)+2,FALSE),VLOOKUP(T1810,Equivalencia!$1:$23,((MAX(Equivalencia!$3:$3)-YEAR(S1810))*14)+MONTH(S1810)+2,FALSE)))</f>
        <v>0</v>
      </c>
      <c r="W1810" s="178">
        <f t="shared" si="198"/>
        <v>0</v>
      </c>
      <c r="X1810" s="481">
        <f t="shared" si="199"/>
        <v>0</v>
      </c>
      <c r="Y1810" s="179"/>
      <c r="Z1810" s="466">
        <f t="shared" si="200"/>
        <v>0</v>
      </c>
      <c r="AA1810" s="473">
        <f t="shared" si="201"/>
        <v>0</v>
      </c>
      <c r="AB1810" s="339">
        <f t="shared" si="202"/>
        <v>0</v>
      </c>
    </row>
    <row r="1811" spans="2:28" ht="20.100000000000001" customHeight="1">
      <c r="B1811" s="172"/>
      <c r="C1811" s="174"/>
      <c r="D1811" s="181"/>
      <c r="E1811" s="173"/>
      <c r="F1811" s="176"/>
      <c r="G1811" s="175">
        <f t="shared" si="193"/>
        <v>0</v>
      </c>
      <c r="H1811" s="175">
        <f t="shared" si="194"/>
        <v>0</v>
      </c>
      <c r="I1811" s="177">
        <f>IF(G1811=0,0,IF(E1811="MXN",1/HLOOKUP(YEAR(C1811)+(MONTH(C1811)/100),TC!$5:$37,DAY(C1811)+2,FALSE),VLOOKUP(E1811,Equivalencia!$5:$23,((MAX(Equivalencia!$3:$3)-YEAR(C1811))*14)+MONTH(C1811)+2,FALSE)))</f>
        <v>0</v>
      </c>
      <c r="J1811" s="178">
        <f t="shared" si="195"/>
        <v>0</v>
      </c>
      <c r="K1811" s="462">
        <f>IF(C1811=0,0,VLOOKUP(YEAR(C1811),INPC!$B$4:$O$29,MONTH(C1811)+1))</f>
        <v>0</v>
      </c>
      <c r="L1811" s="462">
        <f>IF(S1811=0,0,VLOOKUP(YEAR(S1811),INPC!$B$4:$O$29,MONTH(S1811)+1))</f>
        <v>0</v>
      </c>
      <c r="M1811" s="463">
        <f t="shared" si="196"/>
        <v>0</v>
      </c>
      <c r="N1811" s="465">
        <f t="shared" si="197"/>
        <v>0</v>
      </c>
      <c r="O1811" s="179"/>
      <c r="P1811" s="180"/>
      <c r="Q1811" s="173"/>
      <c r="R1811" s="173"/>
      <c r="S1811" s="174"/>
      <c r="T1811" s="173"/>
      <c r="U1811" s="182"/>
      <c r="V1811" s="177">
        <f>IF(U1811=0,0,IF(T1811="MXN",1/HLOOKUP(YEAR(S1811)+(MONTH(S1811)/100),TC!$5:$37,DAY(S1811)+2,FALSE),VLOOKUP(T1811,Equivalencia!$1:$23,((MAX(Equivalencia!$3:$3)-YEAR(S1811))*14)+MONTH(S1811)+2,FALSE)))</f>
        <v>0</v>
      </c>
      <c r="W1811" s="178">
        <f t="shared" si="198"/>
        <v>0</v>
      </c>
      <c r="X1811" s="481">
        <f t="shared" si="199"/>
        <v>0</v>
      </c>
      <c r="Y1811" s="179"/>
      <c r="Z1811" s="466">
        <f t="shared" si="200"/>
        <v>0</v>
      </c>
      <c r="AA1811" s="473">
        <f t="shared" si="201"/>
        <v>0</v>
      </c>
      <c r="AB1811" s="339">
        <f t="shared" si="202"/>
        <v>0</v>
      </c>
    </row>
    <row r="1812" spans="2:28" ht="20.100000000000001" customHeight="1">
      <c r="B1812" s="172"/>
      <c r="C1812" s="174"/>
      <c r="D1812" s="181"/>
      <c r="E1812" s="173"/>
      <c r="F1812" s="176"/>
      <c r="G1812" s="175">
        <f t="shared" si="193"/>
        <v>0</v>
      </c>
      <c r="H1812" s="175">
        <f t="shared" si="194"/>
        <v>0</v>
      </c>
      <c r="I1812" s="177">
        <f>IF(G1812=0,0,IF(E1812="MXN",1/HLOOKUP(YEAR(C1812)+(MONTH(C1812)/100),TC!$5:$37,DAY(C1812)+2,FALSE),VLOOKUP(E1812,Equivalencia!$5:$23,((MAX(Equivalencia!$3:$3)-YEAR(C1812))*14)+MONTH(C1812)+2,FALSE)))</f>
        <v>0</v>
      </c>
      <c r="J1812" s="178">
        <f t="shared" si="195"/>
        <v>0</v>
      </c>
      <c r="K1812" s="462">
        <f>IF(C1812=0,0,VLOOKUP(YEAR(C1812),INPC!$B$4:$O$29,MONTH(C1812)+1))</f>
        <v>0</v>
      </c>
      <c r="L1812" s="462">
        <f>IF(S1812=0,0,VLOOKUP(YEAR(S1812),INPC!$B$4:$O$29,MONTH(S1812)+1))</f>
        <v>0</v>
      </c>
      <c r="M1812" s="463">
        <f t="shared" si="196"/>
        <v>0</v>
      </c>
      <c r="N1812" s="465">
        <f t="shared" si="197"/>
        <v>0</v>
      </c>
      <c r="O1812" s="179"/>
      <c r="P1812" s="180"/>
      <c r="Q1812" s="173"/>
      <c r="R1812" s="173"/>
      <c r="S1812" s="174"/>
      <c r="T1812" s="173"/>
      <c r="U1812" s="182"/>
      <c r="V1812" s="177">
        <f>IF(U1812=0,0,IF(T1812="MXN",1/HLOOKUP(YEAR(S1812)+(MONTH(S1812)/100),TC!$5:$37,DAY(S1812)+2,FALSE),VLOOKUP(T1812,Equivalencia!$1:$23,((MAX(Equivalencia!$3:$3)-YEAR(S1812))*14)+MONTH(S1812)+2,FALSE)))</f>
        <v>0</v>
      </c>
      <c r="W1812" s="178">
        <f t="shared" si="198"/>
        <v>0</v>
      </c>
      <c r="X1812" s="481">
        <f t="shared" si="199"/>
        <v>0</v>
      </c>
      <c r="Y1812" s="179"/>
      <c r="Z1812" s="466">
        <f t="shared" si="200"/>
        <v>0</v>
      </c>
      <c r="AA1812" s="473">
        <f t="shared" si="201"/>
        <v>0</v>
      </c>
      <c r="AB1812" s="339">
        <f t="shared" si="202"/>
        <v>0</v>
      </c>
    </row>
    <row r="1813" spans="2:28" ht="20.100000000000001" customHeight="1">
      <c r="B1813" s="172"/>
      <c r="C1813" s="174"/>
      <c r="D1813" s="181"/>
      <c r="E1813" s="173"/>
      <c r="F1813" s="176"/>
      <c r="G1813" s="175">
        <f t="shared" si="193"/>
        <v>0</v>
      </c>
      <c r="H1813" s="175">
        <f t="shared" si="194"/>
        <v>0</v>
      </c>
      <c r="I1813" s="177">
        <f>IF(G1813=0,0,IF(E1813="MXN",1/HLOOKUP(YEAR(C1813)+(MONTH(C1813)/100),TC!$5:$37,DAY(C1813)+2,FALSE),VLOOKUP(E1813,Equivalencia!$5:$23,((MAX(Equivalencia!$3:$3)-YEAR(C1813))*14)+MONTH(C1813)+2,FALSE)))</f>
        <v>0</v>
      </c>
      <c r="J1813" s="178">
        <f t="shared" si="195"/>
        <v>0</v>
      </c>
      <c r="K1813" s="462">
        <f>IF(C1813=0,0,VLOOKUP(YEAR(C1813),INPC!$B$4:$O$29,MONTH(C1813)+1))</f>
        <v>0</v>
      </c>
      <c r="L1813" s="462">
        <f>IF(S1813=0,0,VLOOKUP(YEAR(S1813),INPC!$B$4:$O$29,MONTH(S1813)+1))</f>
        <v>0</v>
      </c>
      <c r="M1813" s="463">
        <f t="shared" si="196"/>
        <v>0</v>
      </c>
      <c r="N1813" s="465">
        <f t="shared" si="197"/>
        <v>0</v>
      </c>
      <c r="O1813" s="179"/>
      <c r="P1813" s="180"/>
      <c r="Q1813" s="173"/>
      <c r="R1813" s="173"/>
      <c r="S1813" s="174"/>
      <c r="T1813" s="173"/>
      <c r="U1813" s="182"/>
      <c r="V1813" s="177">
        <f>IF(U1813=0,0,IF(T1813="MXN",1/HLOOKUP(YEAR(S1813)+(MONTH(S1813)/100),TC!$5:$37,DAY(S1813)+2,FALSE),VLOOKUP(T1813,Equivalencia!$1:$23,((MAX(Equivalencia!$3:$3)-YEAR(S1813))*14)+MONTH(S1813)+2,FALSE)))</f>
        <v>0</v>
      </c>
      <c r="W1813" s="178">
        <f t="shared" si="198"/>
        <v>0</v>
      </c>
      <c r="X1813" s="481">
        <f t="shared" si="199"/>
        <v>0</v>
      </c>
      <c r="Y1813" s="179"/>
      <c r="Z1813" s="466">
        <f t="shared" si="200"/>
        <v>0</v>
      </c>
      <c r="AA1813" s="473">
        <f t="shared" si="201"/>
        <v>0</v>
      </c>
      <c r="AB1813" s="339">
        <f t="shared" si="202"/>
        <v>0</v>
      </c>
    </row>
    <row r="1814" spans="2:28" ht="20.100000000000001" customHeight="1">
      <c r="B1814" s="172"/>
      <c r="C1814" s="174"/>
      <c r="D1814" s="181"/>
      <c r="E1814" s="173"/>
      <c r="F1814" s="176"/>
      <c r="G1814" s="175">
        <f t="shared" si="193"/>
        <v>0</v>
      </c>
      <c r="H1814" s="175">
        <f t="shared" si="194"/>
        <v>0</v>
      </c>
      <c r="I1814" s="177">
        <f>IF(G1814=0,0,IF(E1814="MXN",1/HLOOKUP(YEAR(C1814)+(MONTH(C1814)/100),TC!$5:$37,DAY(C1814)+2,FALSE),VLOOKUP(E1814,Equivalencia!$5:$23,((MAX(Equivalencia!$3:$3)-YEAR(C1814))*14)+MONTH(C1814)+2,FALSE)))</f>
        <v>0</v>
      </c>
      <c r="J1814" s="178">
        <f t="shared" si="195"/>
        <v>0</v>
      </c>
      <c r="K1814" s="462">
        <f>IF(C1814=0,0,VLOOKUP(YEAR(C1814),INPC!$B$4:$O$29,MONTH(C1814)+1))</f>
        <v>0</v>
      </c>
      <c r="L1814" s="462">
        <f>IF(S1814=0,0,VLOOKUP(YEAR(S1814),INPC!$B$4:$O$29,MONTH(S1814)+1))</f>
        <v>0</v>
      </c>
      <c r="M1814" s="463">
        <f t="shared" si="196"/>
        <v>0</v>
      </c>
      <c r="N1814" s="465">
        <f t="shared" si="197"/>
        <v>0</v>
      </c>
      <c r="O1814" s="179"/>
      <c r="P1814" s="180"/>
      <c r="Q1814" s="173"/>
      <c r="R1814" s="173"/>
      <c r="S1814" s="174"/>
      <c r="T1814" s="173"/>
      <c r="U1814" s="182"/>
      <c r="V1814" s="177">
        <f>IF(U1814=0,0,IF(T1814="MXN",1/HLOOKUP(YEAR(S1814)+(MONTH(S1814)/100),TC!$5:$37,DAY(S1814)+2,FALSE),VLOOKUP(T1814,Equivalencia!$1:$23,((MAX(Equivalencia!$3:$3)-YEAR(S1814))*14)+MONTH(S1814)+2,FALSE)))</f>
        <v>0</v>
      </c>
      <c r="W1814" s="178">
        <f t="shared" si="198"/>
        <v>0</v>
      </c>
      <c r="X1814" s="481">
        <f t="shared" si="199"/>
        <v>0</v>
      </c>
      <c r="Y1814" s="179"/>
      <c r="Z1814" s="466">
        <f t="shared" si="200"/>
        <v>0</v>
      </c>
      <c r="AA1814" s="473">
        <f t="shared" si="201"/>
        <v>0</v>
      </c>
      <c r="AB1814" s="339">
        <f t="shared" si="202"/>
        <v>0</v>
      </c>
    </row>
    <row r="1815" spans="2:28" ht="20.100000000000001" customHeight="1">
      <c r="B1815" s="172"/>
      <c r="C1815" s="174"/>
      <c r="D1815" s="181"/>
      <c r="E1815" s="173"/>
      <c r="F1815" s="176"/>
      <c r="G1815" s="175">
        <f t="shared" si="193"/>
        <v>0</v>
      </c>
      <c r="H1815" s="175">
        <f t="shared" si="194"/>
        <v>0</v>
      </c>
      <c r="I1815" s="177">
        <f>IF(G1815=0,0,IF(E1815="MXN",1/HLOOKUP(YEAR(C1815)+(MONTH(C1815)/100),TC!$5:$37,DAY(C1815)+2,FALSE),VLOOKUP(E1815,Equivalencia!$5:$23,((MAX(Equivalencia!$3:$3)-YEAR(C1815))*14)+MONTH(C1815)+2,FALSE)))</f>
        <v>0</v>
      </c>
      <c r="J1815" s="178">
        <f t="shared" si="195"/>
        <v>0</v>
      </c>
      <c r="K1815" s="462">
        <f>IF(C1815=0,0,VLOOKUP(YEAR(C1815),INPC!$B$4:$O$29,MONTH(C1815)+1))</f>
        <v>0</v>
      </c>
      <c r="L1815" s="462">
        <f>IF(S1815=0,0,VLOOKUP(YEAR(S1815),INPC!$B$4:$O$29,MONTH(S1815)+1))</f>
        <v>0</v>
      </c>
      <c r="M1815" s="463">
        <f t="shared" si="196"/>
        <v>0</v>
      </c>
      <c r="N1815" s="465">
        <f t="shared" si="197"/>
        <v>0</v>
      </c>
      <c r="O1815" s="179"/>
      <c r="P1815" s="180"/>
      <c r="Q1815" s="173"/>
      <c r="R1815" s="173"/>
      <c r="S1815" s="174"/>
      <c r="T1815" s="173"/>
      <c r="U1815" s="182"/>
      <c r="V1815" s="177">
        <f>IF(U1815=0,0,IF(T1815="MXN",1/HLOOKUP(YEAR(S1815)+(MONTH(S1815)/100),TC!$5:$37,DAY(S1815)+2,FALSE),VLOOKUP(T1815,Equivalencia!$1:$23,((MAX(Equivalencia!$3:$3)-YEAR(S1815))*14)+MONTH(S1815)+2,FALSE)))</f>
        <v>0</v>
      </c>
      <c r="W1815" s="178">
        <f t="shared" si="198"/>
        <v>0</v>
      </c>
      <c r="X1815" s="481">
        <f t="shared" si="199"/>
        <v>0</v>
      </c>
      <c r="Y1815" s="179"/>
      <c r="Z1815" s="466">
        <f t="shared" si="200"/>
        <v>0</v>
      </c>
      <c r="AA1815" s="473">
        <f t="shared" si="201"/>
        <v>0</v>
      </c>
      <c r="AB1815" s="339">
        <f t="shared" si="202"/>
        <v>0</v>
      </c>
    </row>
    <row r="1816" spans="2:28" ht="20.100000000000001" customHeight="1">
      <c r="B1816" s="172"/>
      <c r="C1816" s="174"/>
      <c r="D1816" s="181"/>
      <c r="E1816" s="173"/>
      <c r="F1816" s="176"/>
      <c r="G1816" s="175">
        <f t="shared" si="193"/>
        <v>0</v>
      </c>
      <c r="H1816" s="175">
        <f t="shared" si="194"/>
        <v>0</v>
      </c>
      <c r="I1816" s="177">
        <f>IF(G1816=0,0,IF(E1816="MXN",1/HLOOKUP(YEAR(C1816)+(MONTH(C1816)/100),TC!$5:$37,DAY(C1816)+2,FALSE),VLOOKUP(E1816,Equivalencia!$5:$23,((MAX(Equivalencia!$3:$3)-YEAR(C1816))*14)+MONTH(C1816)+2,FALSE)))</f>
        <v>0</v>
      </c>
      <c r="J1816" s="178">
        <f t="shared" si="195"/>
        <v>0</v>
      </c>
      <c r="K1816" s="462">
        <f>IF(C1816=0,0,VLOOKUP(YEAR(C1816),INPC!$B$4:$O$29,MONTH(C1816)+1))</f>
        <v>0</v>
      </c>
      <c r="L1816" s="462">
        <f>IF(S1816=0,0,VLOOKUP(YEAR(S1816),INPC!$B$4:$O$29,MONTH(S1816)+1))</f>
        <v>0</v>
      </c>
      <c r="M1816" s="463">
        <f t="shared" si="196"/>
        <v>0</v>
      </c>
      <c r="N1816" s="465">
        <f t="shared" si="197"/>
        <v>0</v>
      </c>
      <c r="O1816" s="179"/>
      <c r="P1816" s="180"/>
      <c r="Q1816" s="173"/>
      <c r="R1816" s="173"/>
      <c r="S1816" s="174"/>
      <c r="T1816" s="173"/>
      <c r="U1816" s="182"/>
      <c r="V1816" s="177">
        <f>IF(U1816=0,0,IF(T1816="MXN",1/HLOOKUP(YEAR(S1816)+(MONTH(S1816)/100),TC!$5:$37,DAY(S1816)+2,FALSE),VLOOKUP(T1816,Equivalencia!$1:$23,((MAX(Equivalencia!$3:$3)-YEAR(S1816))*14)+MONTH(S1816)+2,FALSE)))</f>
        <v>0</v>
      </c>
      <c r="W1816" s="178">
        <f t="shared" si="198"/>
        <v>0</v>
      </c>
      <c r="X1816" s="481">
        <f t="shared" si="199"/>
        <v>0</v>
      </c>
      <c r="Y1816" s="179"/>
      <c r="Z1816" s="466">
        <f t="shared" si="200"/>
        <v>0</v>
      </c>
      <c r="AA1816" s="473">
        <f t="shared" si="201"/>
        <v>0</v>
      </c>
      <c r="AB1816" s="339">
        <f t="shared" si="202"/>
        <v>0</v>
      </c>
    </row>
    <row r="1817" spans="2:28" ht="20.100000000000001" customHeight="1">
      <c r="B1817" s="172"/>
      <c r="C1817" s="174"/>
      <c r="D1817" s="181"/>
      <c r="E1817" s="173"/>
      <c r="F1817" s="176"/>
      <c r="G1817" s="175">
        <f t="shared" si="193"/>
        <v>0</v>
      </c>
      <c r="H1817" s="175">
        <f t="shared" si="194"/>
        <v>0</v>
      </c>
      <c r="I1817" s="177">
        <f>IF(G1817=0,0,IF(E1817="MXN",1/HLOOKUP(YEAR(C1817)+(MONTH(C1817)/100),TC!$5:$37,DAY(C1817)+2,FALSE),VLOOKUP(E1817,Equivalencia!$5:$23,((MAX(Equivalencia!$3:$3)-YEAR(C1817))*14)+MONTH(C1817)+2,FALSE)))</f>
        <v>0</v>
      </c>
      <c r="J1817" s="178">
        <f t="shared" si="195"/>
        <v>0</v>
      </c>
      <c r="K1817" s="462">
        <f>IF(C1817=0,0,VLOOKUP(YEAR(C1817),INPC!$B$4:$O$29,MONTH(C1817)+1))</f>
        <v>0</v>
      </c>
      <c r="L1817" s="462">
        <f>IF(S1817=0,0,VLOOKUP(YEAR(S1817),INPC!$B$4:$O$29,MONTH(S1817)+1))</f>
        <v>0</v>
      </c>
      <c r="M1817" s="463">
        <f t="shared" si="196"/>
        <v>0</v>
      </c>
      <c r="N1817" s="465">
        <f t="shared" si="197"/>
        <v>0</v>
      </c>
      <c r="O1817" s="179"/>
      <c r="P1817" s="180"/>
      <c r="Q1817" s="173"/>
      <c r="R1817" s="173"/>
      <c r="S1817" s="174"/>
      <c r="T1817" s="173"/>
      <c r="U1817" s="182"/>
      <c r="V1817" s="177">
        <f>IF(U1817=0,0,IF(T1817="MXN",1/HLOOKUP(YEAR(S1817)+(MONTH(S1817)/100),TC!$5:$37,DAY(S1817)+2,FALSE),VLOOKUP(T1817,Equivalencia!$1:$23,((MAX(Equivalencia!$3:$3)-YEAR(S1817))*14)+MONTH(S1817)+2,FALSE)))</f>
        <v>0</v>
      </c>
      <c r="W1817" s="178">
        <f t="shared" si="198"/>
        <v>0</v>
      </c>
      <c r="X1817" s="481">
        <f t="shared" si="199"/>
        <v>0</v>
      </c>
      <c r="Y1817" s="179"/>
      <c r="Z1817" s="466">
        <f t="shared" si="200"/>
        <v>0</v>
      </c>
      <c r="AA1817" s="473">
        <f t="shared" si="201"/>
        <v>0</v>
      </c>
      <c r="AB1817" s="339">
        <f t="shared" si="202"/>
        <v>0</v>
      </c>
    </row>
    <row r="1818" spans="2:28" ht="20.100000000000001" customHeight="1">
      <c r="B1818" s="172"/>
      <c r="C1818" s="174"/>
      <c r="D1818" s="181"/>
      <c r="E1818" s="173"/>
      <c r="F1818" s="176"/>
      <c r="G1818" s="175">
        <f t="shared" si="193"/>
        <v>0</v>
      </c>
      <c r="H1818" s="175">
        <f t="shared" si="194"/>
        <v>0</v>
      </c>
      <c r="I1818" s="177">
        <f>IF(G1818=0,0,IF(E1818="MXN",1/HLOOKUP(YEAR(C1818)+(MONTH(C1818)/100),TC!$5:$37,DAY(C1818)+2,FALSE),VLOOKUP(E1818,Equivalencia!$5:$23,((MAX(Equivalencia!$3:$3)-YEAR(C1818))*14)+MONTH(C1818)+2,FALSE)))</f>
        <v>0</v>
      </c>
      <c r="J1818" s="178">
        <f t="shared" si="195"/>
        <v>0</v>
      </c>
      <c r="K1818" s="462">
        <f>IF(C1818=0,0,VLOOKUP(YEAR(C1818),INPC!$B$4:$O$29,MONTH(C1818)+1))</f>
        <v>0</v>
      </c>
      <c r="L1818" s="462">
        <f>IF(S1818=0,0,VLOOKUP(YEAR(S1818),INPC!$B$4:$O$29,MONTH(S1818)+1))</f>
        <v>0</v>
      </c>
      <c r="M1818" s="463">
        <f t="shared" si="196"/>
        <v>0</v>
      </c>
      <c r="N1818" s="465">
        <f t="shared" si="197"/>
        <v>0</v>
      </c>
      <c r="O1818" s="179"/>
      <c r="P1818" s="180"/>
      <c r="Q1818" s="173"/>
      <c r="R1818" s="173"/>
      <c r="S1818" s="174"/>
      <c r="T1818" s="173"/>
      <c r="U1818" s="182"/>
      <c r="V1818" s="177">
        <f>IF(U1818=0,0,IF(T1818="MXN",1/HLOOKUP(YEAR(S1818)+(MONTH(S1818)/100),TC!$5:$37,DAY(S1818)+2,FALSE),VLOOKUP(T1818,Equivalencia!$1:$23,((MAX(Equivalencia!$3:$3)-YEAR(S1818))*14)+MONTH(S1818)+2,FALSE)))</f>
        <v>0</v>
      </c>
      <c r="W1818" s="178">
        <f t="shared" si="198"/>
        <v>0</v>
      </c>
      <c r="X1818" s="481">
        <f t="shared" si="199"/>
        <v>0</v>
      </c>
      <c r="Y1818" s="179"/>
      <c r="Z1818" s="466">
        <f t="shared" si="200"/>
        <v>0</v>
      </c>
      <c r="AA1818" s="473">
        <f t="shared" si="201"/>
        <v>0</v>
      </c>
      <c r="AB1818" s="339">
        <f t="shared" si="202"/>
        <v>0</v>
      </c>
    </row>
    <row r="1819" spans="2:28" ht="20.100000000000001" customHeight="1">
      <c r="B1819" s="172"/>
      <c r="C1819" s="174"/>
      <c r="D1819" s="181"/>
      <c r="E1819" s="173"/>
      <c r="F1819" s="176"/>
      <c r="G1819" s="175">
        <f t="shared" si="193"/>
        <v>0</v>
      </c>
      <c r="H1819" s="175">
        <f t="shared" si="194"/>
        <v>0</v>
      </c>
      <c r="I1819" s="177">
        <f>IF(G1819=0,0,IF(E1819="MXN",1/HLOOKUP(YEAR(C1819)+(MONTH(C1819)/100),TC!$5:$37,DAY(C1819)+2,FALSE),VLOOKUP(E1819,Equivalencia!$5:$23,((MAX(Equivalencia!$3:$3)-YEAR(C1819))*14)+MONTH(C1819)+2,FALSE)))</f>
        <v>0</v>
      </c>
      <c r="J1819" s="178">
        <f t="shared" si="195"/>
        <v>0</v>
      </c>
      <c r="K1819" s="462">
        <f>IF(C1819=0,0,VLOOKUP(YEAR(C1819),INPC!$B$4:$O$29,MONTH(C1819)+1))</f>
        <v>0</v>
      </c>
      <c r="L1819" s="462">
        <f>IF(S1819=0,0,VLOOKUP(YEAR(S1819),INPC!$B$4:$O$29,MONTH(S1819)+1))</f>
        <v>0</v>
      </c>
      <c r="M1819" s="463">
        <f t="shared" si="196"/>
        <v>0</v>
      </c>
      <c r="N1819" s="465">
        <f t="shared" si="197"/>
        <v>0</v>
      </c>
      <c r="O1819" s="179"/>
      <c r="P1819" s="180"/>
      <c r="Q1819" s="173"/>
      <c r="R1819" s="173"/>
      <c r="S1819" s="174"/>
      <c r="T1819" s="173"/>
      <c r="U1819" s="182"/>
      <c r="V1819" s="177">
        <f>IF(U1819=0,0,IF(T1819="MXN",1/HLOOKUP(YEAR(S1819)+(MONTH(S1819)/100),TC!$5:$37,DAY(S1819)+2,FALSE),VLOOKUP(T1819,Equivalencia!$1:$23,((MAX(Equivalencia!$3:$3)-YEAR(S1819))*14)+MONTH(S1819)+2,FALSE)))</f>
        <v>0</v>
      </c>
      <c r="W1819" s="178">
        <f t="shared" si="198"/>
        <v>0</v>
      </c>
      <c r="X1819" s="481">
        <f t="shared" si="199"/>
        <v>0</v>
      </c>
      <c r="Y1819" s="179"/>
      <c r="Z1819" s="466">
        <f t="shared" si="200"/>
        <v>0</v>
      </c>
      <c r="AA1819" s="473">
        <f t="shared" si="201"/>
        <v>0</v>
      </c>
      <c r="AB1819" s="339">
        <f t="shared" si="202"/>
        <v>0</v>
      </c>
    </row>
    <row r="1820" spans="2:28" ht="20.100000000000001" customHeight="1">
      <c r="B1820" s="172"/>
      <c r="C1820" s="174"/>
      <c r="D1820" s="181"/>
      <c r="E1820" s="173"/>
      <c r="F1820" s="176"/>
      <c r="G1820" s="175">
        <f t="shared" si="193"/>
        <v>0</v>
      </c>
      <c r="H1820" s="175">
        <f t="shared" si="194"/>
        <v>0</v>
      </c>
      <c r="I1820" s="177">
        <f>IF(G1820=0,0,IF(E1820="MXN",1/HLOOKUP(YEAR(C1820)+(MONTH(C1820)/100),TC!$5:$37,DAY(C1820)+2,FALSE),VLOOKUP(E1820,Equivalencia!$5:$23,((MAX(Equivalencia!$3:$3)-YEAR(C1820))*14)+MONTH(C1820)+2,FALSE)))</f>
        <v>0</v>
      </c>
      <c r="J1820" s="178">
        <f t="shared" si="195"/>
        <v>0</v>
      </c>
      <c r="K1820" s="462">
        <f>IF(C1820=0,0,VLOOKUP(YEAR(C1820),INPC!$B$4:$O$29,MONTH(C1820)+1))</f>
        <v>0</v>
      </c>
      <c r="L1820" s="462">
        <f>IF(S1820=0,0,VLOOKUP(YEAR(S1820),INPC!$B$4:$O$29,MONTH(S1820)+1))</f>
        <v>0</v>
      </c>
      <c r="M1820" s="463">
        <f t="shared" si="196"/>
        <v>0</v>
      </c>
      <c r="N1820" s="465">
        <f t="shared" si="197"/>
        <v>0</v>
      </c>
      <c r="O1820" s="179"/>
      <c r="P1820" s="180"/>
      <c r="Q1820" s="173"/>
      <c r="R1820" s="173"/>
      <c r="S1820" s="174"/>
      <c r="T1820" s="173"/>
      <c r="U1820" s="182"/>
      <c r="V1820" s="177">
        <f>IF(U1820=0,0,IF(T1820="MXN",1/HLOOKUP(YEAR(S1820)+(MONTH(S1820)/100),TC!$5:$37,DAY(S1820)+2,FALSE),VLOOKUP(T1820,Equivalencia!$1:$23,((MAX(Equivalencia!$3:$3)-YEAR(S1820))*14)+MONTH(S1820)+2,FALSE)))</f>
        <v>0</v>
      </c>
      <c r="W1820" s="178">
        <f t="shared" si="198"/>
        <v>0</v>
      </c>
      <c r="X1820" s="481">
        <f t="shared" si="199"/>
        <v>0</v>
      </c>
      <c r="Y1820" s="179"/>
      <c r="Z1820" s="466">
        <f t="shared" si="200"/>
        <v>0</v>
      </c>
      <c r="AA1820" s="473">
        <f t="shared" si="201"/>
        <v>0</v>
      </c>
      <c r="AB1820" s="339">
        <f t="shared" si="202"/>
        <v>0</v>
      </c>
    </row>
    <row r="1821" spans="2:28" ht="20.100000000000001" customHeight="1">
      <c r="B1821" s="172"/>
      <c r="C1821" s="174"/>
      <c r="D1821" s="181"/>
      <c r="E1821" s="173"/>
      <c r="F1821" s="176"/>
      <c r="G1821" s="175">
        <f t="shared" si="193"/>
        <v>0</v>
      </c>
      <c r="H1821" s="175">
        <f t="shared" si="194"/>
        <v>0</v>
      </c>
      <c r="I1821" s="177">
        <f>IF(G1821=0,0,IF(E1821="MXN",1/HLOOKUP(YEAR(C1821)+(MONTH(C1821)/100),TC!$5:$37,DAY(C1821)+2,FALSE),VLOOKUP(E1821,Equivalencia!$5:$23,((MAX(Equivalencia!$3:$3)-YEAR(C1821))*14)+MONTH(C1821)+2,FALSE)))</f>
        <v>0</v>
      </c>
      <c r="J1821" s="178">
        <f t="shared" si="195"/>
        <v>0</v>
      </c>
      <c r="K1821" s="462">
        <f>IF(C1821=0,0,VLOOKUP(YEAR(C1821),INPC!$B$4:$O$29,MONTH(C1821)+1))</f>
        <v>0</v>
      </c>
      <c r="L1821" s="462">
        <f>IF(S1821=0,0,VLOOKUP(YEAR(S1821),INPC!$B$4:$O$29,MONTH(S1821)+1))</f>
        <v>0</v>
      </c>
      <c r="M1821" s="463">
        <f t="shared" si="196"/>
        <v>0</v>
      </c>
      <c r="N1821" s="465">
        <f t="shared" si="197"/>
        <v>0</v>
      </c>
      <c r="O1821" s="179"/>
      <c r="P1821" s="180"/>
      <c r="Q1821" s="173"/>
      <c r="R1821" s="173"/>
      <c r="S1821" s="174"/>
      <c r="T1821" s="173"/>
      <c r="U1821" s="182"/>
      <c r="V1821" s="177">
        <f>IF(U1821=0,0,IF(T1821="MXN",1/HLOOKUP(YEAR(S1821)+(MONTH(S1821)/100),TC!$5:$37,DAY(S1821)+2,FALSE),VLOOKUP(T1821,Equivalencia!$1:$23,((MAX(Equivalencia!$3:$3)-YEAR(S1821))*14)+MONTH(S1821)+2,FALSE)))</f>
        <v>0</v>
      </c>
      <c r="W1821" s="178">
        <f t="shared" si="198"/>
        <v>0</v>
      </c>
      <c r="X1821" s="481">
        <f t="shared" si="199"/>
        <v>0</v>
      </c>
      <c r="Y1821" s="179"/>
      <c r="Z1821" s="466">
        <f t="shared" si="200"/>
        <v>0</v>
      </c>
      <c r="AA1821" s="473">
        <f t="shared" si="201"/>
        <v>0</v>
      </c>
      <c r="AB1821" s="339">
        <f t="shared" si="202"/>
        <v>0</v>
      </c>
    </row>
    <row r="1822" spans="2:28" ht="20.100000000000001" customHeight="1">
      <c r="B1822" s="172"/>
      <c r="C1822" s="174"/>
      <c r="D1822" s="181"/>
      <c r="E1822" s="173"/>
      <c r="F1822" s="176"/>
      <c r="G1822" s="175">
        <f t="shared" si="193"/>
        <v>0</v>
      </c>
      <c r="H1822" s="175">
        <f t="shared" si="194"/>
        <v>0</v>
      </c>
      <c r="I1822" s="177">
        <f>IF(G1822=0,0,IF(E1822="MXN",1/HLOOKUP(YEAR(C1822)+(MONTH(C1822)/100),TC!$5:$37,DAY(C1822)+2,FALSE),VLOOKUP(E1822,Equivalencia!$5:$23,((MAX(Equivalencia!$3:$3)-YEAR(C1822))*14)+MONTH(C1822)+2,FALSE)))</f>
        <v>0</v>
      </c>
      <c r="J1822" s="178">
        <f t="shared" si="195"/>
        <v>0</v>
      </c>
      <c r="K1822" s="462">
        <f>IF(C1822=0,0,VLOOKUP(YEAR(C1822),INPC!$B$4:$O$29,MONTH(C1822)+1))</f>
        <v>0</v>
      </c>
      <c r="L1822" s="462">
        <f>IF(S1822=0,0,VLOOKUP(YEAR(S1822),INPC!$B$4:$O$29,MONTH(S1822)+1))</f>
        <v>0</v>
      </c>
      <c r="M1822" s="463">
        <f t="shared" si="196"/>
        <v>0</v>
      </c>
      <c r="N1822" s="465">
        <f t="shared" si="197"/>
        <v>0</v>
      </c>
      <c r="O1822" s="179"/>
      <c r="P1822" s="180"/>
      <c r="Q1822" s="173"/>
      <c r="R1822" s="173"/>
      <c r="S1822" s="174"/>
      <c r="T1822" s="173"/>
      <c r="U1822" s="182"/>
      <c r="V1822" s="177">
        <f>IF(U1822=0,0,IF(T1822="MXN",1/HLOOKUP(YEAR(S1822)+(MONTH(S1822)/100),TC!$5:$37,DAY(S1822)+2,FALSE),VLOOKUP(T1822,Equivalencia!$1:$23,((MAX(Equivalencia!$3:$3)-YEAR(S1822))*14)+MONTH(S1822)+2,FALSE)))</f>
        <v>0</v>
      </c>
      <c r="W1822" s="178">
        <f t="shared" si="198"/>
        <v>0</v>
      </c>
      <c r="X1822" s="481">
        <f t="shared" si="199"/>
        <v>0</v>
      </c>
      <c r="Y1822" s="179"/>
      <c r="Z1822" s="466">
        <f t="shared" si="200"/>
        <v>0</v>
      </c>
      <c r="AA1822" s="473">
        <f t="shared" si="201"/>
        <v>0</v>
      </c>
      <c r="AB1822" s="339">
        <f t="shared" si="202"/>
        <v>0</v>
      </c>
    </row>
    <row r="1823" spans="2:28" ht="20.100000000000001" customHeight="1">
      <c r="B1823" s="172"/>
      <c r="C1823" s="174"/>
      <c r="D1823" s="181"/>
      <c r="E1823" s="173"/>
      <c r="F1823" s="176"/>
      <c r="G1823" s="175">
        <f t="shared" si="193"/>
        <v>0</v>
      </c>
      <c r="H1823" s="175">
        <f t="shared" si="194"/>
        <v>0</v>
      </c>
      <c r="I1823" s="177">
        <f>IF(G1823=0,0,IF(E1823="MXN",1/HLOOKUP(YEAR(C1823)+(MONTH(C1823)/100),TC!$5:$37,DAY(C1823)+2,FALSE),VLOOKUP(E1823,Equivalencia!$5:$23,((MAX(Equivalencia!$3:$3)-YEAR(C1823))*14)+MONTH(C1823)+2,FALSE)))</f>
        <v>0</v>
      </c>
      <c r="J1823" s="178">
        <f t="shared" si="195"/>
        <v>0</v>
      </c>
      <c r="K1823" s="462">
        <f>IF(C1823=0,0,VLOOKUP(YEAR(C1823),INPC!$B$4:$O$29,MONTH(C1823)+1))</f>
        <v>0</v>
      </c>
      <c r="L1823" s="462">
        <f>IF(S1823=0,0,VLOOKUP(YEAR(S1823),INPC!$B$4:$O$29,MONTH(S1823)+1))</f>
        <v>0</v>
      </c>
      <c r="M1823" s="463">
        <f t="shared" si="196"/>
        <v>0</v>
      </c>
      <c r="N1823" s="465">
        <f t="shared" si="197"/>
        <v>0</v>
      </c>
      <c r="O1823" s="179"/>
      <c r="P1823" s="180"/>
      <c r="Q1823" s="173"/>
      <c r="R1823" s="173"/>
      <c r="S1823" s="174"/>
      <c r="T1823" s="173"/>
      <c r="U1823" s="182"/>
      <c r="V1823" s="177">
        <f>IF(U1823=0,0,IF(T1823="MXN",1/HLOOKUP(YEAR(S1823)+(MONTH(S1823)/100),TC!$5:$37,DAY(S1823)+2,FALSE),VLOOKUP(T1823,Equivalencia!$1:$23,((MAX(Equivalencia!$3:$3)-YEAR(S1823))*14)+MONTH(S1823)+2,FALSE)))</f>
        <v>0</v>
      </c>
      <c r="W1823" s="178">
        <f t="shared" si="198"/>
        <v>0</v>
      </c>
      <c r="X1823" s="481">
        <f t="shared" si="199"/>
        <v>0</v>
      </c>
      <c r="Y1823" s="179"/>
      <c r="Z1823" s="466">
        <f t="shared" si="200"/>
        <v>0</v>
      </c>
      <c r="AA1823" s="473">
        <f t="shared" si="201"/>
        <v>0</v>
      </c>
      <c r="AB1823" s="339">
        <f t="shared" si="202"/>
        <v>0</v>
      </c>
    </row>
    <row r="1824" spans="2:28" ht="20.100000000000001" customHeight="1">
      <c r="B1824" s="172"/>
      <c r="C1824" s="174"/>
      <c r="D1824" s="181"/>
      <c r="E1824" s="173"/>
      <c r="F1824" s="176"/>
      <c r="G1824" s="175">
        <f t="shared" si="193"/>
        <v>0</v>
      </c>
      <c r="H1824" s="175">
        <f t="shared" si="194"/>
        <v>0</v>
      </c>
      <c r="I1824" s="177">
        <f>IF(G1824=0,0,IF(E1824="MXN",1/HLOOKUP(YEAR(C1824)+(MONTH(C1824)/100),TC!$5:$37,DAY(C1824)+2,FALSE),VLOOKUP(E1824,Equivalencia!$5:$23,((MAX(Equivalencia!$3:$3)-YEAR(C1824))*14)+MONTH(C1824)+2,FALSE)))</f>
        <v>0</v>
      </c>
      <c r="J1824" s="178">
        <f t="shared" si="195"/>
        <v>0</v>
      </c>
      <c r="K1824" s="462">
        <f>IF(C1824=0,0,VLOOKUP(YEAR(C1824),INPC!$B$4:$O$29,MONTH(C1824)+1))</f>
        <v>0</v>
      </c>
      <c r="L1824" s="462">
        <f>IF(S1824=0,0,VLOOKUP(YEAR(S1824),INPC!$B$4:$O$29,MONTH(S1824)+1))</f>
        <v>0</v>
      </c>
      <c r="M1824" s="463">
        <f t="shared" si="196"/>
        <v>0</v>
      </c>
      <c r="N1824" s="465">
        <f t="shared" si="197"/>
        <v>0</v>
      </c>
      <c r="O1824" s="179"/>
      <c r="P1824" s="180"/>
      <c r="Q1824" s="173"/>
      <c r="R1824" s="173"/>
      <c r="S1824" s="174"/>
      <c r="T1824" s="173"/>
      <c r="U1824" s="182"/>
      <c r="V1824" s="177">
        <f>IF(U1824=0,0,IF(T1824="MXN",1/HLOOKUP(YEAR(S1824)+(MONTH(S1824)/100),TC!$5:$37,DAY(S1824)+2,FALSE),VLOOKUP(T1824,Equivalencia!$1:$23,((MAX(Equivalencia!$3:$3)-YEAR(S1824))*14)+MONTH(S1824)+2,FALSE)))</f>
        <v>0</v>
      </c>
      <c r="W1824" s="178">
        <f t="shared" si="198"/>
        <v>0</v>
      </c>
      <c r="X1824" s="481">
        <f t="shared" si="199"/>
        <v>0</v>
      </c>
      <c r="Y1824" s="179"/>
      <c r="Z1824" s="466">
        <f t="shared" si="200"/>
        <v>0</v>
      </c>
      <c r="AA1824" s="473">
        <f t="shared" si="201"/>
        <v>0</v>
      </c>
      <c r="AB1824" s="339">
        <f t="shared" si="202"/>
        <v>0</v>
      </c>
    </row>
    <row r="1825" spans="2:28" ht="20.100000000000001" customHeight="1">
      <c r="B1825" s="172"/>
      <c r="C1825" s="174"/>
      <c r="D1825" s="181"/>
      <c r="E1825" s="173"/>
      <c r="F1825" s="176"/>
      <c r="G1825" s="175">
        <f t="shared" si="193"/>
        <v>0</v>
      </c>
      <c r="H1825" s="175">
        <f t="shared" si="194"/>
        <v>0</v>
      </c>
      <c r="I1825" s="177">
        <f>IF(G1825=0,0,IF(E1825="MXN",1/HLOOKUP(YEAR(C1825)+(MONTH(C1825)/100),TC!$5:$37,DAY(C1825)+2,FALSE),VLOOKUP(E1825,Equivalencia!$5:$23,((MAX(Equivalencia!$3:$3)-YEAR(C1825))*14)+MONTH(C1825)+2,FALSE)))</f>
        <v>0</v>
      </c>
      <c r="J1825" s="178">
        <f t="shared" si="195"/>
        <v>0</v>
      </c>
      <c r="K1825" s="462">
        <f>IF(C1825=0,0,VLOOKUP(YEAR(C1825),INPC!$B$4:$O$29,MONTH(C1825)+1))</f>
        <v>0</v>
      </c>
      <c r="L1825" s="462">
        <f>IF(S1825=0,0,VLOOKUP(YEAR(S1825),INPC!$B$4:$O$29,MONTH(S1825)+1))</f>
        <v>0</v>
      </c>
      <c r="M1825" s="463">
        <f t="shared" si="196"/>
        <v>0</v>
      </c>
      <c r="N1825" s="465">
        <f t="shared" si="197"/>
        <v>0</v>
      </c>
      <c r="O1825" s="179"/>
      <c r="P1825" s="180"/>
      <c r="Q1825" s="173"/>
      <c r="R1825" s="173"/>
      <c r="S1825" s="174"/>
      <c r="T1825" s="173"/>
      <c r="U1825" s="182"/>
      <c r="V1825" s="177">
        <f>IF(U1825=0,0,IF(T1825="MXN",1/HLOOKUP(YEAR(S1825)+(MONTH(S1825)/100),TC!$5:$37,DAY(S1825)+2,FALSE),VLOOKUP(T1825,Equivalencia!$1:$23,((MAX(Equivalencia!$3:$3)-YEAR(S1825))*14)+MONTH(S1825)+2,FALSE)))</f>
        <v>0</v>
      </c>
      <c r="W1825" s="178">
        <f t="shared" si="198"/>
        <v>0</v>
      </c>
      <c r="X1825" s="481">
        <f t="shared" si="199"/>
        <v>0</v>
      </c>
      <c r="Y1825" s="179"/>
      <c r="Z1825" s="466">
        <f t="shared" si="200"/>
        <v>0</v>
      </c>
      <c r="AA1825" s="473">
        <f t="shared" si="201"/>
        <v>0</v>
      </c>
      <c r="AB1825" s="339">
        <f t="shared" si="202"/>
        <v>0</v>
      </c>
    </row>
    <row r="1826" spans="2:28" ht="20.100000000000001" customHeight="1">
      <c r="B1826" s="172"/>
      <c r="C1826" s="174"/>
      <c r="D1826" s="181"/>
      <c r="E1826" s="173"/>
      <c r="F1826" s="176"/>
      <c r="G1826" s="175">
        <f t="shared" si="193"/>
        <v>0</v>
      </c>
      <c r="H1826" s="175">
        <f t="shared" si="194"/>
        <v>0</v>
      </c>
      <c r="I1826" s="177">
        <f>IF(G1826=0,0,IF(E1826="MXN",1/HLOOKUP(YEAR(C1826)+(MONTH(C1826)/100),TC!$5:$37,DAY(C1826)+2,FALSE),VLOOKUP(E1826,Equivalencia!$5:$23,((MAX(Equivalencia!$3:$3)-YEAR(C1826))*14)+MONTH(C1826)+2,FALSE)))</f>
        <v>0</v>
      </c>
      <c r="J1826" s="178">
        <f t="shared" si="195"/>
        <v>0</v>
      </c>
      <c r="K1826" s="462">
        <f>IF(C1826=0,0,VLOOKUP(YEAR(C1826),INPC!$B$4:$O$29,MONTH(C1826)+1))</f>
        <v>0</v>
      </c>
      <c r="L1826" s="462">
        <f>IF(S1826=0,0,VLOOKUP(YEAR(S1826),INPC!$B$4:$O$29,MONTH(S1826)+1))</f>
        <v>0</v>
      </c>
      <c r="M1826" s="463">
        <f t="shared" si="196"/>
        <v>0</v>
      </c>
      <c r="N1826" s="465">
        <f t="shared" si="197"/>
        <v>0</v>
      </c>
      <c r="O1826" s="179"/>
      <c r="P1826" s="180"/>
      <c r="Q1826" s="173"/>
      <c r="R1826" s="173"/>
      <c r="S1826" s="174"/>
      <c r="T1826" s="173"/>
      <c r="U1826" s="182"/>
      <c r="V1826" s="177">
        <f>IF(U1826=0,0,IF(T1826="MXN",1/HLOOKUP(YEAR(S1826)+(MONTH(S1826)/100),TC!$5:$37,DAY(S1826)+2,FALSE),VLOOKUP(T1826,Equivalencia!$1:$23,((MAX(Equivalencia!$3:$3)-YEAR(S1826))*14)+MONTH(S1826)+2,FALSE)))</f>
        <v>0</v>
      </c>
      <c r="W1826" s="178">
        <f t="shared" si="198"/>
        <v>0</v>
      </c>
      <c r="X1826" s="481">
        <f t="shared" si="199"/>
        <v>0</v>
      </c>
      <c r="Y1826" s="179"/>
      <c r="Z1826" s="466">
        <f t="shared" si="200"/>
        <v>0</v>
      </c>
      <c r="AA1826" s="473">
        <f t="shared" si="201"/>
        <v>0</v>
      </c>
      <c r="AB1826" s="339">
        <f t="shared" si="202"/>
        <v>0</v>
      </c>
    </row>
    <row r="1827" spans="2:28" ht="20.100000000000001" customHeight="1">
      <c r="B1827" s="172"/>
      <c r="C1827" s="174"/>
      <c r="D1827" s="181"/>
      <c r="E1827" s="173"/>
      <c r="F1827" s="176"/>
      <c r="G1827" s="175">
        <f t="shared" si="193"/>
        <v>0</v>
      </c>
      <c r="H1827" s="175">
        <f t="shared" si="194"/>
        <v>0</v>
      </c>
      <c r="I1827" s="177">
        <f>IF(G1827=0,0,IF(E1827="MXN",1/HLOOKUP(YEAR(C1827)+(MONTH(C1827)/100),TC!$5:$37,DAY(C1827)+2,FALSE),VLOOKUP(E1827,Equivalencia!$5:$23,((MAX(Equivalencia!$3:$3)-YEAR(C1827))*14)+MONTH(C1827)+2,FALSE)))</f>
        <v>0</v>
      </c>
      <c r="J1827" s="178">
        <f t="shared" si="195"/>
        <v>0</v>
      </c>
      <c r="K1827" s="462">
        <f>IF(C1827=0,0,VLOOKUP(YEAR(C1827),INPC!$B$4:$O$29,MONTH(C1827)+1))</f>
        <v>0</v>
      </c>
      <c r="L1827" s="462">
        <f>IF(S1827=0,0,VLOOKUP(YEAR(S1827),INPC!$B$4:$O$29,MONTH(S1827)+1))</f>
        <v>0</v>
      </c>
      <c r="M1827" s="463">
        <f t="shared" si="196"/>
        <v>0</v>
      </c>
      <c r="N1827" s="465">
        <f t="shared" si="197"/>
        <v>0</v>
      </c>
      <c r="O1827" s="179"/>
      <c r="P1827" s="180"/>
      <c r="Q1827" s="173"/>
      <c r="R1827" s="173"/>
      <c r="S1827" s="174"/>
      <c r="T1827" s="173"/>
      <c r="U1827" s="182"/>
      <c r="V1827" s="177">
        <f>IF(U1827=0,0,IF(T1827="MXN",1/HLOOKUP(YEAR(S1827)+(MONTH(S1827)/100),TC!$5:$37,DAY(S1827)+2,FALSE),VLOOKUP(T1827,Equivalencia!$1:$23,((MAX(Equivalencia!$3:$3)-YEAR(S1827))*14)+MONTH(S1827)+2,FALSE)))</f>
        <v>0</v>
      </c>
      <c r="W1827" s="178">
        <f t="shared" si="198"/>
        <v>0</v>
      </c>
      <c r="X1827" s="481">
        <f t="shared" si="199"/>
        <v>0</v>
      </c>
      <c r="Y1827" s="179"/>
      <c r="Z1827" s="466">
        <f t="shared" si="200"/>
        <v>0</v>
      </c>
      <c r="AA1827" s="473">
        <f t="shared" si="201"/>
        <v>0</v>
      </c>
      <c r="AB1827" s="339">
        <f t="shared" si="202"/>
        <v>0</v>
      </c>
    </row>
    <row r="1828" spans="2:28" ht="20.100000000000001" customHeight="1">
      <c r="B1828" s="172"/>
      <c r="C1828" s="174"/>
      <c r="D1828" s="181"/>
      <c r="E1828" s="173"/>
      <c r="F1828" s="176"/>
      <c r="G1828" s="175">
        <f t="shared" si="193"/>
        <v>0</v>
      </c>
      <c r="H1828" s="175">
        <f t="shared" si="194"/>
        <v>0</v>
      </c>
      <c r="I1828" s="177">
        <f>IF(G1828=0,0,IF(E1828="MXN",1/HLOOKUP(YEAR(C1828)+(MONTH(C1828)/100),TC!$5:$37,DAY(C1828)+2,FALSE),VLOOKUP(E1828,Equivalencia!$5:$23,((MAX(Equivalencia!$3:$3)-YEAR(C1828))*14)+MONTH(C1828)+2,FALSE)))</f>
        <v>0</v>
      </c>
      <c r="J1828" s="178">
        <f t="shared" si="195"/>
        <v>0</v>
      </c>
      <c r="K1828" s="462">
        <f>IF(C1828=0,0,VLOOKUP(YEAR(C1828),INPC!$B$4:$O$29,MONTH(C1828)+1))</f>
        <v>0</v>
      </c>
      <c r="L1828" s="462">
        <f>IF(S1828=0,0,VLOOKUP(YEAR(S1828),INPC!$B$4:$O$29,MONTH(S1828)+1))</f>
        <v>0</v>
      </c>
      <c r="M1828" s="463">
        <f t="shared" si="196"/>
        <v>0</v>
      </c>
      <c r="N1828" s="465">
        <f t="shared" si="197"/>
        <v>0</v>
      </c>
      <c r="O1828" s="179"/>
      <c r="P1828" s="180"/>
      <c r="Q1828" s="173"/>
      <c r="R1828" s="173"/>
      <c r="S1828" s="174"/>
      <c r="T1828" s="173"/>
      <c r="U1828" s="182"/>
      <c r="V1828" s="177">
        <f>IF(U1828=0,0,IF(T1828="MXN",1/HLOOKUP(YEAR(S1828)+(MONTH(S1828)/100),TC!$5:$37,DAY(S1828)+2,FALSE),VLOOKUP(T1828,Equivalencia!$1:$23,((MAX(Equivalencia!$3:$3)-YEAR(S1828))*14)+MONTH(S1828)+2,FALSE)))</f>
        <v>0</v>
      </c>
      <c r="W1828" s="178">
        <f t="shared" si="198"/>
        <v>0</v>
      </c>
      <c r="X1828" s="481">
        <f t="shared" si="199"/>
        <v>0</v>
      </c>
      <c r="Y1828" s="179"/>
      <c r="Z1828" s="466">
        <f t="shared" si="200"/>
        <v>0</v>
      </c>
      <c r="AA1828" s="473">
        <f t="shared" si="201"/>
        <v>0</v>
      </c>
      <c r="AB1828" s="339">
        <f t="shared" si="202"/>
        <v>0</v>
      </c>
    </row>
    <row r="1829" spans="2:28" ht="20.100000000000001" customHeight="1">
      <c r="B1829" s="172"/>
      <c r="C1829" s="174"/>
      <c r="D1829" s="181"/>
      <c r="E1829" s="173"/>
      <c r="F1829" s="176"/>
      <c r="G1829" s="175">
        <f t="shared" si="193"/>
        <v>0</v>
      </c>
      <c r="H1829" s="175">
        <f t="shared" si="194"/>
        <v>0</v>
      </c>
      <c r="I1829" s="177">
        <f>IF(G1829=0,0,IF(E1829="MXN",1/HLOOKUP(YEAR(C1829)+(MONTH(C1829)/100),TC!$5:$37,DAY(C1829)+2,FALSE),VLOOKUP(E1829,Equivalencia!$5:$23,((MAX(Equivalencia!$3:$3)-YEAR(C1829))*14)+MONTH(C1829)+2,FALSE)))</f>
        <v>0</v>
      </c>
      <c r="J1829" s="178">
        <f t="shared" si="195"/>
        <v>0</v>
      </c>
      <c r="K1829" s="462">
        <f>IF(C1829=0,0,VLOOKUP(YEAR(C1829),INPC!$B$4:$O$29,MONTH(C1829)+1))</f>
        <v>0</v>
      </c>
      <c r="L1829" s="462">
        <f>IF(S1829=0,0,VLOOKUP(YEAR(S1829),INPC!$B$4:$O$29,MONTH(S1829)+1))</f>
        <v>0</v>
      </c>
      <c r="M1829" s="463">
        <f t="shared" si="196"/>
        <v>0</v>
      </c>
      <c r="N1829" s="465">
        <f t="shared" si="197"/>
        <v>0</v>
      </c>
      <c r="O1829" s="179"/>
      <c r="P1829" s="180"/>
      <c r="Q1829" s="173"/>
      <c r="R1829" s="173"/>
      <c r="S1829" s="174"/>
      <c r="T1829" s="173"/>
      <c r="U1829" s="182"/>
      <c r="V1829" s="177">
        <f>IF(U1829=0,0,IF(T1829="MXN",1/HLOOKUP(YEAR(S1829)+(MONTH(S1829)/100),TC!$5:$37,DAY(S1829)+2,FALSE),VLOOKUP(T1829,Equivalencia!$1:$23,((MAX(Equivalencia!$3:$3)-YEAR(S1829))*14)+MONTH(S1829)+2,FALSE)))</f>
        <v>0</v>
      </c>
      <c r="W1829" s="178">
        <f t="shared" si="198"/>
        <v>0</v>
      </c>
      <c r="X1829" s="481">
        <f t="shared" si="199"/>
        <v>0</v>
      </c>
      <c r="Y1829" s="179"/>
      <c r="Z1829" s="466">
        <f t="shared" si="200"/>
        <v>0</v>
      </c>
      <c r="AA1829" s="473">
        <f t="shared" si="201"/>
        <v>0</v>
      </c>
      <c r="AB1829" s="339">
        <f t="shared" si="202"/>
        <v>0</v>
      </c>
    </row>
    <row r="1830" spans="2:28" ht="20.100000000000001" customHeight="1">
      <c r="B1830" s="172"/>
      <c r="C1830" s="174"/>
      <c r="D1830" s="181"/>
      <c r="E1830" s="173"/>
      <c r="F1830" s="176"/>
      <c r="G1830" s="175">
        <f t="shared" si="193"/>
        <v>0</v>
      </c>
      <c r="H1830" s="175">
        <f t="shared" si="194"/>
        <v>0</v>
      </c>
      <c r="I1830" s="177">
        <f>IF(G1830=0,0,IF(E1830="MXN",1/HLOOKUP(YEAR(C1830)+(MONTH(C1830)/100),TC!$5:$37,DAY(C1830)+2,FALSE),VLOOKUP(E1830,Equivalencia!$5:$23,((MAX(Equivalencia!$3:$3)-YEAR(C1830))*14)+MONTH(C1830)+2,FALSE)))</f>
        <v>0</v>
      </c>
      <c r="J1830" s="178">
        <f t="shared" si="195"/>
        <v>0</v>
      </c>
      <c r="K1830" s="462">
        <f>IF(C1830=0,0,VLOOKUP(YEAR(C1830),INPC!$B$4:$O$29,MONTH(C1830)+1))</f>
        <v>0</v>
      </c>
      <c r="L1830" s="462">
        <f>IF(S1830=0,0,VLOOKUP(YEAR(S1830),INPC!$B$4:$O$29,MONTH(S1830)+1))</f>
        <v>0</v>
      </c>
      <c r="M1830" s="463">
        <f t="shared" si="196"/>
        <v>0</v>
      </c>
      <c r="N1830" s="465">
        <f t="shared" si="197"/>
        <v>0</v>
      </c>
      <c r="O1830" s="179"/>
      <c r="P1830" s="180"/>
      <c r="Q1830" s="173"/>
      <c r="R1830" s="173"/>
      <c r="S1830" s="174"/>
      <c r="T1830" s="173"/>
      <c r="U1830" s="182"/>
      <c r="V1830" s="177">
        <f>IF(U1830=0,0,IF(T1830="MXN",1/HLOOKUP(YEAR(S1830)+(MONTH(S1830)/100),TC!$5:$37,DAY(S1830)+2,FALSE),VLOOKUP(T1830,Equivalencia!$1:$23,((MAX(Equivalencia!$3:$3)-YEAR(S1830))*14)+MONTH(S1830)+2,FALSE)))</f>
        <v>0</v>
      </c>
      <c r="W1830" s="178">
        <f t="shared" si="198"/>
        <v>0</v>
      </c>
      <c r="X1830" s="481">
        <f t="shared" si="199"/>
        <v>0</v>
      </c>
      <c r="Y1830" s="179"/>
      <c r="Z1830" s="466">
        <f t="shared" si="200"/>
        <v>0</v>
      </c>
      <c r="AA1830" s="473">
        <f t="shared" si="201"/>
        <v>0</v>
      </c>
      <c r="AB1830" s="339">
        <f t="shared" si="202"/>
        <v>0</v>
      </c>
    </row>
    <row r="1831" spans="2:28" ht="20.100000000000001" customHeight="1">
      <c r="B1831" s="172"/>
      <c r="C1831" s="174"/>
      <c r="D1831" s="181"/>
      <c r="E1831" s="173"/>
      <c r="F1831" s="176"/>
      <c r="G1831" s="175">
        <f t="shared" si="193"/>
        <v>0</v>
      </c>
      <c r="H1831" s="175">
        <f t="shared" si="194"/>
        <v>0</v>
      </c>
      <c r="I1831" s="177">
        <f>IF(G1831=0,0,IF(E1831="MXN",1/HLOOKUP(YEAR(C1831)+(MONTH(C1831)/100),TC!$5:$37,DAY(C1831)+2,FALSE),VLOOKUP(E1831,Equivalencia!$5:$23,((MAX(Equivalencia!$3:$3)-YEAR(C1831))*14)+MONTH(C1831)+2,FALSE)))</f>
        <v>0</v>
      </c>
      <c r="J1831" s="178">
        <f t="shared" si="195"/>
        <v>0</v>
      </c>
      <c r="K1831" s="462">
        <f>IF(C1831=0,0,VLOOKUP(YEAR(C1831),INPC!$B$4:$O$29,MONTH(C1831)+1))</f>
        <v>0</v>
      </c>
      <c r="L1831" s="462">
        <f>IF(S1831=0,0,VLOOKUP(YEAR(S1831),INPC!$B$4:$O$29,MONTH(S1831)+1))</f>
        <v>0</v>
      </c>
      <c r="M1831" s="463">
        <f t="shared" si="196"/>
        <v>0</v>
      </c>
      <c r="N1831" s="465">
        <f t="shared" si="197"/>
        <v>0</v>
      </c>
      <c r="O1831" s="179"/>
      <c r="P1831" s="180"/>
      <c r="Q1831" s="173"/>
      <c r="R1831" s="173"/>
      <c r="S1831" s="174"/>
      <c r="T1831" s="173"/>
      <c r="U1831" s="182"/>
      <c r="V1831" s="177">
        <f>IF(U1831=0,0,IF(T1831="MXN",1/HLOOKUP(YEAR(S1831)+(MONTH(S1831)/100),TC!$5:$37,DAY(S1831)+2,FALSE),VLOOKUP(T1831,Equivalencia!$1:$23,((MAX(Equivalencia!$3:$3)-YEAR(S1831))*14)+MONTH(S1831)+2,FALSE)))</f>
        <v>0</v>
      </c>
      <c r="W1831" s="178">
        <f t="shared" si="198"/>
        <v>0</v>
      </c>
      <c r="X1831" s="481">
        <f t="shared" si="199"/>
        <v>0</v>
      </c>
      <c r="Y1831" s="179"/>
      <c r="Z1831" s="466">
        <f t="shared" si="200"/>
        <v>0</v>
      </c>
      <c r="AA1831" s="473">
        <f t="shared" si="201"/>
        <v>0</v>
      </c>
      <c r="AB1831" s="339">
        <f t="shared" si="202"/>
        <v>0</v>
      </c>
    </row>
    <row r="1832" spans="2:28" ht="20.100000000000001" customHeight="1">
      <c r="B1832" s="172"/>
      <c r="C1832" s="174"/>
      <c r="D1832" s="181"/>
      <c r="E1832" s="173"/>
      <c r="F1832" s="176"/>
      <c r="G1832" s="175">
        <f t="shared" si="193"/>
        <v>0</v>
      </c>
      <c r="H1832" s="175">
        <f t="shared" si="194"/>
        <v>0</v>
      </c>
      <c r="I1832" s="177">
        <f>IF(G1832=0,0,IF(E1832="MXN",1/HLOOKUP(YEAR(C1832)+(MONTH(C1832)/100),TC!$5:$37,DAY(C1832)+2,FALSE),VLOOKUP(E1832,Equivalencia!$5:$23,((MAX(Equivalencia!$3:$3)-YEAR(C1832))*14)+MONTH(C1832)+2,FALSE)))</f>
        <v>0</v>
      </c>
      <c r="J1832" s="178">
        <f t="shared" si="195"/>
        <v>0</v>
      </c>
      <c r="K1832" s="462">
        <f>IF(C1832=0,0,VLOOKUP(YEAR(C1832),INPC!$B$4:$O$29,MONTH(C1832)+1))</f>
        <v>0</v>
      </c>
      <c r="L1832" s="462">
        <f>IF(S1832=0,0,VLOOKUP(YEAR(S1832),INPC!$B$4:$O$29,MONTH(S1832)+1))</f>
        <v>0</v>
      </c>
      <c r="M1832" s="463">
        <f t="shared" si="196"/>
        <v>0</v>
      </c>
      <c r="N1832" s="465">
        <f t="shared" si="197"/>
        <v>0</v>
      </c>
      <c r="O1832" s="179"/>
      <c r="P1832" s="180"/>
      <c r="Q1832" s="173"/>
      <c r="R1832" s="173"/>
      <c r="S1832" s="174"/>
      <c r="T1832" s="173"/>
      <c r="U1832" s="182"/>
      <c r="V1832" s="177">
        <f>IF(U1832=0,0,IF(T1832="MXN",1/HLOOKUP(YEAR(S1832)+(MONTH(S1832)/100),TC!$5:$37,DAY(S1832)+2,FALSE),VLOOKUP(T1832,Equivalencia!$1:$23,((MAX(Equivalencia!$3:$3)-YEAR(S1832))*14)+MONTH(S1832)+2,FALSE)))</f>
        <v>0</v>
      </c>
      <c r="W1832" s="178">
        <f t="shared" si="198"/>
        <v>0</v>
      </c>
      <c r="X1832" s="481">
        <f t="shared" si="199"/>
        <v>0</v>
      </c>
      <c r="Y1832" s="179"/>
      <c r="Z1832" s="466">
        <f t="shared" si="200"/>
        <v>0</v>
      </c>
      <c r="AA1832" s="473">
        <f t="shared" si="201"/>
        <v>0</v>
      </c>
      <c r="AB1832" s="339">
        <f t="shared" si="202"/>
        <v>0</v>
      </c>
    </row>
    <row r="1833" spans="2:28" ht="20.100000000000001" customHeight="1">
      <c r="B1833" s="172"/>
      <c r="C1833" s="174"/>
      <c r="D1833" s="181"/>
      <c r="E1833" s="173"/>
      <c r="F1833" s="176"/>
      <c r="G1833" s="175">
        <f t="shared" si="193"/>
        <v>0</v>
      </c>
      <c r="H1833" s="175">
        <f t="shared" si="194"/>
        <v>0</v>
      </c>
      <c r="I1833" s="177">
        <f>IF(G1833=0,0,IF(E1833="MXN",1/HLOOKUP(YEAR(C1833)+(MONTH(C1833)/100),TC!$5:$37,DAY(C1833)+2,FALSE),VLOOKUP(E1833,Equivalencia!$5:$23,((MAX(Equivalencia!$3:$3)-YEAR(C1833))*14)+MONTH(C1833)+2,FALSE)))</f>
        <v>0</v>
      </c>
      <c r="J1833" s="178">
        <f t="shared" si="195"/>
        <v>0</v>
      </c>
      <c r="K1833" s="462">
        <f>IF(C1833=0,0,VLOOKUP(YEAR(C1833),INPC!$B$4:$O$29,MONTH(C1833)+1))</f>
        <v>0</v>
      </c>
      <c r="L1833" s="462">
        <f>IF(S1833=0,0,VLOOKUP(YEAR(S1833),INPC!$B$4:$O$29,MONTH(S1833)+1))</f>
        <v>0</v>
      </c>
      <c r="M1833" s="463">
        <f t="shared" si="196"/>
        <v>0</v>
      </c>
      <c r="N1833" s="465">
        <f t="shared" si="197"/>
        <v>0</v>
      </c>
      <c r="O1833" s="179"/>
      <c r="P1833" s="180"/>
      <c r="Q1833" s="173"/>
      <c r="R1833" s="173"/>
      <c r="S1833" s="174"/>
      <c r="T1833" s="173"/>
      <c r="U1833" s="182"/>
      <c r="V1833" s="177">
        <f>IF(U1833=0,0,IF(T1833="MXN",1/HLOOKUP(YEAR(S1833)+(MONTH(S1833)/100),TC!$5:$37,DAY(S1833)+2,FALSE),VLOOKUP(T1833,Equivalencia!$1:$23,((MAX(Equivalencia!$3:$3)-YEAR(S1833))*14)+MONTH(S1833)+2,FALSE)))</f>
        <v>0</v>
      </c>
      <c r="W1833" s="178">
        <f t="shared" si="198"/>
        <v>0</v>
      </c>
      <c r="X1833" s="481">
        <f t="shared" si="199"/>
        <v>0</v>
      </c>
      <c r="Y1833" s="179"/>
      <c r="Z1833" s="466">
        <f t="shared" si="200"/>
        <v>0</v>
      </c>
      <c r="AA1833" s="473">
        <f t="shared" si="201"/>
        <v>0</v>
      </c>
      <c r="AB1833" s="339">
        <f t="shared" si="202"/>
        <v>0</v>
      </c>
    </row>
    <row r="1834" spans="2:28" ht="20.100000000000001" customHeight="1">
      <c r="B1834" s="172"/>
      <c r="C1834" s="174"/>
      <c r="D1834" s="181"/>
      <c r="E1834" s="173"/>
      <c r="F1834" s="176"/>
      <c r="G1834" s="175">
        <f t="shared" si="193"/>
        <v>0</v>
      </c>
      <c r="H1834" s="175">
        <f t="shared" si="194"/>
        <v>0</v>
      </c>
      <c r="I1834" s="177">
        <f>IF(G1834=0,0,IF(E1834="MXN",1/HLOOKUP(YEAR(C1834)+(MONTH(C1834)/100),TC!$5:$37,DAY(C1834)+2,FALSE),VLOOKUP(E1834,Equivalencia!$5:$23,((MAX(Equivalencia!$3:$3)-YEAR(C1834))*14)+MONTH(C1834)+2,FALSE)))</f>
        <v>0</v>
      </c>
      <c r="J1834" s="178">
        <f t="shared" si="195"/>
        <v>0</v>
      </c>
      <c r="K1834" s="462">
        <f>IF(C1834=0,0,VLOOKUP(YEAR(C1834),INPC!$B$4:$O$29,MONTH(C1834)+1))</f>
        <v>0</v>
      </c>
      <c r="L1834" s="462">
        <f>IF(S1834=0,0,VLOOKUP(YEAR(S1834),INPC!$B$4:$O$29,MONTH(S1834)+1))</f>
        <v>0</v>
      </c>
      <c r="M1834" s="463">
        <f t="shared" si="196"/>
        <v>0</v>
      </c>
      <c r="N1834" s="465">
        <f t="shared" si="197"/>
        <v>0</v>
      </c>
      <c r="O1834" s="179"/>
      <c r="P1834" s="180"/>
      <c r="Q1834" s="173"/>
      <c r="R1834" s="173"/>
      <c r="S1834" s="174"/>
      <c r="T1834" s="173"/>
      <c r="U1834" s="182"/>
      <c r="V1834" s="177">
        <f>IF(U1834=0,0,IF(T1834="MXN",1/HLOOKUP(YEAR(S1834)+(MONTH(S1834)/100),TC!$5:$37,DAY(S1834)+2,FALSE),VLOOKUP(T1834,Equivalencia!$1:$23,((MAX(Equivalencia!$3:$3)-YEAR(S1834))*14)+MONTH(S1834)+2,FALSE)))</f>
        <v>0</v>
      </c>
      <c r="W1834" s="178">
        <f t="shared" si="198"/>
        <v>0</v>
      </c>
      <c r="X1834" s="481">
        <f t="shared" si="199"/>
        <v>0</v>
      </c>
      <c r="Y1834" s="179"/>
      <c r="Z1834" s="466">
        <f t="shared" si="200"/>
        <v>0</v>
      </c>
      <c r="AA1834" s="473">
        <f t="shared" si="201"/>
        <v>0</v>
      </c>
      <c r="AB1834" s="339">
        <f t="shared" si="202"/>
        <v>0</v>
      </c>
    </row>
    <row r="1835" spans="2:28" ht="20.100000000000001" customHeight="1">
      <c r="B1835" s="172"/>
      <c r="C1835" s="174"/>
      <c r="D1835" s="181"/>
      <c r="E1835" s="173"/>
      <c r="F1835" s="176"/>
      <c r="G1835" s="175">
        <f t="shared" si="193"/>
        <v>0</v>
      </c>
      <c r="H1835" s="175">
        <f t="shared" si="194"/>
        <v>0</v>
      </c>
      <c r="I1835" s="177">
        <f>IF(G1835=0,0,IF(E1835="MXN",1/HLOOKUP(YEAR(C1835)+(MONTH(C1835)/100),TC!$5:$37,DAY(C1835)+2,FALSE),VLOOKUP(E1835,Equivalencia!$5:$23,((MAX(Equivalencia!$3:$3)-YEAR(C1835))*14)+MONTH(C1835)+2,FALSE)))</f>
        <v>0</v>
      </c>
      <c r="J1835" s="178">
        <f t="shared" si="195"/>
        <v>0</v>
      </c>
      <c r="K1835" s="462">
        <f>IF(C1835=0,0,VLOOKUP(YEAR(C1835),INPC!$B$4:$O$29,MONTH(C1835)+1))</f>
        <v>0</v>
      </c>
      <c r="L1835" s="462">
        <f>IF(S1835=0,0,VLOOKUP(YEAR(S1835),INPC!$B$4:$O$29,MONTH(S1835)+1))</f>
        <v>0</v>
      </c>
      <c r="M1835" s="463">
        <f t="shared" si="196"/>
        <v>0</v>
      </c>
      <c r="N1835" s="465">
        <f t="shared" si="197"/>
        <v>0</v>
      </c>
      <c r="O1835" s="179"/>
      <c r="P1835" s="180"/>
      <c r="Q1835" s="173"/>
      <c r="R1835" s="173"/>
      <c r="S1835" s="174"/>
      <c r="T1835" s="173"/>
      <c r="U1835" s="182"/>
      <c r="V1835" s="177">
        <f>IF(U1835=0,0,IF(T1835="MXN",1/HLOOKUP(YEAR(S1835)+(MONTH(S1835)/100),TC!$5:$37,DAY(S1835)+2,FALSE),VLOOKUP(T1835,Equivalencia!$1:$23,((MAX(Equivalencia!$3:$3)-YEAR(S1835))*14)+MONTH(S1835)+2,FALSE)))</f>
        <v>0</v>
      </c>
      <c r="W1835" s="178">
        <f t="shared" si="198"/>
        <v>0</v>
      </c>
      <c r="X1835" s="481">
        <f t="shared" si="199"/>
        <v>0</v>
      </c>
      <c r="Y1835" s="179"/>
      <c r="Z1835" s="466">
        <f t="shared" si="200"/>
        <v>0</v>
      </c>
      <c r="AA1835" s="473">
        <f t="shared" si="201"/>
        <v>0</v>
      </c>
      <c r="AB1835" s="339">
        <f t="shared" si="202"/>
        <v>0</v>
      </c>
    </row>
    <row r="1836" spans="2:28" ht="20.100000000000001" customHeight="1">
      <c r="B1836" s="172"/>
      <c r="C1836" s="174"/>
      <c r="D1836" s="181"/>
      <c r="E1836" s="173"/>
      <c r="F1836" s="176"/>
      <c r="G1836" s="175">
        <f t="shared" si="193"/>
        <v>0</v>
      </c>
      <c r="H1836" s="175">
        <f t="shared" si="194"/>
        <v>0</v>
      </c>
      <c r="I1836" s="177">
        <f>IF(G1836=0,0,IF(E1836="MXN",1/HLOOKUP(YEAR(C1836)+(MONTH(C1836)/100),TC!$5:$37,DAY(C1836)+2,FALSE),VLOOKUP(E1836,Equivalencia!$5:$23,((MAX(Equivalencia!$3:$3)-YEAR(C1836))*14)+MONTH(C1836)+2,FALSE)))</f>
        <v>0</v>
      </c>
      <c r="J1836" s="178">
        <f t="shared" si="195"/>
        <v>0</v>
      </c>
      <c r="K1836" s="462">
        <f>IF(C1836=0,0,VLOOKUP(YEAR(C1836),INPC!$B$4:$O$29,MONTH(C1836)+1))</f>
        <v>0</v>
      </c>
      <c r="L1836" s="462">
        <f>IF(S1836=0,0,VLOOKUP(YEAR(S1836),INPC!$B$4:$O$29,MONTH(S1836)+1))</f>
        <v>0</v>
      </c>
      <c r="M1836" s="463">
        <f t="shared" si="196"/>
        <v>0</v>
      </c>
      <c r="N1836" s="465">
        <f t="shared" si="197"/>
        <v>0</v>
      </c>
      <c r="O1836" s="179"/>
      <c r="P1836" s="180"/>
      <c r="Q1836" s="173"/>
      <c r="R1836" s="173"/>
      <c r="S1836" s="174"/>
      <c r="T1836" s="173"/>
      <c r="U1836" s="182"/>
      <c r="V1836" s="177">
        <f>IF(U1836=0,0,IF(T1836="MXN",1/HLOOKUP(YEAR(S1836)+(MONTH(S1836)/100),TC!$5:$37,DAY(S1836)+2,FALSE),VLOOKUP(T1836,Equivalencia!$1:$23,((MAX(Equivalencia!$3:$3)-YEAR(S1836))*14)+MONTH(S1836)+2,FALSE)))</f>
        <v>0</v>
      </c>
      <c r="W1836" s="178">
        <f t="shared" si="198"/>
        <v>0</v>
      </c>
      <c r="X1836" s="481">
        <f t="shared" si="199"/>
        <v>0</v>
      </c>
      <c r="Y1836" s="179"/>
      <c r="Z1836" s="466">
        <f t="shared" si="200"/>
        <v>0</v>
      </c>
      <c r="AA1836" s="473">
        <f t="shared" si="201"/>
        <v>0</v>
      </c>
      <c r="AB1836" s="339">
        <f t="shared" si="202"/>
        <v>0</v>
      </c>
    </row>
    <row r="1837" spans="2:28" ht="20.100000000000001" customHeight="1">
      <c r="B1837" s="172"/>
      <c r="C1837" s="174"/>
      <c r="D1837" s="181"/>
      <c r="E1837" s="173"/>
      <c r="F1837" s="176"/>
      <c r="G1837" s="175">
        <f t="shared" si="193"/>
        <v>0</v>
      </c>
      <c r="H1837" s="175">
        <f t="shared" si="194"/>
        <v>0</v>
      </c>
      <c r="I1837" s="177">
        <f>IF(G1837=0,0,IF(E1837="MXN",1/HLOOKUP(YEAR(C1837)+(MONTH(C1837)/100),TC!$5:$37,DAY(C1837)+2,FALSE),VLOOKUP(E1837,Equivalencia!$5:$23,((MAX(Equivalencia!$3:$3)-YEAR(C1837))*14)+MONTH(C1837)+2,FALSE)))</f>
        <v>0</v>
      </c>
      <c r="J1837" s="178">
        <f t="shared" si="195"/>
        <v>0</v>
      </c>
      <c r="K1837" s="462">
        <f>IF(C1837=0,0,VLOOKUP(YEAR(C1837),INPC!$B$4:$O$29,MONTH(C1837)+1))</f>
        <v>0</v>
      </c>
      <c r="L1837" s="462">
        <f>IF(S1837=0,0,VLOOKUP(YEAR(S1837),INPC!$B$4:$O$29,MONTH(S1837)+1))</f>
        <v>0</v>
      </c>
      <c r="M1837" s="463">
        <f t="shared" si="196"/>
        <v>0</v>
      </c>
      <c r="N1837" s="465">
        <f t="shared" si="197"/>
        <v>0</v>
      </c>
      <c r="O1837" s="179"/>
      <c r="P1837" s="180"/>
      <c r="Q1837" s="173"/>
      <c r="R1837" s="173"/>
      <c r="S1837" s="174"/>
      <c r="T1837" s="173"/>
      <c r="U1837" s="182"/>
      <c r="V1837" s="177">
        <f>IF(U1837=0,0,IF(T1837="MXN",1/HLOOKUP(YEAR(S1837)+(MONTH(S1837)/100),TC!$5:$37,DAY(S1837)+2,FALSE),VLOOKUP(T1837,Equivalencia!$1:$23,((MAX(Equivalencia!$3:$3)-YEAR(S1837))*14)+MONTH(S1837)+2,FALSE)))</f>
        <v>0</v>
      </c>
      <c r="W1837" s="178">
        <f t="shared" si="198"/>
        <v>0</v>
      </c>
      <c r="X1837" s="481">
        <f t="shared" si="199"/>
        <v>0</v>
      </c>
      <c r="Y1837" s="179"/>
      <c r="Z1837" s="466">
        <f t="shared" si="200"/>
        <v>0</v>
      </c>
      <c r="AA1837" s="473">
        <f t="shared" si="201"/>
        <v>0</v>
      </c>
      <c r="AB1837" s="339">
        <f t="shared" si="202"/>
        <v>0</v>
      </c>
    </row>
    <row r="1838" spans="2:28" ht="20.100000000000001" customHeight="1">
      <c r="B1838" s="172"/>
      <c r="C1838" s="174"/>
      <c r="D1838" s="181"/>
      <c r="E1838" s="173"/>
      <c r="F1838" s="176"/>
      <c r="G1838" s="175">
        <f t="shared" si="193"/>
        <v>0</v>
      </c>
      <c r="H1838" s="175">
        <f t="shared" si="194"/>
        <v>0</v>
      </c>
      <c r="I1838" s="177">
        <f>IF(G1838=0,0,IF(E1838="MXN",1/HLOOKUP(YEAR(C1838)+(MONTH(C1838)/100),TC!$5:$37,DAY(C1838)+2,FALSE),VLOOKUP(E1838,Equivalencia!$5:$23,((MAX(Equivalencia!$3:$3)-YEAR(C1838))*14)+MONTH(C1838)+2,FALSE)))</f>
        <v>0</v>
      </c>
      <c r="J1838" s="178">
        <f t="shared" si="195"/>
        <v>0</v>
      </c>
      <c r="K1838" s="462">
        <f>IF(C1838=0,0,VLOOKUP(YEAR(C1838),INPC!$B$4:$O$29,MONTH(C1838)+1))</f>
        <v>0</v>
      </c>
      <c r="L1838" s="462">
        <f>IF(S1838=0,0,VLOOKUP(YEAR(S1838),INPC!$B$4:$O$29,MONTH(S1838)+1))</f>
        <v>0</v>
      </c>
      <c r="M1838" s="463">
        <f t="shared" si="196"/>
        <v>0</v>
      </c>
      <c r="N1838" s="465">
        <f t="shared" si="197"/>
        <v>0</v>
      </c>
      <c r="O1838" s="179"/>
      <c r="P1838" s="180"/>
      <c r="Q1838" s="173"/>
      <c r="R1838" s="173"/>
      <c r="S1838" s="174"/>
      <c r="T1838" s="173"/>
      <c r="U1838" s="182"/>
      <c r="V1838" s="177">
        <f>IF(U1838=0,0,IF(T1838="MXN",1/HLOOKUP(YEAR(S1838)+(MONTH(S1838)/100),TC!$5:$37,DAY(S1838)+2,FALSE),VLOOKUP(T1838,Equivalencia!$1:$23,((MAX(Equivalencia!$3:$3)-YEAR(S1838))*14)+MONTH(S1838)+2,FALSE)))</f>
        <v>0</v>
      </c>
      <c r="W1838" s="178">
        <f t="shared" si="198"/>
        <v>0</v>
      </c>
      <c r="X1838" s="481">
        <f t="shared" si="199"/>
        <v>0</v>
      </c>
      <c r="Y1838" s="179"/>
      <c r="Z1838" s="466">
        <f t="shared" si="200"/>
        <v>0</v>
      </c>
      <c r="AA1838" s="473">
        <f t="shared" si="201"/>
        <v>0</v>
      </c>
      <c r="AB1838" s="339">
        <f t="shared" si="202"/>
        <v>0</v>
      </c>
    </row>
    <row r="1839" spans="2:28" ht="20.100000000000001" customHeight="1">
      <c r="B1839" s="172"/>
      <c r="C1839" s="174"/>
      <c r="D1839" s="181"/>
      <c r="E1839" s="173"/>
      <c r="F1839" s="176"/>
      <c r="G1839" s="175">
        <f t="shared" si="193"/>
        <v>0</v>
      </c>
      <c r="H1839" s="175">
        <f t="shared" si="194"/>
        <v>0</v>
      </c>
      <c r="I1839" s="177">
        <f>IF(G1839=0,0,IF(E1839="MXN",1/HLOOKUP(YEAR(C1839)+(MONTH(C1839)/100),TC!$5:$37,DAY(C1839)+2,FALSE),VLOOKUP(E1839,Equivalencia!$5:$23,((MAX(Equivalencia!$3:$3)-YEAR(C1839))*14)+MONTH(C1839)+2,FALSE)))</f>
        <v>0</v>
      </c>
      <c r="J1839" s="178">
        <f t="shared" si="195"/>
        <v>0</v>
      </c>
      <c r="K1839" s="462">
        <f>IF(C1839=0,0,VLOOKUP(YEAR(C1839),INPC!$B$4:$O$29,MONTH(C1839)+1))</f>
        <v>0</v>
      </c>
      <c r="L1839" s="462">
        <f>IF(S1839=0,0,VLOOKUP(YEAR(S1839),INPC!$B$4:$O$29,MONTH(S1839)+1))</f>
        <v>0</v>
      </c>
      <c r="M1839" s="463">
        <f t="shared" si="196"/>
        <v>0</v>
      </c>
      <c r="N1839" s="465">
        <f t="shared" si="197"/>
        <v>0</v>
      </c>
      <c r="O1839" s="179"/>
      <c r="P1839" s="180"/>
      <c r="Q1839" s="173"/>
      <c r="R1839" s="173"/>
      <c r="S1839" s="174"/>
      <c r="T1839" s="173"/>
      <c r="U1839" s="182"/>
      <c r="V1839" s="177">
        <f>IF(U1839=0,0,IF(T1839="MXN",1/HLOOKUP(YEAR(S1839)+(MONTH(S1839)/100),TC!$5:$37,DAY(S1839)+2,FALSE),VLOOKUP(T1839,Equivalencia!$1:$23,((MAX(Equivalencia!$3:$3)-YEAR(S1839))*14)+MONTH(S1839)+2,FALSE)))</f>
        <v>0</v>
      </c>
      <c r="W1839" s="178">
        <f t="shared" si="198"/>
        <v>0</v>
      </c>
      <c r="X1839" s="481">
        <f t="shared" si="199"/>
        <v>0</v>
      </c>
      <c r="Y1839" s="179"/>
      <c r="Z1839" s="466">
        <f t="shared" si="200"/>
        <v>0</v>
      </c>
      <c r="AA1839" s="473">
        <f t="shared" si="201"/>
        <v>0</v>
      </c>
      <c r="AB1839" s="339">
        <f t="shared" si="202"/>
        <v>0</v>
      </c>
    </row>
    <row r="1840" spans="2:28" ht="20.100000000000001" customHeight="1">
      <c r="B1840" s="172"/>
      <c r="C1840" s="174"/>
      <c r="D1840" s="181"/>
      <c r="E1840" s="173"/>
      <c r="F1840" s="176"/>
      <c r="G1840" s="175">
        <f t="shared" si="193"/>
        <v>0</v>
      </c>
      <c r="H1840" s="175">
        <f t="shared" si="194"/>
        <v>0</v>
      </c>
      <c r="I1840" s="177">
        <f>IF(G1840=0,0,IF(E1840="MXN",1/HLOOKUP(YEAR(C1840)+(MONTH(C1840)/100),TC!$5:$37,DAY(C1840)+2,FALSE),VLOOKUP(E1840,Equivalencia!$5:$23,((MAX(Equivalencia!$3:$3)-YEAR(C1840))*14)+MONTH(C1840)+2,FALSE)))</f>
        <v>0</v>
      </c>
      <c r="J1840" s="178">
        <f t="shared" si="195"/>
        <v>0</v>
      </c>
      <c r="K1840" s="462">
        <f>IF(C1840=0,0,VLOOKUP(YEAR(C1840),INPC!$B$4:$O$29,MONTH(C1840)+1))</f>
        <v>0</v>
      </c>
      <c r="L1840" s="462">
        <f>IF(S1840=0,0,VLOOKUP(YEAR(S1840),INPC!$B$4:$O$29,MONTH(S1840)+1))</f>
        <v>0</v>
      </c>
      <c r="M1840" s="463">
        <f t="shared" si="196"/>
        <v>0</v>
      </c>
      <c r="N1840" s="465">
        <f t="shared" si="197"/>
        <v>0</v>
      </c>
      <c r="O1840" s="179"/>
      <c r="P1840" s="180"/>
      <c r="Q1840" s="173"/>
      <c r="R1840" s="173"/>
      <c r="S1840" s="174"/>
      <c r="T1840" s="173"/>
      <c r="U1840" s="182"/>
      <c r="V1840" s="177">
        <f>IF(U1840=0,0,IF(T1840="MXN",1/HLOOKUP(YEAR(S1840)+(MONTH(S1840)/100),TC!$5:$37,DAY(S1840)+2,FALSE),VLOOKUP(T1840,Equivalencia!$1:$23,((MAX(Equivalencia!$3:$3)-YEAR(S1840))*14)+MONTH(S1840)+2,FALSE)))</f>
        <v>0</v>
      </c>
      <c r="W1840" s="178">
        <f t="shared" si="198"/>
        <v>0</v>
      </c>
      <c r="X1840" s="481">
        <f t="shared" si="199"/>
        <v>0</v>
      </c>
      <c r="Y1840" s="179"/>
      <c r="Z1840" s="466">
        <f t="shared" si="200"/>
        <v>0</v>
      </c>
      <c r="AA1840" s="473">
        <f t="shared" si="201"/>
        <v>0</v>
      </c>
      <c r="AB1840" s="339">
        <f t="shared" si="202"/>
        <v>0</v>
      </c>
    </row>
    <row r="1841" spans="2:28" ht="20.100000000000001" customHeight="1">
      <c r="B1841" s="172"/>
      <c r="C1841" s="174"/>
      <c r="D1841" s="181"/>
      <c r="E1841" s="173"/>
      <c r="F1841" s="176"/>
      <c r="G1841" s="175">
        <f t="shared" si="193"/>
        <v>0</v>
      </c>
      <c r="H1841" s="175">
        <f t="shared" si="194"/>
        <v>0</v>
      </c>
      <c r="I1841" s="177">
        <f>IF(G1841=0,0,IF(E1841="MXN",1/HLOOKUP(YEAR(C1841)+(MONTH(C1841)/100),TC!$5:$37,DAY(C1841)+2,FALSE),VLOOKUP(E1841,Equivalencia!$5:$23,((MAX(Equivalencia!$3:$3)-YEAR(C1841))*14)+MONTH(C1841)+2,FALSE)))</f>
        <v>0</v>
      </c>
      <c r="J1841" s="178">
        <f t="shared" si="195"/>
        <v>0</v>
      </c>
      <c r="K1841" s="462">
        <f>IF(C1841=0,0,VLOOKUP(YEAR(C1841),INPC!$B$4:$O$29,MONTH(C1841)+1))</f>
        <v>0</v>
      </c>
      <c r="L1841" s="462">
        <f>IF(S1841=0,0,VLOOKUP(YEAR(S1841),INPC!$B$4:$O$29,MONTH(S1841)+1))</f>
        <v>0</v>
      </c>
      <c r="M1841" s="463">
        <f t="shared" si="196"/>
        <v>0</v>
      </c>
      <c r="N1841" s="465">
        <f t="shared" si="197"/>
        <v>0</v>
      </c>
      <c r="O1841" s="179"/>
      <c r="P1841" s="180"/>
      <c r="Q1841" s="173"/>
      <c r="R1841" s="173"/>
      <c r="S1841" s="174"/>
      <c r="T1841" s="173"/>
      <c r="U1841" s="182"/>
      <c r="V1841" s="177">
        <f>IF(U1841=0,0,IF(T1841="MXN",1/HLOOKUP(YEAR(S1841)+(MONTH(S1841)/100),TC!$5:$37,DAY(S1841)+2,FALSE),VLOOKUP(T1841,Equivalencia!$1:$23,((MAX(Equivalencia!$3:$3)-YEAR(S1841))*14)+MONTH(S1841)+2,FALSE)))</f>
        <v>0</v>
      </c>
      <c r="W1841" s="178">
        <f t="shared" si="198"/>
        <v>0</v>
      </c>
      <c r="X1841" s="481">
        <f t="shared" si="199"/>
        <v>0</v>
      </c>
      <c r="Y1841" s="179"/>
      <c r="Z1841" s="466">
        <f t="shared" si="200"/>
        <v>0</v>
      </c>
      <c r="AA1841" s="473">
        <f t="shared" si="201"/>
        <v>0</v>
      </c>
      <c r="AB1841" s="339">
        <f t="shared" si="202"/>
        <v>0</v>
      </c>
    </row>
    <row r="1842" spans="2:28" ht="20.100000000000001" customHeight="1">
      <c r="B1842" s="172"/>
      <c r="C1842" s="174"/>
      <c r="D1842" s="181"/>
      <c r="E1842" s="173"/>
      <c r="F1842" s="176"/>
      <c r="G1842" s="175">
        <f t="shared" si="193"/>
        <v>0</v>
      </c>
      <c r="H1842" s="175">
        <f t="shared" si="194"/>
        <v>0</v>
      </c>
      <c r="I1842" s="177">
        <f>IF(G1842=0,0,IF(E1842="MXN",1/HLOOKUP(YEAR(C1842)+(MONTH(C1842)/100),TC!$5:$37,DAY(C1842)+2,FALSE),VLOOKUP(E1842,Equivalencia!$5:$23,((MAX(Equivalencia!$3:$3)-YEAR(C1842))*14)+MONTH(C1842)+2,FALSE)))</f>
        <v>0</v>
      </c>
      <c r="J1842" s="178">
        <f t="shared" si="195"/>
        <v>0</v>
      </c>
      <c r="K1842" s="462">
        <f>IF(C1842=0,0,VLOOKUP(YEAR(C1842),INPC!$B$4:$O$29,MONTH(C1842)+1))</f>
        <v>0</v>
      </c>
      <c r="L1842" s="462">
        <f>IF(S1842=0,0,VLOOKUP(YEAR(S1842),INPC!$B$4:$O$29,MONTH(S1842)+1))</f>
        <v>0</v>
      </c>
      <c r="M1842" s="463">
        <f t="shared" si="196"/>
        <v>0</v>
      </c>
      <c r="N1842" s="465">
        <f t="shared" si="197"/>
        <v>0</v>
      </c>
      <c r="O1842" s="179"/>
      <c r="P1842" s="180"/>
      <c r="Q1842" s="173"/>
      <c r="R1842" s="173"/>
      <c r="S1842" s="174"/>
      <c r="T1842" s="173"/>
      <c r="U1842" s="182"/>
      <c r="V1842" s="177">
        <f>IF(U1842=0,0,IF(T1842="MXN",1/HLOOKUP(YEAR(S1842)+(MONTH(S1842)/100),TC!$5:$37,DAY(S1842)+2,FALSE),VLOOKUP(T1842,Equivalencia!$1:$23,((MAX(Equivalencia!$3:$3)-YEAR(S1842))*14)+MONTH(S1842)+2,FALSE)))</f>
        <v>0</v>
      </c>
      <c r="W1842" s="178">
        <f t="shared" si="198"/>
        <v>0</v>
      </c>
      <c r="X1842" s="481">
        <f t="shared" si="199"/>
        <v>0</v>
      </c>
      <c r="Y1842" s="179"/>
      <c r="Z1842" s="466">
        <f t="shared" si="200"/>
        <v>0</v>
      </c>
      <c r="AA1842" s="473">
        <f t="shared" si="201"/>
        <v>0</v>
      </c>
      <c r="AB1842" s="339">
        <f t="shared" si="202"/>
        <v>0</v>
      </c>
    </row>
    <row r="1843" spans="2:28" ht="20.100000000000001" customHeight="1">
      <c r="B1843" s="172"/>
      <c r="C1843" s="174"/>
      <c r="D1843" s="181"/>
      <c r="E1843" s="173"/>
      <c r="F1843" s="176"/>
      <c r="G1843" s="175">
        <f t="shared" si="193"/>
        <v>0</v>
      </c>
      <c r="H1843" s="175">
        <f t="shared" si="194"/>
        <v>0</v>
      </c>
      <c r="I1843" s="177">
        <f>IF(G1843=0,0,IF(E1843="MXN",1/HLOOKUP(YEAR(C1843)+(MONTH(C1843)/100),TC!$5:$37,DAY(C1843)+2,FALSE),VLOOKUP(E1843,Equivalencia!$5:$23,((MAX(Equivalencia!$3:$3)-YEAR(C1843))*14)+MONTH(C1843)+2,FALSE)))</f>
        <v>0</v>
      </c>
      <c r="J1843" s="178">
        <f t="shared" si="195"/>
        <v>0</v>
      </c>
      <c r="K1843" s="462">
        <f>IF(C1843=0,0,VLOOKUP(YEAR(C1843),INPC!$B$4:$O$29,MONTH(C1843)+1))</f>
        <v>0</v>
      </c>
      <c r="L1843" s="462">
        <f>IF(S1843=0,0,VLOOKUP(YEAR(S1843),INPC!$B$4:$O$29,MONTH(S1843)+1))</f>
        <v>0</v>
      </c>
      <c r="M1843" s="463">
        <f t="shared" si="196"/>
        <v>0</v>
      </c>
      <c r="N1843" s="465">
        <f t="shared" si="197"/>
        <v>0</v>
      </c>
      <c r="O1843" s="179"/>
      <c r="P1843" s="180"/>
      <c r="Q1843" s="173"/>
      <c r="R1843" s="173"/>
      <c r="S1843" s="174"/>
      <c r="T1843" s="173"/>
      <c r="U1843" s="182"/>
      <c r="V1843" s="177">
        <f>IF(U1843=0,0,IF(T1843="MXN",1/HLOOKUP(YEAR(S1843)+(MONTH(S1843)/100),TC!$5:$37,DAY(S1843)+2,FALSE),VLOOKUP(T1843,Equivalencia!$1:$23,((MAX(Equivalencia!$3:$3)-YEAR(S1843))*14)+MONTH(S1843)+2,FALSE)))</f>
        <v>0</v>
      </c>
      <c r="W1843" s="178">
        <f t="shared" si="198"/>
        <v>0</v>
      </c>
      <c r="X1843" s="481">
        <f t="shared" si="199"/>
        <v>0</v>
      </c>
      <c r="Y1843" s="179"/>
      <c r="Z1843" s="466">
        <f t="shared" si="200"/>
        <v>0</v>
      </c>
      <c r="AA1843" s="473">
        <f t="shared" si="201"/>
        <v>0</v>
      </c>
      <c r="AB1843" s="339">
        <f t="shared" si="202"/>
        <v>0</v>
      </c>
    </row>
    <row r="1844" spans="2:28" ht="20.100000000000001" customHeight="1">
      <c r="B1844" s="172"/>
      <c r="C1844" s="174"/>
      <c r="D1844" s="181"/>
      <c r="E1844" s="173"/>
      <c r="F1844" s="176"/>
      <c r="G1844" s="175">
        <f t="shared" si="193"/>
        <v>0</v>
      </c>
      <c r="H1844" s="175">
        <f t="shared" si="194"/>
        <v>0</v>
      </c>
      <c r="I1844" s="177">
        <f>IF(G1844=0,0,IF(E1844="MXN",1/HLOOKUP(YEAR(C1844)+(MONTH(C1844)/100),TC!$5:$37,DAY(C1844)+2,FALSE),VLOOKUP(E1844,Equivalencia!$5:$23,((MAX(Equivalencia!$3:$3)-YEAR(C1844))*14)+MONTH(C1844)+2,FALSE)))</f>
        <v>0</v>
      </c>
      <c r="J1844" s="178">
        <f t="shared" si="195"/>
        <v>0</v>
      </c>
      <c r="K1844" s="462">
        <f>IF(C1844=0,0,VLOOKUP(YEAR(C1844),INPC!$B$4:$O$29,MONTH(C1844)+1))</f>
        <v>0</v>
      </c>
      <c r="L1844" s="462">
        <f>IF(S1844=0,0,VLOOKUP(YEAR(S1844),INPC!$B$4:$O$29,MONTH(S1844)+1))</f>
        <v>0</v>
      </c>
      <c r="M1844" s="463">
        <f t="shared" si="196"/>
        <v>0</v>
      </c>
      <c r="N1844" s="465">
        <f t="shared" si="197"/>
        <v>0</v>
      </c>
      <c r="O1844" s="179"/>
      <c r="P1844" s="180"/>
      <c r="Q1844" s="173"/>
      <c r="R1844" s="173"/>
      <c r="S1844" s="174"/>
      <c r="T1844" s="173"/>
      <c r="U1844" s="182"/>
      <c r="V1844" s="177">
        <f>IF(U1844=0,0,IF(T1844="MXN",1/HLOOKUP(YEAR(S1844)+(MONTH(S1844)/100),TC!$5:$37,DAY(S1844)+2,FALSE),VLOOKUP(T1844,Equivalencia!$1:$23,((MAX(Equivalencia!$3:$3)-YEAR(S1844))*14)+MONTH(S1844)+2,FALSE)))</f>
        <v>0</v>
      </c>
      <c r="W1844" s="178">
        <f t="shared" si="198"/>
        <v>0</v>
      </c>
      <c r="X1844" s="481">
        <f t="shared" si="199"/>
        <v>0</v>
      </c>
      <c r="Y1844" s="179"/>
      <c r="Z1844" s="466">
        <f t="shared" si="200"/>
        <v>0</v>
      </c>
      <c r="AA1844" s="473">
        <f t="shared" si="201"/>
        <v>0</v>
      </c>
      <c r="AB1844" s="339">
        <f t="shared" si="202"/>
        <v>0</v>
      </c>
    </row>
    <row r="1845" spans="2:28" ht="20.100000000000001" customHeight="1">
      <c r="B1845" s="172"/>
      <c r="C1845" s="174"/>
      <c r="D1845" s="181"/>
      <c r="E1845" s="173"/>
      <c r="F1845" s="176"/>
      <c r="G1845" s="175">
        <f t="shared" si="193"/>
        <v>0</v>
      </c>
      <c r="H1845" s="175">
        <f t="shared" si="194"/>
        <v>0</v>
      </c>
      <c r="I1845" s="177">
        <f>IF(G1845=0,0,IF(E1845="MXN",1/HLOOKUP(YEAR(C1845)+(MONTH(C1845)/100),TC!$5:$37,DAY(C1845)+2,FALSE),VLOOKUP(E1845,Equivalencia!$5:$23,((MAX(Equivalencia!$3:$3)-YEAR(C1845))*14)+MONTH(C1845)+2,FALSE)))</f>
        <v>0</v>
      </c>
      <c r="J1845" s="178">
        <f t="shared" si="195"/>
        <v>0</v>
      </c>
      <c r="K1845" s="462">
        <f>IF(C1845=0,0,VLOOKUP(YEAR(C1845),INPC!$B$4:$O$29,MONTH(C1845)+1))</f>
        <v>0</v>
      </c>
      <c r="L1845" s="462">
        <f>IF(S1845=0,0,VLOOKUP(YEAR(S1845),INPC!$B$4:$O$29,MONTH(S1845)+1))</f>
        <v>0</v>
      </c>
      <c r="M1845" s="463">
        <f t="shared" si="196"/>
        <v>0</v>
      </c>
      <c r="N1845" s="465">
        <f t="shared" si="197"/>
        <v>0</v>
      </c>
      <c r="O1845" s="179"/>
      <c r="P1845" s="180"/>
      <c r="Q1845" s="173"/>
      <c r="R1845" s="173"/>
      <c r="S1845" s="174"/>
      <c r="T1845" s="173"/>
      <c r="U1845" s="182"/>
      <c r="V1845" s="177">
        <f>IF(U1845=0,0,IF(T1845="MXN",1/HLOOKUP(YEAR(S1845)+(MONTH(S1845)/100),TC!$5:$37,DAY(S1845)+2,FALSE),VLOOKUP(T1845,Equivalencia!$1:$23,((MAX(Equivalencia!$3:$3)-YEAR(S1845))*14)+MONTH(S1845)+2,FALSE)))</f>
        <v>0</v>
      </c>
      <c r="W1845" s="178">
        <f t="shared" si="198"/>
        <v>0</v>
      </c>
      <c r="X1845" s="481">
        <f t="shared" si="199"/>
        <v>0</v>
      </c>
      <c r="Y1845" s="179"/>
      <c r="Z1845" s="466">
        <f t="shared" si="200"/>
        <v>0</v>
      </c>
      <c r="AA1845" s="473">
        <f t="shared" si="201"/>
        <v>0</v>
      </c>
      <c r="AB1845" s="339">
        <f t="shared" si="202"/>
        <v>0</v>
      </c>
    </row>
    <row r="1846" spans="2:28" ht="20.100000000000001" customHeight="1">
      <c r="B1846" s="172"/>
      <c r="C1846" s="174"/>
      <c r="D1846" s="181"/>
      <c r="E1846" s="173"/>
      <c r="F1846" s="176"/>
      <c r="G1846" s="175">
        <f t="shared" si="193"/>
        <v>0</v>
      </c>
      <c r="H1846" s="175">
        <f t="shared" si="194"/>
        <v>0</v>
      </c>
      <c r="I1846" s="177">
        <f>IF(G1846=0,0,IF(E1846="MXN",1/HLOOKUP(YEAR(C1846)+(MONTH(C1846)/100),TC!$5:$37,DAY(C1846)+2,FALSE),VLOOKUP(E1846,Equivalencia!$5:$23,((MAX(Equivalencia!$3:$3)-YEAR(C1846))*14)+MONTH(C1846)+2,FALSE)))</f>
        <v>0</v>
      </c>
      <c r="J1846" s="178">
        <f t="shared" si="195"/>
        <v>0</v>
      </c>
      <c r="K1846" s="462">
        <f>IF(C1846=0,0,VLOOKUP(YEAR(C1846),INPC!$B$4:$O$29,MONTH(C1846)+1))</f>
        <v>0</v>
      </c>
      <c r="L1846" s="462">
        <f>IF(S1846=0,0,VLOOKUP(YEAR(S1846),INPC!$B$4:$O$29,MONTH(S1846)+1))</f>
        <v>0</v>
      </c>
      <c r="M1846" s="463">
        <f t="shared" si="196"/>
        <v>0</v>
      </c>
      <c r="N1846" s="465">
        <f t="shared" si="197"/>
        <v>0</v>
      </c>
      <c r="O1846" s="179"/>
      <c r="P1846" s="180"/>
      <c r="Q1846" s="173"/>
      <c r="R1846" s="173"/>
      <c r="S1846" s="174"/>
      <c r="T1846" s="173"/>
      <c r="U1846" s="182"/>
      <c r="V1846" s="177">
        <f>IF(U1846=0,0,IF(T1846="MXN",1/HLOOKUP(YEAR(S1846)+(MONTH(S1846)/100),TC!$5:$37,DAY(S1846)+2,FALSE),VLOOKUP(T1846,Equivalencia!$1:$23,((MAX(Equivalencia!$3:$3)-YEAR(S1846))*14)+MONTH(S1846)+2,FALSE)))</f>
        <v>0</v>
      </c>
      <c r="W1846" s="178">
        <f t="shared" si="198"/>
        <v>0</v>
      </c>
      <c r="X1846" s="481">
        <f t="shared" si="199"/>
        <v>0</v>
      </c>
      <c r="Y1846" s="179"/>
      <c r="Z1846" s="466">
        <f t="shared" si="200"/>
        <v>0</v>
      </c>
      <c r="AA1846" s="473">
        <f t="shared" si="201"/>
        <v>0</v>
      </c>
      <c r="AB1846" s="339">
        <f t="shared" si="202"/>
        <v>0</v>
      </c>
    </row>
    <row r="1847" spans="2:28" ht="20.100000000000001" customHeight="1">
      <c r="B1847" s="172"/>
      <c r="C1847" s="174"/>
      <c r="D1847" s="181"/>
      <c r="E1847" s="173"/>
      <c r="F1847" s="176"/>
      <c r="G1847" s="175">
        <f t="shared" si="193"/>
        <v>0</v>
      </c>
      <c r="H1847" s="175">
        <f t="shared" si="194"/>
        <v>0</v>
      </c>
      <c r="I1847" s="177">
        <f>IF(G1847=0,0,IF(E1847="MXN",1/HLOOKUP(YEAR(C1847)+(MONTH(C1847)/100),TC!$5:$37,DAY(C1847)+2,FALSE),VLOOKUP(E1847,Equivalencia!$5:$23,((MAX(Equivalencia!$3:$3)-YEAR(C1847))*14)+MONTH(C1847)+2,FALSE)))</f>
        <v>0</v>
      </c>
      <c r="J1847" s="178">
        <f t="shared" si="195"/>
        <v>0</v>
      </c>
      <c r="K1847" s="462">
        <f>IF(C1847=0,0,VLOOKUP(YEAR(C1847),INPC!$B$4:$O$29,MONTH(C1847)+1))</f>
        <v>0</v>
      </c>
      <c r="L1847" s="462">
        <f>IF(S1847=0,0,VLOOKUP(YEAR(S1847),INPC!$B$4:$O$29,MONTH(S1847)+1))</f>
        <v>0</v>
      </c>
      <c r="M1847" s="463">
        <f t="shared" si="196"/>
        <v>0</v>
      </c>
      <c r="N1847" s="465">
        <f t="shared" si="197"/>
        <v>0</v>
      </c>
      <c r="O1847" s="179"/>
      <c r="P1847" s="180"/>
      <c r="Q1847" s="173"/>
      <c r="R1847" s="173"/>
      <c r="S1847" s="174"/>
      <c r="T1847" s="173"/>
      <c r="U1847" s="182"/>
      <c r="V1847" s="177">
        <f>IF(U1847=0,0,IF(T1847="MXN",1/HLOOKUP(YEAR(S1847)+(MONTH(S1847)/100),TC!$5:$37,DAY(S1847)+2,FALSE),VLOOKUP(T1847,Equivalencia!$1:$23,((MAX(Equivalencia!$3:$3)-YEAR(S1847))*14)+MONTH(S1847)+2,FALSE)))</f>
        <v>0</v>
      </c>
      <c r="W1847" s="178">
        <f t="shared" si="198"/>
        <v>0</v>
      </c>
      <c r="X1847" s="481">
        <f t="shared" si="199"/>
        <v>0</v>
      </c>
      <c r="Y1847" s="179"/>
      <c r="Z1847" s="466">
        <f t="shared" si="200"/>
        <v>0</v>
      </c>
      <c r="AA1847" s="473">
        <f t="shared" si="201"/>
        <v>0</v>
      </c>
      <c r="AB1847" s="339">
        <f t="shared" si="202"/>
        <v>0</v>
      </c>
    </row>
    <row r="1848" spans="2:28" ht="20.100000000000001" customHeight="1">
      <c r="B1848" s="172"/>
      <c r="C1848" s="174"/>
      <c r="D1848" s="181"/>
      <c r="E1848" s="173"/>
      <c r="F1848" s="176"/>
      <c r="G1848" s="175">
        <f t="shared" si="193"/>
        <v>0</v>
      </c>
      <c r="H1848" s="175">
        <f t="shared" si="194"/>
        <v>0</v>
      </c>
      <c r="I1848" s="177">
        <f>IF(G1848=0,0,IF(E1848="MXN",1/HLOOKUP(YEAR(C1848)+(MONTH(C1848)/100),TC!$5:$37,DAY(C1848)+2,FALSE),VLOOKUP(E1848,Equivalencia!$5:$23,((MAX(Equivalencia!$3:$3)-YEAR(C1848))*14)+MONTH(C1848)+2,FALSE)))</f>
        <v>0</v>
      </c>
      <c r="J1848" s="178">
        <f t="shared" si="195"/>
        <v>0</v>
      </c>
      <c r="K1848" s="462">
        <f>IF(C1848=0,0,VLOOKUP(YEAR(C1848),INPC!$B$4:$O$29,MONTH(C1848)+1))</f>
        <v>0</v>
      </c>
      <c r="L1848" s="462">
        <f>IF(S1848=0,0,VLOOKUP(YEAR(S1848),INPC!$B$4:$O$29,MONTH(S1848)+1))</f>
        <v>0</v>
      </c>
      <c r="M1848" s="463">
        <f t="shared" si="196"/>
        <v>0</v>
      </c>
      <c r="N1848" s="465">
        <f t="shared" si="197"/>
        <v>0</v>
      </c>
      <c r="O1848" s="179"/>
      <c r="P1848" s="180"/>
      <c r="Q1848" s="173"/>
      <c r="R1848" s="173"/>
      <c r="S1848" s="174"/>
      <c r="T1848" s="173"/>
      <c r="U1848" s="182"/>
      <c r="V1848" s="177">
        <f>IF(U1848=0,0,IF(T1848="MXN",1/HLOOKUP(YEAR(S1848)+(MONTH(S1848)/100),TC!$5:$37,DAY(S1848)+2,FALSE),VLOOKUP(T1848,Equivalencia!$1:$23,((MAX(Equivalencia!$3:$3)-YEAR(S1848))*14)+MONTH(S1848)+2,FALSE)))</f>
        <v>0</v>
      </c>
      <c r="W1848" s="178">
        <f t="shared" si="198"/>
        <v>0</v>
      </c>
      <c r="X1848" s="481">
        <f t="shared" si="199"/>
        <v>0</v>
      </c>
      <c r="Y1848" s="179"/>
      <c r="Z1848" s="466">
        <f t="shared" si="200"/>
        <v>0</v>
      </c>
      <c r="AA1848" s="473">
        <f t="shared" si="201"/>
        <v>0</v>
      </c>
      <c r="AB1848" s="339">
        <f t="shared" si="202"/>
        <v>0</v>
      </c>
    </row>
    <row r="1849" spans="2:28" ht="20.100000000000001" customHeight="1">
      <c r="B1849" s="172"/>
      <c r="C1849" s="174"/>
      <c r="D1849" s="181"/>
      <c r="E1849" s="173"/>
      <c r="F1849" s="176"/>
      <c r="G1849" s="175">
        <f t="shared" si="193"/>
        <v>0</v>
      </c>
      <c r="H1849" s="175">
        <f t="shared" si="194"/>
        <v>0</v>
      </c>
      <c r="I1849" s="177">
        <f>IF(G1849=0,0,IF(E1849="MXN",1/HLOOKUP(YEAR(C1849)+(MONTH(C1849)/100),TC!$5:$37,DAY(C1849)+2,FALSE),VLOOKUP(E1849,Equivalencia!$5:$23,((MAX(Equivalencia!$3:$3)-YEAR(C1849))*14)+MONTH(C1849)+2,FALSE)))</f>
        <v>0</v>
      </c>
      <c r="J1849" s="178">
        <f t="shared" si="195"/>
        <v>0</v>
      </c>
      <c r="K1849" s="462">
        <f>IF(C1849=0,0,VLOOKUP(YEAR(C1849),INPC!$B$4:$O$29,MONTH(C1849)+1))</f>
        <v>0</v>
      </c>
      <c r="L1849" s="462">
        <f>IF(S1849=0,0,VLOOKUP(YEAR(S1849),INPC!$B$4:$O$29,MONTH(S1849)+1))</f>
        <v>0</v>
      </c>
      <c r="M1849" s="463">
        <f t="shared" si="196"/>
        <v>0</v>
      </c>
      <c r="N1849" s="465">
        <f t="shared" si="197"/>
        <v>0</v>
      </c>
      <c r="O1849" s="179"/>
      <c r="P1849" s="180"/>
      <c r="Q1849" s="173"/>
      <c r="R1849" s="173"/>
      <c r="S1849" s="174"/>
      <c r="T1849" s="173"/>
      <c r="U1849" s="182"/>
      <c r="V1849" s="177">
        <f>IF(U1849=0,0,IF(T1849="MXN",1/HLOOKUP(YEAR(S1849)+(MONTH(S1849)/100),TC!$5:$37,DAY(S1849)+2,FALSE),VLOOKUP(T1849,Equivalencia!$1:$23,((MAX(Equivalencia!$3:$3)-YEAR(S1849))*14)+MONTH(S1849)+2,FALSE)))</f>
        <v>0</v>
      </c>
      <c r="W1849" s="178">
        <f t="shared" si="198"/>
        <v>0</v>
      </c>
      <c r="X1849" s="481">
        <f t="shared" si="199"/>
        <v>0</v>
      </c>
      <c r="Y1849" s="179"/>
      <c r="Z1849" s="466">
        <f t="shared" si="200"/>
        <v>0</v>
      </c>
      <c r="AA1849" s="473">
        <f t="shared" si="201"/>
        <v>0</v>
      </c>
      <c r="AB1849" s="339">
        <f t="shared" si="202"/>
        <v>0</v>
      </c>
    </row>
    <row r="1850" spans="2:28" ht="20.100000000000001" customHeight="1">
      <c r="B1850" s="172"/>
      <c r="C1850" s="174"/>
      <c r="D1850" s="181"/>
      <c r="E1850" s="173"/>
      <c r="F1850" s="176"/>
      <c r="G1850" s="175">
        <f t="shared" si="193"/>
        <v>0</v>
      </c>
      <c r="H1850" s="175">
        <f t="shared" si="194"/>
        <v>0</v>
      </c>
      <c r="I1850" s="177">
        <f>IF(G1850=0,0,IF(E1850="MXN",1/HLOOKUP(YEAR(C1850)+(MONTH(C1850)/100),TC!$5:$37,DAY(C1850)+2,FALSE),VLOOKUP(E1850,Equivalencia!$5:$23,((MAX(Equivalencia!$3:$3)-YEAR(C1850))*14)+MONTH(C1850)+2,FALSE)))</f>
        <v>0</v>
      </c>
      <c r="J1850" s="178">
        <f t="shared" si="195"/>
        <v>0</v>
      </c>
      <c r="K1850" s="462">
        <f>IF(C1850=0,0,VLOOKUP(YEAR(C1850),INPC!$B$4:$O$29,MONTH(C1850)+1))</f>
        <v>0</v>
      </c>
      <c r="L1850" s="462">
        <f>IF(S1850=0,0,VLOOKUP(YEAR(S1850),INPC!$B$4:$O$29,MONTH(S1850)+1))</f>
        <v>0</v>
      </c>
      <c r="M1850" s="463">
        <f t="shared" si="196"/>
        <v>0</v>
      </c>
      <c r="N1850" s="465">
        <f t="shared" si="197"/>
        <v>0</v>
      </c>
      <c r="O1850" s="179"/>
      <c r="P1850" s="180"/>
      <c r="Q1850" s="173"/>
      <c r="R1850" s="173"/>
      <c r="S1850" s="174"/>
      <c r="T1850" s="173"/>
      <c r="U1850" s="182"/>
      <c r="V1850" s="177">
        <f>IF(U1850=0,0,IF(T1850="MXN",1/HLOOKUP(YEAR(S1850)+(MONTH(S1850)/100),TC!$5:$37,DAY(S1850)+2,FALSE),VLOOKUP(T1850,Equivalencia!$1:$23,((MAX(Equivalencia!$3:$3)-YEAR(S1850))*14)+MONTH(S1850)+2,FALSE)))</f>
        <v>0</v>
      </c>
      <c r="W1850" s="178">
        <f t="shared" si="198"/>
        <v>0</v>
      </c>
      <c r="X1850" s="481">
        <f t="shared" si="199"/>
        <v>0</v>
      </c>
      <c r="Y1850" s="179"/>
      <c r="Z1850" s="466">
        <f t="shared" si="200"/>
        <v>0</v>
      </c>
      <c r="AA1850" s="473">
        <f t="shared" si="201"/>
        <v>0</v>
      </c>
      <c r="AB1850" s="339">
        <f t="shared" si="202"/>
        <v>0</v>
      </c>
    </row>
    <row r="1851" spans="2:28" ht="20.100000000000001" customHeight="1">
      <c r="B1851" s="172"/>
      <c r="C1851" s="174"/>
      <c r="D1851" s="181"/>
      <c r="E1851" s="173"/>
      <c r="F1851" s="176"/>
      <c r="G1851" s="175">
        <f t="shared" si="193"/>
        <v>0</v>
      </c>
      <c r="H1851" s="175">
        <f t="shared" si="194"/>
        <v>0</v>
      </c>
      <c r="I1851" s="177">
        <f>IF(G1851=0,0,IF(E1851="MXN",1/HLOOKUP(YEAR(C1851)+(MONTH(C1851)/100),TC!$5:$37,DAY(C1851)+2,FALSE),VLOOKUP(E1851,Equivalencia!$5:$23,((MAX(Equivalencia!$3:$3)-YEAR(C1851))*14)+MONTH(C1851)+2,FALSE)))</f>
        <v>0</v>
      </c>
      <c r="J1851" s="178">
        <f t="shared" si="195"/>
        <v>0</v>
      </c>
      <c r="K1851" s="462">
        <f>IF(C1851=0,0,VLOOKUP(YEAR(C1851),INPC!$B$4:$O$29,MONTH(C1851)+1))</f>
        <v>0</v>
      </c>
      <c r="L1851" s="462">
        <f>IF(S1851=0,0,VLOOKUP(YEAR(S1851),INPC!$B$4:$O$29,MONTH(S1851)+1))</f>
        <v>0</v>
      </c>
      <c r="M1851" s="463">
        <f t="shared" si="196"/>
        <v>0</v>
      </c>
      <c r="N1851" s="465">
        <f t="shared" si="197"/>
        <v>0</v>
      </c>
      <c r="O1851" s="179"/>
      <c r="P1851" s="180"/>
      <c r="Q1851" s="173"/>
      <c r="R1851" s="173"/>
      <c r="S1851" s="174"/>
      <c r="T1851" s="173"/>
      <c r="U1851" s="182"/>
      <c r="V1851" s="177">
        <f>IF(U1851=0,0,IF(T1851="MXN",1/HLOOKUP(YEAR(S1851)+(MONTH(S1851)/100),TC!$5:$37,DAY(S1851)+2,FALSE),VLOOKUP(T1851,Equivalencia!$1:$23,((MAX(Equivalencia!$3:$3)-YEAR(S1851))*14)+MONTH(S1851)+2,FALSE)))</f>
        <v>0</v>
      </c>
      <c r="W1851" s="178">
        <f t="shared" si="198"/>
        <v>0</v>
      </c>
      <c r="X1851" s="481">
        <f t="shared" si="199"/>
        <v>0</v>
      </c>
      <c r="Y1851" s="179"/>
      <c r="Z1851" s="466">
        <f t="shared" si="200"/>
        <v>0</v>
      </c>
      <c r="AA1851" s="473">
        <f t="shared" si="201"/>
        <v>0</v>
      </c>
      <c r="AB1851" s="339">
        <f t="shared" si="202"/>
        <v>0</v>
      </c>
    </row>
    <row r="1852" spans="2:28" ht="20.100000000000001" customHeight="1">
      <c r="B1852" s="172"/>
      <c r="C1852" s="174"/>
      <c r="D1852" s="181"/>
      <c r="E1852" s="173"/>
      <c r="F1852" s="176"/>
      <c r="G1852" s="175">
        <f t="shared" si="193"/>
        <v>0</v>
      </c>
      <c r="H1852" s="175">
        <f t="shared" si="194"/>
        <v>0</v>
      </c>
      <c r="I1852" s="177">
        <f>IF(G1852=0,0,IF(E1852="MXN",1/HLOOKUP(YEAR(C1852)+(MONTH(C1852)/100),TC!$5:$37,DAY(C1852)+2,FALSE),VLOOKUP(E1852,Equivalencia!$5:$23,((MAX(Equivalencia!$3:$3)-YEAR(C1852))*14)+MONTH(C1852)+2,FALSE)))</f>
        <v>0</v>
      </c>
      <c r="J1852" s="178">
        <f t="shared" si="195"/>
        <v>0</v>
      </c>
      <c r="K1852" s="462">
        <f>IF(C1852=0,0,VLOOKUP(YEAR(C1852),INPC!$B$4:$O$29,MONTH(C1852)+1))</f>
        <v>0</v>
      </c>
      <c r="L1852" s="462">
        <f>IF(S1852=0,0,VLOOKUP(YEAR(S1852),INPC!$B$4:$O$29,MONTH(S1852)+1))</f>
        <v>0</v>
      </c>
      <c r="M1852" s="463">
        <f t="shared" si="196"/>
        <v>0</v>
      </c>
      <c r="N1852" s="465">
        <f t="shared" si="197"/>
        <v>0</v>
      </c>
      <c r="O1852" s="179"/>
      <c r="P1852" s="180"/>
      <c r="Q1852" s="173"/>
      <c r="R1852" s="173"/>
      <c r="S1852" s="174"/>
      <c r="T1852" s="173"/>
      <c r="U1852" s="182"/>
      <c r="V1852" s="177">
        <f>IF(U1852=0,0,IF(T1852="MXN",1/HLOOKUP(YEAR(S1852)+(MONTH(S1852)/100),TC!$5:$37,DAY(S1852)+2,FALSE),VLOOKUP(T1852,Equivalencia!$1:$23,((MAX(Equivalencia!$3:$3)-YEAR(S1852))*14)+MONTH(S1852)+2,FALSE)))</f>
        <v>0</v>
      </c>
      <c r="W1852" s="178">
        <f t="shared" si="198"/>
        <v>0</v>
      </c>
      <c r="X1852" s="481">
        <f t="shared" si="199"/>
        <v>0</v>
      </c>
      <c r="Y1852" s="179"/>
      <c r="Z1852" s="466">
        <f t="shared" si="200"/>
        <v>0</v>
      </c>
      <c r="AA1852" s="473">
        <f t="shared" si="201"/>
        <v>0</v>
      </c>
      <c r="AB1852" s="339">
        <f t="shared" si="202"/>
        <v>0</v>
      </c>
    </row>
    <row r="1853" spans="2:28" ht="20.100000000000001" customHeight="1">
      <c r="B1853" s="172"/>
      <c r="C1853" s="174"/>
      <c r="D1853" s="181"/>
      <c r="E1853" s="173"/>
      <c r="F1853" s="176"/>
      <c r="G1853" s="175">
        <f t="shared" si="193"/>
        <v>0</v>
      </c>
      <c r="H1853" s="175">
        <f t="shared" si="194"/>
        <v>0</v>
      </c>
      <c r="I1853" s="177">
        <f>IF(G1853=0,0,IF(E1853="MXN",1/HLOOKUP(YEAR(C1853)+(MONTH(C1853)/100),TC!$5:$37,DAY(C1853)+2,FALSE),VLOOKUP(E1853,Equivalencia!$5:$23,((MAX(Equivalencia!$3:$3)-YEAR(C1853))*14)+MONTH(C1853)+2,FALSE)))</f>
        <v>0</v>
      </c>
      <c r="J1853" s="178">
        <f t="shared" si="195"/>
        <v>0</v>
      </c>
      <c r="K1853" s="462">
        <f>IF(C1853=0,0,VLOOKUP(YEAR(C1853),INPC!$B$4:$O$29,MONTH(C1853)+1))</f>
        <v>0</v>
      </c>
      <c r="L1853" s="462">
        <f>IF(S1853=0,0,VLOOKUP(YEAR(S1853),INPC!$B$4:$O$29,MONTH(S1853)+1))</f>
        <v>0</v>
      </c>
      <c r="M1853" s="463">
        <f t="shared" si="196"/>
        <v>0</v>
      </c>
      <c r="N1853" s="465">
        <f t="shared" si="197"/>
        <v>0</v>
      </c>
      <c r="O1853" s="179"/>
      <c r="P1853" s="180"/>
      <c r="Q1853" s="173"/>
      <c r="R1853" s="173"/>
      <c r="S1853" s="174"/>
      <c r="T1853" s="173"/>
      <c r="U1853" s="182"/>
      <c r="V1853" s="177">
        <f>IF(U1853=0,0,IF(T1853="MXN",1/HLOOKUP(YEAR(S1853)+(MONTH(S1853)/100),TC!$5:$37,DAY(S1853)+2,FALSE),VLOOKUP(T1853,Equivalencia!$1:$23,((MAX(Equivalencia!$3:$3)-YEAR(S1853))*14)+MONTH(S1853)+2,FALSE)))</f>
        <v>0</v>
      </c>
      <c r="W1853" s="178">
        <f t="shared" si="198"/>
        <v>0</v>
      </c>
      <c r="X1853" s="481">
        <f t="shared" si="199"/>
        <v>0</v>
      </c>
      <c r="Y1853" s="179"/>
      <c r="Z1853" s="466">
        <f t="shared" si="200"/>
        <v>0</v>
      </c>
      <c r="AA1853" s="473">
        <f t="shared" si="201"/>
        <v>0</v>
      </c>
      <c r="AB1853" s="339">
        <f t="shared" si="202"/>
        <v>0</v>
      </c>
    </row>
    <row r="1854" spans="2:28" ht="20.100000000000001" customHeight="1">
      <c r="B1854" s="172"/>
      <c r="C1854" s="174"/>
      <c r="D1854" s="181"/>
      <c r="E1854" s="173"/>
      <c r="F1854" s="176"/>
      <c r="G1854" s="175">
        <f t="shared" si="193"/>
        <v>0</v>
      </c>
      <c r="H1854" s="175">
        <f t="shared" si="194"/>
        <v>0</v>
      </c>
      <c r="I1854" s="177">
        <f>IF(G1854=0,0,IF(E1854="MXN",1/HLOOKUP(YEAR(C1854)+(MONTH(C1854)/100),TC!$5:$37,DAY(C1854)+2,FALSE),VLOOKUP(E1854,Equivalencia!$5:$23,((MAX(Equivalencia!$3:$3)-YEAR(C1854))*14)+MONTH(C1854)+2,FALSE)))</f>
        <v>0</v>
      </c>
      <c r="J1854" s="178">
        <f t="shared" si="195"/>
        <v>0</v>
      </c>
      <c r="K1854" s="462">
        <f>IF(C1854=0,0,VLOOKUP(YEAR(C1854),INPC!$B$4:$O$29,MONTH(C1854)+1))</f>
        <v>0</v>
      </c>
      <c r="L1854" s="462">
        <f>IF(S1854=0,0,VLOOKUP(YEAR(S1854),INPC!$B$4:$O$29,MONTH(S1854)+1))</f>
        <v>0</v>
      </c>
      <c r="M1854" s="463">
        <f t="shared" si="196"/>
        <v>0</v>
      </c>
      <c r="N1854" s="465">
        <f t="shared" si="197"/>
        <v>0</v>
      </c>
      <c r="O1854" s="179"/>
      <c r="P1854" s="180"/>
      <c r="Q1854" s="173"/>
      <c r="R1854" s="173"/>
      <c r="S1854" s="174"/>
      <c r="T1854" s="173"/>
      <c r="U1854" s="182"/>
      <c r="V1854" s="177">
        <f>IF(U1854=0,0,IF(T1854="MXN",1/HLOOKUP(YEAR(S1854)+(MONTH(S1854)/100),TC!$5:$37,DAY(S1854)+2,FALSE),VLOOKUP(T1854,Equivalencia!$1:$23,((MAX(Equivalencia!$3:$3)-YEAR(S1854))*14)+MONTH(S1854)+2,FALSE)))</f>
        <v>0</v>
      </c>
      <c r="W1854" s="178">
        <f t="shared" si="198"/>
        <v>0</v>
      </c>
      <c r="X1854" s="481">
        <f t="shared" si="199"/>
        <v>0</v>
      </c>
      <c r="Y1854" s="179"/>
      <c r="Z1854" s="466">
        <f t="shared" si="200"/>
        <v>0</v>
      </c>
      <c r="AA1854" s="473">
        <f t="shared" si="201"/>
        <v>0</v>
      </c>
      <c r="AB1854" s="339">
        <f t="shared" si="202"/>
        <v>0</v>
      </c>
    </row>
    <row r="1855" spans="2:28" ht="20.100000000000001" customHeight="1">
      <c r="B1855" s="172"/>
      <c r="C1855" s="174"/>
      <c r="D1855" s="181"/>
      <c r="E1855" s="173"/>
      <c r="F1855" s="176"/>
      <c r="G1855" s="175">
        <f t="shared" si="193"/>
        <v>0</v>
      </c>
      <c r="H1855" s="175">
        <f t="shared" si="194"/>
        <v>0</v>
      </c>
      <c r="I1855" s="177">
        <f>IF(G1855=0,0,IF(E1855="MXN",1/HLOOKUP(YEAR(C1855)+(MONTH(C1855)/100),TC!$5:$37,DAY(C1855)+2,FALSE),VLOOKUP(E1855,Equivalencia!$5:$23,((MAX(Equivalencia!$3:$3)-YEAR(C1855))*14)+MONTH(C1855)+2,FALSE)))</f>
        <v>0</v>
      </c>
      <c r="J1855" s="178">
        <f t="shared" si="195"/>
        <v>0</v>
      </c>
      <c r="K1855" s="462">
        <f>IF(C1855=0,0,VLOOKUP(YEAR(C1855),INPC!$B$4:$O$29,MONTH(C1855)+1))</f>
        <v>0</v>
      </c>
      <c r="L1855" s="462">
        <f>IF(S1855=0,0,VLOOKUP(YEAR(S1855),INPC!$B$4:$O$29,MONTH(S1855)+1))</f>
        <v>0</v>
      </c>
      <c r="M1855" s="463">
        <f t="shared" si="196"/>
        <v>0</v>
      </c>
      <c r="N1855" s="465">
        <f t="shared" si="197"/>
        <v>0</v>
      </c>
      <c r="O1855" s="179"/>
      <c r="P1855" s="180"/>
      <c r="Q1855" s="173"/>
      <c r="R1855" s="173"/>
      <c r="S1855" s="174"/>
      <c r="T1855" s="173"/>
      <c r="U1855" s="182"/>
      <c r="V1855" s="177">
        <f>IF(U1855=0,0,IF(T1855="MXN",1/HLOOKUP(YEAR(S1855)+(MONTH(S1855)/100),TC!$5:$37,DAY(S1855)+2,FALSE),VLOOKUP(T1855,Equivalencia!$1:$23,((MAX(Equivalencia!$3:$3)-YEAR(S1855))*14)+MONTH(S1855)+2,FALSE)))</f>
        <v>0</v>
      </c>
      <c r="W1855" s="178">
        <f t="shared" si="198"/>
        <v>0</v>
      </c>
      <c r="X1855" s="481">
        <f t="shared" si="199"/>
        <v>0</v>
      </c>
      <c r="Y1855" s="179"/>
      <c r="Z1855" s="466">
        <f t="shared" si="200"/>
        <v>0</v>
      </c>
      <c r="AA1855" s="473">
        <f t="shared" si="201"/>
        <v>0</v>
      </c>
      <c r="AB1855" s="339">
        <f t="shared" si="202"/>
        <v>0</v>
      </c>
    </row>
    <row r="1856" spans="2:28" ht="20.100000000000001" customHeight="1">
      <c r="B1856" s="172"/>
      <c r="C1856" s="174"/>
      <c r="D1856" s="181"/>
      <c r="E1856" s="173"/>
      <c r="F1856" s="176"/>
      <c r="G1856" s="175">
        <f t="shared" si="193"/>
        <v>0</v>
      </c>
      <c r="H1856" s="175">
        <f t="shared" si="194"/>
        <v>0</v>
      </c>
      <c r="I1856" s="177">
        <f>IF(G1856=0,0,IF(E1856="MXN",1/HLOOKUP(YEAR(C1856)+(MONTH(C1856)/100),TC!$5:$37,DAY(C1856)+2,FALSE),VLOOKUP(E1856,Equivalencia!$5:$23,((MAX(Equivalencia!$3:$3)-YEAR(C1856))*14)+MONTH(C1856)+2,FALSE)))</f>
        <v>0</v>
      </c>
      <c r="J1856" s="178">
        <f t="shared" si="195"/>
        <v>0</v>
      </c>
      <c r="K1856" s="462">
        <f>IF(C1856=0,0,VLOOKUP(YEAR(C1856),INPC!$B$4:$O$29,MONTH(C1856)+1))</f>
        <v>0</v>
      </c>
      <c r="L1856" s="462">
        <f>IF(S1856=0,0,VLOOKUP(YEAR(S1856),INPC!$B$4:$O$29,MONTH(S1856)+1))</f>
        <v>0</v>
      </c>
      <c r="M1856" s="463">
        <f t="shared" si="196"/>
        <v>0</v>
      </c>
      <c r="N1856" s="465">
        <f t="shared" si="197"/>
        <v>0</v>
      </c>
      <c r="O1856" s="179"/>
      <c r="P1856" s="180"/>
      <c r="Q1856" s="173"/>
      <c r="R1856" s="173"/>
      <c r="S1856" s="174"/>
      <c r="T1856" s="173"/>
      <c r="U1856" s="182"/>
      <c r="V1856" s="177">
        <f>IF(U1856=0,0,IF(T1856="MXN",1/HLOOKUP(YEAR(S1856)+(MONTH(S1856)/100),TC!$5:$37,DAY(S1856)+2,FALSE),VLOOKUP(T1856,Equivalencia!$1:$23,((MAX(Equivalencia!$3:$3)-YEAR(S1856))*14)+MONTH(S1856)+2,FALSE)))</f>
        <v>0</v>
      </c>
      <c r="W1856" s="178">
        <f t="shared" si="198"/>
        <v>0</v>
      </c>
      <c r="X1856" s="481">
        <f t="shared" si="199"/>
        <v>0</v>
      </c>
      <c r="Y1856" s="179"/>
      <c r="Z1856" s="466">
        <f t="shared" si="200"/>
        <v>0</v>
      </c>
      <c r="AA1856" s="473">
        <f t="shared" si="201"/>
        <v>0</v>
      </c>
      <c r="AB1856" s="339">
        <f t="shared" si="202"/>
        <v>0</v>
      </c>
    </row>
    <row r="1857" spans="2:28" ht="20.100000000000001" customHeight="1">
      <c r="B1857" s="172"/>
      <c r="C1857" s="174"/>
      <c r="D1857" s="181"/>
      <c r="E1857" s="173"/>
      <c r="F1857" s="176"/>
      <c r="G1857" s="175">
        <f t="shared" si="193"/>
        <v>0</v>
      </c>
      <c r="H1857" s="175">
        <f t="shared" si="194"/>
        <v>0</v>
      </c>
      <c r="I1857" s="177">
        <f>IF(G1857=0,0,IF(E1857="MXN",1/HLOOKUP(YEAR(C1857)+(MONTH(C1857)/100),TC!$5:$37,DAY(C1857)+2,FALSE),VLOOKUP(E1857,Equivalencia!$5:$23,((MAX(Equivalencia!$3:$3)-YEAR(C1857))*14)+MONTH(C1857)+2,FALSE)))</f>
        <v>0</v>
      </c>
      <c r="J1857" s="178">
        <f t="shared" si="195"/>
        <v>0</v>
      </c>
      <c r="K1857" s="462">
        <f>IF(C1857=0,0,VLOOKUP(YEAR(C1857),INPC!$B$4:$O$29,MONTH(C1857)+1))</f>
        <v>0</v>
      </c>
      <c r="L1857" s="462">
        <f>IF(S1857=0,0,VLOOKUP(YEAR(S1857),INPC!$B$4:$O$29,MONTH(S1857)+1))</f>
        <v>0</v>
      </c>
      <c r="M1857" s="463">
        <f t="shared" si="196"/>
        <v>0</v>
      </c>
      <c r="N1857" s="465">
        <f t="shared" si="197"/>
        <v>0</v>
      </c>
      <c r="O1857" s="179"/>
      <c r="P1857" s="180"/>
      <c r="Q1857" s="173"/>
      <c r="R1857" s="173"/>
      <c r="S1857" s="174"/>
      <c r="T1857" s="173"/>
      <c r="U1857" s="182"/>
      <c r="V1857" s="177">
        <f>IF(U1857=0,0,IF(T1857="MXN",1/HLOOKUP(YEAR(S1857)+(MONTH(S1857)/100),TC!$5:$37,DAY(S1857)+2,FALSE),VLOOKUP(T1857,Equivalencia!$1:$23,((MAX(Equivalencia!$3:$3)-YEAR(S1857))*14)+MONTH(S1857)+2,FALSE)))</f>
        <v>0</v>
      </c>
      <c r="W1857" s="178">
        <f t="shared" si="198"/>
        <v>0</v>
      </c>
      <c r="X1857" s="481">
        <f t="shared" si="199"/>
        <v>0</v>
      </c>
      <c r="Y1857" s="179"/>
      <c r="Z1857" s="466">
        <f t="shared" si="200"/>
        <v>0</v>
      </c>
      <c r="AA1857" s="473">
        <f t="shared" si="201"/>
        <v>0</v>
      </c>
      <c r="AB1857" s="339">
        <f t="shared" si="202"/>
        <v>0</v>
      </c>
    </row>
    <row r="1858" spans="2:28" ht="20.100000000000001" customHeight="1">
      <c r="B1858" s="172"/>
      <c r="C1858" s="174"/>
      <c r="D1858" s="181"/>
      <c r="E1858" s="173"/>
      <c r="F1858" s="176"/>
      <c r="G1858" s="175">
        <f t="shared" si="193"/>
        <v>0</v>
      </c>
      <c r="H1858" s="175">
        <f t="shared" si="194"/>
        <v>0</v>
      </c>
      <c r="I1858" s="177">
        <f>IF(G1858=0,0,IF(E1858="MXN",1/HLOOKUP(YEAR(C1858)+(MONTH(C1858)/100),TC!$5:$37,DAY(C1858)+2,FALSE),VLOOKUP(E1858,Equivalencia!$5:$23,((MAX(Equivalencia!$3:$3)-YEAR(C1858))*14)+MONTH(C1858)+2,FALSE)))</f>
        <v>0</v>
      </c>
      <c r="J1858" s="178">
        <f t="shared" si="195"/>
        <v>0</v>
      </c>
      <c r="K1858" s="462">
        <f>IF(C1858=0,0,VLOOKUP(YEAR(C1858),INPC!$B$4:$O$29,MONTH(C1858)+1))</f>
        <v>0</v>
      </c>
      <c r="L1858" s="462">
        <f>IF(S1858=0,0,VLOOKUP(YEAR(S1858),INPC!$B$4:$O$29,MONTH(S1858)+1))</f>
        <v>0</v>
      </c>
      <c r="M1858" s="463">
        <f t="shared" si="196"/>
        <v>0</v>
      </c>
      <c r="N1858" s="465">
        <f t="shared" si="197"/>
        <v>0</v>
      </c>
      <c r="O1858" s="179"/>
      <c r="P1858" s="180"/>
      <c r="Q1858" s="173"/>
      <c r="R1858" s="173"/>
      <c r="S1858" s="174"/>
      <c r="T1858" s="173"/>
      <c r="U1858" s="182"/>
      <c r="V1858" s="177">
        <f>IF(U1858=0,0,IF(T1858="MXN",1/HLOOKUP(YEAR(S1858)+(MONTH(S1858)/100),TC!$5:$37,DAY(S1858)+2,FALSE),VLOOKUP(T1858,Equivalencia!$1:$23,((MAX(Equivalencia!$3:$3)-YEAR(S1858))*14)+MONTH(S1858)+2,FALSE)))</f>
        <v>0</v>
      </c>
      <c r="W1858" s="178">
        <f t="shared" si="198"/>
        <v>0</v>
      </c>
      <c r="X1858" s="481">
        <f t="shared" si="199"/>
        <v>0</v>
      </c>
      <c r="Y1858" s="179"/>
      <c r="Z1858" s="466">
        <f t="shared" si="200"/>
        <v>0</v>
      </c>
      <c r="AA1858" s="473">
        <f t="shared" si="201"/>
        <v>0</v>
      </c>
      <c r="AB1858" s="339">
        <f t="shared" si="202"/>
        <v>0</v>
      </c>
    </row>
    <row r="1859" spans="2:28" ht="20.100000000000001" customHeight="1">
      <c r="B1859" s="172"/>
      <c r="C1859" s="174"/>
      <c r="D1859" s="181"/>
      <c r="E1859" s="173"/>
      <c r="F1859" s="176"/>
      <c r="G1859" s="175">
        <f t="shared" si="193"/>
        <v>0</v>
      </c>
      <c r="H1859" s="175">
        <f t="shared" si="194"/>
        <v>0</v>
      </c>
      <c r="I1859" s="177">
        <f>IF(G1859=0,0,IF(E1859="MXN",1/HLOOKUP(YEAR(C1859)+(MONTH(C1859)/100),TC!$5:$37,DAY(C1859)+2,FALSE),VLOOKUP(E1859,Equivalencia!$5:$23,((MAX(Equivalencia!$3:$3)-YEAR(C1859))*14)+MONTH(C1859)+2,FALSE)))</f>
        <v>0</v>
      </c>
      <c r="J1859" s="178">
        <f t="shared" si="195"/>
        <v>0</v>
      </c>
      <c r="K1859" s="462">
        <f>IF(C1859=0,0,VLOOKUP(YEAR(C1859),INPC!$B$4:$O$29,MONTH(C1859)+1))</f>
        <v>0</v>
      </c>
      <c r="L1859" s="462">
        <f>IF(S1859=0,0,VLOOKUP(YEAR(S1859),INPC!$B$4:$O$29,MONTH(S1859)+1))</f>
        <v>0</v>
      </c>
      <c r="M1859" s="463">
        <f t="shared" si="196"/>
        <v>0</v>
      </c>
      <c r="N1859" s="465">
        <f t="shared" si="197"/>
        <v>0</v>
      </c>
      <c r="O1859" s="179"/>
      <c r="P1859" s="180"/>
      <c r="Q1859" s="173"/>
      <c r="R1859" s="173"/>
      <c r="S1859" s="174"/>
      <c r="T1859" s="173"/>
      <c r="U1859" s="182"/>
      <c r="V1859" s="177">
        <f>IF(U1859=0,0,IF(T1859="MXN",1/HLOOKUP(YEAR(S1859)+(MONTH(S1859)/100),TC!$5:$37,DAY(S1859)+2,FALSE),VLOOKUP(T1859,Equivalencia!$1:$23,((MAX(Equivalencia!$3:$3)-YEAR(S1859))*14)+MONTH(S1859)+2,FALSE)))</f>
        <v>0</v>
      </c>
      <c r="W1859" s="178">
        <f t="shared" si="198"/>
        <v>0</v>
      </c>
      <c r="X1859" s="481">
        <f t="shared" si="199"/>
        <v>0</v>
      </c>
      <c r="Y1859" s="179"/>
      <c r="Z1859" s="466">
        <f t="shared" si="200"/>
        <v>0</v>
      </c>
      <c r="AA1859" s="473">
        <f t="shared" si="201"/>
        <v>0</v>
      </c>
      <c r="AB1859" s="339">
        <f t="shared" si="202"/>
        <v>0</v>
      </c>
    </row>
    <row r="1860" spans="2:28" ht="20.100000000000001" customHeight="1">
      <c r="B1860" s="172"/>
      <c r="C1860" s="174"/>
      <c r="D1860" s="181"/>
      <c r="E1860" s="173"/>
      <c r="F1860" s="176"/>
      <c r="G1860" s="175">
        <f t="shared" si="193"/>
        <v>0</v>
      </c>
      <c r="H1860" s="175">
        <f t="shared" si="194"/>
        <v>0</v>
      </c>
      <c r="I1860" s="177">
        <f>IF(G1860=0,0,IF(E1860="MXN",1/HLOOKUP(YEAR(C1860)+(MONTH(C1860)/100),TC!$5:$37,DAY(C1860)+2,FALSE),VLOOKUP(E1860,Equivalencia!$5:$23,((MAX(Equivalencia!$3:$3)-YEAR(C1860))*14)+MONTH(C1860)+2,FALSE)))</f>
        <v>0</v>
      </c>
      <c r="J1860" s="178">
        <f t="shared" si="195"/>
        <v>0</v>
      </c>
      <c r="K1860" s="462">
        <f>IF(C1860=0,0,VLOOKUP(YEAR(C1860),INPC!$B$4:$O$29,MONTH(C1860)+1))</f>
        <v>0</v>
      </c>
      <c r="L1860" s="462">
        <f>IF(S1860=0,0,VLOOKUP(YEAR(S1860),INPC!$B$4:$O$29,MONTH(S1860)+1))</f>
        <v>0</v>
      </c>
      <c r="M1860" s="463">
        <f t="shared" si="196"/>
        <v>0</v>
      </c>
      <c r="N1860" s="465">
        <f t="shared" si="197"/>
        <v>0</v>
      </c>
      <c r="O1860" s="179"/>
      <c r="P1860" s="180"/>
      <c r="Q1860" s="173"/>
      <c r="R1860" s="173"/>
      <c r="S1860" s="174"/>
      <c r="T1860" s="173"/>
      <c r="U1860" s="182"/>
      <c r="V1860" s="177">
        <f>IF(U1860=0,0,IF(T1860="MXN",1/HLOOKUP(YEAR(S1860)+(MONTH(S1860)/100),TC!$5:$37,DAY(S1860)+2,FALSE),VLOOKUP(T1860,Equivalencia!$1:$23,((MAX(Equivalencia!$3:$3)-YEAR(S1860))*14)+MONTH(S1860)+2,FALSE)))</f>
        <v>0</v>
      </c>
      <c r="W1860" s="178">
        <f t="shared" si="198"/>
        <v>0</v>
      </c>
      <c r="X1860" s="481">
        <f t="shared" si="199"/>
        <v>0</v>
      </c>
      <c r="Y1860" s="179"/>
      <c r="Z1860" s="466">
        <f t="shared" si="200"/>
        <v>0</v>
      </c>
      <c r="AA1860" s="473">
        <f t="shared" si="201"/>
        <v>0</v>
      </c>
      <c r="AB1860" s="339">
        <f t="shared" si="202"/>
        <v>0</v>
      </c>
    </row>
    <row r="1861" spans="2:28" ht="20.100000000000001" customHeight="1">
      <c r="B1861" s="172"/>
      <c r="C1861" s="174"/>
      <c r="D1861" s="181"/>
      <c r="E1861" s="173"/>
      <c r="F1861" s="176"/>
      <c r="G1861" s="175">
        <f t="shared" si="193"/>
        <v>0</v>
      </c>
      <c r="H1861" s="175">
        <f t="shared" si="194"/>
        <v>0</v>
      </c>
      <c r="I1861" s="177">
        <f>IF(G1861=0,0,IF(E1861="MXN",1/HLOOKUP(YEAR(C1861)+(MONTH(C1861)/100),TC!$5:$37,DAY(C1861)+2,FALSE),VLOOKUP(E1861,Equivalencia!$5:$23,((MAX(Equivalencia!$3:$3)-YEAR(C1861))*14)+MONTH(C1861)+2,FALSE)))</f>
        <v>0</v>
      </c>
      <c r="J1861" s="178">
        <f t="shared" si="195"/>
        <v>0</v>
      </c>
      <c r="K1861" s="462">
        <f>IF(C1861=0,0,VLOOKUP(YEAR(C1861),INPC!$B$4:$O$29,MONTH(C1861)+1))</f>
        <v>0</v>
      </c>
      <c r="L1861" s="462">
        <f>IF(S1861=0,0,VLOOKUP(YEAR(S1861),INPC!$B$4:$O$29,MONTH(S1861)+1))</f>
        <v>0</v>
      </c>
      <c r="M1861" s="463">
        <f t="shared" si="196"/>
        <v>0</v>
      </c>
      <c r="N1861" s="465">
        <f t="shared" si="197"/>
        <v>0</v>
      </c>
      <c r="O1861" s="179"/>
      <c r="P1861" s="180"/>
      <c r="Q1861" s="173"/>
      <c r="R1861" s="173"/>
      <c r="S1861" s="174"/>
      <c r="T1861" s="173"/>
      <c r="U1861" s="182"/>
      <c r="V1861" s="177">
        <f>IF(U1861=0,0,IF(T1861="MXN",1/HLOOKUP(YEAR(S1861)+(MONTH(S1861)/100),TC!$5:$37,DAY(S1861)+2,FALSE),VLOOKUP(T1861,Equivalencia!$1:$23,((MAX(Equivalencia!$3:$3)-YEAR(S1861))*14)+MONTH(S1861)+2,FALSE)))</f>
        <v>0</v>
      </c>
      <c r="W1861" s="178">
        <f t="shared" si="198"/>
        <v>0</v>
      </c>
      <c r="X1861" s="481">
        <f t="shared" si="199"/>
        <v>0</v>
      </c>
      <c r="Y1861" s="179"/>
      <c r="Z1861" s="466">
        <f t="shared" si="200"/>
        <v>0</v>
      </c>
      <c r="AA1861" s="473">
        <f t="shared" si="201"/>
        <v>0</v>
      </c>
      <c r="AB1861" s="339">
        <f t="shared" si="202"/>
        <v>0</v>
      </c>
    </row>
    <row r="1862" spans="2:28" ht="20.100000000000001" customHeight="1">
      <c r="B1862" s="172"/>
      <c r="C1862" s="174"/>
      <c r="D1862" s="181"/>
      <c r="E1862" s="173"/>
      <c r="F1862" s="176"/>
      <c r="G1862" s="175">
        <f t="shared" si="193"/>
        <v>0</v>
      </c>
      <c r="H1862" s="175">
        <f t="shared" si="194"/>
        <v>0</v>
      </c>
      <c r="I1862" s="177">
        <f>IF(G1862=0,0,IF(E1862="MXN",1/HLOOKUP(YEAR(C1862)+(MONTH(C1862)/100),TC!$5:$37,DAY(C1862)+2,FALSE),VLOOKUP(E1862,Equivalencia!$5:$23,((MAX(Equivalencia!$3:$3)-YEAR(C1862))*14)+MONTH(C1862)+2,FALSE)))</f>
        <v>0</v>
      </c>
      <c r="J1862" s="178">
        <f t="shared" si="195"/>
        <v>0</v>
      </c>
      <c r="K1862" s="462">
        <f>IF(C1862=0,0,VLOOKUP(YEAR(C1862),INPC!$B$4:$O$29,MONTH(C1862)+1))</f>
        <v>0</v>
      </c>
      <c r="L1862" s="462">
        <f>IF(S1862=0,0,VLOOKUP(YEAR(S1862),INPC!$B$4:$O$29,MONTH(S1862)+1))</f>
        <v>0</v>
      </c>
      <c r="M1862" s="463">
        <f t="shared" si="196"/>
        <v>0</v>
      </c>
      <c r="N1862" s="465">
        <f t="shared" si="197"/>
        <v>0</v>
      </c>
      <c r="O1862" s="179"/>
      <c r="P1862" s="180"/>
      <c r="Q1862" s="173"/>
      <c r="R1862" s="173"/>
      <c r="S1862" s="174"/>
      <c r="T1862" s="173"/>
      <c r="U1862" s="182"/>
      <c r="V1862" s="177">
        <f>IF(U1862=0,0,IF(T1862="MXN",1/HLOOKUP(YEAR(S1862)+(MONTH(S1862)/100),TC!$5:$37,DAY(S1862)+2,FALSE),VLOOKUP(T1862,Equivalencia!$1:$23,((MAX(Equivalencia!$3:$3)-YEAR(S1862))*14)+MONTH(S1862)+2,FALSE)))</f>
        <v>0</v>
      </c>
      <c r="W1862" s="178">
        <f t="shared" si="198"/>
        <v>0</v>
      </c>
      <c r="X1862" s="481">
        <f t="shared" si="199"/>
        <v>0</v>
      </c>
      <c r="Y1862" s="179"/>
      <c r="Z1862" s="466">
        <f t="shared" si="200"/>
        <v>0</v>
      </c>
      <c r="AA1862" s="473">
        <f t="shared" si="201"/>
        <v>0</v>
      </c>
      <c r="AB1862" s="339">
        <f t="shared" si="202"/>
        <v>0</v>
      </c>
    </row>
    <row r="1863" spans="2:28" ht="20.100000000000001" customHeight="1">
      <c r="B1863" s="172"/>
      <c r="C1863" s="174"/>
      <c r="D1863" s="181"/>
      <c r="E1863" s="173"/>
      <c r="F1863" s="176"/>
      <c r="G1863" s="175">
        <f t="shared" si="193"/>
        <v>0</v>
      </c>
      <c r="H1863" s="175">
        <f t="shared" si="194"/>
        <v>0</v>
      </c>
      <c r="I1863" s="177">
        <f>IF(G1863=0,0,IF(E1863="MXN",1/HLOOKUP(YEAR(C1863)+(MONTH(C1863)/100),TC!$5:$37,DAY(C1863)+2,FALSE),VLOOKUP(E1863,Equivalencia!$5:$23,((MAX(Equivalencia!$3:$3)-YEAR(C1863))*14)+MONTH(C1863)+2,FALSE)))</f>
        <v>0</v>
      </c>
      <c r="J1863" s="178">
        <f t="shared" si="195"/>
        <v>0</v>
      </c>
      <c r="K1863" s="462">
        <f>IF(C1863=0,0,VLOOKUP(YEAR(C1863),INPC!$B$4:$O$29,MONTH(C1863)+1))</f>
        <v>0</v>
      </c>
      <c r="L1863" s="462">
        <f>IF(S1863=0,0,VLOOKUP(YEAR(S1863),INPC!$B$4:$O$29,MONTH(S1863)+1))</f>
        <v>0</v>
      </c>
      <c r="M1863" s="463">
        <f t="shared" si="196"/>
        <v>0</v>
      </c>
      <c r="N1863" s="465">
        <f t="shared" si="197"/>
        <v>0</v>
      </c>
      <c r="O1863" s="179"/>
      <c r="P1863" s="180"/>
      <c r="Q1863" s="173"/>
      <c r="R1863" s="173"/>
      <c r="S1863" s="174"/>
      <c r="T1863" s="173"/>
      <c r="U1863" s="182"/>
      <c r="V1863" s="177">
        <f>IF(U1863=0,0,IF(T1863="MXN",1/HLOOKUP(YEAR(S1863)+(MONTH(S1863)/100),TC!$5:$37,DAY(S1863)+2,FALSE),VLOOKUP(T1863,Equivalencia!$1:$23,((MAX(Equivalencia!$3:$3)-YEAR(S1863))*14)+MONTH(S1863)+2,FALSE)))</f>
        <v>0</v>
      </c>
      <c r="W1863" s="178">
        <f t="shared" si="198"/>
        <v>0</v>
      </c>
      <c r="X1863" s="481">
        <f t="shared" si="199"/>
        <v>0</v>
      </c>
      <c r="Y1863" s="179"/>
      <c r="Z1863" s="466">
        <f t="shared" si="200"/>
        <v>0</v>
      </c>
      <c r="AA1863" s="473">
        <f t="shared" si="201"/>
        <v>0</v>
      </c>
      <c r="AB1863" s="339">
        <f t="shared" si="202"/>
        <v>0</v>
      </c>
    </row>
    <row r="1864" spans="2:28" ht="20.100000000000001" customHeight="1">
      <c r="B1864" s="172"/>
      <c r="C1864" s="174"/>
      <c r="D1864" s="181"/>
      <c r="E1864" s="173"/>
      <c r="F1864" s="176"/>
      <c r="G1864" s="175">
        <f t="shared" si="193"/>
        <v>0</v>
      </c>
      <c r="H1864" s="175">
        <f t="shared" si="194"/>
        <v>0</v>
      </c>
      <c r="I1864" s="177">
        <f>IF(G1864=0,0,IF(E1864="MXN",1/HLOOKUP(YEAR(C1864)+(MONTH(C1864)/100),TC!$5:$37,DAY(C1864)+2,FALSE),VLOOKUP(E1864,Equivalencia!$5:$23,((MAX(Equivalencia!$3:$3)-YEAR(C1864))*14)+MONTH(C1864)+2,FALSE)))</f>
        <v>0</v>
      </c>
      <c r="J1864" s="178">
        <f t="shared" si="195"/>
        <v>0</v>
      </c>
      <c r="K1864" s="462">
        <f>IF(C1864=0,0,VLOOKUP(YEAR(C1864),INPC!$B$4:$O$29,MONTH(C1864)+1))</f>
        <v>0</v>
      </c>
      <c r="L1864" s="462">
        <f>IF(S1864=0,0,VLOOKUP(YEAR(S1864),INPC!$B$4:$O$29,MONTH(S1864)+1))</f>
        <v>0</v>
      </c>
      <c r="M1864" s="463">
        <f t="shared" si="196"/>
        <v>0</v>
      </c>
      <c r="N1864" s="465">
        <f t="shared" si="197"/>
        <v>0</v>
      </c>
      <c r="O1864" s="179"/>
      <c r="P1864" s="180"/>
      <c r="Q1864" s="173"/>
      <c r="R1864" s="173"/>
      <c r="S1864" s="174"/>
      <c r="T1864" s="173"/>
      <c r="U1864" s="182"/>
      <c r="V1864" s="177">
        <f>IF(U1864=0,0,IF(T1864="MXN",1/HLOOKUP(YEAR(S1864)+(MONTH(S1864)/100),TC!$5:$37,DAY(S1864)+2,FALSE),VLOOKUP(T1864,Equivalencia!$1:$23,((MAX(Equivalencia!$3:$3)-YEAR(S1864))*14)+MONTH(S1864)+2,FALSE)))</f>
        <v>0</v>
      </c>
      <c r="W1864" s="178">
        <f t="shared" si="198"/>
        <v>0</v>
      </c>
      <c r="X1864" s="481">
        <f t="shared" si="199"/>
        <v>0</v>
      </c>
      <c r="Y1864" s="179"/>
      <c r="Z1864" s="466">
        <f t="shared" si="200"/>
        <v>0</v>
      </c>
      <c r="AA1864" s="473">
        <f t="shared" si="201"/>
        <v>0</v>
      </c>
      <c r="AB1864" s="339">
        <f t="shared" si="202"/>
        <v>0</v>
      </c>
    </row>
    <row r="1865" spans="2:28" ht="20.100000000000001" customHeight="1">
      <c r="B1865" s="172"/>
      <c r="C1865" s="174"/>
      <c r="D1865" s="181"/>
      <c r="E1865" s="173"/>
      <c r="F1865" s="176"/>
      <c r="G1865" s="175">
        <f t="shared" si="193"/>
        <v>0</v>
      </c>
      <c r="H1865" s="175">
        <f t="shared" si="194"/>
        <v>0</v>
      </c>
      <c r="I1865" s="177">
        <f>IF(G1865=0,0,IF(E1865="MXN",1/HLOOKUP(YEAR(C1865)+(MONTH(C1865)/100),TC!$5:$37,DAY(C1865)+2,FALSE),VLOOKUP(E1865,Equivalencia!$5:$23,((MAX(Equivalencia!$3:$3)-YEAR(C1865))*14)+MONTH(C1865)+2,FALSE)))</f>
        <v>0</v>
      </c>
      <c r="J1865" s="178">
        <f t="shared" si="195"/>
        <v>0</v>
      </c>
      <c r="K1865" s="462">
        <f>IF(C1865=0,0,VLOOKUP(YEAR(C1865),INPC!$B$4:$O$29,MONTH(C1865)+1))</f>
        <v>0</v>
      </c>
      <c r="L1865" s="462">
        <f>IF(S1865=0,0,VLOOKUP(YEAR(S1865),INPC!$B$4:$O$29,MONTH(S1865)+1))</f>
        <v>0</v>
      </c>
      <c r="M1865" s="463">
        <f t="shared" si="196"/>
        <v>0</v>
      </c>
      <c r="N1865" s="465">
        <f t="shared" si="197"/>
        <v>0</v>
      </c>
      <c r="O1865" s="179"/>
      <c r="P1865" s="180"/>
      <c r="Q1865" s="173"/>
      <c r="R1865" s="173"/>
      <c r="S1865" s="174"/>
      <c r="T1865" s="173"/>
      <c r="U1865" s="182"/>
      <c r="V1865" s="177">
        <f>IF(U1865=0,0,IF(T1865="MXN",1/HLOOKUP(YEAR(S1865)+(MONTH(S1865)/100),TC!$5:$37,DAY(S1865)+2,FALSE),VLOOKUP(T1865,Equivalencia!$1:$23,((MAX(Equivalencia!$3:$3)-YEAR(S1865))*14)+MONTH(S1865)+2,FALSE)))</f>
        <v>0</v>
      </c>
      <c r="W1865" s="178">
        <f t="shared" si="198"/>
        <v>0</v>
      </c>
      <c r="X1865" s="481">
        <f t="shared" si="199"/>
        <v>0</v>
      </c>
      <c r="Y1865" s="179"/>
      <c r="Z1865" s="466">
        <f t="shared" si="200"/>
        <v>0</v>
      </c>
      <c r="AA1865" s="473">
        <f t="shared" si="201"/>
        <v>0</v>
      </c>
      <c r="AB1865" s="339">
        <f t="shared" si="202"/>
        <v>0</v>
      </c>
    </row>
    <row r="1866" spans="2:28" ht="20.100000000000001" customHeight="1">
      <c r="B1866" s="172"/>
      <c r="C1866" s="174"/>
      <c r="D1866" s="181"/>
      <c r="E1866" s="173"/>
      <c r="F1866" s="176"/>
      <c r="G1866" s="175">
        <f t="shared" si="193"/>
        <v>0</v>
      </c>
      <c r="H1866" s="175">
        <f t="shared" si="194"/>
        <v>0</v>
      </c>
      <c r="I1866" s="177">
        <f>IF(G1866=0,0,IF(E1866="MXN",1/HLOOKUP(YEAR(C1866)+(MONTH(C1866)/100),TC!$5:$37,DAY(C1866)+2,FALSE),VLOOKUP(E1866,Equivalencia!$5:$23,((MAX(Equivalencia!$3:$3)-YEAR(C1866))*14)+MONTH(C1866)+2,FALSE)))</f>
        <v>0</v>
      </c>
      <c r="J1866" s="178">
        <f t="shared" si="195"/>
        <v>0</v>
      </c>
      <c r="K1866" s="462">
        <f>IF(C1866=0,0,VLOOKUP(YEAR(C1866),INPC!$B$4:$O$29,MONTH(C1866)+1))</f>
        <v>0</v>
      </c>
      <c r="L1866" s="462">
        <f>IF(S1866=0,0,VLOOKUP(YEAR(S1866),INPC!$B$4:$O$29,MONTH(S1866)+1))</f>
        <v>0</v>
      </c>
      <c r="M1866" s="463">
        <f t="shared" si="196"/>
        <v>0</v>
      </c>
      <c r="N1866" s="465">
        <f t="shared" si="197"/>
        <v>0</v>
      </c>
      <c r="O1866" s="179"/>
      <c r="P1866" s="180"/>
      <c r="Q1866" s="173"/>
      <c r="R1866" s="173"/>
      <c r="S1866" s="174"/>
      <c r="T1866" s="173"/>
      <c r="U1866" s="182"/>
      <c r="V1866" s="177">
        <f>IF(U1866=0,0,IF(T1866="MXN",1/HLOOKUP(YEAR(S1866)+(MONTH(S1866)/100),TC!$5:$37,DAY(S1866)+2,FALSE),VLOOKUP(T1866,Equivalencia!$1:$23,((MAX(Equivalencia!$3:$3)-YEAR(S1866))*14)+MONTH(S1866)+2,FALSE)))</f>
        <v>0</v>
      </c>
      <c r="W1866" s="178">
        <f t="shared" si="198"/>
        <v>0</v>
      </c>
      <c r="X1866" s="481">
        <f t="shared" si="199"/>
        <v>0</v>
      </c>
      <c r="Y1866" s="179"/>
      <c r="Z1866" s="466">
        <f t="shared" si="200"/>
        <v>0</v>
      </c>
      <c r="AA1866" s="473">
        <f t="shared" si="201"/>
        <v>0</v>
      </c>
      <c r="AB1866" s="339">
        <f t="shared" si="202"/>
        <v>0</v>
      </c>
    </row>
    <row r="1867" spans="2:28" ht="20.100000000000001" customHeight="1">
      <c r="B1867" s="172"/>
      <c r="C1867" s="174"/>
      <c r="D1867" s="181"/>
      <c r="E1867" s="173"/>
      <c r="F1867" s="176"/>
      <c r="G1867" s="175">
        <f t="shared" si="193"/>
        <v>0</v>
      </c>
      <c r="H1867" s="175">
        <f t="shared" si="194"/>
        <v>0</v>
      </c>
      <c r="I1867" s="177">
        <f>IF(G1867=0,0,IF(E1867="MXN",1/HLOOKUP(YEAR(C1867)+(MONTH(C1867)/100),TC!$5:$37,DAY(C1867)+2,FALSE),VLOOKUP(E1867,Equivalencia!$5:$23,((MAX(Equivalencia!$3:$3)-YEAR(C1867))*14)+MONTH(C1867)+2,FALSE)))</f>
        <v>0</v>
      </c>
      <c r="J1867" s="178">
        <f t="shared" si="195"/>
        <v>0</v>
      </c>
      <c r="K1867" s="462">
        <f>IF(C1867=0,0,VLOOKUP(YEAR(C1867),INPC!$B$4:$O$29,MONTH(C1867)+1))</f>
        <v>0</v>
      </c>
      <c r="L1867" s="462">
        <f>IF(S1867=0,0,VLOOKUP(YEAR(S1867),INPC!$B$4:$O$29,MONTH(S1867)+1))</f>
        <v>0</v>
      </c>
      <c r="M1867" s="463">
        <f t="shared" si="196"/>
        <v>0</v>
      </c>
      <c r="N1867" s="465">
        <f t="shared" si="197"/>
        <v>0</v>
      </c>
      <c r="O1867" s="179"/>
      <c r="P1867" s="180"/>
      <c r="Q1867" s="173"/>
      <c r="R1867" s="173"/>
      <c r="S1867" s="174"/>
      <c r="T1867" s="173"/>
      <c r="U1867" s="182"/>
      <c r="V1867" s="177">
        <f>IF(U1867=0,0,IF(T1867="MXN",1/HLOOKUP(YEAR(S1867)+(MONTH(S1867)/100),TC!$5:$37,DAY(S1867)+2,FALSE),VLOOKUP(T1867,Equivalencia!$1:$23,((MAX(Equivalencia!$3:$3)-YEAR(S1867))*14)+MONTH(S1867)+2,FALSE)))</f>
        <v>0</v>
      </c>
      <c r="W1867" s="178">
        <f t="shared" si="198"/>
        <v>0</v>
      </c>
      <c r="X1867" s="481">
        <f t="shared" si="199"/>
        <v>0</v>
      </c>
      <c r="Y1867" s="179"/>
      <c r="Z1867" s="466">
        <f t="shared" si="200"/>
        <v>0</v>
      </c>
      <c r="AA1867" s="473">
        <f t="shared" si="201"/>
        <v>0</v>
      </c>
      <c r="AB1867" s="339">
        <f t="shared" si="202"/>
        <v>0</v>
      </c>
    </row>
    <row r="1868" spans="2:28" ht="20.100000000000001" customHeight="1">
      <c r="B1868" s="172"/>
      <c r="C1868" s="174"/>
      <c r="D1868" s="181"/>
      <c r="E1868" s="173"/>
      <c r="F1868" s="176"/>
      <c r="G1868" s="175">
        <f t="shared" si="193"/>
        <v>0</v>
      </c>
      <c r="H1868" s="175">
        <f t="shared" si="194"/>
        <v>0</v>
      </c>
      <c r="I1868" s="177">
        <f>IF(G1868=0,0,IF(E1868="MXN",1/HLOOKUP(YEAR(C1868)+(MONTH(C1868)/100),TC!$5:$37,DAY(C1868)+2,FALSE),VLOOKUP(E1868,Equivalencia!$5:$23,((MAX(Equivalencia!$3:$3)-YEAR(C1868))*14)+MONTH(C1868)+2,FALSE)))</f>
        <v>0</v>
      </c>
      <c r="J1868" s="178">
        <f t="shared" si="195"/>
        <v>0</v>
      </c>
      <c r="K1868" s="462">
        <f>IF(C1868=0,0,VLOOKUP(YEAR(C1868),INPC!$B$4:$O$29,MONTH(C1868)+1))</f>
        <v>0</v>
      </c>
      <c r="L1868" s="462">
        <f>IF(S1868=0,0,VLOOKUP(YEAR(S1868),INPC!$B$4:$O$29,MONTH(S1868)+1))</f>
        <v>0</v>
      </c>
      <c r="M1868" s="463">
        <f t="shared" si="196"/>
        <v>0</v>
      </c>
      <c r="N1868" s="465">
        <f t="shared" si="197"/>
        <v>0</v>
      </c>
      <c r="O1868" s="179"/>
      <c r="P1868" s="180"/>
      <c r="Q1868" s="173"/>
      <c r="R1868" s="173"/>
      <c r="S1868" s="174"/>
      <c r="T1868" s="173"/>
      <c r="U1868" s="182"/>
      <c r="V1868" s="177">
        <f>IF(U1868=0,0,IF(T1868="MXN",1/HLOOKUP(YEAR(S1868)+(MONTH(S1868)/100),TC!$5:$37,DAY(S1868)+2,FALSE),VLOOKUP(T1868,Equivalencia!$1:$23,((MAX(Equivalencia!$3:$3)-YEAR(S1868))*14)+MONTH(S1868)+2,FALSE)))</f>
        <v>0</v>
      </c>
      <c r="W1868" s="178">
        <f t="shared" si="198"/>
        <v>0</v>
      </c>
      <c r="X1868" s="481">
        <f t="shared" si="199"/>
        <v>0</v>
      </c>
      <c r="Y1868" s="179"/>
      <c r="Z1868" s="466">
        <f t="shared" si="200"/>
        <v>0</v>
      </c>
      <c r="AA1868" s="473">
        <f t="shared" si="201"/>
        <v>0</v>
      </c>
      <c r="AB1868" s="339">
        <f t="shared" si="202"/>
        <v>0</v>
      </c>
    </row>
    <row r="1869" spans="2:28" ht="20.100000000000001" customHeight="1">
      <c r="B1869" s="172"/>
      <c r="C1869" s="174"/>
      <c r="D1869" s="181"/>
      <c r="E1869" s="173"/>
      <c r="F1869" s="176"/>
      <c r="G1869" s="175">
        <f t="shared" si="193"/>
        <v>0</v>
      </c>
      <c r="H1869" s="175">
        <f t="shared" si="194"/>
        <v>0</v>
      </c>
      <c r="I1869" s="177">
        <f>IF(G1869=0,0,IF(E1869="MXN",1/HLOOKUP(YEAR(C1869)+(MONTH(C1869)/100),TC!$5:$37,DAY(C1869)+2,FALSE),VLOOKUP(E1869,Equivalencia!$5:$23,((MAX(Equivalencia!$3:$3)-YEAR(C1869))*14)+MONTH(C1869)+2,FALSE)))</f>
        <v>0</v>
      </c>
      <c r="J1869" s="178">
        <f t="shared" si="195"/>
        <v>0</v>
      </c>
      <c r="K1869" s="462">
        <f>IF(C1869=0,0,VLOOKUP(YEAR(C1869),INPC!$B$4:$O$29,MONTH(C1869)+1))</f>
        <v>0</v>
      </c>
      <c r="L1869" s="462">
        <f>IF(S1869=0,0,VLOOKUP(YEAR(S1869),INPC!$B$4:$O$29,MONTH(S1869)+1))</f>
        <v>0</v>
      </c>
      <c r="M1869" s="463">
        <f t="shared" si="196"/>
        <v>0</v>
      </c>
      <c r="N1869" s="465">
        <f t="shared" si="197"/>
        <v>0</v>
      </c>
      <c r="O1869" s="179"/>
      <c r="P1869" s="180"/>
      <c r="Q1869" s="173"/>
      <c r="R1869" s="173"/>
      <c r="S1869" s="174"/>
      <c r="T1869" s="173"/>
      <c r="U1869" s="182"/>
      <c r="V1869" s="177">
        <f>IF(U1869=0,0,IF(T1869="MXN",1/HLOOKUP(YEAR(S1869)+(MONTH(S1869)/100),TC!$5:$37,DAY(S1869)+2,FALSE),VLOOKUP(T1869,Equivalencia!$1:$23,((MAX(Equivalencia!$3:$3)-YEAR(S1869))*14)+MONTH(S1869)+2,FALSE)))</f>
        <v>0</v>
      </c>
      <c r="W1869" s="178">
        <f t="shared" si="198"/>
        <v>0</v>
      </c>
      <c r="X1869" s="481">
        <f t="shared" si="199"/>
        <v>0</v>
      </c>
      <c r="Y1869" s="179"/>
      <c r="Z1869" s="466">
        <f t="shared" si="200"/>
        <v>0</v>
      </c>
      <c r="AA1869" s="473">
        <f t="shared" si="201"/>
        <v>0</v>
      </c>
      <c r="AB1869" s="339">
        <f t="shared" si="202"/>
        <v>0</v>
      </c>
    </row>
    <row r="1870" spans="2:28" ht="20.100000000000001" customHeight="1">
      <c r="B1870" s="172"/>
      <c r="C1870" s="174"/>
      <c r="D1870" s="181"/>
      <c r="E1870" s="173"/>
      <c r="F1870" s="176"/>
      <c r="G1870" s="175">
        <f t="shared" si="193"/>
        <v>0</v>
      </c>
      <c r="H1870" s="175">
        <f t="shared" si="194"/>
        <v>0</v>
      </c>
      <c r="I1870" s="177">
        <f>IF(G1870=0,0,IF(E1870="MXN",1/HLOOKUP(YEAR(C1870)+(MONTH(C1870)/100),TC!$5:$37,DAY(C1870)+2,FALSE),VLOOKUP(E1870,Equivalencia!$5:$23,((MAX(Equivalencia!$3:$3)-YEAR(C1870))*14)+MONTH(C1870)+2,FALSE)))</f>
        <v>0</v>
      </c>
      <c r="J1870" s="178">
        <f t="shared" si="195"/>
        <v>0</v>
      </c>
      <c r="K1870" s="462">
        <f>IF(C1870=0,0,VLOOKUP(YEAR(C1870),INPC!$B$4:$O$29,MONTH(C1870)+1))</f>
        <v>0</v>
      </c>
      <c r="L1870" s="462">
        <f>IF(S1870=0,0,VLOOKUP(YEAR(S1870),INPC!$B$4:$O$29,MONTH(S1870)+1))</f>
        <v>0</v>
      </c>
      <c r="M1870" s="463">
        <f t="shared" si="196"/>
        <v>0</v>
      </c>
      <c r="N1870" s="465">
        <f t="shared" si="197"/>
        <v>0</v>
      </c>
      <c r="O1870" s="179"/>
      <c r="P1870" s="180"/>
      <c r="Q1870" s="173"/>
      <c r="R1870" s="173"/>
      <c r="S1870" s="174"/>
      <c r="T1870" s="173"/>
      <c r="U1870" s="182"/>
      <c r="V1870" s="177">
        <f>IF(U1870=0,0,IF(T1870="MXN",1/HLOOKUP(YEAR(S1870)+(MONTH(S1870)/100),TC!$5:$37,DAY(S1870)+2,FALSE),VLOOKUP(T1870,Equivalencia!$1:$23,((MAX(Equivalencia!$3:$3)-YEAR(S1870))*14)+MONTH(S1870)+2,FALSE)))</f>
        <v>0</v>
      </c>
      <c r="W1870" s="178">
        <f t="shared" si="198"/>
        <v>0</v>
      </c>
      <c r="X1870" s="481">
        <f t="shared" si="199"/>
        <v>0</v>
      </c>
      <c r="Y1870" s="179"/>
      <c r="Z1870" s="466">
        <f t="shared" si="200"/>
        <v>0</v>
      </c>
      <c r="AA1870" s="473">
        <f t="shared" si="201"/>
        <v>0</v>
      </c>
      <c r="AB1870" s="339">
        <f t="shared" si="202"/>
        <v>0</v>
      </c>
    </row>
    <row r="1871" spans="2:28" ht="20.100000000000001" customHeight="1">
      <c r="B1871" s="172"/>
      <c r="C1871" s="174"/>
      <c r="D1871" s="181"/>
      <c r="E1871" s="173"/>
      <c r="F1871" s="176"/>
      <c r="G1871" s="175">
        <f t="shared" si="193"/>
        <v>0</v>
      </c>
      <c r="H1871" s="175">
        <f t="shared" si="194"/>
        <v>0</v>
      </c>
      <c r="I1871" s="177">
        <f>IF(G1871=0,0,IF(E1871="MXN",1/HLOOKUP(YEAR(C1871)+(MONTH(C1871)/100),TC!$5:$37,DAY(C1871)+2,FALSE),VLOOKUP(E1871,Equivalencia!$5:$23,((MAX(Equivalencia!$3:$3)-YEAR(C1871))*14)+MONTH(C1871)+2,FALSE)))</f>
        <v>0</v>
      </c>
      <c r="J1871" s="178">
        <f t="shared" si="195"/>
        <v>0</v>
      </c>
      <c r="K1871" s="462">
        <f>IF(C1871=0,0,VLOOKUP(YEAR(C1871),INPC!$B$4:$O$29,MONTH(C1871)+1))</f>
        <v>0</v>
      </c>
      <c r="L1871" s="462">
        <f>IF(S1871=0,0,VLOOKUP(YEAR(S1871),INPC!$B$4:$O$29,MONTH(S1871)+1))</f>
        <v>0</v>
      </c>
      <c r="M1871" s="463">
        <f t="shared" si="196"/>
        <v>0</v>
      </c>
      <c r="N1871" s="465">
        <f t="shared" si="197"/>
        <v>0</v>
      </c>
      <c r="O1871" s="179"/>
      <c r="P1871" s="180"/>
      <c r="Q1871" s="173"/>
      <c r="R1871" s="173"/>
      <c r="S1871" s="174"/>
      <c r="T1871" s="173"/>
      <c r="U1871" s="182"/>
      <c r="V1871" s="177">
        <f>IF(U1871=0,0,IF(T1871="MXN",1/HLOOKUP(YEAR(S1871)+(MONTH(S1871)/100),TC!$5:$37,DAY(S1871)+2,FALSE),VLOOKUP(T1871,Equivalencia!$1:$23,((MAX(Equivalencia!$3:$3)-YEAR(S1871))*14)+MONTH(S1871)+2,FALSE)))</f>
        <v>0</v>
      </c>
      <c r="W1871" s="178">
        <f t="shared" si="198"/>
        <v>0</v>
      </c>
      <c r="X1871" s="481">
        <f t="shared" si="199"/>
        <v>0</v>
      </c>
      <c r="Y1871" s="179"/>
      <c r="Z1871" s="466">
        <f t="shared" si="200"/>
        <v>0</v>
      </c>
      <c r="AA1871" s="473">
        <f t="shared" si="201"/>
        <v>0</v>
      </c>
      <c r="AB1871" s="339">
        <f t="shared" si="202"/>
        <v>0</v>
      </c>
    </row>
    <row r="1872" spans="2:28" ht="20.100000000000001" customHeight="1">
      <c r="B1872" s="172"/>
      <c r="C1872" s="174"/>
      <c r="D1872" s="181"/>
      <c r="E1872" s="173"/>
      <c r="F1872" s="176"/>
      <c r="G1872" s="175">
        <f t="shared" si="193"/>
        <v>0</v>
      </c>
      <c r="H1872" s="175">
        <f t="shared" si="194"/>
        <v>0</v>
      </c>
      <c r="I1872" s="177">
        <f>IF(G1872=0,0,IF(E1872="MXN",1/HLOOKUP(YEAR(C1872)+(MONTH(C1872)/100),TC!$5:$37,DAY(C1872)+2,FALSE),VLOOKUP(E1872,Equivalencia!$5:$23,((MAX(Equivalencia!$3:$3)-YEAR(C1872))*14)+MONTH(C1872)+2,FALSE)))</f>
        <v>0</v>
      </c>
      <c r="J1872" s="178">
        <f t="shared" si="195"/>
        <v>0</v>
      </c>
      <c r="K1872" s="462">
        <f>IF(C1872=0,0,VLOOKUP(YEAR(C1872),INPC!$B$4:$O$29,MONTH(C1872)+1))</f>
        <v>0</v>
      </c>
      <c r="L1872" s="462">
        <f>IF(S1872=0,0,VLOOKUP(YEAR(S1872),INPC!$B$4:$O$29,MONTH(S1872)+1))</f>
        <v>0</v>
      </c>
      <c r="M1872" s="463">
        <f t="shared" si="196"/>
        <v>0</v>
      </c>
      <c r="N1872" s="465">
        <f t="shared" si="197"/>
        <v>0</v>
      </c>
      <c r="O1872" s="179"/>
      <c r="P1872" s="180"/>
      <c r="Q1872" s="173"/>
      <c r="R1872" s="173"/>
      <c r="S1872" s="174"/>
      <c r="T1872" s="173"/>
      <c r="U1872" s="182"/>
      <c r="V1872" s="177">
        <f>IF(U1872=0,0,IF(T1872="MXN",1/HLOOKUP(YEAR(S1872)+(MONTH(S1872)/100),TC!$5:$37,DAY(S1872)+2,FALSE),VLOOKUP(T1872,Equivalencia!$1:$23,((MAX(Equivalencia!$3:$3)-YEAR(S1872))*14)+MONTH(S1872)+2,FALSE)))</f>
        <v>0</v>
      </c>
      <c r="W1872" s="178">
        <f t="shared" si="198"/>
        <v>0</v>
      </c>
      <c r="X1872" s="481">
        <f t="shared" si="199"/>
        <v>0</v>
      </c>
      <c r="Y1872" s="179"/>
      <c r="Z1872" s="466">
        <f t="shared" si="200"/>
        <v>0</v>
      </c>
      <c r="AA1872" s="473">
        <f t="shared" si="201"/>
        <v>0</v>
      </c>
      <c r="AB1872" s="339">
        <f t="shared" si="202"/>
        <v>0</v>
      </c>
    </row>
    <row r="1873" spans="2:28" ht="20.100000000000001" customHeight="1">
      <c r="B1873" s="172"/>
      <c r="C1873" s="174"/>
      <c r="D1873" s="181"/>
      <c r="E1873" s="173"/>
      <c r="F1873" s="176"/>
      <c r="G1873" s="175">
        <f t="shared" si="193"/>
        <v>0</v>
      </c>
      <c r="H1873" s="175">
        <f t="shared" si="194"/>
        <v>0</v>
      </c>
      <c r="I1873" s="177">
        <f>IF(G1873=0,0,IF(E1873="MXN",1/HLOOKUP(YEAR(C1873)+(MONTH(C1873)/100),TC!$5:$37,DAY(C1873)+2,FALSE),VLOOKUP(E1873,Equivalencia!$5:$23,((MAX(Equivalencia!$3:$3)-YEAR(C1873))*14)+MONTH(C1873)+2,FALSE)))</f>
        <v>0</v>
      </c>
      <c r="J1873" s="178">
        <f t="shared" si="195"/>
        <v>0</v>
      </c>
      <c r="K1873" s="462">
        <f>IF(C1873=0,0,VLOOKUP(YEAR(C1873),INPC!$B$4:$O$29,MONTH(C1873)+1))</f>
        <v>0</v>
      </c>
      <c r="L1873" s="462">
        <f>IF(S1873=0,0,VLOOKUP(YEAR(S1873),INPC!$B$4:$O$29,MONTH(S1873)+1))</f>
        <v>0</v>
      </c>
      <c r="M1873" s="463">
        <f t="shared" si="196"/>
        <v>0</v>
      </c>
      <c r="N1873" s="465">
        <f t="shared" si="197"/>
        <v>0</v>
      </c>
      <c r="O1873" s="179"/>
      <c r="P1873" s="180"/>
      <c r="Q1873" s="173"/>
      <c r="R1873" s="173"/>
      <c r="S1873" s="174"/>
      <c r="T1873" s="173"/>
      <c r="U1873" s="182"/>
      <c r="V1873" s="177">
        <f>IF(U1873=0,0,IF(T1873="MXN",1/HLOOKUP(YEAR(S1873)+(MONTH(S1873)/100),TC!$5:$37,DAY(S1873)+2,FALSE),VLOOKUP(T1873,Equivalencia!$1:$23,((MAX(Equivalencia!$3:$3)-YEAR(S1873))*14)+MONTH(S1873)+2,FALSE)))</f>
        <v>0</v>
      </c>
      <c r="W1873" s="178">
        <f t="shared" si="198"/>
        <v>0</v>
      </c>
      <c r="X1873" s="481">
        <f t="shared" si="199"/>
        <v>0</v>
      </c>
      <c r="Y1873" s="179"/>
      <c r="Z1873" s="466">
        <f t="shared" si="200"/>
        <v>0</v>
      </c>
      <c r="AA1873" s="473">
        <f t="shared" si="201"/>
        <v>0</v>
      </c>
      <c r="AB1873" s="339">
        <f t="shared" si="202"/>
        <v>0</v>
      </c>
    </row>
    <row r="1874" spans="2:28" ht="20.100000000000001" customHeight="1">
      <c r="B1874" s="172"/>
      <c r="C1874" s="174"/>
      <c r="D1874" s="181"/>
      <c r="E1874" s="173"/>
      <c r="F1874" s="176"/>
      <c r="G1874" s="175">
        <f t="shared" si="193"/>
        <v>0</v>
      </c>
      <c r="H1874" s="175">
        <f t="shared" si="194"/>
        <v>0</v>
      </c>
      <c r="I1874" s="177">
        <f>IF(G1874=0,0,IF(E1874="MXN",1/HLOOKUP(YEAR(C1874)+(MONTH(C1874)/100),TC!$5:$37,DAY(C1874)+2,FALSE),VLOOKUP(E1874,Equivalencia!$5:$23,((MAX(Equivalencia!$3:$3)-YEAR(C1874))*14)+MONTH(C1874)+2,FALSE)))</f>
        <v>0</v>
      </c>
      <c r="J1874" s="178">
        <f t="shared" si="195"/>
        <v>0</v>
      </c>
      <c r="K1874" s="462">
        <f>IF(C1874=0,0,VLOOKUP(YEAR(C1874),INPC!$B$4:$O$29,MONTH(C1874)+1))</f>
        <v>0</v>
      </c>
      <c r="L1874" s="462">
        <f>IF(S1874=0,0,VLOOKUP(YEAR(S1874),INPC!$B$4:$O$29,MONTH(S1874)+1))</f>
        <v>0</v>
      </c>
      <c r="M1874" s="463">
        <f t="shared" si="196"/>
        <v>0</v>
      </c>
      <c r="N1874" s="465">
        <f t="shared" si="197"/>
        <v>0</v>
      </c>
      <c r="O1874" s="179"/>
      <c r="P1874" s="180"/>
      <c r="Q1874" s="173"/>
      <c r="R1874" s="173"/>
      <c r="S1874" s="174"/>
      <c r="T1874" s="173"/>
      <c r="U1874" s="182"/>
      <c r="V1874" s="177">
        <f>IF(U1874=0,0,IF(T1874="MXN",1/HLOOKUP(YEAR(S1874)+(MONTH(S1874)/100),TC!$5:$37,DAY(S1874)+2,FALSE),VLOOKUP(T1874,Equivalencia!$1:$23,((MAX(Equivalencia!$3:$3)-YEAR(S1874))*14)+MONTH(S1874)+2,FALSE)))</f>
        <v>0</v>
      </c>
      <c r="W1874" s="178">
        <f t="shared" si="198"/>
        <v>0</v>
      </c>
      <c r="X1874" s="481">
        <f t="shared" si="199"/>
        <v>0</v>
      </c>
      <c r="Y1874" s="179"/>
      <c r="Z1874" s="466">
        <f t="shared" si="200"/>
        <v>0</v>
      </c>
      <c r="AA1874" s="473">
        <f t="shared" si="201"/>
        <v>0</v>
      </c>
      <c r="AB1874" s="339">
        <f t="shared" si="202"/>
        <v>0</v>
      </c>
    </row>
    <row r="1875" spans="2:28" ht="20.100000000000001" customHeight="1">
      <c r="B1875" s="172"/>
      <c r="C1875" s="174"/>
      <c r="D1875" s="181"/>
      <c r="E1875" s="173"/>
      <c r="F1875" s="176"/>
      <c r="G1875" s="175">
        <f t="shared" si="193"/>
        <v>0</v>
      </c>
      <c r="H1875" s="175">
        <f t="shared" si="194"/>
        <v>0</v>
      </c>
      <c r="I1875" s="177">
        <f>IF(G1875=0,0,IF(E1875="MXN",1/HLOOKUP(YEAR(C1875)+(MONTH(C1875)/100),TC!$5:$37,DAY(C1875)+2,FALSE),VLOOKUP(E1875,Equivalencia!$5:$23,((MAX(Equivalencia!$3:$3)-YEAR(C1875))*14)+MONTH(C1875)+2,FALSE)))</f>
        <v>0</v>
      </c>
      <c r="J1875" s="178">
        <f t="shared" si="195"/>
        <v>0</v>
      </c>
      <c r="K1875" s="462">
        <f>IF(C1875=0,0,VLOOKUP(YEAR(C1875),INPC!$B$4:$O$29,MONTH(C1875)+1))</f>
        <v>0</v>
      </c>
      <c r="L1875" s="462">
        <f>IF(S1875=0,0,VLOOKUP(YEAR(S1875),INPC!$B$4:$O$29,MONTH(S1875)+1))</f>
        <v>0</v>
      </c>
      <c r="M1875" s="463">
        <f t="shared" si="196"/>
        <v>0</v>
      </c>
      <c r="N1875" s="465">
        <f t="shared" si="197"/>
        <v>0</v>
      </c>
      <c r="O1875" s="179"/>
      <c r="P1875" s="180"/>
      <c r="Q1875" s="173"/>
      <c r="R1875" s="173"/>
      <c r="S1875" s="174"/>
      <c r="T1875" s="173"/>
      <c r="U1875" s="182"/>
      <c r="V1875" s="177">
        <f>IF(U1875=0,0,IF(T1875="MXN",1/HLOOKUP(YEAR(S1875)+(MONTH(S1875)/100),TC!$5:$37,DAY(S1875)+2,FALSE),VLOOKUP(T1875,Equivalencia!$1:$23,((MAX(Equivalencia!$3:$3)-YEAR(S1875))*14)+MONTH(S1875)+2,FALSE)))</f>
        <v>0</v>
      </c>
      <c r="W1875" s="178">
        <f t="shared" si="198"/>
        <v>0</v>
      </c>
      <c r="X1875" s="481">
        <f t="shared" si="199"/>
        <v>0</v>
      </c>
      <c r="Y1875" s="179"/>
      <c r="Z1875" s="466">
        <f t="shared" si="200"/>
        <v>0</v>
      </c>
      <c r="AA1875" s="473">
        <f t="shared" si="201"/>
        <v>0</v>
      </c>
      <c r="AB1875" s="339">
        <f t="shared" si="202"/>
        <v>0</v>
      </c>
    </row>
    <row r="1876" spans="2:28" ht="20.100000000000001" customHeight="1">
      <c r="B1876" s="172"/>
      <c r="C1876" s="174"/>
      <c r="D1876" s="181"/>
      <c r="E1876" s="173"/>
      <c r="F1876" s="176"/>
      <c r="G1876" s="175">
        <f t="shared" si="193"/>
        <v>0</v>
      </c>
      <c r="H1876" s="175">
        <f t="shared" si="194"/>
        <v>0</v>
      </c>
      <c r="I1876" s="177">
        <f>IF(G1876=0,0,IF(E1876="MXN",1/HLOOKUP(YEAR(C1876)+(MONTH(C1876)/100),TC!$5:$37,DAY(C1876)+2,FALSE),VLOOKUP(E1876,Equivalencia!$5:$23,((MAX(Equivalencia!$3:$3)-YEAR(C1876))*14)+MONTH(C1876)+2,FALSE)))</f>
        <v>0</v>
      </c>
      <c r="J1876" s="178">
        <f t="shared" si="195"/>
        <v>0</v>
      </c>
      <c r="K1876" s="462">
        <f>IF(C1876=0,0,VLOOKUP(YEAR(C1876),INPC!$B$4:$O$29,MONTH(C1876)+1))</f>
        <v>0</v>
      </c>
      <c r="L1876" s="462">
        <f>IF(S1876=0,0,VLOOKUP(YEAR(S1876),INPC!$B$4:$O$29,MONTH(S1876)+1))</f>
        <v>0</v>
      </c>
      <c r="M1876" s="463">
        <f t="shared" si="196"/>
        <v>0</v>
      </c>
      <c r="N1876" s="465">
        <f t="shared" si="197"/>
        <v>0</v>
      </c>
      <c r="O1876" s="179"/>
      <c r="P1876" s="180"/>
      <c r="Q1876" s="173"/>
      <c r="R1876" s="173"/>
      <c r="S1876" s="174"/>
      <c r="T1876" s="173"/>
      <c r="U1876" s="182"/>
      <c r="V1876" s="177">
        <f>IF(U1876=0,0,IF(T1876="MXN",1/HLOOKUP(YEAR(S1876)+(MONTH(S1876)/100),TC!$5:$37,DAY(S1876)+2,FALSE),VLOOKUP(T1876,Equivalencia!$1:$23,((MAX(Equivalencia!$3:$3)-YEAR(S1876))*14)+MONTH(S1876)+2,FALSE)))</f>
        <v>0</v>
      </c>
      <c r="W1876" s="178">
        <f t="shared" si="198"/>
        <v>0</v>
      </c>
      <c r="X1876" s="481">
        <f t="shared" si="199"/>
        <v>0</v>
      </c>
      <c r="Y1876" s="179"/>
      <c r="Z1876" s="466">
        <f t="shared" si="200"/>
        <v>0</v>
      </c>
      <c r="AA1876" s="473">
        <f t="shared" si="201"/>
        <v>0</v>
      </c>
      <c r="AB1876" s="339">
        <f t="shared" si="202"/>
        <v>0</v>
      </c>
    </row>
    <row r="1877" spans="2:28" ht="20.100000000000001" customHeight="1">
      <c r="B1877" s="172"/>
      <c r="C1877" s="174"/>
      <c r="D1877" s="181"/>
      <c r="E1877" s="173"/>
      <c r="F1877" s="176"/>
      <c r="G1877" s="175">
        <f t="shared" si="193"/>
        <v>0</v>
      </c>
      <c r="H1877" s="175">
        <f t="shared" si="194"/>
        <v>0</v>
      </c>
      <c r="I1877" s="177">
        <f>IF(G1877=0,0,IF(E1877="MXN",1/HLOOKUP(YEAR(C1877)+(MONTH(C1877)/100),TC!$5:$37,DAY(C1877)+2,FALSE),VLOOKUP(E1877,Equivalencia!$5:$23,((MAX(Equivalencia!$3:$3)-YEAR(C1877))*14)+MONTH(C1877)+2,FALSE)))</f>
        <v>0</v>
      </c>
      <c r="J1877" s="178">
        <f t="shared" si="195"/>
        <v>0</v>
      </c>
      <c r="K1877" s="462">
        <f>IF(C1877=0,0,VLOOKUP(YEAR(C1877),INPC!$B$4:$O$29,MONTH(C1877)+1))</f>
        <v>0</v>
      </c>
      <c r="L1877" s="462">
        <f>IF(S1877=0,0,VLOOKUP(YEAR(S1877),INPC!$B$4:$O$29,MONTH(S1877)+1))</f>
        <v>0</v>
      </c>
      <c r="M1877" s="463">
        <f t="shared" si="196"/>
        <v>0</v>
      </c>
      <c r="N1877" s="465">
        <f t="shared" si="197"/>
        <v>0</v>
      </c>
      <c r="O1877" s="179"/>
      <c r="P1877" s="180"/>
      <c r="Q1877" s="173"/>
      <c r="R1877" s="173"/>
      <c r="S1877" s="174"/>
      <c r="T1877" s="173"/>
      <c r="U1877" s="182"/>
      <c r="V1877" s="177">
        <f>IF(U1877=0,0,IF(T1877="MXN",1/HLOOKUP(YEAR(S1877)+(MONTH(S1877)/100),TC!$5:$37,DAY(S1877)+2,FALSE),VLOOKUP(T1877,Equivalencia!$1:$23,((MAX(Equivalencia!$3:$3)-YEAR(S1877))*14)+MONTH(S1877)+2,FALSE)))</f>
        <v>0</v>
      </c>
      <c r="W1877" s="178">
        <f t="shared" si="198"/>
        <v>0</v>
      </c>
      <c r="X1877" s="481">
        <f t="shared" si="199"/>
        <v>0</v>
      </c>
      <c r="Y1877" s="179"/>
      <c r="Z1877" s="466">
        <f t="shared" si="200"/>
        <v>0</v>
      </c>
      <c r="AA1877" s="473">
        <f t="shared" si="201"/>
        <v>0</v>
      </c>
      <c r="AB1877" s="339">
        <f t="shared" si="202"/>
        <v>0</v>
      </c>
    </row>
    <row r="1878" spans="2:28" ht="20.100000000000001" customHeight="1">
      <c r="B1878" s="172"/>
      <c r="C1878" s="174"/>
      <c r="D1878" s="181"/>
      <c r="E1878" s="173"/>
      <c r="F1878" s="176"/>
      <c r="G1878" s="175">
        <f t="shared" si="193"/>
        <v>0</v>
      </c>
      <c r="H1878" s="175">
        <f t="shared" si="194"/>
        <v>0</v>
      </c>
      <c r="I1878" s="177">
        <f>IF(G1878=0,0,IF(E1878="MXN",1/HLOOKUP(YEAR(C1878)+(MONTH(C1878)/100),TC!$5:$37,DAY(C1878)+2,FALSE),VLOOKUP(E1878,Equivalencia!$5:$23,((MAX(Equivalencia!$3:$3)-YEAR(C1878))*14)+MONTH(C1878)+2,FALSE)))</f>
        <v>0</v>
      </c>
      <c r="J1878" s="178">
        <f t="shared" si="195"/>
        <v>0</v>
      </c>
      <c r="K1878" s="462">
        <f>IF(C1878=0,0,VLOOKUP(YEAR(C1878),INPC!$B$4:$O$29,MONTH(C1878)+1))</f>
        <v>0</v>
      </c>
      <c r="L1878" s="462">
        <f>IF(S1878=0,0,VLOOKUP(YEAR(S1878),INPC!$B$4:$O$29,MONTH(S1878)+1))</f>
        <v>0</v>
      </c>
      <c r="M1878" s="463">
        <f t="shared" si="196"/>
        <v>0</v>
      </c>
      <c r="N1878" s="465">
        <f t="shared" si="197"/>
        <v>0</v>
      </c>
      <c r="O1878" s="179"/>
      <c r="P1878" s="180"/>
      <c r="Q1878" s="173"/>
      <c r="R1878" s="173"/>
      <c r="S1878" s="174"/>
      <c r="T1878" s="173"/>
      <c r="U1878" s="182"/>
      <c r="V1878" s="177">
        <f>IF(U1878=0,0,IF(T1878="MXN",1/HLOOKUP(YEAR(S1878)+(MONTH(S1878)/100),TC!$5:$37,DAY(S1878)+2,FALSE),VLOOKUP(T1878,Equivalencia!$1:$23,((MAX(Equivalencia!$3:$3)-YEAR(S1878))*14)+MONTH(S1878)+2,FALSE)))</f>
        <v>0</v>
      </c>
      <c r="W1878" s="178">
        <f t="shared" si="198"/>
        <v>0</v>
      </c>
      <c r="X1878" s="481">
        <f t="shared" si="199"/>
        <v>0</v>
      </c>
      <c r="Y1878" s="179"/>
      <c r="Z1878" s="466">
        <f t="shared" si="200"/>
        <v>0</v>
      </c>
      <c r="AA1878" s="473">
        <f t="shared" si="201"/>
        <v>0</v>
      </c>
      <c r="AB1878" s="339">
        <f t="shared" si="202"/>
        <v>0</v>
      </c>
    </row>
    <row r="1879" spans="2:28" ht="20.100000000000001" customHeight="1">
      <c r="B1879" s="172"/>
      <c r="C1879" s="174"/>
      <c r="D1879" s="181"/>
      <c r="E1879" s="173"/>
      <c r="F1879" s="176"/>
      <c r="G1879" s="175">
        <f t="shared" si="193"/>
        <v>0</v>
      </c>
      <c r="H1879" s="175">
        <f t="shared" si="194"/>
        <v>0</v>
      </c>
      <c r="I1879" s="177">
        <f>IF(G1879=0,0,IF(E1879="MXN",1/HLOOKUP(YEAR(C1879)+(MONTH(C1879)/100),TC!$5:$37,DAY(C1879)+2,FALSE),VLOOKUP(E1879,Equivalencia!$5:$23,((MAX(Equivalencia!$3:$3)-YEAR(C1879))*14)+MONTH(C1879)+2,FALSE)))</f>
        <v>0</v>
      </c>
      <c r="J1879" s="178">
        <f t="shared" si="195"/>
        <v>0</v>
      </c>
      <c r="K1879" s="462">
        <f>IF(C1879=0,0,VLOOKUP(YEAR(C1879),INPC!$B$4:$O$29,MONTH(C1879)+1))</f>
        <v>0</v>
      </c>
      <c r="L1879" s="462">
        <f>IF(S1879=0,0,VLOOKUP(YEAR(S1879),INPC!$B$4:$O$29,MONTH(S1879)+1))</f>
        <v>0</v>
      </c>
      <c r="M1879" s="463">
        <f t="shared" si="196"/>
        <v>0</v>
      </c>
      <c r="N1879" s="465">
        <f t="shared" si="197"/>
        <v>0</v>
      </c>
      <c r="O1879" s="179"/>
      <c r="P1879" s="180"/>
      <c r="Q1879" s="173"/>
      <c r="R1879" s="173"/>
      <c r="S1879" s="174"/>
      <c r="T1879" s="173"/>
      <c r="U1879" s="182"/>
      <c r="V1879" s="177">
        <f>IF(U1879=0,0,IF(T1879="MXN",1/HLOOKUP(YEAR(S1879)+(MONTH(S1879)/100),TC!$5:$37,DAY(S1879)+2,FALSE),VLOOKUP(T1879,Equivalencia!$1:$23,((MAX(Equivalencia!$3:$3)-YEAR(S1879))*14)+MONTH(S1879)+2,FALSE)))</f>
        <v>0</v>
      </c>
      <c r="W1879" s="178">
        <f t="shared" si="198"/>
        <v>0</v>
      </c>
      <c r="X1879" s="481">
        <f t="shared" si="199"/>
        <v>0</v>
      </c>
      <c r="Y1879" s="179"/>
      <c r="Z1879" s="466">
        <f t="shared" si="200"/>
        <v>0</v>
      </c>
      <c r="AA1879" s="473">
        <f t="shared" si="201"/>
        <v>0</v>
      </c>
      <c r="AB1879" s="339">
        <f t="shared" si="202"/>
        <v>0</v>
      </c>
    </row>
    <row r="1880" spans="2:28" ht="20.100000000000001" customHeight="1">
      <c r="B1880" s="172"/>
      <c r="C1880" s="174"/>
      <c r="D1880" s="181"/>
      <c r="E1880" s="173"/>
      <c r="F1880" s="176"/>
      <c r="G1880" s="175">
        <f t="shared" si="193"/>
        <v>0</v>
      </c>
      <c r="H1880" s="175">
        <f t="shared" si="194"/>
        <v>0</v>
      </c>
      <c r="I1880" s="177">
        <f>IF(G1880=0,0,IF(E1880="MXN",1/HLOOKUP(YEAR(C1880)+(MONTH(C1880)/100),TC!$5:$37,DAY(C1880)+2,FALSE),VLOOKUP(E1880,Equivalencia!$5:$23,((MAX(Equivalencia!$3:$3)-YEAR(C1880))*14)+MONTH(C1880)+2,FALSE)))</f>
        <v>0</v>
      </c>
      <c r="J1880" s="178">
        <f t="shared" si="195"/>
        <v>0</v>
      </c>
      <c r="K1880" s="462">
        <f>IF(C1880=0,0,VLOOKUP(YEAR(C1880),INPC!$B$4:$O$29,MONTH(C1880)+1))</f>
        <v>0</v>
      </c>
      <c r="L1880" s="462">
        <f>IF(S1880=0,0,VLOOKUP(YEAR(S1880),INPC!$B$4:$O$29,MONTH(S1880)+1))</f>
        <v>0</v>
      </c>
      <c r="M1880" s="463">
        <f t="shared" si="196"/>
        <v>0</v>
      </c>
      <c r="N1880" s="465">
        <f t="shared" si="197"/>
        <v>0</v>
      </c>
      <c r="O1880" s="179"/>
      <c r="P1880" s="180"/>
      <c r="Q1880" s="173"/>
      <c r="R1880" s="173"/>
      <c r="S1880" s="174"/>
      <c r="T1880" s="173"/>
      <c r="U1880" s="182"/>
      <c r="V1880" s="177">
        <f>IF(U1880=0,0,IF(T1880="MXN",1/HLOOKUP(YEAR(S1880)+(MONTH(S1880)/100),TC!$5:$37,DAY(S1880)+2,FALSE),VLOOKUP(T1880,Equivalencia!$1:$23,((MAX(Equivalencia!$3:$3)-YEAR(S1880))*14)+MONTH(S1880)+2,FALSE)))</f>
        <v>0</v>
      </c>
      <c r="W1880" s="178">
        <f t="shared" si="198"/>
        <v>0</v>
      </c>
      <c r="X1880" s="481">
        <f t="shared" si="199"/>
        <v>0</v>
      </c>
      <c r="Y1880" s="179"/>
      <c r="Z1880" s="466">
        <f t="shared" si="200"/>
        <v>0</v>
      </c>
      <c r="AA1880" s="473">
        <f t="shared" si="201"/>
        <v>0</v>
      </c>
      <c r="AB1880" s="339">
        <f t="shared" si="202"/>
        <v>0</v>
      </c>
    </row>
    <row r="1881" spans="2:28" ht="20.100000000000001" customHeight="1">
      <c r="B1881" s="172"/>
      <c r="C1881" s="174"/>
      <c r="D1881" s="181"/>
      <c r="E1881" s="173"/>
      <c r="F1881" s="176"/>
      <c r="G1881" s="175">
        <f t="shared" si="193"/>
        <v>0</v>
      </c>
      <c r="H1881" s="175">
        <f t="shared" si="194"/>
        <v>0</v>
      </c>
      <c r="I1881" s="177">
        <f>IF(G1881=0,0,IF(E1881="MXN",1/HLOOKUP(YEAR(C1881)+(MONTH(C1881)/100),TC!$5:$37,DAY(C1881)+2,FALSE),VLOOKUP(E1881,Equivalencia!$5:$23,((MAX(Equivalencia!$3:$3)-YEAR(C1881))*14)+MONTH(C1881)+2,FALSE)))</f>
        <v>0</v>
      </c>
      <c r="J1881" s="178">
        <f t="shared" si="195"/>
        <v>0</v>
      </c>
      <c r="K1881" s="462">
        <f>IF(C1881=0,0,VLOOKUP(YEAR(C1881),INPC!$B$4:$O$29,MONTH(C1881)+1))</f>
        <v>0</v>
      </c>
      <c r="L1881" s="462">
        <f>IF(S1881=0,0,VLOOKUP(YEAR(S1881),INPC!$B$4:$O$29,MONTH(S1881)+1))</f>
        <v>0</v>
      </c>
      <c r="M1881" s="463">
        <f t="shared" si="196"/>
        <v>0</v>
      </c>
      <c r="N1881" s="465">
        <f t="shared" si="197"/>
        <v>0</v>
      </c>
      <c r="O1881" s="179"/>
      <c r="P1881" s="180"/>
      <c r="Q1881" s="173"/>
      <c r="R1881" s="173"/>
      <c r="S1881" s="174"/>
      <c r="T1881" s="173"/>
      <c r="U1881" s="182"/>
      <c r="V1881" s="177">
        <f>IF(U1881=0,0,IF(T1881="MXN",1/HLOOKUP(YEAR(S1881)+(MONTH(S1881)/100),TC!$5:$37,DAY(S1881)+2,FALSE),VLOOKUP(T1881,Equivalencia!$1:$23,((MAX(Equivalencia!$3:$3)-YEAR(S1881))*14)+MONTH(S1881)+2,FALSE)))</f>
        <v>0</v>
      </c>
      <c r="W1881" s="178">
        <f t="shared" si="198"/>
        <v>0</v>
      </c>
      <c r="X1881" s="481">
        <f t="shared" si="199"/>
        <v>0</v>
      </c>
      <c r="Y1881" s="179"/>
      <c r="Z1881" s="466">
        <f t="shared" si="200"/>
        <v>0</v>
      </c>
      <c r="AA1881" s="473">
        <f t="shared" si="201"/>
        <v>0</v>
      </c>
      <c r="AB1881" s="339">
        <f t="shared" si="202"/>
        <v>0</v>
      </c>
    </row>
    <row r="1882" spans="2:28" ht="20.100000000000001" customHeight="1">
      <c r="B1882" s="172"/>
      <c r="C1882" s="174"/>
      <c r="D1882" s="181"/>
      <c r="E1882" s="173"/>
      <c r="F1882" s="176"/>
      <c r="G1882" s="175">
        <f t="shared" si="193"/>
        <v>0</v>
      </c>
      <c r="H1882" s="175">
        <f t="shared" si="194"/>
        <v>0</v>
      </c>
      <c r="I1882" s="177">
        <f>IF(G1882=0,0,IF(E1882="MXN",1/HLOOKUP(YEAR(C1882)+(MONTH(C1882)/100),TC!$5:$37,DAY(C1882)+2,FALSE),VLOOKUP(E1882,Equivalencia!$5:$23,((MAX(Equivalencia!$3:$3)-YEAR(C1882))*14)+MONTH(C1882)+2,FALSE)))</f>
        <v>0</v>
      </c>
      <c r="J1882" s="178">
        <f t="shared" si="195"/>
        <v>0</v>
      </c>
      <c r="K1882" s="462">
        <f>IF(C1882=0,0,VLOOKUP(YEAR(C1882),INPC!$B$4:$O$29,MONTH(C1882)+1))</f>
        <v>0</v>
      </c>
      <c r="L1882" s="462">
        <f>IF(S1882=0,0,VLOOKUP(YEAR(S1882),INPC!$B$4:$O$29,MONTH(S1882)+1))</f>
        <v>0</v>
      </c>
      <c r="M1882" s="463">
        <f t="shared" si="196"/>
        <v>0</v>
      </c>
      <c r="N1882" s="465">
        <f t="shared" si="197"/>
        <v>0</v>
      </c>
      <c r="O1882" s="179"/>
      <c r="P1882" s="180"/>
      <c r="Q1882" s="173"/>
      <c r="R1882" s="173"/>
      <c r="S1882" s="174"/>
      <c r="T1882" s="173"/>
      <c r="U1882" s="182"/>
      <c r="V1882" s="177">
        <f>IF(U1882=0,0,IF(T1882="MXN",1/HLOOKUP(YEAR(S1882)+(MONTH(S1882)/100),TC!$5:$37,DAY(S1882)+2,FALSE),VLOOKUP(T1882,Equivalencia!$1:$23,((MAX(Equivalencia!$3:$3)-YEAR(S1882))*14)+MONTH(S1882)+2,FALSE)))</f>
        <v>0</v>
      </c>
      <c r="W1882" s="178">
        <f t="shared" si="198"/>
        <v>0</v>
      </c>
      <c r="X1882" s="481">
        <f t="shared" si="199"/>
        <v>0</v>
      </c>
      <c r="Y1882" s="179"/>
      <c r="Z1882" s="466">
        <f t="shared" si="200"/>
        <v>0</v>
      </c>
      <c r="AA1882" s="473">
        <f t="shared" si="201"/>
        <v>0</v>
      </c>
      <c r="AB1882" s="339">
        <f t="shared" si="202"/>
        <v>0</v>
      </c>
    </row>
    <row r="1883" spans="2:28" ht="20.100000000000001" customHeight="1">
      <c r="B1883" s="172"/>
      <c r="C1883" s="174"/>
      <c r="D1883" s="181"/>
      <c r="E1883" s="173"/>
      <c r="F1883" s="176"/>
      <c r="G1883" s="175">
        <f t="shared" si="193"/>
        <v>0</v>
      </c>
      <c r="H1883" s="175">
        <f t="shared" si="194"/>
        <v>0</v>
      </c>
      <c r="I1883" s="177">
        <f>IF(G1883=0,0,IF(E1883="MXN",1/HLOOKUP(YEAR(C1883)+(MONTH(C1883)/100),TC!$5:$37,DAY(C1883)+2,FALSE),VLOOKUP(E1883,Equivalencia!$5:$23,((MAX(Equivalencia!$3:$3)-YEAR(C1883))*14)+MONTH(C1883)+2,FALSE)))</f>
        <v>0</v>
      </c>
      <c r="J1883" s="178">
        <f t="shared" si="195"/>
        <v>0</v>
      </c>
      <c r="K1883" s="462">
        <f>IF(C1883=0,0,VLOOKUP(YEAR(C1883),INPC!$B$4:$O$29,MONTH(C1883)+1))</f>
        <v>0</v>
      </c>
      <c r="L1883" s="462">
        <f>IF(S1883=0,0,VLOOKUP(YEAR(S1883),INPC!$B$4:$O$29,MONTH(S1883)+1))</f>
        <v>0</v>
      </c>
      <c r="M1883" s="463">
        <f t="shared" si="196"/>
        <v>0</v>
      </c>
      <c r="N1883" s="465">
        <f t="shared" si="197"/>
        <v>0</v>
      </c>
      <c r="O1883" s="179"/>
      <c r="P1883" s="180"/>
      <c r="Q1883" s="173"/>
      <c r="R1883" s="173"/>
      <c r="S1883" s="174"/>
      <c r="T1883" s="173"/>
      <c r="U1883" s="182"/>
      <c r="V1883" s="177">
        <f>IF(U1883=0,0,IF(T1883="MXN",1/HLOOKUP(YEAR(S1883)+(MONTH(S1883)/100),TC!$5:$37,DAY(S1883)+2,FALSE),VLOOKUP(T1883,Equivalencia!$1:$23,((MAX(Equivalencia!$3:$3)-YEAR(S1883))*14)+MONTH(S1883)+2,FALSE)))</f>
        <v>0</v>
      </c>
      <c r="W1883" s="178">
        <f t="shared" si="198"/>
        <v>0</v>
      </c>
      <c r="X1883" s="481">
        <f t="shared" si="199"/>
        <v>0</v>
      </c>
      <c r="Y1883" s="179"/>
      <c r="Z1883" s="466">
        <f t="shared" si="200"/>
        <v>0</v>
      </c>
      <c r="AA1883" s="473">
        <f t="shared" si="201"/>
        <v>0</v>
      </c>
      <c r="AB1883" s="339">
        <f t="shared" si="202"/>
        <v>0</v>
      </c>
    </row>
    <row r="1884" spans="2:28" ht="20.100000000000001" customHeight="1">
      <c r="B1884" s="172"/>
      <c r="C1884" s="174"/>
      <c r="D1884" s="181"/>
      <c r="E1884" s="173"/>
      <c r="F1884" s="176"/>
      <c r="G1884" s="175">
        <f t="shared" si="193"/>
        <v>0</v>
      </c>
      <c r="H1884" s="175">
        <f t="shared" si="194"/>
        <v>0</v>
      </c>
      <c r="I1884" s="177">
        <f>IF(G1884=0,0,IF(E1884="MXN",1/HLOOKUP(YEAR(C1884)+(MONTH(C1884)/100),TC!$5:$37,DAY(C1884)+2,FALSE),VLOOKUP(E1884,Equivalencia!$5:$23,((MAX(Equivalencia!$3:$3)-YEAR(C1884))*14)+MONTH(C1884)+2,FALSE)))</f>
        <v>0</v>
      </c>
      <c r="J1884" s="178">
        <f t="shared" si="195"/>
        <v>0</v>
      </c>
      <c r="K1884" s="462">
        <f>IF(C1884=0,0,VLOOKUP(YEAR(C1884),INPC!$B$4:$O$29,MONTH(C1884)+1))</f>
        <v>0</v>
      </c>
      <c r="L1884" s="462">
        <f>IF(S1884=0,0,VLOOKUP(YEAR(S1884),INPC!$B$4:$O$29,MONTH(S1884)+1))</f>
        <v>0</v>
      </c>
      <c r="M1884" s="463">
        <f t="shared" si="196"/>
        <v>0</v>
      </c>
      <c r="N1884" s="465">
        <f t="shared" si="197"/>
        <v>0</v>
      </c>
      <c r="O1884" s="179"/>
      <c r="P1884" s="180"/>
      <c r="Q1884" s="173"/>
      <c r="R1884" s="173"/>
      <c r="S1884" s="174"/>
      <c r="T1884" s="173"/>
      <c r="U1884" s="182"/>
      <c r="V1884" s="177">
        <f>IF(U1884=0,0,IF(T1884="MXN",1/HLOOKUP(YEAR(S1884)+(MONTH(S1884)/100),TC!$5:$37,DAY(S1884)+2,FALSE),VLOOKUP(T1884,Equivalencia!$1:$23,((MAX(Equivalencia!$3:$3)-YEAR(S1884))*14)+MONTH(S1884)+2,FALSE)))</f>
        <v>0</v>
      </c>
      <c r="W1884" s="178">
        <f t="shared" si="198"/>
        <v>0</v>
      </c>
      <c r="X1884" s="481">
        <f t="shared" si="199"/>
        <v>0</v>
      </c>
      <c r="Y1884" s="179"/>
      <c r="Z1884" s="466">
        <f t="shared" si="200"/>
        <v>0</v>
      </c>
      <c r="AA1884" s="473">
        <f t="shared" si="201"/>
        <v>0</v>
      </c>
      <c r="AB1884" s="339">
        <f t="shared" si="202"/>
        <v>0</v>
      </c>
    </row>
    <row r="1885" spans="2:28" ht="20.100000000000001" customHeight="1">
      <c r="B1885" s="172"/>
      <c r="C1885" s="174"/>
      <c r="D1885" s="181"/>
      <c r="E1885" s="173"/>
      <c r="F1885" s="176"/>
      <c r="G1885" s="175">
        <f t="shared" si="193"/>
        <v>0</v>
      </c>
      <c r="H1885" s="175">
        <f t="shared" si="194"/>
        <v>0</v>
      </c>
      <c r="I1885" s="177">
        <f>IF(G1885=0,0,IF(E1885="MXN",1/HLOOKUP(YEAR(C1885)+(MONTH(C1885)/100),TC!$5:$37,DAY(C1885)+2,FALSE),VLOOKUP(E1885,Equivalencia!$5:$23,((MAX(Equivalencia!$3:$3)-YEAR(C1885))*14)+MONTH(C1885)+2,FALSE)))</f>
        <v>0</v>
      </c>
      <c r="J1885" s="178">
        <f t="shared" si="195"/>
        <v>0</v>
      </c>
      <c r="K1885" s="462">
        <f>IF(C1885=0,0,VLOOKUP(YEAR(C1885),INPC!$B$4:$O$29,MONTH(C1885)+1))</f>
        <v>0</v>
      </c>
      <c r="L1885" s="462">
        <f>IF(S1885=0,0,VLOOKUP(YEAR(S1885),INPC!$B$4:$O$29,MONTH(S1885)+1))</f>
        <v>0</v>
      </c>
      <c r="M1885" s="463">
        <f t="shared" si="196"/>
        <v>0</v>
      </c>
      <c r="N1885" s="465">
        <f t="shared" si="197"/>
        <v>0</v>
      </c>
      <c r="O1885" s="179"/>
      <c r="P1885" s="180"/>
      <c r="Q1885" s="173"/>
      <c r="R1885" s="173"/>
      <c r="S1885" s="174"/>
      <c r="T1885" s="173"/>
      <c r="U1885" s="182"/>
      <c r="V1885" s="177">
        <f>IF(U1885=0,0,IF(T1885="MXN",1/HLOOKUP(YEAR(S1885)+(MONTH(S1885)/100),TC!$5:$37,DAY(S1885)+2,FALSE),VLOOKUP(T1885,Equivalencia!$1:$23,((MAX(Equivalencia!$3:$3)-YEAR(S1885))*14)+MONTH(S1885)+2,FALSE)))</f>
        <v>0</v>
      </c>
      <c r="W1885" s="178">
        <f t="shared" si="198"/>
        <v>0</v>
      </c>
      <c r="X1885" s="481">
        <f t="shared" si="199"/>
        <v>0</v>
      </c>
      <c r="Y1885" s="179"/>
      <c r="Z1885" s="466">
        <f t="shared" si="200"/>
        <v>0</v>
      </c>
      <c r="AA1885" s="473">
        <f t="shared" si="201"/>
        <v>0</v>
      </c>
      <c r="AB1885" s="339">
        <f t="shared" si="202"/>
        <v>0</v>
      </c>
    </row>
    <row r="1886" spans="2:28" ht="20.100000000000001" customHeight="1">
      <c r="B1886" s="172"/>
      <c r="C1886" s="174"/>
      <c r="D1886" s="181"/>
      <c r="E1886" s="173"/>
      <c r="F1886" s="176"/>
      <c r="G1886" s="175">
        <f t="shared" si="193"/>
        <v>0</v>
      </c>
      <c r="H1886" s="175">
        <f t="shared" si="194"/>
        <v>0</v>
      </c>
      <c r="I1886" s="177">
        <f>IF(G1886=0,0,IF(E1886="MXN",1/HLOOKUP(YEAR(C1886)+(MONTH(C1886)/100),TC!$5:$37,DAY(C1886)+2,FALSE),VLOOKUP(E1886,Equivalencia!$5:$23,((MAX(Equivalencia!$3:$3)-YEAR(C1886))*14)+MONTH(C1886)+2,FALSE)))</f>
        <v>0</v>
      </c>
      <c r="J1886" s="178">
        <f t="shared" si="195"/>
        <v>0</v>
      </c>
      <c r="K1886" s="462">
        <f>IF(C1886=0,0,VLOOKUP(YEAR(C1886),INPC!$B$4:$O$29,MONTH(C1886)+1))</f>
        <v>0</v>
      </c>
      <c r="L1886" s="462">
        <f>IF(S1886=0,0,VLOOKUP(YEAR(S1886),INPC!$B$4:$O$29,MONTH(S1886)+1))</f>
        <v>0</v>
      </c>
      <c r="M1886" s="463">
        <f t="shared" si="196"/>
        <v>0</v>
      </c>
      <c r="N1886" s="465">
        <f t="shared" si="197"/>
        <v>0</v>
      </c>
      <c r="O1886" s="179"/>
      <c r="P1886" s="180"/>
      <c r="Q1886" s="173"/>
      <c r="R1886" s="173"/>
      <c r="S1886" s="174"/>
      <c r="T1886" s="173"/>
      <c r="U1886" s="182"/>
      <c r="V1886" s="177">
        <f>IF(U1886=0,0,IF(T1886="MXN",1/HLOOKUP(YEAR(S1886)+(MONTH(S1886)/100),TC!$5:$37,DAY(S1886)+2,FALSE),VLOOKUP(T1886,Equivalencia!$1:$23,((MAX(Equivalencia!$3:$3)-YEAR(S1886))*14)+MONTH(S1886)+2,FALSE)))</f>
        <v>0</v>
      </c>
      <c r="W1886" s="178">
        <f t="shared" si="198"/>
        <v>0</v>
      </c>
      <c r="X1886" s="481">
        <f t="shared" si="199"/>
        <v>0</v>
      </c>
      <c r="Y1886" s="179"/>
      <c r="Z1886" s="466">
        <f t="shared" si="200"/>
        <v>0</v>
      </c>
      <c r="AA1886" s="473">
        <f t="shared" si="201"/>
        <v>0</v>
      </c>
      <c r="AB1886" s="339">
        <f t="shared" si="202"/>
        <v>0</v>
      </c>
    </row>
    <row r="1887" spans="2:28" ht="20.100000000000001" customHeight="1">
      <c r="B1887" s="172"/>
      <c r="C1887" s="174"/>
      <c r="D1887" s="181"/>
      <c r="E1887" s="173"/>
      <c r="F1887" s="176"/>
      <c r="G1887" s="175">
        <f t="shared" si="193"/>
        <v>0</v>
      </c>
      <c r="H1887" s="175">
        <f t="shared" si="194"/>
        <v>0</v>
      </c>
      <c r="I1887" s="177">
        <f>IF(G1887=0,0,IF(E1887="MXN",1/HLOOKUP(YEAR(C1887)+(MONTH(C1887)/100),TC!$5:$37,DAY(C1887)+2,FALSE),VLOOKUP(E1887,Equivalencia!$5:$23,((MAX(Equivalencia!$3:$3)-YEAR(C1887))*14)+MONTH(C1887)+2,FALSE)))</f>
        <v>0</v>
      </c>
      <c r="J1887" s="178">
        <f t="shared" si="195"/>
        <v>0</v>
      </c>
      <c r="K1887" s="462">
        <f>IF(C1887=0,0,VLOOKUP(YEAR(C1887),INPC!$B$4:$O$29,MONTH(C1887)+1))</f>
        <v>0</v>
      </c>
      <c r="L1887" s="462">
        <f>IF(S1887=0,0,VLOOKUP(YEAR(S1887),INPC!$B$4:$O$29,MONTH(S1887)+1))</f>
        <v>0</v>
      </c>
      <c r="M1887" s="463">
        <f t="shared" si="196"/>
        <v>0</v>
      </c>
      <c r="N1887" s="465">
        <f t="shared" si="197"/>
        <v>0</v>
      </c>
      <c r="O1887" s="179"/>
      <c r="P1887" s="180"/>
      <c r="Q1887" s="173"/>
      <c r="R1887" s="173"/>
      <c r="S1887" s="174"/>
      <c r="T1887" s="173"/>
      <c r="U1887" s="182"/>
      <c r="V1887" s="177">
        <f>IF(U1887=0,0,IF(T1887="MXN",1/HLOOKUP(YEAR(S1887)+(MONTH(S1887)/100),TC!$5:$37,DAY(S1887)+2,FALSE),VLOOKUP(T1887,Equivalencia!$1:$23,((MAX(Equivalencia!$3:$3)-YEAR(S1887))*14)+MONTH(S1887)+2,FALSE)))</f>
        <v>0</v>
      </c>
      <c r="W1887" s="178">
        <f t="shared" si="198"/>
        <v>0</v>
      </c>
      <c r="X1887" s="481">
        <f t="shared" si="199"/>
        <v>0</v>
      </c>
      <c r="Y1887" s="179"/>
      <c r="Z1887" s="466">
        <f t="shared" si="200"/>
        <v>0</v>
      </c>
      <c r="AA1887" s="473">
        <f t="shared" si="201"/>
        <v>0</v>
      </c>
      <c r="AB1887" s="339">
        <f t="shared" si="202"/>
        <v>0</v>
      </c>
    </row>
    <row r="1888" spans="2:28" ht="20.100000000000001" customHeight="1">
      <c r="B1888" s="172"/>
      <c r="C1888" s="174"/>
      <c r="D1888" s="181"/>
      <c r="E1888" s="173"/>
      <c r="F1888" s="176"/>
      <c r="G1888" s="175">
        <f t="shared" si="193"/>
        <v>0</v>
      </c>
      <c r="H1888" s="175">
        <f t="shared" si="194"/>
        <v>0</v>
      </c>
      <c r="I1888" s="177">
        <f>IF(G1888=0,0,IF(E1888="MXN",1/HLOOKUP(YEAR(C1888)+(MONTH(C1888)/100),TC!$5:$37,DAY(C1888)+2,FALSE),VLOOKUP(E1888,Equivalencia!$5:$23,((MAX(Equivalencia!$3:$3)-YEAR(C1888))*14)+MONTH(C1888)+2,FALSE)))</f>
        <v>0</v>
      </c>
      <c r="J1888" s="178">
        <f t="shared" si="195"/>
        <v>0</v>
      </c>
      <c r="K1888" s="462">
        <f>IF(C1888=0,0,VLOOKUP(YEAR(C1888),INPC!$B$4:$O$29,MONTH(C1888)+1))</f>
        <v>0</v>
      </c>
      <c r="L1888" s="462">
        <f>IF(S1888=0,0,VLOOKUP(YEAR(S1888),INPC!$B$4:$O$29,MONTH(S1888)+1))</f>
        <v>0</v>
      </c>
      <c r="M1888" s="463">
        <f t="shared" si="196"/>
        <v>0</v>
      </c>
      <c r="N1888" s="465">
        <f t="shared" si="197"/>
        <v>0</v>
      </c>
      <c r="O1888" s="179"/>
      <c r="P1888" s="180"/>
      <c r="Q1888" s="173"/>
      <c r="R1888" s="173"/>
      <c r="S1888" s="174"/>
      <c r="T1888" s="173"/>
      <c r="U1888" s="182"/>
      <c r="V1888" s="177">
        <f>IF(U1888=0,0,IF(T1888="MXN",1/HLOOKUP(YEAR(S1888)+(MONTH(S1888)/100),TC!$5:$37,DAY(S1888)+2,FALSE),VLOOKUP(T1888,Equivalencia!$1:$23,((MAX(Equivalencia!$3:$3)-YEAR(S1888))*14)+MONTH(S1888)+2,FALSE)))</f>
        <v>0</v>
      </c>
      <c r="W1888" s="178">
        <f t="shared" si="198"/>
        <v>0</v>
      </c>
      <c r="X1888" s="481">
        <f t="shared" si="199"/>
        <v>0</v>
      </c>
      <c r="Y1888" s="179"/>
      <c r="Z1888" s="466">
        <f t="shared" si="200"/>
        <v>0</v>
      </c>
      <c r="AA1888" s="473">
        <f t="shared" si="201"/>
        <v>0</v>
      </c>
      <c r="AB1888" s="339">
        <f t="shared" si="202"/>
        <v>0</v>
      </c>
    </row>
    <row r="1889" spans="2:28" ht="20.100000000000001" customHeight="1">
      <c r="B1889" s="172"/>
      <c r="C1889" s="174"/>
      <c r="D1889" s="181"/>
      <c r="E1889" s="173"/>
      <c r="F1889" s="176"/>
      <c r="G1889" s="175">
        <f t="shared" si="193"/>
        <v>0</v>
      </c>
      <c r="H1889" s="175">
        <f t="shared" si="194"/>
        <v>0</v>
      </c>
      <c r="I1889" s="177">
        <f>IF(G1889=0,0,IF(E1889="MXN",1/HLOOKUP(YEAR(C1889)+(MONTH(C1889)/100),TC!$5:$37,DAY(C1889)+2,FALSE),VLOOKUP(E1889,Equivalencia!$5:$23,((MAX(Equivalencia!$3:$3)-YEAR(C1889))*14)+MONTH(C1889)+2,FALSE)))</f>
        <v>0</v>
      </c>
      <c r="J1889" s="178">
        <f t="shared" si="195"/>
        <v>0</v>
      </c>
      <c r="K1889" s="462">
        <f>IF(C1889=0,0,VLOOKUP(YEAR(C1889),INPC!$B$4:$O$29,MONTH(C1889)+1))</f>
        <v>0</v>
      </c>
      <c r="L1889" s="462">
        <f>IF(S1889=0,0,VLOOKUP(YEAR(S1889),INPC!$B$4:$O$29,MONTH(S1889)+1))</f>
        <v>0</v>
      </c>
      <c r="M1889" s="463">
        <f t="shared" si="196"/>
        <v>0</v>
      </c>
      <c r="N1889" s="465">
        <f t="shared" si="197"/>
        <v>0</v>
      </c>
      <c r="O1889" s="179"/>
      <c r="P1889" s="180"/>
      <c r="Q1889" s="173"/>
      <c r="R1889" s="173"/>
      <c r="S1889" s="174"/>
      <c r="T1889" s="173"/>
      <c r="U1889" s="182"/>
      <c r="V1889" s="177">
        <f>IF(U1889=0,0,IF(T1889="MXN",1/HLOOKUP(YEAR(S1889)+(MONTH(S1889)/100),TC!$5:$37,DAY(S1889)+2,FALSE),VLOOKUP(T1889,Equivalencia!$1:$23,((MAX(Equivalencia!$3:$3)-YEAR(S1889))*14)+MONTH(S1889)+2,FALSE)))</f>
        <v>0</v>
      </c>
      <c r="W1889" s="178">
        <f t="shared" si="198"/>
        <v>0</v>
      </c>
      <c r="X1889" s="481">
        <f t="shared" si="199"/>
        <v>0</v>
      </c>
      <c r="Y1889" s="179"/>
      <c r="Z1889" s="466">
        <f t="shared" si="200"/>
        <v>0</v>
      </c>
      <c r="AA1889" s="473">
        <f t="shared" si="201"/>
        <v>0</v>
      </c>
      <c r="AB1889" s="339">
        <f t="shared" si="202"/>
        <v>0</v>
      </c>
    </row>
    <row r="1890" spans="2:28" ht="20.100000000000001" customHeight="1">
      <c r="B1890" s="172"/>
      <c r="C1890" s="174"/>
      <c r="D1890" s="181"/>
      <c r="E1890" s="173"/>
      <c r="F1890" s="176"/>
      <c r="G1890" s="175">
        <f t="shared" si="193"/>
        <v>0</v>
      </c>
      <c r="H1890" s="175">
        <f t="shared" si="194"/>
        <v>0</v>
      </c>
      <c r="I1890" s="177">
        <f>IF(G1890=0,0,IF(E1890="MXN",1/HLOOKUP(YEAR(C1890)+(MONTH(C1890)/100),TC!$5:$37,DAY(C1890)+2,FALSE),VLOOKUP(E1890,Equivalencia!$5:$23,((MAX(Equivalencia!$3:$3)-YEAR(C1890))*14)+MONTH(C1890)+2,FALSE)))</f>
        <v>0</v>
      </c>
      <c r="J1890" s="178">
        <f t="shared" si="195"/>
        <v>0</v>
      </c>
      <c r="K1890" s="462">
        <f>IF(C1890=0,0,VLOOKUP(YEAR(C1890),INPC!$B$4:$O$29,MONTH(C1890)+1))</f>
        <v>0</v>
      </c>
      <c r="L1890" s="462">
        <f>IF(S1890=0,0,VLOOKUP(YEAR(S1890),INPC!$B$4:$O$29,MONTH(S1890)+1))</f>
        <v>0</v>
      </c>
      <c r="M1890" s="463">
        <f t="shared" si="196"/>
        <v>0</v>
      </c>
      <c r="N1890" s="465">
        <f t="shared" si="197"/>
        <v>0</v>
      </c>
      <c r="O1890" s="179"/>
      <c r="P1890" s="180"/>
      <c r="Q1890" s="173"/>
      <c r="R1890" s="173"/>
      <c r="S1890" s="174"/>
      <c r="T1890" s="173"/>
      <c r="U1890" s="182"/>
      <c r="V1890" s="177">
        <f>IF(U1890=0,0,IF(T1890="MXN",1/HLOOKUP(YEAR(S1890)+(MONTH(S1890)/100),TC!$5:$37,DAY(S1890)+2,FALSE),VLOOKUP(T1890,Equivalencia!$1:$23,((MAX(Equivalencia!$3:$3)-YEAR(S1890))*14)+MONTH(S1890)+2,FALSE)))</f>
        <v>0</v>
      </c>
      <c r="W1890" s="178">
        <f t="shared" si="198"/>
        <v>0</v>
      </c>
      <c r="X1890" s="481">
        <f t="shared" si="199"/>
        <v>0</v>
      </c>
      <c r="Y1890" s="179"/>
      <c r="Z1890" s="466">
        <f t="shared" si="200"/>
        <v>0</v>
      </c>
      <c r="AA1890" s="473">
        <f t="shared" si="201"/>
        <v>0</v>
      </c>
      <c r="AB1890" s="339">
        <f t="shared" si="202"/>
        <v>0</v>
      </c>
    </row>
    <row r="1891" spans="2:28" ht="20.100000000000001" customHeight="1">
      <c r="B1891" s="172"/>
      <c r="C1891" s="174"/>
      <c r="D1891" s="181"/>
      <c r="E1891" s="173"/>
      <c r="F1891" s="176"/>
      <c r="G1891" s="175">
        <f t="shared" si="193"/>
        <v>0</v>
      </c>
      <c r="H1891" s="175">
        <f t="shared" si="194"/>
        <v>0</v>
      </c>
      <c r="I1891" s="177">
        <f>IF(G1891=0,0,IF(E1891="MXN",1/HLOOKUP(YEAR(C1891)+(MONTH(C1891)/100),TC!$5:$37,DAY(C1891)+2,FALSE),VLOOKUP(E1891,Equivalencia!$5:$23,((MAX(Equivalencia!$3:$3)-YEAR(C1891))*14)+MONTH(C1891)+2,FALSE)))</f>
        <v>0</v>
      </c>
      <c r="J1891" s="178">
        <f t="shared" si="195"/>
        <v>0</v>
      </c>
      <c r="K1891" s="462">
        <f>IF(C1891=0,0,VLOOKUP(YEAR(C1891),INPC!$B$4:$O$29,MONTH(C1891)+1))</f>
        <v>0</v>
      </c>
      <c r="L1891" s="462">
        <f>IF(S1891=0,0,VLOOKUP(YEAR(S1891),INPC!$B$4:$O$29,MONTH(S1891)+1))</f>
        <v>0</v>
      </c>
      <c r="M1891" s="463">
        <f t="shared" si="196"/>
        <v>0</v>
      </c>
      <c r="N1891" s="465">
        <f t="shared" si="197"/>
        <v>0</v>
      </c>
      <c r="O1891" s="179"/>
      <c r="P1891" s="180"/>
      <c r="Q1891" s="173"/>
      <c r="R1891" s="173"/>
      <c r="S1891" s="174"/>
      <c r="T1891" s="173"/>
      <c r="U1891" s="182"/>
      <c r="V1891" s="177">
        <f>IF(U1891=0,0,IF(T1891="MXN",1/HLOOKUP(YEAR(S1891)+(MONTH(S1891)/100),TC!$5:$37,DAY(S1891)+2,FALSE),VLOOKUP(T1891,Equivalencia!$1:$23,((MAX(Equivalencia!$3:$3)-YEAR(S1891))*14)+MONTH(S1891)+2,FALSE)))</f>
        <v>0</v>
      </c>
      <c r="W1891" s="178">
        <f t="shared" si="198"/>
        <v>0</v>
      </c>
      <c r="X1891" s="481">
        <f t="shared" si="199"/>
        <v>0</v>
      </c>
      <c r="Y1891" s="179"/>
      <c r="Z1891" s="466">
        <f t="shared" si="200"/>
        <v>0</v>
      </c>
      <c r="AA1891" s="473">
        <f t="shared" si="201"/>
        <v>0</v>
      </c>
      <c r="AB1891" s="339">
        <f t="shared" si="202"/>
        <v>0</v>
      </c>
    </row>
    <row r="1892" spans="2:28" ht="20.100000000000001" customHeight="1">
      <c r="B1892" s="172"/>
      <c r="C1892" s="174"/>
      <c r="D1892" s="181"/>
      <c r="E1892" s="173"/>
      <c r="F1892" s="176"/>
      <c r="G1892" s="175">
        <f t="shared" si="193"/>
        <v>0</v>
      </c>
      <c r="H1892" s="175">
        <f t="shared" si="194"/>
        <v>0</v>
      </c>
      <c r="I1892" s="177">
        <f>IF(G1892=0,0,IF(E1892="MXN",1/HLOOKUP(YEAR(C1892)+(MONTH(C1892)/100),TC!$5:$37,DAY(C1892)+2,FALSE),VLOOKUP(E1892,Equivalencia!$5:$23,((MAX(Equivalencia!$3:$3)-YEAR(C1892))*14)+MONTH(C1892)+2,FALSE)))</f>
        <v>0</v>
      </c>
      <c r="J1892" s="178">
        <f t="shared" si="195"/>
        <v>0</v>
      </c>
      <c r="K1892" s="462">
        <f>IF(C1892=0,0,VLOOKUP(YEAR(C1892),INPC!$B$4:$O$29,MONTH(C1892)+1))</f>
        <v>0</v>
      </c>
      <c r="L1892" s="462">
        <f>IF(S1892=0,0,VLOOKUP(YEAR(S1892),INPC!$B$4:$O$29,MONTH(S1892)+1))</f>
        <v>0</v>
      </c>
      <c r="M1892" s="463">
        <f t="shared" si="196"/>
        <v>0</v>
      </c>
      <c r="N1892" s="465">
        <f t="shared" si="197"/>
        <v>0</v>
      </c>
      <c r="O1892" s="179"/>
      <c r="P1892" s="180"/>
      <c r="Q1892" s="173"/>
      <c r="R1892" s="173"/>
      <c r="S1892" s="174"/>
      <c r="T1892" s="173"/>
      <c r="U1892" s="182"/>
      <c r="V1892" s="177">
        <f>IF(U1892=0,0,IF(T1892="MXN",1/HLOOKUP(YEAR(S1892)+(MONTH(S1892)/100),TC!$5:$37,DAY(S1892)+2,FALSE),VLOOKUP(T1892,Equivalencia!$1:$23,((MAX(Equivalencia!$3:$3)-YEAR(S1892))*14)+MONTH(S1892)+2,FALSE)))</f>
        <v>0</v>
      </c>
      <c r="W1892" s="178">
        <f t="shared" si="198"/>
        <v>0</v>
      </c>
      <c r="X1892" s="481">
        <f t="shared" si="199"/>
        <v>0</v>
      </c>
      <c r="Y1892" s="179"/>
      <c r="Z1892" s="466">
        <f t="shared" si="200"/>
        <v>0</v>
      </c>
      <c r="AA1892" s="473">
        <f t="shared" si="201"/>
        <v>0</v>
      </c>
      <c r="AB1892" s="339">
        <f t="shared" si="202"/>
        <v>0</v>
      </c>
    </row>
    <row r="1893" spans="2:28" ht="20.100000000000001" customHeight="1">
      <c r="B1893" s="172"/>
      <c r="C1893" s="174"/>
      <c r="D1893" s="181"/>
      <c r="E1893" s="173"/>
      <c r="F1893" s="176"/>
      <c r="G1893" s="175">
        <f t="shared" si="193"/>
        <v>0</v>
      </c>
      <c r="H1893" s="175">
        <f t="shared" si="194"/>
        <v>0</v>
      </c>
      <c r="I1893" s="177">
        <f>IF(G1893=0,0,IF(E1893="MXN",1/HLOOKUP(YEAR(C1893)+(MONTH(C1893)/100),TC!$5:$37,DAY(C1893)+2,FALSE),VLOOKUP(E1893,Equivalencia!$5:$23,((MAX(Equivalencia!$3:$3)-YEAR(C1893))*14)+MONTH(C1893)+2,FALSE)))</f>
        <v>0</v>
      </c>
      <c r="J1893" s="178">
        <f t="shared" si="195"/>
        <v>0</v>
      </c>
      <c r="K1893" s="462">
        <f>IF(C1893=0,0,VLOOKUP(YEAR(C1893),INPC!$B$4:$O$29,MONTH(C1893)+1))</f>
        <v>0</v>
      </c>
      <c r="L1893" s="462">
        <f>IF(S1893=0,0,VLOOKUP(YEAR(S1893),INPC!$B$4:$O$29,MONTH(S1893)+1))</f>
        <v>0</v>
      </c>
      <c r="M1893" s="463">
        <f t="shared" si="196"/>
        <v>0</v>
      </c>
      <c r="N1893" s="465">
        <f t="shared" si="197"/>
        <v>0</v>
      </c>
      <c r="O1893" s="179"/>
      <c r="P1893" s="180"/>
      <c r="Q1893" s="173"/>
      <c r="R1893" s="173"/>
      <c r="S1893" s="174"/>
      <c r="T1893" s="173"/>
      <c r="U1893" s="182"/>
      <c r="V1893" s="177">
        <f>IF(U1893=0,0,IF(T1893="MXN",1/HLOOKUP(YEAR(S1893)+(MONTH(S1893)/100),TC!$5:$37,DAY(S1893)+2,FALSE),VLOOKUP(T1893,Equivalencia!$1:$23,((MAX(Equivalencia!$3:$3)-YEAR(S1893))*14)+MONTH(S1893)+2,FALSE)))</f>
        <v>0</v>
      </c>
      <c r="W1893" s="178">
        <f t="shared" si="198"/>
        <v>0</v>
      </c>
      <c r="X1893" s="481">
        <f t="shared" si="199"/>
        <v>0</v>
      </c>
      <c r="Y1893" s="179"/>
      <c r="Z1893" s="466">
        <f t="shared" si="200"/>
        <v>0</v>
      </c>
      <c r="AA1893" s="473">
        <f t="shared" si="201"/>
        <v>0</v>
      </c>
      <c r="AB1893" s="339">
        <f t="shared" si="202"/>
        <v>0</v>
      </c>
    </row>
    <row r="1894" spans="2:28" ht="20.100000000000001" customHeight="1">
      <c r="B1894" s="172"/>
      <c r="C1894" s="174"/>
      <c r="D1894" s="181"/>
      <c r="E1894" s="173"/>
      <c r="F1894" s="176"/>
      <c r="G1894" s="175">
        <f t="shared" si="193"/>
        <v>0</v>
      </c>
      <c r="H1894" s="175">
        <f t="shared" si="194"/>
        <v>0</v>
      </c>
      <c r="I1894" s="177">
        <f>IF(G1894=0,0,IF(E1894="MXN",1/HLOOKUP(YEAR(C1894)+(MONTH(C1894)/100),TC!$5:$37,DAY(C1894)+2,FALSE),VLOOKUP(E1894,Equivalencia!$5:$23,((MAX(Equivalencia!$3:$3)-YEAR(C1894))*14)+MONTH(C1894)+2,FALSE)))</f>
        <v>0</v>
      </c>
      <c r="J1894" s="178">
        <f t="shared" si="195"/>
        <v>0</v>
      </c>
      <c r="K1894" s="462">
        <f>IF(C1894=0,0,VLOOKUP(YEAR(C1894),INPC!$B$4:$O$29,MONTH(C1894)+1))</f>
        <v>0</v>
      </c>
      <c r="L1894" s="462">
        <f>IF(S1894=0,0,VLOOKUP(YEAR(S1894),INPC!$B$4:$O$29,MONTH(S1894)+1))</f>
        <v>0</v>
      </c>
      <c r="M1894" s="463">
        <f t="shared" si="196"/>
        <v>0</v>
      </c>
      <c r="N1894" s="465">
        <f t="shared" si="197"/>
        <v>0</v>
      </c>
      <c r="O1894" s="179"/>
      <c r="P1894" s="180"/>
      <c r="Q1894" s="173"/>
      <c r="R1894" s="173"/>
      <c r="S1894" s="174"/>
      <c r="T1894" s="173"/>
      <c r="U1894" s="182"/>
      <c r="V1894" s="177">
        <f>IF(U1894=0,0,IF(T1894="MXN",1/HLOOKUP(YEAR(S1894)+(MONTH(S1894)/100),TC!$5:$37,DAY(S1894)+2,FALSE),VLOOKUP(T1894,Equivalencia!$1:$23,((MAX(Equivalencia!$3:$3)-YEAR(S1894))*14)+MONTH(S1894)+2,FALSE)))</f>
        <v>0</v>
      </c>
      <c r="W1894" s="178">
        <f t="shared" si="198"/>
        <v>0</v>
      </c>
      <c r="X1894" s="481">
        <f t="shared" si="199"/>
        <v>0</v>
      </c>
      <c r="Y1894" s="179"/>
      <c r="Z1894" s="466">
        <f t="shared" si="200"/>
        <v>0</v>
      </c>
      <c r="AA1894" s="473">
        <f t="shared" si="201"/>
        <v>0</v>
      </c>
      <c r="AB1894" s="339">
        <f t="shared" si="202"/>
        <v>0</v>
      </c>
    </row>
    <row r="1895" spans="2:28" ht="20.100000000000001" customHeight="1">
      <c r="B1895" s="172"/>
      <c r="C1895" s="174"/>
      <c r="D1895" s="181"/>
      <c r="E1895" s="173"/>
      <c r="F1895" s="176"/>
      <c r="G1895" s="175">
        <f t="shared" si="193"/>
        <v>0</v>
      </c>
      <c r="H1895" s="175">
        <f t="shared" si="194"/>
        <v>0</v>
      </c>
      <c r="I1895" s="177">
        <f>IF(G1895=0,0,IF(E1895="MXN",1/HLOOKUP(YEAR(C1895)+(MONTH(C1895)/100),TC!$5:$37,DAY(C1895)+2,FALSE),VLOOKUP(E1895,Equivalencia!$5:$23,((MAX(Equivalencia!$3:$3)-YEAR(C1895))*14)+MONTH(C1895)+2,FALSE)))</f>
        <v>0</v>
      </c>
      <c r="J1895" s="178">
        <f t="shared" si="195"/>
        <v>0</v>
      </c>
      <c r="K1895" s="462">
        <f>IF(C1895=0,0,VLOOKUP(YEAR(C1895),INPC!$B$4:$O$29,MONTH(C1895)+1))</f>
        <v>0</v>
      </c>
      <c r="L1895" s="462">
        <f>IF(S1895=0,0,VLOOKUP(YEAR(S1895),INPC!$B$4:$O$29,MONTH(S1895)+1))</f>
        <v>0</v>
      </c>
      <c r="M1895" s="463">
        <f t="shared" si="196"/>
        <v>0</v>
      </c>
      <c r="N1895" s="465">
        <f t="shared" si="197"/>
        <v>0</v>
      </c>
      <c r="O1895" s="179"/>
      <c r="P1895" s="180"/>
      <c r="Q1895" s="173"/>
      <c r="R1895" s="173"/>
      <c r="S1895" s="174"/>
      <c r="T1895" s="173"/>
      <c r="U1895" s="182"/>
      <c r="V1895" s="177">
        <f>IF(U1895=0,0,IF(T1895="MXN",1/HLOOKUP(YEAR(S1895)+(MONTH(S1895)/100),TC!$5:$37,DAY(S1895)+2,FALSE),VLOOKUP(T1895,Equivalencia!$1:$23,((MAX(Equivalencia!$3:$3)-YEAR(S1895))*14)+MONTH(S1895)+2,FALSE)))</f>
        <v>0</v>
      </c>
      <c r="W1895" s="178">
        <f t="shared" si="198"/>
        <v>0</v>
      </c>
      <c r="X1895" s="481">
        <f t="shared" si="199"/>
        <v>0</v>
      </c>
      <c r="Y1895" s="179"/>
      <c r="Z1895" s="466">
        <f t="shared" si="200"/>
        <v>0</v>
      </c>
      <c r="AA1895" s="473">
        <f t="shared" si="201"/>
        <v>0</v>
      </c>
      <c r="AB1895" s="339">
        <f t="shared" si="202"/>
        <v>0</v>
      </c>
    </row>
    <row r="1896" spans="2:28" ht="20.100000000000001" customHeight="1">
      <c r="B1896" s="172"/>
      <c r="C1896" s="174"/>
      <c r="D1896" s="181"/>
      <c r="E1896" s="173"/>
      <c r="F1896" s="176"/>
      <c r="G1896" s="175">
        <f t="shared" si="193"/>
        <v>0</v>
      </c>
      <c r="H1896" s="175">
        <f t="shared" si="194"/>
        <v>0</v>
      </c>
      <c r="I1896" s="177">
        <f>IF(G1896=0,0,IF(E1896="MXN",1/HLOOKUP(YEAR(C1896)+(MONTH(C1896)/100),TC!$5:$37,DAY(C1896)+2,FALSE),VLOOKUP(E1896,Equivalencia!$5:$23,((MAX(Equivalencia!$3:$3)-YEAR(C1896))*14)+MONTH(C1896)+2,FALSE)))</f>
        <v>0</v>
      </c>
      <c r="J1896" s="178">
        <f t="shared" si="195"/>
        <v>0</v>
      </c>
      <c r="K1896" s="462">
        <f>IF(C1896=0,0,VLOOKUP(YEAR(C1896),INPC!$B$4:$O$29,MONTH(C1896)+1))</f>
        <v>0</v>
      </c>
      <c r="L1896" s="462">
        <f>IF(S1896=0,0,VLOOKUP(YEAR(S1896),INPC!$B$4:$O$29,MONTH(S1896)+1))</f>
        <v>0</v>
      </c>
      <c r="M1896" s="463">
        <f t="shared" si="196"/>
        <v>0</v>
      </c>
      <c r="N1896" s="465">
        <f t="shared" si="197"/>
        <v>0</v>
      </c>
      <c r="O1896" s="179"/>
      <c r="P1896" s="180"/>
      <c r="Q1896" s="173"/>
      <c r="R1896" s="173"/>
      <c r="S1896" s="174"/>
      <c r="T1896" s="173"/>
      <c r="U1896" s="182"/>
      <c r="V1896" s="177">
        <f>IF(U1896=0,0,IF(T1896="MXN",1/HLOOKUP(YEAR(S1896)+(MONTH(S1896)/100),TC!$5:$37,DAY(S1896)+2,FALSE),VLOOKUP(T1896,Equivalencia!$1:$23,((MAX(Equivalencia!$3:$3)-YEAR(S1896))*14)+MONTH(S1896)+2,FALSE)))</f>
        <v>0</v>
      </c>
      <c r="W1896" s="178">
        <f t="shared" si="198"/>
        <v>0</v>
      </c>
      <c r="X1896" s="481">
        <f t="shared" si="199"/>
        <v>0</v>
      </c>
      <c r="Y1896" s="179"/>
      <c r="Z1896" s="466">
        <f t="shared" si="200"/>
        <v>0</v>
      </c>
      <c r="AA1896" s="473">
        <f t="shared" si="201"/>
        <v>0</v>
      </c>
      <c r="AB1896" s="339">
        <f t="shared" si="202"/>
        <v>0</v>
      </c>
    </row>
    <row r="1897" spans="2:28" ht="20.100000000000001" customHeight="1">
      <c r="B1897" s="172"/>
      <c r="C1897" s="174"/>
      <c r="D1897" s="181"/>
      <c r="E1897" s="173"/>
      <c r="F1897" s="176"/>
      <c r="G1897" s="175">
        <f t="shared" si="193"/>
        <v>0</v>
      </c>
      <c r="H1897" s="175">
        <f t="shared" si="194"/>
        <v>0</v>
      </c>
      <c r="I1897" s="177">
        <f>IF(G1897=0,0,IF(E1897="MXN",1/HLOOKUP(YEAR(C1897)+(MONTH(C1897)/100),TC!$5:$37,DAY(C1897)+2,FALSE),VLOOKUP(E1897,Equivalencia!$5:$23,((MAX(Equivalencia!$3:$3)-YEAR(C1897))*14)+MONTH(C1897)+2,FALSE)))</f>
        <v>0</v>
      </c>
      <c r="J1897" s="178">
        <f t="shared" si="195"/>
        <v>0</v>
      </c>
      <c r="K1897" s="462">
        <f>IF(C1897=0,0,VLOOKUP(YEAR(C1897),INPC!$B$4:$O$29,MONTH(C1897)+1))</f>
        <v>0</v>
      </c>
      <c r="L1897" s="462">
        <f>IF(S1897=0,0,VLOOKUP(YEAR(S1897),INPC!$B$4:$O$29,MONTH(S1897)+1))</f>
        <v>0</v>
      </c>
      <c r="M1897" s="463">
        <f t="shared" si="196"/>
        <v>0</v>
      </c>
      <c r="N1897" s="465">
        <f t="shared" si="197"/>
        <v>0</v>
      </c>
      <c r="O1897" s="179"/>
      <c r="P1897" s="180"/>
      <c r="Q1897" s="173"/>
      <c r="R1897" s="173"/>
      <c r="S1897" s="174"/>
      <c r="T1897" s="173"/>
      <c r="U1897" s="182"/>
      <c r="V1897" s="177">
        <f>IF(U1897=0,0,IF(T1897="MXN",1/HLOOKUP(YEAR(S1897)+(MONTH(S1897)/100),TC!$5:$37,DAY(S1897)+2,FALSE),VLOOKUP(T1897,Equivalencia!$1:$23,((MAX(Equivalencia!$3:$3)-YEAR(S1897))*14)+MONTH(S1897)+2,FALSE)))</f>
        <v>0</v>
      </c>
      <c r="W1897" s="178">
        <f t="shared" si="198"/>
        <v>0</v>
      </c>
      <c r="X1897" s="481">
        <f t="shared" si="199"/>
        <v>0</v>
      </c>
      <c r="Y1897" s="179"/>
      <c r="Z1897" s="466">
        <f t="shared" si="200"/>
        <v>0</v>
      </c>
      <c r="AA1897" s="473">
        <f t="shared" si="201"/>
        <v>0</v>
      </c>
      <c r="AB1897" s="339">
        <f t="shared" si="202"/>
        <v>0</v>
      </c>
    </row>
    <row r="1898" spans="2:28" ht="20.100000000000001" customHeight="1">
      <c r="B1898" s="172"/>
      <c r="C1898" s="174"/>
      <c r="D1898" s="181"/>
      <c r="E1898" s="173"/>
      <c r="F1898" s="176"/>
      <c r="G1898" s="175">
        <f t="shared" si="193"/>
        <v>0</v>
      </c>
      <c r="H1898" s="175">
        <f t="shared" si="194"/>
        <v>0</v>
      </c>
      <c r="I1898" s="177">
        <f>IF(G1898=0,0,IF(E1898="MXN",1/HLOOKUP(YEAR(C1898)+(MONTH(C1898)/100),TC!$5:$37,DAY(C1898)+2,FALSE),VLOOKUP(E1898,Equivalencia!$5:$23,((MAX(Equivalencia!$3:$3)-YEAR(C1898))*14)+MONTH(C1898)+2,FALSE)))</f>
        <v>0</v>
      </c>
      <c r="J1898" s="178">
        <f t="shared" si="195"/>
        <v>0</v>
      </c>
      <c r="K1898" s="462">
        <f>IF(C1898=0,0,VLOOKUP(YEAR(C1898),INPC!$B$4:$O$29,MONTH(C1898)+1))</f>
        <v>0</v>
      </c>
      <c r="L1898" s="462">
        <f>IF(S1898=0,0,VLOOKUP(YEAR(S1898),INPC!$B$4:$O$29,MONTH(S1898)+1))</f>
        <v>0</v>
      </c>
      <c r="M1898" s="463">
        <f t="shared" si="196"/>
        <v>0</v>
      </c>
      <c r="N1898" s="465">
        <f t="shared" si="197"/>
        <v>0</v>
      </c>
      <c r="O1898" s="179"/>
      <c r="P1898" s="180"/>
      <c r="Q1898" s="173"/>
      <c r="R1898" s="173"/>
      <c r="S1898" s="174"/>
      <c r="T1898" s="173"/>
      <c r="U1898" s="182"/>
      <c r="V1898" s="177">
        <f>IF(U1898=0,0,IF(T1898="MXN",1/HLOOKUP(YEAR(S1898)+(MONTH(S1898)/100),TC!$5:$37,DAY(S1898)+2,FALSE),VLOOKUP(T1898,Equivalencia!$1:$23,((MAX(Equivalencia!$3:$3)-YEAR(S1898))*14)+MONTH(S1898)+2,FALSE)))</f>
        <v>0</v>
      </c>
      <c r="W1898" s="178">
        <f t="shared" si="198"/>
        <v>0</v>
      </c>
      <c r="X1898" s="481">
        <f t="shared" si="199"/>
        <v>0</v>
      </c>
      <c r="Y1898" s="179"/>
      <c r="Z1898" s="466">
        <f t="shared" si="200"/>
        <v>0</v>
      </c>
      <c r="AA1898" s="473">
        <f t="shared" si="201"/>
        <v>0</v>
      </c>
      <c r="AB1898" s="339">
        <f t="shared" si="202"/>
        <v>0</v>
      </c>
    </row>
    <row r="1899" spans="2:28" ht="20.100000000000001" customHeight="1">
      <c r="B1899" s="172"/>
      <c r="C1899" s="174"/>
      <c r="D1899" s="181"/>
      <c r="E1899" s="173"/>
      <c r="F1899" s="176"/>
      <c r="G1899" s="175">
        <f t="shared" si="193"/>
        <v>0</v>
      </c>
      <c r="H1899" s="175">
        <f t="shared" si="194"/>
        <v>0</v>
      </c>
      <c r="I1899" s="177">
        <f>IF(G1899=0,0,IF(E1899="MXN",1/HLOOKUP(YEAR(C1899)+(MONTH(C1899)/100),TC!$5:$37,DAY(C1899)+2,FALSE),VLOOKUP(E1899,Equivalencia!$5:$23,((MAX(Equivalencia!$3:$3)-YEAR(C1899))*14)+MONTH(C1899)+2,FALSE)))</f>
        <v>0</v>
      </c>
      <c r="J1899" s="178">
        <f t="shared" si="195"/>
        <v>0</v>
      </c>
      <c r="K1899" s="462">
        <f>IF(C1899=0,0,VLOOKUP(YEAR(C1899),INPC!$B$4:$O$29,MONTH(C1899)+1))</f>
        <v>0</v>
      </c>
      <c r="L1899" s="462">
        <f>IF(S1899=0,0,VLOOKUP(YEAR(S1899),INPC!$B$4:$O$29,MONTH(S1899)+1))</f>
        <v>0</v>
      </c>
      <c r="M1899" s="463">
        <f t="shared" si="196"/>
        <v>0</v>
      </c>
      <c r="N1899" s="465">
        <f t="shared" si="197"/>
        <v>0</v>
      </c>
      <c r="O1899" s="179"/>
      <c r="P1899" s="180"/>
      <c r="Q1899" s="173"/>
      <c r="R1899" s="173"/>
      <c r="S1899" s="174"/>
      <c r="T1899" s="173"/>
      <c r="U1899" s="182"/>
      <c r="V1899" s="177">
        <f>IF(U1899=0,0,IF(T1899="MXN",1/HLOOKUP(YEAR(S1899)+(MONTH(S1899)/100),TC!$5:$37,DAY(S1899)+2,FALSE),VLOOKUP(T1899,Equivalencia!$1:$23,((MAX(Equivalencia!$3:$3)-YEAR(S1899))*14)+MONTH(S1899)+2,FALSE)))</f>
        <v>0</v>
      </c>
      <c r="W1899" s="178">
        <f t="shared" si="198"/>
        <v>0</v>
      </c>
      <c r="X1899" s="481">
        <f t="shared" si="199"/>
        <v>0</v>
      </c>
      <c r="Y1899" s="179"/>
      <c r="Z1899" s="466">
        <f t="shared" si="200"/>
        <v>0</v>
      </c>
      <c r="AA1899" s="473">
        <f t="shared" si="201"/>
        <v>0</v>
      </c>
      <c r="AB1899" s="339">
        <f t="shared" si="202"/>
        <v>0</v>
      </c>
    </row>
    <row r="1900" spans="2:28" ht="20.100000000000001" customHeight="1">
      <c r="B1900" s="172"/>
      <c r="C1900" s="174"/>
      <c r="D1900" s="181"/>
      <c r="E1900" s="173"/>
      <c r="F1900" s="176"/>
      <c r="G1900" s="175">
        <f t="shared" si="193"/>
        <v>0</v>
      </c>
      <c r="H1900" s="175">
        <f t="shared" si="194"/>
        <v>0</v>
      </c>
      <c r="I1900" s="177">
        <f>IF(G1900=0,0,IF(E1900="MXN",1/HLOOKUP(YEAR(C1900)+(MONTH(C1900)/100),TC!$5:$37,DAY(C1900)+2,FALSE),VLOOKUP(E1900,Equivalencia!$5:$23,((MAX(Equivalencia!$3:$3)-YEAR(C1900))*14)+MONTH(C1900)+2,FALSE)))</f>
        <v>0</v>
      </c>
      <c r="J1900" s="178">
        <f t="shared" si="195"/>
        <v>0</v>
      </c>
      <c r="K1900" s="462">
        <f>IF(C1900=0,0,VLOOKUP(YEAR(C1900),INPC!$B$4:$O$29,MONTH(C1900)+1))</f>
        <v>0</v>
      </c>
      <c r="L1900" s="462">
        <f>IF(S1900=0,0,VLOOKUP(YEAR(S1900),INPC!$B$4:$O$29,MONTH(S1900)+1))</f>
        <v>0</v>
      </c>
      <c r="M1900" s="463">
        <f t="shared" si="196"/>
        <v>0</v>
      </c>
      <c r="N1900" s="465">
        <f t="shared" si="197"/>
        <v>0</v>
      </c>
      <c r="O1900" s="179"/>
      <c r="P1900" s="180"/>
      <c r="Q1900" s="173"/>
      <c r="R1900" s="173"/>
      <c r="S1900" s="174"/>
      <c r="T1900" s="173"/>
      <c r="U1900" s="182"/>
      <c r="V1900" s="177">
        <f>IF(U1900=0,0,IF(T1900="MXN",1/HLOOKUP(YEAR(S1900)+(MONTH(S1900)/100),TC!$5:$37,DAY(S1900)+2,FALSE),VLOOKUP(T1900,Equivalencia!$1:$23,((MAX(Equivalencia!$3:$3)-YEAR(S1900))*14)+MONTH(S1900)+2,FALSE)))</f>
        <v>0</v>
      </c>
      <c r="W1900" s="178">
        <f t="shared" si="198"/>
        <v>0</v>
      </c>
      <c r="X1900" s="481">
        <f t="shared" si="199"/>
        <v>0</v>
      </c>
      <c r="Y1900" s="179"/>
      <c r="Z1900" s="466">
        <f t="shared" si="200"/>
        <v>0</v>
      </c>
      <c r="AA1900" s="473">
        <f t="shared" si="201"/>
        <v>0</v>
      </c>
      <c r="AB1900" s="339">
        <f t="shared" si="202"/>
        <v>0</v>
      </c>
    </row>
    <row r="1901" spans="2:28" ht="20.100000000000001" customHeight="1">
      <c r="B1901" s="172"/>
      <c r="C1901" s="174"/>
      <c r="D1901" s="181"/>
      <c r="E1901" s="173"/>
      <c r="F1901" s="176"/>
      <c r="G1901" s="175">
        <f t="shared" si="193"/>
        <v>0</v>
      </c>
      <c r="H1901" s="175">
        <f t="shared" si="194"/>
        <v>0</v>
      </c>
      <c r="I1901" s="177">
        <f>IF(G1901=0,0,IF(E1901="MXN",1/HLOOKUP(YEAR(C1901)+(MONTH(C1901)/100),TC!$5:$37,DAY(C1901)+2,FALSE),VLOOKUP(E1901,Equivalencia!$5:$23,((MAX(Equivalencia!$3:$3)-YEAR(C1901))*14)+MONTH(C1901)+2,FALSE)))</f>
        <v>0</v>
      </c>
      <c r="J1901" s="178">
        <f t="shared" si="195"/>
        <v>0</v>
      </c>
      <c r="K1901" s="462">
        <f>IF(C1901=0,0,VLOOKUP(YEAR(C1901),INPC!$B$4:$O$29,MONTH(C1901)+1))</f>
        <v>0</v>
      </c>
      <c r="L1901" s="462">
        <f>IF(S1901=0,0,VLOOKUP(YEAR(S1901),INPC!$B$4:$O$29,MONTH(S1901)+1))</f>
        <v>0</v>
      </c>
      <c r="M1901" s="463">
        <f t="shared" si="196"/>
        <v>0</v>
      </c>
      <c r="N1901" s="465">
        <f t="shared" si="197"/>
        <v>0</v>
      </c>
      <c r="O1901" s="179"/>
      <c r="P1901" s="180"/>
      <c r="Q1901" s="173"/>
      <c r="R1901" s="173"/>
      <c r="S1901" s="174"/>
      <c r="T1901" s="173"/>
      <c r="U1901" s="182"/>
      <c r="V1901" s="177">
        <f>IF(U1901=0,0,IF(T1901="MXN",1/HLOOKUP(YEAR(S1901)+(MONTH(S1901)/100),TC!$5:$37,DAY(S1901)+2,FALSE),VLOOKUP(T1901,Equivalencia!$1:$23,((MAX(Equivalencia!$3:$3)-YEAR(S1901))*14)+MONTH(S1901)+2,FALSE)))</f>
        <v>0</v>
      </c>
      <c r="W1901" s="178">
        <f t="shared" si="198"/>
        <v>0</v>
      </c>
      <c r="X1901" s="481">
        <f t="shared" si="199"/>
        <v>0</v>
      </c>
      <c r="Y1901" s="179"/>
      <c r="Z1901" s="466">
        <f t="shared" si="200"/>
        <v>0</v>
      </c>
      <c r="AA1901" s="473">
        <f t="shared" si="201"/>
        <v>0</v>
      </c>
      <c r="AB1901" s="339">
        <f t="shared" si="202"/>
        <v>0</v>
      </c>
    </row>
    <row r="1902" spans="2:28" ht="20.100000000000001" customHeight="1">
      <c r="B1902" s="172"/>
      <c r="C1902" s="174"/>
      <c r="D1902" s="181"/>
      <c r="E1902" s="173"/>
      <c r="F1902" s="176"/>
      <c r="G1902" s="175">
        <f t="shared" si="193"/>
        <v>0</v>
      </c>
      <c r="H1902" s="175">
        <f t="shared" si="194"/>
        <v>0</v>
      </c>
      <c r="I1902" s="177">
        <f>IF(G1902=0,0,IF(E1902="MXN",1/HLOOKUP(YEAR(C1902)+(MONTH(C1902)/100),TC!$5:$37,DAY(C1902)+2,FALSE),VLOOKUP(E1902,Equivalencia!$5:$23,((MAX(Equivalencia!$3:$3)-YEAR(C1902))*14)+MONTH(C1902)+2,FALSE)))</f>
        <v>0</v>
      </c>
      <c r="J1902" s="178">
        <f t="shared" si="195"/>
        <v>0</v>
      </c>
      <c r="K1902" s="462">
        <f>IF(C1902=0,0,VLOOKUP(YEAR(C1902),INPC!$B$4:$O$29,MONTH(C1902)+1))</f>
        <v>0</v>
      </c>
      <c r="L1902" s="462">
        <f>IF(S1902=0,0,VLOOKUP(YEAR(S1902),INPC!$B$4:$O$29,MONTH(S1902)+1))</f>
        <v>0</v>
      </c>
      <c r="M1902" s="463">
        <f t="shared" si="196"/>
        <v>0</v>
      </c>
      <c r="N1902" s="465">
        <f t="shared" si="197"/>
        <v>0</v>
      </c>
      <c r="O1902" s="179"/>
      <c r="P1902" s="180"/>
      <c r="Q1902" s="173"/>
      <c r="R1902" s="173"/>
      <c r="S1902" s="174"/>
      <c r="T1902" s="173"/>
      <c r="U1902" s="182"/>
      <c r="V1902" s="177">
        <f>IF(U1902=0,0,IF(T1902="MXN",1/HLOOKUP(YEAR(S1902)+(MONTH(S1902)/100),TC!$5:$37,DAY(S1902)+2,FALSE),VLOOKUP(T1902,Equivalencia!$1:$23,((MAX(Equivalencia!$3:$3)-YEAR(S1902))*14)+MONTH(S1902)+2,FALSE)))</f>
        <v>0</v>
      </c>
      <c r="W1902" s="178">
        <f t="shared" si="198"/>
        <v>0</v>
      </c>
      <c r="X1902" s="481">
        <f t="shared" si="199"/>
        <v>0</v>
      </c>
      <c r="Y1902" s="179"/>
      <c r="Z1902" s="466">
        <f t="shared" si="200"/>
        <v>0</v>
      </c>
      <c r="AA1902" s="473">
        <f t="shared" si="201"/>
        <v>0</v>
      </c>
      <c r="AB1902" s="339">
        <f t="shared" si="202"/>
        <v>0</v>
      </c>
    </row>
    <row r="1903" spans="2:28" ht="20.100000000000001" customHeight="1">
      <c r="B1903" s="172"/>
      <c r="C1903" s="174"/>
      <c r="D1903" s="181"/>
      <c r="E1903" s="173"/>
      <c r="F1903" s="176"/>
      <c r="G1903" s="175">
        <f t="shared" si="193"/>
        <v>0</v>
      </c>
      <c r="H1903" s="175">
        <f t="shared" si="194"/>
        <v>0</v>
      </c>
      <c r="I1903" s="177">
        <f>IF(G1903=0,0,IF(E1903="MXN",1/HLOOKUP(YEAR(C1903)+(MONTH(C1903)/100),TC!$5:$37,DAY(C1903)+2,FALSE),VLOOKUP(E1903,Equivalencia!$5:$23,((MAX(Equivalencia!$3:$3)-YEAR(C1903))*14)+MONTH(C1903)+2,FALSE)))</f>
        <v>0</v>
      </c>
      <c r="J1903" s="178">
        <f t="shared" si="195"/>
        <v>0</v>
      </c>
      <c r="K1903" s="462">
        <f>IF(C1903=0,0,VLOOKUP(YEAR(C1903),INPC!$B$4:$O$29,MONTH(C1903)+1))</f>
        <v>0</v>
      </c>
      <c r="L1903" s="462">
        <f>IF(S1903=0,0,VLOOKUP(YEAR(S1903),INPC!$B$4:$O$29,MONTH(S1903)+1))</f>
        <v>0</v>
      </c>
      <c r="M1903" s="463">
        <f t="shared" si="196"/>
        <v>0</v>
      </c>
      <c r="N1903" s="465">
        <f t="shared" si="197"/>
        <v>0</v>
      </c>
      <c r="O1903" s="179"/>
      <c r="P1903" s="180"/>
      <c r="Q1903" s="173"/>
      <c r="R1903" s="173"/>
      <c r="S1903" s="174"/>
      <c r="T1903" s="173"/>
      <c r="U1903" s="182"/>
      <c r="V1903" s="177">
        <f>IF(U1903=0,0,IF(T1903="MXN",1/HLOOKUP(YEAR(S1903)+(MONTH(S1903)/100),TC!$5:$37,DAY(S1903)+2,FALSE),VLOOKUP(T1903,Equivalencia!$1:$23,((MAX(Equivalencia!$3:$3)-YEAR(S1903))*14)+MONTH(S1903)+2,FALSE)))</f>
        <v>0</v>
      </c>
      <c r="W1903" s="178">
        <f t="shared" si="198"/>
        <v>0</v>
      </c>
      <c r="X1903" s="481">
        <f t="shared" si="199"/>
        <v>0</v>
      </c>
      <c r="Y1903" s="179"/>
      <c r="Z1903" s="466">
        <f t="shared" si="200"/>
        <v>0</v>
      </c>
      <c r="AA1903" s="473">
        <f t="shared" si="201"/>
        <v>0</v>
      </c>
      <c r="AB1903" s="339">
        <f t="shared" si="202"/>
        <v>0</v>
      </c>
    </row>
    <row r="1904" spans="2:28" ht="20.100000000000001" customHeight="1">
      <c r="B1904" s="172"/>
      <c r="C1904" s="174"/>
      <c r="D1904" s="181"/>
      <c r="E1904" s="173"/>
      <c r="F1904" s="176"/>
      <c r="G1904" s="175">
        <f t="shared" si="193"/>
        <v>0</v>
      </c>
      <c r="H1904" s="175">
        <f t="shared" si="194"/>
        <v>0</v>
      </c>
      <c r="I1904" s="177">
        <f>IF(G1904=0,0,IF(E1904="MXN",1/HLOOKUP(YEAR(C1904)+(MONTH(C1904)/100),TC!$5:$37,DAY(C1904)+2,FALSE),VLOOKUP(E1904,Equivalencia!$5:$23,((MAX(Equivalencia!$3:$3)-YEAR(C1904))*14)+MONTH(C1904)+2,FALSE)))</f>
        <v>0</v>
      </c>
      <c r="J1904" s="178">
        <f t="shared" si="195"/>
        <v>0</v>
      </c>
      <c r="K1904" s="462">
        <f>IF(C1904=0,0,VLOOKUP(YEAR(C1904),INPC!$B$4:$O$29,MONTH(C1904)+1))</f>
        <v>0</v>
      </c>
      <c r="L1904" s="462">
        <f>IF(S1904=0,0,VLOOKUP(YEAR(S1904),INPC!$B$4:$O$29,MONTH(S1904)+1))</f>
        <v>0</v>
      </c>
      <c r="M1904" s="463">
        <f t="shared" si="196"/>
        <v>0</v>
      </c>
      <c r="N1904" s="465">
        <f t="shared" si="197"/>
        <v>0</v>
      </c>
      <c r="O1904" s="179"/>
      <c r="P1904" s="180"/>
      <c r="Q1904" s="173"/>
      <c r="R1904" s="173"/>
      <c r="S1904" s="174"/>
      <c r="T1904" s="173"/>
      <c r="U1904" s="182"/>
      <c r="V1904" s="177">
        <f>IF(U1904=0,0,IF(T1904="MXN",1/HLOOKUP(YEAR(S1904)+(MONTH(S1904)/100),TC!$5:$37,DAY(S1904)+2,FALSE),VLOOKUP(T1904,Equivalencia!$1:$23,((MAX(Equivalencia!$3:$3)-YEAR(S1904))*14)+MONTH(S1904)+2,FALSE)))</f>
        <v>0</v>
      </c>
      <c r="W1904" s="178">
        <f t="shared" si="198"/>
        <v>0</v>
      </c>
      <c r="X1904" s="481">
        <f t="shared" si="199"/>
        <v>0</v>
      </c>
      <c r="Y1904" s="179"/>
      <c r="Z1904" s="466">
        <f t="shared" si="200"/>
        <v>0</v>
      </c>
      <c r="AA1904" s="473">
        <f t="shared" si="201"/>
        <v>0</v>
      </c>
      <c r="AB1904" s="339">
        <f t="shared" si="202"/>
        <v>0</v>
      </c>
    </row>
    <row r="1905" spans="2:28" ht="20.100000000000001" customHeight="1">
      <c r="B1905" s="172"/>
      <c r="C1905" s="174"/>
      <c r="D1905" s="181"/>
      <c r="E1905" s="173"/>
      <c r="F1905" s="176"/>
      <c r="G1905" s="175">
        <f t="shared" si="193"/>
        <v>0</v>
      </c>
      <c r="H1905" s="175">
        <f t="shared" si="194"/>
        <v>0</v>
      </c>
      <c r="I1905" s="177">
        <f>IF(G1905=0,0,IF(E1905="MXN",1/HLOOKUP(YEAR(C1905)+(MONTH(C1905)/100),TC!$5:$37,DAY(C1905)+2,FALSE),VLOOKUP(E1905,Equivalencia!$5:$23,((MAX(Equivalencia!$3:$3)-YEAR(C1905))*14)+MONTH(C1905)+2,FALSE)))</f>
        <v>0</v>
      </c>
      <c r="J1905" s="178">
        <f t="shared" si="195"/>
        <v>0</v>
      </c>
      <c r="K1905" s="462">
        <f>IF(C1905=0,0,VLOOKUP(YEAR(C1905),INPC!$B$4:$O$29,MONTH(C1905)+1))</f>
        <v>0</v>
      </c>
      <c r="L1905" s="462">
        <f>IF(S1905=0,0,VLOOKUP(YEAR(S1905),INPC!$B$4:$O$29,MONTH(S1905)+1))</f>
        <v>0</v>
      </c>
      <c r="M1905" s="463">
        <f t="shared" si="196"/>
        <v>0</v>
      </c>
      <c r="N1905" s="465">
        <f t="shared" si="197"/>
        <v>0</v>
      </c>
      <c r="O1905" s="179"/>
      <c r="P1905" s="180"/>
      <c r="Q1905" s="173"/>
      <c r="R1905" s="173"/>
      <c r="S1905" s="174"/>
      <c r="T1905" s="173"/>
      <c r="U1905" s="182"/>
      <c r="V1905" s="177">
        <f>IF(U1905=0,0,IF(T1905="MXN",1/HLOOKUP(YEAR(S1905)+(MONTH(S1905)/100),TC!$5:$37,DAY(S1905)+2,FALSE),VLOOKUP(T1905,Equivalencia!$1:$23,((MAX(Equivalencia!$3:$3)-YEAR(S1905))*14)+MONTH(S1905)+2,FALSE)))</f>
        <v>0</v>
      </c>
      <c r="W1905" s="178">
        <f t="shared" si="198"/>
        <v>0</v>
      </c>
      <c r="X1905" s="481">
        <f t="shared" si="199"/>
        <v>0</v>
      </c>
      <c r="Y1905" s="179"/>
      <c r="Z1905" s="466">
        <f t="shared" si="200"/>
        <v>0</v>
      </c>
      <c r="AA1905" s="473">
        <f t="shared" si="201"/>
        <v>0</v>
      </c>
      <c r="AB1905" s="339">
        <f t="shared" si="202"/>
        <v>0</v>
      </c>
    </row>
    <row r="1906" spans="2:28" ht="20.100000000000001" customHeight="1">
      <c r="B1906" s="172"/>
      <c r="C1906" s="174"/>
      <c r="D1906" s="181"/>
      <c r="E1906" s="173"/>
      <c r="F1906" s="176"/>
      <c r="G1906" s="175">
        <f t="shared" si="193"/>
        <v>0</v>
      </c>
      <c r="H1906" s="175">
        <f t="shared" si="194"/>
        <v>0</v>
      </c>
      <c r="I1906" s="177">
        <f>IF(G1906=0,0,IF(E1906="MXN",1/HLOOKUP(YEAR(C1906)+(MONTH(C1906)/100),TC!$5:$37,DAY(C1906)+2,FALSE),VLOOKUP(E1906,Equivalencia!$5:$23,((MAX(Equivalencia!$3:$3)-YEAR(C1906))*14)+MONTH(C1906)+2,FALSE)))</f>
        <v>0</v>
      </c>
      <c r="J1906" s="178">
        <f t="shared" si="195"/>
        <v>0</v>
      </c>
      <c r="K1906" s="462">
        <f>IF(C1906=0,0,VLOOKUP(YEAR(C1906),INPC!$B$4:$O$29,MONTH(C1906)+1))</f>
        <v>0</v>
      </c>
      <c r="L1906" s="462">
        <f>IF(S1906=0,0,VLOOKUP(YEAR(S1906),INPC!$B$4:$O$29,MONTH(S1906)+1))</f>
        <v>0</v>
      </c>
      <c r="M1906" s="463">
        <f t="shared" si="196"/>
        <v>0</v>
      </c>
      <c r="N1906" s="465">
        <f t="shared" si="197"/>
        <v>0</v>
      </c>
      <c r="O1906" s="179"/>
      <c r="P1906" s="180"/>
      <c r="Q1906" s="173"/>
      <c r="R1906" s="173"/>
      <c r="S1906" s="174"/>
      <c r="T1906" s="173"/>
      <c r="U1906" s="182"/>
      <c r="V1906" s="177">
        <f>IF(U1906=0,0,IF(T1906="MXN",1/HLOOKUP(YEAR(S1906)+(MONTH(S1906)/100),TC!$5:$37,DAY(S1906)+2,FALSE),VLOOKUP(T1906,Equivalencia!$1:$23,((MAX(Equivalencia!$3:$3)-YEAR(S1906))*14)+MONTH(S1906)+2,FALSE)))</f>
        <v>0</v>
      </c>
      <c r="W1906" s="178">
        <f t="shared" si="198"/>
        <v>0</v>
      </c>
      <c r="X1906" s="481">
        <f t="shared" si="199"/>
        <v>0</v>
      </c>
      <c r="Y1906" s="179"/>
      <c r="Z1906" s="466">
        <f t="shared" si="200"/>
        <v>0</v>
      </c>
      <c r="AA1906" s="473">
        <f t="shared" si="201"/>
        <v>0</v>
      </c>
      <c r="AB1906" s="339">
        <f t="shared" si="202"/>
        <v>0</v>
      </c>
    </row>
    <row r="1907" spans="2:28" ht="20.100000000000001" customHeight="1">
      <c r="B1907" s="172"/>
      <c r="C1907" s="174"/>
      <c r="D1907" s="181"/>
      <c r="E1907" s="173"/>
      <c r="F1907" s="176"/>
      <c r="G1907" s="175">
        <f t="shared" si="193"/>
        <v>0</v>
      </c>
      <c r="H1907" s="175">
        <f t="shared" si="194"/>
        <v>0</v>
      </c>
      <c r="I1907" s="177">
        <f>IF(G1907=0,0,IF(E1907="MXN",1/HLOOKUP(YEAR(C1907)+(MONTH(C1907)/100),TC!$5:$37,DAY(C1907)+2,FALSE),VLOOKUP(E1907,Equivalencia!$5:$23,((MAX(Equivalencia!$3:$3)-YEAR(C1907))*14)+MONTH(C1907)+2,FALSE)))</f>
        <v>0</v>
      </c>
      <c r="J1907" s="178">
        <f t="shared" si="195"/>
        <v>0</v>
      </c>
      <c r="K1907" s="462">
        <f>IF(C1907=0,0,VLOOKUP(YEAR(C1907),INPC!$B$4:$O$29,MONTH(C1907)+1))</f>
        <v>0</v>
      </c>
      <c r="L1907" s="462">
        <f>IF(S1907=0,0,VLOOKUP(YEAR(S1907),INPC!$B$4:$O$29,MONTH(S1907)+1))</f>
        <v>0</v>
      </c>
      <c r="M1907" s="463">
        <f t="shared" si="196"/>
        <v>0</v>
      </c>
      <c r="N1907" s="465">
        <f t="shared" si="197"/>
        <v>0</v>
      </c>
      <c r="O1907" s="179"/>
      <c r="P1907" s="180"/>
      <c r="Q1907" s="173"/>
      <c r="R1907" s="173"/>
      <c r="S1907" s="174"/>
      <c r="T1907" s="173"/>
      <c r="U1907" s="182"/>
      <c r="V1907" s="177">
        <f>IF(U1907=0,0,IF(T1907="MXN",1/HLOOKUP(YEAR(S1907)+(MONTH(S1907)/100),TC!$5:$37,DAY(S1907)+2,FALSE),VLOOKUP(T1907,Equivalencia!$1:$23,((MAX(Equivalencia!$3:$3)-YEAR(S1907))*14)+MONTH(S1907)+2,FALSE)))</f>
        <v>0</v>
      </c>
      <c r="W1907" s="178">
        <f t="shared" si="198"/>
        <v>0</v>
      </c>
      <c r="X1907" s="481">
        <f t="shared" si="199"/>
        <v>0</v>
      </c>
      <c r="Y1907" s="179"/>
      <c r="Z1907" s="466">
        <f t="shared" si="200"/>
        <v>0</v>
      </c>
      <c r="AA1907" s="473">
        <f t="shared" si="201"/>
        <v>0</v>
      </c>
      <c r="AB1907" s="339">
        <f t="shared" si="202"/>
        <v>0</v>
      </c>
    </row>
    <row r="1908" spans="2:28" ht="20.100000000000001" customHeight="1">
      <c r="B1908" s="172"/>
      <c r="C1908" s="174"/>
      <c r="D1908" s="181"/>
      <c r="E1908" s="173"/>
      <c r="F1908" s="176"/>
      <c r="G1908" s="175">
        <f t="shared" si="193"/>
        <v>0</v>
      </c>
      <c r="H1908" s="175">
        <f t="shared" si="194"/>
        <v>0</v>
      </c>
      <c r="I1908" s="177">
        <f>IF(G1908=0,0,IF(E1908="MXN",1/HLOOKUP(YEAR(C1908)+(MONTH(C1908)/100),TC!$5:$37,DAY(C1908)+2,FALSE),VLOOKUP(E1908,Equivalencia!$5:$23,((MAX(Equivalencia!$3:$3)-YEAR(C1908))*14)+MONTH(C1908)+2,FALSE)))</f>
        <v>0</v>
      </c>
      <c r="J1908" s="178">
        <f t="shared" si="195"/>
        <v>0</v>
      </c>
      <c r="K1908" s="462">
        <f>IF(C1908=0,0,VLOOKUP(YEAR(C1908),INPC!$B$4:$O$29,MONTH(C1908)+1))</f>
        <v>0</v>
      </c>
      <c r="L1908" s="462">
        <f>IF(S1908=0,0,VLOOKUP(YEAR(S1908),INPC!$B$4:$O$29,MONTH(S1908)+1))</f>
        <v>0</v>
      </c>
      <c r="M1908" s="463">
        <f t="shared" si="196"/>
        <v>0</v>
      </c>
      <c r="N1908" s="465">
        <f t="shared" si="197"/>
        <v>0</v>
      </c>
      <c r="O1908" s="179"/>
      <c r="P1908" s="180"/>
      <c r="Q1908" s="173"/>
      <c r="R1908" s="173"/>
      <c r="S1908" s="174"/>
      <c r="T1908" s="173"/>
      <c r="U1908" s="182"/>
      <c r="V1908" s="177">
        <f>IF(U1908=0,0,IF(T1908="MXN",1/HLOOKUP(YEAR(S1908)+(MONTH(S1908)/100),TC!$5:$37,DAY(S1908)+2,FALSE),VLOOKUP(T1908,Equivalencia!$1:$23,((MAX(Equivalencia!$3:$3)-YEAR(S1908))*14)+MONTH(S1908)+2,FALSE)))</f>
        <v>0</v>
      </c>
      <c r="W1908" s="178">
        <f t="shared" si="198"/>
        <v>0</v>
      </c>
      <c r="X1908" s="481">
        <f t="shared" si="199"/>
        <v>0</v>
      </c>
      <c r="Y1908" s="179"/>
      <c r="Z1908" s="466">
        <f t="shared" si="200"/>
        <v>0</v>
      </c>
      <c r="AA1908" s="473">
        <f t="shared" si="201"/>
        <v>0</v>
      </c>
      <c r="AB1908" s="339">
        <f t="shared" si="202"/>
        <v>0</v>
      </c>
    </row>
    <row r="1909" spans="2:28" ht="20.100000000000001" customHeight="1">
      <c r="B1909" s="172"/>
      <c r="C1909" s="174"/>
      <c r="D1909" s="181"/>
      <c r="E1909" s="173"/>
      <c r="F1909" s="176"/>
      <c r="G1909" s="175">
        <f t="shared" si="193"/>
        <v>0</v>
      </c>
      <c r="H1909" s="175">
        <f t="shared" si="194"/>
        <v>0</v>
      </c>
      <c r="I1909" s="177">
        <f>IF(G1909=0,0,IF(E1909="MXN",1/HLOOKUP(YEAR(C1909)+(MONTH(C1909)/100),TC!$5:$37,DAY(C1909)+2,FALSE),VLOOKUP(E1909,Equivalencia!$5:$23,((MAX(Equivalencia!$3:$3)-YEAR(C1909))*14)+MONTH(C1909)+2,FALSE)))</f>
        <v>0</v>
      </c>
      <c r="J1909" s="178">
        <f t="shared" si="195"/>
        <v>0</v>
      </c>
      <c r="K1909" s="462">
        <f>IF(C1909=0,0,VLOOKUP(YEAR(C1909),INPC!$B$4:$O$29,MONTH(C1909)+1))</f>
        <v>0</v>
      </c>
      <c r="L1909" s="462">
        <f>IF(S1909=0,0,VLOOKUP(YEAR(S1909),INPC!$B$4:$O$29,MONTH(S1909)+1))</f>
        <v>0</v>
      </c>
      <c r="M1909" s="463">
        <f t="shared" si="196"/>
        <v>0</v>
      </c>
      <c r="N1909" s="465">
        <f t="shared" si="197"/>
        <v>0</v>
      </c>
      <c r="O1909" s="179"/>
      <c r="P1909" s="180"/>
      <c r="Q1909" s="173"/>
      <c r="R1909" s="173"/>
      <c r="S1909" s="174"/>
      <c r="T1909" s="173"/>
      <c r="U1909" s="182"/>
      <c r="V1909" s="177">
        <f>IF(U1909=0,0,IF(T1909="MXN",1/HLOOKUP(YEAR(S1909)+(MONTH(S1909)/100),TC!$5:$37,DAY(S1909)+2,FALSE),VLOOKUP(T1909,Equivalencia!$1:$23,((MAX(Equivalencia!$3:$3)-YEAR(S1909))*14)+MONTH(S1909)+2,FALSE)))</f>
        <v>0</v>
      </c>
      <c r="W1909" s="178">
        <f t="shared" si="198"/>
        <v>0</v>
      </c>
      <c r="X1909" s="481">
        <f t="shared" si="199"/>
        <v>0</v>
      </c>
      <c r="Y1909" s="179"/>
      <c r="Z1909" s="466">
        <f t="shared" si="200"/>
        <v>0</v>
      </c>
      <c r="AA1909" s="473">
        <f t="shared" si="201"/>
        <v>0</v>
      </c>
      <c r="AB1909" s="339">
        <f t="shared" si="202"/>
        <v>0</v>
      </c>
    </row>
    <row r="1910" spans="2:28" ht="20.100000000000001" customHeight="1">
      <c r="B1910" s="172"/>
      <c r="C1910" s="174"/>
      <c r="D1910" s="181"/>
      <c r="E1910" s="173"/>
      <c r="F1910" s="176"/>
      <c r="G1910" s="175">
        <f t="shared" si="193"/>
        <v>0</v>
      </c>
      <c r="H1910" s="175">
        <f t="shared" si="194"/>
        <v>0</v>
      </c>
      <c r="I1910" s="177">
        <f>IF(G1910=0,0,IF(E1910="MXN",1/HLOOKUP(YEAR(C1910)+(MONTH(C1910)/100),TC!$5:$37,DAY(C1910)+2,FALSE),VLOOKUP(E1910,Equivalencia!$5:$23,((MAX(Equivalencia!$3:$3)-YEAR(C1910))*14)+MONTH(C1910)+2,FALSE)))</f>
        <v>0</v>
      </c>
      <c r="J1910" s="178">
        <f t="shared" si="195"/>
        <v>0</v>
      </c>
      <c r="K1910" s="462">
        <f>IF(C1910=0,0,VLOOKUP(YEAR(C1910),INPC!$B$4:$O$29,MONTH(C1910)+1))</f>
        <v>0</v>
      </c>
      <c r="L1910" s="462">
        <f>IF(S1910=0,0,VLOOKUP(YEAR(S1910),INPC!$B$4:$O$29,MONTH(S1910)+1))</f>
        <v>0</v>
      </c>
      <c r="M1910" s="463">
        <f t="shared" si="196"/>
        <v>0</v>
      </c>
      <c r="N1910" s="465">
        <f t="shared" si="197"/>
        <v>0</v>
      </c>
      <c r="O1910" s="179"/>
      <c r="P1910" s="180"/>
      <c r="Q1910" s="173"/>
      <c r="R1910" s="173"/>
      <c r="S1910" s="174"/>
      <c r="T1910" s="173"/>
      <c r="U1910" s="182"/>
      <c r="V1910" s="177">
        <f>IF(U1910=0,0,IF(T1910="MXN",1/HLOOKUP(YEAR(S1910)+(MONTH(S1910)/100),TC!$5:$37,DAY(S1910)+2,FALSE),VLOOKUP(T1910,Equivalencia!$1:$23,((MAX(Equivalencia!$3:$3)-YEAR(S1910))*14)+MONTH(S1910)+2,FALSE)))</f>
        <v>0</v>
      </c>
      <c r="W1910" s="178">
        <f t="shared" si="198"/>
        <v>0</v>
      </c>
      <c r="X1910" s="481">
        <f t="shared" si="199"/>
        <v>0</v>
      </c>
      <c r="Y1910" s="179"/>
      <c r="Z1910" s="466">
        <f t="shared" si="200"/>
        <v>0</v>
      </c>
      <c r="AA1910" s="473">
        <f t="shared" si="201"/>
        <v>0</v>
      </c>
      <c r="AB1910" s="339">
        <f t="shared" si="202"/>
        <v>0</v>
      </c>
    </row>
    <row r="1911" spans="2:28" ht="20.100000000000001" customHeight="1">
      <c r="B1911" s="172"/>
      <c r="C1911" s="174"/>
      <c r="D1911" s="181"/>
      <c r="E1911" s="173"/>
      <c r="F1911" s="176"/>
      <c r="G1911" s="175">
        <f t="shared" si="193"/>
        <v>0</v>
      </c>
      <c r="H1911" s="175">
        <f t="shared" si="194"/>
        <v>0</v>
      </c>
      <c r="I1911" s="177">
        <f>IF(G1911=0,0,IF(E1911="MXN",1/HLOOKUP(YEAR(C1911)+(MONTH(C1911)/100),TC!$5:$37,DAY(C1911)+2,FALSE),VLOOKUP(E1911,Equivalencia!$5:$23,((MAX(Equivalencia!$3:$3)-YEAR(C1911))*14)+MONTH(C1911)+2,FALSE)))</f>
        <v>0</v>
      </c>
      <c r="J1911" s="178">
        <f t="shared" si="195"/>
        <v>0</v>
      </c>
      <c r="K1911" s="462">
        <f>IF(C1911=0,0,VLOOKUP(YEAR(C1911),INPC!$B$4:$O$29,MONTH(C1911)+1))</f>
        <v>0</v>
      </c>
      <c r="L1911" s="462">
        <f>IF(S1911=0,0,VLOOKUP(YEAR(S1911),INPC!$B$4:$O$29,MONTH(S1911)+1))</f>
        <v>0</v>
      </c>
      <c r="M1911" s="463">
        <f t="shared" si="196"/>
        <v>0</v>
      </c>
      <c r="N1911" s="465">
        <f t="shared" si="197"/>
        <v>0</v>
      </c>
      <c r="O1911" s="179"/>
      <c r="P1911" s="180"/>
      <c r="Q1911" s="173"/>
      <c r="R1911" s="173"/>
      <c r="S1911" s="174"/>
      <c r="T1911" s="173"/>
      <c r="U1911" s="182"/>
      <c r="V1911" s="177">
        <f>IF(U1911=0,0,IF(T1911="MXN",1/HLOOKUP(YEAR(S1911)+(MONTH(S1911)/100),TC!$5:$37,DAY(S1911)+2,FALSE),VLOOKUP(T1911,Equivalencia!$1:$23,((MAX(Equivalencia!$3:$3)-YEAR(S1911))*14)+MONTH(S1911)+2,FALSE)))</f>
        <v>0</v>
      </c>
      <c r="W1911" s="178">
        <f t="shared" si="198"/>
        <v>0</v>
      </c>
      <c r="X1911" s="481">
        <f t="shared" si="199"/>
        <v>0</v>
      </c>
      <c r="Y1911" s="179"/>
      <c r="Z1911" s="466">
        <f t="shared" si="200"/>
        <v>0</v>
      </c>
      <c r="AA1911" s="473">
        <f t="shared" si="201"/>
        <v>0</v>
      </c>
      <c r="AB1911" s="339">
        <f t="shared" si="202"/>
        <v>0</v>
      </c>
    </row>
    <row r="1912" spans="2:28" ht="20.100000000000001" customHeight="1">
      <c r="B1912" s="172"/>
      <c r="C1912" s="174"/>
      <c r="D1912" s="181"/>
      <c r="E1912" s="173"/>
      <c r="F1912" s="176"/>
      <c r="G1912" s="175">
        <f t="shared" si="193"/>
        <v>0</v>
      </c>
      <c r="H1912" s="175">
        <f t="shared" si="194"/>
        <v>0</v>
      </c>
      <c r="I1912" s="177">
        <f>IF(G1912=0,0,IF(E1912="MXN",1/HLOOKUP(YEAR(C1912)+(MONTH(C1912)/100),TC!$5:$37,DAY(C1912)+2,FALSE),VLOOKUP(E1912,Equivalencia!$5:$23,((MAX(Equivalencia!$3:$3)-YEAR(C1912))*14)+MONTH(C1912)+2,FALSE)))</f>
        <v>0</v>
      </c>
      <c r="J1912" s="178">
        <f t="shared" si="195"/>
        <v>0</v>
      </c>
      <c r="K1912" s="462">
        <f>IF(C1912=0,0,VLOOKUP(YEAR(C1912),INPC!$B$4:$O$29,MONTH(C1912)+1))</f>
        <v>0</v>
      </c>
      <c r="L1912" s="462">
        <f>IF(S1912=0,0,VLOOKUP(YEAR(S1912),INPC!$B$4:$O$29,MONTH(S1912)+1))</f>
        <v>0</v>
      </c>
      <c r="M1912" s="463">
        <f t="shared" si="196"/>
        <v>0</v>
      </c>
      <c r="N1912" s="465">
        <f t="shared" si="197"/>
        <v>0</v>
      </c>
      <c r="O1912" s="179"/>
      <c r="P1912" s="180"/>
      <c r="Q1912" s="173"/>
      <c r="R1912" s="173"/>
      <c r="S1912" s="174"/>
      <c r="T1912" s="173"/>
      <c r="U1912" s="182"/>
      <c r="V1912" s="177">
        <f>IF(U1912=0,0,IF(T1912="MXN",1/HLOOKUP(YEAR(S1912)+(MONTH(S1912)/100),TC!$5:$37,DAY(S1912)+2,FALSE),VLOOKUP(T1912,Equivalencia!$1:$23,((MAX(Equivalencia!$3:$3)-YEAR(S1912))*14)+MONTH(S1912)+2,FALSE)))</f>
        <v>0</v>
      </c>
      <c r="W1912" s="178">
        <f t="shared" si="198"/>
        <v>0</v>
      </c>
      <c r="X1912" s="481">
        <f t="shared" si="199"/>
        <v>0</v>
      </c>
      <c r="Y1912" s="179"/>
      <c r="Z1912" s="466">
        <f t="shared" si="200"/>
        <v>0</v>
      </c>
      <c r="AA1912" s="473">
        <f t="shared" si="201"/>
        <v>0</v>
      </c>
      <c r="AB1912" s="339">
        <f t="shared" si="202"/>
        <v>0</v>
      </c>
    </row>
    <row r="1913" spans="2:28" ht="20.100000000000001" customHeight="1">
      <c r="B1913" s="172"/>
      <c r="C1913" s="174"/>
      <c r="D1913" s="181"/>
      <c r="E1913" s="173"/>
      <c r="F1913" s="176"/>
      <c r="G1913" s="175">
        <f t="shared" si="193"/>
        <v>0</v>
      </c>
      <c r="H1913" s="175">
        <f t="shared" si="194"/>
        <v>0</v>
      </c>
      <c r="I1913" s="177">
        <f>IF(G1913=0,0,IF(E1913="MXN",1/HLOOKUP(YEAR(C1913)+(MONTH(C1913)/100),TC!$5:$37,DAY(C1913)+2,FALSE),VLOOKUP(E1913,Equivalencia!$5:$23,((MAX(Equivalencia!$3:$3)-YEAR(C1913))*14)+MONTH(C1913)+2,FALSE)))</f>
        <v>0</v>
      </c>
      <c r="J1913" s="178">
        <f t="shared" si="195"/>
        <v>0</v>
      </c>
      <c r="K1913" s="462">
        <f>IF(C1913=0,0,VLOOKUP(YEAR(C1913),INPC!$B$4:$O$29,MONTH(C1913)+1))</f>
        <v>0</v>
      </c>
      <c r="L1913" s="462">
        <f>IF(S1913=0,0,VLOOKUP(YEAR(S1913),INPC!$B$4:$O$29,MONTH(S1913)+1))</f>
        <v>0</v>
      </c>
      <c r="M1913" s="463">
        <f t="shared" si="196"/>
        <v>0</v>
      </c>
      <c r="N1913" s="465">
        <f t="shared" si="197"/>
        <v>0</v>
      </c>
      <c r="O1913" s="179"/>
      <c r="P1913" s="180"/>
      <c r="Q1913" s="173"/>
      <c r="R1913" s="173"/>
      <c r="S1913" s="174"/>
      <c r="T1913" s="173"/>
      <c r="U1913" s="182"/>
      <c r="V1913" s="177">
        <f>IF(U1913=0,0,IF(T1913="MXN",1/HLOOKUP(YEAR(S1913)+(MONTH(S1913)/100),TC!$5:$37,DAY(S1913)+2,FALSE),VLOOKUP(T1913,Equivalencia!$1:$23,((MAX(Equivalencia!$3:$3)-YEAR(S1913))*14)+MONTH(S1913)+2,FALSE)))</f>
        <v>0</v>
      </c>
      <c r="W1913" s="178">
        <f t="shared" si="198"/>
        <v>0</v>
      </c>
      <c r="X1913" s="481">
        <f t="shared" si="199"/>
        <v>0</v>
      </c>
      <c r="Y1913" s="179"/>
      <c r="Z1913" s="466">
        <f t="shared" si="200"/>
        <v>0</v>
      </c>
      <c r="AA1913" s="473">
        <f t="shared" si="201"/>
        <v>0</v>
      </c>
      <c r="AB1913" s="339">
        <f t="shared" si="202"/>
        <v>0</v>
      </c>
    </row>
    <row r="1914" spans="2:28" ht="20.100000000000001" customHeight="1">
      <c r="B1914" s="172"/>
      <c r="C1914" s="174"/>
      <c r="D1914" s="181"/>
      <c r="E1914" s="173"/>
      <c r="F1914" s="176"/>
      <c r="G1914" s="175">
        <f t="shared" si="193"/>
        <v>0</v>
      </c>
      <c r="H1914" s="175">
        <f t="shared" si="194"/>
        <v>0</v>
      </c>
      <c r="I1914" s="177">
        <f>IF(G1914=0,0,IF(E1914="MXN",1/HLOOKUP(YEAR(C1914)+(MONTH(C1914)/100),TC!$5:$37,DAY(C1914)+2,FALSE),VLOOKUP(E1914,Equivalencia!$5:$23,((MAX(Equivalencia!$3:$3)-YEAR(C1914))*14)+MONTH(C1914)+2,FALSE)))</f>
        <v>0</v>
      </c>
      <c r="J1914" s="178">
        <f t="shared" si="195"/>
        <v>0</v>
      </c>
      <c r="K1914" s="462">
        <f>IF(C1914=0,0,VLOOKUP(YEAR(C1914),INPC!$B$4:$O$29,MONTH(C1914)+1))</f>
        <v>0</v>
      </c>
      <c r="L1914" s="462">
        <f>IF(S1914=0,0,VLOOKUP(YEAR(S1914),INPC!$B$4:$O$29,MONTH(S1914)+1))</f>
        <v>0</v>
      </c>
      <c r="M1914" s="463">
        <f t="shared" si="196"/>
        <v>0</v>
      </c>
      <c r="N1914" s="465">
        <f t="shared" si="197"/>
        <v>0</v>
      </c>
      <c r="O1914" s="179"/>
      <c r="P1914" s="180"/>
      <c r="Q1914" s="173"/>
      <c r="R1914" s="173"/>
      <c r="S1914" s="174"/>
      <c r="T1914" s="173"/>
      <c r="U1914" s="182"/>
      <c r="V1914" s="177">
        <f>IF(U1914=0,0,IF(T1914="MXN",1/HLOOKUP(YEAR(S1914)+(MONTH(S1914)/100),TC!$5:$37,DAY(S1914)+2,FALSE),VLOOKUP(T1914,Equivalencia!$1:$23,((MAX(Equivalencia!$3:$3)-YEAR(S1914))*14)+MONTH(S1914)+2,FALSE)))</f>
        <v>0</v>
      </c>
      <c r="W1914" s="178">
        <f t="shared" si="198"/>
        <v>0</v>
      </c>
      <c r="X1914" s="481">
        <f t="shared" si="199"/>
        <v>0</v>
      </c>
      <c r="Y1914" s="179"/>
      <c r="Z1914" s="466">
        <f t="shared" si="200"/>
        <v>0</v>
      </c>
      <c r="AA1914" s="473">
        <f t="shared" si="201"/>
        <v>0</v>
      </c>
      <c r="AB1914" s="339">
        <f t="shared" si="202"/>
        <v>0</v>
      </c>
    </row>
    <row r="1915" spans="2:28" ht="20.100000000000001" customHeight="1">
      <c r="B1915" s="172"/>
      <c r="C1915" s="174"/>
      <c r="D1915" s="181"/>
      <c r="E1915" s="173"/>
      <c r="F1915" s="176"/>
      <c r="G1915" s="175">
        <f t="shared" si="193"/>
        <v>0</v>
      </c>
      <c r="H1915" s="175">
        <f t="shared" si="194"/>
        <v>0</v>
      </c>
      <c r="I1915" s="177">
        <f>IF(G1915=0,0,IF(E1915="MXN",1/HLOOKUP(YEAR(C1915)+(MONTH(C1915)/100),TC!$5:$37,DAY(C1915)+2,FALSE),VLOOKUP(E1915,Equivalencia!$5:$23,((MAX(Equivalencia!$3:$3)-YEAR(C1915))*14)+MONTH(C1915)+2,FALSE)))</f>
        <v>0</v>
      </c>
      <c r="J1915" s="178">
        <f t="shared" si="195"/>
        <v>0</v>
      </c>
      <c r="K1915" s="462">
        <f>IF(C1915=0,0,VLOOKUP(YEAR(C1915),INPC!$B$4:$O$29,MONTH(C1915)+1))</f>
        <v>0</v>
      </c>
      <c r="L1915" s="462">
        <f>IF(S1915=0,0,VLOOKUP(YEAR(S1915),INPC!$B$4:$O$29,MONTH(S1915)+1))</f>
        <v>0</v>
      </c>
      <c r="M1915" s="463">
        <f t="shared" si="196"/>
        <v>0</v>
      </c>
      <c r="N1915" s="465">
        <f t="shared" si="197"/>
        <v>0</v>
      </c>
      <c r="O1915" s="179"/>
      <c r="P1915" s="180"/>
      <c r="Q1915" s="173"/>
      <c r="R1915" s="173"/>
      <c r="S1915" s="174"/>
      <c r="T1915" s="173"/>
      <c r="U1915" s="182"/>
      <c r="V1915" s="177">
        <f>IF(U1915=0,0,IF(T1915="MXN",1/HLOOKUP(YEAR(S1915)+(MONTH(S1915)/100),TC!$5:$37,DAY(S1915)+2,FALSE),VLOOKUP(T1915,Equivalencia!$1:$23,((MAX(Equivalencia!$3:$3)-YEAR(S1915))*14)+MONTH(S1915)+2,FALSE)))</f>
        <v>0</v>
      </c>
      <c r="W1915" s="178">
        <f t="shared" si="198"/>
        <v>0</v>
      </c>
      <c r="X1915" s="481">
        <f t="shared" si="199"/>
        <v>0</v>
      </c>
      <c r="Y1915" s="179"/>
      <c r="Z1915" s="466">
        <f t="shared" si="200"/>
        <v>0</v>
      </c>
      <c r="AA1915" s="473">
        <f t="shared" si="201"/>
        <v>0</v>
      </c>
      <c r="AB1915" s="339">
        <f t="shared" si="202"/>
        <v>0</v>
      </c>
    </row>
    <row r="1916" spans="2:28" ht="20.100000000000001" customHeight="1">
      <c r="B1916" s="172"/>
      <c r="C1916" s="174"/>
      <c r="D1916" s="181"/>
      <c r="E1916" s="173"/>
      <c r="F1916" s="176"/>
      <c r="G1916" s="175">
        <f t="shared" si="193"/>
        <v>0</v>
      </c>
      <c r="H1916" s="175">
        <f t="shared" si="194"/>
        <v>0</v>
      </c>
      <c r="I1916" s="177">
        <f>IF(G1916=0,0,IF(E1916="MXN",1/HLOOKUP(YEAR(C1916)+(MONTH(C1916)/100),TC!$5:$37,DAY(C1916)+2,FALSE),VLOOKUP(E1916,Equivalencia!$5:$23,((MAX(Equivalencia!$3:$3)-YEAR(C1916))*14)+MONTH(C1916)+2,FALSE)))</f>
        <v>0</v>
      </c>
      <c r="J1916" s="178">
        <f t="shared" si="195"/>
        <v>0</v>
      </c>
      <c r="K1916" s="462">
        <f>IF(C1916=0,0,VLOOKUP(YEAR(C1916),INPC!$B$4:$O$29,MONTH(C1916)+1))</f>
        <v>0</v>
      </c>
      <c r="L1916" s="462">
        <f>IF(S1916=0,0,VLOOKUP(YEAR(S1916),INPC!$B$4:$O$29,MONTH(S1916)+1))</f>
        <v>0</v>
      </c>
      <c r="M1916" s="463">
        <f t="shared" si="196"/>
        <v>0</v>
      </c>
      <c r="N1916" s="465">
        <f t="shared" si="197"/>
        <v>0</v>
      </c>
      <c r="O1916" s="179"/>
      <c r="P1916" s="180"/>
      <c r="Q1916" s="173"/>
      <c r="R1916" s="173"/>
      <c r="S1916" s="174"/>
      <c r="T1916" s="173"/>
      <c r="U1916" s="182"/>
      <c r="V1916" s="177">
        <f>IF(U1916=0,0,IF(T1916="MXN",1/HLOOKUP(YEAR(S1916)+(MONTH(S1916)/100),TC!$5:$37,DAY(S1916)+2,FALSE),VLOOKUP(T1916,Equivalencia!$1:$23,((MAX(Equivalencia!$3:$3)-YEAR(S1916))*14)+MONTH(S1916)+2,FALSE)))</f>
        <v>0</v>
      </c>
      <c r="W1916" s="178">
        <f t="shared" si="198"/>
        <v>0</v>
      </c>
      <c r="X1916" s="481">
        <f t="shared" si="199"/>
        <v>0</v>
      </c>
      <c r="Y1916" s="179"/>
      <c r="Z1916" s="466">
        <f t="shared" si="200"/>
        <v>0</v>
      </c>
      <c r="AA1916" s="473">
        <f t="shared" si="201"/>
        <v>0</v>
      </c>
      <c r="AB1916" s="339">
        <f t="shared" si="202"/>
        <v>0</v>
      </c>
    </row>
    <row r="1917" spans="2:28" ht="20.100000000000001" customHeight="1">
      <c r="B1917" s="172"/>
      <c r="C1917" s="174"/>
      <c r="D1917" s="181"/>
      <c r="E1917" s="173"/>
      <c r="F1917" s="176"/>
      <c r="G1917" s="175">
        <f t="shared" si="193"/>
        <v>0</v>
      </c>
      <c r="H1917" s="175">
        <f t="shared" si="194"/>
        <v>0</v>
      </c>
      <c r="I1917" s="177">
        <f>IF(G1917=0,0,IF(E1917="MXN",1/HLOOKUP(YEAR(C1917)+(MONTH(C1917)/100),TC!$5:$37,DAY(C1917)+2,FALSE),VLOOKUP(E1917,Equivalencia!$5:$23,((MAX(Equivalencia!$3:$3)-YEAR(C1917))*14)+MONTH(C1917)+2,FALSE)))</f>
        <v>0</v>
      </c>
      <c r="J1917" s="178">
        <f t="shared" si="195"/>
        <v>0</v>
      </c>
      <c r="K1917" s="462">
        <f>IF(C1917=0,0,VLOOKUP(YEAR(C1917),INPC!$B$4:$O$29,MONTH(C1917)+1))</f>
        <v>0</v>
      </c>
      <c r="L1917" s="462">
        <f>IF(S1917=0,0,VLOOKUP(YEAR(S1917),INPC!$B$4:$O$29,MONTH(S1917)+1))</f>
        <v>0</v>
      </c>
      <c r="M1917" s="463">
        <f t="shared" si="196"/>
        <v>0</v>
      </c>
      <c r="N1917" s="465">
        <f t="shared" si="197"/>
        <v>0</v>
      </c>
      <c r="O1917" s="179"/>
      <c r="P1917" s="180"/>
      <c r="Q1917" s="173"/>
      <c r="R1917" s="173"/>
      <c r="S1917" s="174"/>
      <c r="T1917" s="173"/>
      <c r="U1917" s="182"/>
      <c r="V1917" s="177">
        <f>IF(U1917=0,0,IF(T1917="MXN",1/HLOOKUP(YEAR(S1917)+(MONTH(S1917)/100),TC!$5:$37,DAY(S1917)+2,FALSE),VLOOKUP(T1917,Equivalencia!$1:$23,((MAX(Equivalencia!$3:$3)-YEAR(S1917))*14)+MONTH(S1917)+2,FALSE)))</f>
        <v>0</v>
      </c>
      <c r="W1917" s="178">
        <f t="shared" si="198"/>
        <v>0</v>
      </c>
      <c r="X1917" s="481">
        <f t="shared" si="199"/>
        <v>0</v>
      </c>
      <c r="Y1917" s="179"/>
      <c r="Z1917" s="466">
        <f t="shared" si="200"/>
        <v>0</v>
      </c>
      <c r="AA1917" s="473">
        <f t="shared" si="201"/>
        <v>0</v>
      </c>
      <c r="AB1917" s="339">
        <f t="shared" si="202"/>
        <v>0</v>
      </c>
    </row>
    <row r="1918" spans="2:28" ht="20.100000000000001" customHeight="1">
      <c r="B1918" s="172"/>
      <c r="C1918" s="174"/>
      <c r="D1918" s="181"/>
      <c r="E1918" s="173"/>
      <c r="F1918" s="176"/>
      <c r="G1918" s="175">
        <f t="shared" si="193"/>
        <v>0</v>
      </c>
      <c r="H1918" s="175">
        <f t="shared" si="194"/>
        <v>0</v>
      </c>
      <c r="I1918" s="177">
        <f>IF(G1918=0,0,IF(E1918="MXN",1/HLOOKUP(YEAR(C1918)+(MONTH(C1918)/100),TC!$5:$37,DAY(C1918)+2,FALSE),VLOOKUP(E1918,Equivalencia!$5:$23,((MAX(Equivalencia!$3:$3)-YEAR(C1918))*14)+MONTH(C1918)+2,FALSE)))</f>
        <v>0</v>
      </c>
      <c r="J1918" s="178">
        <f t="shared" si="195"/>
        <v>0</v>
      </c>
      <c r="K1918" s="462">
        <f>IF(C1918=0,0,VLOOKUP(YEAR(C1918),INPC!$B$4:$O$29,MONTH(C1918)+1))</f>
        <v>0</v>
      </c>
      <c r="L1918" s="462">
        <f>IF(S1918=0,0,VLOOKUP(YEAR(S1918),INPC!$B$4:$O$29,MONTH(S1918)+1))</f>
        <v>0</v>
      </c>
      <c r="M1918" s="463">
        <f t="shared" si="196"/>
        <v>0</v>
      </c>
      <c r="N1918" s="465">
        <f t="shared" si="197"/>
        <v>0</v>
      </c>
      <c r="O1918" s="179"/>
      <c r="P1918" s="180"/>
      <c r="Q1918" s="173"/>
      <c r="R1918" s="173"/>
      <c r="S1918" s="174"/>
      <c r="T1918" s="173"/>
      <c r="U1918" s="182"/>
      <c r="V1918" s="177">
        <f>IF(U1918=0,0,IF(T1918="MXN",1/HLOOKUP(YEAR(S1918)+(MONTH(S1918)/100),TC!$5:$37,DAY(S1918)+2,FALSE),VLOOKUP(T1918,Equivalencia!$1:$23,((MAX(Equivalencia!$3:$3)-YEAR(S1918))*14)+MONTH(S1918)+2,FALSE)))</f>
        <v>0</v>
      </c>
      <c r="W1918" s="178">
        <f t="shared" si="198"/>
        <v>0</v>
      </c>
      <c r="X1918" s="481">
        <f t="shared" si="199"/>
        <v>0</v>
      </c>
      <c r="Y1918" s="179"/>
      <c r="Z1918" s="466">
        <f t="shared" si="200"/>
        <v>0</v>
      </c>
      <c r="AA1918" s="473">
        <f t="shared" si="201"/>
        <v>0</v>
      </c>
      <c r="AB1918" s="339">
        <f t="shared" si="202"/>
        <v>0</v>
      </c>
    </row>
    <row r="1919" spans="2:28" ht="20.100000000000001" customHeight="1">
      <c r="B1919" s="172"/>
      <c r="C1919" s="174"/>
      <c r="D1919" s="181"/>
      <c r="E1919" s="173"/>
      <c r="F1919" s="176"/>
      <c r="G1919" s="175">
        <f t="shared" si="193"/>
        <v>0</v>
      </c>
      <c r="H1919" s="175">
        <f t="shared" si="194"/>
        <v>0</v>
      </c>
      <c r="I1919" s="177">
        <f>IF(G1919=0,0,IF(E1919="MXN",1/HLOOKUP(YEAR(C1919)+(MONTH(C1919)/100),TC!$5:$37,DAY(C1919)+2,FALSE),VLOOKUP(E1919,Equivalencia!$5:$23,((MAX(Equivalencia!$3:$3)-YEAR(C1919))*14)+MONTH(C1919)+2,FALSE)))</f>
        <v>0</v>
      </c>
      <c r="J1919" s="178">
        <f t="shared" si="195"/>
        <v>0</v>
      </c>
      <c r="K1919" s="462">
        <f>IF(C1919=0,0,VLOOKUP(YEAR(C1919),INPC!$B$4:$O$29,MONTH(C1919)+1))</f>
        <v>0</v>
      </c>
      <c r="L1919" s="462">
        <f>IF(S1919=0,0,VLOOKUP(YEAR(S1919),INPC!$B$4:$O$29,MONTH(S1919)+1))</f>
        <v>0</v>
      </c>
      <c r="M1919" s="463">
        <f t="shared" si="196"/>
        <v>0</v>
      </c>
      <c r="N1919" s="465">
        <f t="shared" si="197"/>
        <v>0</v>
      </c>
      <c r="O1919" s="179"/>
      <c r="P1919" s="180"/>
      <c r="Q1919" s="173"/>
      <c r="R1919" s="173"/>
      <c r="S1919" s="174"/>
      <c r="T1919" s="173"/>
      <c r="U1919" s="182"/>
      <c r="V1919" s="177">
        <f>IF(U1919=0,0,IF(T1919="MXN",1/HLOOKUP(YEAR(S1919)+(MONTH(S1919)/100),TC!$5:$37,DAY(S1919)+2,FALSE),VLOOKUP(T1919,Equivalencia!$1:$23,((MAX(Equivalencia!$3:$3)-YEAR(S1919))*14)+MONTH(S1919)+2,FALSE)))</f>
        <v>0</v>
      </c>
      <c r="W1919" s="178">
        <f t="shared" si="198"/>
        <v>0</v>
      </c>
      <c r="X1919" s="481">
        <f t="shared" si="199"/>
        <v>0</v>
      </c>
      <c r="Y1919" s="179"/>
      <c r="Z1919" s="466">
        <f t="shared" si="200"/>
        <v>0</v>
      </c>
      <c r="AA1919" s="473">
        <f t="shared" si="201"/>
        <v>0</v>
      </c>
      <c r="AB1919" s="339">
        <f t="shared" si="202"/>
        <v>0</v>
      </c>
    </row>
    <row r="1920" spans="2:28" ht="20.100000000000001" customHeight="1">
      <c r="B1920" s="172"/>
      <c r="C1920" s="174"/>
      <c r="D1920" s="181"/>
      <c r="E1920" s="173"/>
      <c r="F1920" s="176"/>
      <c r="G1920" s="175">
        <f t="shared" si="193"/>
        <v>0</v>
      </c>
      <c r="H1920" s="175">
        <f t="shared" si="194"/>
        <v>0</v>
      </c>
      <c r="I1920" s="177">
        <f>IF(G1920=0,0,IF(E1920="MXN",1/HLOOKUP(YEAR(C1920)+(MONTH(C1920)/100),TC!$5:$37,DAY(C1920)+2,FALSE),VLOOKUP(E1920,Equivalencia!$5:$23,((MAX(Equivalencia!$3:$3)-YEAR(C1920))*14)+MONTH(C1920)+2,FALSE)))</f>
        <v>0</v>
      </c>
      <c r="J1920" s="178">
        <f t="shared" si="195"/>
        <v>0</v>
      </c>
      <c r="K1920" s="462">
        <f>IF(C1920=0,0,VLOOKUP(YEAR(C1920),INPC!$B$4:$O$29,MONTH(C1920)+1))</f>
        <v>0</v>
      </c>
      <c r="L1920" s="462">
        <f>IF(S1920=0,0,VLOOKUP(YEAR(S1920),INPC!$B$4:$O$29,MONTH(S1920)+1))</f>
        <v>0</v>
      </c>
      <c r="M1920" s="463">
        <f t="shared" si="196"/>
        <v>0</v>
      </c>
      <c r="N1920" s="465">
        <f t="shared" si="197"/>
        <v>0</v>
      </c>
      <c r="O1920" s="179"/>
      <c r="P1920" s="180"/>
      <c r="Q1920" s="173"/>
      <c r="R1920" s="173"/>
      <c r="S1920" s="174"/>
      <c r="T1920" s="173"/>
      <c r="U1920" s="182"/>
      <c r="V1920" s="177">
        <f>IF(U1920=0,0,IF(T1920="MXN",1/HLOOKUP(YEAR(S1920)+(MONTH(S1920)/100),TC!$5:$37,DAY(S1920)+2,FALSE),VLOOKUP(T1920,Equivalencia!$1:$23,((MAX(Equivalencia!$3:$3)-YEAR(S1920))*14)+MONTH(S1920)+2,FALSE)))</f>
        <v>0</v>
      </c>
      <c r="W1920" s="178">
        <f t="shared" si="198"/>
        <v>0</v>
      </c>
      <c r="X1920" s="481">
        <f t="shared" si="199"/>
        <v>0</v>
      </c>
      <c r="Y1920" s="179"/>
      <c r="Z1920" s="466">
        <f t="shared" si="200"/>
        <v>0</v>
      </c>
      <c r="AA1920" s="473">
        <f t="shared" si="201"/>
        <v>0</v>
      </c>
      <c r="AB1920" s="339">
        <f t="shared" si="202"/>
        <v>0</v>
      </c>
    </row>
    <row r="1921" spans="2:28" ht="20.100000000000001" customHeight="1">
      <c r="B1921" s="172"/>
      <c r="C1921" s="174"/>
      <c r="D1921" s="181"/>
      <c r="E1921" s="173"/>
      <c r="F1921" s="176"/>
      <c r="G1921" s="175">
        <f t="shared" si="193"/>
        <v>0</v>
      </c>
      <c r="H1921" s="175">
        <f t="shared" si="194"/>
        <v>0</v>
      </c>
      <c r="I1921" s="177">
        <f>IF(G1921=0,0,IF(E1921="MXN",1/HLOOKUP(YEAR(C1921)+(MONTH(C1921)/100),TC!$5:$37,DAY(C1921)+2,FALSE),VLOOKUP(E1921,Equivalencia!$5:$23,((MAX(Equivalencia!$3:$3)-YEAR(C1921))*14)+MONTH(C1921)+2,FALSE)))</f>
        <v>0</v>
      </c>
      <c r="J1921" s="178">
        <f t="shared" si="195"/>
        <v>0</v>
      </c>
      <c r="K1921" s="462">
        <f>IF(C1921=0,0,VLOOKUP(YEAR(C1921),INPC!$B$4:$O$29,MONTH(C1921)+1))</f>
        <v>0</v>
      </c>
      <c r="L1921" s="462">
        <f>IF(S1921=0,0,VLOOKUP(YEAR(S1921),INPC!$B$4:$O$29,MONTH(S1921)+1))</f>
        <v>0</v>
      </c>
      <c r="M1921" s="463">
        <f t="shared" si="196"/>
        <v>0</v>
      </c>
      <c r="N1921" s="465">
        <f t="shared" si="197"/>
        <v>0</v>
      </c>
      <c r="O1921" s="179"/>
      <c r="P1921" s="180"/>
      <c r="Q1921" s="173"/>
      <c r="R1921" s="173"/>
      <c r="S1921" s="174"/>
      <c r="T1921" s="173"/>
      <c r="U1921" s="182"/>
      <c r="V1921" s="177">
        <f>IF(U1921=0,0,IF(T1921="MXN",1/HLOOKUP(YEAR(S1921)+(MONTH(S1921)/100),TC!$5:$37,DAY(S1921)+2,FALSE),VLOOKUP(T1921,Equivalencia!$1:$23,((MAX(Equivalencia!$3:$3)-YEAR(S1921))*14)+MONTH(S1921)+2,FALSE)))</f>
        <v>0</v>
      </c>
      <c r="W1921" s="178">
        <f t="shared" si="198"/>
        <v>0</v>
      </c>
      <c r="X1921" s="481">
        <f t="shared" si="199"/>
        <v>0</v>
      </c>
      <c r="Y1921" s="179"/>
      <c r="Z1921" s="466">
        <f t="shared" si="200"/>
        <v>0</v>
      </c>
      <c r="AA1921" s="473">
        <f t="shared" si="201"/>
        <v>0</v>
      </c>
      <c r="AB1921" s="339">
        <f t="shared" si="202"/>
        <v>0</v>
      </c>
    </row>
    <row r="1922" spans="2:28" ht="20.100000000000001" customHeight="1">
      <c r="B1922" s="172"/>
      <c r="C1922" s="174"/>
      <c r="D1922" s="181"/>
      <c r="E1922" s="173"/>
      <c r="F1922" s="176"/>
      <c r="G1922" s="175">
        <f t="shared" si="193"/>
        <v>0</v>
      </c>
      <c r="H1922" s="175">
        <f t="shared" si="194"/>
        <v>0</v>
      </c>
      <c r="I1922" s="177">
        <f>IF(G1922=0,0,IF(E1922="MXN",1/HLOOKUP(YEAR(C1922)+(MONTH(C1922)/100),TC!$5:$37,DAY(C1922)+2,FALSE),VLOOKUP(E1922,Equivalencia!$5:$23,((MAX(Equivalencia!$3:$3)-YEAR(C1922))*14)+MONTH(C1922)+2,FALSE)))</f>
        <v>0</v>
      </c>
      <c r="J1922" s="178">
        <f t="shared" si="195"/>
        <v>0</v>
      </c>
      <c r="K1922" s="462">
        <f>IF(C1922=0,0,VLOOKUP(YEAR(C1922),INPC!$B$4:$O$29,MONTH(C1922)+1))</f>
        <v>0</v>
      </c>
      <c r="L1922" s="462">
        <f>IF(S1922=0,0,VLOOKUP(YEAR(S1922),INPC!$B$4:$O$29,MONTH(S1922)+1))</f>
        <v>0</v>
      </c>
      <c r="M1922" s="463">
        <f t="shared" si="196"/>
        <v>0</v>
      </c>
      <c r="N1922" s="465">
        <f t="shared" si="197"/>
        <v>0</v>
      </c>
      <c r="O1922" s="179"/>
      <c r="P1922" s="180"/>
      <c r="Q1922" s="173"/>
      <c r="R1922" s="173"/>
      <c r="S1922" s="174"/>
      <c r="T1922" s="173"/>
      <c r="U1922" s="182"/>
      <c r="V1922" s="177">
        <f>IF(U1922=0,0,IF(T1922="MXN",1/HLOOKUP(YEAR(S1922)+(MONTH(S1922)/100),TC!$5:$37,DAY(S1922)+2,FALSE),VLOOKUP(T1922,Equivalencia!$1:$23,((MAX(Equivalencia!$3:$3)-YEAR(S1922))*14)+MONTH(S1922)+2,FALSE)))</f>
        <v>0</v>
      </c>
      <c r="W1922" s="178">
        <f t="shared" si="198"/>
        <v>0</v>
      </c>
      <c r="X1922" s="481">
        <f t="shared" si="199"/>
        <v>0</v>
      </c>
      <c r="Y1922" s="179"/>
      <c r="Z1922" s="466">
        <f t="shared" si="200"/>
        <v>0</v>
      </c>
      <c r="AA1922" s="473">
        <f t="shared" si="201"/>
        <v>0</v>
      </c>
      <c r="AB1922" s="339">
        <f t="shared" si="202"/>
        <v>0</v>
      </c>
    </row>
    <row r="1923" spans="2:28" ht="20.100000000000001" customHeight="1">
      <c r="B1923" s="172"/>
      <c r="C1923" s="174"/>
      <c r="D1923" s="181"/>
      <c r="E1923" s="173"/>
      <c r="F1923" s="176"/>
      <c r="G1923" s="175">
        <f t="shared" si="193"/>
        <v>0</v>
      </c>
      <c r="H1923" s="175">
        <f t="shared" si="194"/>
        <v>0</v>
      </c>
      <c r="I1923" s="177">
        <f>IF(G1923=0,0,IF(E1923="MXN",1/HLOOKUP(YEAR(C1923)+(MONTH(C1923)/100),TC!$5:$37,DAY(C1923)+2,FALSE),VLOOKUP(E1923,Equivalencia!$5:$23,((MAX(Equivalencia!$3:$3)-YEAR(C1923))*14)+MONTH(C1923)+2,FALSE)))</f>
        <v>0</v>
      </c>
      <c r="J1923" s="178">
        <f t="shared" si="195"/>
        <v>0</v>
      </c>
      <c r="K1923" s="462">
        <f>IF(C1923=0,0,VLOOKUP(YEAR(C1923),INPC!$B$4:$O$29,MONTH(C1923)+1))</f>
        <v>0</v>
      </c>
      <c r="L1923" s="462">
        <f>IF(S1923=0,0,VLOOKUP(YEAR(S1923),INPC!$B$4:$O$29,MONTH(S1923)+1))</f>
        <v>0</v>
      </c>
      <c r="M1923" s="463">
        <f t="shared" si="196"/>
        <v>0</v>
      </c>
      <c r="N1923" s="465">
        <f t="shared" si="197"/>
        <v>0</v>
      </c>
      <c r="O1923" s="179"/>
      <c r="P1923" s="180"/>
      <c r="Q1923" s="173"/>
      <c r="R1923" s="173"/>
      <c r="S1923" s="174"/>
      <c r="T1923" s="173"/>
      <c r="U1923" s="182"/>
      <c r="V1923" s="177">
        <f>IF(U1923=0,0,IF(T1923="MXN",1/HLOOKUP(YEAR(S1923)+(MONTH(S1923)/100),TC!$5:$37,DAY(S1923)+2,FALSE),VLOOKUP(T1923,Equivalencia!$1:$23,((MAX(Equivalencia!$3:$3)-YEAR(S1923))*14)+MONTH(S1923)+2,FALSE)))</f>
        <v>0</v>
      </c>
      <c r="W1923" s="178">
        <f t="shared" si="198"/>
        <v>0</v>
      </c>
      <c r="X1923" s="481">
        <f t="shared" si="199"/>
        <v>0</v>
      </c>
      <c r="Y1923" s="179"/>
      <c r="Z1923" s="466">
        <f t="shared" si="200"/>
        <v>0</v>
      </c>
      <c r="AA1923" s="473">
        <f t="shared" si="201"/>
        <v>0</v>
      </c>
      <c r="AB1923" s="339">
        <f t="shared" si="202"/>
        <v>0</v>
      </c>
    </row>
    <row r="1924" spans="2:28" ht="20.100000000000001" customHeight="1">
      <c r="B1924" s="172"/>
      <c r="C1924" s="174"/>
      <c r="D1924" s="181"/>
      <c r="E1924" s="173"/>
      <c r="F1924" s="176"/>
      <c r="G1924" s="175">
        <f t="shared" si="193"/>
        <v>0</v>
      </c>
      <c r="H1924" s="175">
        <f t="shared" si="194"/>
        <v>0</v>
      </c>
      <c r="I1924" s="177">
        <f>IF(G1924=0,0,IF(E1924="MXN",1/HLOOKUP(YEAR(C1924)+(MONTH(C1924)/100),TC!$5:$37,DAY(C1924)+2,FALSE),VLOOKUP(E1924,Equivalencia!$5:$23,((MAX(Equivalencia!$3:$3)-YEAR(C1924))*14)+MONTH(C1924)+2,FALSE)))</f>
        <v>0</v>
      </c>
      <c r="J1924" s="178">
        <f t="shared" si="195"/>
        <v>0</v>
      </c>
      <c r="K1924" s="462">
        <f>IF(C1924=0,0,VLOOKUP(YEAR(C1924),INPC!$B$4:$O$29,MONTH(C1924)+1))</f>
        <v>0</v>
      </c>
      <c r="L1924" s="462">
        <f>IF(S1924=0,0,VLOOKUP(YEAR(S1924),INPC!$B$4:$O$29,MONTH(S1924)+1))</f>
        <v>0</v>
      </c>
      <c r="M1924" s="463">
        <f t="shared" si="196"/>
        <v>0</v>
      </c>
      <c r="N1924" s="465">
        <f t="shared" si="197"/>
        <v>0</v>
      </c>
      <c r="O1924" s="179"/>
      <c r="P1924" s="180"/>
      <c r="Q1924" s="173"/>
      <c r="R1924" s="173"/>
      <c r="S1924" s="174"/>
      <c r="T1924" s="173"/>
      <c r="U1924" s="182"/>
      <c r="V1924" s="177">
        <f>IF(U1924=0,0,IF(T1924="MXN",1/HLOOKUP(YEAR(S1924)+(MONTH(S1924)/100),TC!$5:$37,DAY(S1924)+2,FALSE),VLOOKUP(T1924,Equivalencia!$1:$23,((MAX(Equivalencia!$3:$3)-YEAR(S1924))*14)+MONTH(S1924)+2,FALSE)))</f>
        <v>0</v>
      </c>
      <c r="W1924" s="178">
        <f t="shared" si="198"/>
        <v>0</v>
      </c>
      <c r="X1924" s="481">
        <f t="shared" si="199"/>
        <v>0</v>
      </c>
      <c r="Y1924" s="179"/>
      <c r="Z1924" s="466">
        <f t="shared" si="200"/>
        <v>0</v>
      </c>
      <c r="AA1924" s="473">
        <f t="shared" si="201"/>
        <v>0</v>
      </c>
      <c r="AB1924" s="339">
        <f t="shared" si="202"/>
        <v>0</v>
      </c>
    </row>
    <row r="1925" spans="2:28" ht="20.100000000000001" customHeight="1">
      <c r="B1925" s="172"/>
      <c r="C1925" s="174"/>
      <c r="D1925" s="181"/>
      <c r="E1925" s="173"/>
      <c r="F1925" s="176"/>
      <c r="G1925" s="175">
        <f t="shared" si="193"/>
        <v>0</v>
      </c>
      <c r="H1925" s="175">
        <f t="shared" si="194"/>
        <v>0</v>
      </c>
      <c r="I1925" s="177">
        <f>IF(G1925=0,0,IF(E1925="MXN",1/HLOOKUP(YEAR(C1925)+(MONTH(C1925)/100),TC!$5:$37,DAY(C1925)+2,FALSE),VLOOKUP(E1925,Equivalencia!$5:$23,((MAX(Equivalencia!$3:$3)-YEAR(C1925))*14)+MONTH(C1925)+2,FALSE)))</f>
        <v>0</v>
      </c>
      <c r="J1925" s="178">
        <f t="shared" si="195"/>
        <v>0</v>
      </c>
      <c r="K1925" s="462">
        <f>IF(C1925=0,0,VLOOKUP(YEAR(C1925),INPC!$B$4:$O$29,MONTH(C1925)+1))</f>
        <v>0</v>
      </c>
      <c r="L1925" s="462">
        <f>IF(S1925=0,0,VLOOKUP(YEAR(S1925),INPC!$B$4:$O$29,MONTH(S1925)+1))</f>
        <v>0</v>
      </c>
      <c r="M1925" s="463">
        <f t="shared" si="196"/>
        <v>0</v>
      </c>
      <c r="N1925" s="465">
        <f t="shared" si="197"/>
        <v>0</v>
      </c>
      <c r="O1925" s="179"/>
      <c r="P1925" s="180"/>
      <c r="Q1925" s="173"/>
      <c r="R1925" s="173"/>
      <c r="S1925" s="174"/>
      <c r="T1925" s="173"/>
      <c r="U1925" s="182"/>
      <c r="V1925" s="177">
        <f>IF(U1925=0,0,IF(T1925="MXN",1/HLOOKUP(YEAR(S1925)+(MONTH(S1925)/100),TC!$5:$37,DAY(S1925)+2,FALSE),VLOOKUP(T1925,Equivalencia!$1:$23,((MAX(Equivalencia!$3:$3)-YEAR(S1925))*14)+MONTH(S1925)+2,FALSE)))</f>
        <v>0</v>
      </c>
      <c r="W1925" s="178">
        <f t="shared" si="198"/>
        <v>0</v>
      </c>
      <c r="X1925" s="481">
        <f t="shared" si="199"/>
        <v>0</v>
      </c>
      <c r="Y1925" s="179"/>
      <c r="Z1925" s="466">
        <f t="shared" si="200"/>
        <v>0</v>
      </c>
      <c r="AA1925" s="473">
        <f t="shared" si="201"/>
        <v>0</v>
      </c>
      <c r="AB1925" s="339">
        <f t="shared" si="202"/>
        <v>0</v>
      </c>
    </row>
    <row r="1926" spans="2:28" ht="20.100000000000001" customHeight="1">
      <c r="B1926" s="172"/>
      <c r="C1926" s="174"/>
      <c r="D1926" s="181"/>
      <c r="E1926" s="173"/>
      <c r="F1926" s="176"/>
      <c r="G1926" s="175">
        <f t="shared" si="193"/>
        <v>0</v>
      </c>
      <c r="H1926" s="175">
        <f t="shared" si="194"/>
        <v>0</v>
      </c>
      <c r="I1926" s="177">
        <f>IF(G1926=0,0,IF(E1926="MXN",1/HLOOKUP(YEAR(C1926)+(MONTH(C1926)/100),TC!$5:$37,DAY(C1926)+2,FALSE),VLOOKUP(E1926,Equivalencia!$5:$23,((MAX(Equivalencia!$3:$3)-YEAR(C1926))*14)+MONTH(C1926)+2,FALSE)))</f>
        <v>0</v>
      </c>
      <c r="J1926" s="178">
        <f t="shared" si="195"/>
        <v>0</v>
      </c>
      <c r="K1926" s="462">
        <f>IF(C1926=0,0,VLOOKUP(YEAR(C1926),INPC!$B$4:$O$29,MONTH(C1926)+1))</f>
        <v>0</v>
      </c>
      <c r="L1926" s="462">
        <f>IF(S1926=0,0,VLOOKUP(YEAR(S1926),INPC!$B$4:$O$29,MONTH(S1926)+1))</f>
        <v>0</v>
      </c>
      <c r="M1926" s="463">
        <f t="shared" si="196"/>
        <v>0</v>
      </c>
      <c r="N1926" s="465">
        <f t="shared" si="197"/>
        <v>0</v>
      </c>
      <c r="O1926" s="179"/>
      <c r="P1926" s="180"/>
      <c r="Q1926" s="173"/>
      <c r="R1926" s="173"/>
      <c r="S1926" s="174"/>
      <c r="T1926" s="173"/>
      <c r="U1926" s="182"/>
      <c r="V1926" s="177">
        <f>IF(U1926=0,0,IF(T1926="MXN",1/HLOOKUP(YEAR(S1926)+(MONTH(S1926)/100),TC!$5:$37,DAY(S1926)+2,FALSE),VLOOKUP(T1926,Equivalencia!$1:$23,((MAX(Equivalencia!$3:$3)-YEAR(S1926))*14)+MONTH(S1926)+2,FALSE)))</f>
        <v>0</v>
      </c>
      <c r="W1926" s="178">
        <f t="shared" si="198"/>
        <v>0</v>
      </c>
      <c r="X1926" s="481">
        <f t="shared" si="199"/>
        <v>0</v>
      </c>
      <c r="Y1926" s="179"/>
      <c r="Z1926" s="466">
        <f t="shared" si="200"/>
        <v>0</v>
      </c>
      <c r="AA1926" s="473">
        <f t="shared" si="201"/>
        <v>0</v>
      </c>
      <c r="AB1926" s="339">
        <f t="shared" si="202"/>
        <v>0</v>
      </c>
    </row>
    <row r="1927" spans="2:28" ht="20.100000000000001" customHeight="1">
      <c r="B1927" s="172"/>
      <c r="C1927" s="174"/>
      <c r="D1927" s="181"/>
      <c r="E1927" s="173"/>
      <c r="F1927" s="176"/>
      <c r="G1927" s="175">
        <f t="shared" si="193"/>
        <v>0</v>
      </c>
      <c r="H1927" s="175">
        <f t="shared" si="194"/>
        <v>0</v>
      </c>
      <c r="I1927" s="177">
        <f>IF(G1927=0,0,IF(E1927="MXN",1/HLOOKUP(YEAR(C1927)+(MONTH(C1927)/100),TC!$5:$37,DAY(C1927)+2,FALSE),VLOOKUP(E1927,Equivalencia!$5:$23,((MAX(Equivalencia!$3:$3)-YEAR(C1927))*14)+MONTH(C1927)+2,FALSE)))</f>
        <v>0</v>
      </c>
      <c r="J1927" s="178">
        <f t="shared" si="195"/>
        <v>0</v>
      </c>
      <c r="K1927" s="462">
        <f>IF(C1927=0,0,VLOOKUP(YEAR(C1927),INPC!$B$4:$O$29,MONTH(C1927)+1))</f>
        <v>0</v>
      </c>
      <c r="L1927" s="462">
        <f>IF(S1927=0,0,VLOOKUP(YEAR(S1927),INPC!$B$4:$O$29,MONTH(S1927)+1))</f>
        <v>0</v>
      </c>
      <c r="M1927" s="463">
        <f t="shared" si="196"/>
        <v>0</v>
      </c>
      <c r="N1927" s="465">
        <f t="shared" si="197"/>
        <v>0</v>
      </c>
      <c r="O1927" s="179"/>
      <c r="P1927" s="180"/>
      <c r="Q1927" s="173"/>
      <c r="R1927" s="173"/>
      <c r="S1927" s="174"/>
      <c r="T1927" s="173"/>
      <c r="U1927" s="182"/>
      <c r="V1927" s="177">
        <f>IF(U1927=0,0,IF(T1927="MXN",1/HLOOKUP(YEAR(S1927)+(MONTH(S1927)/100),TC!$5:$37,DAY(S1927)+2,FALSE),VLOOKUP(T1927,Equivalencia!$1:$23,((MAX(Equivalencia!$3:$3)-YEAR(S1927))*14)+MONTH(S1927)+2,FALSE)))</f>
        <v>0</v>
      </c>
      <c r="W1927" s="178">
        <f t="shared" si="198"/>
        <v>0</v>
      </c>
      <c r="X1927" s="481">
        <f t="shared" si="199"/>
        <v>0</v>
      </c>
      <c r="Y1927" s="179"/>
      <c r="Z1927" s="466">
        <f t="shared" si="200"/>
        <v>0</v>
      </c>
      <c r="AA1927" s="473">
        <f t="shared" si="201"/>
        <v>0</v>
      </c>
      <c r="AB1927" s="339">
        <f t="shared" si="202"/>
        <v>0</v>
      </c>
    </row>
    <row r="1928" spans="2:28" ht="20.100000000000001" customHeight="1">
      <c r="B1928" s="172"/>
      <c r="C1928" s="174"/>
      <c r="D1928" s="181"/>
      <c r="E1928" s="173"/>
      <c r="F1928" s="176"/>
      <c r="G1928" s="175">
        <f t="shared" si="193"/>
        <v>0</v>
      </c>
      <c r="H1928" s="175">
        <f t="shared" si="194"/>
        <v>0</v>
      </c>
      <c r="I1928" s="177">
        <f>IF(G1928=0,0,IF(E1928="MXN",1/HLOOKUP(YEAR(C1928)+(MONTH(C1928)/100),TC!$5:$37,DAY(C1928)+2,FALSE),VLOOKUP(E1928,Equivalencia!$5:$23,((MAX(Equivalencia!$3:$3)-YEAR(C1928))*14)+MONTH(C1928)+2,FALSE)))</f>
        <v>0</v>
      </c>
      <c r="J1928" s="178">
        <f t="shared" si="195"/>
        <v>0</v>
      </c>
      <c r="K1928" s="462">
        <f>IF(C1928=0,0,VLOOKUP(YEAR(C1928),INPC!$B$4:$O$29,MONTH(C1928)+1))</f>
        <v>0</v>
      </c>
      <c r="L1928" s="462">
        <f>IF(S1928=0,0,VLOOKUP(YEAR(S1928),INPC!$B$4:$O$29,MONTH(S1928)+1))</f>
        <v>0</v>
      </c>
      <c r="M1928" s="463">
        <f t="shared" si="196"/>
        <v>0</v>
      </c>
      <c r="N1928" s="465">
        <f t="shared" si="197"/>
        <v>0</v>
      </c>
      <c r="O1928" s="179"/>
      <c r="P1928" s="180"/>
      <c r="Q1928" s="173"/>
      <c r="R1928" s="173"/>
      <c r="S1928" s="174"/>
      <c r="T1928" s="173"/>
      <c r="U1928" s="182"/>
      <c r="V1928" s="177">
        <f>IF(U1928=0,0,IF(T1928="MXN",1/HLOOKUP(YEAR(S1928)+(MONTH(S1928)/100),TC!$5:$37,DAY(S1928)+2,FALSE),VLOOKUP(T1928,Equivalencia!$1:$23,((MAX(Equivalencia!$3:$3)-YEAR(S1928))*14)+MONTH(S1928)+2,FALSE)))</f>
        <v>0</v>
      </c>
      <c r="W1928" s="178">
        <f t="shared" si="198"/>
        <v>0</v>
      </c>
      <c r="X1928" s="481">
        <f t="shared" si="199"/>
        <v>0</v>
      </c>
      <c r="Y1928" s="179"/>
      <c r="Z1928" s="466">
        <f t="shared" si="200"/>
        <v>0</v>
      </c>
      <c r="AA1928" s="473">
        <f t="shared" si="201"/>
        <v>0</v>
      </c>
      <c r="AB1928" s="339">
        <f t="shared" si="202"/>
        <v>0</v>
      </c>
    </row>
    <row r="1929" spans="2:28" ht="20.100000000000001" customHeight="1">
      <c r="B1929" s="172"/>
      <c r="C1929" s="174"/>
      <c r="D1929" s="181"/>
      <c r="E1929" s="173"/>
      <c r="F1929" s="176"/>
      <c r="G1929" s="175">
        <f t="shared" si="193"/>
        <v>0</v>
      </c>
      <c r="H1929" s="175">
        <f t="shared" si="194"/>
        <v>0</v>
      </c>
      <c r="I1929" s="177">
        <f>IF(G1929=0,0,IF(E1929="MXN",1/HLOOKUP(YEAR(C1929)+(MONTH(C1929)/100),TC!$5:$37,DAY(C1929)+2,FALSE),VLOOKUP(E1929,Equivalencia!$5:$23,((MAX(Equivalencia!$3:$3)-YEAR(C1929))*14)+MONTH(C1929)+2,FALSE)))</f>
        <v>0</v>
      </c>
      <c r="J1929" s="178">
        <f t="shared" si="195"/>
        <v>0</v>
      </c>
      <c r="K1929" s="462">
        <f>IF(C1929=0,0,VLOOKUP(YEAR(C1929),INPC!$B$4:$O$29,MONTH(C1929)+1))</f>
        <v>0</v>
      </c>
      <c r="L1929" s="462">
        <f>IF(S1929=0,0,VLOOKUP(YEAR(S1929),INPC!$B$4:$O$29,MONTH(S1929)+1))</f>
        <v>0</v>
      </c>
      <c r="M1929" s="463">
        <f t="shared" si="196"/>
        <v>0</v>
      </c>
      <c r="N1929" s="465">
        <f t="shared" si="197"/>
        <v>0</v>
      </c>
      <c r="O1929" s="179"/>
      <c r="P1929" s="180"/>
      <c r="Q1929" s="173"/>
      <c r="R1929" s="173"/>
      <c r="S1929" s="174"/>
      <c r="T1929" s="173"/>
      <c r="U1929" s="182"/>
      <c r="V1929" s="177">
        <f>IF(U1929=0,0,IF(T1929="MXN",1/HLOOKUP(YEAR(S1929)+(MONTH(S1929)/100),TC!$5:$37,DAY(S1929)+2,FALSE),VLOOKUP(T1929,Equivalencia!$1:$23,((MAX(Equivalencia!$3:$3)-YEAR(S1929))*14)+MONTH(S1929)+2,FALSE)))</f>
        <v>0</v>
      </c>
      <c r="W1929" s="178">
        <f t="shared" si="198"/>
        <v>0</v>
      </c>
      <c r="X1929" s="481">
        <f t="shared" si="199"/>
        <v>0</v>
      </c>
      <c r="Y1929" s="179"/>
      <c r="Z1929" s="466">
        <f t="shared" si="200"/>
        <v>0</v>
      </c>
      <c r="AA1929" s="473">
        <f t="shared" si="201"/>
        <v>0</v>
      </c>
      <c r="AB1929" s="339">
        <f t="shared" si="202"/>
        <v>0</v>
      </c>
    </row>
    <row r="1930" spans="2:28" ht="20.100000000000001" customHeight="1">
      <c r="B1930" s="172"/>
      <c r="C1930" s="174"/>
      <c r="D1930" s="181"/>
      <c r="E1930" s="173"/>
      <c r="F1930" s="176"/>
      <c r="G1930" s="175">
        <f t="shared" si="193"/>
        <v>0</v>
      </c>
      <c r="H1930" s="175">
        <f t="shared" si="194"/>
        <v>0</v>
      </c>
      <c r="I1930" s="177">
        <f>IF(G1930=0,0,IF(E1930="MXN",1/HLOOKUP(YEAR(C1930)+(MONTH(C1930)/100),TC!$5:$37,DAY(C1930)+2,FALSE),VLOOKUP(E1930,Equivalencia!$5:$23,((MAX(Equivalencia!$3:$3)-YEAR(C1930))*14)+MONTH(C1930)+2,FALSE)))</f>
        <v>0</v>
      </c>
      <c r="J1930" s="178">
        <f t="shared" si="195"/>
        <v>0</v>
      </c>
      <c r="K1930" s="462">
        <f>IF(C1930=0,0,VLOOKUP(YEAR(C1930),INPC!$B$4:$O$29,MONTH(C1930)+1))</f>
        <v>0</v>
      </c>
      <c r="L1930" s="462">
        <f>IF(S1930=0,0,VLOOKUP(YEAR(S1930),INPC!$B$4:$O$29,MONTH(S1930)+1))</f>
        <v>0</v>
      </c>
      <c r="M1930" s="463">
        <f t="shared" si="196"/>
        <v>0</v>
      </c>
      <c r="N1930" s="465">
        <f t="shared" si="197"/>
        <v>0</v>
      </c>
      <c r="O1930" s="179"/>
      <c r="P1930" s="180"/>
      <c r="Q1930" s="173"/>
      <c r="R1930" s="173"/>
      <c r="S1930" s="174"/>
      <c r="T1930" s="173"/>
      <c r="U1930" s="182"/>
      <c r="V1930" s="177">
        <f>IF(U1930=0,0,IF(T1930="MXN",1/HLOOKUP(YEAR(S1930)+(MONTH(S1930)/100),TC!$5:$37,DAY(S1930)+2,FALSE),VLOOKUP(T1930,Equivalencia!$1:$23,((MAX(Equivalencia!$3:$3)-YEAR(S1930))*14)+MONTH(S1930)+2,FALSE)))</f>
        <v>0</v>
      </c>
      <c r="W1930" s="178">
        <f t="shared" si="198"/>
        <v>0</v>
      </c>
      <c r="X1930" s="481">
        <f t="shared" si="199"/>
        <v>0</v>
      </c>
      <c r="Y1930" s="179"/>
      <c r="Z1930" s="466">
        <f t="shared" si="200"/>
        <v>0</v>
      </c>
      <c r="AA1930" s="473">
        <f t="shared" si="201"/>
        <v>0</v>
      </c>
      <c r="AB1930" s="339">
        <f t="shared" si="202"/>
        <v>0</v>
      </c>
    </row>
    <row r="1931" spans="2:28" ht="20.100000000000001" customHeight="1">
      <c r="B1931" s="172"/>
      <c r="C1931" s="174"/>
      <c r="D1931" s="181"/>
      <c r="E1931" s="173"/>
      <c r="F1931" s="176"/>
      <c r="G1931" s="175">
        <f t="shared" si="193"/>
        <v>0</v>
      </c>
      <c r="H1931" s="175">
        <f t="shared" si="194"/>
        <v>0</v>
      </c>
      <c r="I1931" s="177">
        <f>IF(G1931=0,0,IF(E1931="MXN",1/HLOOKUP(YEAR(C1931)+(MONTH(C1931)/100),TC!$5:$37,DAY(C1931)+2,FALSE),VLOOKUP(E1931,Equivalencia!$5:$23,((MAX(Equivalencia!$3:$3)-YEAR(C1931))*14)+MONTH(C1931)+2,FALSE)))</f>
        <v>0</v>
      </c>
      <c r="J1931" s="178">
        <f t="shared" si="195"/>
        <v>0</v>
      </c>
      <c r="K1931" s="462">
        <f>IF(C1931=0,0,VLOOKUP(YEAR(C1931),INPC!$B$4:$O$29,MONTH(C1931)+1))</f>
        <v>0</v>
      </c>
      <c r="L1931" s="462">
        <f>IF(S1931=0,0,VLOOKUP(YEAR(S1931),INPC!$B$4:$O$29,MONTH(S1931)+1))</f>
        <v>0</v>
      </c>
      <c r="M1931" s="463">
        <f t="shared" si="196"/>
        <v>0</v>
      </c>
      <c r="N1931" s="465">
        <f t="shared" si="197"/>
        <v>0</v>
      </c>
      <c r="O1931" s="179"/>
      <c r="P1931" s="180"/>
      <c r="Q1931" s="173"/>
      <c r="R1931" s="173"/>
      <c r="S1931" s="174"/>
      <c r="T1931" s="173"/>
      <c r="U1931" s="182"/>
      <c r="V1931" s="177">
        <f>IF(U1931=0,0,IF(T1931="MXN",1/HLOOKUP(YEAR(S1931)+(MONTH(S1931)/100),TC!$5:$37,DAY(S1931)+2,FALSE),VLOOKUP(T1931,Equivalencia!$1:$23,((MAX(Equivalencia!$3:$3)-YEAR(S1931))*14)+MONTH(S1931)+2,FALSE)))</f>
        <v>0</v>
      </c>
      <c r="W1931" s="178">
        <f t="shared" si="198"/>
        <v>0</v>
      </c>
      <c r="X1931" s="481">
        <f t="shared" si="199"/>
        <v>0</v>
      </c>
      <c r="Y1931" s="179"/>
      <c r="Z1931" s="466">
        <f t="shared" si="200"/>
        <v>0</v>
      </c>
      <c r="AA1931" s="473">
        <f t="shared" si="201"/>
        <v>0</v>
      </c>
      <c r="AB1931" s="339">
        <f t="shared" si="202"/>
        <v>0</v>
      </c>
    </row>
    <row r="1932" spans="2:28" ht="20.100000000000001" customHeight="1">
      <c r="B1932" s="172"/>
      <c r="C1932" s="174"/>
      <c r="D1932" s="181"/>
      <c r="E1932" s="173"/>
      <c r="F1932" s="176"/>
      <c r="G1932" s="175">
        <f t="shared" si="193"/>
        <v>0</v>
      </c>
      <c r="H1932" s="175">
        <f t="shared" si="194"/>
        <v>0</v>
      </c>
      <c r="I1932" s="177">
        <f>IF(G1932=0,0,IF(E1932="MXN",1/HLOOKUP(YEAR(C1932)+(MONTH(C1932)/100),TC!$5:$37,DAY(C1932)+2,FALSE),VLOOKUP(E1932,Equivalencia!$5:$23,((MAX(Equivalencia!$3:$3)-YEAR(C1932))*14)+MONTH(C1932)+2,FALSE)))</f>
        <v>0</v>
      </c>
      <c r="J1932" s="178">
        <f t="shared" si="195"/>
        <v>0</v>
      </c>
      <c r="K1932" s="462">
        <f>IF(C1932=0,0,VLOOKUP(YEAR(C1932),INPC!$B$4:$O$29,MONTH(C1932)+1))</f>
        <v>0</v>
      </c>
      <c r="L1932" s="462">
        <f>IF(S1932=0,0,VLOOKUP(YEAR(S1932),INPC!$B$4:$O$29,MONTH(S1932)+1))</f>
        <v>0</v>
      </c>
      <c r="M1932" s="463">
        <f t="shared" si="196"/>
        <v>0</v>
      </c>
      <c r="N1932" s="465">
        <f t="shared" si="197"/>
        <v>0</v>
      </c>
      <c r="O1932" s="179"/>
      <c r="P1932" s="180"/>
      <c r="Q1932" s="173"/>
      <c r="R1932" s="173"/>
      <c r="S1932" s="174"/>
      <c r="T1932" s="173"/>
      <c r="U1932" s="182"/>
      <c r="V1932" s="177">
        <f>IF(U1932=0,0,IF(T1932="MXN",1/HLOOKUP(YEAR(S1932)+(MONTH(S1932)/100),TC!$5:$37,DAY(S1932)+2,FALSE),VLOOKUP(T1932,Equivalencia!$1:$23,((MAX(Equivalencia!$3:$3)-YEAR(S1932))*14)+MONTH(S1932)+2,FALSE)))</f>
        <v>0</v>
      </c>
      <c r="W1932" s="178">
        <f t="shared" si="198"/>
        <v>0</v>
      </c>
      <c r="X1932" s="481">
        <f t="shared" si="199"/>
        <v>0</v>
      </c>
      <c r="Y1932" s="179"/>
      <c r="Z1932" s="466">
        <f t="shared" si="200"/>
        <v>0</v>
      </c>
      <c r="AA1932" s="473">
        <f t="shared" si="201"/>
        <v>0</v>
      </c>
      <c r="AB1932" s="339">
        <f t="shared" si="202"/>
        <v>0</v>
      </c>
    </row>
    <row r="1933" spans="2:28" ht="20.100000000000001" customHeight="1">
      <c r="B1933" s="172"/>
      <c r="C1933" s="174"/>
      <c r="D1933" s="181"/>
      <c r="E1933" s="173"/>
      <c r="F1933" s="176"/>
      <c r="G1933" s="175">
        <f t="shared" si="193"/>
        <v>0</v>
      </c>
      <c r="H1933" s="175">
        <f t="shared" si="194"/>
        <v>0</v>
      </c>
      <c r="I1933" s="177">
        <f>IF(G1933=0,0,IF(E1933="MXN",1/HLOOKUP(YEAR(C1933)+(MONTH(C1933)/100),TC!$5:$37,DAY(C1933)+2,FALSE),VLOOKUP(E1933,Equivalencia!$5:$23,((MAX(Equivalencia!$3:$3)-YEAR(C1933))*14)+MONTH(C1933)+2,FALSE)))</f>
        <v>0</v>
      </c>
      <c r="J1933" s="178">
        <f t="shared" si="195"/>
        <v>0</v>
      </c>
      <c r="K1933" s="462">
        <f>IF(C1933=0,0,VLOOKUP(YEAR(C1933),INPC!$B$4:$O$29,MONTH(C1933)+1))</f>
        <v>0</v>
      </c>
      <c r="L1933" s="462">
        <f>IF(S1933=0,0,VLOOKUP(YEAR(S1933),INPC!$B$4:$O$29,MONTH(S1933)+1))</f>
        <v>0</v>
      </c>
      <c r="M1933" s="463">
        <f t="shared" si="196"/>
        <v>0</v>
      </c>
      <c r="N1933" s="465">
        <f t="shared" si="197"/>
        <v>0</v>
      </c>
      <c r="O1933" s="179"/>
      <c r="P1933" s="180"/>
      <c r="Q1933" s="173"/>
      <c r="R1933" s="173"/>
      <c r="S1933" s="174"/>
      <c r="T1933" s="173"/>
      <c r="U1933" s="182"/>
      <c r="V1933" s="177">
        <f>IF(U1933=0,0,IF(T1933="MXN",1/HLOOKUP(YEAR(S1933)+(MONTH(S1933)/100),TC!$5:$37,DAY(S1933)+2,FALSE),VLOOKUP(T1933,Equivalencia!$1:$23,((MAX(Equivalencia!$3:$3)-YEAR(S1933))*14)+MONTH(S1933)+2,FALSE)))</f>
        <v>0</v>
      </c>
      <c r="W1933" s="178">
        <f t="shared" si="198"/>
        <v>0</v>
      </c>
      <c r="X1933" s="481">
        <f t="shared" si="199"/>
        <v>0</v>
      </c>
      <c r="Y1933" s="179"/>
      <c r="Z1933" s="466">
        <f t="shared" si="200"/>
        <v>0</v>
      </c>
      <c r="AA1933" s="473">
        <f t="shared" si="201"/>
        <v>0</v>
      </c>
      <c r="AB1933" s="339">
        <f t="shared" si="202"/>
        <v>0</v>
      </c>
    </row>
    <row r="1934" spans="2:28" ht="20.100000000000001" customHeight="1">
      <c r="B1934" s="172"/>
      <c r="C1934" s="174"/>
      <c r="D1934" s="181"/>
      <c r="E1934" s="173"/>
      <c r="F1934" s="176"/>
      <c r="G1934" s="175">
        <f t="shared" si="193"/>
        <v>0</v>
      </c>
      <c r="H1934" s="175">
        <f t="shared" si="194"/>
        <v>0</v>
      </c>
      <c r="I1934" s="177">
        <f>IF(G1934=0,0,IF(E1934="MXN",1/HLOOKUP(YEAR(C1934)+(MONTH(C1934)/100),TC!$5:$37,DAY(C1934)+2,FALSE),VLOOKUP(E1934,Equivalencia!$5:$23,((MAX(Equivalencia!$3:$3)-YEAR(C1934))*14)+MONTH(C1934)+2,FALSE)))</f>
        <v>0</v>
      </c>
      <c r="J1934" s="178">
        <f t="shared" si="195"/>
        <v>0</v>
      </c>
      <c r="K1934" s="462">
        <f>IF(C1934=0,0,VLOOKUP(YEAR(C1934),INPC!$B$4:$O$29,MONTH(C1934)+1))</f>
        <v>0</v>
      </c>
      <c r="L1934" s="462">
        <f>IF(S1934=0,0,VLOOKUP(YEAR(S1934),INPC!$B$4:$O$29,MONTH(S1934)+1))</f>
        <v>0</v>
      </c>
      <c r="M1934" s="463">
        <f t="shared" si="196"/>
        <v>0</v>
      </c>
      <c r="N1934" s="465">
        <f t="shared" si="197"/>
        <v>0</v>
      </c>
      <c r="O1934" s="179"/>
      <c r="P1934" s="180"/>
      <c r="Q1934" s="173"/>
      <c r="R1934" s="173"/>
      <c r="S1934" s="174"/>
      <c r="T1934" s="173"/>
      <c r="U1934" s="182"/>
      <c r="V1934" s="177">
        <f>IF(U1934=0,0,IF(T1934="MXN",1/HLOOKUP(YEAR(S1934)+(MONTH(S1934)/100),TC!$5:$37,DAY(S1934)+2,FALSE),VLOOKUP(T1934,Equivalencia!$1:$23,((MAX(Equivalencia!$3:$3)-YEAR(S1934))*14)+MONTH(S1934)+2,FALSE)))</f>
        <v>0</v>
      </c>
      <c r="W1934" s="178">
        <f t="shared" si="198"/>
        <v>0</v>
      </c>
      <c r="X1934" s="481">
        <f t="shared" si="199"/>
        <v>0</v>
      </c>
      <c r="Y1934" s="179"/>
      <c r="Z1934" s="466">
        <f t="shared" si="200"/>
        <v>0</v>
      </c>
      <c r="AA1934" s="473">
        <f t="shared" si="201"/>
        <v>0</v>
      </c>
      <c r="AB1934" s="339">
        <f t="shared" si="202"/>
        <v>0</v>
      </c>
    </row>
    <row r="1935" spans="2:28" ht="20.100000000000001" customHeight="1">
      <c r="B1935" s="172"/>
      <c r="C1935" s="174"/>
      <c r="D1935" s="181"/>
      <c r="E1935" s="173"/>
      <c r="F1935" s="176"/>
      <c r="G1935" s="175">
        <f t="shared" si="193"/>
        <v>0</v>
      </c>
      <c r="H1935" s="175">
        <f t="shared" si="194"/>
        <v>0</v>
      </c>
      <c r="I1935" s="177">
        <f>IF(G1935=0,0,IF(E1935="MXN",1/HLOOKUP(YEAR(C1935)+(MONTH(C1935)/100),TC!$5:$37,DAY(C1935)+2,FALSE),VLOOKUP(E1935,Equivalencia!$5:$23,((MAX(Equivalencia!$3:$3)-YEAR(C1935))*14)+MONTH(C1935)+2,FALSE)))</f>
        <v>0</v>
      </c>
      <c r="J1935" s="178">
        <f t="shared" si="195"/>
        <v>0</v>
      </c>
      <c r="K1935" s="462">
        <f>IF(C1935=0,0,VLOOKUP(YEAR(C1935),INPC!$B$4:$O$29,MONTH(C1935)+1))</f>
        <v>0</v>
      </c>
      <c r="L1935" s="462">
        <f>IF(S1935=0,0,VLOOKUP(YEAR(S1935),INPC!$B$4:$O$29,MONTH(S1935)+1))</f>
        <v>0</v>
      </c>
      <c r="M1935" s="463">
        <f t="shared" si="196"/>
        <v>0</v>
      </c>
      <c r="N1935" s="465">
        <f t="shared" si="197"/>
        <v>0</v>
      </c>
      <c r="O1935" s="179"/>
      <c r="P1935" s="180"/>
      <c r="Q1935" s="173"/>
      <c r="R1935" s="173"/>
      <c r="S1935" s="174"/>
      <c r="T1935" s="173"/>
      <c r="U1935" s="182"/>
      <c r="V1935" s="177">
        <f>IF(U1935=0,0,IF(T1935="MXN",1/HLOOKUP(YEAR(S1935)+(MONTH(S1935)/100),TC!$5:$37,DAY(S1935)+2,FALSE),VLOOKUP(T1935,Equivalencia!$1:$23,((MAX(Equivalencia!$3:$3)-YEAR(S1935))*14)+MONTH(S1935)+2,FALSE)))</f>
        <v>0</v>
      </c>
      <c r="W1935" s="178">
        <f t="shared" si="198"/>
        <v>0</v>
      </c>
      <c r="X1935" s="481">
        <f t="shared" si="199"/>
        <v>0</v>
      </c>
      <c r="Y1935" s="179"/>
      <c r="Z1935" s="466">
        <f t="shared" si="200"/>
        <v>0</v>
      </c>
      <c r="AA1935" s="473">
        <f t="shared" si="201"/>
        <v>0</v>
      </c>
      <c r="AB1935" s="339">
        <f t="shared" si="202"/>
        <v>0</v>
      </c>
    </row>
    <row r="1936" spans="2:28" ht="20.100000000000001" customHeight="1">
      <c r="B1936" s="172"/>
      <c r="C1936" s="174"/>
      <c r="D1936" s="181"/>
      <c r="E1936" s="173"/>
      <c r="F1936" s="176"/>
      <c r="G1936" s="175">
        <f t="shared" si="193"/>
        <v>0</v>
      </c>
      <c r="H1936" s="175">
        <f t="shared" si="194"/>
        <v>0</v>
      </c>
      <c r="I1936" s="177">
        <f>IF(G1936=0,0,IF(E1936="MXN",1/HLOOKUP(YEAR(C1936)+(MONTH(C1936)/100),TC!$5:$37,DAY(C1936)+2,FALSE),VLOOKUP(E1936,Equivalencia!$5:$23,((MAX(Equivalencia!$3:$3)-YEAR(C1936))*14)+MONTH(C1936)+2,FALSE)))</f>
        <v>0</v>
      </c>
      <c r="J1936" s="178">
        <f t="shared" si="195"/>
        <v>0</v>
      </c>
      <c r="K1936" s="462">
        <f>IF(C1936=0,0,VLOOKUP(YEAR(C1936),INPC!$B$4:$O$29,MONTH(C1936)+1))</f>
        <v>0</v>
      </c>
      <c r="L1936" s="462">
        <f>IF(S1936=0,0,VLOOKUP(YEAR(S1936),INPC!$B$4:$O$29,MONTH(S1936)+1))</f>
        <v>0</v>
      </c>
      <c r="M1936" s="463">
        <f t="shared" si="196"/>
        <v>0</v>
      </c>
      <c r="N1936" s="465">
        <f t="shared" si="197"/>
        <v>0</v>
      </c>
      <c r="O1936" s="179"/>
      <c r="P1936" s="180"/>
      <c r="Q1936" s="173"/>
      <c r="R1936" s="173"/>
      <c r="S1936" s="174"/>
      <c r="T1936" s="173"/>
      <c r="U1936" s="182"/>
      <c r="V1936" s="177">
        <f>IF(U1936=0,0,IF(T1936="MXN",1/HLOOKUP(YEAR(S1936)+(MONTH(S1936)/100),TC!$5:$37,DAY(S1936)+2,FALSE),VLOOKUP(T1936,Equivalencia!$1:$23,((MAX(Equivalencia!$3:$3)-YEAR(S1936))*14)+MONTH(S1936)+2,FALSE)))</f>
        <v>0</v>
      </c>
      <c r="W1936" s="178">
        <f t="shared" si="198"/>
        <v>0</v>
      </c>
      <c r="X1936" s="481">
        <f t="shared" si="199"/>
        <v>0</v>
      </c>
      <c r="Y1936" s="179"/>
      <c r="Z1936" s="466">
        <f t="shared" si="200"/>
        <v>0</v>
      </c>
      <c r="AA1936" s="473">
        <f t="shared" si="201"/>
        <v>0</v>
      </c>
      <c r="AB1936" s="339">
        <f t="shared" si="202"/>
        <v>0</v>
      </c>
    </row>
    <row r="1937" spans="2:28" ht="20.100000000000001" customHeight="1">
      <c r="B1937" s="172"/>
      <c r="C1937" s="174"/>
      <c r="D1937" s="181"/>
      <c r="E1937" s="173"/>
      <c r="F1937" s="176"/>
      <c r="G1937" s="175">
        <f t="shared" si="193"/>
        <v>0</v>
      </c>
      <c r="H1937" s="175">
        <f t="shared" si="194"/>
        <v>0</v>
      </c>
      <c r="I1937" s="177">
        <f>IF(G1937=0,0,IF(E1937="MXN",1/HLOOKUP(YEAR(C1937)+(MONTH(C1937)/100),TC!$5:$37,DAY(C1937)+2,FALSE),VLOOKUP(E1937,Equivalencia!$5:$23,((MAX(Equivalencia!$3:$3)-YEAR(C1937))*14)+MONTH(C1937)+2,FALSE)))</f>
        <v>0</v>
      </c>
      <c r="J1937" s="178">
        <f t="shared" si="195"/>
        <v>0</v>
      </c>
      <c r="K1937" s="462">
        <f>IF(C1937=0,0,VLOOKUP(YEAR(C1937),INPC!$B$4:$O$29,MONTH(C1937)+1))</f>
        <v>0</v>
      </c>
      <c r="L1937" s="462">
        <f>IF(S1937=0,0,VLOOKUP(YEAR(S1937),INPC!$B$4:$O$29,MONTH(S1937)+1))</f>
        <v>0</v>
      </c>
      <c r="M1937" s="463">
        <f t="shared" si="196"/>
        <v>0</v>
      </c>
      <c r="N1937" s="465">
        <f t="shared" si="197"/>
        <v>0</v>
      </c>
      <c r="O1937" s="179"/>
      <c r="P1937" s="180"/>
      <c r="Q1937" s="173"/>
      <c r="R1937" s="173"/>
      <c r="S1937" s="174"/>
      <c r="T1937" s="173"/>
      <c r="U1937" s="182"/>
      <c r="V1937" s="177">
        <f>IF(U1937=0,0,IF(T1937="MXN",1/HLOOKUP(YEAR(S1937)+(MONTH(S1937)/100),TC!$5:$37,DAY(S1937)+2,FALSE),VLOOKUP(T1937,Equivalencia!$1:$23,((MAX(Equivalencia!$3:$3)-YEAR(S1937))*14)+MONTH(S1937)+2,FALSE)))</f>
        <v>0</v>
      </c>
      <c r="W1937" s="178">
        <f t="shared" si="198"/>
        <v>0</v>
      </c>
      <c r="X1937" s="481">
        <f t="shared" si="199"/>
        <v>0</v>
      </c>
      <c r="Y1937" s="179"/>
      <c r="Z1937" s="466">
        <f t="shared" si="200"/>
        <v>0</v>
      </c>
      <c r="AA1937" s="473">
        <f t="shared" si="201"/>
        <v>0</v>
      </c>
      <c r="AB1937" s="339">
        <f t="shared" si="202"/>
        <v>0</v>
      </c>
    </row>
    <row r="1938" spans="2:28" ht="20.100000000000001" customHeight="1">
      <c r="B1938" s="172"/>
      <c r="C1938" s="174"/>
      <c r="D1938" s="181"/>
      <c r="E1938" s="173"/>
      <c r="F1938" s="176"/>
      <c r="G1938" s="175">
        <f t="shared" si="193"/>
        <v>0</v>
      </c>
      <c r="H1938" s="175">
        <f t="shared" si="194"/>
        <v>0</v>
      </c>
      <c r="I1938" s="177">
        <f>IF(G1938=0,0,IF(E1938="MXN",1/HLOOKUP(YEAR(C1938)+(MONTH(C1938)/100),TC!$5:$37,DAY(C1938)+2,FALSE),VLOOKUP(E1938,Equivalencia!$5:$23,((MAX(Equivalencia!$3:$3)-YEAR(C1938))*14)+MONTH(C1938)+2,FALSE)))</f>
        <v>0</v>
      </c>
      <c r="J1938" s="178">
        <f t="shared" si="195"/>
        <v>0</v>
      </c>
      <c r="K1938" s="462">
        <f>IF(C1938=0,0,VLOOKUP(YEAR(C1938),INPC!$B$4:$O$29,MONTH(C1938)+1))</f>
        <v>0</v>
      </c>
      <c r="L1938" s="462">
        <f>IF(S1938=0,0,VLOOKUP(YEAR(S1938),INPC!$B$4:$O$29,MONTH(S1938)+1))</f>
        <v>0</v>
      </c>
      <c r="M1938" s="463">
        <f t="shared" si="196"/>
        <v>0</v>
      </c>
      <c r="N1938" s="465">
        <f t="shared" si="197"/>
        <v>0</v>
      </c>
      <c r="O1938" s="179"/>
      <c r="P1938" s="180"/>
      <c r="Q1938" s="173"/>
      <c r="R1938" s="173"/>
      <c r="S1938" s="174"/>
      <c r="T1938" s="173"/>
      <c r="U1938" s="182"/>
      <c r="V1938" s="177">
        <f>IF(U1938=0,0,IF(T1938="MXN",1/HLOOKUP(YEAR(S1938)+(MONTH(S1938)/100),TC!$5:$37,DAY(S1938)+2,FALSE),VLOOKUP(T1938,Equivalencia!$1:$23,((MAX(Equivalencia!$3:$3)-YEAR(S1938))*14)+MONTH(S1938)+2,FALSE)))</f>
        <v>0</v>
      </c>
      <c r="W1938" s="178">
        <f t="shared" si="198"/>
        <v>0</v>
      </c>
      <c r="X1938" s="481">
        <f t="shared" si="199"/>
        <v>0</v>
      </c>
      <c r="Y1938" s="179"/>
      <c r="Z1938" s="466">
        <f t="shared" si="200"/>
        <v>0</v>
      </c>
      <c r="AA1938" s="473">
        <f t="shared" si="201"/>
        <v>0</v>
      </c>
      <c r="AB1938" s="339">
        <f t="shared" si="202"/>
        <v>0</v>
      </c>
    </row>
    <row r="1939" spans="2:28" ht="20.100000000000001" customHeight="1">
      <c r="B1939" s="172"/>
      <c r="C1939" s="174"/>
      <c r="D1939" s="181"/>
      <c r="E1939" s="173"/>
      <c r="F1939" s="176"/>
      <c r="G1939" s="175">
        <f t="shared" si="193"/>
        <v>0</v>
      </c>
      <c r="H1939" s="175">
        <f t="shared" si="194"/>
        <v>0</v>
      </c>
      <c r="I1939" s="177">
        <f>IF(G1939=0,0,IF(E1939="MXN",1/HLOOKUP(YEAR(C1939)+(MONTH(C1939)/100),TC!$5:$37,DAY(C1939)+2,FALSE),VLOOKUP(E1939,Equivalencia!$5:$23,((MAX(Equivalencia!$3:$3)-YEAR(C1939))*14)+MONTH(C1939)+2,FALSE)))</f>
        <v>0</v>
      </c>
      <c r="J1939" s="178">
        <f t="shared" si="195"/>
        <v>0</v>
      </c>
      <c r="K1939" s="462">
        <f>IF(C1939=0,0,VLOOKUP(YEAR(C1939),INPC!$B$4:$O$29,MONTH(C1939)+1))</f>
        <v>0</v>
      </c>
      <c r="L1939" s="462">
        <f>IF(S1939=0,0,VLOOKUP(YEAR(S1939),INPC!$B$4:$O$29,MONTH(S1939)+1))</f>
        <v>0</v>
      </c>
      <c r="M1939" s="463">
        <f t="shared" si="196"/>
        <v>0</v>
      </c>
      <c r="N1939" s="465">
        <f t="shared" si="197"/>
        <v>0</v>
      </c>
      <c r="O1939" s="179"/>
      <c r="P1939" s="180"/>
      <c r="Q1939" s="173"/>
      <c r="R1939" s="173"/>
      <c r="S1939" s="174"/>
      <c r="T1939" s="173"/>
      <c r="U1939" s="182"/>
      <c r="V1939" s="177">
        <f>IF(U1939=0,0,IF(T1939="MXN",1/HLOOKUP(YEAR(S1939)+(MONTH(S1939)/100),TC!$5:$37,DAY(S1939)+2,FALSE),VLOOKUP(T1939,Equivalencia!$1:$23,((MAX(Equivalencia!$3:$3)-YEAR(S1939))*14)+MONTH(S1939)+2,FALSE)))</f>
        <v>0</v>
      </c>
      <c r="W1939" s="178">
        <f t="shared" si="198"/>
        <v>0</v>
      </c>
      <c r="X1939" s="481">
        <f t="shared" si="199"/>
        <v>0</v>
      </c>
      <c r="Y1939" s="179"/>
      <c r="Z1939" s="466">
        <f t="shared" si="200"/>
        <v>0</v>
      </c>
      <c r="AA1939" s="473">
        <f t="shared" si="201"/>
        <v>0</v>
      </c>
      <c r="AB1939" s="339">
        <f t="shared" si="202"/>
        <v>0</v>
      </c>
    </row>
    <row r="1940" spans="2:28" ht="20.100000000000001" customHeight="1">
      <c r="B1940" s="172"/>
      <c r="C1940" s="174"/>
      <c r="D1940" s="181"/>
      <c r="E1940" s="173"/>
      <c r="F1940" s="176"/>
      <c r="G1940" s="175">
        <f t="shared" si="193"/>
        <v>0</v>
      </c>
      <c r="H1940" s="175">
        <f t="shared" si="194"/>
        <v>0</v>
      </c>
      <c r="I1940" s="177">
        <f>IF(G1940=0,0,IF(E1940="MXN",1/HLOOKUP(YEAR(C1940)+(MONTH(C1940)/100),TC!$5:$37,DAY(C1940)+2,FALSE),VLOOKUP(E1940,Equivalencia!$5:$23,((MAX(Equivalencia!$3:$3)-YEAR(C1940))*14)+MONTH(C1940)+2,FALSE)))</f>
        <v>0</v>
      </c>
      <c r="J1940" s="178">
        <f t="shared" si="195"/>
        <v>0</v>
      </c>
      <c r="K1940" s="462">
        <f>IF(C1940=0,0,VLOOKUP(YEAR(C1940),INPC!$B$4:$O$29,MONTH(C1940)+1))</f>
        <v>0</v>
      </c>
      <c r="L1940" s="462">
        <f>IF(S1940=0,0,VLOOKUP(YEAR(S1940),INPC!$B$4:$O$29,MONTH(S1940)+1))</f>
        <v>0</v>
      </c>
      <c r="M1940" s="463">
        <f t="shared" si="196"/>
        <v>0</v>
      </c>
      <c r="N1940" s="465">
        <f t="shared" si="197"/>
        <v>0</v>
      </c>
      <c r="O1940" s="179"/>
      <c r="P1940" s="180"/>
      <c r="Q1940" s="173"/>
      <c r="R1940" s="173"/>
      <c r="S1940" s="174"/>
      <c r="T1940" s="173"/>
      <c r="U1940" s="182"/>
      <c r="V1940" s="177">
        <f>IF(U1940=0,0,IF(T1940="MXN",1/HLOOKUP(YEAR(S1940)+(MONTH(S1940)/100),TC!$5:$37,DAY(S1940)+2,FALSE),VLOOKUP(T1940,Equivalencia!$1:$23,((MAX(Equivalencia!$3:$3)-YEAR(S1940))*14)+MONTH(S1940)+2,FALSE)))</f>
        <v>0</v>
      </c>
      <c r="W1940" s="178">
        <f t="shared" si="198"/>
        <v>0</v>
      </c>
      <c r="X1940" s="481">
        <f t="shared" si="199"/>
        <v>0</v>
      </c>
      <c r="Y1940" s="179"/>
      <c r="Z1940" s="466">
        <f t="shared" si="200"/>
        <v>0</v>
      </c>
      <c r="AA1940" s="473">
        <f t="shared" si="201"/>
        <v>0</v>
      </c>
      <c r="AB1940" s="339">
        <f t="shared" si="202"/>
        <v>0</v>
      </c>
    </row>
    <row r="1941" spans="2:28" ht="20.100000000000001" customHeight="1">
      <c r="B1941" s="172"/>
      <c r="C1941" s="174"/>
      <c r="D1941" s="181"/>
      <c r="E1941" s="173"/>
      <c r="F1941" s="176"/>
      <c r="G1941" s="175">
        <f t="shared" si="193"/>
        <v>0</v>
      </c>
      <c r="H1941" s="175">
        <f t="shared" si="194"/>
        <v>0</v>
      </c>
      <c r="I1941" s="177">
        <f>IF(G1941=0,0,IF(E1941="MXN",1/HLOOKUP(YEAR(C1941)+(MONTH(C1941)/100),TC!$5:$37,DAY(C1941)+2,FALSE),VLOOKUP(E1941,Equivalencia!$5:$23,((MAX(Equivalencia!$3:$3)-YEAR(C1941))*14)+MONTH(C1941)+2,FALSE)))</f>
        <v>0</v>
      </c>
      <c r="J1941" s="178">
        <f t="shared" si="195"/>
        <v>0</v>
      </c>
      <c r="K1941" s="462">
        <f>IF(C1941=0,0,VLOOKUP(YEAR(C1941),INPC!$B$4:$O$29,MONTH(C1941)+1))</f>
        <v>0</v>
      </c>
      <c r="L1941" s="462">
        <f>IF(S1941=0,0,VLOOKUP(YEAR(S1941),INPC!$B$4:$O$29,MONTH(S1941)+1))</f>
        <v>0</v>
      </c>
      <c r="M1941" s="463">
        <f t="shared" si="196"/>
        <v>0</v>
      </c>
      <c r="N1941" s="465">
        <f t="shared" si="197"/>
        <v>0</v>
      </c>
      <c r="O1941" s="179"/>
      <c r="P1941" s="180"/>
      <c r="Q1941" s="173"/>
      <c r="R1941" s="173"/>
      <c r="S1941" s="174"/>
      <c r="T1941" s="173"/>
      <c r="U1941" s="182"/>
      <c r="V1941" s="177">
        <f>IF(U1941=0,0,IF(T1941="MXN",1/HLOOKUP(YEAR(S1941)+(MONTH(S1941)/100),TC!$5:$37,DAY(S1941)+2,FALSE),VLOOKUP(T1941,Equivalencia!$1:$23,((MAX(Equivalencia!$3:$3)-YEAR(S1941))*14)+MONTH(S1941)+2,FALSE)))</f>
        <v>0</v>
      </c>
      <c r="W1941" s="178">
        <f t="shared" si="198"/>
        <v>0</v>
      </c>
      <c r="X1941" s="481">
        <f t="shared" si="199"/>
        <v>0</v>
      </c>
      <c r="Y1941" s="179"/>
      <c r="Z1941" s="466">
        <f t="shared" si="200"/>
        <v>0</v>
      </c>
      <c r="AA1941" s="473">
        <f t="shared" si="201"/>
        <v>0</v>
      </c>
      <c r="AB1941" s="339">
        <f t="shared" si="202"/>
        <v>0</v>
      </c>
    </row>
    <row r="1942" spans="2:28" ht="20.100000000000001" customHeight="1">
      <c r="B1942" s="172"/>
      <c r="C1942" s="174"/>
      <c r="D1942" s="181"/>
      <c r="E1942" s="173"/>
      <c r="F1942" s="176"/>
      <c r="G1942" s="175">
        <f t="shared" si="193"/>
        <v>0</v>
      </c>
      <c r="H1942" s="175">
        <f t="shared" si="194"/>
        <v>0</v>
      </c>
      <c r="I1942" s="177">
        <f>IF(G1942=0,0,IF(E1942="MXN",1/HLOOKUP(YEAR(C1942)+(MONTH(C1942)/100),TC!$5:$37,DAY(C1942)+2,FALSE),VLOOKUP(E1942,Equivalencia!$5:$23,((MAX(Equivalencia!$3:$3)-YEAR(C1942))*14)+MONTH(C1942)+2,FALSE)))</f>
        <v>0</v>
      </c>
      <c r="J1942" s="178">
        <f t="shared" si="195"/>
        <v>0</v>
      </c>
      <c r="K1942" s="462">
        <f>IF(C1942=0,0,VLOOKUP(YEAR(C1942),INPC!$B$4:$O$29,MONTH(C1942)+1))</f>
        <v>0</v>
      </c>
      <c r="L1942" s="462">
        <f>IF(S1942=0,0,VLOOKUP(YEAR(S1942),INPC!$B$4:$O$29,MONTH(S1942)+1))</f>
        <v>0</v>
      </c>
      <c r="M1942" s="463">
        <f t="shared" si="196"/>
        <v>0</v>
      </c>
      <c r="N1942" s="465">
        <f t="shared" si="197"/>
        <v>0</v>
      </c>
      <c r="O1942" s="179"/>
      <c r="P1942" s="180"/>
      <c r="Q1942" s="173"/>
      <c r="R1942" s="173"/>
      <c r="S1942" s="174"/>
      <c r="T1942" s="173"/>
      <c r="U1942" s="182"/>
      <c r="V1942" s="177">
        <f>IF(U1942=0,0,IF(T1942="MXN",1/HLOOKUP(YEAR(S1942)+(MONTH(S1942)/100),TC!$5:$37,DAY(S1942)+2,FALSE),VLOOKUP(T1942,Equivalencia!$1:$23,((MAX(Equivalencia!$3:$3)-YEAR(S1942))*14)+MONTH(S1942)+2,FALSE)))</f>
        <v>0</v>
      </c>
      <c r="W1942" s="178">
        <f t="shared" si="198"/>
        <v>0</v>
      </c>
      <c r="X1942" s="481">
        <f t="shared" si="199"/>
        <v>0</v>
      </c>
      <c r="Y1942" s="179"/>
      <c r="Z1942" s="466">
        <f t="shared" si="200"/>
        <v>0</v>
      </c>
      <c r="AA1942" s="473">
        <f t="shared" si="201"/>
        <v>0</v>
      </c>
      <c r="AB1942" s="339">
        <f t="shared" si="202"/>
        <v>0</v>
      </c>
    </row>
    <row r="1943" spans="2:28" ht="20.100000000000001" customHeight="1">
      <c r="B1943" s="172"/>
      <c r="C1943" s="174"/>
      <c r="D1943" s="181"/>
      <c r="E1943" s="173"/>
      <c r="F1943" s="176"/>
      <c r="G1943" s="175">
        <f t="shared" si="193"/>
        <v>0</v>
      </c>
      <c r="H1943" s="175">
        <f t="shared" si="194"/>
        <v>0</v>
      </c>
      <c r="I1943" s="177">
        <f>IF(G1943=0,0,IF(E1943="MXN",1/HLOOKUP(YEAR(C1943)+(MONTH(C1943)/100),TC!$5:$37,DAY(C1943)+2,FALSE),VLOOKUP(E1943,Equivalencia!$5:$23,((MAX(Equivalencia!$3:$3)-YEAR(C1943))*14)+MONTH(C1943)+2,FALSE)))</f>
        <v>0</v>
      </c>
      <c r="J1943" s="178">
        <f t="shared" si="195"/>
        <v>0</v>
      </c>
      <c r="K1943" s="462">
        <f>IF(C1943=0,0,VLOOKUP(YEAR(C1943),INPC!$B$4:$O$29,MONTH(C1943)+1))</f>
        <v>0</v>
      </c>
      <c r="L1943" s="462">
        <f>IF(S1943=0,0,VLOOKUP(YEAR(S1943),INPC!$B$4:$O$29,MONTH(S1943)+1))</f>
        <v>0</v>
      </c>
      <c r="M1943" s="463">
        <f t="shared" si="196"/>
        <v>0</v>
      </c>
      <c r="N1943" s="465">
        <f t="shared" si="197"/>
        <v>0</v>
      </c>
      <c r="O1943" s="179"/>
      <c r="P1943" s="180"/>
      <c r="Q1943" s="173"/>
      <c r="R1943" s="173"/>
      <c r="S1943" s="174"/>
      <c r="T1943" s="173"/>
      <c r="U1943" s="182"/>
      <c r="V1943" s="177">
        <f>IF(U1943=0,0,IF(T1943="MXN",1/HLOOKUP(YEAR(S1943)+(MONTH(S1943)/100),TC!$5:$37,DAY(S1943)+2,FALSE),VLOOKUP(T1943,Equivalencia!$1:$23,((MAX(Equivalencia!$3:$3)-YEAR(S1943))*14)+MONTH(S1943)+2,FALSE)))</f>
        <v>0</v>
      </c>
      <c r="W1943" s="178">
        <f t="shared" si="198"/>
        <v>0</v>
      </c>
      <c r="X1943" s="481">
        <f t="shared" si="199"/>
        <v>0</v>
      </c>
      <c r="Y1943" s="179"/>
      <c r="Z1943" s="466">
        <f t="shared" si="200"/>
        <v>0</v>
      </c>
      <c r="AA1943" s="473">
        <f t="shared" si="201"/>
        <v>0</v>
      </c>
      <c r="AB1943" s="339">
        <f t="shared" si="202"/>
        <v>0</v>
      </c>
    </row>
    <row r="1944" spans="2:28" ht="20.100000000000001" customHeight="1">
      <c r="B1944" s="172"/>
      <c r="C1944" s="174"/>
      <c r="D1944" s="181"/>
      <c r="E1944" s="173"/>
      <c r="F1944" s="176"/>
      <c r="G1944" s="175">
        <f t="shared" si="193"/>
        <v>0</v>
      </c>
      <c r="H1944" s="175">
        <f t="shared" si="194"/>
        <v>0</v>
      </c>
      <c r="I1944" s="177">
        <f>IF(G1944=0,0,IF(E1944="MXN",1/HLOOKUP(YEAR(C1944)+(MONTH(C1944)/100),TC!$5:$37,DAY(C1944)+2,FALSE),VLOOKUP(E1944,Equivalencia!$5:$23,((MAX(Equivalencia!$3:$3)-YEAR(C1944))*14)+MONTH(C1944)+2,FALSE)))</f>
        <v>0</v>
      </c>
      <c r="J1944" s="178">
        <f t="shared" si="195"/>
        <v>0</v>
      </c>
      <c r="K1944" s="462">
        <f>IF(C1944=0,0,VLOOKUP(YEAR(C1944),INPC!$B$4:$O$29,MONTH(C1944)+1))</f>
        <v>0</v>
      </c>
      <c r="L1944" s="462">
        <f>IF(S1944=0,0,VLOOKUP(YEAR(S1944),INPC!$B$4:$O$29,MONTH(S1944)+1))</f>
        <v>0</v>
      </c>
      <c r="M1944" s="463">
        <f t="shared" si="196"/>
        <v>0</v>
      </c>
      <c r="N1944" s="465">
        <f t="shared" si="197"/>
        <v>0</v>
      </c>
      <c r="O1944" s="179"/>
      <c r="P1944" s="180"/>
      <c r="Q1944" s="173"/>
      <c r="R1944" s="173"/>
      <c r="S1944" s="174"/>
      <c r="T1944" s="173"/>
      <c r="U1944" s="182"/>
      <c r="V1944" s="177">
        <f>IF(U1944=0,0,IF(T1944="MXN",1/HLOOKUP(YEAR(S1944)+(MONTH(S1944)/100),TC!$5:$37,DAY(S1944)+2,FALSE),VLOOKUP(T1944,Equivalencia!$1:$23,((MAX(Equivalencia!$3:$3)-YEAR(S1944))*14)+MONTH(S1944)+2,FALSE)))</f>
        <v>0</v>
      </c>
      <c r="W1944" s="178">
        <f t="shared" si="198"/>
        <v>0</v>
      </c>
      <c r="X1944" s="481">
        <f t="shared" si="199"/>
        <v>0</v>
      </c>
      <c r="Y1944" s="179"/>
      <c r="Z1944" s="466">
        <f t="shared" si="200"/>
        <v>0</v>
      </c>
      <c r="AA1944" s="473">
        <f t="shared" si="201"/>
        <v>0</v>
      </c>
      <c r="AB1944" s="339">
        <f t="shared" si="202"/>
        <v>0</v>
      </c>
    </row>
    <row r="1945" spans="2:28" ht="20.100000000000001" customHeight="1">
      <c r="B1945" s="172"/>
      <c r="C1945" s="174"/>
      <c r="D1945" s="181"/>
      <c r="E1945" s="173"/>
      <c r="F1945" s="176"/>
      <c r="G1945" s="175">
        <f t="shared" si="193"/>
        <v>0</v>
      </c>
      <c r="H1945" s="175">
        <f t="shared" si="194"/>
        <v>0</v>
      </c>
      <c r="I1945" s="177">
        <f>IF(G1945=0,0,IF(E1945="MXN",1/HLOOKUP(YEAR(C1945)+(MONTH(C1945)/100),TC!$5:$37,DAY(C1945)+2,FALSE),VLOOKUP(E1945,Equivalencia!$5:$23,((MAX(Equivalencia!$3:$3)-YEAR(C1945))*14)+MONTH(C1945)+2,FALSE)))</f>
        <v>0</v>
      </c>
      <c r="J1945" s="178">
        <f t="shared" si="195"/>
        <v>0</v>
      </c>
      <c r="K1945" s="462">
        <f>IF(C1945=0,0,VLOOKUP(YEAR(C1945),INPC!$B$4:$O$29,MONTH(C1945)+1))</f>
        <v>0</v>
      </c>
      <c r="L1945" s="462">
        <f>IF(S1945=0,0,VLOOKUP(YEAR(S1945),INPC!$B$4:$O$29,MONTH(S1945)+1))</f>
        <v>0</v>
      </c>
      <c r="M1945" s="463">
        <f t="shared" si="196"/>
        <v>0</v>
      </c>
      <c r="N1945" s="465">
        <f t="shared" si="197"/>
        <v>0</v>
      </c>
      <c r="O1945" s="179"/>
      <c r="P1945" s="180"/>
      <c r="Q1945" s="173"/>
      <c r="R1945" s="173"/>
      <c r="S1945" s="174"/>
      <c r="T1945" s="173"/>
      <c r="U1945" s="182"/>
      <c r="V1945" s="177">
        <f>IF(U1945=0,0,IF(T1945="MXN",1/HLOOKUP(YEAR(S1945)+(MONTH(S1945)/100),TC!$5:$37,DAY(S1945)+2,FALSE),VLOOKUP(T1945,Equivalencia!$1:$23,((MAX(Equivalencia!$3:$3)-YEAR(S1945))*14)+MONTH(S1945)+2,FALSE)))</f>
        <v>0</v>
      </c>
      <c r="W1945" s="178">
        <f t="shared" si="198"/>
        <v>0</v>
      </c>
      <c r="X1945" s="481">
        <f t="shared" si="199"/>
        <v>0</v>
      </c>
      <c r="Y1945" s="179"/>
      <c r="Z1945" s="466">
        <f t="shared" si="200"/>
        <v>0</v>
      </c>
      <c r="AA1945" s="473">
        <f t="shared" si="201"/>
        <v>0</v>
      </c>
      <c r="AB1945" s="339">
        <f t="shared" si="202"/>
        <v>0</v>
      </c>
    </row>
    <row r="1946" spans="2:28" ht="20.100000000000001" customHeight="1">
      <c r="B1946" s="172"/>
      <c r="C1946" s="174"/>
      <c r="D1946" s="181"/>
      <c r="E1946" s="173"/>
      <c r="F1946" s="176"/>
      <c r="G1946" s="175">
        <f t="shared" si="193"/>
        <v>0</v>
      </c>
      <c r="H1946" s="175">
        <f t="shared" si="194"/>
        <v>0</v>
      </c>
      <c r="I1946" s="177">
        <f>IF(G1946=0,0,IF(E1946="MXN",1/HLOOKUP(YEAR(C1946)+(MONTH(C1946)/100),TC!$5:$37,DAY(C1946)+2,FALSE),VLOOKUP(E1946,Equivalencia!$5:$23,((MAX(Equivalencia!$3:$3)-YEAR(C1946))*14)+MONTH(C1946)+2,FALSE)))</f>
        <v>0</v>
      </c>
      <c r="J1946" s="178">
        <f t="shared" si="195"/>
        <v>0</v>
      </c>
      <c r="K1946" s="462">
        <f>IF(C1946=0,0,VLOOKUP(YEAR(C1946),INPC!$B$4:$O$29,MONTH(C1946)+1))</f>
        <v>0</v>
      </c>
      <c r="L1946" s="462">
        <f>IF(S1946=0,0,VLOOKUP(YEAR(S1946),INPC!$B$4:$O$29,MONTH(S1946)+1))</f>
        <v>0</v>
      </c>
      <c r="M1946" s="463">
        <f t="shared" si="196"/>
        <v>0</v>
      </c>
      <c r="N1946" s="465">
        <f t="shared" si="197"/>
        <v>0</v>
      </c>
      <c r="O1946" s="179"/>
      <c r="P1946" s="180"/>
      <c r="Q1946" s="173"/>
      <c r="R1946" s="173"/>
      <c r="S1946" s="174"/>
      <c r="T1946" s="173"/>
      <c r="U1946" s="182"/>
      <c r="V1946" s="177">
        <f>IF(U1946=0,0,IF(T1946="MXN",1/HLOOKUP(YEAR(S1946)+(MONTH(S1946)/100),TC!$5:$37,DAY(S1946)+2,FALSE),VLOOKUP(T1946,Equivalencia!$1:$23,((MAX(Equivalencia!$3:$3)-YEAR(S1946))*14)+MONTH(S1946)+2,FALSE)))</f>
        <v>0</v>
      </c>
      <c r="W1946" s="178">
        <f t="shared" si="198"/>
        <v>0</v>
      </c>
      <c r="X1946" s="481">
        <f t="shared" si="199"/>
        <v>0</v>
      </c>
      <c r="Y1946" s="179"/>
      <c r="Z1946" s="466">
        <f t="shared" si="200"/>
        <v>0</v>
      </c>
      <c r="AA1946" s="473">
        <f t="shared" si="201"/>
        <v>0</v>
      </c>
      <c r="AB1946" s="339">
        <f t="shared" si="202"/>
        <v>0</v>
      </c>
    </row>
    <row r="1947" spans="2:28" ht="20.100000000000001" customHeight="1">
      <c r="B1947" s="172"/>
      <c r="C1947" s="174"/>
      <c r="D1947" s="181"/>
      <c r="E1947" s="173"/>
      <c r="F1947" s="176"/>
      <c r="G1947" s="175">
        <f t="shared" si="193"/>
        <v>0</v>
      </c>
      <c r="H1947" s="175">
        <f t="shared" si="194"/>
        <v>0</v>
      </c>
      <c r="I1947" s="177">
        <f>IF(G1947=0,0,IF(E1947="MXN",1/HLOOKUP(YEAR(C1947)+(MONTH(C1947)/100),TC!$5:$37,DAY(C1947)+2,FALSE),VLOOKUP(E1947,Equivalencia!$5:$23,((MAX(Equivalencia!$3:$3)-YEAR(C1947))*14)+MONTH(C1947)+2,FALSE)))</f>
        <v>0</v>
      </c>
      <c r="J1947" s="178">
        <f t="shared" si="195"/>
        <v>0</v>
      </c>
      <c r="K1947" s="462">
        <f>IF(C1947=0,0,VLOOKUP(YEAR(C1947),INPC!$B$4:$O$29,MONTH(C1947)+1))</f>
        <v>0</v>
      </c>
      <c r="L1947" s="462">
        <f>IF(S1947=0,0,VLOOKUP(YEAR(S1947),INPC!$B$4:$O$29,MONTH(S1947)+1))</f>
        <v>0</v>
      </c>
      <c r="M1947" s="463">
        <f t="shared" si="196"/>
        <v>0</v>
      </c>
      <c r="N1947" s="465">
        <f t="shared" si="197"/>
        <v>0</v>
      </c>
      <c r="O1947" s="179"/>
      <c r="P1947" s="180"/>
      <c r="Q1947" s="173"/>
      <c r="R1947" s="173"/>
      <c r="S1947" s="174"/>
      <c r="T1947" s="173"/>
      <c r="U1947" s="182"/>
      <c r="V1947" s="177">
        <f>IF(U1947=0,0,IF(T1947="MXN",1/HLOOKUP(YEAR(S1947)+(MONTH(S1947)/100),TC!$5:$37,DAY(S1947)+2,FALSE),VLOOKUP(T1947,Equivalencia!$1:$23,((MAX(Equivalencia!$3:$3)-YEAR(S1947))*14)+MONTH(S1947)+2,FALSE)))</f>
        <v>0</v>
      </c>
      <c r="W1947" s="178">
        <f t="shared" si="198"/>
        <v>0</v>
      </c>
      <c r="X1947" s="481">
        <f t="shared" si="199"/>
        <v>0</v>
      </c>
      <c r="Y1947" s="179"/>
      <c r="Z1947" s="466">
        <f t="shared" si="200"/>
        <v>0</v>
      </c>
      <c r="AA1947" s="473">
        <f t="shared" si="201"/>
        <v>0</v>
      </c>
      <c r="AB1947" s="339">
        <f t="shared" si="202"/>
        <v>0</v>
      </c>
    </row>
    <row r="1948" spans="2:28" ht="20.100000000000001" customHeight="1">
      <c r="B1948" s="172"/>
      <c r="C1948" s="174"/>
      <c r="D1948" s="181"/>
      <c r="E1948" s="173"/>
      <c r="F1948" s="176"/>
      <c r="G1948" s="175">
        <f t="shared" si="193"/>
        <v>0</v>
      </c>
      <c r="H1948" s="175">
        <f t="shared" si="194"/>
        <v>0</v>
      </c>
      <c r="I1948" s="177">
        <f>IF(G1948=0,0,IF(E1948="MXN",1/HLOOKUP(YEAR(C1948)+(MONTH(C1948)/100),TC!$5:$37,DAY(C1948)+2,FALSE),VLOOKUP(E1948,Equivalencia!$5:$23,((MAX(Equivalencia!$3:$3)-YEAR(C1948))*14)+MONTH(C1948)+2,FALSE)))</f>
        <v>0</v>
      </c>
      <c r="J1948" s="178">
        <f t="shared" si="195"/>
        <v>0</v>
      </c>
      <c r="K1948" s="462">
        <f>IF(C1948=0,0,VLOOKUP(YEAR(C1948),INPC!$B$4:$O$29,MONTH(C1948)+1))</f>
        <v>0</v>
      </c>
      <c r="L1948" s="462">
        <f>IF(S1948=0,0,VLOOKUP(YEAR(S1948),INPC!$B$4:$O$29,MONTH(S1948)+1))</f>
        <v>0</v>
      </c>
      <c r="M1948" s="463">
        <f t="shared" si="196"/>
        <v>0</v>
      </c>
      <c r="N1948" s="465">
        <f t="shared" si="197"/>
        <v>0</v>
      </c>
      <c r="O1948" s="179"/>
      <c r="P1948" s="180"/>
      <c r="Q1948" s="173"/>
      <c r="R1948" s="173"/>
      <c r="S1948" s="174"/>
      <c r="T1948" s="173"/>
      <c r="U1948" s="182"/>
      <c r="V1948" s="177">
        <f>IF(U1948=0,0,IF(T1948="MXN",1/HLOOKUP(YEAR(S1948)+(MONTH(S1948)/100),TC!$5:$37,DAY(S1948)+2,FALSE),VLOOKUP(T1948,Equivalencia!$1:$23,((MAX(Equivalencia!$3:$3)-YEAR(S1948))*14)+MONTH(S1948)+2,FALSE)))</f>
        <v>0</v>
      </c>
      <c r="W1948" s="178">
        <f t="shared" si="198"/>
        <v>0</v>
      </c>
      <c r="X1948" s="481">
        <f t="shared" si="199"/>
        <v>0</v>
      </c>
      <c r="Y1948" s="179"/>
      <c r="Z1948" s="466">
        <f t="shared" si="200"/>
        <v>0</v>
      </c>
      <c r="AA1948" s="473">
        <f t="shared" si="201"/>
        <v>0</v>
      </c>
      <c r="AB1948" s="339">
        <f t="shared" si="202"/>
        <v>0</v>
      </c>
    </row>
    <row r="1949" spans="2:28" ht="20.100000000000001" customHeight="1">
      <c r="B1949" s="172"/>
      <c r="C1949" s="174"/>
      <c r="D1949" s="181"/>
      <c r="E1949" s="173"/>
      <c r="F1949" s="176"/>
      <c r="G1949" s="175">
        <f t="shared" si="193"/>
        <v>0</v>
      </c>
      <c r="H1949" s="175">
        <f t="shared" si="194"/>
        <v>0</v>
      </c>
      <c r="I1949" s="177">
        <f>IF(G1949=0,0,IF(E1949="MXN",1/HLOOKUP(YEAR(C1949)+(MONTH(C1949)/100),TC!$5:$37,DAY(C1949)+2,FALSE),VLOOKUP(E1949,Equivalencia!$5:$23,((MAX(Equivalencia!$3:$3)-YEAR(C1949))*14)+MONTH(C1949)+2,FALSE)))</f>
        <v>0</v>
      </c>
      <c r="J1949" s="178">
        <f t="shared" si="195"/>
        <v>0</v>
      </c>
      <c r="K1949" s="462">
        <f>IF(C1949=0,0,VLOOKUP(YEAR(C1949),INPC!$B$4:$O$29,MONTH(C1949)+1))</f>
        <v>0</v>
      </c>
      <c r="L1949" s="462">
        <f>IF(S1949=0,0,VLOOKUP(YEAR(S1949),INPC!$B$4:$O$29,MONTH(S1949)+1))</f>
        <v>0</v>
      </c>
      <c r="M1949" s="463">
        <f t="shared" si="196"/>
        <v>0</v>
      </c>
      <c r="N1949" s="465">
        <f t="shared" si="197"/>
        <v>0</v>
      </c>
      <c r="O1949" s="179"/>
      <c r="P1949" s="180"/>
      <c r="Q1949" s="173"/>
      <c r="R1949" s="173"/>
      <c r="S1949" s="174"/>
      <c r="T1949" s="173"/>
      <c r="U1949" s="182"/>
      <c r="V1949" s="177">
        <f>IF(U1949=0,0,IF(T1949="MXN",1/HLOOKUP(YEAR(S1949)+(MONTH(S1949)/100),TC!$5:$37,DAY(S1949)+2,FALSE),VLOOKUP(T1949,Equivalencia!$1:$23,((MAX(Equivalencia!$3:$3)-YEAR(S1949))*14)+MONTH(S1949)+2,FALSE)))</f>
        <v>0</v>
      </c>
      <c r="W1949" s="178">
        <f t="shared" si="198"/>
        <v>0</v>
      </c>
      <c r="X1949" s="481">
        <f t="shared" si="199"/>
        <v>0</v>
      </c>
      <c r="Y1949" s="179"/>
      <c r="Z1949" s="466">
        <f t="shared" si="200"/>
        <v>0</v>
      </c>
      <c r="AA1949" s="473">
        <f t="shared" si="201"/>
        <v>0</v>
      </c>
      <c r="AB1949" s="339">
        <f t="shared" si="202"/>
        <v>0</v>
      </c>
    </row>
    <row r="1950" spans="2:28" ht="20.100000000000001" customHeight="1">
      <c r="B1950" s="172"/>
      <c r="C1950" s="174"/>
      <c r="D1950" s="181"/>
      <c r="E1950" s="173"/>
      <c r="F1950" s="176"/>
      <c r="G1950" s="175">
        <f t="shared" si="193"/>
        <v>0</v>
      </c>
      <c r="H1950" s="175">
        <f t="shared" si="194"/>
        <v>0</v>
      </c>
      <c r="I1950" s="177">
        <f>IF(G1950=0,0,IF(E1950="MXN",1/HLOOKUP(YEAR(C1950)+(MONTH(C1950)/100),TC!$5:$37,DAY(C1950)+2,FALSE),VLOOKUP(E1950,Equivalencia!$5:$23,((MAX(Equivalencia!$3:$3)-YEAR(C1950))*14)+MONTH(C1950)+2,FALSE)))</f>
        <v>0</v>
      </c>
      <c r="J1950" s="178">
        <f t="shared" si="195"/>
        <v>0</v>
      </c>
      <c r="K1950" s="462">
        <f>IF(C1950=0,0,VLOOKUP(YEAR(C1950),INPC!$B$4:$O$29,MONTH(C1950)+1))</f>
        <v>0</v>
      </c>
      <c r="L1950" s="462">
        <f>IF(S1950=0,0,VLOOKUP(YEAR(S1950),INPC!$B$4:$O$29,MONTH(S1950)+1))</f>
        <v>0</v>
      </c>
      <c r="M1950" s="463">
        <f t="shared" si="196"/>
        <v>0</v>
      </c>
      <c r="N1950" s="465">
        <f t="shared" si="197"/>
        <v>0</v>
      </c>
      <c r="O1950" s="179"/>
      <c r="P1950" s="180"/>
      <c r="Q1950" s="173"/>
      <c r="R1950" s="173"/>
      <c r="S1950" s="174"/>
      <c r="T1950" s="173"/>
      <c r="U1950" s="182"/>
      <c r="V1950" s="177">
        <f>IF(U1950=0,0,IF(T1950="MXN",1/HLOOKUP(YEAR(S1950)+(MONTH(S1950)/100),TC!$5:$37,DAY(S1950)+2,FALSE),VLOOKUP(T1950,Equivalencia!$1:$23,((MAX(Equivalencia!$3:$3)-YEAR(S1950))*14)+MONTH(S1950)+2,FALSE)))</f>
        <v>0</v>
      </c>
      <c r="W1950" s="178">
        <f t="shared" si="198"/>
        <v>0</v>
      </c>
      <c r="X1950" s="481">
        <f t="shared" si="199"/>
        <v>0</v>
      </c>
      <c r="Y1950" s="179"/>
      <c r="Z1950" s="466">
        <f t="shared" si="200"/>
        <v>0</v>
      </c>
      <c r="AA1950" s="473">
        <f t="shared" si="201"/>
        <v>0</v>
      </c>
      <c r="AB1950" s="339">
        <f t="shared" si="202"/>
        <v>0</v>
      </c>
    </row>
    <row r="1951" spans="2:28" ht="20.100000000000001" customHeight="1">
      <c r="B1951" s="172"/>
      <c r="C1951" s="174"/>
      <c r="D1951" s="181"/>
      <c r="E1951" s="173"/>
      <c r="F1951" s="176"/>
      <c r="G1951" s="175">
        <f t="shared" si="193"/>
        <v>0</v>
      </c>
      <c r="H1951" s="175">
        <f t="shared" si="194"/>
        <v>0</v>
      </c>
      <c r="I1951" s="177">
        <f>IF(G1951=0,0,IF(E1951="MXN",1/HLOOKUP(YEAR(C1951)+(MONTH(C1951)/100),TC!$5:$37,DAY(C1951)+2,FALSE),VLOOKUP(E1951,Equivalencia!$5:$23,((MAX(Equivalencia!$3:$3)-YEAR(C1951))*14)+MONTH(C1951)+2,FALSE)))</f>
        <v>0</v>
      </c>
      <c r="J1951" s="178">
        <f t="shared" si="195"/>
        <v>0</v>
      </c>
      <c r="K1951" s="462">
        <f>IF(C1951=0,0,VLOOKUP(YEAR(C1951),INPC!$B$4:$O$29,MONTH(C1951)+1))</f>
        <v>0</v>
      </c>
      <c r="L1951" s="462">
        <f>IF(S1951=0,0,VLOOKUP(YEAR(S1951),INPC!$B$4:$O$29,MONTH(S1951)+1))</f>
        <v>0</v>
      </c>
      <c r="M1951" s="463">
        <f t="shared" si="196"/>
        <v>0</v>
      </c>
      <c r="N1951" s="465">
        <f t="shared" si="197"/>
        <v>0</v>
      </c>
      <c r="O1951" s="179"/>
      <c r="P1951" s="180"/>
      <c r="Q1951" s="173"/>
      <c r="R1951" s="173"/>
      <c r="S1951" s="174"/>
      <c r="T1951" s="173"/>
      <c r="U1951" s="182"/>
      <c r="V1951" s="177">
        <f>IF(U1951=0,0,IF(T1951="MXN",1/HLOOKUP(YEAR(S1951)+(MONTH(S1951)/100),TC!$5:$37,DAY(S1951)+2,FALSE),VLOOKUP(T1951,Equivalencia!$1:$23,((MAX(Equivalencia!$3:$3)-YEAR(S1951))*14)+MONTH(S1951)+2,FALSE)))</f>
        <v>0</v>
      </c>
      <c r="W1951" s="178">
        <f t="shared" si="198"/>
        <v>0</v>
      </c>
      <c r="X1951" s="481">
        <f t="shared" si="199"/>
        <v>0</v>
      </c>
      <c r="Y1951" s="179"/>
      <c r="Z1951" s="466">
        <f t="shared" si="200"/>
        <v>0</v>
      </c>
      <c r="AA1951" s="473">
        <f t="shared" si="201"/>
        <v>0</v>
      </c>
      <c r="AB1951" s="339">
        <f t="shared" si="202"/>
        <v>0</v>
      </c>
    </row>
    <row r="1952" spans="2:28" ht="20.100000000000001" customHeight="1">
      <c r="B1952" s="172"/>
      <c r="C1952" s="174"/>
      <c r="D1952" s="181"/>
      <c r="E1952" s="173"/>
      <c r="F1952" s="176"/>
      <c r="G1952" s="175">
        <f t="shared" si="193"/>
        <v>0</v>
      </c>
      <c r="H1952" s="175">
        <f t="shared" si="194"/>
        <v>0</v>
      </c>
      <c r="I1952" s="177">
        <f>IF(G1952=0,0,IF(E1952="MXN",1/HLOOKUP(YEAR(C1952)+(MONTH(C1952)/100),TC!$5:$37,DAY(C1952)+2,FALSE),VLOOKUP(E1952,Equivalencia!$5:$23,((MAX(Equivalencia!$3:$3)-YEAR(C1952))*14)+MONTH(C1952)+2,FALSE)))</f>
        <v>0</v>
      </c>
      <c r="J1952" s="178">
        <f t="shared" si="195"/>
        <v>0</v>
      </c>
      <c r="K1952" s="462">
        <f>IF(C1952=0,0,VLOOKUP(YEAR(C1952),INPC!$B$4:$O$29,MONTH(C1952)+1))</f>
        <v>0</v>
      </c>
      <c r="L1952" s="462">
        <f>IF(S1952=0,0,VLOOKUP(YEAR(S1952),INPC!$B$4:$O$29,MONTH(S1952)+1))</f>
        <v>0</v>
      </c>
      <c r="M1952" s="463">
        <f t="shared" si="196"/>
        <v>0</v>
      </c>
      <c r="N1952" s="465">
        <f t="shared" si="197"/>
        <v>0</v>
      </c>
      <c r="O1952" s="179"/>
      <c r="P1952" s="180"/>
      <c r="Q1952" s="173"/>
      <c r="R1952" s="173"/>
      <c r="S1952" s="174"/>
      <c r="T1952" s="173"/>
      <c r="U1952" s="182"/>
      <c r="V1952" s="177">
        <f>IF(U1952=0,0,IF(T1952="MXN",1/HLOOKUP(YEAR(S1952)+(MONTH(S1952)/100),TC!$5:$37,DAY(S1952)+2,FALSE),VLOOKUP(T1952,Equivalencia!$1:$23,((MAX(Equivalencia!$3:$3)-YEAR(S1952))*14)+MONTH(S1952)+2,FALSE)))</f>
        <v>0</v>
      </c>
      <c r="W1952" s="178">
        <f t="shared" si="198"/>
        <v>0</v>
      </c>
      <c r="X1952" s="481">
        <f t="shared" si="199"/>
        <v>0</v>
      </c>
      <c r="Y1952" s="179"/>
      <c r="Z1952" s="466">
        <f t="shared" si="200"/>
        <v>0</v>
      </c>
      <c r="AA1952" s="473">
        <f t="shared" si="201"/>
        <v>0</v>
      </c>
      <c r="AB1952" s="339">
        <f t="shared" si="202"/>
        <v>0</v>
      </c>
    </row>
    <row r="1953" spans="2:28" ht="20.100000000000001" customHeight="1">
      <c r="B1953" s="172"/>
      <c r="C1953" s="174"/>
      <c r="D1953" s="181"/>
      <c r="E1953" s="173"/>
      <c r="F1953" s="176"/>
      <c r="G1953" s="175">
        <f t="shared" si="193"/>
        <v>0</v>
      </c>
      <c r="H1953" s="175">
        <f t="shared" si="194"/>
        <v>0</v>
      </c>
      <c r="I1953" s="177">
        <f>IF(G1953=0,0,IF(E1953="MXN",1/HLOOKUP(YEAR(C1953)+(MONTH(C1953)/100),TC!$5:$37,DAY(C1953)+2,FALSE),VLOOKUP(E1953,Equivalencia!$5:$23,((MAX(Equivalencia!$3:$3)-YEAR(C1953))*14)+MONTH(C1953)+2,FALSE)))</f>
        <v>0</v>
      </c>
      <c r="J1953" s="178">
        <f t="shared" si="195"/>
        <v>0</v>
      </c>
      <c r="K1953" s="462">
        <f>IF(C1953=0,0,VLOOKUP(YEAR(C1953),INPC!$B$4:$O$29,MONTH(C1953)+1))</f>
        <v>0</v>
      </c>
      <c r="L1953" s="462">
        <f>IF(S1953=0,0,VLOOKUP(YEAR(S1953),INPC!$B$4:$O$29,MONTH(S1953)+1))</f>
        <v>0</v>
      </c>
      <c r="M1953" s="463">
        <f t="shared" si="196"/>
        <v>0</v>
      </c>
      <c r="N1953" s="465">
        <f t="shared" si="197"/>
        <v>0</v>
      </c>
      <c r="O1953" s="179"/>
      <c r="P1953" s="180"/>
      <c r="Q1953" s="173"/>
      <c r="R1953" s="173"/>
      <c r="S1953" s="174"/>
      <c r="T1953" s="173"/>
      <c r="U1953" s="182"/>
      <c r="V1953" s="177">
        <f>IF(U1953=0,0,IF(T1953="MXN",1/HLOOKUP(YEAR(S1953)+(MONTH(S1953)/100),TC!$5:$37,DAY(S1953)+2,FALSE),VLOOKUP(T1953,Equivalencia!$1:$23,((MAX(Equivalencia!$3:$3)-YEAR(S1953))*14)+MONTH(S1953)+2,FALSE)))</f>
        <v>0</v>
      </c>
      <c r="W1953" s="178">
        <f t="shared" si="198"/>
        <v>0</v>
      </c>
      <c r="X1953" s="481">
        <f t="shared" si="199"/>
        <v>0</v>
      </c>
      <c r="Y1953" s="179"/>
      <c r="Z1953" s="466">
        <f t="shared" si="200"/>
        <v>0</v>
      </c>
      <c r="AA1953" s="473">
        <f t="shared" si="201"/>
        <v>0</v>
      </c>
      <c r="AB1953" s="339">
        <f t="shared" si="202"/>
        <v>0</v>
      </c>
    </row>
    <row r="1954" spans="2:28" ht="20.100000000000001" customHeight="1">
      <c r="B1954" s="172"/>
      <c r="C1954" s="174"/>
      <c r="D1954" s="181"/>
      <c r="E1954" s="173"/>
      <c r="F1954" s="176"/>
      <c r="G1954" s="175">
        <f t="shared" si="193"/>
        <v>0</v>
      </c>
      <c r="H1954" s="175">
        <f t="shared" si="194"/>
        <v>0</v>
      </c>
      <c r="I1954" s="177">
        <f>IF(G1954=0,0,IF(E1954="MXN",1/HLOOKUP(YEAR(C1954)+(MONTH(C1954)/100),TC!$5:$37,DAY(C1954)+2,FALSE),VLOOKUP(E1954,Equivalencia!$5:$23,((MAX(Equivalencia!$3:$3)-YEAR(C1954))*14)+MONTH(C1954)+2,FALSE)))</f>
        <v>0</v>
      </c>
      <c r="J1954" s="178">
        <f t="shared" si="195"/>
        <v>0</v>
      </c>
      <c r="K1954" s="462">
        <f>IF(C1954=0,0,VLOOKUP(YEAR(C1954),INPC!$B$4:$O$29,MONTH(C1954)+1))</f>
        <v>0</v>
      </c>
      <c r="L1954" s="462">
        <f>IF(S1954=0,0,VLOOKUP(YEAR(S1954),INPC!$B$4:$O$29,MONTH(S1954)+1))</f>
        <v>0</v>
      </c>
      <c r="M1954" s="463">
        <f t="shared" si="196"/>
        <v>0</v>
      </c>
      <c r="N1954" s="465">
        <f t="shared" si="197"/>
        <v>0</v>
      </c>
      <c r="O1954" s="179"/>
      <c r="P1954" s="180"/>
      <c r="Q1954" s="173"/>
      <c r="R1954" s="173"/>
      <c r="S1954" s="174"/>
      <c r="T1954" s="173"/>
      <c r="U1954" s="182"/>
      <c r="V1954" s="177">
        <f>IF(U1954=0,0,IF(T1954="MXN",1/HLOOKUP(YEAR(S1954)+(MONTH(S1954)/100),TC!$5:$37,DAY(S1954)+2,FALSE),VLOOKUP(T1954,Equivalencia!$1:$23,((MAX(Equivalencia!$3:$3)-YEAR(S1954))*14)+MONTH(S1954)+2,FALSE)))</f>
        <v>0</v>
      </c>
      <c r="W1954" s="178">
        <f t="shared" si="198"/>
        <v>0</v>
      </c>
      <c r="X1954" s="481">
        <f t="shared" si="199"/>
        <v>0</v>
      </c>
      <c r="Y1954" s="179"/>
      <c r="Z1954" s="466">
        <f t="shared" si="200"/>
        <v>0</v>
      </c>
      <c r="AA1954" s="473">
        <f t="shared" si="201"/>
        <v>0</v>
      </c>
      <c r="AB1954" s="339">
        <f t="shared" si="202"/>
        <v>0</v>
      </c>
    </row>
    <row r="1955" spans="2:28" ht="20.100000000000001" customHeight="1">
      <c r="B1955" s="172"/>
      <c r="C1955" s="174"/>
      <c r="D1955" s="181"/>
      <c r="E1955" s="173"/>
      <c r="F1955" s="176"/>
      <c r="G1955" s="175">
        <f t="shared" si="193"/>
        <v>0</v>
      </c>
      <c r="H1955" s="175">
        <f t="shared" si="194"/>
        <v>0</v>
      </c>
      <c r="I1955" s="177">
        <f>IF(G1955=0,0,IF(E1955="MXN",1/HLOOKUP(YEAR(C1955)+(MONTH(C1955)/100),TC!$5:$37,DAY(C1955)+2,FALSE),VLOOKUP(E1955,Equivalencia!$5:$23,((MAX(Equivalencia!$3:$3)-YEAR(C1955))*14)+MONTH(C1955)+2,FALSE)))</f>
        <v>0</v>
      </c>
      <c r="J1955" s="178">
        <f t="shared" si="195"/>
        <v>0</v>
      </c>
      <c r="K1955" s="462">
        <f>IF(C1955=0,0,VLOOKUP(YEAR(C1955),INPC!$B$4:$O$29,MONTH(C1955)+1))</f>
        <v>0</v>
      </c>
      <c r="L1955" s="462">
        <f>IF(S1955=0,0,VLOOKUP(YEAR(S1955),INPC!$B$4:$O$29,MONTH(S1955)+1))</f>
        <v>0</v>
      </c>
      <c r="M1955" s="463">
        <f t="shared" si="196"/>
        <v>0</v>
      </c>
      <c r="N1955" s="465">
        <f t="shared" si="197"/>
        <v>0</v>
      </c>
      <c r="O1955" s="179"/>
      <c r="P1955" s="180"/>
      <c r="Q1955" s="173"/>
      <c r="R1955" s="173"/>
      <c r="S1955" s="174"/>
      <c r="T1955" s="173"/>
      <c r="U1955" s="182"/>
      <c r="V1955" s="177">
        <f>IF(U1955=0,0,IF(T1955="MXN",1/HLOOKUP(YEAR(S1955)+(MONTH(S1955)/100),TC!$5:$37,DAY(S1955)+2,FALSE),VLOOKUP(T1955,Equivalencia!$1:$23,((MAX(Equivalencia!$3:$3)-YEAR(S1955))*14)+MONTH(S1955)+2,FALSE)))</f>
        <v>0</v>
      </c>
      <c r="W1955" s="178">
        <f t="shared" si="198"/>
        <v>0</v>
      </c>
      <c r="X1955" s="481">
        <f t="shared" si="199"/>
        <v>0</v>
      </c>
      <c r="Y1955" s="179"/>
      <c r="Z1955" s="466">
        <f t="shared" si="200"/>
        <v>0</v>
      </c>
      <c r="AA1955" s="473">
        <f t="shared" si="201"/>
        <v>0</v>
      </c>
      <c r="AB1955" s="339">
        <f t="shared" si="202"/>
        <v>0</v>
      </c>
    </row>
    <row r="1956" spans="2:28" ht="20.100000000000001" customHeight="1">
      <c r="B1956" s="172"/>
      <c r="C1956" s="174"/>
      <c r="D1956" s="181"/>
      <c r="E1956" s="173"/>
      <c r="F1956" s="176"/>
      <c r="G1956" s="175">
        <f t="shared" si="193"/>
        <v>0</v>
      </c>
      <c r="H1956" s="175">
        <f t="shared" si="194"/>
        <v>0</v>
      </c>
      <c r="I1956" s="177">
        <f>IF(G1956=0,0,IF(E1956="MXN",1/HLOOKUP(YEAR(C1956)+(MONTH(C1956)/100),TC!$5:$37,DAY(C1956)+2,FALSE),VLOOKUP(E1956,Equivalencia!$5:$23,((MAX(Equivalencia!$3:$3)-YEAR(C1956))*14)+MONTH(C1956)+2,FALSE)))</f>
        <v>0</v>
      </c>
      <c r="J1956" s="178">
        <f t="shared" si="195"/>
        <v>0</v>
      </c>
      <c r="K1956" s="462">
        <f>IF(C1956=0,0,VLOOKUP(YEAR(C1956),INPC!$B$4:$O$29,MONTH(C1956)+1))</f>
        <v>0</v>
      </c>
      <c r="L1956" s="462">
        <f>IF(S1956=0,0,VLOOKUP(YEAR(S1956),INPC!$B$4:$O$29,MONTH(S1956)+1))</f>
        <v>0</v>
      </c>
      <c r="M1956" s="463">
        <f t="shared" si="196"/>
        <v>0</v>
      </c>
      <c r="N1956" s="465">
        <f t="shared" si="197"/>
        <v>0</v>
      </c>
      <c r="O1956" s="179"/>
      <c r="P1956" s="180"/>
      <c r="Q1956" s="173"/>
      <c r="R1956" s="173"/>
      <c r="S1956" s="174"/>
      <c r="T1956" s="173"/>
      <c r="U1956" s="182"/>
      <c r="V1956" s="177">
        <f>IF(U1956=0,0,IF(T1956="MXN",1/HLOOKUP(YEAR(S1956)+(MONTH(S1956)/100),TC!$5:$37,DAY(S1956)+2,FALSE),VLOOKUP(T1956,Equivalencia!$1:$23,((MAX(Equivalencia!$3:$3)-YEAR(S1956))*14)+MONTH(S1956)+2,FALSE)))</f>
        <v>0</v>
      </c>
      <c r="W1956" s="178">
        <f t="shared" si="198"/>
        <v>0</v>
      </c>
      <c r="X1956" s="481">
        <f t="shared" si="199"/>
        <v>0</v>
      </c>
      <c r="Y1956" s="179"/>
      <c r="Z1956" s="466">
        <f t="shared" si="200"/>
        <v>0</v>
      </c>
      <c r="AA1956" s="473">
        <f t="shared" si="201"/>
        <v>0</v>
      </c>
      <c r="AB1956" s="339">
        <f t="shared" si="202"/>
        <v>0</v>
      </c>
    </row>
    <row r="1957" spans="2:28" ht="20.100000000000001" customHeight="1">
      <c r="B1957" s="172"/>
      <c r="C1957" s="174"/>
      <c r="D1957" s="181"/>
      <c r="E1957" s="173"/>
      <c r="F1957" s="176"/>
      <c r="G1957" s="175">
        <f t="shared" si="193"/>
        <v>0</v>
      </c>
      <c r="H1957" s="175">
        <f t="shared" si="194"/>
        <v>0</v>
      </c>
      <c r="I1957" s="177">
        <f>IF(G1957=0,0,IF(E1957="MXN",1/HLOOKUP(YEAR(C1957)+(MONTH(C1957)/100),TC!$5:$37,DAY(C1957)+2,FALSE),VLOOKUP(E1957,Equivalencia!$5:$23,((MAX(Equivalencia!$3:$3)-YEAR(C1957))*14)+MONTH(C1957)+2,FALSE)))</f>
        <v>0</v>
      </c>
      <c r="J1957" s="178">
        <f t="shared" si="195"/>
        <v>0</v>
      </c>
      <c r="K1957" s="462">
        <f>IF(C1957=0,0,VLOOKUP(YEAR(C1957),INPC!$B$4:$O$29,MONTH(C1957)+1))</f>
        <v>0</v>
      </c>
      <c r="L1957" s="462">
        <f>IF(S1957=0,0,VLOOKUP(YEAR(S1957),INPC!$B$4:$O$29,MONTH(S1957)+1))</f>
        <v>0</v>
      </c>
      <c r="M1957" s="463">
        <f t="shared" si="196"/>
        <v>0</v>
      </c>
      <c r="N1957" s="465">
        <f t="shared" si="197"/>
        <v>0</v>
      </c>
      <c r="O1957" s="179"/>
      <c r="P1957" s="180"/>
      <c r="Q1957" s="173"/>
      <c r="R1957" s="173"/>
      <c r="S1957" s="174"/>
      <c r="T1957" s="173"/>
      <c r="U1957" s="182"/>
      <c r="V1957" s="177">
        <f>IF(U1957=0,0,IF(T1957="MXN",1/HLOOKUP(YEAR(S1957)+(MONTH(S1957)/100),TC!$5:$37,DAY(S1957)+2,FALSE),VLOOKUP(T1957,Equivalencia!$1:$23,((MAX(Equivalencia!$3:$3)-YEAR(S1957))*14)+MONTH(S1957)+2,FALSE)))</f>
        <v>0</v>
      </c>
      <c r="W1957" s="178">
        <f t="shared" si="198"/>
        <v>0</v>
      </c>
      <c r="X1957" s="481">
        <f t="shared" si="199"/>
        <v>0</v>
      </c>
      <c r="Y1957" s="179"/>
      <c r="Z1957" s="466">
        <f t="shared" si="200"/>
        <v>0</v>
      </c>
      <c r="AA1957" s="473">
        <f t="shared" si="201"/>
        <v>0</v>
      </c>
      <c r="AB1957" s="339">
        <f t="shared" si="202"/>
        <v>0</v>
      </c>
    </row>
    <row r="1958" spans="2:28" ht="20.100000000000001" customHeight="1">
      <c r="B1958" s="172"/>
      <c r="C1958" s="174"/>
      <c r="D1958" s="181"/>
      <c r="E1958" s="173"/>
      <c r="F1958" s="176"/>
      <c r="G1958" s="175">
        <f t="shared" si="193"/>
        <v>0</v>
      </c>
      <c r="H1958" s="175">
        <f t="shared" si="194"/>
        <v>0</v>
      </c>
      <c r="I1958" s="177">
        <f>IF(G1958=0,0,IF(E1958="MXN",1/HLOOKUP(YEAR(C1958)+(MONTH(C1958)/100),TC!$5:$37,DAY(C1958)+2,FALSE),VLOOKUP(E1958,Equivalencia!$5:$23,((MAX(Equivalencia!$3:$3)-YEAR(C1958))*14)+MONTH(C1958)+2,FALSE)))</f>
        <v>0</v>
      </c>
      <c r="J1958" s="178">
        <f t="shared" si="195"/>
        <v>0</v>
      </c>
      <c r="K1958" s="462">
        <f>IF(C1958=0,0,VLOOKUP(YEAR(C1958),INPC!$B$4:$O$29,MONTH(C1958)+1))</f>
        <v>0</v>
      </c>
      <c r="L1958" s="462">
        <f>IF(S1958=0,0,VLOOKUP(YEAR(S1958),INPC!$B$4:$O$29,MONTH(S1958)+1))</f>
        <v>0</v>
      </c>
      <c r="M1958" s="463">
        <f t="shared" si="196"/>
        <v>0</v>
      </c>
      <c r="N1958" s="465">
        <f t="shared" si="197"/>
        <v>0</v>
      </c>
      <c r="O1958" s="179"/>
      <c r="P1958" s="180"/>
      <c r="Q1958" s="173"/>
      <c r="R1958" s="173"/>
      <c r="S1958" s="174"/>
      <c r="T1958" s="173"/>
      <c r="U1958" s="182"/>
      <c r="V1958" s="177">
        <f>IF(U1958=0,0,IF(T1958="MXN",1/HLOOKUP(YEAR(S1958)+(MONTH(S1958)/100),TC!$5:$37,DAY(S1958)+2,FALSE),VLOOKUP(T1958,Equivalencia!$1:$23,((MAX(Equivalencia!$3:$3)-YEAR(S1958))*14)+MONTH(S1958)+2,FALSE)))</f>
        <v>0</v>
      </c>
      <c r="W1958" s="178">
        <f t="shared" si="198"/>
        <v>0</v>
      </c>
      <c r="X1958" s="481">
        <f t="shared" si="199"/>
        <v>0</v>
      </c>
      <c r="Y1958" s="179"/>
      <c r="Z1958" s="466">
        <f t="shared" si="200"/>
        <v>0</v>
      </c>
      <c r="AA1958" s="473">
        <f t="shared" si="201"/>
        <v>0</v>
      </c>
      <c r="AB1958" s="339">
        <f t="shared" si="202"/>
        <v>0</v>
      </c>
    </row>
    <row r="1959" spans="2:28" ht="20.100000000000001" customHeight="1">
      <c r="B1959" s="172"/>
      <c r="C1959" s="174"/>
      <c r="D1959" s="181"/>
      <c r="E1959" s="173"/>
      <c r="F1959" s="176"/>
      <c r="G1959" s="175">
        <f t="shared" si="193"/>
        <v>0</v>
      </c>
      <c r="H1959" s="175">
        <f t="shared" si="194"/>
        <v>0</v>
      </c>
      <c r="I1959" s="177">
        <f>IF(G1959=0,0,IF(E1959="MXN",1/HLOOKUP(YEAR(C1959)+(MONTH(C1959)/100),TC!$5:$37,DAY(C1959)+2,FALSE),VLOOKUP(E1959,Equivalencia!$5:$23,((MAX(Equivalencia!$3:$3)-YEAR(C1959))*14)+MONTH(C1959)+2,FALSE)))</f>
        <v>0</v>
      </c>
      <c r="J1959" s="178">
        <f t="shared" si="195"/>
        <v>0</v>
      </c>
      <c r="K1959" s="462">
        <f>IF(C1959=0,0,VLOOKUP(YEAR(C1959),INPC!$B$4:$O$29,MONTH(C1959)+1))</f>
        <v>0</v>
      </c>
      <c r="L1959" s="462">
        <f>IF(S1959=0,0,VLOOKUP(YEAR(S1959),INPC!$B$4:$O$29,MONTH(S1959)+1))</f>
        <v>0</v>
      </c>
      <c r="M1959" s="463">
        <f t="shared" si="196"/>
        <v>0</v>
      </c>
      <c r="N1959" s="465">
        <f t="shared" si="197"/>
        <v>0</v>
      </c>
      <c r="O1959" s="179"/>
      <c r="P1959" s="180"/>
      <c r="Q1959" s="173"/>
      <c r="R1959" s="173"/>
      <c r="S1959" s="174"/>
      <c r="T1959" s="173"/>
      <c r="U1959" s="182"/>
      <c r="V1959" s="177">
        <f>IF(U1959=0,0,IF(T1959="MXN",1/HLOOKUP(YEAR(S1959)+(MONTH(S1959)/100),TC!$5:$37,DAY(S1959)+2,FALSE),VLOOKUP(T1959,Equivalencia!$1:$23,((MAX(Equivalencia!$3:$3)-YEAR(S1959))*14)+MONTH(S1959)+2,FALSE)))</f>
        <v>0</v>
      </c>
      <c r="W1959" s="178">
        <f t="shared" si="198"/>
        <v>0</v>
      </c>
      <c r="X1959" s="481">
        <f t="shared" si="199"/>
        <v>0</v>
      </c>
      <c r="Y1959" s="179"/>
      <c r="Z1959" s="466">
        <f t="shared" si="200"/>
        <v>0</v>
      </c>
      <c r="AA1959" s="473">
        <f t="shared" si="201"/>
        <v>0</v>
      </c>
      <c r="AB1959" s="339">
        <f t="shared" si="202"/>
        <v>0</v>
      </c>
    </row>
    <row r="1960" spans="2:28" ht="20.100000000000001" customHeight="1">
      <c r="B1960" s="172"/>
      <c r="C1960" s="174"/>
      <c r="D1960" s="181"/>
      <c r="E1960" s="173"/>
      <c r="F1960" s="176"/>
      <c r="G1960" s="175">
        <f t="shared" si="193"/>
        <v>0</v>
      </c>
      <c r="H1960" s="175">
        <f t="shared" si="194"/>
        <v>0</v>
      </c>
      <c r="I1960" s="177">
        <f>IF(G1960=0,0,IF(E1960="MXN",1/HLOOKUP(YEAR(C1960)+(MONTH(C1960)/100),TC!$5:$37,DAY(C1960)+2,FALSE),VLOOKUP(E1960,Equivalencia!$5:$23,((MAX(Equivalencia!$3:$3)-YEAR(C1960))*14)+MONTH(C1960)+2,FALSE)))</f>
        <v>0</v>
      </c>
      <c r="J1960" s="178">
        <f t="shared" si="195"/>
        <v>0</v>
      </c>
      <c r="K1960" s="462">
        <f>IF(C1960=0,0,VLOOKUP(YEAR(C1960),INPC!$B$4:$O$29,MONTH(C1960)+1))</f>
        <v>0</v>
      </c>
      <c r="L1960" s="462">
        <f>IF(S1960=0,0,VLOOKUP(YEAR(S1960),INPC!$B$4:$O$29,MONTH(S1960)+1))</f>
        <v>0</v>
      </c>
      <c r="M1960" s="463">
        <f t="shared" si="196"/>
        <v>0</v>
      </c>
      <c r="N1960" s="465">
        <f t="shared" si="197"/>
        <v>0</v>
      </c>
      <c r="O1960" s="179"/>
      <c r="P1960" s="180"/>
      <c r="Q1960" s="173"/>
      <c r="R1960" s="173"/>
      <c r="S1960" s="174"/>
      <c r="T1960" s="173"/>
      <c r="U1960" s="182"/>
      <c r="V1960" s="177">
        <f>IF(U1960=0,0,IF(T1960="MXN",1/HLOOKUP(YEAR(S1960)+(MONTH(S1960)/100),TC!$5:$37,DAY(S1960)+2,FALSE),VLOOKUP(T1960,Equivalencia!$1:$23,((MAX(Equivalencia!$3:$3)-YEAR(S1960))*14)+MONTH(S1960)+2,FALSE)))</f>
        <v>0</v>
      </c>
      <c r="W1960" s="178">
        <f t="shared" si="198"/>
        <v>0</v>
      </c>
      <c r="X1960" s="481">
        <f t="shared" si="199"/>
        <v>0</v>
      </c>
      <c r="Y1960" s="179"/>
      <c r="Z1960" s="466">
        <f t="shared" si="200"/>
        <v>0</v>
      </c>
      <c r="AA1960" s="473">
        <f t="shared" si="201"/>
        <v>0</v>
      </c>
      <c r="AB1960" s="339">
        <f t="shared" si="202"/>
        <v>0</v>
      </c>
    </row>
    <row r="1961" spans="2:28" ht="20.100000000000001" customHeight="1">
      <c r="B1961" s="172"/>
      <c r="C1961" s="174"/>
      <c r="D1961" s="181"/>
      <c r="E1961" s="173"/>
      <c r="F1961" s="176"/>
      <c r="G1961" s="175">
        <f t="shared" si="193"/>
        <v>0</v>
      </c>
      <c r="H1961" s="175">
        <f t="shared" si="194"/>
        <v>0</v>
      </c>
      <c r="I1961" s="177">
        <f>IF(G1961=0,0,IF(E1961="MXN",1/HLOOKUP(YEAR(C1961)+(MONTH(C1961)/100),TC!$5:$37,DAY(C1961)+2,FALSE),VLOOKUP(E1961,Equivalencia!$5:$23,((MAX(Equivalencia!$3:$3)-YEAR(C1961))*14)+MONTH(C1961)+2,FALSE)))</f>
        <v>0</v>
      </c>
      <c r="J1961" s="178">
        <f t="shared" si="195"/>
        <v>0</v>
      </c>
      <c r="K1961" s="462">
        <f>IF(C1961=0,0,VLOOKUP(YEAR(C1961),INPC!$B$4:$O$29,MONTH(C1961)+1))</f>
        <v>0</v>
      </c>
      <c r="L1961" s="462">
        <f>IF(S1961=0,0,VLOOKUP(YEAR(S1961),INPC!$B$4:$O$29,MONTH(S1961)+1))</f>
        <v>0</v>
      </c>
      <c r="M1961" s="463">
        <f t="shared" si="196"/>
        <v>0</v>
      </c>
      <c r="N1961" s="465">
        <f t="shared" si="197"/>
        <v>0</v>
      </c>
      <c r="O1961" s="179"/>
      <c r="P1961" s="180"/>
      <c r="Q1961" s="173"/>
      <c r="R1961" s="173"/>
      <c r="S1961" s="174"/>
      <c r="T1961" s="173"/>
      <c r="U1961" s="182"/>
      <c r="V1961" s="177">
        <f>IF(U1961=0,0,IF(T1961="MXN",1/HLOOKUP(YEAR(S1961)+(MONTH(S1961)/100),TC!$5:$37,DAY(S1961)+2,FALSE),VLOOKUP(T1961,Equivalencia!$1:$23,((MAX(Equivalencia!$3:$3)-YEAR(S1961))*14)+MONTH(S1961)+2,FALSE)))</f>
        <v>0</v>
      </c>
      <c r="W1961" s="178">
        <f t="shared" si="198"/>
        <v>0</v>
      </c>
      <c r="X1961" s="481">
        <f t="shared" si="199"/>
        <v>0</v>
      </c>
      <c r="Y1961" s="179"/>
      <c r="Z1961" s="466">
        <f t="shared" si="200"/>
        <v>0</v>
      </c>
      <c r="AA1961" s="473">
        <f t="shared" si="201"/>
        <v>0</v>
      </c>
      <c r="AB1961" s="339">
        <f t="shared" si="202"/>
        <v>0</v>
      </c>
    </row>
    <row r="1962" spans="2:28" ht="20.100000000000001" customHeight="1">
      <c r="B1962" s="172"/>
      <c r="C1962" s="174"/>
      <c r="D1962" s="181"/>
      <c r="E1962" s="173"/>
      <c r="F1962" s="176"/>
      <c r="G1962" s="175">
        <f t="shared" si="193"/>
        <v>0</v>
      </c>
      <c r="H1962" s="175">
        <f t="shared" si="194"/>
        <v>0</v>
      </c>
      <c r="I1962" s="177">
        <f>IF(G1962=0,0,IF(E1962="MXN",1/HLOOKUP(YEAR(C1962)+(MONTH(C1962)/100),TC!$5:$37,DAY(C1962)+2,FALSE),VLOOKUP(E1962,Equivalencia!$5:$23,((MAX(Equivalencia!$3:$3)-YEAR(C1962))*14)+MONTH(C1962)+2,FALSE)))</f>
        <v>0</v>
      </c>
      <c r="J1962" s="178">
        <f t="shared" si="195"/>
        <v>0</v>
      </c>
      <c r="K1962" s="462">
        <f>IF(C1962=0,0,VLOOKUP(YEAR(C1962),INPC!$B$4:$O$29,MONTH(C1962)+1))</f>
        <v>0</v>
      </c>
      <c r="L1962" s="462">
        <f>IF(S1962=0,0,VLOOKUP(YEAR(S1962),INPC!$B$4:$O$29,MONTH(S1962)+1))</f>
        <v>0</v>
      </c>
      <c r="M1962" s="463">
        <f t="shared" si="196"/>
        <v>0</v>
      </c>
      <c r="N1962" s="465">
        <f t="shared" si="197"/>
        <v>0</v>
      </c>
      <c r="O1962" s="179"/>
      <c r="P1962" s="180"/>
      <c r="Q1962" s="173"/>
      <c r="R1962" s="173"/>
      <c r="S1962" s="174"/>
      <c r="T1962" s="173"/>
      <c r="U1962" s="182"/>
      <c r="V1962" s="177">
        <f>IF(U1962=0,0,IF(T1962="MXN",1/HLOOKUP(YEAR(S1962)+(MONTH(S1962)/100),TC!$5:$37,DAY(S1962)+2,FALSE),VLOOKUP(T1962,Equivalencia!$1:$23,((MAX(Equivalencia!$3:$3)-YEAR(S1962))*14)+MONTH(S1962)+2,FALSE)))</f>
        <v>0</v>
      </c>
      <c r="W1962" s="178">
        <f t="shared" si="198"/>
        <v>0</v>
      </c>
      <c r="X1962" s="481">
        <f t="shared" si="199"/>
        <v>0</v>
      </c>
      <c r="Y1962" s="179"/>
      <c r="Z1962" s="466">
        <f t="shared" si="200"/>
        <v>0</v>
      </c>
      <c r="AA1962" s="473">
        <f t="shared" si="201"/>
        <v>0</v>
      </c>
      <c r="AB1962" s="339">
        <f t="shared" si="202"/>
        <v>0</v>
      </c>
    </row>
    <row r="1963" spans="2:28" ht="20.100000000000001" customHeight="1">
      <c r="B1963" s="172"/>
      <c r="C1963" s="174"/>
      <c r="D1963" s="181"/>
      <c r="E1963" s="173"/>
      <c r="F1963" s="176"/>
      <c r="G1963" s="175">
        <f t="shared" si="193"/>
        <v>0</v>
      </c>
      <c r="H1963" s="175">
        <f t="shared" si="194"/>
        <v>0</v>
      </c>
      <c r="I1963" s="177">
        <f>IF(G1963=0,0,IF(E1963="MXN",1/HLOOKUP(YEAR(C1963)+(MONTH(C1963)/100),TC!$5:$37,DAY(C1963)+2,FALSE),VLOOKUP(E1963,Equivalencia!$5:$23,((MAX(Equivalencia!$3:$3)-YEAR(C1963))*14)+MONTH(C1963)+2,FALSE)))</f>
        <v>0</v>
      </c>
      <c r="J1963" s="178">
        <f t="shared" si="195"/>
        <v>0</v>
      </c>
      <c r="K1963" s="462">
        <f>IF(C1963=0,0,VLOOKUP(YEAR(C1963),INPC!$B$4:$O$29,MONTH(C1963)+1))</f>
        <v>0</v>
      </c>
      <c r="L1963" s="462">
        <f>IF(S1963=0,0,VLOOKUP(YEAR(S1963),INPC!$B$4:$O$29,MONTH(S1963)+1))</f>
        <v>0</v>
      </c>
      <c r="M1963" s="463">
        <f t="shared" si="196"/>
        <v>0</v>
      </c>
      <c r="N1963" s="465">
        <f t="shared" si="197"/>
        <v>0</v>
      </c>
      <c r="O1963" s="179"/>
      <c r="P1963" s="180"/>
      <c r="Q1963" s="173"/>
      <c r="R1963" s="173"/>
      <c r="S1963" s="174"/>
      <c r="T1963" s="173"/>
      <c r="U1963" s="182"/>
      <c r="V1963" s="177">
        <f>IF(U1963=0,0,IF(T1963="MXN",1/HLOOKUP(YEAR(S1963)+(MONTH(S1963)/100),TC!$5:$37,DAY(S1963)+2,FALSE),VLOOKUP(T1963,Equivalencia!$1:$23,((MAX(Equivalencia!$3:$3)-YEAR(S1963))*14)+MONTH(S1963)+2,FALSE)))</f>
        <v>0</v>
      </c>
      <c r="W1963" s="178">
        <f t="shared" si="198"/>
        <v>0</v>
      </c>
      <c r="X1963" s="481">
        <f t="shared" si="199"/>
        <v>0</v>
      </c>
      <c r="Y1963" s="179"/>
      <c r="Z1963" s="466">
        <f t="shared" si="200"/>
        <v>0</v>
      </c>
      <c r="AA1963" s="473">
        <f t="shared" si="201"/>
        <v>0</v>
      </c>
      <c r="AB1963" s="339">
        <f t="shared" si="202"/>
        <v>0</v>
      </c>
    </row>
    <row r="1964" spans="2:28" ht="20.100000000000001" customHeight="1">
      <c r="B1964" s="172"/>
      <c r="C1964" s="174"/>
      <c r="D1964" s="181"/>
      <c r="E1964" s="173"/>
      <c r="F1964" s="176"/>
      <c r="G1964" s="175">
        <f t="shared" si="193"/>
        <v>0</v>
      </c>
      <c r="H1964" s="175">
        <f t="shared" si="194"/>
        <v>0</v>
      </c>
      <c r="I1964" s="177">
        <f>IF(G1964=0,0,IF(E1964="MXN",1/HLOOKUP(YEAR(C1964)+(MONTH(C1964)/100),TC!$5:$37,DAY(C1964)+2,FALSE),VLOOKUP(E1964,Equivalencia!$5:$23,((MAX(Equivalencia!$3:$3)-YEAR(C1964))*14)+MONTH(C1964)+2,FALSE)))</f>
        <v>0</v>
      </c>
      <c r="J1964" s="178">
        <f t="shared" si="195"/>
        <v>0</v>
      </c>
      <c r="K1964" s="462">
        <f>IF(C1964=0,0,VLOOKUP(YEAR(C1964),INPC!$B$4:$O$29,MONTH(C1964)+1))</f>
        <v>0</v>
      </c>
      <c r="L1964" s="462">
        <f>IF(S1964=0,0,VLOOKUP(YEAR(S1964),INPC!$B$4:$O$29,MONTH(S1964)+1))</f>
        <v>0</v>
      </c>
      <c r="M1964" s="463">
        <f t="shared" si="196"/>
        <v>0</v>
      </c>
      <c r="N1964" s="465">
        <f t="shared" si="197"/>
        <v>0</v>
      </c>
      <c r="O1964" s="179"/>
      <c r="P1964" s="180"/>
      <c r="Q1964" s="173"/>
      <c r="R1964" s="173"/>
      <c r="S1964" s="174"/>
      <c r="T1964" s="173"/>
      <c r="U1964" s="182"/>
      <c r="V1964" s="177">
        <f>IF(U1964=0,0,IF(T1964="MXN",1/HLOOKUP(YEAR(S1964)+(MONTH(S1964)/100),TC!$5:$37,DAY(S1964)+2,FALSE),VLOOKUP(T1964,Equivalencia!$1:$23,((MAX(Equivalencia!$3:$3)-YEAR(S1964))*14)+MONTH(S1964)+2,FALSE)))</f>
        <v>0</v>
      </c>
      <c r="W1964" s="178">
        <f t="shared" si="198"/>
        <v>0</v>
      </c>
      <c r="X1964" s="481">
        <f t="shared" si="199"/>
        <v>0</v>
      </c>
      <c r="Y1964" s="179"/>
      <c r="Z1964" s="466">
        <f t="shared" si="200"/>
        <v>0</v>
      </c>
      <c r="AA1964" s="473">
        <f t="shared" si="201"/>
        <v>0</v>
      </c>
      <c r="AB1964" s="339">
        <f t="shared" si="202"/>
        <v>0</v>
      </c>
    </row>
    <row r="1965" spans="2:28" ht="20.100000000000001" customHeight="1">
      <c r="B1965" s="172"/>
      <c r="C1965" s="174"/>
      <c r="D1965" s="181"/>
      <c r="E1965" s="173"/>
      <c r="F1965" s="176"/>
      <c r="G1965" s="175">
        <f t="shared" si="193"/>
        <v>0</v>
      </c>
      <c r="H1965" s="175">
        <f t="shared" si="194"/>
        <v>0</v>
      </c>
      <c r="I1965" s="177">
        <f>IF(G1965=0,0,IF(E1965="MXN",1/HLOOKUP(YEAR(C1965)+(MONTH(C1965)/100),TC!$5:$37,DAY(C1965)+2,FALSE),VLOOKUP(E1965,Equivalencia!$5:$23,((MAX(Equivalencia!$3:$3)-YEAR(C1965))*14)+MONTH(C1965)+2,FALSE)))</f>
        <v>0</v>
      </c>
      <c r="J1965" s="178">
        <f t="shared" si="195"/>
        <v>0</v>
      </c>
      <c r="K1965" s="462">
        <f>IF(C1965=0,0,VLOOKUP(YEAR(C1965),INPC!$B$4:$O$29,MONTH(C1965)+1))</f>
        <v>0</v>
      </c>
      <c r="L1965" s="462">
        <f>IF(S1965=0,0,VLOOKUP(YEAR(S1965),INPC!$B$4:$O$29,MONTH(S1965)+1))</f>
        <v>0</v>
      </c>
      <c r="M1965" s="463">
        <f t="shared" si="196"/>
        <v>0</v>
      </c>
      <c r="N1965" s="465">
        <f t="shared" si="197"/>
        <v>0</v>
      </c>
      <c r="O1965" s="179"/>
      <c r="P1965" s="180"/>
      <c r="Q1965" s="173"/>
      <c r="R1965" s="173"/>
      <c r="S1965" s="174"/>
      <c r="T1965" s="173"/>
      <c r="U1965" s="182"/>
      <c r="V1965" s="177">
        <f>IF(U1965=0,0,IF(T1965="MXN",1/HLOOKUP(YEAR(S1965)+(MONTH(S1965)/100),TC!$5:$37,DAY(S1965)+2,FALSE),VLOOKUP(T1965,Equivalencia!$1:$23,((MAX(Equivalencia!$3:$3)-YEAR(S1965))*14)+MONTH(S1965)+2,FALSE)))</f>
        <v>0</v>
      </c>
      <c r="W1965" s="178">
        <f t="shared" si="198"/>
        <v>0</v>
      </c>
      <c r="X1965" s="481">
        <f t="shared" si="199"/>
        <v>0</v>
      </c>
      <c r="Y1965" s="179"/>
      <c r="Z1965" s="466">
        <f t="shared" si="200"/>
        <v>0</v>
      </c>
      <c r="AA1965" s="473">
        <f t="shared" si="201"/>
        <v>0</v>
      </c>
      <c r="AB1965" s="339">
        <f t="shared" si="202"/>
        <v>0</v>
      </c>
    </row>
    <row r="1966" spans="2:28" ht="20.100000000000001" customHeight="1">
      <c r="B1966" s="172"/>
      <c r="C1966" s="174"/>
      <c r="D1966" s="181"/>
      <c r="E1966" s="173"/>
      <c r="F1966" s="176"/>
      <c r="G1966" s="175">
        <f t="shared" si="193"/>
        <v>0</v>
      </c>
      <c r="H1966" s="175">
        <f t="shared" si="194"/>
        <v>0</v>
      </c>
      <c r="I1966" s="177">
        <f>IF(G1966=0,0,IF(E1966="MXN",1/HLOOKUP(YEAR(C1966)+(MONTH(C1966)/100),TC!$5:$37,DAY(C1966)+2,FALSE),VLOOKUP(E1966,Equivalencia!$5:$23,((MAX(Equivalencia!$3:$3)-YEAR(C1966))*14)+MONTH(C1966)+2,FALSE)))</f>
        <v>0</v>
      </c>
      <c r="J1966" s="178">
        <f t="shared" si="195"/>
        <v>0</v>
      </c>
      <c r="K1966" s="462">
        <f>IF(C1966=0,0,VLOOKUP(YEAR(C1966),INPC!$B$4:$O$29,MONTH(C1966)+1))</f>
        <v>0</v>
      </c>
      <c r="L1966" s="462">
        <f>IF(S1966=0,0,VLOOKUP(YEAR(S1966),INPC!$B$4:$O$29,MONTH(S1966)+1))</f>
        <v>0</v>
      </c>
      <c r="M1966" s="463">
        <f t="shared" si="196"/>
        <v>0</v>
      </c>
      <c r="N1966" s="465">
        <f t="shared" si="197"/>
        <v>0</v>
      </c>
      <c r="O1966" s="179"/>
      <c r="P1966" s="180"/>
      <c r="Q1966" s="173"/>
      <c r="R1966" s="173"/>
      <c r="S1966" s="174"/>
      <c r="T1966" s="173"/>
      <c r="U1966" s="182"/>
      <c r="V1966" s="177">
        <f>IF(U1966=0,0,IF(T1966="MXN",1/HLOOKUP(YEAR(S1966)+(MONTH(S1966)/100),TC!$5:$37,DAY(S1966)+2,FALSE),VLOOKUP(T1966,Equivalencia!$1:$23,((MAX(Equivalencia!$3:$3)-YEAR(S1966))*14)+MONTH(S1966)+2,FALSE)))</f>
        <v>0</v>
      </c>
      <c r="W1966" s="178">
        <f t="shared" si="198"/>
        <v>0</v>
      </c>
      <c r="X1966" s="481">
        <f t="shared" si="199"/>
        <v>0</v>
      </c>
      <c r="Y1966" s="179"/>
      <c r="Z1966" s="466">
        <f t="shared" si="200"/>
        <v>0</v>
      </c>
      <c r="AA1966" s="473">
        <f t="shared" si="201"/>
        <v>0</v>
      </c>
      <c r="AB1966" s="339">
        <f t="shared" si="202"/>
        <v>0</v>
      </c>
    </row>
    <row r="1967" spans="2:28" ht="20.100000000000001" customHeight="1">
      <c r="B1967" s="172"/>
      <c r="C1967" s="174"/>
      <c r="D1967" s="181"/>
      <c r="E1967" s="173"/>
      <c r="F1967" s="176"/>
      <c r="G1967" s="175">
        <f t="shared" si="193"/>
        <v>0</v>
      </c>
      <c r="H1967" s="175">
        <f t="shared" si="194"/>
        <v>0</v>
      </c>
      <c r="I1967" s="177">
        <f>IF(G1967=0,0,IF(E1967="MXN",1/HLOOKUP(YEAR(C1967)+(MONTH(C1967)/100),TC!$5:$37,DAY(C1967)+2,FALSE),VLOOKUP(E1967,Equivalencia!$5:$23,((MAX(Equivalencia!$3:$3)-YEAR(C1967))*14)+MONTH(C1967)+2,FALSE)))</f>
        <v>0</v>
      </c>
      <c r="J1967" s="178">
        <f t="shared" si="195"/>
        <v>0</v>
      </c>
      <c r="K1967" s="462">
        <f>IF(C1967=0,0,VLOOKUP(YEAR(C1967),INPC!$B$4:$O$29,MONTH(C1967)+1))</f>
        <v>0</v>
      </c>
      <c r="L1967" s="462">
        <f>IF(S1967=0,0,VLOOKUP(YEAR(S1967),INPC!$B$4:$O$29,MONTH(S1967)+1))</f>
        <v>0</v>
      </c>
      <c r="M1967" s="463">
        <f t="shared" si="196"/>
        <v>0</v>
      </c>
      <c r="N1967" s="465">
        <f t="shared" si="197"/>
        <v>0</v>
      </c>
      <c r="O1967" s="179"/>
      <c r="P1967" s="180"/>
      <c r="Q1967" s="173"/>
      <c r="R1967" s="173"/>
      <c r="S1967" s="174"/>
      <c r="T1967" s="173"/>
      <c r="U1967" s="182"/>
      <c r="V1967" s="177">
        <f>IF(U1967=0,0,IF(T1967="MXN",1/HLOOKUP(YEAR(S1967)+(MONTH(S1967)/100),TC!$5:$37,DAY(S1967)+2,FALSE),VLOOKUP(T1967,Equivalencia!$1:$23,((MAX(Equivalencia!$3:$3)-YEAR(S1967))*14)+MONTH(S1967)+2,FALSE)))</f>
        <v>0</v>
      </c>
      <c r="W1967" s="178">
        <f t="shared" si="198"/>
        <v>0</v>
      </c>
      <c r="X1967" s="481">
        <f t="shared" si="199"/>
        <v>0</v>
      </c>
      <c r="Y1967" s="179"/>
      <c r="Z1967" s="466">
        <f t="shared" si="200"/>
        <v>0</v>
      </c>
      <c r="AA1967" s="473">
        <f t="shared" si="201"/>
        <v>0</v>
      </c>
      <c r="AB1967" s="339">
        <f t="shared" si="202"/>
        <v>0</v>
      </c>
    </row>
    <row r="1968" spans="2:28" ht="20.100000000000001" customHeight="1">
      <c r="B1968" s="172"/>
      <c r="C1968" s="174"/>
      <c r="D1968" s="181"/>
      <c r="E1968" s="173"/>
      <c r="F1968" s="176"/>
      <c r="G1968" s="175">
        <f t="shared" si="193"/>
        <v>0</v>
      </c>
      <c r="H1968" s="175">
        <f t="shared" si="194"/>
        <v>0</v>
      </c>
      <c r="I1968" s="177">
        <f>IF(G1968=0,0,IF(E1968="MXN",1/HLOOKUP(YEAR(C1968)+(MONTH(C1968)/100),TC!$5:$37,DAY(C1968)+2,FALSE),VLOOKUP(E1968,Equivalencia!$5:$23,((MAX(Equivalencia!$3:$3)-YEAR(C1968))*14)+MONTH(C1968)+2,FALSE)))</f>
        <v>0</v>
      </c>
      <c r="J1968" s="178">
        <f t="shared" si="195"/>
        <v>0</v>
      </c>
      <c r="K1968" s="462">
        <f>IF(C1968=0,0,VLOOKUP(YEAR(C1968),INPC!$B$4:$O$29,MONTH(C1968)+1))</f>
        <v>0</v>
      </c>
      <c r="L1968" s="462">
        <f>IF(S1968=0,0,VLOOKUP(YEAR(S1968),INPC!$B$4:$O$29,MONTH(S1968)+1))</f>
        <v>0</v>
      </c>
      <c r="M1968" s="463">
        <f t="shared" si="196"/>
        <v>0</v>
      </c>
      <c r="N1968" s="465">
        <f t="shared" si="197"/>
        <v>0</v>
      </c>
      <c r="O1968" s="179"/>
      <c r="P1968" s="180"/>
      <c r="Q1968" s="173"/>
      <c r="R1968" s="173"/>
      <c r="S1968" s="174"/>
      <c r="T1968" s="173"/>
      <c r="U1968" s="182"/>
      <c r="V1968" s="177">
        <f>IF(U1968=0,0,IF(T1968="MXN",1/HLOOKUP(YEAR(S1968)+(MONTH(S1968)/100),TC!$5:$37,DAY(S1968)+2,FALSE),VLOOKUP(T1968,Equivalencia!$1:$23,((MAX(Equivalencia!$3:$3)-YEAR(S1968))*14)+MONTH(S1968)+2,FALSE)))</f>
        <v>0</v>
      </c>
      <c r="W1968" s="178">
        <f t="shared" si="198"/>
        <v>0</v>
      </c>
      <c r="X1968" s="481">
        <f t="shared" si="199"/>
        <v>0</v>
      </c>
      <c r="Y1968" s="179"/>
      <c r="Z1968" s="466">
        <f t="shared" si="200"/>
        <v>0</v>
      </c>
      <c r="AA1968" s="473">
        <f t="shared" si="201"/>
        <v>0</v>
      </c>
      <c r="AB1968" s="339">
        <f t="shared" si="202"/>
        <v>0</v>
      </c>
    </row>
    <row r="1969" spans="2:28" ht="20.100000000000001" customHeight="1">
      <c r="B1969" s="172"/>
      <c r="C1969" s="174"/>
      <c r="D1969" s="181"/>
      <c r="E1969" s="173"/>
      <c r="F1969" s="176"/>
      <c r="G1969" s="175">
        <f t="shared" si="193"/>
        <v>0</v>
      </c>
      <c r="H1969" s="175">
        <f t="shared" si="194"/>
        <v>0</v>
      </c>
      <c r="I1969" s="177">
        <f>IF(G1969=0,0,IF(E1969="MXN",1/HLOOKUP(YEAR(C1969)+(MONTH(C1969)/100),TC!$5:$37,DAY(C1969)+2,FALSE),VLOOKUP(E1969,Equivalencia!$5:$23,((MAX(Equivalencia!$3:$3)-YEAR(C1969))*14)+MONTH(C1969)+2,FALSE)))</f>
        <v>0</v>
      </c>
      <c r="J1969" s="178">
        <f t="shared" si="195"/>
        <v>0</v>
      </c>
      <c r="K1969" s="462">
        <f>IF(C1969=0,0,VLOOKUP(YEAR(C1969),INPC!$B$4:$O$29,MONTH(C1969)+1))</f>
        <v>0</v>
      </c>
      <c r="L1969" s="462">
        <f>IF(S1969=0,0,VLOOKUP(YEAR(S1969),INPC!$B$4:$O$29,MONTH(S1969)+1))</f>
        <v>0</v>
      </c>
      <c r="M1969" s="463">
        <f t="shared" si="196"/>
        <v>0</v>
      </c>
      <c r="N1969" s="465">
        <f t="shared" si="197"/>
        <v>0</v>
      </c>
      <c r="O1969" s="179"/>
      <c r="P1969" s="180"/>
      <c r="Q1969" s="173"/>
      <c r="R1969" s="173"/>
      <c r="S1969" s="174"/>
      <c r="T1969" s="173"/>
      <c r="U1969" s="182"/>
      <c r="V1969" s="177">
        <f>IF(U1969=0,0,IF(T1969="MXN",1/HLOOKUP(YEAR(S1969)+(MONTH(S1969)/100),TC!$5:$37,DAY(S1969)+2,FALSE),VLOOKUP(T1969,Equivalencia!$1:$23,((MAX(Equivalencia!$3:$3)-YEAR(S1969))*14)+MONTH(S1969)+2,FALSE)))</f>
        <v>0</v>
      </c>
      <c r="W1969" s="178">
        <f t="shared" si="198"/>
        <v>0</v>
      </c>
      <c r="X1969" s="481">
        <f t="shared" si="199"/>
        <v>0</v>
      </c>
      <c r="Y1969" s="179"/>
      <c r="Z1969" s="466">
        <f t="shared" si="200"/>
        <v>0</v>
      </c>
      <c r="AA1969" s="473">
        <f t="shared" si="201"/>
        <v>0</v>
      </c>
      <c r="AB1969" s="339">
        <f t="shared" si="202"/>
        <v>0</v>
      </c>
    </row>
    <row r="1970" spans="2:28" ht="20.100000000000001" customHeight="1">
      <c r="B1970" s="172"/>
      <c r="C1970" s="174"/>
      <c r="D1970" s="181"/>
      <c r="E1970" s="173"/>
      <c r="F1970" s="176"/>
      <c r="G1970" s="175">
        <f t="shared" si="193"/>
        <v>0</v>
      </c>
      <c r="H1970" s="175">
        <f t="shared" si="194"/>
        <v>0</v>
      </c>
      <c r="I1970" s="177">
        <f>IF(G1970=0,0,IF(E1970="MXN",1/HLOOKUP(YEAR(C1970)+(MONTH(C1970)/100),TC!$5:$37,DAY(C1970)+2,FALSE),VLOOKUP(E1970,Equivalencia!$5:$23,((MAX(Equivalencia!$3:$3)-YEAR(C1970))*14)+MONTH(C1970)+2,FALSE)))</f>
        <v>0</v>
      </c>
      <c r="J1970" s="178">
        <f t="shared" si="195"/>
        <v>0</v>
      </c>
      <c r="K1970" s="462">
        <f>IF(C1970=0,0,VLOOKUP(YEAR(C1970),INPC!$B$4:$O$29,MONTH(C1970)+1))</f>
        <v>0</v>
      </c>
      <c r="L1970" s="462">
        <f>IF(S1970=0,0,VLOOKUP(YEAR(S1970),INPC!$B$4:$O$29,MONTH(S1970)+1))</f>
        <v>0</v>
      </c>
      <c r="M1970" s="463">
        <f t="shared" si="196"/>
        <v>0</v>
      </c>
      <c r="N1970" s="465">
        <f t="shared" si="197"/>
        <v>0</v>
      </c>
      <c r="O1970" s="179"/>
      <c r="P1970" s="180"/>
      <c r="Q1970" s="173"/>
      <c r="R1970" s="173"/>
      <c r="S1970" s="174"/>
      <c r="T1970" s="173"/>
      <c r="U1970" s="182"/>
      <c r="V1970" s="177">
        <f>IF(U1970=0,0,IF(T1970="MXN",1/HLOOKUP(YEAR(S1970)+(MONTH(S1970)/100),TC!$5:$37,DAY(S1970)+2,FALSE),VLOOKUP(T1970,Equivalencia!$1:$23,((MAX(Equivalencia!$3:$3)-YEAR(S1970))*14)+MONTH(S1970)+2,FALSE)))</f>
        <v>0</v>
      </c>
      <c r="W1970" s="178">
        <f t="shared" si="198"/>
        <v>0</v>
      </c>
      <c r="X1970" s="481">
        <f t="shared" si="199"/>
        <v>0</v>
      </c>
      <c r="Y1970" s="179"/>
      <c r="Z1970" s="466">
        <f t="shared" si="200"/>
        <v>0</v>
      </c>
      <c r="AA1970" s="473">
        <f t="shared" si="201"/>
        <v>0</v>
      </c>
      <c r="AB1970" s="339">
        <f t="shared" si="202"/>
        <v>0</v>
      </c>
    </row>
    <row r="1971" spans="2:28" ht="20.100000000000001" customHeight="1">
      <c r="B1971" s="172"/>
      <c r="C1971" s="174"/>
      <c r="D1971" s="181"/>
      <c r="E1971" s="173"/>
      <c r="F1971" s="176"/>
      <c r="G1971" s="175">
        <f t="shared" si="193"/>
        <v>0</v>
      </c>
      <c r="H1971" s="175">
        <f t="shared" si="194"/>
        <v>0</v>
      </c>
      <c r="I1971" s="177">
        <f>IF(G1971=0,0,IF(E1971="MXN",1/HLOOKUP(YEAR(C1971)+(MONTH(C1971)/100),TC!$5:$37,DAY(C1971)+2,FALSE),VLOOKUP(E1971,Equivalencia!$5:$23,((MAX(Equivalencia!$3:$3)-YEAR(C1971))*14)+MONTH(C1971)+2,FALSE)))</f>
        <v>0</v>
      </c>
      <c r="J1971" s="178">
        <f t="shared" si="195"/>
        <v>0</v>
      </c>
      <c r="K1971" s="462">
        <f>IF(C1971=0,0,VLOOKUP(YEAR(C1971),INPC!$B$4:$O$29,MONTH(C1971)+1))</f>
        <v>0</v>
      </c>
      <c r="L1971" s="462">
        <f>IF(S1971=0,0,VLOOKUP(YEAR(S1971),INPC!$B$4:$O$29,MONTH(S1971)+1))</f>
        <v>0</v>
      </c>
      <c r="M1971" s="463">
        <f t="shared" si="196"/>
        <v>0</v>
      </c>
      <c r="N1971" s="465">
        <f t="shared" si="197"/>
        <v>0</v>
      </c>
      <c r="O1971" s="179"/>
      <c r="P1971" s="180"/>
      <c r="Q1971" s="173"/>
      <c r="R1971" s="173"/>
      <c r="S1971" s="174"/>
      <c r="T1971" s="173"/>
      <c r="U1971" s="182"/>
      <c r="V1971" s="177">
        <f>IF(U1971=0,0,IF(T1971="MXN",1/HLOOKUP(YEAR(S1971)+(MONTH(S1971)/100),TC!$5:$37,DAY(S1971)+2,FALSE),VLOOKUP(T1971,Equivalencia!$1:$23,((MAX(Equivalencia!$3:$3)-YEAR(S1971))*14)+MONTH(S1971)+2,FALSE)))</f>
        <v>0</v>
      </c>
      <c r="W1971" s="178">
        <f t="shared" si="198"/>
        <v>0</v>
      </c>
      <c r="X1971" s="481">
        <f t="shared" si="199"/>
        <v>0</v>
      </c>
      <c r="Y1971" s="179"/>
      <c r="Z1971" s="466">
        <f t="shared" si="200"/>
        <v>0</v>
      </c>
      <c r="AA1971" s="473">
        <f t="shared" si="201"/>
        <v>0</v>
      </c>
      <c r="AB1971" s="339">
        <f t="shared" si="202"/>
        <v>0</v>
      </c>
    </row>
    <row r="1972" spans="2:28" ht="20.100000000000001" customHeight="1">
      <c r="B1972" s="172"/>
      <c r="C1972" s="174"/>
      <c r="D1972" s="181"/>
      <c r="E1972" s="173"/>
      <c r="F1972" s="176"/>
      <c r="G1972" s="175">
        <f t="shared" si="193"/>
        <v>0</v>
      </c>
      <c r="H1972" s="175">
        <f t="shared" si="194"/>
        <v>0</v>
      </c>
      <c r="I1972" s="177">
        <f>IF(G1972=0,0,IF(E1972="MXN",1/HLOOKUP(YEAR(C1972)+(MONTH(C1972)/100),TC!$5:$37,DAY(C1972)+2,FALSE),VLOOKUP(E1972,Equivalencia!$5:$23,((MAX(Equivalencia!$3:$3)-YEAR(C1972))*14)+MONTH(C1972)+2,FALSE)))</f>
        <v>0</v>
      </c>
      <c r="J1972" s="178">
        <f t="shared" si="195"/>
        <v>0</v>
      </c>
      <c r="K1972" s="462">
        <f>IF(C1972=0,0,VLOOKUP(YEAR(C1972),INPC!$B$4:$O$29,MONTH(C1972)+1))</f>
        <v>0</v>
      </c>
      <c r="L1972" s="462">
        <f>IF(S1972=0,0,VLOOKUP(YEAR(S1972),INPC!$B$4:$O$29,MONTH(S1972)+1))</f>
        <v>0</v>
      </c>
      <c r="M1972" s="463">
        <f t="shared" si="196"/>
        <v>0</v>
      </c>
      <c r="N1972" s="465">
        <f t="shared" si="197"/>
        <v>0</v>
      </c>
      <c r="O1972" s="179"/>
      <c r="P1972" s="180"/>
      <c r="Q1972" s="173"/>
      <c r="R1972" s="173"/>
      <c r="S1972" s="174"/>
      <c r="T1972" s="173"/>
      <c r="U1972" s="182"/>
      <c r="V1972" s="177">
        <f>IF(U1972=0,0,IF(T1972="MXN",1/HLOOKUP(YEAR(S1972)+(MONTH(S1972)/100),TC!$5:$37,DAY(S1972)+2,FALSE),VLOOKUP(T1972,Equivalencia!$1:$23,((MAX(Equivalencia!$3:$3)-YEAR(S1972))*14)+MONTH(S1972)+2,FALSE)))</f>
        <v>0</v>
      </c>
      <c r="W1972" s="178">
        <f t="shared" si="198"/>
        <v>0</v>
      </c>
      <c r="X1972" s="481">
        <f t="shared" si="199"/>
        <v>0</v>
      </c>
      <c r="Y1972" s="179"/>
      <c r="Z1972" s="466">
        <f t="shared" si="200"/>
        <v>0</v>
      </c>
      <c r="AA1972" s="473">
        <f t="shared" si="201"/>
        <v>0</v>
      </c>
      <c r="AB1972" s="339">
        <f t="shared" si="202"/>
        <v>0</v>
      </c>
    </row>
    <row r="1973" spans="2:28" ht="20.100000000000001" customHeight="1">
      <c r="B1973" s="172"/>
      <c r="C1973" s="174"/>
      <c r="D1973" s="181"/>
      <c r="E1973" s="173"/>
      <c r="F1973" s="176"/>
      <c r="G1973" s="175">
        <f t="shared" si="193"/>
        <v>0</v>
      </c>
      <c r="H1973" s="175">
        <f t="shared" si="194"/>
        <v>0</v>
      </c>
      <c r="I1973" s="177">
        <f>IF(G1973=0,0,IF(E1973="MXN",1/HLOOKUP(YEAR(C1973)+(MONTH(C1973)/100),TC!$5:$37,DAY(C1973)+2,FALSE),VLOOKUP(E1973,Equivalencia!$5:$23,((MAX(Equivalencia!$3:$3)-YEAR(C1973))*14)+MONTH(C1973)+2,FALSE)))</f>
        <v>0</v>
      </c>
      <c r="J1973" s="178">
        <f t="shared" si="195"/>
        <v>0</v>
      </c>
      <c r="K1973" s="462">
        <f>IF(C1973=0,0,VLOOKUP(YEAR(C1973),INPC!$B$4:$O$29,MONTH(C1973)+1))</f>
        <v>0</v>
      </c>
      <c r="L1973" s="462">
        <f>IF(S1973=0,0,VLOOKUP(YEAR(S1973),INPC!$B$4:$O$29,MONTH(S1973)+1))</f>
        <v>0</v>
      </c>
      <c r="M1973" s="463">
        <f t="shared" si="196"/>
        <v>0</v>
      </c>
      <c r="N1973" s="465">
        <f t="shared" si="197"/>
        <v>0</v>
      </c>
      <c r="O1973" s="179"/>
      <c r="P1973" s="180"/>
      <c r="Q1973" s="173"/>
      <c r="R1973" s="173"/>
      <c r="S1973" s="174"/>
      <c r="T1973" s="173"/>
      <c r="U1973" s="182"/>
      <c r="V1973" s="177">
        <f>IF(U1973=0,0,IF(T1973="MXN",1/HLOOKUP(YEAR(S1973)+(MONTH(S1973)/100),TC!$5:$37,DAY(S1973)+2,FALSE),VLOOKUP(T1973,Equivalencia!$1:$23,((MAX(Equivalencia!$3:$3)-YEAR(S1973))*14)+MONTH(S1973)+2,FALSE)))</f>
        <v>0</v>
      </c>
      <c r="W1973" s="178">
        <f t="shared" si="198"/>
        <v>0</v>
      </c>
      <c r="X1973" s="481">
        <f t="shared" si="199"/>
        <v>0</v>
      </c>
      <c r="Y1973" s="179"/>
      <c r="Z1973" s="466">
        <f t="shared" si="200"/>
        <v>0</v>
      </c>
      <c r="AA1973" s="473">
        <f t="shared" si="201"/>
        <v>0</v>
      </c>
      <c r="AB1973" s="339">
        <f t="shared" si="202"/>
        <v>0</v>
      </c>
    </row>
    <row r="1974" spans="2:28" ht="20.100000000000001" customHeight="1">
      <c r="B1974" s="172"/>
      <c r="C1974" s="174"/>
      <c r="D1974" s="181"/>
      <c r="E1974" s="173"/>
      <c r="F1974" s="176"/>
      <c r="G1974" s="175">
        <f t="shared" si="193"/>
        <v>0</v>
      </c>
      <c r="H1974" s="175">
        <f t="shared" si="194"/>
        <v>0</v>
      </c>
      <c r="I1974" s="177">
        <f>IF(G1974=0,0,IF(E1974="MXN",1/HLOOKUP(YEAR(C1974)+(MONTH(C1974)/100),TC!$5:$37,DAY(C1974)+2,FALSE),VLOOKUP(E1974,Equivalencia!$5:$23,((MAX(Equivalencia!$3:$3)-YEAR(C1974))*14)+MONTH(C1974)+2,FALSE)))</f>
        <v>0</v>
      </c>
      <c r="J1974" s="178">
        <f t="shared" si="195"/>
        <v>0</v>
      </c>
      <c r="K1974" s="462">
        <f>IF(C1974=0,0,VLOOKUP(YEAR(C1974),INPC!$B$4:$O$29,MONTH(C1974)+1))</f>
        <v>0</v>
      </c>
      <c r="L1974" s="462">
        <f>IF(S1974=0,0,VLOOKUP(YEAR(S1974),INPC!$B$4:$O$29,MONTH(S1974)+1))</f>
        <v>0</v>
      </c>
      <c r="M1974" s="463">
        <f t="shared" si="196"/>
        <v>0</v>
      </c>
      <c r="N1974" s="465">
        <f t="shared" si="197"/>
        <v>0</v>
      </c>
      <c r="O1974" s="179"/>
      <c r="P1974" s="180"/>
      <c r="Q1974" s="173"/>
      <c r="R1974" s="173"/>
      <c r="S1974" s="174"/>
      <c r="T1974" s="173"/>
      <c r="U1974" s="182"/>
      <c r="V1974" s="177">
        <f>IF(U1974=0,0,IF(T1974="MXN",1/HLOOKUP(YEAR(S1974)+(MONTH(S1974)/100),TC!$5:$37,DAY(S1974)+2,FALSE),VLOOKUP(T1974,Equivalencia!$1:$23,((MAX(Equivalencia!$3:$3)-YEAR(S1974))*14)+MONTH(S1974)+2,FALSE)))</f>
        <v>0</v>
      </c>
      <c r="W1974" s="178">
        <f t="shared" si="198"/>
        <v>0</v>
      </c>
      <c r="X1974" s="481">
        <f t="shared" si="199"/>
        <v>0</v>
      </c>
      <c r="Y1974" s="179"/>
      <c r="Z1974" s="466">
        <f t="shared" si="200"/>
        <v>0</v>
      </c>
      <c r="AA1974" s="473">
        <f t="shared" si="201"/>
        <v>0</v>
      </c>
      <c r="AB1974" s="339">
        <f t="shared" si="202"/>
        <v>0</v>
      </c>
    </row>
    <row r="1975" spans="2:28" ht="20.100000000000001" customHeight="1">
      <c r="B1975" s="172"/>
      <c r="C1975" s="174"/>
      <c r="D1975" s="181"/>
      <c r="E1975" s="173"/>
      <c r="F1975" s="176"/>
      <c r="G1975" s="175">
        <f t="shared" si="193"/>
        <v>0</v>
      </c>
      <c r="H1975" s="175">
        <f t="shared" si="194"/>
        <v>0</v>
      </c>
      <c r="I1975" s="177">
        <f>IF(G1975=0,0,IF(E1975="MXN",1/HLOOKUP(YEAR(C1975)+(MONTH(C1975)/100),TC!$5:$37,DAY(C1975)+2,FALSE),VLOOKUP(E1975,Equivalencia!$5:$23,((MAX(Equivalencia!$3:$3)-YEAR(C1975))*14)+MONTH(C1975)+2,FALSE)))</f>
        <v>0</v>
      </c>
      <c r="J1975" s="178">
        <f t="shared" si="195"/>
        <v>0</v>
      </c>
      <c r="K1975" s="462">
        <f>IF(C1975=0,0,VLOOKUP(YEAR(C1975),INPC!$B$4:$O$29,MONTH(C1975)+1))</f>
        <v>0</v>
      </c>
      <c r="L1975" s="462">
        <f>IF(S1975=0,0,VLOOKUP(YEAR(S1975),INPC!$B$4:$O$29,MONTH(S1975)+1))</f>
        <v>0</v>
      </c>
      <c r="M1975" s="463">
        <f t="shared" si="196"/>
        <v>0</v>
      </c>
      <c r="N1975" s="465">
        <f t="shared" si="197"/>
        <v>0</v>
      </c>
      <c r="O1975" s="179"/>
      <c r="P1975" s="180"/>
      <c r="Q1975" s="173"/>
      <c r="R1975" s="173"/>
      <c r="S1975" s="174"/>
      <c r="T1975" s="173"/>
      <c r="U1975" s="182"/>
      <c r="V1975" s="177">
        <f>IF(U1975=0,0,IF(T1975="MXN",1/HLOOKUP(YEAR(S1975)+(MONTH(S1975)/100),TC!$5:$37,DAY(S1975)+2,FALSE),VLOOKUP(T1975,Equivalencia!$1:$23,((MAX(Equivalencia!$3:$3)-YEAR(S1975))*14)+MONTH(S1975)+2,FALSE)))</f>
        <v>0</v>
      </c>
      <c r="W1975" s="178">
        <f t="shared" si="198"/>
        <v>0</v>
      </c>
      <c r="X1975" s="481">
        <f t="shared" si="199"/>
        <v>0</v>
      </c>
      <c r="Y1975" s="179"/>
      <c r="Z1975" s="466">
        <f t="shared" si="200"/>
        <v>0</v>
      </c>
      <c r="AA1975" s="473">
        <f t="shared" si="201"/>
        <v>0</v>
      </c>
      <c r="AB1975" s="339">
        <f t="shared" si="202"/>
        <v>0</v>
      </c>
    </row>
    <row r="1976" spans="2:28" ht="20.100000000000001" customHeight="1">
      <c r="B1976" s="172"/>
      <c r="C1976" s="174"/>
      <c r="D1976" s="181"/>
      <c r="E1976" s="173"/>
      <c r="F1976" s="176"/>
      <c r="G1976" s="175">
        <f t="shared" si="193"/>
        <v>0</v>
      </c>
      <c r="H1976" s="175">
        <f t="shared" si="194"/>
        <v>0</v>
      </c>
      <c r="I1976" s="177">
        <f>IF(G1976=0,0,IF(E1976="MXN",1/HLOOKUP(YEAR(C1976)+(MONTH(C1976)/100),TC!$5:$37,DAY(C1976)+2,FALSE),VLOOKUP(E1976,Equivalencia!$5:$23,((MAX(Equivalencia!$3:$3)-YEAR(C1976))*14)+MONTH(C1976)+2,FALSE)))</f>
        <v>0</v>
      </c>
      <c r="J1976" s="178">
        <f t="shared" si="195"/>
        <v>0</v>
      </c>
      <c r="K1976" s="462">
        <f>IF(C1976=0,0,VLOOKUP(YEAR(C1976),INPC!$B$4:$O$29,MONTH(C1976)+1))</f>
        <v>0</v>
      </c>
      <c r="L1976" s="462">
        <f>IF(S1976=0,0,VLOOKUP(YEAR(S1976),INPC!$B$4:$O$29,MONTH(S1976)+1))</f>
        <v>0</v>
      </c>
      <c r="M1976" s="463">
        <f t="shared" si="196"/>
        <v>0</v>
      </c>
      <c r="N1976" s="465">
        <f t="shared" si="197"/>
        <v>0</v>
      </c>
      <c r="O1976" s="179"/>
      <c r="P1976" s="180"/>
      <c r="Q1976" s="173"/>
      <c r="R1976" s="173"/>
      <c r="S1976" s="174"/>
      <c r="T1976" s="173"/>
      <c r="U1976" s="182"/>
      <c r="V1976" s="177">
        <f>IF(U1976=0,0,IF(T1976="MXN",1/HLOOKUP(YEAR(S1976)+(MONTH(S1976)/100),TC!$5:$37,DAY(S1976)+2,FALSE),VLOOKUP(T1976,Equivalencia!$1:$23,((MAX(Equivalencia!$3:$3)-YEAR(S1976))*14)+MONTH(S1976)+2,FALSE)))</f>
        <v>0</v>
      </c>
      <c r="W1976" s="178">
        <f t="shared" si="198"/>
        <v>0</v>
      </c>
      <c r="X1976" s="481">
        <f t="shared" si="199"/>
        <v>0</v>
      </c>
      <c r="Y1976" s="179"/>
      <c r="Z1976" s="466">
        <f t="shared" si="200"/>
        <v>0</v>
      </c>
      <c r="AA1976" s="473">
        <f t="shared" si="201"/>
        <v>0</v>
      </c>
      <c r="AB1976" s="339">
        <f t="shared" si="202"/>
        <v>0</v>
      </c>
    </row>
    <row r="1977" spans="2:28" ht="20.100000000000001" customHeight="1">
      <c r="B1977" s="172"/>
      <c r="C1977" s="174"/>
      <c r="D1977" s="181"/>
      <c r="E1977" s="173"/>
      <c r="F1977" s="176"/>
      <c r="G1977" s="175">
        <f t="shared" si="193"/>
        <v>0</v>
      </c>
      <c r="H1977" s="175">
        <f t="shared" si="194"/>
        <v>0</v>
      </c>
      <c r="I1977" s="177">
        <f>IF(G1977=0,0,IF(E1977="MXN",1/HLOOKUP(YEAR(C1977)+(MONTH(C1977)/100),TC!$5:$37,DAY(C1977)+2,FALSE),VLOOKUP(E1977,Equivalencia!$5:$23,((MAX(Equivalencia!$3:$3)-YEAR(C1977))*14)+MONTH(C1977)+2,FALSE)))</f>
        <v>0</v>
      </c>
      <c r="J1977" s="178">
        <f t="shared" si="195"/>
        <v>0</v>
      </c>
      <c r="K1977" s="462">
        <f>IF(C1977=0,0,VLOOKUP(YEAR(C1977),INPC!$B$4:$O$29,MONTH(C1977)+1))</f>
        <v>0</v>
      </c>
      <c r="L1977" s="462">
        <f>IF(S1977=0,0,VLOOKUP(YEAR(S1977),INPC!$B$4:$O$29,MONTH(S1977)+1))</f>
        <v>0</v>
      </c>
      <c r="M1977" s="463">
        <f t="shared" si="196"/>
        <v>0</v>
      </c>
      <c r="N1977" s="465">
        <f t="shared" si="197"/>
        <v>0</v>
      </c>
      <c r="O1977" s="179"/>
      <c r="P1977" s="180"/>
      <c r="Q1977" s="173"/>
      <c r="R1977" s="173"/>
      <c r="S1977" s="174"/>
      <c r="T1977" s="173"/>
      <c r="U1977" s="182"/>
      <c r="V1977" s="177">
        <f>IF(U1977=0,0,IF(T1977="MXN",1/HLOOKUP(YEAR(S1977)+(MONTH(S1977)/100),TC!$5:$37,DAY(S1977)+2,FALSE),VLOOKUP(T1977,Equivalencia!$1:$23,((MAX(Equivalencia!$3:$3)-YEAR(S1977))*14)+MONTH(S1977)+2,FALSE)))</f>
        <v>0</v>
      </c>
      <c r="W1977" s="178">
        <f t="shared" si="198"/>
        <v>0</v>
      </c>
      <c r="X1977" s="481">
        <f t="shared" si="199"/>
        <v>0</v>
      </c>
      <c r="Y1977" s="179"/>
      <c r="Z1977" s="466">
        <f t="shared" si="200"/>
        <v>0</v>
      </c>
      <c r="AA1977" s="473">
        <f t="shared" si="201"/>
        <v>0</v>
      </c>
      <c r="AB1977" s="339">
        <f t="shared" si="202"/>
        <v>0</v>
      </c>
    </row>
    <row r="1978" spans="2:28" ht="20.100000000000001" customHeight="1">
      <c r="B1978" s="172"/>
      <c r="C1978" s="174"/>
      <c r="D1978" s="181"/>
      <c r="E1978" s="173"/>
      <c r="F1978" s="176"/>
      <c r="G1978" s="175">
        <f t="shared" si="193"/>
        <v>0</v>
      </c>
      <c r="H1978" s="175">
        <f t="shared" si="194"/>
        <v>0</v>
      </c>
      <c r="I1978" s="177">
        <f>IF(G1978=0,0,IF(E1978="MXN",1/HLOOKUP(YEAR(C1978)+(MONTH(C1978)/100),TC!$5:$37,DAY(C1978)+2,FALSE),VLOOKUP(E1978,Equivalencia!$5:$23,((MAX(Equivalencia!$3:$3)-YEAR(C1978))*14)+MONTH(C1978)+2,FALSE)))</f>
        <v>0</v>
      </c>
      <c r="J1978" s="178">
        <f t="shared" si="195"/>
        <v>0</v>
      </c>
      <c r="K1978" s="462">
        <f>IF(C1978=0,0,VLOOKUP(YEAR(C1978),INPC!$B$4:$O$29,MONTH(C1978)+1))</f>
        <v>0</v>
      </c>
      <c r="L1978" s="462">
        <f>IF(S1978=0,0,VLOOKUP(YEAR(S1978),INPC!$B$4:$O$29,MONTH(S1978)+1))</f>
        <v>0</v>
      </c>
      <c r="M1978" s="463">
        <f t="shared" si="196"/>
        <v>0</v>
      </c>
      <c r="N1978" s="465">
        <f t="shared" si="197"/>
        <v>0</v>
      </c>
      <c r="O1978" s="179"/>
      <c r="P1978" s="180"/>
      <c r="Q1978" s="173"/>
      <c r="R1978" s="173"/>
      <c r="S1978" s="174"/>
      <c r="T1978" s="173"/>
      <c r="U1978" s="182"/>
      <c r="V1978" s="177">
        <f>IF(U1978=0,0,IF(T1978="MXN",1/HLOOKUP(YEAR(S1978)+(MONTH(S1978)/100),TC!$5:$37,DAY(S1978)+2,FALSE),VLOOKUP(T1978,Equivalencia!$1:$23,((MAX(Equivalencia!$3:$3)-YEAR(S1978))*14)+MONTH(S1978)+2,FALSE)))</f>
        <v>0</v>
      </c>
      <c r="W1978" s="178">
        <f t="shared" si="198"/>
        <v>0</v>
      </c>
      <c r="X1978" s="481">
        <f t="shared" si="199"/>
        <v>0</v>
      </c>
      <c r="Y1978" s="179"/>
      <c r="Z1978" s="466">
        <f t="shared" si="200"/>
        <v>0</v>
      </c>
      <c r="AA1978" s="473">
        <f t="shared" si="201"/>
        <v>0</v>
      </c>
      <c r="AB1978" s="339">
        <f t="shared" si="202"/>
        <v>0</v>
      </c>
    </row>
    <row r="1979" spans="2:28" ht="20.100000000000001" customHeight="1">
      <c r="B1979" s="172"/>
      <c r="C1979" s="174"/>
      <c r="D1979" s="181"/>
      <c r="E1979" s="173"/>
      <c r="F1979" s="176"/>
      <c r="G1979" s="175">
        <f t="shared" si="193"/>
        <v>0</v>
      </c>
      <c r="H1979" s="175">
        <f t="shared" si="194"/>
        <v>0</v>
      </c>
      <c r="I1979" s="177">
        <f>IF(G1979=0,0,IF(E1979="MXN",1/HLOOKUP(YEAR(C1979)+(MONTH(C1979)/100),TC!$5:$37,DAY(C1979)+2,FALSE),VLOOKUP(E1979,Equivalencia!$5:$23,((MAX(Equivalencia!$3:$3)-YEAR(C1979))*14)+MONTH(C1979)+2,FALSE)))</f>
        <v>0</v>
      </c>
      <c r="J1979" s="178">
        <f t="shared" si="195"/>
        <v>0</v>
      </c>
      <c r="K1979" s="462">
        <f>IF(C1979=0,0,VLOOKUP(YEAR(C1979),INPC!$B$4:$O$29,MONTH(C1979)+1))</f>
        <v>0</v>
      </c>
      <c r="L1979" s="462">
        <f>IF(S1979=0,0,VLOOKUP(YEAR(S1979),INPC!$B$4:$O$29,MONTH(S1979)+1))</f>
        <v>0</v>
      </c>
      <c r="M1979" s="463">
        <f t="shared" si="196"/>
        <v>0</v>
      </c>
      <c r="N1979" s="465">
        <f t="shared" si="197"/>
        <v>0</v>
      </c>
      <c r="O1979" s="179"/>
      <c r="P1979" s="180"/>
      <c r="Q1979" s="173"/>
      <c r="R1979" s="173"/>
      <c r="S1979" s="174"/>
      <c r="T1979" s="173"/>
      <c r="U1979" s="182"/>
      <c r="V1979" s="177">
        <f>IF(U1979=0,0,IF(T1979="MXN",1/HLOOKUP(YEAR(S1979)+(MONTH(S1979)/100),TC!$5:$37,DAY(S1979)+2,FALSE),VLOOKUP(T1979,Equivalencia!$1:$23,((MAX(Equivalencia!$3:$3)-YEAR(S1979))*14)+MONTH(S1979)+2,FALSE)))</f>
        <v>0</v>
      </c>
      <c r="W1979" s="178">
        <f t="shared" si="198"/>
        <v>0</v>
      </c>
      <c r="X1979" s="481">
        <f t="shared" si="199"/>
        <v>0</v>
      </c>
      <c r="Y1979" s="179"/>
      <c r="Z1979" s="466">
        <f t="shared" si="200"/>
        <v>0</v>
      </c>
      <c r="AA1979" s="473">
        <f t="shared" si="201"/>
        <v>0</v>
      </c>
      <c r="AB1979" s="339">
        <f t="shared" si="202"/>
        <v>0</v>
      </c>
    </row>
    <row r="1980" spans="2:28" ht="20.100000000000001" customHeight="1">
      <c r="B1980" s="172"/>
      <c r="C1980" s="174"/>
      <c r="D1980" s="181"/>
      <c r="E1980" s="173"/>
      <c r="F1980" s="176"/>
      <c r="G1980" s="175">
        <f t="shared" si="193"/>
        <v>0</v>
      </c>
      <c r="H1980" s="175">
        <f t="shared" si="194"/>
        <v>0</v>
      </c>
      <c r="I1980" s="177">
        <f>IF(G1980=0,0,IF(E1980="MXN",1/HLOOKUP(YEAR(C1980)+(MONTH(C1980)/100),TC!$5:$37,DAY(C1980)+2,FALSE),VLOOKUP(E1980,Equivalencia!$5:$23,((MAX(Equivalencia!$3:$3)-YEAR(C1980))*14)+MONTH(C1980)+2,FALSE)))</f>
        <v>0</v>
      </c>
      <c r="J1980" s="178">
        <f t="shared" si="195"/>
        <v>0</v>
      </c>
      <c r="K1980" s="462">
        <f>IF(C1980=0,0,VLOOKUP(YEAR(C1980),INPC!$B$4:$O$29,MONTH(C1980)+1))</f>
        <v>0</v>
      </c>
      <c r="L1980" s="462">
        <f>IF(S1980=0,0,VLOOKUP(YEAR(S1980),INPC!$B$4:$O$29,MONTH(S1980)+1))</f>
        <v>0</v>
      </c>
      <c r="M1980" s="463">
        <f t="shared" si="196"/>
        <v>0</v>
      </c>
      <c r="N1980" s="465">
        <f t="shared" si="197"/>
        <v>0</v>
      </c>
      <c r="O1980" s="179"/>
      <c r="P1980" s="180"/>
      <c r="Q1980" s="173"/>
      <c r="R1980" s="173"/>
      <c r="S1980" s="174"/>
      <c r="T1980" s="173"/>
      <c r="U1980" s="182"/>
      <c r="V1980" s="177">
        <f>IF(U1980=0,0,IF(T1980="MXN",1/HLOOKUP(YEAR(S1980)+(MONTH(S1980)/100),TC!$5:$37,DAY(S1980)+2,FALSE),VLOOKUP(T1980,Equivalencia!$1:$23,((MAX(Equivalencia!$3:$3)-YEAR(S1980))*14)+MONTH(S1980)+2,FALSE)))</f>
        <v>0</v>
      </c>
      <c r="W1980" s="178">
        <f t="shared" si="198"/>
        <v>0</v>
      </c>
      <c r="X1980" s="481">
        <f t="shared" si="199"/>
        <v>0</v>
      </c>
      <c r="Y1980" s="179"/>
      <c r="Z1980" s="466">
        <f t="shared" si="200"/>
        <v>0</v>
      </c>
      <c r="AA1980" s="473">
        <f t="shared" si="201"/>
        <v>0</v>
      </c>
      <c r="AB1980" s="339">
        <f t="shared" si="202"/>
        <v>0</v>
      </c>
    </row>
    <row r="1981" spans="2:28" ht="20.100000000000001" customHeight="1">
      <c r="B1981" s="172"/>
      <c r="C1981" s="174"/>
      <c r="D1981" s="181"/>
      <c r="E1981" s="173"/>
      <c r="F1981" s="176"/>
      <c r="G1981" s="175">
        <f t="shared" si="193"/>
        <v>0</v>
      </c>
      <c r="H1981" s="175">
        <f t="shared" si="194"/>
        <v>0</v>
      </c>
      <c r="I1981" s="177">
        <f>IF(G1981=0,0,IF(E1981="MXN",1/HLOOKUP(YEAR(C1981)+(MONTH(C1981)/100),TC!$5:$37,DAY(C1981)+2,FALSE),VLOOKUP(E1981,Equivalencia!$5:$23,((MAX(Equivalencia!$3:$3)-YEAR(C1981))*14)+MONTH(C1981)+2,FALSE)))</f>
        <v>0</v>
      </c>
      <c r="J1981" s="178">
        <f t="shared" si="195"/>
        <v>0</v>
      </c>
      <c r="K1981" s="462">
        <f>IF(C1981=0,0,VLOOKUP(YEAR(C1981),INPC!$B$4:$O$29,MONTH(C1981)+1))</f>
        <v>0</v>
      </c>
      <c r="L1981" s="462">
        <f>IF(S1981=0,0,VLOOKUP(YEAR(S1981),INPC!$B$4:$O$29,MONTH(S1981)+1))</f>
        <v>0</v>
      </c>
      <c r="M1981" s="463">
        <f t="shared" si="196"/>
        <v>0</v>
      </c>
      <c r="N1981" s="465">
        <f t="shared" si="197"/>
        <v>0</v>
      </c>
      <c r="O1981" s="179"/>
      <c r="P1981" s="180"/>
      <c r="Q1981" s="173"/>
      <c r="R1981" s="173"/>
      <c r="S1981" s="174"/>
      <c r="T1981" s="173"/>
      <c r="U1981" s="182"/>
      <c r="V1981" s="177">
        <f>IF(U1981=0,0,IF(T1981="MXN",1/HLOOKUP(YEAR(S1981)+(MONTH(S1981)/100),TC!$5:$37,DAY(S1981)+2,FALSE),VLOOKUP(T1981,Equivalencia!$1:$23,((MAX(Equivalencia!$3:$3)-YEAR(S1981))*14)+MONTH(S1981)+2,FALSE)))</f>
        <v>0</v>
      </c>
      <c r="W1981" s="178">
        <f t="shared" si="198"/>
        <v>0</v>
      </c>
      <c r="X1981" s="481">
        <f t="shared" si="199"/>
        <v>0</v>
      </c>
      <c r="Y1981" s="179"/>
      <c r="Z1981" s="466">
        <f t="shared" si="200"/>
        <v>0</v>
      </c>
      <c r="AA1981" s="473">
        <f t="shared" si="201"/>
        <v>0</v>
      </c>
      <c r="AB1981" s="339">
        <f t="shared" si="202"/>
        <v>0</v>
      </c>
    </row>
    <row r="1982" spans="2:28" ht="20.100000000000001" customHeight="1">
      <c r="B1982" s="172"/>
      <c r="C1982" s="174"/>
      <c r="D1982" s="181"/>
      <c r="E1982" s="173"/>
      <c r="F1982" s="176"/>
      <c r="G1982" s="175">
        <f t="shared" si="193"/>
        <v>0</v>
      </c>
      <c r="H1982" s="175">
        <f t="shared" si="194"/>
        <v>0</v>
      </c>
      <c r="I1982" s="177">
        <f>IF(G1982=0,0,IF(E1982="MXN",1/HLOOKUP(YEAR(C1982)+(MONTH(C1982)/100),TC!$5:$37,DAY(C1982)+2,FALSE),VLOOKUP(E1982,Equivalencia!$5:$23,((MAX(Equivalencia!$3:$3)-YEAR(C1982))*14)+MONTH(C1982)+2,FALSE)))</f>
        <v>0</v>
      </c>
      <c r="J1982" s="178">
        <f t="shared" si="195"/>
        <v>0</v>
      </c>
      <c r="K1982" s="462">
        <f>IF(C1982=0,0,VLOOKUP(YEAR(C1982),INPC!$B$4:$O$29,MONTH(C1982)+1))</f>
        <v>0</v>
      </c>
      <c r="L1982" s="462">
        <f>IF(S1982=0,0,VLOOKUP(YEAR(S1982),INPC!$B$4:$O$29,MONTH(S1982)+1))</f>
        <v>0</v>
      </c>
      <c r="M1982" s="463">
        <f t="shared" si="196"/>
        <v>0</v>
      </c>
      <c r="N1982" s="465">
        <f t="shared" si="197"/>
        <v>0</v>
      </c>
      <c r="O1982" s="179"/>
      <c r="P1982" s="180"/>
      <c r="Q1982" s="173"/>
      <c r="R1982" s="173"/>
      <c r="S1982" s="174"/>
      <c r="T1982" s="173"/>
      <c r="U1982" s="182"/>
      <c r="V1982" s="177">
        <f>IF(U1982=0,0,IF(T1982="MXN",1/HLOOKUP(YEAR(S1982)+(MONTH(S1982)/100),TC!$5:$37,DAY(S1982)+2,FALSE),VLOOKUP(T1982,Equivalencia!$1:$23,((MAX(Equivalencia!$3:$3)-YEAR(S1982))*14)+MONTH(S1982)+2,FALSE)))</f>
        <v>0</v>
      </c>
      <c r="W1982" s="178">
        <f t="shared" si="198"/>
        <v>0</v>
      </c>
      <c r="X1982" s="481">
        <f t="shared" si="199"/>
        <v>0</v>
      </c>
      <c r="Y1982" s="179"/>
      <c r="Z1982" s="466">
        <f t="shared" si="200"/>
        <v>0</v>
      </c>
      <c r="AA1982" s="473">
        <f t="shared" si="201"/>
        <v>0</v>
      </c>
      <c r="AB1982" s="339">
        <f t="shared" si="202"/>
        <v>0</v>
      </c>
    </row>
    <row r="1983" spans="2:28" ht="20.100000000000001" customHeight="1">
      <c r="B1983" s="172"/>
      <c r="C1983" s="174"/>
      <c r="D1983" s="181"/>
      <c r="E1983" s="173"/>
      <c r="F1983" s="176"/>
      <c r="G1983" s="175">
        <f t="shared" si="193"/>
        <v>0</v>
      </c>
      <c r="H1983" s="175">
        <f t="shared" si="194"/>
        <v>0</v>
      </c>
      <c r="I1983" s="177">
        <f>IF(G1983=0,0,IF(E1983="MXN",1/HLOOKUP(YEAR(C1983)+(MONTH(C1983)/100),TC!$5:$37,DAY(C1983)+2,FALSE),VLOOKUP(E1983,Equivalencia!$5:$23,((MAX(Equivalencia!$3:$3)-YEAR(C1983))*14)+MONTH(C1983)+2,FALSE)))</f>
        <v>0</v>
      </c>
      <c r="J1983" s="178">
        <f t="shared" si="195"/>
        <v>0</v>
      </c>
      <c r="K1983" s="462">
        <f>IF(C1983=0,0,VLOOKUP(YEAR(C1983),INPC!$B$4:$O$29,MONTH(C1983)+1))</f>
        <v>0</v>
      </c>
      <c r="L1983" s="462">
        <f>IF(S1983=0,0,VLOOKUP(YEAR(S1983),INPC!$B$4:$O$29,MONTH(S1983)+1))</f>
        <v>0</v>
      </c>
      <c r="M1983" s="463">
        <f t="shared" si="196"/>
        <v>0</v>
      </c>
      <c r="N1983" s="465">
        <f t="shared" si="197"/>
        <v>0</v>
      </c>
      <c r="O1983" s="179"/>
      <c r="P1983" s="180"/>
      <c r="Q1983" s="173"/>
      <c r="R1983" s="173"/>
      <c r="S1983" s="174"/>
      <c r="T1983" s="173"/>
      <c r="U1983" s="182"/>
      <c r="V1983" s="177">
        <f>IF(U1983=0,0,IF(T1983="MXN",1/HLOOKUP(YEAR(S1983)+(MONTH(S1983)/100),TC!$5:$37,DAY(S1983)+2,FALSE),VLOOKUP(T1983,Equivalencia!$1:$23,((MAX(Equivalencia!$3:$3)-YEAR(S1983))*14)+MONTH(S1983)+2,FALSE)))</f>
        <v>0</v>
      </c>
      <c r="W1983" s="178">
        <f t="shared" si="198"/>
        <v>0</v>
      </c>
      <c r="X1983" s="481">
        <f t="shared" si="199"/>
        <v>0</v>
      </c>
      <c r="Y1983" s="179"/>
      <c r="Z1983" s="466">
        <f t="shared" si="200"/>
        <v>0</v>
      </c>
      <c r="AA1983" s="473">
        <f t="shared" si="201"/>
        <v>0</v>
      </c>
      <c r="AB1983" s="339">
        <f t="shared" si="202"/>
        <v>0</v>
      </c>
    </row>
    <row r="1984" spans="2:28" ht="20.100000000000001" customHeight="1">
      <c r="B1984" s="172"/>
      <c r="C1984" s="174"/>
      <c r="D1984" s="181"/>
      <c r="E1984" s="173"/>
      <c r="F1984" s="176"/>
      <c r="G1984" s="175">
        <f t="shared" si="193"/>
        <v>0</v>
      </c>
      <c r="H1984" s="175">
        <f t="shared" si="194"/>
        <v>0</v>
      </c>
      <c r="I1984" s="177">
        <f>IF(G1984=0,0,IF(E1984="MXN",1/HLOOKUP(YEAR(C1984)+(MONTH(C1984)/100),TC!$5:$37,DAY(C1984)+2,FALSE),VLOOKUP(E1984,Equivalencia!$5:$23,((MAX(Equivalencia!$3:$3)-YEAR(C1984))*14)+MONTH(C1984)+2,FALSE)))</f>
        <v>0</v>
      </c>
      <c r="J1984" s="178">
        <f t="shared" si="195"/>
        <v>0</v>
      </c>
      <c r="K1984" s="462">
        <f>IF(C1984=0,0,VLOOKUP(YEAR(C1984),INPC!$B$4:$O$29,MONTH(C1984)+1))</f>
        <v>0</v>
      </c>
      <c r="L1984" s="462">
        <f>IF(S1984=0,0,VLOOKUP(YEAR(S1984),INPC!$B$4:$O$29,MONTH(S1984)+1))</f>
        <v>0</v>
      </c>
      <c r="M1984" s="463">
        <f t="shared" si="196"/>
        <v>0</v>
      </c>
      <c r="N1984" s="465">
        <f t="shared" si="197"/>
        <v>0</v>
      </c>
      <c r="O1984" s="179"/>
      <c r="P1984" s="180"/>
      <c r="Q1984" s="173"/>
      <c r="R1984" s="173"/>
      <c r="S1984" s="174"/>
      <c r="T1984" s="173"/>
      <c r="U1984" s="182"/>
      <c r="V1984" s="177">
        <f>IF(U1984=0,0,IF(T1984="MXN",1/HLOOKUP(YEAR(S1984)+(MONTH(S1984)/100),TC!$5:$37,DAY(S1984)+2,FALSE),VLOOKUP(T1984,Equivalencia!$1:$23,((MAX(Equivalencia!$3:$3)-YEAR(S1984))*14)+MONTH(S1984)+2,FALSE)))</f>
        <v>0</v>
      </c>
      <c r="W1984" s="178">
        <f t="shared" si="198"/>
        <v>0</v>
      </c>
      <c r="X1984" s="481">
        <f t="shared" si="199"/>
        <v>0</v>
      </c>
      <c r="Y1984" s="179"/>
      <c r="Z1984" s="466">
        <f t="shared" si="200"/>
        <v>0</v>
      </c>
      <c r="AA1984" s="473">
        <f t="shared" si="201"/>
        <v>0</v>
      </c>
      <c r="AB1984" s="339">
        <f t="shared" si="202"/>
        <v>0</v>
      </c>
    </row>
    <row r="1985" spans="2:28" ht="20.100000000000001" customHeight="1">
      <c r="B1985" s="172"/>
      <c r="C1985" s="174"/>
      <c r="D1985" s="181"/>
      <c r="E1985" s="173"/>
      <c r="F1985" s="176"/>
      <c r="G1985" s="175">
        <f t="shared" si="193"/>
        <v>0</v>
      </c>
      <c r="H1985" s="175">
        <f t="shared" si="194"/>
        <v>0</v>
      </c>
      <c r="I1985" s="177">
        <f>IF(G1985=0,0,IF(E1985="MXN",1/HLOOKUP(YEAR(C1985)+(MONTH(C1985)/100),TC!$5:$37,DAY(C1985)+2,FALSE),VLOOKUP(E1985,Equivalencia!$5:$23,((MAX(Equivalencia!$3:$3)-YEAR(C1985))*14)+MONTH(C1985)+2,FALSE)))</f>
        <v>0</v>
      </c>
      <c r="J1985" s="178">
        <f t="shared" si="195"/>
        <v>0</v>
      </c>
      <c r="K1985" s="462">
        <f>IF(C1985=0,0,VLOOKUP(YEAR(C1985),INPC!$B$4:$O$29,MONTH(C1985)+1))</f>
        <v>0</v>
      </c>
      <c r="L1985" s="462">
        <f>IF(S1985=0,0,VLOOKUP(YEAR(S1985),INPC!$B$4:$O$29,MONTH(S1985)+1))</f>
        <v>0</v>
      </c>
      <c r="M1985" s="463">
        <f t="shared" si="196"/>
        <v>0</v>
      </c>
      <c r="N1985" s="465">
        <f t="shared" si="197"/>
        <v>0</v>
      </c>
      <c r="O1985" s="179"/>
      <c r="P1985" s="180"/>
      <c r="Q1985" s="173"/>
      <c r="R1985" s="173"/>
      <c r="S1985" s="174"/>
      <c r="T1985" s="173"/>
      <c r="U1985" s="182"/>
      <c r="V1985" s="177">
        <f>IF(U1985=0,0,IF(T1985="MXN",1/HLOOKUP(YEAR(S1985)+(MONTH(S1985)/100),TC!$5:$37,DAY(S1985)+2,FALSE),VLOOKUP(T1985,Equivalencia!$1:$23,((MAX(Equivalencia!$3:$3)-YEAR(S1985))*14)+MONTH(S1985)+2,FALSE)))</f>
        <v>0</v>
      </c>
      <c r="W1985" s="178">
        <f t="shared" si="198"/>
        <v>0</v>
      </c>
      <c r="X1985" s="481">
        <f t="shared" si="199"/>
        <v>0</v>
      </c>
      <c r="Y1985" s="179"/>
      <c r="Z1985" s="466">
        <f t="shared" si="200"/>
        <v>0</v>
      </c>
      <c r="AA1985" s="473">
        <f t="shared" si="201"/>
        <v>0</v>
      </c>
      <c r="AB1985" s="339">
        <f t="shared" si="202"/>
        <v>0</v>
      </c>
    </row>
    <row r="1986" spans="2:28" ht="20.100000000000001" customHeight="1">
      <c r="B1986" s="172"/>
      <c r="C1986" s="174"/>
      <c r="D1986" s="181"/>
      <c r="E1986" s="173"/>
      <c r="F1986" s="176"/>
      <c r="G1986" s="175">
        <f t="shared" si="193"/>
        <v>0</v>
      </c>
      <c r="H1986" s="175">
        <f t="shared" si="194"/>
        <v>0</v>
      </c>
      <c r="I1986" s="177">
        <f>IF(G1986=0,0,IF(E1986="MXN",1/HLOOKUP(YEAR(C1986)+(MONTH(C1986)/100),TC!$5:$37,DAY(C1986)+2,FALSE),VLOOKUP(E1986,Equivalencia!$5:$23,((MAX(Equivalencia!$3:$3)-YEAR(C1986))*14)+MONTH(C1986)+2,FALSE)))</f>
        <v>0</v>
      </c>
      <c r="J1986" s="178">
        <f t="shared" si="195"/>
        <v>0</v>
      </c>
      <c r="K1986" s="462">
        <f>IF(C1986=0,0,VLOOKUP(YEAR(C1986),INPC!$B$4:$O$29,MONTH(C1986)+1))</f>
        <v>0</v>
      </c>
      <c r="L1986" s="462">
        <f>IF(S1986=0,0,VLOOKUP(YEAR(S1986),INPC!$B$4:$O$29,MONTH(S1986)+1))</f>
        <v>0</v>
      </c>
      <c r="M1986" s="463">
        <f t="shared" si="196"/>
        <v>0</v>
      </c>
      <c r="N1986" s="465">
        <f t="shared" si="197"/>
        <v>0</v>
      </c>
      <c r="O1986" s="179"/>
      <c r="P1986" s="180"/>
      <c r="Q1986" s="173"/>
      <c r="R1986" s="173"/>
      <c r="S1986" s="174"/>
      <c r="T1986" s="173"/>
      <c r="U1986" s="182"/>
      <c r="V1986" s="177">
        <f>IF(U1986=0,0,IF(T1986="MXN",1/HLOOKUP(YEAR(S1986)+(MONTH(S1986)/100),TC!$5:$37,DAY(S1986)+2,FALSE),VLOOKUP(T1986,Equivalencia!$1:$23,((MAX(Equivalencia!$3:$3)-YEAR(S1986))*14)+MONTH(S1986)+2,FALSE)))</f>
        <v>0</v>
      </c>
      <c r="W1986" s="178">
        <f t="shared" si="198"/>
        <v>0</v>
      </c>
      <c r="X1986" s="481">
        <f t="shared" si="199"/>
        <v>0</v>
      </c>
      <c r="Y1986" s="179"/>
      <c r="Z1986" s="466">
        <f t="shared" si="200"/>
        <v>0</v>
      </c>
      <c r="AA1986" s="473">
        <f t="shared" si="201"/>
        <v>0</v>
      </c>
      <c r="AB1986" s="339">
        <f t="shared" si="202"/>
        <v>0</v>
      </c>
    </row>
    <row r="1987" spans="2:28" ht="20.100000000000001" customHeight="1">
      <c r="B1987" s="172"/>
      <c r="C1987" s="174"/>
      <c r="D1987" s="181"/>
      <c r="E1987" s="173"/>
      <c r="F1987" s="176"/>
      <c r="G1987" s="175">
        <f t="shared" si="193"/>
        <v>0</v>
      </c>
      <c r="H1987" s="175">
        <f t="shared" si="194"/>
        <v>0</v>
      </c>
      <c r="I1987" s="177">
        <f>IF(G1987=0,0,IF(E1987="MXN",1/HLOOKUP(YEAR(C1987)+(MONTH(C1987)/100),TC!$5:$37,DAY(C1987)+2,FALSE),VLOOKUP(E1987,Equivalencia!$5:$23,((MAX(Equivalencia!$3:$3)-YEAR(C1987))*14)+MONTH(C1987)+2,FALSE)))</f>
        <v>0</v>
      </c>
      <c r="J1987" s="178">
        <f t="shared" si="195"/>
        <v>0</v>
      </c>
      <c r="K1987" s="462">
        <f>IF(C1987=0,0,VLOOKUP(YEAR(C1987),INPC!$B$4:$O$29,MONTH(C1987)+1))</f>
        <v>0</v>
      </c>
      <c r="L1987" s="462">
        <f>IF(S1987=0,0,VLOOKUP(YEAR(S1987),INPC!$B$4:$O$29,MONTH(S1987)+1))</f>
        <v>0</v>
      </c>
      <c r="M1987" s="463">
        <f t="shared" si="196"/>
        <v>0</v>
      </c>
      <c r="N1987" s="465">
        <f t="shared" si="197"/>
        <v>0</v>
      </c>
      <c r="O1987" s="179"/>
      <c r="P1987" s="180"/>
      <c r="Q1987" s="173"/>
      <c r="R1987" s="173"/>
      <c r="S1987" s="174"/>
      <c r="T1987" s="173"/>
      <c r="U1987" s="182"/>
      <c r="V1987" s="177">
        <f>IF(U1987=0,0,IF(T1987="MXN",1/HLOOKUP(YEAR(S1987)+(MONTH(S1987)/100),TC!$5:$37,DAY(S1987)+2,FALSE),VLOOKUP(T1987,Equivalencia!$1:$23,((MAX(Equivalencia!$3:$3)-YEAR(S1987))*14)+MONTH(S1987)+2,FALSE)))</f>
        <v>0</v>
      </c>
      <c r="W1987" s="178">
        <f t="shared" si="198"/>
        <v>0</v>
      </c>
      <c r="X1987" s="481">
        <f t="shared" si="199"/>
        <v>0</v>
      </c>
      <c r="Y1987" s="179"/>
      <c r="Z1987" s="466">
        <f t="shared" si="200"/>
        <v>0</v>
      </c>
      <c r="AA1987" s="473">
        <f t="shared" si="201"/>
        <v>0</v>
      </c>
      <c r="AB1987" s="339">
        <f t="shared" si="202"/>
        <v>0</v>
      </c>
    </row>
    <row r="1988" spans="2:28" ht="20.100000000000001" customHeight="1">
      <c r="B1988" s="172"/>
      <c r="C1988" s="174"/>
      <c r="D1988" s="181"/>
      <c r="E1988" s="173"/>
      <c r="F1988" s="176"/>
      <c r="G1988" s="175">
        <f t="shared" si="193"/>
        <v>0</v>
      </c>
      <c r="H1988" s="175">
        <f t="shared" si="194"/>
        <v>0</v>
      </c>
      <c r="I1988" s="177">
        <f>IF(G1988=0,0,IF(E1988="MXN",1/HLOOKUP(YEAR(C1988)+(MONTH(C1988)/100),TC!$5:$37,DAY(C1988)+2,FALSE),VLOOKUP(E1988,Equivalencia!$5:$23,((MAX(Equivalencia!$3:$3)-YEAR(C1988))*14)+MONTH(C1988)+2,FALSE)))</f>
        <v>0</v>
      </c>
      <c r="J1988" s="178">
        <f t="shared" si="195"/>
        <v>0</v>
      </c>
      <c r="K1988" s="462">
        <f>IF(C1988=0,0,VLOOKUP(YEAR(C1988),INPC!$B$4:$O$29,MONTH(C1988)+1))</f>
        <v>0</v>
      </c>
      <c r="L1988" s="462">
        <f>IF(S1988=0,0,VLOOKUP(YEAR(S1988),INPC!$B$4:$O$29,MONTH(S1988)+1))</f>
        <v>0</v>
      </c>
      <c r="M1988" s="463">
        <f t="shared" si="196"/>
        <v>0</v>
      </c>
      <c r="N1988" s="465">
        <f t="shared" si="197"/>
        <v>0</v>
      </c>
      <c r="O1988" s="179"/>
      <c r="P1988" s="180"/>
      <c r="Q1988" s="173"/>
      <c r="R1988" s="173"/>
      <c r="S1988" s="174"/>
      <c r="T1988" s="173"/>
      <c r="U1988" s="182"/>
      <c r="V1988" s="177">
        <f>IF(U1988=0,0,IF(T1988="MXN",1/HLOOKUP(YEAR(S1988)+(MONTH(S1988)/100),TC!$5:$37,DAY(S1988)+2,FALSE),VLOOKUP(T1988,Equivalencia!$1:$23,((MAX(Equivalencia!$3:$3)-YEAR(S1988))*14)+MONTH(S1988)+2,FALSE)))</f>
        <v>0</v>
      </c>
      <c r="W1988" s="178">
        <f t="shared" si="198"/>
        <v>0</v>
      </c>
      <c r="X1988" s="481">
        <f t="shared" si="199"/>
        <v>0</v>
      </c>
      <c r="Y1988" s="179"/>
      <c r="Z1988" s="466">
        <f t="shared" si="200"/>
        <v>0</v>
      </c>
      <c r="AA1988" s="473">
        <f t="shared" si="201"/>
        <v>0</v>
      </c>
      <c r="AB1988" s="339">
        <f t="shared" si="202"/>
        <v>0</v>
      </c>
    </row>
    <row r="1989" spans="2:28" ht="20.100000000000001" customHeight="1">
      <c r="B1989" s="172"/>
      <c r="C1989" s="174"/>
      <c r="D1989" s="181"/>
      <c r="E1989" s="173"/>
      <c r="F1989" s="176"/>
      <c r="G1989" s="175">
        <f t="shared" si="193"/>
        <v>0</v>
      </c>
      <c r="H1989" s="175">
        <f t="shared" si="194"/>
        <v>0</v>
      </c>
      <c r="I1989" s="177">
        <f>IF(G1989=0,0,IF(E1989="MXN",1/HLOOKUP(YEAR(C1989)+(MONTH(C1989)/100),TC!$5:$37,DAY(C1989)+2,FALSE),VLOOKUP(E1989,Equivalencia!$5:$23,((MAX(Equivalencia!$3:$3)-YEAR(C1989))*14)+MONTH(C1989)+2,FALSE)))</f>
        <v>0</v>
      </c>
      <c r="J1989" s="178">
        <f t="shared" si="195"/>
        <v>0</v>
      </c>
      <c r="K1989" s="462">
        <f>IF(C1989=0,0,VLOOKUP(YEAR(C1989),INPC!$B$4:$O$29,MONTH(C1989)+1))</f>
        <v>0</v>
      </c>
      <c r="L1989" s="462">
        <f>IF(S1989=0,0,VLOOKUP(YEAR(S1989),INPC!$B$4:$O$29,MONTH(S1989)+1))</f>
        <v>0</v>
      </c>
      <c r="M1989" s="463">
        <f t="shared" si="196"/>
        <v>0</v>
      </c>
      <c r="N1989" s="465">
        <f t="shared" si="197"/>
        <v>0</v>
      </c>
      <c r="O1989" s="179"/>
      <c r="P1989" s="180"/>
      <c r="Q1989" s="173"/>
      <c r="R1989" s="173"/>
      <c r="S1989" s="174"/>
      <c r="T1989" s="173"/>
      <c r="U1989" s="182"/>
      <c r="V1989" s="177">
        <f>IF(U1989=0,0,IF(T1989="MXN",1/HLOOKUP(YEAR(S1989)+(MONTH(S1989)/100),TC!$5:$37,DAY(S1989)+2,FALSE),VLOOKUP(T1989,Equivalencia!$1:$23,((MAX(Equivalencia!$3:$3)-YEAR(S1989))*14)+MONTH(S1989)+2,FALSE)))</f>
        <v>0</v>
      </c>
      <c r="W1989" s="178">
        <f t="shared" si="198"/>
        <v>0</v>
      </c>
      <c r="X1989" s="481">
        <f t="shared" si="199"/>
        <v>0</v>
      </c>
      <c r="Y1989" s="179"/>
      <c r="Z1989" s="466">
        <f t="shared" si="200"/>
        <v>0</v>
      </c>
      <c r="AA1989" s="473">
        <f t="shared" si="201"/>
        <v>0</v>
      </c>
      <c r="AB1989" s="339">
        <f t="shared" si="202"/>
        <v>0</v>
      </c>
    </row>
    <row r="1990" spans="2:28" ht="20.100000000000001" customHeight="1">
      <c r="B1990" s="172"/>
      <c r="C1990" s="174"/>
      <c r="D1990" s="181"/>
      <c r="E1990" s="173"/>
      <c r="F1990" s="176"/>
      <c r="G1990" s="175">
        <f t="shared" si="193"/>
        <v>0</v>
      </c>
      <c r="H1990" s="175">
        <f t="shared" si="194"/>
        <v>0</v>
      </c>
      <c r="I1990" s="177">
        <f>IF(G1990=0,0,IF(E1990="MXN",1/HLOOKUP(YEAR(C1990)+(MONTH(C1990)/100),TC!$5:$37,DAY(C1990)+2,FALSE),VLOOKUP(E1990,Equivalencia!$5:$23,((MAX(Equivalencia!$3:$3)-YEAR(C1990))*14)+MONTH(C1990)+2,FALSE)))</f>
        <v>0</v>
      </c>
      <c r="J1990" s="178">
        <f t="shared" si="195"/>
        <v>0</v>
      </c>
      <c r="K1990" s="462">
        <f>IF(C1990=0,0,VLOOKUP(YEAR(C1990),INPC!$B$4:$O$29,MONTH(C1990)+1))</f>
        <v>0</v>
      </c>
      <c r="L1990" s="462">
        <f>IF(S1990=0,0,VLOOKUP(YEAR(S1990),INPC!$B$4:$O$29,MONTH(S1990)+1))</f>
        <v>0</v>
      </c>
      <c r="M1990" s="463">
        <f t="shared" si="196"/>
        <v>0</v>
      </c>
      <c r="N1990" s="465">
        <f t="shared" si="197"/>
        <v>0</v>
      </c>
      <c r="O1990" s="179"/>
      <c r="P1990" s="180"/>
      <c r="Q1990" s="173"/>
      <c r="R1990" s="173"/>
      <c r="S1990" s="174"/>
      <c r="T1990" s="173"/>
      <c r="U1990" s="182"/>
      <c r="V1990" s="177">
        <f>IF(U1990=0,0,IF(T1990="MXN",1/HLOOKUP(YEAR(S1990)+(MONTH(S1990)/100),TC!$5:$37,DAY(S1990)+2,FALSE),VLOOKUP(T1990,Equivalencia!$1:$23,((MAX(Equivalencia!$3:$3)-YEAR(S1990))*14)+MONTH(S1990)+2,FALSE)))</f>
        <v>0</v>
      </c>
      <c r="W1990" s="178">
        <f t="shared" si="198"/>
        <v>0</v>
      </c>
      <c r="X1990" s="481">
        <f t="shared" si="199"/>
        <v>0</v>
      </c>
      <c r="Y1990" s="179"/>
      <c r="Z1990" s="466">
        <f t="shared" si="200"/>
        <v>0</v>
      </c>
      <c r="AA1990" s="473">
        <f t="shared" si="201"/>
        <v>0</v>
      </c>
      <c r="AB1990" s="339">
        <f t="shared" si="202"/>
        <v>0</v>
      </c>
    </row>
    <row r="1991" spans="2:28" ht="20.100000000000001" customHeight="1">
      <c r="B1991" s="172"/>
      <c r="C1991" s="174"/>
      <c r="D1991" s="181"/>
      <c r="E1991" s="173"/>
      <c r="F1991" s="176"/>
      <c r="G1991" s="175">
        <f t="shared" si="193"/>
        <v>0</v>
      </c>
      <c r="H1991" s="175">
        <f t="shared" si="194"/>
        <v>0</v>
      </c>
      <c r="I1991" s="177">
        <f>IF(G1991=0,0,IF(E1991="MXN",1/HLOOKUP(YEAR(C1991)+(MONTH(C1991)/100),TC!$5:$37,DAY(C1991)+2,FALSE),VLOOKUP(E1991,Equivalencia!$5:$23,((MAX(Equivalencia!$3:$3)-YEAR(C1991))*14)+MONTH(C1991)+2,FALSE)))</f>
        <v>0</v>
      </c>
      <c r="J1991" s="178">
        <f t="shared" si="195"/>
        <v>0</v>
      </c>
      <c r="K1991" s="462">
        <f>IF(C1991=0,0,VLOOKUP(YEAR(C1991),INPC!$B$4:$O$29,MONTH(C1991)+1))</f>
        <v>0</v>
      </c>
      <c r="L1991" s="462">
        <f>IF(S1991=0,0,VLOOKUP(YEAR(S1991),INPC!$B$4:$O$29,MONTH(S1991)+1))</f>
        <v>0</v>
      </c>
      <c r="M1991" s="463">
        <f t="shared" si="196"/>
        <v>0</v>
      </c>
      <c r="N1991" s="465">
        <f t="shared" si="197"/>
        <v>0</v>
      </c>
      <c r="O1991" s="179"/>
      <c r="P1991" s="180"/>
      <c r="Q1991" s="173"/>
      <c r="R1991" s="173"/>
      <c r="S1991" s="174"/>
      <c r="T1991" s="173"/>
      <c r="U1991" s="182"/>
      <c r="V1991" s="177">
        <f>IF(U1991=0,0,IF(T1991="MXN",1/HLOOKUP(YEAR(S1991)+(MONTH(S1991)/100),TC!$5:$37,DAY(S1991)+2,FALSE),VLOOKUP(T1991,Equivalencia!$1:$23,((MAX(Equivalencia!$3:$3)-YEAR(S1991))*14)+MONTH(S1991)+2,FALSE)))</f>
        <v>0</v>
      </c>
      <c r="W1991" s="178">
        <f t="shared" si="198"/>
        <v>0</v>
      </c>
      <c r="X1991" s="481">
        <f t="shared" si="199"/>
        <v>0</v>
      </c>
      <c r="Y1991" s="179"/>
      <c r="Z1991" s="466">
        <f t="shared" si="200"/>
        <v>0</v>
      </c>
      <c r="AA1991" s="473">
        <f t="shared" si="201"/>
        <v>0</v>
      </c>
      <c r="AB1991" s="339">
        <f t="shared" si="202"/>
        <v>0</v>
      </c>
    </row>
    <row r="1992" spans="2:28" ht="20.100000000000001" customHeight="1">
      <c r="B1992" s="172"/>
      <c r="C1992" s="174"/>
      <c r="D1992" s="181"/>
      <c r="E1992" s="173"/>
      <c r="F1992" s="176"/>
      <c r="G1992" s="175">
        <f t="shared" si="193"/>
        <v>0</v>
      </c>
      <c r="H1992" s="175">
        <f t="shared" si="194"/>
        <v>0</v>
      </c>
      <c r="I1992" s="177">
        <f>IF(G1992=0,0,IF(E1992="MXN",1/HLOOKUP(YEAR(C1992)+(MONTH(C1992)/100),TC!$5:$37,DAY(C1992)+2,FALSE),VLOOKUP(E1992,Equivalencia!$5:$23,((MAX(Equivalencia!$3:$3)-YEAR(C1992))*14)+MONTH(C1992)+2,FALSE)))</f>
        <v>0</v>
      </c>
      <c r="J1992" s="178">
        <f t="shared" si="195"/>
        <v>0</v>
      </c>
      <c r="K1992" s="462">
        <f>IF(C1992=0,0,VLOOKUP(YEAR(C1992),INPC!$B$4:$O$29,MONTH(C1992)+1))</f>
        <v>0</v>
      </c>
      <c r="L1992" s="462">
        <f>IF(S1992=0,0,VLOOKUP(YEAR(S1992),INPC!$B$4:$O$29,MONTH(S1992)+1))</f>
        <v>0</v>
      </c>
      <c r="M1992" s="463">
        <f t="shared" si="196"/>
        <v>0</v>
      </c>
      <c r="N1992" s="465">
        <f t="shared" si="197"/>
        <v>0</v>
      </c>
      <c r="O1992" s="179"/>
      <c r="P1992" s="180"/>
      <c r="Q1992" s="173"/>
      <c r="R1992" s="173"/>
      <c r="S1992" s="174"/>
      <c r="T1992" s="173"/>
      <c r="U1992" s="182"/>
      <c r="V1992" s="177">
        <f>IF(U1992=0,0,IF(T1992="MXN",1/HLOOKUP(YEAR(S1992)+(MONTH(S1992)/100),TC!$5:$37,DAY(S1992)+2,FALSE),VLOOKUP(T1992,Equivalencia!$1:$23,((MAX(Equivalencia!$3:$3)-YEAR(S1992))*14)+MONTH(S1992)+2,FALSE)))</f>
        <v>0</v>
      </c>
      <c r="W1992" s="178">
        <f t="shared" si="198"/>
        <v>0</v>
      </c>
      <c r="X1992" s="481">
        <f t="shared" si="199"/>
        <v>0</v>
      </c>
      <c r="Y1992" s="179"/>
      <c r="Z1992" s="466">
        <f t="shared" si="200"/>
        <v>0</v>
      </c>
      <c r="AA1992" s="473">
        <f t="shared" si="201"/>
        <v>0</v>
      </c>
      <c r="AB1992" s="339">
        <f t="shared" si="202"/>
        <v>0</v>
      </c>
    </row>
    <row r="1993" spans="2:28" ht="20.100000000000001" customHeight="1">
      <c r="B1993" s="172"/>
      <c r="C1993" s="174"/>
      <c r="D1993" s="181"/>
      <c r="E1993" s="173"/>
      <c r="F1993" s="176"/>
      <c r="G1993" s="175">
        <f t="shared" si="193"/>
        <v>0</v>
      </c>
      <c r="H1993" s="175">
        <f t="shared" si="194"/>
        <v>0</v>
      </c>
      <c r="I1993" s="177">
        <f>IF(G1993=0,0,IF(E1993="MXN",1/HLOOKUP(YEAR(C1993)+(MONTH(C1993)/100),TC!$5:$37,DAY(C1993)+2,FALSE),VLOOKUP(E1993,Equivalencia!$5:$23,((MAX(Equivalencia!$3:$3)-YEAR(C1993))*14)+MONTH(C1993)+2,FALSE)))</f>
        <v>0</v>
      </c>
      <c r="J1993" s="178">
        <f t="shared" si="195"/>
        <v>0</v>
      </c>
      <c r="K1993" s="462">
        <f>IF(C1993=0,0,VLOOKUP(YEAR(C1993),INPC!$B$4:$O$29,MONTH(C1993)+1))</f>
        <v>0</v>
      </c>
      <c r="L1993" s="462">
        <f>IF(S1993=0,0,VLOOKUP(YEAR(S1993),INPC!$B$4:$O$29,MONTH(S1993)+1))</f>
        <v>0</v>
      </c>
      <c r="M1993" s="463">
        <f t="shared" si="196"/>
        <v>0</v>
      </c>
      <c r="N1993" s="465">
        <f t="shared" si="197"/>
        <v>0</v>
      </c>
      <c r="O1993" s="179"/>
      <c r="P1993" s="180"/>
      <c r="Q1993" s="173"/>
      <c r="R1993" s="173"/>
      <c r="S1993" s="174"/>
      <c r="T1993" s="173"/>
      <c r="U1993" s="182"/>
      <c r="V1993" s="177">
        <f>IF(U1993=0,0,IF(T1993="MXN",1/HLOOKUP(YEAR(S1993)+(MONTH(S1993)/100),TC!$5:$37,DAY(S1993)+2,FALSE),VLOOKUP(T1993,Equivalencia!$1:$23,((MAX(Equivalencia!$3:$3)-YEAR(S1993))*14)+MONTH(S1993)+2,FALSE)))</f>
        <v>0</v>
      </c>
      <c r="W1993" s="178">
        <f t="shared" si="198"/>
        <v>0</v>
      </c>
      <c r="X1993" s="481">
        <f t="shared" si="199"/>
        <v>0</v>
      </c>
      <c r="Y1993" s="179"/>
      <c r="Z1993" s="466">
        <f t="shared" si="200"/>
        <v>0</v>
      </c>
      <c r="AA1993" s="473">
        <f t="shared" si="201"/>
        <v>0</v>
      </c>
      <c r="AB1993" s="339">
        <f t="shared" si="202"/>
        <v>0</v>
      </c>
    </row>
    <row r="1994" spans="2:28" ht="20.100000000000001" customHeight="1">
      <c r="B1994" s="172"/>
      <c r="C1994" s="174"/>
      <c r="D1994" s="181"/>
      <c r="E1994" s="173"/>
      <c r="F1994" s="176"/>
      <c r="G1994" s="175">
        <f t="shared" si="193"/>
        <v>0</v>
      </c>
      <c r="H1994" s="175">
        <f t="shared" si="194"/>
        <v>0</v>
      </c>
      <c r="I1994" s="177">
        <f>IF(G1994=0,0,IF(E1994="MXN",1/HLOOKUP(YEAR(C1994)+(MONTH(C1994)/100),TC!$5:$37,DAY(C1994)+2,FALSE),VLOOKUP(E1994,Equivalencia!$5:$23,((MAX(Equivalencia!$3:$3)-YEAR(C1994))*14)+MONTH(C1994)+2,FALSE)))</f>
        <v>0</v>
      </c>
      <c r="J1994" s="178">
        <f t="shared" si="195"/>
        <v>0</v>
      </c>
      <c r="K1994" s="462">
        <f>IF(C1994=0,0,VLOOKUP(YEAR(C1994),INPC!$B$4:$O$29,MONTH(C1994)+1))</f>
        <v>0</v>
      </c>
      <c r="L1994" s="462">
        <f>IF(S1994=0,0,VLOOKUP(YEAR(S1994),INPC!$B$4:$O$29,MONTH(S1994)+1))</f>
        <v>0</v>
      </c>
      <c r="M1994" s="463">
        <f t="shared" si="196"/>
        <v>0</v>
      </c>
      <c r="N1994" s="465">
        <f t="shared" si="197"/>
        <v>0</v>
      </c>
      <c r="O1994" s="179"/>
      <c r="P1994" s="180"/>
      <c r="Q1994" s="173"/>
      <c r="R1994" s="173"/>
      <c r="S1994" s="174"/>
      <c r="T1994" s="173"/>
      <c r="U1994" s="182"/>
      <c r="V1994" s="177">
        <f>IF(U1994=0,0,IF(T1994="MXN",1/HLOOKUP(YEAR(S1994)+(MONTH(S1994)/100),TC!$5:$37,DAY(S1994)+2,FALSE),VLOOKUP(T1994,Equivalencia!$1:$23,((MAX(Equivalencia!$3:$3)-YEAR(S1994))*14)+MONTH(S1994)+2,FALSE)))</f>
        <v>0</v>
      </c>
      <c r="W1994" s="178">
        <f t="shared" si="198"/>
        <v>0</v>
      </c>
      <c r="X1994" s="481">
        <f t="shared" si="199"/>
        <v>0</v>
      </c>
      <c r="Y1994" s="179"/>
      <c r="Z1994" s="466">
        <f t="shared" si="200"/>
        <v>0</v>
      </c>
      <c r="AA1994" s="473">
        <f t="shared" si="201"/>
        <v>0</v>
      </c>
      <c r="AB1994" s="339">
        <f t="shared" si="202"/>
        <v>0</v>
      </c>
    </row>
    <row r="1995" spans="2:28" ht="20.100000000000001" customHeight="1">
      <c r="B1995" s="172"/>
      <c r="C1995" s="174"/>
      <c r="D1995" s="181"/>
      <c r="E1995" s="173"/>
      <c r="F1995" s="176"/>
      <c r="G1995" s="175">
        <f t="shared" si="193"/>
        <v>0</v>
      </c>
      <c r="H1995" s="175">
        <f t="shared" si="194"/>
        <v>0</v>
      </c>
      <c r="I1995" s="177">
        <f>IF(G1995=0,0,IF(E1995="MXN",1/HLOOKUP(YEAR(C1995)+(MONTH(C1995)/100),TC!$5:$37,DAY(C1995)+2,FALSE),VLOOKUP(E1995,Equivalencia!$5:$23,((MAX(Equivalencia!$3:$3)-YEAR(C1995))*14)+MONTH(C1995)+2,FALSE)))</f>
        <v>0</v>
      </c>
      <c r="J1995" s="178">
        <f t="shared" si="195"/>
        <v>0</v>
      </c>
      <c r="K1995" s="462">
        <f>IF(C1995=0,0,VLOOKUP(YEAR(C1995),INPC!$B$4:$O$29,MONTH(C1995)+1))</f>
        <v>0</v>
      </c>
      <c r="L1995" s="462">
        <f>IF(S1995=0,0,VLOOKUP(YEAR(S1995),INPC!$B$4:$O$29,MONTH(S1995)+1))</f>
        <v>0</v>
      </c>
      <c r="M1995" s="463">
        <f t="shared" si="196"/>
        <v>0</v>
      </c>
      <c r="N1995" s="465">
        <f t="shared" si="197"/>
        <v>0</v>
      </c>
      <c r="O1995" s="179"/>
      <c r="P1995" s="180"/>
      <c r="Q1995" s="173"/>
      <c r="R1995" s="173"/>
      <c r="S1995" s="174"/>
      <c r="T1995" s="173"/>
      <c r="U1995" s="182"/>
      <c r="V1995" s="177">
        <f>IF(U1995=0,0,IF(T1995="MXN",1/HLOOKUP(YEAR(S1995)+(MONTH(S1995)/100),TC!$5:$37,DAY(S1995)+2,FALSE),VLOOKUP(T1995,Equivalencia!$1:$23,((MAX(Equivalencia!$3:$3)-YEAR(S1995))*14)+MONTH(S1995)+2,FALSE)))</f>
        <v>0</v>
      </c>
      <c r="W1995" s="178">
        <f t="shared" si="198"/>
        <v>0</v>
      </c>
      <c r="X1995" s="481">
        <f t="shared" si="199"/>
        <v>0</v>
      </c>
      <c r="Y1995" s="179"/>
      <c r="Z1995" s="466">
        <f t="shared" si="200"/>
        <v>0</v>
      </c>
      <c r="AA1995" s="473">
        <f t="shared" si="201"/>
        <v>0</v>
      </c>
      <c r="AB1995" s="339">
        <f t="shared" si="202"/>
        <v>0</v>
      </c>
    </row>
    <row r="1996" spans="2:28" ht="20.100000000000001" customHeight="1">
      <c r="B1996" s="172"/>
      <c r="C1996" s="174"/>
      <c r="D1996" s="181"/>
      <c r="E1996" s="173"/>
      <c r="F1996" s="176"/>
      <c r="G1996" s="175">
        <f t="shared" si="193"/>
        <v>0</v>
      </c>
      <c r="H1996" s="175">
        <f t="shared" si="194"/>
        <v>0</v>
      </c>
      <c r="I1996" s="177">
        <f>IF(G1996=0,0,IF(E1996="MXN",1/HLOOKUP(YEAR(C1996)+(MONTH(C1996)/100),TC!$5:$37,DAY(C1996)+2,FALSE),VLOOKUP(E1996,Equivalencia!$5:$23,((MAX(Equivalencia!$3:$3)-YEAR(C1996))*14)+MONTH(C1996)+2,FALSE)))</f>
        <v>0</v>
      </c>
      <c r="J1996" s="178">
        <f t="shared" si="195"/>
        <v>0</v>
      </c>
      <c r="K1996" s="462">
        <f>IF(C1996=0,0,VLOOKUP(YEAR(C1996),INPC!$B$4:$O$29,MONTH(C1996)+1))</f>
        <v>0</v>
      </c>
      <c r="L1996" s="462">
        <f>IF(S1996=0,0,VLOOKUP(YEAR(S1996),INPC!$B$4:$O$29,MONTH(S1996)+1))</f>
        <v>0</v>
      </c>
      <c r="M1996" s="463">
        <f t="shared" si="196"/>
        <v>0</v>
      </c>
      <c r="N1996" s="465">
        <f t="shared" si="197"/>
        <v>0</v>
      </c>
      <c r="O1996" s="179"/>
      <c r="P1996" s="180"/>
      <c r="Q1996" s="173"/>
      <c r="R1996" s="173"/>
      <c r="S1996" s="174"/>
      <c r="T1996" s="173"/>
      <c r="U1996" s="182"/>
      <c r="V1996" s="177">
        <f>IF(U1996=0,0,IF(T1996="MXN",1/HLOOKUP(YEAR(S1996)+(MONTH(S1996)/100),TC!$5:$37,DAY(S1996)+2,FALSE),VLOOKUP(T1996,Equivalencia!$1:$23,((MAX(Equivalencia!$3:$3)-YEAR(S1996))*14)+MONTH(S1996)+2,FALSE)))</f>
        <v>0</v>
      </c>
      <c r="W1996" s="178">
        <f t="shared" si="198"/>
        <v>0</v>
      </c>
      <c r="X1996" s="481">
        <f t="shared" si="199"/>
        <v>0</v>
      </c>
      <c r="Y1996" s="179"/>
      <c r="Z1996" s="466">
        <f t="shared" si="200"/>
        <v>0</v>
      </c>
      <c r="AA1996" s="473">
        <f t="shared" si="201"/>
        <v>0</v>
      </c>
      <c r="AB1996" s="339">
        <f t="shared" si="202"/>
        <v>0</v>
      </c>
    </row>
    <row r="1997" spans="2:28" ht="20.100000000000001" customHeight="1">
      <c r="B1997" s="172"/>
      <c r="C1997" s="174"/>
      <c r="D1997" s="181"/>
      <c r="E1997" s="173"/>
      <c r="F1997" s="176"/>
      <c r="G1997" s="175">
        <f t="shared" si="193"/>
        <v>0</v>
      </c>
      <c r="H1997" s="175">
        <f t="shared" si="194"/>
        <v>0</v>
      </c>
      <c r="I1997" s="177">
        <f>IF(G1997=0,0,IF(E1997="MXN",1/HLOOKUP(YEAR(C1997)+(MONTH(C1997)/100),TC!$5:$37,DAY(C1997)+2,FALSE),VLOOKUP(E1997,Equivalencia!$5:$23,((MAX(Equivalencia!$3:$3)-YEAR(C1997))*14)+MONTH(C1997)+2,FALSE)))</f>
        <v>0</v>
      </c>
      <c r="J1997" s="178">
        <f t="shared" si="195"/>
        <v>0</v>
      </c>
      <c r="K1997" s="462">
        <f>IF(C1997=0,0,VLOOKUP(YEAR(C1997),INPC!$B$4:$O$29,MONTH(C1997)+1))</f>
        <v>0</v>
      </c>
      <c r="L1997" s="462">
        <f>IF(S1997=0,0,VLOOKUP(YEAR(S1997),INPC!$B$4:$O$29,MONTH(S1997)+1))</f>
        <v>0</v>
      </c>
      <c r="M1997" s="463">
        <f t="shared" si="196"/>
        <v>0</v>
      </c>
      <c r="N1997" s="465">
        <f t="shared" si="197"/>
        <v>0</v>
      </c>
      <c r="O1997" s="179"/>
      <c r="P1997" s="180"/>
      <c r="Q1997" s="173"/>
      <c r="R1997" s="173"/>
      <c r="S1997" s="174"/>
      <c r="T1997" s="173"/>
      <c r="U1997" s="182"/>
      <c r="V1997" s="177">
        <f>IF(U1997=0,0,IF(T1997="MXN",1/HLOOKUP(YEAR(S1997)+(MONTH(S1997)/100),TC!$5:$37,DAY(S1997)+2,FALSE),VLOOKUP(T1997,Equivalencia!$1:$23,((MAX(Equivalencia!$3:$3)-YEAR(S1997))*14)+MONTH(S1997)+2,FALSE)))</f>
        <v>0</v>
      </c>
      <c r="W1997" s="178">
        <f t="shared" si="198"/>
        <v>0</v>
      </c>
      <c r="X1997" s="481">
        <f t="shared" si="199"/>
        <v>0</v>
      </c>
      <c r="Y1997" s="179"/>
      <c r="Z1997" s="466">
        <f t="shared" si="200"/>
        <v>0</v>
      </c>
      <c r="AA1997" s="473">
        <f t="shared" si="201"/>
        <v>0</v>
      </c>
      <c r="AB1997" s="339">
        <f t="shared" si="202"/>
        <v>0</v>
      </c>
    </row>
    <row r="1998" spans="2:28" ht="20.100000000000001" customHeight="1">
      <c r="B1998" s="172"/>
      <c r="C1998" s="174"/>
      <c r="D1998" s="181"/>
      <c r="E1998" s="173"/>
      <c r="F1998" s="176"/>
      <c r="G1998" s="175">
        <f t="shared" si="193"/>
        <v>0</v>
      </c>
      <c r="H1998" s="175">
        <f t="shared" si="194"/>
        <v>0</v>
      </c>
      <c r="I1998" s="177">
        <f>IF(G1998=0,0,IF(E1998="MXN",1/HLOOKUP(YEAR(C1998)+(MONTH(C1998)/100),TC!$5:$37,DAY(C1998)+2,FALSE),VLOOKUP(E1998,Equivalencia!$5:$23,((MAX(Equivalencia!$3:$3)-YEAR(C1998))*14)+MONTH(C1998)+2,FALSE)))</f>
        <v>0</v>
      </c>
      <c r="J1998" s="178">
        <f t="shared" si="195"/>
        <v>0</v>
      </c>
      <c r="K1998" s="462">
        <f>IF(C1998=0,0,VLOOKUP(YEAR(C1998),INPC!$B$4:$O$29,MONTH(C1998)+1))</f>
        <v>0</v>
      </c>
      <c r="L1998" s="462">
        <f>IF(S1998=0,0,VLOOKUP(YEAR(S1998),INPC!$B$4:$O$29,MONTH(S1998)+1))</f>
        <v>0</v>
      </c>
      <c r="M1998" s="463">
        <f t="shared" si="196"/>
        <v>0</v>
      </c>
      <c r="N1998" s="465">
        <f t="shared" si="197"/>
        <v>0</v>
      </c>
      <c r="O1998" s="179"/>
      <c r="P1998" s="180"/>
      <c r="Q1998" s="173"/>
      <c r="R1998" s="173"/>
      <c r="S1998" s="174"/>
      <c r="T1998" s="173"/>
      <c r="U1998" s="182"/>
      <c r="V1998" s="177">
        <f>IF(U1998=0,0,IF(T1998="MXN",1/HLOOKUP(YEAR(S1998)+(MONTH(S1998)/100),TC!$5:$37,DAY(S1998)+2,FALSE),VLOOKUP(T1998,Equivalencia!$1:$23,((MAX(Equivalencia!$3:$3)-YEAR(S1998))*14)+MONTH(S1998)+2,FALSE)))</f>
        <v>0</v>
      </c>
      <c r="W1998" s="178">
        <f t="shared" si="198"/>
        <v>0</v>
      </c>
      <c r="X1998" s="481">
        <f t="shared" si="199"/>
        <v>0</v>
      </c>
      <c r="Y1998" s="179"/>
      <c r="Z1998" s="466">
        <f t="shared" si="200"/>
        <v>0</v>
      </c>
      <c r="AA1998" s="473">
        <f t="shared" si="201"/>
        <v>0</v>
      </c>
      <c r="AB1998" s="339">
        <f t="shared" si="202"/>
        <v>0</v>
      </c>
    </row>
    <row r="1999" spans="2:28" ht="20.100000000000001" customHeight="1">
      <c r="B1999" s="172"/>
      <c r="C1999" s="174"/>
      <c r="D1999" s="181"/>
      <c r="E1999" s="173"/>
      <c r="F1999" s="176"/>
      <c r="G1999" s="175">
        <f t="shared" si="193"/>
        <v>0</v>
      </c>
      <c r="H1999" s="175">
        <f t="shared" si="194"/>
        <v>0</v>
      </c>
      <c r="I1999" s="177">
        <f>IF(G1999=0,0,IF(E1999="MXN",1/HLOOKUP(YEAR(C1999)+(MONTH(C1999)/100),TC!$5:$37,DAY(C1999)+2,FALSE),VLOOKUP(E1999,Equivalencia!$5:$23,((MAX(Equivalencia!$3:$3)-YEAR(C1999))*14)+MONTH(C1999)+2,FALSE)))</f>
        <v>0</v>
      </c>
      <c r="J1999" s="178">
        <f t="shared" si="195"/>
        <v>0</v>
      </c>
      <c r="K1999" s="462">
        <f>IF(C1999=0,0,VLOOKUP(YEAR(C1999),INPC!$B$4:$O$29,MONTH(C1999)+1))</f>
        <v>0</v>
      </c>
      <c r="L1999" s="462">
        <f>IF(S1999=0,0,VLOOKUP(YEAR(S1999),INPC!$B$4:$O$29,MONTH(S1999)+1))</f>
        <v>0</v>
      </c>
      <c r="M1999" s="463">
        <f t="shared" si="196"/>
        <v>0</v>
      </c>
      <c r="N1999" s="465">
        <f t="shared" si="197"/>
        <v>0</v>
      </c>
      <c r="O1999" s="179"/>
      <c r="P1999" s="180"/>
      <c r="Q1999" s="173"/>
      <c r="R1999" s="173"/>
      <c r="S1999" s="174"/>
      <c r="T1999" s="173"/>
      <c r="U1999" s="182"/>
      <c r="V1999" s="177">
        <f>IF(U1999=0,0,IF(T1999="MXN",1/HLOOKUP(YEAR(S1999)+(MONTH(S1999)/100),TC!$5:$37,DAY(S1999)+2,FALSE),VLOOKUP(T1999,Equivalencia!$1:$23,((MAX(Equivalencia!$3:$3)-YEAR(S1999))*14)+MONTH(S1999)+2,FALSE)))</f>
        <v>0</v>
      </c>
      <c r="W1999" s="178">
        <f t="shared" si="198"/>
        <v>0</v>
      </c>
      <c r="X1999" s="481">
        <f t="shared" si="199"/>
        <v>0</v>
      </c>
      <c r="Y1999" s="179"/>
      <c r="Z1999" s="466">
        <f t="shared" si="200"/>
        <v>0</v>
      </c>
      <c r="AA1999" s="473">
        <f t="shared" si="201"/>
        <v>0</v>
      </c>
      <c r="AB1999" s="339">
        <f t="shared" si="202"/>
        <v>0</v>
      </c>
    </row>
    <row r="2000" spans="2:28" ht="20.100000000000001" customHeight="1">
      <c r="B2000" s="172"/>
      <c r="C2000" s="174"/>
      <c r="D2000" s="181"/>
      <c r="E2000" s="173"/>
      <c r="F2000" s="176"/>
      <c r="G2000" s="175">
        <f t="shared" si="193"/>
        <v>0</v>
      </c>
      <c r="H2000" s="175">
        <f t="shared" si="194"/>
        <v>0</v>
      </c>
      <c r="I2000" s="177">
        <f>IF(G2000=0,0,IF(E2000="MXN",1/HLOOKUP(YEAR(C2000)+(MONTH(C2000)/100),TC!$5:$37,DAY(C2000)+2,FALSE),VLOOKUP(E2000,Equivalencia!$5:$23,((MAX(Equivalencia!$3:$3)-YEAR(C2000))*14)+MONTH(C2000)+2,FALSE)))</f>
        <v>0</v>
      </c>
      <c r="J2000" s="178">
        <f t="shared" si="195"/>
        <v>0</v>
      </c>
      <c r="K2000" s="462">
        <f>IF(C2000=0,0,VLOOKUP(YEAR(C2000),INPC!$B$4:$O$29,MONTH(C2000)+1))</f>
        <v>0</v>
      </c>
      <c r="L2000" s="462">
        <f>IF(S2000=0,0,VLOOKUP(YEAR(S2000),INPC!$B$4:$O$29,MONTH(S2000)+1))</f>
        <v>0</v>
      </c>
      <c r="M2000" s="463">
        <f t="shared" si="196"/>
        <v>0</v>
      </c>
      <c r="N2000" s="465">
        <f t="shared" si="197"/>
        <v>0</v>
      </c>
      <c r="O2000" s="179"/>
      <c r="P2000" s="180"/>
      <c r="Q2000" s="173"/>
      <c r="R2000" s="173"/>
      <c r="S2000" s="174"/>
      <c r="T2000" s="173"/>
      <c r="U2000" s="182"/>
      <c r="V2000" s="177">
        <f>IF(U2000=0,0,IF(T2000="MXN",1/HLOOKUP(YEAR(S2000)+(MONTH(S2000)/100),TC!$5:$37,DAY(S2000)+2,FALSE),VLOOKUP(T2000,Equivalencia!$1:$23,((MAX(Equivalencia!$3:$3)-YEAR(S2000))*14)+MONTH(S2000)+2,FALSE)))</f>
        <v>0</v>
      </c>
      <c r="W2000" s="178">
        <f t="shared" si="198"/>
        <v>0</v>
      </c>
      <c r="X2000" s="481">
        <f t="shared" si="199"/>
        <v>0</v>
      </c>
      <c r="Y2000" s="179"/>
      <c r="Z2000" s="466">
        <f t="shared" si="200"/>
        <v>0</v>
      </c>
      <c r="AA2000" s="473">
        <f t="shared" si="201"/>
        <v>0</v>
      </c>
      <c r="AB2000" s="339">
        <f t="shared" si="202"/>
        <v>0</v>
      </c>
    </row>
    <row r="2001" spans="2:28" ht="20.100000000000001" customHeight="1">
      <c r="B2001" s="172"/>
      <c r="C2001" s="174"/>
      <c r="D2001" s="181"/>
      <c r="E2001" s="173"/>
      <c r="F2001" s="176"/>
      <c r="G2001" s="175">
        <f t="shared" si="193"/>
        <v>0</v>
      </c>
      <c r="H2001" s="175">
        <f t="shared" si="194"/>
        <v>0</v>
      </c>
      <c r="I2001" s="177">
        <f>IF(G2001=0,0,IF(E2001="MXN",1/HLOOKUP(YEAR(C2001)+(MONTH(C2001)/100),TC!$5:$37,DAY(C2001)+2,FALSE),VLOOKUP(E2001,Equivalencia!$5:$23,((MAX(Equivalencia!$3:$3)-YEAR(C2001))*14)+MONTH(C2001)+2,FALSE)))</f>
        <v>0</v>
      </c>
      <c r="J2001" s="178">
        <f t="shared" si="195"/>
        <v>0</v>
      </c>
      <c r="K2001" s="462">
        <f>IF(C2001=0,0,VLOOKUP(YEAR(C2001),INPC!$B$4:$O$29,MONTH(C2001)+1))</f>
        <v>0</v>
      </c>
      <c r="L2001" s="462">
        <f>IF(S2001=0,0,VLOOKUP(YEAR(S2001),INPC!$B$4:$O$29,MONTH(S2001)+1))</f>
        <v>0</v>
      </c>
      <c r="M2001" s="463">
        <f t="shared" si="196"/>
        <v>0</v>
      </c>
      <c r="N2001" s="465">
        <f t="shared" si="197"/>
        <v>0</v>
      </c>
      <c r="O2001" s="179"/>
      <c r="P2001" s="180"/>
      <c r="Q2001" s="173"/>
      <c r="R2001" s="173"/>
      <c r="S2001" s="174"/>
      <c r="T2001" s="173"/>
      <c r="U2001" s="182"/>
      <c r="V2001" s="177">
        <f>IF(U2001=0,0,IF(T2001="MXN",1/HLOOKUP(YEAR(S2001)+(MONTH(S2001)/100),TC!$5:$37,DAY(S2001)+2,FALSE),VLOOKUP(T2001,Equivalencia!$1:$23,((MAX(Equivalencia!$3:$3)-YEAR(S2001))*14)+MONTH(S2001)+2,FALSE)))</f>
        <v>0</v>
      </c>
      <c r="W2001" s="178">
        <f t="shared" si="198"/>
        <v>0</v>
      </c>
      <c r="X2001" s="481">
        <f t="shared" si="199"/>
        <v>0</v>
      </c>
      <c r="Y2001" s="179"/>
      <c r="Z2001" s="466">
        <f t="shared" si="200"/>
        <v>0</v>
      </c>
      <c r="AA2001" s="473">
        <f t="shared" si="201"/>
        <v>0</v>
      </c>
      <c r="AB2001" s="339">
        <f t="shared" si="202"/>
        <v>0</v>
      </c>
    </row>
    <row r="2002" spans="2:28" ht="20.100000000000001" customHeight="1">
      <c r="B2002" s="172"/>
      <c r="C2002" s="174"/>
      <c r="D2002" s="181"/>
      <c r="E2002" s="173"/>
      <c r="F2002" s="176"/>
      <c r="G2002" s="175">
        <f t="shared" si="193"/>
        <v>0</v>
      </c>
      <c r="H2002" s="175">
        <f t="shared" si="194"/>
        <v>0</v>
      </c>
      <c r="I2002" s="177">
        <f>IF(G2002=0,0,IF(E2002="MXN",1/HLOOKUP(YEAR(C2002)+(MONTH(C2002)/100),TC!$5:$37,DAY(C2002)+2,FALSE),VLOOKUP(E2002,Equivalencia!$5:$23,((MAX(Equivalencia!$3:$3)-YEAR(C2002))*14)+MONTH(C2002)+2,FALSE)))</f>
        <v>0</v>
      </c>
      <c r="J2002" s="178">
        <f t="shared" si="195"/>
        <v>0</v>
      </c>
      <c r="K2002" s="462">
        <f>IF(C2002=0,0,VLOOKUP(YEAR(C2002),INPC!$B$4:$O$29,MONTH(C2002)+1))</f>
        <v>0</v>
      </c>
      <c r="L2002" s="462">
        <f>IF(S2002=0,0,VLOOKUP(YEAR(S2002),INPC!$B$4:$O$29,MONTH(S2002)+1))</f>
        <v>0</v>
      </c>
      <c r="M2002" s="463">
        <f t="shared" si="196"/>
        <v>0</v>
      </c>
      <c r="N2002" s="465">
        <f t="shared" si="197"/>
        <v>0</v>
      </c>
      <c r="O2002" s="179"/>
      <c r="P2002" s="180"/>
      <c r="Q2002" s="173"/>
      <c r="R2002" s="173"/>
      <c r="S2002" s="174"/>
      <c r="T2002" s="173"/>
      <c r="U2002" s="182"/>
      <c r="V2002" s="177">
        <f>IF(U2002=0,0,IF(T2002="MXN",1/HLOOKUP(YEAR(S2002)+(MONTH(S2002)/100),TC!$5:$37,DAY(S2002)+2,FALSE),VLOOKUP(T2002,Equivalencia!$1:$23,((MAX(Equivalencia!$3:$3)-YEAR(S2002))*14)+MONTH(S2002)+2,FALSE)))</f>
        <v>0</v>
      </c>
      <c r="W2002" s="178">
        <f t="shared" si="198"/>
        <v>0</v>
      </c>
      <c r="X2002" s="481">
        <f t="shared" si="199"/>
        <v>0</v>
      </c>
      <c r="Y2002" s="179"/>
      <c r="Z2002" s="466">
        <f t="shared" si="200"/>
        <v>0</v>
      </c>
      <c r="AA2002" s="473">
        <f t="shared" si="201"/>
        <v>0</v>
      </c>
      <c r="AB2002" s="339">
        <f t="shared" si="202"/>
        <v>0</v>
      </c>
    </row>
    <row r="2003" spans="2:28" ht="20.100000000000001" customHeight="1">
      <c r="B2003" s="172"/>
      <c r="C2003" s="174"/>
      <c r="D2003" s="181"/>
      <c r="E2003" s="173"/>
      <c r="F2003" s="176"/>
      <c r="G2003" s="175">
        <f t="shared" si="193"/>
        <v>0</v>
      </c>
      <c r="H2003" s="175">
        <f t="shared" si="194"/>
        <v>0</v>
      </c>
      <c r="I2003" s="177">
        <f>IF(G2003=0,0,IF(E2003="MXN",1/HLOOKUP(YEAR(C2003)+(MONTH(C2003)/100),TC!$5:$37,DAY(C2003)+2,FALSE),VLOOKUP(E2003,Equivalencia!$5:$23,((MAX(Equivalencia!$3:$3)-YEAR(C2003))*14)+MONTH(C2003)+2,FALSE)))</f>
        <v>0</v>
      </c>
      <c r="J2003" s="178">
        <f t="shared" si="195"/>
        <v>0</v>
      </c>
      <c r="K2003" s="462">
        <f>IF(C2003=0,0,VLOOKUP(YEAR(C2003),INPC!$B$4:$O$29,MONTH(C2003)+1))</f>
        <v>0</v>
      </c>
      <c r="L2003" s="462">
        <f>IF(S2003=0,0,VLOOKUP(YEAR(S2003),INPC!$B$4:$O$29,MONTH(S2003)+1))</f>
        <v>0</v>
      </c>
      <c r="M2003" s="463">
        <f t="shared" si="196"/>
        <v>0</v>
      </c>
      <c r="N2003" s="465">
        <f t="shared" si="197"/>
        <v>0</v>
      </c>
      <c r="O2003" s="179"/>
      <c r="P2003" s="180"/>
      <c r="Q2003" s="173"/>
      <c r="R2003" s="173"/>
      <c r="S2003" s="174"/>
      <c r="T2003" s="173"/>
      <c r="U2003" s="182"/>
      <c r="V2003" s="177">
        <f>IF(U2003=0,0,IF(T2003="MXN",1/HLOOKUP(YEAR(S2003)+(MONTH(S2003)/100),TC!$5:$37,DAY(S2003)+2,FALSE),VLOOKUP(T2003,Equivalencia!$1:$23,((MAX(Equivalencia!$3:$3)-YEAR(S2003))*14)+MONTH(S2003)+2,FALSE)))</f>
        <v>0</v>
      </c>
      <c r="W2003" s="178">
        <f t="shared" si="198"/>
        <v>0</v>
      </c>
      <c r="X2003" s="481">
        <f t="shared" si="199"/>
        <v>0</v>
      </c>
      <c r="Y2003" s="179"/>
      <c r="Z2003" s="466">
        <f t="shared" si="200"/>
        <v>0</v>
      </c>
      <c r="AA2003" s="473">
        <f t="shared" si="201"/>
        <v>0</v>
      </c>
      <c r="AB2003" s="339">
        <f t="shared" si="202"/>
        <v>0</v>
      </c>
    </row>
    <row r="2004" spans="2:28" ht="20.100000000000001" customHeight="1">
      <c r="B2004" s="172"/>
      <c r="C2004" s="174"/>
      <c r="D2004" s="181"/>
      <c r="E2004" s="173"/>
      <c r="F2004" s="176"/>
      <c r="G2004" s="175">
        <f t="shared" si="193"/>
        <v>0</v>
      </c>
      <c r="H2004" s="175">
        <f t="shared" si="194"/>
        <v>0</v>
      </c>
      <c r="I2004" s="177">
        <f>IF(G2004=0,0,IF(E2004="MXN",1/HLOOKUP(YEAR(C2004)+(MONTH(C2004)/100),TC!$5:$37,DAY(C2004)+2,FALSE),VLOOKUP(E2004,Equivalencia!$5:$23,((MAX(Equivalencia!$3:$3)-YEAR(C2004))*14)+MONTH(C2004)+2,FALSE)))</f>
        <v>0</v>
      </c>
      <c r="J2004" s="178">
        <f t="shared" si="195"/>
        <v>0</v>
      </c>
      <c r="K2004" s="462">
        <f>IF(C2004=0,0,VLOOKUP(YEAR(C2004),INPC!$B$4:$O$29,MONTH(C2004)+1))</f>
        <v>0</v>
      </c>
      <c r="L2004" s="462">
        <f>IF(S2004=0,0,VLOOKUP(YEAR(S2004),INPC!$B$4:$O$29,MONTH(S2004)+1))</f>
        <v>0</v>
      </c>
      <c r="M2004" s="463">
        <f t="shared" si="196"/>
        <v>0</v>
      </c>
      <c r="N2004" s="465">
        <f t="shared" si="197"/>
        <v>0</v>
      </c>
      <c r="O2004" s="179"/>
      <c r="P2004" s="180"/>
      <c r="Q2004" s="173"/>
      <c r="R2004" s="173"/>
      <c r="S2004" s="174"/>
      <c r="T2004" s="173"/>
      <c r="U2004" s="182"/>
      <c r="V2004" s="177">
        <f>IF(U2004=0,0,IF(T2004="MXN",1/HLOOKUP(YEAR(S2004)+(MONTH(S2004)/100),TC!$5:$37,DAY(S2004)+2,FALSE),VLOOKUP(T2004,Equivalencia!$1:$23,((MAX(Equivalencia!$3:$3)-YEAR(S2004))*14)+MONTH(S2004)+2,FALSE)))</f>
        <v>0</v>
      </c>
      <c r="W2004" s="178">
        <f t="shared" si="198"/>
        <v>0</v>
      </c>
      <c r="X2004" s="481">
        <f t="shared" si="199"/>
        <v>0</v>
      </c>
      <c r="Y2004" s="179"/>
      <c r="Z2004" s="466">
        <f t="shared" si="200"/>
        <v>0</v>
      </c>
      <c r="AA2004" s="473">
        <f t="shared" si="201"/>
        <v>0</v>
      </c>
      <c r="AB2004" s="339">
        <f t="shared" si="202"/>
        <v>0</v>
      </c>
    </row>
    <row r="2005" spans="2:28" ht="20.100000000000001" customHeight="1">
      <c r="B2005" s="172"/>
      <c r="C2005" s="174"/>
      <c r="D2005" s="181"/>
      <c r="E2005" s="173"/>
      <c r="F2005" s="176"/>
      <c r="G2005" s="175">
        <f t="shared" si="193"/>
        <v>0</v>
      </c>
      <c r="H2005" s="175">
        <f t="shared" si="194"/>
        <v>0</v>
      </c>
      <c r="I2005" s="177">
        <f>IF(G2005=0,0,IF(E2005="MXN",1/HLOOKUP(YEAR(C2005)+(MONTH(C2005)/100),TC!$5:$37,DAY(C2005)+2,FALSE),VLOOKUP(E2005,Equivalencia!$5:$23,((MAX(Equivalencia!$3:$3)-YEAR(C2005))*14)+MONTH(C2005)+2,FALSE)))</f>
        <v>0</v>
      </c>
      <c r="J2005" s="178">
        <f t="shared" si="195"/>
        <v>0</v>
      </c>
      <c r="K2005" s="462">
        <f>IF(C2005=0,0,VLOOKUP(YEAR(C2005),INPC!$B$4:$O$29,MONTH(C2005)+1))</f>
        <v>0</v>
      </c>
      <c r="L2005" s="462">
        <f>IF(S2005=0,0,VLOOKUP(YEAR(S2005),INPC!$B$4:$O$29,MONTH(S2005)+1))</f>
        <v>0</v>
      </c>
      <c r="M2005" s="463">
        <f t="shared" si="196"/>
        <v>0</v>
      </c>
      <c r="N2005" s="465">
        <f t="shared" si="197"/>
        <v>0</v>
      </c>
      <c r="O2005" s="179"/>
      <c r="P2005" s="180"/>
      <c r="Q2005" s="173"/>
      <c r="R2005" s="173"/>
      <c r="S2005" s="174"/>
      <c r="T2005" s="173"/>
      <c r="U2005" s="182"/>
      <c r="V2005" s="177">
        <f>IF(U2005=0,0,IF(T2005="MXN",1/HLOOKUP(YEAR(S2005)+(MONTH(S2005)/100),TC!$5:$37,DAY(S2005)+2,FALSE),VLOOKUP(T2005,Equivalencia!$1:$23,((MAX(Equivalencia!$3:$3)-YEAR(S2005))*14)+MONTH(S2005)+2,FALSE)))</f>
        <v>0</v>
      </c>
      <c r="W2005" s="178">
        <f t="shared" si="198"/>
        <v>0</v>
      </c>
      <c r="X2005" s="481">
        <f t="shared" si="199"/>
        <v>0</v>
      </c>
      <c r="Y2005" s="179"/>
      <c r="Z2005" s="466">
        <f t="shared" si="200"/>
        <v>0</v>
      </c>
      <c r="AA2005" s="473">
        <f t="shared" si="201"/>
        <v>0</v>
      </c>
      <c r="AB2005" s="339">
        <f t="shared" si="202"/>
        <v>0</v>
      </c>
    </row>
    <row r="2006" spans="2:28" ht="20.100000000000001" customHeight="1">
      <c r="B2006" s="172"/>
      <c r="C2006" s="174"/>
      <c r="D2006" s="181"/>
      <c r="E2006" s="173"/>
      <c r="F2006" s="176"/>
      <c r="G2006" s="175">
        <f t="shared" si="193"/>
        <v>0</v>
      </c>
      <c r="H2006" s="175">
        <f t="shared" si="194"/>
        <v>0</v>
      </c>
      <c r="I2006" s="177">
        <f>IF(G2006=0,0,IF(E2006="MXN",1/HLOOKUP(YEAR(C2006)+(MONTH(C2006)/100),TC!$5:$37,DAY(C2006)+2,FALSE),VLOOKUP(E2006,Equivalencia!$5:$23,((MAX(Equivalencia!$3:$3)-YEAR(C2006))*14)+MONTH(C2006)+2,FALSE)))</f>
        <v>0</v>
      </c>
      <c r="J2006" s="178">
        <f t="shared" si="195"/>
        <v>0</v>
      </c>
      <c r="K2006" s="462">
        <f>IF(C2006=0,0,VLOOKUP(YEAR(C2006),INPC!$B$4:$O$29,MONTH(C2006)+1))</f>
        <v>0</v>
      </c>
      <c r="L2006" s="462">
        <f>IF(S2006=0,0,VLOOKUP(YEAR(S2006),INPC!$B$4:$O$29,MONTH(S2006)+1))</f>
        <v>0</v>
      </c>
      <c r="M2006" s="463">
        <f t="shared" si="196"/>
        <v>0</v>
      </c>
      <c r="N2006" s="465">
        <f t="shared" si="197"/>
        <v>0</v>
      </c>
      <c r="O2006" s="179"/>
      <c r="P2006" s="180"/>
      <c r="Q2006" s="173"/>
      <c r="R2006" s="173"/>
      <c r="S2006" s="174"/>
      <c r="T2006" s="173"/>
      <c r="U2006" s="182"/>
      <c r="V2006" s="177">
        <f>IF(U2006=0,0,IF(T2006="MXN",1/HLOOKUP(YEAR(S2006)+(MONTH(S2006)/100),TC!$5:$37,DAY(S2006)+2,FALSE),VLOOKUP(T2006,Equivalencia!$1:$23,((MAX(Equivalencia!$3:$3)-YEAR(S2006))*14)+MONTH(S2006)+2,FALSE)))</f>
        <v>0</v>
      </c>
      <c r="W2006" s="178">
        <f t="shared" si="198"/>
        <v>0</v>
      </c>
      <c r="X2006" s="481">
        <f t="shared" si="199"/>
        <v>0</v>
      </c>
      <c r="Y2006" s="179"/>
      <c r="Z2006" s="466">
        <f t="shared" si="200"/>
        <v>0</v>
      </c>
      <c r="AA2006" s="473">
        <f t="shared" si="201"/>
        <v>0</v>
      </c>
      <c r="AB2006" s="339">
        <f t="shared" si="202"/>
        <v>0</v>
      </c>
    </row>
    <row r="2007" spans="2:28" ht="20.100000000000001" customHeight="1">
      <c r="B2007" s="172"/>
      <c r="C2007" s="174"/>
      <c r="D2007" s="181"/>
      <c r="E2007" s="173"/>
      <c r="F2007" s="176"/>
      <c r="G2007" s="175">
        <f t="shared" si="160"/>
        <v>0</v>
      </c>
      <c r="H2007" s="175">
        <f t="shared" si="153"/>
        <v>0</v>
      </c>
      <c r="I2007" s="177">
        <f>IF(G2007=0,0,IF(E2007="MXN",1/HLOOKUP(YEAR(C2007)+(MONTH(C2007)/100),TC!$5:$37,DAY(C2007)+2,FALSE),VLOOKUP(E2007,Equivalencia!$5:$23,((MAX(Equivalencia!$3:$3)-YEAR(C2007))*14)+MONTH(C2007)+2,FALSE)))</f>
        <v>0</v>
      </c>
      <c r="J2007" s="178">
        <f t="shared" si="161"/>
        <v>0</v>
      </c>
      <c r="K2007" s="462">
        <f>IF(C2007=0,0,VLOOKUP(YEAR(C2007),INPC!$B$4:$O$29,MONTH(C2007)+1))</f>
        <v>0</v>
      </c>
      <c r="L2007" s="462">
        <f>IF(S2007=0,0,VLOOKUP(YEAR(S2007),INPC!$B$4:$O$29,MONTH(S2007)+1))</f>
        <v>0</v>
      </c>
      <c r="M2007" s="463">
        <f t="shared" si="154"/>
        <v>0</v>
      </c>
      <c r="N2007" s="465">
        <f t="shared" si="162"/>
        <v>0</v>
      </c>
      <c r="O2007" s="179"/>
      <c r="P2007" s="180"/>
      <c r="Q2007" s="173"/>
      <c r="R2007" s="173"/>
      <c r="S2007" s="174"/>
      <c r="T2007" s="173"/>
      <c r="U2007" s="182"/>
      <c r="V2007" s="177">
        <f>IF(U2007=0,0,IF(T2007="MXN",1/HLOOKUP(YEAR(S2007)+(MONTH(S2007)/100),TC!$5:$37,DAY(S2007)+2,FALSE),VLOOKUP(T2007,Equivalencia!$1:$23,((MAX(Equivalencia!$3:$3)-YEAR(S2007))*14)+MONTH(S2007)+2,FALSE)))</f>
        <v>0</v>
      </c>
      <c r="W2007" s="178">
        <f t="shared" si="159"/>
        <v>0</v>
      </c>
      <c r="X2007" s="481">
        <f t="shared" si="155"/>
        <v>0</v>
      </c>
      <c r="Y2007" s="179"/>
      <c r="Z2007" s="466">
        <f t="shared" si="156"/>
        <v>0</v>
      </c>
      <c r="AA2007" s="473">
        <f t="shared" si="157"/>
        <v>0</v>
      </c>
      <c r="AB2007" s="339">
        <f t="shared" si="158"/>
        <v>0</v>
      </c>
    </row>
    <row r="2008" spans="2:28" ht="20.100000000000001" customHeight="1">
      <c r="B2008" s="172"/>
      <c r="C2008" s="174"/>
      <c r="D2008" s="181"/>
      <c r="E2008" s="173"/>
      <c r="F2008" s="176"/>
      <c r="G2008" s="175">
        <f t="shared" si="160"/>
        <v>0</v>
      </c>
      <c r="H2008" s="175">
        <f t="shared" si="153"/>
        <v>0</v>
      </c>
      <c r="I2008" s="177">
        <f>IF(G2008=0,0,IF(E2008="MXN",1/HLOOKUP(YEAR(C2008)+(MONTH(C2008)/100),TC!$5:$37,DAY(C2008)+2,FALSE),VLOOKUP(E2008,Equivalencia!$5:$23,((MAX(Equivalencia!$3:$3)-YEAR(C2008))*14)+MONTH(C2008)+2,FALSE)))</f>
        <v>0</v>
      </c>
      <c r="J2008" s="178">
        <f t="shared" si="161"/>
        <v>0</v>
      </c>
      <c r="K2008" s="462">
        <f>IF(C2008=0,0,VLOOKUP(YEAR(C2008),INPC!$B$4:$O$29,MONTH(C2008)+1))</f>
        <v>0</v>
      </c>
      <c r="L2008" s="462">
        <f>IF(S2008=0,0,VLOOKUP(YEAR(S2008),INPC!$B$4:$O$29,MONTH(S2008)+1))</f>
        <v>0</v>
      </c>
      <c r="M2008" s="463">
        <f t="shared" si="154"/>
        <v>0</v>
      </c>
      <c r="N2008" s="465">
        <f t="shared" si="162"/>
        <v>0</v>
      </c>
      <c r="O2008" s="179"/>
      <c r="P2008" s="180"/>
      <c r="Q2008" s="173"/>
      <c r="R2008" s="173"/>
      <c r="S2008" s="174"/>
      <c r="T2008" s="173"/>
      <c r="U2008" s="182"/>
      <c r="V2008" s="177">
        <f>IF(U2008=0,0,IF(T2008="MXN",1/HLOOKUP(YEAR(S2008)+(MONTH(S2008)/100),TC!$5:$37,DAY(S2008)+2,FALSE),VLOOKUP(T2008,Equivalencia!$1:$23,((MAX(Equivalencia!$3:$3)-YEAR(S2008))*14)+MONTH(S2008)+2,FALSE)))</f>
        <v>0</v>
      </c>
      <c r="W2008" s="178">
        <f t="shared" si="159"/>
        <v>0</v>
      </c>
      <c r="X2008" s="481">
        <f t="shared" si="155"/>
        <v>0</v>
      </c>
      <c r="Y2008" s="179"/>
      <c r="Z2008" s="466">
        <f t="shared" si="156"/>
        <v>0</v>
      </c>
      <c r="AA2008" s="473">
        <f t="shared" si="157"/>
        <v>0</v>
      </c>
      <c r="AB2008" s="339">
        <f t="shared" si="158"/>
        <v>0</v>
      </c>
    </row>
    <row r="2009" spans="2:28" ht="20.100000000000001" customHeight="1">
      <c r="B2009" s="172"/>
      <c r="C2009" s="174"/>
      <c r="D2009" s="181"/>
      <c r="E2009" s="173"/>
      <c r="F2009" s="176"/>
      <c r="G2009" s="175">
        <f t="shared" si="160"/>
        <v>0</v>
      </c>
      <c r="H2009" s="175">
        <f t="shared" si="153"/>
        <v>0</v>
      </c>
      <c r="I2009" s="177">
        <f>IF(G2009=0,0,IF(E2009="MXN",1/HLOOKUP(YEAR(C2009)+(MONTH(C2009)/100),TC!$5:$37,DAY(C2009)+2,FALSE),VLOOKUP(E2009,Equivalencia!$5:$23,((MAX(Equivalencia!$3:$3)-YEAR(C2009))*14)+MONTH(C2009)+2,FALSE)))</f>
        <v>0</v>
      </c>
      <c r="J2009" s="178">
        <f t="shared" si="161"/>
        <v>0</v>
      </c>
      <c r="K2009" s="462">
        <f>IF(C2009=0,0,VLOOKUP(YEAR(C2009),INPC!$B$4:$O$29,MONTH(C2009)+1))</f>
        <v>0</v>
      </c>
      <c r="L2009" s="462">
        <f>IF(S2009=0,0,VLOOKUP(YEAR(S2009),INPC!$B$4:$O$29,MONTH(S2009)+1))</f>
        <v>0</v>
      </c>
      <c r="M2009" s="463">
        <f t="shared" si="154"/>
        <v>0</v>
      </c>
      <c r="N2009" s="465">
        <f t="shared" si="162"/>
        <v>0</v>
      </c>
      <c r="O2009" s="179"/>
      <c r="P2009" s="180"/>
      <c r="Q2009" s="173"/>
      <c r="R2009" s="173"/>
      <c r="S2009" s="174"/>
      <c r="T2009" s="173"/>
      <c r="U2009" s="182"/>
      <c r="V2009" s="177">
        <f>IF(U2009=0,0,IF(T2009="MXN",1/HLOOKUP(YEAR(S2009)+(MONTH(S2009)/100),TC!$5:$37,DAY(S2009)+2,FALSE),VLOOKUP(T2009,Equivalencia!$1:$23,((MAX(Equivalencia!$3:$3)-YEAR(S2009))*14)+MONTH(S2009)+2,FALSE)))</f>
        <v>0</v>
      </c>
      <c r="W2009" s="178">
        <f t="shared" si="159"/>
        <v>0</v>
      </c>
      <c r="X2009" s="481">
        <f t="shared" si="155"/>
        <v>0</v>
      </c>
      <c r="Y2009" s="179"/>
      <c r="Z2009" s="466">
        <f t="shared" si="156"/>
        <v>0</v>
      </c>
      <c r="AA2009" s="473">
        <f t="shared" si="157"/>
        <v>0</v>
      </c>
      <c r="AB2009" s="339">
        <f t="shared" si="158"/>
        <v>0</v>
      </c>
    </row>
    <row r="2010" spans="2:28" ht="20.100000000000001" customHeight="1">
      <c r="B2010" s="172"/>
      <c r="C2010" s="174"/>
      <c r="D2010" s="181"/>
      <c r="E2010" s="173"/>
      <c r="F2010" s="176"/>
      <c r="G2010" s="175">
        <f t="shared" si="160"/>
        <v>0</v>
      </c>
      <c r="H2010" s="175">
        <f t="shared" si="153"/>
        <v>0</v>
      </c>
      <c r="I2010" s="177">
        <f>IF(G2010=0,0,IF(E2010="MXN",1/HLOOKUP(YEAR(C2010)+(MONTH(C2010)/100),TC!$5:$37,DAY(C2010)+2,FALSE),VLOOKUP(E2010,Equivalencia!$5:$23,((MAX(Equivalencia!$3:$3)-YEAR(C2010))*14)+MONTH(C2010)+2,FALSE)))</f>
        <v>0</v>
      </c>
      <c r="J2010" s="178">
        <f t="shared" si="161"/>
        <v>0</v>
      </c>
      <c r="K2010" s="462">
        <f>IF(C2010=0,0,VLOOKUP(YEAR(C2010),INPC!$B$4:$O$29,MONTH(C2010)+1))</f>
        <v>0</v>
      </c>
      <c r="L2010" s="462">
        <f>IF(S2010=0,0,VLOOKUP(YEAR(S2010),INPC!$B$4:$O$29,MONTH(S2010)+1))</f>
        <v>0</v>
      </c>
      <c r="M2010" s="463">
        <f t="shared" si="154"/>
        <v>0</v>
      </c>
      <c r="N2010" s="465">
        <f t="shared" si="162"/>
        <v>0</v>
      </c>
      <c r="O2010" s="179"/>
      <c r="P2010" s="180"/>
      <c r="Q2010" s="173"/>
      <c r="R2010" s="173"/>
      <c r="S2010" s="174"/>
      <c r="T2010" s="173"/>
      <c r="U2010" s="182"/>
      <c r="V2010" s="177">
        <f>IF(U2010=0,0,IF(T2010="MXN",1/HLOOKUP(YEAR(S2010)+(MONTH(S2010)/100),TC!$5:$37,DAY(S2010)+2,FALSE),VLOOKUP(T2010,Equivalencia!$1:$23,((MAX(Equivalencia!$3:$3)-YEAR(S2010))*14)+MONTH(S2010)+2,FALSE)))</f>
        <v>0</v>
      </c>
      <c r="W2010" s="178">
        <f t="shared" si="159"/>
        <v>0</v>
      </c>
      <c r="X2010" s="481">
        <f t="shared" si="155"/>
        <v>0</v>
      </c>
      <c r="Y2010" s="179"/>
      <c r="Z2010" s="466">
        <f t="shared" si="156"/>
        <v>0</v>
      </c>
      <c r="AA2010" s="473">
        <f t="shared" si="157"/>
        <v>0</v>
      </c>
      <c r="AB2010" s="339">
        <f t="shared" si="158"/>
        <v>0</v>
      </c>
    </row>
    <row r="2011" spans="2:28" ht="20.100000000000001" customHeight="1">
      <c r="B2011" s="172"/>
      <c r="C2011" s="174"/>
      <c r="D2011" s="181"/>
      <c r="E2011" s="173"/>
      <c r="F2011" s="176"/>
      <c r="G2011" s="175">
        <f t="shared" si="160"/>
        <v>0</v>
      </c>
      <c r="H2011" s="175">
        <f t="shared" si="153"/>
        <v>0</v>
      </c>
      <c r="I2011" s="177">
        <f>IF(G2011=0,0,IF(E2011="MXN",1/HLOOKUP(YEAR(C2011)+(MONTH(C2011)/100),TC!$5:$37,DAY(C2011)+2,FALSE),VLOOKUP(E2011,Equivalencia!$5:$23,((MAX(Equivalencia!$3:$3)-YEAR(C2011))*14)+MONTH(C2011)+2,FALSE)))</f>
        <v>0</v>
      </c>
      <c r="J2011" s="178">
        <f t="shared" si="161"/>
        <v>0</v>
      </c>
      <c r="K2011" s="462">
        <f>IF(C2011=0,0,VLOOKUP(YEAR(C2011),INPC!$B$4:$O$29,MONTH(C2011)+1))</f>
        <v>0</v>
      </c>
      <c r="L2011" s="462">
        <f>IF(S2011=0,0,VLOOKUP(YEAR(S2011),INPC!$B$4:$O$29,MONTH(S2011)+1))</f>
        <v>0</v>
      </c>
      <c r="M2011" s="463">
        <f t="shared" si="154"/>
        <v>0</v>
      </c>
      <c r="N2011" s="465">
        <f t="shared" si="162"/>
        <v>0</v>
      </c>
      <c r="O2011" s="179"/>
      <c r="P2011" s="180"/>
      <c r="Q2011" s="173"/>
      <c r="R2011" s="173"/>
      <c r="S2011" s="174"/>
      <c r="T2011" s="173"/>
      <c r="U2011" s="182"/>
      <c r="V2011" s="177">
        <f>IF(U2011=0,0,IF(T2011="MXN",1/HLOOKUP(YEAR(S2011)+(MONTH(S2011)/100),TC!$5:$37,DAY(S2011)+2,FALSE),VLOOKUP(T2011,Equivalencia!$1:$23,((MAX(Equivalencia!$3:$3)-YEAR(S2011))*14)+MONTH(S2011)+2,FALSE)))</f>
        <v>0</v>
      </c>
      <c r="W2011" s="178">
        <f t="shared" si="159"/>
        <v>0</v>
      </c>
      <c r="X2011" s="481">
        <f t="shared" si="155"/>
        <v>0</v>
      </c>
      <c r="Y2011" s="179"/>
      <c r="Z2011" s="466">
        <f t="shared" si="156"/>
        <v>0</v>
      </c>
      <c r="AA2011" s="473">
        <f t="shared" si="157"/>
        <v>0</v>
      </c>
      <c r="AB2011" s="339">
        <f t="shared" si="158"/>
        <v>0</v>
      </c>
    </row>
    <row r="2012" spans="2:28" ht="20.100000000000001" customHeight="1">
      <c r="B2012" s="172"/>
      <c r="C2012" s="174"/>
      <c r="D2012" s="181"/>
      <c r="E2012" s="173"/>
      <c r="F2012" s="176"/>
      <c r="G2012" s="175">
        <f t="shared" si="160"/>
        <v>0</v>
      </c>
      <c r="H2012" s="175">
        <f t="shared" si="153"/>
        <v>0</v>
      </c>
      <c r="I2012" s="177">
        <f>IF(G2012=0,0,IF(E2012="MXN",1/HLOOKUP(YEAR(C2012)+(MONTH(C2012)/100),TC!$5:$37,DAY(C2012)+2,FALSE),VLOOKUP(E2012,Equivalencia!$5:$23,((MAX(Equivalencia!$3:$3)-YEAR(C2012))*14)+MONTH(C2012)+2,FALSE)))</f>
        <v>0</v>
      </c>
      <c r="J2012" s="178">
        <f t="shared" si="161"/>
        <v>0</v>
      </c>
      <c r="K2012" s="462">
        <f>IF(C2012=0,0,VLOOKUP(YEAR(C2012),INPC!$B$4:$O$29,MONTH(C2012)+1))</f>
        <v>0</v>
      </c>
      <c r="L2012" s="462">
        <f>IF(S2012=0,0,VLOOKUP(YEAR(S2012),INPC!$B$4:$O$29,MONTH(S2012)+1))</f>
        <v>0</v>
      </c>
      <c r="M2012" s="463">
        <f t="shared" si="154"/>
        <v>0</v>
      </c>
      <c r="N2012" s="465">
        <f t="shared" si="162"/>
        <v>0</v>
      </c>
      <c r="O2012" s="179"/>
      <c r="P2012" s="180"/>
      <c r="Q2012" s="173"/>
      <c r="R2012" s="173"/>
      <c r="S2012" s="174"/>
      <c r="T2012" s="173"/>
      <c r="U2012" s="182"/>
      <c r="V2012" s="177">
        <f>IF(U2012=0,0,IF(T2012="MXN",1/HLOOKUP(YEAR(S2012)+(MONTH(S2012)/100),TC!$5:$37,DAY(S2012)+2,FALSE),VLOOKUP(T2012,Equivalencia!$1:$23,((MAX(Equivalencia!$3:$3)-YEAR(S2012))*14)+MONTH(S2012)+2,FALSE)))</f>
        <v>0</v>
      </c>
      <c r="W2012" s="178">
        <f t="shared" si="159"/>
        <v>0</v>
      </c>
      <c r="X2012" s="481">
        <f t="shared" si="155"/>
        <v>0</v>
      </c>
      <c r="Y2012" s="179"/>
      <c r="Z2012" s="466">
        <f t="shared" si="156"/>
        <v>0</v>
      </c>
      <c r="AA2012" s="473">
        <f t="shared" si="157"/>
        <v>0</v>
      </c>
      <c r="AB2012" s="339">
        <f t="shared" si="158"/>
        <v>0</v>
      </c>
    </row>
    <row r="2013" spans="2:28" ht="20.100000000000001" customHeight="1">
      <c r="B2013" s="172"/>
      <c r="C2013" s="174"/>
      <c r="D2013" s="181"/>
      <c r="E2013" s="173"/>
      <c r="F2013" s="176"/>
      <c r="G2013" s="175">
        <f t="shared" si="160"/>
        <v>0</v>
      </c>
      <c r="H2013" s="175">
        <f t="shared" si="153"/>
        <v>0</v>
      </c>
      <c r="I2013" s="177">
        <f>IF(G2013=0,0,IF(E2013="MXN",1/HLOOKUP(YEAR(C2013)+(MONTH(C2013)/100),TC!$5:$37,DAY(C2013)+2,FALSE),VLOOKUP(E2013,Equivalencia!$5:$23,((MAX(Equivalencia!$3:$3)-YEAR(C2013))*14)+MONTH(C2013)+2,FALSE)))</f>
        <v>0</v>
      </c>
      <c r="J2013" s="178">
        <f t="shared" si="161"/>
        <v>0</v>
      </c>
      <c r="K2013" s="462">
        <f>IF(C2013=0,0,VLOOKUP(YEAR(C2013),INPC!$B$4:$O$29,MONTH(C2013)+1))</f>
        <v>0</v>
      </c>
      <c r="L2013" s="462">
        <f>IF(S2013=0,0,VLOOKUP(YEAR(S2013),INPC!$B$4:$O$29,MONTH(S2013)+1))</f>
        <v>0</v>
      </c>
      <c r="M2013" s="463">
        <f t="shared" si="154"/>
        <v>0</v>
      </c>
      <c r="N2013" s="465">
        <f t="shared" si="162"/>
        <v>0</v>
      </c>
      <c r="O2013" s="179"/>
      <c r="P2013" s="180"/>
      <c r="Q2013" s="173"/>
      <c r="R2013" s="173"/>
      <c r="S2013" s="174"/>
      <c r="T2013" s="173"/>
      <c r="U2013" s="182"/>
      <c r="V2013" s="177">
        <f>IF(U2013=0,0,IF(T2013="MXN",1/HLOOKUP(YEAR(S2013)+(MONTH(S2013)/100),TC!$5:$37,DAY(S2013)+2,FALSE),VLOOKUP(T2013,Equivalencia!$1:$23,((MAX(Equivalencia!$3:$3)-YEAR(S2013))*14)+MONTH(S2013)+2,FALSE)))</f>
        <v>0</v>
      </c>
      <c r="W2013" s="178">
        <f t="shared" si="159"/>
        <v>0</v>
      </c>
      <c r="X2013" s="481">
        <f t="shared" si="155"/>
        <v>0</v>
      </c>
      <c r="Y2013" s="179"/>
      <c r="Z2013" s="466">
        <f t="shared" si="156"/>
        <v>0</v>
      </c>
      <c r="AA2013" s="473">
        <f t="shared" si="157"/>
        <v>0</v>
      </c>
      <c r="AB2013" s="339">
        <f t="shared" si="158"/>
        <v>0</v>
      </c>
    </row>
    <row r="2014" spans="2:28" ht="20.100000000000001" customHeight="1">
      <c r="B2014" s="172"/>
      <c r="C2014" s="174"/>
      <c r="D2014" s="181"/>
      <c r="E2014" s="173"/>
      <c r="F2014" s="176"/>
      <c r="G2014" s="175">
        <f t="shared" si="160"/>
        <v>0</v>
      </c>
      <c r="H2014" s="175">
        <f t="shared" si="153"/>
        <v>0</v>
      </c>
      <c r="I2014" s="177">
        <f>IF(G2014=0,0,IF(E2014="MXN",1/HLOOKUP(YEAR(C2014)+(MONTH(C2014)/100),TC!$5:$37,DAY(C2014)+2,FALSE),VLOOKUP(E2014,Equivalencia!$5:$23,((MAX(Equivalencia!$3:$3)-YEAR(C2014))*14)+MONTH(C2014)+2,FALSE)))</f>
        <v>0</v>
      </c>
      <c r="J2014" s="178">
        <f t="shared" si="161"/>
        <v>0</v>
      </c>
      <c r="K2014" s="462">
        <f>IF(C2014=0,0,VLOOKUP(YEAR(C2014),INPC!$B$4:$O$29,MONTH(C2014)+1))</f>
        <v>0</v>
      </c>
      <c r="L2014" s="462">
        <f>IF(S2014=0,0,VLOOKUP(YEAR(S2014),INPC!$B$4:$O$29,MONTH(S2014)+1))</f>
        <v>0</v>
      </c>
      <c r="M2014" s="463">
        <f t="shared" si="154"/>
        <v>0</v>
      </c>
      <c r="N2014" s="465">
        <f t="shared" si="162"/>
        <v>0</v>
      </c>
      <c r="O2014" s="179"/>
      <c r="P2014" s="180"/>
      <c r="Q2014" s="173"/>
      <c r="R2014" s="173"/>
      <c r="S2014" s="174"/>
      <c r="T2014" s="173"/>
      <c r="U2014" s="182"/>
      <c r="V2014" s="177">
        <f>IF(U2014=0,0,IF(T2014="MXN",1/HLOOKUP(YEAR(S2014)+(MONTH(S2014)/100),TC!$5:$37,DAY(S2014)+2,FALSE),VLOOKUP(T2014,Equivalencia!$1:$23,((MAX(Equivalencia!$3:$3)-YEAR(S2014))*14)+MONTH(S2014)+2,FALSE)))</f>
        <v>0</v>
      </c>
      <c r="W2014" s="178">
        <f t="shared" si="159"/>
        <v>0</v>
      </c>
      <c r="X2014" s="481">
        <f t="shared" si="155"/>
        <v>0</v>
      </c>
      <c r="Y2014" s="179"/>
      <c r="Z2014" s="466">
        <f t="shared" si="156"/>
        <v>0</v>
      </c>
      <c r="AA2014" s="473">
        <f t="shared" si="157"/>
        <v>0</v>
      </c>
      <c r="AB2014" s="339">
        <f t="shared" si="158"/>
        <v>0</v>
      </c>
    </row>
    <row r="2015" spans="2:28" ht="20.100000000000001" customHeight="1">
      <c r="B2015" s="172"/>
      <c r="C2015" s="174"/>
      <c r="D2015" s="181"/>
      <c r="E2015" s="173"/>
      <c r="F2015" s="176"/>
      <c r="G2015" s="175">
        <f t="shared" si="160"/>
        <v>0</v>
      </c>
      <c r="H2015" s="175">
        <f t="shared" si="153"/>
        <v>0</v>
      </c>
      <c r="I2015" s="177">
        <f>IF(G2015=0,0,IF(E2015="MXN",1/HLOOKUP(YEAR(C2015)+(MONTH(C2015)/100),TC!$5:$37,DAY(C2015)+2,FALSE),VLOOKUP(E2015,Equivalencia!$5:$23,((MAX(Equivalencia!$3:$3)-YEAR(C2015))*14)+MONTH(C2015)+2,FALSE)))</f>
        <v>0</v>
      </c>
      <c r="J2015" s="178">
        <f t="shared" si="161"/>
        <v>0</v>
      </c>
      <c r="K2015" s="462">
        <f>IF(C2015=0,0,VLOOKUP(YEAR(C2015),INPC!$B$4:$O$29,MONTH(C2015)+1))</f>
        <v>0</v>
      </c>
      <c r="L2015" s="462">
        <f>IF(S2015=0,0,VLOOKUP(YEAR(S2015),INPC!$B$4:$O$29,MONTH(S2015)+1))</f>
        <v>0</v>
      </c>
      <c r="M2015" s="463">
        <f t="shared" si="154"/>
        <v>0</v>
      </c>
      <c r="N2015" s="465">
        <f t="shared" si="162"/>
        <v>0</v>
      </c>
      <c r="O2015" s="179"/>
      <c r="P2015" s="180"/>
      <c r="Q2015" s="173"/>
      <c r="R2015" s="173"/>
      <c r="S2015" s="174"/>
      <c r="T2015" s="173"/>
      <c r="U2015" s="182"/>
      <c r="V2015" s="177">
        <f>IF(U2015=0,0,IF(T2015="MXN",1/HLOOKUP(YEAR(S2015)+(MONTH(S2015)/100),TC!$5:$37,DAY(S2015)+2,FALSE),VLOOKUP(T2015,Equivalencia!$1:$23,((MAX(Equivalencia!$3:$3)-YEAR(S2015))*14)+MONTH(S2015)+2,FALSE)))</f>
        <v>0</v>
      </c>
      <c r="W2015" s="178">
        <f t="shared" si="159"/>
        <v>0</v>
      </c>
      <c r="X2015" s="481">
        <f t="shared" si="155"/>
        <v>0</v>
      </c>
      <c r="Y2015" s="179"/>
      <c r="Z2015" s="466">
        <f t="shared" si="156"/>
        <v>0</v>
      </c>
      <c r="AA2015" s="473">
        <f t="shared" si="157"/>
        <v>0</v>
      </c>
      <c r="AB2015" s="339">
        <f t="shared" si="158"/>
        <v>0</v>
      </c>
    </row>
    <row r="2016" spans="2:28" ht="20.100000000000001" customHeight="1">
      <c r="B2016" s="172"/>
      <c r="C2016" s="174"/>
      <c r="D2016" s="181"/>
      <c r="E2016" s="173"/>
      <c r="F2016" s="176"/>
      <c r="G2016" s="175">
        <f t="shared" si="160"/>
        <v>0</v>
      </c>
      <c r="H2016" s="175">
        <f t="shared" si="153"/>
        <v>0</v>
      </c>
      <c r="I2016" s="177">
        <f>IF(G2016=0,0,IF(E2016="MXN",1/HLOOKUP(YEAR(C2016)+(MONTH(C2016)/100),TC!$5:$37,DAY(C2016)+2,FALSE),VLOOKUP(E2016,Equivalencia!$5:$23,((MAX(Equivalencia!$3:$3)-YEAR(C2016))*14)+MONTH(C2016)+2,FALSE)))</f>
        <v>0</v>
      </c>
      <c r="J2016" s="178">
        <f t="shared" si="161"/>
        <v>0</v>
      </c>
      <c r="K2016" s="462">
        <f>IF(C2016=0,0,VLOOKUP(YEAR(C2016),INPC!$B$4:$O$29,MONTH(C2016)+1))</f>
        <v>0</v>
      </c>
      <c r="L2016" s="462">
        <f>IF(S2016=0,0,VLOOKUP(YEAR(S2016),INPC!$B$4:$O$29,MONTH(S2016)+1))</f>
        <v>0</v>
      </c>
      <c r="M2016" s="463">
        <f t="shared" si="154"/>
        <v>0</v>
      </c>
      <c r="N2016" s="465">
        <f t="shared" si="162"/>
        <v>0</v>
      </c>
      <c r="O2016" s="179"/>
      <c r="P2016" s="180"/>
      <c r="Q2016" s="173"/>
      <c r="R2016" s="173"/>
      <c r="S2016" s="174"/>
      <c r="T2016" s="173"/>
      <c r="U2016" s="182"/>
      <c r="V2016" s="177">
        <f>IF(U2016=0,0,IF(T2016="MXN",1/HLOOKUP(YEAR(S2016)+(MONTH(S2016)/100),TC!$5:$37,DAY(S2016)+2,FALSE),VLOOKUP(T2016,Equivalencia!$1:$23,((MAX(Equivalencia!$3:$3)-YEAR(S2016))*14)+MONTH(S2016)+2,FALSE)))</f>
        <v>0</v>
      </c>
      <c r="W2016" s="178">
        <f t="shared" si="159"/>
        <v>0</v>
      </c>
      <c r="X2016" s="481">
        <f t="shared" si="155"/>
        <v>0</v>
      </c>
      <c r="Y2016" s="179"/>
      <c r="Z2016" s="466">
        <f t="shared" si="156"/>
        <v>0</v>
      </c>
      <c r="AA2016" s="473">
        <f t="shared" si="157"/>
        <v>0</v>
      </c>
      <c r="AB2016" s="339">
        <f t="shared" si="158"/>
        <v>0</v>
      </c>
    </row>
    <row r="2017" spans="2:28" ht="20.100000000000001" customHeight="1">
      <c r="B2017" s="172"/>
      <c r="C2017" s="174"/>
      <c r="D2017" s="181"/>
      <c r="E2017" s="173"/>
      <c r="F2017" s="176"/>
      <c r="G2017" s="175">
        <f t="shared" si="160"/>
        <v>0</v>
      </c>
      <c r="H2017" s="175">
        <f t="shared" si="153"/>
        <v>0</v>
      </c>
      <c r="I2017" s="177">
        <f>IF(G2017=0,0,IF(E2017="MXN",1/HLOOKUP(YEAR(C2017)+(MONTH(C2017)/100),TC!$5:$37,DAY(C2017)+2,FALSE),VLOOKUP(E2017,Equivalencia!$5:$23,((MAX(Equivalencia!$3:$3)-YEAR(C2017))*14)+MONTH(C2017)+2,FALSE)))</f>
        <v>0</v>
      </c>
      <c r="J2017" s="178">
        <f t="shared" si="161"/>
        <v>0</v>
      </c>
      <c r="K2017" s="462">
        <f>IF(C2017=0,0,VLOOKUP(YEAR(C2017),INPC!$B$4:$O$29,MONTH(C2017)+1))</f>
        <v>0</v>
      </c>
      <c r="L2017" s="462">
        <f>IF(S2017=0,0,VLOOKUP(YEAR(S2017),INPC!$B$4:$O$29,MONTH(S2017)+1))</f>
        <v>0</v>
      </c>
      <c r="M2017" s="463">
        <f t="shared" si="154"/>
        <v>0</v>
      </c>
      <c r="N2017" s="465">
        <f t="shared" si="162"/>
        <v>0</v>
      </c>
      <c r="O2017" s="179"/>
      <c r="P2017" s="180"/>
      <c r="Q2017" s="173"/>
      <c r="R2017" s="173"/>
      <c r="S2017" s="174"/>
      <c r="T2017" s="173"/>
      <c r="U2017" s="182"/>
      <c r="V2017" s="177">
        <f>IF(U2017=0,0,IF(T2017="MXN",1/HLOOKUP(YEAR(S2017)+(MONTH(S2017)/100),TC!$5:$37,DAY(S2017)+2,FALSE),VLOOKUP(T2017,Equivalencia!$1:$23,((MAX(Equivalencia!$3:$3)-YEAR(S2017))*14)+MONTH(S2017)+2,FALSE)))</f>
        <v>0</v>
      </c>
      <c r="W2017" s="178">
        <f t="shared" si="159"/>
        <v>0</v>
      </c>
      <c r="X2017" s="481">
        <f t="shared" si="155"/>
        <v>0</v>
      </c>
      <c r="Y2017" s="179"/>
      <c r="Z2017" s="466">
        <f t="shared" si="156"/>
        <v>0</v>
      </c>
      <c r="AA2017" s="473">
        <f t="shared" si="157"/>
        <v>0</v>
      </c>
      <c r="AB2017" s="339">
        <f t="shared" si="158"/>
        <v>0</v>
      </c>
    </row>
    <row r="2018" spans="2:28" ht="20.100000000000001" customHeight="1">
      <c r="B2018" s="172"/>
      <c r="C2018" s="174"/>
      <c r="D2018" s="181"/>
      <c r="E2018" s="173"/>
      <c r="F2018" s="176"/>
      <c r="G2018" s="175">
        <f t="shared" si="160"/>
        <v>0</v>
      </c>
      <c r="H2018" s="175">
        <f t="shared" si="153"/>
        <v>0</v>
      </c>
      <c r="I2018" s="177">
        <f>IF(G2018=0,0,IF(E2018="MXN",1/HLOOKUP(YEAR(C2018)+(MONTH(C2018)/100),TC!$5:$37,DAY(C2018)+2,FALSE),VLOOKUP(E2018,Equivalencia!$5:$23,((MAX(Equivalencia!$3:$3)-YEAR(C2018))*14)+MONTH(C2018)+2,FALSE)))</f>
        <v>0</v>
      </c>
      <c r="J2018" s="178">
        <f t="shared" si="161"/>
        <v>0</v>
      </c>
      <c r="K2018" s="462">
        <f>IF(C2018=0,0,VLOOKUP(YEAR(C2018),INPC!$B$4:$O$29,MONTH(C2018)+1))</f>
        <v>0</v>
      </c>
      <c r="L2018" s="462">
        <f>IF(S2018=0,0,VLOOKUP(YEAR(S2018),INPC!$B$4:$O$29,MONTH(S2018)+1))</f>
        <v>0</v>
      </c>
      <c r="M2018" s="463">
        <f t="shared" si="154"/>
        <v>0</v>
      </c>
      <c r="N2018" s="465">
        <f t="shared" si="162"/>
        <v>0</v>
      </c>
      <c r="O2018" s="179"/>
      <c r="P2018" s="180"/>
      <c r="Q2018" s="173"/>
      <c r="R2018" s="173"/>
      <c r="S2018" s="174"/>
      <c r="T2018" s="173"/>
      <c r="U2018" s="182"/>
      <c r="V2018" s="177">
        <f>IF(U2018=0,0,IF(T2018="MXN",1/HLOOKUP(YEAR(S2018)+(MONTH(S2018)/100),TC!$5:$37,DAY(S2018)+2,FALSE),VLOOKUP(T2018,Equivalencia!$1:$23,((MAX(Equivalencia!$3:$3)-YEAR(S2018))*14)+MONTH(S2018)+2,FALSE)))</f>
        <v>0</v>
      </c>
      <c r="W2018" s="178">
        <f t="shared" si="159"/>
        <v>0</v>
      </c>
      <c r="X2018" s="481">
        <f t="shared" si="155"/>
        <v>0</v>
      </c>
      <c r="Y2018" s="179"/>
      <c r="Z2018" s="466">
        <f t="shared" si="156"/>
        <v>0</v>
      </c>
      <c r="AA2018" s="473">
        <f t="shared" si="157"/>
        <v>0</v>
      </c>
      <c r="AB2018" s="339">
        <f t="shared" si="158"/>
        <v>0</v>
      </c>
    </row>
    <row r="2019" spans="2:28" ht="20.100000000000001" customHeight="1">
      <c r="B2019" s="172"/>
      <c r="C2019" s="174"/>
      <c r="D2019" s="181"/>
      <c r="E2019" s="173"/>
      <c r="F2019" s="176"/>
      <c r="G2019" s="175">
        <f t="shared" si="160"/>
        <v>0</v>
      </c>
      <c r="H2019" s="175">
        <f t="shared" si="153"/>
        <v>0</v>
      </c>
      <c r="I2019" s="177">
        <f>IF(G2019=0,0,IF(E2019="MXN",1/HLOOKUP(YEAR(C2019)+(MONTH(C2019)/100),TC!$5:$37,DAY(C2019)+2,FALSE),VLOOKUP(E2019,Equivalencia!$5:$23,((MAX(Equivalencia!$3:$3)-YEAR(C2019))*14)+MONTH(C2019)+2,FALSE)))</f>
        <v>0</v>
      </c>
      <c r="J2019" s="178">
        <f t="shared" si="161"/>
        <v>0</v>
      </c>
      <c r="K2019" s="462">
        <f>IF(C2019=0,0,VLOOKUP(YEAR(C2019),INPC!$B$4:$O$29,MONTH(C2019)+1))</f>
        <v>0</v>
      </c>
      <c r="L2019" s="462">
        <f>IF(S2019=0,0,VLOOKUP(YEAR(S2019),INPC!$B$4:$O$29,MONTH(S2019)+1))</f>
        <v>0</v>
      </c>
      <c r="M2019" s="463">
        <f t="shared" si="154"/>
        <v>0</v>
      </c>
      <c r="N2019" s="465">
        <f t="shared" si="162"/>
        <v>0</v>
      </c>
      <c r="O2019" s="179"/>
      <c r="P2019" s="180"/>
      <c r="Q2019" s="173"/>
      <c r="R2019" s="173"/>
      <c r="S2019" s="174"/>
      <c r="T2019" s="173"/>
      <c r="U2019" s="182"/>
      <c r="V2019" s="177">
        <f>IF(U2019=0,0,IF(T2019="MXN",1/HLOOKUP(YEAR(S2019)+(MONTH(S2019)/100),TC!$5:$37,DAY(S2019)+2,FALSE),VLOOKUP(T2019,Equivalencia!$1:$23,((MAX(Equivalencia!$3:$3)-YEAR(S2019))*14)+MONTH(S2019)+2,FALSE)))</f>
        <v>0</v>
      </c>
      <c r="W2019" s="178">
        <f t="shared" si="159"/>
        <v>0</v>
      </c>
      <c r="X2019" s="481">
        <f t="shared" si="155"/>
        <v>0</v>
      </c>
      <c r="Y2019" s="179"/>
      <c r="Z2019" s="466">
        <f t="shared" si="156"/>
        <v>0</v>
      </c>
      <c r="AA2019" s="473">
        <f t="shared" si="157"/>
        <v>0</v>
      </c>
      <c r="AB2019" s="339">
        <f t="shared" si="158"/>
        <v>0</v>
      </c>
    </row>
    <row r="2020" spans="2:28" ht="20.100000000000001" customHeight="1">
      <c r="B2020" s="172"/>
      <c r="C2020" s="174"/>
      <c r="D2020" s="181"/>
      <c r="E2020" s="173"/>
      <c r="F2020" s="176"/>
      <c r="G2020" s="175">
        <f t="shared" si="160"/>
        <v>0</v>
      </c>
      <c r="H2020" s="175">
        <f t="shared" si="153"/>
        <v>0</v>
      </c>
      <c r="I2020" s="177">
        <f>IF(G2020=0,0,IF(E2020="MXN",1/HLOOKUP(YEAR(C2020)+(MONTH(C2020)/100),TC!$5:$37,DAY(C2020)+2,FALSE),VLOOKUP(E2020,Equivalencia!$5:$23,((MAX(Equivalencia!$3:$3)-YEAR(C2020))*14)+MONTH(C2020)+2,FALSE)))</f>
        <v>0</v>
      </c>
      <c r="J2020" s="178">
        <f t="shared" si="161"/>
        <v>0</v>
      </c>
      <c r="K2020" s="462">
        <f>IF(C2020=0,0,VLOOKUP(YEAR(C2020),INPC!$B$4:$O$29,MONTH(C2020)+1))</f>
        <v>0</v>
      </c>
      <c r="L2020" s="462">
        <f>IF(S2020=0,0,VLOOKUP(YEAR(S2020),INPC!$B$4:$O$29,MONTH(S2020)+1))</f>
        <v>0</v>
      </c>
      <c r="M2020" s="463">
        <f t="shared" si="154"/>
        <v>0</v>
      </c>
      <c r="N2020" s="465">
        <f t="shared" si="162"/>
        <v>0</v>
      </c>
      <c r="O2020" s="179"/>
      <c r="P2020" s="180"/>
      <c r="Q2020" s="173"/>
      <c r="R2020" s="173"/>
      <c r="S2020" s="174"/>
      <c r="T2020" s="173"/>
      <c r="U2020" s="182"/>
      <c r="V2020" s="177">
        <f>IF(U2020=0,0,IF(T2020="MXN",1/HLOOKUP(YEAR(S2020)+(MONTH(S2020)/100),TC!$5:$37,DAY(S2020)+2,FALSE),VLOOKUP(T2020,Equivalencia!$1:$23,((MAX(Equivalencia!$3:$3)-YEAR(S2020))*14)+MONTH(S2020)+2,FALSE)))</f>
        <v>0</v>
      </c>
      <c r="W2020" s="178">
        <f t="shared" si="159"/>
        <v>0</v>
      </c>
      <c r="X2020" s="481">
        <f t="shared" si="155"/>
        <v>0</v>
      </c>
      <c r="Y2020" s="179"/>
      <c r="Z2020" s="466">
        <f t="shared" si="156"/>
        <v>0</v>
      </c>
      <c r="AA2020" s="473">
        <f t="shared" si="157"/>
        <v>0</v>
      </c>
      <c r="AB2020" s="339">
        <f t="shared" si="158"/>
        <v>0</v>
      </c>
    </row>
    <row r="2021" spans="2:28" ht="20.100000000000001" customHeight="1">
      <c r="B2021" s="172"/>
      <c r="C2021" s="174"/>
      <c r="D2021" s="181"/>
      <c r="E2021" s="173"/>
      <c r="F2021" s="176"/>
      <c r="G2021" s="175">
        <f t="shared" si="160"/>
        <v>0</v>
      </c>
      <c r="H2021" s="175">
        <f t="shared" si="153"/>
        <v>0</v>
      </c>
      <c r="I2021" s="177">
        <f>IF(G2021=0,0,IF(E2021="MXN",1/HLOOKUP(YEAR(C2021)+(MONTH(C2021)/100),TC!$5:$37,DAY(C2021)+2,FALSE),VLOOKUP(E2021,Equivalencia!$5:$23,((MAX(Equivalencia!$3:$3)-YEAR(C2021))*14)+MONTH(C2021)+2,FALSE)))</f>
        <v>0</v>
      </c>
      <c r="J2021" s="178">
        <f t="shared" si="161"/>
        <v>0</v>
      </c>
      <c r="K2021" s="462">
        <f>IF(C2021=0,0,VLOOKUP(YEAR(C2021),INPC!$B$4:$O$29,MONTH(C2021)+1))</f>
        <v>0</v>
      </c>
      <c r="L2021" s="462">
        <f>IF(S2021=0,0,VLOOKUP(YEAR(S2021),INPC!$B$4:$O$29,MONTH(S2021)+1))</f>
        <v>0</v>
      </c>
      <c r="M2021" s="463">
        <f t="shared" si="154"/>
        <v>0</v>
      </c>
      <c r="N2021" s="465">
        <f t="shared" si="162"/>
        <v>0</v>
      </c>
      <c r="O2021" s="179"/>
      <c r="P2021" s="180"/>
      <c r="Q2021" s="173"/>
      <c r="R2021" s="173"/>
      <c r="S2021" s="174"/>
      <c r="T2021" s="173"/>
      <c r="U2021" s="182"/>
      <c r="V2021" s="177">
        <f>IF(U2021=0,0,IF(T2021="MXN",1/HLOOKUP(YEAR(S2021)+(MONTH(S2021)/100),TC!$5:$37,DAY(S2021)+2,FALSE),VLOOKUP(T2021,Equivalencia!$1:$23,((MAX(Equivalencia!$3:$3)-YEAR(S2021))*14)+MONTH(S2021)+2,FALSE)))</f>
        <v>0</v>
      </c>
      <c r="W2021" s="178">
        <f t="shared" si="159"/>
        <v>0</v>
      </c>
      <c r="X2021" s="481">
        <f t="shared" si="155"/>
        <v>0</v>
      </c>
      <c r="Y2021" s="179"/>
      <c r="Z2021" s="466">
        <f t="shared" si="156"/>
        <v>0</v>
      </c>
      <c r="AA2021" s="473">
        <f t="shared" si="157"/>
        <v>0</v>
      </c>
      <c r="AB2021" s="339">
        <f t="shared" si="158"/>
        <v>0</v>
      </c>
    </row>
    <row r="2022" spans="2:28" ht="20.100000000000001" customHeight="1">
      <c r="B2022" s="172"/>
      <c r="C2022" s="174"/>
      <c r="D2022" s="181"/>
      <c r="E2022" s="173"/>
      <c r="F2022" s="176"/>
      <c r="G2022" s="175">
        <f t="shared" si="160"/>
        <v>0</v>
      </c>
      <c r="H2022" s="175">
        <f t="shared" si="153"/>
        <v>0</v>
      </c>
      <c r="I2022" s="177">
        <f>IF(G2022=0,0,IF(E2022="MXN",1/HLOOKUP(YEAR(C2022)+(MONTH(C2022)/100),TC!$5:$37,DAY(C2022)+2,FALSE),VLOOKUP(E2022,Equivalencia!$5:$23,((MAX(Equivalencia!$3:$3)-YEAR(C2022))*14)+MONTH(C2022)+2,FALSE)))</f>
        <v>0</v>
      </c>
      <c r="J2022" s="178">
        <f t="shared" si="161"/>
        <v>0</v>
      </c>
      <c r="K2022" s="462">
        <f>IF(C2022=0,0,VLOOKUP(YEAR(C2022),INPC!$B$4:$O$29,MONTH(C2022)+1))</f>
        <v>0</v>
      </c>
      <c r="L2022" s="462">
        <f>IF(S2022=0,0,VLOOKUP(YEAR(S2022),INPC!$B$4:$O$29,MONTH(S2022)+1))</f>
        <v>0</v>
      </c>
      <c r="M2022" s="463">
        <f t="shared" si="154"/>
        <v>0</v>
      </c>
      <c r="N2022" s="465">
        <f t="shared" si="162"/>
        <v>0</v>
      </c>
      <c r="O2022" s="179"/>
      <c r="P2022" s="180"/>
      <c r="Q2022" s="173"/>
      <c r="R2022" s="173"/>
      <c r="S2022" s="174"/>
      <c r="T2022" s="173"/>
      <c r="U2022" s="182"/>
      <c r="V2022" s="177">
        <f>IF(U2022=0,0,IF(T2022="MXN",1/HLOOKUP(YEAR(S2022)+(MONTH(S2022)/100),TC!$5:$37,DAY(S2022)+2,FALSE),VLOOKUP(T2022,Equivalencia!$1:$23,((MAX(Equivalencia!$3:$3)-YEAR(S2022))*14)+MONTH(S2022)+2,FALSE)))</f>
        <v>0</v>
      </c>
      <c r="W2022" s="178">
        <f t="shared" si="159"/>
        <v>0</v>
      </c>
      <c r="X2022" s="481">
        <f t="shared" si="155"/>
        <v>0</v>
      </c>
      <c r="Y2022" s="179"/>
      <c r="Z2022" s="466">
        <f t="shared" si="156"/>
        <v>0</v>
      </c>
      <c r="AA2022" s="473">
        <f t="shared" si="157"/>
        <v>0</v>
      </c>
      <c r="AB2022" s="339">
        <f t="shared" si="158"/>
        <v>0</v>
      </c>
    </row>
    <row r="2023" spans="2:28" ht="20.100000000000001" customHeight="1">
      <c r="B2023" s="172"/>
      <c r="C2023" s="174"/>
      <c r="D2023" s="181"/>
      <c r="E2023" s="173"/>
      <c r="F2023" s="176"/>
      <c r="G2023" s="175">
        <f t="shared" si="160"/>
        <v>0</v>
      </c>
      <c r="H2023" s="175">
        <f t="shared" si="153"/>
        <v>0</v>
      </c>
      <c r="I2023" s="177">
        <f>IF(G2023=0,0,IF(E2023="MXN",1/HLOOKUP(YEAR(C2023)+(MONTH(C2023)/100),TC!$5:$37,DAY(C2023)+2,FALSE),VLOOKUP(E2023,Equivalencia!$5:$23,((MAX(Equivalencia!$3:$3)-YEAR(C2023))*14)+MONTH(C2023)+2,FALSE)))</f>
        <v>0</v>
      </c>
      <c r="J2023" s="178">
        <f t="shared" si="161"/>
        <v>0</v>
      </c>
      <c r="K2023" s="462">
        <f>IF(C2023=0,0,VLOOKUP(YEAR(C2023),INPC!$B$4:$O$29,MONTH(C2023)+1))</f>
        <v>0</v>
      </c>
      <c r="L2023" s="462">
        <f>IF(S2023=0,0,VLOOKUP(YEAR(S2023),INPC!$B$4:$O$29,MONTH(S2023)+1))</f>
        <v>0</v>
      </c>
      <c r="M2023" s="463">
        <f t="shared" si="154"/>
        <v>0</v>
      </c>
      <c r="N2023" s="465">
        <f t="shared" si="162"/>
        <v>0</v>
      </c>
      <c r="O2023" s="179"/>
      <c r="P2023" s="180"/>
      <c r="Q2023" s="173"/>
      <c r="R2023" s="173"/>
      <c r="S2023" s="174"/>
      <c r="T2023" s="173"/>
      <c r="U2023" s="182"/>
      <c r="V2023" s="177">
        <f>IF(U2023=0,0,IF(T2023="MXN",1/HLOOKUP(YEAR(S2023)+(MONTH(S2023)/100),TC!$5:$37,DAY(S2023)+2,FALSE),VLOOKUP(T2023,Equivalencia!$1:$23,((MAX(Equivalencia!$3:$3)-YEAR(S2023))*14)+MONTH(S2023)+2,FALSE)))</f>
        <v>0</v>
      </c>
      <c r="W2023" s="178">
        <f t="shared" si="159"/>
        <v>0</v>
      </c>
      <c r="X2023" s="481">
        <f t="shared" si="155"/>
        <v>0</v>
      </c>
      <c r="Y2023" s="179"/>
      <c r="Z2023" s="466">
        <f t="shared" si="156"/>
        <v>0</v>
      </c>
      <c r="AA2023" s="473">
        <f t="shared" si="157"/>
        <v>0</v>
      </c>
      <c r="AB2023" s="339">
        <f t="shared" si="158"/>
        <v>0</v>
      </c>
    </row>
    <row r="2024" spans="2:28" ht="20.100000000000001" customHeight="1">
      <c r="B2024" s="172"/>
      <c r="C2024" s="174"/>
      <c r="D2024" s="181"/>
      <c r="E2024" s="173"/>
      <c r="F2024" s="176"/>
      <c r="G2024" s="175">
        <f t="shared" si="160"/>
        <v>0</v>
      </c>
      <c r="H2024" s="175">
        <f t="shared" si="153"/>
        <v>0</v>
      </c>
      <c r="I2024" s="177">
        <f>IF(G2024=0,0,IF(E2024="MXN",1/HLOOKUP(YEAR(C2024)+(MONTH(C2024)/100),TC!$5:$37,DAY(C2024)+2,FALSE),VLOOKUP(E2024,Equivalencia!$5:$23,((MAX(Equivalencia!$3:$3)-YEAR(C2024))*14)+MONTH(C2024)+2,FALSE)))</f>
        <v>0</v>
      </c>
      <c r="J2024" s="178">
        <f t="shared" si="161"/>
        <v>0</v>
      </c>
      <c r="K2024" s="462">
        <f>IF(C2024=0,0,VLOOKUP(YEAR(C2024),INPC!$B$4:$O$29,MONTH(C2024)+1))</f>
        <v>0</v>
      </c>
      <c r="L2024" s="462">
        <f>IF(S2024=0,0,VLOOKUP(YEAR(S2024),INPC!$B$4:$O$29,MONTH(S2024)+1))</f>
        <v>0</v>
      </c>
      <c r="M2024" s="463">
        <f t="shared" si="154"/>
        <v>0</v>
      </c>
      <c r="N2024" s="465">
        <f t="shared" si="162"/>
        <v>0</v>
      </c>
      <c r="O2024" s="179"/>
      <c r="P2024" s="180"/>
      <c r="Q2024" s="173"/>
      <c r="R2024" s="173"/>
      <c r="S2024" s="174"/>
      <c r="T2024" s="173"/>
      <c r="U2024" s="182"/>
      <c r="V2024" s="177">
        <f>IF(U2024=0,0,IF(T2024="MXN",1/HLOOKUP(YEAR(S2024)+(MONTH(S2024)/100),TC!$5:$37,DAY(S2024)+2,FALSE),VLOOKUP(T2024,Equivalencia!$1:$23,((MAX(Equivalencia!$3:$3)-YEAR(S2024))*14)+MONTH(S2024)+2,FALSE)))</f>
        <v>0</v>
      </c>
      <c r="W2024" s="178">
        <f t="shared" si="159"/>
        <v>0</v>
      </c>
      <c r="X2024" s="481">
        <f t="shared" si="155"/>
        <v>0</v>
      </c>
      <c r="Y2024" s="179"/>
      <c r="Z2024" s="466">
        <f t="shared" si="156"/>
        <v>0</v>
      </c>
      <c r="AA2024" s="473">
        <f t="shared" si="157"/>
        <v>0</v>
      </c>
      <c r="AB2024" s="339">
        <f t="shared" si="158"/>
        <v>0</v>
      </c>
    </row>
    <row r="2025" spans="2:28" ht="20.100000000000001" customHeight="1">
      <c r="B2025" s="172"/>
      <c r="C2025" s="174"/>
      <c r="D2025" s="181"/>
      <c r="E2025" s="173"/>
      <c r="F2025" s="176"/>
      <c r="G2025" s="175">
        <f t="shared" si="160"/>
        <v>0</v>
      </c>
      <c r="H2025" s="175">
        <f t="shared" si="153"/>
        <v>0</v>
      </c>
      <c r="I2025" s="177">
        <f>IF(G2025=0,0,IF(E2025="MXN",1/HLOOKUP(YEAR(C2025)+(MONTH(C2025)/100),TC!$5:$37,DAY(C2025)+2,FALSE),VLOOKUP(E2025,Equivalencia!$5:$23,((MAX(Equivalencia!$3:$3)-YEAR(C2025))*14)+MONTH(C2025)+2,FALSE)))</f>
        <v>0</v>
      </c>
      <c r="J2025" s="178">
        <f t="shared" si="161"/>
        <v>0</v>
      </c>
      <c r="K2025" s="462">
        <f>IF(C2025=0,0,VLOOKUP(YEAR(C2025),INPC!$B$4:$O$29,MONTH(C2025)+1))</f>
        <v>0</v>
      </c>
      <c r="L2025" s="462">
        <f>IF(S2025=0,0,VLOOKUP(YEAR(S2025),INPC!$B$4:$O$29,MONTH(S2025)+1))</f>
        <v>0</v>
      </c>
      <c r="M2025" s="463">
        <f t="shared" si="154"/>
        <v>0</v>
      </c>
      <c r="N2025" s="465">
        <f t="shared" si="162"/>
        <v>0</v>
      </c>
      <c r="O2025" s="179"/>
      <c r="P2025" s="180"/>
      <c r="Q2025" s="173"/>
      <c r="R2025" s="173"/>
      <c r="S2025" s="174"/>
      <c r="T2025" s="173"/>
      <c r="U2025" s="182"/>
      <c r="V2025" s="177">
        <f>IF(U2025=0,0,IF(T2025="MXN",1/HLOOKUP(YEAR(S2025)+(MONTH(S2025)/100),TC!$5:$37,DAY(S2025)+2,FALSE),VLOOKUP(T2025,Equivalencia!$1:$23,((MAX(Equivalencia!$3:$3)-YEAR(S2025))*14)+MONTH(S2025)+2,FALSE)))</f>
        <v>0</v>
      </c>
      <c r="W2025" s="178">
        <f t="shared" si="159"/>
        <v>0</v>
      </c>
      <c r="X2025" s="481">
        <f t="shared" si="155"/>
        <v>0</v>
      </c>
      <c r="Y2025" s="179"/>
      <c r="Z2025" s="466">
        <f t="shared" si="156"/>
        <v>0</v>
      </c>
      <c r="AA2025" s="473">
        <f t="shared" si="157"/>
        <v>0</v>
      </c>
      <c r="AB2025" s="339">
        <f t="shared" si="158"/>
        <v>0</v>
      </c>
    </row>
    <row r="2026" spans="2:28" ht="20.100000000000001" customHeight="1">
      <c r="B2026" s="172"/>
      <c r="C2026" s="174"/>
      <c r="D2026" s="181"/>
      <c r="E2026" s="173"/>
      <c r="F2026" s="176"/>
      <c r="G2026" s="175">
        <f t="shared" si="160"/>
        <v>0</v>
      </c>
      <c r="H2026" s="175">
        <f t="shared" si="153"/>
        <v>0</v>
      </c>
      <c r="I2026" s="177">
        <f>IF(G2026=0,0,IF(E2026="MXN",1/HLOOKUP(YEAR(C2026)+(MONTH(C2026)/100),TC!$5:$37,DAY(C2026)+2,FALSE),VLOOKUP(E2026,Equivalencia!$5:$23,((MAX(Equivalencia!$3:$3)-YEAR(C2026))*14)+MONTH(C2026)+2,FALSE)))</f>
        <v>0</v>
      </c>
      <c r="J2026" s="178">
        <f t="shared" si="161"/>
        <v>0</v>
      </c>
      <c r="K2026" s="462">
        <f>IF(C2026=0,0,VLOOKUP(YEAR(C2026),INPC!$B$4:$O$29,MONTH(C2026)+1))</f>
        <v>0</v>
      </c>
      <c r="L2026" s="462">
        <f>IF(S2026=0,0,VLOOKUP(YEAR(S2026),INPC!$B$4:$O$29,MONTH(S2026)+1))</f>
        <v>0</v>
      </c>
      <c r="M2026" s="463">
        <f t="shared" si="154"/>
        <v>0</v>
      </c>
      <c r="N2026" s="465">
        <f t="shared" si="162"/>
        <v>0</v>
      </c>
      <c r="O2026" s="179"/>
      <c r="P2026" s="180"/>
      <c r="Q2026" s="173"/>
      <c r="R2026" s="173"/>
      <c r="S2026" s="174"/>
      <c r="T2026" s="173"/>
      <c r="U2026" s="182"/>
      <c r="V2026" s="177">
        <f>IF(U2026=0,0,IF(T2026="MXN",1/HLOOKUP(YEAR(S2026)+(MONTH(S2026)/100),TC!$5:$37,DAY(S2026)+2,FALSE),VLOOKUP(T2026,Equivalencia!$1:$23,((MAX(Equivalencia!$3:$3)-YEAR(S2026))*14)+MONTH(S2026)+2,FALSE)))</f>
        <v>0</v>
      </c>
      <c r="W2026" s="178">
        <f t="shared" si="159"/>
        <v>0</v>
      </c>
      <c r="X2026" s="481">
        <f t="shared" si="155"/>
        <v>0</v>
      </c>
      <c r="Y2026" s="179"/>
      <c r="Z2026" s="466">
        <f t="shared" si="156"/>
        <v>0</v>
      </c>
      <c r="AA2026" s="473">
        <f t="shared" si="157"/>
        <v>0</v>
      </c>
      <c r="AB2026" s="339">
        <f t="shared" si="158"/>
        <v>0</v>
      </c>
    </row>
    <row r="2027" spans="2:28" ht="20.100000000000001" customHeight="1">
      <c r="B2027" s="172"/>
      <c r="C2027" s="174"/>
      <c r="D2027" s="181"/>
      <c r="E2027" s="173"/>
      <c r="F2027" s="176"/>
      <c r="G2027" s="175">
        <f t="shared" si="160"/>
        <v>0</v>
      </c>
      <c r="H2027" s="175">
        <f t="shared" si="153"/>
        <v>0</v>
      </c>
      <c r="I2027" s="177">
        <f>IF(G2027=0,0,IF(E2027="MXN",1/HLOOKUP(YEAR(C2027)+(MONTH(C2027)/100),TC!$5:$37,DAY(C2027)+2,FALSE),VLOOKUP(E2027,Equivalencia!$5:$23,((MAX(Equivalencia!$3:$3)-YEAR(C2027))*14)+MONTH(C2027)+2,FALSE)))</f>
        <v>0</v>
      </c>
      <c r="J2027" s="178">
        <f t="shared" si="161"/>
        <v>0</v>
      </c>
      <c r="K2027" s="462">
        <f>IF(C2027=0,0,VLOOKUP(YEAR(C2027),INPC!$B$4:$O$29,MONTH(C2027)+1))</f>
        <v>0</v>
      </c>
      <c r="L2027" s="462">
        <f>IF(S2027=0,0,VLOOKUP(YEAR(S2027),INPC!$B$4:$O$29,MONTH(S2027)+1))</f>
        <v>0</v>
      </c>
      <c r="M2027" s="463">
        <f t="shared" si="154"/>
        <v>0</v>
      </c>
      <c r="N2027" s="465">
        <f t="shared" si="162"/>
        <v>0</v>
      </c>
      <c r="O2027" s="179"/>
      <c r="P2027" s="180"/>
      <c r="Q2027" s="173"/>
      <c r="R2027" s="173"/>
      <c r="S2027" s="174"/>
      <c r="T2027" s="173"/>
      <c r="U2027" s="182"/>
      <c r="V2027" s="177">
        <f>IF(U2027=0,0,IF(T2027="MXN",1/HLOOKUP(YEAR(S2027)+(MONTH(S2027)/100),TC!$5:$37,DAY(S2027)+2,FALSE),VLOOKUP(T2027,Equivalencia!$1:$23,((MAX(Equivalencia!$3:$3)-YEAR(S2027))*14)+MONTH(S2027)+2,FALSE)))</f>
        <v>0</v>
      </c>
      <c r="W2027" s="178">
        <f t="shared" si="159"/>
        <v>0</v>
      </c>
      <c r="X2027" s="481">
        <f t="shared" si="155"/>
        <v>0</v>
      </c>
      <c r="Y2027" s="179"/>
      <c r="Z2027" s="466">
        <f t="shared" si="156"/>
        <v>0</v>
      </c>
      <c r="AA2027" s="473">
        <f t="shared" si="157"/>
        <v>0</v>
      </c>
      <c r="AB2027" s="339">
        <f t="shared" si="158"/>
        <v>0</v>
      </c>
    </row>
    <row r="2028" spans="2:28" ht="20.100000000000001" customHeight="1">
      <c r="B2028" s="172"/>
      <c r="C2028" s="174"/>
      <c r="D2028" s="181"/>
      <c r="E2028" s="173"/>
      <c r="F2028" s="176"/>
      <c r="G2028" s="175">
        <f t="shared" si="160"/>
        <v>0</v>
      </c>
      <c r="H2028" s="175">
        <f t="shared" si="153"/>
        <v>0</v>
      </c>
      <c r="I2028" s="177">
        <f>IF(G2028=0,0,IF(E2028="MXN",1/HLOOKUP(YEAR(C2028)+(MONTH(C2028)/100),TC!$5:$37,DAY(C2028)+2,FALSE),VLOOKUP(E2028,Equivalencia!$5:$23,((MAX(Equivalencia!$3:$3)-YEAR(C2028))*14)+MONTH(C2028)+2,FALSE)))</f>
        <v>0</v>
      </c>
      <c r="J2028" s="178">
        <f t="shared" si="161"/>
        <v>0</v>
      </c>
      <c r="K2028" s="462">
        <f>IF(C2028=0,0,VLOOKUP(YEAR(C2028),INPC!$B$4:$O$29,MONTH(C2028)+1))</f>
        <v>0</v>
      </c>
      <c r="L2028" s="462">
        <f>IF(S2028=0,0,VLOOKUP(YEAR(S2028),INPC!$B$4:$O$29,MONTH(S2028)+1))</f>
        <v>0</v>
      </c>
      <c r="M2028" s="463">
        <f t="shared" si="154"/>
        <v>0</v>
      </c>
      <c r="N2028" s="465">
        <f t="shared" si="162"/>
        <v>0</v>
      </c>
      <c r="O2028" s="179"/>
      <c r="P2028" s="180"/>
      <c r="Q2028" s="173"/>
      <c r="R2028" s="173"/>
      <c r="S2028" s="174"/>
      <c r="T2028" s="173"/>
      <c r="U2028" s="182"/>
      <c r="V2028" s="177">
        <f>IF(U2028=0,0,IF(T2028="MXN",1/HLOOKUP(YEAR(S2028)+(MONTH(S2028)/100),TC!$5:$37,DAY(S2028)+2,FALSE),VLOOKUP(T2028,Equivalencia!$1:$23,((MAX(Equivalencia!$3:$3)-YEAR(S2028))*14)+MONTH(S2028)+2,FALSE)))</f>
        <v>0</v>
      </c>
      <c r="W2028" s="178">
        <f t="shared" si="159"/>
        <v>0</v>
      </c>
      <c r="X2028" s="481">
        <f t="shared" si="155"/>
        <v>0</v>
      </c>
      <c r="Y2028" s="179"/>
      <c r="Z2028" s="466">
        <f t="shared" si="156"/>
        <v>0</v>
      </c>
      <c r="AA2028" s="473">
        <f t="shared" si="157"/>
        <v>0</v>
      </c>
      <c r="AB2028" s="339">
        <f t="shared" si="158"/>
        <v>0</v>
      </c>
    </row>
    <row r="2029" spans="2:28" ht="20.100000000000001" customHeight="1">
      <c r="B2029" s="172"/>
      <c r="C2029" s="174"/>
      <c r="D2029" s="181"/>
      <c r="E2029" s="173"/>
      <c r="F2029" s="176"/>
      <c r="G2029" s="175">
        <f t="shared" si="160"/>
        <v>0</v>
      </c>
      <c r="H2029" s="175">
        <f t="shared" si="153"/>
        <v>0</v>
      </c>
      <c r="I2029" s="177">
        <f>IF(G2029=0,0,IF(E2029="MXN",1/HLOOKUP(YEAR(C2029)+(MONTH(C2029)/100),TC!$5:$37,DAY(C2029)+2,FALSE),VLOOKUP(E2029,Equivalencia!$5:$23,((MAX(Equivalencia!$3:$3)-YEAR(C2029))*14)+MONTH(C2029)+2,FALSE)))</f>
        <v>0</v>
      </c>
      <c r="J2029" s="178">
        <f t="shared" si="161"/>
        <v>0</v>
      </c>
      <c r="K2029" s="462">
        <f>IF(C2029=0,0,VLOOKUP(YEAR(C2029),INPC!$B$4:$O$29,MONTH(C2029)+1))</f>
        <v>0</v>
      </c>
      <c r="L2029" s="462">
        <f>IF(S2029=0,0,VLOOKUP(YEAR(S2029),INPC!$B$4:$O$29,MONTH(S2029)+1))</f>
        <v>0</v>
      </c>
      <c r="M2029" s="463">
        <f t="shared" si="154"/>
        <v>0</v>
      </c>
      <c r="N2029" s="465">
        <f t="shared" si="162"/>
        <v>0</v>
      </c>
      <c r="O2029" s="179"/>
      <c r="P2029" s="180"/>
      <c r="Q2029" s="173"/>
      <c r="R2029" s="173"/>
      <c r="S2029" s="174"/>
      <c r="T2029" s="173"/>
      <c r="U2029" s="182"/>
      <c r="V2029" s="177">
        <f>IF(U2029=0,0,IF(T2029="MXN",1/HLOOKUP(YEAR(S2029)+(MONTH(S2029)/100),TC!$5:$37,DAY(S2029)+2,FALSE),VLOOKUP(T2029,Equivalencia!$1:$23,((MAX(Equivalencia!$3:$3)-YEAR(S2029))*14)+MONTH(S2029)+2,FALSE)))</f>
        <v>0</v>
      </c>
      <c r="W2029" s="178">
        <f t="shared" si="159"/>
        <v>0</v>
      </c>
      <c r="X2029" s="481">
        <f t="shared" si="155"/>
        <v>0</v>
      </c>
      <c r="Y2029" s="179"/>
      <c r="Z2029" s="466">
        <f t="shared" si="156"/>
        <v>0</v>
      </c>
      <c r="AA2029" s="473">
        <f t="shared" si="157"/>
        <v>0</v>
      </c>
      <c r="AB2029" s="339">
        <f t="shared" si="158"/>
        <v>0</v>
      </c>
    </row>
    <row r="2030" spans="2:28" ht="20.100000000000001" customHeight="1">
      <c r="B2030" s="172"/>
      <c r="C2030" s="174"/>
      <c r="D2030" s="181"/>
      <c r="E2030" s="173"/>
      <c r="F2030" s="176"/>
      <c r="G2030" s="175">
        <f t="shared" si="160"/>
        <v>0</v>
      </c>
      <c r="H2030" s="175">
        <f t="shared" si="153"/>
        <v>0</v>
      </c>
      <c r="I2030" s="177">
        <f>IF(G2030=0,0,IF(E2030="MXN",1/HLOOKUP(YEAR(C2030)+(MONTH(C2030)/100),TC!$5:$37,DAY(C2030)+2,FALSE),VLOOKUP(E2030,Equivalencia!$5:$23,((MAX(Equivalencia!$3:$3)-YEAR(C2030))*14)+MONTH(C2030)+2,FALSE)))</f>
        <v>0</v>
      </c>
      <c r="J2030" s="178">
        <f t="shared" si="161"/>
        <v>0</v>
      </c>
      <c r="K2030" s="462">
        <f>IF(C2030=0,0,VLOOKUP(YEAR(C2030),INPC!$B$4:$O$29,MONTH(C2030)+1))</f>
        <v>0</v>
      </c>
      <c r="L2030" s="462">
        <f>IF(S2030=0,0,VLOOKUP(YEAR(S2030),INPC!$B$4:$O$29,MONTH(S2030)+1))</f>
        <v>0</v>
      </c>
      <c r="M2030" s="463">
        <f t="shared" si="154"/>
        <v>0</v>
      </c>
      <c r="N2030" s="465">
        <f t="shared" si="162"/>
        <v>0</v>
      </c>
      <c r="O2030" s="179"/>
      <c r="P2030" s="180"/>
      <c r="Q2030" s="173"/>
      <c r="R2030" s="173"/>
      <c r="S2030" s="174"/>
      <c r="T2030" s="173"/>
      <c r="U2030" s="182"/>
      <c r="V2030" s="177">
        <f>IF(U2030=0,0,IF(T2030="MXN",1/HLOOKUP(YEAR(S2030)+(MONTH(S2030)/100),TC!$5:$37,DAY(S2030)+2,FALSE),VLOOKUP(T2030,Equivalencia!$1:$23,((MAX(Equivalencia!$3:$3)-YEAR(S2030))*14)+MONTH(S2030)+2,FALSE)))</f>
        <v>0</v>
      </c>
      <c r="W2030" s="178">
        <f t="shared" si="159"/>
        <v>0</v>
      </c>
      <c r="X2030" s="481">
        <f t="shared" si="155"/>
        <v>0</v>
      </c>
      <c r="Y2030" s="179"/>
      <c r="Z2030" s="466">
        <f t="shared" si="156"/>
        <v>0</v>
      </c>
      <c r="AA2030" s="473">
        <f t="shared" si="157"/>
        <v>0</v>
      </c>
      <c r="AB2030" s="339">
        <f t="shared" si="158"/>
        <v>0</v>
      </c>
    </row>
    <row r="2031" spans="2:28" ht="20.100000000000001" customHeight="1">
      <c r="B2031" s="172"/>
      <c r="C2031" s="174"/>
      <c r="D2031" s="181"/>
      <c r="E2031" s="173"/>
      <c r="F2031" s="176"/>
      <c r="G2031" s="175">
        <f t="shared" si="160"/>
        <v>0</v>
      </c>
      <c r="H2031" s="175">
        <f t="shared" si="153"/>
        <v>0</v>
      </c>
      <c r="I2031" s="177">
        <f>IF(G2031=0,0,IF(E2031="MXN",1/HLOOKUP(YEAR(C2031)+(MONTH(C2031)/100),TC!$5:$37,DAY(C2031)+2,FALSE),VLOOKUP(E2031,Equivalencia!$5:$23,((MAX(Equivalencia!$3:$3)-YEAR(C2031))*14)+MONTH(C2031)+2,FALSE)))</f>
        <v>0</v>
      </c>
      <c r="J2031" s="178">
        <f t="shared" si="161"/>
        <v>0</v>
      </c>
      <c r="K2031" s="462">
        <f>IF(C2031=0,0,VLOOKUP(YEAR(C2031),INPC!$B$4:$O$29,MONTH(C2031)+1))</f>
        <v>0</v>
      </c>
      <c r="L2031" s="462">
        <f>IF(S2031=0,0,VLOOKUP(YEAR(S2031),INPC!$B$4:$O$29,MONTH(S2031)+1))</f>
        <v>0</v>
      </c>
      <c r="M2031" s="463">
        <f t="shared" si="154"/>
        <v>0</v>
      </c>
      <c r="N2031" s="465">
        <f t="shared" si="162"/>
        <v>0</v>
      </c>
      <c r="O2031" s="179"/>
      <c r="P2031" s="180"/>
      <c r="Q2031" s="173"/>
      <c r="R2031" s="173"/>
      <c r="S2031" s="174"/>
      <c r="T2031" s="173"/>
      <c r="U2031" s="182"/>
      <c r="V2031" s="177">
        <f>IF(U2031=0,0,IF(T2031="MXN",1/HLOOKUP(YEAR(S2031)+(MONTH(S2031)/100),TC!$5:$37,DAY(S2031)+2,FALSE),VLOOKUP(T2031,Equivalencia!$1:$23,((MAX(Equivalencia!$3:$3)-YEAR(S2031))*14)+MONTH(S2031)+2,FALSE)))</f>
        <v>0</v>
      </c>
      <c r="W2031" s="178">
        <f t="shared" si="159"/>
        <v>0</v>
      </c>
      <c r="X2031" s="481">
        <f t="shared" si="155"/>
        <v>0</v>
      </c>
      <c r="Y2031" s="179"/>
      <c r="Z2031" s="466">
        <f t="shared" si="156"/>
        <v>0</v>
      </c>
      <c r="AA2031" s="473">
        <f t="shared" si="157"/>
        <v>0</v>
      </c>
      <c r="AB2031" s="339">
        <f t="shared" si="158"/>
        <v>0</v>
      </c>
    </row>
    <row r="2032" spans="2:28" ht="20.100000000000001" customHeight="1">
      <c r="B2032" s="172"/>
      <c r="C2032" s="174"/>
      <c r="D2032" s="181"/>
      <c r="E2032" s="173"/>
      <c r="F2032" s="176"/>
      <c r="G2032" s="175">
        <f t="shared" si="160"/>
        <v>0</v>
      </c>
      <c r="H2032" s="175">
        <f t="shared" si="153"/>
        <v>0</v>
      </c>
      <c r="I2032" s="177">
        <f>IF(G2032=0,0,IF(E2032="MXN",1/HLOOKUP(YEAR(C2032)+(MONTH(C2032)/100),TC!$5:$37,DAY(C2032)+2,FALSE),VLOOKUP(E2032,Equivalencia!$5:$23,((MAX(Equivalencia!$3:$3)-YEAR(C2032))*14)+MONTH(C2032)+2,FALSE)))</f>
        <v>0</v>
      </c>
      <c r="J2032" s="178">
        <f t="shared" si="161"/>
        <v>0</v>
      </c>
      <c r="K2032" s="462">
        <f>IF(C2032=0,0,VLOOKUP(YEAR(C2032),INPC!$B$4:$O$29,MONTH(C2032)+1))</f>
        <v>0</v>
      </c>
      <c r="L2032" s="462">
        <f>IF(S2032=0,0,VLOOKUP(YEAR(S2032),INPC!$B$4:$O$29,MONTH(S2032)+1))</f>
        <v>0</v>
      </c>
      <c r="M2032" s="463">
        <f t="shared" si="154"/>
        <v>0</v>
      </c>
      <c r="N2032" s="465">
        <f t="shared" si="162"/>
        <v>0</v>
      </c>
      <c r="O2032" s="179"/>
      <c r="P2032" s="180"/>
      <c r="Q2032" s="173"/>
      <c r="R2032" s="173"/>
      <c r="S2032" s="174"/>
      <c r="T2032" s="173"/>
      <c r="U2032" s="182"/>
      <c r="V2032" s="177">
        <f>IF(U2032=0,0,IF(T2032="MXN",1/HLOOKUP(YEAR(S2032)+(MONTH(S2032)/100),TC!$5:$37,DAY(S2032)+2,FALSE),VLOOKUP(T2032,Equivalencia!$1:$23,((MAX(Equivalencia!$3:$3)-YEAR(S2032))*14)+MONTH(S2032)+2,FALSE)))</f>
        <v>0</v>
      </c>
      <c r="W2032" s="178">
        <f t="shared" si="159"/>
        <v>0</v>
      </c>
      <c r="X2032" s="481">
        <f t="shared" si="155"/>
        <v>0</v>
      </c>
      <c r="Y2032" s="179"/>
      <c r="Z2032" s="466">
        <f t="shared" si="156"/>
        <v>0</v>
      </c>
      <c r="AA2032" s="473">
        <f t="shared" si="157"/>
        <v>0</v>
      </c>
      <c r="AB2032" s="339">
        <f t="shared" si="158"/>
        <v>0</v>
      </c>
    </row>
    <row r="2033" spans="2:28" ht="20.100000000000001" customHeight="1">
      <c r="B2033" s="172"/>
      <c r="C2033" s="174"/>
      <c r="D2033" s="181"/>
      <c r="E2033" s="173"/>
      <c r="F2033" s="176"/>
      <c r="G2033" s="175">
        <f t="shared" si="160"/>
        <v>0</v>
      </c>
      <c r="H2033" s="175">
        <f t="shared" si="153"/>
        <v>0</v>
      </c>
      <c r="I2033" s="177">
        <f>IF(G2033=0,0,IF(E2033="MXN",1/HLOOKUP(YEAR(C2033)+(MONTH(C2033)/100),TC!$5:$37,DAY(C2033)+2,FALSE),VLOOKUP(E2033,Equivalencia!$5:$23,((MAX(Equivalencia!$3:$3)-YEAR(C2033))*14)+MONTH(C2033)+2,FALSE)))</f>
        <v>0</v>
      </c>
      <c r="J2033" s="178">
        <f t="shared" si="161"/>
        <v>0</v>
      </c>
      <c r="K2033" s="462">
        <f>IF(C2033=0,0,VLOOKUP(YEAR(C2033),INPC!$B$4:$O$29,MONTH(C2033)+1))</f>
        <v>0</v>
      </c>
      <c r="L2033" s="462">
        <f>IF(S2033=0,0,VLOOKUP(YEAR(S2033),INPC!$B$4:$O$29,MONTH(S2033)+1))</f>
        <v>0</v>
      </c>
      <c r="M2033" s="463">
        <f t="shared" si="154"/>
        <v>0</v>
      </c>
      <c r="N2033" s="465">
        <f t="shared" si="162"/>
        <v>0</v>
      </c>
      <c r="O2033" s="179"/>
      <c r="P2033" s="180"/>
      <c r="Q2033" s="173"/>
      <c r="R2033" s="173"/>
      <c r="S2033" s="174"/>
      <c r="T2033" s="173"/>
      <c r="U2033" s="182"/>
      <c r="V2033" s="177">
        <f>IF(U2033=0,0,IF(T2033="MXN",1/HLOOKUP(YEAR(S2033)+(MONTH(S2033)/100),TC!$5:$37,DAY(S2033)+2,FALSE),VLOOKUP(T2033,Equivalencia!$1:$23,((MAX(Equivalencia!$3:$3)-YEAR(S2033))*14)+MONTH(S2033)+2,FALSE)))</f>
        <v>0</v>
      </c>
      <c r="W2033" s="178">
        <f t="shared" si="159"/>
        <v>0</v>
      </c>
      <c r="X2033" s="481">
        <f t="shared" si="155"/>
        <v>0</v>
      </c>
      <c r="Y2033" s="179"/>
      <c r="Z2033" s="466">
        <f t="shared" si="156"/>
        <v>0</v>
      </c>
      <c r="AA2033" s="473">
        <f t="shared" si="157"/>
        <v>0</v>
      </c>
      <c r="AB2033" s="339">
        <f t="shared" si="158"/>
        <v>0</v>
      </c>
    </row>
    <row r="2034" spans="2:28" ht="20.100000000000001" customHeight="1">
      <c r="B2034" s="172"/>
      <c r="C2034" s="174"/>
      <c r="D2034" s="181"/>
      <c r="E2034" s="173"/>
      <c r="F2034" s="176"/>
      <c r="G2034" s="175">
        <f t="shared" si="160"/>
        <v>0</v>
      </c>
      <c r="H2034" s="175">
        <f t="shared" si="153"/>
        <v>0</v>
      </c>
      <c r="I2034" s="177">
        <f>IF(G2034=0,0,IF(E2034="MXN",1/HLOOKUP(YEAR(C2034)+(MONTH(C2034)/100),TC!$5:$37,DAY(C2034)+2,FALSE),VLOOKUP(E2034,Equivalencia!$5:$23,((MAX(Equivalencia!$3:$3)-YEAR(C2034))*14)+MONTH(C2034)+2,FALSE)))</f>
        <v>0</v>
      </c>
      <c r="J2034" s="178">
        <f t="shared" si="161"/>
        <v>0</v>
      </c>
      <c r="K2034" s="462">
        <f>IF(C2034=0,0,VLOOKUP(YEAR(C2034),INPC!$B$4:$O$29,MONTH(C2034)+1))</f>
        <v>0</v>
      </c>
      <c r="L2034" s="462">
        <f>IF(S2034=0,0,VLOOKUP(YEAR(S2034),INPC!$B$4:$O$29,MONTH(S2034)+1))</f>
        <v>0</v>
      </c>
      <c r="M2034" s="463">
        <f t="shared" si="154"/>
        <v>0</v>
      </c>
      <c r="N2034" s="465">
        <f t="shared" si="162"/>
        <v>0</v>
      </c>
      <c r="O2034" s="179"/>
      <c r="P2034" s="180"/>
      <c r="Q2034" s="173"/>
      <c r="R2034" s="173"/>
      <c r="S2034" s="174"/>
      <c r="T2034" s="173"/>
      <c r="U2034" s="182"/>
      <c r="V2034" s="177">
        <f>IF(U2034=0,0,IF(T2034="MXN",1/HLOOKUP(YEAR(S2034)+(MONTH(S2034)/100),TC!$5:$37,DAY(S2034)+2,FALSE),VLOOKUP(T2034,Equivalencia!$1:$23,((MAX(Equivalencia!$3:$3)-YEAR(S2034))*14)+MONTH(S2034)+2,FALSE)))</f>
        <v>0</v>
      </c>
      <c r="W2034" s="178">
        <f t="shared" si="159"/>
        <v>0</v>
      </c>
      <c r="X2034" s="481">
        <f t="shared" si="155"/>
        <v>0</v>
      </c>
      <c r="Y2034" s="179"/>
      <c r="Z2034" s="466">
        <f t="shared" si="156"/>
        <v>0</v>
      </c>
      <c r="AA2034" s="473">
        <f t="shared" si="157"/>
        <v>0</v>
      </c>
      <c r="AB2034" s="339">
        <f t="shared" si="158"/>
        <v>0</v>
      </c>
    </row>
    <row r="2035" spans="2:28" ht="20.100000000000001" customHeight="1">
      <c r="B2035" s="172"/>
      <c r="C2035" s="174"/>
      <c r="D2035" s="181"/>
      <c r="E2035" s="173"/>
      <c r="F2035" s="176"/>
      <c r="G2035" s="175">
        <f t="shared" si="160"/>
        <v>0</v>
      </c>
      <c r="H2035" s="175">
        <f t="shared" si="153"/>
        <v>0</v>
      </c>
      <c r="I2035" s="177">
        <f>IF(G2035=0,0,IF(E2035="MXN",1/HLOOKUP(YEAR(C2035)+(MONTH(C2035)/100),TC!$5:$37,DAY(C2035)+2,FALSE),VLOOKUP(E2035,Equivalencia!$5:$23,((MAX(Equivalencia!$3:$3)-YEAR(C2035))*14)+MONTH(C2035)+2,FALSE)))</f>
        <v>0</v>
      </c>
      <c r="J2035" s="178">
        <f t="shared" si="161"/>
        <v>0</v>
      </c>
      <c r="K2035" s="462">
        <f>IF(C2035=0,0,VLOOKUP(YEAR(C2035),INPC!$B$4:$O$29,MONTH(C2035)+1))</f>
        <v>0</v>
      </c>
      <c r="L2035" s="462">
        <f>IF(S2035=0,0,VLOOKUP(YEAR(S2035),INPC!$B$4:$O$29,MONTH(S2035)+1))</f>
        <v>0</v>
      </c>
      <c r="M2035" s="463">
        <f t="shared" si="154"/>
        <v>0</v>
      </c>
      <c r="N2035" s="465">
        <f t="shared" si="162"/>
        <v>0</v>
      </c>
      <c r="O2035" s="179"/>
      <c r="P2035" s="180"/>
      <c r="Q2035" s="173"/>
      <c r="R2035" s="173"/>
      <c r="S2035" s="174"/>
      <c r="T2035" s="173"/>
      <c r="U2035" s="182"/>
      <c r="V2035" s="177">
        <f>IF(U2035=0,0,IF(T2035="MXN",1/HLOOKUP(YEAR(S2035)+(MONTH(S2035)/100),TC!$5:$37,DAY(S2035)+2,FALSE),VLOOKUP(T2035,Equivalencia!$1:$23,((MAX(Equivalencia!$3:$3)-YEAR(S2035))*14)+MONTH(S2035)+2,FALSE)))</f>
        <v>0</v>
      </c>
      <c r="W2035" s="178">
        <f t="shared" si="159"/>
        <v>0</v>
      </c>
      <c r="X2035" s="481">
        <f t="shared" si="155"/>
        <v>0</v>
      </c>
      <c r="Y2035" s="179"/>
      <c r="Z2035" s="466">
        <f t="shared" si="156"/>
        <v>0</v>
      </c>
      <c r="AA2035" s="473">
        <f t="shared" si="157"/>
        <v>0</v>
      </c>
      <c r="AB2035" s="339">
        <f t="shared" si="158"/>
        <v>0</v>
      </c>
    </row>
    <row r="2036" spans="2:28" ht="20.100000000000001" customHeight="1">
      <c r="B2036" s="172"/>
      <c r="C2036" s="174"/>
      <c r="D2036" s="181"/>
      <c r="E2036" s="173"/>
      <c r="F2036" s="176"/>
      <c r="G2036" s="175">
        <f t="shared" si="160"/>
        <v>0</v>
      </c>
      <c r="H2036" s="175">
        <f t="shared" si="153"/>
        <v>0</v>
      </c>
      <c r="I2036" s="177">
        <f>IF(G2036=0,0,IF(E2036="MXN",1/HLOOKUP(YEAR(C2036)+(MONTH(C2036)/100),TC!$5:$37,DAY(C2036)+2,FALSE),VLOOKUP(E2036,Equivalencia!$5:$23,((MAX(Equivalencia!$3:$3)-YEAR(C2036))*14)+MONTH(C2036)+2,FALSE)))</f>
        <v>0</v>
      </c>
      <c r="J2036" s="178">
        <f t="shared" si="161"/>
        <v>0</v>
      </c>
      <c r="K2036" s="462">
        <f>IF(C2036=0,0,VLOOKUP(YEAR(C2036),INPC!$B$4:$O$29,MONTH(C2036)+1))</f>
        <v>0</v>
      </c>
      <c r="L2036" s="462">
        <f>IF(S2036=0,0,VLOOKUP(YEAR(S2036),INPC!$B$4:$O$29,MONTH(S2036)+1))</f>
        <v>0</v>
      </c>
      <c r="M2036" s="463">
        <f t="shared" si="154"/>
        <v>0</v>
      </c>
      <c r="N2036" s="465">
        <f t="shared" si="162"/>
        <v>0</v>
      </c>
      <c r="O2036" s="179"/>
      <c r="P2036" s="180"/>
      <c r="Q2036" s="173"/>
      <c r="R2036" s="173"/>
      <c r="S2036" s="174"/>
      <c r="T2036" s="173"/>
      <c r="U2036" s="182"/>
      <c r="V2036" s="177">
        <f>IF(U2036=0,0,IF(T2036="MXN",1/HLOOKUP(YEAR(S2036)+(MONTH(S2036)/100),TC!$5:$37,DAY(S2036)+2,FALSE),VLOOKUP(T2036,Equivalencia!$1:$23,((MAX(Equivalencia!$3:$3)-YEAR(S2036))*14)+MONTH(S2036)+2,FALSE)))</f>
        <v>0</v>
      </c>
      <c r="W2036" s="178">
        <f t="shared" si="159"/>
        <v>0</v>
      </c>
      <c r="X2036" s="481">
        <f t="shared" si="155"/>
        <v>0</v>
      </c>
      <c r="Y2036" s="179"/>
      <c r="Z2036" s="466">
        <f t="shared" si="156"/>
        <v>0</v>
      </c>
      <c r="AA2036" s="473">
        <f t="shared" si="157"/>
        <v>0</v>
      </c>
      <c r="AB2036" s="339">
        <f t="shared" si="158"/>
        <v>0</v>
      </c>
    </row>
    <row r="2037" spans="2:28" ht="20.100000000000001" customHeight="1">
      <c r="B2037" s="172"/>
      <c r="C2037" s="174"/>
      <c r="D2037" s="181"/>
      <c r="E2037" s="173"/>
      <c r="F2037" s="176"/>
      <c r="G2037" s="175">
        <f t="shared" si="160"/>
        <v>0</v>
      </c>
      <c r="H2037" s="175">
        <f t="shared" si="153"/>
        <v>0</v>
      </c>
      <c r="I2037" s="177">
        <f>IF(G2037=0,0,IF(E2037="MXN",1/HLOOKUP(YEAR(C2037)+(MONTH(C2037)/100),TC!$5:$37,DAY(C2037)+2,FALSE),VLOOKUP(E2037,Equivalencia!$5:$23,((MAX(Equivalencia!$3:$3)-YEAR(C2037))*14)+MONTH(C2037)+2,FALSE)))</f>
        <v>0</v>
      </c>
      <c r="J2037" s="178">
        <f t="shared" si="161"/>
        <v>0</v>
      </c>
      <c r="K2037" s="462">
        <f>IF(C2037=0,0,VLOOKUP(YEAR(C2037),INPC!$B$4:$O$29,MONTH(C2037)+1))</f>
        <v>0</v>
      </c>
      <c r="L2037" s="462">
        <f>IF(S2037=0,0,VLOOKUP(YEAR(S2037),INPC!$B$4:$O$29,MONTH(S2037)+1))</f>
        <v>0</v>
      </c>
      <c r="M2037" s="463">
        <f t="shared" si="154"/>
        <v>0</v>
      </c>
      <c r="N2037" s="465">
        <f t="shared" si="162"/>
        <v>0</v>
      </c>
      <c r="O2037" s="179"/>
      <c r="P2037" s="180"/>
      <c r="Q2037" s="173"/>
      <c r="R2037" s="173"/>
      <c r="S2037" s="174"/>
      <c r="T2037" s="173"/>
      <c r="U2037" s="182"/>
      <c r="V2037" s="177">
        <f>IF(U2037=0,0,IF(T2037="MXN",1/HLOOKUP(YEAR(S2037)+(MONTH(S2037)/100),TC!$5:$37,DAY(S2037)+2,FALSE),VLOOKUP(T2037,Equivalencia!$1:$23,((MAX(Equivalencia!$3:$3)-YEAR(S2037))*14)+MONTH(S2037)+2,FALSE)))</f>
        <v>0</v>
      </c>
      <c r="W2037" s="178">
        <f t="shared" si="159"/>
        <v>0</v>
      </c>
      <c r="X2037" s="481">
        <f t="shared" si="155"/>
        <v>0</v>
      </c>
      <c r="Y2037" s="179"/>
      <c r="Z2037" s="466">
        <f t="shared" si="156"/>
        <v>0</v>
      </c>
      <c r="AA2037" s="473">
        <f t="shared" si="157"/>
        <v>0</v>
      </c>
      <c r="AB2037" s="339">
        <f t="shared" si="158"/>
        <v>0</v>
      </c>
    </row>
    <row r="2038" spans="2:28" ht="20.100000000000001" customHeight="1">
      <c r="B2038" s="172"/>
      <c r="C2038" s="174"/>
      <c r="D2038" s="181"/>
      <c r="E2038" s="173"/>
      <c r="F2038" s="176"/>
      <c r="G2038" s="175">
        <f t="shared" si="160"/>
        <v>0</v>
      </c>
      <c r="H2038" s="175">
        <f t="shared" si="153"/>
        <v>0</v>
      </c>
      <c r="I2038" s="177">
        <f>IF(G2038=0,0,IF(E2038="MXN",1/HLOOKUP(YEAR(C2038)+(MONTH(C2038)/100),TC!$5:$37,DAY(C2038)+2,FALSE),VLOOKUP(E2038,Equivalencia!$5:$23,((MAX(Equivalencia!$3:$3)-YEAR(C2038))*14)+MONTH(C2038)+2,FALSE)))</f>
        <v>0</v>
      </c>
      <c r="J2038" s="178">
        <f t="shared" si="161"/>
        <v>0</v>
      </c>
      <c r="K2038" s="462">
        <f>IF(C2038=0,0,VLOOKUP(YEAR(C2038),INPC!$B$4:$O$29,MONTH(C2038)+1))</f>
        <v>0</v>
      </c>
      <c r="L2038" s="462">
        <f>IF(S2038=0,0,VLOOKUP(YEAR(S2038),INPC!$B$4:$O$29,MONTH(S2038)+1))</f>
        <v>0</v>
      </c>
      <c r="M2038" s="463">
        <f t="shared" si="154"/>
        <v>0</v>
      </c>
      <c r="N2038" s="465">
        <f t="shared" si="162"/>
        <v>0</v>
      </c>
      <c r="O2038" s="179"/>
      <c r="P2038" s="180"/>
      <c r="Q2038" s="173"/>
      <c r="R2038" s="173"/>
      <c r="S2038" s="174"/>
      <c r="T2038" s="173"/>
      <c r="U2038" s="182"/>
      <c r="V2038" s="177">
        <f>IF(U2038=0,0,IF(T2038="MXN",1/HLOOKUP(YEAR(S2038)+(MONTH(S2038)/100),TC!$5:$37,DAY(S2038)+2,FALSE),VLOOKUP(T2038,Equivalencia!$1:$23,((MAX(Equivalencia!$3:$3)-YEAR(S2038))*14)+MONTH(S2038)+2,FALSE)))</f>
        <v>0</v>
      </c>
      <c r="W2038" s="178">
        <f t="shared" si="159"/>
        <v>0</v>
      </c>
      <c r="X2038" s="481">
        <f t="shared" si="155"/>
        <v>0</v>
      </c>
      <c r="Y2038" s="179"/>
      <c r="Z2038" s="466">
        <f t="shared" si="156"/>
        <v>0</v>
      </c>
      <c r="AA2038" s="473">
        <f t="shared" si="157"/>
        <v>0</v>
      </c>
      <c r="AB2038" s="339">
        <f t="shared" si="158"/>
        <v>0</v>
      </c>
    </row>
    <row r="2039" spans="2:28" ht="20.100000000000001" customHeight="1">
      <c r="B2039" s="172"/>
      <c r="C2039" s="174"/>
      <c r="D2039" s="181"/>
      <c r="E2039" s="173"/>
      <c r="F2039" s="176"/>
      <c r="G2039" s="175">
        <f t="shared" si="160"/>
        <v>0</v>
      </c>
      <c r="H2039" s="175">
        <f t="shared" si="153"/>
        <v>0</v>
      </c>
      <c r="I2039" s="177">
        <f>IF(G2039=0,0,IF(E2039="MXN",1/HLOOKUP(YEAR(C2039)+(MONTH(C2039)/100),TC!$5:$37,DAY(C2039)+2,FALSE),VLOOKUP(E2039,Equivalencia!$5:$23,((MAX(Equivalencia!$3:$3)-YEAR(C2039))*14)+MONTH(C2039)+2,FALSE)))</f>
        <v>0</v>
      </c>
      <c r="J2039" s="178">
        <f t="shared" si="161"/>
        <v>0</v>
      </c>
      <c r="K2039" s="462">
        <f>IF(C2039=0,0,VLOOKUP(YEAR(C2039),INPC!$B$4:$O$29,MONTH(C2039)+1))</f>
        <v>0</v>
      </c>
      <c r="L2039" s="462">
        <f>IF(S2039=0,0,VLOOKUP(YEAR(S2039),INPC!$B$4:$O$29,MONTH(S2039)+1))</f>
        <v>0</v>
      </c>
      <c r="M2039" s="463">
        <f t="shared" si="154"/>
        <v>0</v>
      </c>
      <c r="N2039" s="465">
        <f t="shared" si="162"/>
        <v>0</v>
      </c>
      <c r="O2039" s="179"/>
      <c r="P2039" s="180"/>
      <c r="Q2039" s="173"/>
      <c r="R2039" s="173"/>
      <c r="S2039" s="174"/>
      <c r="T2039" s="173"/>
      <c r="U2039" s="182"/>
      <c r="V2039" s="177">
        <f>IF(U2039=0,0,IF(T2039="MXN",1/HLOOKUP(YEAR(S2039)+(MONTH(S2039)/100),TC!$5:$37,DAY(S2039)+2,FALSE),VLOOKUP(T2039,Equivalencia!$1:$23,((MAX(Equivalencia!$3:$3)-YEAR(S2039))*14)+MONTH(S2039)+2,FALSE)))</f>
        <v>0</v>
      </c>
      <c r="W2039" s="178">
        <f t="shared" si="159"/>
        <v>0</v>
      </c>
      <c r="X2039" s="481">
        <f t="shared" si="155"/>
        <v>0</v>
      </c>
      <c r="Y2039" s="179"/>
      <c r="Z2039" s="466">
        <f t="shared" si="156"/>
        <v>0</v>
      </c>
      <c r="AA2039" s="473">
        <f t="shared" si="157"/>
        <v>0</v>
      </c>
      <c r="AB2039" s="339">
        <f t="shared" si="158"/>
        <v>0</v>
      </c>
    </row>
    <row r="2040" spans="2:28" ht="20.100000000000001" customHeight="1">
      <c r="B2040" s="172"/>
      <c r="C2040" s="174"/>
      <c r="D2040" s="181"/>
      <c r="E2040" s="173"/>
      <c r="F2040" s="176"/>
      <c r="G2040" s="175">
        <f t="shared" si="160"/>
        <v>0</v>
      </c>
      <c r="H2040" s="175">
        <f t="shared" si="153"/>
        <v>0</v>
      </c>
      <c r="I2040" s="177">
        <f>IF(G2040=0,0,IF(E2040="MXN",1/HLOOKUP(YEAR(C2040)+(MONTH(C2040)/100),TC!$5:$37,DAY(C2040)+2,FALSE),VLOOKUP(E2040,Equivalencia!$5:$23,((MAX(Equivalencia!$3:$3)-YEAR(C2040))*14)+MONTH(C2040)+2,FALSE)))</f>
        <v>0</v>
      </c>
      <c r="J2040" s="178">
        <f t="shared" si="161"/>
        <v>0</v>
      </c>
      <c r="K2040" s="462">
        <f>IF(C2040=0,0,VLOOKUP(YEAR(C2040),INPC!$B$4:$O$29,MONTH(C2040)+1))</f>
        <v>0</v>
      </c>
      <c r="L2040" s="462">
        <f>IF(S2040=0,0,VLOOKUP(YEAR(S2040),INPC!$B$4:$O$29,MONTH(S2040)+1))</f>
        <v>0</v>
      </c>
      <c r="M2040" s="463">
        <f t="shared" si="154"/>
        <v>0</v>
      </c>
      <c r="N2040" s="465">
        <f t="shared" si="162"/>
        <v>0</v>
      </c>
      <c r="O2040" s="179"/>
      <c r="P2040" s="180"/>
      <c r="Q2040" s="173"/>
      <c r="R2040" s="173"/>
      <c r="S2040" s="174"/>
      <c r="T2040" s="173"/>
      <c r="U2040" s="182"/>
      <c r="V2040" s="177">
        <f>IF(U2040=0,0,IF(T2040="MXN",1/HLOOKUP(YEAR(S2040)+(MONTH(S2040)/100),TC!$5:$37,DAY(S2040)+2,FALSE),VLOOKUP(T2040,Equivalencia!$1:$23,((MAX(Equivalencia!$3:$3)-YEAR(S2040))*14)+MONTH(S2040)+2,FALSE)))</f>
        <v>0</v>
      </c>
      <c r="W2040" s="178">
        <f t="shared" si="159"/>
        <v>0</v>
      </c>
      <c r="X2040" s="481">
        <f t="shared" si="155"/>
        <v>0</v>
      </c>
      <c r="Y2040" s="179"/>
      <c r="Z2040" s="466">
        <f t="shared" si="156"/>
        <v>0</v>
      </c>
      <c r="AA2040" s="473">
        <f t="shared" si="157"/>
        <v>0</v>
      </c>
      <c r="AB2040" s="339">
        <f t="shared" si="158"/>
        <v>0</v>
      </c>
    </row>
    <row r="2041" spans="2:28" ht="20.100000000000001" customHeight="1">
      <c r="B2041" s="172"/>
      <c r="C2041" s="174"/>
      <c r="D2041" s="181"/>
      <c r="E2041" s="173"/>
      <c r="F2041" s="176"/>
      <c r="G2041" s="175">
        <f t="shared" si="160"/>
        <v>0</v>
      </c>
      <c r="H2041" s="175">
        <f t="shared" si="153"/>
        <v>0</v>
      </c>
      <c r="I2041" s="177">
        <f>IF(G2041=0,0,IF(E2041="MXN",1/HLOOKUP(YEAR(C2041)+(MONTH(C2041)/100),TC!$5:$37,DAY(C2041)+2,FALSE),VLOOKUP(E2041,Equivalencia!$5:$23,((MAX(Equivalencia!$3:$3)-YEAR(C2041))*14)+MONTH(C2041)+2,FALSE)))</f>
        <v>0</v>
      </c>
      <c r="J2041" s="178">
        <f t="shared" si="161"/>
        <v>0</v>
      </c>
      <c r="K2041" s="462">
        <f>IF(C2041=0,0,VLOOKUP(YEAR(C2041),INPC!$B$4:$O$29,MONTH(C2041)+1))</f>
        <v>0</v>
      </c>
      <c r="L2041" s="462">
        <f>IF(S2041=0,0,VLOOKUP(YEAR(S2041),INPC!$B$4:$O$29,MONTH(S2041)+1))</f>
        <v>0</v>
      </c>
      <c r="M2041" s="463">
        <f t="shared" si="154"/>
        <v>0</v>
      </c>
      <c r="N2041" s="465">
        <f t="shared" si="162"/>
        <v>0</v>
      </c>
      <c r="O2041" s="179"/>
      <c r="P2041" s="180"/>
      <c r="Q2041" s="173"/>
      <c r="R2041" s="173"/>
      <c r="S2041" s="174"/>
      <c r="T2041" s="173"/>
      <c r="U2041" s="182"/>
      <c r="V2041" s="177">
        <f>IF(U2041=0,0,IF(T2041="MXN",1/HLOOKUP(YEAR(S2041)+(MONTH(S2041)/100),TC!$5:$37,DAY(S2041)+2,FALSE),VLOOKUP(T2041,Equivalencia!$1:$23,((MAX(Equivalencia!$3:$3)-YEAR(S2041))*14)+MONTH(S2041)+2,FALSE)))</f>
        <v>0</v>
      </c>
      <c r="W2041" s="178">
        <f t="shared" si="159"/>
        <v>0</v>
      </c>
      <c r="X2041" s="481">
        <f t="shared" si="155"/>
        <v>0</v>
      </c>
      <c r="Y2041" s="179"/>
      <c r="Z2041" s="466">
        <f t="shared" si="156"/>
        <v>0</v>
      </c>
      <c r="AA2041" s="473">
        <f t="shared" si="157"/>
        <v>0</v>
      </c>
      <c r="AB2041" s="339">
        <f t="shared" si="158"/>
        <v>0</v>
      </c>
    </row>
    <row r="2042" spans="2:28" ht="20.100000000000001" customHeight="1">
      <c r="B2042" s="172"/>
      <c r="C2042" s="174"/>
      <c r="D2042" s="181"/>
      <c r="E2042" s="173"/>
      <c r="F2042" s="176"/>
      <c r="G2042" s="175">
        <f t="shared" si="160"/>
        <v>0</v>
      </c>
      <c r="H2042" s="175">
        <f t="shared" si="153"/>
        <v>0</v>
      </c>
      <c r="I2042" s="177">
        <f>IF(G2042=0,0,IF(E2042="MXN",1/HLOOKUP(YEAR(C2042)+(MONTH(C2042)/100),TC!$5:$37,DAY(C2042)+2,FALSE),VLOOKUP(E2042,Equivalencia!$5:$23,((MAX(Equivalencia!$3:$3)-YEAR(C2042))*14)+MONTH(C2042)+2,FALSE)))</f>
        <v>0</v>
      </c>
      <c r="J2042" s="178">
        <f t="shared" si="161"/>
        <v>0</v>
      </c>
      <c r="K2042" s="462">
        <f>IF(C2042=0,0,VLOOKUP(YEAR(C2042),INPC!$B$4:$O$29,MONTH(C2042)+1))</f>
        <v>0</v>
      </c>
      <c r="L2042" s="462">
        <f>IF(S2042=0,0,VLOOKUP(YEAR(S2042),INPC!$B$4:$O$29,MONTH(S2042)+1))</f>
        <v>0</v>
      </c>
      <c r="M2042" s="463">
        <f t="shared" si="154"/>
        <v>0</v>
      </c>
      <c r="N2042" s="465">
        <f t="shared" si="162"/>
        <v>0</v>
      </c>
      <c r="O2042" s="179"/>
      <c r="P2042" s="180"/>
      <c r="Q2042" s="173"/>
      <c r="R2042" s="173"/>
      <c r="S2042" s="174"/>
      <c r="T2042" s="173"/>
      <c r="U2042" s="182"/>
      <c r="V2042" s="177">
        <f>IF(U2042=0,0,IF(T2042="MXN",1/HLOOKUP(YEAR(S2042)+(MONTH(S2042)/100),TC!$5:$37,DAY(S2042)+2,FALSE),VLOOKUP(T2042,Equivalencia!$1:$23,((MAX(Equivalencia!$3:$3)-YEAR(S2042))*14)+MONTH(S2042)+2,FALSE)))</f>
        <v>0</v>
      </c>
      <c r="W2042" s="178">
        <f t="shared" si="159"/>
        <v>0</v>
      </c>
      <c r="X2042" s="481">
        <f t="shared" si="155"/>
        <v>0</v>
      </c>
      <c r="Y2042" s="179"/>
      <c r="Z2042" s="466">
        <f t="shared" si="156"/>
        <v>0</v>
      </c>
      <c r="AA2042" s="473">
        <f t="shared" si="157"/>
        <v>0</v>
      </c>
      <c r="AB2042" s="339">
        <f t="shared" si="158"/>
        <v>0</v>
      </c>
    </row>
    <row r="2043" spans="2:28" ht="20.100000000000001" customHeight="1">
      <c r="B2043" s="172"/>
      <c r="C2043" s="174"/>
      <c r="D2043" s="181"/>
      <c r="E2043" s="173"/>
      <c r="F2043" s="176"/>
      <c r="G2043" s="175">
        <f t="shared" si="160"/>
        <v>0</v>
      </c>
      <c r="H2043" s="175">
        <f t="shared" si="153"/>
        <v>0</v>
      </c>
      <c r="I2043" s="177">
        <f>IF(G2043=0,0,IF(E2043="MXN",1/HLOOKUP(YEAR(C2043)+(MONTH(C2043)/100),TC!$5:$37,DAY(C2043)+2,FALSE),VLOOKUP(E2043,Equivalencia!$5:$23,((MAX(Equivalencia!$3:$3)-YEAR(C2043))*14)+MONTH(C2043)+2,FALSE)))</f>
        <v>0</v>
      </c>
      <c r="J2043" s="178">
        <f t="shared" si="161"/>
        <v>0</v>
      </c>
      <c r="K2043" s="462">
        <f>IF(C2043=0,0,VLOOKUP(YEAR(C2043),INPC!$B$4:$O$29,MONTH(C2043)+1))</f>
        <v>0</v>
      </c>
      <c r="L2043" s="462">
        <f>IF(S2043=0,0,VLOOKUP(YEAR(S2043),INPC!$B$4:$O$29,MONTH(S2043)+1))</f>
        <v>0</v>
      </c>
      <c r="M2043" s="463">
        <f t="shared" si="154"/>
        <v>0</v>
      </c>
      <c r="N2043" s="465">
        <f t="shared" si="162"/>
        <v>0</v>
      </c>
      <c r="O2043" s="179"/>
      <c r="P2043" s="180"/>
      <c r="Q2043" s="173"/>
      <c r="R2043" s="173"/>
      <c r="S2043" s="174"/>
      <c r="T2043" s="173"/>
      <c r="U2043" s="182"/>
      <c r="V2043" s="177">
        <f>IF(U2043=0,0,IF(T2043="MXN",1/HLOOKUP(YEAR(S2043)+(MONTH(S2043)/100),TC!$5:$37,DAY(S2043)+2,FALSE),VLOOKUP(T2043,Equivalencia!$1:$23,((MAX(Equivalencia!$3:$3)-YEAR(S2043))*14)+MONTH(S2043)+2,FALSE)))</f>
        <v>0</v>
      </c>
      <c r="W2043" s="178">
        <f t="shared" si="159"/>
        <v>0</v>
      </c>
      <c r="X2043" s="481">
        <f t="shared" si="155"/>
        <v>0</v>
      </c>
      <c r="Y2043" s="179"/>
      <c r="Z2043" s="466">
        <f t="shared" si="156"/>
        <v>0</v>
      </c>
      <c r="AA2043" s="473">
        <f t="shared" si="157"/>
        <v>0</v>
      </c>
      <c r="AB2043" s="339">
        <f t="shared" si="158"/>
        <v>0</v>
      </c>
    </row>
    <row r="2044" spans="2:28" ht="20.100000000000001" customHeight="1">
      <c r="B2044" s="172"/>
      <c r="C2044" s="174"/>
      <c r="D2044" s="181"/>
      <c r="E2044" s="173"/>
      <c r="F2044" s="176"/>
      <c r="G2044" s="175">
        <f t="shared" si="160"/>
        <v>0</v>
      </c>
      <c r="H2044" s="175">
        <f t="shared" si="153"/>
        <v>0</v>
      </c>
      <c r="I2044" s="177">
        <f>IF(G2044=0,0,IF(E2044="MXN",1/HLOOKUP(YEAR(C2044)+(MONTH(C2044)/100),TC!$5:$37,DAY(C2044)+2,FALSE),VLOOKUP(E2044,Equivalencia!$5:$23,((MAX(Equivalencia!$3:$3)-YEAR(C2044))*14)+MONTH(C2044)+2,FALSE)))</f>
        <v>0</v>
      </c>
      <c r="J2044" s="178">
        <f t="shared" si="161"/>
        <v>0</v>
      </c>
      <c r="K2044" s="462">
        <f>IF(C2044=0,0,VLOOKUP(YEAR(C2044),INPC!$B$4:$O$29,MONTH(C2044)+1))</f>
        <v>0</v>
      </c>
      <c r="L2044" s="462">
        <f>IF(S2044=0,0,VLOOKUP(YEAR(S2044),INPC!$B$4:$O$29,MONTH(S2044)+1))</f>
        <v>0</v>
      </c>
      <c r="M2044" s="463">
        <f t="shared" si="154"/>
        <v>0</v>
      </c>
      <c r="N2044" s="465">
        <f t="shared" si="162"/>
        <v>0</v>
      </c>
      <c r="O2044" s="179"/>
      <c r="P2044" s="180"/>
      <c r="Q2044" s="173"/>
      <c r="R2044" s="173"/>
      <c r="S2044" s="174"/>
      <c r="T2044" s="173"/>
      <c r="U2044" s="182"/>
      <c r="V2044" s="177">
        <f>IF(U2044=0,0,IF(T2044="MXN",1/HLOOKUP(YEAR(S2044)+(MONTH(S2044)/100),TC!$5:$37,DAY(S2044)+2,FALSE),VLOOKUP(T2044,Equivalencia!$1:$23,((MAX(Equivalencia!$3:$3)-YEAR(S2044))*14)+MONTH(S2044)+2,FALSE)))</f>
        <v>0</v>
      </c>
      <c r="W2044" s="178">
        <f t="shared" si="159"/>
        <v>0</v>
      </c>
      <c r="X2044" s="481">
        <f t="shared" si="155"/>
        <v>0</v>
      </c>
      <c r="Y2044" s="179"/>
      <c r="Z2044" s="466">
        <f t="shared" si="156"/>
        <v>0</v>
      </c>
      <c r="AA2044" s="473">
        <f t="shared" si="157"/>
        <v>0</v>
      </c>
      <c r="AB2044" s="339">
        <f t="shared" si="158"/>
        <v>0</v>
      </c>
    </row>
    <row r="2045" spans="2:28" ht="20.100000000000001" customHeight="1">
      <c r="B2045" s="172"/>
      <c r="C2045" s="174"/>
      <c r="D2045" s="181"/>
      <c r="E2045" s="173"/>
      <c r="F2045" s="176"/>
      <c r="G2045" s="175">
        <f t="shared" si="160"/>
        <v>0</v>
      </c>
      <c r="H2045" s="175">
        <f t="shared" si="153"/>
        <v>0</v>
      </c>
      <c r="I2045" s="177">
        <f>IF(G2045=0,0,IF(E2045="MXN",1/HLOOKUP(YEAR(C2045)+(MONTH(C2045)/100),TC!$5:$37,DAY(C2045)+2,FALSE),VLOOKUP(E2045,Equivalencia!$5:$23,((MAX(Equivalencia!$3:$3)-YEAR(C2045))*14)+MONTH(C2045)+2,FALSE)))</f>
        <v>0</v>
      </c>
      <c r="J2045" s="178">
        <f t="shared" si="161"/>
        <v>0</v>
      </c>
      <c r="K2045" s="462">
        <f>IF(C2045=0,0,VLOOKUP(YEAR(C2045),INPC!$B$4:$O$29,MONTH(C2045)+1))</f>
        <v>0</v>
      </c>
      <c r="L2045" s="462">
        <f>IF(S2045=0,0,VLOOKUP(YEAR(S2045),INPC!$B$4:$O$29,MONTH(S2045)+1))</f>
        <v>0</v>
      </c>
      <c r="M2045" s="463">
        <f t="shared" si="154"/>
        <v>0</v>
      </c>
      <c r="N2045" s="465">
        <f t="shared" si="162"/>
        <v>0</v>
      </c>
      <c r="O2045" s="179"/>
      <c r="P2045" s="180"/>
      <c r="Q2045" s="173"/>
      <c r="R2045" s="173"/>
      <c r="S2045" s="174"/>
      <c r="T2045" s="173"/>
      <c r="U2045" s="182"/>
      <c r="V2045" s="177">
        <f>IF(U2045=0,0,IF(T2045="MXN",1/HLOOKUP(YEAR(S2045)+(MONTH(S2045)/100),TC!$5:$37,DAY(S2045)+2,FALSE),VLOOKUP(T2045,Equivalencia!$1:$23,((MAX(Equivalencia!$3:$3)-YEAR(S2045))*14)+MONTH(S2045)+2,FALSE)))</f>
        <v>0</v>
      </c>
      <c r="W2045" s="178">
        <f t="shared" si="159"/>
        <v>0</v>
      </c>
      <c r="X2045" s="481">
        <f t="shared" si="155"/>
        <v>0</v>
      </c>
      <c r="Y2045" s="179"/>
      <c r="Z2045" s="466">
        <f t="shared" si="156"/>
        <v>0</v>
      </c>
      <c r="AA2045" s="473">
        <f t="shared" si="157"/>
        <v>0</v>
      </c>
      <c r="AB2045" s="339">
        <f t="shared" si="158"/>
        <v>0</v>
      </c>
    </row>
    <row r="2046" spans="2:28" ht="20.100000000000001" customHeight="1">
      <c r="B2046" s="172"/>
      <c r="C2046" s="174"/>
      <c r="D2046" s="181"/>
      <c r="E2046" s="173"/>
      <c r="F2046" s="176"/>
      <c r="G2046" s="175">
        <f t="shared" si="160"/>
        <v>0</v>
      </c>
      <c r="H2046" s="175">
        <f t="shared" si="153"/>
        <v>0</v>
      </c>
      <c r="I2046" s="177">
        <f>IF(G2046=0,0,IF(E2046="MXN",1/HLOOKUP(YEAR(C2046)+(MONTH(C2046)/100),TC!$5:$37,DAY(C2046)+2,FALSE),VLOOKUP(E2046,Equivalencia!$5:$23,((MAX(Equivalencia!$3:$3)-YEAR(C2046))*14)+MONTH(C2046)+2,FALSE)))</f>
        <v>0</v>
      </c>
      <c r="J2046" s="178">
        <f t="shared" si="161"/>
        <v>0</v>
      </c>
      <c r="K2046" s="462">
        <f>IF(C2046=0,0,VLOOKUP(YEAR(C2046),INPC!$B$4:$O$29,MONTH(C2046)+1))</f>
        <v>0</v>
      </c>
      <c r="L2046" s="462">
        <f>IF(S2046=0,0,VLOOKUP(YEAR(S2046),INPC!$B$4:$O$29,MONTH(S2046)+1))</f>
        <v>0</v>
      </c>
      <c r="M2046" s="463">
        <f t="shared" si="154"/>
        <v>0</v>
      </c>
      <c r="N2046" s="465">
        <f t="shared" si="162"/>
        <v>0</v>
      </c>
      <c r="O2046" s="179"/>
      <c r="P2046" s="180"/>
      <c r="Q2046" s="173"/>
      <c r="R2046" s="173"/>
      <c r="S2046" s="174"/>
      <c r="T2046" s="173"/>
      <c r="U2046" s="182"/>
      <c r="V2046" s="177">
        <f>IF(U2046=0,0,IF(T2046="MXN",1/HLOOKUP(YEAR(S2046)+(MONTH(S2046)/100),TC!$5:$37,DAY(S2046)+2,FALSE),VLOOKUP(T2046,Equivalencia!$1:$23,((MAX(Equivalencia!$3:$3)-YEAR(S2046))*14)+MONTH(S2046)+2,FALSE)))</f>
        <v>0</v>
      </c>
      <c r="W2046" s="178">
        <f t="shared" si="159"/>
        <v>0</v>
      </c>
      <c r="X2046" s="481">
        <f t="shared" si="155"/>
        <v>0</v>
      </c>
      <c r="Y2046" s="179"/>
      <c r="Z2046" s="466">
        <f t="shared" si="156"/>
        <v>0</v>
      </c>
      <c r="AA2046" s="473">
        <f t="shared" si="157"/>
        <v>0</v>
      </c>
      <c r="AB2046" s="339">
        <f t="shared" si="158"/>
        <v>0</v>
      </c>
    </row>
    <row r="2047" spans="2:28" ht="20.100000000000001" customHeight="1">
      <c r="B2047" s="172"/>
      <c r="C2047" s="174"/>
      <c r="D2047" s="181"/>
      <c r="E2047" s="173"/>
      <c r="F2047" s="176"/>
      <c r="G2047" s="175">
        <f t="shared" si="160"/>
        <v>0</v>
      </c>
      <c r="H2047" s="175">
        <f t="shared" si="153"/>
        <v>0</v>
      </c>
      <c r="I2047" s="177">
        <f>IF(G2047=0,0,IF(E2047="MXN",1/HLOOKUP(YEAR(C2047)+(MONTH(C2047)/100),TC!$5:$37,DAY(C2047)+2,FALSE),VLOOKUP(E2047,Equivalencia!$5:$23,((MAX(Equivalencia!$3:$3)-YEAR(C2047))*14)+MONTH(C2047)+2,FALSE)))</f>
        <v>0</v>
      </c>
      <c r="J2047" s="178">
        <f t="shared" si="161"/>
        <v>0</v>
      </c>
      <c r="K2047" s="462">
        <f>IF(C2047=0,0,VLOOKUP(YEAR(C2047),INPC!$B$4:$O$29,MONTH(C2047)+1))</f>
        <v>0</v>
      </c>
      <c r="L2047" s="462">
        <f>IF(S2047=0,0,VLOOKUP(YEAR(S2047),INPC!$B$4:$O$29,MONTH(S2047)+1))</f>
        <v>0</v>
      </c>
      <c r="M2047" s="463">
        <f t="shared" si="154"/>
        <v>0</v>
      </c>
      <c r="N2047" s="465">
        <f t="shared" si="162"/>
        <v>0</v>
      </c>
      <c r="O2047" s="179"/>
      <c r="P2047" s="180"/>
      <c r="Q2047" s="173"/>
      <c r="R2047" s="173"/>
      <c r="S2047" s="174"/>
      <c r="T2047" s="173"/>
      <c r="U2047" s="182"/>
      <c r="V2047" s="177">
        <f>IF(U2047=0,0,IF(T2047="MXN",1/HLOOKUP(YEAR(S2047)+(MONTH(S2047)/100),TC!$5:$37,DAY(S2047)+2,FALSE),VLOOKUP(T2047,Equivalencia!$1:$23,((MAX(Equivalencia!$3:$3)-YEAR(S2047))*14)+MONTH(S2047)+2,FALSE)))</f>
        <v>0</v>
      </c>
      <c r="W2047" s="178">
        <f t="shared" si="159"/>
        <v>0</v>
      </c>
      <c r="X2047" s="481">
        <f t="shared" si="155"/>
        <v>0</v>
      </c>
      <c r="Y2047" s="179"/>
      <c r="Z2047" s="466">
        <f t="shared" si="156"/>
        <v>0</v>
      </c>
      <c r="AA2047" s="473">
        <f t="shared" si="157"/>
        <v>0</v>
      </c>
      <c r="AB2047" s="339">
        <f t="shared" si="158"/>
        <v>0</v>
      </c>
    </row>
    <row r="2048" spans="2:28" ht="20.100000000000001" customHeight="1">
      <c r="B2048" s="172"/>
      <c r="C2048" s="174"/>
      <c r="D2048" s="181"/>
      <c r="E2048" s="173"/>
      <c r="F2048" s="176"/>
      <c r="G2048" s="175">
        <f t="shared" si="160"/>
        <v>0</v>
      </c>
      <c r="H2048" s="175">
        <f t="shared" si="153"/>
        <v>0</v>
      </c>
      <c r="I2048" s="177">
        <f>IF(G2048=0,0,IF(E2048="MXN",1/HLOOKUP(YEAR(C2048)+(MONTH(C2048)/100),TC!$5:$37,DAY(C2048)+2,FALSE),VLOOKUP(E2048,Equivalencia!$5:$23,((MAX(Equivalencia!$3:$3)-YEAR(C2048))*14)+MONTH(C2048)+2,FALSE)))</f>
        <v>0</v>
      </c>
      <c r="J2048" s="178">
        <f t="shared" si="161"/>
        <v>0</v>
      </c>
      <c r="K2048" s="462">
        <f>IF(C2048=0,0,VLOOKUP(YEAR(C2048),INPC!$B$4:$O$29,MONTH(C2048)+1))</f>
        <v>0</v>
      </c>
      <c r="L2048" s="462">
        <f>IF(S2048=0,0,VLOOKUP(YEAR(S2048),INPC!$B$4:$O$29,MONTH(S2048)+1))</f>
        <v>0</v>
      </c>
      <c r="M2048" s="463">
        <f t="shared" si="154"/>
        <v>0</v>
      </c>
      <c r="N2048" s="465">
        <f t="shared" si="162"/>
        <v>0</v>
      </c>
      <c r="O2048" s="179"/>
      <c r="P2048" s="180"/>
      <c r="Q2048" s="173"/>
      <c r="R2048" s="173"/>
      <c r="S2048" s="174"/>
      <c r="T2048" s="173"/>
      <c r="U2048" s="182"/>
      <c r="V2048" s="177">
        <f>IF(U2048=0,0,IF(T2048="MXN",1/HLOOKUP(YEAR(S2048)+(MONTH(S2048)/100),TC!$5:$37,DAY(S2048)+2,FALSE),VLOOKUP(T2048,Equivalencia!$1:$23,((MAX(Equivalencia!$3:$3)-YEAR(S2048))*14)+MONTH(S2048)+2,FALSE)))</f>
        <v>0</v>
      </c>
      <c r="W2048" s="178">
        <f t="shared" si="159"/>
        <v>0</v>
      </c>
      <c r="X2048" s="481">
        <f t="shared" si="155"/>
        <v>0</v>
      </c>
      <c r="Y2048" s="179"/>
      <c r="Z2048" s="466">
        <f t="shared" si="156"/>
        <v>0</v>
      </c>
      <c r="AA2048" s="473">
        <f t="shared" si="157"/>
        <v>0</v>
      </c>
      <c r="AB2048" s="339">
        <f t="shared" si="158"/>
        <v>0</v>
      </c>
    </row>
    <row r="2049" spans="2:28" ht="20.100000000000001" customHeight="1">
      <c r="B2049" s="172"/>
      <c r="C2049" s="174"/>
      <c r="D2049" s="181"/>
      <c r="E2049" s="173"/>
      <c r="F2049" s="176"/>
      <c r="G2049" s="175">
        <f t="shared" si="160"/>
        <v>0</v>
      </c>
      <c r="H2049" s="175">
        <f t="shared" si="153"/>
        <v>0</v>
      </c>
      <c r="I2049" s="177">
        <f>IF(G2049=0,0,IF(E2049="MXN",1/HLOOKUP(YEAR(C2049)+(MONTH(C2049)/100),TC!$5:$37,DAY(C2049)+2,FALSE),VLOOKUP(E2049,Equivalencia!$5:$23,((MAX(Equivalencia!$3:$3)-YEAR(C2049))*14)+MONTH(C2049)+2,FALSE)))</f>
        <v>0</v>
      </c>
      <c r="J2049" s="178">
        <f t="shared" si="161"/>
        <v>0</v>
      </c>
      <c r="K2049" s="462">
        <f>IF(C2049=0,0,VLOOKUP(YEAR(C2049),INPC!$B$4:$O$29,MONTH(C2049)+1))</f>
        <v>0</v>
      </c>
      <c r="L2049" s="462">
        <f>IF(S2049=0,0,VLOOKUP(YEAR(S2049),INPC!$B$4:$O$29,MONTH(S2049)+1))</f>
        <v>0</v>
      </c>
      <c r="M2049" s="463">
        <f t="shared" si="154"/>
        <v>0</v>
      </c>
      <c r="N2049" s="465">
        <f t="shared" si="162"/>
        <v>0</v>
      </c>
      <c r="O2049" s="179"/>
      <c r="P2049" s="180"/>
      <c r="Q2049" s="173"/>
      <c r="R2049" s="173"/>
      <c r="S2049" s="174"/>
      <c r="T2049" s="173"/>
      <c r="U2049" s="182"/>
      <c r="V2049" s="177">
        <f>IF(U2049=0,0,IF(T2049="MXN",1/HLOOKUP(YEAR(S2049)+(MONTH(S2049)/100),TC!$5:$37,DAY(S2049)+2,FALSE),VLOOKUP(T2049,Equivalencia!$1:$23,((MAX(Equivalencia!$3:$3)-YEAR(S2049))*14)+MONTH(S2049)+2,FALSE)))</f>
        <v>0</v>
      </c>
      <c r="W2049" s="178">
        <f t="shared" si="159"/>
        <v>0</v>
      </c>
      <c r="X2049" s="481">
        <f t="shared" si="155"/>
        <v>0</v>
      </c>
      <c r="Y2049" s="179"/>
      <c r="Z2049" s="466">
        <f t="shared" si="156"/>
        <v>0</v>
      </c>
      <c r="AA2049" s="473">
        <f t="shared" si="157"/>
        <v>0</v>
      </c>
      <c r="AB2049" s="339">
        <f t="shared" si="158"/>
        <v>0</v>
      </c>
    </row>
    <row r="2050" spans="2:28" ht="20.100000000000001" customHeight="1">
      <c r="B2050" s="172"/>
      <c r="C2050" s="174"/>
      <c r="D2050" s="181"/>
      <c r="E2050" s="173"/>
      <c r="F2050" s="176"/>
      <c r="G2050" s="175">
        <f t="shared" si="160"/>
        <v>0</v>
      </c>
      <c r="H2050" s="175">
        <f t="shared" si="153"/>
        <v>0</v>
      </c>
      <c r="I2050" s="177">
        <f>IF(G2050=0,0,IF(E2050="MXN",1/HLOOKUP(YEAR(C2050)+(MONTH(C2050)/100),TC!$5:$37,DAY(C2050)+2,FALSE),VLOOKUP(E2050,Equivalencia!$5:$23,((MAX(Equivalencia!$3:$3)-YEAR(C2050))*14)+MONTH(C2050)+2,FALSE)))</f>
        <v>0</v>
      </c>
      <c r="J2050" s="178">
        <f t="shared" si="161"/>
        <v>0</v>
      </c>
      <c r="K2050" s="462">
        <f>IF(C2050=0,0,VLOOKUP(YEAR(C2050),INPC!$B$4:$O$29,MONTH(C2050)+1))</f>
        <v>0</v>
      </c>
      <c r="L2050" s="462">
        <f>IF(S2050=0,0,VLOOKUP(YEAR(S2050),INPC!$B$4:$O$29,MONTH(S2050)+1))</f>
        <v>0</v>
      </c>
      <c r="M2050" s="463">
        <f t="shared" si="154"/>
        <v>0</v>
      </c>
      <c r="N2050" s="465">
        <f t="shared" si="162"/>
        <v>0</v>
      </c>
      <c r="O2050" s="179"/>
      <c r="P2050" s="180"/>
      <c r="Q2050" s="173"/>
      <c r="R2050" s="173"/>
      <c r="S2050" s="174"/>
      <c r="T2050" s="173"/>
      <c r="U2050" s="182"/>
      <c r="V2050" s="177">
        <f>IF(U2050=0,0,IF(T2050="MXN",1/HLOOKUP(YEAR(S2050)+(MONTH(S2050)/100),TC!$5:$37,DAY(S2050)+2,FALSE),VLOOKUP(T2050,Equivalencia!$1:$23,((MAX(Equivalencia!$3:$3)-YEAR(S2050))*14)+MONTH(S2050)+2,FALSE)))</f>
        <v>0</v>
      </c>
      <c r="W2050" s="178">
        <f t="shared" si="159"/>
        <v>0</v>
      </c>
      <c r="X2050" s="481">
        <f t="shared" si="155"/>
        <v>0</v>
      </c>
      <c r="Y2050" s="179"/>
      <c r="Z2050" s="466">
        <f t="shared" si="156"/>
        <v>0</v>
      </c>
      <c r="AA2050" s="473">
        <f t="shared" si="157"/>
        <v>0</v>
      </c>
      <c r="AB2050" s="339">
        <f t="shared" si="158"/>
        <v>0</v>
      </c>
    </row>
    <row r="2051" spans="2:28" ht="20.100000000000001" customHeight="1">
      <c r="B2051" s="172"/>
      <c r="C2051" s="174"/>
      <c r="D2051" s="181"/>
      <c r="E2051" s="173"/>
      <c r="F2051" s="176"/>
      <c r="G2051" s="175">
        <f t="shared" si="160"/>
        <v>0</v>
      </c>
      <c r="H2051" s="175">
        <f t="shared" si="153"/>
        <v>0</v>
      </c>
      <c r="I2051" s="177">
        <f>IF(G2051=0,0,IF(E2051="MXN",1/HLOOKUP(YEAR(C2051)+(MONTH(C2051)/100),TC!$5:$37,DAY(C2051)+2,FALSE),VLOOKUP(E2051,Equivalencia!$5:$23,((MAX(Equivalencia!$3:$3)-YEAR(C2051))*14)+MONTH(C2051)+2,FALSE)))</f>
        <v>0</v>
      </c>
      <c r="J2051" s="178">
        <f t="shared" si="161"/>
        <v>0</v>
      </c>
      <c r="K2051" s="462">
        <f>IF(C2051=0,0,VLOOKUP(YEAR(C2051),INPC!$B$4:$O$29,MONTH(C2051)+1))</f>
        <v>0</v>
      </c>
      <c r="L2051" s="462">
        <f>IF(S2051=0,0,VLOOKUP(YEAR(S2051),INPC!$B$4:$O$29,MONTH(S2051)+1))</f>
        <v>0</v>
      </c>
      <c r="M2051" s="463">
        <f t="shared" si="154"/>
        <v>0</v>
      </c>
      <c r="N2051" s="465">
        <f t="shared" si="162"/>
        <v>0</v>
      </c>
      <c r="O2051" s="179"/>
      <c r="P2051" s="180"/>
      <c r="Q2051" s="173"/>
      <c r="R2051" s="173"/>
      <c r="S2051" s="174"/>
      <c r="T2051" s="173"/>
      <c r="U2051" s="182"/>
      <c r="V2051" s="177">
        <f>IF(U2051=0,0,IF(T2051="MXN",1/HLOOKUP(YEAR(S2051)+(MONTH(S2051)/100),TC!$5:$37,DAY(S2051)+2,FALSE),VLOOKUP(T2051,Equivalencia!$1:$23,((MAX(Equivalencia!$3:$3)-YEAR(S2051))*14)+MONTH(S2051)+2,FALSE)))</f>
        <v>0</v>
      </c>
      <c r="W2051" s="178">
        <f t="shared" si="159"/>
        <v>0</v>
      </c>
      <c r="X2051" s="481">
        <f t="shared" si="155"/>
        <v>0</v>
      </c>
      <c r="Y2051" s="179"/>
      <c r="Z2051" s="466">
        <f t="shared" si="156"/>
        <v>0</v>
      </c>
      <c r="AA2051" s="473">
        <f t="shared" si="157"/>
        <v>0</v>
      </c>
      <c r="AB2051" s="339">
        <f t="shared" si="158"/>
        <v>0</v>
      </c>
    </row>
    <row r="2052" spans="2:28" ht="20.100000000000001" customHeight="1">
      <c r="B2052" s="172"/>
      <c r="C2052" s="174"/>
      <c r="D2052" s="181"/>
      <c r="E2052" s="173"/>
      <c r="F2052" s="176"/>
      <c r="G2052" s="175">
        <f t="shared" si="160"/>
        <v>0</v>
      </c>
      <c r="H2052" s="175">
        <f t="shared" si="153"/>
        <v>0</v>
      </c>
      <c r="I2052" s="177">
        <f>IF(G2052=0,0,IF(E2052="MXN",1/HLOOKUP(YEAR(C2052)+(MONTH(C2052)/100),TC!$5:$37,DAY(C2052)+2,FALSE),VLOOKUP(E2052,Equivalencia!$5:$23,((MAX(Equivalencia!$3:$3)-YEAR(C2052))*14)+MONTH(C2052)+2,FALSE)))</f>
        <v>0</v>
      </c>
      <c r="J2052" s="178">
        <f t="shared" si="161"/>
        <v>0</v>
      </c>
      <c r="K2052" s="462">
        <f>IF(C2052=0,0,VLOOKUP(YEAR(C2052),INPC!$B$4:$O$29,MONTH(C2052)+1))</f>
        <v>0</v>
      </c>
      <c r="L2052" s="462">
        <f>IF(S2052=0,0,VLOOKUP(YEAR(S2052),INPC!$B$4:$O$29,MONTH(S2052)+1))</f>
        <v>0</v>
      </c>
      <c r="M2052" s="463">
        <f t="shared" si="154"/>
        <v>0</v>
      </c>
      <c r="N2052" s="465">
        <f t="shared" si="162"/>
        <v>0</v>
      </c>
      <c r="O2052" s="179"/>
      <c r="P2052" s="180"/>
      <c r="Q2052" s="173"/>
      <c r="R2052" s="173"/>
      <c r="S2052" s="174"/>
      <c r="T2052" s="173"/>
      <c r="U2052" s="182"/>
      <c r="V2052" s="177">
        <f>IF(U2052=0,0,IF(T2052="MXN",1/HLOOKUP(YEAR(S2052)+(MONTH(S2052)/100),TC!$5:$37,DAY(S2052)+2,FALSE),VLOOKUP(T2052,Equivalencia!$1:$23,((MAX(Equivalencia!$3:$3)-YEAR(S2052))*14)+MONTH(S2052)+2,FALSE)))</f>
        <v>0</v>
      </c>
      <c r="W2052" s="178">
        <f t="shared" si="159"/>
        <v>0</v>
      </c>
      <c r="X2052" s="481">
        <f t="shared" si="155"/>
        <v>0</v>
      </c>
      <c r="Y2052" s="179"/>
      <c r="Z2052" s="466">
        <f t="shared" si="156"/>
        <v>0</v>
      </c>
      <c r="AA2052" s="473">
        <f t="shared" si="157"/>
        <v>0</v>
      </c>
      <c r="AB2052" s="339">
        <f t="shared" si="158"/>
        <v>0</v>
      </c>
    </row>
    <row r="2053" spans="2:28" ht="20.100000000000001" customHeight="1">
      <c r="B2053" s="172"/>
      <c r="C2053" s="174"/>
      <c r="D2053" s="181"/>
      <c r="E2053" s="173"/>
      <c r="F2053" s="176"/>
      <c r="G2053" s="175">
        <f t="shared" si="160"/>
        <v>0</v>
      </c>
      <c r="H2053" s="175">
        <f t="shared" si="153"/>
        <v>0</v>
      </c>
      <c r="I2053" s="177">
        <f>IF(G2053=0,0,IF(E2053="MXN",1/HLOOKUP(YEAR(C2053)+(MONTH(C2053)/100),TC!$5:$37,DAY(C2053)+2,FALSE),VLOOKUP(E2053,Equivalencia!$5:$23,((MAX(Equivalencia!$3:$3)-YEAR(C2053))*14)+MONTH(C2053)+2,FALSE)))</f>
        <v>0</v>
      </c>
      <c r="J2053" s="178">
        <f t="shared" si="161"/>
        <v>0</v>
      </c>
      <c r="K2053" s="462">
        <f>IF(C2053=0,0,VLOOKUP(YEAR(C2053),INPC!$B$4:$O$29,MONTH(C2053)+1))</f>
        <v>0</v>
      </c>
      <c r="L2053" s="462">
        <f>IF(S2053=0,0,VLOOKUP(YEAR(S2053),INPC!$B$4:$O$29,MONTH(S2053)+1))</f>
        <v>0</v>
      </c>
      <c r="M2053" s="463">
        <f t="shared" si="154"/>
        <v>0</v>
      </c>
      <c r="N2053" s="465">
        <f t="shared" si="162"/>
        <v>0</v>
      </c>
      <c r="O2053" s="179"/>
      <c r="P2053" s="180"/>
      <c r="Q2053" s="173"/>
      <c r="R2053" s="173"/>
      <c r="S2053" s="174"/>
      <c r="T2053" s="173"/>
      <c r="U2053" s="182"/>
      <c r="V2053" s="177">
        <f>IF(U2053=0,0,IF(T2053="MXN",1/HLOOKUP(YEAR(S2053)+(MONTH(S2053)/100),TC!$5:$37,DAY(S2053)+2,FALSE),VLOOKUP(T2053,Equivalencia!$1:$23,((MAX(Equivalencia!$3:$3)-YEAR(S2053))*14)+MONTH(S2053)+2,FALSE)))</f>
        <v>0</v>
      </c>
      <c r="W2053" s="178">
        <f t="shared" si="159"/>
        <v>0</v>
      </c>
      <c r="X2053" s="481">
        <f t="shared" si="155"/>
        <v>0</v>
      </c>
      <c r="Y2053" s="179"/>
      <c r="Z2053" s="466">
        <f t="shared" si="156"/>
        <v>0</v>
      </c>
      <c r="AA2053" s="473">
        <f t="shared" si="157"/>
        <v>0</v>
      </c>
      <c r="AB2053" s="339">
        <f t="shared" si="158"/>
        <v>0</v>
      </c>
    </row>
    <row r="2054" spans="2:28" ht="20.100000000000001" customHeight="1">
      <c r="B2054" s="172"/>
      <c r="C2054" s="174"/>
      <c r="D2054" s="181"/>
      <c r="E2054" s="173"/>
      <c r="F2054" s="176"/>
      <c r="G2054" s="175">
        <f t="shared" si="160"/>
        <v>0</v>
      </c>
      <c r="H2054" s="175">
        <f t="shared" si="153"/>
        <v>0</v>
      </c>
      <c r="I2054" s="177">
        <f>IF(G2054=0,0,IF(E2054="MXN",1/HLOOKUP(YEAR(C2054)+(MONTH(C2054)/100),TC!$5:$37,DAY(C2054)+2,FALSE),VLOOKUP(E2054,Equivalencia!$5:$23,((MAX(Equivalencia!$3:$3)-YEAR(C2054))*14)+MONTH(C2054)+2,FALSE)))</f>
        <v>0</v>
      </c>
      <c r="J2054" s="178">
        <f t="shared" si="161"/>
        <v>0</v>
      </c>
      <c r="K2054" s="462">
        <f>IF(C2054=0,0,VLOOKUP(YEAR(C2054),INPC!$B$4:$O$29,MONTH(C2054)+1))</f>
        <v>0</v>
      </c>
      <c r="L2054" s="462">
        <f>IF(S2054=0,0,VLOOKUP(YEAR(S2054),INPC!$B$4:$O$29,MONTH(S2054)+1))</f>
        <v>0</v>
      </c>
      <c r="M2054" s="463">
        <f t="shared" si="154"/>
        <v>0</v>
      </c>
      <c r="N2054" s="465">
        <f t="shared" si="162"/>
        <v>0</v>
      </c>
      <c r="O2054" s="179"/>
      <c r="P2054" s="180"/>
      <c r="Q2054" s="173"/>
      <c r="R2054" s="173"/>
      <c r="S2054" s="174"/>
      <c r="T2054" s="173"/>
      <c r="U2054" s="182"/>
      <c r="V2054" s="177">
        <f>IF(U2054=0,0,IF(T2054="MXN",1/HLOOKUP(YEAR(S2054)+(MONTH(S2054)/100),TC!$5:$37,DAY(S2054)+2,FALSE),VLOOKUP(T2054,Equivalencia!$1:$23,((MAX(Equivalencia!$3:$3)-YEAR(S2054))*14)+MONTH(S2054)+2,FALSE)))</f>
        <v>0</v>
      </c>
      <c r="W2054" s="178">
        <f t="shared" si="159"/>
        <v>0</v>
      </c>
      <c r="X2054" s="481">
        <f t="shared" si="155"/>
        <v>0</v>
      </c>
      <c r="Y2054" s="179"/>
      <c r="Z2054" s="466">
        <f t="shared" si="156"/>
        <v>0</v>
      </c>
      <c r="AA2054" s="473">
        <f t="shared" si="157"/>
        <v>0</v>
      </c>
      <c r="AB2054" s="339">
        <f t="shared" si="158"/>
        <v>0</v>
      </c>
    </row>
    <row r="2055" spans="2:28" ht="20.100000000000001" customHeight="1">
      <c r="B2055" s="172"/>
      <c r="C2055" s="174"/>
      <c r="D2055" s="181"/>
      <c r="E2055" s="173"/>
      <c r="F2055" s="176"/>
      <c r="G2055" s="175">
        <f t="shared" si="160"/>
        <v>0</v>
      </c>
      <c r="H2055" s="175">
        <f t="shared" si="153"/>
        <v>0</v>
      </c>
      <c r="I2055" s="177">
        <f>IF(G2055=0,0,IF(E2055="MXN",1/HLOOKUP(YEAR(C2055)+(MONTH(C2055)/100),TC!$5:$37,DAY(C2055)+2,FALSE),VLOOKUP(E2055,Equivalencia!$5:$23,((MAX(Equivalencia!$3:$3)-YEAR(C2055))*14)+MONTH(C2055)+2,FALSE)))</f>
        <v>0</v>
      </c>
      <c r="J2055" s="178">
        <f t="shared" si="161"/>
        <v>0</v>
      </c>
      <c r="K2055" s="462">
        <f>IF(C2055=0,0,VLOOKUP(YEAR(C2055),INPC!$B$4:$O$29,MONTH(C2055)+1))</f>
        <v>0</v>
      </c>
      <c r="L2055" s="462">
        <f>IF(S2055=0,0,VLOOKUP(YEAR(S2055),INPC!$B$4:$O$29,MONTH(S2055)+1))</f>
        <v>0</v>
      </c>
      <c r="M2055" s="463">
        <f t="shared" si="154"/>
        <v>0</v>
      </c>
      <c r="N2055" s="465">
        <f t="shared" si="162"/>
        <v>0</v>
      </c>
      <c r="O2055" s="179"/>
      <c r="P2055" s="180"/>
      <c r="Q2055" s="173"/>
      <c r="R2055" s="173"/>
      <c r="S2055" s="174"/>
      <c r="T2055" s="173"/>
      <c r="U2055" s="182"/>
      <c r="V2055" s="177">
        <f>IF(U2055=0,0,IF(T2055="MXN",1/HLOOKUP(YEAR(S2055)+(MONTH(S2055)/100),TC!$5:$37,DAY(S2055)+2,FALSE),VLOOKUP(T2055,Equivalencia!$1:$23,((MAX(Equivalencia!$3:$3)-YEAR(S2055))*14)+MONTH(S2055)+2,FALSE)))</f>
        <v>0</v>
      </c>
      <c r="W2055" s="178">
        <f t="shared" si="159"/>
        <v>0</v>
      </c>
      <c r="X2055" s="481">
        <f t="shared" si="155"/>
        <v>0</v>
      </c>
      <c r="Y2055" s="179"/>
      <c r="Z2055" s="466">
        <f t="shared" si="156"/>
        <v>0</v>
      </c>
      <c r="AA2055" s="473">
        <f t="shared" si="157"/>
        <v>0</v>
      </c>
      <c r="AB2055" s="339">
        <f t="shared" si="158"/>
        <v>0</v>
      </c>
    </row>
    <row r="2056" spans="2:28" ht="20.100000000000001" customHeight="1">
      <c r="B2056" s="172"/>
      <c r="C2056" s="174"/>
      <c r="D2056" s="181"/>
      <c r="E2056" s="173"/>
      <c r="F2056" s="176"/>
      <c r="G2056" s="175">
        <f t="shared" si="160"/>
        <v>0</v>
      </c>
      <c r="H2056" s="175">
        <f t="shared" si="153"/>
        <v>0</v>
      </c>
      <c r="I2056" s="177">
        <f>IF(G2056=0,0,IF(E2056="MXN",1/HLOOKUP(YEAR(C2056)+(MONTH(C2056)/100),TC!$5:$37,DAY(C2056)+2,FALSE),VLOOKUP(E2056,Equivalencia!$5:$23,((MAX(Equivalencia!$3:$3)-YEAR(C2056))*14)+MONTH(C2056)+2,FALSE)))</f>
        <v>0</v>
      </c>
      <c r="J2056" s="178">
        <f t="shared" si="161"/>
        <v>0</v>
      </c>
      <c r="K2056" s="462">
        <f>IF(C2056=0,0,VLOOKUP(YEAR(C2056),INPC!$B$4:$O$29,MONTH(C2056)+1))</f>
        <v>0</v>
      </c>
      <c r="L2056" s="462">
        <f>IF(S2056=0,0,VLOOKUP(YEAR(S2056),INPC!$B$4:$O$29,MONTH(S2056)+1))</f>
        <v>0</v>
      </c>
      <c r="M2056" s="463">
        <f t="shared" si="154"/>
        <v>0</v>
      </c>
      <c r="N2056" s="465">
        <f t="shared" si="162"/>
        <v>0</v>
      </c>
      <c r="O2056" s="179"/>
      <c r="P2056" s="180"/>
      <c r="Q2056" s="173"/>
      <c r="R2056" s="173"/>
      <c r="S2056" s="174"/>
      <c r="T2056" s="173"/>
      <c r="U2056" s="182"/>
      <c r="V2056" s="177">
        <f>IF(U2056=0,0,IF(T2056="MXN",1/HLOOKUP(YEAR(S2056)+(MONTH(S2056)/100),TC!$5:$37,DAY(S2056)+2,FALSE),VLOOKUP(T2056,Equivalencia!$1:$23,((MAX(Equivalencia!$3:$3)-YEAR(S2056))*14)+MONTH(S2056)+2,FALSE)))</f>
        <v>0</v>
      </c>
      <c r="W2056" s="178">
        <f t="shared" si="159"/>
        <v>0</v>
      </c>
      <c r="X2056" s="481">
        <f t="shared" si="155"/>
        <v>0</v>
      </c>
      <c r="Y2056" s="179"/>
      <c r="Z2056" s="466">
        <f t="shared" si="156"/>
        <v>0</v>
      </c>
      <c r="AA2056" s="473">
        <f t="shared" si="157"/>
        <v>0</v>
      </c>
      <c r="AB2056" s="339">
        <f t="shared" si="158"/>
        <v>0</v>
      </c>
    </row>
    <row r="2057" spans="2:28" ht="20.100000000000001" customHeight="1">
      <c r="B2057" s="172"/>
      <c r="C2057" s="174"/>
      <c r="D2057" s="181"/>
      <c r="E2057" s="173"/>
      <c r="F2057" s="176"/>
      <c r="G2057" s="175">
        <f t="shared" si="160"/>
        <v>0</v>
      </c>
      <c r="H2057" s="175">
        <f t="shared" si="153"/>
        <v>0</v>
      </c>
      <c r="I2057" s="177">
        <f>IF(G2057=0,0,IF(E2057="MXN",1/HLOOKUP(YEAR(C2057)+(MONTH(C2057)/100),TC!$5:$37,DAY(C2057)+2,FALSE),VLOOKUP(E2057,Equivalencia!$5:$23,((MAX(Equivalencia!$3:$3)-YEAR(C2057))*14)+MONTH(C2057)+2,FALSE)))</f>
        <v>0</v>
      </c>
      <c r="J2057" s="178">
        <f t="shared" si="161"/>
        <v>0</v>
      </c>
      <c r="K2057" s="462">
        <f>IF(C2057=0,0,VLOOKUP(YEAR(C2057),INPC!$B$4:$O$29,MONTH(C2057)+1))</f>
        <v>0</v>
      </c>
      <c r="L2057" s="462">
        <f>IF(S2057=0,0,VLOOKUP(YEAR(S2057),INPC!$B$4:$O$29,MONTH(S2057)+1))</f>
        <v>0</v>
      </c>
      <c r="M2057" s="463">
        <f t="shared" si="154"/>
        <v>0</v>
      </c>
      <c r="N2057" s="465">
        <f t="shared" si="162"/>
        <v>0</v>
      </c>
      <c r="O2057" s="179"/>
      <c r="P2057" s="180"/>
      <c r="Q2057" s="173"/>
      <c r="R2057" s="173"/>
      <c r="S2057" s="174"/>
      <c r="T2057" s="173"/>
      <c r="U2057" s="182"/>
      <c r="V2057" s="177">
        <f>IF(U2057=0,0,IF(T2057="MXN",1/HLOOKUP(YEAR(S2057)+(MONTH(S2057)/100),TC!$5:$37,DAY(S2057)+2,FALSE),VLOOKUP(T2057,Equivalencia!$1:$23,((MAX(Equivalencia!$3:$3)-YEAR(S2057))*14)+MONTH(S2057)+2,FALSE)))</f>
        <v>0</v>
      </c>
      <c r="W2057" s="178">
        <f t="shared" si="159"/>
        <v>0</v>
      </c>
      <c r="X2057" s="481">
        <f t="shared" si="155"/>
        <v>0</v>
      </c>
      <c r="Y2057" s="179"/>
      <c r="Z2057" s="466">
        <f t="shared" si="156"/>
        <v>0</v>
      </c>
      <c r="AA2057" s="473">
        <f t="shared" si="157"/>
        <v>0</v>
      </c>
      <c r="AB2057" s="339">
        <f t="shared" si="158"/>
        <v>0</v>
      </c>
    </row>
    <row r="2058" spans="2:28" ht="20.100000000000001" customHeight="1">
      <c r="B2058" s="172"/>
      <c r="C2058" s="174"/>
      <c r="D2058" s="181"/>
      <c r="E2058" s="173"/>
      <c r="F2058" s="176"/>
      <c r="G2058" s="175">
        <f t="shared" si="160"/>
        <v>0</v>
      </c>
      <c r="H2058" s="175">
        <f t="shared" si="153"/>
        <v>0</v>
      </c>
      <c r="I2058" s="177">
        <f>IF(G2058=0,0,IF(E2058="MXN",1/HLOOKUP(YEAR(C2058)+(MONTH(C2058)/100),TC!$5:$37,DAY(C2058)+2,FALSE),VLOOKUP(E2058,Equivalencia!$5:$23,((MAX(Equivalencia!$3:$3)-YEAR(C2058))*14)+MONTH(C2058)+2,FALSE)))</f>
        <v>0</v>
      </c>
      <c r="J2058" s="178">
        <f t="shared" si="161"/>
        <v>0</v>
      </c>
      <c r="K2058" s="462">
        <f>IF(C2058=0,0,VLOOKUP(YEAR(C2058),INPC!$B$4:$O$29,MONTH(C2058)+1))</f>
        <v>0</v>
      </c>
      <c r="L2058" s="462">
        <f>IF(S2058=0,0,VLOOKUP(YEAR(S2058),INPC!$B$4:$O$29,MONTH(S2058)+1))</f>
        <v>0</v>
      </c>
      <c r="M2058" s="463">
        <f t="shared" si="154"/>
        <v>0</v>
      </c>
      <c r="N2058" s="465">
        <f t="shared" si="162"/>
        <v>0</v>
      </c>
      <c r="O2058" s="179"/>
      <c r="P2058" s="180"/>
      <c r="Q2058" s="173"/>
      <c r="R2058" s="173"/>
      <c r="S2058" s="174"/>
      <c r="T2058" s="173"/>
      <c r="U2058" s="182"/>
      <c r="V2058" s="177">
        <f>IF(U2058=0,0,IF(T2058="MXN",1/HLOOKUP(YEAR(S2058)+(MONTH(S2058)/100),TC!$5:$37,DAY(S2058)+2,FALSE),VLOOKUP(T2058,Equivalencia!$1:$23,((MAX(Equivalencia!$3:$3)-YEAR(S2058))*14)+MONTH(S2058)+2,FALSE)))</f>
        <v>0</v>
      </c>
      <c r="W2058" s="178">
        <f t="shared" si="159"/>
        <v>0</v>
      </c>
      <c r="X2058" s="481">
        <f t="shared" si="155"/>
        <v>0</v>
      </c>
      <c r="Y2058" s="179"/>
      <c r="Z2058" s="466">
        <f t="shared" si="156"/>
        <v>0</v>
      </c>
      <c r="AA2058" s="473">
        <f t="shared" si="157"/>
        <v>0</v>
      </c>
      <c r="AB2058" s="339">
        <f t="shared" si="158"/>
        <v>0</v>
      </c>
    </row>
    <row r="2059" spans="2:28" ht="20.100000000000001" customHeight="1">
      <c r="B2059" s="172"/>
      <c r="C2059" s="174"/>
      <c r="D2059" s="181"/>
      <c r="E2059" s="173"/>
      <c r="F2059" s="176"/>
      <c r="G2059" s="175">
        <f t="shared" si="160"/>
        <v>0</v>
      </c>
      <c r="H2059" s="175">
        <f t="shared" si="153"/>
        <v>0</v>
      </c>
      <c r="I2059" s="177">
        <f>IF(G2059=0,0,IF(E2059="MXN",1/HLOOKUP(YEAR(C2059)+(MONTH(C2059)/100),TC!$5:$37,DAY(C2059)+2,FALSE),VLOOKUP(E2059,Equivalencia!$5:$23,((MAX(Equivalencia!$3:$3)-YEAR(C2059))*14)+MONTH(C2059)+2,FALSE)))</f>
        <v>0</v>
      </c>
      <c r="J2059" s="178">
        <f t="shared" si="161"/>
        <v>0</v>
      </c>
      <c r="K2059" s="462">
        <f>IF(C2059=0,0,VLOOKUP(YEAR(C2059),INPC!$B$4:$O$29,MONTH(C2059)+1))</f>
        <v>0</v>
      </c>
      <c r="L2059" s="462">
        <f>IF(S2059=0,0,VLOOKUP(YEAR(S2059),INPC!$B$4:$O$29,MONTH(S2059)+1))</f>
        <v>0</v>
      </c>
      <c r="M2059" s="463">
        <f t="shared" si="154"/>
        <v>0</v>
      </c>
      <c r="N2059" s="465">
        <f t="shared" si="162"/>
        <v>0</v>
      </c>
      <c r="O2059" s="179"/>
      <c r="P2059" s="180"/>
      <c r="Q2059" s="173"/>
      <c r="R2059" s="173"/>
      <c r="S2059" s="174"/>
      <c r="T2059" s="173"/>
      <c r="U2059" s="182"/>
      <c r="V2059" s="177">
        <f>IF(U2059=0,0,IF(T2059="MXN",1/HLOOKUP(YEAR(S2059)+(MONTH(S2059)/100),TC!$5:$37,DAY(S2059)+2,FALSE),VLOOKUP(T2059,Equivalencia!$1:$23,((MAX(Equivalencia!$3:$3)-YEAR(S2059))*14)+MONTH(S2059)+2,FALSE)))</f>
        <v>0</v>
      </c>
      <c r="W2059" s="178">
        <f t="shared" si="159"/>
        <v>0</v>
      </c>
      <c r="X2059" s="481">
        <f t="shared" si="155"/>
        <v>0</v>
      </c>
      <c r="Y2059" s="179"/>
      <c r="Z2059" s="466">
        <f t="shared" si="156"/>
        <v>0</v>
      </c>
      <c r="AA2059" s="473">
        <f t="shared" si="157"/>
        <v>0</v>
      </c>
      <c r="AB2059" s="339">
        <f t="shared" si="158"/>
        <v>0</v>
      </c>
    </row>
    <row r="2060" spans="2:28" ht="20.100000000000001" customHeight="1">
      <c r="B2060" s="172"/>
      <c r="C2060" s="174"/>
      <c r="D2060" s="181"/>
      <c r="E2060" s="173"/>
      <c r="F2060" s="176"/>
      <c r="G2060" s="175">
        <f t="shared" si="160"/>
        <v>0</v>
      </c>
      <c r="H2060" s="175">
        <f t="shared" si="153"/>
        <v>0</v>
      </c>
      <c r="I2060" s="177">
        <f>IF(G2060=0,0,IF(E2060="MXN",1/HLOOKUP(YEAR(C2060)+(MONTH(C2060)/100),TC!$5:$37,DAY(C2060)+2,FALSE),VLOOKUP(E2060,Equivalencia!$5:$23,((MAX(Equivalencia!$3:$3)-YEAR(C2060))*14)+MONTH(C2060)+2,FALSE)))</f>
        <v>0</v>
      </c>
      <c r="J2060" s="178">
        <f t="shared" si="161"/>
        <v>0</v>
      </c>
      <c r="K2060" s="462">
        <f>IF(C2060=0,0,VLOOKUP(YEAR(C2060),INPC!$B$4:$O$29,MONTH(C2060)+1))</f>
        <v>0</v>
      </c>
      <c r="L2060" s="462">
        <f>IF(S2060=0,0,VLOOKUP(YEAR(S2060),INPC!$B$4:$O$29,MONTH(S2060)+1))</f>
        <v>0</v>
      </c>
      <c r="M2060" s="463">
        <f t="shared" si="154"/>
        <v>0</v>
      </c>
      <c r="N2060" s="465">
        <f t="shared" si="162"/>
        <v>0</v>
      </c>
      <c r="O2060" s="179"/>
      <c r="P2060" s="180"/>
      <c r="Q2060" s="173"/>
      <c r="R2060" s="173"/>
      <c r="S2060" s="174"/>
      <c r="T2060" s="173"/>
      <c r="U2060" s="182"/>
      <c r="V2060" s="177">
        <f>IF(U2060=0,0,IF(T2060="MXN",1/HLOOKUP(YEAR(S2060)+(MONTH(S2060)/100),TC!$5:$37,DAY(S2060)+2,FALSE),VLOOKUP(T2060,Equivalencia!$1:$23,((MAX(Equivalencia!$3:$3)-YEAR(S2060))*14)+MONTH(S2060)+2,FALSE)))</f>
        <v>0</v>
      </c>
      <c r="W2060" s="178">
        <f t="shared" si="159"/>
        <v>0</v>
      </c>
      <c r="X2060" s="481">
        <f t="shared" si="155"/>
        <v>0</v>
      </c>
      <c r="Y2060" s="179"/>
      <c r="Z2060" s="466">
        <f t="shared" si="156"/>
        <v>0</v>
      </c>
      <c r="AA2060" s="473">
        <f t="shared" si="157"/>
        <v>0</v>
      </c>
      <c r="AB2060" s="339">
        <f t="shared" si="158"/>
        <v>0</v>
      </c>
    </row>
    <row r="2061" spans="2:28" ht="20.100000000000001" customHeight="1">
      <c r="B2061" s="172"/>
      <c r="C2061" s="174"/>
      <c r="D2061" s="181"/>
      <c r="E2061" s="173"/>
      <c r="F2061" s="176"/>
      <c r="G2061" s="175">
        <f t="shared" si="160"/>
        <v>0</v>
      </c>
      <c r="H2061" s="175">
        <f t="shared" si="153"/>
        <v>0</v>
      </c>
      <c r="I2061" s="177">
        <f>IF(G2061=0,0,IF(E2061="MXN",1/HLOOKUP(YEAR(C2061)+(MONTH(C2061)/100),TC!$5:$37,DAY(C2061)+2,FALSE),VLOOKUP(E2061,Equivalencia!$5:$23,((MAX(Equivalencia!$3:$3)-YEAR(C2061))*14)+MONTH(C2061)+2,FALSE)))</f>
        <v>0</v>
      </c>
      <c r="J2061" s="178">
        <f t="shared" si="161"/>
        <v>0</v>
      </c>
      <c r="K2061" s="462">
        <f>IF(C2061=0,0,VLOOKUP(YEAR(C2061),INPC!$B$4:$O$29,MONTH(C2061)+1))</f>
        <v>0</v>
      </c>
      <c r="L2061" s="462">
        <f>IF(S2061=0,0,VLOOKUP(YEAR(S2061),INPC!$B$4:$O$29,MONTH(S2061)+1))</f>
        <v>0</v>
      </c>
      <c r="M2061" s="463">
        <f t="shared" si="154"/>
        <v>0</v>
      </c>
      <c r="N2061" s="465">
        <f t="shared" si="162"/>
        <v>0</v>
      </c>
      <c r="O2061" s="179"/>
      <c r="P2061" s="180"/>
      <c r="Q2061" s="173"/>
      <c r="R2061" s="173"/>
      <c r="S2061" s="174"/>
      <c r="T2061" s="173"/>
      <c r="U2061" s="182"/>
      <c r="V2061" s="177">
        <f>IF(U2061=0,0,IF(T2061="MXN",1/HLOOKUP(YEAR(S2061)+(MONTH(S2061)/100),TC!$5:$37,DAY(S2061)+2,FALSE),VLOOKUP(T2061,Equivalencia!$1:$23,((MAX(Equivalencia!$3:$3)-YEAR(S2061))*14)+MONTH(S2061)+2,FALSE)))</f>
        <v>0</v>
      </c>
      <c r="W2061" s="178">
        <f t="shared" si="159"/>
        <v>0</v>
      </c>
      <c r="X2061" s="481">
        <f t="shared" si="155"/>
        <v>0</v>
      </c>
      <c r="Y2061" s="179"/>
      <c r="Z2061" s="466">
        <f t="shared" si="156"/>
        <v>0</v>
      </c>
      <c r="AA2061" s="473">
        <f t="shared" si="157"/>
        <v>0</v>
      </c>
      <c r="AB2061" s="339">
        <f t="shared" si="158"/>
        <v>0</v>
      </c>
    </row>
    <row r="2062" spans="2:28" ht="20.100000000000001" customHeight="1">
      <c r="B2062" s="172"/>
      <c r="C2062" s="174"/>
      <c r="D2062" s="181"/>
      <c r="E2062" s="173"/>
      <c r="F2062" s="176"/>
      <c r="G2062" s="175">
        <f t="shared" si="160"/>
        <v>0</v>
      </c>
      <c r="H2062" s="175">
        <f t="shared" si="153"/>
        <v>0</v>
      </c>
      <c r="I2062" s="177">
        <f>IF(G2062=0,0,IF(E2062="MXN",1/HLOOKUP(YEAR(C2062)+(MONTH(C2062)/100),TC!$5:$37,DAY(C2062)+2,FALSE),VLOOKUP(E2062,Equivalencia!$5:$23,((MAX(Equivalencia!$3:$3)-YEAR(C2062))*14)+MONTH(C2062)+2,FALSE)))</f>
        <v>0</v>
      </c>
      <c r="J2062" s="178">
        <f t="shared" si="161"/>
        <v>0</v>
      </c>
      <c r="K2062" s="462">
        <f>IF(C2062=0,0,VLOOKUP(YEAR(C2062),INPC!$B$4:$O$29,MONTH(C2062)+1))</f>
        <v>0</v>
      </c>
      <c r="L2062" s="462">
        <f>IF(S2062=0,0,VLOOKUP(YEAR(S2062),INPC!$B$4:$O$29,MONTH(S2062)+1))</f>
        <v>0</v>
      </c>
      <c r="M2062" s="463">
        <f t="shared" si="154"/>
        <v>0</v>
      </c>
      <c r="N2062" s="465">
        <f t="shared" si="162"/>
        <v>0</v>
      </c>
      <c r="O2062" s="179"/>
      <c r="P2062" s="180"/>
      <c r="Q2062" s="173"/>
      <c r="R2062" s="173"/>
      <c r="S2062" s="174"/>
      <c r="T2062" s="173"/>
      <c r="U2062" s="182"/>
      <c r="V2062" s="177">
        <f>IF(U2062=0,0,IF(T2062="MXN",1/HLOOKUP(YEAR(S2062)+(MONTH(S2062)/100),TC!$5:$37,DAY(S2062)+2,FALSE),VLOOKUP(T2062,Equivalencia!$1:$23,((MAX(Equivalencia!$3:$3)-YEAR(S2062))*14)+MONTH(S2062)+2,FALSE)))</f>
        <v>0</v>
      </c>
      <c r="W2062" s="178">
        <f t="shared" si="159"/>
        <v>0</v>
      </c>
      <c r="X2062" s="481">
        <f t="shared" si="155"/>
        <v>0</v>
      </c>
      <c r="Y2062" s="179"/>
      <c r="Z2062" s="466">
        <f t="shared" si="156"/>
        <v>0</v>
      </c>
      <c r="AA2062" s="473">
        <f t="shared" si="157"/>
        <v>0</v>
      </c>
      <c r="AB2062" s="339">
        <f t="shared" si="158"/>
        <v>0</v>
      </c>
    </row>
    <row r="2063" spans="2:28" ht="20.100000000000001" customHeight="1">
      <c r="B2063" s="172"/>
      <c r="C2063" s="174"/>
      <c r="D2063" s="181"/>
      <c r="E2063" s="173"/>
      <c r="F2063" s="176"/>
      <c r="G2063" s="175">
        <f t="shared" si="160"/>
        <v>0</v>
      </c>
      <c r="H2063" s="175">
        <f t="shared" si="153"/>
        <v>0</v>
      </c>
      <c r="I2063" s="177">
        <f>IF(G2063=0,0,IF(E2063="MXN",1/HLOOKUP(YEAR(C2063)+(MONTH(C2063)/100),TC!$5:$37,DAY(C2063)+2,FALSE),VLOOKUP(E2063,Equivalencia!$5:$23,((MAX(Equivalencia!$3:$3)-YEAR(C2063))*14)+MONTH(C2063)+2,FALSE)))</f>
        <v>0</v>
      </c>
      <c r="J2063" s="178">
        <f t="shared" si="161"/>
        <v>0</v>
      </c>
      <c r="K2063" s="462">
        <f>IF(C2063=0,0,VLOOKUP(YEAR(C2063),INPC!$B$4:$O$29,MONTH(C2063)+1))</f>
        <v>0</v>
      </c>
      <c r="L2063" s="462">
        <f>IF(S2063=0,0,VLOOKUP(YEAR(S2063),INPC!$B$4:$O$29,MONTH(S2063)+1))</f>
        <v>0</v>
      </c>
      <c r="M2063" s="463">
        <f t="shared" si="154"/>
        <v>0</v>
      </c>
      <c r="N2063" s="465">
        <f t="shared" si="162"/>
        <v>0</v>
      </c>
      <c r="O2063" s="179"/>
      <c r="P2063" s="180"/>
      <c r="Q2063" s="173"/>
      <c r="R2063" s="173"/>
      <c r="S2063" s="174"/>
      <c r="T2063" s="173"/>
      <c r="U2063" s="182"/>
      <c r="V2063" s="177">
        <f>IF(U2063=0,0,IF(T2063="MXN",1/HLOOKUP(YEAR(S2063)+(MONTH(S2063)/100),TC!$5:$37,DAY(S2063)+2,FALSE),VLOOKUP(T2063,Equivalencia!$1:$23,((MAX(Equivalencia!$3:$3)-YEAR(S2063))*14)+MONTH(S2063)+2,FALSE)))</f>
        <v>0</v>
      </c>
      <c r="W2063" s="178">
        <f t="shared" si="159"/>
        <v>0</v>
      </c>
      <c r="X2063" s="481">
        <f t="shared" si="155"/>
        <v>0</v>
      </c>
      <c r="Y2063" s="179"/>
      <c r="Z2063" s="466">
        <f t="shared" si="156"/>
        <v>0</v>
      </c>
      <c r="AA2063" s="473">
        <f t="shared" si="157"/>
        <v>0</v>
      </c>
      <c r="AB2063" s="339">
        <f t="shared" si="158"/>
        <v>0</v>
      </c>
    </row>
    <row r="2064" spans="2:28" ht="20.100000000000001" customHeight="1">
      <c r="B2064" s="172"/>
      <c r="C2064" s="174"/>
      <c r="D2064" s="181"/>
      <c r="E2064" s="173"/>
      <c r="F2064" s="176"/>
      <c r="G2064" s="175">
        <f t="shared" si="160"/>
        <v>0</v>
      </c>
      <c r="H2064" s="175">
        <f t="shared" si="153"/>
        <v>0</v>
      </c>
      <c r="I2064" s="177">
        <f>IF(G2064=0,0,IF(E2064="MXN",1/HLOOKUP(YEAR(C2064)+(MONTH(C2064)/100),TC!$5:$37,DAY(C2064)+2,FALSE),VLOOKUP(E2064,Equivalencia!$5:$23,((MAX(Equivalencia!$3:$3)-YEAR(C2064))*14)+MONTH(C2064)+2,FALSE)))</f>
        <v>0</v>
      </c>
      <c r="J2064" s="178">
        <f t="shared" si="161"/>
        <v>0</v>
      </c>
      <c r="K2064" s="462">
        <f>IF(C2064=0,0,VLOOKUP(YEAR(C2064),INPC!$B$4:$O$29,MONTH(C2064)+1))</f>
        <v>0</v>
      </c>
      <c r="L2064" s="462">
        <f>IF(S2064=0,0,VLOOKUP(YEAR(S2064),INPC!$B$4:$O$29,MONTH(S2064)+1))</f>
        <v>0</v>
      </c>
      <c r="M2064" s="463">
        <f t="shared" si="154"/>
        <v>0</v>
      </c>
      <c r="N2064" s="465">
        <f t="shared" si="162"/>
        <v>0</v>
      </c>
      <c r="O2064" s="179"/>
      <c r="P2064" s="180"/>
      <c r="Q2064" s="173"/>
      <c r="R2064" s="173"/>
      <c r="S2064" s="174"/>
      <c r="T2064" s="173"/>
      <c r="U2064" s="182"/>
      <c r="V2064" s="177">
        <f>IF(U2064=0,0,IF(T2064="MXN",1/HLOOKUP(YEAR(S2064)+(MONTH(S2064)/100),TC!$5:$37,DAY(S2064)+2,FALSE),VLOOKUP(T2064,Equivalencia!$1:$23,((MAX(Equivalencia!$3:$3)-YEAR(S2064))*14)+MONTH(S2064)+2,FALSE)))</f>
        <v>0</v>
      </c>
      <c r="W2064" s="178">
        <f t="shared" si="159"/>
        <v>0</v>
      </c>
      <c r="X2064" s="481">
        <f t="shared" si="155"/>
        <v>0</v>
      </c>
      <c r="Y2064" s="179"/>
      <c r="Z2064" s="466">
        <f t="shared" si="156"/>
        <v>0</v>
      </c>
      <c r="AA2064" s="473">
        <f t="shared" si="157"/>
        <v>0</v>
      </c>
      <c r="AB2064" s="339">
        <f t="shared" si="158"/>
        <v>0</v>
      </c>
    </row>
    <row r="2065" spans="2:28" ht="20.100000000000001" customHeight="1">
      <c r="B2065" s="172"/>
      <c r="C2065" s="174"/>
      <c r="D2065" s="181"/>
      <c r="E2065" s="173"/>
      <c r="F2065" s="176"/>
      <c r="G2065" s="175">
        <f t="shared" si="160"/>
        <v>0</v>
      </c>
      <c r="H2065" s="175">
        <f t="shared" si="153"/>
        <v>0</v>
      </c>
      <c r="I2065" s="177">
        <f>IF(G2065=0,0,IF(E2065="MXN",1/HLOOKUP(YEAR(C2065)+(MONTH(C2065)/100),TC!$5:$37,DAY(C2065)+2,FALSE),VLOOKUP(E2065,Equivalencia!$5:$23,((MAX(Equivalencia!$3:$3)-YEAR(C2065))*14)+MONTH(C2065)+2,FALSE)))</f>
        <v>0</v>
      </c>
      <c r="J2065" s="178">
        <f t="shared" si="161"/>
        <v>0</v>
      </c>
      <c r="K2065" s="462">
        <f>IF(C2065=0,0,VLOOKUP(YEAR(C2065),INPC!$B$4:$O$29,MONTH(C2065)+1))</f>
        <v>0</v>
      </c>
      <c r="L2065" s="462">
        <f>IF(S2065=0,0,VLOOKUP(YEAR(S2065),INPC!$B$4:$O$29,MONTH(S2065)+1))</f>
        <v>0</v>
      </c>
      <c r="M2065" s="463">
        <f t="shared" si="154"/>
        <v>0</v>
      </c>
      <c r="N2065" s="465">
        <f t="shared" si="162"/>
        <v>0</v>
      </c>
      <c r="O2065" s="179"/>
      <c r="P2065" s="180"/>
      <c r="Q2065" s="173"/>
      <c r="R2065" s="173"/>
      <c r="S2065" s="174"/>
      <c r="T2065" s="173"/>
      <c r="U2065" s="182"/>
      <c r="V2065" s="177">
        <f>IF(U2065=0,0,IF(T2065="MXN",1/HLOOKUP(YEAR(S2065)+(MONTH(S2065)/100),TC!$5:$37,DAY(S2065)+2,FALSE),VLOOKUP(T2065,Equivalencia!$1:$23,((MAX(Equivalencia!$3:$3)-YEAR(S2065))*14)+MONTH(S2065)+2,FALSE)))</f>
        <v>0</v>
      </c>
      <c r="W2065" s="178">
        <f t="shared" si="159"/>
        <v>0</v>
      </c>
      <c r="X2065" s="481">
        <f t="shared" si="155"/>
        <v>0</v>
      </c>
      <c r="Y2065" s="179"/>
      <c r="Z2065" s="466">
        <f t="shared" si="156"/>
        <v>0</v>
      </c>
      <c r="AA2065" s="473">
        <f t="shared" si="157"/>
        <v>0</v>
      </c>
      <c r="AB2065" s="339">
        <f t="shared" si="158"/>
        <v>0</v>
      </c>
    </row>
    <row r="2066" spans="2:28" ht="20.100000000000001" customHeight="1">
      <c r="B2066" s="172"/>
      <c r="C2066" s="174"/>
      <c r="D2066" s="181"/>
      <c r="E2066" s="173"/>
      <c r="F2066" s="176"/>
      <c r="G2066" s="175">
        <f t="shared" si="160"/>
        <v>0</v>
      </c>
      <c r="H2066" s="175">
        <f t="shared" si="153"/>
        <v>0</v>
      </c>
      <c r="I2066" s="177">
        <f>IF(G2066=0,0,IF(E2066="MXN",1/HLOOKUP(YEAR(C2066)+(MONTH(C2066)/100),TC!$5:$37,DAY(C2066)+2,FALSE),VLOOKUP(E2066,Equivalencia!$5:$23,((MAX(Equivalencia!$3:$3)-YEAR(C2066))*14)+MONTH(C2066)+2,FALSE)))</f>
        <v>0</v>
      </c>
      <c r="J2066" s="178">
        <f t="shared" si="161"/>
        <v>0</v>
      </c>
      <c r="K2066" s="462">
        <f>IF(C2066=0,0,VLOOKUP(YEAR(C2066),INPC!$B$4:$O$29,MONTH(C2066)+1))</f>
        <v>0</v>
      </c>
      <c r="L2066" s="462">
        <f>IF(S2066=0,0,VLOOKUP(YEAR(S2066),INPC!$B$4:$O$29,MONTH(S2066)+1))</f>
        <v>0</v>
      </c>
      <c r="M2066" s="463">
        <f t="shared" si="154"/>
        <v>0</v>
      </c>
      <c r="N2066" s="465">
        <f t="shared" si="162"/>
        <v>0</v>
      </c>
      <c r="O2066" s="179"/>
      <c r="P2066" s="180"/>
      <c r="Q2066" s="173"/>
      <c r="R2066" s="173"/>
      <c r="S2066" s="174"/>
      <c r="T2066" s="173"/>
      <c r="U2066" s="182"/>
      <c r="V2066" s="177">
        <f>IF(U2066=0,0,IF(T2066="MXN",1/HLOOKUP(YEAR(S2066)+(MONTH(S2066)/100),TC!$5:$37,DAY(S2066)+2,FALSE),VLOOKUP(T2066,Equivalencia!$1:$23,((MAX(Equivalencia!$3:$3)-YEAR(S2066))*14)+MONTH(S2066)+2,FALSE)))</f>
        <v>0</v>
      </c>
      <c r="W2066" s="178">
        <f t="shared" si="159"/>
        <v>0</v>
      </c>
      <c r="X2066" s="481">
        <f t="shared" si="155"/>
        <v>0</v>
      </c>
      <c r="Y2066" s="179"/>
      <c r="Z2066" s="466">
        <f t="shared" si="156"/>
        <v>0</v>
      </c>
      <c r="AA2066" s="473">
        <f t="shared" si="157"/>
        <v>0</v>
      </c>
      <c r="AB2066" s="339">
        <f t="shared" si="158"/>
        <v>0</v>
      </c>
    </row>
    <row r="2067" spans="2:28" ht="20.100000000000001" customHeight="1">
      <c r="B2067" s="172"/>
      <c r="C2067" s="174"/>
      <c r="D2067" s="181"/>
      <c r="E2067" s="173"/>
      <c r="F2067" s="176"/>
      <c r="G2067" s="175">
        <f t="shared" si="160"/>
        <v>0</v>
      </c>
      <c r="H2067" s="175">
        <f t="shared" si="153"/>
        <v>0</v>
      </c>
      <c r="I2067" s="177">
        <f>IF(G2067=0,0,IF(E2067="MXN",1/HLOOKUP(YEAR(C2067)+(MONTH(C2067)/100),TC!$5:$37,DAY(C2067)+2,FALSE),VLOOKUP(E2067,Equivalencia!$5:$23,((MAX(Equivalencia!$3:$3)-YEAR(C2067))*14)+MONTH(C2067)+2,FALSE)))</f>
        <v>0</v>
      </c>
      <c r="J2067" s="178">
        <f t="shared" si="161"/>
        <v>0</v>
      </c>
      <c r="K2067" s="462">
        <f>IF(C2067=0,0,VLOOKUP(YEAR(C2067),INPC!$B$4:$O$29,MONTH(C2067)+1))</f>
        <v>0</v>
      </c>
      <c r="L2067" s="462">
        <f>IF(S2067=0,0,VLOOKUP(YEAR(S2067),INPC!$B$4:$O$29,MONTH(S2067)+1))</f>
        <v>0</v>
      </c>
      <c r="M2067" s="463">
        <f t="shared" si="154"/>
        <v>0</v>
      </c>
      <c r="N2067" s="465">
        <f t="shared" si="162"/>
        <v>0</v>
      </c>
      <c r="O2067" s="179"/>
      <c r="P2067" s="180"/>
      <c r="Q2067" s="173"/>
      <c r="R2067" s="173"/>
      <c r="S2067" s="174"/>
      <c r="T2067" s="173"/>
      <c r="U2067" s="182"/>
      <c r="V2067" s="177">
        <f>IF(U2067=0,0,IF(T2067="MXN",1/HLOOKUP(YEAR(S2067)+(MONTH(S2067)/100),TC!$5:$37,DAY(S2067)+2,FALSE),VLOOKUP(T2067,Equivalencia!$1:$23,((MAX(Equivalencia!$3:$3)-YEAR(S2067))*14)+MONTH(S2067)+2,FALSE)))</f>
        <v>0</v>
      </c>
      <c r="W2067" s="178">
        <f t="shared" si="159"/>
        <v>0</v>
      </c>
      <c r="X2067" s="481">
        <f t="shared" si="155"/>
        <v>0</v>
      </c>
      <c r="Y2067" s="179"/>
      <c r="Z2067" s="466">
        <f t="shared" si="156"/>
        <v>0</v>
      </c>
      <c r="AA2067" s="473">
        <f t="shared" si="157"/>
        <v>0</v>
      </c>
      <c r="AB2067" s="339">
        <f t="shared" si="158"/>
        <v>0</v>
      </c>
    </row>
    <row r="2068" spans="2:28" ht="20.100000000000001" customHeight="1">
      <c r="B2068" s="172"/>
      <c r="C2068" s="174"/>
      <c r="D2068" s="181"/>
      <c r="E2068" s="173"/>
      <c r="F2068" s="176"/>
      <c r="G2068" s="175">
        <f t="shared" si="160"/>
        <v>0</v>
      </c>
      <c r="H2068" s="175">
        <f t="shared" si="153"/>
        <v>0</v>
      </c>
      <c r="I2068" s="177">
        <f>IF(G2068=0,0,IF(E2068="MXN",1/HLOOKUP(YEAR(C2068)+(MONTH(C2068)/100),TC!$5:$37,DAY(C2068)+2,FALSE),VLOOKUP(E2068,Equivalencia!$5:$23,((MAX(Equivalencia!$3:$3)-YEAR(C2068))*14)+MONTH(C2068)+2,FALSE)))</f>
        <v>0</v>
      </c>
      <c r="J2068" s="178">
        <f t="shared" si="161"/>
        <v>0</v>
      </c>
      <c r="K2068" s="462">
        <f>IF(C2068=0,0,VLOOKUP(YEAR(C2068),INPC!$B$4:$O$29,MONTH(C2068)+1))</f>
        <v>0</v>
      </c>
      <c r="L2068" s="462">
        <f>IF(S2068=0,0,VLOOKUP(YEAR(S2068),INPC!$B$4:$O$29,MONTH(S2068)+1))</f>
        <v>0</v>
      </c>
      <c r="M2068" s="463">
        <f t="shared" si="154"/>
        <v>0</v>
      </c>
      <c r="N2068" s="465">
        <f t="shared" si="162"/>
        <v>0</v>
      </c>
      <c r="O2068" s="179"/>
      <c r="P2068" s="180"/>
      <c r="Q2068" s="173"/>
      <c r="R2068" s="173"/>
      <c r="S2068" s="174"/>
      <c r="T2068" s="173"/>
      <c r="U2068" s="182"/>
      <c r="V2068" s="177">
        <f>IF(U2068=0,0,IF(T2068="MXN",1/HLOOKUP(YEAR(S2068)+(MONTH(S2068)/100),TC!$5:$37,DAY(S2068)+2,FALSE),VLOOKUP(T2068,Equivalencia!$1:$23,((MAX(Equivalencia!$3:$3)-YEAR(S2068))*14)+MONTH(S2068)+2,FALSE)))</f>
        <v>0</v>
      </c>
      <c r="W2068" s="178">
        <f t="shared" si="159"/>
        <v>0</v>
      </c>
      <c r="X2068" s="481">
        <f t="shared" si="155"/>
        <v>0</v>
      </c>
      <c r="Y2068" s="179"/>
      <c r="Z2068" s="466">
        <f t="shared" si="156"/>
        <v>0</v>
      </c>
      <c r="AA2068" s="473">
        <f t="shared" si="157"/>
        <v>0</v>
      </c>
      <c r="AB2068" s="339">
        <f t="shared" si="158"/>
        <v>0</v>
      </c>
    </row>
    <row r="2069" spans="2:28" ht="20.100000000000001" customHeight="1">
      <c r="B2069" s="172"/>
      <c r="C2069" s="174"/>
      <c r="D2069" s="181"/>
      <c r="E2069" s="173"/>
      <c r="F2069" s="176"/>
      <c r="G2069" s="175">
        <f t="shared" si="160"/>
        <v>0</v>
      </c>
      <c r="H2069" s="175">
        <f t="shared" si="153"/>
        <v>0</v>
      </c>
      <c r="I2069" s="177">
        <f>IF(G2069=0,0,IF(E2069="MXN",1/HLOOKUP(YEAR(C2069)+(MONTH(C2069)/100),TC!$5:$37,DAY(C2069)+2,FALSE),VLOOKUP(E2069,Equivalencia!$5:$23,((MAX(Equivalencia!$3:$3)-YEAR(C2069))*14)+MONTH(C2069)+2,FALSE)))</f>
        <v>0</v>
      </c>
      <c r="J2069" s="178">
        <f t="shared" si="161"/>
        <v>0</v>
      </c>
      <c r="K2069" s="462">
        <f>IF(C2069=0,0,VLOOKUP(YEAR(C2069),INPC!$B$4:$O$29,MONTH(C2069)+1))</f>
        <v>0</v>
      </c>
      <c r="L2069" s="462">
        <f>IF(S2069=0,0,VLOOKUP(YEAR(S2069),INPC!$B$4:$O$29,MONTH(S2069)+1))</f>
        <v>0</v>
      </c>
      <c r="M2069" s="463">
        <f t="shared" si="154"/>
        <v>0</v>
      </c>
      <c r="N2069" s="465">
        <f t="shared" si="162"/>
        <v>0</v>
      </c>
      <c r="O2069" s="179"/>
      <c r="P2069" s="180"/>
      <c r="Q2069" s="173"/>
      <c r="R2069" s="173"/>
      <c r="S2069" s="174"/>
      <c r="T2069" s="173"/>
      <c r="U2069" s="182"/>
      <c r="V2069" s="177">
        <f>IF(U2069=0,0,IF(T2069="MXN",1/HLOOKUP(YEAR(S2069)+(MONTH(S2069)/100),TC!$5:$37,DAY(S2069)+2,FALSE),VLOOKUP(T2069,Equivalencia!$1:$23,((MAX(Equivalencia!$3:$3)-YEAR(S2069))*14)+MONTH(S2069)+2,FALSE)))</f>
        <v>0</v>
      </c>
      <c r="W2069" s="178">
        <f t="shared" si="159"/>
        <v>0</v>
      </c>
      <c r="X2069" s="481">
        <f t="shared" si="155"/>
        <v>0</v>
      </c>
      <c r="Y2069" s="179"/>
      <c r="Z2069" s="466">
        <f t="shared" si="156"/>
        <v>0</v>
      </c>
      <c r="AA2069" s="473">
        <f t="shared" si="157"/>
        <v>0</v>
      </c>
      <c r="AB2069" s="339">
        <f t="shared" si="158"/>
        <v>0</v>
      </c>
    </row>
    <row r="2070" spans="2:28" ht="20.100000000000001" customHeight="1">
      <c r="B2070" s="172"/>
      <c r="C2070" s="174"/>
      <c r="D2070" s="181"/>
      <c r="E2070" s="173"/>
      <c r="F2070" s="176"/>
      <c r="G2070" s="175">
        <f t="shared" si="160"/>
        <v>0</v>
      </c>
      <c r="H2070" s="175">
        <f t="shared" si="153"/>
        <v>0</v>
      </c>
      <c r="I2070" s="177">
        <f>IF(G2070=0,0,IF(E2070="MXN",1/HLOOKUP(YEAR(C2070)+(MONTH(C2070)/100),TC!$5:$37,DAY(C2070)+2,FALSE),VLOOKUP(E2070,Equivalencia!$5:$23,((MAX(Equivalencia!$3:$3)-YEAR(C2070))*14)+MONTH(C2070)+2,FALSE)))</f>
        <v>0</v>
      </c>
      <c r="J2070" s="178">
        <f t="shared" si="161"/>
        <v>0</v>
      </c>
      <c r="K2070" s="462">
        <f>IF(C2070=0,0,VLOOKUP(YEAR(C2070),INPC!$B$4:$O$29,MONTH(C2070)+1))</f>
        <v>0</v>
      </c>
      <c r="L2070" s="462">
        <f>IF(S2070=0,0,VLOOKUP(YEAR(S2070),INPC!$B$4:$O$29,MONTH(S2070)+1))</f>
        <v>0</v>
      </c>
      <c r="M2070" s="463">
        <f t="shared" si="154"/>
        <v>0</v>
      </c>
      <c r="N2070" s="465">
        <f t="shared" si="162"/>
        <v>0</v>
      </c>
      <c r="O2070" s="179"/>
      <c r="P2070" s="180"/>
      <c r="Q2070" s="173"/>
      <c r="R2070" s="173"/>
      <c r="S2070" s="174"/>
      <c r="T2070" s="173"/>
      <c r="U2070" s="182"/>
      <c r="V2070" s="177">
        <f>IF(U2070=0,0,IF(T2070="MXN",1/HLOOKUP(YEAR(S2070)+(MONTH(S2070)/100),TC!$5:$37,DAY(S2070)+2,FALSE),VLOOKUP(T2070,Equivalencia!$1:$23,((MAX(Equivalencia!$3:$3)-YEAR(S2070))*14)+MONTH(S2070)+2,FALSE)))</f>
        <v>0</v>
      </c>
      <c r="W2070" s="178">
        <f t="shared" si="159"/>
        <v>0</v>
      </c>
      <c r="X2070" s="481">
        <f t="shared" si="155"/>
        <v>0</v>
      </c>
      <c r="Y2070" s="179"/>
      <c r="Z2070" s="466">
        <f t="shared" si="156"/>
        <v>0</v>
      </c>
      <c r="AA2070" s="473">
        <f t="shared" si="157"/>
        <v>0</v>
      </c>
      <c r="AB2070" s="339">
        <f t="shared" si="158"/>
        <v>0</v>
      </c>
    </row>
    <row r="2071" spans="2:28" ht="20.100000000000001" customHeight="1">
      <c r="B2071" s="172"/>
      <c r="C2071" s="174"/>
      <c r="D2071" s="181"/>
      <c r="E2071" s="173"/>
      <c r="F2071" s="176"/>
      <c r="G2071" s="175">
        <f t="shared" si="160"/>
        <v>0</v>
      </c>
      <c r="H2071" s="175">
        <f t="shared" si="153"/>
        <v>0</v>
      </c>
      <c r="I2071" s="177">
        <f>IF(G2071=0,0,IF(E2071="MXN",1/HLOOKUP(YEAR(C2071)+(MONTH(C2071)/100),TC!$5:$37,DAY(C2071)+2,FALSE),VLOOKUP(E2071,Equivalencia!$5:$23,((MAX(Equivalencia!$3:$3)-YEAR(C2071))*14)+MONTH(C2071)+2,FALSE)))</f>
        <v>0</v>
      </c>
      <c r="J2071" s="178">
        <f t="shared" si="161"/>
        <v>0</v>
      </c>
      <c r="K2071" s="462">
        <f>IF(C2071=0,0,VLOOKUP(YEAR(C2071),INPC!$B$4:$O$29,MONTH(C2071)+1))</f>
        <v>0</v>
      </c>
      <c r="L2071" s="462">
        <f>IF(S2071=0,0,VLOOKUP(YEAR(S2071),INPC!$B$4:$O$29,MONTH(S2071)+1))</f>
        <v>0</v>
      </c>
      <c r="M2071" s="463">
        <f t="shared" si="154"/>
        <v>0</v>
      </c>
      <c r="N2071" s="465">
        <f t="shared" si="162"/>
        <v>0</v>
      </c>
      <c r="O2071" s="179"/>
      <c r="P2071" s="180"/>
      <c r="Q2071" s="173"/>
      <c r="R2071" s="173"/>
      <c r="S2071" s="174"/>
      <c r="T2071" s="173"/>
      <c r="U2071" s="182"/>
      <c r="V2071" s="177">
        <f>IF(U2071=0,0,IF(T2071="MXN",1/HLOOKUP(YEAR(S2071)+(MONTH(S2071)/100),TC!$5:$37,DAY(S2071)+2,FALSE),VLOOKUP(T2071,Equivalencia!$1:$23,((MAX(Equivalencia!$3:$3)-YEAR(S2071))*14)+MONTH(S2071)+2,FALSE)))</f>
        <v>0</v>
      </c>
      <c r="W2071" s="178">
        <f t="shared" si="159"/>
        <v>0</v>
      </c>
      <c r="X2071" s="481">
        <f t="shared" si="155"/>
        <v>0</v>
      </c>
      <c r="Y2071" s="179"/>
      <c r="Z2071" s="466">
        <f t="shared" si="156"/>
        <v>0</v>
      </c>
      <c r="AA2071" s="473">
        <f t="shared" si="157"/>
        <v>0</v>
      </c>
      <c r="AB2071" s="339">
        <f t="shared" si="158"/>
        <v>0</v>
      </c>
    </row>
    <row r="2072" spans="2:28" ht="20.100000000000001" customHeight="1">
      <c r="B2072" s="172"/>
      <c r="C2072" s="174"/>
      <c r="D2072" s="181"/>
      <c r="E2072" s="173"/>
      <c r="F2072" s="176"/>
      <c r="G2072" s="175">
        <f t="shared" si="160"/>
        <v>0</v>
      </c>
      <c r="H2072" s="175">
        <f t="shared" si="153"/>
        <v>0</v>
      </c>
      <c r="I2072" s="177">
        <f>IF(G2072=0,0,IF(E2072="MXN",1/HLOOKUP(YEAR(C2072)+(MONTH(C2072)/100),TC!$5:$37,DAY(C2072)+2,FALSE),VLOOKUP(E2072,Equivalencia!$5:$23,((MAX(Equivalencia!$3:$3)-YEAR(C2072))*14)+MONTH(C2072)+2,FALSE)))</f>
        <v>0</v>
      </c>
      <c r="J2072" s="178">
        <f t="shared" si="161"/>
        <v>0</v>
      </c>
      <c r="K2072" s="462">
        <f>IF(C2072=0,0,VLOOKUP(YEAR(C2072),INPC!$B$4:$O$29,MONTH(C2072)+1))</f>
        <v>0</v>
      </c>
      <c r="L2072" s="462">
        <f>IF(S2072=0,0,VLOOKUP(YEAR(S2072),INPC!$B$4:$O$29,MONTH(S2072)+1))</f>
        <v>0</v>
      </c>
      <c r="M2072" s="463">
        <f t="shared" si="154"/>
        <v>0</v>
      </c>
      <c r="N2072" s="465">
        <f t="shared" si="162"/>
        <v>0</v>
      </c>
      <c r="O2072" s="179"/>
      <c r="P2072" s="180"/>
      <c r="Q2072" s="173"/>
      <c r="R2072" s="173"/>
      <c r="S2072" s="174"/>
      <c r="T2072" s="173"/>
      <c r="U2072" s="182"/>
      <c r="V2072" s="177">
        <f>IF(U2072=0,0,IF(T2072="MXN",1/HLOOKUP(YEAR(S2072)+(MONTH(S2072)/100),TC!$5:$37,DAY(S2072)+2,FALSE),VLOOKUP(T2072,Equivalencia!$1:$23,((MAX(Equivalencia!$3:$3)-YEAR(S2072))*14)+MONTH(S2072)+2,FALSE)))</f>
        <v>0</v>
      </c>
      <c r="W2072" s="178">
        <f t="shared" si="159"/>
        <v>0</v>
      </c>
      <c r="X2072" s="481">
        <f t="shared" si="155"/>
        <v>0</v>
      </c>
      <c r="Y2072" s="179"/>
      <c r="Z2072" s="466">
        <f t="shared" si="156"/>
        <v>0</v>
      </c>
      <c r="AA2072" s="473">
        <f t="shared" si="157"/>
        <v>0</v>
      </c>
      <c r="AB2072" s="339">
        <f t="shared" si="158"/>
        <v>0</v>
      </c>
    </row>
    <row r="2073" spans="2:28" ht="20.100000000000001" customHeight="1">
      <c r="B2073" s="172"/>
      <c r="C2073" s="174"/>
      <c r="D2073" s="181"/>
      <c r="E2073" s="173"/>
      <c r="F2073" s="176"/>
      <c r="G2073" s="175">
        <f t="shared" si="160"/>
        <v>0</v>
      </c>
      <c r="H2073" s="175">
        <f t="shared" si="153"/>
        <v>0</v>
      </c>
      <c r="I2073" s="177">
        <f>IF(G2073=0,0,IF(E2073="MXN",1/HLOOKUP(YEAR(C2073)+(MONTH(C2073)/100),TC!$5:$37,DAY(C2073)+2,FALSE),VLOOKUP(E2073,Equivalencia!$5:$23,((MAX(Equivalencia!$3:$3)-YEAR(C2073))*14)+MONTH(C2073)+2,FALSE)))</f>
        <v>0</v>
      </c>
      <c r="J2073" s="178">
        <f t="shared" si="161"/>
        <v>0</v>
      </c>
      <c r="K2073" s="462">
        <f>IF(C2073=0,0,VLOOKUP(YEAR(C2073),INPC!$B$4:$O$29,MONTH(C2073)+1))</f>
        <v>0</v>
      </c>
      <c r="L2073" s="462">
        <f>IF(S2073=0,0,VLOOKUP(YEAR(S2073),INPC!$B$4:$O$29,MONTH(S2073)+1))</f>
        <v>0</v>
      </c>
      <c r="M2073" s="463">
        <f t="shared" si="154"/>
        <v>0</v>
      </c>
      <c r="N2073" s="465">
        <f t="shared" si="162"/>
        <v>0</v>
      </c>
      <c r="O2073" s="179"/>
      <c r="P2073" s="180"/>
      <c r="Q2073" s="173"/>
      <c r="R2073" s="173"/>
      <c r="S2073" s="174"/>
      <c r="T2073" s="173"/>
      <c r="U2073" s="182"/>
      <c r="V2073" s="177">
        <f>IF(U2073=0,0,IF(T2073="MXN",1/HLOOKUP(YEAR(S2073)+(MONTH(S2073)/100),TC!$5:$37,DAY(S2073)+2,FALSE),VLOOKUP(T2073,Equivalencia!$1:$23,((MAX(Equivalencia!$3:$3)-YEAR(S2073))*14)+MONTH(S2073)+2,FALSE)))</f>
        <v>0</v>
      </c>
      <c r="W2073" s="178">
        <f t="shared" si="159"/>
        <v>0</v>
      </c>
      <c r="X2073" s="481">
        <f t="shared" si="155"/>
        <v>0</v>
      </c>
      <c r="Y2073" s="179"/>
      <c r="Z2073" s="466">
        <f t="shared" si="156"/>
        <v>0</v>
      </c>
      <c r="AA2073" s="473">
        <f t="shared" si="157"/>
        <v>0</v>
      </c>
      <c r="AB2073" s="339">
        <f t="shared" si="158"/>
        <v>0</v>
      </c>
    </row>
    <row r="2074" spans="2:28" ht="20.100000000000001" customHeight="1">
      <c r="B2074" s="172"/>
      <c r="C2074" s="174"/>
      <c r="D2074" s="181"/>
      <c r="E2074" s="173"/>
      <c r="F2074" s="176"/>
      <c r="G2074" s="175">
        <f t="shared" si="160"/>
        <v>0</v>
      </c>
      <c r="H2074" s="175">
        <f t="shared" si="153"/>
        <v>0</v>
      </c>
      <c r="I2074" s="177">
        <f>IF(G2074=0,0,IF(E2074="MXN",1/HLOOKUP(YEAR(C2074)+(MONTH(C2074)/100),TC!$5:$37,DAY(C2074)+2,FALSE),VLOOKUP(E2074,Equivalencia!$5:$23,((MAX(Equivalencia!$3:$3)-YEAR(C2074))*14)+MONTH(C2074)+2,FALSE)))</f>
        <v>0</v>
      </c>
      <c r="J2074" s="178">
        <f t="shared" si="161"/>
        <v>0</v>
      </c>
      <c r="K2074" s="462">
        <f>IF(C2074=0,0,VLOOKUP(YEAR(C2074),INPC!$B$4:$O$29,MONTH(C2074)+1))</f>
        <v>0</v>
      </c>
      <c r="L2074" s="462">
        <f>IF(S2074=0,0,VLOOKUP(YEAR(S2074),INPC!$B$4:$O$29,MONTH(S2074)+1))</f>
        <v>0</v>
      </c>
      <c r="M2074" s="463">
        <f t="shared" si="154"/>
        <v>0</v>
      </c>
      <c r="N2074" s="465">
        <f t="shared" si="162"/>
        <v>0</v>
      </c>
      <c r="O2074" s="179"/>
      <c r="P2074" s="180"/>
      <c r="Q2074" s="173"/>
      <c r="R2074" s="173"/>
      <c r="S2074" s="174"/>
      <c r="T2074" s="173"/>
      <c r="U2074" s="182"/>
      <c r="V2074" s="177">
        <f>IF(U2074=0,0,IF(T2074="MXN",1/HLOOKUP(YEAR(S2074)+(MONTH(S2074)/100),TC!$5:$37,DAY(S2074)+2,FALSE),VLOOKUP(T2074,Equivalencia!$1:$23,((MAX(Equivalencia!$3:$3)-YEAR(S2074))*14)+MONTH(S2074)+2,FALSE)))</f>
        <v>0</v>
      </c>
      <c r="W2074" s="178">
        <f t="shared" si="159"/>
        <v>0</v>
      </c>
      <c r="X2074" s="481">
        <f t="shared" si="155"/>
        <v>0</v>
      </c>
      <c r="Y2074" s="179"/>
      <c r="Z2074" s="466">
        <f t="shared" si="156"/>
        <v>0</v>
      </c>
      <c r="AA2074" s="473">
        <f t="shared" si="157"/>
        <v>0</v>
      </c>
      <c r="AB2074" s="339">
        <f t="shared" si="158"/>
        <v>0</v>
      </c>
    </row>
    <row r="2075" spans="2:28" ht="20.100000000000001" customHeight="1">
      <c r="B2075" s="172"/>
      <c r="C2075" s="174"/>
      <c r="D2075" s="181"/>
      <c r="E2075" s="173"/>
      <c r="F2075" s="176"/>
      <c r="G2075" s="175">
        <f t="shared" si="160"/>
        <v>0</v>
      </c>
      <c r="H2075" s="175">
        <f t="shared" si="153"/>
        <v>0</v>
      </c>
      <c r="I2075" s="177">
        <f>IF(G2075=0,0,IF(E2075="MXN",1/HLOOKUP(YEAR(C2075)+(MONTH(C2075)/100),TC!$5:$37,DAY(C2075)+2,FALSE),VLOOKUP(E2075,Equivalencia!$5:$23,((MAX(Equivalencia!$3:$3)-YEAR(C2075))*14)+MONTH(C2075)+2,FALSE)))</f>
        <v>0</v>
      </c>
      <c r="J2075" s="178">
        <f t="shared" si="161"/>
        <v>0</v>
      </c>
      <c r="K2075" s="462">
        <f>IF(C2075=0,0,VLOOKUP(YEAR(C2075),INPC!$B$4:$O$29,MONTH(C2075)+1))</f>
        <v>0</v>
      </c>
      <c r="L2075" s="462">
        <f>IF(S2075=0,0,VLOOKUP(YEAR(S2075),INPC!$B$4:$O$29,MONTH(S2075)+1))</f>
        <v>0</v>
      </c>
      <c r="M2075" s="463">
        <f t="shared" si="154"/>
        <v>0</v>
      </c>
      <c r="N2075" s="465">
        <f t="shared" si="162"/>
        <v>0</v>
      </c>
      <c r="O2075" s="179"/>
      <c r="P2075" s="180"/>
      <c r="Q2075" s="173"/>
      <c r="R2075" s="173"/>
      <c r="S2075" s="174"/>
      <c r="T2075" s="173"/>
      <c r="U2075" s="182"/>
      <c r="V2075" s="177">
        <f>IF(U2075=0,0,IF(T2075="MXN",1/HLOOKUP(YEAR(S2075)+(MONTH(S2075)/100),TC!$5:$37,DAY(S2075)+2,FALSE),VLOOKUP(T2075,Equivalencia!$1:$23,((MAX(Equivalencia!$3:$3)-YEAR(S2075))*14)+MONTH(S2075)+2,FALSE)))</f>
        <v>0</v>
      </c>
      <c r="W2075" s="178">
        <f t="shared" si="159"/>
        <v>0</v>
      </c>
      <c r="X2075" s="481">
        <f t="shared" si="155"/>
        <v>0</v>
      </c>
      <c r="Y2075" s="179"/>
      <c r="Z2075" s="466">
        <f t="shared" si="156"/>
        <v>0</v>
      </c>
      <c r="AA2075" s="473">
        <f t="shared" si="157"/>
        <v>0</v>
      </c>
      <c r="AB2075" s="339">
        <f t="shared" si="158"/>
        <v>0</v>
      </c>
    </row>
    <row r="2076" spans="2:28" ht="20.100000000000001" customHeight="1">
      <c r="B2076" s="172"/>
      <c r="C2076" s="174"/>
      <c r="D2076" s="181"/>
      <c r="E2076" s="173"/>
      <c r="F2076" s="176"/>
      <c r="G2076" s="175">
        <f t="shared" si="160"/>
        <v>0</v>
      </c>
      <c r="H2076" s="175">
        <f t="shared" si="153"/>
        <v>0</v>
      </c>
      <c r="I2076" s="177">
        <f>IF(G2076=0,0,IF(E2076="MXN",1/HLOOKUP(YEAR(C2076)+(MONTH(C2076)/100),TC!$5:$37,DAY(C2076)+2,FALSE),VLOOKUP(E2076,Equivalencia!$5:$23,((MAX(Equivalencia!$3:$3)-YEAR(C2076))*14)+MONTH(C2076)+2,FALSE)))</f>
        <v>0</v>
      </c>
      <c r="J2076" s="178">
        <f t="shared" si="161"/>
        <v>0</v>
      </c>
      <c r="K2076" s="462">
        <f>IF(C2076=0,0,VLOOKUP(YEAR(C2076),INPC!$B$4:$O$29,MONTH(C2076)+1))</f>
        <v>0</v>
      </c>
      <c r="L2076" s="462">
        <f>IF(S2076=0,0,VLOOKUP(YEAR(S2076),INPC!$B$4:$O$29,MONTH(S2076)+1))</f>
        <v>0</v>
      </c>
      <c r="M2076" s="463">
        <f t="shared" si="154"/>
        <v>0</v>
      </c>
      <c r="N2076" s="465">
        <f t="shared" si="162"/>
        <v>0</v>
      </c>
      <c r="O2076" s="179"/>
      <c r="P2076" s="180"/>
      <c r="Q2076" s="173"/>
      <c r="R2076" s="173"/>
      <c r="S2076" s="174"/>
      <c r="T2076" s="173"/>
      <c r="U2076" s="182"/>
      <c r="V2076" s="177">
        <f>IF(U2076=0,0,IF(T2076="MXN",1/HLOOKUP(YEAR(S2076)+(MONTH(S2076)/100),TC!$5:$37,DAY(S2076)+2,FALSE),VLOOKUP(T2076,Equivalencia!$1:$23,((MAX(Equivalencia!$3:$3)-YEAR(S2076))*14)+MONTH(S2076)+2,FALSE)))</f>
        <v>0</v>
      </c>
      <c r="W2076" s="178">
        <f t="shared" si="159"/>
        <v>0</v>
      </c>
      <c r="X2076" s="481">
        <f t="shared" si="155"/>
        <v>0</v>
      </c>
      <c r="Y2076" s="179"/>
      <c r="Z2076" s="466">
        <f t="shared" si="156"/>
        <v>0</v>
      </c>
      <c r="AA2076" s="473">
        <f t="shared" si="157"/>
        <v>0</v>
      </c>
      <c r="AB2076" s="339">
        <f t="shared" si="158"/>
        <v>0</v>
      </c>
    </row>
    <row r="2077" spans="2:28" ht="20.100000000000001" customHeight="1">
      <c r="B2077" s="172"/>
      <c r="C2077" s="174"/>
      <c r="D2077" s="181"/>
      <c r="E2077" s="173"/>
      <c r="F2077" s="176"/>
      <c r="G2077" s="175">
        <f t="shared" si="160"/>
        <v>0</v>
      </c>
      <c r="H2077" s="175">
        <f t="shared" si="153"/>
        <v>0</v>
      </c>
      <c r="I2077" s="177">
        <f>IF(G2077=0,0,IF(E2077="MXN",1/HLOOKUP(YEAR(C2077)+(MONTH(C2077)/100),TC!$5:$37,DAY(C2077)+2,FALSE),VLOOKUP(E2077,Equivalencia!$5:$23,((MAX(Equivalencia!$3:$3)-YEAR(C2077))*14)+MONTH(C2077)+2,FALSE)))</f>
        <v>0</v>
      </c>
      <c r="J2077" s="178">
        <f t="shared" si="161"/>
        <v>0</v>
      </c>
      <c r="K2077" s="462">
        <f>IF(C2077=0,0,VLOOKUP(YEAR(C2077),INPC!$B$4:$O$29,MONTH(C2077)+1))</f>
        <v>0</v>
      </c>
      <c r="L2077" s="462">
        <f>IF(S2077=0,0,VLOOKUP(YEAR(S2077),INPC!$B$4:$O$29,MONTH(S2077)+1))</f>
        <v>0</v>
      </c>
      <c r="M2077" s="463">
        <f t="shared" si="154"/>
        <v>0</v>
      </c>
      <c r="N2077" s="465">
        <f t="shared" si="162"/>
        <v>0</v>
      </c>
      <c r="O2077" s="179"/>
      <c r="P2077" s="180"/>
      <c r="Q2077" s="173"/>
      <c r="R2077" s="173"/>
      <c r="S2077" s="174"/>
      <c r="T2077" s="173"/>
      <c r="U2077" s="182"/>
      <c r="V2077" s="177">
        <f>IF(U2077=0,0,IF(T2077="MXN",1/HLOOKUP(YEAR(S2077)+(MONTH(S2077)/100),TC!$5:$37,DAY(S2077)+2,FALSE),VLOOKUP(T2077,Equivalencia!$1:$23,((MAX(Equivalencia!$3:$3)-YEAR(S2077))*14)+MONTH(S2077)+2,FALSE)))</f>
        <v>0</v>
      </c>
      <c r="W2077" s="178">
        <f t="shared" si="159"/>
        <v>0</v>
      </c>
      <c r="X2077" s="481">
        <f t="shared" si="155"/>
        <v>0</v>
      </c>
      <c r="Y2077" s="179"/>
      <c r="Z2077" s="466">
        <f t="shared" si="156"/>
        <v>0</v>
      </c>
      <c r="AA2077" s="473">
        <f t="shared" si="157"/>
        <v>0</v>
      </c>
      <c r="AB2077" s="339">
        <f t="shared" si="158"/>
        <v>0</v>
      </c>
    </row>
    <row r="2078" spans="2:28" ht="20.100000000000001" customHeight="1">
      <c r="B2078" s="172"/>
      <c r="C2078" s="174"/>
      <c r="D2078" s="181"/>
      <c r="E2078" s="173"/>
      <c r="F2078" s="176"/>
      <c r="G2078" s="175">
        <f t="shared" si="160"/>
        <v>0</v>
      </c>
      <c r="H2078" s="175">
        <f t="shared" si="153"/>
        <v>0</v>
      </c>
      <c r="I2078" s="177">
        <f>IF(G2078=0,0,IF(E2078="MXN",1/HLOOKUP(YEAR(C2078)+(MONTH(C2078)/100),TC!$5:$37,DAY(C2078)+2,FALSE),VLOOKUP(E2078,Equivalencia!$5:$23,((MAX(Equivalencia!$3:$3)-YEAR(C2078))*14)+MONTH(C2078)+2,FALSE)))</f>
        <v>0</v>
      </c>
      <c r="J2078" s="178">
        <f t="shared" si="161"/>
        <v>0</v>
      </c>
      <c r="K2078" s="462">
        <f>IF(C2078=0,0,VLOOKUP(YEAR(C2078),INPC!$B$4:$O$29,MONTH(C2078)+1))</f>
        <v>0</v>
      </c>
      <c r="L2078" s="462">
        <f>IF(S2078=0,0,VLOOKUP(YEAR(S2078),INPC!$B$4:$O$29,MONTH(S2078)+1))</f>
        <v>0</v>
      </c>
      <c r="M2078" s="463">
        <f t="shared" si="154"/>
        <v>0</v>
      </c>
      <c r="N2078" s="465">
        <f t="shared" si="162"/>
        <v>0</v>
      </c>
      <c r="O2078" s="179"/>
      <c r="P2078" s="180"/>
      <c r="Q2078" s="173"/>
      <c r="R2078" s="173"/>
      <c r="S2078" s="174"/>
      <c r="T2078" s="173"/>
      <c r="U2078" s="182"/>
      <c r="V2078" s="177">
        <f>IF(U2078=0,0,IF(T2078="MXN",1/HLOOKUP(YEAR(S2078)+(MONTH(S2078)/100),TC!$5:$37,DAY(S2078)+2,FALSE),VLOOKUP(T2078,Equivalencia!$1:$23,((MAX(Equivalencia!$3:$3)-YEAR(S2078))*14)+MONTH(S2078)+2,FALSE)))</f>
        <v>0</v>
      </c>
      <c r="W2078" s="178">
        <f t="shared" si="159"/>
        <v>0</v>
      </c>
      <c r="X2078" s="481">
        <f t="shared" si="155"/>
        <v>0</v>
      </c>
      <c r="Y2078" s="179"/>
      <c r="Z2078" s="466">
        <f t="shared" si="156"/>
        <v>0</v>
      </c>
      <c r="AA2078" s="473">
        <f t="shared" si="157"/>
        <v>0</v>
      </c>
      <c r="AB2078" s="339">
        <f t="shared" si="158"/>
        <v>0</v>
      </c>
    </row>
    <row r="2079" spans="2:28" ht="20.100000000000001" customHeight="1">
      <c r="B2079" s="172"/>
      <c r="C2079" s="174"/>
      <c r="D2079" s="181"/>
      <c r="E2079" s="173"/>
      <c r="F2079" s="176"/>
      <c r="G2079" s="175">
        <f t="shared" si="160"/>
        <v>0</v>
      </c>
      <c r="H2079" s="175">
        <f t="shared" si="153"/>
        <v>0</v>
      </c>
      <c r="I2079" s="177">
        <f>IF(G2079=0,0,IF(E2079="MXN",1/HLOOKUP(YEAR(C2079)+(MONTH(C2079)/100),TC!$5:$37,DAY(C2079)+2,FALSE),VLOOKUP(E2079,Equivalencia!$5:$23,((MAX(Equivalencia!$3:$3)-YEAR(C2079))*14)+MONTH(C2079)+2,FALSE)))</f>
        <v>0</v>
      </c>
      <c r="J2079" s="178">
        <f t="shared" si="161"/>
        <v>0</v>
      </c>
      <c r="K2079" s="462">
        <f>IF(C2079=0,0,VLOOKUP(YEAR(C2079),INPC!$B$4:$O$29,MONTH(C2079)+1))</f>
        <v>0</v>
      </c>
      <c r="L2079" s="462">
        <f>IF(S2079=0,0,VLOOKUP(YEAR(S2079),INPC!$B$4:$O$29,MONTH(S2079)+1))</f>
        <v>0</v>
      </c>
      <c r="M2079" s="463">
        <f t="shared" si="154"/>
        <v>0</v>
      </c>
      <c r="N2079" s="465">
        <f t="shared" si="162"/>
        <v>0</v>
      </c>
      <c r="O2079" s="179"/>
      <c r="P2079" s="180"/>
      <c r="Q2079" s="173"/>
      <c r="R2079" s="173"/>
      <c r="S2079" s="174"/>
      <c r="T2079" s="173"/>
      <c r="U2079" s="182"/>
      <c r="V2079" s="177">
        <f>IF(U2079=0,0,IF(T2079="MXN",1/HLOOKUP(YEAR(S2079)+(MONTH(S2079)/100),TC!$5:$37,DAY(S2079)+2,FALSE),VLOOKUP(T2079,Equivalencia!$1:$23,((MAX(Equivalencia!$3:$3)-YEAR(S2079))*14)+MONTH(S2079)+2,FALSE)))</f>
        <v>0</v>
      </c>
      <c r="W2079" s="178">
        <f t="shared" si="159"/>
        <v>0</v>
      </c>
      <c r="X2079" s="481">
        <f t="shared" si="155"/>
        <v>0</v>
      </c>
      <c r="Y2079" s="179"/>
      <c r="Z2079" s="466">
        <f t="shared" si="156"/>
        <v>0</v>
      </c>
      <c r="AA2079" s="473">
        <f t="shared" si="157"/>
        <v>0</v>
      </c>
      <c r="AB2079" s="339">
        <f t="shared" si="158"/>
        <v>0</v>
      </c>
    </row>
    <row r="2080" spans="2:28" ht="20.100000000000001" customHeight="1">
      <c r="B2080" s="172"/>
      <c r="C2080" s="174"/>
      <c r="D2080" s="181"/>
      <c r="E2080" s="173"/>
      <c r="F2080" s="176"/>
      <c r="G2080" s="175">
        <f t="shared" si="160"/>
        <v>0</v>
      </c>
      <c r="H2080" s="175">
        <f t="shared" si="153"/>
        <v>0</v>
      </c>
      <c r="I2080" s="177">
        <f>IF(G2080=0,0,IF(E2080="MXN",1/HLOOKUP(YEAR(C2080)+(MONTH(C2080)/100),TC!$5:$37,DAY(C2080)+2,FALSE),VLOOKUP(E2080,Equivalencia!$5:$23,((MAX(Equivalencia!$3:$3)-YEAR(C2080))*14)+MONTH(C2080)+2,FALSE)))</f>
        <v>0</v>
      </c>
      <c r="J2080" s="178">
        <f t="shared" si="161"/>
        <v>0</v>
      </c>
      <c r="K2080" s="462">
        <f>IF(C2080=0,0,VLOOKUP(YEAR(C2080),INPC!$B$4:$O$29,MONTH(C2080)+1))</f>
        <v>0</v>
      </c>
      <c r="L2080" s="462">
        <f>IF(S2080=0,0,VLOOKUP(YEAR(S2080),INPC!$B$4:$O$29,MONTH(S2080)+1))</f>
        <v>0</v>
      </c>
      <c r="M2080" s="463">
        <f t="shared" si="154"/>
        <v>0</v>
      </c>
      <c r="N2080" s="465">
        <f t="shared" si="162"/>
        <v>0</v>
      </c>
      <c r="O2080" s="179"/>
      <c r="P2080" s="180"/>
      <c r="Q2080" s="173"/>
      <c r="R2080" s="173"/>
      <c r="S2080" s="174"/>
      <c r="T2080" s="173"/>
      <c r="U2080" s="182"/>
      <c r="V2080" s="177">
        <f>IF(U2080=0,0,IF(T2080="MXN",1/HLOOKUP(YEAR(S2080)+(MONTH(S2080)/100),TC!$5:$37,DAY(S2080)+2,FALSE),VLOOKUP(T2080,Equivalencia!$1:$23,((MAX(Equivalencia!$3:$3)-YEAR(S2080))*14)+MONTH(S2080)+2,FALSE)))</f>
        <v>0</v>
      </c>
      <c r="W2080" s="178">
        <f t="shared" si="159"/>
        <v>0</v>
      </c>
      <c r="X2080" s="481">
        <f t="shared" si="155"/>
        <v>0</v>
      </c>
      <c r="Y2080" s="179"/>
      <c r="Z2080" s="466">
        <f t="shared" si="156"/>
        <v>0</v>
      </c>
      <c r="AA2080" s="473">
        <f t="shared" si="157"/>
        <v>0</v>
      </c>
      <c r="AB2080" s="339">
        <f t="shared" si="158"/>
        <v>0</v>
      </c>
    </row>
    <row r="2081" spans="2:28" ht="20.100000000000001" customHeight="1">
      <c r="B2081" s="172"/>
      <c r="C2081" s="174"/>
      <c r="D2081" s="181"/>
      <c r="E2081" s="173"/>
      <c r="F2081" s="176"/>
      <c r="G2081" s="175">
        <f t="shared" si="160"/>
        <v>0</v>
      </c>
      <c r="H2081" s="175">
        <f t="shared" si="153"/>
        <v>0</v>
      </c>
      <c r="I2081" s="177">
        <f>IF(G2081=0,0,IF(E2081="MXN",1/HLOOKUP(YEAR(C2081)+(MONTH(C2081)/100),TC!$5:$37,DAY(C2081)+2,FALSE),VLOOKUP(E2081,Equivalencia!$5:$23,((MAX(Equivalencia!$3:$3)-YEAR(C2081))*14)+MONTH(C2081)+2,FALSE)))</f>
        <v>0</v>
      </c>
      <c r="J2081" s="178">
        <f t="shared" si="161"/>
        <v>0</v>
      </c>
      <c r="K2081" s="462">
        <f>IF(C2081=0,0,VLOOKUP(YEAR(C2081),INPC!$B$4:$O$29,MONTH(C2081)+1))</f>
        <v>0</v>
      </c>
      <c r="L2081" s="462">
        <f>IF(S2081=0,0,VLOOKUP(YEAR(S2081),INPC!$B$4:$O$29,MONTH(S2081)+1))</f>
        <v>0</v>
      </c>
      <c r="M2081" s="463">
        <f t="shared" si="154"/>
        <v>0</v>
      </c>
      <c r="N2081" s="465">
        <f t="shared" si="162"/>
        <v>0</v>
      </c>
      <c r="O2081" s="179"/>
      <c r="P2081" s="180"/>
      <c r="Q2081" s="173"/>
      <c r="R2081" s="173"/>
      <c r="S2081" s="174"/>
      <c r="T2081" s="173"/>
      <c r="U2081" s="182"/>
      <c r="V2081" s="177">
        <f>IF(U2081=0,0,IF(T2081="MXN",1/HLOOKUP(YEAR(S2081)+(MONTH(S2081)/100),TC!$5:$37,DAY(S2081)+2,FALSE),VLOOKUP(T2081,Equivalencia!$1:$23,((MAX(Equivalencia!$3:$3)-YEAR(S2081))*14)+MONTH(S2081)+2,FALSE)))</f>
        <v>0</v>
      </c>
      <c r="W2081" s="178">
        <f t="shared" si="159"/>
        <v>0</v>
      </c>
      <c r="X2081" s="481">
        <f t="shared" si="155"/>
        <v>0</v>
      </c>
      <c r="Y2081" s="179"/>
      <c r="Z2081" s="466">
        <f t="shared" si="156"/>
        <v>0</v>
      </c>
      <c r="AA2081" s="473">
        <f t="shared" si="157"/>
        <v>0</v>
      </c>
      <c r="AB2081" s="339">
        <f t="shared" si="158"/>
        <v>0</v>
      </c>
    </row>
    <row r="2082" spans="2:28" ht="20.100000000000001" customHeight="1">
      <c r="B2082" s="172"/>
      <c r="C2082" s="174"/>
      <c r="D2082" s="181"/>
      <c r="E2082" s="173"/>
      <c r="F2082" s="176"/>
      <c r="G2082" s="175">
        <f t="shared" si="160"/>
        <v>0</v>
      </c>
      <c r="H2082" s="175">
        <f t="shared" si="153"/>
        <v>0</v>
      </c>
      <c r="I2082" s="177">
        <f>IF(G2082=0,0,IF(E2082="MXN",1/HLOOKUP(YEAR(C2082)+(MONTH(C2082)/100),TC!$5:$37,DAY(C2082)+2,FALSE),VLOOKUP(E2082,Equivalencia!$5:$23,((MAX(Equivalencia!$3:$3)-YEAR(C2082))*14)+MONTH(C2082)+2,FALSE)))</f>
        <v>0</v>
      </c>
      <c r="J2082" s="178">
        <f t="shared" si="161"/>
        <v>0</v>
      </c>
      <c r="K2082" s="462">
        <f>IF(C2082=0,0,VLOOKUP(YEAR(C2082),INPC!$B$4:$O$29,MONTH(C2082)+1))</f>
        <v>0</v>
      </c>
      <c r="L2082" s="462">
        <f>IF(S2082=0,0,VLOOKUP(YEAR(S2082),INPC!$B$4:$O$29,MONTH(S2082)+1))</f>
        <v>0</v>
      </c>
      <c r="M2082" s="463">
        <f t="shared" si="154"/>
        <v>0</v>
      </c>
      <c r="N2082" s="465">
        <f t="shared" si="162"/>
        <v>0</v>
      </c>
      <c r="O2082" s="179"/>
      <c r="P2082" s="180"/>
      <c r="Q2082" s="173"/>
      <c r="R2082" s="173"/>
      <c r="S2082" s="174"/>
      <c r="T2082" s="173"/>
      <c r="U2082" s="182"/>
      <c r="V2082" s="177">
        <f>IF(U2082=0,0,IF(T2082="MXN",1/HLOOKUP(YEAR(S2082)+(MONTH(S2082)/100),TC!$5:$37,DAY(S2082)+2,FALSE),VLOOKUP(T2082,Equivalencia!$1:$23,((MAX(Equivalencia!$3:$3)-YEAR(S2082))*14)+MONTH(S2082)+2,FALSE)))</f>
        <v>0</v>
      </c>
      <c r="W2082" s="178">
        <f t="shared" si="159"/>
        <v>0</v>
      </c>
      <c r="X2082" s="481">
        <f t="shared" si="155"/>
        <v>0</v>
      </c>
      <c r="Y2082" s="179"/>
      <c r="Z2082" s="466">
        <f t="shared" si="156"/>
        <v>0</v>
      </c>
      <c r="AA2082" s="473">
        <f t="shared" si="157"/>
        <v>0</v>
      </c>
      <c r="AB2082" s="339">
        <f t="shared" si="158"/>
        <v>0</v>
      </c>
    </row>
    <row r="2083" spans="2:28" ht="20.100000000000001" customHeight="1">
      <c r="B2083" s="172"/>
      <c r="C2083" s="174"/>
      <c r="D2083" s="181"/>
      <c r="E2083" s="173"/>
      <c r="F2083" s="176"/>
      <c r="G2083" s="175">
        <f t="shared" si="160"/>
        <v>0</v>
      </c>
      <c r="H2083" s="175">
        <f t="shared" si="153"/>
        <v>0</v>
      </c>
      <c r="I2083" s="177">
        <f>IF(G2083=0,0,IF(E2083="MXN",1/HLOOKUP(YEAR(C2083)+(MONTH(C2083)/100),TC!$5:$37,DAY(C2083)+2,FALSE),VLOOKUP(E2083,Equivalencia!$5:$23,((MAX(Equivalencia!$3:$3)-YEAR(C2083))*14)+MONTH(C2083)+2,FALSE)))</f>
        <v>0</v>
      </c>
      <c r="J2083" s="178">
        <f t="shared" si="161"/>
        <v>0</v>
      </c>
      <c r="K2083" s="462">
        <f>IF(C2083=0,0,VLOOKUP(YEAR(C2083),INPC!$B$4:$O$29,MONTH(C2083)+1))</f>
        <v>0</v>
      </c>
      <c r="L2083" s="462">
        <f>IF(S2083=0,0,VLOOKUP(YEAR(S2083),INPC!$B$4:$O$29,MONTH(S2083)+1))</f>
        <v>0</v>
      </c>
      <c r="M2083" s="463">
        <f t="shared" si="154"/>
        <v>0</v>
      </c>
      <c r="N2083" s="465">
        <f t="shared" si="162"/>
        <v>0</v>
      </c>
      <c r="O2083" s="179"/>
      <c r="P2083" s="180"/>
      <c r="Q2083" s="173"/>
      <c r="R2083" s="173"/>
      <c r="S2083" s="174"/>
      <c r="T2083" s="173"/>
      <c r="U2083" s="182"/>
      <c r="V2083" s="177">
        <f>IF(U2083=0,0,IF(T2083="MXN",1/HLOOKUP(YEAR(S2083)+(MONTH(S2083)/100),TC!$5:$37,DAY(S2083)+2,FALSE),VLOOKUP(T2083,Equivalencia!$1:$23,((MAX(Equivalencia!$3:$3)-YEAR(S2083))*14)+MONTH(S2083)+2,FALSE)))</f>
        <v>0</v>
      </c>
      <c r="W2083" s="178">
        <f t="shared" si="159"/>
        <v>0</v>
      </c>
      <c r="X2083" s="481">
        <f t="shared" si="155"/>
        <v>0</v>
      </c>
      <c r="Y2083" s="179"/>
      <c r="Z2083" s="466">
        <f t="shared" si="156"/>
        <v>0</v>
      </c>
      <c r="AA2083" s="473">
        <f t="shared" si="157"/>
        <v>0</v>
      </c>
      <c r="AB2083" s="339">
        <f t="shared" si="158"/>
        <v>0</v>
      </c>
    </row>
    <row r="2084" spans="2:28" ht="20.100000000000001" customHeight="1">
      <c r="B2084" s="172"/>
      <c r="C2084" s="174"/>
      <c r="D2084" s="181"/>
      <c r="E2084" s="173"/>
      <c r="F2084" s="176"/>
      <c r="G2084" s="175">
        <f t="shared" si="160"/>
        <v>0</v>
      </c>
      <c r="H2084" s="175">
        <f t="shared" si="153"/>
        <v>0</v>
      </c>
      <c r="I2084" s="177">
        <f>IF(G2084=0,0,IF(E2084="MXN",1/HLOOKUP(YEAR(C2084)+(MONTH(C2084)/100),TC!$5:$37,DAY(C2084)+2,FALSE),VLOOKUP(E2084,Equivalencia!$5:$23,((MAX(Equivalencia!$3:$3)-YEAR(C2084))*14)+MONTH(C2084)+2,FALSE)))</f>
        <v>0</v>
      </c>
      <c r="J2084" s="178">
        <f t="shared" si="161"/>
        <v>0</v>
      </c>
      <c r="K2084" s="462">
        <f>IF(C2084=0,0,VLOOKUP(YEAR(C2084),INPC!$B$4:$O$29,MONTH(C2084)+1))</f>
        <v>0</v>
      </c>
      <c r="L2084" s="462">
        <f>IF(S2084=0,0,VLOOKUP(YEAR(S2084),INPC!$B$4:$O$29,MONTH(S2084)+1))</f>
        <v>0</v>
      </c>
      <c r="M2084" s="463">
        <f t="shared" si="154"/>
        <v>0</v>
      </c>
      <c r="N2084" s="465">
        <f t="shared" si="162"/>
        <v>0</v>
      </c>
      <c r="O2084" s="179"/>
      <c r="P2084" s="180"/>
      <c r="Q2084" s="173"/>
      <c r="R2084" s="173"/>
      <c r="S2084" s="174"/>
      <c r="T2084" s="173"/>
      <c r="U2084" s="182"/>
      <c r="V2084" s="177">
        <f>IF(U2084=0,0,IF(T2084="MXN",1/HLOOKUP(YEAR(S2084)+(MONTH(S2084)/100),TC!$5:$37,DAY(S2084)+2,FALSE),VLOOKUP(T2084,Equivalencia!$1:$23,((MAX(Equivalencia!$3:$3)-YEAR(S2084))*14)+MONTH(S2084)+2,FALSE)))</f>
        <v>0</v>
      </c>
      <c r="W2084" s="178">
        <f t="shared" si="159"/>
        <v>0</v>
      </c>
      <c r="X2084" s="481">
        <f t="shared" si="155"/>
        <v>0</v>
      </c>
      <c r="Y2084" s="179"/>
      <c r="Z2084" s="466">
        <f t="shared" si="156"/>
        <v>0</v>
      </c>
      <c r="AA2084" s="473">
        <f t="shared" si="157"/>
        <v>0</v>
      </c>
      <c r="AB2084" s="339">
        <f t="shared" si="158"/>
        <v>0</v>
      </c>
    </row>
    <row r="2085" spans="2:28" ht="20.100000000000001" customHeight="1">
      <c r="B2085" s="172"/>
      <c r="C2085" s="174"/>
      <c r="D2085" s="181"/>
      <c r="E2085" s="173"/>
      <c r="F2085" s="176"/>
      <c r="G2085" s="175">
        <f t="shared" si="160"/>
        <v>0</v>
      </c>
      <c r="H2085" s="175">
        <f t="shared" si="153"/>
        <v>0</v>
      </c>
      <c r="I2085" s="177">
        <f>IF(G2085=0,0,IF(E2085="MXN",1/HLOOKUP(YEAR(C2085)+(MONTH(C2085)/100),TC!$5:$37,DAY(C2085)+2,FALSE),VLOOKUP(E2085,Equivalencia!$5:$23,((MAX(Equivalencia!$3:$3)-YEAR(C2085))*14)+MONTH(C2085)+2,FALSE)))</f>
        <v>0</v>
      </c>
      <c r="J2085" s="178">
        <f t="shared" si="161"/>
        <v>0</v>
      </c>
      <c r="K2085" s="462">
        <f>IF(C2085=0,0,VLOOKUP(YEAR(C2085),INPC!$B$4:$O$29,MONTH(C2085)+1))</f>
        <v>0</v>
      </c>
      <c r="L2085" s="462">
        <f>IF(S2085=0,0,VLOOKUP(YEAR(S2085),INPC!$B$4:$O$29,MONTH(S2085)+1))</f>
        <v>0</v>
      </c>
      <c r="M2085" s="463">
        <f t="shared" si="154"/>
        <v>0</v>
      </c>
      <c r="N2085" s="465">
        <f t="shared" si="162"/>
        <v>0</v>
      </c>
      <c r="O2085" s="179"/>
      <c r="P2085" s="180"/>
      <c r="Q2085" s="173"/>
      <c r="R2085" s="173"/>
      <c r="S2085" s="174"/>
      <c r="T2085" s="173"/>
      <c r="U2085" s="182"/>
      <c r="V2085" s="177">
        <f>IF(U2085=0,0,IF(T2085="MXN",1/HLOOKUP(YEAR(S2085)+(MONTH(S2085)/100),TC!$5:$37,DAY(S2085)+2,FALSE),VLOOKUP(T2085,Equivalencia!$1:$23,((MAX(Equivalencia!$3:$3)-YEAR(S2085))*14)+MONTH(S2085)+2,FALSE)))</f>
        <v>0</v>
      </c>
      <c r="W2085" s="178">
        <f t="shared" si="159"/>
        <v>0</v>
      </c>
      <c r="X2085" s="481">
        <f t="shared" si="155"/>
        <v>0</v>
      </c>
      <c r="Y2085" s="179"/>
      <c r="Z2085" s="466">
        <f t="shared" si="156"/>
        <v>0</v>
      </c>
      <c r="AA2085" s="473">
        <f t="shared" si="157"/>
        <v>0</v>
      </c>
      <c r="AB2085" s="339">
        <f t="shared" si="158"/>
        <v>0</v>
      </c>
    </row>
    <row r="2086" spans="2:28" ht="20.100000000000001" customHeight="1">
      <c r="B2086" s="172"/>
      <c r="C2086" s="174"/>
      <c r="D2086" s="181"/>
      <c r="E2086" s="173"/>
      <c r="F2086" s="176"/>
      <c r="G2086" s="175">
        <f t="shared" si="160"/>
        <v>0</v>
      </c>
      <c r="H2086" s="175">
        <f t="shared" si="153"/>
        <v>0</v>
      </c>
      <c r="I2086" s="177">
        <f>IF(G2086=0,0,IF(E2086="MXN",1/HLOOKUP(YEAR(C2086)+(MONTH(C2086)/100),TC!$5:$37,DAY(C2086)+2,FALSE),VLOOKUP(E2086,Equivalencia!$5:$23,((MAX(Equivalencia!$3:$3)-YEAR(C2086))*14)+MONTH(C2086)+2,FALSE)))</f>
        <v>0</v>
      </c>
      <c r="J2086" s="178">
        <f t="shared" si="161"/>
        <v>0</v>
      </c>
      <c r="K2086" s="462">
        <f>IF(C2086=0,0,VLOOKUP(YEAR(C2086),INPC!$B$4:$O$29,MONTH(C2086)+1))</f>
        <v>0</v>
      </c>
      <c r="L2086" s="462">
        <f>IF(S2086=0,0,VLOOKUP(YEAR(S2086),INPC!$B$4:$O$29,MONTH(S2086)+1))</f>
        <v>0</v>
      </c>
      <c r="M2086" s="463">
        <f t="shared" si="154"/>
        <v>0</v>
      </c>
      <c r="N2086" s="465">
        <f t="shared" si="162"/>
        <v>0</v>
      </c>
      <c r="O2086" s="179"/>
      <c r="P2086" s="180"/>
      <c r="Q2086" s="173"/>
      <c r="R2086" s="173"/>
      <c r="S2086" s="174"/>
      <c r="T2086" s="173"/>
      <c r="U2086" s="182"/>
      <c r="V2086" s="177">
        <f>IF(U2086=0,0,IF(T2086="MXN",1/HLOOKUP(YEAR(S2086)+(MONTH(S2086)/100),TC!$5:$37,DAY(S2086)+2,FALSE),VLOOKUP(T2086,Equivalencia!$1:$23,((MAX(Equivalencia!$3:$3)-YEAR(S2086))*14)+MONTH(S2086)+2,FALSE)))</f>
        <v>0</v>
      </c>
      <c r="W2086" s="178">
        <f t="shared" si="159"/>
        <v>0</v>
      </c>
      <c r="X2086" s="481">
        <f t="shared" si="155"/>
        <v>0</v>
      </c>
      <c r="Y2086" s="179"/>
      <c r="Z2086" s="466">
        <f t="shared" si="156"/>
        <v>0</v>
      </c>
      <c r="AA2086" s="473">
        <f t="shared" si="157"/>
        <v>0</v>
      </c>
      <c r="AB2086" s="339">
        <f t="shared" si="158"/>
        <v>0</v>
      </c>
    </row>
    <row r="2087" spans="2:28" ht="20.100000000000001" customHeight="1">
      <c r="B2087" s="172"/>
      <c r="C2087" s="174"/>
      <c r="D2087" s="181"/>
      <c r="E2087" s="173"/>
      <c r="F2087" s="176"/>
      <c r="G2087" s="175">
        <f t="shared" si="160"/>
        <v>0</v>
      </c>
      <c r="H2087" s="175">
        <f t="shared" si="153"/>
        <v>0</v>
      </c>
      <c r="I2087" s="177">
        <f>IF(G2087=0,0,IF(E2087="MXN",1/HLOOKUP(YEAR(C2087)+(MONTH(C2087)/100),TC!$5:$37,DAY(C2087)+2,FALSE),VLOOKUP(E2087,Equivalencia!$5:$23,((MAX(Equivalencia!$3:$3)-YEAR(C2087))*14)+MONTH(C2087)+2,FALSE)))</f>
        <v>0</v>
      </c>
      <c r="J2087" s="178">
        <f t="shared" si="161"/>
        <v>0</v>
      </c>
      <c r="K2087" s="462">
        <f>IF(C2087=0,0,VLOOKUP(YEAR(C2087),INPC!$B$4:$O$29,MONTH(C2087)+1))</f>
        <v>0</v>
      </c>
      <c r="L2087" s="462">
        <f>IF(S2087=0,0,VLOOKUP(YEAR(S2087),INPC!$B$4:$O$29,MONTH(S2087)+1))</f>
        <v>0</v>
      </c>
      <c r="M2087" s="463">
        <f t="shared" si="154"/>
        <v>0</v>
      </c>
      <c r="N2087" s="465">
        <f t="shared" si="162"/>
        <v>0</v>
      </c>
      <c r="O2087" s="179"/>
      <c r="P2087" s="180"/>
      <c r="Q2087" s="173"/>
      <c r="R2087" s="173"/>
      <c r="S2087" s="174"/>
      <c r="T2087" s="173"/>
      <c r="U2087" s="182"/>
      <c r="V2087" s="177">
        <f>IF(U2087=0,0,IF(T2087="MXN",1/HLOOKUP(YEAR(S2087)+(MONTH(S2087)/100),TC!$5:$37,DAY(S2087)+2,FALSE),VLOOKUP(T2087,Equivalencia!$1:$23,((MAX(Equivalencia!$3:$3)-YEAR(S2087))*14)+MONTH(S2087)+2,FALSE)))</f>
        <v>0</v>
      </c>
      <c r="W2087" s="178">
        <f t="shared" si="159"/>
        <v>0</v>
      </c>
      <c r="X2087" s="481">
        <f t="shared" si="155"/>
        <v>0</v>
      </c>
      <c r="Y2087" s="179"/>
      <c r="Z2087" s="466">
        <f t="shared" si="156"/>
        <v>0</v>
      </c>
      <c r="AA2087" s="473">
        <f t="shared" si="157"/>
        <v>0</v>
      </c>
      <c r="AB2087" s="339">
        <f t="shared" si="158"/>
        <v>0</v>
      </c>
    </row>
    <row r="2088" spans="2:28" ht="20.100000000000001" customHeight="1">
      <c r="B2088" s="172"/>
      <c r="C2088" s="174"/>
      <c r="D2088" s="181"/>
      <c r="E2088" s="173"/>
      <c r="F2088" s="176"/>
      <c r="G2088" s="175">
        <f t="shared" si="160"/>
        <v>0</v>
      </c>
      <c r="H2088" s="175">
        <f t="shared" si="153"/>
        <v>0</v>
      </c>
      <c r="I2088" s="177">
        <f>IF(G2088=0,0,IF(E2088="MXN",1/HLOOKUP(YEAR(C2088)+(MONTH(C2088)/100),TC!$5:$37,DAY(C2088)+2,FALSE),VLOOKUP(E2088,Equivalencia!$5:$23,((MAX(Equivalencia!$3:$3)-YEAR(C2088))*14)+MONTH(C2088)+2,FALSE)))</f>
        <v>0</v>
      </c>
      <c r="J2088" s="178">
        <f t="shared" si="161"/>
        <v>0</v>
      </c>
      <c r="K2088" s="462">
        <f>IF(C2088=0,0,VLOOKUP(YEAR(C2088),INPC!$B$4:$O$29,MONTH(C2088)+1))</f>
        <v>0</v>
      </c>
      <c r="L2088" s="462">
        <f>IF(S2088=0,0,VLOOKUP(YEAR(S2088),INPC!$B$4:$O$29,MONTH(S2088)+1))</f>
        <v>0</v>
      </c>
      <c r="M2088" s="463">
        <f t="shared" si="154"/>
        <v>0</v>
      </c>
      <c r="N2088" s="465">
        <f t="shared" si="162"/>
        <v>0</v>
      </c>
      <c r="O2088" s="179"/>
      <c r="P2088" s="180"/>
      <c r="Q2088" s="173"/>
      <c r="R2088" s="173"/>
      <c r="S2088" s="174"/>
      <c r="T2088" s="173"/>
      <c r="U2088" s="182"/>
      <c r="V2088" s="177">
        <f>IF(U2088=0,0,IF(T2088="MXN",1/HLOOKUP(YEAR(S2088)+(MONTH(S2088)/100),TC!$5:$37,DAY(S2088)+2,FALSE),VLOOKUP(T2088,Equivalencia!$1:$23,((MAX(Equivalencia!$3:$3)-YEAR(S2088))*14)+MONTH(S2088)+2,FALSE)))</f>
        <v>0</v>
      </c>
      <c r="W2088" s="178">
        <f t="shared" si="159"/>
        <v>0</v>
      </c>
      <c r="X2088" s="481">
        <f t="shared" si="155"/>
        <v>0</v>
      </c>
      <c r="Y2088" s="179"/>
      <c r="Z2088" s="466">
        <f t="shared" si="156"/>
        <v>0</v>
      </c>
      <c r="AA2088" s="473">
        <f t="shared" si="157"/>
        <v>0</v>
      </c>
      <c r="AB2088" s="339">
        <f t="shared" si="158"/>
        <v>0</v>
      </c>
    </row>
    <row r="2089" spans="2:28" ht="20.100000000000001" customHeight="1">
      <c r="B2089" s="172"/>
      <c r="C2089" s="174"/>
      <c r="D2089" s="181"/>
      <c r="E2089" s="173"/>
      <c r="F2089" s="176"/>
      <c r="G2089" s="175">
        <f t="shared" si="160"/>
        <v>0</v>
      </c>
      <c r="H2089" s="175">
        <f t="shared" si="153"/>
        <v>0</v>
      </c>
      <c r="I2089" s="177">
        <f>IF(G2089=0,0,IF(E2089="MXN",1/HLOOKUP(YEAR(C2089)+(MONTH(C2089)/100),TC!$5:$37,DAY(C2089)+2,FALSE),VLOOKUP(E2089,Equivalencia!$5:$23,((MAX(Equivalencia!$3:$3)-YEAR(C2089))*14)+MONTH(C2089)+2,FALSE)))</f>
        <v>0</v>
      </c>
      <c r="J2089" s="178">
        <f t="shared" si="161"/>
        <v>0</v>
      </c>
      <c r="K2089" s="462">
        <f>IF(C2089=0,0,VLOOKUP(YEAR(C2089),INPC!$B$4:$O$29,MONTH(C2089)+1))</f>
        <v>0</v>
      </c>
      <c r="L2089" s="462">
        <f>IF(S2089=0,0,VLOOKUP(YEAR(S2089),INPC!$B$4:$O$29,MONTH(S2089)+1))</f>
        <v>0</v>
      </c>
      <c r="M2089" s="463">
        <f t="shared" si="154"/>
        <v>0</v>
      </c>
      <c r="N2089" s="465">
        <f t="shared" si="162"/>
        <v>0</v>
      </c>
      <c r="O2089" s="179"/>
      <c r="P2089" s="180"/>
      <c r="Q2089" s="173"/>
      <c r="R2089" s="173"/>
      <c r="S2089" s="174"/>
      <c r="T2089" s="173"/>
      <c r="U2089" s="182"/>
      <c r="V2089" s="177">
        <f>IF(U2089=0,0,IF(T2089="MXN",1/HLOOKUP(YEAR(S2089)+(MONTH(S2089)/100),TC!$5:$37,DAY(S2089)+2,FALSE),VLOOKUP(T2089,Equivalencia!$1:$23,((MAX(Equivalencia!$3:$3)-YEAR(S2089))*14)+MONTH(S2089)+2,FALSE)))</f>
        <v>0</v>
      </c>
      <c r="W2089" s="178">
        <f t="shared" si="159"/>
        <v>0</v>
      </c>
      <c r="X2089" s="481">
        <f t="shared" si="155"/>
        <v>0</v>
      </c>
      <c r="Y2089" s="179"/>
      <c r="Z2089" s="466">
        <f t="shared" si="156"/>
        <v>0</v>
      </c>
      <c r="AA2089" s="473">
        <f t="shared" si="157"/>
        <v>0</v>
      </c>
      <c r="AB2089" s="339">
        <f t="shared" si="158"/>
        <v>0</v>
      </c>
    </row>
    <row r="2090" spans="2:28" ht="20.100000000000001" customHeight="1">
      <c r="B2090" s="172"/>
      <c r="C2090" s="174"/>
      <c r="D2090" s="181"/>
      <c r="E2090" s="173"/>
      <c r="F2090" s="176"/>
      <c r="G2090" s="175">
        <f t="shared" si="160"/>
        <v>0</v>
      </c>
      <c r="H2090" s="175">
        <f t="shared" si="153"/>
        <v>0</v>
      </c>
      <c r="I2090" s="177">
        <f>IF(G2090=0,0,IF(E2090="MXN",1/HLOOKUP(YEAR(C2090)+(MONTH(C2090)/100),TC!$5:$37,DAY(C2090)+2,FALSE),VLOOKUP(E2090,Equivalencia!$5:$23,((MAX(Equivalencia!$3:$3)-YEAR(C2090))*14)+MONTH(C2090)+2,FALSE)))</f>
        <v>0</v>
      </c>
      <c r="J2090" s="178">
        <f t="shared" si="161"/>
        <v>0</v>
      </c>
      <c r="K2090" s="462">
        <f>IF(C2090=0,0,VLOOKUP(YEAR(C2090),INPC!$B$4:$O$29,MONTH(C2090)+1))</f>
        <v>0</v>
      </c>
      <c r="L2090" s="462">
        <f>IF(S2090=0,0,VLOOKUP(YEAR(S2090),INPC!$B$4:$O$29,MONTH(S2090)+1))</f>
        <v>0</v>
      </c>
      <c r="M2090" s="463">
        <f t="shared" si="154"/>
        <v>0</v>
      </c>
      <c r="N2090" s="465">
        <f t="shared" si="162"/>
        <v>0</v>
      </c>
      <c r="O2090" s="179"/>
      <c r="P2090" s="180"/>
      <c r="Q2090" s="173"/>
      <c r="R2090" s="173"/>
      <c r="S2090" s="174"/>
      <c r="T2090" s="173"/>
      <c r="U2090" s="182"/>
      <c r="V2090" s="177">
        <f>IF(U2090=0,0,IF(T2090="MXN",1/HLOOKUP(YEAR(S2090)+(MONTH(S2090)/100),TC!$5:$37,DAY(S2090)+2,FALSE),VLOOKUP(T2090,Equivalencia!$1:$23,((MAX(Equivalencia!$3:$3)-YEAR(S2090))*14)+MONTH(S2090)+2,FALSE)))</f>
        <v>0</v>
      </c>
      <c r="W2090" s="178">
        <f t="shared" si="159"/>
        <v>0</v>
      </c>
      <c r="X2090" s="481">
        <f t="shared" si="155"/>
        <v>0</v>
      </c>
      <c r="Y2090" s="179"/>
      <c r="Z2090" s="466">
        <f t="shared" si="156"/>
        <v>0</v>
      </c>
      <c r="AA2090" s="473">
        <f t="shared" si="157"/>
        <v>0</v>
      </c>
      <c r="AB2090" s="339">
        <f t="shared" si="158"/>
        <v>0</v>
      </c>
    </row>
    <row r="2091" spans="2:28" ht="20.100000000000001" customHeight="1">
      <c r="B2091" s="172"/>
      <c r="C2091" s="174"/>
      <c r="D2091" s="181"/>
      <c r="E2091" s="173"/>
      <c r="F2091" s="176"/>
      <c r="G2091" s="175">
        <f t="shared" si="160"/>
        <v>0</v>
      </c>
      <c r="H2091" s="175">
        <f t="shared" si="153"/>
        <v>0</v>
      </c>
      <c r="I2091" s="177">
        <f>IF(G2091=0,0,IF(E2091="MXN",1/HLOOKUP(YEAR(C2091)+(MONTH(C2091)/100),TC!$5:$37,DAY(C2091)+2,FALSE),VLOOKUP(E2091,Equivalencia!$5:$23,((MAX(Equivalencia!$3:$3)-YEAR(C2091))*14)+MONTH(C2091)+2,FALSE)))</f>
        <v>0</v>
      </c>
      <c r="J2091" s="178">
        <f t="shared" si="161"/>
        <v>0</v>
      </c>
      <c r="K2091" s="462">
        <f>IF(C2091=0,0,VLOOKUP(YEAR(C2091),INPC!$B$4:$O$29,MONTH(C2091)+1))</f>
        <v>0</v>
      </c>
      <c r="L2091" s="462">
        <f>IF(S2091=0,0,VLOOKUP(YEAR(S2091),INPC!$B$4:$O$29,MONTH(S2091)+1))</f>
        <v>0</v>
      </c>
      <c r="M2091" s="463">
        <f t="shared" si="154"/>
        <v>0</v>
      </c>
      <c r="N2091" s="465">
        <f t="shared" si="162"/>
        <v>0</v>
      </c>
      <c r="O2091" s="179"/>
      <c r="P2091" s="180"/>
      <c r="Q2091" s="173"/>
      <c r="R2091" s="173"/>
      <c r="S2091" s="174"/>
      <c r="T2091" s="173"/>
      <c r="U2091" s="182"/>
      <c r="V2091" s="177">
        <f>IF(U2091=0,0,IF(T2091="MXN",1/HLOOKUP(YEAR(S2091)+(MONTH(S2091)/100),TC!$5:$37,DAY(S2091)+2,FALSE),VLOOKUP(T2091,Equivalencia!$1:$23,((MAX(Equivalencia!$3:$3)-YEAR(S2091))*14)+MONTH(S2091)+2,FALSE)))</f>
        <v>0</v>
      </c>
      <c r="W2091" s="178">
        <f t="shared" si="159"/>
        <v>0</v>
      </c>
      <c r="X2091" s="481">
        <f t="shared" si="155"/>
        <v>0</v>
      </c>
      <c r="Y2091" s="179"/>
      <c r="Z2091" s="466">
        <f t="shared" si="156"/>
        <v>0</v>
      </c>
      <c r="AA2091" s="473">
        <f t="shared" si="157"/>
        <v>0</v>
      </c>
      <c r="AB2091" s="339">
        <f t="shared" si="158"/>
        <v>0</v>
      </c>
    </row>
    <row r="2092" spans="2:28" ht="20.100000000000001" customHeight="1">
      <c r="B2092" s="172"/>
      <c r="C2092" s="174"/>
      <c r="D2092" s="181"/>
      <c r="E2092" s="173"/>
      <c r="F2092" s="176"/>
      <c r="G2092" s="175">
        <f t="shared" si="160"/>
        <v>0</v>
      </c>
      <c r="H2092" s="175">
        <f t="shared" si="153"/>
        <v>0</v>
      </c>
      <c r="I2092" s="177">
        <f>IF(G2092=0,0,IF(E2092="MXN",1/HLOOKUP(YEAR(C2092)+(MONTH(C2092)/100),TC!$5:$37,DAY(C2092)+2,FALSE),VLOOKUP(E2092,Equivalencia!$5:$23,((MAX(Equivalencia!$3:$3)-YEAR(C2092))*14)+MONTH(C2092)+2,FALSE)))</f>
        <v>0</v>
      </c>
      <c r="J2092" s="178">
        <f t="shared" si="161"/>
        <v>0</v>
      </c>
      <c r="K2092" s="462">
        <f>IF(C2092=0,0,VLOOKUP(YEAR(C2092),INPC!$B$4:$O$29,MONTH(C2092)+1))</f>
        <v>0</v>
      </c>
      <c r="L2092" s="462">
        <f>IF(S2092=0,0,VLOOKUP(YEAR(S2092),INPC!$B$4:$O$29,MONTH(S2092)+1))</f>
        <v>0</v>
      </c>
      <c r="M2092" s="463">
        <f t="shared" si="154"/>
        <v>0</v>
      </c>
      <c r="N2092" s="465">
        <f t="shared" si="162"/>
        <v>0</v>
      </c>
      <c r="O2092" s="179"/>
      <c r="P2092" s="180"/>
      <c r="Q2092" s="173"/>
      <c r="R2092" s="173"/>
      <c r="S2092" s="174"/>
      <c r="T2092" s="173"/>
      <c r="U2092" s="182"/>
      <c r="V2092" s="177">
        <f>IF(U2092=0,0,IF(T2092="MXN",1/HLOOKUP(YEAR(S2092)+(MONTH(S2092)/100),TC!$5:$37,DAY(S2092)+2,FALSE),VLOOKUP(T2092,Equivalencia!$1:$23,((MAX(Equivalencia!$3:$3)-YEAR(S2092))*14)+MONTH(S2092)+2,FALSE)))</f>
        <v>0</v>
      </c>
      <c r="W2092" s="178">
        <f t="shared" si="159"/>
        <v>0</v>
      </c>
      <c r="X2092" s="481">
        <f t="shared" si="155"/>
        <v>0</v>
      </c>
      <c r="Y2092" s="179"/>
      <c r="Z2092" s="466">
        <f t="shared" si="156"/>
        <v>0</v>
      </c>
      <c r="AA2092" s="473">
        <f t="shared" si="157"/>
        <v>0</v>
      </c>
      <c r="AB2092" s="339">
        <f t="shared" si="158"/>
        <v>0</v>
      </c>
    </row>
    <row r="2093" spans="2:28" ht="20.100000000000001" customHeight="1">
      <c r="B2093" s="172"/>
      <c r="C2093" s="174"/>
      <c r="D2093" s="181"/>
      <c r="E2093" s="173"/>
      <c r="F2093" s="176"/>
      <c r="G2093" s="175">
        <f t="shared" si="160"/>
        <v>0</v>
      </c>
      <c r="H2093" s="175">
        <f t="shared" si="153"/>
        <v>0</v>
      </c>
      <c r="I2093" s="177">
        <f>IF(G2093=0,0,IF(E2093="MXN",1/HLOOKUP(YEAR(C2093)+(MONTH(C2093)/100),TC!$5:$37,DAY(C2093)+2,FALSE),VLOOKUP(E2093,Equivalencia!$5:$23,((MAX(Equivalencia!$3:$3)-YEAR(C2093))*14)+MONTH(C2093)+2,FALSE)))</f>
        <v>0</v>
      </c>
      <c r="J2093" s="178">
        <f t="shared" si="161"/>
        <v>0</v>
      </c>
      <c r="K2093" s="462">
        <f>IF(C2093=0,0,VLOOKUP(YEAR(C2093),INPC!$B$4:$O$29,MONTH(C2093)+1))</f>
        <v>0</v>
      </c>
      <c r="L2093" s="462">
        <f>IF(S2093=0,0,VLOOKUP(YEAR(S2093),INPC!$B$4:$O$29,MONTH(S2093)+1))</f>
        <v>0</v>
      </c>
      <c r="M2093" s="463">
        <f t="shared" si="154"/>
        <v>0</v>
      </c>
      <c r="N2093" s="465">
        <f t="shared" si="162"/>
        <v>0</v>
      </c>
      <c r="O2093" s="179"/>
      <c r="P2093" s="180"/>
      <c r="Q2093" s="173"/>
      <c r="R2093" s="173"/>
      <c r="S2093" s="174"/>
      <c r="T2093" s="173"/>
      <c r="U2093" s="182"/>
      <c r="V2093" s="177">
        <f>IF(U2093=0,0,IF(T2093="MXN",1/HLOOKUP(YEAR(S2093)+(MONTH(S2093)/100),TC!$5:$37,DAY(S2093)+2,FALSE),VLOOKUP(T2093,Equivalencia!$1:$23,((MAX(Equivalencia!$3:$3)-YEAR(S2093))*14)+MONTH(S2093)+2,FALSE)))</f>
        <v>0</v>
      </c>
      <c r="W2093" s="178">
        <f t="shared" si="159"/>
        <v>0</v>
      </c>
      <c r="X2093" s="481">
        <f t="shared" si="155"/>
        <v>0</v>
      </c>
      <c r="Y2093" s="179"/>
      <c r="Z2093" s="466">
        <f t="shared" si="156"/>
        <v>0</v>
      </c>
      <c r="AA2093" s="473">
        <f t="shared" si="157"/>
        <v>0</v>
      </c>
      <c r="AB2093" s="339">
        <f t="shared" si="158"/>
        <v>0</v>
      </c>
    </row>
    <row r="2094" spans="2:28" ht="20.100000000000001" customHeight="1">
      <c r="B2094" s="172"/>
      <c r="C2094" s="174"/>
      <c r="D2094" s="181"/>
      <c r="E2094" s="173"/>
      <c r="F2094" s="176"/>
      <c r="G2094" s="175">
        <f t="shared" si="160"/>
        <v>0</v>
      </c>
      <c r="H2094" s="175">
        <f t="shared" si="153"/>
        <v>0</v>
      </c>
      <c r="I2094" s="177">
        <f>IF(G2094=0,0,IF(E2094="MXN",1/HLOOKUP(YEAR(C2094)+(MONTH(C2094)/100),TC!$5:$37,DAY(C2094)+2,FALSE),VLOOKUP(E2094,Equivalencia!$5:$23,((MAX(Equivalencia!$3:$3)-YEAR(C2094))*14)+MONTH(C2094)+2,FALSE)))</f>
        <v>0</v>
      </c>
      <c r="J2094" s="178">
        <f t="shared" si="161"/>
        <v>0</v>
      </c>
      <c r="K2094" s="462">
        <f>IF(C2094=0,0,VLOOKUP(YEAR(C2094),INPC!$B$4:$O$29,MONTH(C2094)+1))</f>
        <v>0</v>
      </c>
      <c r="L2094" s="462">
        <f>IF(S2094=0,0,VLOOKUP(YEAR(S2094),INPC!$B$4:$O$29,MONTH(S2094)+1))</f>
        <v>0</v>
      </c>
      <c r="M2094" s="463">
        <f t="shared" si="154"/>
        <v>0</v>
      </c>
      <c r="N2094" s="465">
        <f t="shared" si="162"/>
        <v>0</v>
      </c>
      <c r="O2094" s="179"/>
      <c r="P2094" s="180"/>
      <c r="Q2094" s="173"/>
      <c r="R2094" s="173"/>
      <c r="S2094" s="174"/>
      <c r="T2094" s="173"/>
      <c r="U2094" s="182"/>
      <c r="V2094" s="177">
        <f>IF(U2094=0,0,IF(T2094="MXN",1/HLOOKUP(YEAR(S2094)+(MONTH(S2094)/100),TC!$5:$37,DAY(S2094)+2,FALSE),VLOOKUP(T2094,Equivalencia!$1:$23,((MAX(Equivalencia!$3:$3)-YEAR(S2094))*14)+MONTH(S2094)+2,FALSE)))</f>
        <v>0</v>
      </c>
      <c r="W2094" s="178">
        <f t="shared" si="159"/>
        <v>0</v>
      </c>
      <c r="X2094" s="481">
        <f t="shared" si="155"/>
        <v>0</v>
      </c>
      <c r="Y2094" s="179"/>
      <c r="Z2094" s="466">
        <f t="shared" si="156"/>
        <v>0</v>
      </c>
      <c r="AA2094" s="473">
        <f t="shared" si="157"/>
        <v>0</v>
      </c>
      <c r="AB2094" s="339">
        <f t="shared" si="158"/>
        <v>0</v>
      </c>
    </row>
    <row r="2095" spans="2:28" ht="20.100000000000001" customHeight="1">
      <c r="B2095" s="172"/>
      <c r="C2095" s="174"/>
      <c r="D2095" s="181"/>
      <c r="E2095" s="173"/>
      <c r="F2095" s="176"/>
      <c r="G2095" s="175">
        <f t="shared" si="160"/>
        <v>0</v>
      </c>
      <c r="H2095" s="175">
        <f t="shared" si="153"/>
        <v>0</v>
      </c>
      <c r="I2095" s="177">
        <f>IF(G2095=0,0,IF(E2095="MXN",1/HLOOKUP(YEAR(C2095)+(MONTH(C2095)/100),TC!$5:$37,DAY(C2095)+2,FALSE),VLOOKUP(E2095,Equivalencia!$5:$23,((MAX(Equivalencia!$3:$3)-YEAR(C2095))*14)+MONTH(C2095)+2,FALSE)))</f>
        <v>0</v>
      </c>
      <c r="J2095" s="178">
        <f t="shared" si="161"/>
        <v>0</v>
      </c>
      <c r="K2095" s="462">
        <f>IF(C2095=0,0,VLOOKUP(YEAR(C2095),INPC!$B$4:$O$29,MONTH(C2095)+1))</f>
        <v>0</v>
      </c>
      <c r="L2095" s="462">
        <f>IF(S2095=0,0,VLOOKUP(YEAR(S2095),INPC!$B$4:$O$29,MONTH(S2095)+1))</f>
        <v>0</v>
      </c>
      <c r="M2095" s="463">
        <f t="shared" si="154"/>
        <v>0</v>
      </c>
      <c r="N2095" s="465">
        <f t="shared" si="162"/>
        <v>0</v>
      </c>
      <c r="O2095" s="179"/>
      <c r="P2095" s="180"/>
      <c r="Q2095" s="173"/>
      <c r="R2095" s="173"/>
      <c r="S2095" s="174"/>
      <c r="T2095" s="173"/>
      <c r="U2095" s="182"/>
      <c r="V2095" s="177">
        <f>IF(U2095=0,0,IF(T2095="MXN",1/HLOOKUP(YEAR(S2095)+(MONTH(S2095)/100),TC!$5:$37,DAY(S2095)+2,FALSE),VLOOKUP(T2095,Equivalencia!$1:$23,((MAX(Equivalencia!$3:$3)-YEAR(S2095))*14)+MONTH(S2095)+2,FALSE)))</f>
        <v>0</v>
      </c>
      <c r="W2095" s="178">
        <f t="shared" si="159"/>
        <v>0</v>
      </c>
      <c r="X2095" s="481">
        <f t="shared" si="155"/>
        <v>0</v>
      </c>
      <c r="Y2095" s="179"/>
      <c r="Z2095" s="466">
        <f t="shared" si="156"/>
        <v>0</v>
      </c>
      <c r="AA2095" s="473">
        <f t="shared" si="157"/>
        <v>0</v>
      </c>
      <c r="AB2095" s="339">
        <f t="shared" si="158"/>
        <v>0</v>
      </c>
    </row>
    <row r="2096" spans="2:28" ht="20.100000000000001" customHeight="1">
      <c r="B2096" s="172"/>
      <c r="C2096" s="174"/>
      <c r="D2096" s="181"/>
      <c r="E2096" s="173"/>
      <c r="F2096" s="176"/>
      <c r="G2096" s="175">
        <f t="shared" si="160"/>
        <v>0</v>
      </c>
      <c r="H2096" s="175">
        <f t="shared" si="153"/>
        <v>0</v>
      </c>
      <c r="I2096" s="177">
        <f>IF(G2096=0,0,IF(E2096="MXN",1/HLOOKUP(YEAR(C2096)+(MONTH(C2096)/100),TC!$5:$37,DAY(C2096)+2,FALSE),VLOOKUP(E2096,Equivalencia!$5:$23,((MAX(Equivalencia!$3:$3)-YEAR(C2096))*14)+MONTH(C2096)+2,FALSE)))</f>
        <v>0</v>
      </c>
      <c r="J2096" s="178">
        <f t="shared" si="161"/>
        <v>0</v>
      </c>
      <c r="K2096" s="462">
        <f>IF(C2096=0,0,VLOOKUP(YEAR(C2096),INPC!$B$4:$O$29,MONTH(C2096)+1))</f>
        <v>0</v>
      </c>
      <c r="L2096" s="462">
        <f>IF(S2096=0,0,VLOOKUP(YEAR(S2096),INPC!$B$4:$O$29,MONTH(S2096)+1))</f>
        <v>0</v>
      </c>
      <c r="M2096" s="463">
        <f t="shared" si="154"/>
        <v>0</v>
      </c>
      <c r="N2096" s="465">
        <f t="shared" si="162"/>
        <v>0</v>
      </c>
      <c r="O2096" s="179"/>
      <c r="P2096" s="180"/>
      <c r="Q2096" s="173"/>
      <c r="R2096" s="173"/>
      <c r="S2096" s="174"/>
      <c r="T2096" s="173"/>
      <c r="U2096" s="182"/>
      <c r="V2096" s="177">
        <f>IF(U2096=0,0,IF(T2096="MXN",1/HLOOKUP(YEAR(S2096)+(MONTH(S2096)/100),TC!$5:$37,DAY(S2096)+2,FALSE),VLOOKUP(T2096,Equivalencia!$1:$23,((MAX(Equivalencia!$3:$3)-YEAR(S2096))*14)+MONTH(S2096)+2,FALSE)))</f>
        <v>0</v>
      </c>
      <c r="W2096" s="178">
        <f t="shared" si="159"/>
        <v>0</v>
      </c>
      <c r="X2096" s="481">
        <f t="shared" si="155"/>
        <v>0</v>
      </c>
      <c r="Y2096" s="179"/>
      <c r="Z2096" s="466">
        <f t="shared" si="156"/>
        <v>0</v>
      </c>
      <c r="AA2096" s="473">
        <f t="shared" si="157"/>
        <v>0</v>
      </c>
      <c r="AB2096" s="339">
        <f t="shared" si="158"/>
        <v>0</v>
      </c>
    </row>
    <row r="2097" spans="2:28" ht="20.100000000000001" customHeight="1">
      <c r="B2097" s="172"/>
      <c r="C2097" s="174"/>
      <c r="D2097" s="181"/>
      <c r="E2097" s="173"/>
      <c r="F2097" s="176"/>
      <c r="G2097" s="175">
        <f t="shared" si="160"/>
        <v>0</v>
      </c>
      <c r="H2097" s="175">
        <f t="shared" ref="H2097:H2351" si="203">IF(F2097=0,0,(F2097/G2097)*P2097)</f>
        <v>0</v>
      </c>
      <c r="I2097" s="177">
        <f>IF(G2097=0,0,IF(E2097="MXN",1/HLOOKUP(YEAR(C2097)+(MONTH(C2097)/100),TC!$5:$37,DAY(C2097)+2,FALSE),VLOOKUP(E2097,Equivalencia!$5:$23,((MAX(Equivalencia!$3:$3)-YEAR(C2097))*14)+MONTH(C2097)+2,FALSE)))</f>
        <v>0</v>
      </c>
      <c r="J2097" s="178">
        <f t="shared" si="161"/>
        <v>0</v>
      </c>
      <c r="K2097" s="462">
        <f>IF(C2097=0,0,VLOOKUP(YEAR(C2097),INPC!$B$4:$O$29,MONTH(C2097)+1))</f>
        <v>0</v>
      </c>
      <c r="L2097" s="462">
        <f>IF(S2097=0,0,VLOOKUP(YEAR(S2097),INPC!$B$4:$O$29,MONTH(S2097)+1))</f>
        <v>0</v>
      </c>
      <c r="M2097" s="463">
        <f t="shared" ref="M2097:M2351" si="204">IF(H2097=0,0,IF(R2097=$AF$4,1,IF(TRUNC(L2097/K2097,4)&gt;=1,TRUNC(L2097/K2097,4),1)))</f>
        <v>0</v>
      </c>
      <c r="N2097" s="465">
        <f t="shared" si="162"/>
        <v>0</v>
      </c>
      <c r="O2097" s="179"/>
      <c r="P2097" s="180"/>
      <c r="Q2097" s="173"/>
      <c r="R2097" s="173"/>
      <c r="S2097" s="174"/>
      <c r="T2097" s="173"/>
      <c r="U2097" s="182"/>
      <c r="V2097" s="177">
        <f>IF(U2097=0,0,IF(T2097="MXN",1/HLOOKUP(YEAR(S2097)+(MONTH(S2097)/100),TC!$5:$37,DAY(S2097)+2,FALSE),VLOOKUP(T2097,Equivalencia!$1:$23,((MAX(Equivalencia!$3:$3)-YEAR(S2097))*14)+MONTH(S2097)+2,FALSE)))</f>
        <v>0</v>
      </c>
      <c r="W2097" s="178">
        <f t="shared" si="159"/>
        <v>0</v>
      </c>
      <c r="X2097" s="481">
        <f t="shared" ref="X2097:X2351" si="205">+W2097-J2097</f>
        <v>0</v>
      </c>
      <c r="Y2097" s="179"/>
      <c r="Z2097" s="466">
        <f t="shared" ref="Z2097:Z2351" si="206">N2097</f>
        <v>0</v>
      </c>
      <c r="AA2097" s="473">
        <f t="shared" ref="AA2097:AA2351" si="207">+W2097-Z2097</f>
        <v>0</v>
      </c>
      <c r="AB2097" s="339">
        <f t="shared" ref="AB2097:AB2351" si="208">+IF(P2097=0,0,(U2097/F2097)-1)</f>
        <v>0</v>
      </c>
    </row>
    <row r="2098" spans="2:28" ht="20.100000000000001" customHeight="1">
      <c r="B2098" s="172"/>
      <c r="C2098" s="174"/>
      <c r="D2098" s="181"/>
      <c r="E2098" s="173"/>
      <c r="F2098" s="176"/>
      <c r="G2098" s="175">
        <f t="shared" si="160"/>
        <v>0</v>
      </c>
      <c r="H2098" s="175">
        <f t="shared" si="203"/>
        <v>0</v>
      </c>
      <c r="I2098" s="177">
        <f>IF(G2098=0,0,IF(E2098="MXN",1/HLOOKUP(YEAR(C2098)+(MONTH(C2098)/100),TC!$5:$37,DAY(C2098)+2,FALSE),VLOOKUP(E2098,Equivalencia!$5:$23,((MAX(Equivalencia!$3:$3)-YEAR(C2098))*14)+MONTH(C2098)+2,FALSE)))</f>
        <v>0</v>
      </c>
      <c r="J2098" s="178">
        <f t="shared" si="161"/>
        <v>0</v>
      </c>
      <c r="K2098" s="462">
        <f>IF(C2098=0,0,VLOOKUP(YEAR(C2098),INPC!$B$4:$O$29,MONTH(C2098)+1))</f>
        <v>0</v>
      </c>
      <c r="L2098" s="462">
        <f>IF(S2098=0,0,VLOOKUP(YEAR(S2098),INPC!$B$4:$O$29,MONTH(S2098)+1))</f>
        <v>0</v>
      </c>
      <c r="M2098" s="463">
        <f t="shared" si="204"/>
        <v>0</v>
      </c>
      <c r="N2098" s="465">
        <f t="shared" si="162"/>
        <v>0</v>
      </c>
      <c r="O2098" s="179"/>
      <c r="P2098" s="180"/>
      <c r="Q2098" s="173"/>
      <c r="R2098" s="173"/>
      <c r="S2098" s="174"/>
      <c r="T2098" s="173"/>
      <c r="U2098" s="182"/>
      <c r="V2098" s="177">
        <f>IF(U2098=0,0,IF(T2098="MXN",1/HLOOKUP(YEAR(S2098)+(MONTH(S2098)/100),TC!$5:$37,DAY(S2098)+2,FALSE),VLOOKUP(T2098,Equivalencia!$1:$23,((MAX(Equivalencia!$3:$3)-YEAR(S2098))*14)+MONTH(S2098)+2,FALSE)))</f>
        <v>0</v>
      </c>
      <c r="W2098" s="178">
        <f t="shared" ref="W2098:W2352" si="209">+V2098*U2098</f>
        <v>0</v>
      </c>
      <c r="X2098" s="481">
        <f t="shared" si="205"/>
        <v>0</v>
      </c>
      <c r="Y2098" s="179"/>
      <c r="Z2098" s="466">
        <f t="shared" si="206"/>
        <v>0</v>
      </c>
      <c r="AA2098" s="473">
        <f t="shared" si="207"/>
        <v>0</v>
      </c>
      <c r="AB2098" s="339">
        <f t="shared" si="208"/>
        <v>0</v>
      </c>
    </row>
    <row r="2099" spans="2:28" ht="20.100000000000001" customHeight="1">
      <c r="B2099" s="172"/>
      <c r="C2099" s="174"/>
      <c r="D2099" s="181"/>
      <c r="E2099" s="173"/>
      <c r="F2099" s="176"/>
      <c r="G2099" s="175">
        <f t="shared" si="160"/>
        <v>0</v>
      </c>
      <c r="H2099" s="175">
        <f t="shared" si="203"/>
        <v>0</v>
      </c>
      <c r="I2099" s="177">
        <f>IF(G2099=0,0,IF(E2099="MXN",1/HLOOKUP(YEAR(C2099)+(MONTH(C2099)/100),TC!$5:$37,DAY(C2099)+2,FALSE),VLOOKUP(E2099,Equivalencia!$5:$23,((MAX(Equivalencia!$3:$3)-YEAR(C2099))*14)+MONTH(C2099)+2,FALSE)))</f>
        <v>0</v>
      </c>
      <c r="J2099" s="178">
        <f t="shared" si="161"/>
        <v>0</v>
      </c>
      <c r="K2099" s="462">
        <f>IF(C2099=0,0,VLOOKUP(YEAR(C2099),INPC!$B$4:$O$29,MONTH(C2099)+1))</f>
        <v>0</v>
      </c>
      <c r="L2099" s="462">
        <f>IF(S2099=0,0,VLOOKUP(YEAR(S2099),INPC!$B$4:$O$29,MONTH(S2099)+1))</f>
        <v>0</v>
      </c>
      <c r="M2099" s="463">
        <f t="shared" si="204"/>
        <v>0</v>
      </c>
      <c r="N2099" s="465">
        <f t="shared" si="162"/>
        <v>0</v>
      </c>
      <c r="O2099" s="179"/>
      <c r="P2099" s="180"/>
      <c r="Q2099" s="173"/>
      <c r="R2099" s="173"/>
      <c r="S2099" s="174"/>
      <c r="T2099" s="173"/>
      <c r="U2099" s="182"/>
      <c r="V2099" s="177">
        <f>IF(U2099=0,0,IF(T2099="MXN",1/HLOOKUP(YEAR(S2099)+(MONTH(S2099)/100),TC!$5:$37,DAY(S2099)+2,FALSE),VLOOKUP(T2099,Equivalencia!$1:$23,((MAX(Equivalencia!$3:$3)-YEAR(S2099))*14)+MONTH(S2099)+2,FALSE)))</f>
        <v>0</v>
      </c>
      <c r="W2099" s="178">
        <f t="shared" si="209"/>
        <v>0</v>
      </c>
      <c r="X2099" s="481">
        <f t="shared" si="205"/>
        <v>0</v>
      </c>
      <c r="Y2099" s="179"/>
      <c r="Z2099" s="466">
        <f t="shared" si="206"/>
        <v>0</v>
      </c>
      <c r="AA2099" s="473">
        <f t="shared" si="207"/>
        <v>0</v>
      </c>
      <c r="AB2099" s="339">
        <f t="shared" si="208"/>
        <v>0</v>
      </c>
    </row>
    <row r="2100" spans="2:28" ht="20.100000000000001" customHeight="1">
      <c r="B2100" s="172"/>
      <c r="C2100" s="174"/>
      <c r="D2100" s="181"/>
      <c r="E2100" s="173"/>
      <c r="F2100" s="176"/>
      <c r="G2100" s="175">
        <f t="shared" si="160"/>
        <v>0</v>
      </c>
      <c r="H2100" s="175">
        <f t="shared" si="203"/>
        <v>0</v>
      </c>
      <c r="I2100" s="177">
        <f>IF(G2100=0,0,IF(E2100="MXN",1/HLOOKUP(YEAR(C2100)+(MONTH(C2100)/100),TC!$5:$37,DAY(C2100)+2,FALSE),VLOOKUP(E2100,Equivalencia!$5:$23,((MAX(Equivalencia!$3:$3)-YEAR(C2100))*14)+MONTH(C2100)+2,FALSE)))</f>
        <v>0</v>
      </c>
      <c r="J2100" s="178">
        <f t="shared" si="161"/>
        <v>0</v>
      </c>
      <c r="K2100" s="462">
        <f>IF(C2100=0,0,VLOOKUP(YEAR(C2100),INPC!$B$4:$O$29,MONTH(C2100)+1))</f>
        <v>0</v>
      </c>
      <c r="L2100" s="462">
        <f>IF(S2100=0,0,VLOOKUP(YEAR(S2100),INPC!$B$4:$O$29,MONTH(S2100)+1))</f>
        <v>0</v>
      </c>
      <c r="M2100" s="463">
        <f t="shared" si="204"/>
        <v>0</v>
      </c>
      <c r="N2100" s="465">
        <f t="shared" si="162"/>
        <v>0</v>
      </c>
      <c r="O2100" s="179"/>
      <c r="P2100" s="180"/>
      <c r="Q2100" s="173"/>
      <c r="R2100" s="173"/>
      <c r="S2100" s="174"/>
      <c r="T2100" s="173"/>
      <c r="U2100" s="182"/>
      <c r="V2100" s="177">
        <f>IF(U2100=0,0,IF(T2100="MXN",1/HLOOKUP(YEAR(S2100)+(MONTH(S2100)/100),TC!$5:$37,DAY(S2100)+2,FALSE),VLOOKUP(T2100,Equivalencia!$1:$23,((MAX(Equivalencia!$3:$3)-YEAR(S2100))*14)+MONTH(S2100)+2,FALSE)))</f>
        <v>0</v>
      </c>
      <c r="W2100" s="178">
        <f t="shared" si="209"/>
        <v>0</v>
      </c>
      <c r="X2100" s="481">
        <f t="shared" si="205"/>
        <v>0</v>
      </c>
      <c r="Y2100" s="179"/>
      <c r="Z2100" s="466">
        <f t="shared" si="206"/>
        <v>0</v>
      </c>
      <c r="AA2100" s="473">
        <f t="shared" si="207"/>
        <v>0</v>
      </c>
      <c r="AB2100" s="339">
        <f t="shared" si="208"/>
        <v>0</v>
      </c>
    </row>
    <row r="2101" spans="2:28" ht="20.100000000000001" customHeight="1">
      <c r="B2101" s="172"/>
      <c r="C2101" s="174"/>
      <c r="D2101" s="181"/>
      <c r="E2101" s="173"/>
      <c r="F2101" s="176"/>
      <c r="G2101" s="175">
        <f t="shared" ref="G2101:G2355" si="210">+P2101</f>
        <v>0</v>
      </c>
      <c r="H2101" s="175">
        <f t="shared" si="203"/>
        <v>0</v>
      </c>
      <c r="I2101" s="177">
        <f>IF(G2101=0,0,IF(E2101="MXN",1/HLOOKUP(YEAR(C2101)+(MONTH(C2101)/100),TC!$5:$37,DAY(C2101)+2,FALSE),VLOOKUP(E2101,Equivalencia!$5:$23,((MAX(Equivalencia!$3:$3)-YEAR(C2101))*14)+MONTH(C2101)+2,FALSE)))</f>
        <v>0</v>
      </c>
      <c r="J2101" s="178">
        <f t="shared" ref="J2101:J2355" si="211">+H2101*I2101</f>
        <v>0</v>
      </c>
      <c r="K2101" s="462">
        <f>IF(C2101=0,0,VLOOKUP(YEAR(C2101),INPC!$B$4:$O$29,MONTH(C2101)+1))</f>
        <v>0</v>
      </c>
      <c r="L2101" s="462">
        <f>IF(S2101=0,0,VLOOKUP(YEAR(S2101),INPC!$B$4:$O$29,MONTH(S2101)+1))</f>
        <v>0</v>
      </c>
      <c r="M2101" s="463">
        <f t="shared" si="204"/>
        <v>0</v>
      </c>
      <c r="N2101" s="465">
        <f t="shared" ref="N2101:N2355" si="212">+M2101*J2101</f>
        <v>0</v>
      </c>
      <c r="O2101" s="179"/>
      <c r="P2101" s="180"/>
      <c r="Q2101" s="173"/>
      <c r="R2101" s="173"/>
      <c r="S2101" s="174"/>
      <c r="T2101" s="173"/>
      <c r="U2101" s="182"/>
      <c r="V2101" s="177">
        <f>IF(U2101=0,0,IF(T2101="MXN",1/HLOOKUP(YEAR(S2101)+(MONTH(S2101)/100),TC!$5:$37,DAY(S2101)+2,FALSE),VLOOKUP(T2101,Equivalencia!$1:$23,((MAX(Equivalencia!$3:$3)-YEAR(S2101))*14)+MONTH(S2101)+2,FALSE)))</f>
        <v>0</v>
      </c>
      <c r="W2101" s="178">
        <f t="shared" si="209"/>
        <v>0</v>
      </c>
      <c r="X2101" s="481">
        <f t="shared" si="205"/>
        <v>0</v>
      </c>
      <c r="Y2101" s="179"/>
      <c r="Z2101" s="466">
        <f t="shared" si="206"/>
        <v>0</v>
      </c>
      <c r="AA2101" s="473">
        <f t="shared" si="207"/>
        <v>0</v>
      </c>
      <c r="AB2101" s="339">
        <f t="shared" si="208"/>
        <v>0</v>
      </c>
    </row>
    <row r="2102" spans="2:28" ht="20.100000000000001" customHeight="1">
      <c r="B2102" s="172"/>
      <c r="C2102" s="174"/>
      <c r="D2102" s="181"/>
      <c r="E2102" s="173"/>
      <c r="F2102" s="176"/>
      <c r="G2102" s="175">
        <f t="shared" si="210"/>
        <v>0</v>
      </c>
      <c r="H2102" s="175">
        <f t="shared" si="203"/>
        <v>0</v>
      </c>
      <c r="I2102" s="177">
        <f>IF(G2102=0,0,IF(E2102="MXN",1/HLOOKUP(YEAR(C2102)+(MONTH(C2102)/100),TC!$5:$37,DAY(C2102)+2,FALSE),VLOOKUP(E2102,Equivalencia!$5:$23,((MAX(Equivalencia!$3:$3)-YEAR(C2102))*14)+MONTH(C2102)+2,FALSE)))</f>
        <v>0</v>
      </c>
      <c r="J2102" s="178">
        <f t="shared" si="211"/>
        <v>0</v>
      </c>
      <c r="K2102" s="462">
        <f>IF(C2102=0,0,VLOOKUP(YEAR(C2102),INPC!$B$4:$O$29,MONTH(C2102)+1))</f>
        <v>0</v>
      </c>
      <c r="L2102" s="462">
        <f>IF(S2102=0,0,VLOOKUP(YEAR(S2102),INPC!$B$4:$O$29,MONTH(S2102)+1))</f>
        <v>0</v>
      </c>
      <c r="M2102" s="463">
        <f t="shared" si="204"/>
        <v>0</v>
      </c>
      <c r="N2102" s="465">
        <f t="shared" si="212"/>
        <v>0</v>
      </c>
      <c r="O2102" s="179"/>
      <c r="P2102" s="180"/>
      <c r="Q2102" s="173"/>
      <c r="R2102" s="173"/>
      <c r="S2102" s="174"/>
      <c r="T2102" s="173"/>
      <c r="U2102" s="182"/>
      <c r="V2102" s="177">
        <f>IF(U2102=0,0,IF(T2102="MXN",1/HLOOKUP(YEAR(S2102)+(MONTH(S2102)/100),TC!$5:$37,DAY(S2102)+2,FALSE),VLOOKUP(T2102,Equivalencia!$1:$23,((MAX(Equivalencia!$3:$3)-YEAR(S2102))*14)+MONTH(S2102)+2,FALSE)))</f>
        <v>0</v>
      </c>
      <c r="W2102" s="178">
        <f t="shared" si="209"/>
        <v>0</v>
      </c>
      <c r="X2102" s="481">
        <f t="shared" si="205"/>
        <v>0</v>
      </c>
      <c r="Y2102" s="179"/>
      <c r="Z2102" s="466">
        <f t="shared" si="206"/>
        <v>0</v>
      </c>
      <c r="AA2102" s="473">
        <f t="shared" si="207"/>
        <v>0</v>
      </c>
      <c r="AB2102" s="339">
        <f t="shared" si="208"/>
        <v>0</v>
      </c>
    </row>
    <row r="2103" spans="2:28" ht="20.100000000000001" customHeight="1">
      <c r="B2103" s="172"/>
      <c r="C2103" s="174"/>
      <c r="D2103" s="181"/>
      <c r="E2103" s="173"/>
      <c r="F2103" s="176"/>
      <c r="G2103" s="175">
        <f t="shared" si="210"/>
        <v>0</v>
      </c>
      <c r="H2103" s="175">
        <f t="shared" si="203"/>
        <v>0</v>
      </c>
      <c r="I2103" s="177">
        <f>IF(G2103=0,0,IF(E2103="MXN",1/HLOOKUP(YEAR(C2103)+(MONTH(C2103)/100),TC!$5:$37,DAY(C2103)+2,FALSE),VLOOKUP(E2103,Equivalencia!$5:$23,((MAX(Equivalencia!$3:$3)-YEAR(C2103))*14)+MONTH(C2103)+2,FALSE)))</f>
        <v>0</v>
      </c>
      <c r="J2103" s="178">
        <f t="shared" si="211"/>
        <v>0</v>
      </c>
      <c r="K2103" s="462">
        <f>IF(C2103=0,0,VLOOKUP(YEAR(C2103),INPC!$B$4:$O$29,MONTH(C2103)+1))</f>
        <v>0</v>
      </c>
      <c r="L2103" s="462">
        <f>IF(S2103=0,0,VLOOKUP(YEAR(S2103),INPC!$B$4:$O$29,MONTH(S2103)+1))</f>
        <v>0</v>
      </c>
      <c r="M2103" s="463">
        <f t="shared" si="204"/>
        <v>0</v>
      </c>
      <c r="N2103" s="465">
        <f t="shared" si="212"/>
        <v>0</v>
      </c>
      <c r="O2103" s="179"/>
      <c r="P2103" s="180"/>
      <c r="Q2103" s="173"/>
      <c r="R2103" s="173"/>
      <c r="S2103" s="174"/>
      <c r="T2103" s="173"/>
      <c r="U2103" s="182"/>
      <c r="V2103" s="177">
        <f>IF(U2103=0,0,IF(T2103="MXN",1/HLOOKUP(YEAR(S2103)+(MONTH(S2103)/100),TC!$5:$37,DAY(S2103)+2,FALSE),VLOOKUP(T2103,Equivalencia!$1:$23,((MAX(Equivalencia!$3:$3)-YEAR(S2103))*14)+MONTH(S2103)+2,FALSE)))</f>
        <v>0</v>
      </c>
      <c r="W2103" s="178">
        <f t="shared" si="209"/>
        <v>0</v>
      </c>
      <c r="X2103" s="481">
        <f t="shared" si="205"/>
        <v>0</v>
      </c>
      <c r="Y2103" s="179"/>
      <c r="Z2103" s="466">
        <f t="shared" si="206"/>
        <v>0</v>
      </c>
      <c r="AA2103" s="473">
        <f t="shared" si="207"/>
        <v>0</v>
      </c>
      <c r="AB2103" s="339">
        <f t="shared" si="208"/>
        <v>0</v>
      </c>
    </row>
    <row r="2104" spans="2:28" ht="20.100000000000001" customHeight="1">
      <c r="B2104" s="172"/>
      <c r="C2104" s="174"/>
      <c r="D2104" s="181"/>
      <c r="E2104" s="173"/>
      <c r="F2104" s="176"/>
      <c r="G2104" s="175">
        <f t="shared" si="210"/>
        <v>0</v>
      </c>
      <c r="H2104" s="175">
        <f t="shared" si="203"/>
        <v>0</v>
      </c>
      <c r="I2104" s="177">
        <f>IF(G2104=0,0,IF(E2104="MXN",1/HLOOKUP(YEAR(C2104)+(MONTH(C2104)/100),TC!$5:$37,DAY(C2104)+2,FALSE),VLOOKUP(E2104,Equivalencia!$5:$23,((MAX(Equivalencia!$3:$3)-YEAR(C2104))*14)+MONTH(C2104)+2,FALSE)))</f>
        <v>0</v>
      </c>
      <c r="J2104" s="178">
        <f t="shared" si="211"/>
        <v>0</v>
      </c>
      <c r="K2104" s="462">
        <f>IF(C2104=0,0,VLOOKUP(YEAR(C2104),INPC!$B$4:$O$29,MONTH(C2104)+1))</f>
        <v>0</v>
      </c>
      <c r="L2104" s="462">
        <f>IF(S2104=0,0,VLOOKUP(YEAR(S2104),INPC!$B$4:$O$29,MONTH(S2104)+1))</f>
        <v>0</v>
      </c>
      <c r="M2104" s="463">
        <f t="shared" si="204"/>
        <v>0</v>
      </c>
      <c r="N2104" s="465">
        <f t="shared" si="212"/>
        <v>0</v>
      </c>
      <c r="O2104" s="179"/>
      <c r="P2104" s="180"/>
      <c r="Q2104" s="173"/>
      <c r="R2104" s="173"/>
      <c r="S2104" s="174"/>
      <c r="T2104" s="173"/>
      <c r="U2104" s="182"/>
      <c r="V2104" s="177">
        <f>IF(U2104=0,0,IF(T2104="MXN",1/HLOOKUP(YEAR(S2104)+(MONTH(S2104)/100),TC!$5:$37,DAY(S2104)+2,FALSE),VLOOKUP(T2104,Equivalencia!$1:$23,((MAX(Equivalencia!$3:$3)-YEAR(S2104))*14)+MONTH(S2104)+2,FALSE)))</f>
        <v>0</v>
      </c>
      <c r="W2104" s="178">
        <f t="shared" si="209"/>
        <v>0</v>
      </c>
      <c r="X2104" s="481">
        <f t="shared" si="205"/>
        <v>0</v>
      </c>
      <c r="Y2104" s="179"/>
      <c r="Z2104" s="466">
        <f t="shared" si="206"/>
        <v>0</v>
      </c>
      <c r="AA2104" s="473">
        <f t="shared" si="207"/>
        <v>0</v>
      </c>
      <c r="AB2104" s="339">
        <f t="shared" si="208"/>
        <v>0</v>
      </c>
    </row>
    <row r="2105" spans="2:28" ht="20.100000000000001" customHeight="1">
      <c r="B2105" s="172"/>
      <c r="C2105" s="174"/>
      <c r="D2105" s="181"/>
      <c r="E2105" s="173"/>
      <c r="F2105" s="176"/>
      <c r="G2105" s="175">
        <f t="shared" si="210"/>
        <v>0</v>
      </c>
      <c r="H2105" s="175">
        <f t="shared" si="203"/>
        <v>0</v>
      </c>
      <c r="I2105" s="177">
        <f>IF(G2105=0,0,IF(E2105="MXN",1/HLOOKUP(YEAR(C2105)+(MONTH(C2105)/100),TC!$5:$37,DAY(C2105)+2,FALSE),VLOOKUP(E2105,Equivalencia!$5:$23,((MAX(Equivalencia!$3:$3)-YEAR(C2105))*14)+MONTH(C2105)+2,FALSE)))</f>
        <v>0</v>
      </c>
      <c r="J2105" s="178">
        <f t="shared" si="211"/>
        <v>0</v>
      </c>
      <c r="K2105" s="462">
        <f>IF(C2105=0,0,VLOOKUP(YEAR(C2105),INPC!$B$4:$O$29,MONTH(C2105)+1))</f>
        <v>0</v>
      </c>
      <c r="L2105" s="462">
        <f>IF(S2105=0,0,VLOOKUP(YEAR(S2105),INPC!$B$4:$O$29,MONTH(S2105)+1))</f>
        <v>0</v>
      </c>
      <c r="M2105" s="463">
        <f t="shared" si="204"/>
        <v>0</v>
      </c>
      <c r="N2105" s="465">
        <f t="shared" si="212"/>
        <v>0</v>
      </c>
      <c r="O2105" s="179"/>
      <c r="P2105" s="180"/>
      <c r="Q2105" s="173"/>
      <c r="R2105" s="173"/>
      <c r="S2105" s="174"/>
      <c r="T2105" s="173"/>
      <c r="U2105" s="182"/>
      <c r="V2105" s="177">
        <f>IF(U2105=0,0,IF(T2105="MXN",1/HLOOKUP(YEAR(S2105)+(MONTH(S2105)/100),TC!$5:$37,DAY(S2105)+2,FALSE),VLOOKUP(T2105,Equivalencia!$1:$23,((MAX(Equivalencia!$3:$3)-YEAR(S2105))*14)+MONTH(S2105)+2,FALSE)))</f>
        <v>0</v>
      </c>
      <c r="W2105" s="178">
        <f t="shared" si="209"/>
        <v>0</v>
      </c>
      <c r="X2105" s="481">
        <f t="shared" si="205"/>
        <v>0</v>
      </c>
      <c r="Y2105" s="179"/>
      <c r="Z2105" s="466">
        <f t="shared" si="206"/>
        <v>0</v>
      </c>
      <c r="AA2105" s="473">
        <f t="shared" si="207"/>
        <v>0</v>
      </c>
      <c r="AB2105" s="339">
        <f t="shared" si="208"/>
        <v>0</v>
      </c>
    </row>
    <row r="2106" spans="2:28" ht="20.100000000000001" customHeight="1">
      <c r="B2106" s="172"/>
      <c r="C2106" s="174"/>
      <c r="D2106" s="181"/>
      <c r="E2106" s="173"/>
      <c r="F2106" s="176"/>
      <c r="G2106" s="175">
        <f t="shared" si="210"/>
        <v>0</v>
      </c>
      <c r="H2106" s="175">
        <f t="shared" si="203"/>
        <v>0</v>
      </c>
      <c r="I2106" s="177">
        <f>IF(G2106=0,0,IF(E2106="MXN",1/HLOOKUP(YEAR(C2106)+(MONTH(C2106)/100),TC!$5:$37,DAY(C2106)+2,FALSE),VLOOKUP(E2106,Equivalencia!$5:$23,((MAX(Equivalencia!$3:$3)-YEAR(C2106))*14)+MONTH(C2106)+2,FALSE)))</f>
        <v>0</v>
      </c>
      <c r="J2106" s="178">
        <f t="shared" si="211"/>
        <v>0</v>
      </c>
      <c r="K2106" s="462">
        <f>IF(C2106=0,0,VLOOKUP(YEAR(C2106),INPC!$B$4:$O$29,MONTH(C2106)+1))</f>
        <v>0</v>
      </c>
      <c r="L2106" s="462">
        <f>IF(S2106=0,0,VLOOKUP(YEAR(S2106),INPC!$B$4:$O$29,MONTH(S2106)+1))</f>
        <v>0</v>
      </c>
      <c r="M2106" s="463">
        <f t="shared" si="204"/>
        <v>0</v>
      </c>
      <c r="N2106" s="465">
        <f t="shared" si="212"/>
        <v>0</v>
      </c>
      <c r="O2106" s="179"/>
      <c r="P2106" s="180"/>
      <c r="Q2106" s="173"/>
      <c r="R2106" s="173"/>
      <c r="S2106" s="174"/>
      <c r="T2106" s="173"/>
      <c r="U2106" s="182"/>
      <c r="V2106" s="177">
        <f>IF(U2106=0,0,IF(T2106="MXN",1/HLOOKUP(YEAR(S2106)+(MONTH(S2106)/100),TC!$5:$37,DAY(S2106)+2,FALSE),VLOOKUP(T2106,Equivalencia!$1:$23,((MAX(Equivalencia!$3:$3)-YEAR(S2106))*14)+MONTH(S2106)+2,FALSE)))</f>
        <v>0</v>
      </c>
      <c r="W2106" s="178">
        <f t="shared" si="209"/>
        <v>0</v>
      </c>
      <c r="X2106" s="481">
        <f t="shared" si="205"/>
        <v>0</v>
      </c>
      <c r="Y2106" s="179"/>
      <c r="Z2106" s="466">
        <f t="shared" si="206"/>
        <v>0</v>
      </c>
      <c r="AA2106" s="473">
        <f t="shared" si="207"/>
        <v>0</v>
      </c>
      <c r="AB2106" s="339">
        <f t="shared" si="208"/>
        <v>0</v>
      </c>
    </row>
    <row r="2107" spans="2:28" ht="20.100000000000001" customHeight="1">
      <c r="B2107" s="172"/>
      <c r="C2107" s="174"/>
      <c r="D2107" s="181"/>
      <c r="E2107" s="173"/>
      <c r="F2107" s="176"/>
      <c r="G2107" s="175">
        <f t="shared" si="210"/>
        <v>0</v>
      </c>
      <c r="H2107" s="175">
        <f t="shared" si="203"/>
        <v>0</v>
      </c>
      <c r="I2107" s="177">
        <f>IF(G2107=0,0,IF(E2107="MXN",1/HLOOKUP(YEAR(C2107)+(MONTH(C2107)/100),TC!$5:$37,DAY(C2107)+2,FALSE),VLOOKUP(E2107,Equivalencia!$5:$23,((MAX(Equivalencia!$3:$3)-YEAR(C2107))*14)+MONTH(C2107)+2,FALSE)))</f>
        <v>0</v>
      </c>
      <c r="J2107" s="178">
        <f t="shared" si="211"/>
        <v>0</v>
      </c>
      <c r="K2107" s="462">
        <f>IF(C2107=0,0,VLOOKUP(YEAR(C2107),INPC!$B$4:$O$29,MONTH(C2107)+1))</f>
        <v>0</v>
      </c>
      <c r="L2107" s="462">
        <f>IF(S2107=0,0,VLOOKUP(YEAR(S2107),INPC!$B$4:$O$29,MONTH(S2107)+1))</f>
        <v>0</v>
      </c>
      <c r="M2107" s="463">
        <f t="shared" si="204"/>
        <v>0</v>
      </c>
      <c r="N2107" s="465">
        <f t="shared" si="212"/>
        <v>0</v>
      </c>
      <c r="O2107" s="179"/>
      <c r="P2107" s="180"/>
      <c r="Q2107" s="173"/>
      <c r="R2107" s="173"/>
      <c r="S2107" s="174"/>
      <c r="T2107" s="173"/>
      <c r="U2107" s="182"/>
      <c r="V2107" s="177">
        <f>IF(U2107=0,0,IF(T2107="MXN",1/HLOOKUP(YEAR(S2107)+(MONTH(S2107)/100),TC!$5:$37,DAY(S2107)+2,FALSE),VLOOKUP(T2107,Equivalencia!$1:$23,((MAX(Equivalencia!$3:$3)-YEAR(S2107))*14)+MONTH(S2107)+2,FALSE)))</f>
        <v>0</v>
      </c>
      <c r="W2107" s="178">
        <f t="shared" si="209"/>
        <v>0</v>
      </c>
      <c r="X2107" s="481">
        <f t="shared" si="205"/>
        <v>0</v>
      </c>
      <c r="Y2107" s="179"/>
      <c r="Z2107" s="466">
        <f t="shared" si="206"/>
        <v>0</v>
      </c>
      <c r="AA2107" s="473">
        <f t="shared" si="207"/>
        <v>0</v>
      </c>
      <c r="AB2107" s="339">
        <f t="shared" si="208"/>
        <v>0</v>
      </c>
    </row>
    <row r="2108" spans="2:28" ht="20.100000000000001" customHeight="1">
      <c r="B2108" s="172"/>
      <c r="C2108" s="174"/>
      <c r="D2108" s="181"/>
      <c r="E2108" s="173"/>
      <c r="F2108" s="176"/>
      <c r="G2108" s="175">
        <f t="shared" si="210"/>
        <v>0</v>
      </c>
      <c r="H2108" s="175">
        <f t="shared" si="203"/>
        <v>0</v>
      </c>
      <c r="I2108" s="177">
        <f>IF(G2108=0,0,IF(E2108="MXN",1/HLOOKUP(YEAR(C2108)+(MONTH(C2108)/100),TC!$5:$37,DAY(C2108)+2,FALSE),VLOOKUP(E2108,Equivalencia!$5:$23,((MAX(Equivalencia!$3:$3)-YEAR(C2108))*14)+MONTH(C2108)+2,FALSE)))</f>
        <v>0</v>
      </c>
      <c r="J2108" s="178">
        <f t="shared" si="211"/>
        <v>0</v>
      </c>
      <c r="K2108" s="462">
        <f>IF(C2108=0,0,VLOOKUP(YEAR(C2108),INPC!$B$4:$O$29,MONTH(C2108)+1))</f>
        <v>0</v>
      </c>
      <c r="L2108" s="462">
        <f>IF(S2108=0,0,VLOOKUP(YEAR(S2108),INPC!$B$4:$O$29,MONTH(S2108)+1))</f>
        <v>0</v>
      </c>
      <c r="M2108" s="463">
        <f t="shared" si="204"/>
        <v>0</v>
      </c>
      <c r="N2108" s="465">
        <f t="shared" si="212"/>
        <v>0</v>
      </c>
      <c r="O2108" s="179"/>
      <c r="P2108" s="180"/>
      <c r="Q2108" s="173"/>
      <c r="R2108" s="173"/>
      <c r="S2108" s="174"/>
      <c r="T2108" s="173"/>
      <c r="U2108" s="182"/>
      <c r="V2108" s="177">
        <f>IF(U2108=0,0,IF(T2108="MXN",1/HLOOKUP(YEAR(S2108)+(MONTH(S2108)/100),TC!$5:$37,DAY(S2108)+2,FALSE),VLOOKUP(T2108,Equivalencia!$1:$23,((MAX(Equivalencia!$3:$3)-YEAR(S2108))*14)+MONTH(S2108)+2,FALSE)))</f>
        <v>0</v>
      </c>
      <c r="W2108" s="178">
        <f t="shared" si="209"/>
        <v>0</v>
      </c>
      <c r="X2108" s="481">
        <f t="shared" si="205"/>
        <v>0</v>
      </c>
      <c r="Y2108" s="179"/>
      <c r="Z2108" s="466">
        <f t="shared" si="206"/>
        <v>0</v>
      </c>
      <c r="AA2108" s="473">
        <f t="shared" si="207"/>
        <v>0</v>
      </c>
      <c r="AB2108" s="339">
        <f t="shared" si="208"/>
        <v>0</v>
      </c>
    </row>
    <row r="2109" spans="2:28" ht="20.100000000000001" customHeight="1">
      <c r="B2109" s="172"/>
      <c r="C2109" s="174"/>
      <c r="D2109" s="181"/>
      <c r="E2109" s="173"/>
      <c r="F2109" s="176"/>
      <c r="G2109" s="175">
        <f t="shared" si="210"/>
        <v>0</v>
      </c>
      <c r="H2109" s="175">
        <f t="shared" si="203"/>
        <v>0</v>
      </c>
      <c r="I2109" s="177">
        <f>IF(G2109=0,0,IF(E2109="MXN",1/HLOOKUP(YEAR(C2109)+(MONTH(C2109)/100),TC!$5:$37,DAY(C2109)+2,FALSE),VLOOKUP(E2109,Equivalencia!$5:$23,((MAX(Equivalencia!$3:$3)-YEAR(C2109))*14)+MONTH(C2109)+2,FALSE)))</f>
        <v>0</v>
      </c>
      <c r="J2109" s="178">
        <f t="shared" si="211"/>
        <v>0</v>
      </c>
      <c r="K2109" s="462">
        <f>IF(C2109=0,0,VLOOKUP(YEAR(C2109),INPC!$B$4:$O$29,MONTH(C2109)+1))</f>
        <v>0</v>
      </c>
      <c r="L2109" s="462">
        <f>IF(S2109=0,0,VLOOKUP(YEAR(S2109),INPC!$B$4:$O$29,MONTH(S2109)+1))</f>
        <v>0</v>
      </c>
      <c r="M2109" s="463">
        <f t="shared" si="204"/>
        <v>0</v>
      </c>
      <c r="N2109" s="465">
        <f t="shared" si="212"/>
        <v>0</v>
      </c>
      <c r="O2109" s="179"/>
      <c r="P2109" s="180"/>
      <c r="Q2109" s="173"/>
      <c r="R2109" s="173"/>
      <c r="S2109" s="174"/>
      <c r="T2109" s="173"/>
      <c r="U2109" s="182"/>
      <c r="V2109" s="177">
        <f>IF(U2109=0,0,IF(T2109="MXN",1/HLOOKUP(YEAR(S2109)+(MONTH(S2109)/100),TC!$5:$37,DAY(S2109)+2,FALSE),VLOOKUP(T2109,Equivalencia!$1:$23,((MAX(Equivalencia!$3:$3)-YEAR(S2109))*14)+MONTH(S2109)+2,FALSE)))</f>
        <v>0</v>
      </c>
      <c r="W2109" s="178">
        <f t="shared" si="209"/>
        <v>0</v>
      </c>
      <c r="X2109" s="481">
        <f t="shared" si="205"/>
        <v>0</v>
      </c>
      <c r="Y2109" s="179"/>
      <c r="Z2109" s="466">
        <f t="shared" si="206"/>
        <v>0</v>
      </c>
      <c r="AA2109" s="473">
        <f t="shared" si="207"/>
        <v>0</v>
      </c>
      <c r="AB2109" s="339">
        <f t="shared" si="208"/>
        <v>0</v>
      </c>
    </row>
    <row r="2110" spans="2:28" ht="20.100000000000001" customHeight="1">
      <c r="B2110" s="172"/>
      <c r="C2110" s="174"/>
      <c r="D2110" s="181"/>
      <c r="E2110" s="173"/>
      <c r="F2110" s="176"/>
      <c r="G2110" s="175">
        <f t="shared" si="210"/>
        <v>0</v>
      </c>
      <c r="H2110" s="175">
        <f t="shared" si="203"/>
        <v>0</v>
      </c>
      <c r="I2110" s="177">
        <f>IF(G2110=0,0,IF(E2110="MXN",1/HLOOKUP(YEAR(C2110)+(MONTH(C2110)/100),TC!$5:$37,DAY(C2110)+2,FALSE),VLOOKUP(E2110,Equivalencia!$5:$23,((MAX(Equivalencia!$3:$3)-YEAR(C2110))*14)+MONTH(C2110)+2,FALSE)))</f>
        <v>0</v>
      </c>
      <c r="J2110" s="178">
        <f t="shared" si="211"/>
        <v>0</v>
      </c>
      <c r="K2110" s="462">
        <f>IF(C2110=0,0,VLOOKUP(YEAR(C2110),INPC!$B$4:$O$29,MONTH(C2110)+1))</f>
        <v>0</v>
      </c>
      <c r="L2110" s="462">
        <f>IF(S2110=0,0,VLOOKUP(YEAR(S2110),INPC!$B$4:$O$29,MONTH(S2110)+1))</f>
        <v>0</v>
      </c>
      <c r="M2110" s="463">
        <f t="shared" si="204"/>
        <v>0</v>
      </c>
      <c r="N2110" s="465">
        <f t="shared" si="212"/>
        <v>0</v>
      </c>
      <c r="O2110" s="179"/>
      <c r="P2110" s="180"/>
      <c r="Q2110" s="173"/>
      <c r="R2110" s="173"/>
      <c r="S2110" s="174"/>
      <c r="T2110" s="173"/>
      <c r="U2110" s="182"/>
      <c r="V2110" s="177">
        <f>IF(U2110=0,0,IF(T2110="MXN",1/HLOOKUP(YEAR(S2110)+(MONTH(S2110)/100),TC!$5:$37,DAY(S2110)+2,FALSE),VLOOKUP(T2110,Equivalencia!$1:$23,((MAX(Equivalencia!$3:$3)-YEAR(S2110))*14)+MONTH(S2110)+2,FALSE)))</f>
        <v>0</v>
      </c>
      <c r="W2110" s="178">
        <f t="shared" si="209"/>
        <v>0</v>
      </c>
      <c r="X2110" s="481">
        <f t="shared" si="205"/>
        <v>0</v>
      </c>
      <c r="Y2110" s="179"/>
      <c r="Z2110" s="466">
        <f t="shared" si="206"/>
        <v>0</v>
      </c>
      <c r="AA2110" s="473">
        <f t="shared" si="207"/>
        <v>0</v>
      </c>
      <c r="AB2110" s="339">
        <f t="shared" si="208"/>
        <v>0</v>
      </c>
    </row>
    <row r="2111" spans="2:28" ht="20.100000000000001" customHeight="1">
      <c r="B2111" s="172"/>
      <c r="C2111" s="174"/>
      <c r="D2111" s="181"/>
      <c r="E2111" s="173"/>
      <c r="F2111" s="176"/>
      <c r="G2111" s="175">
        <f t="shared" si="210"/>
        <v>0</v>
      </c>
      <c r="H2111" s="175">
        <f t="shared" si="203"/>
        <v>0</v>
      </c>
      <c r="I2111" s="177">
        <f>IF(G2111=0,0,IF(E2111="MXN",1/HLOOKUP(YEAR(C2111)+(MONTH(C2111)/100),TC!$5:$37,DAY(C2111)+2,FALSE),VLOOKUP(E2111,Equivalencia!$5:$23,((MAX(Equivalencia!$3:$3)-YEAR(C2111))*14)+MONTH(C2111)+2,FALSE)))</f>
        <v>0</v>
      </c>
      <c r="J2111" s="178">
        <f t="shared" si="211"/>
        <v>0</v>
      </c>
      <c r="K2111" s="462">
        <f>IF(C2111=0,0,VLOOKUP(YEAR(C2111),INPC!$B$4:$O$29,MONTH(C2111)+1))</f>
        <v>0</v>
      </c>
      <c r="L2111" s="462">
        <f>IF(S2111=0,0,VLOOKUP(YEAR(S2111),INPC!$B$4:$O$29,MONTH(S2111)+1))</f>
        <v>0</v>
      </c>
      <c r="M2111" s="463">
        <f t="shared" si="204"/>
        <v>0</v>
      </c>
      <c r="N2111" s="465">
        <f t="shared" si="212"/>
        <v>0</v>
      </c>
      <c r="O2111" s="179"/>
      <c r="P2111" s="180"/>
      <c r="Q2111" s="173"/>
      <c r="R2111" s="173"/>
      <c r="S2111" s="174"/>
      <c r="T2111" s="173"/>
      <c r="U2111" s="182"/>
      <c r="V2111" s="177">
        <f>IF(U2111=0,0,IF(T2111="MXN",1/HLOOKUP(YEAR(S2111)+(MONTH(S2111)/100),TC!$5:$37,DAY(S2111)+2,FALSE),VLOOKUP(T2111,Equivalencia!$1:$23,((MAX(Equivalencia!$3:$3)-YEAR(S2111))*14)+MONTH(S2111)+2,FALSE)))</f>
        <v>0</v>
      </c>
      <c r="W2111" s="178">
        <f t="shared" si="209"/>
        <v>0</v>
      </c>
      <c r="X2111" s="481">
        <f t="shared" si="205"/>
        <v>0</v>
      </c>
      <c r="Y2111" s="179"/>
      <c r="Z2111" s="466">
        <f t="shared" si="206"/>
        <v>0</v>
      </c>
      <c r="AA2111" s="473">
        <f t="shared" si="207"/>
        <v>0</v>
      </c>
      <c r="AB2111" s="339">
        <f t="shared" si="208"/>
        <v>0</v>
      </c>
    </row>
    <row r="2112" spans="2:28" ht="20.100000000000001" customHeight="1">
      <c r="B2112" s="172"/>
      <c r="C2112" s="174"/>
      <c r="D2112" s="181"/>
      <c r="E2112" s="173"/>
      <c r="F2112" s="176"/>
      <c r="G2112" s="175">
        <f t="shared" si="210"/>
        <v>0</v>
      </c>
      <c r="H2112" s="175">
        <f t="shared" si="203"/>
        <v>0</v>
      </c>
      <c r="I2112" s="177">
        <f>IF(G2112=0,0,IF(E2112="MXN",1/HLOOKUP(YEAR(C2112)+(MONTH(C2112)/100),TC!$5:$37,DAY(C2112)+2,FALSE),VLOOKUP(E2112,Equivalencia!$5:$23,((MAX(Equivalencia!$3:$3)-YEAR(C2112))*14)+MONTH(C2112)+2,FALSE)))</f>
        <v>0</v>
      </c>
      <c r="J2112" s="178">
        <f t="shared" si="211"/>
        <v>0</v>
      </c>
      <c r="K2112" s="462">
        <f>IF(C2112=0,0,VLOOKUP(YEAR(C2112),INPC!$B$4:$O$29,MONTH(C2112)+1))</f>
        <v>0</v>
      </c>
      <c r="L2112" s="462">
        <f>IF(S2112=0,0,VLOOKUP(YEAR(S2112),INPC!$B$4:$O$29,MONTH(S2112)+1))</f>
        <v>0</v>
      </c>
      <c r="M2112" s="463">
        <f t="shared" si="204"/>
        <v>0</v>
      </c>
      <c r="N2112" s="465">
        <f t="shared" si="212"/>
        <v>0</v>
      </c>
      <c r="O2112" s="179"/>
      <c r="P2112" s="180"/>
      <c r="Q2112" s="173"/>
      <c r="R2112" s="173"/>
      <c r="S2112" s="174"/>
      <c r="T2112" s="173"/>
      <c r="U2112" s="182"/>
      <c r="V2112" s="177">
        <f>IF(U2112=0,0,IF(T2112="MXN",1/HLOOKUP(YEAR(S2112)+(MONTH(S2112)/100),TC!$5:$37,DAY(S2112)+2,FALSE),VLOOKUP(T2112,Equivalencia!$1:$23,((MAX(Equivalencia!$3:$3)-YEAR(S2112))*14)+MONTH(S2112)+2,FALSE)))</f>
        <v>0</v>
      </c>
      <c r="W2112" s="178">
        <f t="shared" si="209"/>
        <v>0</v>
      </c>
      <c r="X2112" s="481">
        <f t="shared" si="205"/>
        <v>0</v>
      </c>
      <c r="Y2112" s="179"/>
      <c r="Z2112" s="466">
        <f t="shared" si="206"/>
        <v>0</v>
      </c>
      <c r="AA2112" s="473">
        <f t="shared" si="207"/>
        <v>0</v>
      </c>
      <c r="AB2112" s="339">
        <f t="shared" si="208"/>
        <v>0</v>
      </c>
    </row>
    <row r="2113" spans="2:28" ht="20.100000000000001" customHeight="1">
      <c r="B2113" s="172"/>
      <c r="C2113" s="174"/>
      <c r="D2113" s="181"/>
      <c r="E2113" s="173"/>
      <c r="F2113" s="176"/>
      <c r="G2113" s="175">
        <f t="shared" si="210"/>
        <v>0</v>
      </c>
      <c r="H2113" s="175">
        <f t="shared" si="203"/>
        <v>0</v>
      </c>
      <c r="I2113" s="177">
        <f>IF(G2113=0,0,IF(E2113="MXN",1/HLOOKUP(YEAR(C2113)+(MONTH(C2113)/100),TC!$5:$37,DAY(C2113)+2,FALSE),VLOOKUP(E2113,Equivalencia!$5:$23,((MAX(Equivalencia!$3:$3)-YEAR(C2113))*14)+MONTH(C2113)+2,FALSE)))</f>
        <v>0</v>
      </c>
      <c r="J2113" s="178">
        <f t="shared" si="211"/>
        <v>0</v>
      </c>
      <c r="K2113" s="462">
        <f>IF(C2113=0,0,VLOOKUP(YEAR(C2113),INPC!$B$4:$O$29,MONTH(C2113)+1))</f>
        <v>0</v>
      </c>
      <c r="L2113" s="462">
        <f>IF(S2113=0,0,VLOOKUP(YEAR(S2113),INPC!$B$4:$O$29,MONTH(S2113)+1))</f>
        <v>0</v>
      </c>
      <c r="M2113" s="463">
        <f t="shared" si="204"/>
        <v>0</v>
      </c>
      <c r="N2113" s="465">
        <f t="shared" si="212"/>
        <v>0</v>
      </c>
      <c r="O2113" s="179"/>
      <c r="P2113" s="180"/>
      <c r="Q2113" s="173"/>
      <c r="R2113" s="173"/>
      <c r="S2113" s="174"/>
      <c r="T2113" s="173"/>
      <c r="U2113" s="182"/>
      <c r="V2113" s="177">
        <f>IF(U2113=0,0,IF(T2113="MXN",1/HLOOKUP(YEAR(S2113)+(MONTH(S2113)/100),TC!$5:$37,DAY(S2113)+2,FALSE),VLOOKUP(T2113,Equivalencia!$1:$23,((MAX(Equivalencia!$3:$3)-YEAR(S2113))*14)+MONTH(S2113)+2,FALSE)))</f>
        <v>0</v>
      </c>
      <c r="W2113" s="178">
        <f t="shared" si="209"/>
        <v>0</v>
      </c>
      <c r="X2113" s="481">
        <f t="shared" si="205"/>
        <v>0</v>
      </c>
      <c r="Y2113" s="179"/>
      <c r="Z2113" s="466">
        <f t="shared" si="206"/>
        <v>0</v>
      </c>
      <c r="AA2113" s="473">
        <f t="shared" si="207"/>
        <v>0</v>
      </c>
      <c r="AB2113" s="339">
        <f t="shared" si="208"/>
        <v>0</v>
      </c>
    </row>
    <row r="2114" spans="2:28" ht="20.100000000000001" customHeight="1">
      <c r="B2114" s="172"/>
      <c r="C2114" s="174"/>
      <c r="D2114" s="181"/>
      <c r="E2114" s="173"/>
      <c r="F2114" s="176"/>
      <c r="G2114" s="175">
        <f t="shared" si="210"/>
        <v>0</v>
      </c>
      <c r="H2114" s="175">
        <f t="shared" si="203"/>
        <v>0</v>
      </c>
      <c r="I2114" s="177">
        <f>IF(G2114=0,0,IF(E2114="MXN",1/HLOOKUP(YEAR(C2114)+(MONTH(C2114)/100),TC!$5:$37,DAY(C2114)+2,FALSE),VLOOKUP(E2114,Equivalencia!$5:$23,((MAX(Equivalencia!$3:$3)-YEAR(C2114))*14)+MONTH(C2114)+2,FALSE)))</f>
        <v>0</v>
      </c>
      <c r="J2114" s="178">
        <f t="shared" si="211"/>
        <v>0</v>
      </c>
      <c r="K2114" s="462">
        <f>IF(C2114=0,0,VLOOKUP(YEAR(C2114),INPC!$B$4:$O$29,MONTH(C2114)+1))</f>
        <v>0</v>
      </c>
      <c r="L2114" s="462">
        <f>IF(S2114=0,0,VLOOKUP(YEAR(S2114),INPC!$B$4:$O$29,MONTH(S2114)+1))</f>
        <v>0</v>
      </c>
      <c r="M2114" s="463">
        <f t="shared" si="204"/>
        <v>0</v>
      </c>
      <c r="N2114" s="465">
        <f t="shared" si="212"/>
        <v>0</v>
      </c>
      <c r="O2114" s="179"/>
      <c r="P2114" s="180"/>
      <c r="Q2114" s="173"/>
      <c r="R2114" s="173"/>
      <c r="S2114" s="174"/>
      <c r="T2114" s="173"/>
      <c r="U2114" s="182"/>
      <c r="V2114" s="177">
        <f>IF(U2114=0,0,IF(T2114="MXN",1/HLOOKUP(YEAR(S2114)+(MONTH(S2114)/100),TC!$5:$37,DAY(S2114)+2,FALSE),VLOOKUP(T2114,Equivalencia!$1:$23,((MAX(Equivalencia!$3:$3)-YEAR(S2114))*14)+MONTH(S2114)+2,FALSE)))</f>
        <v>0</v>
      </c>
      <c r="W2114" s="178">
        <f t="shared" si="209"/>
        <v>0</v>
      </c>
      <c r="X2114" s="481">
        <f t="shared" si="205"/>
        <v>0</v>
      </c>
      <c r="Y2114" s="179"/>
      <c r="Z2114" s="466">
        <f t="shared" si="206"/>
        <v>0</v>
      </c>
      <c r="AA2114" s="473">
        <f t="shared" si="207"/>
        <v>0</v>
      </c>
      <c r="AB2114" s="339">
        <f t="shared" si="208"/>
        <v>0</v>
      </c>
    </row>
    <row r="2115" spans="2:28" ht="20.100000000000001" customHeight="1">
      <c r="B2115" s="172"/>
      <c r="C2115" s="174"/>
      <c r="D2115" s="181"/>
      <c r="E2115" s="173"/>
      <c r="F2115" s="176"/>
      <c r="G2115" s="175">
        <f t="shared" si="210"/>
        <v>0</v>
      </c>
      <c r="H2115" s="175">
        <f t="shared" si="203"/>
        <v>0</v>
      </c>
      <c r="I2115" s="177">
        <f>IF(G2115=0,0,IF(E2115="MXN",1/HLOOKUP(YEAR(C2115)+(MONTH(C2115)/100),TC!$5:$37,DAY(C2115)+2,FALSE),VLOOKUP(E2115,Equivalencia!$5:$23,((MAX(Equivalencia!$3:$3)-YEAR(C2115))*14)+MONTH(C2115)+2,FALSE)))</f>
        <v>0</v>
      </c>
      <c r="J2115" s="178">
        <f t="shared" si="211"/>
        <v>0</v>
      </c>
      <c r="K2115" s="462">
        <f>IF(C2115=0,0,VLOOKUP(YEAR(C2115),INPC!$B$4:$O$29,MONTH(C2115)+1))</f>
        <v>0</v>
      </c>
      <c r="L2115" s="462">
        <f>IF(S2115=0,0,VLOOKUP(YEAR(S2115),INPC!$B$4:$O$29,MONTH(S2115)+1))</f>
        <v>0</v>
      </c>
      <c r="M2115" s="463">
        <f t="shared" si="204"/>
        <v>0</v>
      </c>
      <c r="N2115" s="465">
        <f t="shared" si="212"/>
        <v>0</v>
      </c>
      <c r="O2115" s="179"/>
      <c r="P2115" s="180"/>
      <c r="Q2115" s="173"/>
      <c r="R2115" s="173"/>
      <c r="S2115" s="174"/>
      <c r="T2115" s="173"/>
      <c r="U2115" s="182"/>
      <c r="V2115" s="177">
        <f>IF(U2115=0,0,IF(T2115="MXN",1/HLOOKUP(YEAR(S2115)+(MONTH(S2115)/100),TC!$5:$37,DAY(S2115)+2,FALSE),VLOOKUP(T2115,Equivalencia!$1:$23,((MAX(Equivalencia!$3:$3)-YEAR(S2115))*14)+MONTH(S2115)+2,FALSE)))</f>
        <v>0</v>
      </c>
      <c r="W2115" s="178">
        <f t="shared" si="209"/>
        <v>0</v>
      </c>
      <c r="X2115" s="481">
        <f t="shared" si="205"/>
        <v>0</v>
      </c>
      <c r="Y2115" s="179"/>
      <c r="Z2115" s="466">
        <f t="shared" si="206"/>
        <v>0</v>
      </c>
      <c r="AA2115" s="473">
        <f t="shared" si="207"/>
        <v>0</v>
      </c>
      <c r="AB2115" s="339">
        <f t="shared" si="208"/>
        <v>0</v>
      </c>
    </row>
    <row r="2116" spans="2:28" ht="20.100000000000001" customHeight="1">
      <c r="B2116" s="172"/>
      <c r="C2116" s="174"/>
      <c r="D2116" s="181"/>
      <c r="E2116" s="173"/>
      <c r="F2116" s="176"/>
      <c r="G2116" s="175">
        <f t="shared" si="210"/>
        <v>0</v>
      </c>
      <c r="H2116" s="175">
        <f t="shared" si="203"/>
        <v>0</v>
      </c>
      <c r="I2116" s="177">
        <f>IF(G2116=0,0,IF(E2116="MXN",1/HLOOKUP(YEAR(C2116)+(MONTH(C2116)/100),TC!$5:$37,DAY(C2116)+2,FALSE),VLOOKUP(E2116,Equivalencia!$5:$23,((MAX(Equivalencia!$3:$3)-YEAR(C2116))*14)+MONTH(C2116)+2,FALSE)))</f>
        <v>0</v>
      </c>
      <c r="J2116" s="178">
        <f t="shared" si="211"/>
        <v>0</v>
      </c>
      <c r="K2116" s="462">
        <f>IF(C2116=0,0,VLOOKUP(YEAR(C2116),INPC!$B$4:$O$29,MONTH(C2116)+1))</f>
        <v>0</v>
      </c>
      <c r="L2116" s="462">
        <f>IF(S2116=0,0,VLOOKUP(YEAR(S2116),INPC!$B$4:$O$29,MONTH(S2116)+1))</f>
        <v>0</v>
      </c>
      <c r="M2116" s="463">
        <f t="shared" si="204"/>
        <v>0</v>
      </c>
      <c r="N2116" s="465">
        <f t="shared" si="212"/>
        <v>0</v>
      </c>
      <c r="O2116" s="179"/>
      <c r="P2116" s="180"/>
      <c r="Q2116" s="173"/>
      <c r="R2116" s="173"/>
      <c r="S2116" s="174"/>
      <c r="T2116" s="173"/>
      <c r="U2116" s="182"/>
      <c r="V2116" s="177">
        <f>IF(U2116=0,0,IF(T2116="MXN",1/HLOOKUP(YEAR(S2116)+(MONTH(S2116)/100),TC!$5:$37,DAY(S2116)+2,FALSE),VLOOKUP(T2116,Equivalencia!$1:$23,((MAX(Equivalencia!$3:$3)-YEAR(S2116))*14)+MONTH(S2116)+2,FALSE)))</f>
        <v>0</v>
      </c>
      <c r="W2116" s="178">
        <f t="shared" si="209"/>
        <v>0</v>
      </c>
      <c r="X2116" s="481">
        <f t="shared" si="205"/>
        <v>0</v>
      </c>
      <c r="Y2116" s="179"/>
      <c r="Z2116" s="466">
        <f t="shared" si="206"/>
        <v>0</v>
      </c>
      <c r="AA2116" s="473">
        <f t="shared" si="207"/>
        <v>0</v>
      </c>
      <c r="AB2116" s="339">
        <f t="shared" si="208"/>
        <v>0</v>
      </c>
    </row>
    <row r="2117" spans="2:28" ht="20.100000000000001" customHeight="1">
      <c r="B2117" s="172"/>
      <c r="C2117" s="174"/>
      <c r="D2117" s="181"/>
      <c r="E2117" s="173"/>
      <c r="F2117" s="176"/>
      <c r="G2117" s="175">
        <f t="shared" si="210"/>
        <v>0</v>
      </c>
      <c r="H2117" s="175">
        <f t="shared" si="203"/>
        <v>0</v>
      </c>
      <c r="I2117" s="177">
        <f>IF(G2117=0,0,IF(E2117="MXN",1/HLOOKUP(YEAR(C2117)+(MONTH(C2117)/100),TC!$5:$37,DAY(C2117)+2,FALSE),VLOOKUP(E2117,Equivalencia!$5:$23,((MAX(Equivalencia!$3:$3)-YEAR(C2117))*14)+MONTH(C2117)+2,FALSE)))</f>
        <v>0</v>
      </c>
      <c r="J2117" s="178">
        <f t="shared" si="211"/>
        <v>0</v>
      </c>
      <c r="K2117" s="462">
        <f>IF(C2117=0,0,VLOOKUP(YEAR(C2117),INPC!$B$4:$O$29,MONTH(C2117)+1))</f>
        <v>0</v>
      </c>
      <c r="L2117" s="462">
        <f>IF(S2117=0,0,VLOOKUP(YEAR(S2117),INPC!$B$4:$O$29,MONTH(S2117)+1))</f>
        <v>0</v>
      </c>
      <c r="M2117" s="463">
        <f t="shared" si="204"/>
        <v>0</v>
      </c>
      <c r="N2117" s="465">
        <f t="shared" si="212"/>
        <v>0</v>
      </c>
      <c r="O2117" s="179"/>
      <c r="P2117" s="180"/>
      <c r="Q2117" s="173"/>
      <c r="R2117" s="173"/>
      <c r="S2117" s="174"/>
      <c r="T2117" s="173"/>
      <c r="U2117" s="182"/>
      <c r="V2117" s="177">
        <f>IF(U2117=0,0,IF(T2117="MXN",1/HLOOKUP(YEAR(S2117)+(MONTH(S2117)/100),TC!$5:$37,DAY(S2117)+2,FALSE),VLOOKUP(T2117,Equivalencia!$1:$23,((MAX(Equivalencia!$3:$3)-YEAR(S2117))*14)+MONTH(S2117)+2,FALSE)))</f>
        <v>0</v>
      </c>
      <c r="W2117" s="178">
        <f t="shared" si="209"/>
        <v>0</v>
      </c>
      <c r="X2117" s="481">
        <f t="shared" si="205"/>
        <v>0</v>
      </c>
      <c r="Y2117" s="179"/>
      <c r="Z2117" s="466">
        <f t="shared" si="206"/>
        <v>0</v>
      </c>
      <c r="AA2117" s="473">
        <f t="shared" si="207"/>
        <v>0</v>
      </c>
      <c r="AB2117" s="339">
        <f t="shared" si="208"/>
        <v>0</v>
      </c>
    </row>
    <row r="2118" spans="2:28" ht="20.100000000000001" customHeight="1">
      <c r="B2118" s="172"/>
      <c r="C2118" s="174"/>
      <c r="D2118" s="181"/>
      <c r="E2118" s="173"/>
      <c r="F2118" s="176"/>
      <c r="G2118" s="175">
        <f t="shared" si="210"/>
        <v>0</v>
      </c>
      <c r="H2118" s="175">
        <f t="shared" si="203"/>
        <v>0</v>
      </c>
      <c r="I2118" s="177">
        <f>IF(G2118=0,0,IF(E2118="MXN",1/HLOOKUP(YEAR(C2118)+(MONTH(C2118)/100),TC!$5:$37,DAY(C2118)+2,FALSE),VLOOKUP(E2118,Equivalencia!$5:$23,((MAX(Equivalencia!$3:$3)-YEAR(C2118))*14)+MONTH(C2118)+2,FALSE)))</f>
        <v>0</v>
      </c>
      <c r="J2118" s="178">
        <f t="shared" si="211"/>
        <v>0</v>
      </c>
      <c r="K2118" s="462">
        <f>IF(C2118=0,0,VLOOKUP(YEAR(C2118),INPC!$B$4:$O$29,MONTH(C2118)+1))</f>
        <v>0</v>
      </c>
      <c r="L2118" s="462">
        <f>IF(S2118=0,0,VLOOKUP(YEAR(S2118),INPC!$B$4:$O$29,MONTH(S2118)+1))</f>
        <v>0</v>
      </c>
      <c r="M2118" s="463">
        <f t="shared" si="204"/>
        <v>0</v>
      </c>
      <c r="N2118" s="465">
        <f t="shared" si="212"/>
        <v>0</v>
      </c>
      <c r="O2118" s="179"/>
      <c r="P2118" s="180"/>
      <c r="Q2118" s="173"/>
      <c r="R2118" s="173"/>
      <c r="S2118" s="174"/>
      <c r="T2118" s="173"/>
      <c r="U2118" s="182"/>
      <c r="V2118" s="177">
        <f>IF(U2118=0,0,IF(T2118="MXN",1/HLOOKUP(YEAR(S2118)+(MONTH(S2118)/100),TC!$5:$37,DAY(S2118)+2,FALSE),VLOOKUP(T2118,Equivalencia!$1:$23,((MAX(Equivalencia!$3:$3)-YEAR(S2118))*14)+MONTH(S2118)+2,FALSE)))</f>
        <v>0</v>
      </c>
      <c r="W2118" s="178">
        <f t="shared" si="209"/>
        <v>0</v>
      </c>
      <c r="X2118" s="481">
        <f t="shared" si="205"/>
        <v>0</v>
      </c>
      <c r="Y2118" s="179"/>
      <c r="Z2118" s="466">
        <f t="shared" si="206"/>
        <v>0</v>
      </c>
      <c r="AA2118" s="473">
        <f t="shared" si="207"/>
        <v>0</v>
      </c>
      <c r="AB2118" s="339">
        <f t="shared" si="208"/>
        <v>0</v>
      </c>
    </row>
    <row r="2119" spans="2:28" ht="20.100000000000001" customHeight="1">
      <c r="B2119" s="172"/>
      <c r="C2119" s="174"/>
      <c r="D2119" s="181"/>
      <c r="E2119" s="173"/>
      <c r="F2119" s="176"/>
      <c r="G2119" s="175">
        <f t="shared" si="210"/>
        <v>0</v>
      </c>
      <c r="H2119" s="175">
        <f t="shared" si="203"/>
        <v>0</v>
      </c>
      <c r="I2119" s="177">
        <f>IF(G2119=0,0,IF(E2119="MXN",1/HLOOKUP(YEAR(C2119)+(MONTH(C2119)/100),TC!$5:$37,DAY(C2119)+2,FALSE),VLOOKUP(E2119,Equivalencia!$5:$23,((MAX(Equivalencia!$3:$3)-YEAR(C2119))*14)+MONTH(C2119)+2,FALSE)))</f>
        <v>0</v>
      </c>
      <c r="J2119" s="178">
        <f t="shared" si="211"/>
        <v>0</v>
      </c>
      <c r="K2119" s="462">
        <f>IF(C2119=0,0,VLOOKUP(YEAR(C2119),INPC!$B$4:$O$29,MONTH(C2119)+1))</f>
        <v>0</v>
      </c>
      <c r="L2119" s="462">
        <f>IF(S2119=0,0,VLOOKUP(YEAR(S2119),INPC!$B$4:$O$29,MONTH(S2119)+1))</f>
        <v>0</v>
      </c>
      <c r="M2119" s="463">
        <f t="shared" si="204"/>
        <v>0</v>
      </c>
      <c r="N2119" s="465">
        <f t="shared" si="212"/>
        <v>0</v>
      </c>
      <c r="O2119" s="179"/>
      <c r="P2119" s="180"/>
      <c r="Q2119" s="173"/>
      <c r="R2119" s="173"/>
      <c r="S2119" s="174"/>
      <c r="T2119" s="173"/>
      <c r="U2119" s="182"/>
      <c r="V2119" s="177">
        <f>IF(U2119=0,0,IF(T2119="MXN",1/HLOOKUP(YEAR(S2119)+(MONTH(S2119)/100),TC!$5:$37,DAY(S2119)+2,FALSE),VLOOKUP(T2119,Equivalencia!$1:$23,((MAX(Equivalencia!$3:$3)-YEAR(S2119))*14)+MONTH(S2119)+2,FALSE)))</f>
        <v>0</v>
      </c>
      <c r="W2119" s="178">
        <f t="shared" si="209"/>
        <v>0</v>
      </c>
      <c r="X2119" s="481">
        <f t="shared" si="205"/>
        <v>0</v>
      </c>
      <c r="Y2119" s="179"/>
      <c r="Z2119" s="466">
        <f t="shared" si="206"/>
        <v>0</v>
      </c>
      <c r="AA2119" s="473">
        <f t="shared" si="207"/>
        <v>0</v>
      </c>
      <c r="AB2119" s="339">
        <f t="shared" si="208"/>
        <v>0</v>
      </c>
    </row>
    <row r="2120" spans="2:28" ht="20.100000000000001" customHeight="1">
      <c r="B2120" s="172"/>
      <c r="C2120" s="174"/>
      <c r="D2120" s="181"/>
      <c r="E2120" s="173"/>
      <c r="F2120" s="176"/>
      <c r="G2120" s="175">
        <f t="shared" si="210"/>
        <v>0</v>
      </c>
      <c r="H2120" s="175">
        <f t="shared" si="203"/>
        <v>0</v>
      </c>
      <c r="I2120" s="177">
        <f>IF(G2120=0,0,IF(E2120="MXN",1/HLOOKUP(YEAR(C2120)+(MONTH(C2120)/100),TC!$5:$37,DAY(C2120)+2,FALSE),VLOOKUP(E2120,Equivalencia!$5:$23,((MAX(Equivalencia!$3:$3)-YEAR(C2120))*14)+MONTH(C2120)+2,FALSE)))</f>
        <v>0</v>
      </c>
      <c r="J2120" s="178">
        <f t="shared" si="211"/>
        <v>0</v>
      </c>
      <c r="K2120" s="462">
        <f>IF(C2120=0,0,VLOOKUP(YEAR(C2120),INPC!$B$4:$O$29,MONTH(C2120)+1))</f>
        <v>0</v>
      </c>
      <c r="L2120" s="462">
        <f>IF(S2120=0,0,VLOOKUP(YEAR(S2120),INPC!$B$4:$O$29,MONTH(S2120)+1))</f>
        <v>0</v>
      </c>
      <c r="M2120" s="463">
        <f t="shared" si="204"/>
        <v>0</v>
      </c>
      <c r="N2120" s="465">
        <f t="shared" si="212"/>
        <v>0</v>
      </c>
      <c r="O2120" s="179"/>
      <c r="P2120" s="180"/>
      <c r="Q2120" s="173"/>
      <c r="R2120" s="173"/>
      <c r="S2120" s="174"/>
      <c r="T2120" s="173"/>
      <c r="U2120" s="182"/>
      <c r="V2120" s="177">
        <f>IF(U2120=0,0,IF(T2120="MXN",1/HLOOKUP(YEAR(S2120)+(MONTH(S2120)/100),TC!$5:$37,DAY(S2120)+2,FALSE),VLOOKUP(T2120,Equivalencia!$1:$23,((MAX(Equivalencia!$3:$3)-YEAR(S2120))*14)+MONTH(S2120)+2,FALSE)))</f>
        <v>0</v>
      </c>
      <c r="W2120" s="178">
        <f t="shared" si="209"/>
        <v>0</v>
      </c>
      <c r="X2120" s="481">
        <f t="shared" si="205"/>
        <v>0</v>
      </c>
      <c r="Y2120" s="179"/>
      <c r="Z2120" s="466">
        <f t="shared" si="206"/>
        <v>0</v>
      </c>
      <c r="AA2120" s="473">
        <f t="shared" si="207"/>
        <v>0</v>
      </c>
      <c r="AB2120" s="339">
        <f t="shared" si="208"/>
        <v>0</v>
      </c>
    </row>
    <row r="2121" spans="2:28" ht="20.100000000000001" customHeight="1">
      <c r="B2121" s="172"/>
      <c r="C2121" s="174"/>
      <c r="D2121" s="181"/>
      <c r="E2121" s="173"/>
      <c r="F2121" s="176"/>
      <c r="G2121" s="175">
        <f t="shared" si="210"/>
        <v>0</v>
      </c>
      <c r="H2121" s="175">
        <f t="shared" si="203"/>
        <v>0</v>
      </c>
      <c r="I2121" s="177">
        <f>IF(G2121=0,0,IF(E2121="MXN",1/HLOOKUP(YEAR(C2121)+(MONTH(C2121)/100),TC!$5:$37,DAY(C2121)+2,FALSE),VLOOKUP(E2121,Equivalencia!$5:$23,((MAX(Equivalencia!$3:$3)-YEAR(C2121))*14)+MONTH(C2121)+2,FALSE)))</f>
        <v>0</v>
      </c>
      <c r="J2121" s="178">
        <f t="shared" si="211"/>
        <v>0</v>
      </c>
      <c r="K2121" s="462">
        <f>IF(C2121=0,0,VLOOKUP(YEAR(C2121),INPC!$B$4:$O$29,MONTH(C2121)+1))</f>
        <v>0</v>
      </c>
      <c r="L2121" s="462">
        <f>IF(S2121=0,0,VLOOKUP(YEAR(S2121),INPC!$B$4:$O$29,MONTH(S2121)+1))</f>
        <v>0</v>
      </c>
      <c r="M2121" s="463">
        <f t="shared" si="204"/>
        <v>0</v>
      </c>
      <c r="N2121" s="465">
        <f t="shared" si="212"/>
        <v>0</v>
      </c>
      <c r="O2121" s="179"/>
      <c r="P2121" s="180"/>
      <c r="Q2121" s="173"/>
      <c r="R2121" s="173"/>
      <c r="S2121" s="174"/>
      <c r="T2121" s="173"/>
      <c r="U2121" s="182"/>
      <c r="V2121" s="177">
        <f>IF(U2121=0,0,IF(T2121="MXN",1/HLOOKUP(YEAR(S2121)+(MONTH(S2121)/100),TC!$5:$37,DAY(S2121)+2,FALSE),VLOOKUP(T2121,Equivalencia!$1:$23,((MAX(Equivalencia!$3:$3)-YEAR(S2121))*14)+MONTH(S2121)+2,FALSE)))</f>
        <v>0</v>
      </c>
      <c r="W2121" s="178">
        <f t="shared" si="209"/>
        <v>0</v>
      </c>
      <c r="X2121" s="481">
        <f t="shared" si="205"/>
        <v>0</v>
      </c>
      <c r="Y2121" s="179"/>
      <c r="Z2121" s="466">
        <f t="shared" si="206"/>
        <v>0</v>
      </c>
      <c r="AA2121" s="473">
        <f t="shared" si="207"/>
        <v>0</v>
      </c>
      <c r="AB2121" s="339">
        <f t="shared" si="208"/>
        <v>0</v>
      </c>
    </row>
    <row r="2122" spans="2:28" ht="20.100000000000001" customHeight="1">
      <c r="B2122" s="172"/>
      <c r="C2122" s="174"/>
      <c r="D2122" s="181"/>
      <c r="E2122" s="173"/>
      <c r="F2122" s="176"/>
      <c r="G2122" s="175">
        <f t="shared" si="210"/>
        <v>0</v>
      </c>
      <c r="H2122" s="175">
        <f t="shared" si="203"/>
        <v>0</v>
      </c>
      <c r="I2122" s="177">
        <f>IF(G2122=0,0,IF(E2122="MXN",1/HLOOKUP(YEAR(C2122)+(MONTH(C2122)/100),TC!$5:$37,DAY(C2122)+2,FALSE),VLOOKUP(E2122,Equivalencia!$5:$23,((MAX(Equivalencia!$3:$3)-YEAR(C2122))*14)+MONTH(C2122)+2,FALSE)))</f>
        <v>0</v>
      </c>
      <c r="J2122" s="178">
        <f t="shared" si="211"/>
        <v>0</v>
      </c>
      <c r="K2122" s="462">
        <f>IF(C2122=0,0,VLOOKUP(YEAR(C2122),INPC!$B$4:$O$29,MONTH(C2122)+1))</f>
        <v>0</v>
      </c>
      <c r="L2122" s="462">
        <f>IF(S2122=0,0,VLOOKUP(YEAR(S2122),INPC!$B$4:$O$29,MONTH(S2122)+1))</f>
        <v>0</v>
      </c>
      <c r="M2122" s="463">
        <f t="shared" si="204"/>
        <v>0</v>
      </c>
      <c r="N2122" s="465">
        <f t="shared" si="212"/>
        <v>0</v>
      </c>
      <c r="O2122" s="179"/>
      <c r="P2122" s="180"/>
      <c r="Q2122" s="173"/>
      <c r="R2122" s="173"/>
      <c r="S2122" s="174"/>
      <c r="T2122" s="173"/>
      <c r="U2122" s="182"/>
      <c r="V2122" s="177">
        <f>IF(U2122=0,0,IF(T2122="MXN",1/HLOOKUP(YEAR(S2122)+(MONTH(S2122)/100),TC!$5:$37,DAY(S2122)+2,FALSE),VLOOKUP(T2122,Equivalencia!$1:$23,((MAX(Equivalencia!$3:$3)-YEAR(S2122))*14)+MONTH(S2122)+2,FALSE)))</f>
        <v>0</v>
      </c>
      <c r="W2122" s="178">
        <f t="shared" si="209"/>
        <v>0</v>
      </c>
      <c r="X2122" s="481">
        <f t="shared" si="205"/>
        <v>0</v>
      </c>
      <c r="Y2122" s="179"/>
      <c r="Z2122" s="466">
        <f t="shared" si="206"/>
        <v>0</v>
      </c>
      <c r="AA2122" s="473">
        <f t="shared" si="207"/>
        <v>0</v>
      </c>
      <c r="AB2122" s="339">
        <f t="shared" si="208"/>
        <v>0</v>
      </c>
    </row>
    <row r="2123" spans="2:28" ht="20.100000000000001" customHeight="1">
      <c r="B2123" s="172"/>
      <c r="C2123" s="174"/>
      <c r="D2123" s="181"/>
      <c r="E2123" s="173"/>
      <c r="F2123" s="176"/>
      <c r="G2123" s="175">
        <f t="shared" si="210"/>
        <v>0</v>
      </c>
      <c r="H2123" s="175">
        <f t="shared" si="203"/>
        <v>0</v>
      </c>
      <c r="I2123" s="177">
        <f>IF(G2123=0,0,IF(E2123="MXN",1/HLOOKUP(YEAR(C2123)+(MONTH(C2123)/100),TC!$5:$37,DAY(C2123)+2,FALSE),VLOOKUP(E2123,Equivalencia!$5:$23,((MAX(Equivalencia!$3:$3)-YEAR(C2123))*14)+MONTH(C2123)+2,FALSE)))</f>
        <v>0</v>
      </c>
      <c r="J2123" s="178">
        <f t="shared" si="211"/>
        <v>0</v>
      </c>
      <c r="K2123" s="462">
        <f>IF(C2123=0,0,VLOOKUP(YEAR(C2123),INPC!$B$4:$O$29,MONTH(C2123)+1))</f>
        <v>0</v>
      </c>
      <c r="L2123" s="462">
        <f>IF(S2123=0,0,VLOOKUP(YEAR(S2123),INPC!$B$4:$O$29,MONTH(S2123)+1))</f>
        <v>0</v>
      </c>
      <c r="M2123" s="463">
        <f t="shared" si="204"/>
        <v>0</v>
      </c>
      <c r="N2123" s="465">
        <f t="shared" si="212"/>
        <v>0</v>
      </c>
      <c r="O2123" s="179"/>
      <c r="P2123" s="180"/>
      <c r="Q2123" s="173"/>
      <c r="R2123" s="173"/>
      <c r="S2123" s="174"/>
      <c r="T2123" s="173"/>
      <c r="U2123" s="182"/>
      <c r="V2123" s="177">
        <f>IF(U2123=0,0,IF(T2123="MXN",1/HLOOKUP(YEAR(S2123)+(MONTH(S2123)/100),TC!$5:$37,DAY(S2123)+2,FALSE),VLOOKUP(T2123,Equivalencia!$1:$23,((MAX(Equivalencia!$3:$3)-YEAR(S2123))*14)+MONTH(S2123)+2,FALSE)))</f>
        <v>0</v>
      </c>
      <c r="W2123" s="178">
        <f t="shared" si="209"/>
        <v>0</v>
      </c>
      <c r="X2123" s="481">
        <f t="shared" si="205"/>
        <v>0</v>
      </c>
      <c r="Y2123" s="179"/>
      <c r="Z2123" s="466">
        <f t="shared" si="206"/>
        <v>0</v>
      </c>
      <c r="AA2123" s="473">
        <f t="shared" si="207"/>
        <v>0</v>
      </c>
      <c r="AB2123" s="339">
        <f t="shared" si="208"/>
        <v>0</v>
      </c>
    </row>
    <row r="2124" spans="2:28" ht="20.100000000000001" customHeight="1">
      <c r="B2124" s="172"/>
      <c r="C2124" s="174"/>
      <c r="D2124" s="181"/>
      <c r="E2124" s="173"/>
      <c r="F2124" s="176"/>
      <c r="G2124" s="175">
        <f t="shared" si="210"/>
        <v>0</v>
      </c>
      <c r="H2124" s="175">
        <f t="shared" si="203"/>
        <v>0</v>
      </c>
      <c r="I2124" s="177">
        <f>IF(G2124=0,0,IF(E2124="MXN",1/HLOOKUP(YEAR(C2124)+(MONTH(C2124)/100),TC!$5:$37,DAY(C2124)+2,FALSE),VLOOKUP(E2124,Equivalencia!$5:$23,((MAX(Equivalencia!$3:$3)-YEAR(C2124))*14)+MONTH(C2124)+2,FALSE)))</f>
        <v>0</v>
      </c>
      <c r="J2124" s="178">
        <f t="shared" si="211"/>
        <v>0</v>
      </c>
      <c r="K2124" s="462">
        <f>IF(C2124=0,0,VLOOKUP(YEAR(C2124),INPC!$B$4:$O$29,MONTH(C2124)+1))</f>
        <v>0</v>
      </c>
      <c r="L2124" s="462">
        <f>IF(S2124=0,0,VLOOKUP(YEAR(S2124),INPC!$B$4:$O$29,MONTH(S2124)+1))</f>
        <v>0</v>
      </c>
      <c r="M2124" s="463">
        <f t="shared" si="204"/>
        <v>0</v>
      </c>
      <c r="N2124" s="465">
        <f t="shared" si="212"/>
        <v>0</v>
      </c>
      <c r="O2124" s="179"/>
      <c r="P2124" s="180"/>
      <c r="Q2124" s="173"/>
      <c r="R2124" s="173"/>
      <c r="S2124" s="174"/>
      <c r="T2124" s="173"/>
      <c r="U2124" s="182"/>
      <c r="V2124" s="177">
        <f>IF(U2124=0,0,IF(T2124="MXN",1/HLOOKUP(YEAR(S2124)+(MONTH(S2124)/100),TC!$5:$37,DAY(S2124)+2,FALSE),VLOOKUP(T2124,Equivalencia!$1:$23,((MAX(Equivalencia!$3:$3)-YEAR(S2124))*14)+MONTH(S2124)+2,FALSE)))</f>
        <v>0</v>
      </c>
      <c r="W2124" s="178">
        <f t="shared" si="209"/>
        <v>0</v>
      </c>
      <c r="X2124" s="481">
        <f t="shared" si="205"/>
        <v>0</v>
      </c>
      <c r="Y2124" s="179"/>
      <c r="Z2124" s="466">
        <f t="shared" si="206"/>
        <v>0</v>
      </c>
      <c r="AA2124" s="473">
        <f t="shared" si="207"/>
        <v>0</v>
      </c>
      <c r="AB2124" s="339">
        <f t="shared" si="208"/>
        <v>0</v>
      </c>
    </row>
    <row r="2125" spans="2:28" ht="20.100000000000001" customHeight="1">
      <c r="B2125" s="172"/>
      <c r="C2125" s="174"/>
      <c r="D2125" s="181"/>
      <c r="E2125" s="173"/>
      <c r="F2125" s="176"/>
      <c r="G2125" s="175">
        <f t="shared" si="210"/>
        <v>0</v>
      </c>
      <c r="H2125" s="175">
        <f t="shared" si="203"/>
        <v>0</v>
      </c>
      <c r="I2125" s="177">
        <f>IF(G2125=0,0,IF(E2125="MXN",1/HLOOKUP(YEAR(C2125)+(MONTH(C2125)/100),TC!$5:$37,DAY(C2125)+2,FALSE),VLOOKUP(E2125,Equivalencia!$5:$23,((MAX(Equivalencia!$3:$3)-YEAR(C2125))*14)+MONTH(C2125)+2,FALSE)))</f>
        <v>0</v>
      </c>
      <c r="J2125" s="178">
        <f t="shared" si="211"/>
        <v>0</v>
      </c>
      <c r="K2125" s="462">
        <f>IF(C2125=0,0,VLOOKUP(YEAR(C2125),INPC!$B$4:$O$29,MONTH(C2125)+1))</f>
        <v>0</v>
      </c>
      <c r="L2125" s="462">
        <f>IF(S2125=0,0,VLOOKUP(YEAR(S2125),INPC!$B$4:$O$29,MONTH(S2125)+1))</f>
        <v>0</v>
      </c>
      <c r="M2125" s="463">
        <f t="shared" si="204"/>
        <v>0</v>
      </c>
      <c r="N2125" s="465">
        <f t="shared" si="212"/>
        <v>0</v>
      </c>
      <c r="O2125" s="179"/>
      <c r="P2125" s="180"/>
      <c r="Q2125" s="173"/>
      <c r="R2125" s="173"/>
      <c r="S2125" s="174"/>
      <c r="T2125" s="173"/>
      <c r="U2125" s="182"/>
      <c r="V2125" s="177">
        <f>IF(U2125=0,0,IF(T2125="MXN",1/HLOOKUP(YEAR(S2125)+(MONTH(S2125)/100),TC!$5:$37,DAY(S2125)+2,FALSE),VLOOKUP(T2125,Equivalencia!$1:$23,((MAX(Equivalencia!$3:$3)-YEAR(S2125))*14)+MONTH(S2125)+2,FALSE)))</f>
        <v>0</v>
      </c>
      <c r="W2125" s="178">
        <f t="shared" si="209"/>
        <v>0</v>
      </c>
      <c r="X2125" s="481">
        <f t="shared" si="205"/>
        <v>0</v>
      </c>
      <c r="Y2125" s="179"/>
      <c r="Z2125" s="466">
        <f t="shared" si="206"/>
        <v>0</v>
      </c>
      <c r="AA2125" s="473">
        <f t="shared" si="207"/>
        <v>0</v>
      </c>
      <c r="AB2125" s="339">
        <f t="shared" si="208"/>
        <v>0</v>
      </c>
    </row>
    <row r="2126" spans="2:28" ht="20.100000000000001" customHeight="1">
      <c r="B2126" s="172"/>
      <c r="C2126" s="174"/>
      <c r="D2126" s="181"/>
      <c r="E2126" s="173"/>
      <c r="F2126" s="176"/>
      <c r="G2126" s="175">
        <f t="shared" si="210"/>
        <v>0</v>
      </c>
      <c r="H2126" s="175">
        <f t="shared" si="203"/>
        <v>0</v>
      </c>
      <c r="I2126" s="177">
        <f>IF(G2126=0,0,IF(E2126="MXN",1/HLOOKUP(YEAR(C2126)+(MONTH(C2126)/100),TC!$5:$37,DAY(C2126)+2,FALSE),VLOOKUP(E2126,Equivalencia!$5:$23,((MAX(Equivalencia!$3:$3)-YEAR(C2126))*14)+MONTH(C2126)+2,FALSE)))</f>
        <v>0</v>
      </c>
      <c r="J2126" s="178">
        <f t="shared" si="211"/>
        <v>0</v>
      </c>
      <c r="K2126" s="462">
        <f>IF(C2126=0,0,VLOOKUP(YEAR(C2126),INPC!$B$4:$O$29,MONTH(C2126)+1))</f>
        <v>0</v>
      </c>
      <c r="L2126" s="462">
        <f>IF(S2126=0,0,VLOOKUP(YEAR(S2126),INPC!$B$4:$O$29,MONTH(S2126)+1))</f>
        <v>0</v>
      </c>
      <c r="M2126" s="463">
        <f t="shared" si="204"/>
        <v>0</v>
      </c>
      <c r="N2126" s="465">
        <f t="shared" si="212"/>
        <v>0</v>
      </c>
      <c r="O2126" s="179"/>
      <c r="P2126" s="180"/>
      <c r="Q2126" s="173"/>
      <c r="R2126" s="173"/>
      <c r="S2126" s="174"/>
      <c r="T2126" s="173"/>
      <c r="U2126" s="182"/>
      <c r="V2126" s="177">
        <f>IF(U2126=0,0,IF(T2126="MXN",1/HLOOKUP(YEAR(S2126)+(MONTH(S2126)/100),TC!$5:$37,DAY(S2126)+2,FALSE),VLOOKUP(T2126,Equivalencia!$1:$23,((MAX(Equivalencia!$3:$3)-YEAR(S2126))*14)+MONTH(S2126)+2,FALSE)))</f>
        <v>0</v>
      </c>
      <c r="W2126" s="178">
        <f t="shared" si="209"/>
        <v>0</v>
      </c>
      <c r="X2126" s="481">
        <f t="shared" si="205"/>
        <v>0</v>
      </c>
      <c r="Y2126" s="179"/>
      <c r="Z2126" s="466">
        <f t="shared" si="206"/>
        <v>0</v>
      </c>
      <c r="AA2126" s="473">
        <f t="shared" si="207"/>
        <v>0</v>
      </c>
      <c r="AB2126" s="339">
        <f t="shared" si="208"/>
        <v>0</v>
      </c>
    </row>
    <row r="2127" spans="2:28" ht="20.100000000000001" customHeight="1">
      <c r="B2127" s="172"/>
      <c r="C2127" s="174"/>
      <c r="D2127" s="181"/>
      <c r="E2127" s="173"/>
      <c r="F2127" s="176"/>
      <c r="G2127" s="175">
        <f t="shared" si="210"/>
        <v>0</v>
      </c>
      <c r="H2127" s="175">
        <f t="shared" si="203"/>
        <v>0</v>
      </c>
      <c r="I2127" s="177">
        <f>IF(G2127=0,0,IF(E2127="MXN",1/HLOOKUP(YEAR(C2127)+(MONTH(C2127)/100),TC!$5:$37,DAY(C2127)+2,FALSE),VLOOKUP(E2127,Equivalencia!$5:$23,((MAX(Equivalencia!$3:$3)-YEAR(C2127))*14)+MONTH(C2127)+2,FALSE)))</f>
        <v>0</v>
      </c>
      <c r="J2127" s="178">
        <f t="shared" si="211"/>
        <v>0</v>
      </c>
      <c r="K2127" s="462">
        <f>IF(C2127=0,0,VLOOKUP(YEAR(C2127),INPC!$B$4:$O$29,MONTH(C2127)+1))</f>
        <v>0</v>
      </c>
      <c r="L2127" s="462">
        <f>IF(S2127=0,0,VLOOKUP(YEAR(S2127),INPC!$B$4:$O$29,MONTH(S2127)+1))</f>
        <v>0</v>
      </c>
      <c r="M2127" s="463">
        <f t="shared" si="204"/>
        <v>0</v>
      </c>
      <c r="N2127" s="465">
        <f t="shared" si="212"/>
        <v>0</v>
      </c>
      <c r="O2127" s="179"/>
      <c r="P2127" s="180"/>
      <c r="Q2127" s="173"/>
      <c r="R2127" s="173"/>
      <c r="S2127" s="174"/>
      <c r="T2127" s="173"/>
      <c r="U2127" s="182"/>
      <c r="V2127" s="177">
        <f>IF(U2127=0,0,IF(T2127="MXN",1/HLOOKUP(YEAR(S2127)+(MONTH(S2127)/100),TC!$5:$37,DAY(S2127)+2,FALSE),VLOOKUP(T2127,Equivalencia!$1:$23,((MAX(Equivalencia!$3:$3)-YEAR(S2127))*14)+MONTH(S2127)+2,FALSE)))</f>
        <v>0</v>
      </c>
      <c r="W2127" s="178">
        <f t="shared" si="209"/>
        <v>0</v>
      </c>
      <c r="X2127" s="481">
        <f t="shared" si="205"/>
        <v>0</v>
      </c>
      <c r="Y2127" s="179"/>
      <c r="Z2127" s="466">
        <f t="shared" si="206"/>
        <v>0</v>
      </c>
      <c r="AA2127" s="473">
        <f t="shared" si="207"/>
        <v>0</v>
      </c>
      <c r="AB2127" s="339">
        <f t="shared" si="208"/>
        <v>0</v>
      </c>
    </row>
    <row r="2128" spans="2:28" ht="20.100000000000001" customHeight="1">
      <c r="B2128" s="172"/>
      <c r="C2128" s="174"/>
      <c r="D2128" s="181"/>
      <c r="E2128" s="173"/>
      <c r="F2128" s="176"/>
      <c r="G2128" s="175">
        <f t="shared" si="210"/>
        <v>0</v>
      </c>
      <c r="H2128" s="175">
        <f t="shared" si="203"/>
        <v>0</v>
      </c>
      <c r="I2128" s="177">
        <f>IF(G2128=0,0,IF(E2128="MXN",1/HLOOKUP(YEAR(C2128)+(MONTH(C2128)/100),TC!$5:$37,DAY(C2128)+2,FALSE),VLOOKUP(E2128,Equivalencia!$5:$23,((MAX(Equivalencia!$3:$3)-YEAR(C2128))*14)+MONTH(C2128)+2,FALSE)))</f>
        <v>0</v>
      </c>
      <c r="J2128" s="178">
        <f t="shared" si="211"/>
        <v>0</v>
      </c>
      <c r="K2128" s="462">
        <f>IF(C2128=0,0,VLOOKUP(YEAR(C2128),INPC!$B$4:$O$29,MONTH(C2128)+1))</f>
        <v>0</v>
      </c>
      <c r="L2128" s="462">
        <f>IF(S2128=0,0,VLOOKUP(YEAR(S2128),INPC!$B$4:$O$29,MONTH(S2128)+1))</f>
        <v>0</v>
      </c>
      <c r="M2128" s="463">
        <f t="shared" si="204"/>
        <v>0</v>
      </c>
      <c r="N2128" s="465">
        <f t="shared" si="212"/>
        <v>0</v>
      </c>
      <c r="O2128" s="179"/>
      <c r="P2128" s="180"/>
      <c r="Q2128" s="173"/>
      <c r="R2128" s="173"/>
      <c r="S2128" s="174"/>
      <c r="T2128" s="173"/>
      <c r="U2128" s="182"/>
      <c r="V2128" s="177">
        <f>IF(U2128=0,0,IF(T2128="MXN",1/HLOOKUP(YEAR(S2128)+(MONTH(S2128)/100),TC!$5:$37,DAY(S2128)+2,FALSE),VLOOKUP(T2128,Equivalencia!$1:$23,((MAX(Equivalencia!$3:$3)-YEAR(S2128))*14)+MONTH(S2128)+2,FALSE)))</f>
        <v>0</v>
      </c>
      <c r="W2128" s="178">
        <f t="shared" si="209"/>
        <v>0</v>
      </c>
      <c r="X2128" s="481">
        <f t="shared" si="205"/>
        <v>0</v>
      </c>
      <c r="Y2128" s="179"/>
      <c r="Z2128" s="466">
        <f t="shared" si="206"/>
        <v>0</v>
      </c>
      <c r="AA2128" s="473">
        <f t="shared" si="207"/>
        <v>0</v>
      </c>
      <c r="AB2128" s="339">
        <f t="shared" si="208"/>
        <v>0</v>
      </c>
    </row>
    <row r="2129" spans="2:28" ht="20.100000000000001" customHeight="1">
      <c r="B2129" s="172"/>
      <c r="C2129" s="174"/>
      <c r="D2129" s="181"/>
      <c r="E2129" s="173"/>
      <c r="F2129" s="176"/>
      <c r="G2129" s="175">
        <f t="shared" si="210"/>
        <v>0</v>
      </c>
      <c r="H2129" s="175">
        <f t="shared" si="203"/>
        <v>0</v>
      </c>
      <c r="I2129" s="177">
        <f>IF(G2129=0,0,IF(E2129="MXN",1/HLOOKUP(YEAR(C2129)+(MONTH(C2129)/100),TC!$5:$37,DAY(C2129)+2,FALSE),VLOOKUP(E2129,Equivalencia!$5:$23,((MAX(Equivalencia!$3:$3)-YEAR(C2129))*14)+MONTH(C2129)+2,FALSE)))</f>
        <v>0</v>
      </c>
      <c r="J2129" s="178">
        <f t="shared" si="211"/>
        <v>0</v>
      </c>
      <c r="K2129" s="462">
        <f>IF(C2129=0,0,VLOOKUP(YEAR(C2129),INPC!$B$4:$O$29,MONTH(C2129)+1))</f>
        <v>0</v>
      </c>
      <c r="L2129" s="462">
        <f>IF(S2129=0,0,VLOOKUP(YEAR(S2129),INPC!$B$4:$O$29,MONTH(S2129)+1))</f>
        <v>0</v>
      </c>
      <c r="M2129" s="463">
        <f t="shared" si="204"/>
        <v>0</v>
      </c>
      <c r="N2129" s="465">
        <f t="shared" si="212"/>
        <v>0</v>
      </c>
      <c r="O2129" s="179"/>
      <c r="P2129" s="180"/>
      <c r="Q2129" s="173"/>
      <c r="R2129" s="173"/>
      <c r="S2129" s="174"/>
      <c r="T2129" s="173"/>
      <c r="U2129" s="182"/>
      <c r="V2129" s="177">
        <f>IF(U2129=0,0,IF(T2129="MXN",1/HLOOKUP(YEAR(S2129)+(MONTH(S2129)/100),TC!$5:$37,DAY(S2129)+2,FALSE),VLOOKUP(T2129,Equivalencia!$1:$23,((MAX(Equivalencia!$3:$3)-YEAR(S2129))*14)+MONTH(S2129)+2,FALSE)))</f>
        <v>0</v>
      </c>
      <c r="W2129" s="178">
        <f t="shared" si="209"/>
        <v>0</v>
      </c>
      <c r="X2129" s="481">
        <f t="shared" si="205"/>
        <v>0</v>
      </c>
      <c r="Y2129" s="179"/>
      <c r="Z2129" s="466">
        <f t="shared" si="206"/>
        <v>0</v>
      </c>
      <c r="AA2129" s="473">
        <f t="shared" si="207"/>
        <v>0</v>
      </c>
      <c r="AB2129" s="339">
        <f t="shared" si="208"/>
        <v>0</v>
      </c>
    </row>
    <row r="2130" spans="2:28" ht="20.100000000000001" customHeight="1">
      <c r="B2130" s="172"/>
      <c r="C2130" s="174"/>
      <c r="D2130" s="181"/>
      <c r="E2130" s="173"/>
      <c r="F2130" s="176"/>
      <c r="G2130" s="175">
        <f t="shared" si="210"/>
        <v>0</v>
      </c>
      <c r="H2130" s="175">
        <f t="shared" si="203"/>
        <v>0</v>
      </c>
      <c r="I2130" s="177">
        <f>IF(G2130=0,0,IF(E2130="MXN",1/HLOOKUP(YEAR(C2130)+(MONTH(C2130)/100),TC!$5:$37,DAY(C2130)+2,FALSE),VLOOKUP(E2130,Equivalencia!$5:$23,((MAX(Equivalencia!$3:$3)-YEAR(C2130))*14)+MONTH(C2130)+2,FALSE)))</f>
        <v>0</v>
      </c>
      <c r="J2130" s="178">
        <f t="shared" si="211"/>
        <v>0</v>
      </c>
      <c r="K2130" s="462">
        <f>IF(C2130=0,0,VLOOKUP(YEAR(C2130),INPC!$B$4:$O$29,MONTH(C2130)+1))</f>
        <v>0</v>
      </c>
      <c r="L2130" s="462">
        <f>IF(S2130=0,0,VLOOKUP(YEAR(S2130),INPC!$B$4:$O$29,MONTH(S2130)+1))</f>
        <v>0</v>
      </c>
      <c r="M2130" s="463">
        <f t="shared" si="204"/>
        <v>0</v>
      </c>
      <c r="N2130" s="465">
        <f t="shared" si="212"/>
        <v>0</v>
      </c>
      <c r="O2130" s="179"/>
      <c r="P2130" s="180"/>
      <c r="Q2130" s="173"/>
      <c r="R2130" s="173"/>
      <c r="S2130" s="174"/>
      <c r="T2130" s="173"/>
      <c r="U2130" s="182"/>
      <c r="V2130" s="177">
        <f>IF(U2130=0,0,IF(T2130="MXN",1/HLOOKUP(YEAR(S2130)+(MONTH(S2130)/100),TC!$5:$37,DAY(S2130)+2,FALSE),VLOOKUP(T2130,Equivalencia!$1:$23,((MAX(Equivalencia!$3:$3)-YEAR(S2130))*14)+MONTH(S2130)+2,FALSE)))</f>
        <v>0</v>
      </c>
      <c r="W2130" s="178">
        <f t="shared" si="209"/>
        <v>0</v>
      </c>
      <c r="X2130" s="481">
        <f t="shared" si="205"/>
        <v>0</v>
      </c>
      <c r="Y2130" s="179"/>
      <c r="Z2130" s="466">
        <f t="shared" si="206"/>
        <v>0</v>
      </c>
      <c r="AA2130" s="473">
        <f t="shared" si="207"/>
        <v>0</v>
      </c>
      <c r="AB2130" s="339">
        <f t="shared" si="208"/>
        <v>0</v>
      </c>
    </row>
    <row r="2131" spans="2:28" ht="20.100000000000001" customHeight="1">
      <c r="B2131" s="172"/>
      <c r="C2131" s="174"/>
      <c r="D2131" s="181"/>
      <c r="E2131" s="173"/>
      <c r="F2131" s="176"/>
      <c r="G2131" s="175">
        <f t="shared" si="210"/>
        <v>0</v>
      </c>
      <c r="H2131" s="175">
        <f t="shared" si="203"/>
        <v>0</v>
      </c>
      <c r="I2131" s="177">
        <f>IF(G2131=0,0,IF(E2131="MXN",1/HLOOKUP(YEAR(C2131)+(MONTH(C2131)/100),TC!$5:$37,DAY(C2131)+2,FALSE),VLOOKUP(E2131,Equivalencia!$5:$23,((MAX(Equivalencia!$3:$3)-YEAR(C2131))*14)+MONTH(C2131)+2,FALSE)))</f>
        <v>0</v>
      </c>
      <c r="J2131" s="178">
        <f t="shared" si="211"/>
        <v>0</v>
      </c>
      <c r="K2131" s="462">
        <f>IF(C2131=0,0,VLOOKUP(YEAR(C2131),INPC!$B$4:$O$29,MONTH(C2131)+1))</f>
        <v>0</v>
      </c>
      <c r="L2131" s="462">
        <f>IF(S2131=0,0,VLOOKUP(YEAR(S2131),INPC!$B$4:$O$29,MONTH(S2131)+1))</f>
        <v>0</v>
      </c>
      <c r="M2131" s="463">
        <f t="shared" si="204"/>
        <v>0</v>
      </c>
      <c r="N2131" s="465">
        <f t="shared" si="212"/>
        <v>0</v>
      </c>
      <c r="O2131" s="179"/>
      <c r="P2131" s="180"/>
      <c r="Q2131" s="173"/>
      <c r="R2131" s="173"/>
      <c r="S2131" s="174"/>
      <c r="T2131" s="173"/>
      <c r="U2131" s="182"/>
      <c r="V2131" s="177">
        <f>IF(U2131=0,0,IF(T2131="MXN",1/HLOOKUP(YEAR(S2131)+(MONTH(S2131)/100),TC!$5:$37,DAY(S2131)+2,FALSE),VLOOKUP(T2131,Equivalencia!$1:$23,((MAX(Equivalencia!$3:$3)-YEAR(S2131))*14)+MONTH(S2131)+2,FALSE)))</f>
        <v>0</v>
      </c>
      <c r="W2131" s="178">
        <f t="shared" si="209"/>
        <v>0</v>
      </c>
      <c r="X2131" s="481">
        <f t="shared" si="205"/>
        <v>0</v>
      </c>
      <c r="Y2131" s="179"/>
      <c r="Z2131" s="466">
        <f t="shared" si="206"/>
        <v>0</v>
      </c>
      <c r="AA2131" s="473">
        <f t="shared" si="207"/>
        <v>0</v>
      </c>
      <c r="AB2131" s="339">
        <f t="shared" si="208"/>
        <v>0</v>
      </c>
    </row>
    <row r="2132" spans="2:28" ht="20.100000000000001" customHeight="1">
      <c r="B2132" s="172"/>
      <c r="C2132" s="174"/>
      <c r="D2132" s="181"/>
      <c r="E2132" s="173"/>
      <c r="F2132" s="176"/>
      <c r="G2132" s="175">
        <f t="shared" si="210"/>
        <v>0</v>
      </c>
      <c r="H2132" s="175">
        <f t="shared" si="203"/>
        <v>0</v>
      </c>
      <c r="I2132" s="177">
        <f>IF(G2132=0,0,IF(E2132="MXN",1/HLOOKUP(YEAR(C2132)+(MONTH(C2132)/100),TC!$5:$37,DAY(C2132)+2,FALSE),VLOOKUP(E2132,Equivalencia!$5:$23,((MAX(Equivalencia!$3:$3)-YEAR(C2132))*14)+MONTH(C2132)+2,FALSE)))</f>
        <v>0</v>
      </c>
      <c r="J2132" s="178">
        <f t="shared" si="211"/>
        <v>0</v>
      </c>
      <c r="K2132" s="462">
        <f>IF(C2132=0,0,VLOOKUP(YEAR(C2132),INPC!$B$4:$O$29,MONTH(C2132)+1))</f>
        <v>0</v>
      </c>
      <c r="L2132" s="462">
        <f>IF(S2132=0,0,VLOOKUP(YEAR(S2132),INPC!$B$4:$O$29,MONTH(S2132)+1))</f>
        <v>0</v>
      </c>
      <c r="M2132" s="463">
        <f t="shared" si="204"/>
        <v>0</v>
      </c>
      <c r="N2132" s="465">
        <f t="shared" si="212"/>
        <v>0</v>
      </c>
      <c r="O2132" s="179"/>
      <c r="P2132" s="180"/>
      <c r="Q2132" s="173"/>
      <c r="R2132" s="173"/>
      <c r="S2132" s="174"/>
      <c r="T2132" s="173"/>
      <c r="U2132" s="182"/>
      <c r="V2132" s="177">
        <f>IF(U2132=0,0,IF(T2132="MXN",1/HLOOKUP(YEAR(S2132)+(MONTH(S2132)/100),TC!$5:$37,DAY(S2132)+2,FALSE),VLOOKUP(T2132,Equivalencia!$1:$23,((MAX(Equivalencia!$3:$3)-YEAR(S2132))*14)+MONTH(S2132)+2,FALSE)))</f>
        <v>0</v>
      </c>
      <c r="W2132" s="178">
        <f t="shared" si="209"/>
        <v>0</v>
      </c>
      <c r="X2132" s="481">
        <f t="shared" si="205"/>
        <v>0</v>
      </c>
      <c r="Y2132" s="179"/>
      <c r="Z2132" s="466">
        <f t="shared" si="206"/>
        <v>0</v>
      </c>
      <c r="AA2132" s="473">
        <f t="shared" si="207"/>
        <v>0</v>
      </c>
      <c r="AB2132" s="339">
        <f t="shared" si="208"/>
        <v>0</v>
      </c>
    </row>
    <row r="2133" spans="2:28" ht="20.100000000000001" customHeight="1">
      <c r="B2133" s="172"/>
      <c r="C2133" s="174"/>
      <c r="D2133" s="181"/>
      <c r="E2133" s="173"/>
      <c r="F2133" s="176"/>
      <c r="G2133" s="175">
        <f t="shared" si="210"/>
        <v>0</v>
      </c>
      <c r="H2133" s="175">
        <f t="shared" si="203"/>
        <v>0</v>
      </c>
      <c r="I2133" s="177">
        <f>IF(G2133=0,0,IF(E2133="MXN",1/HLOOKUP(YEAR(C2133)+(MONTH(C2133)/100),TC!$5:$37,DAY(C2133)+2,FALSE),VLOOKUP(E2133,Equivalencia!$5:$23,((MAX(Equivalencia!$3:$3)-YEAR(C2133))*14)+MONTH(C2133)+2,FALSE)))</f>
        <v>0</v>
      </c>
      <c r="J2133" s="178">
        <f t="shared" si="211"/>
        <v>0</v>
      </c>
      <c r="K2133" s="462">
        <f>IF(C2133=0,0,VLOOKUP(YEAR(C2133),INPC!$B$4:$O$29,MONTH(C2133)+1))</f>
        <v>0</v>
      </c>
      <c r="L2133" s="462">
        <f>IF(S2133=0,0,VLOOKUP(YEAR(S2133),INPC!$B$4:$O$29,MONTH(S2133)+1))</f>
        <v>0</v>
      </c>
      <c r="M2133" s="463">
        <f t="shared" si="204"/>
        <v>0</v>
      </c>
      <c r="N2133" s="465">
        <f t="shared" si="212"/>
        <v>0</v>
      </c>
      <c r="O2133" s="179"/>
      <c r="P2133" s="180"/>
      <c r="Q2133" s="173"/>
      <c r="R2133" s="173"/>
      <c r="S2133" s="174"/>
      <c r="T2133" s="173"/>
      <c r="U2133" s="182"/>
      <c r="V2133" s="177">
        <f>IF(U2133=0,0,IF(T2133="MXN",1/HLOOKUP(YEAR(S2133)+(MONTH(S2133)/100),TC!$5:$37,DAY(S2133)+2,FALSE),VLOOKUP(T2133,Equivalencia!$1:$23,((MAX(Equivalencia!$3:$3)-YEAR(S2133))*14)+MONTH(S2133)+2,FALSE)))</f>
        <v>0</v>
      </c>
      <c r="W2133" s="178">
        <f t="shared" si="209"/>
        <v>0</v>
      </c>
      <c r="X2133" s="481">
        <f t="shared" si="205"/>
        <v>0</v>
      </c>
      <c r="Y2133" s="179"/>
      <c r="Z2133" s="466">
        <f t="shared" si="206"/>
        <v>0</v>
      </c>
      <c r="AA2133" s="473">
        <f t="shared" si="207"/>
        <v>0</v>
      </c>
      <c r="AB2133" s="339">
        <f t="shared" si="208"/>
        <v>0</v>
      </c>
    </row>
    <row r="2134" spans="2:28" ht="20.100000000000001" customHeight="1">
      <c r="B2134" s="172"/>
      <c r="C2134" s="174"/>
      <c r="D2134" s="181"/>
      <c r="E2134" s="173"/>
      <c r="F2134" s="176"/>
      <c r="G2134" s="175">
        <f t="shared" si="210"/>
        <v>0</v>
      </c>
      <c r="H2134" s="175">
        <f t="shared" si="203"/>
        <v>0</v>
      </c>
      <c r="I2134" s="177">
        <f>IF(G2134=0,0,IF(E2134="MXN",1/HLOOKUP(YEAR(C2134)+(MONTH(C2134)/100),TC!$5:$37,DAY(C2134)+2,FALSE),VLOOKUP(E2134,Equivalencia!$5:$23,((MAX(Equivalencia!$3:$3)-YEAR(C2134))*14)+MONTH(C2134)+2,FALSE)))</f>
        <v>0</v>
      </c>
      <c r="J2134" s="178">
        <f t="shared" si="211"/>
        <v>0</v>
      </c>
      <c r="K2134" s="462">
        <f>IF(C2134=0,0,VLOOKUP(YEAR(C2134),INPC!$B$4:$O$29,MONTH(C2134)+1))</f>
        <v>0</v>
      </c>
      <c r="L2134" s="462">
        <f>IF(S2134=0,0,VLOOKUP(YEAR(S2134),INPC!$B$4:$O$29,MONTH(S2134)+1))</f>
        <v>0</v>
      </c>
      <c r="M2134" s="463">
        <f t="shared" si="204"/>
        <v>0</v>
      </c>
      <c r="N2134" s="465">
        <f t="shared" si="212"/>
        <v>0</v>
      </c>
      <c r="O2134" s="179"/>
      <c r="P2134" s="180"/>
      <c r="Q2134" s="173"/>
      <c r="R2134" s="173"/>
      <c r="S2134" s="174"/>
      <c r="T2134" s="173"/>
      <c r="U2134" s="182"/>
      <c r="V2134" s="177">
        <f>IF(U2134=0,0,IF(T2134="MXN",1/HLOOKUP(YEAR(S2134)+(MONTH(S2134)/100),TC!$5:$37,DAY(S2134)+2,FALSE),VLOOKUP(T2134,Equivalencia!$1:$23,((MAX(Equivalencia!$3:$3)-YEAR(S2134))*14)+MONTH(S2134)+2,FALSE)))</f>
        <v>0</v>
      </c>
      <c r="W2134" s="178">
        <f t="shared" si="209"/>
        <v>0</v>
      </c>
      <c r="X2134" s="481">
        <f t="shared" si="205"/>
        <v>0</v>
      </c>
      <c r="Y2134" s="179"/>
      <c r="Z2134" s="466">
        <f t="shared" si="206"/>
        <v>0</v>
      </c>
      <c r="AA2134" s="473">
        <f t="shared" si="207"/>
        <v>0</v>
      </c>
      <c r="AB2134" s="339">
        <f t="shared" si="208"/>
        <v>0</v>
      </c>
    </row>
    <row r="2135" spans="2:28" ht="20.100000000000001" customHeight="1">
      <c r="B2135" s="172"/>
      <c r="C2135" s="174"/>
      <c r="D2135" s="181"/>
      <c r="E2135" s="173"/>
      <c r="F2135" s="176"/>
      <c r="G2135" s="175">
        <f t="shared" si="210"/>
        <v>0</v>
      </c>
      <c r="H2135" s="175">
        <f t="shared" si="203"/>
        <v>0</v>
      </c>
      <c r="I2135" s="177">
        <f>IF(G2135=0,0,IF(E2135="MXN",1/HLOOKUP(YEAR(C2135)+(MONTH(C2135)/100),TC!$5:$37,DAY(C2135)+2,FALSE),VLOOKUP(E2135,Equivalencia!$5:$23,((MAX(Equivalencia!$3:$3)-YEAR(C2135))*14)+MONTH(C2135)+2,FALSE)))</f>
        <v>0</v>
      </c>
      <c r="J2135" s="178">
        <f t="shared" si="211"/>
        <v>0</v>
      </c>
      <c r="K2135" s="462">
        <f>IF(C2135=0,0,VLOOKUP(YEAR(C2135),INPC!$B$4:$O$29,MONTH(C2135)+1))</f>
        <v>0</v>
      </c>
      <c r="L2135" s="462">
        <f>IF(S2135=0,0,VLOOKUP(YEAR(S2135),INPC!$B$4:$O$29,MONTH(S2135)+1))</f>
        <v>0</v>
      </c>
      <c r="M2135" s="463">
        <f t="shared" si="204"/>
        <v>0</v>
      </c>
      <c r="N2135" s="465">
        <f t="shared" si="212"/>
        <v>0</v>
      </c>
      <c r="O2135" s="179"/>
      <c r="P2135" s="180"/>
      <c r="Q2135" s="173"/>
      <c r="R2135" s="173"/>
      <c r="S2135" s="174"/>
      <c r="T2135" s="173"/>
      <c r="U2135" s="182"/>
      <c r="V2135" s="177">
        <f>IF(U2135=0,0,IF(T2135="MXN",1/HLOOKUP(YEAR(S2135)+(MONTH(S2135)/100),TC!$5:$37,DAY(S2135)+2,FALSE),VLOOKUP(T2135,Equivalencia!$1:$23,((MAX(Equivalencia!$3:$3)-YEAR(S2135))*14)+MONTH(S2135)+2,FALSE)))</f>
        <v>0</v>
      </c>
      <c r="W2135" s="178">
        <f t="shared" si="209"/>
        <v>0</v>
      </c>
      <c r="X2135" s="481">
        <f t="shared" si="205"/>
        <v>0</v>
      </c>
      <c r="Y2135" s="179"/>
      <c r="Z2135" s="466">
        <f t="shared" si="206"/>
        <v>0</v>
      </c>
      <c r="AA2135" s="473">
        <f t="shared" si="207"/>
        <v>0</v>
      </c>
      <c r="AB2135" s="339">
        <f t="shared" si="208"/>
        <v>0</v>
      </c>
    </row>
    <row r="2136" spans="2:28" ht="20.100000000000001" customHeight="1">
      <c r="B2136" s="172"/>
      <c r="C2136" s="174"/>
      <c r="D2136" s="181"/>
      <c r="E2136" s="173"/>
      <c r="F2136" s="176"/>
      <c r="G2136" s="175">
        <f t="shared" si="210"/>
        <v>0</v>
      </c>
      <c r="H2136" s="175">
        <f t="shared" si="203"/>
        <v>0</v>
      </c>
      <c r="I2136" s="177">
        <f>IF(G2136=0,0,IF(E2136="MXN",1/HLOOKUP(YEAR(C2136)+(MONTH(C2136)/100),TC!$5:$37,DAY(C2136)+2,FALSE),VLOOKUP(E2136,Equivalencia!$5:$23,((MAX(Equivalencia!$3:$3)-YEAR(C2136))*14)+MONTH(C2136)+2,FALSE)))</f>
        <v>0</v>
      </c>
      <c r="J2136" s="178">
        <f t="shared" si="211"/>
        <v>0</v>
      </c>
      <c r="K2136" s="462">
        <f>IF(C2136=0,0,VLOOKUP(YEAR(C2136),INPC!$B$4:$O$29,MONTH(C2136)+1))</f>
        <v>0</v>
      </c>
      <c r="L2136" s="462">
        <f>IF(S2136=0,0,VLOOKUP(YEAR(S2136),INPC!$B$4:$O$29,MONTH(S2136)+1))</f>
        <v>0</v>
      </c>
      <c r="M2136" s="463">
        <f t="shared" si="204"/>
        <v>0</v>
      </c>
      <c r="N2136" s="465">
        <f t="shared" si="212"/>
        <v>0</v>
      </c>
      <c r="O2136" s="179"/>
      <c r="P2136" s="180"/>
      <c r="Q2136" s="173"/>
      <c r="R2136" s="173"/>
      <c r="S2136" s="174"/>
      <c r="T2136" s="173"/>
      <c r="U2136" s="182"/>
      <c r="V2136" s="177">
        <f>IF(U2136=0,0,IF(T2136="MXN",1/HLOOKUP(YEAR(S2136)+(MONTH(S2136)/100),TC!$5:$37,DAY(S2136)+2,FALSE),VLOOKUP(T2136,Equivalencia!$1:$23,((MAX(Equivalencia!$3:$3)-YEAR(S2136))*14)+MONTH(S2136)+2,FALSE)))</f>
        <v>0</v>
      </c>
      <c r="W2136" s="178">
        <f t="shared" si="209"/>
        <v>0</v>
      </c>
      <c r="X2136" s="481">
        <f t="shared" si="205"/>
        <v>0</v>
      </c>
      <c r="Y2136" s="179"/>
      <c r="Z2136" s="466">
        <f t="shared" si="206"/>
        <v>0</v>
      </c>
      <c r="AA2136" s="473">
        <f t="shared" si="207"/>
        <v>0</v>
      </c>
      <c r="AB2136" s="339">
        <f t="shared" si="208"/>
        <v>0</v>
      </c>
    </row>
    <row r="2137" spans="2:28" ht="20.100000000000001" customHeight="1">
      <c r="B2137" s="172"/>
      <c r="C2137" s="174"/>
      <c r="D2137" s="181"/>
      <c r="E2137" s="173"/>
      <c r="F2137" s="176"/>
      <c r="G2137" s="175">
        <f t="shared" si="210"/>
        <v>0</v>
      </c>
      <c r="H2137" s="175">
        <f t="shared" si="203"/>
        <v>0</v>
      </c>
      <c r="I2137" s="177">
        <f>IF(G2137=0,0,IF(E2137="MXN",1/HLOOKUP(YEAR(C2137)+(MONTH(C2137)/100),TC!$5:$37,DAY(C2137)+2,FALSE),VLOOKUP(E2137,Equivalencia!$5:$23,((MAX(Equivalencia!$3:$3)-YEAR(C2137))*14)+MONTH(C2137)+2,FALSE)))</f>
        <v>0</v>
      </c>
      <c r="J2137" s="178">
        <f t="shared" si="211"/>
        <v>0</v>
      </c>
      <c r="K2137" s="462">
        <f>IF(C2137=0,0,VLOOKUP(YEAR(C2137),INPC!$B$4:$O$29,MONTH(C2137)+1))</f>
        <v>0</v>
      </c>
      <c r="L2137" s="462">
        <f>IF(S2137=0,0,VLOOKUP(YEAR(S2137),INPC!$B$4:$O$29,MONTH(S2137)+1))</f>
        <v>0</v>
      </c>
      <c r="M2137" s="463">
        <f t="shared" si="204"/>
        <v>0</v>
      </c>
      <c r="N2137" s="465">
        <f t="shared" si="212"/>
        <v>0</v>
      </c>
      <c r="O2137" s="179"/>
      <c r="P2137" s="180"/>
      <c r="Q2137" s="173"/>
      <c r="R2137" s="173"/>
      <c r="S2137" s="174"/>
      <c r="T2137" s="173"/>
      <c r="U2137" s="182"/>
      <c r="V2137" s="177">
        <f>IF(U2137=0,0,IF(T2137="MXN",1/HLOOKUP(YEAR(S2137)+(MONTH(S2137)/100),TC!$5:$37,DAY(S2137)+2,FALSE),VLOOKUP(T2137,Equivalencia!$1:$23,((MAX(Equivalencia!$3:$3)-YEAR(S2137))*14)+MONTH(S2137)+2,FALSE)))</f>
        <v>0</v>
      </c>
      <c r="W2137" s="178">
        <f t="shared" si="209"/>
        <v>0</v>
      </c>
      <c r="X2137" s="481">
        <f t="shared" si="205"/>
        <v>0</v>
      </c>
      <c r="Y2137" s="179"/>
      <c r="Z2137" s="466">
        <f t="shared" si="206"/>
        <v>0</v>
      </c>
      <c r="AA2137" s="473">
        <f t="shared" si="207"/>
        <v>0</v>
      </c>
      <c r="AB2137" s="339">
        <f t="shared" si="208"/>
        <v>0</v>
      </c>
    </row>
    <row r="2138" spans="2:28" ht="20.100000000000001" customHeight="1">
      <c r="B2138" s="172"/>
      <c r="C2138" s="174"/>
      <c r="D2138" s="181"/>
      <c r="E2138" s="173"/>
      <c r="F2138" s="176"/>
      <c r="G2138" s="175">
        <f t="shared" si="210"/>
        <v>0</v>
      </c>
      <c r="H2138" s="175">
        <f t="shared" si="203"/>
        <v>0</v>
      </c>
      <c r="I2138" s="177">
        <f>IF(G2138=0,0,IF(E2138="MXN",1/HLOOKUP(YEAR(C2138)+(MONTH(C2138)/100),TC!$5:$37,DAY(C2138)+2,FALSE),VLOOKUP(E2138,Equivalencia!$5:$23,((MAX(Equivalencia!$3:$3)-YEAR(C2138))*14)+MONTH(C2138)+2,FALSE)))</f>
        <v>0</v>
      </c>
      <c r="J2138" s="178">
        <f t="shared" si="211"/>
        <v>0</v>
      </c>
      <c r="K2138" s="462">
        <f>IF(C2138=0,0,VLOOKUP(YEAR(C2138),INPC!$B$4:$O$29,MONTH(C2138)+1))</f>
        <v>0</v>
      </c>
      <c r="L2138" s="462">
        <f>IF(S2138=0,0,VLOOKUP(YEAR(S2138),INPC!$B$4:$O$29,MONTH(S2138)+1))</f>
        <v>0</v>
      </c>
      <c r="M2138" s="463">
        <f t="shared" si="204"/>
        <v>0</v>
      </c>
      <c r="N2138" s="465">
        <f t="shared" si="212"/>
        <v>0</v>
      </c>
      <c r="O2138" s="179"/>
      <c r="P2138" s="180"/>
      <c r="Q2138" s="173"/>
      <c r="R2138" s="173"/>
      <c r="S2138" s="174"/>
      <c r="T2138" s="173"/>
      <c r="U2138" s="182"/>
      <c r="V2138" s="177">
        <f>IF(U2138=0,0,IF(T2138="MXN",1/HLOOKUP(YEAR(S2138)+(MONTH(S2138)/100),TC!$5:$37,DAY(S2138)+2,FALSE),VLOOKUP(T2138,Equivalencia!$1:$23,((MAX(Equivalencia!$3:$3)-YEAR(S2138))*14)+MONTH(S2138)+2,FALSE)))</f>
        <v>0</v>
      </c>
      <c r="W2138" s="178">
        <f t="shared" si="209"/>
        <v>0</v>
      </c>
      <c r="X2138" s="481">
        <f t="shared" si="205"/>
        <v>0</v>
      </c>
      <c r="Y2138" s="179"/>
      <c r="Z2138" s="466">
        <f t="shared" si="206"/>
        <v>0</v>
      </c>
      <c r="AA2138" s="473">
        <f t="shared" si="207"/>
        <v>0</v>
      </c>
      <c r="AB2138" s="339">
        <f t="shared" si="208"/>
        <v>0</v>
      </c>
    </row>
    <row r="2139" spans="2:28" ht="20.100000000000001" customHeight="1">
      <c r="B2139" s="172"/>
      <c r="C2139" s="174"/>
      <c r="D2139" s="181"/>
      <c r="E2139" s="173"/>
      <c r="F2139" s="176"/>
      <c r="G2139" s="175">
        <f t="shared" si="210"/>
        <v>0</v>
      </c>
      <c r="H2139" s="175">
        <f t="shared" si="203"/>
        <v>0</v>
      </c>
      <c r="I2139" s="177">
        <f>IF(G2139=0,0,IF(E2139="MXN",1/HLOOKUP(YEAR(C2139)+(MONTH(C2139)/100),TC!$5:$37,DAY(C2139)+2,FALSE),VLOOKUP(E2139,Equivalencia!$5:$23,((MAX(Equivalencia!$3:$3)-YEAR(C2139))*14)+MONTH(C2139)+2,FALSE)))</f>
        <v>0</v>
      </c>
      <c r="J2139" s="178">
        <f t="shared" si="211"/>
        <v>0</v>
      </c>
      <c r="K2139" s="462">
        <f>IF(C2139=0,0,VLOOKUP(YEAR(C2139),INPC!$B$4:$O$29,MONTH(C2139)+1))</f>
        <v>0</v>
      </c>
      <c r="L2139" s="462">
        <f>IF(S2139=0,0,VLOOKUP(YEAR(S2139),INPC!$B$4:$O$29,MONTH(S2139)+1))</f>
        <v>0</v>
      </c>
      <c r="M2139" s="463">
        <f t="shared" si="204"/>
        <v>0</v>
      </c>
      <c r="N2139" s="465">
        <f t="shared" si="212"/>
        <v>0</v>
      </c>
      <c r="O2139" s="179"/>
      <c r="P2139" s="180"/>
      <c r="Q2139" s="173"/>
      <c r="R2139" s="173"/>
      <c r="S2139" s="174"/>
      <c r="T2139" s="173"/>
      <c r="U2139" s="182"/>
      <c r="V2139" s="177">
        <f>IF(U2139=0,0,IF(T2139="MXN",1/HLOOKUP(YEAR(S2139)+(MONTH(S2139)/100),TC!$5:$37,DAY(S2139)+2,FALSE),VLOOKUP(T2139,Equivalencia!$1:$23,((MAX(Equivalencia!$3:$3)-YEAR(S2139))*14)+MONTH(S2139)+2,FALSE)))</f>
        <v>0</v>
      </c>
      <c r="W2139" s="178">
        <f t="shared" si="209"/>
        <v>0</v>
      </c>
      <c r="X2139" s="481">
        <f t="shared" si="205"/>
        <v>0</v>
      </c>
      <c r="Y2139" s="179"/>
      <c r="Z2139" s="466">
        <f t="shared" si="206"/>
        <v>0</v>
      </c>
      <c r="AA2139" s="473">
        <f t="shared" si="207"/>
        <v>0</v>
      </c>
      <c r="AB2139" s="339">
        <f t="shared" si="208"/>
        <v>0</v>
      </c>
    </row>
    <row r="2140" spans="2:28" ht="20.100000000000001" customHeight="1">
      <c r="B2140" s="172"/>
      <c r="C2140" s="174"/>
      <c r="D2140" s="181"/>
      <c r="E2140" s="173"/>
      <c r="F2140" s="176"/>
      <c r="G2140" s="175">
        <f t="shared" si="210"/>
        <v>0</v>
      </c>
      <c r="H2140" s="175">
        <f t="shared" si="203"/>
        <v>0</v>
      </c>
      <c r="I2140" s="177">
        <f>IF(G2140=0,0,IF(E2140="MXN",1/HLOOKUP(YEAR(C2140)+(MONTH(C2140)/100),TC!$5:$37,DAY(C2140)+2,FALSE),VLOOKUP(E2140,Equivalencia!$5:$23,((MAX(Equivalencia!$3:$3)-YEAR(C2140))*14)+MONTH(C2140)+2,FALSE)))</f>
        <v>0</v>
      </c>
      <c r="J2140" s="178">
        <f t="shared" si="211"/>
        <v>0</v>
      </c>
      <c r="K2140" s="462">
        <f>IF(C2140=0,0,VLOOKUP(YEAR(C2140),INPC!$B$4:$O$29,MONTH(C2140)+1))</f>
        <v>0</v>
      </c>
      <c r="L2140" s="462">
        <f>IF(S2140=0,0,VLOOKUP(YEAR(S2140),INPC!$B$4:$O$29,MONTH(S2140)+1))</f>
        <v>0</v>
      </c>
      <c r="M2140" s="463">
        <f t="shared" si="204"/>
        <v>0</v>
      </c>
      <c r="N2140" s="465">
        <f t="shared" si="212"/>
        <v>0</v>
      </c>
      <c r="O2140" s="179"/>
      <c r="P2140" s="180"/>
      <c r="Q2140" s="173"/>
      <c r="R2140" s="173"/>
      <c r="S2140" s="174"/>
      <c r="T2140" s="173"/>
      <c r="U2140" s="182"/>
      <c r="V2140" s="177">
        <f>IF(U2140=0,0,IF(T2140="MXN",1/HLOOKUP(YEAR(S2140)+(MONTH(S2140)/100),TC!$5:$37,DAY(S2140)+2,FALSE),VLOOKUP(T2140,Equivalencia!$1:$23,((MAX(Equivalencia!$3:$3)-YEAR(S2140))*14)+MONTH(S2140)+2,FALSE)))</f>
        <v>0</v>
      </c>
      <c r="W2140" s="178">
        <f t="shared" si="209"/>
        <v>0</v>
      </c>
      <c r="X2140" s="481">
        <f t="shared" si="205"/>
        <v>0</v>
      </c>
      <c r="Y2140" s="179"/>
      <c r="Z2140" s="466">
        <f t="shared" si="206"/>
        <v>0</v>
      </c>
      <c r="AA2140" s="473">
        <f t="shared" si="207"/>
        <v>0</v>
      </c>
      <c r="AB2140" s="339">
        <f t="shared" si="208"/>
        <v>0</v>
      </c>
    </row>
    <row r="2141" spans="2:28" ht="20.100000000000001" customHeight="1">
      <c r="B2141" s="172"/>
      <c r="C2141" s="174"/>
      <c r="D2141" s="181"/>
      <c r="E2141" s="173"/>
      <c r="F2141" s="176"/>
      <c r="G2141" s="175">
        <f t="shared" si="210"/>
        <v>0</v>
      </c>
      <c r="H2141" s="175">
        <f t="shared" si="203"/>
        <v>0</v>
      </c>
      <c r="I2141" s="177">
        <f>IF(G2141=0,0,IF(E2141="MXN",1/HLOOKUP(YEAR(C2141)+(MONTH(C2141)/100),TC!$5:$37,DAY(C2141)+2,FALSE),VLOOKUP(E2141,Equivalencia!$5:$23,((MAX(Equivalencia!$3:$3)-YEAR(C2141))*14)+MONTH(C2141)+2,FALSE)))</f>
        <v>0</v>
      </c>
      <c r="J2141" s="178">
        <f t="shared" si="211"/>
        <v>0</v>
      </c>
      <c r="K2141" s="462">
        <f>IF(C2141=0,0,VLOOKUP(YEAR(C2141),INPC!$B$4:$O$29,MONTH(C2141)+1))</f>
        <v>0</v>
      </c>
      <c r="L2141" s="462">
        <f>IF(S2141=0,0,VLOOKUP(YEAR(S2141),INPC!$B$4:$O$29,MONTH(S2141)+1))</f>
        <v>0</v>
      </c>
      <c r="M2141" s="463">
        <f t="shared" si="204"/>
        <v>0</v>
      </c>
      <c r="N2141" s="465">
        <f t="shared" si="212"/>
        <v>0</v>
      </c>
      <c r="O2141" s="179"/>
      <c r="P2141" s="180"/>
      <c r="Q2141" s="173"/>
      <c r="R2141" s="173"/>
      <c r="S2141" s="174"/>
      <c r="T2141" s="173"/>
      <c r="U2141" s="182"/>
      <c r="V2141" s="177">
        <f>IF(U2141=0,0,IF(T2141="MXN",1/HLOOKUP(YEAR(S2141)+(MONTH(S2141)/100),TC!$5:$37,DAY(S2141)+2,FALSE),VLOOKUP(T2141,Equivalencia!$1:$23,((MAX(Equivalencia!$3:$3)-YEAR(S2141))*14)+MONTH(S2141)+2,FALSE)))</f>
        <v>0</v>
      </c>
      <c r="W2141" s="178">
        <f t="shared" si="209"/>
        <v>0</v>
      </c>
      <c r="X2141" s="481">
        <f t="shared" si="205"/>
        <v>0</v>
      </c>
      <c r="Y2141" s="179"/>
      <c r="Z2141" s="466">
        <f t="shared" si="206"/>
        <v>0</v>
      </c>
      <c r="AA2141" s="473">
        <f t="shared" si="207"/>
        <v>0</v>
      </c>
      <c r="AB2141" s="339">
        <f t="shared" si="208"/>
        <v>0</v>
      </c>
    </row>
    <row r="2142" spans="2:28" ht="20.100000000000001" customHeight="1">
      <c r="B2142" s="172"/>
      <c r="C2142" s="174"/>
      <c r="D2142" s="181"/>
      <c r="E2142" s="173"/>
      <c r="F2142" s="176"/>
      <c r="G2142" s="175">
        <f t="shared" si="210"/>
        <v>0</v>
      </c>
      <c r="H2142" s="175">
        <f t="shared" si="203"/>
        <v>0</v>
      </c>
      <c r="I2142" s="177">
        <f>IF(G2142=0,0,IF(E2142="MXN",1/HLOOKUP(YEAR(C2142)+(MONTH(C2142)/100),TC!$5:$37,DAY(C2142)+2,FALSE),VLOOKUP(E2142,Equivalencia!$5:$23,((MAX(Equivalencia!$3:$3)-YEAR(C2142))*14)+MONTH(C2142)+2,FALSE)))</f>
        <v>0</v>
      </c>
      <c r="J2142" s="178">
        <f t="shared" si="211"/>
        <v>0</v>
      </c>
      <c r="K2142" s="462">
        <f>IF(C2142=0,0,VLOOKUP(YEAR(C2142),INPC!$B$4:$O$29,MONTH(C2142)+1))</f>
        <v>0</v>
      </c>
      <c r="L2142" s="462">
        <f>IF(S2142=0,0,VLOOKUP(YEAR(S2142),INPC!$B$4:$O$29,MONTH(S2142)+1))</f>
        <v>0</v>
      </c>
      <c r="M2142" s="463">
        <f t="shared" si="204"/>
        <v>0</v>
      </c>
      <c r="N2142" s="465">
        <f t="shared" si="212"/>
        <v>0</v>
      </c>
      <c r="O2142" s="179"/>
      <c r="P2142" s="180"/>
      <c r="Q2142" s="173"/>
      <c r="R2142" s="173"/>
      <c r="S2142" s="174"/>
      <c r="T2142" s="173"/>
      <c r="U2142" s="182"/>
      <c r="V2142" s="177">
        <f>IF(U2142=0,0,IF(T2142="MXN",1/HLOOKUP(YEAR(S2142)+(MONTH(S2142)/100),TC!$5:$37,DAY(S2142)+2,FALSE),VLOOKUP(T2142,Equivalencia!$1:$23,((MAX(Equivalencia!$3:$3)-YEAR(S2142))*14)+MONTH(S2142)+2,FALSE)))</f>
        <v>0</v>
      </c>
      <c r="W2142" s="178">
        <f t="shared" si="209"/>
        <v>0</v>
      </c>
      <c r="X2142" s="481">
        <f t="shared" si="205"/>
        <v>0</v>
      </c>
      <c r="Y2142" s="179"/>
      <c r="Z2142" s="466">
        <f t="shared" si="206"/>
        <v>0</v>
      </c>
      <c r="AA2142" s="473">
        <f t="shared" si="207"/>
        <v>0</v>
      </c>
      <c r="AB2142" s="339">
        <f t="shared" si="208"/>
        <v>0</v>
      </c>
    </row>
    <row r="2143" spans="2:28" ht="20.100000000000001" customHeight="1">
      <c r="B2143" s="172"/>
      <c r="C2143" s="174"/>
      <c r="D2143" s="181"/>
      <c r="E2143" s="173"/>
      <c r="F2143" s="176"/>
      <c r="G2143" s="175">
        <f t="shared" si="210"/>
        <v>0</v>
      </c>
      <c r="H2143" s="175">
        <f t="shared" si="203"/>
        <v>0</v>
      </c>
      <c r="I2143" s="177">
        <f>IF(G2143=0,0,IF(E2143="MXN",1/HLOOKUP(YEAR(C2143)+(MONTH(C2143)/100),TC!$5:$37,DAY(C2143)+2,FALSE),VLOOKUP(E2143,Equivalencia!$5:$23,((MAX(Equivalencia!$3:$3)-YEAR(C2143))*14)+MONTH(C2143)+2,FALSE)))</f>
        <v>0</v>
      </c>
      <c r="J2143" s="178">
        <f t="shared" si="211"/>
        <v>0</v>
      </c>
      <c r="K2143" s="462">
        <f>IF(C2143=0,0,VLOOKUP(YEAR(C2143),INPC!$B$4:$O$29,MONTH(C2143)+1))</f>
        <v>0</v>
      </c>
      <c r="L2143" s="462">
        <f>IF(S2143=0,0,VLOOKUP(YEAR(S2143),INPC!$B$4:$O$29,MONTH(S2143)+1))</f>
        <v>0</v>
      </c>
      <c r="M2143" s="463">
        <f t="shared" si="204"/>
        <v>0</v>
      </c>
      <c r="N2143" s="465">
        <f t="shared" si="212"/>
        <v>0</v>
      </c>
      <c r="O2143" s="179"/>
      <c r="P2143" s="180"/>
      <c r="Q2143" s="173"/>
      <c r="R2143" s="173"/>
      <c r="S2143" s="174"/>
      <c r="T2143" s="173"/>
      <c r="U2143" s="182"/>
      <c r="V2143" s="177">
        <f>IF(U2143=0,0,IF(T2143="MXN",1/HLOOKUP(YEAR(S2143)+(MONTH(S2143)/100),TC!$5:$37,DAY(S2143)+2,FALSE),VLOOKUP(T2143,Equivalencia!$1:$23,((MAX(Equivalencia!$3:$3)-YEAR(S2143))*14)+MONTH(S2143)+2,FALSE)))</f>
        <v>0</v>
      </c>
      <c r="W2143" s="178">
        <f t="shared" si="209"/>
        <v>0</v>
      </c>
      <c r="X2143" s="481">
        <f t="shared" si="205"/>
        <v>0</v>
      </c>
      <c r="Y2143" s="179"/>
      <c r="Z2143" s="466">
        <f t="shared" si="206"/>
        <v>0</v>
      </c>
      <c r="AA2143" s="473">
        <f t="shared" si="207"/>
        <v>0</v>
      </c>
      <c r="AB2143" s="339">
        <f t="shared" si="208"/>
        <v>0</v>
      </c>
    </row>
    <row r="2144" spans="2:28" ht="20.100000000000001" customHeight="1">
      <c r="B2144" s="172"/>
      <c r="C2144" s="174"/>
      <c r="D2144" s="181"/>
      <c r="E2144" s="173"/>
      <c r="F2144" s="176"/>
      <c r="G2144" s="175">
        <f t="shared" si="210"/>
        <v>0</v>
      </c>
      <c r="H2144" s="175">
        <f t="shared" si="203"/>
        <v>0</v>
      </c>
      <c r="I2144" s="177">
        <f>IF(G2144=0,0,IF(E2144="MXN",1/HLOOKUP(YEAR(C2144)+(MONTH(C2144)/100),TC!$5:$37,DAY(C2144)+2,FALSE),VLOOKUP(E2144,Equivalencia!$5:$23,((MAX(Equivalencia!$3:$3)-YEAR(C2144))*14)+MONTH(C2144)+2,FALSE)))</f>
        <v>0</v>
      </c>
      <c r="J2144" s="178">
        <f t="shared" si="211"/>
        <v>0</v>
      </c>
      <c r="K2144" s="462">
        <f>IF(C2144=0,0,VLOOKUP(YEAR(C2144),INPC!$B$4:$O$29,MONTH(C2144)+1))</f>
        <v>0</v>
      </c>
      <c r="L2144" s="462">
        <f>IF(S2144=0,0,VLOOKUP(YEAR(S2144),INPC!$B$4:$O$29,MONTH(S2144)+1))</f>
        <v>0</v>
      </c>
      <c r="M2144" s="463">
        <f t="shared" si="204"/>
        <v>0</v>
      </c>
      <c r="N2144" s="465">
        <f t="shared" si="212"/>
        <v>0</v>
      </c>
      <c r="O2144" s="179"/>
      <c r="P2144" s="180"/>
      <c r="Q2144" s="173"/>
      <c r="R2144" s="173"/>
      <c r="S2144" s="174"/>
      <c r="T2144" s="173"/>
      <c r="U2144" s="182"/>
      <c r="V2144" s="177">
        <f>IF(U2144=0,0,IF(T2144="MXN",1/HLOOKUP(YEAR(S2144)+(MONTH(S2144)/100),TC!$5:$37,DAY(S2144)+2,FALSE),VLOOKUP(T2144,Equivalencia!$1:$23,((MAX(Equivalencia!$3:$3)-YEAR(S2144))*14)+MONTH(S2144)+2,FALSE)))</f>
        <v>0</v>
      </c>
      <c r="W2144" s="178">
        <f t="shared" si="209"/>
        <v>0</v>
      </c>
      <c r="X2144" s="481">
        <f t="shared" si="205"/>
        <v>0</v>
      </c>
      <c r="Y2144" s="179"/>
      <c r="Z2144" s="466">
        <f t="shared" si="206"/>
        <v>0</v>
      </c>
      <c r="AA2144" s="473">
        <f t="shared" si="207"/>
        <v>0</v>
      </c>
      <c r="AB2144" s="339">
        <f t="shared" si="208"/>
        <v>0</v>
      </c>
    </row>
    <row r="2145" spans="2:28" ht="20.100000000000001" customHeight="1">
      <c r="B2145" s="172"/>
      <c r="C2145" s="174"/>
      <c r="D2145" s="181"/>
      <c r="E2145" s="173"/>
      <c r="F2145" s="176"/>
      <c r="G2145" s="175">
        <f t="shared" si="210"/>
        <v>0</v>
      </c>
      <c r="H2145" s="175">
        <f t="shared" si="203"/>
        <v>0</v>
      </c>
      <c r="I2145" s="177">
        <f>IF(G2145=0,0,IF(E2145="MXN",1/HLOOKUP(YEAR(C2145)+(MONTH(C2145)/100),TC!$5:$37,DAY(C2145)+2,FALSE),VLOOKUP(E2145,Equivalencia!$5:$23,((MAX(Equivalencia!$3:$3)-YEAR(C2145))*14)+MONTH(C2145)+2,FALSE)))</f>
        <v>0</v>
      </c>
      <c r="J2145" s="178">
        <f t="shared" si="211"/>
        <v>0</v>
      </c>
      <c r="K2145" s="462">
        <f>IF(C2145=0,0,VLOOKUP(YEAR(C2145),INPC!$B$4:$O$29,MONTH(C2145)+1))</f>
        <v>0</v>
      </c>
      <c r="L2145" s="462">
        <f>IF(S2145=0,0,VLOOKUP(YEAR(S2145),INPC!$B$4:$O$29,MONTH(S2145)+1))</f>
        <v>0</v>
      </c>
      <c r="M2145" s="463">
        <f t="shared" si="204"/>
        <v>0</v>
      </c>
      <c r="N2145" s="465">
        <f t="shared" si="212"/>
        <v>0</v>
      </c>
      <c r="O2145" s="179"/>
      <c r="P2145" s="180"/>
      <c r="Q2145" s="173"/>
      <c r="R2145" s="173"/>
      <c r="S2145" s="174"/>
      <c r="T2145" s="173"/>
      <c r="U2145" s="182"/>
      <c r="V2145" s="177">
        <f>IF(U2145=0,0,IF(T2145="MXN",1/HLOOKUP(YEAR(S2145)+(MONTH(S2145)/100),TC!$5:$37,DAY(S2145)+2,FALSE),VLOOKUP(T2145,Equivalencia!$1:$23,((MAX(Equivalencia!$3:$3)-YEAR(S2145))*14)+MONTH(S2145)+2,FALSE)))</f>
        <v>0</v>
      </c>
      <c r="W2145" s="178">
        <f t="shared" si="209"/>
        <v>0</v>
      </c>
      <c r="X2145" s="481">
        <f t="shared" si="205"/>
        <v>0</v>
      </c>
      <c r="Y2145" s="179"/>
      <c r="Z2145" s="466">
        <f t="shared" si="206"/>
        <v>0</v>
      </c>
      <c r="AA2145" s="473">
        <f t="shared" si="207"/>
        <v>0</v>
      </c>
      <c r="AB2145" s="339">
        <f t="shared" si="208"/>
        <v>0</v>
      </c>
    </row>
    <row r="2146" spans="2:28" ht="20.100000000000001" customHeight="1">
      <c r="B2146" s="172"/>
      <c r="C2146" s="174"/>
      <c r="D2146" s="181"/>
      <c r="E2146" s="173"/>
      <c r="F2146" s="176"/>
      <c r="G2146" s="175">
        <f t="shared" si="210"/>
        <v>0</v>
      </c>
      <c r="H2146" s="175">
        <f t="shared" si="203"/>
        <v>0</v>
      </c>
      <c r="I2146" s="177">
        <f>IF(G2146=0,0,IF(E2146="MXN",1/HLOOKUP(YEAR(C2146)+(MONTH(C2146)/100),TC!$5:$37,DAY(C2146)+2,FALSE),VLOOKUP(E2146,Equivalencia!$5:$23,((MAX(Equivalencia!$3:$3)-YEAR(C2146))*14)+MONTH(C2146)+2,FALSE)))</f>
        <v>0</v>
      </c>
      <c r="J2146" s="178">
        <f t="shared" si="211"/>
        <v>0</v>
      </c>
      <c r="K2146" s="462">
        <f>IF(C2146=0,0,VLOOKUP(YEAR(C2146),INPC!$B$4:$O$29,MONTH(C2146)+1))</f>
        <v>0</v>
      </c>
      <c r="L2146" s="462">
        <f>IF(S2146=0,0,VLOOKUP(YEAR(S2146),INPC!$B$4:$O$29,MONTH(S2146)+1))</f>
        <v>0</v>
      </c>
      <c r="M2146" s="463">
        <f t="shared" si="204"/>
        <v>0</v>
      </c>
      <c r="N2146" s="465">
        <f t="shared" si="212"/>
        <v>0</v>
      </c>
      <c r="O2146" s="179"/>
      <c r="P2146" s="180"/>
      <c r="Q2146" s="173"/>
      <c r="R2146" s="173"/>
      <c r="S2146" s="174"/>
      <c r="T2146" s="173"/>
      <c r="U2146" s="182"/>
      <c r="V2146" s="177">
        <f>IF(U2146=0,0,IF(T2146="MXN",1/HLOOKUP(YEAR(S2146)+(MONTH(S2146)/100),TC!$5:$37,DAY(S2146)+2,FALSE),VLOOKUP(T2146,Equivalencia!$1:$23,((MAX(Equivalencia!$3:$3)-YEAR(S2146))*14)+MONTH(S2146)+2,FALSE)))</f>
        <v>0</v>
      </c>
      <c r="W2146" s="178">
        <f t="shared" si="209"/>
        <v>0</v>
      </c>
      <c r="X2146" s="481">
        <f t="shared" si="205"/>
        <v>0</v>
      </c>
      <c r="Y2146" s="179"/>
      <c r="Z2146" s="466">
        <f t="shared" si="206"/>
        <v>0</v>
      </c>
      <c r="AA2146" s="473">
        <f t="shared" si="207"/>
        <v>0</v>
      </c>
      <c r="AB2146" s="339">
        <f t="shared" si="208"/>
        <v>0</v>
      </c>
    </row>
    <row r="2147" spans="2:28" ht="20.100000000000001" customHeight="1">
      <c r="B2147" s="172"/>
      <c r="C2147" s="174"/>
      <c r="D2147" s="181"/>
      <c r="E2147" s="173"/>
      <c r="F2147" s="176"/>
      <c r="G2147" s="175">
        <f t="shared" si="210"/>
        <v>0</v>
      </c>
      <c r="H2147" s="175">
        <f t="shared" si="203"/>
        <v>0</v>
      </c>
      <c r="I2147" s="177">
        <f>IF(G2147=0,0,IF(E2147="MXN",1/HLOOKUP(YEAR(C2147)+(MONTH(C2147)/100),TC!$5:$37,DAY(C2147)+2,FALSE),VLOOKUP(E2147,Equivalencia!$5:$23,((MAX(Equivalencia!$3:$3)-YEAR(C2147))*14)+MONTH(C2147)+2,FALSE)))</f>
        <v>0</v>
      </c>
      <c r="J2147" s="178">
        <f t="shared" si="211"/>
        <v>0</v>
      </c>
      <c r="K2147" s="462">
        <f>IF(C2147=0,0,VLOOKUP(YEAR(C2147),INPC!$B$4:$O$29,MONTH(C2147)+1))</f>
        <v>0</v>
      </c>
      <c r="L2147" s="462">
        <f>IF(S2147=0,0,VLOOKUP(YEAR(S2147),INPC!$B$4:$O$29,MONTH(S2147)+1))</f>
        <v>0</v>
      </c>
      <c r="M2147" s="463">
        <f t="shared" si="204"/>
        <v>0</v>
      </c>
      <c r="N2147" s="465">
        <f t="shared" si="212"/>
        <v>0</v>
      </c>
      <c r="O2147" s="179"/>
      <c r="P2147" s="180"/>
      <c r="Q2147" s="173"/>
      <c r="R2147" s="173"/>
      <c r="S2147" s="174"/>
      <c r="T2147" s="173"/>
      <c r="U2147" s="182"/>
      <c r="V2147" s="177">
        <f>IF(U2147=0,0,IF(T2147="MXN",1/HLOOKUP(YEAR(S2147)+(MONTH(S2147)/100),TC!$5:$37,DAY(S2147)+2,FALSE),VLOOKUP(T2147,Equivalencia!$1:$23,((MAX(Equivalencia!$3:$3)-YEAR(S2147))*14)+MONTH(S2147)+2,FALSE)))</f>
        <v>0</v>
      </c>
      <c r="W2147" s="178">
        <f t="shared" si="209"/>
        <v>0</v>
      </c>
      <c r="X2147" s="481">
        <f t="shared" si="205"/>
        <v>0</v>
      </c>
      <c r="Y2147" s="179"/>
      <c r="Z2147" s="466">
        <f t="shared" si="206"/>
        <v>0</v>
      </c>
      <c r="AA2147" s="473">
        <f t="shared" si="207"/>
        <v>0</v>
      </c>
      <c r="AB2147" s="339">
        <f t="shared" si="208"/>
        <v>0</v>
      </c>
    </row>
    <row r="2148" spans="2:28" ht="20.100000000000001" customHeight="1">
      <c r="B2148" s="172"/>
      <c r="C2148" s="174"/>
      <c r="D2148" s="181"/>
      <c r="E2148" s="173"/>
      <c r="F2148" s="176"/>
      <c r="G2148" s="175">
        <f t="shared" si="210"/>
        <v>0</v>
      </c>
      <c r="H2148" s="175">
        <f t="shared" si="203"/>
        <v>0</v>
      </c>
      <c r="I2148" s="177">
        <f>IF(G2148=0,0,IF(E2148="MXN",1/HLOOKUP(YEAR(C2148)+(MONTH(C2148)/100),TC!$5:$37,DAY(C2148)+2,FALSE),VLOOKUP(E2148,Equivalencia!$5:$23,((MAX(Equivalencia!$3:$3)-YEAR(C2148))*14)+MONTH(C2148)+2,FALSE)))</f>
        <v>0</v>
      </c>
      <c r="J2148" s="178">
        <f t="shared" si="211"/>
        <v>0</v>
      </c>
      <c r="K2148" s="462">
        <f>IF(C2148=0,0,VLOOKUP(YEAR(C2148),INPC!$B$4:$O$29,MONTH(C2148)+1))</f>
        <v>0</v>
      </c>
      <c r="L2148" s="462">
        <f>IF(S2148=0,0,VLOOKUP(YEAR(S2148),INPC!$B$4:$O$29,MONTH(S2148)+1))</f>
        <v>0</v>
      </c>
      <c r="M2148" s="463">
        <f t="shared" si="204"/>
        <v>0</v>
      </c>
      <c r="N2148" s="465">
        <f t="shared" si="212"/>
        <v>0</v>
      </c>
      <c r="O2148" s="179"/>
      <c r="P2148" s="180"/>
      <c r="Q2148" s="173"/>
      <c r="R2148" s="173"/>
      <c r="S2148" s="174"/>
      <c r="T2148" s="173"/>
      <c r="U2148" s="182"/>
      <c r="V2148" s="177">
        <f>IF(U2148=0,0,IF(T2148="MXN",1/HLOOKUP(YEAR(S2148)+(MONTH(S2148)/100),TC!$5:$37,DAY(S2148)+2,FALSE),VLOOKUP(T2148,Equivalencia!$1:$23,((MAX(Equivalencia!$3:$3)-YEAR(S2148))*14)+MONTH(S2148)+2,FALSE)))</f>
        <v>0</v>
      </c>
      <c r="W2148" s="178">
        <f t="shared" si="209"/>
        <v>0</v>
      </c>
      <c r="X2148" s="481">
        <f t="shared" si="205"/>
        <v>0</v>
      </c>
      <c r="Y2148" s="179"/>
      <c r="Z2148" s="466">
        <f t="shared" si="206"/>
        <v>0</v>
      </c>
      <c r="AA2148" s="473">
        <f t="shared" si="207"/>
        <v>0</v>
      </c>
      <c r="AB2148" s="339">
        <f t="shared" si="208"/>
        <v>0</v>
      </c>
    </row>
    <row r="2149" spans="2:28" ht="20.100000000000001" customHeight="1">
      <c r="B2149" s="172"/>
      <c r="C2149" s="174"/>
      <c r="D2149" s="181"/>
      <c r="E2149" s="173"/>
      <c r="F2149" s="176"/>
      <c r="G2149" s="175">
        <f t="shared" si="210"/>
        <v>0</v>
      </c>
      <c r="H2149" s="175">
        <f t="shared" si="203"/>
        <v>0</v>
      </c>
      <c r="I2149" s="177">
        <f>IF(G2149=0,0,IF(E2149="MXN",1/HLOOKUP(YEAR(C2149)+(MONTH(C2149)/100),TC!$5:$37,DAY(C2149)+2,FALSE),VLOOKUP(E2149,Equivalencia!$5:$23,((MAX(Equivalencia!$3:$3)-YEAR(C2149))*14)+MONTH(C2149)+2,FALSE)))</f>
        <v>0</v>
      </c>
      <c r="J2149" s="178">
        <f t="shared" si="211"/>
        <v>0</v>
      </c>
      <c r="K2149" s="462">
        <f>IF(C2149=0,0,VLOOKUP(YEAR(C2149),INPC!$B$4:$O$29,MONTH(C2149)+1))</f>
        <v>0</v>
      </c>
      <c r="L2149" s="462">
        <f>IF(S2149=0,0,VLOOKUP(YEAR(S2149),INPC!$B$4:$O$29,MONTH(S2149)+1))</f>
        <v>0</v>
      </c>
      <c r="M2149" s="463">
        <f t="shared" si="204"/>
        <v>0</v>
      </c>
      <c r="N2149" s="465">
        <f t="shared" si="212"/>
        <v>0</v>
      </c>
      <c r="O2149" s="179"/>
      <c r="P2149" s="180"/>
      <c r="Q2149" s="173"/>
      <c r="R2149" s="173"/>
      <c r="S2149" s="174"/>
      <c r="T2149" s="173"/>
      <c r="U2149" s="182"/>
      <c r="V2149" s="177">
        <f>IF(U2149=0,0,IF(T2149="MXN",1/HLOOKUP(YEAR(S2149)+(MONTH(S2149)/100),TC!$5:$37,DAY(S2149)+2,FALSE),VLOOKUP(T2149,Equivalencia!$1:$23,((MAX(Equivalencia!$3:$3)-YEAR(S2149))*14)+MONTH(S2149)+2,FALSE)))</f>
        <v>0</v>
      </c>
      <c r="W2149" s="178">
        <f t="shared" si="209"/>
        <v>0</v>
      </c>
      <c r="X2149" s="481">
        <f t="shared" si="205"/>
        <v>0</v>
      </c>
      <c r="Y2149" s="179"/>
      <c r="Z2149" s="466">
        <f t="shared" si="206"/>
        <v>0</v>
      </c>
      <c r="AA2149" s="473">
        <f t="shared" si="207"/>
        <v>0</v>
      </c>
      <c r="AB2149" s="339">
        <f t="shared" si="208"/>
        <v>0</v>
      </c>
    </row>
    <row r="2150" spans="2:28" ht="20.100000000000001" customHeight="1">
      <c r="B2150" s="172"/>
      <c r="C2150" s="174"/>
      <c r="D2150" s="181"/>
      <c r="E2150" s="173"/>
      <c r="F2150" s="176"/>
      <c r="G2150" s="175">
        <f t="shared" si="210"/>
        <v>0</v>
      </c>
      <c r="H2150" s="175">
        <f t="shared" si="203"/>
        <v>0</v>
      </c>
      <c r="I2150" s="177">
        <f>IF(G2150=0,0,IF(E2150="MXN",1/HLOOKUP(YEAR(C2150)+(MONTH(C2150)/100),TC!$5:$37,DAY(C2150)+2,FALSE),VLOOKUP(E2150,Equivalencia!$5:$23,((MAX(Equivalencia!$3:$3)-YEAR(C2150))*14)+MONTH(C2150)+2,FALSE)))</f>
        <v>0</v>
      </c>
      <c r="J2150" s="178">
        <f t="shared" si="211"/>
        <v>0</v>
      </c>
      <c r="K2150" s="462">
        <f>IF(C2150=0,0,VLOOKUP(YEAR(C2150),INPC!$B$4:$O$29,MONTH(C2150)+1))</f>
        <v>0</v>
      </c>
      <c r="L2150" s="462">
        <f>IF(S2150=0,0,VLOOKUP(YEAR(S2150),INPC!$B$4:$O$29,MONTH(S2150)+1))</f>
        <v>0</v>
      </c>
      <c r="M2150" s="463">
        <f t="shared" si="204"/>
        <v>0</v>
      </c>
      <c r="N2150" s="465">
        <f t="shared" si="212"/>
        <v>0</v>
      </c>
      <c r="O2150" s="179"/>
      <c r="P2150" s="180"/>
      <c r="Q2150" s="173"/>
      <c r="R2150" s="173"/>
      <c r="S2150" s="174"/>
      <c r="T2150" s="173"/>
      <c r="U2150" s="182"/>
      <c r="V2150" s="177">
        <f>IF(U2150=0,0,IF(T2150="MXN",1/HLOOKUP(YEAR(S2150)+(MONTH(S2150)/100),TC!$5:$37,DAY(S2150)+2,FALSE),VLOOKUP(T2150,Equivalencia!$1:$23,((MAX(Equivalencia!$3:$3)-YEAR(S2150))*14)+MONTH(S2150)+2,FALSE)))</f>
        <v>0</v>
      </c>
      <c r="W2150" s="178">
        <f t="shared" si="209"/>
        <v>0</v>
      </c>
      <c r="X2150" s="481">
        <f t="shared" si="205"/>
        <v>0</v>
      </c>
      <c r="Y2150" s="179"/>
      <c r="Z2150" s="466">
        <f t="shared" si="206"/>
        <v>0</v>
      </c>
      <c r="AA2150" s="473">
        <f t="shared" si="207"/>
        <v>0</v>
      </c>
      <c r="AB2150" s="339">
        <f t="shared" si="208"/>
        <v>0</v>
      </c>
    </row>
    <row r="2151" spans="2:28" ht="20.100000000000001" customHeight="1">
      <c r="B2151" s="172"/>
      <c r="C2151" s="174"/>
      <c r="D2151" s="181"/>
      <c r="E2151" s="173"/>
      <c r="F2151" s="176"/>
      <c r="G2151" s="175">
        <f t="shared" si="210"/>
        <v>0</v>
      </c>
      <c r="H2151" s="175">
        <f t="shared" si="203"/>
        <v>0</v>
      </c>
      <c r="I2151" s="177">
        <f>IF(G2151=0,0,IF(E2151="MXN",1/HLOOKUP(YEAR(C2151)+(MONTH(C2151)/100),TC!$5:$37,DAY(C2151)+2,FALSE),VLOOKUP(E2151,Equivalencia!$5:$23,((MAX(Equivalencia!$3:$3)-YEAR(C2151))*14)+MONTH(C2151)+2,FALSE)))</f>
        <v>0</v>
      </c>
      <c r="J2151" s="178">
        <f t="shared" si="211"/>
        <v>0</v>
      </c>
      <c r="K2151" s="462">
        <f>IF(C2151=0,0,VLOOKUP(YEAR(C2151),INPC!$B$4:$O$29,MONTH(C2151)+1))</f>
        <v>0</v>
      </c>
      <c r="L2151" s="462">
        <f>IF(S2151=0,0,VLOOKUP(YEAR(S2151),INPC!$B$4:$O$29,MONTH(S2151)+1))</f>
        <v>0</v>
      </c>
      <c r="M2151" s="463">
        <f t="shared" si="204"/>
        <v>0</v>
      </c>
      <c r="N2151" s="465">
        <f t="shared" si="212"/>
        <v>0</v>
      </c>
      <c r="O2151" s="179"/>
      <c r="P2151" s="180"/>
      <c r="Q2151" s="173"/>
      <c r="R2151" s="173"/>
      <c r="S2151" s="174"/>
      <c r="T2151" s="173"/>
      <c r="U2151" s="182"/>
      <c r="V2151" s="177">
        <f>IF(U2151=0,0,IF(T2151="MXN",1/HLOOKUP(YEAR(S2151)+(MONTH(S2151)/100),TC!$5:$37,DAY(S2151)+2,FALSE),VLOOKUP(T2151,Equivalencia!$1:$23,((MAX(Equivalencia!$3:$3)-YEAR(S2151))*14)+MONTH(S2151)+2,FALSE)))</f>
        <v>0</v>
      </c>
      <c r="W2151" s="178">
        <f t="shared" si="209"/>
        <v>0</v>
      </c>
      <c r="X2151" s="481">
        <f t="shared" si="205"/>
        <v>0</v>
      </c>
      <c r="Y2151" s="179"/>
      <c r="Z2151" s="466">
        <f t="shared" si="206"/>
        <v>0</v>
      </c>
      <c r="AA2151" s="473">
        <f t="shared" si="207"/>
        <v>0</v>
      </c>
      <c r="AB2151" s="339">
        <f t="shared" si="208"/>
        <v>0</v>
      </c>
    </row>
    <row r="2152" spans="2:28" ht="20.100000000000001" customHeight="1">
      <c r="B2152" s="172"/>
      <c r="C2152" s="174"/>
      <c r="D2152" s="181"/>
      <c r="E2152" s="173"/>
      <c r="F2152" s="176"/>
      <c r="G2152" s="175">
        <f t="shared" si="210"/>
        <v>0</v>
      </c>
      <c r="H2152" s="175">
        <f t="shared" si="203"/>
        <v>0</v>
      </c>
      <c r="I2152" s="177">
        <f>IF(G2152=0,0,IF(E2152="MXN",1/HLOOKUP(YEAR(C2152)+(MONTH(C2152)/100),TC!$5:$37,DAY(C2152)+2,FALSE),VLOOKUP(E2152,Equivalencia!$5:$23,((MAX(Equivalencia!$3:$3)-YEAR(C2152))*14)+MONTH(C2152)+2,FALSE)))</f>
        <v>0</v>
      </c>
      <c r="J2152" s="178">
        <f t="shared" si="211"/>
        <v>0</v>
      </c>
      <c r="K2152" s="462">
        <f>IF(C2152=0,0,VLOOKUP(YEAR(C2152),INPC!$B$4:$O$29,MONTH(C2152)+1))</f>
        <v>0</v>
      </c>
      <c r="L2152" s="462">
        <f>IF(S2152=0,0,VLOOKUP(YEAR(S2152),INPC!$B$4:$O$29,MONTH(S2152)+1))</f>
        <v>0</v>
      </c>
      <c r="M2152" s="463">
        <f t="shared" si="204"/>
        <v>0</v>
      </c>
      <c r="N2152" s="465">
        <f t="shared" si="212"/>
        <v>0</v>
      </c>
      <c r="O2152" s="179"/>
      <c r="P2152" s="180"/>
      <c r="Q2152" s="173"/>
      <c r="R2152" s="173"/>
      <c r="S2152" s="174"/>
      <c r="T2152" s="173"/>
      <c r="U2152" s="182"/>
      <c r="V2152" s="177">
        <f>IF(U2152=0,0,IF(T2152="MXN",1/HLOOKUP(YEAR(S2152)+(MONTH(S2152)/100),TC!$5:$37,DAY(S2152)+2,FALSE),VLOOKUP(T2152,Equivalencia!$1:$23,((MAX(Equivalencia!$3:$3)-YEAR(S2152))*14)+MONTH(S2152)+2,FALSE)))</f>
        <v>0</v>
      </c>
      <c r="W2152" s="178">
        <f t="shared" si="209"/>
        <v>0</v>
      </c>
      <c r="X2152" s="481">
        <f t="shared" si="205"/>
        <v>0</v>
      </c>
      <c r="Y2152" s="179"/>
      <c r="Z2152" s="466">
        <f t="shared" si="206"/>
        <v>0</v>
      </c>
      <c r="AA2152" s="473">
        <f t="shared" si="207"/>
        <v>0</v>
      </c>
      <c r="AB2152" s="339">
        <f t="shared" si="208"/>
        <v>0</v>
      </c>
    </row>
    <row r="2153" spans="2:28" ht="20.100000000000001" customHeight="1">
      <c r="B2153" s="172"/>
      <c r="C2153" s="174"/>
      <c r="D2153" s="181"/>
      <c r="E2153" s="173"/>
      <c r="F2153" s="176"/>
      <c r="G2153" s="175">
        <f t="shared" si="210"/>
        <v>0</v>
      </c>
      <c r="H2153" s="175">
        <f t="shared" si="203"/>
        <v>0</v>
      </c>
      <c r="I2153" s="177">
        <f>IF(G2153=0,0,IF(E2153="MXN",1/HLOOKUP(YEAR(C2153)+(MONTH(C2153)/100),TC!$5:$37,DAY(C2153)+2,FALSE),VLOOKUP(E2153,Equivalencia!$5:$23,((MAX(Equivalencia!$3:$3)-YEAR(C2153))*14)+MONTH(C2153)+2,FALSE)))</f>
        <v>0</v>
      </c>
      <c r="J2153" s="178">
        <f t="shared" si="211"/>
        <v>0</v>
      </c>
      <c r="K2153" s="462">
        <f>IF(C2153=0,0,VLOOKUP(YEAR(C2153),INPC!$B$4:$O$29,MONTH(C2153)+1))</f>
        <v>0</v>
      </c>
      <c r="L2153" s="462">
        <f>IF(S2153=0,0,VLOOKUP(YEAR(S2153),INPC!$B$4:$O$29,MONTH(S2153)+1))</f>
        <v>0</v>
      </c>
      <c r="M2153" s="463">
        <f t="shared" si="204"/>
        <v>0</v>
      </c>
      <c r="N2153" s="465">
        <f t="shared" si="212"/>
        <v>0</v>
      </c>
      <c r="O2153" s="179"/>
      <c r="P2153" s="180"/>
      <c r="Q2153" s="173"/>
      <c r="R2153" s="173"/>
      <c r="S2153" s="174"/>
      <c r="T2153" s="173"/>
      <c r="U2153" s="182"/>
      <c r="V2153" s="177">
        <f>IF(U2153=0,0,IF(T2153="MXN",1/HLOOKUP(YEAR(S2153)+(MONTH(S2153)/100),TC!$5:$37,DAY(S2153)+2,FALSE),VLOOKUP(T2153,Equivalencia!$1:$23,((MAX(Equivalencia!$3:$3)-YEAR(S2153))*14)+MONTH(S2153)+2,FALSE)))</f>
        <v>0</v>
      </c>
      <c r="W2153" s="178">
        <f t="shared" si="209"/>
        <v>0</v>
      </c>
      <c r="X2153" s="481">
        <f t="shared" si="205"/>
        <v>0</v>
      </c>
      <c r="Y2153" s="179"/>
      <c r="Z2153" s="466">
        <f t="shared" si="206"/>
        <v>0</v>
      </c>
      <c r="AA2153" s="473">
        <f t="shared" si="207"/>
        <v>0</v>
      </c>
      <c r="AB2153" s="339">
        <f t="shared" si="208"/>
        <v>0</v>
      </c>
    </row>
    <row r="2154" spans="2:28" ht="20.100000000000001" customHeight="1">
      <c r="B2154" s="172"/>
      <c r="C2154" s="174"/>
      <c r="D2154" s="181"/>
      <c r="E2154" s="173"/>
      <c r="F2154" s="176"/>
      <c r="G2154" s="175">
        <f t="shared" si="210"/>
        <v>0</v>
      </c>
      <c r="H2154" s="175">
        <f t="shared" si="203"/>
        <v>0</v>
      </c>
      <c r="I2154" s="177">
        <f>IF(G2154=0,0,IF(E2154="MXN",1/HLOOKUP(YEAR(C2154)+(MONTH(C2154)/100),TC!$5:$37,DAY(C2154)+2,FALSE),VLOOKUP(E2154,Equivalencia!$5:$23,((MAX(Equivalencia!$3:$3)-YEAR(C2154))*14)+MONTH(C2154)+2,FALSE)))</f>
        <v>0</v>
      </c>
      <c r="J2154" s="178">
        <f t="shared" si="211"/>
        <v>0</v>
      </c>
      <c r="K2154" s="462">
        <f>IF(C2154=0,0,VLOOKUP(YEAR(C2154),INPC!$B$4:$O$29,MONTH(C2154)+1))</f>
        <v>0</v>
      </c>
      <c r="L2154" s="462">
        <f>IF(S2154=0,0,VLOOKUP(YEAR(S2154),INPC!$B$4:$O$29,MONTH(S2154)+1))</f>
        <v>0</v>
      </c>
      <c r="M2154" s="463">
        <f t="shared" si="204"/>
        <v>0</v>
      </c>
      <c r="N2154" s="465">
        <f t="shared" si="212"/>
        <v>0</v>
      </c>
      <c r="O2154" s="179"/>
      <c r="P2154" s="180"/>
      <c r="Q2154" s="173"/>
      <c r="R2154" s="173"/>
      <c r="S2154" s="174"/>
      <c r="T2154" s="173"/>
      <c r="U2154" s="182"/>
      <c r="V2154" s="177">
        <f>IF(U2154=0,0,IF(T2154="MXN",1/HLOOKUP(YEAR(S2154)+(MONTH(S2154)/100),TC!$5:$37,DAY(S2154)+2,FALSE),VLOOKUP(T2154,Equivalencia!$1:$23,((MAX(Equivalencia!$3:$3)-YEAR(S2154))*14)+MONTH(S2154)+2,FALSE)))</f>
        <v>0</v>
      </c>
      <c r="W2154" s="178">
        <f t="shared" si="209"/>
        <v>0</v>
      </c>
      <c r="X2154" s="481">
        <f t="shared" si="205"/>
        <v>0</v>
      </c>
      <c r="Y2154" s="179"/>
      <c r="Z2154" s="466">
        <f t="shared" si="206"/>
        <v>0</v>
      </c>
      <c r="AA2154" s="473">
        <f t="shared" si="207"/>
        <v>0</v>
      </c>
      <c r="AB2154" s="339">
        <f t="shared" si="208"/>
        <v>0</v>
      </c>
    </row>
    <row r="2155" spans="2:28" ht="20.100000000000001" customHeight="1">
      <c r="B2155" s="172"/>
      <c r="C2155" s="174"/>
      <c r="D2155" s="181"/>
      <c r="E2155" s="173"/>
      <c r="F2155" s="176"/>
      <c r="G2155" s="175">
        <f t="shared" si="210"/>
        <v>0</v>
      </c>
      <c r="H2155" s="175">
        <f t="shared" si="203"/>
        <v>0</v>
      </c>
      <c r="I2155" s="177">
        <f>IF(G2155=0,0,IF(E2155="MXN",1/HLOOKUP(YEAR(C2155)+(MONTH(C2155)/100),TC!$5:$37,DAY(C2155)+2,FALSE),VLOOKUP(E2155,Equivalencia!$5:$23,((MAX(Equivalencia!$3:$3)-YEAR(C2155))*14)+MONTH(C2155)+2,FALSE)))</f>
        <v>0</v>
      </c>
      <c r="J2155" s="178">
        <f t="shared" si="211"/>
        <v>0</v>
      </c>
      <c r="K2155" s="462">
        <f>IF(C2155=0,0,VLOOKUP(YEAR(C2155),INPC!$B$4:$O$29,MONTH(C2155)+1))</f>
        <v>0</v>
      </c>
      <c r="L2155" s="462">
        <f>IF(S2155=0,0,VLOOKUP(YEAR(S2155),INPC!$B$4:$O$29,MONTH(S2155)+1))</f>
        <v>0</v>
      </c>
      <c r="M2155" s="463">
        <f t="shared" si="204"/>
        <v>0</v>
      </c>
      <c r="N2155" s="465">
        <f t="shared" si="212"/>
        <v>0</v>
      </c>
      <c r="O2155" s="179"/>
      <c r="P2155" s="180"/>
      <c r="Q2155" s="173"/>
      <c r="R2155" s="173"/>
      <c r="S2155" s="174"/>
      <c r="T2155" s="173"/>
      <c r="U2155" s="182"/>
      <c r="V2155" s="177">
        <f>IF(U2155=0,0,IF(T2155="MXN",1/HLOOKUP(YEAR(S2155)+(MONTH(S2155)/100),TC!$5:$37,DAY(S2155)+2,FALSE),VLOOKUP(T2155,Equivalencia!$1:$23,((MAX(Equivalencia!$3:$3)-YEAR(S2155))*14)+MONTH(S2155)+2,FALSE)))</f>
        <v>0</v>
      </c>
      <c r="W2155" s="178">
        <f t="shared" si="209"/>
        <v>0</v>
      </c>
      <c r="X2155" s="481">
        <f t="shared" si="205"/>
        <v>0</v>
      </c>
      <c r="Y2155" s="179"/>
      <c r="Z2155" s="466">
        <f t="shared" si="206"/>
        <v>0</v>
      </c>
      <c r="AA2155" s="473">
        <f t="shared" si="207"/>
        <v>0</v>
      </c>
      <c r="AB2155" s="339">
        <f t="shared" si="208"/>
        <v>0</v>
      </c>
    </row>
    <row r="2156" spans="2:28" ht="20.100000000000001" customHeight="1">
      <c r="B2156" s="172"/>
      <c r="C2156" s="174"/>
      <c r="D2156" s="181"/>
      <c r="E2156" s="173"/>
      <c r="F2156" s="176"/>
      <c r="G2156" s="175">
        <f t="shared" si="210"/>
        <v>0</v>
      </c>
      <c r="H2156" s="175">
        <f t="shared" si="203"/>
        <v>0</v>
      </c>
      <c r="I2156" s="177">
        <f>IF(G2156=0,0,IF(E2156="MXN",1/HLOOKUP(YEAR(C2156)+(MONTH(C2156)/100),TC!$5:$37,DAY(C2156)+2,FALSE),VLOOKUP(E2156,Equivalencia!$5:$23,((MAX(Equivalencia!$3:$3)-YEAR(C2156))*14)+MONTH(C2156)+2,FALSE)))</f>
        <v>0</v>
      </c>
      <c r="J2156" s="178">
        <f t="shared" si="211"/>
        <v>0</v>
      </c>
      <c r="K2156" s="462">
        <f>IF(C2156=0,0,VLOOKUP(YEAR(C2156),INPC!$B$4:$O$29,MONTH(C2156)+1))</f>
        <v>0</v>
      </c>
      <c r="L2156" s="462">
        <f>IF(S2156=0,0,VLOOKUP(YEAR(S2156),INPC!$B$4:$O$29,MONTH(S2156)+1))</f>
        <v>0</v>
      </c>
      <c r="M2156" s="463">
        <f t="shared" si="204"/>
        <v>0</v>
      </c>
      <c r="N2156" s="465">
        <f t="shared" si="212"/>
        <v>0</v>
      </c>
      <c r="O2156" s="179"/>
      <c r="P2156" s="180"/>
      <c r="Q2156" s="173"/>
      <c r="R2156" s="173"/>
      <c r="S2156" s="174"/>
      <c r="T2156" s="173"/>
      <c r="U2156" s="182"/>
      <c r="V2156" s="177">
        <f>IF(U2156=0,0,IF(T2156="MXN",1/HLOOKUP(YEAR(S2156)+(MONTH(S2156)/100),TC!$5:$37,DAY(S2156)+2,FALSE),VLOOKUP(T2156,Equivalencia!$1:$23,((MAX(Equivalencia!$3:$3)-YEAR(S2156))*14)+MONTH(S2156)+2,FALSE)))</f>
        <v>0</v>
      </c>
      <c r="W2156" s="178">
        <f t="shared" si="209"/>
        <v>0</v>
      </c>
      <c r="X2156" s="481">
        <f t="shared" si="205"/>
        <v>0</v>
      </c>
      <c r="Y2156" s="179"/>
      <c r="Z2156" s="466">
        <f t="shared" si="206"/>
        <v>0</v>
      </c>
      <c r="AA2156" s="473">
        <f t="shared" si="207"/>
        <v>0</v>
      </c>
      <c r="AB2156" s="339">
        <f t="shared" si="208"/>
        <v>0</v>
      </c>
    </row>
    <row r="2157" spans="2:28" ht="20.100000000000001" customHeight="1">
      <c r="B2157" s="172"/>
      <c r="C2157" s="174"/>
      <c r="D2157" s="181"/>
      <c r="E2157" s="173"/>
      <c r="F2157" s="176"/>
      <c r="G2157" s="175">
        <f t="shared" si="210"/>
        <v>0</v>
      </c>
      <c r="H2157" s="175">
        <f t="shared" si="203"/>
        <v>0</v>
      </c>
      <c r="I2157" s="177">
        <f>IF(G2157=0,0,IF(E2157="MXN",1/HLOOKUP(YEAR(C2157)+(MONTH(C2157)/100),TC!$5:$37,DAY(C2157)+2,FALSE),VLOOKUP(E2157,Equivalencia!$5:$23,((MAX(Equivalencia!$3:$3)-YEAR(C2157))*14)+MONTH(C2157)+2,FALSE)))</f>
        <v>0</v>
      </c>
      <c r="J2157" s="178">
        <f t="shared" si="211"/>
        <v>0</v>
      </c>
      <c r="K2157" s="462">
        <f>IF(C2157=0,0,VLOOKUP(YEAR(C2157),INPC!$B$4:$O$29,MONTH(C2157)+1))</f>
        <v>0</v>
      </c>
      <c r="L2157" s="462">
        <f>IF(S2157=0,0,VLOOKUP(YEAR(S2157),INPC!$B$4:$O$29,MONTH(S2157)+1))</f>
        <v>0</v>
      </c>
      <c r="M2157" s="463">
        <f t="shared" si="204"/>
        <v>0</v>
      </c>
      <c r="N2157" s="465">
        <f t="shared" si="212"/>
        <v>0</v>
      </c>
      <c r="O2157" s="179"/>
      <c r="P2157" s="180"/>
      <c r="Q2157" s="173"/>
      <c r="R2157" s="173"/>
      <c r="S2157" s="174"/>
      <c r="T2157" s="173"/>
      <c r="U2157" s="182"/>
      <c r="V2157" s="177">
        <f>IF(U2157=0,0,IF(T2157="MXN",1/HLOOKUP(YEAR(S2157)+(MONTH(S2157)/100),TC!$5:$37,DAY(S2157)+2,FALSE),VLOOKUP(T2157,Equivalencia!$1:$23,((MAX(Equivalencia!$3:$3)-YEAR(S2157))*14)+MONTH(S2157)+2,FALSE)))</f>
        <v>0</v>
      </c>
      <c r="W2157" s="178">
        <f t="shared" si="209"/>
        <v>0</v>
      </c>
      <c r="X2157" s="481">
        <f t="shared" si="205"/>
        <v>0</v>
      </c>
      <c r="Y2157" s="179"/>
      <c r="Z2157" s="466">
        <f t="shared" si="206"/>
        <v>0</v>
      </c>
      <c r="AA2157" s="473">
        <f t="shared" si="207"/>
        <v>0</v>
      </c>
      <c r="AB2157" s="339">
        <f t="shared" si="208"/>
        <v>0</v>
      </c>
    </row>
    <row r="2158" spans="2:28" ht="20.100000000000001" customHeight="1">
      <c r="B2158" s="172"/>
      <c r="C2158" s="174"/>
      <c r="D2158" s="181"/>
      <c r="E2158" s="173"/>
      <c r="F2158" s="176"/>
      <c r="G2158" s="175">
        <f t="shared" si="210"/>
        <v>0</v>
      </c>
      <c r="H2158" s="175">
        <f t="shared" si="203"/>
        <v>0</v>
      </c>
      <c r="I2158" s="177">
        <f>IF(G2158=0,0,IF(E2158="MXN",1/HLOOKUP(YEAR(C2158)+(MONTH(C2158)/100),TC!$5:$37,DAY(C2158)+2,FALSE),VLOOKUP(E2158,Equivalencia!$5:$23,((MAX(Equivalencia!$3:$3)-YEAR(C2158))*14)+MONTH(C2158)+2,FALSE)))</f>
        <v>0</v>
      </c>
      <c r="J2158" s="178">
        <f t="shared" si="211"/>
        <v>0</v>
      </c>
      <c r="K2158" s="462">
        <f>IF(C2158=0,0,VLOOKUP(YEAR(C2158),INPC!$B$4:$O$29,MONTH(C2158)+1))</f>
        <v>0</v>
      </c>
      <c r="L2158" s="462">
        <f>IF(S2158=0,0,VLOOKUP(YEAR(S2158),INPC!$B$4:$O$29,MONTH(S2158)+1))</f>
        <v>0</v>
      </c>
      <c r="M2158" s="463">
        <f t="shared" si="204"/>
        <v>0</v>
      </c>
      <c r="N2158" s="465">
        <f t="shared" si="212"/>
        <v>0</v>
      </c>
      <c r="O2158" s="179"/>
      <c r="P2158" s="180"/>
      <c r="Q2158" s="173"/>
      <c r="R2158" s="173"/>
      <c r="S2158" s="174"/>
      <c r="T2158" s="173"/>
      <c r="U2158" s="182"/>
      <c r="V2158" s="177">
        <f>IF(U2158=0,0,IF(T2158="MXN",1/HLOOKUP(YEAR(S2158)+(MONTH(S2158)/100),TC!$5:$37,DAY(S2158)+2,FALSE),VLOOKUP(T2158,Equivalencia!$1:$23,((MAX(Equivalencia!$3:$3)-YEAR(S2158))*14)+MONTH(S2158)+2,FALSE)))</f>
        <v>0</v>
      </c>
      <c r="W2158" s="178">
        <f t="shared" si="209"/>
        <v>0</v>
      </c>
      <c r="X2158" s="481">
        <f t="shared" si="205"/>
        <v>0</v>
      </c>
      <c r="Y2158" s="179"/>
      <c r="Z2158" s="466">
        <f t="shared" si="206"/>
        <v>0</v>
      </c>
      <c r="AA2158" s="473">
        <f t="shared" si="207"/>
        <v>0</v>
      </c>
      <c r="AB2158" s="339">
        <f t="shared" si="208"/>
        <v>0</v>
      </c>
    </row>
    <row r="2159" spans="2:28" ht="20.100000000000001" customHeight="1">
      <c r="B2159" s="172"/>
      <c r="C2159" s="174"/>
      <c r="D2159" s="181"/>
      <c r="E2159" s="173"/>
      <c r="F2159" s="176"/>
      <c r="G2159" s="175">
        <f t="shared" si="210"/>
        <v>0</v>
      </c>
      <c r="H2159" s="175">
        <f t="shared" si="203"/>
        <v>0</v>
      </c>
      <c r="I2159" s="177">
        <f>IF(G2159=0,0,IF(E2159="MXN",1/HLOOKUP(YEAR(C2159)+(MONTH(C2159)/100),TC!$5:$37,DAY(C2159)+2,FALSE),VLOOKUP(E2159,Equivalencia!$5:$23,((MAX(Equivalencia!$3:$3)-YEAR(C2159))*14)+MONTH(C2159)+2,FALSE)))</f>
        <v>0</v>
      </c>
      <c r="J2159" s="178">
        <f t="shared" si="211"/>
        <v>0</v>
      </c>
      <c r="K2159" s="462">
        <f>IF(C2159=0,0,VLOOKUP(YEAR(C2159),INPC!$B$4:$O$29,MONTH(C2159)+1))</f>
        <v>0</v>
      </c>
      <c r="L2159" s="462">
        <f>IF(S2159=0,0,VLOOKUP(YEAR(S2159),INPC!$B$4:$O$29,MONTH(S2159)+1))</f>
        <v>0</v>
      </c>
      <c r="M2159" s="463">
        <f t="shared" si="204"/>
        <v>0</v>
      </c>
      <c r="N2159" s="465">
        <f t="shared" si="212"/>
        <v>0</v>
      </c>
      <c r="O2159" s="179"/>
      <c r="P2159" s="180"/>
      <c r="Q2159" s="173"/>
      <c r="R2159" s="173"/>
      <c r="S2159" s="174"/>
      <c r="T2159" s="173"/>
      <c r="U2159" s="182"/>
      <c r="V2159" s="177">
        <f>IF(U2159=0,0,IF(T2159="MXN",1/HLOOKUP(YEAR(S2159)+(MONTH(S2159)/100),TC!$5:$37,DAY(S2159)+2,FALSE),VLOOKUP(T2159,Equivalencia!$1:$23,((MAX(Equivalencia!$3:$3)-YEAR(S2159))*14)+MONTH(S2159)+2,FALSE)))</f>
        <v>0</v>
      </c>
      <c r="W2159" s="178">
        <f t="shared" si="209"/>
        <v>0</v>
      </c>
      <c r="X2159" s="481">
        <f t="shared" si="205"/>
        <v>0</v>
      </c>
      <c r="Y2159" s="179"/>
      <c r="Z2159" s="466">
        <f t="shared" si="206"/>
        <v>0</v>
      </c>
      <c r="AA2159" s="473">
        <f t="shared" si="207"/>
        <v>0</v>
      </c>
      <c r="AB2159" s="339">
        <f t="shared" si="208"/>
        <v>0</v>
      </c>
    </row>
    <row r="2160" spans="2:28" ht="20.100000000000001" customHeight="1">
      <c r="B2160" s="172"/>
      <c r="C2160" s="174"/>
      <c r="D2160" s="181"/>
      <c r="E2160" s="173"/>
      <c r="F2160" s="176"/>
      <c r="G2160" s="175">
        <f t="shared" si="210"/>
        <v>0</v>
      </c>
      <c r="H2160" s="175">
        <f t="shared" si="203"/>
        <v>0</v>
      </c>
      <c r="I2160" s="177">
        <f>IF(G2160=0,0,IF(E2160="MXN",1/HLOOKUP(YEAR(C2160)+(MONTH(C2160)/100),TC!$5:$37,DAY(C2160)+2,FALSE),VLOOKUP(E2160,Equivalencia!$5:$23,((MAX(Equivalencia!$3:$3)-YEAR(C2160))*14)+MONTH(C2160)+2,FALSE)))</f>
        <v>0</v>
      </c>
      <c r="J2160" s="178">
        <f t="shared" si="211"/>
        <v>0</v>
      </c>
      <c r="K2160" s="462">
        <f>IF(C2160=0,0,VLOOKUP(YEAR(C2160),INPC!$B$4:$O$29,MONTH(C2160)+1))</f>
        <v>0</v>
      </c>
      <c r="L2160" s="462">
        <f>IF(S2160=0,0,VLOOKUP(YEAR(S2160),INPC!$B$4:$O$29,MONTH(S2160)+1))</f>
        <v>0</v>
      </c>
      <c r="M2160" s="463">
        <f t="shared" si="204"/>
        <v>0</v>
      </c>
      <c r="N2160" s="465">
        <f t="shared" si="212"/>
        <v>0</v>
      </c>
      <c r="O2160" s="179"/>
      <c r="P2160" s="180"/>
      <c r="Q2160" s="173"/>
      <c r="R2160" s="173"/>
      <c r="S2160" s="174"/>
      <c r="T2160" s="173"/>
      <c r="U2160" s="182"/>
      <c r="V2160" s="177">
        <f>IF(U2160=0,0,IF(T2160="MXN",1/HLOOKUP(YEAR(S2160)+(MONTH(S2160)/100),TC!$5:$37,DAY(S2160)+2,FALSE),VLOOKUP(T2160,Equivalencia!$1:$23,((MAX(Equivalencia!$3:$3)-YEAR(S2160))*14)+MONTH(S2160)+2,FALSE)))</f>
        <v>0</v>
      </c>
      <c r="W2160" s="178">
        <f t="shared" si="209"/>
        <v>0</v>
      </c>
      <c r="X2160" s="481">
        <f t="shared" si="205"/>
        <v>0</v>
      </c>
      <c r="Y2160" s="179"/>
      <c r="Z2160" s="466">
        <f t="shared" si="206"/>
        <v>0</v>
      </c>
      <c r="AA2160" s="473">
        <f t="shared" si="207"/>
        <v>0</v>
      </c>
      <c r="AB2160" s="339">
        <f t="shared" si="208"/>
        <v>0</v>
      </c>
    </row>
    <row r="2161" spans="2:28" ht="20.100000000000001" customHeight="1">
      <c r="B2161" s="172"/>
      <c r="C2161" s="174"/>
      <c r="D2161" s="181"/>
      <c r="E2161" s="173"/>
      <c r="F2161" s="176"/>
      <c r="G2161" s="175">
        <f t="shared" si="210"/>
        <v>0</v>
      </c>
      <c r="H2161" s="175">
        <f t="shared" si="203"/>
        <v>0</v>
      </c>
      <c r="I2161" s="177">
        <f>IF(G2161=0,0,IF(E2161="MXN",1/HLOOKUP(YEAR(C2161)+(MONTH(C2161)/100),TC!$5:$37,DAY(C2161)+2,FALSE),VLOOKUP(E2161,Equivalencia!$5:$23,((MAX(Equivalencia!$3:$3)-YEAR(C2161))*14)+MONTH(C2161)+2,FALSE)))</f>
        <v>0</v>
      </c>
      <c r="J2161" s="178">
        <f t="shared" si="211"/>
        <v>0</v>
      </c>
      <c r="K2161" s="462">
        <f>IF(C2161=0,0,VLOOKUP(YEAR(C2161),INPC!$B$4:$O$29,MONTH(C2161)+1))</f>
        <v>0</v>
      </c>
      <c r="L2161" s="462">
        <f>IF(S2161=0,0,VLOOKUP(YEAR(S2161),INPC!$B$4:$O$29,MONTH(S2161)+1))</f>
        <v>0</v>
      </c>
      <c r="M2161" s="463">
        <f t="shared" si="204"/>
        <v>0</v>
      </c>
      <c r="N2161" s="465">
        <f t="shared" si="212"/>
        <v>0</v>
      </c>
      <c r="O2161" s="179"/>
      <c r="P2161" s="180"/>
      <c r="Q2161" s="173"/>
      <c r="R2161" s="173"/>
      <c r="S2161" s="174"/>
      <c r="T2161" s="173"/>
      <c r="U2161" s="182"/>
      <c r="V2161" s="177">
        <f>IF(U2161=0,0,IF(T2161="MXN",1/HLOOKUP(YEAR(S2161)+(MONTH(S2161)/100),TC!$5:$37,DAY(S2161)+2,FALSE),VLOOKUP(T2161,Equivalencia!$1:$23,((MAX(Equivalencia!$3:$3)-YEAR(S2161))*14)+MONTH(S2161)+2,FALSE)))</f>
        <v>0</v>
      </c>
      <c r="W2161" s="178">
        <f t="shared" si="209"/>
        <v>0</v>
      </c>
      <c r="X2161" s="481">
        <f t="shared" si="205"/>
        <v>0</v>
      </c>
      <c r="Y2161" s="179"/>
      <c r="Z2161" s="466">
        <f t="shared" si="206"/>
        <v>0</v>
      </c>
      <c r="AA2161" s="473">
        <f t="shared" si="207"/>
        <v>0</v>
      </c>
      <c r="AB2161" s="339">
        <f t="shared" si="208"/>
        <v>0</v>
      </c>
    </row>
    <row r="2162" spans="2:28" ht="20.100000000000001" customHeight="1">
      <c r="B2162" s="172"/>
      <c r="C2162" s="174"/>
      <c r="D2162" s="181"/>
      <c r="E2162" s="173"/>
      <c r="F2162" s="176"/>
      <c r="G2162" s="175">
        <f t="shared" si="210"/>
        <v>0</v>
      </c>
      <c r="H2162" s="175">
        <f t="shared" si="203"/>
        <v>0</v>
      </c>
      <c r="I2162" s="177">
        <f>IF(G2162=0,0,IF(E2162="MXN",1/HLOOKUP(YEAR(C2162)+(MONTH(C2162)/100),TC!$5:$37,DAY(C2162)+2,FALSE),VLOOKUP(E2162,Equivalencia!$5:$23,((MAX(Equivalencia!$3:$3)-YEAR(C2162))*14)+MONTH(C2162)+2,FALSE)))</f>
        <v>0</v>
      </c>
      <c r="J2162" s="178">
        <f t="shared" si="211"/>
        <v>0</v>
      </c>
      <c r="K2162" s="462">
        <f>IF(C2162=0,0,VLOOKUP(YEAR(C2162),INPC!$B$4:$O$29,MONTH(C2162)+1))</f>
        <v>0</v>
      </c>
      <c r="L2162" s="462">
        <f>IF(S2162=0,0,VLOOKUP(YEAR(S2162),INPC!$B$4:$O$29,MONTH(S2162)+1))</f>
        <v>0</v>
      </c>
      <c r="M2162" s="463">
        <f t="shared" si="204"/>
        <v>0</v>
      </c>
      <c r="N2162" s="465">
        <f t="shared" si="212"/>
        <v>0</v>
      </c>
      <c r="O2162" s="179"/>
      <c r="P2162" s="180"/>
      <c r="Q2162" s="173"/>
      <c r="R2162" s="173"/>
      <c r="S2162" s="174"/>
      <c r="T2162" s="173"/>
      <c r="U2162" s="182"/>
      <c r="V2162" s="177">
        <f>IF(U2162=0,0,IF(T2162="MXN",1/HLOOKUP(YEAR(S2162)+(MONTH(S2162)/100),TC!$5:$37,DAY(S2162)+2,FALSE),VLOOKUP(T2162,Equivalencia!$1:$23,((MAX(Equivalencia!$3:$3)-YEAR(S2162))*14)+MONTH(S2162)+2,FALSE)))</f>
        <v>0</v>
      </c>
      <c r="W2162" s="178">
        <f t="shared" si="209"/>
        <v>0</v>
      </c>
      <c r="X2162" s="481">
        <f t="shared" si="205"/>
        <v>0</v>
      </c>
      <c r="Y2162" s="179"/>
      <c r="Z2162" s="466">
        <f t="shared" si="206"/>
        <v>0</v>
      </c>
      <c r="AA2162" s="473">
        <f t="shared" si="207"/>
        <v>0</v>
      </c>
      <c r="AB2162" s="339">
        <f t="shared" si="208"/>
        <v>0</v>
      </c>
    </row>
    <row r="2163" spans="2:28" ht="20.100000000000001" customHeight="1">
      <c r="B2163" s="172"/>
      <c r="C2163" s="174"/>
      <c r="D2163" s="181"/>
      <c r="E2163" s="173"/>
      <c r="F2163" s="176"/>
      <c r="G2163" s="175">
        <f t="shared" si="210"/>
        <v>0</v>
      </c>
      <c r="H2163" s="175">
        <f t="shared" si="203"/>
        <v>0</v>
      </c>
      <c r="I2163" s="177">
        <f>IF(G2163=0,0,IF(E2163="MXN",1/HLOOKUP(YEAR(C2163)+(MONTH(C2163)/100),TC!$5:$37,DAY(C2163)+2,FALSE),VLOOKUP(E2163,Equivalencia!$5:$23,((MAX(Equivalencia!$3:$3)-YEAR(C2163))*14)+MONTH(C2163)+2,FALSE)))</f>
        <v>0</v>
      </c>
      <c r="J2163" s="178">
        <f t="shared" si="211"/>
        <v>0</v>
      </c>
      <c r="K2163" s="462">
        <f>IF(C2163=0,0,VLOOKUP(YEAR(C2163),INPC!$B$4:$O$29,MONTH(C2163)+1))</f>
        <v>0</v>
      </c>
      <c r="L2163" s="462">
        <f>IF(S2163=0,0,VLOOKUP(YEAR(S2163),INPC!$B$4:$O$29,MONTH(S2163)+1))</f>
        <v>0</v>
      </c>
      <c r="M2163" s="463">
        <f t="shared" si="204"/>
        <v>0</v>
      </c>
      <c r="N2163" s="465">
        <f t="shared" si="212"/>
        <v>0</v>
      </c>
      <c r="O2163" s="179"/>
      <c r="P2163" s="180"/>
      <c r="Q2163" s="173"/>
      <c r="R2163" s="173"/>
      <c r="S2163" s="174"/>
      <c r="T2163" s="173"/>
      <c r="U2163" s="182"/>
      <c r="V2163" s="177">
        <f>IF(U2163=0,0,IF(T2163="MXN",1/HLOOKUP(YEAR(S2163)+(MONTH(S2163)/100),TC!$5:$37,DAY(S2163)+2,FALSE),VLOOKUP(T2163,Equivalencia!$1:$23,((MAX(Equivalencia!$3:$3)-YEAR(S2163))*14)+MONTH(S2163)+2,FALSE)))</f>
        <v>0</v>
      </c>
      <c r="W2163" s="178">
        <f t="shared" si="209"/>
        <v>0</v>
      </c>
      <c r="X2163" s="481">
        <f t="shared" si="205"/>
        <v>0</v>
      </c>
      <c r="Y2163" s="179"/>
      <c r="Z2163" s="466">
        <f t="shared" si="206"/>
        <v>0</v>
      </c>
      <c r="AA2163" s="473">
        <f t="shared" si="207"/>
        <v>0</v>
      </c>
      <c r="AB2163" s="339">
        <f t="shared" si="208"/>
        <v>0</v>
      </c>
    </row>
    <row r="2164" spans="2:28" ht="20.100000000000001" customHeight="1">
      <c r="B2164" s="172"/>
      <c r="C2164" s="174"/>
      <c r="D2164" s="181"/>
      <c r="E2164" s="173"/>
      <c r="F2164" s="176"/>
      <c r="G2164" s="175">
        <f t="shared" si="210"/>
        <v>0</v>
      </c>
      <c r="H2164" s="175">
        <f t="shared" si="203"/>
        <v>0</v>
      </c>
      <c r="I2164" s="177">
        <f>IF(G2164=0,0,IF(E2164="MXN",1/HLOOKUP(YEAR(C2164)+(MONTH(C2164)/100),TC!$5:$37,DAY(C2164)+2,FALSE),VLOOKUP(E2164,Equivalencia!$5:$23,((MAX(Equivalencia!$3:$3)-YEAR(C2164))*14)+MONTH(C2164)+2,FALSE)))</f>
        <v>0</v>
      </c>
      <c r="J2164" s="178">
        <f t="shared" si="211"/>
        <v>0</v>
      </c>
      <c r="K2164" s="462">
        <f>IF(C2164=0,0,VLOOKUP(YEAR(C2164),INPC!$B$4:$O$29,MONTH(C2164)+1))</f>
        <v>0</v>
      </c>
      <c r="L2164" s="462">
        <f>IF(S2164=0,0,VLOOKUP(YEAR(S2164),INPC!$B$4:$O$29,MONTH(S2164)+1))</f>
        <v>0</v>
      </c>
      <c r="M2164" s="463">
        <f t="shared" si="204"/>
        <v>0</v>
      </c>
      <c r="N2164" s="465">
        <f t="shared" si="212"/>
        <v>0</v>
      </c>
      <c r="O2164" s="179"/>
      <c r="P2164" s="180"/>
      <c r="Q2164" s="173"/>
      <c r="R2164" s="173"/>
      <c r="S2164" s="174"/>
      <c r="T2164" s="173"/>
      <c r="U2164" s="182"/>
      <c r="V2164" s="177">
        <f>IF(U2164=0,0,IF(T2164="MXN",1/HLOOKUP(YEAR(S2164)+(MONTH(S2164)/100),TC!$5:$37,DAY(S2164)+2,FALSE),VLOOKUP(T2164,Equivalencia!$1:$23,((MAX(Equivalencia!$3:$3)-YEAR(S2164))*14)+MONTH(S2164)+2,FALSE)))</f>
        <v>0</v>
      </c>
      <c r="W2164" s="178">
        <f t="shared" si="209"/>
        <v>0</v>
      </c>
      <c r="X2164" s="481">
        <f t="shared" si="205"/>
        <v>0</v>
      </c>
      <c r="Y2164" s="179"/>
      <c r="Z2164" s="466">
        <f t="shared" si="206"/>
        <v>0</v>
      </c>
      <c r="AA2164" s="473">
        <f t="shared" si="207"/>
        <v>0</v>
      </c>
      <c r="AB2164" s="339">
        <f t="shared" si="208"/>
        <v>0</v>
      </c>
    </row>
    <row r="2165" spans="2:28" ht="20.100000000000001" customHeight="1">
      <c r="B2165" s="172"/>
      <c r="C2165" s="174"/>
      <c r="D2165" s="181"/>
      <c r="E2165" s="173"/>
      <c r="F2165" s="176"/>
      <c r="G2165" s="175">
        <f t="shared" si="210"/>
        <v>0</v>
      </c>
      <c r="H2165" s="175">
        <f t="shared" si="203"/>
        <v>0</v>
      </c>
      <c r="I2165" s="177">
        <f>IF(G2165=0,0,IF(E2165="MXN",1/HLOOKUP(YEAR(C2165)+(MONTH(C2165)/100),TC!$5:$37,DAY(C2165)+2,FALSE),VLOOKUP(E2165,Equivalencia!$5:$23,((MAX(Equivalencia!$3:$3)-YEAR(C2165))*14)+MONTH(C2165)+2,FALSE)))</f>
        <v>0</v>
      </c>
      <c r="J2165" s="178">
        <f t="shared" si="211"/>
        <v>0</v>
      </c>
      <c r="K2165" s="462">
        <f>IF(C2165=0,0,VLOOKUP(YEAR(C2165),INPC!$B$4:$O$29,MONTH(C2165)+1))</f>
        <v>0</v>
      </c>
      <c r="L2165" s="462">
        <f>IF(S2165=0,0,VLOOKUP(YEAR(S2165),INPC!$B$4:$O$29,MONTH(S2165)+1))</f>
        <v>0</v>
      </c>
      <c r="M2165" s="463">
        <f t="shared" si="204"/>
        <v>0</v>
      </c>
      <c r="N2165" s="465">
        <f t="shared" si="212"/>
        <v>0</v>
      </c>
      <c r="O2165" s="179"/>
      <c r="P2165" s="180"/>
      <c r="Q2165" s="173"/>
      <c r="R2165" s="173"/>
      <c r="S2165" s="174"/>
      <c r="T2165" s="173"/>
      <c r="U2165" s="182"/>
      <c r="V2165" s="177">
        <f>IF(U2165=0,0,IF(T2165="MXN",1/HLOOKUP(YEAR(S2165)+(MONTH(S2165)/100),TC!$5:$37,DAY(S2165)+2,FALSE),VLOOKUP(T2165,Equivalencia!$1:$23,((MAX(Equivalencia!$3:$3)-YEAR(S2165))*14)+MONTH(S2165)+2,FALSE)))</f>
        <v>0</v>
      </c>
      <c r="W2165" s="178">
        <f t="shared" si="209"/>
        <v>0</v>
      </c>
      <c r="X2165" s="481">
        <f t="shared" si="205"/>
        <v>0</v>
      </c>
      <c r="Y2165" s="179"/>
      <c r="Z2165" s="466">
        <f t="shared" si="206"/>
        <v>0</v>
      </c>
      <c r="AA2165" s="473">
        <f t="shared" si="207"/>
        <v>0</v>
      </c>
      <c r="AB2165" s="339">
        <f t="shared" si="208"/>
        <v>0</v>
      </c>
    </row>
    <row r="2166" spans="2:28" ht="20.100000000000001" customHeight="1">
      <c r="B2166" s="172"/>
      <c r="C2166" s="174"/>
      <c r="D2166" s="181"/>
      <c r="E2166" s="173"/>
      <c r="F2166" s="176"/>
      <c r="G2166" s="175">
        <f t="shared" si="210"/>
        <v>0</v>
      </c>
      <c r="H2166" s="175">
        <f t="shared" si="203"/>
        <v>0</v>
      </c>
      <c r="I2166" s="177">
        <f>IF(G2166=0,0,IF(E2166="MXN",1/HLOOKUP(YEAR(C2166)+(MONTH(C2166)/100),TC!$5:$37,DAY(C2166)+2,FALSE),VLOOKUP(E2166,Equivalencia!$5:$23,((MAX(Equivalencia!$3:$3)-YEAR(C2166))*14)+MONTH(C2166)+2,FALSE)))</f>
        <v>0</v>
      </c>
      <c r="J2166" s="178">
        <f t="shared" si="211"/>
        <v>0</v>
      </c>
      <c r="K2166" s="462">
        <f>IF(C2166=0,0,VLOOKUP(YEAR(C2166),INPC!$B$4:$O$29,MONTH(C2166)+1))</f>
        <v>0</v>
      </c>
      <c r="L2166" s="462">
        <f>IF(S2166=0,0,VLOOKUP(YEAR(S2166),INPC!$B$4:$O$29,MONTH(S2166)+1))</f>
        <v>0</v>
      </c>
      <c r="M2166" s="463">
        <f t="shared" si="204"/>
        <v>0</v>
      </c>
      <c r="N2166" s="465">
        <f t="shared" si="212"/>
        <v>0</v>
      </c>
      <c r="O2166" s="179"/>
      <c r="P2166" s="180"/>
      <c r="Q2166" s="173"/>
      <c r="R2166" s="173"/>
      <c r="S2166" s="174"/>
      <c r="T2166" s="173"/>
      <c r="U2166" s="182"/>
      <c r="V2166" s="177">
        <f>IF(U2166=0,0,IF(T2166="MXN",1/HLOOKUP(YEAR(S2166)+(MONTH(S2166)/100),TC!$5:$37,DAY(S2166)+2,FALSE),VLOOKUP(T2166,Equivalencia!$1:$23,((MAX(Equivalencia!$3:$3)-YEAR(S2166))*14)+MONTH(S2166)+2,FALSE)))</f>
        <v>0</v>
      </c>
      <c r="W2166" s="178">
        <f t="shared" si="209"/>
        <v>0</v>
      </c>
      <c r="X2166" s="481">
        <f t="shared" si="205"/>
        <v>0</v>
      </c>
      <c r="Y2166" s="179"/>
      <c r="Z2166" s="466">
        <f t="shared" si="206"/>
        <v>0</v>
      </c>
      <c r="AA2166" s="473">
        <f t="shared" si="207"/>
        <v>0</v>
      </c>
      <c r="AB2166" s="339">
        <f t="shared" si="208"/>
        <v>0</v>
      </c>
    </row>
    <row r="2167" spans="2:28" ht="20.100000000000001" customHeight="1">
      <c r="B2167" s="172"/>
      <c r="C2167" s="174"/>
      <c r="D2167" s="181"/>
      <c r="E2167" s="173"/>
      <c r="F2167" s="176"/>
      <c r="G2167" s="175">
        <f t="shared" si="210"/>
        <v>0</v>
      </c>
      <c r="H2167" s="175">
        <f t="shared" si="203"/>
        <v>0</v>
      </c>
      <c r="I2167" s="177">
        <f>IF(G2167=0,0,IF(E2167="MXN",1/HLOOKUP(YEAR(C2167)+(MONTH(C2167)/100),TC!$5:$37,DAY(C2167)+2,FALSE),VLOOKUP(E2167,Equivalencia!$5:$23,((MAX(Equivalencia!$3:$3)-YEAR(C2167))*14)+MONTH(C2167)+2,FALSE)))</f>
        <v>0</v>
      </c>
      <c r="J2167" s="178">
        <f t="shared" si="211"/>
        <v>0</v>
      </c>
      <c r="K2167" s="462">
        <f>IF(C2167=0,0,VLOOKUP(YEAR(C2167),INPC!$B$4:$O$29,MONTH(C2167)+1))</f>
        <v>0</v>
      </c>
      <c r="L2167" s="462">
        <f>IF(S2167=0,0,VLOOKUP(YEAR(S2167),INPC!$B$4:$O$29,MONTH(S2167)+1))</f>
        <v>0</v>
      </c>
      <c r="M2167" s="463">
        <f t="shared" si="204"/>
        <v>0</v>
      </c>
      <c r="N2167" s="465">
        <f t="shared" si="212"/>
        <v>0</v>
      </c>
      <c r="O2167" s="179"/>
      <c r="P2167" s="180"/>
      <c r="Q2167" s="173"/>
      <c r="R2167" s="173"/>
      <c r="S2167" s="174"/>
      <c r="T2167" s="173"/>
      <c r="U2167" s="182"/>
      <c r="V2167" s="177">
        <f>IF(U2167=0,0,IF(T2167="MXN",1/HLOOKUP(YEAR(S2167)+(MONTH(S2167)/100),TC!$5:$37,DAY(S2167)+2,FALSE),VLOOKUP(T2167,Equivalencia!$1:$23,((MAX(Equivalencia!$3:$3)-YEAR(S2167))*14)+MONTH(S2167)+2,FALSE)))</f>
        <v>0</v>
      </c>
      <c r="W2167" s="178">
        <f t="shared" si="209"/>
        <v>0</v>
      </c>
      <c r="X2167" s="481">
        <f t="shared" si="205"/>
        <v>0</v>
      </c>
      <c r="Y2167" s="179"/>
      <c r="Z2167" s="466">
        <f t="shared" si="206"/>
        <v>0</v>
      </c>
      <c r="AA2167" s="473">
        <f t="shared" si="207"/>
        <v>0</v>
      </c>
      <c r="AB2167" s="339">
        <f t="shared" si="208"/>
        <v>0</v>
      </c>
    </row>
    <row r="2168" spans="2:28" ht="20.100000000000001" customHeight="1">
      <c r="B2168" s="172"/>
      <c r="C2168" s="174"/>
      <c r="D2168" s="181"/>
      <c r="E2168" s="173"/>
      <c r="F2168" s="176"/>
      <c r="G2168" s="175">
        <f t="shared" si="210"/>
        <v>0</v>
      </c>
      <c r="H2168" s="175">
        <f t="shared" si="203"/>
        <v>0</v>
      </c>
      <c r="I2168" s="177">
        <f>IF(G2168=0,0,IF(E2168="MXN",1/HLOOKUP(YEAR(C2168)+(MONTH(C2168)/100),TC!$5:$37,DAY(C2168)+2,FALSE),VLOOKUP(E2168,Equivalencia!$5:$23,((MAX(Equivalencia!$3:$3)-YEAR(C2168))*14)+MONTH(C2168)+2,FALSE)))</f>
        <v>0</v>
      </c>
      <c r="J2168" s="178">
        <f t="shared" si="211"/>
        <v>0</v>
      </c>
      <c r="K2168" s="462">
        <f>IF(C2168=0,0,VLOOKUP(YEAR(C2168),INPC!$B$4:$O$29,MONTH(C2168)+1))</f>
        <v>0</v>
      </c>
      <c r="L2168" s="462">
        <f>IF(S2168=0,0,VLOOKUP(YEAR(S2168),INPC!$B$4:$O$29,MONTH(S2168)+1))</f>
        <v>0</v>
      </c>
      <c r="M2168" s="463">
        <f t="shared" si="204"/>
        <v>0</v>
      </c>
      <c r="N2168" s="465">
        <f t="shared" si="212"/>
        <v>0</v>
      </c>
      <c r="O2168" s="179"/>
      <c r="P2168" s="180"/>
      <c r="Q2168" s="173"/>
      <c r="R2168" s="173"/>
      <c r="S2168" s="174"/>
      <c r="T2168" s="173"/>
      <c r="U2168" s="182"/>
      <c r="V2168" s="177">
        <f>IF(U2168=0,0,IF(T2168="MXN",1/HLOOKUP(YEAR(S2168)+(MONTH(S2168)/100),TC!$5:$37,DAY(S2168)+2,FALSE),VLOOKUP(T2168,Equivalencia!$1:$23,((MAX(Equivalencia!$3:$3)-YEAR(S2168))*14)+MONTH(S2168)+2,FALSE)))</f>
        <v>0</v>
      </c>
      <c r="W2168" s="178">
        <f t="shared" si="209"/>
        <v>0</v>
      </c>
      <c r="X2168" s="481">
        <f t="shared" si="205"/>
        <v>0</v>
      </c>
      <c r="Y2168" s="179"/>
      <c r="Z2168" s="466">
        <f t="shared" si="206"/>
        <v>0</v>
      </c>
      <c r="AA2168" s="473">
        <f t="shared" si="207"/>
        <v>0</v>
      </c>
      <c r="AB2168" s="339">
        <f t="shared" si="208"/>
        <v>0</v>
      </c>
    </row>
    <row r="2169" spans="2:28" ht="20.100000000000001" customHeight="1">
      <c r="B2169" s="172"/>
      <c r="C2169" s="174"/>
      <c r="D2169" s="181"/>
      <c r="E2169" s="173"/>
      <c r="F2169" s="176"/>
      <c r="G2169" s="175">
        <f t="shared" si="210"/>
        <v>0</v>
      </c>
      <c r="H2169" s="175">
        <f t="shared" si="203"/>
        <v>0</v>
      </c>
      <c r="I2169" s="177">
        <f>IF(G2169=0,0,IF(E2169="MXN",1/HLOOKUP(YEAR(C2169)+(MONTH(C2169)/100),TC!$5:$37,DAY(C2169)+2,FALSE),VLOOKUP(E2169,Equivalencia!$5:$23,((MAX(Equivalencia!$3:$3)-YEAR(C2169))*14)+MONTH(C2169)+2,FALSE)))</f>
        <v>0</v>
      </c>
      <c r="J2169" s="178">
        <f t="shared" si="211"/>
        <v>0</v>
      </c>
      <c r="K2169" s="462">
        <f>IF(C2169=0,0,VLOOKUP(YEAR(C2169),INPC!$B$4:$O$29,MONTH(C2169)+1))</f>
        <v>0</v>
      </c>
      <c r="L2169" s="462">
        <f>IF(S2169=0,0,VLOOKUP(YEAR(S2169),INPC!$B$4:$O$29,MONTH(S2169)+1))</f>
        <v>0</v>
      </c>
      <c r="M2169" s="463">
        <f t="shared" si="204"/>
        <v>0</v>
      </c>
      <c r="N2169" s="465">
        <f t="shared" si="212"/>
        <v>0</v>
      </c>
      <c r="O2169" s="179"/>
      <c r="P2169" s="180"/>
      <c r="Q2169" s="173"/>
      <c r="R2169" s="173"/>
      <c r="S2169" s="174"/>
      <c r="T2169" s="173"/>
      <c r="U2169" s="182"/>
      <c r="V2169" s="177">
        <f>IF(U2169=0,0,IF(T2169="MXN",1/HLOOKUP(YEAR(S2169)+(MONTH(S2169)/100),TC!$5:$37,DAY(S2169)+2,FALSE),VLOOKUP(T2169,Equivalencia!$1:$23,((MAX(Equivalencia!$3:$3)-YEAR(S2169))*14)+MONTH(S2169)+2,FALSE)))</f>
        <v>0</v>
      </c>
      <c r="W2169" s="178">
        <f t="shared" si="209"/>
        <v>0</v>
      </c>
      <c r="X2169" s="481">
        <f t="shared" si="205"/>
        <v>0</v>
      </c>
      <c r="Y2169" s="179"/>
      <c r="Z2169" s="466">
        <f t="shared" si="206"/>
        <v>0</v>
      </c>
      <c r="AA2169" s="473">
        <f t="shared" si="207"/>
        <v>0</v>
      </c>
      <c r="AB2169" s="339">
        <f t="shared" si="208"/>
        <v>0</v>
      </c>
    </row>
    <row r="2170" spans="2:28" ht="20.100000000000001" customHeight="1">
      <c r="B2170" s="172"/>
      <c r="C2170" s="174"/>
      <c r="D2170" s="181"/>
      <c r="E2170" s="173"/>
      <c r="F2170" s="176"/>
      <c r="G2170" s="175">
        <f t="shared" si="210"/>
        <v>0</v>
      </c>
      <c r="H2170" s="175">
        <f t="shared" si="203"/>
        <v>0</v>
      </c>
      <c r="I2170" s="177">
        <f>IF(G2170=0,0,IF(E2170="MXN",1/HLOOKUP(YEAR(C2170)+(MONTH(C2170)/100),TC!$5:$37,DAY(C2170)+2,FALSE),VLOOKUP(E2170,Equivalencia!$5:$23,((MAX(Equivalencia!$3:$3)-YEAR(C2170))*14)+MONTH(C2170)+2,FALSE)))</f>
        <v>0</v>
      </c>
      <c r="J2170" s="178">
        <f t="shared" si="211"/>
        <v>0</v>
      </c>
      <c r="K2170" s="462">
        <f>IF(C2170=0,0,VLOOKUP(YEAR(C2170),INPC!$B$4:$O$29,MONTH(C2170)+1))</f>
        <v>0</v>
      </c>
      <c r="L2170" s="462">
        <f>IF(S2170=0,0,VLOOKUP(YEAR(S2170),INPC!$B$4:$O$29,MONTH(S2170)+1))</f>
        <v>0</v>
      </c>
      <c r="M2170" s="463">
        <f t="shared" si="204"/>
        <v>0</v>
      </c>
      <c r="N2170" s="465">
        <f t="shared" si="212"/>
        <v>0</v>
      </c>
      <c r="O2170" s="179"/>
      <c r="P2170" s="180"/>
      <c r="Q2170" s="173"/>
      <c r="R2170" s="173"/>
      <c r="S2170" s="174"/>
      <c r="T2170" s="173"/>
      <c r="U2170" s="182"/>
      <c r="V2170" s="177">
        <f>IF(U2170=0,0,IF(T2170="MXN",1/HLOOKUP(YEAR(S2170)+(MONTH(S2170)/100),TC!$5:$37,DAY(S2170)+2,FALSE),VLOOKUP(T2170,Equivalencia!$1:$23,((MAX(Equivalencia!$3:$3)-YEAR(S2170))*14)+MONTH(S2170)+2,FALSE)))</f>
        <v>0</v>
      </c>
      <c r="W2170" s="178">
        <f t="shared" si="209"/>
        <v>0</v>
      </c>
      <c r="X2170" s="481">
        <f t="shared" si="205"/>
        <v>0</v>
      </c>
      <c r="Y2170" s="179"/>
      <c r="Z2170" s="466">
        <f t="shared" si="206"/>
        <v>0</v>
      </c>
      <c r="AA2170" s="473">
        <f t="shared" si="207"/>
        <v>0</v>
      </c>
      <c r="AB2170" s="339">
        <f t="shared" si="208"/>
        <v>0</v>
      </c>
    </row>
    <row r="2171" spans="2:28" ht="20.100000000000001" customHeight="1">
      <c r="B2171" s="172"/>
      <c r="C2171" s="174"/>
      <c r="D2171" s="181"/>
      <c r="E2171" s="173"/>
      <c r="F2171" s="176"/>
      <c r="G2171" s="175">
        <f t="shared" si="210"/>
        <v>0</v>
      </c>
      <c r="H2171" s="175">
        <f t="shared" si="203"/>
        <v>0</v>
      </c>
      <c r="I2171" s="177">
        <f>IF(G2171=0,0,IF(E2171="MXN",1/HLOOKUP(YEAR(C2171)+(MONTH(C2171)/100),TC!$5:$37,DAY(C2171)+2,FALSE),VLOOKUP(E2171,Equivalencia!$5:$23,((MAX(Equivalencia!$3:$3)-YEAR(C2171))*14)+MONTH(C2171)+2,FALSE)))</f>
        <v>0</v>
      </c>
      <c r="J2171" s="178">
        <f t="shared" si="211"/>
        <v>0</v>
      </c>
      <c r="K2171" s="462">
        <f>IF(C2171=0,0,VLOOKUP(YEAR(C2171),INPC!$B$4:$O$29,MONTH(C2171)+1))</f>
        <v>0</v>
      </c>
      <c r="L2171" s="462">
        <f>IF(S2171=0,0,VLOOKUP(YEAR(S2171),INPC!$B$4:$O$29,MONTH(S2171)+1))</f>
        <v>0</v>
      </c>
      <c r="M2171" s="463">
        <f t="shared" si="204"/>
        <v>0</v>
      </c>
      <c r="N2171" s="465">
        <f t="shared" si="212"/>
        <v>0</v>
      </c>
      <c r="O2171" s="179"/>
      <c r="P2171" s="180"/>
      <c r="Q2171" s="173"/>
      <c r="R2171" s="173"/>
      <c r="S2171" s="174"/>
      <c r="T2171" s="173"/>
      <c r="U2171" s="182"/>
      <c r="V2171" s="177">
        <f>IF(U2171=0,0,IF(T2171="MXN",1/HLOOKUP(YEAR(S2171)+(MONTH(S2171)/100),TC!$5:$37,DAY(S2171)+2,FALSE),VLOOKUP(T2171,Equivalencia!$1:$23,((MAX(Equivalencia!$3:$3)-YEAR(S2171))*14)+MONTH(S2171)+2,FALSE)))</f>
        <v>0</v>
      </c>
      <c r="W2171" s="178">
        <f t="shared" si="209"/>
        <v>0</v>
      </c>
      <c r="X2171" s="481">
        <f t="shared" si="205"/>
        <v>0</v>
      </c>
      <c r="Y2171" s="179"/>
      <c r="Z2171" s="466">
        <f t="shared" si="206"/>
        <v>0</v>
      </c>
      <c r="AA2171" s="473">
        <f t="shared" si="207"/>
        <v>0</v>
      </c>
      <c r="AB2171" s="339">
        <f t="shared" si="208"/>
        <v>0</v>
      </c>
    </row>
    <row r="2172" spans="2:28" ht="20.100000000000001" customHeight="1">
      <c r="B2172" s="172"/>
      <c r="C2172" s="174"/>
      <c r="D2172" s="181"/>
      <c r="E2172" s="173"/>
      <c r="F2172" s="176"/>
      <c r="G2172" s="175">
        <f t="shared" si="210"/>
        <v>0</v>
      </c>
      <c r="H2172" s="175">
        <f t="shared" si="203"/>
        <v>0</v>
      </c>
      <c r="I2172" s="177">
        <f>IF(G2172=0,0,IF(E2172="MXN",1/HLOOKUP(YEAR(C2172)+(MONTH(C2172)/100),TC!$5:$37,DAY(C2172)+2,FALSE),VLOOKUP(E2172,Equivalencia!$5:$23,((MAX(Equivalencia!$3:$3)-YEAR(C2172))*14)+MONTH(C2172)+2,FALSE)))</f>
        <v>0</v>
      </c>
      <c r="J2172" s="178">
        <f t="shared" si="211"/>
        <v>0</v>
      </c>
      <c r="K2172" s="462">
        <f>IF(C2172=0,0,VLOOKUP(YEAR(C2172),INPC!$B$4:$O$29,MONTH(C2172)+1))</f>
        <v>0</v>
      </c>
      <c r="L2172" s="462">
        <f>IF(S2172=0,0,VLOOKUP(YEAR(S2172),INPC!$B$4:$O$29,MONTH(S2172)+1))</f>
        <v>0</v>
      </c>
      <c r="M2172" s="463">
        <f t="shared" si="204"/>
        <v>0</v>
      </c>
      <c r="N2172" s="465">
        <f t="shared" si="212"/>
        <v>0</v>
      </c>
      <c r="O2172" s="179"/>
      <c r="P2172" s="180"/>
      <c r="Q2172" s="173"/>
      <c r="R2172" s="173"/>
      <c r="S2172" s="174"/>
      <c r="T2172" s="173"/>
      <c r="U2172" s="182"/>
      <c r="V2172" s="177">
        <f>IF(U2172=0,0,IF(T2172="MXN",1/HLOOKUP(YEAR(S2172)+(MONTH(S2172)/100),TC!$5:$37,DAY(S2172)+2,FALSE),VLOOKUP(T2172,Equivalencia!$1:$23,((MAX(Equivalencia!$3:$3)-YEAR(S2172))*14)+MONTH(S2172)+2,FALSE)))</f>
        <v>0</v>
      </c>
      <c r="W2172" s="178">
        <f t="shared" si="209"/>
        <v>0</v>
      </c>
      <c r="X2172" s="481">
        <f t="shared" si="205"/>
        <v>0</v>
      </c>
      <c r="Y2172" s="179"/>
      <c r="Z2172" s="466">
        <f t="shared" si="206"/>
        <v>0</v>
      </c>
      <c r="AA2172" s="473">
        <f t="shared" si="207"/>
        <v>0</v>
      </c>
      <c r="AB2172" s="339">
        <f t="shared" si="208"/>
        <v>0</v>
      </c>
    </row>
    <row r="2173" spans="2:28" ht="20.100000000000001" customHeight="1">
      <c r="B2173" s="172"/>
      <c r="C2173" s="174"/>
      <c r="D2173" s="181"/>
      <c r="E2173" s="173"/>
      <c r="F2173" s="176"/>
      <c r="G2173" s="175">
        <f t="shared" si="210"/>
        <v>0</v>
      </c>
      <c r="H2173" s="175">
        <f t="shared" si="203"/>
        <v>0</v>
      </c>
      <c r="I2173" s="177">
        <f>IF(G2173=0,0,IF(E2173="MXN",1/HLOOKUP(YEAR(C2173)+(MONTH(C2173)/100),TC!$5:$37,DAY(C2173)+2,FALSE),VLOOKUP(E2173,Equivalencia!$5:$23,((MAX(Equivalencia!$3:$3)-YEAR(C2173))*14)+MONTH(C2173)+2,FALSE)))</f>
        <v>0</v>
      </c>
      <c r="J2173" s="178">
        <f t="shared" si="211"/>
        <v>0</v>
      </c>
      <c r="K2173" s="462">
        <f>IF(C2173=0,0,VLOOKUP(YEAR(C2173),INPC!$B$4:$O$29,MONTH(C2173)+1))</f>
        <v>0</v>
      </c>
      <c r="L2173" s="462">
        <f>IF(S2173=0,0,VLOOKUP(YEAR(S2173),INPC!$B$4:$O$29,MONTH(S2173)+1))</f>
        <v>0</v>
      </c>
      <c r="M2173" s="463">
        <f t="shared" si="204"/>
        <v>0</v>
      </c>
      <c r="N2173" s="465">
        <f t="shared" si="212"/>
        <v>0</v>
      </c>
      <c r="O2173" s="179"/>
      <c r="P2173" s="180"/>
      <c r="Q2173" s="173"/>
      <c r="R2173" s="173"/>
      <c r="S2173" s="174"/>
      <c r="T2173" s="173"/>
      <c r="U2173" s="182"/>
      <c r="V2173" s="177">
        <f>IF(U2173=0,0,IF(T2173="MXN",1/HLOOKUP(YEAR(S2173)+(MONTH(S2173)/100),TC!$5:$37,DAY(S2173)+2,FALSE),VLOOKUP(T2173,Equivalencia!$1:$23,((MAX(Equivalencia!$3:$3)-YEAR(S2173))*14)+MONTH(S2173)+2,FALSE)))</f>
        <v>0</v>
      </c>
      <c r="W2173" s="178">
        <f t="shared" si="209"/>
        <v>0</v>
      </c>
      <c r="X2173" s="481">
        <f t="shared" si="205"/>
        <v>0</v>
      </c>
      <c r="Y2173" s="179"/>
      <c r="Z2173" s="466">
        <f t="shared" si="206"/>
        <v>0</v>
      </c>
      <c r="AA2173" s="473">
        <f t="shared" si="207"/>
        <v>0</v>
      </c>
      <c r="AB2173" s="339">
        <f t="shared" si="208"/>
        <v>0</v>
      </c>
    </row>
    <row r="2174" spans="2:28" ht="20.100000000000001" customHeight="1">
      <c r="B2174" s="172"/>
      <c r="C2174" s="174"/>
      <c r="D2174" s="181"/>
      <c r="E2174" s="173"/>
      <c r="F2174" s="176"/>
      <c r="G2174" s="175">
        <f t="shared" si="210"/>
        <v>0</v>
      </c>
      <c r="H2174" s="175">
        <f t="shared" si="203"/>
        <v>0</v>
      </c>
      <c r="I2174" s="177">
        <f>IF(G2174=0,0,IF(E2174="MXN",1/HLOOKUP(YEAR(C2174)+(MONTH(C2174)/100),TC!$5:$37,DAY(C2174)+2,FALSE),VLOOKUP(E2174,Equivalencia!$5:$23,((MAX(Equivalencia!$3:$3)-YEAR(C2174))*14)+MONTH(C2174)+2,FALSE)))</f>
        <v>0</v>
      </c>
      <c r="J2174" s="178">
        <f t="shared" si="211"/>
        <v>0</v>
      </c>
      <c r="K2174" s="462">
        <f>IF(C2174=0,0,VLOOKUP(YEAR(C2174),INPC!$B$4:$O$29,MONTH(C2174)+1))</f>
        <v>0</v>
      </c>
      <c r="L2174" s="462">
        <f>IF(S2174=0,0,VLOOKUP(YEAR(S2174),INPC!$B$4:$O$29,MONTH(S2174)+1))</f>
        <v>0</v>
      </c>
      <c r="M2174" s="463">
        <f t="shared" si="204"/>
        <v>0</v>
      </c>
      <c r="N2174" s="465">
        <f t="shared" si="212"/>
        <v>0</v>
      </c>
      <c r="O2174" s="179"/>
      <c r="P2174" s="180"/>
      <c r="Q2174" s="173"/>
      <c r="R2174" s="173"/>
      <c r="S2174" s="174"/>
      <c r="T2174" s="173"/>
      <c r="U2174" s="182"/>
      <c r="V2174" s="177">
        <f>IF(U2174=0,0,IF(T2174="MXN",1/HLOOKUP(YEAR(S2174)+(MONTH(S2174)/100),TC!$5:$37,DAY(S2174)+2,FALSE),VLOOKUP(T2174,Equivalencia!$1:$23,((MAX(Equivalencia!$3:$3)-YEAR(S2174))*14)+MONTH(S2174)+2,FALSE)))</f>
        <v>0</v>
      </c>
      <c r="W2174" s="178">
        <f t="shared" si="209"/>
        <v>0</v>
      </c>
      <c r="X2174" s="481">
        <f t="shared" si="205"/>
        <v>0</v>
      </c>
      <c r="Y2174" s="179"/>
      <c r="Z2174" s="466">
        <f t="shared" si="206"/>
        <v>0</v>
      </c>
      <c r="AA2174" s="473">
        <f t="shared" si="207"/>
        <v>0</v>
      </c>
      <c r="AB2174" s="339">
        <f t="shared" si="208"/>
        <v>0</v>
      </c>
    </row>
    <row r="2175" spans="2:28" ht="20.100000000000001" customHeight="1">
      <c r="B2175" s="172"/>
      <c r="C2175" s="174"/>
      <c r="D2175" s="181"/>
      <c r="E2175" s="173"/>
      <c r="F2175" s="176"/>
      <c r="G2175" s="175">
        <f t="shared" si="210"/>
        <v>0</v>
      </c>
      <c r="H2175" s="175">
        <f t="shared" si="203"/>
        <v>0</v>
      </c>
      <c r="I2175" s="177">
        <f>IF(G2175=0,0,IF(E2175="MXN",1/HLOOKUP(YEAR(C2175)+(MONTH(C2175)/100),TC!$5:$37,DAY(C2175)+2,FALSE),VLOOKUP(E2175,Equivalencia!$5:$23,((MAX(Equivalencia!$3:$3)-YEAR(C2175))*14)+MONTH(C2175)+2,FALSE)))</f>
        <v>0</v>
      </c>
      <c r="J2175" s="178">
        <f t="shared" si="211"/>
        <v>0</v>
      </c>
      <c r="K2175" s="462">
        <f>IF(C2175=0,0,VLOOKUP(YEAR(C2175),INPC!$B$4:$O$29,MONTH(C2175)+1))</f>
        <v>0</v>
      </c>
      <c r="L2175" s="462">
        <f>IF(S2175=0,0,VLOOKUP(YEAR(S2175),INPC!$B$4:$O$29,MONTH(S2175)+1))</f>
        <v>0</v>
      </c>
      <c r="M2175" s="463">
        <f t="shared" si="204"/>
        <v>0</v>
      </c>
      <c r="N2175" s="465">
        <f t="shared" si="212"/>
        <v>0</v>
      </c>
      <c r="O2175" s="179"/>
      <c r="P2175" s="180"/>
      <c r="Q2175" s="173"/>
      <c r="R2175" s="173"/>
      <c r="S2175" s="174"/>
      <c r="T2175" s="173"/>
      <c r="U2175" s="182"/>
      <c r="V2175" s="177">
        <f>IF(U2175=0,0,IF(T2175="MXN",1/HLOOKUP(YEAR(S2175)+(MONTH(S2175)/100),TC!$5:$37,DAY(S2175)+2,FALSE),VLOOKUP(T2175,Equivalencia!$1:$23,((MAX(Equivalencia!$3:$3)-YEAR(S2175))*14)+MONTH(S2175)+2,FALSE)))</f>
        <v>0</v>
      </c>
      <c r="W2175" s="178">
        <f t="shared" si="209"/>
        <v>0</v>
      </c>
      <c r="X2175" s="481">
        <f t="shared" si="205"/>
        <v>0</v>
      </c>
      <c r="Y2175" s="179"/>
      <c r="Z2175" s="466">
        <f t="shared" si="206"/>
        <v>0</v>
      </c>
      <c r="AA2175" s="473">
        <f t="shared" si="207"/>
        <v>0</v>
      </c>
      <c r="AB2175" s="339">
        <f t="shared" si="208"/>
        <v>0</v>
      </c>
    </row>
    <row r="2176" spans="2:28" ht="20.100000000000001" customHeight="1">
      <c r="B2176" s="172"/>
      <c r="C2176" s="174"/>
      <c r="D2176" s="181"/>
      <c r="E2176" s="173"/>
      <c r="F2176" s="176"/>
      <c r="G2176" s="175">
        <f t="shared" si="210"/>
        <v>0</v>
      </c>
      <c r="H2176" s="175">
        <f t="shared" si="203"/>
        <v>0</v>
      </c>
      <c r="I2176" s="177">
        <f>IF(G2176=0,0,IF(E2176="MXN",1/HLOOKUP(YEAR(C2176)+(MONTH(C2176)/100),TC!$5:$37,DAY(C2176)+2,FALSE),VLOOKUP(E2176,Equivalencia!$5:$23,((MAX(Equivalencia!$3:$3)-YEAR(C2176))*14)+MONTH(C2176)+2,FALSE)))</f>
        <v>0</v>
      </c>
      <c r="J2176" s="178">
        <f t="shared" si="211"/>
        <v>0</v>
      </c>
      <c r="K2176" s="462">
        <f>IF(C2176=0,0,VLOOKUP(YEAR(C2176),INPC!$B$4:$O$29,MONTH(C2176)+1))</f>
        <v>0</v>
      </c>
      <c r="L2176" s="462">
        <f>IF(S2176=0,0,VLOOKUP(YEAR(S2176),INPC!$B$4:$O$29,MONTH(S2176)+1))</f>
        <v>0</v>
      </c>
      <c r="M2176" s="463">
        <f t="shared" si="204"/>
        <v>0</v>
      </c>
      <c r="N2176" s="465">
        <f t="shared" si="212"/>
        <v>0</v>
      </c>
      <c r="O2176" s="179"/>
      <c r="P2176" s="180"/>
      <c r="Q2176" s="173"/>
      <c r="R2176" s="173"/>
      <c r="S2176" s="174"/>
      <c r="T2176" s="173"/>
      <c r="U2176" s="182"/>
      <c r="V2176" s="177">
        <f>IF(U2176=0,0,IF(T2176="MXN",1/HLOOKUP(YEAR(S2176)+(MONTH(S2176)/100),TC!$5:$37,DAY(S2176)+2,FALSE),VLOOKUP(T2176,Equivalencia!$1:$23,((MAX(Equivalencia!$3:$3)-YEAR(S2176))*14)+MONTH(S2176)+2,FALSE)))</f>
        <v>0</v>
      </c>
      <c r="W2176" s="178">
        <f t="shared" si="209"/>
        <v>0</v>
      </c>
      <c r="X2176" s="481">
        <f t="shared" si="205"/>
        <v>0</v>
      </c>
      <c r="Y2176" s="179"/>
      <c r="Z2176" s="466">
        <f t="shared" si="206"/>
        <v>0</v>
      </c>
      <c r="AA2176" s="473">
        <f t="shared" si="207"/>
        <v>0</v>
      </c>
      <c r="AB2176" s="339">
        <f t="shared" si="208"/>
        <v>0</v>
      </c>
    </row>
    <row r="2177" spans="2:28" ht="20.100000000000001" customHeight="1">
      <c r="B2177" s="172"/>
      <c r="C2177" s="174"/>
      <c r="D2177" s="181"/>
      <c r="E2177" s="173"/>
      <c r="F2177" s="176"/>
      <c r="G2177" s="175">
        <f t="shared" si="210"/>
        <v>0</v>
      </c>
      <c r="H2177" s="175">
        <f t="shared" si="203"/>
        <v>0</v>
      </c>
      <c r="I2177" s="177">
        <f>IF(G2177=0,0,IF(E2177="MXN",1/HLOOKUP(YEAR(C2177)+(MONTH(C2177)/100),TC!$5:$37,DAY(C2177)+2,FALSE),VLOOKUP(E2177,Equivalencia!$5:$23,((MAX(Equivalencia!$3:$3)-YEAR(C2177))*14)+MONTH(C2177)+2,FALSE)))</f>
        <v>0</v>
      </c>
      <c r="J2177" s="178">
        <f t="shared" si="211"/>
        <v>0</v>
      </c>
      <c r="K2177" s="462">
        <f>IF(C2177=0,0,VLOOKUP(YEAR(C2177),INPC!$B$4:$O$29,MONTH(C2177)+1))</f>
        <v>0</v>
      </c>
      <c r="L2177" s="462">
        <f>IF(S2177=0,0,VLOOKUP(YEAR(S2177),INPC!$B$4:$O$29,MONTH(S2177)+1))</f>
        <v>0</v>
      </c>
      <c r="M2177" s="463">
        <f t="shared" si="204"/>
        <v>0</v>
      </c>
      <c r="N2177" s="465">
        <f t="shared" si="212"/>
        <v>0</v>
      </c>
      <c r="O2177" s="179"/>
      <c r="P2177" s="180"/>
      <c r="Q2177" s="173"/>
      <c r="R2177" s="173"/>
      <c r="S2177" s="174"/>
      <c r="T2177" s="173"/>
      <c r="U2177" s="182"/>
      <c r="V2177" s="177">
        <f>IF(U2177=0,0,IF(T2177="MXN",1/HLOOKUP(YEAR(S2177)+(MONTH(S2177)/100),TC!$5:$37,DAY(S2177)+2,FALSE),VLOOKUP(T2177,Equivalencia!$1:$23,((MAX(Equivalencia!$3:$3)-YEAR(S2177))*14)+MONTH(S2177)+2,FALSE)))</f>
        <v>0</v>
      </c>
      <c r="W2177" s="178">
        <f t="shared" si="209"/>
        <v>0</v>
      </c>
      <c r="X2177" s="481">
        <f t="shared" si="205"/>
        <v>0</v>
      </c>
      <c r="Y2177" s="179"/>
      <c r="Z2177" s="466">
        <f t="shared" si="206"/>
        <v>0</v>
      </c>
      <c r="AA2177" s="473">
        <f t="shared" si="207"/>
        <v>0</v>
      </c>
      <c r="AB2177" s="339">
        <f t="shared" si="208"/>
        <v>0</v>
      </c>
    </row>
    <row r="2178" spans="2:28" ht="20.100000000000001" customHeight="1">
      <c r="B2178" s="172"/>
      <c r="C2178" s="174"/>
      <c r="D2178" s="181"/>
      <c r="E2178" s="173"/>
      <c r="F2178" s="176"/>
      <c r="G2178" s="175">
        <f t="shared" si="210"/>
        <v>0</v>
      </c>
      <c r="H2178" s="175">
        <f t="shared" si="203"/>
        <v>0</v>
      </c>
      <c r="I2178" s="177">
        <f>IF(G2178=0,0,IF(E2178="MXN",1/HLOOKUP(YEAR(C2178)+(MONTH(C2178)/100),TC!$5:$37,DAY(C2178)+2,FALSE),VLOOKUP(E2178,Equivalencia!$5:$23,((MAX(Equivalencia!$3:$3)-YEAR(C2178))*14)+MONTH(C2178)+2,FALSE)))</f>
        <v>0</v>
      </c>
      <c r="J2178" s="178">
        <f t="shared" si="211"/>
        <v>0</v>
      </c>
      <c r="K2178" s="462">
        <f>IF(C2178=0,0,VLOOKUP(YEAR(C2178),INPC!$B$4:$O$29,MONTH(C2178)+1))</f>
        <v>0</v>
      </c>
      <c r="L2178" s="462">
        <f>IF(S2178=0,0,VLOOKUP(YEAR(S2178),INPC!$B$4:$O$29,MONTH(S2178)+1))</f>
        <v>0</v>
      </c>
      <c r="M2178" s="463">
        <f t="shared" si="204"/>
        <v>0</v>
      </c>
      <c r="N2178" s="465">
        <f t="shared" si="212"/>
        <v>0</v>
      </c>
      <c r="O2178" s="179"/>
      <c r="P2178" s="180"/>
      <c r="Q2178" s="173"/>
      <c r="R2178" s="173"/>
      <c r="S2178" s="174"/>
      <c r="T2178" s="173"/>
      <c r="U2178" s="182"/>
      <c r="V2178" s="177">
        <f>IF(U2178=0,0,IF(T2178="MXN",1/HLOOKUP(YEAR(S2178)+(MONTH(S2178)/100),TC!$5:$37,DAY(S2178)+2,FALSE),VLOOKUP(T2178,Equivalencia!$1:$23,((MAX(Equivalencia!$3:$3)-YEAR(S2178))*14)+MONTH(S2178)+2,FALSE)))</f>
        <v>0</v>
      </c>
      <c r="W2178" s="178">
        <f t="shared" si="209"/>
        <v>0</v>
      </c>
      <c r="X2178" s="481">
        <f t="shared" si="205"/>
        <v>0</v>
      </c>
      <c r="Y2178" s="179"/>
      <c r="Z2178" s="466">
        <f t="shared" si="206"/>
        <v>0</v>
      </c>
      <c r="AA2178" s="473">
        <f t="shared" si="207"/>
        <v>0</v>
      </c>
      <c r="AB2178" s="339">
        <f t="shared" si="208"/>
        <v>0</v>
      </c>
    </row>
    <row r="2179" spans="2:28" ht="20.100000000000001" customHeight="1">
      <c r="B2179" s="172"/>
      <c r="C2179" s="174"/>
      <c r="D2179" s="181"/>
      <c r="E2179" s="173"/>
      <c r="F2179" s="176"/>
      <c r="G2179" s="175">
        <f t="shared" si="210"/>
        <v>0</v>
      </c>
      <c r="H2179" s="175">
        <f t="shared" si="203"/>
        <v>0</v>
      </c>
      <c r="I2179" s="177">
        <f>IF(G2179=0,0,IF(E2179="MXN",1/HLOOKUP(YEAR(C2179)+(MONTH(C2179)/100),TC!$5:$37,DAY(C2179)+2,FALSE),VLOOKUP(E2179,Equivalencia!$5:$23,((MAX(Equivalencia!$3:$3)-YEAR(C2179))*14)+MONTH(C2179)+2,FALSE)))</f>
        <v>0</v>
      </c>
      <c r="J2179" s="178">
        <f t="shared" si="211"/>
        <v>0</v>
      </c>
      <c r="K2179" s="462">
        <f>IF(C2179=0,0,VLOOKUP(YEAR(C2179),INPC!$B$4:$O$29,MONTH(C2179)+1))</f>
        <v>0</v>
      </c>
      <c r="L2179" s="462">
        <f>IF(S2179=0,0,VLOOKUP(YEAR(S2179),INPC!$B$4:$O$29,MONTH(S2179)+1))</f>
        <v>0</v>
      </c>
      <c r="M2179" s="463">
        <f t="shared" si="204"/>
        <v>0</v>
      </c>
      <c r="N2179" s="465">
        <f t="shared" si="212"/>
        <v>0</v>
      </c>
      <c r="O2179" s="179"/>
      <c r="P2179" s="180"/>
      <c r="Q2179" s="173"/>
      <c r="R2179" s="173"/>
      <c r="S2179" s="174"/>
      <c r="T2179" s="173"/>
      <c r="U2179" s="182"/>
      <c r="V2179" s="177">
        <f>IF(U2179=0,0,IF(T2179="MXN",1/HLOOKUP(YEAR(S2179)+(MONTH(S2179)/100),TC!$5:$37,DAY(S2179)+2,FALSE),VLOOKUP(T2179,Equivalencia!$1:$23,((MAX(Equivalencia!$3:$3)-YEAR(S2179))*14)+MONTH(S2179)+2,FALSE)))</f>
        <v>0</v>
      </c>
      <c r="W2179" s="178">
        <f t="shared" si="209"/>
        <v>0</v>
      </c>
      <c r="X2179" s="481">
        <f t="shared" si="205"/>
        <v>0</v>
      </c>
      <c r="Y2179" s="179"/>
      <c r="Z2179" s="466">
        <f t="shared" si="206"/>
        <v>0</v>
      </c>
      <c r="AA2179" s="473">
        <f t="shared" si="207"/>
        <v>0</v>
      </c>
      <c r="AB2179" s="339">
        <f t="shared" si="208"/>
        <v>0</v>
      </c>
    </row>
    <row r="2180" spans="2:28" ht="20.100000000000001" customHeight="1">
      <c r="B2180" s="172"/>
      <c r="C2180" s="174"/>
      <c r="D2180" s="181"/>
      <c r="E2180" s="173"/>
      <c r="F2180" s="176"/>
      <c r="G2180" s="175">
        <f t="shared" si="210"/>
        <v>0</v>
      </c>
      <c r="H2180" s="175">
        <f t="shared" si="203"/>
        <v>0</v>
      </c>
      <c r="I2180" s="177">
        <f>IF(G2180=0,0,IF(E2180="MXN",1/HLOOKUP(YEAR(C2180)+(MONTH(C2180)/100),TC!$5:$37,DAY(C2180)+2,FALSE),VLOOKUP(E2180,Equivalencia!$5:$23,((MAX(Equivalencia!$3:$3)-YEAR(C2180))*14)+MONTH(C2180)+2,FALSE)))</f>
        <v>0</v>
      </c>
      <c r="J2180" s="178">
        <f t="shared" si="211"/>
        <v>0</v>
      </c>
      <c r="K2180" s="462">
        <f>IF(C2180=0,0,VLOOKUP(YEAR(C2180),INPC!$B$4:$O$29,MONTH(C2180)+1))</f>
        <v>0</v>
      </c>
      <c r="L2180" s="462">
        <f>IF(S2180=0,0,VLOOKUP(YEAR(S2180),INPC!$B$4:$O$29,MONTH(S2180)+1))</f>
        <v>0</v>
      </c>
      <c r="M2180" s="463">
        <f t="shared" si="204"/>
        <v>0</v>
      </c>
      <c r="N2180" s="465">
        <f t="shared" si="212"/>
        <v>0</v>
      </c>
      <c r="O2180" s="179"/>
      <c r="P2180" s="180"/>
      <c r="Q2180" s="173"/>
      <c r="R2180" s="173"/>
      <c r="S2180" s="174"/>
      <c r="T2180" s="173"/>
      <c r="U2180" s="182"/>
      <c r="V2180" s="177">
        <f>IF(U2180=0,0,IF(T2180="MXN",1/HLOOKUP(YEAR(S2180)+(MONTH(S2180)/100),TC!$5:$37,DAY(S2180)+2,FALSE),VLOOKUP(T2180,Equivalencia!$1:$23,((MAX(Equivalencia!$3:$3)-YEAR(S2180))*14)+MONTH(S2180)+2,FALSE)))</f>
        <v>0</v>
      </c>
      <c r="W2180" s="178">
        <f t="shared" si="209"/>
        <v>0</v>
      </c>
      <c r="X2180" s="481">
        <f t="shared" si="205"/>
        <v>0</v>
      </c>
      <c r="Y2180" s="179"/>
      <c r="Z2180" s="466">
        <f t="shared" si="206"/>
        <v>0</v>
      </c>
      <c r="AA2180" s="473">
        <f t="shared" si="207"/>
        <v>0</v>
      </c>
      <c r="AB2180" s="339">
        <f t="shared" si="208"/>
        <v>0</v>
      </c>
    </row>
    <row r="2181" spans="2:28" ht="20.100000000000001" customHeight="1">
      <c r="B2181" s="172"/>
      <c r="C2181" s="174"/>
      <c r="D2181" s="181"/>
      <c r="E2181" s="173"/>
      <c r="F2181" s="176"/>
      <c r="G2181" s="175">
        <f t="shared" si="210"/>
        <v>0</v>
      </c>
      <c r="H2181" s="175">
        <f t="shared" si="203"/>
        <v>0</v>
      </c>
      <c r="I2181" s="177">
        <f>IF(G2181=0,0,IF(E2181="MXN",1/HLOOKUP(YEAR(C2181)+(MONTH(C2181)/100),TC!$5:$37,DAY(C2181)+2,FALSE),VLOOKUP(E2181,Equivalencia!$5:$23,((MAX(Equivalencia!$3:$3)-YEAR(C2181))*14)+MONTH(C2181)+2,FALSE)))</f>
        <v>0</v>
      </c>
      <c r="J2181" s="178">
        <f t="shared" si="211"/>
        <v>0</v>
      </c>
      <c r="K2181" s="462">
        <f>IF(C2181=0,0,VLOOKUP(YEAR(C2181),INPC!$B$4:$O$29,MONTH(C2181)+1))</f>
        <v>0</v>
      </c>
      <c r="L2181" s="462">
        <f>IF(S2181=0,0,VLOOKUP(YEAR(S2181),INPC!$B$4:$O$29,MONTH(S2181)+1))</f>
        <v>0</v>
      </c>
      <c r="M2181" s="463">
        <f t="shared" si="204"/>
        <v>0</v>
      </c>
      <c r="N2181" s="465">
        <f t="shared" si="212"/>
        <v>0</v>
      </c>
      <c r="O2181" s="179"/>
      <c r="P2181" s="180"/>
      <c r="Q2181" s="173"/>
      <c r="R2181" s="173"/>
      <c r="S2181" s="174"/>
      <c r="T2181" s="173"/>
      <c r="U2181" s="182"/>
      <c r="V2181" s="177">
        <f>IF(U2181=0,0,IF(T2181="MXN",1/HLOOKUP(YEAR(S2181)+(MONTH(S2181)/100),TC!$5:$37,DAY(S2181)+2,FALSE),VLOOKUP(T2181,Equivalencia!$1:$23,((MAX(Equivalencia!$3:$3)-YEAR(S2181))*14)+MONTH(S2181)+2,FALSE)))</f>
        <v>0</v>
      </c>
      <c r="W2181" s="178">
        <f t="shared" si="209"/>
        <v>0</v>
      </c>
      <c r="X2181" s="481">
        <f t="shared" si="205"/>
        <v>0</v>
      </c>
      <c r="Y2181" s="179"/>
      <c r="Z2181" s="466">
        <f t="shared" si="206"/>
        <v>0</v>
      </c>
      <c r="AA2181" s="473">
        <f t="shared" si="207"/>
        <v>0</v>
      </c>
      <c r="AB2181" s="339">
        <f t="shared" si="208"/>
        <v>0</v>
      </c>
    </row>
    <row r="2182" spans="2:28" ht="20.100000000000001" customHeight="1">
      <c r="B2182" s="172"/>
      <c r="C2182" s="174"/>
      <c r="D2182" s="181"/>
      <c r="E2182" s="173"/>
      <c r="F2182" s="176"/>
      <c r="G2182" s="175">
        <f t="shared" si="210"/>
        <v>0</v>
      </c>
      <c r="H2182" s="175">
        <f t="shared" si="203"/>
        <v>0</v>
      </c>
      <c r="I2182" s="177">
        <f>IF(G2182=0,0,IF(E2182="MXN",1/HLOOKUP(YEAR(C2182)+(MONTH(C2182)/100),TC!$5:$37,DAY(C2182)+2,FALSE),VLOOKUP(E2182,Equivalencia!$5:$23,((MAX(Equivalencia!$3:$3)-YEAR(C2182))*14)+MONTH(C2182)+2,FALSE)))</f>
        <v>0</v>
      </c>
      <c r="J2182" s="178">
        <f t="shared" si="211"/>
        <v>0</v>
      </c>
      <c r="K2182" s="462">
        <f>IF(C2182=0,0,VLOOKUP(YEAR(C2182),INPC!$B$4:$O$29,MONTH(C2182)+1))</f>
        <v>0</v>
      </c>
      <c r="L2182" s="462">
        <f>IF(S2182=0,0,VLOOKUP(YEAR(S2182),INPC!$B$4:$O$29,MONTH(S2182)+1))</f>
        <v>0</v>
      </c>
      <c r="M2182" s="463">
        <f t="shared" si="204"/>
        <v>0</v>
      </c>
      <c r="N2182" s="465">
        <f t="shared" si="212"/>
        <v>0</v>
      </c>
      <c r="O2182" s="179"/>
      <c r="P2182" s="180"/>
      <c r="Q2182" s="173"/>
      <c r="R2182" s="173"/>
      <c r="S2182" s="174"/>
      <c r="T2182" s="173"/>
      <c r="U2182" s="182"/>
      <c r="V2182" s="177">
        <f>IF(U2182=0,0,IF(T2182="MXN",1/HLOOKUP(YEAR(S2182)+(MONTH(S2182)/100),TC!$5:$37,DAY(S2182)+2,FALSE),VLOOKUP(T2182,Equivalencia!$1:$23,((MAX(Equivalencia!$3:$3)-YEAR(S2182))*14)+MONTH(S2182)+2,FALSE)))</f>
        <v>0</v>
      </c>
      <c r="W2182" s="178">
        <f t="shared" si="209"/>
        <v>0</v>
      </c>
      <c r="X2182" s="481">
        <f t="shared" si="205"/>
        <v>0</v>
      </c>
      <c r="Y2182" s="179"/>
      <c r="Z2182" s="466">
        <f t="shared" si="206"/>
        <v>0</v>
      </c>
      <c r="AA2182" s="473">
        <f t="shared" si="207"/>
        <v>0</v>
      </c>
      <c r="AB2182" s="339">
        <f t="shared" si="208"/>
        <v>0</v>
      </c>
    </row>
    <row r="2183" spans="2:28" ht="20.100000000000001" customHeight="1">
      <c r="B2183" s="172"/>
      <c r="C2183" s="174"/>
      <c r="D2183" s="181"/>
      <c r="E2183" s="173"/>
      <c r="F2183" s="176"/>
      <c r="G2183" s="175">
        <f t="shared" si="210"/>
        <v>0</v>
      </c>
      <c r="H2183" s="175">
        <f t="shared" si="203"/>
        <v>0</v>
      </c>
      <c r="I2183" s="177">
        <f>IF(G2183=0,0,IF(E2183="MXN",1/HLOOKUP(YEAR(C2183)+(MONTH(C2183)/100),TC!$5:$37,DAY(C2183)+2,FALSE),VLOOKUP(E2183,Equivalencia!$5:$23,((MAX(Equivalencia!$3:$3)-YEAR(C2183))*14)+MONTH(C2183)+2,FALSE)))</f>
        <v>0</v>
      </c>
      <c r="J2183" s="178">
        <f t="shared" si="211"/>
        <v>0</v>
      </c>
      <c r="K2183" s="462">
        <f>IF(C2183=0,0,VLOOKUP(YEAR(C2183),INPC!$B$4:$O$29,MONTH(C2183)+1))</f>
        <v>0</v>
      </c>
      <c r="L2183" s="462">
        <f>IF(S2183=0,0,VLOOKUP(YEAR(S2183),INPC!$B$4:$O$29,MONTH(S2183)+1))</f>
        <v>0</v>
      </c>
      <c r="M2183" s="463">
        <f t="shared" si="204"/>
        <v>0</v>
      </c>
      <c r="N2183" s="465">
        <f t="shared" si="212"/>
        <v>0</v>
      </c>
      <c r="O2183" s="179"/>
      <c r="P2183" s="180"/>
      <c r="Q2183" s="173"/>
      <c r="R2183" s="173"/>
      <c r="S2183" s="174"/>
      <c r="T2183" s="173"/>
      <c r="U2183" s="182"/>
      <c r="V2183" s="177">
        <f>IF(U2183=0,0,IF(T2183="MXN",1/HLOOKUP(YEAR(S2183)+(MONTH(S2183)/100),TC!$5:$37,DAY(S2183)+2,FALSE),VLOOKUP(T2183,Equivalencia!$1:$23,((MAX(Equivalencia!$3:$3)-YEAR(S2183))*14)+MONTH(S2183)+2,FALSE)))</f>
        <v>0</v>
      </c>
      <c r="W2183" s="178">
        <f t="shared" si="209"/>
        <v>0</v>
      </c>
      <c r="X2183" s="481">
        <f t="shared" si="205"/>
        <v>0</v>
      </c>
      <c r="Y2183" s="179"/>
      <c r="Z2183" s="466">
        <f t="shared" si="206"/>
        <v>0</v>
      </c>
      <c r="AA2183" s="473">
        <f t="shared" si="207"/>
        <v>0</v>
      </c>
      <c r="AB2183" s="339">
        <f t="shared" si="208"/>
        <v>0</v>
      </c>
    </row>
    <row r="2184" spans="2:28" ht="20.100000000000001" customHeight="1">
      <c r="B2184" s="172"/>
      <c r="C2184" s="174"/>
      <c r="D2184" s="181"/>
      <c r="E2184" s="173"/>
      <c r="F2184" s="176"/>
      <c r="G2184" s="175">
        <f t="shared" si="210"/>
        <v>0</v>
      </c>
      <c r="H2184" s="175">
        <f t="shared" si="203"/>
        <v>0</v>
      </c>
      <c r="I2184" s="177">
        <f>IF(G2184=0,0,IF(E2184="MXN",1/HLOOKUP(YEAR(C2184)+(MONTH(C2184)/100),TC!$5:$37,DAY(C2184)+2,FALSE),VLOOKUP(E2184,Equivalencia!$5:$23,((MAX(Equivalencia!$3:$3)-YEAR(C2184))*14)+MONTH(C2184)+2,FALSE)))</f>
        <v>0</v>
      </c>
      <c r="J2184" s="178">
        <f t="shared" si="211"/>
        <v>0</v>
      </c>
      <c r="K2184" s="462">
        <f>IF(C2184=0,0,VLOOKUP(YEAR(C2184),INPC!$B$4:$O$29,MONTH(C2184)+1))</f>
        <v>0</v>
      </c>
      <c r="L2184" s="462">
        <f>IF(S2184=0,0,VLOOKUP(YEAR(S2184),INPC!$B$4:$O$29,MONTH(S2184)+1))</f>
        <v>0</v>
      </c>
      <c r="M2184" s="463">
        <f t="shared" si="204"/>
        <v>0</v>
      </c>
      <c r="N2184" s="465">
        <f t="shared" si="212"/>
        <v>0</v>
      </c>
      <c r="O2184" s="179"/>
      <c r="P2184" s="180"/>
      <c r="Q2184" s="173"/>
      <c r="R2184" s="173"/>
      <c r="S2184" s="174"/>
      <c r="T2184" s="173"/>
      <c r="U2184" s="182"/>
      <c r="V2184" s="177">
        <f>IF(U2184=0,0,IF(T2184="MXN",1/HLOOKUP(YEAR(S2184)+(MONTH(S2184)/100),TC!$5:$37,DAY(S2184)+2,FALSE),VLOOKUP(T2184,Equivalencia!$1:$23,((MAX(Equivalencia!$3:$3)-YEAR(S2184))*14)+MONTH(S2184)+2,FALSE)))</f>
        <v>0</v>
      </c>
      <c r="W2184" s="178">
        <f t="shared" si="209"/>
        <v>0</v>
      </c>
      <c r="X2184" s="481">
        <f t="shared" si="205"/>
        <v>0</v>
      </c>
      <c r="Y2184" s="179"/>
      <c r="Z2184" s="466">
        <f t="shared" si="206"/>
        <v>0</v>
      </c>
      <c r="AA2184" s="473">
        <f t="shared" si="207"/>
        <v>0</v>
      </c>
      <c r="AB2184" s="339">
        <f t="shared" si="208"/>
        <v>0</v>
      </c>
    </row>
    <row r="2185" spans="2:28" ht="20.100000000000001" customHeight="1">
      <c r="B2185" s="172"/>
      <c r="C2185" s="174"/>
      <c r="D2185" s="181"/>
      <c r="E2185" s="173"/>
      <c r="F2185" s="176"/>
      <c r="G2185" s="175">
        <f t="shared" si="210"/>
        <v>0</v>
      </c>
      <c r="H2185" s="175">
        <f t="shared" si="203"/>
        <v>0</v>
      </c>
      <c r="I2185" s="177">
        <f>IF(G2185=0,0,IF(E2185="MXN",1/HLOOKUP(YEAR(C2185)+(MONTH(C2185)/100),TC!$5:$37,DAY(C2185)+2,FALSE),VLOOKUP(E2185,Equivalencia!$5:$23,((MAX(Equivalencia!$3:$3)-YEAR(C2185))*14)+MONTH(C2185)+2,FALSE)))</f>
        <v>0</v>
      </c>
      <c r="J2185" s="178">
        <f t="shared" si="211"/>
        <v>0</v>
      </c>
      <c r="K2185" s="462">
        <f>IF(C2185=0,0,VLOOKUP(YEAR(C2185),INPC!$B$4:$O$29,MONTH(C2185)+1))</f>
        <v>0</v>
      </c>
      <c r="L2185" s="462">
        <f>IF(S2185=0,0,VLOOKUP(YEAR(S2185),INPC!$B$4:$O$29,MONTH(S2185)+1))</f>
        <v>0</v>
      </c>
      <c r="M2185" s="463">
        <f t="shared" si="204"/>
        <v>0</v>
      </c>
      <c r="N2185" s="465">
        <f t="shared" si="212"/>
        <v>0</v>
      </c>
      <c r="O2185" s="179"/>
      <c r="P2185" s="180"/>
      <c r="Q2185" s="173"/>
      <c r="R2185" s="173"/>
      <c r="S2185" s="174"/>
      <c r="T2185" s="173"/>
      <c r="U2185" s="182"/>
      <c r="V2185" s="177">
        <f>IF(U2185=0,0,IF(T2185="MXN",1/HLOOKUP(YEAR(S2185)+(MONTH(S2185)/100),TC!$5:$37,DAY(S2185)+2,FALSE),VLOOKUP(T2185,Equivalencia!$1:$23,((MAX(Equivalencia!$3:$3)-YEAR(S2185))*14)+MONTH(S2185)+2,FALSE)))</f>
        <v>0</v>
      </c>
      <c r="W2185" s="178">
        <f t="shared" si="209"/>
        <v>0</v>
      </c>
      <c r="X2185" s="481">
        <f t="shared" si="205"/>
        <v>0</v>
      </c>
      <c r="Y2185" s="179"/>
      <c r="Z2185" s="466">
        <f t="shared" si="206"/>
        <v>0</v>
      </c>
      <c r="AA2185" s="473">
        <f t="shared" si="207"/>
        <v>0</v>
      </c>
      <c r="AB2185" s="339">
        <f t="shared" si="208"/>
        <v>0</v>
      </c>
    </row>
    <row r="2186" spans="2:28" ht="20.100000000000001" customHeight="1">
      <c r="B2186" s="172"/>
      <c r="C2186" s="174"/>
      <c r="D2186" s="181"/>
      <c r="E2186" s="173"/>
      <c r="F2186" s="176"/>
      <c r="G2186" s="175">
        <f t="shared" si="210"/>
        <v>0</v>
      </c>
      <c r="H2186" s="175">
        <f t="shared" si="203"/>
        <v>0</v>
      </c>
      <c r="I2186" s="177">
        <f>IF(G2186=0,0,IF(E2186="MXN",1/HLOOKUP(YEAR(C2186)+(MONTH(C2186)/100),TC!$5:$37,DAY(C2186)+2,FALSE),VLOOKUP(E2186,Equivalencia!$5:$23,((MAX(Equivalencia!$3:$3)-YEAR(C2186))*14)+MONTH(C2186)+2,FALSE)))</f>
        <v>0</v>
      </c>
      <c r="J2186" s="178">
        <f t="shared" si="211"/>
        <v>0</v>
      </c>
      <c r="K2186" s="462">
        <f>IF(C2186=0,0,VLOOKUP(YEAR(C2186),INPC!$B$4:$O$29,MONTH(C2186)+1))</f>
        <v>0</v>
      </c>
      <c r="L2186" s="462">
        <f>IF(S2186=0,0,VLOOKUP(YEAR(S2186),INPC!$B$4:$O$29,MONTH(S2186)+1))</f>
        <v>0</v>
      </c>
      <c r="M2186" s="463">
        <f t="shared" si="204"/>
        <v>0</v>
      </c>
      <c r="N2186" s="465">
        <f t="shared" si="212"/>
        <v>0</v>
      </c>
      <c r="O2186" s="179"/>
      <c r="P2186" s="180"/>
      <c r="Q2186" s="173"/>
      <c r="R2186" s="173"/>
      <c r="S2186" s="174"/>
      <c r="T2186" s="173"/>
      <c r="U2186" s="182"/>
      <c r="V2186" s="177">
        <f>IF(U2186=0,0,IF(T2186="MXN",1/HLOOKUP(YEAR(S2186)+(MONTH(S2186)/100),TC!$5:$37,DAY(S2186)+2,FALSE),VLOOKUP(T2186,Equivalencia!$1:$23,((MAX(Equivalencia!$3:$3)-YEAR(S2186))*14)+MONTH(S2186)+2,FALSE)))</f>
        <v>0</v>
      </c>
      <c r="W2186" s="178">
        <f t="shared" si="209"/>
        <v>0</v>
      </c>
      <c r="X2186" s="481">
        <f t="shared" si="205"/>
        <v>0</v>
      </c>
      <c r="Y2186" s="179"/>
      <c r="Z2186" s="466">
        <f t="shared" si="206"/>
        <v>0</v>
      </c>
      <c r="AA2186" s="473">
        <f t="shared" si="207"/>
        <v>0</v>
      </c>
      <c r="AB2186" s="339">
        <f t="shared" si="208"/>
        <v>0</v>
      </c>
    </row>
    <row r="2187" spans="2:28" ht="20.100000000000001" customHeight="1">
      <c r="B2187" s="172"/>
      <c r="C2187" s="174"/>
      <c r="D2187" s="181"/>
      <c r="E2187" s="173"/>
      <c r="F2187" s="176"/>
      <c r="G2187" s="175">
        <f t="shared" si="210"/>
        <v>0</v>
      </c>
      <c r="H2187" s="175">
        <f t="shared" si="203"/>
        <v>0</v>
      </c>
      <c r="I2187" s="177">
        <f>IF(G2187=0,0,IF(E2187="MXN",1/HLOOKUP(YEAR(C2187)+(MONTH(C2187)/100),TC!$5:$37,DAY(C2187)+2,FALSE),VLOOKUP(E2187,Equivalencia!$5:$23,((MAX(Equivalencia!$3:$3)-YEAR(C2187))*14)+MONTH(C2187)+2,FALSE)))</f>
        <v>0</v>
      </c>
      <c r="J2187" s="178">
        <f t="shared" si="211"/>
        <v>0</v>
      </c>
      <c r="K2187" s="462">
        <f>IF(C2187=0,0,VLOOKUP(YEAR(C2187),INPC!$B$4:$O$29,MONTH(C2187)+1))</f>
        <v>0</v>
      </c>
      <c r="L2187" s="462">
        <f>IF(S2187=0,0,VLOOKUP(YEAR(S2187),INPC!$B$4:$O$29,MONTH(S2187)+1))</f>
        <v>0</v>
      </c>
      <c r="M2187" s="463">
        <f t="shared" si="204"/>
        <v>0</v>
      </c>
      <c r="N2187" s="465">
        <f t="shared" si="212"/>
        <v>0</v>
      </c>
      <c r="O2187" s="179"/>
      <c r="P2187" s="180"/>
      <c r="Q2187" s="173"/>
      <c r="R2187" s="173"/>
      <c r="S2187" s="174"/>
      <c r="T2187" s="173"/>
      <c r="U2187" s="182"/>
      <c r="V2187" s="177">
        <f>IF(U2187=0,0,IF(T2187="MXN",1/HLOOKUP(YEAR(S2187)+(MONTH(S2187)/100),TC!$5:$37,DAY(S2187)+2,FALSE),VLOOKUP(T2187,Equivalencia!$1:$23,((MAX(Equivalencia!$3:$3)-YEAR(S2187))*14)+MONTH(S2187)+2,FALSE)))</f>
        <v>0</v>
      </c>
      <c r="W2187" s="178">
        <f t="shared" si="209"/>
        <v>0</v>
      </c>
      <c r="X2187" s="481">
        <f t="shared" si="205"/>
        <v>0</v>
      </c>
      <c r="Y2187" s="179"/>
      <c r="Z2187" s="466">
        <f t="shared" si="206"/>
        <v>0</v>
      </c>
      <c r="AA2187" s="473">
        <f t="shared" si="207"/>
        <v>0</v>
      </c>
      <c r="AB2187" s="339">
        <f t="shared" si="208"/>
        <v>0</v>
      </c>
    </row>
    <row r="2188" spans="2:28" ht="20.100000000000001" customHeight="1">
      <c r="B2188" s="172"/>
      <c r="C2188" s="174"/>
      <c r="D2188" s="181"/>
      <c r="E2188" s="173"/>
      <c r="F2188" s="176"/>
      <c r="G2188" s="175">
        <f t="shared" si="210"/>
        <v>0</v>
      </c>
      <c r="H2188" s="175">
        <f t="shared" si="203"/>
        <v>0</v>
      </c>
      <c r="I2188" s="177">
        <f>IF(G2188=0,0,IF(E2188="MXN",1/HLOOKUP(YEAR(C2188)+(MONTH(C2188)/100),TC!$5:$37,DAY(C2188)+2,FALSE),VLOOKUP(E2188,Equivalencia!$5:$23,((MAX(Equivalencia!$3:$3)-YEAR(C2188))*14)+MONTH(C2188)+2,FALSE)))</f>
        <v>0</v>
      </c>
      <c r="J2188" s="178">
        <f t="shared" si="211"/>
        <v>0</v>
      </c>
      <c r="K2188" s="462">
        <f>IF(C2188=0,0,VLOOKUP(YEAR(C2188),INPC!$B$4:$O$29,MONTH(C2188)+1))</f>
        <v>0</v>
      </c>
      <c r="L2188" s="462">
        <f>IF(S2188=0,0,VLOOKUP(YEAR(S2188),INPC!$B$4:$O$29,MONTH(S2188)+1))</f>
        <v>0</v>
      </c>
      <c r="M2188" s="463">
        <f t="shared" si="204"/>
        <v>0</v>
      </c>
      <c r="N2188" s="465">
        <f t="shared" si="212"/>
        <v>0</v>
      </c>
      <c r="O2188" s="179"/>
      <c r="P2188" s="180"/>
      <c r="Q2188" s="173"/>
      <c r="R2188" s="173"/>
      <c r="S2188" s="174"/>
      <c r="T2188" s="173"/>
      <c r="U2188" s="182"/>
      <c r="V2188" s="177">
        <f>IF(U2188=0,0,IF(T2188="MXN",1/HLOOKUP(YEAR(S2188)+(MONTH(S2188)/100),TC!$5:$37,DAY(S2188)+2,FALSE),VLOOKUP(T2188,Equivalencia!$1:$23,((MAX(Equivalencia!$3:$3)-YEAR(S2188))*14)+MONTH(S2188)+2,FALSE)))</f>
        <v>0</v>
      </c>
      <c r="W2188" s="178">
        <f t="shared" si="209"/>
        <v>0</v>
      </c>
      <c r="X2188" s="481">
        <f t="shared" si="205"/>
        <v>0</v>
      </c>
      <c r="Y2188" s="179"/>
      <c r="Z2188" s="466">
        <f t="shared" si="206"/>
        <v>0</v>
      </c>
      <c r="AA2188" s="473">
        <f t="shared" si="207"/>
        <v>0</v>
      </c>
      <c r="AB2188" s="339">
        <f t="shared" si="208"/>
        <v>0</v>
      </c>
    </row>
    <row r="2189" spans="2:28" ht="20.100000000000001" customHeight="1">
      <c r="B2189" s="172"/>
      <c r="C2189" s="174"/>
      <c r="D2189" s="181"/>
      <c r="E2189" s="173"/>
      <c r="F2189" s="176"/>
      <c r="G2189" s="175">
        <f t="shared" si="210"/>
        <v>0</v>
      </c>
      <c r="H2189" s="175">
        <f t="shared" si="203"/>
        <v>0</v>
      </c>
      <c r="I2189" s="177">
        <f>IF(G2189=0,0,IF(E2189="MXN",1/HLOOKUP(YEAR(C2189)+(MONTH(C2189)/100),TC!$5:$37,DAY(C2189)+2,FALSE),VLOOKUP(E2189,Equivalencia!$5:$23,((MAX(Equivalencia!$3:$3)-YEAR(C2189))*14)+MONTH(C2189)+2,FALSE)))</f>
        <v>0</v>
      </c>
      <c r="J2189" s="178">
        <f t="shared" si="211"/>
        <v>0</v>
      </c>
      <c r="K2189" s="462">
        <f>IF(C2189=0,0,VLOOKUP(YEAR(C2189),INPC!$B$4:$O$29,MONTH(C2189)+1))</f>
        <v>0</v>
      </c>
      <c r="L2189" s="462">
        <f>IF(S2189=0,0,VLOOKUP(YEAR(S2189),INPC!$B$4:$O$29,MONTH(S2189)+1))</f>
        <v>0</v>
      </c>
      <c r="M2189" s="463">
        <f t="shared" si="204"/>
        <v>0</v>
      </c>
      <c r="N2189" s="465">
        <f t="shared" si="212"/>
        <v>0</v>
      </c>
      <c r="O2189" s="179"/>
      <c r="P2189" s="180"/>
      <c r="Q2189" s="173"/>
      <c r="R2189" s="173"/>
      <c r="S2189" s="174"/>
      <c r="T2189" s="173"/>
      <c r="U2189" s="182"/>
      <c r="V2189" s="177">
        <f>IF(U2189=0,0,IF(T2189="MXN",1/HLOOKUP(YEAR(S2189)+(MONTH(S2189)/100),TC!$5:$37,DAY(S2189)+2,FALSE),VLOOKUP(T2189,Equivalencia!$1:$23,((MAX(Equivalencia!$3:$3)-YEAR(S2189))*14)+MONTH(S2189)+2,FALSE)))</f>
        <v>0</v>
      </c>
      <c r="W2189" s="178">
        <f t="shared" si="209"/>
        <v>0</v>
      </c>
      <c r="X2189" s="481">
        <f t="shared" si="205"/>
        <v>0</v>
      </c>
      <c r="Y2189" s="179"/>
      <c r="Z2189" s="466">
        <f t="shared" si="206"/>
        <v>0</v>
      </c>
      <c r="AA2189" s="473">
        <f t="shared" si="207"/>
        <v>0</v>
      </c>
      <c r="AB2189" s="339">
        <f t="shared" si="208"/>
        <v>0</v>
      </c>
    </row>
    <row r="2190" spans="2:28" ht="20.100000000000001" customHeight="1">
      <c r="B2190" s="172"/>
      <c r="C2190" s="174"/>
      <c r="D2190" s="181"/>
      <c r="E2190" s="173"/>
      <c r="F2190" s="176"/>
      <c r="G2190" s="175">
        <f t="shared" si="210"/>
        <v>0</v>
      </c>
      <c r="H2190" s="175">
        <f t="shared" si="203"/>
        <v>0</v>
      </c>
      <c r="I2190" s="177">
        <f>IF(G2190=0,0,IF(E2190="MXN",1/HLOOKUP(YEAR(C2190)+(MONTH(C2190)/100),TC!$5:$37,DAY(C2190)+2,FALSE),VLOOKUP(E2190,Equivalencia!$5:$23,((MAX(Equivalencia!$3:$3)-YEAR(C2190))*14)+MONTH(C2190)+2,FALSE)))</f>
        <v>0</v>
      </c>
      <c r="J2190" s="178">
        <f t="shared" si="211"/>
        <v>0</v>
      </c>
      <c r="K2190" s="462">
        <f>IF(C2190=0,0,VLOOKUP(YEAR(C2190),INPC!$B$4:$O$29,MONTH(C2190)+1))</f>
        <v>0</v>
      </c>
      <c r="L2190" s="462">
        <f>IF(S2190=0,0,VLOOKUP(YEAR(S2190),INPC!$B$4:$O$29,MONTH(S2190)+1))</f>
        <v>0</v>
      </c>
      <c r="M2190" s="463">
        <f t="shared" si="204"/>
        <v>0</v>
      </c>
      <c r="N2190" s="465">
        <f t="shared" si="212"/>
        <v>0</v>
      </c>
      <c r="O2190" s="179"/>
      <c r="P2190" s="180"/>
      <c r="Q2190" s="173"/>
      <c r="R2190" s="173"/>
      <c r="S2190" s="174"/>
      <c r="T2190" s="173"/>
      <c r="U2190" s="182"/>
      <c r="V2190" s="177">
        <f>IF(U2190=0,0,IF(T2190="MXN",1/HLOOKUP(YEAR(S2190)+(MONTH(S2190)/100),TC!$5:$37,DAY(S2190)+2,FALSE),VLOOKUP(T2190,Equivalencia!$1:$23,((MAX(Equivalencia!$3:$3)-YEAR(S2190))*14)+MONTH(S2190)+2,FALSE)))</f>
        <v>0</v>
      </c>
      <c r="W2190" s="178">
        <f t="shared" si="209"/>
        <v>0</v>
      </c>
      <c r="X2190" s="481">
        <f t="shared" si="205"/>
        <v>0</v>
      </c>
      <c r="Y2190" s="179"/>
      <c r="Z2190" s="466">
        <f t="shared" si="206"/>
        <v>0</v>
      </c>
      <c r="AA2190" s="473">
        <f t="shared" si="207"/>
        <v>0</v>
      </c>
      <c r="AB2190" s="339">
        <f t="shared" si="208"/>
        <v>0</v>
      </c>
    </row>
    <row r="2191" spans="2:28" ht="20.100000000000001" customHeight="1">
      <c r="B2191" s="172"/>
      <c r="C2191" s="174"/>
      <c r="D2191" s="181"/>
      <c r="E2191" s="173"/>
      <c r="F2191" s="176"/>
      <c r="G2191" s="175">
        <f t="shared" si="210"/>
        <v>0</v>
      </c>
      <c r="H2191" s="175">
        <f t="shared" si="203"/>
        <v>0</v>
      </c>
      <c r="I2191" s="177">
        <f>IF(G2191=0,0,IF(E2191="MXN",1/HLOOKUP(YEAR(C2191)+(MONTH(C2191)/100),TC!$5:$37,DAY(C2191)+2,FALSE),VLOOKUP(E2191,Equivalencia!$5:$23,((MAX(Equivalencia!$3:$3)-YEAR(C2191))*14)+MONTH(C2191)+2,FALSE)))</f>
        <v>0</v>
      </c>
      <c r="J2191" s="178">
        <f t="shared" si="211"/>
        <v>0</v>
      </c>
      <c r="K2191" s="462">
        <f>IF(C2191=0,0,VLOOKUP(YEAR(C2191),INPC!$B$4:$O$29,MONTH(C2191)+1))</f>
        <v>0</v>
      </c>
      <c r="L2191" s="462">
        <f>IF(S2191=0,0,VLOOKUP(YEAR(S2191),INPC!$B$4:$O$29,MONTH(S2191)+1))</f>
        <v>0</v>
      </c>
      <c r="M2191" s="463">
        <f t="shared" si="204"/>
        <v>0</v>
      </c>
      <c r="N2191" s="465">
        <f t="shared" si="212"/>
        <v>0</v>
      </c>
      <c r="O2191" s="179"/>
      <c r="P2191" s="180"/>
      <c r="Q2191" s="173"/>
      <c r="R2191" s="173"/>
      <c r="S2191" s="174"/>
      <c r="T2191" s="173"/>
      <c r="U2191" s="182"/>
      <c r="V2191" s="177">
        <f>IF(U2191=0,0,IF(T2191="MXN",1/HLOOKUP(YEAR(S2191)+(MONTH(S2191)/100),TC!$5:$37,DAY(S2191)+2,FALSE),VLOOKUP(T2191,Equivalencia!$1:$23,((MAX(Equivalencia!$3:$3)-YEAR(S2191))*14)+MONTH(S2191)+2,FALSE)))</f>
        <v>0</v>
      </c>
      <c r="W2191" s="178">
        <f t="shared" si="209"/>
        <v>0</v>
      </c>
      <c r="X2191" s="481">
        <f t="shared" si="205"/>
        <v>0</v>
      </c>
      <c r="Y2191" s="179"/>
      <c r="Z2191" s="466">
        <f t="shared" si="206"/>
        <v>0</v>
      </c>
      <c r="AA2191" s="473">
        <f t="shared" si="207"/>
        <v>0</v>
      </c>
      <c r="AB2191" s="339">
        <f t="shared" si="208"/>
        <v>0</v>
      </c>
    </row>
    <row r="2192" spans="2:28" ht="20.100000000000001" customHeight="1">
      <c r="B2192" s="172"/>
      <c r="C2192" s="174"/>
      <c r="D2192" s="181"/>
      <c r="E2192" s="173"/>
      <c r="F2192" s="176"/>
      <c r="G2192" s="175">
        <f t="shared" si="210"/>
        <v>0</v>
      </c>
      <c r="H2192" s="175">
        <f t="shared" si="203"/>
        <v>0</v>
      </c>
      <c r="I2192" s="177">
        <f>IF(G2192=0,0,IF(E2192="MXN",1/HLOOKUP(YEAR(C2192)+(MONTH(C2192)/100),TC!$5:$37,DAY(C2192)+2,FALSE),VLOOKUP(E2192,Equivalencia!$5:$23,((MAX(Equivalencia!$3:$3)-YEAR(C2192))*14)+MONTH(C2192)+2,FALSE)))</f>
        <v>0</v>
      </c>
      <c r="J2192" s="178">
        <f t="shared" si="211"/>
        <v>0</v>
      </c>
      <c r="K2192" s="462">
        <f>IF(C2192=0,0,VLOOKUP(YEAR(C2192),INPC!$B$4:$O$29,MONTH(C2192)+1))</f>
        <v>0</v>
      </c>
      <c r="L2192" s="462">
        <f>IF(S2192=0,0,VLOOKUP(YEAR(S2192),INPC!$B$4:$O$29,MONTH(S2192)+1))</f>
        <v>0</v>
      </c>
      <c r="M2192" s="463">
        <f t="shared" si="204"/>
        <v>0</v>
      </c>
      <c r="N2192" s="465">
        <f t="shared" si="212"/>
        <v>0</v>
      </c>
      <c r="O2192" s="179"/>
      <c r="P2192" s="180"/>
      <c r="Q2192" s="173"/>
      <c r="R2192" s="173"/>
      <c r="S2192" s="174"/>
      <c r="T2192" s="173"/>
      <c r="U2192" s="182"/>
      <c r="V2192" s="177">
        <f>IF(U2192=0,0,IF(T2192="MXN",1/HLOOKUP(YEAR(S2192)+(MONTH(S2192)/100),TC!$5:$37,DAY(S2192)+2,FALSE),VLOOKUP(T2192,Equivalencia!$1:$23,((MAX(Equivalencia!$3:$3)-YEAR(S2192))*14)+MONTH(S2192)+2,FALSE)))</f>
        <v>0</v>
      </c>
      <c r="W2192" s="178">
        <f t="shared" si="209"/>
        <v>0</v>
      </c>
      <c r="X2192" s="481">
        <f t="shared" si="205"/>
        <v>0</v>
      </c>
      <c r="Y2192" s="179"/>
      <c r="Z2192" s="466">
        <f t="shared" si="206"/>
        <v>0</v>
      </c>
      <c r="AA2192" s="473">
        <f t="shared" si="207"/>
        <v>0</v>
      </c>
      <c r="AB2192" s="339">
        <f t="shared" si="208"/>
        <v>0</v>
      </c>
    </row>
    <row r="2193" spans="2:28" ht="20.100000000000001" customHeight="1">
      <c r="B2193" s="172"/>
      <c r="C2193" s="174"/>
      <c r="D2193" s="181"/>
      <c r="E2193" s="173"/>
      <c r="F2193" s="176"/>
      <c r="G2193" s="175">
        <f t="shared" si="210"/>
        <v>0</v>
      </c>
      <c r="H2193" s="175">
        <f t="shared" si="203"/>
        <v>0</v>
      </c>
      <c r="I2193" s="177">
        <f>IF(G2193=0,0,IF(E2193="MXN",1/HLOOKUP(YEAR(C2193)+(MONTH(C2193)/100),TC!$5:$37,DAY(C2193)+2,FALSE),VLOOKUP(E2193,Equivalencia!$5:$23,((MAX(Equivalencia!$3:$3)-YEAR(C2193))*14)+MONTH(C2193)+2,FALSE)))</f>
        <v>0</v>
      </c>
      <c r="J2193" s="178">
        <f t="shared" si="211"/>
        <v>0</v>
      </c>
      <c r="K2193" s="462">
        <f>IF(C2193=0,0,VLOOKUP(YEAR(C2193),INPC!$B$4:$O$29,MONTH(C2193)+1))</f>
        <v>0</v>
      </c>
      <c r="L2193" s="462">
        <f>IF(S2193=0,0,VLOOKUP(YEAR(S2193),INPC!$B$4:$O$29,MONTH(S2193)+1))</f>
        <v>0</v>
      </c>
      <c r="M2193" s="463">
        <f t="shared" si="204"/>
        <v>0</v>
      </c>
      <c r="N2193" s="465">
        <f t="shared" si="212"/>
        <v>0</v>
      </c>
      <c r="O2193" s="179"/>
      <c r="P2193" s="180"/>
      <c r="Q2193" s="173"/>
      <c r="R2193" s="173"/>
      <c r="S2193" s="174"/>
      <c r="T2193" s="173"/>
      <c r="U2193" s="182"/>
      <c r="V2193" s="177">
        <f>IF(U2193=0,0,IF(T2193="MXN",1/HLOOKUP(YEAR(S2193)+(MONTH(S2193)/100),TC!$5:$37,DAY(S2193)+2,FALSE),VLOOKUP(T2193,Equivalencia!$1:$23,((MAX(Equivalencia!$3:$3)-YEAR(S2193))*14)+MONTH(S2193)+2,FALSE)))</f>
        <v>0</v>
      </c>
      <c r="W2193" s="178">
        <f t="shared" si="209"/>
        <v>0</v>
      </c>
      <c r="X2193" s="481">
        <f t="shared" si="205"/>
        <v>0</v>
      </c>
      <c r="Y2193" s="179"/>
      <c r="Z2193" s="466">
        <f t="shared" si="206"/>
        <v>0</v>
      </c>
      <c r="AA2193" s="473">
        <f t="shared" si="207"/>
        <v>0</v>
      </c>
      <c r="AB2193" s="339">
        <f t="shared" si="208"/>
        <v>0</v>
      </c>
    </row>
    <row r="2194" spans="2:28" ht="20.100000000000001" customHeight="1">
      <c r="B2194" s="172"/>
      <c r="C2194" s="174"/>
      <c r="D2194" s="181"/>
      <c r="E2194" s="173"/>
      <c r="F2194" s="176"/>
      <c r="G2194" s="175">
        <f t="shared" si="210"/>
        <v>0</v>
      </c>
      <c r="H2194" s="175">
        <f t="shared" si="203"/>
        <v>0</v>
      </c>
      <c r="I2194" s="177">
        <f>IF(G2194=0,0,IF(E2194="MXN",1/HLOOKUP(YEAR(C2194)+(MONTH(C2194)/100),TC!$5:$37,DAY(C2194)+2,FALSE),VLOOKUP(E2194,Equivalencia!$5:$23,((MAX(Equivalencia!$3:$3)-YEAR(C2194))*14)+MONTH(C2194)+2,FALSE)))</f>
        <v>0</v>
      </c>
      <c r="J2194" s="178">
        <f t="shared" si="211"/>
        <v>0</v>
      </c>
      <c r="K2194" s="462">
        <f>IF(C2194=0,0,VLOOKUP(YEAR(C2194),INPC!$B$4:$O$29,MONTH(C2194)+1))</f>
        <v>0</v>
      </c>
      <c r="L2194" s="462">
        <f>IF(S2194=0,0,VLOOKUP(YEAR(S2194),INPC!$B$4:$O$29,MONTH(S2194)+1))</f>
        <v>0</v>
      </c>
      <c r="M2194" s="463">
        <f t="shared" si="204"/>
        <v>0</v>
      </c>
      <c r="N2194" s="465">
        <f t="shared" si="212"/>
        <v>0</v>
      </c>
      <c r="O2194" s="179"/>
      <c r="P2194" s="180"/>
      <c r="Q2194" s="173"/>
      <c r="R2194" s="173"/>
      <c r="S2194" s="174"/>
      <c r="T2194" s="173"/>
      <c r="U2194" s="182"/>
      <c r="V2194" s="177">
        <f>IF(U2194=0,0,IF(T2194="MXN",1/HLOOKUP(YEAR(S2194)+(MONTH(S2194)/100),TC!$5:$37,DAY(S2194)+2,FALSE),VLOOKUP(T2194,Equivalencia!$1:$23,((MAX(Equivalencia!$3:$3)-YEAR(S2194))*14)+MONTH(S2194)+2,FALSE)))</f>
        <v>0</v>
      </c>
      <c r="W2194" s="178">
        <f t="shared" si="209"/>
        <v>0</v>
      </c>
      <c r="X2194" s="481">
        <f t="shared" si="205"/>
        <v>0</v>
      </c>
      <c r="Y2194" s="179"/>
      <c r="Z2194" s="466">
        <f t="shared" si="206"/>
        <v>0</v>
      </c>
      <c r="AA2194" s="473">
        <f t="shared" si="207"/>
        <v>0</v>
      </c>
      <c r="AB2194" s="339">
        <f t="shared" si="208"/>
        <v>0</v>
      </c>
    </row>
    <row r="2195" spans="2:28" ht="20.100000000000001" customHeight="1">
      <c r="B2195" s="172"/>
      <c r="C2195" s="174"/>
      <c r="D2195" s="181"/>
      <c r="E2195" s="173"/>
      <c r="F2195" s="176"/>
      <c r="G2195" s="175">
        <f t="shared" si="210"/>
        <v>0</v>
      </c>
      <c r="H2195" s="175">
        <f t="shared" si="203"/>
        <v>0</v>
      </c>
      <c r="I2195" s="177">
        <f>IF(G2195=0,0,IF(E2195="MXN",1/HLOOKUP(YEAR(C2195)+(MONTH(C2195)/100),TC!$5:$37,DAY(C2195)+2,FALSE),VLOOKUP(E2195,Equivalencia!$5:$23,((MAX(Equivalencia!$3:$3)-YEAR(C2195))*14)+MONTH(C2195)+2,FALSE)))</f>
        <v>0</v>
      </c>
      <c r="J2195" s="178">
        <f t="shared" si="211"/>
        <v>0</v>
      </c>
      <c r="K2195" s="462">
        <f>IF(C2195=0,0,VLOOKUP(YEAR(C2195),INPC!$B$4:$O$29,MONTH(C2195)+1))</f>
        <v>0</v>
      </c>
      <c r="L2195" s="462">
        <f>IF(S2195=0,0,VLOOKUP(YEAR(S2195),INPC!$B$4:$O$29,MONTH(S2195)+1))</f>
        <v>0</v>
      </c>
      <c r="M2195" s="463">
        <f t="shared" si="204"/>
        <v>0</v>
      </c>
      <c r="N2195" s="465">
        <f t="shared" si="212"/>
        <v>0</v>
      </c>
      <c r="O2195" s="179"/>
      <c r="P2195" s="180"/>
      <c r="Q2195" s="173"/>
      <c r="R2195" s="173"/>
      <c r="S2195" s="174"/>
      <c r="T2195" s="173"/>
      <c r="U2195" s="182"/>
      <c r="V2195" s="177">
        <f>IF(U2195=0,0,IF(T2195="MXN",1/HLOOKUP(YEAR(S2195)+(MONTH(S2195)/100),TC!$5:$37,DAY(S2195)+2,FALSE),VLOOKUP(T2195,Equivalencia!$1:$23,((MAX(Equivalencia!$3:$3)-YEAR(S2195))*14)+MONTH(S2195)+2,FALSE)))</f>
        <v>0</v>
      </c>
      <c r="W2195" s="178">
        <f t="shared" si="209"/>
        <v>0</v>
      </c>
      <c r="X2195" s="481">
        <f t="shared" si="205"/>
        <v>0</v>
      </c>
      <c r="Y2195" s="179"/>
      <c r="Z2195" s="466">
        <f t="shared" si="206"/>
        <v>0</v>
      </c>
      <c r="AA2195" s="473">
        <f t="shared" si="207"/>
        <v>0</v>
      </c>
      <c r="AB2195" s="339">
        <f t="shared" si="208"/>
        <v>0</v>
      </c>
    </row>
    <row r="2196" spans="2:28" ht="20.100000000000001" customHeight="1">
      <c r="B2196" s="172"/>
      <c r="C2196" s="174"/>
      <c r="D2196" s="181"/>
      <c r="E2196" s="173"/>
      <c r="F2196" s="176"/>
      <c r="G2196" s="175">
        <f t="shared" si="210"/>
        <v>0</v>
      </c>
      <c r="H2196" s="175">
        <f t="shared" si="203"/>
        <v>0</v>
      </c>
      <c r="I2196" s="177">
        <f>IF(G2196=0,0,IF(E2196="MXN",1/HLOOKUP(YEAR(C2196)+(MONTH(C2196)/100),TC!$5:$37,DAY(C2196)+2,FALSE),VLOOKUP(E2196,Equivalencia!$5:$23,((MAX(Equivalencia!$3:$3)-YEAR(C2196))*14)+MONTH(C2196)+2,FALSE)))</f>
        <v>0</v>
      </c>
      <c r="J2196" s="178">
        <f t="shared" si="211"/>
        <v>0</v>
      </c>
      <c r="K2196" s="462">
        <f>IF(C2196=0,0,VLOOKUP(YEAR(C2196),INPC!$B$4:$O$29,MONTH(C2196)+1))</f>
        <v>0</v>
      </c>
      <c r="L2196" s="462">
        <f>IF(S2196=0,0,VLOOKUP(YEAR(S2196),INPC!$B$4:$O$29,MONTH(S2196)+1))</f>
        <v>0</v>
      </c>
      <c r="M2196" s="463">
        <f t="shared" si="204"/>
        <v>0</v>
      </c>
      <c r="N2196" s="465">
        <f t="shared" si="212"/>
        <v>0</v>
      </c>
      <c r="O2196" s="179"/>
      <c r="P2196" s="180"/>
      <c r="Q2196" s="173"/>
      <c r="R2196" s="173"/>
      <c r="S2196" s="174"/>
      <c r="T2196" s="173"/>
      <c r="U2196" s="182"/>
      <c r="V2196" s="177">
        <f>IF(U2196=0,0,IF(T2196="MXN",1/HLOOKUP(YEAR(S2196)+(MONTH(S2196)/100),TC!$5:$37,DAY(S2196)+2,FALSE),VLOOKUP(T2196,Equivalencia!$1:$23,((MAX(Equivalencia!$3:$3)-YEAR(S2196))*14)+MONTH(S2196)+2,FALSE)))</f>
        <v>0</v>
      </c>
      <c r="W2196" s="178">
        <f t="shared" si="209"/>
        <v>0</v>
      </c>
      <c r="X2196" s="481">
        <f t="shared" si="205"/>
        <v>0</v>
      </c>
      <c r="Y2196" s="179"/>
      <c r="Z2196" s="466">
        <f t="shared" si="206"/>
        <v>0</v>
      </c>
      <c r="AA2196" s="473">
        <f t="shared" si="207"/>
        <v>0</v>
      </c>
      <c r="AB2196" s="339">
        <f t="shared" si="208"/>
        <v>0</v>
      </c>
    </row>
    <row r="2197" spans="2:28" ht="20.100000000000001" customHeight="1">
      <c r="B2197" s="172"/>
      <c r="C2197" s="174"/>
      <c r="D2197" s="181"/>
      <c r="E2197" s="173"/>
      <c r="F2197" s="176"/>
      <c r="G2197" s="175">
        <f t="shared" si="210"/>
        <v>0</v>
      </c>
      <c r="H2197" s="175">
        <f t="shared" si="203"/>
        <v>0</v>
      </c>
      <c r="I2197" s="177">
        <f>IF(G2197=0,0,IF(E2197="MXN",1/HLOOKUP(YEAR(C2197)+(MONTH(C2197)/100),TC!$5:$37,DAY(C2197)+2,FALSE),VLOOKUP(E2197,Equivalencia!$5:$23,((MAX(Equivalencia!$3:$3)-YEAR(C2197))*14)+MONTH(C2197)+2,FALSE)))</f>
        <v>0</v>
      </c>
      <c r="J2197" s="178">
        <f t="shared" si="211"/>
        <v>0</v>
      </c>
      <c r="K2197" s="462">
        <f>IF(C2197=0,0,VLOOKUP(YEAR(C2197),INPC!$B$4:$O$29,MONTH(C2197)+1))</f>
        <v>0</v>
      </c>
      <c r="L2197" s="462">
        <f>IF(S2197=0,0,VLOOKUP(YEAR(S2197),INPC!$B$4:$O$29,MONTH(S2197)+1))</f>
        <v>0</v>
      </c>
      <c r="M2197" s="463">
        <f t="shared" si="204"/>
        <v>0</v>
      </c>
      <c r="N2197" s="465">
        <f t="shared" si="212"/>
        <v>0</v>
      </c>
      <c r="O2197" s="179"/>
      <c r="P2197" s="180"/>
      <c r="Q2197" s="173"/>
      <c r="R2197" s="173"/>
      <c r="S2197" s="174"/>
      <c r="T2197" s="173"/>
      <c r="U2197" s="182"/>
      <c r="V2197" s="177">
        <f>IF(U2197=0,0,IF(T2197="MXN",1/HLOOKUP(YEAR(S2197)+(MONTH(S2197)/100),TC!$5:$37,DAY(S2197)+2,FALSE),VLOOKUP(T2197,Equivalencia!$1:$23,((MAX(Equivalencia!$3:$3)-YEAR(S2197))*14)+MONTH(S2197)+2,FALSE)))</f>
        <v>0</v>
      </c>
      <c r="W2197" s="178">
        <f t="shared" si="209"/>
        <v>0</v>
      </c>
      <c r="X2197" s="481">
        <f t="shared" si="205"/>
        <v>0</v>
      </c>
      <c r="Y2197" s="179"/>
      <c r="Z2197" s="466">
        <f t="shared" si="206"/>
        <v>0</v>
      </c>
      <c r="AA2197" s="473">
        <f t="shared" si="207"/>
        <v>0</v>
      </c>
      <c r="AB2197" s="339">
        <f t="shared" si="208"/>
        <v>0</v>
      </c>
    </row>
    <row r="2198" spans="2:28" ht="20.100000000000001" customHeight="1">
      <c r="B2198" s="172"/>
      <c r="C2198" s="174"/>
      <c r="D2198" s="181"/>
      <c r="E2198" s="173"/>
      <c r="F2198" s="176"/>
      <c r="G2198" s="175">
        <f t="shared" si="210"/>
        <v>0</v>
      </c>
      <c r="H2198" s="175">
        <f t="shared" si="203"/>
        <v>0</v>
      </c>
      <c r="I2198" s="177">
        <f>IF(G2198=0,0,IF(E2198="MXN",1/HLOOKUP(YEAR(C2198)+(MONTH(C2198)/100),TC!$5:$37,DAY(C2198)+2,FALSE),VLOOKUP(E2198,Equivalencia!$5:$23,((MAX(Equivalencia!$3:$3)-YEAR(C2198))*14)+MONTH(C2198)+2,FALSE)))</f>
        <v>0</v>
      </c>
      <c r="J2198" s="178">
        <f t="shared" si="211"/>
        <v>0</v>
      </c>
      <c r="K2198" s="462">
        <f>IF(C2198=0,0,VLOOKUP(YEAR(C2198),INPC!$B$4:$O$29,MONTH(C2198)+1))</f>
        <v>0</v>
      </c>
      <c r="L2198" s="462">
        <f>IF(S2198=0,0,VLOOKUP(YEAR(S2198),INPC!$B$4:$O$29,MONTH(S2198)+1))</f>
        <v>0</v>
      </c>
      <c r="M2198" s="463">
        <f t="shared" si="204"/>
        <v>0</v>
      </c>
      <c r="N2198" s="465">
        <f t="shared" si="212"/>
        <v>0</v>
      </c>
      <c r="O2198" s="179"/>
      <c r="P2198" s="180"/>
      <c r="Q2198" s="173"/>
      <c r="R2198" s="173"/>
      <c r="S2198" s="174"/>
      <c r="T2198" s="173"/>
      <c r="U2198" s="182"/>
      <c r="V2198" s="177">
        <f>IF(U2198=0,0,IF(T2198="MXN",1/HLOOKUP(YEAR(S2198)+(MONTH(S2198)/100),TC!$5:$37,DAY(S2198)+2,FALSE),VLOOKUP(T2198,Equivalencia!$1:$23,((MAX(Equivalencia!$3:$3)-YEAR(S2198))*14)+MONTH(S2198)+2,FALSE)))</f>
        <v>0</v>
      </c>
      <c r="W2198" s="178">
        <f t="shared" si="209"/>
        <v>0</v>
      </c>
      <c r="X2198" s="481">
        <f t="shared" si="205"/>
        <v>0</v>
      </c>
      <c r="Y2198" s="179"/>
      <c r="Z2198" s="466">
        <f t="shared" si="206"/>
        <v>0</v>
      </c>
      <c r="AA2198" s="473">
        <f t="shared" si="207"/>
        <v>0</v>
      </c>
      <c r="AB2198" s="339">
        <f t="shared" si="208"/>
        <v>0</v>
      </c>
    </row>
    <row r="2199" spans="2:28" ht="20.100000000000001" customHeight="1">
      <c r="B2199" s="172"/>
      <c r="C2199" s="174"/>
      <c r="D2199" s="181"/>
      <c r="E2199" s="173"/>
      <c r="F2199" s="176"/>
      <c r="G2199" s="175">
        <f t="shared" si="210"/>
        <v>0</v>
      </c>
      <c r="H2199" s="175">
        <f t="shared" si="203"/>
        <v>0</v>
      </c>
      <c r="I2199" s="177">
        <f>IF(G2199=0,0,IF(E2199="MXN",1/HLOOKUP(YEAR(C2199)+(MONTH(C2199)/100),TC!$5:$37,DAY(C2199)+2,FALSE),VLOOKUP(E2199,Equivalencia!$5:$23,((MAX(Equivalencia!$3:$3)-YEAR(C2199))*14)+MONTH(C2199)+2,FALSE)))</f>
        <v>0</v>
      </c>
      <c r="J2199" s="178">
        <f t="shared" si="211"/>
        <v>0</v>
      </c>
      <c r="K2199" s="462">
        <f>IF(C2199=0,0,VLOOKUP(YEAR(C2199),INPC!$B$4:$O$29,MONTH(C2199)+1))</f>
        <v>0</v>
      </c>
      <c r="L2199" s="462">
        <f>IF(S2199=0,0,VLOOKUP(YEAR(S2199),INPC!$B$4:$O$29,MONTH(S2199)+1))</f>
        <v>0</v>
      </c>
      <c r="M2199" s="463">
        <f t="shared" si="204"/>
        <v>0</v>
      </c>
      <c r="N2199" s="465">
        <f t="shared" si="212"/>
        <v>0</v>
      </c>
      <c r="O2199" s="179"/>
      <c r="P2199" s="180"/>
      <c r="Q2199" s="173"/>
      <c r="R2199" s="173"/>
      <c r="S2199" s="174"/>
      <c r="T2199" s="173"/>
      <c r="U2199" s="182"/>
      <c r="V2199" s="177">
        <f>IF(U2199=0,0,IF(T2199="MXN",1/HLOOKUP(YEAR(S2199)+(MONTH(S2199)/100),TC!$5:$37,DAY(S2199)+2,FALSE),VLOOKUP(T2199,Equivalencia!$1:$23,((MAX(Equivalencia!$3:$3)-YEAR(S2199))*14)+MONTH(S2199)+2,FALSE)))</f>
        <v>0</v>
      </c>
      <c r="W2199" s="178">
        <f t="shared" si="209"/>
        <v>0</v>
      </c>
      <c r="X2199" s="481">
        <f t="shared" si="205"/>
        <v>0</v>
      </c>
      <c r="Y2199" s="179"/>
      <c r="Z2199" s="466">
        <f t="shared" si="206"/>
        <v>0</v>
      </c>
      <c r="AA2199" s="473">
        <f t="shared" si="207"/>
        <v>0</v>
      </c>
      <c r="AB2199" s="339">
        <f t="shared" si="208"/>
        <v>0</v>
      </c>
    </row>
    <row r="2200" spans="2:28" ht="20.100000000000001" customHeight="1">
      <c r="B2200" s="172"/>
      <c r="C2200" s="174"/>
      <c r="D2200" s="181"/>
      <c r="E2200" s="173"/>
      <c r="F2200" s="176"/>
      <c r="G2200" s="175">
        <f t="shared" si="210"/>
        <v>0</v>
      </c>
      <c r="H2200" s="175">
        <f t="shared" si="203"/>
        <v>0</v>
      </c>
      <c r="I2200" s="177">
        <f>IF(G2200=0,0,IF(E2200="MXN",1/HLOOKUP(YEAR(C2200)+(MONTH(C2200)/100),TC!$5:$37,DAY(C2200)+2,FALSE),VLOOKUP(E2200,Equivalencia!$5:$23,((MAX(Equivalencia!$3:$3)-YEAR(C2200))*14)+MONTH(C2200)+2,FALSE)))</f>
        <v>0</v>
      </c>
      <c r="J2200" s="178">
        <f t="shared" si="211"/>
        <v>0</v>
      </c>
      <c r="K2200" s="462">
        <f>IF(C2200=0,0,VLOOKUP(YEAR(C2200),INPC!$B$4:$O$29,MONTH(C2200)+1))</f>
        <v>0</v>
      </c>
      <c r="L2200" s="462">
        <f>IF(S2200=0,0,VLOOKUP(YEAR(S2200),INPC!$B$4:$O$29,MONTH(S2200)+1))</f>
        <v>0</v>
      </c>
      <c r="M2200" s="463">
        <f t="shared" si="204"/>
        <v>0</v>
      </c>
      <c r="N2200" s="465">
        <f t="shared" si="212"/>
        <v>0</v>
      </c>
      <c r="O2200" s="179"/>
      <c r="P2200" s="180"/>
      <c r="Q2200" s="173"/>
      <c r="R2200" s="173"/>
      <c r="S2200" s="174"/>
      <c r="T2200" s="173"/>
      <c r="U2200" s="182"/>
      <c r="V2200" s="177">
        <f>IF(U2200=0,0,IF(T2200="MXN",1/HLOOKUP(YEAR(S2200)+(MONTH(S2200)/100),TC!$5:$37,DAY(S2200)+2,FALSE),VLOOKUP(T2200,Equivalencia!$1:$23,((MAX(Equivalencia!$3:$3)-YEAR(S2200))*14)+MONTH(S2200)+2,FALSE)))</f>
        <v>0</v>
      </c>
      <c r="W2200" s="178">
        <f t="shared" si="209"/>
        <v>0</v>
      </c>
      <c r="X2200" s="481">
        <f t="shared" si="205"/>
        <v>0</v>
      </c>
      <c r="Y2200" s="179"/>
      <c r="Z2200" s="466">
        <f t="shared" si="206"/>
        <v>0</v>
      </c>
      <c r="AA2200" s="473">
        <f t="shared" si="207"/>
        <v>0</v>
      </c>
      <c r="AB2200" s="339">
        <f t="shared" si="208"/>
        <v>0</v>
      </c>
    </row>
    <row r="2201" spans="2:28" ht="20.100000000000001" customHeight="1">
      <c r="B2201" s="172"/>
      <c r="C2201" s="174"/>
      <c r="D2201" s="181"/>
      <c r="E2201" s="173"/>
      <c r="F2201" s="176"/>
      <c r="G2201" s="175">
        <f t="shared" si="210"/>
        <v>0</v>
      </c>
      <c r="H2201" s="175">
        <f t="shared" si="203"/>
        <v>0</v>
      </c>
      <c r="I2201" s="177">
        <f>IF(G2201=0,0,IF(E2201="MXN",1/HLOOKUP(YEAR(C2201)+(MONTH(C2201)/100),TC!$5:$37,DAY(C2201)+2,FALSE),VLOOKUP(E2201,Equivalencia!$5:$23,((MAX(Equivalencia!$3:$3)-YEAR(C2201))*14)+MONTH(C2201)+2,FALSE)))</f>
        <v>0</v>
      </c>
      <c r="J2201" s="178">
        <f t="shared" si="211"/>
        <v>0</v>
      </c>
      <c r="K2201" s="462">
        <f>IF(C2201=0,0,VLOOKUP(YEAR(C2201),INPC!$B$4:$O$29,MONTH(C2201)+1))</f>
        <v>0</v>
      </c>
      <c r="L2201" s="462">
        <f>IF(S2201=0,0,VLOOKUP(YEAR(S2201),INPC!$B$4:$O$29,MONTH(S2201)+1))</f>
        <v>0</v>
      </c>
      <c r="M2201" s="463">
        <f t="shared" si="204"/>
        <v>0</v>
      </c>
      <c r="N2201" s="465">
        <f t="shared" si="212"/>
        <v>0</v>
      </c>
      <c r="O2201" s="179"/>
      <c r="P2201" s="180"/>
      <c r="Q2201" s="173"/>
      <c r="R2201" s="173"/>
      <c r="S2201" s="174"/>
      <c r="T2201" s="173"/>
      <c r="U2201" s="182"/>
      <c r="V2201" s="177">
        <f>IF(U2201=0,0,IF(T2201="MXN",1/HLOOKUP(YEAR(S2201)+(MONTH(S2201)/100),TC!$5:$37,DAY(S2201)+2,FALSE),VLOOKUP(T2201,Equivalencia!$1:$23,((MAX(Equivalencia!$3:$3)-YEAR(S2201))*14)+MONTH(S2201)+2,FALSE)))</f>
        <v>0</v>
      </c>
      <c r="W2201" s="178">
        <f t="shared" si="209"/>
        <v>0</v>
      </c>
      <c r="X2201" s="481">
        <f t="shared" si="205"/>
        <v>0</v>
      </c>
      <c r="Y2201" s="179"/>
      <c r="Z2201" s="466">
        <f t="shared" si="206"/>
        <v>0</v>
      </c>
      <c r="AA2201" s="473">
        <f t="shared" si="207"/>
        <v>0</v>
      </c>
      <c r="AB2201" s="339">
        <f t="shared" si="208"/>
        <v>0</v>
      </c>
    </row>
    <row r="2202" spans="2:28" ht="20.100000000000001" customHeight="1">
      <c r="B2202" s="172"/>
      <c r="C2202" s="174"/>
      <c r="D2202" s="181"/>
      <c r="E2202" s="173"/>
      <c r="F2202" s="176"/>
      <c r="G2202" s="175">
        <f t="shared" si="210"/>
        <v>0</v>
      </c>
      <c r="H2202" s="175">
        <f t="shared" si="203"/>
        <v>0</v>
      </c>
      <c r="I2202" s="177">
        <f>IF(G2202=0,0,IF(E2202="MXN",1/HLOOKUP(YEAR(C2202)+(MONTH(C2202)/100),TC!$5:$37,DAY(C2202)+2,FALSE),VLOOKUP(E2202,Equivalencia!$5:$23,((MAX(Equivalencia!$3:$3)-YEAR(C2202))*14)+MONTH(C2202)+2,FALSE)))</f>
        <v>0</v>
      </c>
      <c r="J2202" s="178">
        <f t="shared" si="211"/>
        <v>0</v>
      </c>
      <c r="K2202" s="462">
        <f>IF(C2202=0,0,VLOOKUP(YEAR(C2202),INPC!$B$4:$O$29,MONTH(C2202)+1))</f>
        <v>0</v>
      </c>
      <c r="L2202" s="462">
        <f>IF(S2202=0,0,VLOOKUP(YEAR(S2202),INPC!$B$4:$O$29,MONTH(S2202)+1))</f>
        <v>0</v>
      </c>
      <c r="M2202" s="463">
        <f t="shared" si="204"/>
        <v>0</v>
      </c>
      <c r="N2202" s="465">
        <f t="shared" si="212"/>
        <v>0</v>
      </c>
      <c r="O2202" s="179"/>
      <c r="P2202" s="180"/>
      <c r="Q2202" s="173"/>
      <c r="R2202" s="173"/>
      <c r="S2202" s="174"/>
      <c r="T2202" s="173"/>
      <c r="U2202" s="182"/>
      <c r="V2202" s="177">
        <f>IF(U2202=0,0,IF(T2202="MXN",1/HLOOKUP(YEAR(S2202)+(MONTH(S2202)/100),TC!$5:$37,DAY(S2202)+2,FALSE),VLOOKUP(T2202,Equivalencia!$1:$23,((MAX(Equivalencia!$3:$3)-YEAR(S2202))*14)+MONTH(S2202)+2,FALSE)))</f>
        <v>0</v>
      </c>
      <c r="W2202" s="178">
        <f t="shared" si="209"/>
        <v>0</v>
      </c>
      <c r="X2202" s="481">
        <f t="shared" si="205"/>
        <v>0</v>
      </c>
      <c r="Y2202" s="179"/>
      <c r="Z2202" s="466">
        <f t="shared" si="206"/>
        <v>0</v>
      </c>
      <c r="AA2202" s="473">
        <f t="shared" si="207"/>
        <v>0</v>
      </c>
      <c r="AB2202" s="339">
        <f t="shared" si="208"/>
        <v>0</v>
      </c>
    </row>
    <row r="2203" spans="2:28" ht="20.100000000000001" customHeight="1">
      <c r="B2203" s="172"/>
      <c r="C2203" s="174"/>
      <c r="D2203" s="181"/>
      <c r="E2203" s="173"/>
      <c r="F2203" s="176"/>
      <c r="G2203" s="175">
        <f t="shared" si="210"/>
        <v>0</v>
      </c>
      <c r="H2203" s="175">
        <f t="shared" si="203"/>
        <v>0</v>
      </c>
      <c r="I2203" s="177">
        <f>IF(G2203=0,0,IF(E2203="MXN",1/HLOOKUP(YEAR(C2203)+(MONTH(C2203)/100),TC!$5:$37,DAY(C2203)+2,FALSE),VLOOKUP(E2203,Equivalencia!$5:$23,((MAX(Equivalencia!$3:$3)-YEAR(C2203))*14)+MONTH(C2203)+2,FALSE)))</f>
        <v>0</v>
      </c>
      <c r="J2203" s="178">
        <f t="shared" si="211"/>
        <v>0</v>
      </c>
      <c r="K2203" s="462">
        <f>IF(C2203=0,0,VLOOKUP(YEAR(C2203),INPC!$B$4:$O$29,MONTH(C2203)+1))</f>
        <v>0</v>
      </c>
      <c r="L2203" s="462">
        <f>IF(S2203=0,0,VLOOKUP(YEAR(S2203),INPC!$B$4:$O$29,MONTH(S2203)+1))</f>
        <v>0</v>
      </c>
      <c r="M2203" s="463">
        <f t="shared" si="204"/>
        <v>0</v>
      </c>
      <c r="N2203" s="465">
        <f t="shared" si="212"/>
        <v>0</v>
      </c>
      <c r="O2203" s="179"/>
      <c r="P2203" s="180"/>
      <c r="Q2203" s="173"/>
      <c r="R2203" s="173"/>
      <c r="S2203" s="174"/>
      <c r="T2203" s="173"/>
      <c r="U2203" s="182"/>
      <c r="V2203" s="177">
        <f>IF(U2203=0,0,IF(T2203="MXN",1/HLOOKUP(YEAR(S2203)+(MONTH(S2203)/100),TC!$5:$37,DAY(S2203)+2,FALSE),VLOOKUP(T2203,Equivalencia!$1:$23,((MAX(Equivalencia!$3:$3)-YEAR(S2203))*14)+MONTH(S2203)+2,FALSE)))</f>
        <v>0</v>
      </c>
      <c r="W2203" s="178">
        <f t="shared" si="209"/>
        <v>0</v>
      </c>
      <c r="X2203" s="481">
        <f t="shared" si="205"/>
        <v>0</v>
      </c>
      <c r="Y2203" s="179"/>
      <c r="Z2203" s="466">
        <f t="shared" si="206"/>
        <v>0</v>
      </c>
      <c r="AA2203" s="473">
        <f t="shared" si="207"/>
        <v>0</v>
      </c>
      <c r="AB2203" s="339">
        <f t="shared" si="208"/>
        <v>0</v>
      </c>
    </row>
    <row r="2204" spans="2:28" ht="20.100000000000001" customHeight="1">
      <c r="B2204" s="172"/>
      <c r="C2204" s="174"/>
      <c r="D2204" s="181"/>
      <c r="E2204" s="173"/>
      <c r="F2204" s="176"/>
      <c r="G2204" s="175">
        <f t="shared" si="210"/>
        <v>0</v>
      </c>
      <c r="H2204" s="175">
        <f t="shared" si="203"/>
        <v>0</v>
      </c>
      <c r="I2204" s="177">
        <f>IF(G2204=0,0,IF(E2204="MXN",1/HLOOKUP(YEAR(C2204)+(MONTH(C2204)/100),TC!$5:$37,DAY(C2204)+2,FALSE),VLOOKUP(E2204,Equivalencia!$5:$23,((MAX(Equivalencia!$3:$3)-YEAR(C2204))*14)+MONTH(C2204)+2,FALSE)))</f>
        <v>0</v>
      </c>
      <c r="J2204" s="178">
        <f t="shared" si="211"/>
        <v>0</v>
      </c>
      <c r="K2204" s="462">
        <f>IF(C2204=0,0,VLOOKUP(YEAR(C2204),INPC!$B$4:$O$29,MONTH(C2204)+1))</f>
        <v>0</v>
      </c>
      <c r="L2204" s="462">
        <f>IF(S2204=0,0,VLOOKUP(YEAR(S2204),INPC!$B$4:$O$29,MONTH(S2204)+1))</f>
        <v>0</v>
      </c>
      <c r="M2204" s="463">
        <f t="shared" si="204"/>
        <v>0</v>
      </c>
      <c r="N2204" s="465">
        <f t="shared" si="212"/>
        <v>0</v>
      </c>
      <c r="O2204" s="179"/>
      <c r="P2204" s="180"/>
      <c r="Q2204" s="173"/>
      <c r="R2204" s="173"/>
      <c r="S2204" s="174"/>
      <c r="T2204" s="173"/>
      <c r="U2204" s="182"/>
      <c r="V2204" s="177">
        <f>IF(U2204=0,0,IF(T2204="MXN",1/HLOOKUP(YEAR(S2204)+(MONTH(S2204)/100),TC!$5:$37,DAY(S2204)+2,FALSE),VLOOKUP(T2204,Equivalencia!$1:$23,((MAX(Equivalencia!$3:$3)-YEAR(S2204))*14)+MONTH(S2204)+2,FALSE)))</f>
        <v>0</v>
      </c>
      <c r="W2204" s="178">
        <f t="shared" si="209"/>
        <v>0</v>
      </c>
      <c r="X2204" s="481">
        <f t="shared" si="205"/>
        <v>0</v>
      </c>
      <c r="Y2204" s="179"/>
      <c r="Z2204" s="466">
        <f t="shared" si="206"/>
        <v>0</v>
      </c>
      <c r="AA2204" s="473">
        <f t="shared" si="207"/>
        <v>0</v>
      </c>
      <c r="AB2204" s="339">
        <f t="shared" si="208"/>
        <v>0</v>
      </c>
    </row>
    <row r="2205" spans="2:28" ht="20.100000000000001" customHeight="1">
      <c r="B2205" s="172"/>
      <c r="C2205" s="174"/>
      <c r="D2205" s="181"/>
      <c r="E2205" s="173"/>
      <c r="F2205" s="176"/>
      <c r="G2205" s="175">
        <f t="shared" si="210"/>
        <v>0</v>
      </c>
      <c r="H2205" s="175">
        <f t="shared" si="203"/>
        <v>0</v>
      </c>
      <c r="I2205" s="177">
        <f>IF(G2205=0,0,IF(E2205="MXN",1/HLOOKUP(YEAR(C2205)+(MONTH(C2205)/100),TC!$5:$37,DAY(C2205)+2,FALSE),VLOOKUP(E2205,Equivalencia!$5:$23,((MAX(Equivalencia!$3:$3)-YEAR(C2205))*14)+MONTH(C2205)+2,FALSE)))</f>
        <v>0</v>
      </c>
      <c r="J2205" s="178">
        <f t="shared" si="211"/>
        <v>0</v>
      </c>
      <c r="K2205" s="462">
        <f>IF(C2205=0,0,VLOOKUP(YEAR(C2205),INPC!$B$4:$O$29,MONTH(C2205)+1))</f>
        <v>0</v>
      </c>
      <c r="L2205" s="462">
        <f>IF(S2205=0,0,VLOOKUP(YEAR(S2205),INPC!$B$4:$O$29,MONTH(S2205)+1))</f>
        <v>0</v>
      </c>
      <c r="M2205" s="463">
        <f t="shared" si="204"/>
        <v>0</v>
      </c>
      <c r="N2205" s="465">
        <f t="shared" si="212"/>
        <v>0</v>
      </c>
      <c r="O2205" s="179"/>
      <c r="P2205" s="180"/>
      <c r="Q2205" s="173"/>
      <c r="R2205" s="173"/>
      <c r="S2205" s="174"/>
      <c r="T2205" s="173"/>
      <c r="U2205" s="182"/>
      <c r="V2205" s="177">
        <f>IF(U2205=0,0,IF(T2205="MXN",1/HLOOKUP(YEAR(S2205)+(MONTH(S2205)/100),TC!$5:$37,DAY(S2205)+2,FALSE),VLOOKUP(T2205,Equivalencia!$1:$23,((MAX(Equivalencia!$3:$3)-YEAR(S2205))*14)+MONTH(S2205)+2,FALSE)))</f>
        <v>0</v>
      </c>
      <c r="W2205" s="178">
        <f t="shared" si="209"/>
        <v>0</v>
      </c>
      <c r="X2205" s="481">
        <f t="shared" si="205"/>
        <v>0</v>
      </c>
      <c r="Y2205" s="179"/>
      <c r="Z2205" s="466">
        <f t="shared" si="206"/>
        <v>0</v>
      </c>
      <c r="AA2205" s="473">
        <f t="shared" si="207"/>
        <v>0</v>
      </c>
      <c r="AB2205" s="339">
        <f t="shared" si="208"/>
        <v>0</v>
      </c>
    </row>
    <row r="2206" spans="2:28" ht="20.100000000000001" customHeight="1">
      <c r="B2206" s="172"/>
      <c r="C2206" s="174"/>
      <c r="D2206" s="181"/>
      <c r="E2206" s="173"/>
      <c r="F2206" s="176"/>
      <c r="G2206" s="175">
        <f t="shared" si="210"/>
        <v>0</v>
      </c>
      <c r="H2206" s="175">
        <f t="shared" si="203"/>
        <v>0</v>
      </c>
      <c r="I2206" s="177">
        <f>IF(G2206=0,0,IF(E2206="MXN",1/HLOOKUP(YEAR(C2206)+(MONTH(C2206)/100),TC!$5:$37,DAY(C2206)+2,FALSE),VLOOKUP(E2206,Equivalencia!$5:$23,((MAX(Equivalencia!$3:$3)-YEAR(C2206))*14)+MONTH(C2206)+2,FALSE)))</f>
        <v>0</v>
      </c>
      <c r="J2206" s="178">
        <f t="shared" si="211"/>
        <v>0</v>
      </c>
      <c r="K2206" s="462">
        <f>IF(C2206=0,0,VLOOKUP(YEAR(C2206),INPC!$B$4:$O$29,MONTH(C2206)+1))</f>
        <v>0</v>
      </c>
      <c r="L2206" s="462">
        <f>IF(S2206=0,0,VLOOKUP(YEAR(S2206),INPC!$B$4:$O$29,MONTH(S2206)+1))</f>
        <v>0</v>
      </c>
      <c r="M2206" s="463">
        <f t="shared" si="204"/>
        <v>0</v>
      </c>
      <c r="N2206" s="465">
        <f t="shared" si="212"/>
        <v>0</v>
      </c>
      <c r="O2206" s="179"/>
      <c r="P2206" s="180"/>
      <c r="Q2206" s="173"/>
      <c r="R2206" s="173"/>
      <c r="S2206" s="174"/>
      <c r="T2206" s="173"/>
      <c r="U2206" s="182"/>
      <c r="V2206" s="177">
        <f>IF(U2206=0,0,IF(T2206="MXN",1/HLOOKUP(YEAR(S2206)+(MONTH(S2206)/100),TC!$5:$37,DAY(S2206)+2,FALSE),VLOOKUP(T2206,Equivalencia!$1:$23,((MAX(Equivalencia!$3:$3)-YEAR(S2206))*14)+MONTH(S2206)+2,FALSE)))</f>
        <v>0</v>
      </c>
      <c r="W2206" s="178">
        <f t="shared" si="209"/>
        <v>0</v>
      </c>
      <c r="X2206" s="481">
        <f t="shared" si="205"/>
        <v>0</v>
      </c>
      <c r="Y2206" s="179"/>
      <c r="Z2206" s="466">
        <f t="shared" si="206"/>
        <v>0</v>
      </c>
      <c r="AA2206" s="473">
        <f t="shared" si="207"/>
        <v>0</v>
      </c>
      <c r="AB2206" s="339">
        <f t="shared" si="208"/>
        <v>0</v>
      </c>
    </row>
    <row r="2207" spans="2:28" ht="20.100000000000001" customHeight="1">
      <c r="B2207" s="172"/>
      <c r="C2207" s="174"/>
      <c r="D2207" s="181"/>
      <c r="E2207" s="173"/>
      <c r="F2207" s="176"/>
      <c r="G2207" s="175">
        <f t="shared" si="210"/>
        <v>0</v>
      </c>
      <c r="H2207" s="175">
        <f t="shared" si="203"/>
        <v>0</v>
      </c>
      <c r="I2207" s="177">
        <f>IF(G2207=0,0,IF(E2207="MXN",1/HLOOKUP(YEAR(C2207)+(MONTH(C2207)/100),TC!$5:$37,DAY(C2207)+2,FALSE),VLOOKUP(E2207,Equivalencia!$5:$23,((MAX(Equivalencia!$3:$3)-YEAR(C2207))*14)+MONTH(C2207)+2,FALSE)))</f>
        <v>0</v>
      </c>
      <c r="J2207" s="178">
        <f t="shared" si="211"/>
        <v>0</v>
      </c>
      <c r="K2207" s="462">
        <f>IF(C2207=0,0,VLOOKUP(YEAR(C2207),INPC!$B$4:$O$29,MONTH(C2207)+1))</f>
        <v>0</v>
      </c>
      <c r="L2207" s="462">
        <f>IF(S2207=0,0,VLOOKUP(YEAR(S2207),INPC!$B$4:$O$29,MONTH(S2207)+1))</f>
        <v>0</v>
      </c>
      <c r="M2207" s="463">
        <f t="shared" si="204"/>
        <v>0</v>
      </c>
      <c r="N2207" s="465">
        <f t="shared" si="212"/>
        <v>0</v>
      </c>
      <c r="O2207" s="179"/>
      <c r="P2207" s="180"/>
      <c r="Q2207" s="173"/>
      <c r="R2207" s="173"/>
      <c r="S2207" s="174"/>
      <c r="T2207" s="173"/>
      <c r="U2207" s="182"/>
      <c r="V2207" s="177">
        <f>IF(U2207=0,0,IF(T2207="MXN",1/HLOOKUP(YEAR(S2207)+(MONTH(S2207)/100),TC!$5:$37,DAY(S2207)+2,FALSE),VLOOKUP(T2207,Equivalencia!$1:$23,((MAX(Equivalencia!$3:$3)-YEAR(S2207))*14)+MONTH(S2207)+2,FALSE)))</f>
        <v>0</v>
      </c>
      <c r="W2207" s="178">
        <f t="shared" si="209"/>
        <v>0</v>
      </c>
      <c r="X2207" s="481">
        <f t="shared" si="205"/>
        <v>0</v>
      </c>
      <c r="Y2207" s="179"/>
      <c r="Z2207" s="466">
        <f t="shared" si="206"/>
        <v>0</v>
      </c>
      <c r="AA2207" s="473">
        <f t="shared" si="207"/>
        <v>0</v>
      </c>
      <c r="AB2207" s="339">
        <f t="shared" si="208"/>
        <v>0</v>
      </c>
    </row>
    <row r="2208" spans="2:28" ht="20.100000000000001" customHeight="1">
      <c r="B2208" s="172"/>
      <c r="C2208" s="174"/>
      <c r="D2208" s="181"/>
      <c r="E2208" s="173"/>
      <c r="F2208" s="176"/>
      <c r="G2208" s="175">
        <f t="shared" si="210"/>
        <v>0</v>
      </c>
      <c r="H2208" s="175">
        <f t="shared" si="203"/>
        <v>0</v>
      </c>
      <c r="I2208" s="177">
        <f>IF(G2208=0,0,IF(E2208="MXN",1/HLOOKUP(YEAR(C2208)+(MONTH(C2208)/100),TC!$5:$37,DAY(C2208)+2,FALSE),VLOOKUP(E2208,Equivalencia!$5:$23,((MAX(Equivalencia!$3:$3)-YEAR(C2208))*14)+MONTH(C2208)+2,FALSE)))</f>
        <v>0</v>
      </c>
      <c r="J2208" s="178">
        <f t="shared" si="211"/>
        <v>0</v>
      </c>
      <c r="K2208" s="462">
        <f>IF(C2208=0,0,VLOOKUP(YEAR(C2208),INPC!$B$4:$O$29,MONTH(C2208)+1))</f>
        <v>0</v>
      </c>
      <c r="L2208" s="462">
        <f>IF(S2208=0,0,VLOOKUP(YEAR(S2208),INPC!$B$4:$O$29,MONTH(S2208)+1))</f>
        <v>0</v>
      </c>
      <c r="M2208" s="463">
        <f t="shared" si="204"/>
        <v>0</v>
      </c>
      <c r="N2208" s="465">
        <f t="shared" si="212"/>
        <v>0</v>
      </c>
      <c r="O2208" s="179"/>
      <c r="P2208" s="180"/>
      <c r="Q2208" s="173"/>
      <c r="R2208" s="173"/>
      <c r="S2208" s="174"/>
      <c r="T2208" s="173"/>
      <c r="U2208" s="182"/>
      <c r="V2208" s="177">
        <f>IF(U2208=0,0,IF(T2208="MXN",1/HLOOKUP(YEAR(S2208)+(MONTH(S2208)/100),TC!$5:$37,DAY(S2208)+2,FALSE),VLOOKUP(T2208,Equivalencia!$1:$23,((MAX(Equivalencia!$3:$3)-YEAR(S2208))*14)+MONTH(S2208)+2,FALSE)))</f>
        <v>0</v>
      </c>
      <c r="W2208" s="178">
        <f t="shared" si="209"/>
        <v>0</v>
      </c>
      <c r="X2208" s="481">
        <f t="shared" si="205"/>
        <v>0</v>
      </c>
      <c r="Y2208" s="179"/>
      <c r="Z2208" s="466">
        <f t="shared" si="206"/>
        <v>0</v>
      </c>
      <c r="AA2208" s="473">
        <f t="shared" si="207"/>
        <v>0</v>
      </c>
      <c r="AB2208" s="339">
        <f t="shared" si="208"/>
        <v>0</v>
      </c>
    </row>
    <row r="2209" spans="2:28" ht="20.100000000000001" customHeight="1">
      <c r="B2209" s="172"/>
      <c r="C2209" s="174"/>
      <c r="D2209" s="181"/>
      <c r="E2209" s="173"/>
      <c r="F2209" s="176"/>
      <c r="G2209" s="175">
        <f t="shared" si="210"/>
        <v>0</v>
      </c>
      <c r="H2209" s="175">
        <f t="shared" si="203"/>
        <v>0</v>
      </c>
      <c r="I2209" s="177">
        <f>IF(G2209=0,0,IF(E2209="MXN",1/HLOOKUP(YEAR(C2209)+(MONTH(C2209)/100),TC!$5:$37,DAY(C2209)+2,FALSE),VLOOKUP(E2209,Equivalencia!$5:$23,((MAX(Equivalencia!$3:$3)-YEAR(C2209))*14)+MONTH(C2209)+2,FALSE)))</f>
        <v>0</v>
      </c>
      <c r="J2209" s="178">
        <f t="shared" si="211"/>
        <v>0</v>
      </c>
      <c r="K2209" s="462">
        <f>IF(C2209=0,0,VLOOKUP(YEAR(C2209),INPC!$B$4:$O$29,MONTH(C2209)+1))</f>
        <v>0</v>
      </c>
      <c r="L2209" s="462">
        <f>IF(S2209=0,0,VLOOKUP(YEAR(S2209),INPC!$B$4:$O$29,MONTH(S2209)+1))</f>
        <v>0</v>
      </c>
      <c r="M2209" s="463">
        <f t="shared" si="204"/>
        <v>0</v>
      </c>
      <c r="N2209" s="465">
        <f t="shared" si="212"/>
        <v>0</v>
      </c>
      <c r="O2209" s="179"/>
      <c r="P2209" s="180"/>
      <c r="Q2209" s="173"/>
      <c r="R2209" s="173"/>
      <c r="S2209" s="174"/>
      <c r="T2209" s="173"/>
      <c r="U2209" s="182"/>
      <c r="V2209" s="177">
        <f>IF(U2209=0,0,IF(T2209="MXN",1/HLOOKUP(YEAR(S2209)+(MONTH(S2209)/100),TC!$5:$37,DAY(S2209)+2,FALSE),VLOOKUP(T2209,Equivalencia!$1:$23,((MAX(Equivalencia!$3:$3)-YEAR(S2209))*14)+MONTH(S2209)+2,FALSE)))</f>
        <v>0</v>
      </c>
      <c r="W2209" s="178">
        <f t="shared" si="209"/>
        <v>0</v>
      </c>
      <c r="X2209" s="481">
        <f t="shared" si="205"/>
        <v>0</v>
      </c>
      <c r="Y2209" s="179"/>
      <c r="Z2209" s="466">
        <f t="shared" si="206"/>
        <v>0</v>
      </c>
      <c r="AA2209" s="473">
        <f t="shared" si="207"/>
        <v>0</v>
      </c>
      <c r="AB2209" s="339">
        <f t="shared" si="208"/>
        <v>0</v>
      </c>
    </row>
    <row r="2210" spans="2:28" ht="20.100000000000001" customHeight="1">
      <c r="B2210" s="172"/>
      <c r="C2210" s="174"/>
      <c r="D2210" s="181"/>
      <c r="E2210" s="173"/>
      <c r="F2210" s="176"/>
      <c r="G2210" s="175">
        <f t="shared" si="210"/>
        <v>0</v>
      </c>
      <c r="H2210" s="175">
        <f t="shared" si="203"/>
        <v>0</v>
      </c>
      <c r="I2210" s="177">
        <f>IF(G2210=0,0,IF(E2210="MXN",1/HLOOKUP(YEAR(C2210)+(MONTH(C2210)/100),TC!$5:$37,DAY(C2210)+2,FALSE),VLOOKUP(E2210,Equivalencia!$5:$23,((MAX(Equivalencia!$3:$3)-YEAR(C2210))*14)+MONTH(C2210)+2,FALSE)))</f>
        <v>0</v>
      </c>
      <c r="J2210" s="178">
        <f t="shared" si="211"/>
        <v>0</v>
      </c>
      <c r="K2210" s="462">
        <f>IF(C2210=0,0,VLOOKUP(YEAR(C2210),INPC!$B$4:$O$29,MONTH(C2210)+1))</f>
        <v>0</v>
      </c>
      <c r="L2210" s="462">
        <f>IF(S2210=0,0,VLOOKUP(YEAR(S2210),INPC!$B$4:$O$29,MONTH(S2210)+1))</f>
        <v>0</v>
      </c>
      <c r="M2210" s="463">
        <f t="shared" si="204"/>
        <v>0</v>
      </c>
      <c r="N2210" s="465">
        <f t="shared" si="212"/>
        <v>0</v>
      </c>
      <c r="O2210" s="179"/>
      <c r="P2210" s="180"/>
      <c r="Q2210" s="173"/>
      <c r="R2210" s="173"/>
      <c r="S2210" s="174"/>
      <c r="T2210" s="173"/>
      <c r="U2210" s="182"/>
      <c r="V2210" s="177">
        <f>IF(U2210=0,0,IF(T2210="MXN",1/HLOOKUP(YEAR(S2210)+(MONTH(S2210)/100),TC!$5:$37,DAY(S2210)+2,FALSE),VLOOKUP(T2210,Equivalencia!$1:$23,((MAX(Equivalencia!$3:$3)-YEAR(S2210))*14)+MONTH(S2210)+2,FALSE)))</f>
        <v>0</v>
      </c>
      <c r="W2210" s="178">
        <f t="shared" si="209"/>
        <v>0</v>
      </c>
      <c r="X2210" s="481">
        <f t="shared" si="205"/>
        <v>0</v>
      </c>
      <c r="Y2210" s="179"/>
      <c r="Z2210" s="466">
        <f t="shared" si="206"/>
        <v>0</v>
      </c>
      <c r="AA2210" s="473">
        <f t="shared" si="207"/>
        <v>0</v>
      </c>
      <c r="AB2210" s="339">
        <f t="shared" si="208"/>
        <v>0</v>
      </c>
    </row>
    <row r="2211" spans="2:28" ht="20.100000000000001" customHeight="1">
      <c r="B2211" s="172"/>
      <c r="C2211" s="174"/>
      <c r="D2211" s="181"/>
      <c r="E2211" s="173"/>
      <c r="F2211" s="176"/>
      <c r="G2211" s="175">
        <f t="shared" si="210"/>
        <v>0</v>
      </c>
      <c r="H2211" s="175">
        <f t="shared" si="203"/>
        <v>0</v>
      </c>
      <c r="I2211" s="177">
        <f>IF(G2211=0,0,IF(E2211="MXN",1/HLOOKUP(YEAR(C2211)+(MONTH(C2211)/100),TC!$5:$37,DAY(C2211)+2,FALSE),VLOOKUP(E2211,Equivalencia!$5:$23,((MAX(Equivalencia!$3:$3)-YEAR(C2211))*14)+MONTH(C2211)+2,FALSE)))</f>
        <v>0</v>
      </c>
      <c r="J2211" s="178">
        <f t="shared" si="211"/>
        <v>0</v>
      </c>
      <c r="K2211" s="462">
        <f>IF(C2211=0,0,VLOOKUP(YEAR(C2211),INPC!$B$4:$O$29,MONTH(C2211)+1))</f>
        <v>0</v>
      </c>
      <c r="L2211" s="462">
        <f>IF(S2211=0,0,VLOOKUP(YEAR(S2211),INPC!$B$4:$O$29,MONTH(S2211)+1))</f>
        <v>0</v>
      </c>
      <c r="M2211" s="463">
        <f t="shared" si="204"/>
        <v>0</v>
      </c>
      <c r="N2211" s="465">
        <f t="shared" si="212"/>
        <v>0</v>
      </c>
      <c r="O2211" s="179"/>
      <c r="P2211" s="180"/>
      <c r="Q2211" s="173"/>
      <c r="R2211" s="173"/>
      <c r="S2211" s="174"/>
      <c r="T2211" s="173"/>
      <c r="U2211" s="182"/>
      <c r="V2211" s="177">
        <f>IF(U2211=0,0,IF(T2211="MXN",1/HLOOKUP(YEAR(S2211)+(MONTH(S2211)/100),TC!$5:$37,DAY(S2211)+2,FALSE),VLOOKUP(T2211,Equivalencia!$1:$23,((MAX(Equivalencia!$3:$3)-YEAR(S2211))*14)+MONTH(S2211)+2,FALSE)))</f>
        <v>0</v>
      </c>
      <c r="W2211" s="178">
        <f t="shared" si="209"/>
        <v>0</v>
      </c>
      <c r="X2211" s="481">
        <f t="shared" si="205"/>
        <v>0</v>
      </c>
      <c r="Y2211" s="179"/>
      <c r="Z2211" s="466">
        <f t="shared" si="206"/>
        <v>0</v>
      </c>
      <c r="AA2211" s="473">
        <f t="shared" si="207"/>
        <v>0</v>
      </c>
      <c r="AB2211" s="339">
        <f t="shared" si="208"/>
        <v>0</v>
      </c>
    </row>
    <row r="2212" spans="2:28" ht="20.100000000000001" customHeight="1">
      <c r="B2212" s="172"/>
      <c r="C2212" s="174"/>
      <c r="D2212" s="181"/>
      <c r="E2212" s="173"/>
      <c r="F2212" s="176"/>
      <c r="G2212" s="175">
        <f t="shared" si="210"/>
        <v>0</v>
      </c>
      <c r="H2212" s="175">
        <f t="shared" si="203"/>
        <v>0</v>
      </c>
      <c r="I2212" s="177">
        <f>IF(G2212=0,0,IF(E2212="MXN",1/HLOOKUP(YEAR(C2212)+(MONTH(C2212)/100),TC!$5:$37,DAY(C2212)+2,FALSE),VLOOKUP(E2212,Equivalencia!$5:$23,((MAX(Equivalencia!$3:$3)-YEAR(C2212))*14)+MONTH(C2212)+2,FALSE)))</f>
        <v>0</v>
      </c>
      <c r="J2212" s="178">
        <f t="shared" si="211"/>
        <v>0</v>
      </c>
      <c r="K2212" s="462">
        <f>IF(C2212=0,0,VLOOKUP(YEAR(C2212),INPC!$B$4:$O$29,MONTH(C2212)+1))</f>
        <v>0</v>
      </c>
      <c r="L2212" s="462">
        <f>IF(S2212=0,0,VLOOKUP(YEAR(S2212),INPC!$B$4:$O$29,MONTH(S2212)+1))</f>
        <v>0</v>
      </c>
      <c r="M2212" s="463">
        <f t="shared" si="204"/>
        <v>0</v>
      </c>
      <c r="N2212" s="465">
        <f t="shared" si="212"/>
        <v>0</v>
      </c>
      <c r="O2212" s="179"/>
      <c r="P2212" s="180"/>
      <c r="Q2212" s="173"/>
      <c r="R2212" s="173"/>
      <c r="S2212" s="174"/>
      <c r="T2212" s="173"/>
      <c r="U2212" s="182"/>
      <c r="V2212" s="177">
        <f>IF(U2212=0,0,IF(T2212="MXN",1/HLOOKUP(YEAR(S2212)+(MONTH(S2212)/100),TC!$5:$37,DAY(S2212)+2,FALSE),VLOOKUP(T2212,Equivalencia!$1:$23,((MAX(Equivalencia!$3:$3)-YEAR(S2212))*14)+MONTH(S2212)+2,FALSE)))</f>
        <v>0</v>
      </c>
      <c r="W2212" s="178">
        <f t="shared" si="209"/>
        <v>0</v>
      </c>
      <c r="X2212" s="481">
        <f t="shared" si="205"/>
        <v>0</v>
      </c>
      <c r="Y2212" s="179"/>
      <c r="Z2212" s="466">
        <f t="shared" si="206"/>
        <v>0</v>
      </c>
      <c r="AA2212" s="473">
        <f t="shared" si="207"/>
        <v>0</v>
      </c>
      <c r="AB2212" s="339">
        <f t="shared" si="208"/>
        <v>0</v>
      </c>
    </row>
    <row r="2213" spans="2:28" ht="20.100000000000001" customHeight="1">
      <c r="B2213" s="172"/>
      <c r="C2213" s="174"/>
      <c r="D2213" s="181"/>
      <c r="E2213" s="173"/>
      <c r="F2213" s="176"/>
      <c r="G2213" s="175">
        <f t="shared" si="210"/>
        <v>0</v>
      </c>
      <c r="H2213" s="175">
        <f t="shared" si="203"/>
        <v>0</v>
      </c>
      <c r="I2213" s="177">
        <f>IF(G2213=0,0,IF(E2213="MXN",1/HLOOKUP(YEAR(C2213)+(MONTH(C2213)/100),TC!$5:$37,DAY(C2213)+2,FALSE),VLOOKUP(E2213,Equivalencia!$5:$23,((MAX(Equivalencia!$3:$3)-YEAR(C2213))*14)+MONTH(C2213)+2,FALSE)))</f>
        <v>0</v>
      </c>
      <c r="J2213" s="178">
        <f t="shared" si="211"/>
        <v>0</v>
      </c>
      <c r="K2213" s="462">
        <f>IF(C2213=0,0,VLOOKUP(YEAR(C2213),INPC!$B$4:$O$29,MONTH(C2213)+1))</f>
        <v>0</v>
      </c>
      <c r="L2213" s="462">
        <f>IF(S2213=0,0,VLOOKUP(YEAR(S2213),INPC!$B$4:$O$29,MONTH(S2213)+1))</f>
        <v>0</v>
      </c>
      <c r="M2213" s="463">
        <f t="shared" si="204"/>
        <v>0</v>
      </c>
      <c r="N2213" s="465">
        <f t="shared" si="212"/>
        <v>0</v>
      </c>
      <c r="O2213" s="179"/>
      <c r="P2213" s="180"/>
      <c r="Q2213" s="173"/>
      <c r="R2213" s="173"/>
      <c r="S2213" s="174"/>
      <c r="T2213" s="173"/>
      <c r="U2213" s="182"/>
      <c r="V2213" s="177">
        <f>IF(U2213=0,0,IF(T2213="MXN",1/HLOOKUP(YEAR(S2213)+(MONTH(S2213)/100),TC!$5:$37,DAY(S2213)+2,FALSE),VLOOKUP(T2213,Equivalencia!$1:$23,((MAX(Equivalencia!$3:$3)-YEAR(S2213))*14)+MONTH(S2213)+2,FALSE)))</f>
        <v>0</v>
      </c>
      <c r="W2213" s="178">
        <f t="shared" si="209"/>
        <v>0</v>
      </c>
      <c r="X2213" s="481">
        <f t="shared" si="205"/>
        <v>0</v>
      </c>
      <c r="Y2213" s="179"/>
      <c r="Z2213" s="466">
        <f t="shared" si="206"/>
        <v>0</v>
      </c>
      <c r="AA2213" s="473">
        <f t="shared" si="207"/>
        <v>0</v>
      </c>
      <c r="AB2213" s="339">
        <f t="shared" si="208"/>
        <v>0</v>
      </c>
    </row>
    <row r="2214" spans="2:28" ht="20.100000000000001" customHeight="1">
      <c r="B2214" s="172"/>
      <c r="C2214" s="174"/>
      <c r="D2214" s="181"/>
      <c r="E2214" s="173"/>
      <c r="F2214" s="176"/>
      <c r="G2214" s="175">
        <f t="shared" si="210"/>
        <v>0</v>
      </c>
      <c r="H2214" s="175">
        <f t="shared" si="203"/>
        <v>0</v>
      </c>
      <c r="I2214" s="177">
        <f>IF(G2214=0,0,IF(E2214="MXN",1/HLOOKUP(YEAR(C2214)+(MONTH(C2214)/100),TC!$5:$37,DAY(C2214)+2,FALSE),VLOOKUP(E2214,Equivalencia!$5:$23,((MAX(Equivalencia!$3:$3)-YEAR(C2214))*14)+MONTH(C2214)+2,FALSE)))</f>
        <v>0</v>
      </c>
      <c r="J2214" s="178">
        <f t="shared" si="211"/>
        <v>0</v>
      </c>
      <c r="K2214" s="462">
        <f>IF(C2214=0,0,VLOOKUP(YEAR(C2214),INPC!$B$4:$O$29,MONTH(C2214)+1))</f>
        <v>0</v>
      </c>
      <c r="L2214" s="462">
        <f>IF(S2214=0,0,VLOOKUP(YEAR(S2214),INPC!$B$4:$O$29,MONTH(S2214)+1))</f>
        <v>0</v>
      </c>
      <c r="M2214" s="463">
        <f t="shared" si="204"/>
        <v>0</v>
      </c>
      <c r="N2214" s="465">
        <f t="shared" si="212"/>
        <v>0</v>
      </c>
      <c r="O2214" s="179"/>
      <c r="P2214" s="180"/>
      <c r="Q2214" s="173"/>
      <c r="R2214" s="173"/>
      <c r="S2214" s="174"/>
      <c r="T2214" s="173"/>
      <c r="U2214" s="182"/>
      <c r="V2214" s="177">
        <f>IF(U2214=0,0,IF(T2214="MXN",1/HLOOKUP(YEAR(S2214)+(MONTH(S2214)/100),TC!$5:$37,DAY(S2214)+2,FALSE),VLOOKUP(T2214,Equivalencia!$1:$23,((MAX(Equivalencia!$3:$3)-YEAR(S2214))*14)+MONTH(S2214)+2,FALSE)))</f>
        <v>0</v>
      </c>
      <c r="W2214" s="178">
        <f t="shared" si="209"/>
        <v>0</v>
      </c>
      <c r="X2214" s="481">
        <f t="shared" si="205"/>
        <v>0</v>
      </c>
      <c r="Y2214" s="179"/>
      <c r="Z2214" s="466">
        <f t="shared" si="206"/>
        <v>0</v>
      </c>
      <c r="AA2214" s="473">
        <f t="shared" si="207"/>
        <v>0</v>
      </c>
      <c r="AB2214" s="339">
        <f t="shared" si="208"/>
        <v>0</v>
      </c>
    </row>
    <row r="2215" spans="2:28" ht="20.100000000000001" customHeight="1">
      <c r="B2215" s="172"/>
      <c r="C2215" s="174"/>
      <c r="D2215" s="181"/>
      <c r="E2215" s="173"/>
      <c r="F2215" s="176"/>
      <c r="G2215" s="175">
        <f t="shared" si="210"/>
        <v>0</v>
      </c>
      <c r="H2215" s="175">
        <f t="shared" si="203"/>
        <v>0</v>
      </c>
      <c r="I2215" s="177">
        <f>IF(G2215=0,0,IF(E2215="MXN",1/HLOOKUP(YEAR(C2215)+(MONTH(C2215)/100),TC!$5:$37,DAY(C2215)+2,FALSE),VLOOKUP(E2215,Equivalencia!$5:$23,((MAX(Equivalencia!$3:$3)-YEAR(C2215))*14)+MONTH(C2215)+2,FALSE)))</f>
        <v>0</v>
      </c>
      <c r="J2215" s="178">
        <f t="shared" si="211"/>
        <v>0</v>
      </c>
      <c r="K2215" s="462">
        <f>IF(C2215=0,0,VLOOKUP(YEAR(C2215),INPC!$B$4:$O$29,MONTH(C2215)+1))</f>
        <v>0</v>
      </c>
      <c r="L2215" s="462">
        <f>IF(S2215=0,0,VLOOKUP(YEAR(S2215),INPC!$B$4:$O$29,MONTH(S2215)+1))</f>
        <v>0</v>
      </c>
      <c r="M2215" s="463">
        <f t="shared" si="204"/>
        <v>0</v>
      </c>
      <c r="N2215" s="465">
        <f t="shared" si="212"/>
        <v>0</v>
      </c>
      <c r="O2215" s="179"/>
      <c r="P2215" s="180"/>
      <c r="Q2215" s="173"/>
      <c r="R2215" s="173"/>
      <c r="S2215" s="174"/>
      <c r="T2215" s="173"/>
      <c r="U2215" s="182"/>
      <c r="V2215" s="177">
        <f>IF(U2215=0,0,IF(T2215="MXN",1/HLOOKUP(YEAR(S2215)+(MONTH(S2215)/100),TC!$5:$37,DAY(S2215)+2,FALSE),VLOOKUP(T2215,Equivalencia!$1:$23,((MAX(Equivalencia!$3:$3)-YEAR(S2215))*14)+MONTH(S2215)+2,FALSE)))</f>
        <v>0</v>
      </c>
      <c r="W2215" s="178">
        <f t="shared" si="209"/>
        <v>0</v>
      </c>
      <c r="X2215" s="481">
        <f t="shared" si="205"/>
        <v>0</v>
      </c>
      <c r="Y2215" s="179"/>
      <c r="Z2215" s="466">
        <f t="shared" si="206"/>
        <v>0</v>
      </c>
      <c r="AA2215" s="473">
        <f t="shared" si="207"/>
        <v>0</v>
      </c>
      <c r="AB2215" s="339">
        <f t="shared" si="208"/>
        <v>0</v>
      </c>
    </row>
    <row r="2216" spans="2:28" ht="20.100000000000001" customHeight="1">
      <c r="B2216" s="172"/>
      <c r="C2216" s="174"/>
      <c r="D2216" s="181"/>
      <c r="E2216" s="173"/>
      <c r="F2216" s="176"/>
      <c r="G2216" s="175">
        <f t="shared" si="210"/>
        <v>0</v>
      </c>
      <c r="H2216" s="175">
        <f t="shared" si="203"/>
        <v>0</v>
      </c>
      <c r="I2216" s="177">
        <f>IF(G2216=0,0,IF(E2216="MXN",1/HLOOKUP(YEAR(C2216)+(MONTH(C2216)/100),TC!$5:$37,DAY(C2216)+2,FALSE),VLOOKUP(E2216,Equivalencia!$5:$23,((MAX(Equivalencia!$3:$3)-YEAR(C2216))*14)+MONTH(C2216)+2,FALSE)))</f>
        <v>0</v>
      </c>
      <c r="J2216" s="178">
        <f t="shared" si="211"/>
        <v>0</v>
      </c>
      <c r="K2216" s="462">
        <f>IF(C2216=0,0,VLOOKUP(YEAR(C2216),INPC!$B$4:$O$29,MONTH(C2216)+1))</f>
        <v>0</v>
      </c>
      <c r="L2216" s="462">
        <f>IF(S2216=0,0,VLOOKUP(YEAR(S2216),INPC!$B$4:$O$29,MONTH(S2216)+1))</f>
        <v>0</v>
      </c>
      <c r="M2216" s="463">
        <f t="shared" si="204"/>
        <v>0</v>
      </c>
      <c r="N2216" s="465">
        <f t="shared" si="212"/>
        <v>0</v>
      </c>
      <c r="O2216" s="179"/>
      <c r="P2216" s="180"/>
      <c r="Q2216" s="173"/>
      <c r="R2216" s="173"/>
      <c r="S2216" s="174"/>
      <c r="T2216" s="173"/>
      <c r="U2216" s="182"/>
      <c r="V2216" s="177">
        <f>IF(U2216=0,0,IF(T2216="MXN",1/HLOOKUP(YEAR(S2216)+(MONTH(S2216)/100),TC!$5:$37,DAY(S2216)+2,FALSE),VLOOKUP(T2216,Equivalencia!$1:$23,((MAX(Equivalencia!$3:$3)-YEAR(S2216))*14)+MONTH(S2216)+2,FALSE)))</f>
        <v>0</v>
      </c>
      <c r="W2216" s="178">
        <f t="shared" si="209"/>
        <v>0</v>
      </c>
      <c r="X2216" s="481">
        <f t="shared" si="205"/>
        <v>0</v>
      </c>
      <c r="Y2216" s="179"/>
      <c r="Z2216" s="466">
        <f t="shared" si="206"/>
        <v>0</v>
      </c>
      <c r="AA2216" s="473">
        <f t="shared" si="207"/>
        <v>0</v>
      </c>
      <c r="AB2216" s="339">
        <f t="shared" si="208"/>
        <v>0</v>
      </c>
    </row>
    <row r="2217" spans="2:28" ht="20.100000000000001" customHeight="1">
      <c r="B2217" s="172"/>
      <c r="C2217" s="174"/>
      <c r="D2217" s="181"/>
      <c r="E2217" s="173"/>
      <c r="F2217" s="176"/>
      <c r="G2217" s="175">
        <f t="shared" si="210"/>
        <v>0</v>
      </c>
      <c r="H2217" s="175">
        <f t="shared" si="203"/>
        <v>0</v>
      </c>
      <c r="I2217" s="177">
        <f>IF(G2217=0,0,IF(E2217="MXN",1/HLOOKUP(YEAR(C2217)+(MONTH(C2217)/100),TC!$5:$37,DAY(C2217)+2,FALSE),VLOOKUP(E2217,Equivalencia!$5:$23,((MAX(Equivalencia!$3:$3)-YEAR(C2217))*14)+MONTH(C2217)+2,FALSE)))</f>
        <v>0</v>
      </c>
      <c r="J2217" s="178">
        <f t="shared" si="211"/>
        <v>0</v>
      </c>
      <c r="K2217" s="462">
        <f>IF(C2217=0,0,VLOOKUP(YEAR(C2217),INPC!$B$4:$O$29,MONTH(C2217)+1))</f>
        <v>0</v>
      </c>
      <c r="L2217" s="462">
        <f>IF(S2217=0,0,VLOOKUP(YEAR(S2217),INPC!$B$4:$O$29,MONTH(S2217)+1))</f>
        <v>0</v>
      </c>
      <c r="M2217" s="463">
        <f t="shared" si="204"/>
        <v>0</v>
      </c>
      <c r="N2217" s="465">
        <f t="shared" si="212"/>
        <v>0</v>
      </c>
      <c r="O2217" s="179"/>
      <c r="P2217" s="180"/>
      <c r="Q2217" s="173"/>
      <c r="R2217" s="173"/>
      <c r="S2217" s="174"/>
      <c r="T2217" s="173"/>
      <c r="U2217" s="182"/>
      <c r="V2217" s="177">
        <f>IF(U2217=0,0,IF(T2217="MXN",1/HLOOKUP(YEAR(S2217)+(MONTH(S2217)/100),TC!$5:$37,DAY(S2217)+2,FALSE),VLOOKUP(T2217,Equivalencia!$1:$23,((MAX(Equivalencia!$3:$3)-YEAR(S2217))*14)+MONTH(S2217)+2,FALSE)))</f>
        <v>0</v>
      </c>
      <c r="W2217" s="178">
        <f t="shared" si="209"/>
        <v>0</v>
      </c>
      <c r="X2217" s="481">
        <f t="shared" si="205"/>
        <v>0</v>
      </c>
      <c r="Y2217" s="179"/>
      <c r="Z2217" s="466">
        <f t="shared" si="206"/>
        <v>0</v>
      </c>
      <c r="AA2217" s="473">
        <f t="shared" si="207"/>
        <v>0</v>
      </c>
      <c r="AB2217" s="339">
        <f t="shared" si="208"/>
        <v>0</v>
      </c>
    </row>
    <row r="2218" spans="2:28" ht="20.100000000000001" customHeight="1">
      <c r="B2218" s="172"/>
      <c r="C2218" s="174"/>
      <c r="D2218" s="181"/>
      <c r="E2218" s="173"/>
      <c r="F2218" s="176"/>
      <c r="G2218" s="175">
        <f t="shared" si="210"/>
        <v>0</v>
      </c>
      <c r="H2218" s="175">
        <f t="shared" si="203"/>
        <v>0</v>
      </c>
      <c r="I2218" s="177">
        <f>IF(G2218=0,0,IF(E2218="MXN",1/HLOOKUP(YEAR(C2218)+(MONTH(C2218)/100),TC!$5:$37,DAY(C2218)+2,FALSE),VLOOKUP(E2218,Equivalencia!$5:$23,((MAX(Equivalencia!$3:$3)-YEAR(C2218))*14)+MONTH(C2218)+2,FALSE)))</f>
        <v>0</v>
      </c>
      <c r="J2218" s="178">
        <f t="shared" si="211"/>
        <v>0</v>
      </c>
      <c r="K2218" s="462">
        <f>IF(C2218=0,0,VLOOKUP(YEAR(C2218),INPC!$B$4:$O$29,MONTH(C2218)+1))</f>
        <v>0</v>
      </c>
      <c r="L2218" s="462">
        <f>IF(S2218=0,0,VLOOKUP(YEAR(S2218),INPC!$B$4:$O$29,MONTH(S2218)+1))</f>
        <v>0</v>
      </c>
      <c r="M2218" s="463">
        <f t="shared" si="204"/>
        <v>0</v>
      </c>
      <c r="N2218" s="465">
        <f t="shared" si="212"/>
        <v>0</v>
      </c>
      <c r="O2218" s="179"/>
      <c r="P2218" s="180"/>
      <c r="Q2218" s="173"/>
      <c r="R2218" s="173"/>
      <c r="S2218" s="174"/>
      <c r="T2218" s="173"/>
      <c r="U2218" s="182"/>
      <c r="V2218" s="177">
        <f>IF(U2218=0,0,IF(T2218="MXN",1/HLOOKUP(YEAR(S2218)+(MONTH(S2218)/100),TC!$5:$37,DAY(S2218)+2,FALSE),VLOOKUP(T2218,Equivalencia!$1:$23,((MAX(Equivalencia!$3:$3)-YEAR(S2218))*14)+MONTH(S2218)+2,FALSE)))</f>
        <v>0</v>
      </c>
      <c r="W2218" s="178">
        <f t="shared" si="209"/>
        <v>0</v>
      </c>
      <c r="X2218" s="481">
        <f t="shared" si="205"/>
        <v>0</v>
      </c>
      <c r="Y2218" s="179"/>
      <c r="Z2218" s="466">
        <f t="shared" si="206"/>
        <v>0</v>
      </c>
      <c r="AA2218" s="473">
        <f t="shared" si="207"/>
        <v>0</v>
      </c>
      <c r="AB2218" s="339">
        <f t="shared" si="208"/>
        <v>0</v>
      </c>
    </row>
    <row r="2219" spans="2:28" ht="20.100000000000001" customHeight="1">
      <c r="B2219" s="172"/>
      <c r="C2219" s="174"/>
      <c r="D2219" s="181"/>
      <c r="E2219" s="173"/>
      <c r="F2219" s="176"/>
      <c r="G2219" s="175">
        <f t="shared" si="210"/>
        <v>0</v>
      </c>
      <c r="H2219" s="175">
        <f t="shared" si="203"/>
        <v>0</v>
      </c>
      <c r="I2219" s="177">
        <f>IF(G2219=0,0,IF(E2219="MXN",1/HLOOKUP(YEAR(C2219)+(MONTH(C2219)/100),TC!$5:$37,DAY(C2219)+2,FALSE),VLOOKUP(E2219,Equivalencia!$5:$23,((MAX(Equivalencia!$3:$3)-YEAR(C2219))*14)+MONTH(C2219)+2,FALSE)))</f>
        <v>0</v>
      </c>
      <c r="J2219" s="178">
        <f t="shared" si="211"/>
        <v>0</v>
      </c>
      <c r="K2219" s="462">
        <f>IF(C2219=0,0,VLOOKUP(YEAR(C2219),INPC!$B$4:$O$29,MONTH(C2219)+1))</f>
        <v>0</v>
      </c>
      <c r="L2219" s="462">
        <f>IF(S2219=0,0,VLOOKUP(YEAR(S2219),INPC!$B$4:$O$29,MONTH(S2219)+1))</f>
        <v>0</v>
      </c>
      <c r="M2219" s="463">
        <f t="shared" si="204"/>
        <v>0</v>
      </c>
      <c r="N2219" s="465">
        <f t="shared" si="212"/>
        <v>0</v>
      </c>
      <c r="O2219" s="179"/>
      <c r="P2219" s="180"/>
      <c r="Q2219" s="173"/>
      <c r="R2219" s="173"/>
      <c r="S2219" s="174"/>
      <c r="T2219" s="173"/>
      <c r="U2219" s="182"/>
      <c r="V2219" s="177">
        <f>IF(U2219=0,0,IF(T2219="MXN",1/HLOOKUP(YEAR(S2219)+(MONTH(S2219)/100),TC!$5:$37,DAY(S2219)+2,FALSE),VLOOKUP(T2219,Equivalencia!$1:$23,((MAX(Equivalencia!$3:$3)-YEAR(S2219))*14)+MONTH(S2219)+2,FALSE)))</f>
        <v>0</v>
      </c>
      <c r="W2219" s="178">
        <f t="shared" si="209"/>
        <v>0</v>
      </c>
      <c r="X2219" s="481">
        <f t="shared" si="205"/>
        <v>0</v>
      </c>
      <c r="Y2219" s="179"/>
      <c r="Z2219" s="466">
        <f t="shared" si="206"/>
        <v>0</v>
      </c>
      <c r="AA2219" s="473">
        <f t="shared" si="207"/>
        <v>0</v>
      </c>
      <c r="AB2219" s="339">
        <f t="shared" si="208"/>
        <v>0</v>
      </c>
    </row>
    <row r="2220" spans="2:28" ht="20.100000000000001" customHeight="1">
      <c r="B2220" s="172"/>
      <c r="C2220" s="174"/>
      <c r="D2220" s="181"/>
      <c r="E2220" s="173"/>
      <c r="F2220" s="176"/>
      <c r="G2220" s="175">
        <f t="shared" si="210"/>
        <v>0</v>
      </c>
      <c r="H2220" s="175">
        <f t="shared" si="203"/>
        <v>0</v>
      </c>
      <c r="I2220" s="177">
        <f>IF(G2220=0,0,IF(E2220="MXN",1/HLOOKUP(YEAR(C2220)+(MONTH(C2220)/100),TC!$5:$37,DAY(C2220)+2,FALSE),VLOOKUP(E2220,Equivalencia!$5:$23,((MAX(Equivalencia!$3:$3)-YEAR(C2220))*14)+MONTH(C2220)+2,FALSE)))</f>
        <v>0</v>
      </c>
      <c r="J2220" s="178">
        <f t="shared" si="211"/>
        <v>0</v>
      </c>
      <c r="K2220" s="462">
        <f>IF(C2220=0,0,VLOOKUP(YEAR(C2220),INPC!$B$4:$O$29,MONTH(C2220)+1))</f>
        <v>0</v>
      </c>
      <c r="L2220" s="462">
        <f>IF(S2220=0,0,VLOOKUP(YEAR(S2220),INPC!$B$4:$O$29,MONTH(S2220)+1))</f>
        <v>0</v>
      </c>
      <c r="M2220" s="463">
        <f t="shared" si="204"/>
        <v>0</v>
      </c>
      <c r="N2220" s="465">
        <f t="shared" si="212"/>
        <v>0</v>
      </c>
      <c r="O2220" s="179"/>
      <c r="P2220" s="180"/>
      <c r="Q2220" s="173"/>
      <c r="R2220" s="173"/>
      <c r="S2220" s="174"/>
      <c r="T2220" s="173"/>
      <c r="U2220" s="182"/>
      <c r="V2220" s="177">
        <f>IF(U2220=0,0,IF(T2220="MXN",1/HLOOKUP(YEAR(S2220)+(MONTH(S2220)/100),TC!$5:$37,DAY(S2220)+2,FALSE),VLOOKUP(T2220,Equivalencia!$1:$23,((MAX(Equivalencia!$3:$3)-YEAR(S2220))*14)+MONTH(S2220)+2,FALSE)))</f>
        <v>0</v>
      </c>
      <c r="W2220" s="178">
        <f t="shared" si="209"/>
        <v>0</v>
      </c>
      <c r="X2220" s="481">
        <f t="shared" si="205"/>
        <v>0</v>
      </c>
      <c r="Y2220" s="179"/>
      <c r="Z2220" s="466">
        <f t="shared" si="206"/>
        <v>0</v>
      </c>
      <c r="AA2220" s="473">
        <f t="shared" si="207"/>
        <v>0</v>
      </c>
      <c r="AB2220" s="339">
        <f t="shared" si="208"/>
        <v>0</v>
      </c>
    </row>
    <row r="2221" spans="2:28" ht="20.100000000000001" customHeight="1">
      <c r="B2221" s="172"/>
      <c r="C2221" s="174"/>
      <c r="D2221" s="181"/>
      <c r="E2221" s="173"/>
      <c r="F2221" s="176"/>
      <c r="G2221" s="175">
        <f t="shared" si="210"/>
        <v>0</v>
      </c>
      <c r="H2221" s="175">
        <f t="shared" si="203"/>
        <v>0</v>
      </c>
      <c r="I2221" s="177">
        <f>IF(G2221=0,0,IF(E2221="MXN",1/HLOOKUP(YEAR(C2221)+(MONTH(C2221)/100),TC!$5:$37,DAY(C2221)+2,FALSE),VLOOKUP(E2221,Equivalencia!$5:$23,((MAX(Equivalencia!$3:$3)-YEAR(C2221))*14)+MONTH(C2221)+2,FALSE)))</f>
        <v>0</v>
      </c>
      <c r="J2221" s="178">
        <f t="shared" si="211"/>
        <v>0</v>
      </c>
      <c r="K2221" s="462">
        <f>IF(C2221=0,0,VLOOKUP(YEAR(C2221),INPC!$B$4:$O$29,MONTH(C2221)+1))</f>
        <v>0</v>
      </c>
      <c r="L2221" s="462">
        <f>IF(S2221=0,0,VLOOKUP(YEAR(S2221),INPC!$B$4:$O$29,MONTH(S2221)+1))</f>
        <v>0</v>
      </c>
      <c r="M2221" s="463">
        <f t="shared" si="204"/>
        <v>0</v>
      </c>
      <c r="N2221" s="465">
        <f t="shared" si="212"/>
        <v>0</v>
      </c>
      <c r="O2221" s="179"/>
      <c r="P2221" s="180"/>
      <c r="Q2221" s="173"/>
      <c r="R2221" s="173"/>
      <c r="S2221" s="174"/>
      <c r="T2221" s="173"/>
      <c r="U2221" s="182"/>
      <c r="V2221" s="177">
        <f>IF(U2221=0,0,IF(T2221="MXN",1/HLOOKUP(YEAR(S2221)+(MONTH(S2221)/100),TC!$5:$37,DAY(S2221)+2,FALSE),VLOOKUP(T2221,Equivalencia!$1:$23,((MAX(Equivalencia!$3:$3)-YEAR(S2221))*14)+MONTH(S2221)+2,FALSE)))</f>
        <v>0</v>
      </c>
      <c r="W2221" s="178">
        <f t="shared" si="209"/>
        <v>0</v>
      </c>
      <c r="X2221" s="481">
        <f t="shared" si="205"/>
        <v>0</v>
      </c>
      <c r="Y2221" s="179"/>
      <c r="Z2221" s="466">
        <f t="shared" si="206"/>
        <v>0</v>
      </c>
      <c r="AA2221" s="473">
        <f t="shared" si="207"/>
        <v>0</v>
      </c>
      <c r="AB2221" s="339">
        <f t="shared" si="208"/>
        <v>0</v>
      </c>
    </row>
    <row r="2222" spans="2:28" ht="20.100000000000001" customHeight="1">
      <c r="B2222" s="172"/>
      <c r="C2222" s="174"/>
      <c r="D2222" s="181"/>
      <c r="E2222" s="173"/>
      <c r="F2222" s="176"/>
      <c r="G2222" s="175">
        <f t="shared" si="210"/>
        <v>0</v>
      </c>
      <c r="H2222" s="175">
        <f t="shared" si="203"/>
        <v>0</v>
      </c>
      <c r="I2222" s="177">
        <f>IF(G2222=0,0,IF(E2222="MXN",1/HLOOKUP(YEAR(C2222)+(MONTH(C2222)/100),TC!$5:$37,DAY(C2222)+2,FALSE),VLOOKUP(E2222,Equivalencia!$5:$23,((MAX(Equivalencia!$3:$3)-YEAR(C2222))*14)+MONTH(C2222)+2,FALSE)))</f>
        <v>0</v>
      </c>
      <c r="J2222" s="178">
        <f t="shared" si="211"/>
        <v>0</v>
      </c>
      <c r="K2222" s="462">
        <f>IF(C2222=0,0,VLOOKUP(YEAR(C2222),INPC!$B$4:$O$29,MONTH(C2222)+1))</f>
        <v>0</v>
      </c>
      <c r="L2222" s="462">
        <f>IF(S2222=0,0,VLOOKUP(YEAR(S2222),INPC!$B$4:$O$29,MONTH(S2222)+1))</f>
        <v>0</v>
      </c>
      <c r="M2222" s="463">
        <f t="shared" si="204"/>
        <v>0</v>
      </c>
      <c r="N2222" s="465">
        <f t="shared" si="212"/>
        <v>0</v>
      </c>
      <c r="O2222" s="179"/>
      <c r="P2222" s="180"/>
      <c r="Q2222" s="173"/>
      <c r="R2222" s="173"/>
      <c r="S2222" s="174"/>
      <c r="T2222" s="173"/>
      <c r="U2222" s="182"/>
      <c r="V2222" s="177">
        <f>IF(U2222=0,0,IF(T2222="MXN",1/HLOOKUP(YEAR(S2222)+(MONTH(S2222)/100),TC!$5:$37,DAY(S2222)+2,FALSE),VLOOKUP(T2222,Equivalencia!$1:$23,((MAX(Equivalencia!$3:$3)-YEAR(S2222))*14)+MONTH(S2222)+2,FALSE)))</f>
        <v>0</v>
      </c>
      <c r="W2222" s="178">
        <f t="shared" si="209"/>
        <v>0</v>
      </c>
      <c r="X2222" s="481">
        <f t="shared" si="205"/>
        <v>0</v>
      </c>
      <c r="Y2222" s="179"/>
      <c r="Z2222" s="466">
        <f t="shared" si="206"/>
        <v>0</v>
      </c>
      <c r="AA2222" s="473">
        <f t="shared" si="207"/>
        <v>0</v>
      </c>
      <c r="AB2222" s="339">
        <f t="shared" si="208"/>
        <v>0</v>
      </c>
    </row>
    <row r="2223" spans="2:28" ht="20.100000000000001" customHeight="1">
      <c r="B2223" s="172"/>
      <c r="C2223" s="174"/>
      <c r="D2223" s="181"/>
      <c r="E2223" s="173"/>
      <c r="F2223" s="176"/>
      <c r="G2223" s="175">
        <f t="shared" si="210"/>
        <v>0</v>
      </c>
      <c r="H2223" s="175">
        <f t="shared" si="203"/>
        <v>0</v>
      </c>
      <c r="I2223" s="177">
        <f>IF(G2223=0,0,IF(E2223="MXN",1/HLOOKUP(YEAR(C2223)+(MONTH(C2223)/100),TC!$5:$37,DAY(C2223)+2,FALSE),VLOOKUP(E2223,Equivalencia!$5:$23,((MAX(Equivalencia!$3:$3)-YEAR(C2223))*14)+MONTH(C2223)+2,FALSE)))</f>
        <v>0</v>
      </c>
      <c r="J2223" s="178">
        <f t="shared" si="211"/>
        <v>0</v>
      </c>
      <c r="K2223" s="462">
        <f>IF(C2223=0,0,VLOOKUP(YEAR(C2223),INPC!$B$4:$O$29,MONTH(C2223)+1))</f>
        <v>0</v>
      </c>
      <c r="L2223" s="462">
        <f>IF(S2223=0,0,VLOOKUP(YEAR(S2223),INPC!$B$4:$O$29,MONTH(S2223)+1))</f>
        <v>0</v>
      </c>
      <c r="M2223" s="463">
        <f t="shared" si="204"/>
        <v>0</v>
      </c>
      <c r="N2223" s="465">
        <f t="shared" si="212"/>
        <v>0</v>
      </c>
      <c r="O2223" s="179"/>
      <c r="P2223" s="180"/>
      <c r="Q2223" s="173"/>
      <c r="R2223" s="173"/>
      <c r="S2223" s="174"/>
      <c r="T2223" s="173"/>
      <c r="U2223" s="182"/>
      <c r="V2223" s="177">
        <f>IF(U2223=0,0,IF(T2223="MXN",1/HLOOKUP(YEAR(S2223)+(MONTH(S2223)/100),TC!$5:$37,DAY(S2223)+2,FALSE),VLOOKUP(T2223,Equivalencia!$1:$23,((MAX(Equivalencia!$3:$3)-YEAR(S2223))*14)+MONTH(S2223)+2,FALSE)))</f>
        <v>0</v>
      </c>
      <c r="W2223" s="178">
        <f t="shared" si="209"/>
        <v>0</v>
      </c>
      <c r="X2223" s="481">
        <f t="shared" si="205"/>
        <v>0</v>
      </c>
      <c r="Y2223" s="179"/>
      <c r="Z2223" s="466">
        <f t="shared" si="206"/>
        <v>0</v>
      </c>
      <c r="AA2223" s="473">
        <f t="shared" si="207"/>
        <v>0</v>
      </c>
      <c r="AB2223" s="339">
        <f t="shared" si="208"/>
        <v>0</v>
      </c>
    </row>
    <row r="2224" spans="2:28" ht="20.100000000000001" customHeight="1">
      <c r="B2224" s="172"/>
      <c r="C2224" s="174"/>
      <c r="D2224" s="181"/>
      <c r="E2224" s="173"/>
      <c r="F2224" s="176"/>
      <c r="G2224" s="175">
        <f t="shared" si="210"/>
        <v>0</v>
      </c>
      <c r="H2224" s="175">
        <f t="shared" si="203"/>
        <v>0</v>
      </c>
      <c r="I2224" s="177">
        <f>IF(G2224=0,0,IF(E2224="MXN",1/HLOOKUP(YEAR(C2224)+(MONTH(C2224)/100),TC!$5:$37,DAY(C2224)+2,FALSE),VLOOKUP(E2224,Equivalencia!$5:$23,((MAX(Equivalencia!$3:$3)-YEAR(C2224))*14)+MONTH(C2224)+2,FALSE)))</f>
        <v>0</v>
      </c>
      <c r="J2224" s="178">
        <f t="shared" si="211"/>
        <v>0</v>
      </c>
      <c r="K2224" s="462">
        <f>IF(C2224=0,0,VLOOKUP(YEAR(C2224),INPC!$B$4:$O$29,MONTH(C2224)+1))</f>
        <v>0</v>
      </c>
      <c r="L2224" s="462">
        <f>IF(S2224=0,0,VLOOKUP(YEAR(S2224),INPC!$B$4:$O$29,MONTH(S2224)+1))</f>
        <v>0</v>
      </c>
      <c r="M2224" s="463">
        <f t="shared" si="204"/>
        <v>0</v>
      </c>
      <c r="N2224" s="465">
        <f t="shared" si="212"/>
        <v>0</v>
      </c>
      <c r="O2224" s="179"/>
      <c r="P2224" s="180"/>
      <c r="Q2224" s="173"/>
      <c r="R2224" s="173"/>
      <c r="S2224" s="174"/>
      <c r="T2224" s="173"/>
      <c r="U2224" s="182"/>
      <c r="V2224" s="177">
        <f>IF(U2224=0,0,IF(T2224="MXN",1/HLOOKUP(YEAR(S2224)+(MONTH(S2224)/100),TC!$5:$37,DAY(S2224)+2,FALSE),VLOOKUP(T2224,Equivalencia!$1:$23,((MAX(Equivalencia!$3:$3)-YEAR(S2224))*14)+MONTH(S2224)+2,FALSE)))</f>
        <v>0</v>
      </c>
      <c r="W2224" s="178">
        <f t="shared" si="209"/>
        <v>0</v>
      </c>
      <c r="X2224" s="481">
        <f t="shared" si="205"/>
        <v>0</v>
      </c>
      <c r="Y2224" s="179"/>
      <c r="Z2224" s="466">
        <f t="shared" si="206"/>
        <v>0</v>
      </c>
      <c r="AA2224" s="473">
        <f t="shared" si="207"/>
        <v>0</v>
      </c>
      <c r="AB2224" s="339">
        <f t="shared" si="208"/>
        <v>0</v>
      </c>
    </row>
    <row r="2225" spans="2:28" ht="20.100000000000001" customHeight="1">
      <c r="B2225" s="172"/>
      <c r="C2225" s="174"/>
      <c r="D2225" s="181"/>
      <c r="E2225" s="173"/>
      <c r="F2225" s="176"/>
      <c r="G2225" s="175">
        <f t="shared" si="210"/>
        <v>0</v>
      </c>
      <c r="H2225" s="175">
        <f t="shared" si="203"/>
        <v>0</v>
      </c>
      <c r="I2225" s="177">
        <f>IF(G2225=0,0,IF(E2225="MXN",1/HLOOKUP(YEAR(C2225)+(MONTH(C2225)/100),TC!$5:$37,DAY(C2225)+2,FALSE),VLOOKUP(E2225,Equivalencia!$5:$23,((MAX(Equivalencia!$3:$3)-YEAR(C2225))*14)+MONTH(C2225)+2,FALSE)))</f>
        <v>0</v>
      </c>
      <c r="J2225" s="178">
        <f t="shared" si="211"/>
        <v>0</v>
      </c>
      <c r="K2225" s="462">
        <f>IF(C2225=0,0,VLOOKUP(YEAR(C2225),INPC!$B$4:$O$29,MONTH(C2225)+1))</f>
        <v>0</v>
      </c>
      <c r="L2225" s="462">
        <f>IF(S2225=0,0,VLOOKUP(YEAR(S2225),INPC!$B$4:$O$29,MONTH(S2225)+1))</f>
        <v>0</v>
      </c>
      <c r="M2225" s="463">
        <f t="shared" si="204"/>
        <v>0</v>
      </c>
      <c r="N2225" s="465">
        <f t="shared" si="212"/>
        <v>0</v>
      </c>
      <c r="O2225" s="179"/>
      <c r="P2225" s="180"/>
      <c r="Q2225" s="173"/>
      <c r="R2225" s="173"/>
      <c r="S2225" s="174"/>
      <c r="T2225" s="173"/>
      <c r="U2225" s="182"/>
      <c r="V2225" s="177">
        <f>IF(U2225=0,0,IF(T2225="MXN",1/HLOOKUP(YEAR(S2225)+(MONTH(S2225)/100),TC!$5:$37,DAY(S2225)+2,FALSE),VLOOKUP(T2225,Equivalencia!$1:$23,((MAX(Equivalencia!$3:$3)-YEAR(S2225))*14)+MONTH(S2225)+2,FALSE)))</f>
        <v>0</v>
      </c>
      <c r="W2225" s="178">
        <f t="shared" si="209"/>
        <v>0</v>
      </c>
      <c r="X2225" s="481">
        <f t="shared" si="205"/>
        <v>0</v>
      </c>
      <c r="Y2225" s="179"/>
      <c r="Z2225" s="466">
        <f t="shared" si="206"/>
        <v>0</v>
      </c>
      <c r="AA2225" s="473">
        <f t="shared" si="207"/>
        <v>0</v>
      </c>
      <c r="AB2225" s="339">
        <f t="shared" si="208"/>
        <v>0</v>
      </c>
    </row>
    <row r="2226" spans="2:28" ht="20.100000000000001" customHeight="1">
      <c r="B2226" s="172"/>
      <c r="C2226" s="174"/>
      <c r="D2226" s="181"/>
      <c r="E2226" s="173"/>
      <c r="F2226" s="176"/>
      <c r="G2226" s="175">
        <f t="shared" si="210"/>
        <v>0</v>
      </c>
      <c r="H2226" s="175">
        <f t="shared" si="203"/>
        <v>0</v>
      </c>
      <c r="I2226" s="177">
        <f>IF(G2226=0,0,IF(E2226="MXN",1/HLOOKUP(YEAR(C2226)+(MONTH(C2226)/100),TC!$5:$37,DAY(C2226)+2,FALSE),VLOOKUP(E2226,Equivalencia!$5:$23,((MAX(Equivalencia!$3:$3)-YEAR(C2226))*14)+MONTH(C2226)+2,FALSE)))</f>
        <v>0</v>
      </c>
      <c r="J2226" s="178">
        <f t="shared" si="211"/>
        <v>0</v>
      </c>
      <c r="K2226" s="462">
        <f>IF(C2226=0,0,VLOOKUP(YEAR(C2226),INPC!$B$4:$O$29,MONTH(C2226)+1))</f>
        <v>0</v>
      </c>
      <c r="L2226" s="462">
        <f>IF(S2226=0,0,VLOOKUP(YEAR(S2226),INPC!$B$4:$O$29,MONTH(S2226)+1))</f>
        <v>0</v>
      </c>
      <c r="M2226" s="463">
        <f t="shared" si="204"/>
        <v>0</v>
      </c>
      <c r="N2226" s="465">
        <f t="shared" si="212"/>
        <v>0</v>
      </c>
      <c r="O2226" s="179"/>
      <c r="P2226" s="180"/>
      <c r="Q2226" s="173"/>
      <c r="R2226" s="173"/>
      <c r="S2226" s="174"/>
      <c r="T2226" s="173"/>
      <c r="U2226" s="182"/>
      <c r="V2226" s="177">
        <f>IF(U2226=0,0,IF(T2226="MXN",1/HLOOKUP(YEAR(S2226)+(MONTH(S2226)/100),TC!$5:$37,DAY(S2226)+2,FALSE),VLOOKUP(T2226,Equivalencia!$1:$23,((MAX(Equivalencia!$3:$3)-YEAR(S2226))*14)+MONTH(S2226)+2,FALSE)))</f>
        <v>0</v>
      </c>
      <c r="W2226" s="178">
        <f t="shared" si="209"/>
        <v>0</v>
      </c>
      <c r="X2226" s="481">
        <f t="shared" si="205"/>
        <v>0</v>
      </c>
      <c r="Y2226" s="179"/>
      <c r="Z2226" s="466">
        <f t="shared" si="206"/>
        <v>0</v>
      </c>
      <c r="AA2226" s="473">
        <f t="shared" si="207"/>
        <v>0</v>
      </c>
      <c r="AB2226" s="339">
        <f t="shared" si="208"/>
        <v>0</v>
      </c>
    </row>
    <row r="2227" spans="2:28" ht="20.100000000000001" customHeight="1">
      <c r="B2227" s="172"/>
      <c r="C2227" s="174"/>
      <c r="D2227" s="181"/>
      <c r="E2227" s="173"/>
      <c r="F2227" s="176"/>
      <c r="G2227" s="175">
        <f t="shared" si="210"/>
        <v>0</v>
      </c>
      <c r="H2227" s="175">
        <f t="shared" si="203"/>
        <v>0</v>
      </c>
      <c r="I2227" s="177">
        <f>IF(G2227=0,0,IF(E2227="MXN",1/HLOOKUP(YEAR(C2227)+(MONTH(C2227)/100),TC!$5:$37,DAY(C2227)+2,FALSE),VLOOKUP(E2227,Equivalencia!$5:$23,((MAX(Equivalencia!$3:$3)-YEAR(C2227))*14)+MONTH(C2227)+2,FALSE)))</f>
        <v>0</v>
      </c>
      <c r="J2227" s="178">
        <f t="shared" si="211"/>
        <v>0</v>
      </c>
      <c r="K2227" s="462">
        <f>IF(C2227=0,0,VLOOKUP(YEAR(C2227),INPC!$B$4:$O$29,MONTH(C2227)+1))</f>
        <v>0</v>
      </c>
      <c r="L2227" s="462">
        <f>IF(S2227=0,0,VLOOKUP(YEAR(S2227),INPC!$B$4:$O$29,MONTH(S2227)+1))</f>
        <v>0</v>
      </c>
      <c r="M2227" s="463">
        <f t="shared" si="204"/>
        <v>0</v>
      </c>
      <c r="N2227" s="465">
        <f t="shared" si="212"/>
        <v>0</v>
      </c>
      <c r="O2227" s="179"/>
      <c r="P2227" s="180"/>
      <c r="Q2227" s="173"/>
      <c r="R2227" s="173"/>
      <c r="S2227" s="174"/>
      <c r="T2227" s="173"/>
      <c r="U2227" s="182"/>
      <c r="V2227" s="177">
        <f>IF(U2227=0,0,IF(T2227="MXN",1/HLOOKUP(YEAR(S2227)+(MONTH(S2227)/100),TC!$5:$37,DAY(S2227)+2,FALSE),VLOOKUP(T2227,Equivalencia!$1:$23,((MAX(Equivalencia!$3:$3)-YEAR(S2227))*14)+MONTH(S2227)+2,FALSE)))</f>
        <v>0</v>
      </c>
      <c r="W2227" s="178">
        <f t="shared" si="209"/>
        <v>0</v>
      </c>
      <c r="X2227" s="481">
        <f t="shared" si="205"/>
        <v>0</v>
      </c>
      <c r="Y2227" s="179"/>
      <c r="Z2227" s="466">
        <f t="shared" si="206"/>
        <v>0</v>
      </c>
      <c r="AA2227" s="473">
        <f t="shared" si="207"/>
        <v>0</v>
      </c>
      <c r="AB2227" s="339">
        <f t="shared" si="208"/>
        <v>0</v>
      </c>
    </row>
    <row r="2228" spans="2:28" ht="20.100000000000001" customHeight="1">
      <c r="B2228" s="172"/>
      <c r="C2228" s="174"/>
      <c r="D2228" s="181"/>
      <c r="E2228" s="173"/>
      <c r="F2228" s="176"/>
      <c r="G2228" s="175">
        <f t="shared" si="210"/>
        <v>0</v>
      </c>
      <c r="H2228" s="175">
        <f t="shared" si="203"/>
        <v>0</v>
      </c>
      <c r="I2228" s="177">
        <f>IF(G2228=0,0,IF(E2228="MXN",1/HLOOKUP(YEAR(C2228)+(MONTH(C2228)/100),TC!$5:$37,DAY(C2228)+2,FALSE),VLOOKUP(E2228,Equivalencia!$5:$23,((MAX(Equivalencia!$3:$3)-YEAR(C2228))*14)+MONTH(C2228)+2,FALSE)))</f>
        <v>0</v>
      </c>
      <c r="J2228" s="178">
        <f t="shared" si="211"/>
        <v>0</v>
      </c>
      <c r="K2228" s="462">
        <f>IF(C2228=0,0,VLOOKUP(YEAR(C2228),INPC!$B$4:$O$29,MONTH(C2228)+1))</f>
        <v>0</v>
      </c>
      <c r="L2228" s="462">
        <f>IF(S2228=0,0,VLOOKUP(YEAR(S2228),INPC!$B$4:$O$29,MONTH(S2228)+1))</f>
        <v>0</v>
      </c>
      <c r="M2228" s="463">
        <f t="shared" si="204"/>
        <v>0</v>
      </c>
      <c r="N2228" s="465">
        <f t="shared" si="212"/>
        <v>0</v>
      </c>
      <c r="O2228" s="179"/>
      <c r="P2228" s="180"/>
      <c r="Q2228" s="173"/>
      <c r="R2228" s="173"/>
      <c r="S2228" s="174"/>
      <c r="T2228" s="173"/>
      <c r="U2228" s="182"/>
      <c r="V2228" s="177">
        <f>IF(U2228=0,0,IF(T2228="MXN",1/HLOOKUP(YEAR(S2228)+(MONTH(S2228)/100),TC!$5:$37,DAY(S2228)+2,FALSE),VLOOKUP(T2228,Equivalencia!$1:$23,((MAX(Equivalencia!$3:$3)-YEAR(S2228))*14)+MONTH(S2228)+2,FALSE)))</f>
        <v>0</v>
      </c>
      <c r="W2228" s="178">
        <f t="shared" si="209"/>
        <v>0</v>
      </c>
      <c r="X2228" s="481">
        <f t="shared" si="205"/>
        <v>0</v>
      </c>
      <c r="Y2228" s="179"/>
      <c r="Z2228" s="466">
        <f t="shared" si="206"/>
        <v>0</v>
      </c>
      <c r="AA2228" s="473">
        <f t="shared" si="207"/>
        <v>0</v>
      </c>
      <c r="AB2228" s="339">
        <f t="shared" si="208"/>
        <v>0</v>
      </c>
    </row>
    <row r="2229" spans="2:28" ht="20.100000000000001" customHeight="1">
      <c r="B2229" s="172"/>
      <c r="C2229" s="174"/>
      <c r="D2229" s="181"/>
      <c r="E2229" s="173"/>
      <c r="F2229" s="176"/>
      <c r="G2229" s="175">
        <f t="shared" si="210"/>
        <v>0</v>
      </c>
      <c r="H2229" s="175">
        <f t="shared" si="203"/>
        <v>0</v>
      </c>
      <c r="I2229" s="177">
        <f>IF(G2229=0,0,IF(E2229="MXN",1/HLOOKUP(YEAR(C2229)+(MONTH(C2229)/100),TC!$5:$37,DAY(C2229)+2,FALSE),VLOOKUP(E2229,Equivalencia!$5:$23,((MAX(Equivalencia!$3:$3)-YEAR(C2229))*14)+MONTH(C2229)+2,FALSE)))</f>
        <v>0</v>
      </c>
      <c r="J2229" s="178">
        <f t="shared" si="211"/>
        <v>0</v>
      </c>
      <c r="K2229" s="462">
        <f>IF(C2229=0,0,VLOOKUP(YEAR(C2229),INPC!$B$4:$O$29,MONTH(C2229)+1))</f>
        <v>0</v>
      </c>
      <c r="L2229" s="462">
        <f>IF(S2229=0,0,VLOOKUP(YEAR(S2229),INPC!$B$4:$O$29,MONTH(S2229)+1))</f>
        <v>0</v>
      </c>
      <c r="M2229" s="463">
        <f t="shared" si="204"/>
        <v>0</v>
      </c>
      <c r="N2229" s="465">
        <f t="shared" si="212"/>
        <v>0</v>
      </c>
      <c r="O2229" s="179"/>
      <c r="P2229" s="180"/>
      <c r="Q2229" s="173"/>
      <c r="R2229" s="173"/>
      <c r="S2229" s="174"/>
      <c r="T2229" s="173"/>
      <c r="U2229" s="182"/>
      <c r="V2229" s="177">
        <f>IF(U2229=0,0,IF(T2229="MXN",1/HLOOKUP(YEAR(S2229)+(MONTH(S2229)/100),TC!$5:$37,DAY(S2229)+2,FALSE),VLOOKUP(T2229,Equivalencia!$1:$23,((MAX(Equivalencia!$3:$3)-YEAR(S2229))*14)+MONTH(S2229)+2,FALSE)))</f>
        <v>0</v>
      </c>
      <c r="W2229" s="178">
        <f t="shared" si="209"/>
        <v>0</v>
      </c>
      <c r="X2229" s="481">
        <f t="shared" si="205"/>
        <v>0</v>
      </c>
      <c r="Y2229" s="179"/>
      <c r="Z2229" s="466">
        <f t="shared" si="206"/>
        <v>0</v>
      </c>
      <c r="AA2229" s="473">
        <f t="shared" si="207"/>
        <v>0</v>
      </c>
      <c r="AB2229" s="339">
        <f t="shared" si="208"/>
        <v>0</v>
      </c>
    </row>
    <row r="2230" spans="2:28" ht="20.100000000000001" customHeight="1">
      <c r="B2230" s="172"/>
      <c r="C2230" s="174"/>
      <c r="D2230" s="181"/>
      <c r="E2230" s="173"/>
      <c r="F2230" s="176"/>
      <c r="G2230" s="175">
        <f t="shared" si="210"/>
        <v>0</v>
      </c>
      <c r="H2230" s="175">
        <f t="shared" si="203"/>
        <v>0</v>
      </c>
      <c r="I2230" s="177">
        <f>IF(G2230=0,0,IF(E2230="MXN",1/HLOOKUP(YEAR(C2230)+(MONTH(C2230)/100),TC!$5:$37,DAY(C2230)+2,FALSE),VLOOKUP(E2230,Equivalencia!$5:$23,((MAX(Equivalencia!$3:$3)-YEAR(C2230))*14)+MONTH(C2230)+2,FALSE)))</f>
        <v>0</v>
      </c>
      <c r="J2230" s="178">
        <f t="shared" si="211"/>
        <v>0</v>
      </c>
      <c r="K2230" s="462">
        <f>IF(C2230=0,0,VLOOKUP(YEAR(C2230),INPC!$B$4:$O$29,MONTH(C2230)+1))</f>
        <v>0</v>
      </c>
      <c r="L2230" s="462">
        <f>IF(S2230=0,0,VLOOKUP(YEAR(S2230),INPC!$B$4:$O$29,MONTH(S2230)+1))</f>
        <v>0</v>
      </c>
      <c r="M2230" s="463">
        <f t="shared" si="204"/>
        <v>0</v>
      </c>
      <c r="N2230" s="465">
        <f t="shared" si="212"/>
        <v>0</v>
      </c>
      <c r="O2230" s="179"/>
      <c r="P2230" s="180"/>
      <c r="Q2230" s="173"/>
      <c r="R2230" s="173"/>
      <c r="S2230" s="174"/>
      <c r="T2230" s="173"/>
      <c r="U2230" s="182"/>
      <c r="V2230" s="177">
        <f>IF(U2230=0,0,IF(T2230="MXN",1/HLOOKUP(YEAR(S2230)+(MONTH(S2230)/100),TC!$5:$37,DAY(S2230)+2,FALSE),VLOOKUP(T2230,Equivalencia!$1:$23,((MAX(Equivalencia!$3:$3)-YEAR(S2230))*14)+MONTH(S2230)+2,FALSE)))</f>
        <v>0</v>
      </c>
      <c r="W2230" s="178">
        <f t="shared" si="209"/>
        <v>0</v>
      </c>
      <c r="X2230" s="481">
        <f t="shared" si="205"/>
        <v>0</v>
      </c>
      <c r="Y2230" s="179"/>
      <c r="Z2230" s="466">
        <f t="shared" si="206"/>
        <v>0</v>
      </c>
      <c r="AA2230" s="473">
        <f t="shared" si="207"/>
        <v>0</v>
      </c>
      <c r="AB2230" s="339">
        <f t="shared" si="208"/>
        <v>0</v>
      </c>
    </row>
    <row r="2231" spans="2:28" ht="20.100000000000001" customHeight="1">
      <c r="B2231" s="172"/>
      <c r="C2231" s="174"/>
      <c r="D2231" s="181"/>
      <c r="E2231" s="173"/>
      <c r="F2231" s="176"/>
      <c r="G2231" s="175">
        <f t="shared" si="210"/>
        <v>0</v>
      </c>
      <c r="H2231" s="175">
        <f t="shared" si="203"/>
        <v>0</v>
      </c>
      <c r="I2231" s="177">
        <f>IF(G2231=0,0,IF(E2231="MXN",1/HLOOKUP(YEAR(C2231)+(MONTH(C2231)/100),TC!$5:$37,DAY(C2231)+2,FALSE),VLOOKUP(E2231,Equivalencia!$5:$23,((MAX(Equivalencia!$3:$3)-YEAR(C2231))*14)+MONTH(C2231)+2,FALSE)))</f>
        <v>0</v>
      </c>
      <c r="J2231" s="178">
        <f t="shared" si="211"/>
        <v>0</v>
      </c>
      <c r="K2231" s="462">
        <f>IF(C2231=0,0,VLOOKUP(YEAR(C2231),INPC!$B$4:$O$29,MONTH(C2231)+1))</f>
        <v>0</v>
      </c>
      <c r="L2231" s="462">
        <f>IF(S2231=0,0,VLOOKUP(YEAR(S2231),INPC!$B$4:$O$29,MONTH(S2231)+1))</f>
        <v>0</v>
      </c>
      <c r="M2231" s="463">
        <f t="shared" si="204"/>
        <v>0</v>
      </c>
      <c r="N2231" s="465">
        <f t="shared" si="212"/>
        <v>0</v>
      </c>
      <c r="O2231" s="179"/>
      <c r="P2231" s="180"/>
      <c r="Q2231" s="173"/>
      <c r="R2231" s="173"/>
      <c r="S2231" s="174"/>
      <c r="T2231" s="173"/>
      <c r="U2231" s="182"/>
      <c r="V2231" s="177">
        <f>IF(U2231=0,0,IF(T2231="MXN",1/HLOOKUP(YEAR(S2231)+(MONTH(S2231)/100),TC!$5:$37,DAY(S2231)+2,FALSE),VLOOKUP(T2231,Equivalencia!$1:$23,((MAX(Equivalencia!$3:$3)-YEAR(S2231))*14)+MONTH(S2231)+2,FALSE)))</f>
        <v>0</v>
      </c>
      <c r="W2231" s="178">
        <f t="shared" si="209"/>
        <v>0</v>
      </c>
      <c r="X2231" s="481">
        <f t="shared" si="205"/>
        <v>0</v>
      </c>
      <c r="Y2231" s="179"/>
      <c r="Z2231" s="466">
        <f t="shared" si="206"/>
        <v>0</v>
      </c>
      <c r="AA2231" s="473">
        <f t="shared" si="207"/>
        <v>0</v>
      </c>
      <c r="AB2231" s="339">
        <f t="shared" si="208"/>
        <v>0</v>
      </c>
    </row>
    <row r="2232" spans="2:28" ht="20.100000000000001" customHeight="1">
      <c r="B2232" s="172"/>
      <c r="C2232" s="174"/>
      <c r="D2232" s="181"/>
      <c r="E2232" s="173"/>
      <c r="F2232" s="176"/>
      <c r="G2232" s="175">
        <f t="shared" si="210"/>
        <v>0</v>
      </c>
      <c r="H2232" s="175">
        <f t="shared" si="203"/>
        <v>0</v>
      </c>
      <c r="I2232" s="177">
        <f>IF(G2232=0,0,IF(E2232="MXN",1/HLOOKUP(YEAR(C2232)+(MONTH(C2232)/100),TC!$5:$37,DAY(C2232)+2,FALSE),VLOOKUP(E2232,Equivalencia!$5:$23,((MAX(Equivalencia!$3:$3)-YEAR(C2232))*14)+MONTH(C2232)+2,FALSE)))</f>
        <v>0</v>
      </c>
      <c r="J2232" s="178">
        <f t="shared" si="211"/>
        <v>0</v>
      </c>
      <c r="K2232" s="462">
        <f>IF(C2232=0,0,VLOOKUP(YEAR(C2232),INPC!$B$4:$O$29,MONTH(C2232)+1))</f>
        <v>0</v>
      </c>
      <c r="L2232" s="462">
        <f>IF(S2232=0,0,VLOOKUP(YEAR(S2232),INPC!$B$4:$O$29,MONTH(S2232)+1))</f>
        <v>0</v>
      </c>
      <c r="M2232" s="463">
        <f t="shared" si="204"/>
        <v>0</v>
      </c>
      <c r="N2232" s="465">
        <f t="shared" si="212"/>
        <v>0</v>
      </c>
      <c r="O2232" s="179"/>
      <c r="P2232" s="180"/>
      <c r="Q2232" s="173"/>
      <c r="R2232" s="173"/>
      <c r="S2232" s="174"/>
      <c r="T2232" s="173"/>
      <c r="U2232" s="182"/>
      <c r="V2232" s="177">
        <f>IF(U2232=0,0,IF(T2232="MXN",1/HLOOKUP(YEAR(S2232)+(MONTH(S2232)/100),TC!$5:$37,DAY(S2232)+2,FALSE),VLOOKUP(T2232,Equivalencia!$1:$23,((MAX(Equivalencia!$3:$3)-YEAR(S2232))*14)+MONTH(S2232)+2,FALSE)))</f>
        <v>0</v>
      </c>
      <c r="W2232" s="178">
        <f t="shared" si="209"/>
        <v>0</v>
      </c>
      <c r="X2232" s="481">
        <f t="shared" si="205"/>
        <v>0</v>
      </c>
      <c r="Y2232" s="179"/>
      <c r="Z2232" s="466">
        <f t="shared" si="206"/>
        <v>0</v>
      </c>
      <c r="AA2232" s="473">
        <f t="shared" si="207"/>
        <v>0</v>
      </c>
      <c r="AB2232" s="339">
        <f t="shared" si="208"/>
        <v>0</v>
      </c>
    </row>
    <row r="2233" spans="2:28" ht="20.100000000000001" customHeight="1">
      <c r="B2233" s="172"/>
      <c r="C2233" s="174"/>
      <c r="D2233" s="181"/>
      <c r="E2233" s="173"/>
      <c r="F2233" s="176"/>
      <c r="G2233" s="175">
        <f t="shared" si="210"/>
        <v>0</v>
      </c>
      <c r="H2233" s="175">
        <f t="shared" si="203"/>
        <v>0</v>
      </c>
      <c r="I2233" s="177">
        <f>IF(G2233=0,0,IF(E2233="MXN",1/HLOOKUP(YEAR(C2233)+(MONTH(C2233)/100),TC!$5:$37,DAY(C2233)+2,FALSE),VLOOKUP(E2233,Equivalencia!$5:$23,((MAX(Equivalencia!$3:$3)-YEAR(C2233))*14)+MONTH(C2233)+2,FALSE)))</f>
        <v>0</v>
      </c>
      <c r="J2233" s="178">
        <f t="shared" si="211"/>
        <v>0</v>
      </c>
      <c r="K2233" s="462">
        <f>IF(C2233=0,0,VLOOKUP(YEAR(C2233),INPC!$B$4:$O$29,MONTH(C2233)+1))</f>
        <v>0</v>
      </c>
      <c r="L2233" s="462">
        <f>IF(S2233=0,0,VLOOKUP(YEAR(S2233),INPC!$B$4:$O$29,MONTH(S2233)+1))</f>
        <v>0</v>
      </c>
      <c r="M2233" s="463">
        <f t="shared" si="204"/>
        <v>0</v>
      </c>
      <c r="N2233" s="465">
        <f t="shared" si="212"/>
        <v>0</v>
      </c>
      <c r="O2233" s="179"/>
      <c r="P2233" s="180"/>
      <c r="Q2233" s="173"/>
      <c r="R2233" s="173"/>
      <c r="S2233" s="174"/>
      <c r="T2233" s="173"/>
      <c r="U2233" s="182"/>
      <c r="V2233" s="177">
        <f>IF(U2233=0,0,IF(T2233="MXN",1/HLOOKUP(YEAR(S2233)+(MONTH(S2233)/100),TC!$5:$37,DAY(S2233)+2,FALSE),VLOOKUP(T2233,Equivalencia!$1:$23,((MAX(Equivalencia!$3:$3)-YEAR(S2233))*14)+MONTH(S2233)+2,FALSE)))</f>
        <v>0</v>
      </c>
      <c r="W2233" s="178">
        <f t="shared" si="209"/>
        <v>0</v>
      </c>
      <c r="X2233" s="481">
        <f t="shared" si="205"/>
        <v>0</v>
      </c>
      <c r="Y2233" s="179"/>
      <c r="Z2233" s="466">
        <f t="shared" si="206"/>
        <v>0</v>
      </c>
      <c r="AA2233" s="473">
        <f t="shared" si="207"/>
        <v>0</v>
      </c>
      <c r="AB2233" s="339">
        <f t="shared" si="208"/>
        <v>0</v>
      </c>
    </row>
    <row r="2234" spans="2:28" ht="20.100000000000001" customHeight="1">
      <c r="B2234" s="172"/>
      <c r="C2234" s="174"/>
      <c r="D2234" s="181"/>
      <c r="E2234" s="173"/>
      <c r="F2234" s="176"/>
      <c r="G2234" s="175">
        <f t="shared" si="210"/>
        <v>0</v>
      </c>
      <c r="H2234" s="175">
        <f t="shared" si="203"/>
        <v>0</v>
      </c>
      <c r="I2234" s="177">
        <f>IF(G2234=0,0,IF(E2234="MXN",1/HLOOKUP(YEAR(C2234)+(MONTH(C2234)/100),TC!$5:$37,DAY(C2234)+2,FALSE),VLOOKUP(E2234,Equivalencia!$5:$23,((MAX(Equivalencia!$3:$3)-YEAR(C2234))*14)+MONTH(C2234)+2,FALSE)))</f>
        <v>0</v>
      </c>
      <c r="J2234" s="178">
        <f t="shared" si="211"/>
        <v>0</v>
      </c>
      <c r="K2234" s="462">
        <f>IF(C2234=0,0,VLOOKUP(YEAR(C2234),INPC!$B$4:$O$29,MONTH(C2234)+1))</f>
        <v>0</v>
      </c>
      <c r="L2234" s="462">
        <f>IF(S2234=0,0,VLOOKUP(YEAR(S2234),INPC!$B$4:$O$29,MONTH(S2234)+1))</f>
        <v>0</v>
      </c>
      <c r="M2234" s="463">
        <f t="shared" si="204"/>
        <v>0</v>
      </c>
      <c r="N2234" s="465">
        <f t="shared" si="212"/>
        <v>0</v>
      </c>
      <c r="O2234" s="179"/>
      <c r="P2234" s="180"/>
      <c r="Q2234" s="173"/>
      <c r="R2234" s="173"/>
      <c r="S2234" s="174"/>
      <c r="T2234" s="173"/>
      <c r="U2234" s="182"/>
      <c r="V2234" s="177">
        <f>IF(U2234=0,0,IF(T2234="MXN",1/HLOOKUP(YEAR(S2234)+(MONTH(S2234)/100),TC!$5:$37,DAY(S2234)+2,FALSE),VLOOKUP(T2234,Equivalencia!$1:$23,((MAX(Equivalencia!$3:$3)-YEAR(S2234))*14)+MONTH(S2234)+2,FALSE)))</f>
        <v>0</v>
      </c>
      <c r="W2234" s="178">
        <f t="shared" si="209"/>
        <v>0</v>
      </c>
      <c r="X2234" s="481">
        <f t="shared" si="205"/>
        <v>0</v>
      </c>
      <c r="Y2234" s="179"/>
      <c r="Z2234" s="466">
        <f t="shared" si="206"/>
        <v>0</v>
      </c>
      <c r="AA2234" s="473">
        <f t="shared" si="207"/>
        <v>0</v>
      </c>
      <c r="AB2234" s="339">
        <f t="shared" si="208"/>
        <v>0</v>
      </c>
    </row>
    <row r="2235" spans="2:28" ht="20.100000000000001" customHeight="1">
      <c r="B2235" s="172"/>
      <c r="C2235" s="174"/>
      <c r="D2235" s="181"/>
      <c r="E2235" s="173"/>
      <c r="F2235" s="176"/>
      <c r="G2235" s="175">
        <f t="shared" si="210"/>
        <v>0</v>
      </c>
      <c r="H2235" s="175">
        <f t="shared" si="203"/>
        <v>0</v>
      </c>
      <c r="I2235" s="177">
        <f>IF(G2235=0,0,IF(E2235="MXN",1/HLOOKUP(YEAR(C2235)+(MONTH(C2235)/100),TC!$5:$37,DAY(C2235)+2,FALSE),VLOOKUP(E2235,Equivalencia!$5:$23,((MAX(Equivalencia!$3:$3)-YEAR(C2235))*14)+MONTH(C2235)+2,FALSE)))</f>
        <v>0</v>
      </c>
      <c r="J2235" s="178">
        <f t="shared" si="211"/>
        <v>0</v>
      </c>
      <c r="K2235" s="462">
        <f>IF(C2235=0,0,VLOOKUP(YEAR(C2235),INPC!$B$4:$O$29,MONTH(C2235)+1))</f>
        <v>0</v>
      </c>
      <c r="L2235" s="462">
        <f>IF(S2235=0,0,VLOOKUP(YEAR(S2235),INPC!$B$4:$O$29,MONTH(S2235)+1))</f>
        <v>0</v>
      </c>
      <c r="M2235" s="463">
        <f t="shared" si="204"/>
        <v>0</v>
      </c>
      <c r="N2235" s="465">
        <f t="shared" si="212"/>
        <v>0</v>
      </c>
      <c r="O2235" s="179"/>
      <c r="P2235" s="180"/>
      <c r="Q2235" s="173"/>
      <c r="R2235" s="173"/>
      <c r="S2235" s="174"/>
      <c r="T2235" s="173"/>
      <c r="U2235" s="182"/>
      <c r="V2235" s="177">
        <f>IF(U2235=0,0,IF(T2235="MXN",1/HLOOKUP(YEAR(S2235)+(MONTH(S2235)/100),TC!$5:$37,DAY(S2235)+2,FALSE),VLOOKUP(T2235,Equivalencia!$1:$23,((MAX(Equivalencia!$3:$3)-YEAR(S2235))*14)+MONTH(S2235)+2,FALSE)))</f>
        <v>0</v>
      </c>
      <c r="W2235" s="178">
        <f t="shared" si="209"/>
        <v>0</v>
      </c>
      <c r="X2235" s="481">
        <f t="shared" si="205"/>
        <v>0</v>
      </c>
      <c r="Y2235" s="179"/>
      <c r="Z2235" s="466">
        <f t="shared" si="206"/>
        <v>0</v>
      </c>
      <c r="AA2235" s="473">
        <f t="shared" si="207"/>
        <v>0</v>
      </c>
      <c r="AB2235" s="339">
        <f t="shared" si="208"/>
        <v>0</v>
      </c>
    </row>
    <row r="2236" spans="2:28" ht="20.100000000000001" customHeight="1">
      <c r="B2236" s="172"/>
      <c r="C2236" s="174"/>
      <c r="D2236" s="181"/>
      <c r="E2236" s="173"/>
      <c r="F2236" s="176"/>
      <c r="G2236" s="175">
        <f t="shared" si="210"/>
        <v>0</v>
      </c>
      <c r="H2236" s="175">
        <f t="shared" si="203"/>
        <v>0</v>
      </c>
      <c r="I2236" s="177">
        <f>IF(G2236=0,0,IF(E2236="MXN",1/HLOOKUP(YEAR(C2236)+(MONTH(C2236)/100),TC!$5:$37,DAY(C2236)+2,FALSE),VLOOKUP(E2236,Equivalencia!$5:$23,((MAX(Equivalencia!$3:$3)-YEAR(C2236))*14)+MONTH(C2236)+2,FALSE)))</f>
        <v>0</v>
      </c>
      <c r="J2236" s="178">
        <f t="shared" si="211"/>
        <v>0</v>
      </c>
      <c r="K2236" s="462">
        <f>IF(C2236=0,0,VLOOKUP(YEAR(C2236),INPC!$B$4:$O$29,MONTH(C2236)+1))</f>
        <v>0</v>
      </c>
      <c r="L2236" s="462">
        <f>IF(S2236=0,0,VLOOKUP(YEAR(S2236),INPC!$B$4:$O$29,MONTH(S2236)+1))</f>
        <v>0</v>
      </c>
      <c r="M2236" s="463">
        <f t="shared" si="204"/>
        <v>0</v>
      </c>
      <c r="N2236" s="465">
        <f t="shared" si="212"/>
        <v>0</v>
      </c>
      <c r="O2236" s="179"/>
      <c r="P2236" s="180"/>
      <c r="Q2236" s="173"/>
      <c r="R2236" s="173"/>
      <c r="S2236" s="174"/>
      <c r="T2236" s="173"/>
      <c r="U2236" s="182"/>
      <c r="V2236" s="177">
        <f>IF(U2236=0,0,IF(T2236="MXN",1/HLOOKUP(YEAR(S2236)+(MONTH(S2236)/100),TC!$5:$37,DAY(S2236)+2,FALSE),VLOOKUP(T2236,Equivalencia!$1:$23,((MAX(Equivalencia!$3:$3)-YEAR(S2236))*14)+MONTH(S2236)+2,FALSE)))</f>
        <v>0</v>
      </c>
      <c r="W2236" s="178">
        <f t="shared" si="209"/>
        <v>0</v>
      </c>
      <c r="X2236" s="481">
        <f t="shared" si="205"/>
        <v>0</v>
      </c>
      <c r="Y2236" s="179"/>
      <c r="Z2236" s="466">
        <f t="shared" si="206"/>
        <v>0</v>
      </c>
      <c r="AA2236" s="473">
        <f t="shared" si="207"/>
        <v>0</v>
      </c>
      <c r="AB2236" s="339">
        <f t="shared" si="208"/>
        <v>0</v>
      </c>
    </row>
    <row r="2237" spans="2:28" ht="20.100000000000001" customHeight="1">
      <c r="B2237" s="172"/>
      <c r="C2237" s="174"/>
      <c r="D2237" s="181"/>
      <c r="E2237" s="173"/>
      <c r="F2237" s="176"/>
      <c r="G2237" s="175">
        <f t="shared" si="210"/>
        <v>0</v>
      </c>
      <c r="H2237" s="175">
        <f t="shared" si="203"/>
        <v>0</v>
      </c>
      <c r="I2237" s="177">
        <f>IF(G2237=0,0,IF(E2237="MXN",1/HLOOKUP(YEAR(C2237)+(MONTH(C2237)/100),TC!$5:$37,DAY(C2237)+2,FALSE),VLOOKUP(E2237,Equivalencia!$5:$23,((MAX(Equivalencia!$3:$3)-YEAR(C2237))*14)+MONTH(C2237)+2,FALSE)))</f>
        <v>0</v>
      </c>
      <c r="J2237" s="178">
        <f t="shared" si="211"/>
        <v>0</v>
      </c>
      <c r="K2237" s="462">
        <f>IF(C2237=0,0,VLOOKUP(YEAR(C2237),INPC!$B$4:$O$29,MONTH(C2237)+1))</f>
        <v>0</v>
      </c>
      <c r="L2237" s="462">
        <f>IF(S2237=0,0,VLOOKUP(YEAR(S2237),INPC!$B$4:$O$29,MONTH(S2237)+1))</f>
        <v>0</v>
      </c>
      <c r="M2237" s="463">
        <f t="shared" si="204"/>
        <v>0</v>
      </c>
      <c r="N2237" s="465">
        <f t="shared" si="212"/>
        <v>0</v>
      </c>
      <c r="O2237" s="179"/>
      <c r="P2237" s="180"/>
      <c r="Q2237" s="173"/>
      <c r="R2237" s="173"/>
      <c r="S2237" s="174"/>
      <c r="T2237" s="173"/>
      <c r="U2237" s="182"/>
      <c r="V2237" s="177">
        <f>IF(U2237=0,0,IF(T2237="MXN",1/HLOOKUP(YEAR(S2237)+(MONTH(S2237)/100),TC!$5:$37,DAY(S2237)+2,FALSE),VLOOKUP(T2237,Equivalencia!$1:$23,((MAX(Equivalencia!$3:$3)-YEAR(S2237))*14)+MONTH(S2237)+2,FALSE)))</f>
        <v>0</v>
      </c>
      <c r="W2237" s="178">
        <f t="shared" si="209"/>
        <v>0</v>
      </c>
      <c r="X2237" s="481">
        <f t="shared" si="205"/>
        <v>0</v>
      </c>
      <c r="Y2237" s="179"/>
      <c r="Z2237" s="466">
        <f t="shared" si="206"/>
        <v>0</v>
      </c>
      <c r="AA2237" s="473">
        <f t="shared" si="207"/>
        <v>0</v>
      </c>
      <c r="AB2237" s="339">
        <f t="shared" si="208"/>
        <v>0</v>
      </c>
    </row>
    <row r="2238" spans="2:28" ht="20.100000000000001" customHeight="1">
      <c r="B2238" s="172"/>
      <c r="C2238" s="174"/>
      <c r="D2238" s="181"/>
      <c r="E2238" s="173"/>
      <c r="F2238" s="176"/>
      <c r="G2238" s="175">
        <f t="shared" si="210"/>
        <v>0</v>
      </c>
      <c r="H2238" s="175">
        <f t="shared" si="203"/>
        <v>0</v>
      </c>
      <c r="I2238" s="177">
        <f>IF(G2238=0,0,IF(E2238="MXN",1/HLOOKUP(YEAR(C2238)+(MONTH(C2238)/100),TC!$5:$37,DAY(C2238)+2,FALSE),VLOOKUP(E2238,Equivalencia!$5:$23,((MAX(Equivalencia!$3:$3)-YEAR(C2238))*14)+MONTH(C2238)+2,FALSE)))</f>
        <v>0</v>
      </c>
      <c r="J2238" s="178">
        <f t="shared" si="211"/>
        <v>0</v>
      </c>
      <c r="K2238" s="462">
        <f>IF(C2238=0,0,VLOOKUP(YEAR(C2238),INPC!$B$4:$O$29,MONTH(C2238)+1))</f>
        <v>0</v>
      </c>
      <c r="L2238" s="462">
        <f>IF(S2238=0,0,VLOOKUP(YEAR(S2238),INPC!$B$4:$O$29,MONTH(S2238)+1))</f>
        <v>0</v>
      </c>
      <c r="M2238" s="463">
        <f t="shared" si="204"/>
        <v>0</v>
      </c>
      <c r="N2238" s="465">
        <f t="shared" si="212"/>
        <v>0</v>
      </c>
      <c r="O2238" s="179"/>
      <c r="P2238" s="180"/>
      <c r="Q2238" s="173"/>
      <c r="R2238" s="173"/>
      <c r="S2238" s="174"/>
      <c r="T2238" s="173"/>
      <c r="U2238" s="182"/>
      <c r="V2238" s="177">
        <f>IF(U2238=0,0,IF(T2238="MXN",1/HLOOKUP(YEAR(S2238)+(MONTH(S2238)/100),TC!$5:$37,DAY(S2238)+2,FALSE),VLOOKUP(T2238,Equivalencia!$1:$23,((MAX(Equivalencia!$3:$3)-YEAR(S2238))*14)+MONTH(S2238)+2,FALSE)))</f>
        <v>0</v>
      </c>
      <c r="W2238" s="178">
        <f t="shared" si="209"/>
        <v>0</v>
      </c>
      <c r="X2238" s="481">
        <f t="shared" si="205"/>
        <v>0</v>
      </c>
      <c r="Y2238" s="179"/>
      <c r="Z2238" s="466">
        <f t="shared" si="206"/>
        <v>0</v>
      </c>
      <c r="AA2238" s="473">
        <f t="shared" si="207"/>
        <v>0</v>
      </c>
      <c r="AB2238" s="339">
        <f t="shared" si="208"/>
        <v>0</v>
      </c>
    </row>
    <row r="2239" spans="2:28" ht="20.100000000000001" customHeight="1">
      <c r="B2239" s="172"/>
      <c r="C2239" s="174"/>
      <c r="D2239" s="181"/>
      <c r="E2239" s="173"/>
      <c r="F2239" s="176"/>
      <c r="G2239" s="175">
        <f t="shared" si="210"/>
        <v>0</v>
      </c>
      <c r="H2239" s="175">
        <f t="shared" si="203"/>
        <v>0</v>
      </c>
      <c r="I2239" s="177">
        <f>IF(G2239=0,0,IF(E2239="MXN",1/HLOOKUP(YEAR(C2239)+(MONTH(C2239)/100),TC!$5:$37,DAY(C2239)+2,FALSE),VLOOKUP(E2239,Equivalencia!$5:$23,((MAX(Equivalencia!$3:$3)-YEAR(C2239))*14)+MONTH(C2239)+2,FALSE)))</f>
        <v>0</v>
      </c>
      <c r="J2239" s="178">
        <f t="shared" si="211"/>
        <v>0</v>
      </c>
      <c r="K2239" s="462">
        <f>IF(C2239=0,0,VLOOKUP(YEAR(C2239),INPC!$B$4:$O$29,MONTH(C2239)+1))</f>
        <v>0</v>
      </c>
      <c r="L2239" s="462">
        <f>IF(S2239=0,0,VLOOKUP(YEAR(S2239),INPC!$B$4:$O$29,MONTH(S2239)+1))</f>
        <v>0</v>
      </c>
      <c r="M2239" s="463">
        <f t="shared" si="204"/>
        <v>0</v>
      </c>
      <c r="N2239" s="465">
        <f t="shared" si="212"/>
        <v>0</v>
      </c>
      <c r="O2239" s="179"/>
      <c r="P2239" s="180"/>
      <c r="Q2239" s="173"/>
      <c r="R2239" s="173"/>
      <c r="S2239" s="174"/>
      <c r="T2239" s="173"/>
      <c r="U2239" s="182"/>
      <c r="V2239" s="177">
        <f>IF(U2239=0,0,IF(T2239="MXN",1/HLOOKUP(YEAR(S2239)+(MONTH(S2239)/100),TC!$5:$37,DAY(S2239)+2,FALSE),VLOOKUP(T2239,Equivalencia!$1:$23,((MAX(Equivalencia!$3:$3)-YEAR(S2239))*14)+MONTH(S2239)+2,FALSE)))</f>
        <v>0</v>
      </c>
      <c r="W2239" s="178">
        <f t="shared" si="209"/>
        <v>0</v>
      </c>
      <c r="X2239" s="481">
        <f t="shared" si="205"/>
        <v>0</v>
      </c>
      <c r="Y2239" s="179"/>
      <c r="Z2239" s="466">
        <f t="shared" si="206"/>
        <v>0</v>
      </c>
      <c r="AA2239" s="473">
        <f t="shared" si="207"/>
        <v>0</v>
      </c>
      <c r="AB2239" s="339">
        <f t="shared" si="208"/>
        <v>0</v>
      </c>
    </row>
    <row r="2240" spans="2:28" ht="20.100000000000001" customHeight="1">
      <c r="B2240" s="172"/>
      <c r="C2240" s="174"/>
      <c r="D2240" s="181"/>
      <c r="E2240" s="173"/>
      <c r="F2240" s="176"/>
      <c r="G2240" s="175">
        <f t="shared" si="210"/>
        <v>0</v>
      </c>
      <c r="H2240" s="175">
        <f t="shared" si="203"/>
        <v>0</v>
      </c>
      <c r="I2240" s="177">
        <f>IF(G2240=0,0,IF(E2240="MXN",1/HLOOKUP(YEAR(C2240)+(MONTH(C2240)/100),TC!$5:$37,DAY(C2240)+2,FALSE),VLOOKUP(E2240,Equivalencia!$5:$23,((MAX(Equivalencia!$3:$3)-YEAR(C2240))*14)+MONTH(C2240)+2,FALSE)))</f>
        <v>0</v>
      </c>
      <c r="J2240" s="178">
        <f t="shared" si="211"/>
        <v>0</v>
      </c>
      <c r="K2240" s="462">
        <f>IF(C2240=0,0,VLOOKUP(YEAR(C2240),INPC!$B$4:$O$29,MONTH(C2240)+1))</f>
        <v>0</v>
      </c>
      <c r="L2240" s="462">
        <f>IF(S2240=0,0,VLOOKUP(YEAR(S2240),INPC!$B$4:$O$29,MONTH(S2240)+1))</f>
        <v>0</v>
      </c>
      <c r="M2240" s="463">
        <f t="shared" si="204"/>
        <v>0</v>
      </c>
      <c r="N2240" s="465">
        <f t="shared" si="212"/>
        <v>0</v>
      </c>
      <c r="O2240" s="179"/>
      <c r="P2240" s="180"/>
      <c r="Q2240" s="173"/>
      <c r="R2240" s="173"/>
      <c r="S2240" s="174"/>
      <c r="T2240" s="173"/>
      <c r="U2240" s="182"/>
      <c r="V2240" s="177">
        <f>IF(U2240=0,0,IF(T2240="MXN",1/HLOOKUP(YEAR(S2240)+(MONTH(S2240)/100),TC!$5:$37,DAY(S2240)+2,FALSE),VLOOKUP(T2240,Equivalencia!$1:$23,((MAX(Equivalencia!$3:$3)-YEAR(S2240))*14)+MONTH(S2240)+2,FALSE)))</f>
        <v>0</v>
      </c>
      <c r="W2240" s="178">
        <f t="shared" si="209"/>
        <v>0</v>
      </c>
      <c r="X2240" s="481">
        <f t="shared" si="205"/>
        <v>0</v>
      </c>
      <c r="Y2240" s="179"/>
      <c r="Z2240" s="466">
        <f t="shared" si="206"/>
        <v>0</v>
      </c>
      <c r="AA2240" s="473">
        <f t="shared" si="207"/>
        <v>0</v>
      </c>
      <c r="AB2240" s="339">
        <f t="shared" si="208"/>
        <v>0</v>
      </c>
    </row>
    <row r="2241" spans="2:28" ht="20.100000000000001" customHeight="1">
      <c r="B2241" s="172"/>
      <c r="C2241" s="174"/>
      <c r="D2241" s="181"/>
      <c r="E2241" s="173"/>
      <c r="F2241" s="176"/>
      <c r="G2241" s="175">
        <f t="shared" si="210"/>
        <v>0</v>
      </c>
      <c r="H2241" s="175">
        <f t="shared" si="203"/>
        <v>0</v>
      </c>
      <c r="I2241" s="177">
        <f>IF(G2241=0,0,IF(E2241="MXN",1/HLOOKUP(YEAR(C2241)+(MONTH(C2241)/100),TC!$5:$37,DAY(C2241)+2,FALSE),VLOOKUP(E2241,Equivalencia!$5:$23,((MAX(Equivalencia!$3:$3)-YEAR(C2241))*14)+MONTH(C2241)+2,FALSE)))</f>
        <v>0</v>
      </c>
      <c r="J2241" s="178">
        <f t="shared" si="211"/>
        <v>0</v>
      </c>
      <c r="K2241" s="462">
        <f>IF(C2241=0,0,VLOOKUP(YEAR(C2241),INPC!$B$4:$O$29,MONTH(C2241)+1))</f>
        <v>0</v>
      </c>
      <c r="L2241" s="462">
        <f>IF(S2241=0,0,VLOOKUP(YEAR(S2241),INPC!$B$4:$O$29,MONTH(S2241)+1))</f>
        <v>0</v>
      </c>
      <c r="M2241" s="463">
        <f t="shared" si="204"/>
        <v>0</v>
      </c>
      <c r="N2241" s="465">
        <f t="shared" si="212"/>
        <v>0</v>
      </c>
      <c r="O2241" s="179"/>
      <c r="P2241" s="180"/>
      <c r="Q2241" s="173"/>
      <c r="R2241" s="173"/>
      <c r="S2241" s="174"/>
      <c r="T2241" s="173"/>
      <c r="U2241" s="182"/>
      <c r="V2241" s="177">
        <f>IF(U2241=0,0,IF(T2241="MXN",1/HLOOKUP(YEAR(S2241)+(MONTH(S2241)/100),TC!$5:$37,DAY(S2241)+2,FALSE),VLOOKUP(T2241,Equivalencia!$1:$23,((MAX(Equivalencia!$3:$3)-YEAR(S2241))*14)+MONTH(S2241)+2,FALSE)))</f>
        <v>0</v>
      </c>
      <c r="W2241" s="178">
        <f t="shared" si="209"/>
        <v>0</v>
      </c>
      <c r="X2241" s="481">
        <f t="shared" si="205"/>
        <v>0</v>
      </c>
      <c r="Y2241" s="179"/>
      <c r="Z2241" s="466">
        <f t="shared" si="206"/>
        <v>0</v>
      </c>
      <c r="AA2241" s="473">
        <f t="shared" si="207"/>
        <v>0</v>
      </c>
      <c r="AB2241" s="339">
        <f t="shared" si="208"/>
        <v>0</v>
      </c>
    </row>
    <row r="2242" spans="2:28" ht="20.100000000000001" customHeight="1">
      <c r="B2242" s="172"/>
      <c r="C2242" s="174"/>
      <c r="D2242" s="181"/>
      <c r="E2242" s="173"/>
      <c r="F2242" s="176"/>
      <c r="G2242" s="175">
        <f t="shared" si="210"/>
        <v>0</v>
      </c>
      <c r="H2242" s="175">
        <f t="shared" si="203"/>
        <v>0</v>
      </c>
      <c r="I2242" s="177">
        <f>IF(G2242=0,0,IF(E2242="MXN",1/HLOOKUP(YEAR(C2242)+(MONTH(C2242)/100),TC!$5:$37,DAY(C2242)+2,FALSE),VLOOKUP(E2242,Equivalencia!$5:$23,((MAX(Equivalencia!$3:$3)-YEAR(C2242))*14)+MONTH(C2242)+2,FALSE)))</f>
        <v>0</v>
      </c>
      <c r="J2242" s="178">
        <f t="shared" si="211"/>
        <v>0</v>
      </c>
      <c r="K2242" s="462">
        <f>IF(C2242=0,0,VLOOKUP(YEAR(C2242),INPC!$B$4:$O$29,MONTH(C2242)+1))</f>
        <v>0</v>
      </c>
      <c r="L2242" s="462">
        <f>IF(S2242=0,0,VLOOKUP(YEAR(S2242),INPC!$B$4:$O$29,MONTH(S2242)+1))</f>
        <v>0</v>
      </c>
      <c r="M2242" s="463">
        <f t="shared" si="204"/>
        <v>0</v>
      </c>
      <c r="N2242" s="465">
        <f t="shared" si="212"/>
        <v>0</v>
      </c>
      <c r="O2242" s="179"/>
      <c r="P2242" s="180"/>
      <c r="Q2242" s="173"/>
      <c r="R2242" s="173"/>
      <c r="S2242" s="174"/>
      <c r="T2242" s="173"/>
      <c r="U2242" s="182"/>
      <c r="V2242" s="177">
        <f>IF(U2242=0,0,IF(T2242="MXN",1/HLOOKUP(YEAR(S2242)+(MONTH(S2242)/100),TC!$5:$37,DAY(S2242)+2,FALSE),VLOOKUP(T2242,Equivalencia!$1:$23,((MAX(Equivalencia!$3:$3)-YEAR(S2242))*14)+MONTH(S2242)+2,FALSE)))</f>
        <v>0</v>
      </c>
      <c r="W2242" s="178">
        <f t="shared" si="209"/>
        <v>0</v>
      </c>
      <c r="X2242" s="481">
        <f t="shared" si="205"/>
        <v>0</v>
      </c>
      <c r="Y2242" s="179"/>
      <c r="Z2242" s="466">
        <f t="shared" si="206"/>
        <v>0</v>
      </c>
      <c r="AA2242" s="473">
        <f t="shared" si="207"/>
        <v>0</v>
      </c>
      <c r="AB2242" s="339">
        <f t="shared" si="208"/>
        <v>0</v>
      </c>
    </row>
    <row r="2243" spans="2:28" ht="20.100000000000001" customHeight="1">
      <c r="B2243" s="172"/>
      <c r="C2243" s="174"/>
      <c r="D2243" s="181"/>
      <c r="E2243" s="173"/>
      <c r="F2243" s="176"/>
      <c r="G2243" s="175">
        <f t="shared" si="210"/>
        <v>0</v>
      </c>
      <c r="H2243" s="175">
        <f t="shared" si="203"/>
        <v>0</v>
      </c>
      <c r="I2243" s="177">
        <f>IF(G2243=0,0,IF(E2243="MXN",1/HLOOKUP(YEAR(C2243)+(MONTH(C2243)/100),TC!$5:$37,DAY(C2243)+2,FALSE),VLOOKUP(E2243,Equivalencia!$5:$23,((MAX(Equivalencia!$3:$3)-YEAR(C2243))*14)+MONTH(C2243)+2,FALSE)))</f>
        <v>0</v>
      </c>
      <c r="J2243" s="178">
        <f t="shared" si="211"/>
        <v>0</v>
      </c>
      <c r="K2243" s="462">
        <f>IF(C2243=0,0,VLOOKUP(YEAR(C2243),INPC!$B$4:$O$29,MONTH(C2243)+1))</f>
        <v>0</v>
      </c>
      <c r="L2243" s="462">
        <f>IF(S2243=0,0,VLOOKUP(YEAR(S2243),INPC!$B$4:$O$29,MONTH(S2243)+1))</f>
        <v>0</v>
      </c>
      <c r="M2243" s="463">
        <f t="shared" si="204"/>
        <v>0</v>
      </c>
      <c r="N2243" s="465">
        <f t="shared" si="212"/>
        <v>0</v>
      </c>
      <c r="O2243" s="179"/>
      <c r="P2243" s="180"/>
      <c r="Q2243" s="173"/>
      <c r="R2243" s="173"/>
      <c r="S2243" s="174"/>
      <c r="T2243" s="173"/>
      <c r="U2243" s="182"/>
      <c r="V2243" s="177">
        <f>IF(U2243=0,0,IF(T2243="MXN",1/HLOOKUP(YEAR(S2243)+(MONTH(S2243)/100),TC!$5:$37,DAY(S2243)+2,FALSE),VLOOKUP(T2243,Equivalencia!$1:$23,((MAX(Equivalencia!$3:$3)-YEAR(S2243))*14)+MONTH(S2243)+2,FALSE)))</f>
        <v>0</v>
      </c>
      <c r="W2243" s="178">
        <f t="shared" si="209"/>
        <v>0</v>
      </c>
      <c r="X2243" s="481">
        <f t="shared" si="205"/>
        <v>0</v>
      </c>
      <c r="Y2243" s="179"/>
      <c r="Z2243" s="466">
        <f t="shared" si="206"/>
        <v>0</v>
      </c>
      <c r="AA2243" s="473">
        <f t="shared" si="207"/>
        <v>0</v>
      </c>
      <c r="AB2243" s="339">
        <f t="shared" si="208"/>
        <v>0</v>
      </c>
    </row>
    <row r="2244" spans="2:28" ht="20.100000000000001" customHeight="1">
      <c r="B2244" s="172"/>
      <c r="C2244" s="174"/>
      <c r="D2244" s="181"/>
      <c r="E2244" s="173"/>
      <c r="F2244" s="176"/>
      <c r="G2244" s="175">
        <f t="shared" si="210"/>
        <v>0</v>
      </c>
      <c r="H2244" s="175">
        <f t="shared" si="203"/>
        <v>0</v>
      </c>
      <c r="I2244" s="177">
        <f>IF(G2244=0,0,IF(E2244="MXN",1/HLOOKUP(YEAR(C2244)+(MONTH(C2244)/100),TC!$5:$37,DAY(C2244)+2,FALSE),VLOOKUP(E2244,Equivalencia!$5:$23,((MAX(Equivalencia!$3:$3)-YEAR(C2244))*14)+MONTH(C2244)+2,FALSE)))</f>
        <v>0</v>
      </c>
      <c r="J2244" s="178">
        <f t="shared" si="211"/>
        <v>0</v>
      </c>
      <c r="K2244" s="462">
        <f>IF(C2244=0,0,VLOOKUP(YEAR(C2244),INPC!$B$4:$O$29,MONTH(C2244)+1))</f>
        <v>0</v>
      </c>
      <c r="L2244" s="462">
        <f>IF(S2244=0,0,VLOOKUP(YEAR(S2244),INPC!$B$4:$O$29,MONTH(S2244)+1))</f>
        <v>0</v>
      </c>
      <c r="M2244" s="463">
        <f t="shared" si="204"/>
        <v>0</v>
      </c>
      <c r="N2244" s="465">
        <f t="shared" si="212"/>
        <v>0</v>
      </c>
      <c r="O2244" s="179"/>
      <c r="P2244" s="180"/>
      <c r="Q2244" s="173"/>
      <c r="R2244" s="173"/>
      <c r="S2244" s="174"/>
      <c r="T2244" s="173"/>
      <c r="U2244" s="182"/>
      <c r="V2244" s="177">
        <f>IF(U2244=0,0,IF(T2244="MXN",1/HLOOKUP(YEAR(S2244)+(MONTH(S2244)/100),TC!$5:$37,DAY(S2244)+2,FALSE),VLOOKUP(T2244,Equivalencia!$1:$23,((MAX(Equivalencia!$3:$3)-YEAR(S2244))*14)+MONTH(S2244)+2,FALSE)))</f>
        <v>0</v>
      </c>
      <c r="W2244" s="178">
        <f t="shared" si="209"/>
        <v>0</v>
      </c>
      <c r="X2244" s="481">
        <f t="shared" si="205"/>
        <v>0</v>
      </c>
      <c r="Y2244" s="179"/>
      <c r="Z2244" s="466">
        <f t="shared" si="206"/>
        <v>0</v>
      </c>
      <c r="AA2244" s="473">
        <f t="shared" si="207"/>
        <v>0</v>
      </c>
      <c r="AB2244" s="339">
        <f t="shared" si="208"/>
        <v>0</v>
      </c>
    </row>
    <row r="2245" spans="2:28" ht="20.100000000000001" customHeight="1">
      <c r="B2245" s="172"/>
      <c r="C2245" s="174"/>
      <c r="D2245" s="181"/>
      <c r="E2245" s="173"/>
      <c r="F2245" s="176"/>
      <c r="G2245" s="175">
        <f t="shared" si="210"/>
        <v>0</v>
      </c>
      <c r="H2245" s="175">
        <f t="shared" si="203"/>
        <v>0</v>
      </c>
      <c r="I2245" s="177">
        <f>IF(G2245=0,0,IF(E2245="MXN",1/HLOOKUP(YEAR(C2245)+(MONTH(C2245)/100),TC!$5:$37,DAY(C2245)+2,FALSE),VLOOKUP(E2245,Equivalencia!$5:$23,((MAX(Equivalencia!$3:$3)-YEAR(C2245))*14)+MONTH(C2245)+2,FALSE)))</f>
        <v>0</v>
      </c>
      <c r="J2245" s="178">
        <f t="shared" si="211"/>
        <v>0</v>
      </c>
      <c r="K2245" s="462">
        <f>IF(C2245=0,0,VLOOKUP(YEAR(C2245),INPC!$B$4:$O$29,MONTH(C2245)+1))</f>
        <v>0</v>
      </c>
      <c r="L2245" s="462">
        <f>IF(S2245=0,0,VLOOKUP(YEAR(S2245),INPC!$B$4:$O$29,MONTH(S2245)+1))</f>
        <v>0</v>
      </c>
      <c r="M2245" s="463">
        <f t="shared" si="204"/>
        <v>0</v>
      </c>
      <c r="N2245" s="465">
        <f t="shared" si="212"/>
        <v>0</v>
      </c>
      <c r="O2245" s="179"/>
      <c r="P2245" s="180"/>
      <c r="Q2245" s="173"/>
      <c r="R2245" s="173"/>
      <c r="S2245" s="174"/>
      <c r="T2245" s="173"/>
      <c r="U2245" s="182"/>
      <c r="V2245" s="177">
        <f>IF(U2245=0,0,IF(T2245="MXN",1/HLOOKUP(YEAR(S2245)+(MONTH(S2245)/100),TC!$5:$37,DAY(S2245)+2,FALSE),VLOOKUP(T2245,Equivalencia!$1:$23,((MAX(Equivalencia!$3:$3)-YEAR(S2245))*14)+MONTH(S2245)+2,FALSE)))</f>
        <v>0</v>
      </c>
      <c r="W2245" s="178">
        <f t="shared" si="209"/>
        <v>0</v>
      </c>
      <c r="X2245" s="481">
        <f t="shared" si="205"/>
        <v>0</v>
      </c>
      <c r="Y2245" s="179"/>
      <c r="Z2245" s="466">
        <f t="shared" si="206"/>
        <v>0</v>
      </c>
      <c r="AA2245" s="473">
        <f t="shared" si="207"/>
        <v>0</v>
      </c>
      <c r="AB2245" s="339">
        <f t="shared" si="208"/>
        <v>0</v>
      </c>
    </row>
    <row r="2246" spans="2:28" ht="20.100000000000001" customHeight="1">
      <c r="B2246" s="172"/>
      <c r="C2246" s="174"/>
      <c r="D2246" s="181"/>
      <c r="E2246" s="173"/>
      <c r="F2246" s="176"/>
      <c r="G2246" s="175">
        <f t="shared" si="210"/>
        <v>0</v>
      </c>
      <c r="H2246" s="175">
        <f t="shared" si="203"/>
        <v>0</v>
      </c>
      <c r="I2246" s="177">
        <f>IF(G2246=0,0,IF(E2246="MXN",1/HLOOKUP(YEAR(C2246)+(MONTH(C2246)/100),TC!$5:$37,DAY(C2246)+2,FALSE),VLOOKUP(E2246,Equivalencia!$5:$23,((MAX(Equivalencia!$3:$3)-YEAR(C2246))*14)+MONTH(C2246)+2,FALSE)))</f>
        <v>0</v>
      </c>
      <c r="J2246" s="178">
        <f t="shared" si="211"/>
        <v>0</v>
      </c>
      <c r="K2246" s="462">
        <f>IF(C2246=0,0,VLOOKUP(YEAR(C2246),INPC!$B$4:$O$29,MONTH(C2246)+1))</f>
        <v>0</v>
      </c>
      <c r="L2246" s="462">
        <f>IF(S2246=0,0,VLOOKUP(YEAR(S2246),INPC!$B$4:$O$29,MONTH(S2246)+1))</f>
        <v>0</v>
      </c>
      <c r="M2246" s="463">
        <f t="shared" si="204"/>
        <v>0</v>
      </c>
      <c r="N2246" s="465">
        <f t="shared" si="212"/>
        <v>0</v>
      </c>
      <c r="O2246" s="179"/>
      <c r="P2246" s="180"/>
      <c r="Q2246" s="173"/>
      <c r="R2246" s="173"/>
      <c r="S2246" s="174"/>
      <c r="T2246" s="173"/>
      <c r="U2246" s="182"/>
      <c r="V2246" s="177">
        <f>IF(U2246=0,0,IF(T2246="MXN",1/HLOOKUP(YEAR(S2246)+(MONTH(S2246)/100),TC!$5:$37,DAY(S2246)+2,FALSE),VLOOKUP(T2246,Equivalencia!$1:$23,((MAX(Equivalencia!$3:$3)-YEAR(S2246))*14)+MONTH(S2246)+2,FALSE)))</f>
        <v>0</v>
      </c>
      <c r="W2246" s="178">
        <f t="shared" si="209"/>
        <v>0</v>
      </c>
      <c r="X2246" s="481">
        <f t="shared" si="205"/>
        <v>0</v>
      </c>
      <c r="Y2246" s="179"/>
      <c r="Z2246" s="466">
        <f t="shared" si="206"/>
        <v>0</v>
      </c>
      <c r="AA2246" s="473">
        <f t="shared" si="207"/>
        <v>0</v>
      </c>
      <c r="AB2246" s="339">
        <f t="shared" si="208"/>
        <v>0</v>
      </c>
    </row>
    <row r="2247" spans="2:28" ht="20.100000000000001" customHeight="1">
      <c r="B2247" s="172"/>
      <c r="C2247" s="174"/>
      <c r="D2247" s="181"/>
      <c r="E2247" s="173"/>
      <c r="F2247" s="176"/>
      <c r="G2247" s="175">
        <f t="shared" si="210"/>
        <v>0</v>
      </c>
      <c r="H2247" s="175">
        <f t="shared" si="203"/>
        <v>0</v>
      </c>
      <c r="I2247" s="177">
        <f>IF(G2247=0,0,IF(E2247="MXN",1/HLOOKUP(YEAR(C2247)+(MONTH(C2247)/100),TC!$5:$37,DAY(C2247)+2,FALSE),VLOOKUP(E2247,Equivalencia!$5:$23,((MAX(Equivalencia!$3:$3)-YEAR(C2247))*14)+MONTH(C2247)+2,FALSE)))</f>
        <v>0</v>
      </c>
      <c r="J2247" s="178">
        <f t="shared" si="211"/>
        <v>0</v>
      </c>
      <c r="K2247" s="462">
        <f>IF(C2247=0,0,VLOOKUP(YEAR(C2247),INPC!$B$4:$O$29,MONTH(C2247)+1))</f>
        <v>0</v>
      </c>
      <c r="L2247" s="462">
        <f>IF(S2247=0,0,VLOOKUP(YEAR(S2247),INPC!$B$4:$O$29,MONTH(S2247)+1))</f>
        <v>0</v>
      </c>
      <c r="M2247" s="463">
        <f t="shared" si="204"/>
        <v>0</v>
      </c>
      <c r="N2247" s="465">
        <f t="shared" si="212"/>
        <v>0</v>
      </c>
      <c r="O2247" s="179"/>
      <c r="P2247" s="180"/>
      <c r="Q2247" s="173"/>
      <c r="R2247" s="173"/>
      <c r="S2247" s="174"/>
      <c r="T2247" s="173"/>
      <c r="U2247" s="182"/>
      <c r="V2247" s="177">
        <f>IF(U2247=0,0,IF(T2247="MXN",1/HLOOKUP(YEAR(S2247)+(MONTH(S2247)/100),TC!$5:$37,DAY(S2247)+2,FALSE),VLOOKUP(T2247,Equivalencia!$1:$23,((MAX(Equivalencia!$3:$3)-YEAR(S2247))*14)+MONTH(S2247)+2,FALSE)))</f>
        <v>0</v>
      </c>
      <c r="W2247" s="178">
        <f t="shared" si="209"/>
        <v>0</v>
      </c>
      <c r="X2247" s="481">
        <f t="shared" si="205"/>
        <v>0</v>
      </c>
      <c r="Y2247" s="179"/>
      <c r="Z2247" s="466">
        <f t="shared" si="206"/>
        <v>0</v>
      </c>
      <c r="AA2247" s="473">
        <f t="shared" si="207"/>
        <v>0</v>
      </c>
      <c r="AB2247" s="339">
        <f t="shared" si="208"/>
        <v>0</v>
      </c>
    </row>
    <row r="2248" spans="2:28" ht="20.100000000000001" customHeight="1">
      <c r="B2248" s="172"/>
      <c r="C2248" s="174"/>
      <c r="D2248" s="181"/>
      <c r="E2248" s="173"/>
      <c r="F2248" s="176"/>
      <c r="G2248" s="175">
        <f t="shared" si="210"/>
        <v>0</v>
      </c>
      <c r="H2248" s="175">
        <f t="shared" si="203"/>
        <v>0</v>
      </c>
      <c r="I2248" s="177">
        <f>IF(G2248=0,0,IF(E2248="MXN",1/HLOOKUP(YEAR(C2248)+(MONTH(C2248)/100),TC!$5:$37,DAY(C2248)+2,FALSE),VLOOKUP(E2248,Equivalencia!$5:$23,((MAX(Equivalencia!$3:$3)-YEAR(C2248))*14)+MONTH(C2248)+2,FALSE)))</f>
        <v>0</v>
      </c>
      <c r="J2248" s="178">
        <f t="shared" si="211"/>
        <v>0</v>
      </c>
      <c r="K2248" s="462">
        <f>IF(C2248=0,0,VLOOKUP(YEAR(C2248),INPC!$B$4:$O$29,MONTH(C2248)+1))</f>
        <v>0</v>
      </c>
      <c r="L2248" s="462">
        <f>IF(S2248=0,0,VLOOKUP(YEAR(S2248),INPC!$B$4:$O$29,MONTH(S2248)+1))</f>
        <v>0</v>
      </c>
      <c r="M2248" s="463">
        <f t="shared" si="204"/>
        <v>0</v>
      </c>
      <c r="N2248" s="465">
        <f t="shared" si="212"/>
        <v>0</v>
      </c>
      <c r="O2248" s="179"/>
      <c r="P2248" s="180"/>
      <c r="Q2248" s="173"/>
      <c r="R2248" s="173"/>
      <c r="S2248" s="174"/>
      <c r="T2248" s="173"/>
      <c r="U2248" s="182"/>
      <c r="V2248" s="177">
        <f>IF(U2248=0,0,IF(T2248="MXN",1/HLOOKUP(YEAR(S2248)+(MONTH(S2248)/100),TC!$5:$37,DAY(S2248)+2,FALSE),VLOOKUP(T2248,Equivalencia!$1:$23,((MAX(Equivalencia!$3:$3)-YEAR(S2248))*14)+MONTH(S2248)+2,FALSE)))</f>
        <v>0</v>
      </c>
      <c r="W2248" s="178">
        <f t="shared" si="209"/>
        <v>0</v>
      </c>
      <c r="X2248" s="481">
        <f t="shared" si="205"/>
        <v>0</v>
      </c>
      <c r="Y2248" s="179"/>
      <c r="Z2248" s="466">
        <f t="shared" si="206"/>
        <v>0</v>
      </c>
      <c r="AA2248" s="473">
        <f t="shared" si="207"/>
        <v>0</v>
      </c>
      <c r="AB2248" s="339">
        <f t="shared" si="208"/>
        <v>0</v>
      </c>
    </row>
    <row r="2249" spans="2:28" ht="20.100000000000001" customHeight="1">
      <c r="B2249" s="172"/>
      <c r="C2249" s="174"/>
      <c r="D2249" s="181"/>
      <c r="E2249" s="173"/>
      <c r="F2249" s="176"/>
      <c r="G2249" s="175">
        <f t="shared" si="210"/>
        <v>0</v>
      </c>
      <c r="H2249" s="175">
        <f t="shared" si="203"/>
        <v>0</v>
      </c>
      <c r="I2249" s="177">
        <f>IF(G2249=0,0,IF(E2249="MXN",1/HLOOKUP(YEAR(C2249)+(MONTH(C2249)/100),TC!$5:$37,DAY(C2249)+2,FALSE),VLOOKUP(E2249,Equivalencia!$5:$23,((MAX(Equivalencia!$3:$3)-YEAR(C2249))*14)+MONTH(C2249)+2,FALSE)))</f>
        <v>0</v>
      </c>
      <c r="J2249" s="178">
        <f t="shared" si="211"/>
        <v>0</v>
      </c>
      <c r="K2249" s="462">
        <f>IF(C2249=0,0,VLOOKUP(YEAR(C2249),INPC!$B$4:$O$29,MONTH(C2249)+1))</f>
        <v>0</v>
      </c>
      <c r="L2249" s="462">
        <f>IF(S2249=0,0,VLOOKUP(YEAR(S2249),INPC!$B$4:$O$29,MONTH(S2249)+1))</f>
        <v>0</v>
      </c>
      <c r="M2249" s="463">
        <f t="shared" si="204"/>
        <v>0</v>
      </c>
      <c r="N2249" s="465">
        <f t="shared" si="212"/>
        <v>0</v>
      </c>
      <c r="O2249" s="179"/>
      <c r="P2249" s="180"/>
      <c r="Q2249" s="173"/>
      <c r="R2249" s="173"/>
      <c r="S2249" s="174"/>
      <c r="T2249" s="173"/>
      <c r="U2249" s="182"/>
      <c r="V2249" s="177">
        <f>IF(U2249=0,0,IF(T2249="MXN",1/HLOOKUP(YEAR(S2249)+(MONTH(S2249)/100),TC!$5:$37,DAY(S2249)+2,FALSE),VLOOKUP(T2249,Equivalencia!$1:$23,((MAX(Equivalencia!$3:$3)-YEAR(S2249))*14)+MONTH(S2249)+2,FALSE)))</f>
        <v>0</v>
      </c>
      <c r="W2249" s="178">
        <f t="shared" si="209"/>
        <v>0</v>
      </c>
      <c r="X2249" s="481">
        <f t="shared" si="205"/>
        <v>0</v>
      </c>
      <c r="Y2249" s="179"/>
      <c r="Z2249" s="466">
        <f t="shared" si="206"/>
        <v>0</v>
      </c>
      <c r="AA2249" s="473">
        <f t="shared" si="207"/>
        <v>0</v>
      </c>
      <c r="AB2249" s="339">
        <f t="shared" si="208"/>
        <v>0</v>
      </c>
    </row>
    <row r="2250" spans="2:28" ht="20.100000000000001" customHeight="1">
      <c r="B2250" s="172"/>
      <c r="C2250" s="174"/>
      <c r="D2250" s="181"/>
      <c r="E2250" s="173"/>
      <c r="F2250" s="176"/>
      <c r="G2250" s="175">
        <f t="shared" si="210"/>
        <v>0</v>
      </c>
      <c r="H2250" s="175">
        <f t="shared" si="203"/>
        <v>0</v>
      </c>
      <c r="I2250" s="177">
        <f>IF(G2250=0,0,IF(E2250="MXN",1/HLOOKUP(YEAR(C2250)+(MONTH(C2250)/100),TC!$5:$37,DAY(C2250)+2,FALSE),VLOOKUP(E2250,Equivalencia!$5:$23,((MAX(Equivalencia!$3:$3)-YEAR(C2250))*14)+MONTH(C2250)+2,FALSE)))</f>
        <v>0</v>
      </c>
      <c r="J2250" s="178">
        <f t="shared" si="211"/>
        <v>0</v>
      </c>
      <c r="K2250" s="462">
        <f>IF(C2250=0,0,VLOOKUP(YEAR(C2250),INPC!$B$4:$O$29,MONTH(C2250)+1))</f>
        <v>0</v>
      </c>
      <c r="L2250" s="462">
        <f>IF(S2250=0,0,VLOOKUP(YEAR(S2250),INPC!$B$4:$O$29,MONTH(S2250)+1))</f>
        <v>0</v>
      </c>
      <c r="M2250" s="463">
        <f t="shared" si="204"/>
        <v>0</v>
      </c>
      <c r="N2250" s="465">
        <f t="shared" si="212"/>
        <v>0</v>
      </c>
      <c r="O2250" s="179"/>
      <c r="P2250" s="180"/>
      <c r="Q2250" s="173"/>
      <c r="R2250" s="173"/>
      <c r="S2250" s="174"/>
      <c r="T2250" s="173"/>
      <c r="U2250" s="182"/>
      <c r="V2250" s="177">
        <f>IF(U2250=0,0,IF(T2250="MXN",1/HLOOKUP(YEAR(S2250)+(MONTH(S2250)/100),TC!$5:$37,DAY(S2250)+2,FALSE),VLOOKUP(T2250,Equivalencia!$1:$23,((MAX(Equivalencia!$3:$3)-YEAR(S2250))*14)+MONTH(S2250)+2,FALSE)))</f>
        <v>0</v>
      </c>
      <c r="W2250" s="178">
        <f t="shared" si="209"/>
        <v>0</v>
      </c>
      <c r="X2250" s="481">
        <f t="shared" si="205"/>
        <v>0</v>
      </c>
      <c r="Y2250" s="179"/>
      <c r="Z2250" s="466">
        <f t="shared" si="206"/>
        <v>0</v>
      </c>
      <c r="AA2250" s="473">
        <f t="shared" si="207"/>
        <v>0</v>
      </c>
      <c r="AB2250" s="339">
        <f t="shared" si="208"/>
        <v>0</v>
      </c>
    </row>
    <row r="2251" spans="2:28" ht="20.100000000000001" customHeight="1">
      <c r="B2251" s="172"/>
      <c r="C2251" s="174"/>
      <c r="D2251" s="181"/>
      <c r="E2251" s="173"/>
      <c r="F2251" s="176"/>
      <c r="G2251" s="175">
        <f t="shared" si="210"/>
        <v>0</v>
      </c>
      <c r="H2251" s="175">
        <f t="shared" si="203"/>
        <v>0</v>
      </c>
      <c r="I2251" s="177">
        <f>IF(G2251=0,0,IF(E2251="MXN",1/HLOOKUP(YEAR(C2251)+(MONTH(C2251)/100),TC!$5:$37,DAY(C2251)+2,FALSE),VLOOKUP(E2251,Equivalencia!$5:$23,((MAX(Equivalencia!$3:$3)-YEAR(C2251))*14)+MONTH(C2251)+2,FALSE)))</f>
        <v>0</v>
      </c>
      <c r="J2251" s="178">
        <f t="shared" si="211"/>
        <v>0</v>
      </c>
      <c r="K2251" s="462">
        <f>IF(C2251=0,0,VLOOKUP(YEAR(C2251),INPC!$B$4:$O$29,MONTH(C2251)+1))</f>
        <v>0</v>
      </c>
      <c r="L2251" s="462">
        <f>IF(S2251=0,0,VLOOKUP(YEAR(S2251),INPC!$B$4:$O$29,MONTH(S2251)+1))</f>
        <v>0</v>
      </c>
      <c r="M2251" s="463">
        <f t="shared" si="204"/>
        <v>0</v>
      </c>
      <c r="N2251" s="465">
        <f t="shared" si="212"/>
        <v>0</v>
      </c>
      <c r="O2251" s="179"/>
      <c r="P2251" s="180"/>
      <c r="Q2251" s="173"/>
      <c r="R2251" s="173"/>
      <c r="S2251" s="174"/>
      <c r="T2251" s="173"/>
      <c r="U2251" s="182"/>
      <c r="V2251" s="177">
        <f>IF(U2251=0,0,IF(T2251="MXN",1/HLOOKUP(YEAR(S2251)+(MONTH(S2251)/100),TC!$5:$37,DAY(S2251)+2,FALSE),VLOOKUP(T2251,Equivalencia!$1:$23,((MAX(Equivalencia!$3:$3)-YEAR(S2251))*14)+MONTH(S2251)+2,FALSE)))</f>
        <v>0</v>
      </c>
      <c r="W2251" s="178">
        <f t="shared" si="209"/>
        <v>0</v>
      </c>
      <c r="X2251" s="481">
        <f t="shared" si="205"/>
        <v>0</v>
      </c>
      <c r="Y2251" s="179"/>
      <c r="Z2251" s="466">
        <f t="shared" si="206"/>
        <v>0</v>
      </c>
      <c r="AA2251" s="473">
        <f t="shared" si="207"/>
        <v>0</v>
      </c>
      <c r="AB2251" s="339">
        <f t="shared" si="208"/>
        <v>0</v>
      </c>
    </row>
    <row r="2252" spans="2:28" ht="20.100000000000001" customHeight="1">
      <c r="B2252" s="172"/>
      <c r="C2252" s="174"/>
      <c r="D2252" s="181"/>
      <c r="E2252" s="173"/>
      <c r="F2252" s="176"/>
      <c r="G2252" s="175">
        <f t="shared" si="210"/>
        <v>0</v>
      </c>
      <c r="H2252" s="175">
        <f t="shared" si="203"/>
        <v>0</v>
      </c>
      <c r="I2252" s="177">
        <f>IF(G2252=0,0,IF(E2252="MXN",1/HLOOKUP(YEAR(C2252)+(MONTH(C2252)/100),TC!$5:$37,DAY(C2252)+2,FALSE),VLOOKUP(E2252,Equivalencia!$5:$23,((MAX(Equivalencia!$3:$3)-YEAR(C2252))*14)+MONTH(C2252)+2,FALSE)))</f>
        <v>0</v>
      </c>
      <c r="J2252" s="178">
        <f t="shared" si="211"/>
        <v>0</v>
      </c>
      <c r="K2252" s="462">
        <f>IF(C2252=0,0,VLOOKUP(YEAR(C2252),INPC!$B$4:$O$29,MONTH(C2252)+1))</f>
        <v>0</v>
      </c>
      <c r="L2252" s="462">
        <f>IF(S2252=0,0,VLOOKUP(YEAR(S2252),INPC!$B$4:$O$29,MONTH(S2252)+1))</f>
        <v>0</v>
      </c>
      <c r="M2252" s="463">
        <f t="shared" si="204"/>
        <v>0</v>
      </c>
      <c r="N2252" s="465">
        <f t="shared" si="212"/>
        <v>0</v>
      </c>
      <c r="O2252" s="179"/>
      <c r="P2252" s="180"/>
      <c r="Q2252" s="173"/>
      <c r="R2252" s="173"/>
      <c r="S2252" s="174"/>
      <c r="T2252" s="173"/>
      <c r="U2252" s="182"/>
      <c r="V2252" s="177">
        <f>IF(U2252=0,0,IF(T2252="MXN",1/HLOOKUP(YEAR(S2252)+(MONTH(S2252)/100),TC!$5:$37,DAY(S2252)+2,FALSE),VLOOKUP(T2252,Equivalencia!$1:$23,((MAX(Equivalencia!$3:$3)-YEAR(S2252))*14)+MONTH(S2252)+2,FALSE)))</f>
        <v>0</v>
      </c>
      <c r="W2252" s="178">
        <f t="shared" si="209"/>
        <v>0</v>
      </c>
      <c r="X2252" s="481">
        <f t="shared" si="205"/>
        <v>0</v>
      </c>
      <c r="Y2252" s="179"/>
      <c r="Z2252" s="466">
        <f t="shared" si="206"/>
        <v>0</v>
      </c>
      <c r="AA2252" s="473">
        <f t="shared" si="207"/>
        <v>0</v>
      </c>
      <c r="AB2252" s="339">
        <f t="shared" si="208"/>
        <v>0</v>
      </c>
    </row>
    <row r="2253" spans="2:28" ht="20.100000000000001" customHeight="1">
      <c r="B2253" s="172"/>
      <c r="C2253" s="174"/>
      <c r="D2253" s="181"/>
      <c r="E2253" s="173"/>
      <c r="F2253" s="176"/>
      <c r="G2253" s="175">
        <f t="shared" si="210"/>
        <v>0</v>
      </c>
      <c r="H2253" s="175">
        <f t="shared" si="203"/>
        <v>0</v>
      </c>
      <c r="I2253" s="177">
        <f>IF(G2253=0,0,IF(E2253="MXN",1/HLOOKUP(YEAR(C2253)+(MONTH(C2253)/100),TC!$5:$37,DAY(C2253)+2,FALSE),VLOOKUP(E2253,Equivalencia!$5:$23,((MAX(Equivalencia!$3:$3)-YEAR(C2253))*14)+MONTH(C2253)+2,FALSE)))</f>
        <v>0</v>
      </c>
      <c r="J2253" s="178">
        <f t="shared" si="211"/>
        <v>0</v>
      </c>
      <c r="K2253" s="462">
        <f>IF(C2253=0,0,VLOOKUP(YEAR(C2253),INPC!$B$4:$O$29,MONTH(C2253)+1))</f>
        <v>0</v>
      </c>
      <c r="L2253" s="462">
        <f>IF(S2253=0,0,VLOOKUP(YEAR(S2253),INPC!$B$4:$O$29,MONTH(S2253)+1))</f>
        <v>0</v>
      </c>
      <c r="M2253" s="463">
        <f t="shared" si="204"/>
        <v>0</v>
      </c>
      <c r="N2253" s="465">
        <f t="shared" si="212"/>
        <v>0</v>
      </c>
      <c r="O2253" s="179"/>
      <c r="P2253" s="180"/>
      <c r="Q2253" s="173"/>
      <c r="R2253" s="173"/>
      <c r="S2253" s="174"/>
      <c r="T2253" s="173"/>
      <c r="U2253" s="182"/>
      <c r="V2253" s="177">
        <f>IF(U2253=0,0,IF(T2253="MXN",1/HLOOKUP(YEAR(S2253)+(MONTH(S2253)/100),TC!$5:$37,DAY(S2253)+2,FALSE),VLOOKUP(T2253,Equivalencia!$1:$23,((MAX(Equivalencia!$3:$3)-YEAR(S2253))*14)+MONTH(S2253)+2,FALSE)))</f>
        <v>0</v>
      </c>
      <c r="W2253" s="178">
        <f t="shared" si="209"/>
        <v>0</v>
      </c>
      <c r="X2253" s="481">
        <f t="shared" si="205"/>
        <v>0</v>
      </c>
      <c r="Y2253" s="179"/>
      <c r="Z2253" s="466">
        <f t="shared" si="206"/>
        <v>0</v>
      </c>
      <c r="AA2253" s="473">
        <f t="shared" si="207"/>
        <v>0</v>
      </c>
      <c r="AB2253" s="339">
        <f t="shared" si="208"/>
        <v>0</v>
      </c>
    </row>
    <row r="2254" spans="2:28" ht="20.100000000000001" customHeight="1">
      <c r="B2254" s="172"/>
      <c r="C2254" s="174"/>
      <c r="D2254" s="181"/>
      <c r="E2254" s="173"/>
      <c r="F2254" s="176"/>
      <c r="G2254" s="175">
        <f t="shared" si="210"/>
        <v>0</v>
      </c>
      <c r="H2254" s="175">
        <f t="shared" si="203"/>
        <v>0</v>
      </c>
      <c r="I2254" s="177">
        <f>IF(G2254=0,0,IF(E2254="MXN",1/HLOOKUP(YEAR(C2254)+(MONTH(C2254)/100),TC!$5:$37,DAY(C2254)+2,FALSE),VLOOKUP(E2254,Equivalencia!$5:$23,((MAX(Equivalencia!$3:$3)-YEAR(C2254))*14)+MONTH(C2254)+2,FALSE)))</f>
        <v>0</v>
      </c>
      <c r="J2254" s="178">
        <f t="shared" si="211"/>
        <v>0</v>
      </c>
      <c r="K2254" s="462">
        <f>IF(C2254=0,0,VLOOKUP(YEAR(C2254),INPC!$B$4:$O$29,MONTH(C2254)+1))</f>
        <v>0</v>
      </c>
      <c r="L2254" s="462">
        <f>IF(S2254=0,0,VLOOKUP(YEAR(S2254),INPC!$B$4:$O$29,MONTH(S2254)+1))</f>
        <v>0</v>
      </c>
      <c r="M2254" s="463">
        <f t="shared" si="204"/>
        <v>0</v>
      </c>
      <c r="N2254" s="465">
        <f t="shared" si="212"/>
        <v>0</v>
      </c>
      <c r="O2254" s="179"/>
      <c r="P2254" s="180"/>
      <c r="Q2254" s="173"/>
      <c r="R2254" s="173"/>
      <c r="S2254" s="174"/>
      <c r="T2254" s="173"/>
      <c r="U2254" s="182"/>
      <c r="V2254" s="177">
        <f>IF(U2254=0,0,IF(T2254="MXN",1/HLOOKUP(YEAR(S2254)+(MONTH(S2254)/100),TC!$5:$37,DAY(S2254)+2,FALSE),VLOOKUP(T2254,Equivalencia!$1:$23,((MAX(Equivalencia!$3:$3)-YEAR(S2254))*14)+MONTH(S2254)+2,FALSE)))</f>
        <v>0</v>
      </c>
      <c r="W2254" s="178">
        <f t="shared" si="209"/>
        <v>0</v>
      </c>
      <c r="X2254" s="481">
        <f t="shared" si="205"/>
        <v>0</v>
      </c>
      <c r="Y2254" s="179"/>
      <c r="Z2254" s="466">
        <f t="shared" si="206"/>
        <v>0</v>
      </c>
      <c r="AA2254" s="473">
        <f t="shared" si="207"/>
        <v>0</v>
      </c>
      <c r="AB2254" s="339">
        <f t="shared" si="208"/>
        <v>0</v>
      </c>
    </row>
    <row r="2255" spans="2:28" ht="20.100000000000001" customHeight="1">
      <c r="B2255" s="172"/>
      <c r="C2255" s="174"/>
      <c r="D2255" s="181"/>
      <c r="E2255" s="173"/>
      <c r="F2255" s="176"/>
      <c r="G2255" s="175">
        <f t="shared" si="210"/>
        <v>0</v>
      </c>
      <c r="H2255" s="175">
        <f t="shared" si="203"/>
        <v>0</v>
      </c>
      <c r="I2255" s="177">
        <f>IF(G2255=0,0,IF(E2255="MXN",1/HLOOKUP(YEAR(C2255)+(MONTH(C2255)/100),TC!$5:$37,DAY(C2255)+2,FALSE),VLOOKUP(E2255,Equivalencia!$5:$23,((MAX(Equivalencia!$3:$3)-YEAR(C2255))*14)+MONTH(C2255)+2,FALSE)))</f>
        <v>0</v>
      </c>
      <c r="J2255" s="178">
        <f t="shared" si="211"/>
        <v>0</v>
      </c>
      <c r="K2255" s="462">
        <f>IF(C2255=0,0,VLOOKUP(YEAR(C2255),INPC!$B$4:$O$29,MONTH(C2255)+1))</f>
        <v>0</v>
      </c>
      <c r="L2255" s="462">
        <f>IF(S2255=0,0,VLOOKUP(YEAR(S2255),INPC!$B$4:$O$29,MONTH(S2255)+1))</f>
        <v>0</v>
      </c>
      <c r="M2255" s="463">
        <f t="shared" si="204"/>
        <v>0</v>
      </c>
      <c r="N2255" s="465">
        <f t="shared" si="212"/>
        <v>0</v>
      </c>
      <c r="O2255" s="179"/>
      <c r="P2255" s="180"/>
      <c r="Q2255" s="173"/>
      <c r="R2255" s="173"/>
      <c r="S2255" s="174"/>
      <c r="T2255" s="173"/>
      <c r="U2255" s="182"/>
      <c r="V2255" s="177">
        <f>IF(U2255=0,0,IF(T2255="MXN",1/HLOOKUP(YEAR(S2255)+(MONTH(S2255)/100),TC!$5:$37,DAY(S2255)+2,FALSE),VLOOKUP(T2255,Equivalencia!$1:$23,((MAX(Equivalencia!$3:$3)-YEAR(S2255))*14)+MONTH(S2255)+2,FALSE)))</f>
        <v>0</v>
      </c>
      <c r="W2255" s="178">
        <f t="shared" si="209"/>
        <v>0</v>
      </c>
      <c r="X2255" s="481">
        <f t="shared" si="205"/>
        <v>0</v>
      </c>
      <c r="Y2255" s="179"/>
      <c r="Z2255" s="466">
        <f t="shared" si="206"/>
        <v>0</v>
      </c>
      <c r="AA2255" s="473">
        <f t="shared" si="207"/>
        <v>0</v>
      </c>
      <c r="AB2255" s="339">
        <f t="shared" si="208"/>
        <v>0</v>
      </c>
    </row>
    <row r="2256" spans="2:28" ht="20.100000000000001" customHeight="1">
      <c r="B2256" s="172"/>
      <c r="C2256" s="174"/>
      <c r="D2256" s="181"/>
      <c r="E2256" s="173"/>
      <c r="F2256" s="176"/>
      <c r="G2256" s="175">
        <f t="shared" si="210"/>
        <v>0</v>
      </c>
      <c r="H2256" s="175">
        <f t="shared" si="203"/>
        <v>0</v>
      </c>
      <c r="I2256" s="177">
        <f>IF(G2256=0,0,IF(E2256="MXN",1/HLOOKUP(YEAR(C2256)+(MONTH(C2256)/100),TC!$5:$37,DAY(C2256)+2,FALSE),VLOOKUP(E2256,Equivalencia!$5:$23,((MAX(Equivalencia!$3:$3)-YEAR(C2256))*14)+MONTH(C2256)+2,FALSE)))</f>
        <v>0</v>
      </c>
      <c r="J2256" s="178">
        <f t="shared" si="211"/>
        <v>0</v>
      </c>
      <c r="K2256" s="462">
        <f>IF(C2256=0,0,VLOOKUP(YEAR(C2256),INPC!$B$4:$O$29,MONTH(C2256)+1))</f>
        <v>0</v>
      </c>
      <c r="L2256" s="462">
        <f>IF(S2256=0,0,VLOOKUP(YEAR(S2256),INPC!$B$4:$O$29,MONTH(S2256)+1))</f>
        <v>0</v>
      </c>
      <c r="M2256" s="463">
        <f t="shared" si="204"/>
        <v>0</v>
      </c>
      <c r="N2256" s="465">
        <f t="shared" si="212"/>
        <v>0</v>
      </c>
      <c r="O2256" s="179"/>
      <c r="P2256" s="180"/>
      <c r="Q2256" s="173"/>
      <c r="R2256" s="173"/>
      <c r="S2256" s="174"/>
      <c r="T2256" s="173"/>
      <c r="U2256" s="182"/>
      <c r="V2256" s="177">
        <f>IF(U2256=0,0,IF(T2256="MXN",1/HLOOKUP(YEAR(S2256)+(MONTH(S2256)/100),TC!$5:$37,DAY(S2256)+2,FALSE),VLOOKUP(T2256,Equivalencia!$1:$23,((MAX(Equivalencia!$3:$3)-YEAR(S2256))*14)+MONTH(S2256)+2,FALSE)))</f>
        <v>0</v>
      </c>
      <c r="W2256" s="178">
        <f t="shared" si="209"/>
        <v>0</v>
      </c>
      <c r="X2256" s="481">
        <f t="shared" si="205"/>
        <v>0</v>
      </c>
      <c r="Y2256" s="179"/>
      <c r="Z2256" s="466">
        <f t="shared" si="206"/>
        <v>0</v>
      </c>
      <c r="AA2256" s="473">
        <f t="shared" si="207"/>
        <v>0</v>
      </c>
      <c r="AB2256" s="339">
        <f t="shared" si="208"/>
        <v>0</v>
      </c>
    </row>
    <row r="2257" spans="2:28" ht="20.100000000000001" customHeight="1">
      <c r="B2257" s="172"/>
      <c r="C2257" s="174"/>
      <c r="D2257" s="181"/>
      <c r="E2257" s="173"/>
      <c r="F2257" s="176"/>
      <c r="G2257" s="175">
        <f t="shared" si="210"/>
        <v>0</v>
      </c>
      <c r="H2257" s="175">
        <f t="shared" si="203"/>
        <v>0</v>
      </c>
      <c r="I2257" s="177">
        <f>IF(G2257=0,0,IF(E2257="MXN",1/HLOOKUP(YEAR(C2257)+(MONTH(C2257)/100),TC!$5:$37,DAY(C2257)+2,FALSE),VLOOKUP(E2257,Equivalencia!$5:$23,((MAX(Equivalencia!$3:$3)-YEAR(C2257))*14)+MONTH(C2257)+2,FALSE)))</f>
        <v>0</v>
      </c>
      <c r="J2257" s="178">
        <f t="shared" si="211"/>
        <v>0</v>
      </c>
      <c r="K2257" s="462">
        <f>IF(C2257=0,0,VLOOKUP(YEAR(C2257),INPC!$B$4:$O$29,MONTH(C2257)+1))</f>
        <v>0</v>
      </c>
      <c r="L2257" s="462">
        <f>IF(S2257=0,0,VLOOKUP(YEAR(S2257),INPC!$B$4:$O$29,MONTH(S2257)+1))</f>
        <v>0</v>
      </c>
      <c r="M2257" s="463">
        <f t="shared" si="204"/>
        <v>0</v>
      </c>
      <c r="N2257" s="465">
        <f t="shared" si="212"/>
        <v>0</v>
      </c>
      <c r="O2257" s="179"/>
      <c r="P2257" s="180"/>
      <c r="Q2257" s="173"/>
      <c r="R2257" s="173"/>
      <c r="S2257" s="174"/>
      <c r="T2257" s="173"/>
      <c r="U2257" s="182"/>
      <c r="V2257" s="177">
        <f>IF(U2257=0,0,IF(T2257="MXN",1/HLOOKUP(YEAR(S2257)+(MONTH(S2257)/100),TC!$5:$37,DAY(S2257)+2,FALSE),VLOOKUP(T2257,Equivalencia!$1:$23,((MAX(Equivalencia!$3:$3)-YEAR(S2257))*14)+MONTH(S2257)+2,FALSE)))</f>
        <v>0</v>
      </c>
      <c r="W2257" s="178">
        <f t="shared" si="209"/>
        <v>0</v>
      </c>
      <c r="X2257" s="481">
        <f t="shared" si="205"/>
        <v>0</v>
      </c>
      <c r="Y2257" s="179"/>
      <c r="Z2257" s="466">
        <f t="shared" si="206"/>
        <v>0</v>
      </c>
      <c r="AA2257" s="473">
        <f t="shared" si="207"/>
        <v>0</v>
      </c>
      <c r="AB2257" s="339">
        <f t="shared" si="208"/>
        <v>0</v>
      </c>
    </row>
    <row r="2258" spans="2:28" ht="20.100000000000001" customHeight="1">
      <c r="B2258" s="172"/>
      <c r="C2258" s="174"/>
      <c r="D2258" s="181"/>
      <c r="E2258" s="173"/>
      <c r="F2258" s="176"/>
      <c r="G2258" s="175">
        <f t="shared" si="210"/>
        <v>0</v>
      </c>
      <c r="H2258" s="175">
        <f t="shared" si="203"/>
        <v>0</v>
      </c>
      <c r="I2258" s="177">
        <f>IF(G2258=0,0,IF(E2258="MXN",1/HLOOKUP(YEAR(C2258)+(MONTH(C2258)/100),TC!$5:$37,DAY(C2258)+2,FALSE),VLOOKUP(E2258,Equivalencia!$5:$23,((MAX(Equivalencia!$3:$3)-YEAR(C2258))*14)+MONTH(C2258)+2,FALSE)))</f>
        <v>0</v>
      </c>
      <c r="J2258" s="178">
        <f t="shared" si="211"/>
        <v>0</v>
      </c>
      <c r="K2258" s="462">
        <f>IF(C2258=0,0,VLOOKUP(YEAR(C2258),INPC!$B$4:$O$29,MONTH(C2258)+1))</f>
        <v>0</v>
      </c>
      <c r="L2258" s="462">
        <f>IF(S2258=0,0,VLOOKUP(YEAR(S2258),INPC!$B$4:$O$29,MONTH(S2258)+1))</f>
        <v>0</v>
      </c>
      <c r="M2258" s="463">
        <f t="shared" si="204"/>
        <v>0</v>
      </c>
      <c r="N2258" s="465">
        <f t="shared" si="212"/>
        <v>0</v>
      </c>
      <c r="O2258" s="179"/>
      <c r="P2258" s="180"/>
      <c r="Q2258" s="173"/>
      <c r="R2258" s="173"/>
      <c r="S2258" s="174"/>
      <c r="T2258" s="173"/>
      <c r="U2258" s="182"/>
      <c r="V2258" s="177">
        <f>IF(U2258=0,0,IF(T2258="MXN",1/HLOOKUP(YEAR(S2258)+(MONTH(S2258)/100),TC!$5:$37,DAY(S2258)+2,FALSE),VLOOKUP(T2258,Equivalencia!$1:$23,((MAX(Equivalencia!$3:$3)-YEAR(S2258))*14)+MONTH(S2258)+2,FALSE)))</f>
        <v>0</v>
      </c>
      <c r="W2258" s="178">
        <f t="shared" si="209"/>
        <v>0</v>
      </c>
      <c r="X2258" s="481">
        <f t="shared" si="205"/>
        <v>0</v>
      </c>
      <c r="Y2258" s="179"/>
      <c r="Z2258" s="466">
        <f t="shared" si="206"/>
        <v>0</v>
      </c>
      <c r="AA2258" s="473">
        <f t="shared" si="207"/>
        <v>0</v>
      </c>
      <c r="AB2258" s="339">
        <f t="shared" si="208"/>
        <v>0</v>
      </c>
    </row>
    <row r="2259" spans="2:28" ht="20.100000000000001" customHeight="1">
      <c r="B2259" s="172"/>
      <c r="C2259" s="174"/>
      <c r="D2259" s="181"/>
      <c r="E2259" s="173"/>
      <c r="F2259" s="176"/>
      <c r="G2259" s="175">
        <f t="shared" si="210"/>
        <v>0</v>
      </c>
      <c r="H2259" s="175">
        <f t="shared" si="203"/>
        <v>0</v>
      </c>
      <c r="I2259" s="177">
        <f>IF(G2259=0,0,IF(E2259="MXN",1/HLOOKUP(YEAR(C2259)+(MONTH(C2259)/100),TC!$5:$37,DAY(C2259)+2,FALSE),VLOOKUP(E2259,Equivalencia!$5:$23,((MAX(Equivalencia!$3:$3)-YEAR(C2259))*14)+MONTH(C2259)+2,FALSE)))</f>
        <v>0</v>
      </c>
      <c r="J2259" s="178">
        <f t="shared" si="211"/>
        <v>0</v>
      </c>
      <c r="K2259" s="462">
        <f>IF(C2259=0,0,VLOOKUP(YEAR(C2259),INPC!$B$4:$O$29,MONTH(C2259)+1))</f>
        <v>0</v>
      </c>
      <c r="L2259" s="462">
        <f>IF(S2259=0,0,VLOOKUP(YEAR(S2259),INPC!$B$4:$O$29,MONTH(S2259)+1))</f>
        <v>0</v>
      </c>
      <c r="M2259" s="463">
        <f t="shared" si="204"/>
        <v>0</v>
      </c>
      <c r="N2259" s="465">
        <f t="shared" si="212"/>
        <v>0</v>
      </c>
      <c r="O2259" s="179"/>
      <c r="P2259" s="180"/>
      <c r="Q2259" s="173"/>
      <c r="R2259" s="173"/>
      <c r="S2259" s="174"/>
      <c r="T2259" s="173"/>
      <c r="U2259" s="182"/>
      <c r="V2259" s="177">
        <f>IF(U2259=0,0,IF(T2259="MXN",1/HLOOKUP(YEAR(S2259)+(MONTH(S2259)/100),TC!$5:$37,DAY(S2259)+2,FALSE),VLOOKUP(T2259,Equivalencia!$1:$23,((MAX(Equivalencia!$3:$3)-YEAR(S2259))*14)+MONTH(S2259)+2,FALSE)))</f>
        <v>0</v>
      </c>
      <c r="W2259" s="178">
        <f t="shared" si="209"/>
        <v>0</v>
      </c>
      <c r="X2259" s="481">
        <f t="shared" si="205"/>
        <v>0</v>
      </c>
      <c r="Y2259" s="179"/>
      <c r="Z2259" s="466">
        <f t="shared" si="206"/>
        <v>0</v>
      </c>
      <c r="AA2259" s="473">
        <f t="shared" si="207"/>
        <v>0</v>
      </c>
      <c r="AB2259" s="339">
        <f t="shared" si="208"/>
        <v>0</v>
      </c>
    </row>
    <row r="2260" spans="2:28" ht="20.100000000000001" customHeight="1">
      <c r="B2260" s="172"/>
      <c r="C2260" s="174"/>
      <c r="D2260" s="181"/>
      <c r="E2260" s="173"/>
      <c r="F2260" s="176"/>
      <c r="G2260" s="175">
        <f t="shared" si="210"/>
        <v>0</v>
      </c>
      <c r="H2260" s="175">
        <f t="shared" si="203"/>
        <v>0</v>
      </c>
      <c r="I2260" s="177">
        <f>IF(G2260=0,0,IF(E2260="MXN",1/HLOOKUP(YEAR(C2260)+(MONTH(C2260)/100),TC!$5:$37,DAY(C2260)+2,FALSE),VLOOKUP(E2260,Equivalencia!$5:$23,((MAX(Equivalencia!$3:$3)-YEAR(C2260))*14)+MONTH(C2260)+2,FALSE)))</f>
        <v>0</v>
      </c>
      <c r="J2260" s="178">
        <f t="shared" si="211"/>
        <v>0</v>
      </c>
      <c r="K2260" s="462">
        <f>IF(C2260=0,0,VLOOKUP(YEAR(C2260),INPC!$B$4:$O$29,MONTH(C2260)+1))</f>
        <v>0</v>
      </c>
      <c r="L2260" s="462">
        <f>IF(S2260=0,0,VLOOKUP(YEAR(S2260),INPC!$B$4:$O$29,MONTH(S2260)+1))</f>
        <v>0</v>
      </c>
      <c r="M2260" s="463">
        <f t="shared" si="204"/>
        <v>0</v>
      </c>
      <c r="N2260" s="465">
        <f t="shared" si="212"/>
        <v>0</v>
      </c>
      <c r="O2260" s="179"/>
      <c r="P2260" s="180"/>
      <c r="Q2260" s="173"/>
      <c r="R2260" s="173"/>
      <c r="S2260" s="174"/>
      <c r="T2260" s="173"/>
      <c r="U2260" s="182"/>
      <c r="V2260" s="177">
        <f>IF(U2260=0,0,IF(T2260="MXN",1/HLOOKUP(YEAR(S2260)+(MONTH(S2260)/100),TC!$5:$37,DAY(S2260)+2,FALSE),VLOOKUP(T2260,Equivalencia!$1:$23,((MAX(Equivalencia!$3:$3)-YEAR(S2260))*14)+MONTH(S2260)+2,FALSE)))</f>
        <v>0</v>
      </c>
      <c r="W2260" s="178">
        <f t="shared" si="209"/>
        <v>0</v>
      </c>
      <c r="X2260" s="481">
        <f t="shared" si="205"/>
        <v>0</v>
      </c>
      <c r="Y2260" s="179"/>
      <c r="Z2260" s="466">
        <f t="shared" si="206"/>
        <v>0</v>
      </c>
      <c r="AA2260" s="473">
        <f t="shared" si="207"/>
        <v>0</v>
      </c>
      <c r="AB2260" s="339">
        <f t="shared" si="208"/>
        <v>0</v>
      </c>
    </row>
    <row r="2261" spans="2:28" ht="20.100000000000001" customHeight="1">
      <c r="B2261" s="172"/>
      <c r="C2261" s="174"/>
      <c r="D2261" s="181"/>
      <c r="E2261" s="173"/>
      <c r="F2261" s="176"/>
      <c r="G2261" s="175">
        <f t="shared" si="210"/>
        <v>0</v>
      </c>
      <c r="H2261" s="175">
        <f t="shared" si="203"/>
        <v>0</v>
      </c>
      <c r="I2261" s="177">
        <f>IF(G2261=0,0,IF(E2261="MXN",1/HLOOKUP(YEAR(C2261)+(MONTH(C2261)/100),TC!$5:$37,DAY(C2261)+2,FALSE),VLOOKUP(E2261,Equivalencia!$5:$23,((MAX(Equivalencia!$3:$3)-YEAR(C2261))*14)+MONTH(C2261)+2,FALSE)))</f>
        <v>0</v>
      </c>
      <c r="J2261" s="178">
        <f t="shared" si="211"/>
        <v>0</v>
      </c>
      <c r="K2261" s="462">
        <f>IF(C2261=0,0,VLOOKUP(YEAR(C2261),INPC!$B$4:$O$29,MONTH(C2261)+1))</f>
        <v>0</v>
      </c>
      <c r="L2261" s="462">
        <f>IF(S2261=0,0,VLOOKUP(YEAR(S2261),INPC!$B$4:$O$29,MONTH(S2261)+1))</f>
        <v>0</v>
      </c>
      <c r="M2261" s="463">
        <f t="shared" si="204"/>
        <v>0</v>
      </c>
      <c r="N2261" s="465">
        <f t="shared" si="212"/>
        <v>0</v>
      </c>
      <c r="O2261" s="179"/>
      <c r="P2261" s="180"/>
      <c r="Q2261" s="173"/>
      <c r="R2261" s="173"/>
      <c r="S2261" s="174"/>
      <c r="T2261" s="173"/>
      <c r="U2261" s="182"/>
      <c r="V2261" s="177">
        <f>IF(U2261=0,0,IF(T2261="MXN",1/HLOOKUP(YEAR(S2261)+(MONTH(S2261)/100),TC!$5:$37,DAY(S2261)+2,FALSE),VLOOKUP(T2261,Equivalencia!$1:$23,((MAX(Equivalencia!$3:$3)-YEAR(S2261))*14)+MONTH(S2261)+2,FALSE)))</f>
        <v>0</v>
      </c>
      <c r="W2261" s="178">
        <f t="shared" si="209"/>
        <v>0</v>
      </c>
      <c r="X2261" s="481">
        <f t="shared" si="205"/>
        <v>0</v>
      </c>
      <c r="Y2261" s="179"/>
      <c r="Z2261" s="466">
        <f t="shared" si="206"/>
        <v>0</v>
      </c>
      <c r="AA2261" s="473">
        <f t="shared" si="207"/>
        <v>0</v>
      </c>
      <c r="AB2261" s="339">
        <f t="shared" si="208"/>
        <v>0</v>
      </c>
    </row>
    <row r="2262" spans="2:28" ht="20.100000000000001" customHeight="1">
      <c r="B2262" s="172"/>
      <c r="C2262" s="174"/>
      <c r="D2262" s="181"/>
      <c r="E2262" s="173"/>
      <c r="F2262" s="176"/>
      <c r="G2262" s="175">
        <f t="shared" si="210"/>
        <v>0</v>
      </c>
      <c r="H2262" s="175">
        <f t="shared" si="203"/>
        <v>0</v>
      </c>
      <c r="I2262" s="177">
        <f>IF(G2262=0,0,IF(E2262="MXN",1/HLOOKUP(YEAR(C2262)+(MONTH(C2262)/100),TC!$5:$37,DAY(C2262)+2,FALSE),VLOOKUP(E2262,Equivalencia!$5:$23,((MAX(Equivalencia!$3:$3)-YEAR(C2262))*14)+MONTH(C2262)+2,FALSE)))</f>
        <v>0</v>
      </c>
      <c r="J2262" s="178">
        <f t="shared" si="211"/>
        <v>0</v>
      </c>
      <c r="K2262" s="462">
        <f>IF(C2262=0,0,VLOOKUP(YEAR(C2262),INPC!$B$4:$O$29,MONTH(C2262)+1))</f>
        <v>0</v>
      </c>
      <c r="L2262" s="462">
        <f>IF(S2262=0,0,VLOOKUP(YEAR(S2262),INPC!$B$4:$O$29,MONTH(S2262)+1))</f>
        <v>0</v>
      </c>
      <c r="M2262" s="463">
        <f t="shared" si="204"/>
        <v>0</v>
      </c>
      <c r="N2262" s="465">
        <f t="shared" si="212"/>
        <v>0</v>
      </c>
      <c r="O2262" s="179"/>
      <c r="P2262" s="180"/>
      <c r="Q2262" s="173"/>
      <c r="R2262" s="173"/>
      <c r="S2262" s="174"/>
      <c r="T2262" s="173"/>
      <c r="U2262" s="182"/>
      <c r="V2262" s="177">
        <f>IF(U2262=0,0,IF(T2262="MXN",1/HLOOKUP(YEAR(S2262)+(MONTH(S2262)/100),TC!$5:$37,DAY(S2262)+2,FALSE),VLOOKUP(T2262,Equivalencia!$1:$23,((MAX(Equivalencia!$3:$3)-YEAR(S2262))*14)+MONTH(S2262)+2,FALSE)))</f>
        <v>0</v>
      </c>
      <c r="W2262" s="178">
        <f t="shared" si="209"/>
        <v>0</v>
      </c>
      <c r="X2262" s="481">
        <f t="shared" si="205"/>
        <v>0</v>
      </c>
      <c r="Y2262" s="179"/>
      <c r="Z2262" s="466">
        <f t="shared" si="206"/>
        <v>0</v>
      </c>
      <c r="AA2262" s="473">
        <f t="shared" si="207"/>
        <v>0</v>
      </c>
      <c r="AB2262" s="339">
        <f t="shared" si="208"/>
        <v>0</v>
      </c>
    </row>
    <row r="2263" spans="2:28" ht="20.100000000000001" customHeight="1">
      <c r="B2263" s="172"/>
      <c r="C2263" s="174"/>
      <c r="D2263" s="181"/>
      <c r="E2263" s="173"/>
      <c r="F2263" s="176"/>
      <c r="G2263" s="175">
        <f t="shared" si="210"/>
        <v>0</v>
      </c>
      <c r="H2263" s="175">
        <f t="shared" si="203"/>
        <v>0</v>
      </c>
      <c r="I2263" s="177">
        <f>IF(G2263=0,0,IF(E2263="MXN",1/HLOOKUP(YEAR(C2263)+(MONTH(C2263)/100),TC!$5:$37,DAY(C2263)+2,FALSE),VLOOKUP(E2263,Equivalencia!$5:$23,((MAX(Equivalencia!$3:$3)-YEAR(C2263))*14)+MONTH(C2263)+2,FALSE)))</f>
        <v>0</v>
      </c>
      <c r="J2263" s="178">
        <f t="shared" si="211"/>
        <v>0</v>
      </c>
      <c r="K2263" s="462">
        <f>IF(C2263=0,0,VLOOKUP(YEAR(C2263),INPC!$B$4:$O$29,MONTH(C2263)+1))</f>
        <v>0</v>
      </c>
      <c r="L2263" s="462">
        <f>IF(S2263=0,0,VLOOKUP(YEAR(S2263),INPC!$B$4:$O$29,MONTH(S2263)+1))</f>
        <v>0</v>
      </c>
      <c r="M2263" s="463">
        <f t="shared" si="204"/>
        <v>0</v>
      </c>
      <c r="N2263" s="465">
        <f t="shared" si="212"/>
        <v>0</v>
      </c>
      <c r="O2263" s="179"/>
      <c r="P2263" s="180"/>
      <c r="Q2263" s="173"/>
      <c r="R2263" s="173"/>
      <c r="S2263" s="174"/>
      <c r="T2263" s="173"/>
      <c r="U2263" s="182"/>
      <c r="V2263" s="177">
        <f>IF(U2263=0,0,IF(T2263="MXN",1/HLOOKUP(YEAR(S2263)+(MONTH(S2263)/100),TC!$5:$37,DAY(S2263)+2,FALSE),VLOOKUP(T2263,Equivalencia!$1:$23,((MAX(Equivalencia!$3:$3)-YEAR(S2263))*14)+MONTH(S2263)+2,FALSE)))</f>
        <v>0</v>
      </c>
      <c r="W2263" s="178">
        <f t="shared" si="209"/>
        <v>0</v>
      </c>
      <c r="X2263" s="481">
        <f t="shared" si="205"/>
        <v>0</v>
      </c>
      <c r="Y2263" s="179"/>
      <c r="Z2263" s="466">
        <f t="shared" si="206"/>
        <v>0</v>
      </c>
      <c r="AA2263" s="473">
        <f t="shared" si="207"/>
        <v>0</v>
      </c>
      <c r="AB2263" s="339">
        <f t="shared" si="208"/>
        <v>0</v>
      </c>
    </row>
    <row r="2264" spans="2:28" ht="20.100000000000001" customHeight="1">
      <c r="B2264" s="172"/>
      <c r="C2264" s="174"/>
      <c r="D2264" s="181"/>
      <c r="E2264" s="173"/>
      <c r="F2264" s="176"/>
      <c r="G2264" s="175">
        <f t="shared" si="210"/>
        <v>0</v>
      </c>
      <c r="H2264" s="175">
        <f t="shared" si="203"/>
        <v>0</v>
      </c>
      <c r="I2264" s="177">
        <f>IF(G2264=0,0,IF(E2264="MXN",1/HLOOKUP(YEAR(C2264)+(MONTH(C2264)/100),TC!$5:$37,DAY(C2264)+2,FALSE),VLOOKUP(E2264,Equivalencia!$5:$23,((MAX(Equivalencia!$3:$3)-YEAR(C2264))*14)+MONTH(C2264)+2,FALSE)))</f>
        <v>0</v>
      </c>
      <c r="J2264" s="178">
        <f t="shared" si="211"/>
        <v>0</v>
      </c>
      <c r="K2264" s="462">
        <f>IF(C2264=0,0,VLOOKUP(YEAR(C2264),INPC!$B$4:$O$29,MONTH(C2264)+1))</f>
        <v>0</v>
      </c>
      <c r="L2264" s="462">
        <f>IF(S2264=0,0,VLOOKUP(YEAR(S2264),INPC!$B$4:$O$29,MONTH(S2264)+1))</f>
        <v>0</v>
      </c>
      <c r="M2264" s="463">
        <f t="shared" si="204"/>
        <v>0</v>
      </c>
      <c r="N2264" s="465">
        <f t="shared" si="212"/>
        <v>0</v>
      </c>
      <c r="O2264" s="179"/>
      <c r="P2264" s="180"/>
      <c r="Q2264" s="173"/>
      <c r="R2264" s="173"/>
      <c r="S2264" s="174"/>
      <c r="T2264" s="173"/>
      <c r="U2264" s="182"/>
      <c r="V2264" s="177">
        <f>IF(U2264=0,0,IF(T2264="MXN",1/HLOOKUP(YEAR(S2264)+(MONTH(S2264)/100),TC!$5:$37,DAY(S2264)+2,FALSE),VLOOKUP(T2264,Equivalencia!$1:$23,((MAX(Equivalencia!$3:$3)-YEAR(S2264))*14)+MONTH(S2264)+2,FALSE)))</f>
        <v>0</v>
      </c>
      <c r="W2264" s="178">
        <f t="shared" si="209"/>
        <v>0</v>
      </c>
      <c r="X2264" s="481">
        <f t="shared" si="205"/>
        <v>0</v>
      </c>
      <c r="Y2264" s="179"/>
      <c r="Z2264" s="466">
        <f t="shared" si="206"/>
        <v>0</v>
      </c>
      <c r="AA2264" s="473">
        <f t="shared" si="207"/>
        <v>0</v>
      </c>
      <c r="AB2264" s="339">
        <f t="shared" si="208"/>
        <v>0</v>
      </c>
    </row>
    <row r="2265" spans="2:28" ht="20.100000000000001" customHeight="1">
      <c r="B2265" s="172"/>
      <c r="C2265" s="174"/>
      <c r="D2265" s="181"/>
      <c r="E2265" s="173"/>
      <c r="F2265" s="176"/>
      <c r="G2265" s="175">
        <f t="shared" si="210"/>
        <v>0</v>
      </c>
      <c r="H2265" s="175">
        <f t="shared" si="203"/>
        <v>0</v>
      </c>
      <c r="I2265" s="177">
        <f>IF(G2265=0,0,IF(E2265="MXN",1/HLOOKUP(YEAR(C2265)+(MONTH(C2265)/100),TC!$5:$37,DAY(C2265)+2,FALSE),VLOOKUP(E2265,Equivalencia!$5:$23,((MAX(Equivalencia!$3:$3)-YEAR(C2265))*14)+MONTH(C2265)+2,FALSE)))</f>
        <v>0</v>
      </c>
      <c r="J2265" s="178">
        <f t="shared" si="211"/>
        <v>0</v>
      </c>
      <c r="K2265" s="462">
        <f>IF(C2265=0,0,VLOOKUP(YEAR(C2265),INPC!$B$4:$O$29,MONTH(C2265)+1))</f>
        <v>0</v>
      </c>
      <c r="L2265" s="462">
        <f>IF(S2265=0,0,VLOOKUP(YEAR(S2265),INPC!$B$4:$O$29,MONTH(S2265)+1))</f>
        <v>0</v>
      </c>
      <c r="M2265" s="463">
        <f t="shared" si="204"/>
        <v>0</v>
      </c>
      <c r="N2265" s="465">
        <f t="shared" si="212"/>
        <v>0</v>
      </c>
      <c r="O2265" s="179"/>
      <c r="P2265" s="180"/>
      <c r="Q2265" s="173"/>
      <c r="R2265" s="173"/>
      <c r="S2265" s="174"/>
      <c r="T2265" s="173"/>
      <c r="U2265" s="182"/>
      <c r="V2265" s="177">
        <f>IF(U2265=0,0,IF(T2265="MXN",1/HLOOKUP(YEAR(S2265)+(MONTH(S2265)/100),TC!$5:$37,DAY(S2265)+2,FALSE),VLOOKUP(T2265,Equivalencia!$1:$23,((MAX(Equivalencia!$3:$3)-YEAR(S2265))*14)+MONTH(S2265)+2,FALSE)))</f>
        <v>0</v>
      </c>
      <c r="W2265" s="178">
        <f t="shared" si="209"/>
        <v>0</v>
      </c>
      <c r="X2265" s="481">
        <f t="shared" si="205"/>
        <v>0</v>
      </c>
      <c r="Y2265" s="179"/>
      <c r="Z2265" s="466">
        <f t="shared" si="206"/>
        <v>0</v>
      </c>
      <c r="AA2265" s="473">
        <f t="shared" si="207"/>
        <v>0</v>
      </c>
      <c r="AB2265" s="339">
        <f t="shared" si="208"/>
        <v>0</v>
      </c>
    </row>
    <row r="2266" spans="2:28" ht="20.100000000000001" customHeight="1">
      <c r="B2266" s="172"/>
      <c r="C2266" s="174"/>
      <c r="D2266" s="181"/>
      <c r="E2266" s="173"/>
      <c r="F2266" s="176"/>
      <c r="G2266" s="175">
        <f t="shared" si="210"/>
        <v>0</v>
      </c>
      <c r="H2266" s="175">
        <f t="shared" si="203"/>
        <v>0</v>
      </c>
      <c r="I2266" s="177">
        <f>IF(G2266=0,0,IF(E2266="MXN",1/HLOOKUP(YEAR(C2266)+(MONTH(C2266)/100),TC!$5:$37,DAY(C2266)+2,FALSE),VLOOKUP(E2266,Equivalencia!$5:$23,((MAX(Equivalencia!$3:$3)-YEAR(C2266))*14)+MONTH(C2266)+2,FALSE)))</f>
        <v>0</v>
      </c>
      <c r="J2266" s="178">
        <f t="shared" si="211"/>
        <v>0</v>
      </c>
      <c r="K2266" s="462">
        <f>IF(C2266=0,0,VLOOKUP(YEAR(C2266),INPC!$B$4:$O$29,MONTH(C2266)+1))</f>
        <v>0</v>
      </c>
      <c r="L2266" s="462">
        <f>IF(S2266=0,0,VLOOKUP(YEAR(S2266),INPC!$B$4:$O$29,MONTH(S2266)+1))</f>
        <v>0</v>
      </c>
      <c r="M2266" s="463">
        <f t="shared" si="204"/>
        <v>0</v>
      </c>
      <c r="N2266" s="465">
        <f t="shared" si="212"/>
        <v>0</v>
      </c>
      <c r="O2266" s="179"/>
      <c r="P2266" s="180"/>
      <c r="Q2266" s="173"/>
      <c r="R2266" s="173"/>
      <c r="S2266" s="174"/>
      <c r="T2266" s="173"/>
      <c r="U2266" s="182"/>
      <c r="V2266" s="177">
        <f>IF(U2266=0,0,IF(T2266="MXN",1/HLOOKUP(YEAR(S2266)+(MONTH(S2266)/100),TC!$5:$37,DAY(S2266)+2,FALSE),VLOOKUP(T2266,Equivalencia!$1:$23,((MAX(Equivalencia!$3:$3)-YEAR(S2266))*14)+MONTH(S2266)+2,FALSE)))</f>
        <v>0</v>
      </c>
      <c r="W2266" s="178">
        <f t="shared" si="209"/>
        <v>0</v>
      </c>
      <c r="X2266" s="481">
        <f t="shared" si="205"/>
        <v>0</v>
      </c>
      <c r="Y2266" s="179"/>
      <c r="Z2266" s="466">
        <f t="shared" si="206"/>
        <v>0</v>
      </c>
      <c r="AA2266" s="473">
        <f t="shared" si="207"/>
        <v>0</v>
      </c>
      <c r="AB2266" s="339">
        <f t="shared" si="208"/>
        <v>0</v>
      </c>
    </row>
    <row r="2267" spans="2:28" ht="20.100000000000001" customHeight="1">
      <c r="B2267" s="172"/>
      <c r="C2267" s="174"/>
      <c r="D2267" s="181"/>
      <c r="E2267" s="173"/>
      <c r="F2267" s="176"/>
      <c r="G2267" s="175">
        <f t="shared" si="210"/>
        <v>0</v>
      </c>
      <c r="H2267" s="175">
        <f t="shared" si="203"/>
        <v>0</v>
      </c>
      <c r="I2267" s="177">
        <f>IF(G2267=0,0,IF(E2267="MXN",1/HLOOKUP(YEAR(C2267)+(MONTH(C2267)/100),TC!$5:$37,DAY(C2267)+2,FALSE),VLOOKUP(E2267,Equivalencia!$5:$23,((MAX(Equivalencia!$3:$3)-YEAR(C2267))*14)+MONTH(C2267)+2,FALSE)))</f>
        <v>0</v>
      </c>
      <c r="J2267" s="178">
        <f t="shared" si="211"/>
        <v>0</v>
      </c>
      <c r="K2267" s="462">
        <f>IF(C2267=0,0,VLOOKUP(YEAR(C2267),INPC!$B$4:$O$29,MONTH(C2267)+1))</f>
        <v>0</v>
      </c>
      <c r="L2267" s="462">
        <f>IF(S2267=0,0,VLOOKUP(YEAR(S2267),INPC!$B$4:$O$29,MONTH(S2267)+1))</f>
        <v>0</v>
      </c>
      <c r="M2267" s="463">
        <f t="shared" si="204"/>
        <v>0</v>
      </c>
      <c r="N2267" s="465">
        <f t="shared" si="212"/>
        <v>0</v>
      </c>
      <c r="O2267" s="179"/>
      <c r="P2267" s="180"/>
      <c r="Q2267" s="173"/>
      <c r="R2267" s="173"/>
      <c r="S2267" s="174"/>
      <c r="T2267" s="173"/>
      <c r="U2267" s="182"/>
      <c r="V2267" s="177">
        <f>IF(U2267=0,0,IF(T2267="MXN",1/HLOOKUP(YEAR(S2267)+(MONTH(S2267)/100),TC!$5:$37,DAY(S2267)+2,FALSE),VLOOKUP(T2267,Equivalencia!$1:$23,((MAX(Equivalencia!$3:$3)-YEAR(S2267))*14)+MONTH(S2267)+2,FALSE)))</f>
        <v>0</v>
      </c>
      <c r="W2267" s="178">
        <f t="shared" si="209"/>
        <v>0</v>
      </c>
      <c r="X2267" s="481">
        <f t="shared" si="205"/>
        <v>0</v>
      </c>
      <c r="Y2267" s="179"/>
      <c r="Z2267" s="466">
        <f t="shared" si="206"/>
        <v>0</v>
      </c>
      <c r="AA2267" s="473">
        <f t="shared" si="207"/>
        <v>0</v>
      </c>
      <c r="AB2267" s="339">
        <f t="shared" si="208"/>
        <v>0</v>
      </c>
    </row>
    <row r="2268" spans="2:28" ht="20.100000000000001" customHeight="1">
      <c r="B2268" s="172"/>
      <c r="C2268" s="174"/>
      <c r="D2268" s="181"/>
      <c r="E2268" s="173"/>
      <c r="F2268" s="176"/>
      <c r="G2268" s="175">
        <f t="shared" si="210"/>
        <v>0</v>
      </c>
      <c r="H2268" s="175">
        <f t="shared" si="203"/>
        <v>0</v>
      </c>
      <c r="I2268" s="177">
        <f>IF(G2268=0,0,IF(E2268="MXN",1/HLOOKUP(YEAR(C2268)+(MONTH(C2268)/100),TC!$5:$37,DAY(C2268)+2,FALSE),VLOOKUP(E2268,Equivalencia!$5:$23,((MAX(Equivalencia!$3:$3)-YEAR(C2268))*14)+MONTH(C2268)+2,FALSE)))</f>
        <v>0</v>
      </c>
      <c r="J2268" s="178">
        <f t="shared" si="211"/>
        <v>0</v>
      </c>
      <c r="K2268" s="462">
        <f>IF(C2268=0,0,VLOOKUP(YEAR(C2268),INPC!$B$4:$O$29,MONTH(C2268)+1))</f>
        <v>0</v>
      </c>
      <c r="L2268" s="462">
        <f>IF(S2268=0,0,VLOOKUP(YEAR(S2268),INPC!$B$4:$O$29,MONTH(S2268)+1))</f>
        <v>0</v>
      </c>
      <c r="M2268" s="463">
        <f t="shared" si="204"/>
        <v>0</v>
      </c>
      <c r="N2268" s="465">
        <f t="shared" si="212"/>
        <v>0</v>
      </c>
      <c r="O2268" s="179"/>
      <c r="P2268" s="180"/>
      <c r="Q2268" s="173"/>
      <c r="R2268" s="173"/>
      <c r="S2268" s="174"/>
      <c r="T2268" s="173"/>
      <c r="U2268" s="182"/>
      <c r="V2268" s="177">
        <f>IF(U2268=0,0,IF(T2268="MXN",1/HLOOKUP(YEAR(S2268)+(MONTH(S2268)/100),TC!$5:$37,DAY(S2268)+2,FALSE),VLOOKUP(T2268,Equivalencia!$1:$23,((MAX(Equivalencia!$3:$3)-YEAR(S2268))*14)+MONTH(S2268)+2,FALSE)))</f>
        <v>0</v>
      </c>
      <c r="W2268" s="178">
        <f t="shared" si="209"/>
        <v>0</v>
      </c>
      <c r="X2268" s="481">
        <f t="shared" si="205"/>
        <v>0</v>
      </c>
      <c r="Y2268" s="179"/>
      <c r="Z2268" s="466">
        <f t="shared" si="206"/>
        <v>0</v>
      </c>
      <c r="AA2268" s="473">
        <f t="shared" si="207"/>
        <v>0</v>
      </c>
      <c r="AB2268" s="339">
        <f t="shared" si="208"/>
        <v>0</v>
      </c>
    </row>
    <row r="2269" spans="2:28" ht="20.100000000000001" customHeight="1">
      <c r="B2269" s="172"/>
      <c r="C2269" s="174"/>
      <c r="D2269" s="181"/>
      <c r="E2269" s="173"/>
      <c r="F2269" s="176"/>
      <c r="G2269" s="175">
        <f t="shared" si="210"/>
        <v>0</v>
      </c>
      <c r="H2269" s="175">
        <f t="shared" si="203"/>
        <v>0</v>
      </c>
      <c r="I2269" s="177">
        <f>IF(G2269=0,0,IF(E2269="MXN",1/HLOOKUP(YEAR(C2269)+(MONTH(C2269)/100),TC!$5:$37,DAY(C2269)+2,FALSE),VLOOKUP(E2269,Equivalencia!$5:$23,((MAX(Equivalencia!$3:$3)-YEAR(C2269))*14)+MONTH(C2269)+2,FALSE)))</f>
        <v>0</v>
      </c>
      <c r="J2269" s="178">
        <f t="shared" si="211"/>
        <v>0</v>
      </c>
      <c r="K2269" s="462">
        <f>IF(C2269=0,0,VLOOKUP(YEAR(C2269),INPC!$B$4:$O$29,MONTH(C2269)+1))</f>
        <v>0</v>
      </c>
      <c r="L2269" s="462">
        <f>IF(S2269=0,0,VLOOKUP(YEAR(S2269),INPC!$B$4:$O$29,MONTH(S2269)+1))</f>
        <v>0</v>
      </c>
      <c r="M2269" s="463">
        <f t="shared" si="204"/>
        <v>0</v>
      </c>
      <c r="N2269" s="465">
        <f t="shared" si="212"/>
        <v>0</v>
      </c>
      <c r="O2269" s="179"/>
      <c r="P2269" s="180"/>
      <c r="Q2269" s="173"/>
      <c r="R2269" s="173"/>
      <c r="S2269" s="174"/>
      <c r="T2269" s="173"/>
      <c r="U2269" s="182"/>
      <c r="V2269" s="177">
        <f>IF(U2269=0,0,IF(T2269="MXN",1/HLOOKUP(YEAR(S2269)+(MONTH(S2269)/100),TC!$5:$37,DAY(S2269)+2,FALSE),VLOOKUP(T2269,Equivalencia!$1:$23,((MAX(Equivalencia!$3:$3)-YEAR(S2269))*14)+MONTH(S2269)+2,FALSE)))</f>
        <v>0</v>
      </c>
      <c r="W2269" s="178">
        <f t="shared" si="209"/>
        <v>0</v>
      </c>
      <c r="X2269" s="481">
        <f t="shared" si="205"/>
        <v>0</v>
      </c>
      <c r="Y2269" s="179"/>
      <c r="Z2269" s="466">
        <f t="shared" si="206"/>
        <v>0</v>
      </c>
      <c r="AA2269" s="473">
        <f t="shared" si="207"/>
        <v>0</v>
      </c>
      <c r="AB2269" s="339">
        <f t="shared" si="208"/>
        <v>0</v>
      </c>
    </row>
    <row r="2270" spans="2:28" ht="20.100000000000001" customHeight="1">
      <c r="B2270" s="172"/>
      <c r="C2270" s="174"/>
      <c r="D2270" s="181"/>
      <c r="E2270" s="173"/>
      <c r="F2270" s="176"/>
      <c r="G2270" s="175">
        <f t="shared" si="210"/>
        <v>0</v>
      </c>
      <c r="H2270" s="175">
        <f t="shared" si="203"/>
        <v>0</v>
      </c>
      <c r="I2270" s="177">
        <f>IF(G2270=0,0,IF(E2270="MXN",1/HLOOKUP(YEAR(C2270)+(MONTH(C2270)/100),TC!$5:$37,DAY(C2270)+2,FALSE),VLOOKUP(E2270,Equivalencia!$5:$23,((MAX(Equivalencia!$3:$3)-YEAR(C2270))*14)+MONTH(C2270)+2,FALSE)))</f>
        <v>0</v>
      </c>
      <c r="J2270" s="178">
        <f t="shared" si="211"/>
        <v>0</v>
      </c>
      <c r="K2270" s="462">
        <f>IF(C2270=0,0,VLOOKUP(YEAR(C2270),INPC!$B$4:$O$29,MONTH(C2270)+1))</f>
        <v>0</v>
      </c>
      <c r="L2270" s="462">
        <f>IF(S2270=0,0,VLOOKUP(YEAR(S2270),INPC!$B$4:$O$29,MONTH(S2270)+1))</f>
        <v>0</v>
      </c>
      <c r="M2270" s="463">
        <f t="shared" si="204"/>
        <v>0</v>
      </c>
      <c r="N2270" s="465">
        <f t="shared" si="212"/>
        <v>0</v>
      </c>
      <c r="O2270" s="179"/>
      <c r="P2270" s="180"/>
      <c r="Q2270" s="173"/>
      <c r="R2270" s="173"/>
      <c r="S2270" s="174"/>
      <c r="T2270" s="173"/>
      <c r="U2270" s="182"/>
      <c r="V2270" s="177">
        <f>IF(U2270=0,0,IF(T2270="MXN",1/HLOOKUP(YEAR(S2270)+(MONTH(S2270)/100),TC!$5:$37,DAY(S2270)+2,FALSE),VLOOKUP(T2270,Equivalencia!$1:$23,((MAX(Equivalencia!$3:$3)-YEAR(S2270))*14)+MONTH(S2270)+2,FALSE)))</f>
        <v>0</v>
      </c>
      <c r="W2270" s="178">
        <f t="shared" si="209"/>
        <v>0</v>
      </c>
      <c r="X2270" s="481">
        <f t="shared" si="205"/>
        <v>0</v>
      </c>
      <c r="Y2270" s="179"/>
      <c r="Z2270" s="466">
        <f t="shared" si="206"/>
        <v>0</v>
      </c>
      <c r="AA2270" s="473">
        <f t="shared" si="207"/>
        <v>0</v>
      </c>
      <c r="AB2270" s="339">
        <f t="shared" si="208"/>
        <v>0</v>
      </c>
    </row>
    <row r="2271" spans="2:28" ht="20.100000000000001" customHeight="1">
      <c r="B2271" s="172"/>
      <c r="C2271" s="174"/>
      <c r="D2271" s="181"/>
      <c r="E2271" s="173"/>
      <c r="F2271" s="176"/>
      <c r="G2271" s="175">
        <f t="shared" si="210"/>
        <v>0</v>
      </c>
      <c r="H2271" s="175">
        <f t="shared" si="203"/>
        <v>0</v>
      </c>
      <c r="I2271" s="177">
        <f>IF(G2271=0,0,IF(E2271="MXN",1/HLOOKUP(YEAR(C2271)+(MONTH(C2271)/100),TC!$5:$37,DAY(C2271)+2,FALSE),VLOOKUP(E2271,Equivalencia!$5:$23,((MAX(Equivalencia!$3:$3)-YEAR(C2271))*14)+MONTH(C2271)+2,FALSE)))</f>
        <v>0</v>
      </c>
      <c r="J2271" s="178">
        <f t="shared" si="211"/>
        <v>0</v>
      </c>
      <c r="K2271" s="462">
        <f>IF(C2271=0,0,VLOOKUP(YEAR(C2271),INPC!$B$4:$O$29,MONTH(C2271)+1))</f>
        <v>0</v>
      </c>
      <c r="L2271" s="462">
        <f>IF(S2271=0,0,VLOOKUP(YEAR(S2271),INPC!$B$4:$O$29,MONTH(S2271)+1))</f>
        <v>0</v>
      </c>
      <c r="M2271" s="463">
        <f t="shared" si="204"/>
        <v>0</v>
      </c>
      <c r="N2271" s="465">
        <f t="shared" si="212"/>
        <v>0</v>
      </c>
      <c r="O2271" s="179"/>
      <c r="P2271" s="180"/>
      <c r="Q2271" s="173"/>
      <c r="R2271" s="173"/>
      <c r="S2271" s="174"/>
      <c r="T2271" s="173"/>
      <c r="U2271" s="182"/>
      <c r="V2271" s="177">
        <f>IF(U2271=0,0,IF(T2271="MXN",1/HLOOKUP(YEAR(S2271)+(MONTH(S2271)/100),TC!$5:$37,DAY(S2271)+2,FALSE),VLOOKUP(T2271,Equivalencia!$1:$23,((MAX(Equivalencia!$3:$3)-YEAR(S2271))*14)+MONTH(S2271)+2,FALSE)))</f>
        <v>0</v>
      </c>
      <c r="W2271" s="178">
        <f t="shared" si="209"/>
        <v>0</v>
      </c>
      <c r="X2271" s="481">
        <f t="shared" si="205"/>
        <v>0</v>
      </c>
      <c r="Y2271" s="179"/>
      <c r="Z2271" s="466">
        <f t="shared" si="206"/>
        <v>0</v>
      </c>
      <c r="AA2271" s="473">
        <f t="shared" si="207"/>
        <v>0</v>
      </c>
      <c r="AB2271" s="339">
        <f t="shared" si="208"/>
        <v>0</v>
      </c>
    </row>
    <row r="2272" spans="2:28" ht="20.100000000000001" customHeight="1">
      <c r="B2272" s="172"/>
      <c r="C2272" s="174"/>
      <c r="D2272" s="181"/>
      <c r="E2272" s="173"/>
      <c r="F2272" s="176"/>
      <c r="G2272" s="175">
        <f t="shared" si="210"/>
        <v>0</v>
      </c>
      <c r="H2272" s="175">
        <f t="shared" si="203"/>
        <v>0</v>
      </c>
      <c r="I2272" s="177">
        <f>IF(G2272=0,0,IF(E2272="MXN",1/HLOOKUP(YEAR(C2272)+(MONTH(C2272)/100),TC!$5:$37,DAY(C2272)+2,FALSE),VLOOKUP(E2272,Equivalencia!$5:$23,((MAX(Equivalencia!$3:$3)-YEAR(C2272))*14)+MONTH(C2272)+2,FALSE)))</f>
        <v>0</v>
      </c>
      <c r="J2272" s="178">
        <f t="shared" si="211"/>
        <v>0</v>
      </c>
      <c r="K2272" s="462">
        <f>IF(C2272=0,0,VLOOKUP(YEAR(C2272),INPC!$B$4:$O$29,MONTH(C2272)+1))</f>
        <v>0</v>
      </c>
      <c r="L2272" s="462">
        <f>IF(S2272=0,0,VLOOKUP(YEAR(S2272),INPC!$B$4:$O$29,MONTH(S2272)+1))</f>
        <v>0</v>
      </c>
      <c r="M2272" s="463">
        <f t="shared" si="204"/>
        <v>0</v>
      </c>
      <c r="N2272" s="465">
        <f t="shared" si="212"/>
        <v>0</v>
      </c>
      <c r="O2272" s="179"/>
      <c r="P2272" s="180"/>
      <c r="Q2272" s="173"/>
      <c r="R2272" s="173"/>
      <c r="S2272" s="174"/>
      <c r="T2272" s="173"/>
      <c r="U2272" s="182"/>
      <c r="V2272" s="177">
        <f>IF(U2272=0,0,IF(T2272="MXN",1/HLOOKUP(YEAR(S2272)+(MONTH(S2272)/100),TC!$5:$37,DAY(S2272)+2,FALSE),VLOOKUP(T2272,Equivalencia!$1:$23,((MAX(Equivalencia!$3:$3)-YEAR(S2272))*14)+MONTH(S2272)+2,FALSE)))</f>
        <v>0</v>
      </c>
      <c r="W2272" s="178">
        <f t="shared" si="209"/>
        <v>0</v>
      </c>
      <c r="X2272" s="481">
        <f t="shared" si="205"/>
        <v>0</v>
      </c>
      <c r="Y2272" s="179"/>
      <c r="Z2272" s="466">
        <f t="shared" si="206"/>
        <v>0</v>
      </c>
      <c r="AA2272" s="473">
        <f t="shared" si="207"/>
        <v>0</v>
      </c>
      <c r="AB2272" s="339">
        <f t="shared" si="208"/>
        <v>0</v>
      </c>
    </row>
    <row r="2273" spans="2:28" ht="20.100000000000001" customHeight="1">
      <c r="B2273" s="172"/>
      <c r="C2273" s="174"/>
      <c r="D2273" s="181"/>
      <c r="E2273" s="173"/>
      <c r="F2273" s="176"/>
      <c r="G2273" s="175">
        <f t="shared" si="210"/>
        <v>0</v>
      </c>
      <c r="H2273" s="175">
        <f t="shared" si="203"/>
        <v>0</v>
      </c>
      <c r="I2273" s="177">
        <f>IF(G2273=0,0,IF(E2273="MXN",1/HLOOKUP(YEAR(C2273)+(MONTH(C2273)/100),TC!$5:$37,DAY(C2273)+2,FALSE),VLOOKUP(E2273,Equivalencia!$5:$23,((MAX(Equivalencia!$3:$3)-YEAR(C2273))*14)+MONTH(C2273)+2,FALSE)))</f>
        <v>0</v>
      </c>
      <c r="J2273" s="178">
        <f t="shared" si="211"/>
        <v>0</v>
      </c>
      <c r="K2273" s="462">
        <f>IF(C2273=0,0,VLOOKUP(YEAR(C2273),INPC!$B$4:$O$29,MONTH(C2273)+1))</f>
        <v>0</v>
      </c>
      <c r="L2273" s="462">
        <f>IF(S2273=0,0,VLOOKUP(YEAR(S2273),INPC!$B$4:$O$29,MONTH(S2273)+1))</f>
        <v>0</v>
      </c>
      <c r="M2273" s="463">
        <f t="shared" si="204"/>
        <v>0</v>
      </c>
      <c r="N2273" s="465">
        <f t="shared" si="212"/>
        <v>0</v>
      </c>
      <c r="O2273" s="179"/>
      <c r="P2273" s="180"/>
      <c r="Q2273" s="173"/>
      <c r="R2273" s="173"/>
      <c r="S2273" s="174"/>
      <c r="T2273" s="173"/>
      <c r="U2273" s="182"/>
      <c r="V2273" s="177">
        <f>IF(U2273=0,0,IF(T2273="MXN",1/HLOOKUP(YEAR(S2273)+(MONTH(S2273)/100),TC!$5:$37,DAY(S2273)+2,FALSE),VLOOKUP(T2273,Equivalencia!$1:$23,((MAX(Equivalencia!$3:$3)-YEAR(S2273))*14)+MONTH(S2273)+2,FALSE)))</f>
        <v>0</v>
      </c>
      <c r="W2273" s="178">
        <f t="shared" si="209"/>
        <v>0</v>
      </c>
      <c r="X2273" s="481">
        <f t="shared" si="205"/>
        <v>0</v>
      </c>
      <c r="Y2273" s="179"/>
      <c r="Z2273" s="466">
        <f t="shared" si="206"/>
        <v>0</v>
      </c>
      <c r="AA2273" s="473">
        <f t="shared" si="207"/>
        <v>0</v>
      </c>
      <c r="AB2273" s="339">
        <f t="shared" si="208"/>
        <v>0</v>
      </c>
    </row>
    <row r="2274" spans="2:28" ht="20.100000000000001" customHeight="1">
      <c r="B2274" s="172"/>
      <c r="C2274" s="174"/>
      <c r="D2274" s="181"/>
      <c r="E2274" s="173"/>
      <c r="F2274" s="176"/>
      <c r="G2274" s="175">
        <f t="shared" si="210"/>
        <v>0</v>
      </c>
      <c r="H2274" s="175">
        <f t="shared" si="203"/>
        <v>0</v>
      </c>
      <c r="I2274" s="177">
        <f>IF(G2274=0,0,IF(E2274="MXN",1/HLOOKUP(YEAR(C2274)+(MONTH(C2274)/100),TC!$5:$37,DAY(C2274)+2,FALSE),VLOOKUP(E2274,Equivalencia!$5:$23,((MAX(Equivalencia!$3:$3)-YEAR(C2274))*14)+MONTH(C2274)+2,FALSE)))</f>
        <v>0</v>
      </c>
      <c r="J2274" s="178">
        <f t="shared" si="211"/>
        <v>0</v>
      </c>
      <c r="K2274" s="462">
        <f>IF(C2274=0,0,VLOOKUP(YEAR(C2274),INPC!$B$4:$O$29,MONTH(C2274)+1))</f>
        <v>0</v>
      </c>
      <c r="L2274" s="462">
        <f>IF(S2274=0,0,VLOOKUP(YEAR(S2274),INPC!$B$4:$O$29,MONTH(S2274)+1))</f>
        <v>0</v>
      </c>
      <c r="M2274" s="463">
        <f t="shared" si="204"/>
        <v>0</v>
      </c>
      <c r="N2274" s="465">
        <f t="shared" si="212"/>
        <v>0</v>
      </c>
      <c r="O2274" s="179"/>
      <c r="P2274" s="180"/>
      <c r="Q2274" s="173"/>
      <c r="R2274" s="173"/>
      <c r="S2274" s="174"/>
      <c r="T2274" s="173"/>
      <c r="U2274" s="182"/>
      <c r="V2274" s="177">
        <f>IF(U2274=0,0,IF(T2274="MXN",1/HLOOKUP(YEAR(S2274)+(MONTH(S2274)/100),TC!$5:$37,DAY(S2274)+2,FALSE),VLOOKUP(T2274,Equivalencia!$1:$23,((MAX(Equivalencia!$3:$3)-YEAR(S2274))*14)+MONTH(S2274)+2,FALSE)))</f>
        <v>0</v>
      </c>
      <c r="W2274" s="178">
        <f t="shared" si="209"/>
        <v>0</v>
      </c>
      <c r="X2274" s="481">
        <f t="shared" si="205"/>
        <v>0</v>
      </c>
      <c r="Y2274" s="179"/>
      <c r="Z2274" s="466">
        <f t="shared" si="206"/>
        <v>0</v>
      </c>
      <c r="AA2274" s="473">
        <f t="shared" si="207"/>
        <v>0</v>
      </c>
      <c r="AB2274" s="339">
        <f t="shared" si="208"/>
        <v>0</v>
      </c>
    </row>
    <row r="2275" spans="2:28" ht="20.100000000000001" customHeight="1">
      <c r="B2275" s="172"/>
      <c r="C2275" s="174"/>
      <c r="D2275" s="181"/>
      <c r="E2275" s="173"/>
      <c r="F2275" s="176"/>
      <c r="G2275" s="175">
        <f t="shared" si="210"/>
        <v>0</v>
      </c>
      <c r="H2275" s="175">
        <f t="shared" si="203"/>
        <v>0</v>
      </c>
      <c r="I2275" s="177">
        <f>IF(G2275=0,0,IF(E2275="MXN",1/HLOOKUP(YEAR(C2275)+(MONTH(C2275)/100),TC!$5:$37,DAY(C2275)+2,FALSE),VLOOKUP(E2275,Equivalencia!$5:$23,((MAX(Equivalencia!$3:$3)-YEAR(C2275))*14)+MONTH(C2275)+2,FALSE)))</f>
        <v>0</v>
      </c>
      <c r="J2275" s="178">
        <f t="shared" si="211"/>
        <v>0</v>
      </c>
      <c r="K2275" s="462">
        <f>IF(C2275=0,0,VLOOKUP(YEAR(C2275),INPC!$B$4:$O$29,MONTH(C2275)+1))</f>
        <v>0</v>
      </c>
      <c r="L2275" s="462">
        <f>IF(S2275=0,0,VLOOKUP(YEAR(S2275),INPC!$B$4:$O$29,MONTH(S2275)+1))</f>
        <v>0</v>
      </c>
      <c r="M2275" s="463">
        <f t="shared" si="204"/>
        <v>0</v>
      </c>
      <c r="N2275" s="465">
        <f t="shared" si="212"/>
        <v>0</v>
      </c>
      <c r="O2275" s="179"/>
      <c r="P2275" s="180"/>
      <c r="Q2275" s="173"/>
      <c r="R2275" s="173"/>
      <c r="S2275" s="174"/>
      <c r="T2275" s="173"/>
      <c r="U2275" s="182"/>
      <c r="V2275" s="177">
        <f>IF(U2275=0,0,IF(T2275="MXN",1/HLOOKUP(YEAR(S2275)+(MONTH(S2275)/100),TC!$5:$37,DAY(S2275)+2,FALSE),VLOOKUP(T2275,Equivalencia!$1:$23,((MAX(Equivalencia!$3:$3)-YEAR(S2275))*14)+MONTH(S2275)+2,FALSE)))</f>
        <v>0</v>
      </c>
      <c r="W2275" s="178">
        <f t="shared" si="209"/>
        <v>0</v>
      </c>
      <c r="X2275" s="481">
        <f t="shared" si="205"/>
        <v>0</v>
      </c>
      <c r="Y2275" s="179"/>
      <c r="Z2275" s="466">
        <f t="shared" si="206"/>
        <v>0</v>
      </c>
      <c r="AA2275" s="473">
        <f t="shared" si="207"/>
        <v>0</v>
      </c>
      <c r="AB2275" s="339">
        <f t="shared" si="208"/>
        <v>0</v>
      </c>
    </row>
    <row r="2276" spans="2:28" ht="20.100000000000001" customHeight="1">
      <c r="B2276" s="172"/>
      <c r="C2276" s="174"/>
      <c r="D2276" s="181"/>
      <c r="E2276" s="173"/>
      <c r="F2276" s="176"/>
      <c r="G2276" s="175">
        <f t="shared" si="210"/>
        <v>0</v>
      </c>
      <c r="H2276" s="175">
        <f t="shared" si="203"/>
        <v>0</v>
      </c>
      <c r="I2276" s="177">
        <f>IF(G2276=0,0,IF(E2276="MXN",1/HLOOKUP(YEAR(C2276)+(MONTH(C2276)/100),TC!$5:$37,DAY(C2276)+2,FALSE),VLOOKUP(E2276,Equivalencia!$5:$23,((MAX(Equivalencia!$3:$3)-YEAR(C2276))*14)+MONTH(C2276)+2,FALSE)))</f>
        <v>0</v>
      </c>
      <c r="J2276" s="178">
        <f t="shared" si="211"/>
        <v>0</v>
      </c>
      <c r="K2276" s="462">
        <f>IF(C2276=0,0,VLOOKUP(YEAR(C2276),INPC!$B$4:$O$29,MONTH(C2276)+1))</f>
        <v>0</v>
      </c>
      <c r="L2276" s="462">
        <f>IF(S2276=0,0,VLOOKUP(YEAR(S2276),INPC!$B$4:$O$29,MONTH(S2276)+1))</f>
        <v>0</v>
      </c>
      <c r="M2276" s="463">
        <f t="shared" si="204"/>
        <v>0</v>
      </c>
      <c r="N2276" s="465">
        <f t="shared" si="212"/>
        <v>0</v>
      </c>
      <c r="O2276" s="179"/>
      <c r="P2276" s="180"/>
      <c r="Q2276" s="173"/>
      <c r="R2276" s="173"/>
      <c r="S2276" s="174"/>
      <c r="T2276" s="173"/>
      <c r="U2276" s="182"/>
      <c r="V2276" s="177">
        <f>IF(U2276=0,0,IF(T2276="MXN",1/HLOOKUP(YEAR(S2276)+(MONTH(S2276)/100),TC!$5:$37,DAY(S2276)+2,FALSE),VLOOKUP(T2276,Equivalencia!$1:$23,((MAX(Equivalencia!$3:$3)-YEAR(S2276))*14)+MONTH(S2276)+2,FALSE)))</f>
        <v>0</v>
      </c>
      <c r="W2276" s="178">
        <f t="shared" si="209"/>
        <v>0</v>
      </c>
      <c r="X2276" s="481">
        <f t="shared" si="205"/>
        <v>0</v>
      </c>
      <c r="Y2276" s="179"/>
      <c r="Z2276" s="466">
        <f t="shared" si="206"/>
        <v>0</v>
      </c>
      <c r="AA2276" s="473">
        <f t="shared" si="207"/>
        <v>0</v>
      </c>
      <c r="AB2276" s="339">
        <f t="shared" si="208"/>
        <v>0</v>
      </c>
    </row>
    <row r="2277" spans="2:28" ht="20.100000000000001" customHeight="1">
      <c r="B2277" s="172"/>
      <c r="C2277" s="174"/>
      <c r="D2277" s="181"/>
      <c r="E2277" s="173"/>
      <c r="F2277" s="176"/>
      <c r="G2277" s="175">
        <f t="shared" si="210"/>
        <v>0</v>
      </c>
      <c r="H2277" s="175">
        <f t="shared" si="203"/>
        <v>0</v>
      </c>
      <c r="I2277" s="177">
        <f>IF(G2277=0,0,IF(E2277="MXN",1/HLOOKUP(YEAR(C2277)+(MONTH(C2277)/100),TC!$5:$37,DAY(C2277)+2,FALSE),VLOOKUP(E2277,Equivalencia!$5:$23,((MAX(Equivalencia!$3:$3)-YEAR(C2277))*14)+MONTH(C2277)+2,FALSE)))</f>
        <v>0</v>
      </c>
      <c r="J2277" s="178">
        <f t="shared" si="211"/>
        <v>0</v>
      </c>
      <c r="K2277" s="462">
        <f>IF(C2277=0,0,VLOOKUP(YEAR(C2277),INPC!$B$4:$O$29,MONTH(C2277)+1))</f>
        <v>0</v>
      </c>
      <c r="L2277" s="462">
        <f>IF(S2277=0,0,VLOOKUP(YEAR(S2277),INPC!$B$4:$O$29,MONTH(S2277)+1))</f>
        <v>0</v>
      </c>
      <c r="M2277" s="463">
        <f t="shared" si="204"/>
        <v>0</v>
      </c>
      <c r="N2277" s="465">
        <f t="shared" si="212"/>
        <v>0</v>
      </c>
      <c r="O2277" s="179"/>
      <c r="P2277" s="180"/>
      <c r="Q2277" s="173"/>
      <c r="R2277" s="173"/>
      <c r="S2277" s="174"/>
      <c r="T2277" s="173"/>
      <c r="U2277" s="182"/>
      <c r="V2277" s="177">
        <f>IF(U2277=0,0,IF(T2277="MXN",1/HLOOKUP(YEAR(S2277)+(MONTH(S2277)/100),TC!$5:$37,DAY(S2277)+2,FALSE),VLOOKUP(T2277,Equivalencia!$1:$23,((MAX(Equivalencia!$3:$3)-YEAR(S2277))*14)+MONTH(S2277)+2,FALSE)))</f>
        <v>0</v>
      </c>
      <c r="W2277" s="178">
        <f t="shared" si="209"/>
        <v>0</v>
      </c>
      <c r="X2277" s="481">
        <f t="shared" si="205"/>
        <v>0</v>
      </c>
      <c r="Y2277" s="179"/>
      <c r="Z2277" s="466">
        <f t="shared" si="206"/>
        <v>0</v>
      </c>
      <c r="AA2277" s="473">
        <f t="shared" si="207"/>
        <v>0</v>
      </c>
      <c r="AB2277" s="339">
        <f t="shared" si="208"/>
        <v>0</v>
      </c>
    </row>
    <row r="2278" spans="2:28" ht="20.100000000000001" customHeight="1">
      <c r="B2278" s="172"/>
      <c r="C2278" s="174"/>
      <c r="D2278" s="181"/>
      <c r="E2278" s="173"/>
      <c r="F2278" s="176"/>
      <c r="G2278" s="175">
        <f t="shared" si="210"/>
        <v>0</v>
      </c>
      <c r="H2278" s="175">
        <f t="shared" si="203"/>
        <v>0</v>
      </c>
      <c r="I2278" s="177">
        <f>IF(G2278=0,0,IF(E2278="MXN",1/HLOOKUP(YEAR(C2278)+(MONTH(C2278)/100),TC!$5:$37,DAY(C2278)+2,FALSE),VLOOKUP(E2278,Equivalencia!$5:$23,((MAX(Equivalencia!$3:$3)-YEAR(C2278))*14)+MONTH(C2278)+2,FALSE)))</f>
        <v>0</v>
      </c>
      <c r="J2278" s="178">
        <f t="shared" si="211"/>
        <v>0</v>
      </c>
      <c r="K2278" s="462">
        <f>IF(C2278=0,0,VLOOKUP(YEAR(C2278),INPC!$B$4:$O$29,MONTH(C2278)+1))</f>
        <v>0</v>
      </c>
      <c r="L2278" s="462">
        <f>IF(S2278=0,0,VLOOKUP(YEAR(S2278),INPC!$B$4:$O$29,MONTH(S2278)+1))</f>
        <v>0</v>
      </c>
      <c r="M2278" s="463">
        <f t="shared" si="204"/>
        <v>0</v>
      </c>
      <c r="N2278" s="465">
        <f t="shared" si="212"/>
        <v>0</v>
      </c>
      <c r="O2278" s="179"/>
      <c r="P2278" s="180"/>
      <c r="Q2278" s="173"/>
      <c r="R2278" s="173"/>
      <c r="S2278" s="174"/>
      <c r="T2278" s="173"/>
      <c r="U2278" s="182"/>
      <c r="V2278" s="177">
        <f>IF(U2278=0,0,IF(T2278="MXN",1/HLOOKUP(YEAR(S2278)+(MONTH(S2278)/100),TC!$5:$37,DAY(S2278)+2,FALSE),VLOOKUP(T2278,Equivalencia!$1:$23,((MAX(Equivalencia!$3:$3)-YEAR(S2278))*14)+MONTH(S2278)+2,FALSE)))</f>
        <v>0</v>
      </c>
      <c r="W2278" s="178">
        <f t="shared" si="209"/>
        <v>0</v>
      </c>
      <c r="X2278" s="481">
        <f t="shared" si="205"/>
        <v>0</v>
      </c>
      <c r="Y2278" s="179"/>
      <c r="Z2278" s="466">
        <f t="shared" si="206"/>
        <v>0</v>
      </c>
      <c r="AA2278" s="473">
        <f t="shared" si="207"/>
        <v>0</v>
      </c>
      <c r="AB2278" s="339">
        <f t="shared" si="208"/>
        <v>0</v>
      </c>
    </row>
    <row r="2279" spans="2:28" ht="20.100000000000001" customHeight="1">
      <c r="B2279" s="172"/>
      <c r="C2279" s="174"/>
      <c r="D2279" s="181"/>
      <c r="E2279" s="173"/>
      <c r="F2279" s="176"/>
      <c r="G2279" s="175">
        <f t="shared" si="210"/>
        <v>0</v>
      </c>
      <c r="H2279" s="175">
        <f t="shared" si="203"/>
        <v>0</v>
      </c>
      <c r="I2279" s="177">
        <f>IF(G2279=0,0,IF(E2279="MXN",1/HLOOKUP(YEAR(C2279)+(MONTH(C2279)/100),TC!$5:$37,DAY(C2279)+2,FALSE),VLOOKUP(E2279,Equivalencia!$5:$23,((MAX(Equivalencia!$3:$3)-YEAR(C2279))*14)+MONTH(C2279)+2,FALSE)))</f>
        <v>0</v>
      </c>
      <c r="J2279" s="178">
        <f t="shared" si="211"/>
        <v>0</v>
      </c>
      <c r="K2279" s="462">
        <f>IF(C2279=0,0,VLOOKUP(YEAR(C2279),INPC!$B$4:$O$29,MONTH(C2279)+1))</f>
        <v>0</v>
      </c>
      <c r="L2279" s="462">
        <f>IF(S2279=0,0,VLOOKUP(YEAR(S2279),INPC!$B$4:$O$29,MONTH(S2279)+1))</f>
        <v>0</v>
      </c>
      <c r="M2279" s="463">
        <f t="shared" si="204"/>
        <v>0</v>
      </c>
      <c r="N2279" s="465">
        <f t="shared" si="212"/>
        <v>0</v>
      </c>
      <c r="O2279" s="179"/>
      <c r="P2279" s="180"/>
      <c r="Q2279" s="173"/>
      <c r="R2279" s="173"/>
      <c r="S2279" s="174"/>
      <c r="T2279" s="173"/>
      <c r="U2279" s="182"/>
      <c r="V2279" s="177">
        <f>IF(U2279=0,0,IF(T2279="MXN",1/HLOOKUP(YEAR(S2279)+(MONTH(S2279)/100),TC!$5:$37,DAY(S2279)+2,FALSE),VLOOKUP(T2279,Equivalencia!$1:$23,((MAX(Equivalencia!$3:$3)-YEAR(S2279))*14)+MONTH(S2279)+2,FALSE)))</f>
        <v>0</v>
      </c>
      <c r="W2279" s="178">
        <f t="shared" si="209"/>
        <v>0</v>
      </c>
      <c r="X2279" s="481">
        <f t="shared" si="205"/>
        <v>0</v>
      </c>
      <c r="Y2279" s="179"/>
      <c r="Z2279" s="466">
        <f t="shared" si="206"/>
        <v>0</v>
      </c>
      <c r="AA2279" s="473">
        <f t="shared" si="207"/>
        <v>0</v>
      </c>
      <c r="AB2279" s="339">
        <f t="shared" si="208"/>
        <v>0</v>
      </c>
    </row>
    <row r="2280" spans="2:28" ht="20.100000000000001" customHeight="1">
      <c r="B2280" s="172"/>
      <c r="C2280" s="174"/>
      <c r="D2280" s="181"/>
      <c r="E2280" s="173"/>
      <c r="F2280" s="176"/>
      <c r="G2280" s="175">
        <f t="shared" si="210"/>
        <v>0</v>
      </c>
      <c r="H2280" s="175">
        <f t="shared" si="203"/>
        <v>0</v>
      </c>
      <c r="I2280" s="177">
        <f>IF(G2280=0,0,IF(E2280="MXN",1/HLOOKUP(YEAR(C2280)+(MONTH(C2280)/100),TC!$5:$37,DAY(C2280)+2,FALSE),VLOOKUP(E2280,Equivalencia!$5:$23,((MAX(Equivalencia!$3:$3)-YEAR(C2280))*14)+MONTH(C2280)+2,FALSE)))</f>
        <v>0</v>
      </c>
      <c r="J2280" s="178">
        <f t="shared" si="211"/>
        <v>0</v>
      </c>
      <c r="K2280" s="462">
        <f>IF(C2280=0,0,VLOOKUP(YEAR(C2280),INPC!$B$4:$O$29,MONTH(C2280)+1))</f>
        <v>0</v>
      </c>
      <c r="L2280" s="462">
        <f>IF(S2280=0,0,VLOOKUP(YEAR(S2280),INPC!$B$4:$O$29,MONTH(S2280)+1))</f>
        <v>0</v>
      </c>
      <c r="M2280" s="463">
        <f t="shared" si="204"/>
        <v>0</v>
      </c>
      <c r="N2280" s="465">
        <f t="shared" si="212"/>
        <v>0</v>
      </c>
      <c r="O2280" s="179"/>
      <c r="P2280" s="180"/>
      <c r="Q2280" s="173"/>
      <c r="R2280" s="173"/>
      <c r="S2280" s="174"/>
      <c r="T2280" s="173"/>
      <c r="U2280" s="182"/>
      <c r="V2280" s="177">
        <f>IF(U2280=0,0,IF(T2280="MXN",1/HLOOKUP(YEAR(S2280)+(MONTH(S2280)/100),TC!$5:$37,DAY(S2280)+2,FALSE),VLOOKUP(T2280,Equivalencia!$1:$23,((MAX(Equivalencia!$3:$3)-YEAR(S2280))*14)+MONTH(S2280)+2,FALSE)))</f>
        <v>0</v>
      </c>
      <c r="W2280" s="178">
        <f t="shared" si="209"/>
        <v>0</v>
      </c>
      <c r="X2280" s="481">
        <f t="shared" si="205"/>
        <v>0</v>
      </c>
      <c r="Y2280" s="179"/>
      <c r="Z2280" s="466">
        <f t="shared" si="206"/>
        <v>0</v>
      </c>
      <c r="AA2280" s="473">
        <f t="shared" si="207"/>
        <v>0</v>
      </c>
      <c r="AB2280" s="339">
        <f t="shared" si="208"/>
        <v>0</v>
      </c>
    </row>
    <row r="2281" spans="2:28" ht="20.100000000000001" customHeight="1">
      <c r="B2281" s="172"/>
      <c r="C2281" s="174"/>
      <c r="D2281" s="181"/>
      <c r="E2281" s="173"/>
      <c r="F2281" s="176"/>
      <c r="G2281" s="175">
        <f t="shared" si="210"/>
        <v>0</v>
      </c>
      <c r="H2281" s="175">
        <f t="shared" si="203"/>
        <v>0</v>
      </c>
      <c r="I2281" s="177">
        <f>IF(G2281=0,0,IF(E2281="MXN",1/HLOOKUP(YEAR(C2281)+(MONTH(C2281)/100),TC!$5:$37,DAY(C2281)+2,FALSE),VLOOKUP(E2281,Equivalencia!$5:$23,((MAX(Equivalencia!$3:$3)-YEAR(C2281))*14)+MONTH(C2281)+2,FALSE)))</f>
        <v>0</v>
      </c>
      <c r="J2281" s="178">
        <f t="shared" si="211"/>
        <v>0</v>
      </c>
      <c r="K2281" s="462">
        <f>IF(C2281=0,0,VLOOKUP(YEAR(C2281),INPC!$B$4:$O$29,MONTH(C2281)+1))</f>
        <v>0</v>
      </c>
      <c r="L2281" s="462">
        <f>IF(S2281=0,0,VLOOKUP(YEAR(S2281),INPC!$B$4:$O$29,MONTH(S2281)+1))</f>
        <v>0</v>
      </c>
      <c r="M2281" s="463">
        <f t="shared" si="204"/>
        <v>0</v>
      </c>
      <c r="N2281" s="465">
        <f t="shared" si="212"/>
        <v>0</v>
      </c>
      <c r="O2281" s="179"/>
      <c r="P2281" s="180"/>
      <c r="Q2281" s="173"/>
      <c r="R2281" s="173"/>
      <c r="S2281" s="174"/>
      <c r="T2281" s="173"/>
      <c r="U2281" s="182"/>
      <c r="V2281" s="177">
        <f>IF(U2281=0,0,IF(T2281="MXN",1/HLOOKUP(YEAR(S2281)+(MONTH(S2281)/100),TC!$5:$37,DAY(S2281)+2,FALSE),VLOOKUP(T2281,Equivalencia!$1:$23,((MAX(Equivalencia!$3:$3)-YEAR(S2281))*14)+MONTH(S2281)+2,FALSE)))</f>
        <v>0</v>
      </c>
      <c r="W2281" s="178">
        <f t="shared" si="209"/>
        <v>0</v>
      </c>
      <c r="X2281" s="481">
        <f t="shared" si="205"/>
        <v>0</v>
      </c>
      <c r="Y2281" s="179"/>
      <c r="Z2281" s="466">
        <f t="shared" si="206"/>
        <v>0</v>
      </c>
      <c r="AA2281" s="473">
        <f t="shared" si="207"/>
        <v>0</v>
      </c>
      <c r="AB2281" s="339">
        <f t="shared" si="208"/>
        <v>0</v>
      </c>
    </row>
    <row r="2282" spans="2:28" ht="20.100000000000001" customHeight="1">
      <c r="B2282" s="172"/>
      <c r="C2282" s="174"/>
      <c r="D2282" s="181"/>
      <c r="E2282" s="173"/>
      <c r="F2282" s="176"/>
      <c r="G2282" s="175">
        <f t="shared" si="210"/>
        <v>0</v>
      </c>
      <c r="H2282" s="175">
        <f t="shared" si="203"/>
        <v>0</v>
      </c>
      <c r="I2282" s="177">
        <f>IF(G2282=0,0,IF(E2282="MXN",1/HLOOKUP(YEAR(C2282)+(MONTH(C2282)/100),TC!$5:$37,DAY(C2282)+2,FALSE),VLOOKUP(E2282,Equivalencia!$5:$23,((MAX(Equivalencia!$3:$3)-YEAR(C2282))*14)+MONTH(C2282)+2,FALSE)))</f>
        <v>0</v>
      </c>
      <c r="J2282" s="178">
        <f t="shared" si="211"/>
        <v>0</v>
      </c>
      <c r="K2282" s="462">
        <f>IF(C2282=0,0,VLOOKUP(YEAR(C2282),INPC!$B$4:$O$29,MONTH(C2282)+1))</f>
        <v>0</v>
      </c>
      <c r="L2282" s="462">
        <f>IF(S2282=0,0,VLOOKUP(YEAR(S2282),INPC!$B$4:$O$29,MONTH(S2282)+1))</f>
        <v>0</v>
      </c>
      <c r="M2282" s="463">
        <f t="shared" si="204"/>
        <v>0</v>
      </c>
      <c r="N2282" s="465">
        <f t="shared" si="212"/>
        <v>0</v>
      </c>
      <c r="O2282" s="179"/>
      <c r="P2282" s="180"/>
      <c r="Q2282" s="173"/>
      <c r="R2282" s="173"/>
      <c r="S2282" s="174"/>
      <c r="T2282" s="173"/>
      <c r="U2282" s="182"/>
      <c r="V2282" s="177">
        <f>IF(U2282=0,0,IF(T2282="MXN",1/HLOOKUP(YEAR(S2282)+(MONTH(S2282)/100),TC!$5:$37,DAY(S2282)+2,FALSE),VLOOKUP(T2282,Equivalencia!$1:$23,((MAX(Equivalencia!$3:$3)-YEAR(S2282))*14)+MONTH(S2282)+2,FALSE)))</f>
        <v>0</v>
      </c>
      <c r="W2282" s="178">
        <f t="shared" si="209"/>
        <v>0</v>
      </c>
      <c r="X2282" s="481">
        <f t="shared" si="205"/>
        <v>0</v>
      </c>
      <c r="Y2282" s="179"/>
      <c r="Z2282" s="466">
        <f t="shared" si="206"/>
        <v>0</v>
      </c>
      <c r="AA2282" s="473">
        <f t="shared" si="207"/>
        <v>0</v>
      </c>
      <c r="AB2282" s="339">
        <f t="shared" si="208"/>
        <v>0</v>
      </c>
    </row>
    <row r="2283" spans="2:28" ht="20.100000000000001" customHeight="1">
      <c r="B2283" s="172"/>
      <c r="C2283" s="174"/>
      <c r="D2283" s="181"/>
      <c r="E2283" s="173"/>
      <c r="F2283" s="176"/>
      <c r="G2283" s="175">
        <f t="shared" si="210"/>
        <v>0</v>
      </c>
      <c r="H2283" s="175">
        <f t="shared" si="203"/>
        <v>0</v>
      </c>
      <c r="I2283" s="177">
        <f>IF(G2283=0,0,IF(E2283="MXN",1/HLOOKUP(YEAR(C2283)+(MONTH(C2283)/100),TC!$5:$37,DAY(C2283)+2,FALSE),VLOOKUP(E2283,Equivalencia!$5:$23,((MAX(Equivalencia!$3:$3)-YEAR(C2283))*14)+MONTH(C2283)+2,FALSE)))</f>
        <v>0</v>
      </c>
      <c r="J2283" s="178">
        <f t="shared" si="211"/>
        <v>0</v>
      </c>
      <c r="K2283" s="462">
        <f>IF(C2283=0,0,VLOOKUP(YEAR(C2283),INPC!$B$4:$O$29,MONTH(C2283)+1))</f>
        <v>0</v>
      </c>
      <c r="L2283" s="462">
        <f>IF(S2283=0,0,VLOOKUP(YEAR(S2283),INPC!$B$4:$O$29,MONTH(S2283)+1))</f>
        <v>0</v>
      </c>
      <c r="M2283" s="463">
        <f t="shared" si="204"/>
        <v>0</v>
      </c>
      <c r="N2283" s="465">
        <f t="shared" si="212"/>
        <v>0</v>
      </c>
      <c r="O2283" s="179"/>
      <c r="P2283" s="180"/>
      <c r="Q2283" s="173"/>
      <c r="R2283" s="173"/>
      <c r="S2283" s="174"/>
      <c r="T2283" s="173"/>
      <c r="U2283" s="182"/>
      <c r="V2283" s="177">
        <f>IF(U2283=0,0,IF(T2283="MXN",1/HLOOKUP(YEAR(S2283)+(MONTH(S2283)/100),TC!$5:$37,DAY(S2283)+2,FALSE),VLOOKUP(T2283,Equivalencia!$1:$23,((MAX(Equivalencia!$3:$3)-YEAR(S2283))*14)+MONTH(S2283)+2,FALSE)))</f>
        <v>0</v>
      </c>
      <c r="W2283" s="178">
        <f t="shared" si="209"/>
        <v>0</v>
      </c>
      <c r="X2283" s="481">
        <f t="shared" si="205"/>
        <v>0</v>
      </c>
      <c r="Y2283" s="179"/>
      <c r="Z2283" s="466">
        <f t="shared" si="206"/>
        <v>0</v>
      </c>
      <c r="AA2283" s="473">
        <f t="shared" si="207"/>
        <v>0</v>
      </c>
      <c r="AB2283" s="339">
        <f t="shared" si="208"/>
        <v>0</v>
      </c>
    </row>
    <row r="2284" spans="2:28" ht="20.100000000000001" customHeight="1">
      <c r="B2284" s="172"/>
      <c r="C2284" s="174"/>
      <c r="D2284" s="181"/>
      <c r="E2284" s="173"/>
      <c r="F2284" s="176"/>
      <c r="G2284" s="175">
        <f t="shared" si="210"/>
        <v>0</v>
      </c>
      <c r="H2284" s="175">
        <f t="shared" si="203"/>
        <v>0</v>
      </c>
      <c r="I2284" s="177">
        <f>IF(G2284=0,0,IF(E2284="MXN",1/HLOOKUP(YEAR(C2284)+(MONTH(C2284)/100),TC!$5:$37,DAY(C2284)+2,FALSE),VLOOKUP(E2284,Equivalencia!$5:$23,((MAX(Equivalencia!$3:$3)-YEAR(C2284))*14)+MONTH(C2284)+2,FALSE)))</f>
        <v>0</v>
      </c>
      <c r="J2284" s="178">
        <f t="shared" si="211"/>
        <v>0</v>
      </c>
      <c r="K2284" s="462">
        <f>IF(C2284=0,0,VLOOKUP(YEAR(C2284),INPC!$B$4:$O$29,MONTH(C2284)+1))</f>
        <v>0</v>
      </c>
      <c r="L2284" s="462">
        <f>IF(S2284=0,0,VLOOKUP(YEAR(S2284),INPC!$B$4:$O$29,MONTH(S2284)+1))</f>
        <v>0</v>
      </c>
      <c r="M2284" s="463">
        <f t="shared" si="204"/>
        <v>0</v>
      </c>
      <c r="N2284" s="465">
        <f t="shared" si="212"/>
        <v>0</v>
      </c>
      <c r="O2284" s="179"/>
      <c r="P2284" s="180"/>
      <c r="Q2284" s="173"/>
      <c r="R2284" s="173"/>
      <c r="S2284" s="174"/>
      <c r="T2284" s="173"/>
      <c r="U2284" s="182"/>
      <c r="V2284" s="177">
        <f>IF(U2284=0,0,IF(T2284="MXN",1/HLOOKUP(YEAR(S2284)+(MONTH(S2284)/100),TC!$5:$37,DAY(S2284)+2,FALSE),VLOOKUP(T2284,Equivalencia!$1:$23,((MAX(Equivalencia!$3:$3)-YEAR(S2284))*14)+MONTH(S2284)+2,FALSE)))</f>
        <v>0</v>
      </c>
      <c r="W2284" s="178">
        <f t="shared" si="209"/>
        <v>0</v>
      </c>
      <c r="X2284" s="481">
        <f t="shared" si="205"/>
        <v>0</v>
      </c>
      <c r="Y2284" s="179"/>
      <c r="Z2284" s="466">
        <f t="shared" si="206"/>
        <v>0</v>
      </c>
      <c r="AA2284" s="473">
        <f t="shared" si="207"/>
        <v>0</v>
      </c>
      <c r="AB2284" s="339">
        <f t="shared" si="208"/>
        <v>0</v>
      </c>
    </row>
    <row r="2285" spans="2:28" ht="20.100000000000001" customHeight="1">
      <c r="B2285" s="172"/>
      <c r="C2285" s="174"/>
      <c r="D2285" s="181"/>
      <c r="E2285" s="173"/>
      <c r="F2285" s="176"/>
      <c r="G2285" s="175">
        <f t="shared" si="210"/>
        <v>0</v>
      </c>
      <c r="H2285" s="175">
        <f t="shared" si="203"/>
        <v>0</v>
      </c>
      <c r="I2285" s="177">
        <f>IF(G2285=0,0,IF(E2285="MXN",1/HLOOKUP(YEAR(C2285)+(MONTH(C2285)/100),TC!$5:$37,DAY(C2285)+2,FALSE),VLOOKUP(E2285,Equivalencia!$5:$23,((MAX(Equivalencia!$3:$3)-YEAR(C2285))*14)+MONTH(C2285)+2,FALSE)))</f>
        <v>0</v>
      </c>
      <c r="J2285" s="178">
        <f t="shared" si="211"/>
        <v>0</v>
      </c>
      <c r="K2285" s="462">
        <f>IF(C2285=0,0,VLOOKUP(YEAR(C2285),INPC!$B$4:$O$29,MONTH(C2285)+1))</f>
        <v>0</v>
      </c>
      <c r="L2285" s="462">
        <f>IF(S2285=0,0,VLOOKUP(YEAR(S2285),INPC!$B$4:$O$29,MONTH(S2285)+1))</f>
        <v>0</v>
      </c>
      <c r="M2285" s="463">
        <f t="shared" si="204"/>
        <v>0</v>
      </c>
      <c r="N2285" s="465">
        <f t="shared" si="212"/>
        <v>0</v>
      </c>
      <c r="O2285" s="179"/>
      <c r="P2285" s="180"/>
      <c r="Q2285" s="173"/>
      <c r="R2285" s="173"/>
      <c r="S2285" s="174"/>
      <c r="T2285" s="173"/>
      <c r="U2285" s="182"/>
      <c r="V2285" s="177">
        <f>IF(U2285=0,0,IF(T2285="MXN",1/HLOOKUP(YEAR(S2285)+(MONTH(S2285)/100),TC!$5:$37,DAY(S2285)+2,FALSE),VLOOKUP(T2285,Equivalencia!$1:$23,((MAX(Equivalencia!$3:$3)-YEAR(S2285))*14)+MONTH(S2285)+2,FALSE)))</f>
        <v>0</v>
      </c>
      <c r="W2285" s="178">
        <f t="shared" si="209"/>
        <v>0</v>
      </c>
      <c r="X2285" s="481">
        <f t="shared" si="205"/>
        <v>0</v>
      </c>
      <c r="Y2285" s="179"/>
      <c r="Z2285" s="466">
        <f t="shared" si="206"/>
        <v>0</v>
      </c>
      <c r="AA2285" s="473">
        <f t="shared" si="207"/>
        <v>0</v>
      </c>
      <c r="AB2285" s="339">
        <f t="shared" si="208"/>
        <v>0</v>
      </c>
    </row>
    <row r="2286" spans="2:28" ht="20.100000000000001" customHeight="1">
      <c r="B2286" s="172"/>
      <c r="C2286" s="174"/>
      <c r="D2286" s="181"/>
      <c r="E2286" s="173"/>
      <c r="F2286" s="176"/>
      <c r="G2286" s="175">
        <f t="shared" si="210"/>
        <v>0</v>
      </c>
      <c r="H2286" s="175">
        <f t="shared" si="203"/>
        <v>0</v>
      </c>
      <c r="I2286" s="177">
        <f>IF(G2286=0,0,IF(E2286="MXN",1/HLOOKUP(YEAR(C2286)+(MONTH(C2286)/100),TC!$5:$37,DAY(C2286)+2,FALSE),VLOOKUP(E2286,Equivalencia!$5:$23,((MAX(Equivalencia!$3:$3)-YEAR(C2286))*14)+MONTH(C2286)+2,FALSE)))</f>
        <v>0</v>
      </c>
      <c r="J2286" s="178">
        <f t="shared" si="211"/>
        <v>0</v>
      </c>
      <c r="K2286" s="462">
        <f>IF(C2286=0,0,VLOOKUP(YEAR(C2286),INPC!$B$4:$O$29,MONTH(C2286)+1))</f>
        <v>0</v>
      </c>
      <c r="L2286" s="462">
        <f>IF(S2286=0,0,VLOOKUP(YEAR(S2286),INPC!$B$4:$O$29,MONTH(S2286)+1))</f>
        <v>0</v>
      </c>
      <c r="M2286" s="463">
        <f t="shared" si="204"/>
        <v>0</v>
      </c>
      <c r="N2286" s="465">
        <f t="shared" si="212"/>
        <v>0</v>
      </c>
      <c r="O2286" s="179"/>
      <c r="P2286" s="180"/>
      <c r="Q2286" s="173"/>
      <c r="R2286" s="173"/>
      <c r="S2286" s="174"/>
      <c r="T2286" s="173"/>
      <c r="U2286" s="182"/>
      <c r="V2286" s="177">
        <f>IF(U2286=0,0,IF(T2286="MXN",1/HLOOKUP(YEAR(S2286)+(MONTH(S2286)/100),TC!$5:$37,DAY(S2286)+2,FALSE),VLOOKUP(T2286,Equivalencia!$1:$23,((MAX(Equivalencia!$3:$3)-YEAR(S2286))*14)+MONTH(S2286)+2,FALSE)))</f>
        <v>0</v>
      </c>
      <c r="W2286" s="178">
        <f t="shared" si="209"/>
        <v>0</v>
      </c>
      <c r="X2286" s="481">
        <f t="shared" si="205"/>
        <v>0</v>
      </c>
      <c r="Y2286" s="179"/>
      <c r="Z2286" s="466">
        <f t="shared" si="206"/>
        <v>0</v>
      </c>
      <c r="AA2286" s="473">
        <f t="shared" si="207"/>
        <v>0</v>
      </c>
      <c r="AB2286" s="339">
        <f t="shared" si="208"/>
        <v>0</v>
      </c>
    </row>
    <row r="2287" spans="2:28" ht="20.100000000000001" customHeight="1">
      <c r="B2287" s="172"/>
      <c r="C2287" s="174"/>
      <c r="D2287" s="181"/>
      <c r="E2287" s="173"/>
      <c r="F2287" s="176"/>
      <c r="G2287" s="175">
        <f t="shared" si="210"/>
        <v>0</v>
      </c>
      <c r="H2287" s="175">
        <f t="shared" si="203"/>
        <v>0</v>
      </c>
      <c r="I2287" s="177">
        <f>IF(G2287=0,0,IF(E2287="MXN",1/HLOOKUP(YEAR(C2287)+(MONTH(C2287)/100),TC!$5:$37,DAY(C2287)+2,FALSE),VLOOKUP(E2287,Equivalencia!$5:$23,((MAX(Equivalencia!$3:$3)-YEAR(C2287))*14)+MONTH(C2287)+2,FALSE)))</f>
        <v>0</v>
      </c>
      <c r="J2287" s="178">
        <f t="shared" si="211"/>
        <v>0</v>
      </c>
      <c r="K2287" s="462">
        <f>IF(C2287=0,0,VLOOKUP(YEAR(C2287),INPC!$B$4:$O$29,MONTH(C2287)+1))</f>
        <v>0</v>
      </c>
      <c r="L2287" s="462">
        <f>IF(S2287=0,0,VLOOKUP(YEAR(S2287),INPC!$B$4:$O$29,MONTH(S2287)+1))</f>
        <v>0</v>
      </c>
      <c r="M2287" s="463">
        <f t="shared" si="204"/>
        <v>0</v>
      </c>
      <c r="N2287" s="465">
        <f t="shared" si="212"/>
        <v>0</v>
      </c>
      <c r="O2287" s="179"/>
      <c r="P2287" s="180"/>
      <c r="Q2287" s="173"/>
      <c r="R2287" s="173"/>
      <c r="S2287" s="174"/>
      <c r="T2287" s="173"/>
      <c r="U2287" s="182"/>
      <c r="V2287" s="177">
        <f>IF(U2287=0,0,IF(T2287="MXN",1/HLOOKUP(YEAR(S2287)+(MONTH(S2287)/100),TC!$5:$37,DAY(S2287)+2,FALSE),VLOOKUP(T2287,Equivalencia!$1:$23,((MAX(Equivalencia!$3:$3)-YEAR(S2287))*14)+MONTH(S2287)+2,FALSE)))</f>
        <v>0</v>
      </c>
      <c r="W2287" s="178">
        <f t="shared" si="209"/>
        <v>0</v>
      </c>
      <c r="X2287" s="481">
        <f t="shared" si="205"/>
        <v>0</v>
      </c>
      <c r="Y2287" s="179"/>
      <c r="Z2287" s="466">
        <f t="shared" si="206"/>
        <v>0</v>
      </c>
      <c r="AA2287" s="473">
        <f t="shared" si="207"/>
        <v>0</v>
      </c>
      <c r="AB2287" s="339">
        <f t="shared" si="208"/>
        <v>0</v>
      </c>
    </row>
    <row r="2288" spans="2:28" ht="20.100000000000001" customHeight="1">
      <c r="B2288" s="172"/>
      <c r="C2288" s="174"/>
      <c r="D2288" s="181"/>
      <c r="E2288" s="173"/>
      <c r="F2288" s="176"/>
      <c r="G2288" s="175">
        <f t="shared" si="210"/>
        <v>0</v>
      </c>
      <c r="H2288" s="175">
        <f t="shared" si="203"/>
        <v>0</v>
      </c>
      <c r="I2288" s="177">
        <f>IF(G2288=0,0,IF(E2288="MXN",1/HLOOKUP(YEAR(C2288)+(MONTH(C2288)/100),TC!$5:$37,DAY(C2288)+2,FALSE),VLOOKUP(E2288,Equivalencia!$5:$23,((MAX(Equivalencia!$3:$3)-YEAR(C2288))*14)+MONTH(C2288)+2,FALSE)))</f>
        <v>0</v>
      </c>
      <c r="J2288" s="178">
        <f t="shared" si="211"/>
        <v>0</v>
      </c>
      <c r="K2288" s="462">
        <f>IF(C2288=0,0,VLOOKUP(YEAR(C2288),INPC!$B$4:$O$29,MONTH(C2288)+1))</f>
        <v>0</v>
      </c>
      <c r="L2288" s="462">
        <f>IF(S2288=0,0,VLOOKUP(YEAR(S2288),INPC!$B$4:$O$29,MONTH(S2288)+1))</f>
        <v>0</v>
      </c>
      <c r="M2288" s="463">
        <f t="shared" si="204"/>
        <v>0</v>
      </c>
      <c r="N2288" s="465">
        <f t="shared" si="212"/>
        <v>0</v>
      </c>
      <c r="O2288" s="179"/>
      <c r="P2288" s="180"/>
      <c r="Q2288" s="173"/>
      <c r="R2288" s="173"/>
      <c r="S2288" s="174"/>
      <c r="T2288" s="173"/>
      <c r="U2288" s="182"/>
      <c r="V2288" s="177">
        <f>IF(U2288=0,0,IF(T2288="MXN",1/HLOOKUP(YEAR(S2288)+(MONTH(S2288)/100),TC!$5:$37,DAY(S2288)+2,FALSE),VLOOKUP(T2288,Equivalencia!$1:$23,((MAX(Equivalencia!$3:$3)-YEAR(S2288))*14)+MONTH(S2288)+2,FALSE)))</f>
        <v>0</v>
      </c>
      <c r="W2288" s="178">
        <f t="shared" si="209"/>
        <v>0</v>
      </c>
      <c r="X2288" s="481">
        <f t="shared" si="205"/>
        <v>0</v>
      </c>
      <c r="Y2288" s="179"/>
      <c r="Z2288" s="466">
        <f t="shared" si="206"/>
        <v>0</v>
      </c>
      <c r="AA2288" s="473">
        <f t="shared" si="207"/>
        <v>0</v>
      </c>
      <c r="AB2288" s="339">
        <f t="shared" si="208"/>
        <v>0</v>
      </c>
    </row>
    <row r="2289" spans="2:28" ht="20.100000000000001" customHeight="1">
      <c r="B2289" s="172"/>
      <c r="C2289" s="174"/>
      <c r="D2289" s="181"/>
      <c r="E2289" s="173"/>
      <c r="F2289" s="176"/>
      <c r="G2289" s="175">
        <f t="shared" si="210"/>
        <v>0</v>
      </c>
      <c r="H2289" s="175">
        <f t="shared" si="203"/>
        <v>0</v>
      </c>
      <c r="I2289" s="177">
        <f>IF(G2289=0,0,IF(E2289="MXN",1/HLOOKUP(YEAR(C2289)+(MONTH(C2289)/100),TC!$5:$37,DAY(C2289)+2,FALSE),VLOOKUP(E2289,Equivalencia!$5:$23,((MAX(Equivalencia!$3:$3)-YEAR(C2289))*14)+MONTH(C2289)+2,FALSE)))</f>
        <v>0</v>
      </c>
      <c r="J2289" s="178">
        <f t="shared" si="211"/>
        <v>0</v>
      </c>
      <c r="K2289" s="462">
        <f>IF(C2289=0,0,VLOOKUP(YEAR(C2289),INPC!$B$4:$O$29,MONTH(C2289)+1))</f>
        <v>0</v>
      </c>
      <c r="L2289" s="462">
        <f>IF(S2289=0,0,VLOOKUP(YEAR(S2289),INPC!$B$4:$O$29,MONTH(S2289)+1))</f>
        <v>0</v>
      </c>
      <c r="M2289" s="463">
        <f t="shared" si="204"/>
        <v>0</v>
      </c>
      <c r="N2289" s="465">
        <f t="shared" si="212"/>
        <v>0</v>
      </c>
      <c r="O2289" s="179"/>
      <c r="P2289" s="180"/>
      <c r="Q2289" s="173"/>
      <c r="R2289" s="173"/>
      <c r="S2289" s="174"/>
      <c r="T2289" s="173"/>
      <c r="U2289" s="182"/>
      <c r="V2289" s="177">
        <f>IF(U2289=0,0,IF(T2289="MXN",1/HLOOKUP(YEAR(S2289)+(MONTH(S2289)/100),TC!$5:$37,DAY(S2289)+2,FALSE),VLOOKUP(T2289,Equivalencia!$1:$23,((MAX(Equivalencia!$3:$3)-YEAR(S2289))*14)+MONTH(S2289)+2,FALSE)))</f>
        <v>0</v>
      </c>
      <c r="W2289" s="178">
        <f t="shared" si="209"/>
        <v>0</v>
      </c>
      <c r="X2289" s="481">
        <f t="shared" si="205"/>
        <v>0</v>
      </c>
      <c r="Y2289" s="179"/>
      <c r="Z2289" s="466">
        <f t="shared" si="206"/>
        <v>0</v>
      </c>
      <c r="AA2289" s="473">
        <f t="shared" si="207"/>
        <v>0</v>
      </c>
      <c r="AB2289" s="339">
        <f t="shared" si="208"/>
        <v>0</v>
      </c>
    </row>
    <row r="2290" spans="2:28" ht="20.100000000000001" customHeight="1">
      <c r="B2290" s="172"/>
      <c r="C2290" s="174"/>
      <c r="D2290" s="181"/>
      <c r="E2290" s="173"/>
      <c r="F2290" s="176"/>
      <c r="G2290" s="175">
        <f t="shared" si="210"/>
        <v>0</v>
      </c>
      <c r="H2290" s="175">
        <f t="shared" si="203"/>
        <v>0</v>
      </c>
      <c r="I2290" s="177">
        <f>IF(G2290=0,0,IF(E2290="MXN",1/HLOOKUP(YEAR(C2290)+(MONTH(C2290)/100),TC!$5:$37,DAY(C2290)+2,FALSE),VLOOKUP(E2290,Equivalencia!$5:$23,((MAX(Equivalencia!$3:$3)-YEAR(C2290))*14)+MONTH(C2290)+2,FALSE)))</f>
        <v>0</v>
      </c>
      <c r="J2290" s="178">
        <f t="shared" si="211"/>
        <v>0</v>
      </c>
      <c r="K2290" s="462">
        <f>IF(C2290=0,0,VLOOKUP(YEAR(C2290),INPC!$B$4:$O$29,MONTH(C2290)+1))</f>
        <v>0</v>
      </c>
      <c r="L2290" s="462">
        <f>IF(S2290=0,0,VLOOKUP(YEAR(S2290),INPC!$B$4:$O$29,MONTH(S2290)+1))</f>
        <v>0</v>
      </c>
      <c r="M2290" s="463">
        <f t="shared" si="204"/>
        <v>0</v>
      </c>
      <c r="N2290" s="465">
        <f t="shared" si="212"/>
        <v>0</v>
      </c>
      <c r="O2290" s="179"/>
      <c r="P2290" s="180"/>
      <c r="Q2290" s="173"/>
      <c r="R2290" s="173"/>
      <c r="S2290" s="174"/>
      <c r="T2290" s="173"/>
      <c r="U2290" s="182"/>
      <c r="V2290" s="177">
        <f>IF(U2290=0,0,IF(T2290="MXN",1/HLOOKUP(YEAR(S2290)+(MONTH(S2290)/100),TC!$5:$37,DAY(S2290)+2,FALSE),VLOOKUP(T2290,Equivalencia!$1:$23,((MAX(Equivalencia!$3:$3)-YEAR(S2290))*14)+MONTH(S2290)+2,FALSE)))</f>
        <v>0</v>
      </c>
      <c r="W2290" s="178">
        <f t="shared" si="209"/>
        <v>0</v>
      </c>
      <c r="X2290" s="481">
        <f t="shared" si="205"/>
        <v>0</v>
      </c>
      <c r="Y2290" s="179"/>
      <c r="Z2290" s="466">
        <f t="shared" si="206"/>
        <v>0</v>
      </c>
      <c r="AA2290" s="473">
        <f t="shared" si="207"/>
        <v>0</v>
      </c>
      <c r="AB2290" s="339">
        <f t="shared" si="208"/>
        <v>0</v>
      </c>
    </row>
    <row r="2291" spans="2:28" ht="20.100000000000001" customHeight="1">
      <c r="B2291" s="172"/>
      <c r="C2291" s="174"/>
      <c r="D2291" s="181"/>
      <c r="E2291" s="173"/>
      <c r="F2291" s="176"/>
      <c r="G2291" s="175">
        <f t="shared" si="210"/>
        <v>0</v>
      </c>
      <c r="H2291" s="175">
        <f t="shared" si="203"/>
        <v>0</v>
      </c>
      <c r="I2291" s="177">
        <f>IF(G2291=0,0,IF(E2291="MXN",1/HLOOKUP(YEAR(C2291)+(MONTH(C2291)/100),TC!$5:$37,DAY(C2291)+2,FALSE),VLOOKUP(E2291,Equivalencia!$5:$23,((MAX(Equivalencia!$3:$3)-YEAR(C2291))*14)+MONTH(C2291)+2,FALSE)))</f>
        <v>0</v>
      </c>
      <c r="J2291" s="178">
        <f t="shared" si="211"/>
        <v>0</v>
      </c>
      <c r="K2291" s="462">
        <f>IF(C2291=0,0,VLOOKUP(YEAR(C2291),INPC!$B$4:$O$29,MONTH(C2291)+1))</f>
        <v>0</v>
      </c>
      <c r="L2291" s="462">
        <f>IF(S2291=0,0,VLOOKUP(YEAR(S2291),INPC!$B$4:$O$29,MONTH(S2291)+1))</f>
        <v>0</v>
      </c>
      <c r="M2291" s="463">
        <f t="shared" si="204"/>
        <v>0</v>
      </c>
      <c r="N2291" s="465">
        <f t="shared" si="212"/>
        <v>0</v>
      </c>
      <c r="O2291" s="179"/>
      <c r="P2291" s="180"/>
      <c r="Q2291" s="173"/>
      <c r="R2291" s="173"/>
      <c r="S2291" s="174"/>
      <c r="T2291" s="173"/>
      <c r="U2291" s="182"/>
      <c r="V2291" s="177">
        <f>IF(U2291=0,0,IF(T2291="MXN",1/HLOOKUP(YEAR(S2291)+(MONTH(S2291)/100),TC!$5:$37,DAY(S2291)+2,FALSE),VLOOKUP(T2291,Equivalencia!$1:$23,((MAX(Equivalencia!$3:$3)-YEAR(S2291))*14)+MONTH(S2291)+2,FALSE)))</f>
        <v>0</v>
      </c>
      <c r="W2291" s="178">
        <f t="shared" si="209"/>
        <v>0</v>
      </c>
      <c r="X2291" s="481">
        <f t="shared" si="205"/>
        <v>0</v>
      </c>
      <c r="Y2291" s="179"/>
      <c r="Z2291" s="466">
        <f t="shared" si="206"/>
        <v>0</v>
      </c>
      <c r="AA2291" s="473">
        <f t="shared" si="207"/>
        <v>0</v>
      </c>
      <c r="AB2291" s="339">
        <f t="shared" si="208"/>
        <v>0</v>
      </c>
    </row>
    <row r="2292" spans="2:28" ht="20.100000000000001" customHeight="1">
      <c r="B2292" s="172"/>
      <c r="C2292" s="174"/>
      <c r="D2292" s="181"/>
      <c r="E2292" s="173"/>
      <c r="F2292" s="176"/>
      <c r="G2292" s="175">
        <f t="shared" si="210"/>
        <v>0</v>
      </c>
      <c r="H2292" s="175">
        <f t="shared" si="203"/>
        <v>0</v>
      </c>
      <c r="I2292" s="177">
        <f>IF(G2292=0,0,IF(E2292="MXN",1/HLOOKUP(YEAR(C2292)+(MONTH(C2292)/100),TC!$5:$37,DAY(C2292)+2,FALSE),VLOOKUP(E2292,Equivalencia!$5:$23,((MAX(Equivalencia!$3:$3)-YEAR(C2292))*14)+MONTH(C2292)+2,FALSE)))</f>
        <v>0</v>
      </c>
      <c r="J2292" s="178">
        <f t="shared" si="211"/>
        <v>0</v>
      </c>
      <c r="K2292" s="462">
        <f>IF(C2292=0,0,VLOOKUP(YEAR(C2292),INPC!$B$4:$O$29,MONTH(C2292)+1))</f>
        <v>0</v>
      </c>
      <c r="L2292" s="462">
        <f>IF(S2292=0,0,VLOOKUP(YEAR(S2292),INPC!$B$4:$O$29,MONTH(S2292)+1))</f>
        <v>0</v>
      </c>
      <c r="M2292" s="463">
        <f t="shared" si="204"/>
        <v>0</v>
      </c>
      <c r="N2292" s="465">
        <f t="shared" si="212"/>
        <v>0</v>
      </c>
      <c r="O2292" s="179"/>
      <c r="P2292" s="180"/>
      <c r="Q2292" s="173"/>
      <c r="R2292" s="173"/>
      <c r="S2292" s="174"/>
      <c r="T2292" s="173"/>
      <c r="U2292" s="182"/>
      <c r="V2292" s="177">
        <f>IF(U2292=0,0,IF(T2292="MXN",1/HLOOKUP(YEAR(S2292)+(MONTH(S2292)/100),TC!$5:$37,DAY(S2292)+2,FALSE),VLOOKUP(T2292,Equivalencia!$1:$23,((MAX(Equivalencia!$3:$3)-YEAR(S2292))*14)+MONTH(S2292)+2,FALSE)))</f>
        <v>0</v>
      </c>
      <c r="W2292" s="178">
        <f t="shared" si="209"/>
        <v>0</v>
      </c>
      <c r="X2292" s="481">
        <f t="shared" si="205"/>
        <v>0</v>
      </c>
      <c r="Y2292" s="179"/>
      <c r="Z2292" s="466">
        <f t="shared" si="206"/>
        <v>0</v>
      </c>
      <c r="AA2292" s="473">
        <f t="shared" si="207"/>
        <v>0</v>
      </c>
      <c r="AB2292" s="339">
        <f t="shared" si="208"/>
        <v>0</v>
      </c>
    </row>
    <row r="2293" spans="2:28" ht="20.100000000000001" customHeight="1">
      <c r="B2293" s="172"/>
      <c r="C2293" s="174"/>
      <c r="D2293" s="181"/>
      <c r="E2293" s="173"/>
      <c r="F2293" s="176"/>
      <c r="G2293" s="175">
        <f t="shared" si="210"/>
        <v>0</v>
      </c>
      <c r="H2293" s="175">
        <f t="shared" si="203"/>
        <v>0</v>
      </c>
      <c r="I2293" s="177">
        <f>IF(G2293=0,0,IF(E2293="MXN",1/HLOOKUP(YEAR(C2293)+(MONTH(C2293)/100),TC!$5:$37,DAY(C2293)+2,FALSE),VLOOKUP(E2293,Equivalencia!$5:$23,((MAX(Equivalencia!$3:$3)-YEAR(C2293))*14)+MONTH(C2293)+2,FALSE)))</f>
        <v>0</v>
      </c>
      <c r="J2293" s="178">
        <f t="shared" si="211"/>
        <v>0</v>
      </c>
      <c r="K2293" s="462">
        <f>IF(C2293=0,0,VLOOKUP(YEAR(C2293),INPC!$B$4:$O$29,MONTH(C2293)+1))</f>
        <v>0</v>
      </c>
      <c r="L2293" s="462">
        <f>IF(S2293=0,0,VLOOKUP(YEAR(S2293),INPC!$B$4:$O$29,MONTH(S2293)+1))</f>
        <v>0</v>
      </c>
      <c r="M2293" s="463">
        <f t="shared" si="204"/>
        <v>0</v>
      </c>
      <c r="N2293" s="465">
        <f t="shared" si="212"/>
        <v>0</v>
      </c>
      <c r="O2293" s="179"/>
      <c r="P2293" s="180"/>
      <c r="Q2293" s="173"/>
      <c r="R2293" s="173"/>
      <c r="S2293" s="174"/>
      <c r="T2293" s="173"/>
      <c r="U2293" s="182"/>
      <c r="V2293" s="177">
        <f>IF(U2293=0,0,IF(T2293="MXN",1/HLOOKUP(YEAR(S2293)+(MONTH(S2293)/100),TC!$5:$37,DAY(S2293)+2,FALSE),VLOOKUP(T2293,Equivalencia!$1:$23,((MAX(Equivalencia!$3:$3)-YEAR(S2293))*14)+MONTH(S2293)+2,FALSE)))</f>
        <v>0</v>
      </c>
      <c r="W2293" s="178">
        <f t="shared" si="209"/>
        <v>0</v>
      </c>
      <c r="X2293" s="481">
        <f t="shared" si="205"/>
        <v>0</v>
      </c>
      <c r="Y2293" s="179"/>
      <c r="Z2293" s="466">
        <f t="shared" si="206"/>
        <v>0</v>
      </c>
      <c r="AA2293" s="473">
        <f t="shared" si="207"/>
        <v>0</v>
      </c>
      <c r="AB2293" s="339">
        <f t="shared" si="208"/>
        <v>0</v>
      </c>
    </row>
    <row r="2294" spans="2:28" ht="20.100000000000001" customHeight="1">
      <c r="B2294" s="172"/>
      <c r="C2294" s="174"/>
      <c r="D2294" s="181"/>
      <c r="E2294" s="173"/>
      <c r="F2294" s="176"/>
      <c r="G2294" s="175">
        <f t="shared" si="210"/>
        <v>0</v>
      </c>
      <c r="H2294" s="175">
        <f t="shared" si="203"/>
        <v>0</v>
      </c>
      <c r="I2294" s="177">
        <f>IF(G2294=0,0,IF(E2294="MXN",1/HLOOKUP(YEAR(C2294)+(MONTH(C2294)/100),TC!$5:$37,DAY(C2294)+2,FALSE),VLOOKUP(E2294,Equivalencia!$5:$23,((MAX(Equivalencia!$3:$3)-YEAR(C2294))*14)+MONTH(C2294)+2,FALSE)))</f>
        <v>0</v>
      </c>
      <c r="J2294" s="178">
        <f t="shared" si="211"/>
        <v>0</v>
      </c>
      <c r="K2294" s="462">
        <f>IF(C2294=0,0,VLOOKUP(YEAR(C2294),INPC!$B$4:$O$29,MONTH(C2294)+1))</f>
        <v>0</v>
      </c>
      <c r="L2294" s="462">
        <f>IF(S2294=0,0,VLOOKUP(YEAR(S2294),INPC!$B$4:$O$29,MONTH(S2294)+1))</f>
        <v>0</v>
      </c>
      <c r="M2294" s="463">
        <f t="shared" si="204"/>
        <v>0</v>
      </c>
      <c r="N2294" s="465">
        <f t="shared" si="212"/>
        <v>0</v>
      </c>
      <c r="O2294" s="179"/>
      <c r="P2294" s="180"/>
      <c r="Q2294" s="173"/>
      <c r="R2294" s="173"/>
      <c r="S2294" s="174"/>
      <c r="T2294" s="173"/>
      <c r="U2294" s="182"/>
      <c r="V2294" s="177">
        <f>IF(U2294=0,0,IF(T2294="MXN",1/HLOOKUP(YEAR(S2294)+(MONTH(S2294)/100),TC!$5:$37,DAY(S2294)+2,FALSE),VLOOKUP(T2294,Equivalencia!$1:$23,((MAX(Equivalencia!$3:$3)-YEAR(S2294))*14)+MONTH(S2294)+2,FALSE)))</f>
        <v>0</v>
      </c>
      <c r="W2294" s="178">
        <f t="shared" si="209"/>
        <v>0</v>
      </c>
      <c r="X2294" s="481">
        <f t="shared" si="205"/>
        <v>0</v>
      </c>
      <c r="Y2294" s="179"/>
      <c r="Z2294" s="466">
        <f t="shared" si="206"/>
        <v>0</v>
      </c>
      <c r="AA2294" s="473">
        <f t="shared" si="207"/>
        <v>0</v>
      </c>
      <c r="AB2294" s="339">
        <f t="shared" si="208"/>
        <v>0</v>
      </c>
    </row>
    <row r="2295" spans="2:28" ht="20.100000000000001" customHeight="1">
      <c r="B2295" s="172"/>
      <c r="C2295" s="174"/>
      <c r="D2295" s="181"/>
      <c r="E2295" s="173"/>
      <c r="F2295" s="176"/>
      <c r="G2295" s="175">
        <f t="shared" si="210"/>
        <v>0</v>
      </c>
      <c r="H2295" s="175">
        <f t="shared" si="203"/>
        <v>0</v>
      </c>
      <c r="I2295" s="177">
        <f>IF(G2295=0,0,IF(E2295="MXN",1/HLOOKUP(YEAR(C2295)+(MONTH(C2295)/100),TC!$5:$37,DAY(C2295)+2,FALSE),VLOOKUP(E2295,Equivalencia!$5:$23,((MAX(Equivalencia!$3:$3)-YEAR(C2295))*14)+MONTH(C2295)+2,FALSE)))</f>
        <v>0</v>
      </c>
      <c r="J2295" s="178">
        <f t="shared" si="211"/>
        <v>0</v>
      </c>
      <c r="K2295" s="462">
        <f>IF(C2295=0,0,VLOOKUP(YEAR(C2295),INPC!$B$4:$O$29,MONTH(C2295)+1))</f>
        <v>0</v>
      </c>
      <c r="L2295" s="462">
        <f>IF(S2295=0,0,VLOOKUP(YEAR(S2295),INPC!$B$4:$O$29,MONTH(S2295)+1))</f>
        <v>0</v>
      </c>
      <c r="M2295" s="463">
        <f t="shared" si="204"/>
        <v>0</v>
      </c>
      <c r="N2295" s="465">
        <f t="shared" si="212"/>
        <v>0</v>
      </c>
      <c r="O2295" s="179"/>
      <c r="P2295" s="180"/>
      <c r="Q2295" s="173"/>
      <c r="R2295" s="173"/>
      <c r="S2295" s="174"/>
      <c r="T2295" s="173"/>
      <c r="U2295" s="182"/>
      <c r="V2295" s="177">
        <f>IF(U2295=0,0,IF(T2295="MXN",1/HLOOKUP(YEAR(S2295)+(MONTH(S2295)/100),TC!$5:$37,DAY(S2295)+2,FALSE),VLOOKUP(T2295,Equivalencia!$1:$23,((MAX(Equivalencia!$3:$3)-YEAR(S2295))*14)+MONTH(S2295)+2,FALSE)))</f>
        <v>0</v>
      </c>
      <c r="W2295" s="178">
        <f t="shared" si="209"/>
        <v>0</v>
      </c>
      <c r="X2295" s="481">
        <f t="shared" si="205"/>
        <v>0</v>
      </c>
      <c r="Y2295" s="179"/>
      <c r="Z2295" s="466">
        <f t="shared" si="206"/>
        <v>0</v>
      </c>
      <c r="AA2295" s="473">
        <f t="shared" si="207"/>
        <v>0</v>
      </c>
      <c r="AB2295" s="339">
        <f t="shared" si="208"/>
        <v>0</v>
      </c>
    </row>
    <row r="2296" spans="2:28" ht="20.100000000000001" customHeight="1">
      <c r="B2296" s="172"/>
      <c r="C2296" s="174"/>
      <c r="D2296" s="181"/>
      <c r="E2296" s="173"/>
      <c r="F2296" s="176"/>
      <c r="G2296" s="175">
        <f t="shared" si="210"/>
        <v>0</v>
      </c>
      <c r="H2296" s="175">
        <f t="shared" si="203"/>
        <v>0</v>
      </c>
      <c r="I2296" s="177">
        <f>IF(G2296=0,0,IF(E2296="MXN",1/HLOOKUP(YEAR(C2296)+(MONTH(C2296)/100),TC!$5:$37,DAY(C2296)+2,FALSE),VLOOKUP(E2296,Equivalencia!$5:$23,((MAX(Equivalencia!$3:$3)-YEAR(C2296))*14)+MONTH(C2296)+2,FALSE)))</f>
        <v>0</v>
      </c>
      <c r="J2296" s="178">
        <f t="shared" si="211"/>
        <v>0</v>
      </c>
      <c r="K2296" s="462">
        <f>IF(C2296=0,0,VLOOKUP(YEAR(C2296),INPC!$B$4:$O$29,MONTH(C2296)+1))</f>
        <v>0</v>
      </c>
      <c r="L2296" s="462">
        <f>IF(S2296=0,0,VLOOKUP(YEAR(S2296),INPC!$B$4:$O$29,MONTH(S2296)+1))</f>
        <v>0</v>
      </c>
      <c r="M2296" s="463">
        <f t="shared" si="204"/>
        <v>0</v>
      </c>
      <c r="N2296" s="465">
        <f t="shared" si="212"/>
        <v>0</v>
      </c>
      <c r="O2296" s="179"/>
      <c r="P2296" s="180"/>
      <c r="Q2296" s="173"/>
      <c r="R2296" s="173"/>
      <c r="S2296" s="174"/>
      <c r="T2296" s="173"/>
      <c r="U2296" s="182"/>
      <c r="V2296" s="177">
        <f>IF(U2296=0,0,IF(T2296="MXN",1/HLOOKUP(YEAR(S2296)+(MONTH(S2296)/100),TC!$5:$37,DAY(S2296)+2,FALSE),VLOOKUP(T2296,Equivalencia!$1:$23,((MAX(Equivalencia!$3:$3)-YEAR(S2296))*14)+MONTH(S2296)+2,FALSE)))</f>
        <v>0</v>
      </c>
      <c r="W2296" s="178">
        <f t="shared" si="209"/>
        <v>0</v>
      </c>
      <c r="X2296" s="481">
        <f t="shared" si="205"/>
        <v>0</v>
      </c>
      <c r="Y2296" s="179"/>
      <c r="Z2296" s="466">
        <f t="shared" si="206"/>
        <v>0</v>
      </c>
      <c r="AA2296" s="473">
        <f t="shared" si="207"/>
        <v>0</v>
      </c>
      <c r="AB2296" s="339">
        <f t="shared" si="208"/>
        <v>0</v>
      </c>
    </row>
    <row r="2297" spans="2:28" ht="20.100000000000001" customHeight="1">
      <c r="B2297" s="172"/>
      <c r="C2297" s="174"/>
      <c r="D2297" s="181"/>
      <c r="E2297" s="173"/>
      <c r="F2297" s="176"/>
      <c r="G2297" s="175">
        <f t="shared" si="210"/>
        <v>0</v>
      </c>
      <c r="H2297" s="175">
        <f t="shared" si="203"/>
        <v>0</v>
      </c>
      <c r="I2297" s="177">
        <f>IF(G2297=0,0,IF(E2297="MXN",1/HLOOKUP(YEAR(C2297)+(MONTH(C2297)/100),TC!$5:$37,DAY(C2297)+2,FALSE),VLOOKUP(E2297,Equivalencia!$5:$23,((MAX(Equivalencia!$3:$3)-YEAR(C2297))*14)+MONTH(C2297)+2,FALSE)))</f>
        <v>0</v>
      </c>
      <c r="J2297" s="178">
        <f t="shared" si="211"/>
        <v>0</v>
      </c>
      <c r="K2297" s="462">
        <f>IF(C2297=0,0,VLOOKUP(YEAR(C2297),INPC!$B$4:$O$29,MONTH(C2297)+1))</f>
        <v>0</v>
      </c>
      <c r="L2297" s="462">
        <f>IF(S2297=0,0,VLOOKUP(YEAR(S2297),INPC!$B$4:$O$29,MONTH(S2297)+1))</f>
        <v>0</v>
      </c>
      <c r="M2297" s="463">
        <f t="shared" si="204"/>
        <v>0</v>
      </c>
      <c r="N2297" s="465">
        <f t="shared" si="212"/>
        <v>0</v>
      </c>
      <c r="O2297" s="179"/>
      <c r="P2297" s="180"/>
      <c r="Q2297" s="173"/>
      <c r="R2297" s="173"/>
      <c r="S2297" s="174"/>
      <c r="T2297" s="173"/>
      <c r="U2297" s="182"/>
      <c r="V2297" s="177">
        <f>IF(U2297=0,0,IF(T2297="MXN",1/HLOOKUP(YEAR(S2297)+(MONTH(S2297)/100),TC!$5:$37,DAY(S2297)+2,FALSE),VLOOKUP(T2297,Equivalencia!$1:$23,((MAX(Equivalencia!$3:$3)-YEAR(S2297))*14)+MONTH(S2297)+2,FALSE)))</f>
        <v>0</v>
      </c>
      <c r="W2297" s="178">
        <f t="shared" si="209"/>
        <v>0</v>
      </c>
      <c r="X2297" s="481">
        <f t="shared" si="205"/>
        <v>0</v>
      </c>
      <c r="Y2297" s="179"/>
      <c r="Z2297" s="466">
        <f t="shared" si="206"/>
        <v>0</v>
      </c>
      <c r="AA2297" s="473">
        <f t="shared" si="207"/>
        <v>0</v>
      </c>
      <c r="AB2297" s="339">
        <f t="shared" si="208"/>
        <v>0</v>
      </c>
    </row>
    <row r="2298" spans="2:28" ht="20.100000000000001" customHeight="1">
      <c r="B2298" s="172"/>
      <c r="C2298" s="174"/>
      <c r="D2298" s="181"/>
      <c r="E2298" s="173"/>
      <c r="F2298" s="176"/>
      <c r="G2298" s="175">
        <f t="shared" si="210"/>
        <v>0</v>
      </c>
      <c r="H2298" s="175">
        <f t="shared" si="203"/>
        <v>0</v>
      </c>
      <c r="I2298" s="177">
        <f>IF(G2298=0,0,IF(E2298="MXN",1/HLOOKUP(YEAR(C2298)+(MONTH(C2298)/100),TC!$5:$37,DAY(C2298)+2,FALSE),VLOOKUP(E2298,Equivalencia!$5:$23,((MAX(Equivalencia!$3:$3)-YEAR(C2298))*14)+MONTH(C2298)+2,FALSE)))</f>
        <v>0</v>
      </c>
      <c r="J2298" s="178">
        <f t="shared" si="211"/>
        <v>0</v>
      </c>
      <c r="K2298" s="462">
        <f>IF(C2298=0,0,VLOOKUP(YEAR(C2298),INPC!$B$4:$O$29,MONTH(C2298)+1))</f>
        <v>0</v>
      </c>
      <c r="L2298" s="462">
        <f>IF(S2298=0,0,VLOOKUP(YEAR(S2298),INPC!$B$4:$O$29,MONTH(S2298)+1))</f>
        <v>0</v>
      </c>
      <c r="M2298" s="463">
        <f t="shared" si="204"/>
        <v>0</v>
      </c>
      <c r="N2298" s="465">
        <f t="shared" si="212"/>
        <v>0</v>
      </c>
      <c r="O2298" s="179"/>
      <c r="P2298" s="180"/>
      <c r="Q2298" s="173"/>
      <c r="R2298" s="173"/>
      <c r="S2298" s="174"/>
      <c r="T2298" s="173"/>
      <c r="U2298" s="182"/>
      <c r="V2298" s="177">
        <f>IF(U2298=0,0,IF(T2298="MXN",1/HLOOKUP(YEAR(S2298)+(MONTH(S2298)/100),TC!$5:$37,DAY(S2298)+2,FALSE),VLOOKUP(T2298,Equivalencia!$1:$23,((MAX(Equivalencia!$3:$3)-YEAR(S2298))*14)+MONTH(S2298)+2,FALSE)))</f>
        <v>0</v>
      </c>
      <c r="W2298" s="178">
        <f t="shared" si="209"/>
        <v>0</v>
      </c>
      <c r="X2298" s="481">
        <f t="shared" si="205"/>
        <v>0</v>
      </c>
      <c r="Y2298" s="179"/>
      <c r="Z2298" s="466">
        <f t="shared" si="206"/>
        <v>0</v>
      </c>
      <c r="AA2298" s="473">
        <f t="shared" si="207"/>
        <v>0</v>
      </c>
      <c r="AB2298" s="339">
        <f t="shared" si="208"/>
        <v>0</v>
      </c>
    </row>
    <row r="2299" spans="2:28" ht="20.100000000000001" customHeight="1">
      <c r="B2299" s="172"/>
      <c r="C2299" s="174"/>
      <c r="D2299" s="181"/>
      <c r="E2299" s="173"/>
      <c r="F2299" s="176"/>
      <c r="G2299" s="175">
        <f t="shared" si="210"/>
        <v>0</v>
      </c>
      <c r="H2299" s="175">
        <f t="shared" si="203"/>
        <v>0</v>
      </c>
      <c r="I2299" s="177">
        <f>IF(G2299=0,0,IF(E2299="MXN",1/HLOOKUP(YEAR(C2299)+(MONTH(C2299)/100),TC!$5:$37,DAY(C2299)+2,FALSE),VLOOKUP(E2299,Equivalencia!$5:$23,((MAX(Equivalencia!$3:$3)-YEAR(C2299))*14)+MONTH(C2299)+2,FALSE)))</f>
        <v>0</v>
      </c>
      <c r="J2299" s="178">
        <f t="shared" si="211"/>
        <v>0</v>
      </c>
      <c r="K2299" s="462">
        <f>IF(C2299=0,0,VLOOKUP(YEAR(C2299),INPC!$B$4:$O$29,MONTH(C2299)+1))</f>
        <v>0</v>
      </c>
      <c r="L2299" s="462">
        <f>IF(S2299=0,0,VLOOKUP(YEAR(S2299),INPC!$B$4:$O$29,MONTH(S2299)+1))</f>
        <v>0</v>
      </c>
      <c r="M2299" s="463">
        <f t="shared" si="204"/>
        <v>0</v>
      </c>
      <c r="N2299" s="465">
        <f t="shared" si="212"/>
        <v>0</v>
      </c>
      <c r="O2299" s="179"/>
      <c r="P2299" s="180"/>
      <c r="Q2299" s="173"/>
      <c r="R2299" s="173"/>
      <c r="S2299" s="174"/>
      <c r="T2299" s="173"/>
      <c r="U2299" s="182"/>
      <c r="V2299" s="177">
        <f>IF(U2299=0,0,IF(T2299="MXN",1/HLOOKUP(YEAR(S2299)+(MONTH(S2299)/100),TC!$5:$37,DAY(S2299)+2,FALSE),VLOOKUP(T2299,Equivalencia!$1:$23,((MAX(Equivalencia!$3:$3)-YEAR(S2299))*14)+MONTH(S2299)+2,FALSE)))</f>
        <v>0</v>
      </c>
      <c r="W2299" s="178">
        <f t="shared" si="209"/>
        <v>0</v>
      </c>
      <c r="X2299" s="481">
        <f t="shared" si="205"/>
        <v>0</v>
      </c>
      <c r="Y2299" s="179"/>
      <c r="Z2299" s="466">
        <f t="shared" si="206"/>
        <v>0</v>
      </c>
      <c r="AA2299" s="473">
        <f t="shared" si="207"/>
        <v>0</v>
      </c>
      <c r="AB2299" s="339">
        <f t="shared" si="208"/>
        <v>0</v>
      </c>
    </row>
    <row r="2300" spans="2:28" ht="20.100000000000001" customHeight="1">
      <c r="B2300" s="172"/>
      <c r="C2300" s="174"/>
      <c r="D2300" s="181"/>
      <c r="E2300" s="173"/>
      <c r="F2300" s="176"/>
      <c r="G2300" s="175">
        <f t="shared" si="210"/>
        <v>0</v>
      </c>
      <c r="H2300" s="175">
        <f t="shared" si="203"/>
        <v>0</v>
      </c>
      <c r="I2300" s="177">
        <f>IF(G2300=0,0,IF(E2300="MXN",1/HLOOKUP(YEAR(C2300)+(MONTH(C2300)/100),TC!$5:$37,DAY(C2300)+2,FALSE),VLOOKUP(E2300,Equivalencia!$5:$23,((MAX(Equivalencia!$3:$3)-YEAR(C2300))*14)+MONTH(C2300)+2,FALSE)))</f>
        <v>0</v>
      </c>
      <c r="J2300" s="178">
        <f t="shared" si="211"/>
        <v>0</v>
      </c>
      <c r="K2300" s="462">
        <f>IF(C2300=0,0,VLOOKUP(YEAR(C2300),INPC!$B$4:$O$29,MONTH(C2300)+1))</f>
        <v>0</v>
      </c>
      <c r="L2300" s="462">
        <f>IF(S2300=0,0,VLOOKUP(YEAR(S2300),INPC!$B$4:$O$29,MONTH(S2300)+1))</f>
        <v>0</v>
      </c>
      <c r="M2300" s="463">
        <f t="shared" si="204"/>
        <v>0</v>
      </c>
      <c r="N2300" s="465">
        <f t="shared" si="212"/>
        <v>0</v>
      </c>
      <c r="O2300" s="179"/>
      <c r="P2300" s="180"/>
      <c r="Q2300" s="173"/>
      <c r="R2300" s="173"/>
      <c r="S2300" s="174"/>
      <c r="T2300" s="173"/>
      <c r="U2300" s="182"/>
      <c r="V2300" s="177">
        <f>IF(U2300=0,0,IF(T2300="MXN",1/HLOOKUP(YEAR(S2300)+(MONTH(S2300)/100),TC!$5:$37,DAY(S2300)+2,FALSE),VLOOKUP(T2300,Equivalencia!$1:$23,((MAX(Equivalencia!$3:$3)-YEAR(S2300))*14)+MONTH(S2300)+2,FALSE)))</f>
        <v>0</v>
      </c>
      <c r="W2300" s="178">
        <f t="shared" si="209"/>
        <v>0</v>
      </c>
      <c r="X2300" s="481">
        <f t="shared" si="205"/>
        <v>0</v>
      </c>
      <c r="Y2300" s="179"/>
      <c r="Z2300" s="466">
        <f t="shared" si="206"/>
        <v>0</v>
      </c>
      <c r="AA2300" s="473">
        <f t="shared" si="207"/>
        <v>0</v>
      </c>
      <c r="AB2300" s="339">
        <f t="shared" si="208"/>
        <v>0</v>
      </c>
    </row>
    <row r="2301" spans="2:28" ht="20.100000000000001" customHeight="1">
      <c r="B2301" s="172"/>
      <c r="C2301" s="174"/>
      <c r="D2301" s="181"/>
      <c r="E2301" s="173"/>
      <c r="F2301" s="176"/>
      <c r="G2301" s="175">
        <f t="shared" si="210"/>
        <v>0</v>
      </c>
      <c r="H2301" s="175">
        <f t="shared" si="203"/>
        <v>0</v>
      </c>
      <c r="I2301" s="177">
        <f>IF(G2301=0,0,IF(E2301="MXN",1/HLOOKUP(YEAR(C2301)+(MONTH(C2301)/100),TC!$5:$37,DAY(C2301)+2,FALSE),VLOOKUP(E2301,Equivalencia!$5:$23,((MAX(Equivalencia!$3:$3)-YEAR(C2301))*14)+MONTH(C2301)+2,FALSE)))</f>
        <v>0</v>
      </c>
      <c r="J2301" s="178">
        <f t="shared" si="211"/>
        <v>0</v>
      </c>
      <c r="K2301" s="462">
        <f>IF(C2301=0,0,VLOOKUP(YEAR(C2301),INPC!$B$4:$O$29,MONTH(C2301)+1))</f>
        <v>0</v>
      </c>
      <c r="L2301" s="462">
        <f>IF(S2301=0,0,VLOOKUP(YEAR(S2301),INPC!$B$4:$O$29,MONTH(S2301)+1))</f>
        <v>0</v>
      </c>
      <c r="M2301" s="463">
        <f t="shared" si="204"/>
        <v>0</v>
      </c>
      <c r="N2301" s="465">
        <f t="shared" si="212"/>
        <v>0</v>
      </c>
      <c r="O2301" s="179"/>
      <c r="P2301" s="180"/>
      <c r="Q2301" s="173"/>
      <c r="R2301" s="173"/>
      <c r="S2301" s="174"/>
      <c r="T2301" s="173"/>
      <c r="U2301" s="182"/>
      <c r="V2301" s="177">
        <f>IF(U2301=0,0,IF(T2301="MXN",1/HLOOKUP(YEAR(S2301)+(MONTH(S2301)/100),TC!$5:$37,DAY(S2301)+2,FALSE),VLOOKUP(T2301,Equivalencia!$1:$23,((MAX(Equivalencia!$3:$3)-YEAR(S2301))*14)+MONTH(S2301)+2,FALSE)))</f>
        <v>0</v>
      </c>
      <c r="W2301" s="178">
        <f t="shared" si="209"/>
        <v>0</v>
      </c>
      <c r="X2301" s="481">
        <f t="shared" si="205"/>
        <v>0</v>
      </c>
      <c r="Y2301" s="179"/>
      <c r="Z2301" s="466">
        <f t="shared" si="206"/>
        <v>0</v>
      </c>
      <c r="AA2301" s="473">
        <f t="shared" si="207"/>
        <v>0</v>
      </c>
      <c r="AB2301" s="339">
        <f t="shared" si="208"/>
        <v>0</v>
      </c>
    </row>
    <row r="2302" spans="2:28" ht="20.100000000000001" customHeight="1">
      <c r="B2302" s="172"/>
      <c r="C2302" s="174"/>
      <c r="D2302" s="181"/>
      <c r="E2302" s="173"/>
      <c r="F2302" s="176"/>
      <c r="G2302" s="175">
        <f t="shared" si="210"/>
        <v>0</v>
      </c>
      <c r="H2302" s="175">
        <f t="shared" si="203"/>
        <v>0</v>
      </c>
      <c r="I2302" s="177">
        <f>IF(G2302=0,0,IF(E2302="MXN",1/HLOOKUP(YEAR(C2302)+(MONTH(C2302)/100),TC!$5:$37,DAY(C2302)+2,FALSE),VLOOKUP(E2302,Equivalencia!$5:$23,((MAX(Equivalencia!$3:$3)-YEAR(C2302))*14)+MONTH(C2302)+2,FALSE)))</f>
        <v>0</v>
      </c>
      <c r="J2302" s="178">
        <f t="shared" si="211"/>
        <v>0</v>
      </c>
      <c r="K2302" s="462">
        <f>IF(C2302=0,0,VLOOKUP(YEAR(C2302),INPC!$B$4:$O$29,MONTH(C2302)+1))</f>
        <v>0</v>
      </c>
      <c r="L2302" s="462">
        <f>IF(S2302=0,0,VLOOKUP(YEAR(S2302),INPC!$B$4:$O$29,MONTH(S2302)+1))</f>
        <v>0</v>
      </c>
      <c r="M2302" s="463">
        <f t="shared" si="204"/>
        <v>0</v>
      </c>
      <c r="N2302" s="465">
        <f t="shared" si="212"/>
        <v>0</v>
      </c>
      <c r="O2302" s="179"/>
      <c r="P2302" s="180"/>
      <c r="Q2302" s="173"/>
      <c r="R2302" s="173"/>
      <c r="S2302" s="174"/>
      <c r="T2302" s="173"/>
      <c r="U2302" s="182"/>
      <c r="V2302" s="177">
        <f>IF(U2302=0,0,IF(T2302="MXN",1/HLOOKUP(YEAR(S2302)+(MONTH(S2302)/100),TC!$5:$37,DAY(S2302)+2,FALSE),VLOOKUP(T2302,Equivalencia!$1:$23,((MAX(Equivalencia!$3:$3)-YEAR(S2302))*14)+MONTH(S2302)+2,FALSE)))</f>
        <v>0</v>
      </c>
      <c r="W2302" s="178">
        <f t="shared" si="209"/>
        <v>0</v>
      </c>
      <c r="X2302" s="481">
        <f t="shared" si="205"/>
        <v>0</v>
      </c>
      <c r="Y2302" s="179"/>
      <c r="Z2302" s="466">
        <f t="shared" si="206"/>
        <v>0</v>
      </c>
      <c r="AA2302" s="473">
        <f t="shared" si="207"/>
        <v>0</v>
      </c>
      <c r="AB2302" s="339">
        <f t="shared" si="208"/>
        <v>0</v>
      </c>
    </row>
    <row r="2303" spans="2:28" ht="20.100000000000001" customHeight="1">
      <c r="B2303" s="172"/>
      <c r="C2303" s="174"/>
      <c r="D2303" s="181"/>
      <c r="E2303" s="173"/>
      <c r="F2303" s="176"/>
      <c r="G2303" s="175">
        <f t="shared" si="210"/>
        <v>0</v>
      </c>
      <c r="H2303" s="175">
        <f t="shared" si="203"/>
        <v>0</v>
      </c>
      <c r="I2303" s="177">
        <f>IF(G2303=0,0,IF(E2303="MXN",1/HLOOKUP(YEAR(C2303)+(MONTH(C2303)/100),TC!$5:$37,DAY(C2303)+2,FALSE),VLOOKUP(E2303,Equivalencia!$5:$23,((MAX(Equivalencia!$3:$3)-YEAR(C2303))*14)+MONTH(C2303)+2,FALSE)))</f>
        <v>0</v>
      </c>
      <c r="J2303" s="178">
        <f t="shared" si="211"/>
        <v>0</v>
      </c>
      <c r="K2303" s="462">
        <f>IF(C2303=0,0,VLOOKUP(YEAR(C2303),INPC!$B$4:$O$29,MONTH(C2303)+1))</f>
        <v>0</v>
      </c>
      <c r="L2303" s="462">
        <f>IF(S2303=0,0,VLOOKUP(YEAR(S2303),INPC!$B$4:$O$29,MONTH(S2303)+1))</f>
        <v>0</v>
      </c>
      <c r="M2303" s="463">
        <f t="shared" si="204"/>
        <v>0</v>
      </c>
      <c r="N2303" s="465">
        <f t="shared" si="212"/>
        <v>0</v>
      </c>
      <c r="O2303" s="179"/>
      <c r="P2303" s="180"/>
      <c r="Q2303" s="173"/>
      <c r="R2303" s="173"/>
      <c r="S2303" s="174"/>
      <c r="T2303" s="173"/>
      <c r="U2303" s="182"/>
      <c r="V2303" s="177">
        <f>IF(U2303=0,0,IF(T2303="MXN",1/HLOOKUP(YEAR(S2303)+(MONTH(S2303)/100),TC!$5:$37,DAY(S2303)+2,FALSE),VLOOKUP(T2303,Equivalencia!$1:$23,((MAX(Equivalencia!$3:$3)-YEAR(S2303))*14)+MONTH(S2303)+2,FALSE)))</f>
        <v>0</v>
      </c>
      <c r="W2303" s="178">
        <f t="shared" si="209"/>
        <v>0</v>
      </c>
      <c r="X2303" s="481">
        <f t="shared" si="205"/>
        <v>0</v>
      </c>
      <c r="Y2303" s="179"/>
      <c r="Z2303" s="466">
        <f t="shared" si="206"/>
        <v>0</v>
      </c>
      <c r="AA2303" s="473">
        <f t="shared" si="207"/>
        <v>0</v>
      </c>
      <c r="AB2303" s="339">
        <f t="shared" si="208"/>
        <v>0</v>
      </c>
    </row>
    <row r="2304" spans="2:28" ht="20.100000000000001" customHeight="1">
      <c r="B2304" s="172"/>
      <c r="C2304" s="174"/>
      <c r="D2304" s="181"/>
      <c r="E2304" s="173"/>
      <c r="F2304" s="176"/>
      <c r="G2304" s="175">
        <f t="shared" si="210"/>
        <v>0</v>
      </c>
      <c r="H2304" s="175">
        <f t="shared" si="203"/>
        <v>0</v>
      </c>
      <c r="I2304" s="177">
        <f>IF(G2304=0,0,IF(E2304="MXN",1/HLOOKUP(YEAR(C2304)+(MONTH(C2304)/100),TC!$5:$37,DAY(C2304)+2,FALSE),VLOOKUP(E2304,Equivalencia!$5:$23,((MAX(Equivalencia!$3:$3)-YEAR(C2304))*14)+MONTH(C2304)+2,FALSE)))</f>
        <v>0</v>
      </c>
      <c r="J2304" s="178">
        <f t="shared" si="211"/>
        <v>0</v>
      </c>
      <c r="K2304" s="462">
        <f>IF(C2304=0,0,VLOOKUP(YEAR(C2304),INPC!$B$4:$O$29,MONTH(C2304)+1))</f>
        <v>0</v>
      </c>
      <c r="L2304" s="462">
        <f>IF(S2304=0,0,VLOOKUP(YEAR(S2304),INPC!$B$4:$O$29,MONTH(S2304)+1))</f>
        <v>0</v>
      </c>
      <c r="M2304" s="463">
        <f t="shared" si="204"/>
        <v>0</v>
      </c>
      <c r="N2304" s="465">
        <f t="shared" si="212"/>
        <v>0</v>
      </c>
      <c r="O2304" s="179"/>
      <c r="P2304" s="180"/>
      <c r="Q2304" s="173"/>
      <c r="R2304" s="173"/>
      <c r="S2304" s="174"/>
      <c r="T2304" s="173"/>
      <c r="U2304" s="182"/>
      <c r="V2304" s="177">
        <f>IF(U2304=0,0,IF(T2304="MXN",1/HLOOKUP(YEAR(S2304)+(MONTH(S2304)/100),TC!$5:$37,DAY(S2304)+2,FALSE),VLOOKUP(T2304,Equivalencia!$1:$23,((MAX(Equivalencia!$3:$3)-YEAR(S2304))*14)+MONTH(S2304)+2,FALSE)))</f>
        <v>0</v>
      </c>
      <c r="W2304" s="178">
        <f t="shared" si="209"/>
        <v>0</v>
      </c>
      <c r="X2304" s="481">
        <f t="shared" si="205"/>
        <v>0</v>
      </c>
      <c r="Y2304" s="179"/>
      <c r="Z2304" s="466">
        <f t="shared" si="206"/>
        <v>0</v>
      </c>
      <c r="AA2304" s="473">
        <f t="shared" si="207"/>
        <v>0</v>
      </c>
      <c r="AB2304" s="339">
        <f t="shared" si="208"/>
        <v>0</v>
      </c>
    </row>
    <row r="2305" spans="2:28" ht="20.100000000000001" customHeight="1">
      <c r="B2305" s="172"/>
      <c r="C2305" s="174"/>
      <c r="D2305" s="181"/>
      <c r="E2305" s="173"/>
      <c r="F2305" s="176"/>
      <c r="G2305" s="175">
        <f t="shared" si="210"/>
        <v>0</v>
      </c>
      <c r="H2305" s="175">
        <f t="shared" si="203"/>
        <v>0</v>
      </c>
      <c r="I2305" s="177">
        <f>IF(G2305=0,0,IF(E2305="MXN",1/HLOOKUP(YEAR(C2305)+(MONTH(C2305)/100),TC!$5:$37,DAY(C2305)+2,FALSE),VLOOKUP(E2305,Equivalencia!$5:$23,((MAX(Equivalencia!$3:$3)-YEAR(C2305))*14)+MONTH(C2305)+2,FALSE)))</f>
        <v>0</v>
      </c>
      <c r="J2305" s="178">
        <f t="shared" si="211"/>
        <v>0</v>
      </c>
      <c r="K2305" s="462">
        <f>IF(C2305=0,0,VLOOKUP(YEAR(C2305),INPC!$B$4:$O$29,MONTH(C2305)+1))</f>
        <v>0</v>
      </c>
      <c r="L2305" s="462">
        <f>IF(S2305=0,0,VLOOKUP(YEAR(S2305),INPC!$B$4:$O$29,MONTH(S2305)+1))</f>
        <v>0</v>
      </c>
      <c r="M2305" s="463">
        <f t="shared" si="204"/>
        <v>0</v>
      </c>
      <c r="N2305" s="465">
        <f t="shared" si="212"/>
        <v>0</v>
      </c>
      <c r="O2305" s="179"/>
      <c r="P2305" s="180"/>
      <c r="Q2305" s="173"/>
      <c r="R2305" s="173"/>
      <c r="S2305" s="174"/>
      <c r="T2305" s="173"/>
      <c r="U2305" s="182"/>
      <c r="V2305" s="177">
        <f>IF(U2305=0,0,IF(T2305="MXN",1/HLOOKUP(YEAR(S2305)+(MONTH(S2305)/100),TC!$5:$37,DAY(S2305)+2,FALSE),VLOOKUP(T2305,Equivalencia!$1:$23,((MAX(Equivalencia!$3:$3)-YEAR(S2305))*14)+MONTH(S2305)+2,FALSE)))</f>
        <v>0</v>
      </c>
      <c r="W2305" s="178">
        <f t="shared" si="209"/>
        <v>0</v>
      </c>
      <c r="X2305" s="481">
        <f t="shared" si="205"/>
        <v>0</v>
      </c>
      <c r="Y2305" s="179"/>
      <c r="Z2305" s="466">
        <f t="shared" si="206"/>
        <v>0</v>
      </c>
      <c r="AA2305" s="473">
        <f t="shared" si="207"/>
        <v>0</v>
      </c>
      <c r="AB2305" s="339">
        <f t="shared" si="208"/>
        <v>0</v>
      </c>
    </row>
    <row r="2306" spans="2:28" ht="20.100000000000001" customHeight="1">
      <c r="B2306" s="172"/>
      <c r="C2306" s="174"/>
      <c r="D2306" s="181"/>
      <c r="E2306" s="173"/>
      <c r="F2306" s="176"/>
      <c r="G2306" s="175">
        <f t="shared" si="210"/>
        <v>0</v>
      </c>
      <c r="H2306" s="175">
        <f t="shared" si="203"/>
        <v>0</v>
      </c>
      <c r="I2306" s="177">
        <f>IF(G2306=0,0,IF(E2306="MXN",1/HLOOKUP(YEAR(C2306)+(MONTH(C2306)/100),TC!$5:$37,DAY(C2306)+2,FALSE),VLOOKUP(E2306,Equivalencia!$5:$23,((MAX(Equivalencia!$3:$3)-YEAR(C2306))*14)+MONTH(C2306)+2,FALSE)))</f>
        <v>0</v>
      </c>
      <c r="J2306" s="178">
        <f t="shared" si="211"/>
        <v>0</v>
      </c>
      <c r="K2306" s="462">
        <f>IF(C2306=0,0,VLOOKUP(YEAR(C2306),INPC!$B$4:$O$29,MONTH(C2306)+1))</f>
        <v>0</v>
      </c>
      <c r="L2306" s="462">
        <f>IF(S2306=0,0,VLOOKUP(YEAR(S2306),INPC!$B$4:$O$29,MONTH(S2306)+1))</f>
        <v>0</v>
      </c>
      <c r="M2306" s="463">
        <f t="shared" si="204"/>
        <v>0</v>
      </c>
      <c r="N2306" s="465">
        <f t="shared" si="212"/>
        <v>0</v>
      </c>
      <c r="O2306" s="179"/>
      <c r="P2306" s="180"/>
      <c r="Q2306" s="173"/>
      <c r="R2306" s="173"/>
      <c r="S2306" s="174"/>
      <c r="T2306" s="173"/>
      <c r="U2306" s="182"/>
      <c r="V2306" s="177">
        <f>IF(U2306=0,0,IF(T2306="MXN",1/HLOOKUP(YEAR(S2306)+(MONTH(S2306)/100),TC!$5:$37,DAY(S2306)+2,FALSE),VLOOKUP(T2306,Equivalencia!$1:$23,((MAX(Equivalencia!$3:$3)-YEAR(S2306))*14)+MONTH(S2306)+2,FALSE)))</f>
        <v>0</v>
      </c>
      <c r="W2306" s="178">
        <f t="shared" si="209"/>
        <v>0</v>
      </c>
      <c r="X2306" s="481">
        <f t="shared" si="205"/>
        <v>0</v>
      </c>
      <c r="Y2306" s="179"/>
      <c r="Z2306" s="466">
        <f t="shared" si="206"/>
        <v>0</v>
      </c>
      <c r="AA2306" s="473">
        <f t="shared" si="207"/>
        <v>0</v>
      </c>
      <c r="AB2306" s="339">
        <f t="shared" si="208"/>
        <v>0</v>
      </c>
    </row>
    <row r="2307" spans="2:28" ht="20.100000000000001" customHeight="1">
      <c r="B2307" s="172"/>
      <c r="C2307" s="174"/>
      <c r="D2307" s="181"/>
      <c r="E2307" s="173"/>
      <c r="F2307" s="176"/>
      <c r="G2307" s="175">
        <f t="shared" si="210"/>
        <v>0</v>
      </c>
      <c r="H2307" s="175">
        <f t="shared" si="203"/>
        <v>0</v>
      </c>
      <c r="I2307" s="177">
        <f>IF(G2307=0,0,IF(E2307="MXN",1/HLOOKUP(YEAR(C2307)+(MONTH(C2307)/100),TC!$5:$37,DAY(C2307)+2,FALSE),VLOOKUP(E2307,Equivalencia!$5:$23,((MAX(Equivalencia!$3:$3)-YEAR(C2307))*14)+MONTH(C2307)+2,FALSE)))</f>
        <v>0</v>
      </c>
      <c r="J2307" s="178">
        <f t="shared" si="211"/>
        <v>0</v>
      </c>
      <c r="K2307" s="462">
        <f>IF(C2307=0,0,VLOOKUP(YEAR(C2307),INPC!$B$4:$O$29,MONTH(C2307)+1))</f>
        <v>0</v>
      </c>
      <c r="L2307" s="462">
        <f>IF(S2307=0,0,VLOOKUP(YEAR(S2307),INPC!$B$4:$O$29,MONTH(S2307)+1))</f>
        <v>0</v>
      </c>
      <c r="M2307" s="463">
        <f t="shared" si="204"/>
        <v>0</v>
      </c>
      <c r="N2307" s="465">
        <f t="shared" si="212"/>
        <v>0</v>
      </c>
      <c r="O2307" s="179"/>
      <c r="P2307" s="180"/>
      <c r="Q2307" s="173"/>
      <c r="R2307" s="173"/>
      <c r="S2307" s="174"/>
      <c r="T2307" s="173"/>
      <c r="U2307" s="182"/>
      <c r="V2307" s="177">
        <f>IF(U2307=0,0,IF(T2307="MXN",1/HLOOKUP(YEAR(S2307)+(MONTH(S2307)/100),TC!$5:$37,DAY(S2307)+2,FALSE),VLOOKUP(T2307,Equivalencia!$1:$23,((MAX(Equivalencia!$3:$3)-YEAR(S2307))*14)+MONTH(S2307)+2,FALSE)))</f>
        <v>0</v>
      </c>
      <c r="W2307" s="178">
        <f t="shared" si="209"/>
        <v>0</v>
      </c>
      <c r="X2307" s="481">
        <f t="shared" si="205"/>
        <v>0</v>
      </c>
      <c r="Y2307" s="179"/>
      <c r="Z2307" s="466">
        <f t="shared" si="206"/>
        <v>0</v>
      </c>
      <c r="AA2307" s="473">
        <f t="shared" si="207"/>
        <v>0</v>
      </c>
      <c r="AB2307" s="339">
        <f t="shared" si="208"/>
        <v>0</v>
      </c>
    </row>
    <row r="2308" spans="2:28" ht="20.100000000000001" customHeight="1">
      <c r="B2308" s="172"/>
      <c r="C2308" s="174"/>
      <c r="D2308" s="181"/>
      <c r="E2308" s="173"/>
      <c r="F2308" s="176"/>
      <c r="G2308" s="175">
        <f t="shared" si="210"/>
        <v>0</v>
      </c>
      <c r="H2308" s="175">
        <f t="shared" si="203"/>
        <v>0</v>
      </c>
      <c r="I2308" s="177">
        <f>IF(G2308=0,0,IF(E2308="MXN",1/HLOOKUP(YEAR(C2308)+(MONTH(C2308)/100),TC!$5:$37,DAY(C2308)+2,FALSE),VLOOKUP(E2308,Equivalencia!$5:$23,((MAX(Equivalencia!$3:$3)-YEAR(C2308))*14)+MONTH(C2308)+2,FALSE)))</f>
        <v>0</v>
      </c>
      <c r="J2308" s="178">
        <f t="shared" si="211"/>
        <v>0</v>
      </c>
      <c r="K2308" s="462">
        <f>IF(C2308=0,0,VLOOKUP(YEAR(C2308),INPC!$B$4:$O$29,MONTH(C2308)+1))</f>
        <v>0</v>
      </c>
      <c r="L2308" s="462">
        <f>IF(S2308=0,0,VLOOKUP(YEAR(S2308),INPC!$B$4:$O$29,MONTH(S2308)+1))</f>
        <v>0</v>
      </c>
      <c r="M2308" s="463">
        <f t="shared" si="204"/>
        <v>0</v>
      </c>
      <c r="N2308" s="465">
        <f t="shared" si="212"/>
        <v>0</v>
      </c>
      <c r="O2308" s="179"/>
      <c r="P2308" s="180"/>
      <c r="Q2308" s="173"/>
      <c r="R2308" s="173"/>
      <c r="S2308" s="174"/>
      <c r="T2308" s="173"/>
      <c r="U2308" s="182"/>
      <c r="V2308" s="177">
        <f>IF(U2308=0,0,IF(T2308="MXN",1/HLOOKUP(YEAR(S2308)+(MONTH(S2308)/100),TC!$5:$37,DAY(S2308)+2,FALSE),VLOOKUP(T2308,Equivalencia!$1:$23,((MAX(Equivalencia!$3:$3)-YEAR(S2308))*14)+MONTH(S2308)+2,FALSE)))</f>
        <v>0</v>
      </c>
      <c r="W2308" s="178">
        <f t="shared" si="209"/>
        <v>0</v>
      </c>
      <c r="X2308" s="481">
        <f t="shared" si="205"/>
        <v>0</v>
      </c>
      <c r="Y2308" s="179"/>
      <c r="Z2308" s="466">
        <f t="shared" si="206"/>
        <v>0</v>
      </c>
      <c r="AA2308" s="473">
        <f t="shared" si="207"/>
        <v>0</v>
      </c>
      <c r="AB2308" s="339">
        <f t="shared" si="208"/>
        <v>0</v>
      </c>
    </row>
    <row r="2309" spans="2:28" ht="20.100000000000001" customHeight="1">
      <c r="B2309" s="172"/>
      <c r="C2309" s="174"/>
      <c r="D2309" s="181"/>
      <c r="E2309" s="173"/>
      <c r="F2309" s="176"/>
      <c r="G2309" s="175">
        <f t="shared" si="210"/>
        <v>0</v>
      </c>
      <c r="H2309" s="175">
        <f t="shared" si="203"/>
        <v>0</v>
      </c>
      <c r="I2309" s="177">
        <f>IF(G2309=0,0,IF(E2309="MXN",1/HLOOKUP(YEAR(C2309)+(MONTH(C2309)/100),TC!$5:$37,DAY(C2309)+2,FALSE),VLOOKUP(E2309,Equivalencia!$5:$23,((MAX(Equivalencia!$3:$3)-YEAR(C2309))*14)+MONTH(C2309)+2,FALSE)))</f>
        <v>0</v>
      </c>
      <c r="J2309" s="178">
        <f t="shared" si="211"/>
        <v>0</v>
      </c>
      <c r="K2309" s="462">
        <f>IF(C2309=0,0,VLOOKUP(YEAR(C2309),INPC!$B$4:$O$29,MONTH(C2309)+1))</f>
        <v>0</v>
      </c>
      <c r="L2309" s="462">
        <f>IF(S2309=0,0,VLOOKUP(YEAR(S2309),INPC!$B$4:$O$29,MONTH(S2309)+1))</f>
        <v>0</v>
      </c>
      <c r="M2309" s="463">
        <f t="shared" si="204"/>
        <v>0</v>
      </c>
      <c r="N2309" s="465">
        <f t="shared" si="212"/>
        <v>0</v>
      </c>
      <c r="O2309" s="179"/>
      <c r="P2309" s="180"/>
      <c r="Q2309" s="173"/>
      <c r="R2309" s="173"/>
      <c r="S2309" s="174"/>
      <c r="T2309" s="173"/>
      <c r="U2309" s="182"/>
      <c r="V2309" s="177">
        <f>IF(U2309=0,0,IF(T2309="MXN",1/HLOOKUP(YEAR(S2309)+(MONTH(S2309)/100),TC!$5:$37,DAY(S2309)+2,FALSE),VLOOKUP(T2309,Equivalencia!$1:$23,((MAX(Equivalencia!$3:$3)-YEAR(S2309))*14)+MONTH(S2309)+2,FALSE)))</f>
        <v>0</v>
      </c>
      <c r="W2309" s="178">
        <f t="shared" si="209"/>
        <v>0</v>
      </c>
      <c r="X2309" s="481">
        <f t="shared" si="205"/>
        <v>0</v>
      </c>
      <c r="Y2309" s="179"/>
      <c r="Z2309" s="466">
        <f t="shared" si="206"/>
        <v>0</v>
      </c>
      <c r="AA2309" s="473">
        <f t="shared" si="207"/>
        <v>0</v>
      </c>
      <c r="AB2309" s="339">
        <f t="shared" si="208"/>
        <v>0</v>
      </c>
    </row>
    <row r="2310" spans="2:28" ht="20.100000000000001" customHeight="1">
      <c r="B2310" s="172"/>
      <c r="C2310" s="174"/>
      <c r="D2310" s="181"/>
      <c r="E2310" s="173"/>
      <c r="F2310" s="176"/>
      <c r="G2310" s="175">
        <f t="shared" si="210"/>
        <v>0</v>
      </c>
      <c r="H2310" s="175">
        <f t="shared" si="203"/>
        <v>0</v>
      </c>
      <c r="I2310" s="177">
        <f>IF(G2310=0,0,IF(E2310="MXN",1/HLOOKUP(YEAR(C2310)+(MONTH(C2310)/100),TC!$5:$37,DAY(C2310)+2,FALSE),VLOOKUP(E2310,Equivalencia!$5:$23,((MAX(Equivalencia!$3:$3)-YEAR(C2310))*14)+MONTH(C2310)+2,FALSE)))</f>
        <v>0</v>
      </c>
      <c r="J2310" s="178">
        <f t="shared" si="211"/>
        <v>0</v>
      </c>
      <c r="K2310" s="462">
        <f>IF(C2310=0,0,VLOOKUP(YEAR(C2310),INPC!$B$4:$O$29,MONTH(C2310)+1))</f>
        <v>0</v>
      </c>
      <c r="L2310" s="462">
        <f>IF(S2310=0,0,VLOOKUP(YEAR(S2310),INPC!$B$4:$O$29,MONTH(S2310)+1))</f>
        <v>0</v>
      </c>
      <c r="M2310" s="463">
        <f t="shared" si="204"/>
        <v>0</v>
      </c>
      <c r="N2310" s="465">
        <f t="shared" si="212"/>
        <v>0</v>
      </c>
      <c r="O2310" s="179"/>
      <c r="P2310" s="180"/>
      <c r="Q2310" s="173"/>
      <c r="R2310" s="173"/>
      <c r="S2310" s="174"/>
      <c r="T2310" s="173"/>
      <c r="U2310" s="182"/>
      <c r="V2310" s="177">
        <f>IF(U2310=0,0,IF(T2310="MXN",1/HLOOKUP(YEAR(S2310)+(MONTH(S2310)/100),TC!$5:$37,DAY(S2310)+2,FALSE),VLOOKUP(T2310,Equivalencia!$1:$23,((MAX(Equivalencia!$3:$3)-YEAR(S2310))*14)+MONTH(S2310)+2,FALSE)))</f>
        <v>0</v>
      </c>
      <c r="W2310" s="178">
        <f t="shared" si="209"/>
        <v>0</v>
      </c>
      <c r="X2310" s="481">
        <f t="shared" si="205"/>
        <v>0</v>
      </c>
      <c r="Y2310" s="179"/>
      <c r="Z2310" s="466">
        <f t="shared" si="206"/>
        <v>0</v>
      </c>
      <c r="AA2310" s="473">
        <f t="shared" si="207"/>
        <v>0</v>
      </c>
      <c r="AB2310" s="339">
        <f t="shared" si="208"/>
        <v>0</v>
      </c>
    </row>
    <row r="2311" spans="2:28" ht="20.100000000000001" customHeight="1">
      <c r="B2311" s="172"/>
      <c r="C2311" s="174"/>
      <c r="D2311" s="181"/>
      <c r="E2311" s="173"/>
      <c r="F2311" s="176"/>
      <c r="G2311" s="175">
        <f t="shared" si="210"/>
        <v>0</v>
      </c>
      <c r="H2311" s="175">
        <f t="shared" si="203"/>
        <v>0</v>
      </c>
      <c r="I2311" s="177">
        <f>IF(G2311=0,0,IF(E2311="MXN",1/HLOOKUP(YEAR(C2311)+(MONTH(C2311)/100),TC!$5:$37,DAY(C2311)+2,FALSE),VLOOKUP(E2311,Equivalencia!$5:$23,((MAX(Equivalencia!$3:$3)-YEAR(C2311))*14)+MONTH(C2311)+2,FALSE)))</f>
        <v>0</v>
      </c>
      <c r="J2311" s="178">
        <f t="shared" si="211"/>
        <v>0</v>
      </c>
      <c r="K2311" s="462">
        <f>IF(C2311=0,0,VLOOKUP(YEAR(C2311),INPC!$B$4:$O$29,MONTH(C2311)+1))</f>
        <v>0</v>
      </c>
      <c r="L2311" s="462">
        <f>IF(S2311=0,0,VLOOKUP(YEAR(S2311),INPC!$B$4:$O$29,MONTH(S2311)+1))</f>
        <v>0</v>
      </c>
      <c r="M2311" s="463">
        <f t="shared" si="204"/>
        <v>0</v>
      </c>
      <c r="N2311" s="465">
        <f t="shared" si="212"/>
        <v>0</v>
      </c>
      <c r="O2311" s="179"/>
      <c r="P2311" s="180"/>
      <c r="Q2311" s="173"/>
      <c r="R2311" s="173"/>
      <c r="S2311" s="174"/>
      <c r="T2311" s="173"/>
      <c r="U2311" s="182"/>
      <c r="V2311" s="177">
        <f>IF(U2311=0,0,IF(T2311="MXN",1/HLOOKUP(YEAR(S2311)+(MONTH(S2311)/100),TC!$5:$37,DAY(S2311)+2,FALSE),VLOOKUP(T2311,Equivalencia!$1:$23,((MAX(Equivalencia!$3:$3)-YEAR(S2311))*14)+MONTH(S2311)+2,FALSE)))</f>
        <v>0</v>
      </c>
      <c r="W2311" s="178">
        <f t="shared" si="209"/>
        <v>0</v>
      </c>
      <c r="X2311" s="481">
        <f t="shared" si="205"/>
        <v>0</v>
      </c>
      <c r="Y2311" s="179"/>
      <c r="Z2311" s="466">
        <f t="shared" si="206"/>
        <v>0</v>
      </c>
      <c r="AA2311" s="473">
        <f t="shared" si="207"/>
        <v>0</v>
      </c>
      <c r="AB2311" s="339">
        <f t="shared" si="208"/>
        <v>0</v>
      </c>
    </row>
    <row r="2312" spans="2:28" ht="20.100000000000001" customHeight="1">
      <c r="B2312" s="172"/>
      <c r="C2312" s="174"/>
      <c r="D2312" s="181"/>
      <c r="E2312" s="173"/>
      <c r="F2312" s="176"/>
      <c r="G2312" s="175">
        <f t="shared" si="210"/>
        <v>0</v>
      </c>
      <c r="H2312" s="175">
        <f t="shared" si="203"/>
        <v>0</v>
      </c>
      <c r="I2312" s="177">
        <f>IF(G2312=0,0,IF(E2312="MXN",1/HLOOKUP(YEAR(C2312)+(MONTH(C2312)/100),TC!$5:$37,DAY(C2312)+2,FALSE),VLOOKUP(E2312,Equivalencia!$5:$23,((MAX(Equivalencia!$3:$3)-YEAR(C2312))*14)+MONTH(C2312)+2,FALSE)))</f>
        <v>0</v>
      </c>
      <c r="J2312" s="178">
        <f t="shared" si="211"/>
        <v>0</v>
      </c>
      <c r="K2312" s="462">
        <f>IF(C2312=0,0,VLOOKUP(YEAR(C2312),INPC!$B$4:$O$29,MONTH(C2312)+1))</f>
        <v>0</v>
      </c>
      <c r="L2312" s="462">
        <f>IF(S2312=0,0,VLOOKUP(YEAR(S2312),INPC!$B$4:$O$29,MONTH(S2312)+1))</f>
        <v>0</v>
      </c>
      <c r="M2312" s="463">
        <f t="shared" si="204"/>
        <v>0</v>
      </c>
      <c r="N2312" s="465">
        <f t="shared" si="212"/>
        <v>0</v>
      </c>
      <c r="O2312" s="179"/>
      <c r="P2312" s="180"/>
      <c r="Q2312" s="173"/>
      <c r="R2312" s="173"/>
      <c r="S2312" s="174"/>
      <c r="T2312" s="173"/>
      <c r="U2312" s="182"/>
      <c r="V2312" s="177">
        <f>IF(U2312=0,0,IF(T2312="MXN",1/HLOOKUP(YEAR(S2312)+(MONTH(S2312)/100),TC!$5:$37,DAY(S2312)+2,FALSE),VLOOKUP(T2312,Equivalencia!$1:$23,((MAX(Equivalencia!$3:$3)-YEAR(S2312))*14)+MONTH(S2312)+2,FALSE)))</f>
        <v>0</v>
      </c>
      <c r="W2312" s="178">
        <f t="shared" si="209"/>
        <v>0</v>
      </c>
      <c r="X2312" s="481">
        <f t="shared" si="205"/>
        <v>0</v>
      </c>
      <c r="Y2312" s="179"/>
      <c r="Z2312" s="466">
        <f t="shared" si="206"/>
        <v>0</v>
      </c>
      <c r="AA2312" s="473">
        <f t="shared" si="207"/>
        <v>0</v>
      </c>
      <c r="AB2312" s="339">
        <f t="shared" si="208"/>
        <v>0</v>
      </c>
    </row>
    <row r="2313" spans="2:28" ht="20.100000000000001" customHeight="1">
      <c r="B2313" s="172"/>
      <c r="C2313" s="174"/>
      <c r="D2313" s="181"/>
      <c r="E2313" s="173"/>
      <c r="F2313" s="176"/>
      <c r="G2313" s="175">
        <f t="shared" si="210"/>
        <v>0</v>
      </c>
      <c r="H2313" s="175">
        <f t="shared" si="203"/>
        <v>0</v>
      </c>
      <c r="I2313" s="177">
        <f>IF(G2313=0,0,IF(E2313="MXN",1/HLOOKUP(YEAR(C2313)+(MONTH(C2313)/100),TC!$5:$37,DAY(C2313)+2,FALSE),VLOOKUP(E2313,Equivalencia!$5:$23,((MAX(Equivalencia!$3:$3)-YEAR(C2313))*14)+MONTH(C2313)+2,FALSE)))</f>
        <v>0</v>
      </c>
      <c r="J2313" s="178">
        <f t="shared" si="211"/>
        <v>0</v>
      </c>
      <c r="K2313" s="462">
        <f>IF(C2313=0,0,VLOOKUP(YEAR(C2313),INPC!$B$4:$O$29,MONTH(C2313)+1))</f>
        <v>0</v>
      </c>
      <c r="L2313" s="462">
        <f>IF(S2313=0,0,VLOOKUP(YEAR(S2313),INPC!$B$4:$O$29,MONTH(S2313)+1))</f>
        <v>0</v>
      </c>
      <c r="M2313" s="463">
        <f t="shared" si="204"/>
        <v>0</v>
      </c>
      <c r="N2313" s="465">
        <f t="shared" si="212"/>
        <v>0</v>
      </c>
      <c r="O2313" s="179"/>
      <c r="P2313" s="180"/>
      <c r="Q2313" s="173"/>
      <c r="R2313" s="173"/>
      <c r="S2313" s="174"/>
      <c r="T2313" s="173"/>
      <c r="U2313" s="182"/>
      <c r="V2313" s="177">
        <f>IF(U2313=0,0,IF(T2313="MXN",1/HLOOKUP(YEAR(S2313)+(MONTH(S2313)/100),TC!$5:$37,DAY(S2313)+2,FALSE),VLOOKUP(T2313,Equivalencia!$1:$23,((MAX(Equivalencia!$3:$3)-YEAR(S2313))*14)+MONTH(S2313)+2,FALSE)))</f>
        <v>0</v>
      </c>
      <c r="W2313" s="178">
        <f t="shared" si="209"/>
        <v>0</v>
      </c>
      <c r="X2313" s="481">
        <f t="shared" si="205"/>
        <v>0</v>
      </c>
      <c r="Y2313" s="179"/>
      <c r="Z2313" s="466">
        <f t="shared" si="206"/>
        <v>0</v>
      </c>
      <c r="AA2313" s="473">
        <f t="shared" si="207"/>
        <v>0</v>
      </c>
      <c r="AB2313" s="339">
        <f t="shared" si="208"/>
        <v>0</v>
      </c>
    </row>
    <row r="2314" spans="2:28" ht="20.100000000000001" customHeight="1">
      <c r="B2314" s="172"/>
      <c r="C2314" s="174"/>
      <c r="D2314" s="181"/>
      <c r="E2314" s="173"/>
      <c r="F2314" s="176"/>
      <c r="G2314" s="175">
        <f t="shared" si="210"/>
        <v>0</v>
      </c>
      <c r="H2314" s="175">
        <f t="shared" si="203"/>
        <v>0</v>
      </c>
      <c r="I2314" s="177">
        <f>IF(G2314=0,0,IF(E2314="MXN",1/HLOOKUP(YEAR(C2314)+(MONTH(C2314)/100),TC!$5:$37,DAY(C2314)+2,FALSE),VLOOKUP(E2314,Equivalencia!$5:$23,((MAX(Equivalencia!$3:$3)-YEAR(C2314))*14)+MONTH(C2314)+2,FALSE)))</f>
        <v>0</v>
      </c>
      <c r="J2314" s="178">
        <f t="shared" si="211"/>
        <v>0</v>
      </c>
      <c r="K2314" s="462">
        <f>IF(C2314=0,0,VLOOKUP(YEAR(C2314),INPC!$B$4:$O$29,MONTH(C2314)+1))</f>
        <v>0</v>
      </c>
      <c r="L2314" s="462">
        <f>IF(S2314=0,0,VLOOKUP(YEAR(S2314),INPC!$B$4:$O$29,MONTH(S2314)+1))</f>
        <v>0</v>
      </c>
      <c r="M2314" s="463">
        <f t="shared" si="204"/>
        <v>0</v>
      </c>
      <c r="N2314" s="465">
        <f t="shared" si="212"/>
        <v>0</v>
      </c>
      <c r="O2314" s="179"/>
      <c r="P2314" s="180"/>
      <c r="Q2314" s="173"/>
      <c r="R2314" s="173"/>
      <c r="S2314" s="174"/>
      <c r="T2314" s="173"/>
      <c r="U2314" s="182"/>
      <c r="V2314" s="177">
        <f>IF(U2314=0,0,IF(T2314="MXN",1/HLOOKUP(YEAR(S2314)+(MONTH(S2314)/100),TC!$5:$37,DAY(S2314)+2,FALSE),VLOOKUP(T2314,Equivalencia!$1:$23,((MAX(Equivalencia!$3:$3)-YEAR(S2314))*14)+MONTH(S2314)+2,FALSE)))</f>
        <v>0</v>
      </c>
      <c r="W2314" s="178">
        <f t="shared" si="209"/>
        <v>0</v>
      </c>
      <c r="X2314" s="481">
        <f t="shared" si="205"/>
        <v>0</v>
      </c>
      <c r="Y2314" s="179"/>
      <c r="Z2314" s="466">
        <f t="shared" si="206"/>
        <v>0</v>
      </c>
      <c r="AA2314" s="473">
        <f t="shared" si="207"/>
        <v>0</v>
      </c>
      <c r="AB2314" s="339">
        <f t="shared" si="208"/>
        <v>0</v>
      </c>
    </row>
    <row r="2315" spans="2:28" ht="20.100000000000001" customHeight="1">
      <c r="B2315" s="172"/>
      <c r="C2315" s="174"/>
      <c r="D2315" s="181"/>
      <c r="E2315" s="173"/>
      <c r="F2315" s="176"/>
      <c r="G2315" s="175">
        <f t="shared" si="210"/>
        <v>0</v>
      </c>
      <c r="H2315" s="175">
        <f t="shared" si="203"/>
        <v>0</v>
      </c>
      <c r="I2315" s="177">
        <f>IF(G2315=0,0,IF(E2315="MXN",1/HLOOKUP(YEAR(C2315)+(MONTH(C2315)/100),TC!$5:$37,DAY(C2315)+2,FALSE),VLOOKUP(E2315,Equivalencia!$5:$23,((MAX(Equivalencia!$3:$3)-YEAR(C2315))*14)+MONTH(C2315)+2,FALSE)))</f>
        <v>0</v>
      </c>
      <c r="J2315" s="178">
        <f t="shared" si="211"/>
        <v>0</v>
      </c>
      <c r="K2315" s="462">
        <f>IF(C2315=0,0,VLOOKUP(YEAR(C2315),INPC!$B$4:$O$29,MONTH(C2315)+1))</f>
        <v>0</v>
      </c>
      <c r="L2315" s="462">
        <f>IF(S2315=0,0,VLOOKUP(YEAR(S2315),INPC!$B$4:$O$29,MONTH(S2315)+1))</f>
        <v>0</v>
      </c>
      <c r="M2315" s="463">
        <f t="shared" si="204"/>
        <v>0</v>
      </c>
      <c r="N2315" s="465">
        <f t="shared" si="212"/>
        <v>0</v>
      </c>
      <c r="O2315" s="179"/>
      <c r="P2315" s="180"/>
      <c r="Q2315" s="173"/>
      <c r="R2315" s="173"/>
      <c r="S2315" s="174"/>
      <c r="T2315" s="173"/>
      <c r="U2315" s="182"/>
      <c r="V2315" s="177">
        <f>IF(U2315=0,0,IF(T2315="MXN",1/HLOOKUP(YEAR(S2315)+(MONTH(S2315)/100),TC!$5:$37,DAY(S2315)+2,FALSE),VLOOKUP(T2315,Equivalencia!$1:$23,((MAX(Equivalencia!$3:$3)-YEAR(S2315))*14)+MONTH(S2315)+2,FALSE)))</f>
        <v>0</v>
      </c>
      <c r="W2315" s="178">
        <f t="shared" si="209"/>
        <v>0</v>
      </c>
      <c r="X2315" s="481">
        <f t="shared" si="205"/>
        <v>0</v>
      </c>
      <c r="Y2315" s="179"/>
      <c r="Z2315" s="466">
        <f t="shared" si="206"/>
        <v>0</v>
      </c>
      <c r="AA2315" s="473">
        <f t="shared" si="207"/>
        <v>0</v>
      </c>
      <c r="AB2315" s="339">
        <f t="shared" si="208"/>
        <v>0</v>
      </c>
    </row>
    <row r="2316" spans="2:28" ht="20.100000000000001" customHeight="1">
      <c r="B2316" s="172"/>
      <c r="C2316" s="174"/>
      <c r="D2316" s="181"/>
      <c r="E2316" s="173"/>
      <c r="F2316" s="176"/>
      <c r="G2316" s="175">
        <f t="shared" si="210"/>
        <v>0</v>
      </c>
      <c r="H2316" s="175">
        <f t="shared" si="203"/>
        <v>0</v>
      </c>
      <c r="I2316" s="177">
        <f>IF(G2316=0,0,IF(E2316="MXN",1/HLOOKUP(YEAR(C2316)+(MONTH(C2316)/100),TC!$5:$37,DAY(C2316)+2,FALSE),VLOOKUP(E2316,Equivalencia!$5:$23,((MAX(Equivalencia!$3:$3)-YEAR(C2316))*14)+MONTH(C2316)+2,FALSE)))</f>
        <v>0</v>
      </c>
      <c r="J2316" s="178">
        <f t="shared" si="211"/>
        <v>0</v>
      </c>
      <c r="K2316" s="462">
        <f>IF(C2316=0,0,VLOOKUP(YEAR(C2316),INPC!$B$4:$O$29,MONTH(C2316)+1))</f>
        <v>0</v>
      </c>
      <c r="L2316" s="462">
        <f>IF(S2316=0,0,VLOOKUP(YEAR(S2316),INPC!$B$4:$O$29,MONTH(S2316)+1))</f>
        <v>0</v>
      </c>
      <c r="M2316" s="463">
        <f t="shared" si="204"/>
        <v>0</v>
      </c>
      <c r="N2316" s="465">
        <f t="shared" si="212"/>
        <v>0</v>
      </c>
      <c r="O2316" s="179"/>
      <c r="P2316" s="180"/>
      <c r="Q2316" s="173"/>
      <c r="R2316" s="173"/>
      <c r="S2316" s="174"/>
      <c r="T2316" s="173"/>
      <c r="U2316" s="182"/>
      <c r="V2316" s="177">
        <f>IF(U2316=0,0,IF(T2316="MXN",1/HLOOKUP(YEAR(S2316)+(MONTH(S2316)/100),TC!$5:$37,DAY(S2316)+2,FALSE),VLOOKUP(T2316,Equivalencia!$1:$23,((MAX(Equivalencia!$3:$3)-YEAR(S2316))*14)+MONTH(S2316)+2,FALSE)))</f>
        <v>0</v>
      </c>
      <c r="W2316" s="178">
        <f t="shared" si="209"/>
        <v>0</v>
      </c>
      <c r="X2316" s="481">
        <f t="shared" si="205"/>
        <v>0</v>
      </c>
      <c r="Y2316" s="179"/>
      <c r="Z2316" s="466">
        <f t="shared" si="206"/>
        <v>0</v>
      </c>
      <c r="AA2316" s="473">
        <f t="shared" si="207"/>
        <v>0</v>
      </c>
      <c r="AB2316" s="339">
        <f t="shared" si="208"/>
        <v>0</v>
      </c>
    </row>
    <row r="2317" spans="2:28" ht="20.100000000000001" customHeight="1">
      <c r="B2317" s="172"/>
      <c r="C2317" s="174"/>
      <c r="D2317" s="181"/>
      <c r="E2317" s="173"/>
      <c r="F2317" s="176"/>
      <c r="G2317" s="175">
        <f t="shared" si="210"/>
        <v>0</v>
      </c>
      <c r="H2317" s="175">
        <f t="shared" si="203"/>
        <v>0</v>
      </c>
      <c r="I2317" s="177">
        <f>IF(G2317=0,0,IF(E2317="MXN",1/HLOOKUP(YEAR(C2317)+(MONTH(C2317)/100),TC!$5:$37,DAY(C2317)+2,FALSE),VLOOKUP(E2317,Equivalencia!$5:$23,((MAX(Equivalencia!$3:$3)-YEAR(C2317))*14)+MONTH(C2317)+2,FALSE)))</f>
        <v>0</v>
      </c>
      <c r="J2317" s="178">
        <f t="shared" si="211"/>
        <v>0</v>
      </c>
      <c r="K2317" s="462">
        <f>IF(C2317=0,0,VLOOKUP(YEAR(C2317),INPC!$B$4:$O$29,MONTH(C2317)+1))</f>
        <v>0</v>
      </c>
      <c r="L2317" s="462">
        <f>IF(S2317=0,0,VLOOKUP(YEAR(S2317),INPC!$B$4:$O$29,MONTH(S2317)+1))</f>
        <v>0</v>
      </c>
      <c r="M2317" s="463">
        <f t="shared" si="204"/>
        <v>0</v>
      </c>
      <c r="N2317" s="465">
        <f t="shared" si="212"/>
        <v>0</v>
      </c>
      <c r="O2317" s="179"/>
      <c r="P2317" s="180"/>
      <c r="Q2317" s="173"/>
      <c r="R2317" s="173"/>
      <c r="S2317" s="174"/>
      <c r="T2317" s="173"/>
      <c r="U2317" s="182"/>
      <c r="V2317" s="177">
        <f>IF(U2317=0,0,IF(T2317="MXN",1/HLOOKUP(YEAR(S2317)+(MONTH(S2317)/100),TC!$5:$37,DAY(S2317)+2,FALSE),VLOOKUP(T2317,Equivalencia!$1:$23,((MAX(Equivalencia!$3:$3)-YEAR(S2317))*14)+MONTH(S2317)+2,FALSE)))</f>
        <v>0</v>
      </c>
      <c r="W2317" s="178">
        <f t="shared" si="209"/>
        <v>0</v>
      </c>
      <c r="X2317" s="481">
        <f t="shared" si="205"/>
        <v>0</v>
      </c>
      <c r="Y2317" s="179"/>
      <c r="Z2317" s="466">
        <f t="shared" si="206"/>
        <v>0</v>
      </c>
      <c r="AA2317" s="473">
        <f t="shared" si="207"/>
        <v>0</v>
      </c>
      <c r="AB2317" s="339">
        <f t="shared" si="208"/>
        <v>0</v>
      </c>
    </row>
    <row r="2318" spans="2:28" ht="20.100000000000001" customHeight="1">
      <c r="B2318" s="172"/>
      <c r="C2318" s="174"/>
      <c r="D2318" s="181"/>
      <c r="E2318" s="173"/>
      <c r="F2318" s="176"/>
      <c r="G2318" s="175">
        <f t="shared" si="210"/>
        <v>0</v>
      </c>
      <c r="H2318" s="175">
        <f t="shared" si="203"/>
        <v>0</v>
      </c>
      <c r="I2318" s="177">
        <f>IF(G2318=0,0,IF(E2318="MXN",1/HLOOKUP(YEAR(C2318)+(MONTH(C2318)/100),TC!$5:$37,DAY(C2318)+2,FALSE),VLOOKUP(E2318,Equivalencia!$5:$23,((MAX(Equivalencia!$3:$3)-YEAR(C2318))*14)+MONTH(C2318)+2,FALSE)))</f>
        <v>0</v>
      </c>
      <c r="J2318" s="178">
        <f t="shared" si="211"/>
        <v>0</v>
      </c>
      <c r="K2318" s="462">
        <f>IF(C2318=0,0,VLOOKUP(YEAR(C2318),INPC!$B$4:$O$29,MONTH(C2318)+1))</f>
        <v>0</v>
      </c>
      <c r="L2318" s="462">
        <f>IF(S2318=0,0,VLOOKUP(YEAR(S2318),INPC!$B$4:$O$29,MONTH(S2318)+1))</f>
        <v>0</v>
      </c>
      <c r="M2318" s="463">
        <f t="shared" si="204"/>
        <v>0</v>
      </c>
      <c r="N2318" s="465">
        <f t="shared" si="212"/>
        <v>0</v>
      </c>
      <c r="O2318" s="179"/>
      <c r="P2318" s="180"/>
      <c r="Q2318" s="173"/>
      <c r="R2318" s="173"/>
      <c r="S2318" s="174"/>
      <c r="T2318" s="173"/>
      <c r="U2318" s="182"/>
      <c r="V2318" s="177">
        <f>IF(U2318=0,0,IF(T2318="MXN",1/HLOOKUP(YEAR(S2318)+(MONTH(S2318)/100),TC!$5:$37,DAY(S2318)+2,FALSE),VLOOKUP(T2318,Equivalencia!$1:$23,((MAX(Equivalencia!$3:$3)-YEAR(S2318))*14)+MONTH(S2318)+2,FALSE)))</f>
        <v>0</v>
      </c>
      <c r="W2318" s="178">
        <f t="shared" si="209"/>
        <v>0</v>
      </c>
      <c r="X2318" s="481">
        <f t="shared" si="205"/>
        <v>0</v>
      </c>
      <c r="Y2318" s="179"/>
      <c r="Z2318" s="466">
        <f t="shared" si="206"/>
        <v>0</v>
      </c>
      <c r="AA2318" s="473">
        <f t="shared" si="207"/>
        <v>0</v>
      </c>
      <c r="AB2318" s="339">
        <f t="shared" si="208"/>
        <v>0</v>
      </c>
    </row>
    <row r="2319" spans="2:28" ht="20.100000000000001" customHeight="1">
      <c r="B2319" s="172"/>
      <c r="C2319" s="174"/>
      <c r="D2319" s="181"/>
      <c r="E2319" s="173"/>
      <c r="F2319" s="176"/>
      <c r="G2319" s="175">
        <f t="shared" si="210"/>
        <v>0</v>
      </c>
      <c r="H2319" s="175">
        <f t="shared" si="203"/>
        <v>0</v>
      </c>
      <c r="I2319" s="177">
        <f>IF(G2319=0,0,IF(E2319="MXN",1/HLOOKUP(YEAR(C2319)+(MONTH(C2319)/100),TC!$5:$37,DAY(C2319)+2,FALSE),VLOOKUP(E2319,Equivalencia!$5:$23,((MAX(Equivalencia!$3:$3)-YEAR(C2319))*14)+MONTH(C2319)+2,FALSE)))</f>
        <v>0</v>
      </c>
      <c r="J2319" s="178">
        <f t="shared" si="211"/>
        <v>0</v>
      </c>
      <c r="K2319" s="462">
        <f>IF(C2319=0,0,VLOOKUP(YEAR(C2319),INPC!$B$4:$O$29,MONTH(C2319)+1))</f>
        <v>0</v>
      </c>
      <c r="L2319" s="462">
        <f>IF(S2319=0,0,VLOOKUP(YEAR(S2319),INPC!$B$4:$O$29,MONTH(S2319)+1))</f>
        <v>0</v>
      </c>
      <c r="M2319" s="463">
        <f t="shared" si="204"/>
        <v>0</v>
      </c>
      <c r="N2319" s="465">
        <f t="shared" si="212"/>
        <v>0</v>
      </c>
      <c r="O2319" s="179"/>
      <c r="P2319" s="180"/>
      <c r="Q2319" s="173"/>
      <c r="R2319" s="173"/>
      <c r="S2319" s="174"/>
      <c r="T2319" s="173"/>
      <c r="U2319" s="182"/>
      <c r="V2319" s="177">
        <f>IF(U2319=0,0,IF(T2319="MXN",1/HLOOKUP(YEAR(S2319)+(MONTH(S2319)/100),TC!$5:$37,DAY(S2319)+2,FALSE),VLOOKUP(T2319,Equivalencia!$1:$23,((MAX(Equivalencia!$3:$3)-YEAR(S2319))*14)+MONTH(S2319)+2,FALSE)))</f>
        <v>0</v>
      </c>
      <c r="W2319" s="178">
        <f t="shared" si="209"/>
        <v>0</v>
      </c>
      <c r="X2319" s="481">
        <f t="shared" si="205"/>
        <v>0</v>
      </c>
      <c r="Y2319" s="179"/>
      <c r="Z2319" s="466">
        <f t="shared" si="206"/>
        <v>0</v>
      </c>
      <c r="AA2319" s="473">
        <f t="shared" si="207"/>
        <v>0</v>
      </c>
      <c r="AB2319" s="339">
        <f t="shared" si="208"/>
        <v>0</v>
      </c>
    </row>
    <row r="2320" spans="2:28" ht="20.100000000000001" customHeight="1">
      <c r="B2320" s="172"/>
      <c r="C2320" s="174"/>
      <c r="D2320" s="181"/>
      <c r="E2320" s="173"/>
      <c r="F2320" s="176"/>
      <c r="G2320" s="175">
        <f t="shared" si="210"/>
        <v>0</v>
      </c>
      <c r="H2320" s="175">
        <f t="shared" si="203"/>
        <v>0</v>
      </c>
      <c r="I2320" s="177">
        <f>IF(G2320=0,0,IF(E2320="MXN",1/HLOOKUP(YEAR(C2320)+(MONTH(C2320)/100),TC!$5:$37,DAY(C2320)+2,FALSE),VLOOKUP(E2320,Equivalencia!$5:$23,((MAX(Equivalencia!$3:$3)-YEAR(C2320))*14)+MONTH(C2320)+2,FALSE)))</f>
        <v>0</v>
      </c>
      <c r="J2320" s="178">
        <f t="shared" si="211"/>
        <v>0</v>
      </c>
      <c r="K2320" s="462">
        <f>IF(C2320=0,0,VLOOKUP(YEAR(C2320),INPC!$B$4:$O$29,MONTH(C2320)+1))</f>
        <v>0</v>
      </c>
      <c r="L2320" s="462">
        <f>IF(S2320=0,0,VLOOKUP(YEAR(S2320),INPC!$B$4:$O$29,MONTH(S2320)+1))</f>
        <v>0</v>
      </c>
      <c r="M2320" s="463">
        <f t="shared" si="204"/>
        <v>0</v>
      </c>
      <c r="N2320" s="465">
        <f t="shared" si="212"/>
        <v>0</v>
      </c>
      <c r="O2320" s="179"/>
      <c r="P2320" s="180"/>
      <c r="Q2320" s="173"/>
      <c r="R2320" s="173"/>
      <c r="S2320" s="174"/>
      <c r="T2320" s="173"/>
      <c r="U2320" s="182"/>
      <c r="V2320" s="177">
        <f>IF(U2320=0,0,IF(T2320="MXN",1/HLOOKUP(YEAR(S2320)+(MONTH(S2320)/100),TC!$5:$37,DAY(S2320)+2,FALSE),VLOOKUP(T2320,Equivalencia!$1:$23,((MAX(Equivalencia!$3:$3)-YEAR(S2320))*14)+MONTH(S2320)+2,FALSE)))</f>
        <v>0</v>
      </c>
      <c r="W2320" s="178">
        <f t="shared" si="209"/>
        <v>0</v>
      </c>
      <c r="X2320" s="481">
        <f t="shared" si="205"/>
        <v>0</v>
      </c>
      <c r="Y2320" s="179"/>
      <c r="Z2320" s="466">
        <f t="shared" si="206"/>
        <v>0</v>
      </c>
      <c r="AA2320" s="473">
        <f t="shared" si="207"/>
        <v>0</v>
      </c>
      <c r="AB2320" s="339">
        <f t="shared" si="208"/>
        <v>0</v>
      </c>
    </row>
    <row r="2321" spans="2:28" ht="20.100000000000001" customHeight="1">
      <c r="B2321" s="172"/>
      <c r="C2321" s="174"/>
      <c r="D2321" s="181"/>
      <c r="E2321" s="173"/>
      <c r="F2321" s="176"/>
      <c r="G2321" s="175">
        <f t="shared" si="210"/>
        <v>0</v>
      </c>
      <c r="H2321" s="175">
        <f t="shared" si="203"/>
        <v>0</v>
      </c>
      <c r="I2321" s="177">
        <f>IF(G2321=0,0,IF(E2321="MXN",1/HLOOKUP(YEAR(C2321)+(MONTH(C2321)/100),TC!$5:$37,DAY(C2321)+2,FALSE),VLOOKUP(E2321,Equivalencia!$5:$23,((MAX(Equivalencia!$3:$3)-YEAR(C2321))*14)+MONTH(C2321)+2,FALSE)))</f>
        <v>0</v>
      </c>
      <c r="J2321" s="178">
        <f t="shared" si="211"/>
        <v>0</v>
      </c>
      <c r="K2321" s="462">
        <f>IF(C2321=0,0,VLOOKUP(YEAR(C2321),INPC!$B$4:$O$29,MONTH(C2321)+1))</f>
        <v>0</v>
      </c>
      <c r="L2321" s="462">
        <f>IF(S2321=0,0,VLOOKUP(YEAR(S2321),INPC!$B$4:$O$29,MONTH(S2321)+1))</f>
        <v>0</v>
      </c>
      <c r="M2321" s="463">
        <f t="shared" si="204"/>
        <v>0</v>
      </c>
      <c r="N2321" s="465">
        <f t="shared" si="212"/>
        <v>0</v>
      </c>
      <c r="O2321" s="179"/>
      <c r="P2321" s="180"/>
      <c r="Q2321" s="173"/>
      <c r="R2321" s="173"/>
      <c r="S2321" s="174"/>
      <c r="T2321" s="173"/>
      <c r="U2321" s="182"/>
      <c r="V2321" s="177">
        <f>IF(U2321=0,0,IF(T2321="MXN",1/HLOOKUP(YEAR(S2321)+(MONTH(S2321)/100),TC!$5:$37,DAY(S2321)+2,FALSE),VLOOKUP(T2321,Equivalencia!$1:$23,((MAX(Equivalencia!$3:$3)-YEAR(S2321))*14)+MONTH(S2321)+2,FALSE)))</f>
        <v>0</v>
      </c>
      <c r="W2321" s="178">
        <f t="shared" si="209"/>
        <v>0</v>
      </c>
      <c r="X2321" s="481">
        <f t="shared" si="205"/>
        <v>0</v>
      </c>
      <c r="Y2321" s="179"/>
      <c r="Z2321" s="466">
        <f t="shared" si="206"/>
        <v>0</v>
      </c>
      <c r="AA2321" s="473">
        <f t="shared" si="207"/>
        <v>0</v>
      </c>
      <c r="AB2321" s="339">
        <f t="shared" si="208"/>
        <v>0</v>
      </c>
    </row>
    <row r="2322" spans="2:28" ht="20.100000000000001" customHeight="1">
      <c r="B2322" s="172"/>
      <c r="C2322" s="174"/>
      <c r="D2322" s="181"/>
      <c r="E2322" s="173"/>
      <c r="F2322" s="176"/>
      <c r="G2322" s="175">
        <f t="shared" si="210"/>
        <v>0</v>
      </c>
      <c r="H2322" s="175">
        <f t="shared" si="203"/>
        <v>0</v>
      </c>
      <c r="I2322" s="177">
        <f>IF(G2322=0,0,IF(E2322="MXN",1/HLOOKUP(YEAR(C2322)+(MONTH(C2322)/100),TC!$5:$37,DAY(C2322)+2,FALSE),VLOOKUP(E2322,Equivalencia!$5:$23,((MAX(Equivalencia!$3:$3)-YEAR(C2322))*14)+MONTH(C2322)+2,FALSE)))</f>
        <v>0</v>
      </c>
      <c r="J2322" s="178">
        <f t="shared" si="211"/>
        <v>0</v>
      </c>
      <c r="K2322" s="462">
        <f>IF(C2322=0,0,VLOOKUP(YEAR(C2322),INPC!$B$4:$O$29,MONTH(C2322)+1))</f>
        <v>0</v>
      </c>
      <c r="L2322" s="462">
        <f>IF(S2322=0,0,VLOOKUP(YEAR(S2322),INPC!$B$4:$O$29,MONTH(S2322)+1))</f>
        <v>0</v>
      </c>
      <c r="M2322" s="463">
        <f t="shared" si="204"/>
        <v>0</v>
      </c>
      <c r="N2322" s="465">
        <f t="shared" si="212"/>
        <v>0</v>
      </c>
      <c r="O2322" s="179"/>
      <c r="P2322" s="180"/>
      <c r="Q2322" s="173"/>
      <c r="R2322" s="173"/>
      <c r="S2322" s="174"/>
      <c r="T2322" s="173"/>
      <c r="U2322" s="182"/>
      <c r="V2322" s="177">
        <f>IF(U2322=0,0,IF(T2322="MXN",1/HLOOKUP(YEAR(S2322)+(MONTH(S2322)/100),TC!$5:$37,DAY(S2322)+2,FALSE),VLOOKUP(T2322,Equivalencia!$1:$23,((MAX(Equivalencia!$3:$3)-YEAR(S2322))*14)+MONTH(S2322)+2,FALSE)))</f>
        <v>0</v>
      </c>
      <c r="W2322" s="178">
        <f t="shared" si="209"/>
        <v>0</v>
      </c>
      <c r="X2322" s="481">
        <f t="shared" si="205"/>
        <v>0</v>
      </c>
      <c r="Y2322" s="179"/>
      <c r="Z2322" s="466">
        <f t="shared" si="206"/>
        <v>0</v>
      </c>
      <c r="AA2322" s="473">
        <f t="shared" si="207"/>
        <v>0</v>
      </c>
      <c r="AB2322" s="339">
        <f t="shared" si="208"/>
        <v>0</v>
      </c>
    </row>
    <row r="2323" spans="2:28" ht="20.100000000000001" customHeight="1">
      <c r="B2323" s="172"/>
      <c r="C2323" s="174"/>
      <c r="D2323" s="181"/>
      <c r="E2323" s="173"/>
      <c r="F2323" s="176"/>
      <c r="G2323" s="175">
        <f t="shared" si="210"/>
        <v>0</v>
      </c>
      <c r="H2323" s="175">
        <f t="shared" si="203"/>
        <v>0</v>
      </c>
      <c r="I2323" s="177">
        <f>IF(G2323=0,0,IF(E2323="MXN",1/HLOOKUP(YEAR(C2323)+(MONTH(C2323)/100),TC!$5:$37,DAY(C2323)+2,FALSE),VLOOKUP(E2323,Equivalencia!$5:$23,((MAX(Equivalencia!$3:$3)-YEAR(C2323))*14)+MONTH(C2323)+2,FALSE)))</f>
        <v>0</v>
      </c>
      <c r="J2323" s="178">
        <f t="shared" si="211"/>
        <v>0</v>
      </c>
      <c r="K2323" s="462">
        <f>IF(C2323=0,0,VLOOKUP(YEAR(C2323),INPC!$B$4:$O$29,MONTH(C2323)+1))</f>
        <v>0</v>
      </c>
      <c r="L2323" s="462">
        <f>IF(S2323=0,0,VLOOKUP(YEAR(S2323),INPC!$B$4:$O$29,MONTH(S2323)+1))</f>
        <v>0</v>
      </c>
      <c r="M2323" s="463">
        <f t="shared" si="204"/>
        <v>0</v>
      </c>
      <c r="N2323" s="465">
        <f t="shared" si="212"/>
        <v>0</v>
      </c>
      <c r="O2323" s="179"/>
      <c r="P2323" s="180"/>
      <c r="Q2323" s="173"/>
      <c r="R2323" s="173"/>
      <c r="S2323" s="174"/>
      <c r="T2323" s="173"/>
      <c r="U2323" s="182"/>
      <c r="V2323" s="177">
        <f>IF(U2323=0,0,IF(T2323="MXN",1/HLOOKUP(YEAR(S2323)+(MONTH(S2323)/100),TC!$5:$37,DAY(S2323)+2,FALSE),VLOOKUP(T2323,Equivalencia!$1:$23,((MAX(Equivalencia!$3:$3)-YEAR(S2323))*14)+MONTH(S2323)+2,FALSE)))</f>
        <v>0</v>
      </c>
      <c r="W2323" s="178">
        <f t="shared" si="209"/>
        <v>0</v>
      </c>
      <c r="X2323" s="481">
        <f t="shared" si="205"/>
        <v>0</v>
      </c>
      <c r="Y2323" s="179"/>
      <c r="Z2323" s="466">
        <f t="shared" si="206"/>
        <v>0</v>
      </c>
      <c r="AA2323" s="473">
        <f t="shared" si="207"/>
        <v>0</v>
      </c>
      <c r="AB2323" s="339">
        <f t="shared" si="208"/>
        <v>0</v>
      </c>
    </row>
    <row r="2324" spans="2:28" ht="20.100000000000001" customHeight="1">
      <c r="B2324" s="172"/>
      <c r="C2324" s="174"/>
      <c r="D2324" s="181"/>
      <c r="E2324" s="173"/>
      <c r="F2324" s="176"/>
      <c r="G2324" s="175">
        <f t="shared" si="210"/>
        <v>0</v>
      </c>
      <c r="H2324" s="175">
        <f t="shared" si="203"/>
        <v>0</v>
      </c>
      <c r="I2324" s="177">
        <f>IF(G2324=0,0,IF(E2324="MXN",1/HLOOKUP(YEAR(C2324)+(MONTH(C2324)/100),TC!$5:$37,DAY(C2324)+2,FALSE),VLOOKUP(E2324,Equivalencia!$5:$23,((MAX(Equivalencia!$3:$3)-YEAR(C2324))*14)+MONTH(C2324)+2,FALSE)))</f>
        <v>0</v>
      </c>
      <c r="J2324" s="178">
        <f t="shared" si="211"/>
        <v>0</v>
      </c>
      <c r="K2324" s="462">
        <f>IF(C2324=0,0,VLOOKUP(YEAR(C2324),INPC!$B$4:$O$29,MONTH(C2324)+1))</f>
        <v>0</v>
      </c>
      <c r="L2324" s="462">
        <f>IF(S2324=0,0,VLOOKUP(YEAR(S2324),INPC!$B$4:$O$29,MONTH(S2324)+1))</f>
        <v>0</v>
      </c>
      <c r="M2324" s="463">
        <f t="shared" si="204"/>
        <v>0</v>
      </c>
      <c r="N2324" s="465">
        <f t="shared" si="212"/>
        <v>0</v>
      </c>
      <c r="O2324" s="179"/>
      <c r="P2324" s="180"/>
      <c r="Q2324" s="173"/>
      <c r="R2324" s="173"/>
      <c r="S2324" s="174"/>
      <c r="T2324" s="173"/>
      <c r="U2324" s="182"/>
      <c r="V2324" s="177">
        <f>IF(U2324=0,0,IF(T2324="MXN",1/HLOOKUP(YEAR(S2324)+(MONTH(S2324)/100),TC!$5:$37,DAY(S2324)+2,FALSE),VLOOKUP(T2324,Equivalencia!$1:$23,((MAX(Equivalencia!$3:$3)-YEAR(S2324))*14)+MONTH(S2324)+2,FALSE)))</f>
        <v>0</v>
      </c>
      <c r="W2324" s="178">
        <f t="shared" si="209"/>
        <v>0</v>
      </c>
      <c r="X2324" s="481">
        <f t="shared" si="205"/>
        <v>0</v>
      </c>
      <c r="Y2324" s="179"/>
      <c r="Z2324" s="466">
        <f t="shared" si="206"/>
        <v>0</v>
      </c>
      <c r="AA2324" s="473">
        <f t="shared" si="207"/>
        <v>0</v>
      </c>
      <c r="AB2324" s="339">
        <f t="shared" si="208"/>
        <v>0</v>
      </c>
    </row>
    <row r="2325" spans="2:28" ht="20.100000000000001" customHeight="1">
      <c r="B2325" s="172"/>
      <c r="C2325" s="174"/>
      <c r="D2325" s="181"/>
      <c r="E2325" s="173"/>
      <c r="F2325" s="176"/>
      <c r="G2325" s="175">
        <f t="shared" si="210"/>
        <v>0</v>
      </c>
      <c r="H2325" s="175">
        <f t="shared" si="203"/>
        <v>0</v>
      </c>
      <c r="I2325" s="177">
        <f>IF(G2325=0,0,IF(E2325="MXN",1/HLOOKUP(YEAR(C2325)+(MONTH(C2325)/100),TC!$5:$37,DAY(C2325)+2,FALSE),VLOOKUP(E2325,Equivalencia!$5:$23,((MAX(Equivalencia!$3:$3)-YEAR(C2325))*14)+MONTH(C2325)+2,FALSE)))</f>
        <v>0</v>
      </c>
      <c r="J2325" s="178">
        <f t="shared" si="211"/>
        <v>0</v>
      </c>
      <c r="K2325" s="462">
        <f>IF(C2325=0,0,VLOOKUP(YEAR(C2325),INPC!$B$4:$O$29,MONTH(C2325)+1))</f>
        <v>0</v>
      </c>
      <c r="L2325" s="462">
        <f>IF(S2325=0,0,VLOOKUP(YEAR(S2325),INPC!$B$4:$O$29,MONTH(S2325)+1))</f>
        <v>0</v>
      </c>
      <c r="M2325" s="463">
        <f t="shared" si="204"/>
        <v>0</v>
      </c>
      <c r="N2325" s="465">
        <f t="shared" si="212"/>
        <v>0</v>
      </c>
      <c r="O2325" s="179"/>
      <c r="P2325" s="180"/>
      <c r="Q2325" s="173"/>
      <c r="R2325" s="173"/>
      <c r="S2325" s="174"/>
      <c r="T2325" s="173"/>
      <c r="U2325" s="182"/>
      <c r="V2325" s="177">
        <f>IF(U2325=0,0,IF(T2325="MXN",1/HLOOKUP(YEAR(S2325)+(MONTH(S2325)/100),TC!$5:$37,DAY(S2325)+2,FALSE),VLOOKUP(T2325,Equivalencia!$1:$23,((MAX(Equivalencia!$3:$3)-YEAR(S2325))*14)+MONTH(S2325)+2,FALSE)))</f>
        <v>0</v>
      </c>
      <c r="W2325" s="178">
        <f t="shared" si="209"/>
        <v>0</v>
      </c>
      <c r="X2325" s="481">
        <f t="shared" si="205"/>
        <v>0</v>
      </c>
      <c r="Y2325" s="179"/>
      <c r="Z2325" s="466">
        <f t="shared" si="206"/>
        <v>0</v>
      </c>
      <c r="AA2325" s="473">
        <f t="shared" si="207"/>
        <v>0</v>
      </c>
      <c r="AB2325" s="339">
        <f t="shared" si="208"/>
        <v>0</v>
      </c>
    </row>
    <row r="2326" spans="2:28" ht="20.100000000000001" customHeight="1">
      <c r="B2326" s="172"/>
      <c r="C2326" s="174"/>
      <c r="D2326" s="181"/>
      <c r="E2326" s="173"/>
      <c r="F2326" s="176"/>
      <c r="G2326" s="175">
        <f t="shared" si="210"/>
        <v>0</v>
      </c>
      <c r="H2326" s="175">
        <f t="shared" si="203"/>
        <v>0</v>
      </c>
      <c r="I2326" s="177">
        <f>IF(G2326=0,0,IF(E2326="MXN",1/HLOOKUP(YEAR(C2326)+(MONTH(C2326)/100),TC!$5:$37,DAY(C2326)+2,FALSE),VLOOKUP(E2326,Equivalencia!$5:$23,((MAX(Equivalencia!$3:$3)-YEAR(C2326))*14)+MONTH(C2326)+2,FALSE)))</f>
        <v>0</v>
      </c>
      <c r="J2326" s="178">
        <f t="shared" si="211"/>
        <v>0</v>
      </c>
      <c r="K2326" s="462">
        <f>IF(C2326=0,0,VLOOKUP(YEAR(C2326),INPC!$B$4:$O$29,MONTH(C2326)+1))</f>
        <v>0</v>
      </c>
      <c r="L2326" s="462">
        <f>IF(S2326=0,0,VLOOKUP(YEAR(S2326),INPC!$B$4:$O$29,MONTH(S2326)+1))</f>
        <v>0</v>
      </c>
      <c r="M2326" s="463">
        <f t="shared" si="204"/>
        <v>0</v>
      </c>
      <c r="N2326" s="465">
        <f t="shared" si="212"/>
        <v>0</v>
      </c>
      <c r="O2326" s="179"/>
      <c r="P2326" s="180"/>
      <c r="Q2326" s="173"/>
      <c r="R2326" s="173"/>
      <c r="S2326" s="174"/>
      <c r="T2326" s="173"/>
      <c r="U2326" s="182"/>
      <c r="V2326" s="177">
        <f>IF(U2326=0,0,IF(T2326="MXN",1/HLOOKUP(YEAR(S2326)+(MONTH(S2326)/100),TC!$5:$37,DAY(S2326)+2,FALSE),VLOOKUP(T2326,Equivalencia!$1:$23,((MAX(Equivalencia!$3:$3)-YEAR(S2326))*14)+MONTH(S2326)+2,FALSE)))</f>
        <v>0</v>
      </c>
      <c r="W2326" s="178">
        <f t="shared" si="209"/>
        <v>0</v>
      </c>
      <c r="X2326" s="481">
        <f t="shared" si="205"/>
        <v>0</v>
      </c>
      <c r="Y2326" s="179"/>
      <c r="Z2326" s="466">
        <f t="shared" si="206"/>
        <v>0</v>
      </c>
      <c r="AA2326" s="473">
        <f t="shared" si="207"/>
        <v>0</v>
      </c>
      <c r="AB2326" s="339">
        <f t="shared" si="208"/>
        <v>0</v>
      </c>
    </row>
    <row r="2327" spans="2:28" ht="20.100000000000001" customHeight="1">
      <c r="B2327" s="172"/>
      <c r="C2327" s="174"/>
      <c r="D2327" s="181"/>
      <c r="E2327" s="173"/>
      <c r="F2327" s="176"/>
      <c r="G2327" s="175">
        <f t="shared" si="210"/>
        <v>0</v>
      </c>
      <c r="H2327" s="175">
        <f t="shared" si="203"/>
        <v>0</v>
      </c>
      <c r="I2327" s="177">
        <f>IF(G2327=0,0,IF(E2327="MXN",1/HLOOKUP(YEAR(C2327)+(MONTH(C2327)/100),TC!$5:$37,DAY(C2327)+2,FALSE),VLOOKUP(E2327,Equivalencia!$5:$23,((MAX(Equivalencia!$3:$3)-YEAR(C2327))*14)+MONTH(C2327)+2,FALSE)))</f>
        <v>0</v>
      </c>
      <c r="J2327" s="178">
        <f t="shared" si="211"/>
        <v>0</v>
      </c>
      <c r="K2327" s="462">
        <f>IF(C2327=0,0,VLOOKUP(YEAR(C2327),INPC!$B$4:$O$29,MONTH(C2327)+1))</f>
        <v>0</v>
      </c>
      <c r="L2327" s="462">
        <f>IF(S2327=0,0,VLOOKUP(YEAR(S2327),INPC!$B$4:$O$29,MONTH(S2327)+1))</f>
        <v>0</v>
      </c>
      <c r="M2327" s="463">
        <f t="shared" si="204"/>
        <v>0</v>
      </c>
      <c r="N2327" s="465">
        <f t="shared" si="212"/>
        <v>0</v>
      </c>
      <c r="O2327" s="179"/>
      <c r="P2327" s="180"/>
      <c r="Q2327" s="173"/>
      <c r="R2327" s="173"/>
      <c r="S2327" s="174"/>
      <c r="T2327" s="173"/>
      <c r="U2327" s="182"/>
      <c r="V2327" s="177">
        <f>IF(U2327=0,0,IF(T2327="MXN",1/HLOOKUP(YEAR(S2327)+(MONTH(S2327)/100),TC!$5:$37,DAY(S2327)+2,FALSE),VLOOKUP(T2327,Equivalencia!$1:$23,((MAX(Equivalencia!$3:$3)-YEAR(S2327))*14)+MONTH(S2327)+2,FALSE)))</f>
        <v>0</v>
      </c>
      <c r="W2327" s="178">
        <f t="shared" si="209"/>
        <v>0</v>
      </c>
      <c r="X2327" s="481">
        <f t="shared" si="205"/>
        <v>0</v>
      </c>
      <c r="Y2327" s="179"/>
      <c r="Z2327" s="466">
        <f t="shared" si="206"/>
        <v>0</v>
      </c>
      <c r="AA2327" s="473">
        <f t="shared" si="207"/>
        <v>0</v>
      </c>
      <c r="AB2327" s="339">
        <f t="shared" si="208"/>
        <v>0</v>
      </c>
    </row>
    <row r="2328" spans="2:28" ht="20.100000000000001" customHeight="1">
      <c r="B2328" s="172"/>
      <c r="C2328" s="174"/>
      <c r="D2328" s="181"/>
      <c r="E2328" s="173"/>
      <c r="F2328" s="176"/>
      <c r="G2328" s="175">
        <f t="shared" si="210"/>
        <v>0</v>
      </c>
      <c r="H2328" s="175">
        <f t="shared" si="203"/>
        <v>0</v>
      </c>
      <c r="I2328" s="177">
        <f>IF(G2328=0,0,IF(E2328="MXN",1/HLOOKUP(YEAR(C2328)+(MONTH(C2328)/100),TC!$5:$37,DAY(C2328)+2,FALSE),VLOOKUP(E2328,Equivalencia!$5:$23,((MAX(Equivalencia!$3:$3)-YEAR(C2328))*14)+MONTH(C2328)+2,FALSE)))</f>
        <v>0</v>
      </c>
      <c r="J2328" s="178">
        <f t="shared" si="211"/>
        <v>0</v>
      </c>
      <c r="K2328" s="462">
        <f>IF(C2328=0,0,VLOOKUP(YEAR(C2328),INPC!$B$4:$O$29,MONTH(C2328)+1))</f>
        <v>0</v>
      </c>
      <c r="L2328" s="462">
        <f>IF(S2328=0,0,VLOOKUP(YEAR(S2328),INPC!$B$4:$O$29,MONTH(S2328)+1))</f>
        <v>0</v>
      </c>
      <c r="M2328" s="463">
        <f t="shared" si="204"/>
        <v>0</v>
      </c>
      <c r="N2328" s="465">
        <f t="shared" si="212"/>
        <v>0</v>
      </c>
      <c r="O2328" s="179"/>
      <c r="P2328" s="180"/>
      <c r="Q2328" s="173"/>
      <c r="R2328" s="173"/>
      <c r="S2328" s="174"/>
      <c r="T2328" s="173"/>
      <c r="U2328" s="182"/>
      <c r="V2328" s="177">
        <f>IF(U2328=0,0,IF(T2328="MXN",1/HLOOKUP(YEAR(S2328)+(MONTH(S2328)/100),TC!$5:$37,DAY(S2328)+2,FALSE),VLOOKUP(T2328,Equivalencia!$1:$23,((MAX(Equivalencia!$3:$3)-YEAR(S2328))*14)+MONTH(S2328)+2,FALSE)))</f>
        <v>0</v>
      </c>
      <c r="W2328" s="178">
        <f t="shared" si="209"/>
        <v>0</v>
      </c>
      <c r="X2328" s="481">
        <f t="shared" si="205"/>
        <v>0</v>
      </c>
      <c r="Y2328" s="179"/>
      <c r="Z2328" s="466">
        <f t="shared" si="206"/>
        <v>0</v>
      </c>
      <c r="AA2328" s="473">
        <f t="shared" si="207"/>
        <v>0</v>
      </c>
      <c r="AB2328" s="339">
        <f t="shared" si="208"/>
        <v>0</v>
      </c>
    </row>
    <row r="2329" spans="2:28" ht="20.100000000000001" customHeight="1">
      <c r="B2329" s="172"/>
      <c r="C2329" s="174"/>
      <c r="D2329" s="181"/>
      <c r="E2329" s="173"/>
      <c r="F2329" s="176"/>
      <c r="G2329" s="175">
        <f t="shared" si="210"/>
        <v>0</v>
      </c>
      <c r="H2329" s="175">
        <f t="shared" si="203"/>
        <v>0</v>
      </c>
      <c r="I2329" s="177">
        <f>IF(G2329=0,0,IF(E2329="MXN",1/HLOOKUP(YEAR(C2329)+(MONTH(C2329)/100),TC!$5:$37,DAY(C2329)+2,FALSE),VLOOKUP(E2329,Equivalencia!$5:$23,((MAX(Equivalencia!$3:$3)-YEAR(C2329))*14)+MONTH(C2329)+2,FALSE)))</f>
        <v>0</v>
      </c>
      <c r="J2329" s="178">
        <f t="shared" si="211"/>
        <v>0</v>
      </c>
      <c r="K2329" s="462">
        <f>IF(C2329=0,0,VLOOKUP(YEAR(C2329),INPC!$B$4:$O$29,MONTH(C2329)+1))</f>
        <v>0</v>
      </c>
      <c r="L2329" s="462">
        <f>IF(S2329=0,0,VLOOKUP(YEAR(S2329),INPC!$B$4:$O$29,MONTH(S2329)+1))</f>
        <v>0</v>
      </c>
      <c r="M2329" s="463">
        <f t="shared" si="204"/>
        <v>0</v>
      </c>
      <c r="N2329" s="465">
        <f t="shared" si="212"/>
        <v>0</v>
      </c>
      <c r="O2329" s="179"/>
      <c r="P2329" s="180"/>
      <c r="Q2329" s="173"/>
      <c r="R2329" s="173"/>
      <c r="S2329" s="174"/>
      <c r="T2329" s="173"/>
      <c r="U2329" s="182"/>
      <c r="V2329" s="177">
        <f>IF(U2329=0,0,IF(T2329="MXN",1/HLOOKUP(YEAR(S2329)+(MONTH(S2329)/100),TC!$5:$37,DAY(S2329)+2,FALSE),VLOOKUP(T2329,Equivalencia!$1:$23,((MAX(Equivalencia!$3:$3)-YEAR(S2329))*14)+MONTH(S2329)+2,FALSE)))</f>
        <v>0</v>
      </c>
      <c r="W2329" s="178">
        <f t="shared" si="209"/>
        <v>0</v>
      </c>
      <c r="X2329" s="481">
        <f t="shared" si="205"/>
        <v>0</v>
      </c>
      <c r="Y2329" s="179"/>
      <c r="Z2329" s="466">
        <f t="shared" si="206"/>
        <v>0</v>
      </c>
      <c r="AA2329" s="473">
        <f t="shared" si="207"/>
        <v>0</v>
      </c>
      <c r="AB2329" s="339">
        <f t="shared" si="208"/>
        <v>0</v>
      </c>
    </row>
    <row r="2330" spans="2:28" ht="20.100000000000001" customHeight="1">
      <c r="B2330" s="172"/>
      <c r="C2330" s="174"/>
      <c r="D2330" s="181"/>
      <c r="E2330" s="173"/>
      <c r="F2330" s="176"/>
      <c r="G2330" s="175">
        <f t="shared" si="210"/>
        <v>0</v>
      </c>
      <c r="H2330" s="175">
        <f t="shared" si="203"/>
        <v>0</v>
      </c>
      <c r="I2330" s="177">
        <f>IF(G2330=0,0,IF(E2330="MXN",1/HLOOKUP(YEAR(C2330)+(MONTH(C2330)/100),TC!$5:$37,DAY(C2330)+2,FALSE),VLOOKUP(E2330,Equivalencia!$5:$23,((MAX(Equivalencia!$3:$3)-YEAR(C2330))*14)+MONTH(C2330)+2,FALSE)))</f>
        <v>0</v>
      </c>
      <c r="J2330" s="178">
        <f t="shared" si="211"/>
        <v>0</v>
      </c>
      <c r="K2330" s="462">
        <f>IF(C2330=0,0,VLOOKUP(YEAR(C2330),INPC!$B$4:$O$29,MONTH(C2330)+1))</f>
        <v>0</v>
      </c>
      <c r="L2330" s="462">
        <f>IF(S2330=0,0,VLOOKUP(YEAR(S2330),INPC!$B$4:$O$29,MONTH(S2330)+1))</f>
        <v>0</v>
      </c>
      <c r="M2330" s="463">
        <f t="shared" si="204"/>
        <v>0</v>
      </c>
      <c r="N2330" s="465">
        <f t="shared" si="212"/>
        <v>0</v>
      </c>
      <c r="O2330" s="179"/>
      <c r="P2330" s="180"/>
      <c r="Q2330" s="173"/>
      <c r="R2330" s="173"/>
      <c r="S2330" s="174"/>
      <c r="T2330" s="173"/>
      <c r="U2330" s="182"/>
      <c r="V2330" s="177">
        <f>IF(U2330=0,0,IF(T2330="MXN",1/HLOOKUP(YEAR(S2330)+(MONTH(S2330)/100),TC!$5:$37,DAY(S2330)+2,FALSE),VLOOKUP(T2330,Equivalencia!$1:$23,((MAX(Equivalencia!$3:$3)-YEAR(S2330))*14)+MONTH(S2330)+2,FALSE)))</f>
        <v>0</v>
      </c>
      <c r="W2330" s="178">
        <f t="shared" si="209"/>
        <v>0</v>
      </c>
      <c r="X2330" s="481">
        <f t="shared" si="205"/>
        <v>0</v>
      </c>
      <c r="Y2330" s="179"/>
      <c r="Z2330" s="466">
        <f t="shared" si="206"/>
        <v>0</v>
      </c>
      <c r="AA2330" s="473">
        <f t="shared" si="207"/>
        <v>0</v>
      </c>
      <c r="AB2330" s="339">
        <f t="shared" si="208"/>
        <v>0</v>
      </c>
    </row>
    <row r="2331" spans="2:28" ht="20.100000000000001" customHeight="1">
      <c r="B2331" s="172"/>
      <c r="C2331" s="174"/>
      <c r="D2331" s="181"/>
      <c r="E2331" s="173"/>
      <c r="F2331" s="176"/>
      <c r="G2331" s="175">
        <f t="shared" si="210"/>
        <v>0</v>
      </c>
      <c r="H2331" s="175">
        <f t="shared" si="203"/>
        <v>0</v>
      </c>
      <c r="I2331" s="177">
        <f>IF(G2331=0,0,IF(E2331="MXN",1/HLOOKUP(YEAR(C2331)+(MONTH(C2331)/100),TC!$5:$37,DAY(C2331)+2,FALSE),VLOOKUP(E2331,Equivalencia!$5:$23,((MAX(Equivalencia!$3:$3)-YEAR(C2331))*14)+MONTH(C2331)+2,FALSE)))</f>
        <v>0</v>
      </c>
      <c r="J2331" s="178">
        <f t="shared" si="211"/>
        <v>0</v>
      </c>
      <c r="K2331" s="462">
        <f>IF(C2331=0,0,VLOOKUP(YEAR(C2331),INPC!$B$4:$O$29,MONTH(C2331)+1))</f>
        <v>0</v>
      </c>
      <c r="L2331" s="462">
        <f>IF(S2331=0,0,VLOOKUP(YEAR(S2331),INPC!$B$4:$O$29,MONTH(S2331)+1))</f>
        <v>0</v>
      </c>
      <c r="M2331" s="463">
        <f t="shared" si="204"/>
        <v>0</v>
      </c>
      <c r="N2331" s="465">
        <f t="shared" si="212"/>
        <v>0</v>
      </c>
      <c r="O2331" s="179"/>
      <c r="P2331" s="180"/>
      <c r="Q2331" s="173"/>
      <c r="R2331" s="173"/>
      <c r="S2331" s="174"/>
      <c r="T2331" s="173"/>
      <c r="U2331" s="182"/>
      <c r="V2331" s="177">
        <f>IF(U2331=0,0,IF(T2331="MXN",1/HLOOKUP(YEAR(S2331)+(MONTH(S2331)/100),TC!$5:$37,DAY(S2331)+2,FALSE),VLOOKUP(T2331,Equivalencia!$1:$23,((MAX(Equivalencia!$3:$3)-YEAR(S2331))*14)+MONTH(S2331)+2,FALSE)))</f>
        <v>0</v>
      </c>
      <c r="W2331" s="178">
        <f t="shared" si="209"/>
        <v>0</v>
      </c>
      <c r="X2331" s="481">
        <f t="shared" si="205"/>
        <v>0</v>
      </c>
      <c r="Y2331" s="179"/>
      <c r="Z2331" s="466">
        <f t="shared" si="206"/>
        <v>0</v>
      </c>
      <c r="AA2331" s="473">
        <f t="shared" si="207"/>
        <v>0</v>
      </c>
      <c r="AB2331" s="339">
        <f t="shared" si="208"/>
        <v>0</v>
      </c>
    </row>
    <row r="2332" spans="2:28" ht="20.100000000000001" customHeight="1">
      <c r="B2332" s="172"/>
      <c r="C2332" s="174"/>
      <c r="D2332" s="181"/>
      <c r="E2332" s="173"/>
      <c r="F2332" s="176"/>
      <c r="G2332" s="175">
        <f t="shared" si="210"/>
        <v>0</v>
      </c>
      <c r="H2332" s="175">
        <f t="shared" si="203"/>
        <v>0</v>
      </c>
      <c r="I2332" s="177">
        <f>IF(G2332=0,0,IF(E2332="MXN",1/HLOOKUP(YEAR(C2332)+(MONTH(C2332)/100),TC!$5:$37,DAY(C2332)+2,FALSE),VLOOKUP(E2332,Equivalencia!$5:$23,((MAX(Equivalencia!$3:$3)-YEAR(C2332))*14)+MONTH(C2332)+2,FALSE)))</f>
        <v>0</v>
      </c>
      <c r="J2332" s="178">
        <f t="shared" si="211"/>
        <v>0</v>
      </c>
      <c r="K2332" s="462">
        <f>IF(C2332=0,0,VLOOKUP(YEAR(C2332),INPC!$B$4:$O$29,MONTH(C2332)+1))</f>
        <v>0</v>
      </c>
      <c r="L2332" s="462">
        <f>IF(S2332=0,0,VLOOKUP(YEAR(S2332),INPC!$B$4:$O$29,MONTH(S2332)+1))</f>
        <v>0</v>
      </c>
      <c r="M2332" s="463">
        <f t="shared" si="204"/>
        <v>0</v>
      </c>
      <c r="N2332" s="465">
        <f t="shared" si="212"/>
        <v>0</v>
      </c>
      <c r="O2332" s="179"/>
      <c r="P2332" s="180"/>
      <c r="Q2332" s="173"/>
      <c r="R2332" s="173"/>
      <c r="S2332" s="174"/>
      <c r="T2332" s="173"/>
      <c r="U2332" s="182"/>
      <c r="V2332" s="177">
        <f>IF(U2332=0,0,IF(T2332="MXN",1/HLOOKUP(YEAR(S2332)+(MONTH(S2332)/100),TC!$5:$37,DAY(S2332)+2,FALSE),VLOOKUP(T2332,Equivalencia!$1:$23,((MAX(Equivalencia!$3:$3)-YEAR(S2332))*14)+MONTH(S2332)+2,FALSE)))</f>
        <v>0</v>
      </c>
      <c r="W2332" s="178">
        <f t="shared" si="209"/>
        <v>0</v>
      </c>
      <c r="X2332" s="481">
        <f t="shared" si="205"/>
        <v>0</v>
      </c>
      <c r="Y2332" s="179"/>
      <c r="Z2332" s="466">
        <f t="shared" si="206"/>
        <v>0</v>
      </c>
      <c r="AA2332" s="473">
        <f t="shared" si="207"/>
        <v>0</v>
      </c>
      <c r="AB2332" s="339">
        <f t="shared" si="208"/>
        <v>0</v>
      </c>
    </row>
    <row r="2333" spans="2:28" ht="20.100000000000001" customHeight="1">
      <c r="B2333" s="172"/>
      <c r="C2333" s="174"/>
      <c r="D2333" s="181"/>
      <c r="E2333" s="173"/>
      <c r="F2333" s="176"/>
      <c r="G2333" s="175">
        <f t="shared" si="210"/>
        <v>0</v>
      </c>
      <c r="H2333" s="175">
        <f t="shared" si="203"/>
        <v>0</v>
      </c>
      <c r="I2333" s="177">
        <f>IF(G2333=0,0,IF(E2333="MXN",1/HLOOKUP(YEAR(C2333)+(MONTH(C2333)/100),TC!$5:$37,DAY(C2333)+2,FALSE),VLOOKUP(E2333,Equivalencia!$5:$23,((MAX(Equivalencia!$3:$3)-YEAR(C2333))*14)+MONTH(C2333)+2,FALSE)))</f>
        <v>0</v>
      </c>
      <c r="J2333" s="178">
        <f t="shared" si="211"/>
        <v>0</v>
      </c>
      <c r="K2333" s="462">
        <f>IF(C2333=0,0,VLOOKUP(YEAR(C2333),INPC!$B$4:$O$29,MONTH(C2333)+1))</f>
        <v>0</v>
      </c>
      <c r="L2333" s="462">
        <f>IF(S2333=0,0,VLOOKUP(YEAR(S2333),INPC!$B$4:$O$29,MONTH(S2333)+1))</f>
        <v>0</v>
      </c>
      <c r="M2333" s="463">
        <f t="shared" si="204"/>
        <v>0</v>
      </c>
      <c r="N2333" s="465">
        <f t="shared" si="212"/>
        <v>0</v>
      </c>
      <c r="O2333" s="179"/>
      <c r="P2333" s="180"/>
      <c r="Q2333" s="173"/>
      <c r="R2333" s="173"/>
      <c r="S2333" s="174"/>
      <c r="T2333" s="173"/>
      <c r="U2333" s="182"/>
      <c r="V2333" s="177">
        <f>IF(U2333=0,0,IF(T2333="MXN",1/HLOOKUP(YEAR(S2333)+(MONTH(S2333)/100),TC!$5:$37,DAY(S2333)+2,FALSE),VLOOKUP(T2333,Equivalencia!$1:$23,((MAX(Equivalencia!$3:$3)-YEAR(S2333))*14)+MONTH(S2333)+2,FALSE)))</f>
        <v>0</v>
      </c>
      <c r="W2333" s="178">
        <f t="shared" si="209"/>
        <v>0</v>
      </c>
      <c r="X2333" s="481">
        <f t="shared" si="205"/>
        <v>0</v>
      </c>
      <c r="Y2333" s="179"/>
      <c r="Z2333" s="466">
        <f t="shared" si="206"/>
        <v>0</v>
      </c>
      <c r="AA2333" s="473">
        <f t="shared" si="207"/>
        <v>0</v>
      </c>
      <c r="AB2333" s="339">
        <f t="shared" si="208"/>
        <v>0</v>
      </c>
    </row>
    <row r="2334" spans="2:28" ht="20.100000000000001" customHeight="1">
      <c r="B2334" s="172"/>
      <c r="C2334" s="174"/>
      <c r="D2334" s="181"/>
      <c r="E2334" s="173"/>
      <c r="F2334" s="176"/>
      <c r="G2334" s="175">
        <f t="shared" si="210"/>
        <v>0</v>
      </c>
      <c r="H2334" s="175">
        <f t="shared" si="203"/>
        <v>0</v>
      </c>
      <c r="I2334" s="177">
        <f>IF(G2334=0,0,IF(E2334="MXN",1/HLOOKUP(YEAR(C2334)+(MONTH(C2334)/100),TC!$5:$37,DAY(C2334)+2,FALSE),VLOOKUP(E2334,Equivalencia!$5:$23,((MAX(Equivalencia!$3:$3)-YEAR(C2334))*14)+MONTH(C2334)+2,FALSE)))</f>
        <v>0</v>
      </c>
      <c r="J2334" s="178">
        <f t="shared" si="211"/>
        <v>0</v>
      </c>
      <c r="K2334" s="462">
        <f>IF(C2334=0,0,VLOOKUP(YEAR(C2334),INPC!$B$4:$O$29,MONTH(C2334)+1))</f>
        <v>0</v>
      </c>
      <c r="L2334" s="462">
        <f>IF(S2334=0,0,VLOOKUP(YEAR(S2334),INPC!$B$4:$O$29,MONTH(S2334)+1))</f>
        <v>0</v>
      </c>
      <c r="M2334" s="463">
        <f t="shared" si="204"/>
        <v>0</v>
      </c>
      <c r="N2334" s="465">
        <f t="shared" si="212"/>
        <v>0</v>
      </c>
      <c r="O2334" s="179"/>
      <c r="P2334" s="180"/>
      <c r="Q2334" s="173"/>
      <c r="R2334" s="173"/>
      <c r="S2334" s="174"/>
      <c r="T2334" s="173"/>
      <c r="U2334" s="182"/>
      <c r="V2334" s="177">
        <f>IF(U2334=0,0,IF(T2334="MXN",1/HLOOKUP(YEAR(S2334)+(MONTH(S2334)/100),TC!$5:$37,DAY(S2334)+2,FALSE),VLOOKUP(T2334,Equivalencia!$1:$23,((MAX(Equivalencia!$3:$3)-YEAR(S2334))*14)+MONTH(S2334)+2,FALSE)))</f>
        <v>0</v>
      </c>
      <c r="W2334" s="178">
        <f t="shared" si="209"/>
        <v>0</v>
      </c>
      <c r="X2334" s="481">
        <f t="shared" si="205"/>
        <v>0</v>
      </c>
      <c r="Y2334" s="179"/>
      <c r="Z2334" s="466">
        <f t="shared" si="206"/>
        <v>0</v>
      </c>
      <c r="AA2334" s="473">
        <f t="shared" si="207"/>
        <v>0</v>
      </c>
      <c r="AB2334" s="339">
        <f t="shared" si="208"/>
        <v>0</v>
      </c>
    </row>
    <row r="2335" spans="2:28" ht="20.100000000000001" customHeight="1">
      <c r="B2335" s="172"/>
      <c r="C2335" s="174"/>
      <c r="D2335" s="181"/>
      <c r="E2335" s="173"/>
      <c r="F2335" s="176"/>
      <c r="G2335" s="175">
        <f t="shared" si="210"/>
        <v>0</v>
      </c>
      <c r="H2335" s="175">
        <f t="shared" si="203"/>
        <v>0</v>
      </c>
      <c r="I2335" s="177">
        <f>IF(G2335=0,0,IF(E2335="MXN",1/HLOOKUP(YEAR(C2335)+(MONTH(C2335)/100),TC!$5:$37,DAY(C2335)+2,FALSE),VLOOKUP(E2335,Equivalencia!$5:$23,((MAX(Equivalencia!$3:$3)-YEAR(C2335))*14)+MONTH(C2335)+2,FALSE)))</f>
        <v>0</v>
      </c>
      <c r="J2335" s="178">
        <f t="shared" si="211"/>
        <v>0</v>
      </c>
      <c r="K2335" s="462">
        <f>IF(C2335=0,0,VLOOKUP(YEAR(C2335),INPC!$B$4:$O$29,MONTH(C2335)+1))</f>
        <v>0</v>
      </c>
      <c r="L2335" s="462">
        <f>IF(S2335=0,0,VLOOKUP(YEAR(S2335),INPC!$B$4:$O$29,MONTH(S2335)+1))</f>
        <v>0</v>
      </c>
      <c r="M2335" s="463">
        <f t="shared" si="204"/>
        <v>0</v>
      </c>
      <c r="N2335" s="465">
        <f t="shared" si="212"/>
        <v>0</v>
      </c>
      <c r="O2335" s="179"/>
      <c r="P2335" s="180"/>
      <c r="Q2335" s="173"/>
      <c r="R2335" s="173"/>
      <c r="S2335" s="174"/>
      <c r="T2335" s="173"/>
      <c r="U2335" s="182"/>
      <c r="V2335" s="177">
        <f>IF(U2335=0,0,IF(T2335="MXN",1/HLOOKUP(YEAR(S2335)+(MONTH(S2335)/100),TC!$5:$37,DAY(S2335)+2,FALSE),VLOOKUP(T2335,Equivalencia!$1:$23,((MAX(Equivalencia!$3:$3)-YEAR(S2335))*14)+MONTH(S2335)+2,FALSE)))</f>
        <v>0</v>
      </c>
      <c r="W2335" s="178">
        <f t="shared" si="209"/>
        <v>0</v>
      </c>
      <c r="X2335" s="481">
        <f t="shared" si="205"/>
        <v>0</v>
      </c>
      <c r="Y2335" s="179"/>
      <c r="Z2335" s="466">
        <f t="shared" si="206"/>
        <v>0</v>
      </c>
      <c r="AA2335" s="473">
        <f t="shared" si="207"/>
        <v>0</v>
      </c>
      <c r="AB2335" s="339">
        <f t="shared" si="208"/>
        <v>0</v>
      </c>
    </row>
    <row r="2336" spans="2:28" ht="20.100000000000001" customHeight="1">
      <c r="B2336" s="172"/>
      <c r="C2336" s="174"/>
      <c r="D2336" s="181"/>
      <c r="E2336" s="173"/>
      <c r="F2336" s="176"/>
      <c r="G2336" s="175">
        <f t="shared" si="210"/>
        <v>0</v>
      </c>
      <c r="H2336" s="175">
        <f t="shared" si="203"/>
        <v>0</v>
      </c>
      <c r="I2336" s="177">
        <f>IF(G2336=0,0,IF(E2336="MXN",1/HLOOKUP(YEAR(C2336)+(MONTH(C2336)/100),TC!$5:$37,DAY(C2336)+2,FALSE),VLOOKUP(E2336,Equivalencia!$5:$23,((MAX(Equivalencia!$3:$3)-YEAR(C2336))*14)+MONTH(C2336)+2,FALSE)))</f>
        <v>0</v>
      </c>
      <c r="J2336" s="178">
        <f t="shared" si="211"/>
        <v>0</v>
      </c>
      <c r="K2336" s="462">
        <f>IF(C2336=0,0,VLOOKUP(YEAR(C2336),INPC!$B$4:$O$29,MONTH(C2336)+1))</f>
        <v>0</v>
      </c>
      <c r="L2336" s="462">
        <f>IF(S2336=0,0,VLOOKUP(YEAR(S2336),INPC!$B$4:$O$29,MONTH(S2336)+1))</f>
        <v>0</v>
      </c>
      <c r="M2336" s="463">
        <f t="shared" si="204"/>
        <v>0</v>
      </c>
      <c r="N2336" s="465">
        <f t="shared" si="212"/>
        <v>0</v>
      </c>
      <c r="O2336" s="179"/>
      <c r="P2336" s="180"/>
      <c r="Q2336" s="173"/>
      <c r="R2336" s="173"/>
      <c r="S2336" s="174"/>
      <c r="T2336" s="173"/>
      <c r="U2336" s="182"/>
      <c r="V2336" s="177">
        <f>IF(U2336=0,0,IF(T2336="MXN",1/HLOOKUP(YEAR(S2336)+(MONTH(S2336)/100),TC!$5:$37,DAY(S2336)+2,FALSE),VLOOKUP(T2336,Equivalencia!$1:$23,((MAX(Equivalencia!$3:$3)-YEAR(S2336))*14)+MONTH(S2336)+2,FALSE)))</f>
        <v>0</v>
      </c>
      <c r="W2336" s="178">
        <f t="shared" si="209"/>
        <v>0</v>
      </c>
      <c r="X2336" s="481">
        <f t="shared" si="205"/>
        <v>0</v>
      </c>
      <c r="Y2336" s="179"/>
      <c r="Z2336" s="466">
        <f t="shared" si="206"/>
        <v>0</v>
      </c>
      <c r="AA2336" s="473">
        <f t="shared" si="207"/>
        <v>0</v>
      </c>
      <c r="AB2336" s="339">
        <f t="shared" si="208"/>
        <v>0</v>
      </c>
    </row>
    <row r="2337" spans="2:28" ht="20.100000000000001" customHeight="1">
      <c r="B2337" s="172"/>
      <c r="C2337" s="174"/>
      <c r="D2337" s="181"/>
      <c r="E2337" s="173"/>
      <c r="F2337" s="176"/>
      <c r="G2337" s="175">
        <f t="shared" si="210"/>
        <v>0</v>
      </c>
      <c r="H2337" s="175">
        <f t="shared" si="203"/>
        <v>0</v>
      </c>
      <c r="I2337" s="177">
        <f>IF(G2337=0,0,IF(E2337="MXN",1/HLOOKUP(YEAR(C2337)+(MONTH(C2337)/100),TC!$5:$37,DAY(C2337)+2,FALSE),VLOOKUP(E2337,Equivalencia!$5:$23,((MAX(Equivalencia!$3:$3)-YEAR(C2337))*14)+MONTH(C2337)+2,FALSE)))</f>
        <v>0</v>
      </c>
      <c r="J2337" s="178">
        <f t="shared" si="211"/>
        <v>0</v>
      </c>
      <c r="K2337" s="462">
        <f>IF(C2337=0,0,VLOOKUP(YEAR(C2337),INPC!$B$4:$O$29,MONTH(C2337)+1))</f>
        <v>0</v>
      </c>
      <c r="L2337" s="462">
        <f>IF(S2337=0,0,VLOOKUP(YEAR(S2337),INPC!$B$4:$O$29,MONTH(S2337)+1))</f>
        <v>0</v>
      </c>
      <c r="M2337" s="463">
        <f t="shared" si="204"/>
        <v>0</v>
      </c>
      <c r="N2337" s="465">
        <f t="shared" si="212"/>
        <v>0</v>
      </c>
      <c r="O2337" s="179"/>
      <c r="P2337" s="180"/>
      <c r="Q2337" s="173"/>
      <c r="R2337" s="173"/>
      <c r="S2337" s="174"/>
      <c r="T2337" s="173"/>
      <c r="U2337" s="182"/>
      <c r="V2337" s="177">
        <f>IF(U2337=0,0,IF(T2337="MXN",1/HLOOKUP(YEAR(S2337)+(MONTH(S2337)/100),TC!$5:$37,DAY(S2337)+2,FALSE),VLOOKUP(T2337,Equivalencia!$1:$23,((MAX(Equivalencia!$3:$3)-YEAR(S2337))*14)+MONTH(S2337)+2,FALSE)))</f>
        <v>0</v>
      </c>
      <c r="W2337" s="178">
        <f t="shared" si="209"/>
        <v>0</v>
      </c>
      <c r="X2337" s="481">
        <f t="shared" si="205"/>
        <v>0</v>
      </c>
      <c r="Y2337" s="179"/>
      <c r="Z2337" s="466">
        <f t="shared" si="206"/>
        <v>0</v>
      </c>
      <c r="AA2337" s="473">
        <f t="shared" si="207"/>
        <v>0</v>
      </c>
      <c r="AB2337" s="339">
        <f t="shared" si="208"/>
        <v>0</v>
      </c>
    </row>
    <row r="2338" spans="2:28" ht="20.100000000000001" customHeight="1">
      <c r="B2338" s="172"/>
      <c r="C2338" s="174"/>
      <c r="D2338" s="181"/>
      <c r="E2338" s="173"/>
      <c r="F2338" s="176"/>
      <c r="G2338" s="175">
        <f t="shared" si="210"/>
        <v>0</v>
      </c>
      <c r="H2338" s="175">
        <f t="shared" si="203"/>
        <v>0</v>
      </c>
      <c r="I2338" s="177">
        <f>IF(G2338=0,0,IF(E2338="MXN",1/HLOOKUP(YEAR(C2338)+(MONTH(C2338)/100),TC!$5:$37,DAY(C2338)+2,FALSE),VLOOKUP(E2338,Equivalencia!$5:$23,((MAX(Equivalencia!$3:$3)-YEAR(C2338))*14)+MONTH(C2338)+2,FALSE)))</f>
        <v>0</v>
      </c>
      <c r="J2338" s="178">
        <f t="shared" si="211"/>
        <v>0</v>
      </c>
      <c r="K2338" s="462">
        <f>IF(C2338=0,0,VLOOKUP(YEAR(C2338),INPC!$B$4:$O$29,MONTH(C2338)+1))</f>
        <v>0</v>
      </c>
      <c r="L2338" s="462">
        <f>IF(S2338=0,0,VLOOKUP(YEAR(S2338),INPC!$B$4:$O$29,MONTH(S2338)+1))</f>
        <v>0</v>
      </c>
      <c r="M2338" s="463">
        <f t="shared" si="204"/>
        <v>0</v>
      </c>
      <c r="N2338" s="465">
        <f t="shared" si="212"/>
        <v>0</v>
      </c>
      <c r="O2338" s="179"/>
      <c r="P2338" s="180"/>
      <c r="Q2338" s="173"/>
      <c r="R2338" s="173"/>
      <c r="S2338" s="174"/>
      <c r="T2338" s="173"/>
      <c r="U2338" s="182"/>
      <c r="V2338" s="177">
        <f>IF(U2338=0,0,IF(T2338="MXN",1/HLOOKUP(YEAR(S2338)+(MONTH(S2338)/100),TC!$5:$37,DAY(S2338)+2,FALSE),VLOOKUP(T2338,Equivalencia!$1:$23,((MAX(Equivalencia!$3:$3)-YEAR(S2338))*14)+MONTH(S2338)+2,FALSE)))</f>
        <v>0</v>
      </c>
      <c r="W2338" s="178">
        <f t="shared" si="209"/>
        <v>0</v>
      </c>
      <c r="X2338" s="481">
        <f t="shared" si="205"/>
        <v>0</v>
      </c>
      <c r="Y2338" s="179"/>
      <c r="Z2338" s="466">
        <f t="shared" si="206"/>
        <v>0</v>
      </c>
      <c r="AA2338" s="473">
        <f t="shared" si="207"/>
        <v>0</v>
      </c>
      <c r="AB2338" s="339">
        <f t="shared" si="208"/>
        <v>0</v>
      </c>
    </row>
    <row r="2339" spans="2:28" ht="20.100000000000001" customHeight="1">
      <c r="B2339" s="172"/>
      <c r="C2339" s="174"/>
      <c r="D2339" s="181"/>
      <c r="E2339" s="173"/>
      <c r="F2339" s="176"/>
      <c r="G2339" s="175">
        <f t="shared" si="210"/>
        <v>0</v>
      </c>
      <c r="H2339" s="175">
        <f t="shared" si="203"/>
        <v>0</v>
      </c>
      <c r="I2339" s="177">
        <f>IF(G2339=0,0,IF(E2339="MXN",1/HLOOKUP(YEAR(C2339)+(MONTH(C2339)/100),TC!$5:$37,DAY(C2339)+2,FALSE),VLOOKUP(E2339,Equivalencia!$5:$23,((MAX(Equivalencia!$3:$3)-YEAR(C2339))*14)+MONTH(C2339)+2,FALSE)))</f>
        <v>0</v>
      </c>
      <c r="J2339" s="178">
        <f t="shared" si="211"/>
        <v>0</v>
      </c>
      <c r="K2339" s="462">
        <f>IF(C2339=0,0,VLOOKUP(YEAR(C2339),INPC!$B$4:$O$29,MONTH(C2339)+1))</f>
        <v>0</v>
      </c>
      <c r="L2339" s="462">
        <f>IF(S2339=0,0,VLOOKUP(YEAR(S2339),INPC!$B$4:$O$29,MONTH(S2339)+1))</f>
        <v>0</v>
      </c>
      <c r="M2339" s="463">
        <f t="shared" si="204"/>
        <v>0</v>
      </c>
      <c r="N2339" s="465">
        <f t="shared" si="212"/>
        <v>0</v>
      </c>
      <c r="O2339" s="179"/>
      <c r="P2339" s="180"/>
      <c r="Q2339" s="173"/>
      <c r="R2339" s="173"/>
      <c r="S2339" s="174"/>
      <c r="T2339" s="173"/>
      <c r="U2339" s="182"/>
      <c r="V2339" s="177">
        <f>IF(U2339=0,0,IF(T2339="MXN",1/HLOOKUP(YEAR(S2339)+(MONTH(S2339)/100),TC!$5:$37,DAY(S2339)+2,FALSE),VLOOKUP(T2339,Equivalencia!$1:$23,((MAX(Equivalencia!$3:$3)-YEAR(S2339))*14)+MONTH(S2339)+2,FALSE)))</f>
        <v>0</v>
      </c>
      <c r="W2339" s="178">
        <f t="shared" si="209"/>
        <v>0</v>
      </c>
      <c r="X2339" s="481">
        <f t="shared" si="205"/>
        <v>0</v>
      </c>
      <c r="Y2339" s="179"/>
      <c r="Z2339" s="466">
        <f t="shared" si="206"/>
        <v>0</v>
      </c>
      <c r="AA2339" s="473">
        <f t="shared" si="207"/>
        <v>0</v>
      </c>
      <c r="AB2339" s="339">
        <f t="shared" si="208"/>
        <v>0</v>
      </c>
    </row>
    <row r="2340" spans="2:28" ht="20.100000000000001" customHeight="1">
      <c r="B2340" s="172"/>
      <c r="C2340" s="174"/>
      <c r="D2340" s="181"/>
      <c r="E2340" s="173"/>
      <c r="F2340" s="176"/>
      <c r="G2340" s="175">
        <f t="shared" si="210"/>
        <v>0</v>
      </c>
      <c r="H2340" s="175">
        <f t="shared" si="203"/>
        <v>0</v>
      </c>
      <c r="I2340" s="177">
        <f>IF(G2340=0,0,IF(E2340="MXN",1/HLOOKUP(YEAR(C2340)+(MONTH(C2340)/100),TC!$5:$37,DAY(C2340)+2,FALSE),VLOOKUP(E2340,Equivalencia!$5:$23,((MAX(Equivalencia!$3:$3)-YEAR(C2340))*14)+MONTH(C2340)+2,FALSE)))</f>
        <v>0</v>
      </c>
      <c r="J2340" s="178">
        <f t="shared" si="211"/>
        <v>0</v>
      </c>
      <c r="K2340" s="462">
        <f>IF(C2340=0,0,VLOOKUP(YEAR(C2340),INPC!$B$4:$O$29,MONTH(C2340)+1))</f>
        <v>0</v>
      </c>
      <c r="L2340" s="462">
        <f>IF(S2340=0,0,VLOOKUP(YEAR(S2340),INPC!$B$4:$O$29,MONTH(S2340)+1))</f>
        <v>0</v>
      </c>
      <c r="M2340" s="463">
        <f t="shared" si="204"/>
        <v>0</v>
      </c>
      <c r="N2340" s="465">
        <f t="shared" si="212"/>
        <v>0</v>
      </c>
      <c r="O2340" s="179"/>
      <c r="P2340" s="180"/>
      <c r="Q2340" s="173"/>
      <c r="R2340" s="173"/>
      <c r="S2340" s="174"/>
      <c r="T2340" s="173"/>
      <c r="U2340" s="182"/>
      <c r="V2340" s="177">
        <f>IF(U2340=0,0,IF(T2340="MXN",1/HLOOKUP(YEAR(S2340)+(MONTH(S2340)/100),TC!$5:$37,DAY(S2340)+2,FALSE),VLOOKUP(T2340,Equivalencia!$1:$23,((MAX(Equivalencia!$3:$3)-YEAR(S2340))*14)+MONTH(S2340)+2,FALSE)))</f>
        <v>0</v>
      </c>
      <c r="W2340" s="178">
        <f t="shared" si="209"/>
        <v>0</v>
      </c>
      <c r="X2340" s="481">
        <f t="shared" si="205"/>
        <v>0</v>
      </c>
      <c r="Y2340" s="179"/>
      <c r="Z2340" s="466">
        <f t="shared" si="206"/>
        <v>0</v>
      </c>
      <c r="AA2340" s="473">
        <f t="shared" si="207"/>
        <v>0</v>
      </c>
      <c r="AB2340" s="339">
        <f t="shared" si="208"/>
        <v>0</v>
      </c>
    </row>
    <row r="2341" spans="2:28" ht="20.100000000000001" customHeight="1">
      <c r="B2341" s="172"/>
      <c r="C2341" s="174"/>
      <c r="D2341" s="181"/>
      <c r="E2341" s="173"/>
      <c r="F2341" s="176"/>
      <c r="G2341" s="175">
        <f t="shared" si="210"/>
        <v>0</v>
      </c>
      <c r="H2341" s="175">
        <f t="shared" si="203"/>
        <v>0</v>
      </c>
      <c r="I2341" s="177">
        <f>IF(G2341=0,0,IF(E2341="MXN",1/HLOOKUP(YEAR(C2341)+(MONTH(C2341)/100),TC!$5:$37,DAY(C2341)+2,FALSE),VLOOKUP(E2341,Equivalencia!$5:$23,((MAX(Equivalencia!$3:$3)-YEAR(C2341))*14)+MONTH(C2341)+2,FALSE)))</f>
        <v>0</v>
      </c>
      <c r="J2341" s="178">
        <f t="shared" si="211"/>
        <v>0</v>
      </c>
      <c r="K2341" s="462">
        <f>IF(C2341=0,0,VLOOKUP(YEAR(C2341),INPC!$B$4:$O$29,MONTH(C2341)+1))</f>
        <v>0</v>
      </c>
      <c r="L2341" s="462">
        <f>IF(S2341=0,0,VLOOKUP(YEAR(S2341),INPC!$B$4:$O$29,MONTH(S2341)+1))</f>
        <v>0</v>
      </c>
      <c r="M2341" s="463">
        <f t="shared" si="204"/>
        <v>0</v>
      </c>
      <c r="N2341" s="465">
        <f t="shared" si="212"/>
        <v>0</v>
      </c>
      <c r="O2341" s="179"/>
      <c r="P2341" s="180"/>
      <c r="Q2341" s="173"/>
      <c r="R2341" s="173"/>
      <c r="S2341" s="174"/>
      <c r="T2341" s="173"/>
      <c r="U2341" s="182"/>
      <c r="V2341" s="177">
        <f>IF(U2341=0,0,IF(T2341="MXN",1/HLOOKUP(YEAR(S2341)+(MONTH(S2341)/100),TC!$5:$37,DAY(S2341)+2,FALSE),VLOOKUP(T2341,Equivalencia!$1:$23,((MAX(Equivalencia!$3:$3)-YEAR(S2341))*14)+MONTH(S2341)+2,FALSE)))</f>
        <v>0</v>
      </c>
      <c r="W2341" s="178">
        <f t="shared" si="209"/>
        <v>0</v>
      </c>
      <c r="X2341" s="481">
        <f t="shared" si="205"/>
        <v>0</v>
      </c>
      <c r="Y2341" s="179"/>
      <c r="Z2341" s="466">
        <f t="shared" si="206"/>
        <v>0</v>
      </c>
      <c r="AA2341" s="473">
        <f t="shared" si="207"/>
        <v>0</v>
      </c>
      <c r="AB2341" s="339">
        <f t="shared" si="208"/>
        <v>0</v>
      </c>
    </row>
    <row r="2342" spans="2:28" ht="20.100000000000001" customHeight="1">
      <c r="B2342" s="172"/>
      <c r="C2342" s="174"/>
      <c r="D2342" s="181"/>
      <c r="E2342" s="173"/>
      <c r="F2342" s="176"/>
      <c r="G2342" s="175">
        <f t="shared" si="210"/>
        <v>0</v>
      </c>
      <c r="H2342" s="175">
        <f t="shared" si="203"/>
        <v>0</v>
      </c>
      <c r="I2342" s="177">
        <f>IF(G2342=0,0,IF(E2342="MXN",1/HLOOKUP(YEAR(C2342)+(MONTH(C2342)/100),TC!$5:$37,DAY(C2342)+2,FALSE),VLOOKUP(E2342,Equivalencia!$5:$23,((MAX(Equivalencia!$3:$3)-YEAR(C2342))*14)+MONTH(C2342)+2,FALSE)))</f>
        <v>0</v>
      </c>
      <c r="J2342" s="178">
        <f t="shared" si="211"/>
        <v>0</v>
      </c>
      <c r="K2342" s="462">
        <f>IF(C2342=0,0,VLOOKUP(YEAR(C2342),INPC!$B$4:$O$29,MONTH(C2342)+1))</f>
        <v>0</v>
      </c>
      <c r="L2342" s="462">
        <f>IF(S2342=0,0,VLOOKUP(YEAR(S2342),INPC!$B$4:$O$29,MONTH(S2342)+1))</f>
        <v>0</v>
      </c>
      <c r="M2342" s="463">
        <f t="shared" si="204"/>
        <v>0</v>
      </c>
      <c r="N2342" s="465">
        <f t="shared" si="212"/>
        <v>0</v>
      </c>
      <c r="O2342" s="179"/>
      <c r="P2342" s="180"/>
      <c r="Q2342" s="173"/>
      <c r="R2342" s="173"/>
      <c r="S2342" s="174"/>
      <c r="T2342" s="173"/>
      <c r="U2342" s="182"/>
      <c r="V2342" s="177">
        <f>IF(U2342=0,0,IF(T2342="MXN",1/HLOOKUP(YEAR(S2342)+(MONTH(S2342)/100),TC!$5:$37,DAY(S2342)+2,FALSE),VLOOKUP(T2342,Equivalencia!$1:$23,((MAX(Equivalencia!$3:$3)-YEAR(S2342))*14)+MONTH(S2342)+2,FALSE)))</f>
        <v>0</v>
      </c>
      <c r="W2342" s="178">
        <f t="shared" si="209"/>
        <v>0</v>
      </c>
      <c r="X2342" s="481">
        <f t="shared" si="205"/>
        <v>0</v>
      </c>
      <c r="Y2342" s="179"/>
      <c r="Z2342" s="466">
        <f t="shared" si="206"/>
        <v>0</v>
      </c>
      <c r="AA2342" s="473">
        <f t="shared" si="207"/>
        <v>0</v>
      </c>
      <c r="AB2342" s="339">
        <f t="shared" si="208"/>
        <v>0</v>
      </c>
    </row>
    <row r="2343" spans="2:28" ht="20.100000000000001" customHeight="1">
      <c r="B2343" s="172"/>
      <c r="C2343" s="174"/>
      <c r="D2343" s="181"/>
      <c r="E2343" s="173"/>
      <c r="F2343" s="176"/>
      <c r="G2343" s="175">
        <f t="shared" si="210"/>
        <v>0</v>
      </c>
      <c r="H2343" s="175">
        <f t="shared" si="203"/>
        <v>0</v>
      </c>
      <c r="I2343" s="177">
        <f>IF(G2343=0,0,IF(E2343="MXN",1/HLOOKUP(YEAR(C2343)+(MONTH(C2343)/100),TC!$5:$37,DAY(C2343)+2,FALSE),VLOOKUP(E2343,Equivalencia!$5:$23,((MAX(Equivalencia!$3:$3)-YEAR(C2343))*14)+MONTH(C2343)+2,FALSE)))</f>
        <v>0</v>
      </c>
      <c r="J2343" s="178">
        <f t="shared" si="211"/>
        <v>0</v>
      </c>
      <c r="K2343" s="462">
        <f>IF(C2343=0,0,VLOOKUP(YEAR(C2343),INPC!$B$4:$O$29,MONTH(C2343)+1))</f>
        <v>0</v>
      </c>
      <c r="L2343" s="462">
        <f>IF(S2343=0,0,VLOOKUP(YEAR(S2343),INPC!$B$4:$O$29,MONTH(S2343)+1))</f>
        <v>0</v>
      </c>
      <c r="M2343" s="463">
        <f t="shared" si="204"/>
        <v>0</v>
      </c>
      <c r="N2343" s="465">
        <f t="shared" si="212"/>
        <v>0</v>
      </c>
      <c r="O2343" s="179"/>
      <c r="P2343" s="180"/>
      <c r="Q2343" s="173"/>
      <c r="R2343" s="173"/>
      <c r="S2343" s="174"/>
      <c r="T2343" s="173"/>
      <c r="U2343" s="182"/>
      <c r="V2343" s="177">
        <f>IF(U2343=0,0,IF(T2343="MXN",1/HLOOKUP(YEAR(S2343)+(MONTH(S2343)/100),TC!$5:$37,DAY(S2343)+2,FALSE),VLOOKUP(T2343,Equivalencia!$1:$23,((MAX(Equivalencia!$3:$3)-YEAR(S2343))*14)+MONTH(S2343)+2,FALSE)))</f>
        <v>0</v>
      </c>
      <c r="W2343" s="178">
        <f t="shared" si="209"/>
        <v>0</v>
      </c>
      <c r="X2343" s="481">
        <f t="shared" si="205"/>
        <v>0</v>
      </c>
      <c r="Y2343" s="179"/>
      <c r="Z2343" s="466">
        <f t="shared" si="206"/>
        <v>0</v>
      </c>
      <c r="AA2343" s="473">
        <f t="shared" si="207"/>
        <v>0</v>
      </c>
      <c r="AB2343" s="339">
        <f t="shared" si="208"/>
        <v>0</v>
      </c>
    </row>
    <row r="2344" spans="2:28" ht="20.100000000000001" customHeight="1">
      <c r="B2344" s="172"/>
      <c r="C2344" s="174"/>
      <c r="D2344" s="181"/>
      <c r="E2344" s="173"/>
      <c r="F2344" s="176"/>
      <c r="G2344" s="175">
        <f t="shared" si="210"/>
        <v>0</v>
      </c>
      <c r="H2344" s="175">
        <f t="shared" si="203"/>
        <v>0</v>
      </c>
      <c r="I2344" s="177">
        <f>IF(G2344=0,0,IF(E2344="MXN",1/HLOOKUP(YEAR(C2344)+(MONTH(C2344)/100),TC!$5:$37,DAY(C2344)+2,FALSE),VLOOKUP(E2344,Equivalencia!$5:$23,((MAX(Equivalencia!$3:$3)-YEAR(C2344))*14)+MONTH(C2344)+2,FALSE)))</f>
        <v>0</v>
      </c>
      <c r="J2344" s="178">
        <f t="shared" si="211"/>
        <v>0</v>
      </c>
      <c r="K2344" s="462">
        <f>IF(C2344=0,0,VLOOKUP(YEAR(C2344),INPC!$B$4:$O$29,MONTH(C2344)+1))</f>
        <v>0</v>
      </c>
      <c r="L2344" s="462">
        <f>IF(S2344=0,0,VLOOKUP(YEAR(S2344),INPC!$B$4:$O$29,MONTH(S2344)+1))</f>
        <v>0</v>
      </c>
      <c r="M2344" s="463">
        <f t="shared" si="204"/>
        <v>0</v>
      </c>
      <c r="N2344" s="465">
        <f t="shared" si="212"/>
        <v>0</v>
      </c>
      <c r="O2344" s="179"/>
      <c r="P2344" s="180"/>
      <c r="Q2344" s="173"/>
      <c r="R2344" s="173"/>
      <c r="S2344" s="174"/>
      <c r="T2344" s="173"/>
      <c r="U2344" s="182"/>
      <c r="V2344" s="177">
        <f>IF(U2344=0,0,IF(T2344="MXN",1/HLOOKUP(YEAR(S2344)+(MONTH(S2344)/100),TC!$5:$37,DAY(S2344)+2,FALSE),VLOOKUP(T2344,Equivalencia!$1:$23,((MAX(Equivalencia!$3:$3)-YEAR(S2344))*14)+MONTH(S2344)+2,FALSE)))</f>
        <v>0</v>
      </c>
      <c r="W2344" s="178">
        <f t="shared" si="209"/>
        <v>0</v>
      </c>
      <c r="X2344" s="481">
        <f t="shared" si="205"/>
        <v>0</v>
      </c>
      <c r="Y2344" s="179"/>
      <c r="Z2344" s="466">
        <f t="shared" si="206"/>
        <v>0</v>
      </c>
      <c r="AA2344" s="473">
        <f t="shared" si="207"/>
        <v>0</v>
      </c>
      <c r="AB2344" s="339">
        <f t="shared" si="208"/>
        <v>0</v>
      </c>
    </row>
    <row r="2345" spans="2:28" ht="20.100000000000001" customHeight="1">
      <c r="B2345" s="172"/>
      <c r="C2345" s="174"/>
      <c r="D2345" s="181"/>
      <c r="E2345" s="173"/>
      <c r="F2345" s="176"/>
      <c r="G2345" s="175">
        <f t="shared" si="210"/>
        <v>0</v>
      </c>
      <c r="H2345" s="175">
        <f t="shared" si="203"/>
        <v>0</v>
      </c>
      <c r="I2345" s="177">
        <f>IF(G2345=0,0,IF(E2345="MXN",1/HLOOKUP(YEAR(C2345)+(MONTH(C2345)/100),TC!$5:$37,DAY(C2345)+2,FALSE),VLOOKUP(E2345,Equivalencia!$5:$23,((MAX(Equivalencia!$3:$3)-YEAR(C2345))*14)+MONTH(C2345)+2,FALSE)))</f>
        <v>0</v>
      </c>
      <c r="J2345" s="178">
        <f t="shared" si="211"/>
        <v>0</v>
      </c>
      <c r="K2345" s="462">
        <f>IF(C2345=0,0,VLOOKUP(YEAR(C2345),INPC!$B$4:$O$29,MONTH(C2345)+1))</f>
        <v>0</v>
      </c>
      <c r="L2345" s="462">
        <f>IF(S2345=0,0,VLOOKUP(YEAR(S2345),INPC!$B$4:$O$29,MONTH(S2345)+1))</f>
        <v>0</v>
      </c>
      <c r="M2345" s="463">
        <f t="shared" si="204"/>
        <v>0</v>
      </c>
      <c r="N2345" s="465">
        <f t="shared" si="212"/>
        <v>0</v>
      </c>
      <c r="O2345" s="179"/>
      <c r="P2345" s="180"/>
      <c r="Q2345" s="173"/>
      <c r="R2345" s="173"/>
      <c r="S2345" s="174"/>
      <c r="T2345" s="173"/>
      <c r="U2345" s="182"/>
      <c r="V2345" s="177">
        <f>IF(U2345=0,0,IF(T2345="MXN",1/HLOOKUP(YEAR(S2345)+(MONTH(S2345)/100),TC!$5:$37,DAY(S2345)+2,FALSE),VLOOKUP(T2345,Equivalencia!$1:$23,((MAX(Equivalencia!$3:$3)-YEAR(S2345))*14)+MONTH(S2345)+2,FALSE)))</f>
        <v>0</v>
      </c>
      <c r="W2345" s="178">
        <f t="shared" si="209"/>
        <v>0</v>
      </c>
      <c r="X2345" s="481">
        <f t="shared" si="205"/>
        <v>0</v>
      </c>
      <c r="Y2345" s="179"/>
      <c r="Z2345" s="466">
        <f t="shared" si="206"/>
        <v>0</v>
      </c>
      <c r="AA2345" s="473">
        <f t="shared" si="207"/>
        <v>0</v>
      </c>
      <c r="AB2345" s="339">
        <f t="shared" si="208"/>
        <v>0</v>
      </c>
    </row>
    <row r="2346" spans="2:28" ht="20.100000000000001" customHeight="1">
      <c r="B2346" s="172"/>
      <c r="C2346" s="174"/>
      <c r="D2346" s="181"/>
      <c r="E2346" s="173"/>
      <c r="F2346" s="176"/>
      <c r="G2346" s="175">
        <f t="shared" si="210"/>
        <v>0</v>
      </c>
      <c r="H2346" s="175">
        <f t="shared" si="203"/>
        <v>0</v>
      </c>
      <c r="I2346" s="177">
        <f>IF(G2346=0,0,IF(E2346="MXN",1/HLOOKUP(YEAR(C2346)+(MONTH(C2346)/100),TC!$5:$37,DAY(C2346)+2,FALSE),VLOOKUP(E2346,Equivalencia!$5:$23,((MAX(Equivalencia!$3:$3)-YEAR(C2346))*14)+MONTH(C2346)+2,FALSE)))</f>
        <v>0</v>
      </c>
      <c r="J2346" s="178">
        <f t="shared" si="211"/>
        <v>0</v>
      </c>
      <c r="K2346" s="462">
        <f>IF(C2346=0,0,VLOOKUP(YEAR(C2346),INPC!$B$4:$O$29,MONTH(C2346)+1))</f>
        <v>0</v>
      </c>
      <c r="L2346" s="462">
        <f>IF(S2346=0,0,VLOOKUP(YEAR(S2346),INPC!$B$4:$O$29,MONTH(S2346)+1))</f>
        <v>0</v>
      </c>
      <c r="M2346" s="463">
        <f t="shared" si="204"/>
        <v>0</v>
      </c>
      <c r="N2346" s="465">
        <f t="shared" si="212"/>
        <v>0</v>
      </c>
      <c r="O2346" s="179"/>
      <c r="P2346" s="180"/>
      <c r="Q2346" s="173"/>
      <c r="R2346" s="173"/>
      <c r="S2346" s="174"/>
      <c r="T2346" s="173"/>
      <c r="U2346" s="182"/>
      <c r="V2346" s="177">
        <f>IF(U2346=0,0,IF(T2346="MXN",1/HLOOKUP(YEAR(S2346)+(MONTH(S2346)/100),TC!$5:$37,DAY(S2346)+2,FALSE),VLOOKUP(T2346,Equivalencia!$1:$23,((MAX(Equivalencia!$3:$3)-YEAR(S2346))*14)+MONTH(S2346)+2,FALSE)))</f>
        <v>0</v>
      </c>
      <c r="W2346" s="178">
        <f t="shared" si="209"/>
        <v>0</v>
      </c>
      <c r="X2346" s="481">
        <f t="shared" si="205"/>
        <v>0</v>
      </c>
      <c r="Y2346" s="179"/>
      <c r="Z2346" s="466">
        <f t="shared" si="206"/>
        <v>0</v>
      </c>
      <c r="AA2346" s="473">
        <f t="shared" si="207"/>
        <v>0</v>
      </c>
      <c r="AB2346" s="339">
        <f t="shared" si="208"/>
        <v>0</v>
      </c>
    </row>
    <row r="2347" spans="2:28" ht="20.100000000000001" customHeight="1">
      <c r="B2347" s="172"/>
      <c r="C2347" s="174"/>
      <c r="D2347" s="181"/>
      <c r="E2347" s="173"/>
      <c r="F2347" s="176"/>
      <c r="G2347" s="175">
        <f t="shared" si="210"/>
        <v>0</v>
      </c>
      <c r="H2347" s="175">
        <f t="shared" si="203"/>
        <v>0</v>
      </c>
      <c r="I2347" s="177">
        <f>IF(G2347=0,0,IF(E2347="MXN",1/HLOOKUP(YEAR(C2347)+(MONTH(C2347)/100),TC!$5:$37,DAY(C2347)+2,FALSE),VLOOKUP(E2347,Equivalencia!$5:$23,((MAX(Equivalencia!$3:$3)-YEAR(C2347))*14)+MONTH(C2347)+2,FALSE)))</f>
        <v>0</v>
      </c>
      <c r="J2347" s="178">
        <f t="shared" si="211"/>
        <v>0</v>
      </c>
      <c r="K2347" s="462">
        <f>IF(C2347=0,0,VLOOKUP(YEAR(C2347),INPC!$B$4:$O$29,MONTH(C2347)+1))</f>
        <v>0</v>
      </c>
      <c r="L2347" s="462">
        <f>IF(S2347=0,0,VLOOKUP(YEAR(S2347),INPC!$B$4:$O$29,MONTH(S2347)+1))</f>
        <v>0</v>
      </c>
      <c r="M2347" s="463">
        <f t="shared" si="204"/>
        <v>0</v>
      </c>
      <c r="N2347" s="465">
        <f t="shared" si="212"/>
        <v>0</v>
      </c>
      <c r="O2347" s="179"/>
      <c r="P2347" s="180"/>
      <c r="Q2347" s="173"/>
      <c r="R2347" s="173"/>
      <c r="S2347" s="174"/>
      <c r="T2347" s="173"/>
      <c r="U2347" s="182"/>
      <c r="V2347" s="177">
        <f>IF(U2347=0,0,IF(T2347="MXN",1/HLOOKUP(YEAR(S2347)+(MONTH(S2347)/100),TC!$5:$37,DAY(S2347)+2,FALSE),VLOOKUP(T2347,Equivalencia!$1:$23,((MAX(Equivalencia!$3:$3)-YEAR(S2347))*14)+MONTH(S2347)+2,FALSE)))</f>
        <v>0</v>
      </c>
      <c r="W2347" s="178">
        <f t="shared" si="209"/>
        <v>0</v>
      </c>
      <c r="X2347" s="481">
        <f t="shared" si="205"/>
        <v>0</v>
      </c>
      <c r="Y2347" s="179"/>
      <c r="Z2347" s="466">
        <f t="shared" si="206"/>
        <v>0</v>
      </c>
      <c r="AA2347" s="473">
        <f t="shared" si="207"/>
        <v>0</v>
      </c>
      <c r="AB2347" s="339">
        <f t="shared" si="208"/>
        <v>0</v>
      </c>
    </row>
    <row r="2348" spans="2:28" ht="20.100000000000001" customHeight="1">
      <c r="B2348" s="172"/>
      <c r="C2348" s="174"/>
      <c r="D2348" s="181"/>
      <c r="E2348" s="173"/>
      <c r="F2348" s="176"/>
      <c r="G2348" s="175">
        <f t="shared" si="210"/>
        <v>0</v>
      </c>
      <c r="H2348" s="175">
        <f t="shared" si="203"/>
        <v>0</v>
      </c>
      <c r="I2348" s="177">
        <f>IF(G2348=0,0,IF(E2348="MXN",1/HLOOKUP(YEAR(C2348)+(MONTH(C2348)/100),TC!$5:$37,DAY(C2348)+2,FALSE),VLOOKUP(E2348,Equivalencia!$5:$23,((MAX(Equivalencia!$3:$3)-YEAR(C2348))*14)+MONTH(C2348)+2,FALSE)))</f>
        <v>0</v>
      </c>
      <c r="J2348" s="178">
        <f t="shared" si="211"/>
        <v>0</v>
      </c>
      <c r="K2348" s="462">
        <f>IF(C2348=0,0,VLOOKUP(YEAR(C2348),INPC!$B$4:$O$29,MONTH(C2348)+1))</f>
        <v>0</v>
      </c>
      <c r="L2348" s="462">
        <f>IF(S2348=0,0,VLOOKUP(YEAR(S2348),INPC!$B$4:$O$29,MONTH(S2348)+1))</f>
        <v>0</v>
      </c>
      <c r="M2348" s="463">
        <f t="shared" si="204"/>
        <v>0</v>
      </c>
      <c r="N2348" s="465">
        <f t="shared" si="212"/>
        <v>0</v>
      </c>
      <c r="O2348" s="179"/>
      <c r="P2348" s="180"/>
      <c r="Q2348" s="173"/>
      <c r="R2348" s="173"/>
      <c r="S2348" s="174"/>
      <c r="T2348" s="173"/>
      <c r="U2348" s="182"/>
      <c r="V2348" s="177">
        <f>IF(U2348=0,0,IF(T2348="MXN",1/HLOOKUP(YEAR(S2348)+(MONTH(S2348)/100),TC!$5:$37,DAY(S2348)+2,FALSE),VLOOKUP(T2348,Equivalencia!$1:$23,((MAX(Equivalencia!$3:$3)-YEAR(S2348))*14)+MONTH(S2348)+2,FALSE)))</f>
        <v>0</v>
      </c>
      <c r="W2348" s="178">
        <f t="shared" si="209"/>
        <v>0</v>
      </c>
      <c r="X2348" s="481">
        <f t="shared" si="205"/>
        <v>0</v>
      </c>
      <c r="Y2348" s="179"/>
      <c r="Z2348" s="466">
        <f t="shared" si="206"/>
        <v>0</v>
      </c>
      <c r="AA2348" s="473">
        <f t="shared" si="207"/>
        <v>0</v>
      </c>
      <c r="AB2348" s="339">
        <f t="shared" si="208"/>
        <v>0</v>
      </c>
    </row>
    <row r="2349" spans="2:28" ht="20.100000000000001" customHeight="1">
      <c r="B2349" s="172"/>
      <c r="C2349" s="174"/>
      <c r="D2349" s="181"/>
      <c r="E2349" s="173"/>
      <c r="F2349" s="176"/>
      <c r="G2349" s="175">
        <f t="shared" si="210"/>
        <v>0</v>
      </c>
      <c r="H2349" s="175">
        <f t="shared" si="203"/>
        <v>0</v>
      </c>
      <c r="I2349" s="177">
        <f>IF(G2349=0,0,IF(E2349="MXN",1/HLOOKUP(YEAR(C2349)+(MONTH(C2349)/100),TC!$5:$37,DAY(C2349)+2,FALSE),VLOOKUP(E2349,Equivalencia!$5:$23,((MAX(Equivalencia!$3:$3)-YEAR(C2349))*14)+MONTH(C2349)+2,FALSE)))</f>
        <v>0</v>
      </c>
      <c r="J2349" s="178">
        <f t="shared" si="211"/>
        <v>0</v>
      </c>
      <c r="K2349" s="462">
        <f>IF(C2349=0,0,VLOOKUP(YEAR(C2349),INPC!$B$4:$O$29,MONTH(C2349)+1))</f>
        <v>0</v>
      </c>
      <c r="L2349" s="462">
        <f>IF(S2349=0,0,VLOOKUP(YEAR(S2349),INPC!$B$4:$O$29,MONTH(S2349)+1))</f>
        <v>0</v>
      </c>
      <c r="M2349" s="463">
        <f t="shared" si="204"/>
        <v>0</v>
      </c>
      <c r="N2349" s="465">
        <f t="shared" si="212"/>
        <v>0</v>
      </c>
      <c r="O2349" s="179"/>
      <c r="P2349" s="180"/>
      <c r="Q2349" s="173"/>
      <c r="R2349" s="173"/>
      <c r="S2349" s="174"/>
      <c r="T2349" s="173"/>
      <c r="U2349" s="182"/>
      <c r="V2349" s="177">
        <f>IF(U2349=0,0,IF(T2349="MXN",1/HLOOKUP(YEAR(S2349)+(MONTH(S2349)/100),TC!$5:$37,DAY(S2349)+2,FALSE),VLOOKUP(T2349,Equivalencia!$1:$23,((MAX(Equivalencia!$3:$3)-YEAR(S2349))*14)+MONTH(S2349)+2,FALSE)))</f>
        <v>0</v>
      </c>
      <c r="W2349" s="178">
        <f t="shared" si="209"/>
        <v>0</v>
      </c>
      <c r="X2349" s="481">
        <f t="shared" si="205"/>
        <v>0</v>
      </c>
      <c r="Y2349" s="179"/>
      <c r="Z2349" s="466">
        <f t="shared" si="206"/>
        <v>0</v>
      </c>
      <c r="AA2349" s="473">
        <f t="shared" si="207"/>
        <v>0</v>
      </c>
      <c r="AB2349" s="339">
        <f t="shared" si="208"/>
        <v>0</v>
      </c>
    </row>
    <row r="2350" spans="2:28" ht="20.100000000000001" customHeight="1">
      <c r="B2350" s="172"/>
      <c r="C2350" s="174"/>
      <c r="D2350" s="181"/>
      <c r="E2350" s="173"/>
      <c r="F2350" s="176"/>
      <c r="G2350" s="175">
        <f t="shared" si="210"/>
        <v>0</v>
      </c>
      <c r="H2350" s="175">
        <f t="shared" si="203"/>
        <v>0</v>
      </c>
      <c r="I2350" s="177">
        <f>IF(G2350=0,0,IF(E2350="MXN",1/HLOOKUP(YEAR(C2350)+(MONTH(C2350)/100),TC!$5:$37,DAY(C2350)+2,FALSE),VLOOKUP(E2350,Equivalencia!$5:$23,((MAX(Equivalencia!$3:$3)-YEAR(C2350))*14)+MONTH(C2350)+2,FALSE)))</f>
        <v>0</v>
      </c>
      <c r="J2350" s="178">
        <f t="shared" si="211"/>
        <v>0</v>
      </c>
      <c r="K2350" s="462">
        <f>IF(C2350=0,0,VLOOKUP(YEAR(C2350),INPC!$B$4:$O$29,MONTH(C2350)+1))</f>
        <v>0</v>
      </c>
      <c r="L2350" s="462">
        <f>IF(S2350=0,0,VLOOKUP(YEAR(S2350),INPC!$B$4:$O$29,MONTH(S2350)+1))</f>
        <v>0</v>
      </c>
      <c r="M2350" s="463">
        <f t="shared" si="204"/>
        <v>0</v>
      </c>
      <c r="N2350" s="465">
        <f t="shared" si="212"/>
        <v>0</v>
      </c>
      <c r="O2350" s="179"/>
      <c r="P2350" s="180"/>
      <c r="Q2350" s="173"/>
      <c r="R2350" s="173"/>
      <c r="S2350" s="174"/>
      <c r="T2350" s="173"/>
      <c r="U2350" s="182"/>
      <c r="V2350" s="177">
        <f>IF(U2350=0,0,IF(T2350="MXN",1/HLOOKUP(YEAR(S2350)+(MONTH(S2350)/100),TC!$5:$37,DAY(S2350)+2,FALSE),VLOOKUP(T2350,Equivalencia!$1:$23,((MAX(Equivalencia!$3:$3)-YEAR(S2350))*14)+MONTH(S2350)+2,FALSE)))</f>
        <v>0</v>
      </c>
      <c r="W2350" s="178">
        <f t="shared" si="209"/>
        <v>0</v>
      </c>
      <c r="X2350" s="481">
        <f t="shared" si="205"/>
        <v>0</v>
      </c>
      <c r="Y2350" s="179"/>
      <c r="Z2350" s="466">
        <f t="shared" si="206"/>
        <v>0</v>
      </c>
      <c r="AA2350" s="473">
        <f t="shared" si="207"/>
        <v>0</v>
      </c>
      <c r="AB2350" s="339">
        <f t="shared" si="208"/>
        <v>0</v>
      </c>
    </row>
    <row r="2351" spans="2:28" ht="20.100000000000001" customHeight="1">
      <c r="B2351" s="172"/>
      <c r="C2351" s="174"/>
      <c r="D2351" s="181"/>
      <c r="E2351" s="173"/>
      <c r="F2351" s="176"/>
      <c r="G2351" s="175">
        <f t="shared" si="210"/>
        <v>0</v>
      </c>
      <c r="H2351" s="175">
        <f t="shared" si="203"/>
        <v>0</v>
      </c>
      <c r="I2351" s="177">
        <f>IF(G2351=0,0,IF(E2351="MXN",1/HLOOKUP(YEAR(C2351)+(MONTH(C2351)/100),TC!$5:$37,DAY(C2351)+2,FALSE),VLOOKUP(E2351,Equivalencia!$5:$23,((MAX(Equivalencia!$3:$3)-YEAR(C2351))*14)+MONTH(C2351)+2,FALSE)))</f>
        <v>0</v>
      </c>
      <c r="J2351" s="178">
        <f t="shared" si="211"/>
        <v>0</v>
      </c>
      <c r="K2351" s="462">
        <f>IF(C2351=0,0,VLOOKUP(YEAR(C2351),INPC!$B$4:$O$29,MONTH(C2351)+1))</f>
        <v>0</v>
      </c>
      <c r="L2351" s="462">
        <f>IF(S2351=0,0,VLOOKUP(YEAR(S2351),INPC!$B$4:$O$29,MONTH(S2351)+1))</f>
        <v>0</v>
      </c>
      <c r="M2351" s="463">
        <f t="shared" si="204"/>
        <v>0</v>
      </c>
      <c r="N2351" s="465">
        <f t="shared" si="212"/>
        <v>0</v>
      </c>
      <c r="O2351" s="179"/>
      <c r="P2351" s="180"/>
      <c r="Q2351" s="173"/>
      <c r="R2351" s="173"/>
      <c r="S2351" s="174"/>
      <c r="T2351" s="173"/>
      <c r="U2351" s="182"/>
      <c r="V2351" s="177">
        <f>IF(U2351=0,0,IF(T2351="MXN",1/HLOOKUP(YEAR(S2351)+(MONTH(S2351)/100),TC!$5:$37,DAY(S2351)+2,FALSE),VLOOKUP(T2351,Equivalencia!$1:$23,((MAX(Equivalencia!$3:$3)-YEAR(S2351))*14)+MONTH(S2351)+2,FALSE)))</f>
        <v>0</v>
      </c>
      <c r="W2351" s="178">
        <f t="shared" si="209"/>
        <v>0</v>
      </c>
      <c r="X2351" s="481">
        <f t="shared" si="205"/>
        <v>0</v>
      </c>
      <c r="Y2351" s="179"/>
      <c r="Z2351" s="466">
        <f t="shared" si="206"/>
        <v>0</v>
      </c>
      <c r="AA2351" s="473">
        <f t="shared" si="207"/>
        <v>0</v>
      </c>
      <c r="AB2351" s="339">
        <f t="shared" si="208"/>
        <v>0</v>
      </c>
    </row>
    <row r="2352" spans="2:28" ht="20.100000000000001" customHeight="1">
      <c r="B2352" s="172"/>
      <c r="C2352" s="174"/>
      <c r="D2352" s="181"/>
      <c r="E2352" s="173"/>
      <c r="F2352" s="176"/>
      <c r="G2352" s="175">
        <f t="shared" si="210"/>
        <v>0</v>
      </c>
      <c r="H2352" s="175">
        <f t="shared" ref="H2352:H2606" si="213">IF(F2352=0,0,(F2352/G2352)*P2352)</f>
        <v>0</v>
      </c>
      <c r="I2352" s="177">
        <f>IF(G2352=0,0,IF(E2352="MXN",1/HLOOKUP(YEAR(C2352)+(MONTH(C2352)/100),TC!$5:$37,DAY(C2352)+2,FALSE),VLOOKUP(E2352,Equivalencia!$5:$23,((MAX(Equivalencia!$3:$3)-YEAR(C2352))*14)+MONTH(C2352)+2,FALSE)))</f>
        <v>0</v>
      </c>
      <c r="J2352" s="178">
        <f t="shared" si="211"/>
        <v>0</v>
      </c>
      <c r="K2352" s="462">
        <f>IF(C2352=0,0,VLOOKUP(YEAR(C2352),INPC!$B$4:$O$29,MONTH(C2352)+1))</f>
        <v>0</v>
      </c>
      <c r="L2352" s="462">
        <f>IF(S2352=0,0,VLOOKUP(YEAR(S2352),INPC!$B$4:$O$29,MONTH(S2352)+1))</f>
        <v>0</v>
      </c>
      <c r="M2352" s="463">
        <f t="shared" ref="M2352:M2606" si="214">IF(H2352=0,0,IF(R2352=$AF$4,1,IF(TRUNC(L2352/K2352,4)&gt;=1,TRUNC(L2352/K2352,4),1)))</f>
        <v>0</v>
      </c>
      <c r="N2352" s="465">
        <f t="shared" si="212"/>
        <v>0</v>
      </c>
      <c r="O2352" s="179"/>
      <c r="P2352" s="180"/>
      <c r="Q2352" s="173"/>
      <c r="R2352" s="173"/>
      <c r="S2352" s="174"/>
      <c r="T2352" s="173"/>
      <c r="U2352" s="182"/>
      <c r="V2352" s="177">
        <f>IF(U2352=0,0,IF(T2352="MXN",1/HLOOKUP(YEAR(S2352)+(MONTH(S2352)/100),TC!$5:$37,DAY(S2352)+2,FALSE),VLOOKUP(T2352,Equivalencia!$1:$23,((MAX(Equivalencia!$3:$3)-YEAR(S2352))*14)+MONTH(S2352)+2,FALSE)))</f>
        <v>0</v>
      </c>
      <c r="W2352" s="178">
        <f t="shared" si="209"/>
        <v>0</v>
      </c>
      <c r="X2352" s="481">
        <f t="shared" ref="X2352:X2606" si="215">+W2352-J2352</f>
        <v>0</v>
      </c>
      <c r="Y2352" s="179"/>
      <c r="Z2352" s="466">
        <f t="shared" ref="Z2352:Z2606" si="216">N2352</f>
        <v>0</v>
      </c>
      <c r="AA2352" s="473">
        <f t="shared" ref="AA2352:AA2606" si="217">+W2352-Z2352</f>
        <v>0</v>
      </c>
      <c r="AB2352" s="339">
        <f t="shared" ref="AB2352:AB2606" si="218">+IF(P2352=0,0,(U2352/F2352)-1)</f>
        <v>0</v>
      </c>
    </row>
    <row r="2353" spans="2:28" ht="20.100000000000001" customHeight="1">
      <c r="B2353" s="172"/>
      <c r="C2353" s="174"/>
      <c r="D2353" s="181"/>
      <c r="E2353" s="173"/>
      <c r="F2353" s="176"/>
      <c r="G2353" s="175">
        <f t="shared" si="210"/>
        <v>0</v>
      </c>
      <c r="H2353" s="175">
        <f t="shared" si="213"/>
        <v>0</v>
      </c>
      <c r="I2353" s="177">
        <f>IF(G2353=0,0,IF(E2353="MXN",1/HLOOKUP(YEAR(C2353)+(MONTH(C2353)/100),TC!$5:$37,DAY(C2353)+2,FALSE),VLOOKUP(E2353,Equivalencia!$5:$23,((MAX(Equivalencia!$3:$3)-YEAR(C2353))*14)+MONTH(C2353)+2,FALSE)))</f>
        <v>0</v>
      </c>
      <c r="J2353" s="178">
        <f t="shared" si="211"/>
        <v>0</v>
      </c>
      <c r="K2353" s="462">
        <f>IF(C2353=0,0,VLOOKUP(YEAR(C2353),INPC!$B$4:$O$29,MONTH(C2353)+1))</f>
        <v>0</v>
      </c>
      <c r="L2353" s="462">
        <f>IF(S2353=0,0,VLOOKUP(YEAR(S2353),INPC!$B$4:$O$29,MONTH(S2353)+1))</f>
        <v>0</v>
      </c>
      <c r="M2353" s="463">
        <f t="shared" si="214"/>
        <v>0</v>
      </c>
      <c r="N2353" s="465">
        <f t="shared" si="212"/>
        <v>0</v>
      </c>
      <c r="O2353" s="179"/>
      <c r="P2353" s="180"/>
      <c r="Q2353" s="173"/>
      <c r="R2353" s="173"/>
      <c r="S2353" s="174"/>
      <c r="T2353" s="173"/>
      <c r="U2353" s="182"/>
      <c r="V2353" s="177">
        <f>IF(U2353=0,0,IF(T2353="MXN",1/HLOOKUP(YEAR(S2353)+(MONTH(S2353)/100),TC!$5:$37,DAY(S2353)+2,FALSE),VLOOKUP(T2353,Equivalencia!$1:$23,((MAX(Equivalencia!$3:$3)-YEAR(S2353))*14)+MONTH(S2353)+2,FALSE)))</f>
        <v>0</v>
      </c>
      <c r="W2353" s="178">
        <f t="shared" ref="W2353:W2607" si="219">+V2353*U2353</f>
        <v>0</v>
      </c>
      <c r="X2353" s="481">
        <f t="shared" si="215"/>
        <v>0</v>
      </c>
      <c r="Y2353" s="179"/>
      <c r="Z2353" s="466">
        <f t="shared" si="216"/>
        <v>0</v>
      </c>
      <c r="AA2353" s="473">
        <f t="shared" si="217"/>
        <v>0</v>
      </c>
      <c r="AB2353" s="339">
        <f t="shared" si="218"/>
        <v>0</v>
      </c>
    </row>
    <row r="2354" spans="2:28" ht="20.100000000000001" customHeight="1">
      <c r="B2354" s="172"/>
      <c r="C2354" s="174"/>
      <c r="D2354" s="181"/>
      <c r="E2354" s="173"/>
      <c r="F2354" s="176"/>
      <c r="G2354" s="175">
        <f t="shared" si="210"/>
        <v>0</v>
      </c>
      <c r="H2354" s="175">
        <f t="shared" si="213"/>
        <v>0</v>
      </c>
      <c r="I2354" s="177">
        <f>IF(G2354=0,0,IF(E2354="MXN",1/HLOOKUP(YEAR(C2354)+(MONTH(C2354)/100),TC!$5:$37,DAY(C2354)+2,FALSE),VLOOKUP(E2354,Equivalencia!$5:$23,((MAX(Equivalencia!$3:$3)-YEAR(C2354))*14)+MONTH(C2354)+2,FALSE)))</f>
        <v>0</v>
      </c>
      <c r="J2354" s="178">
        <f t="shared" si="211"/>
        <v>0</v>
      </c>
      <c r="K2354" s="462">
        <f>IF(C2354=0,0,VLOOKUP(YEAR(C2354),INPC!$B$4:$O$29,MONTH(C2354)+1))</f>
        <v>0</v>
      </c>
      <c r="L2354" s="462">
        <f>IF(S2354=0,0,VLOOKUP(YEAR(S2354),INPC!$B$4:$O$29,MONTH(S2354)+1))</f>
        <v>0</v>
      </c>
      <c r="M2354" s="463">
        <f t="shared" si="214"/>
        <v>0</v>
      </c>
      <c r="N2354" s="465">
        <f t="shared" si="212"/>
        <v>0</v>
      </c>
      <c r="O2354" s="179"/>
      <c r="P2354" s="180"/>
      <c r="Q2354" s="173"/>
      <c r="R2354" s="173"/>
      <c r="S2354" s="174"/>
      <c r="T2354" s="173"/>
      <c r="U2354" s="182"/>
      <c r="V2354" s="177">
        <f>IF(U2354=0,0,IF(T2354="MXN",1/HLOOKUP(YEAR(S2354)+(MONTH(S2354)/100),TC!$5:$37,DAY(S2354)+2,FALSE),VLOOKUP(T2354,Equivalencia!$1:$23,((MAX(Equivalencia!$3:$3)-YEAR(S2354))*14)+MONTH(S2354)+2,FALSE)))</f>
        <v>0</v>
      </c>
      <c r="W2354" s="178">
        <f t="shared" si="219"/>
        <v>0</v>
      </c>
      <c r="X2354" s="481">
        <f t="shared" si="215"/>
        <v>0</v>
      </c>
      <c r="Y2354" s="179"/>
      <c r="Z2354" s="466">
        <f t="shared" si="216"/>
        <v>0</v>
      </c>
      <c r="AA2354" s="473">
        <f t="shared" si="217"/>
        <v>0</v>
      </c>
      <c r="AB2354" s="339">
        <f t="shared" si="218"/>
        <v>0</v>
      </c>
    </row>
    <row r="2355" spans="2:28" ht="20.100000000000001" customHeight="1">
      <c r="B2355" s="172"/>
      <c r="C2355" s="174"/>
      <c r="D2355" s="181"/>
      <c r="E2355" s="173"/>
      <c r="F2355" s="176"/>
      <c r="G2355" s="175">
        <f t="shared" si="210"/>
        <v>0</v>
      </c>
      <c r="H2355" s="175">
        <f t="shared" si="213"/>
        <v>0</v>
      </c>
      <c r="I2355" s="177">
        <f>IF(G2355=0,0,IF(E2355="MXN",1/HLOOKUP(YEAR(C2355)+(MONTH(C2355)/100),TC!$5:$37,DAY(C2355)+2,FALSE),VLOOKUP(E2355,Equivalencia!$5:$23,((MAX(Equivalencia!$3:$3)-YEAR(C2355))*14)+MONTH(C2355)+2,FALSE)))</f>
        <v>0</v>
      </c>
      <c r="J2355" s="178">
        <f t="shared" si="211"/>
        <v>0</v>
      </c>
      <c r="K2355" s="462">
        <f>IF(C2355=0,0,VLOOKUP(YEAR(C2355),INPC!$B$4:$O$29,MONTH(C2355)+1))</f>
        <v>0</v>
      </c>
      <c r="L2355" s="462">
        <f>IF(S2355=0,0,VLOOKUP(YEAR(S2355),INPC!$B$4:$O$29,MONTH(S2355)+1))</f>
        <v>0</v>
      </c>
      <c r="M2355" s="463">
        <f t="shared" si="214"/>
        <v>0</v>
      </c>
      <c r="N2355" s="465">
        <f t="shared" si="212"/>
        <v>0</v>
      </c>
      <c r="O2355" s="179"/>
      <c r="P2355" s="180"/>
      <c r="Q2355" s="173"/>
      <c r="R2355" s="173"/>
      <c r="S2355" s="174"/>
      <c r="T2355" s="173"/>
      <c r="U2355" s="182"/>
      <c r="V2355" s="177">
        <f>IF(U2355=0,0,IF(T2355="MXN",1/HLOOKUP(YEAR(S2355)+(MONTH(S2355)/100),TC!$5:$37,DAY(S2355)+2,FALSE),VLOOKUP(T2355,Equivalencia!$1:$23,((MAX(Equivalencia!$3:$3)-YEAR(S2355))*14)+MONTH(S2355)+2,FALSE)))</f>
        <v>0</v>
      </c>
      <c r="W2355" s="178">
        <f t="shared" si="219"/>
        <v>0</v>
      </c>
      <c r="X2355" s="481">
        <f t="shared" si="215"/>
        <v>0</v>
      </c>
      <c r="Y2355" s="179"/>
      <c r="Z2355" s="466">
        <f t="shared" si="216"/>
        <v>0</v>
      </c>
      <c r="AA2355" s="473">
        <f t="shared" si="217"/>
        <v>0</v>
      </c>
      <c r="AB2355" s="339">
        <f t="shared" si="218"/>
        <v>0</v>
      </c>
    </row>
    <row r="2356" spans="2:28" ht="20.100000000000001" customHeight="1">
      <c r="B2356" s="172"/>
      <c r="C2356" s="174"/>
      <c r="D2356" s="181"/>
      <c r="E2356" s="173"/>
      <c r="F2356" s="176"/>
      <c r="G2356" s="175">
        <f t="shared" ref="G2356:G2610" si="220">+P2356</f>
        <v>0</v>
      </c>
      <c r="H2356" s="175">
        <f t="shared" si="213"/>
        <v>0</v>
      </c>
      <c r="I2356" s="177">
        <f>IF(G2356=0,0,IF(E2356="MXN",1/HLOOKUP(YEAR(C2356)+(MONTH(C2356)/100),TC!$5:$37,DAY(C2356)+2,FALSE),VLOOKUP(E2356,Equivalencia!$5:$23,((MAX(Equivalencia!$3:$3)-YEAR(C2356))*14)+MONTH(C2356)+2,FALSE)))</f>
        <v>0</v>
      </c>
      <c r="J2356" s="178">
        <f t="shared" ref="J2356:J2610" si="221">+H2356*I2356</f>
        <v>0</v>
      </c>
      <c r="K2356" s="462">
        <f>IF(C2356=0,0,VLOOKUP(YEAR(C2356),INPC!$B$4:$O$29,MONTH(C2356)+1))</f>
        <v>0</v>
      </c>
      <c r="L2356" s="462">
        <f>IF(S2356=0,0,VLOOKUP(YEAR(S2356),INPC!$B$4:$O$29,MONTH(S2356)+1))</f>
        <v>0</v>
      </c>
      <c r="M2356" s="463">
        <f t="shared" si="214"/>
        <v>0</v>
      </c>
      <c r="N2356" s="465">
        <f t="shared" ref="N2356:N2610" si="222">+M2356*J2356</f>
        <v>0</v>
      </c>
      <c r="O2356" s="179"/>
      <c r="P2356" s="180"/>
      <c r="Q2356" s="173"/>
      <c r="R2356" s="173"/>
      <c r="S2356" s="174"/>
      <c r="T2356" s="173"/>
      <c r="U2356" s="182"/>
      <c r="V2356" s="177">
        <f>IF(U2356=0,0,IF(T2356="MXN",1/HLOOKUP(YEAR(S2356)+(MONTH(S2356)/100),TC!$5:$37,DAY(S2356)+2,FALSE),VLOOKUP(T2356,Equivalencia!$1:$23,((MAX(Equivalencia!$3:$3)-YEAR(S2356))*14)+MONTH(S2356)+2,FALSE)))</f>
        <v>0</v>
      </c>
      <c r="W2356" s="178">
        <f t="shared" si="219"/>
        <v>0</v>
      </c>
      <c r="X2356" s="481">
        <f t="shared" si="215"/>
        <v>0</v>
      </c>
      <c r="Y2356" s="179"/>
      <c r="Z2356" s="466">
        <f t="shared" si="216"/>
        <v>0</v>
      </c>
      <c r="AA2356" s="473">
        <f t="shared" si="217"/>
        <v>0</v>
      </c>
      <c r="AB2356" s="339">
        <f t="shared" si="218"/>
        <v>0</v>
      </c>
    </row>
    <row r="2357" spans="2:28" ht="20.100000000000001" customHeight="1">
      <c r="B2357" s="172"/>
      <c r="C2357" s="174"/>
      <c r="D2357" s="181"/>
      <c r="E2357" s="173"/>
      <c r="F2357" s="176"/>
      <c r="G2357" s="175">
        <f t="shared" si="220"/>
        <v>0</v>
      </c>
      <c r="H2357" s="175">
        <f t="shared" si="213"/>
        <v>0</v>
      </c>
      <c r="I2357" s="177">
        <f>IF(G2357=0,0,IF(E2357="MXN",1/HLOOKUP(YEAR(C2357)+(MONTH(C2357)/100),TC!$5:$37,DAY(C2357)+2,FALSE),VLOOKUP(E2357,Equivalencia!$5:$23,((MAX(Equivalencia!$3:$3)-YEAR(C2357))*14)+MONTH(C2357)+2,FALSE)))</f>
        <v>0</v>
      </c>
      <c r="J2357" s="178">
        <f t="shared" si="221"/>
        <v>0</v>
      </c>
      <c r="K2357" s="462">
        <f>IF(C2357=0,0,VLOOKUP(YEAR(C2357),INPC!$B$4:$O$29,MONTH(C2357)+1))</f>
        <v>0</v>
      </c>
      <c r="L2357" s="462">
        <f>IF(S2357=0,0,VLOOKUP(YEAR(S2357),INPC!$B$4:$O$29,MONTH(S2357)+1))</f>
        <v>0</v>
      </c>
      <c r="M2357" s="463">
        <f t="shared" si="214"/>
        <v>0</v>
      </c>
      <c r="N2357" s="465">
        <f t="shared" si="222"/>
        <v>0</v>
      </c>
      <c r="O2357" s="179"/>
      <c r="P2357" s="180"/>
      <c r="Q2357" s="173"/>
      <c r="R2357" s="173"/>
      <c r="S2357" s="174"/>
      <c r="T2357" s="173"/>
      <c r="U2357" s="182"/>
      <c r="V2357" s="177">
        <f>IF(U2357=0,0,IF(T2357="MXN",1/HLOOKUP(YEAR(S2357)+(MONTH(S2357)/100),TC!$5:$37,DAY(S2357)+2,FALSE),VLOOKUP(T2357,Equivalencia!$1:$23,((MAX(Equivalencia!$3:$3)-YEAR(S2357))*14)+MONTH(S2357)+2,FALSE)))</f>
        <v>0</v>
      </c>
      <c r="W2357" s="178">
        <f t="shared" si="219"/>
        <v>0</v>
      </c>
      <c r="X2357" s="481">
        <f t="shared" si="215"/>
        <v>0</v>
      </c>
      <c r="Y2357" s="179"/>
      <c r="Z2357" s="466">
        <f t="shared" si="216"/>
        <v>0</v>
      </c>
      <c r="AA2357" s="473">
        <f t="shared" si="217"/>
        <v>0</v>
      </c>
      <c r="AB2357" s="339">
        <f t="shared" si="218"/>
        <v>0</v>
      </c>
    </row>
    <row r="2358" spans="2:28" ht="20.100000000000001" customHeight="1">
      <c r="B2358" s="172"/>
      <c r="C2358" s="174"/>
      <c r="D2358" s="181"/>
      <c r="E2358" s="173"/>
      <c r="F2358" s="176"/>
      <c r="G2358" s="175">
        <f t="shared" si="220"/>
        <v>0</v>
      </c>
      <c r="H2358" s="175">
        <f t="shared" si="213"/>
        <v>0</v>
      </c>
      <c r="I2358" s="177">
        <f>IF(G2358=0,0,IF(E2358="MXN",1/HLOOKUP(YEAR(C2358)+(MONTH(C2358)/100),TC!$5:$37,DAY(C2358)+2,FALSE),VLOOKUP(E2358,Equivalencia!$5:$23,((MAX(Equivalencia!$3:$3)-YEAR(C2358))*14)+MONTH(C2358)+2,FALSE)))</f>
        <v>0</v>
      </c>
      <c r="J2358" s="178">
        <f t="shared" si="221"/>
        <v>0</v>
      </c>
      <c r="K2358" s="462">
        <f>IF(C2358=0,0,VLOOKUP(YEAR(C2358),INPC!$B$4:$O$29,MONTH(C2358)+1))</f>
        <v>0</v>
      </c>
      <c r="L2358" s="462">
        <f>IF(S2358=0,0,VLOOKUP(YEAR(S2358),INPC!$B$4:$O$29,MONTH(S2358)+1))</f>
        <v>0</v>
      </c>
      <c r="M2358" s="463">
        <f t="shared" si="214"/>
        <v>0</v>
      </c>
      <c r="N2358" s="465">
        <f t="shared" si="222"/>
        <v>0</v>
      </c>
      <c r="O2358" s="179"/>
      <c r="P2358" s="180"/>
      <c r="Q2358" s="173"/>
      <c r="R2358" s="173"/>
      <c r="S2358" s="174"/>
      <c r="T2358" s="173"/>
      <c r="U2358" s="182"/>
      <c r="V2358" s="177">
        <f>IF(U2358=0,0,IF(T2358="MXN",1/HLOOKUP(YEAR(S2358)+(MONTH(S2358)/100),TC!$5:$37,DAY(S2358)+2,FALSE),VLOOKUP(T2358,Equivalencia!$1:$23,((MAX(Equivalencia!$3:$3)-YEAR(S2358))*14)+MONTH(S2358)+2,FALSE)))</f>
        <v>0</v>
      </c>
      <c r="W2358" s="178">
        <f t="shared" si="219"/>
        <v>0</v>
      </c>
      <c r="X2358" s="481">
        <f t="shared" si="215"/>
        <v>0</v>
      </c>
      <c r="Y2358" s="179"/>
      <c r="Z2358" s="466">
        <f t="shared" si="216"/>
        <v>0</v>
      </c>
      <c r="AA2358" s="473">
        <f t="shared" si="217"/>
        <v>0</v>
      </c>
      <c r="AB2358" s="339">
        <f t="shared" si="218"/>
        <v>0</v>
      </c>
    </row>
    <row r="2359" spans="2:28" ht="20.100000000000001" customHeight="1">
      <c r="B2359" s="172"/>
      <c r="C2359" s="174"/>
      <c r="D2359" s="181"/>
      <c r="E2359" s="173"/>
      <c r="F2359" s="176"/>
      <c r="G2359" s="175">
        <f t="shared" si="220"/>
        <v>0</v>
      </c>
      <c r="H2359" s="175">
        <f t="shared" si="213"/>
        <v>0</v>
      </c>
      <c r="I2359" s="177">
        <f>IF(G2359=0,0,IF(E2359="MXN",1/HLOOKUP(YEAR(C2359)+(MONTH(C2359)/100),TC!$5:$37,DAY(C2359)+2,FALSE),VLOOKUP(E2359,Equivalencia!$5:$23,((MAX(Equivalencia!$3:$3)-YEAR(C2359))*14)+MONTH(C2359)+2,FALSE)))</f>
        <v>0</v>
      </c>
      <c r="J2359" s="178">
        <f t="shared" si="221"/>
        <v>0</v>
      </c>
      <c r="K2359" s="462">
        <f>IF(C2359=0,0,VLOOKUP(YEAR(C2359),INPC!$B$4:$O$29,MONTH(C2359)+1))</f>
        <v>0</v>
      </c>
      <c r="L2359" s="462">
        <f>IF(S2359=0,0,VLOOKUP(YEAR(S2359),INPC!$B$4:$O$29,MONTH(S2359)+1))</f>
        <v>0</v>
      </c>
      <c r="M2359" s="463">
        <f t="shared" si="214"/>
        <v>0</v>
      </c>
      <c r="N2359" s="465">
        <f t="shared" si="222"/>
        <v>0</v>
      </c>
      <c r="O2359" s="179"/>
      <c r="P2359" s="180"/>
      <c r="Q2359" s="173"/>
      <c r="R2359" s="173"/>
      <c r="S2359" s="174"/>
      <c r="T2359" s="173"/>
      <c r="U2359" s="182"/>
      <c r="V2359" s="177">
        <f>IF(U2359=0,0,IF(T2359="MXN",1/HLOOKUP(YEAR(S2359)+(MONTH(S2359)/100),TC!$5:$37,DAY(S2359)+2,FALSE),VLOOKUP(T2359,Equivalencia!$1:$23,((MAX(Equivalencia!$3:$3)-YEAR(S2359))*14)+MONTH(S2359)+2,FALSE)))</f>
        <v>0</v>
      </c>
      <c r="W2359" s="178">
        <f t="shared" si="219"/>
        <v>0</v>
      </c>
      <c r="X2359" s="481">
        <f t="shared" si="215"/>
        <v>0</v>
      </c>
      <c r="Y2359" s="179"/>
      <c r="Z2359" s="466">
        <f t="shared" si="216"/>
        <v>0</v>
      </c>
      <c r="AA2359" s="473">
        <f t="shared" si="217"/>
        <v>0</v>
      </c>
      <c r="AB2359" s="339">
        <f t="shared" si="218"/>
        <v>0</v>
      </c>
    </row>
    <row r="2360" spans="2:28" ht="20.100000000000001" customHeight="1">
      <c r="B2360" s="172"/>
      <c r="C2360" s="174"/>
      <c r="D2360" s="181"/>
      <c r="E2360" s="173"/>
      <c r="F2360" s="176"/>
      <c r="G2360" s="175">
        <f t="shared" si="220"/>
        <v>0</v>
      </c>
      <c r="H2360" s="175">
        <f t="shared" si="213"/>
        <v>0</v>
      </c>
      <c r="I2360" s="177">
        <f>IF(G2360=0,0,IF(E2360="MXN",1/HLOOKUP(YEAR(C2360)+(MONTH(C2360)/100),TC!$5:$37,DAY(C2360)+2,FALSE),VLOOKUP(E2360,Equivalencia!$5:$23,((MAX(Equivalencia!$3:$3)-YEAR(C2360))*14)+MONTH(C2360)+2,FALSE)))</f>
        <v>0</v>
      </c>
      <c r="J2360" s="178">
        <f t="shared" si="221"/>
        <v>0</v>
      </c>
      <c r="K2360" s="462">
        <f>IF(C2360=0,0,VLOOKUP(YEAR(C2360),INPC!$B$4:$O$29,MONTH(C2360)+1))</f>
        <v>0</v>
      </c>
      <c r="L2360" s="462">
        <f>IF(S2360=0,0,VLOOKUP(YEAR(S2360),INPC!$B$4:$O$29,MONTH(S2360)+1))</f>
        <v>0</v>
      </c>
      <c r="M2360" s="463">
        <f t="shared" si="214"/>
        <v>0</v>
      </c>
      <c r="N2360" s="465">
        <f t="shared" si="222"/>
        <v>0</v>
      </c>
      <c r="O2360" s="179"/>
      <c r="P2360" s="180"/>
      <c r="Q2360" s="173"/>
      <c r="R2360" s="173"/>
      <c r="S2360" s="174"/>
      <c r="T2360" s="173"/>
      <c r="U2360" s="182"/>
      <c r="V2360" s="177">
        <f>IF(U2360=0,0,IF(T2360="MXN",1/HLOOKUP(YEAR(S2360)+(MONTH(S2360)/100),TC!$5:$37,DAY(S2360)+2,FALSE),VLOOKUP(T2360,Equivalencia!$1:$23,((MAX(Equivalencia!$3:$3)-YEAR(S2360))*14)+MONTH(S2360)+2,FALSE)))</f>
        <v>0</v>
      </c>
      <c r="W2360" s="178">
        <f t="shared" si="219"/>
        <v>0</v>
      </c>
      <c r="X2360" s="481">
        <f t="shared" si="215"/>
        <v>0</v>
      </c>
      <c r="Y2360" s="179"/>
      <c r="Z2360" s="466">
        <f t="shared" si="216"/>
        <v>0</v>
      </c>
      <c r="AA2360" s="473">
        <f t="shared" si="217"/>
        <v>0</v>
      </c>
      <c r="AB2360" s="339">
        <f t="shared" si="218"/>
        <v>0</v>
      </c>
    </row>
    <row r="2361" spans="2:28" ht="20.100000000000001" customHeight="1">
      <c r="B2361" s="172"/>
      <c r="C2361" s="174"/>
      <c r="D2361" s="181"/>
      <c r="E2361" s="173"/>
      <c r="F2361" s="176"/>
      <c r="G2361" s="175">
        <f t="shared" si="220"/>
        <v>0</v>
      </c>
      <c r="H2361" s="175">
        <f t="shared" si="213"/>
        <v>0</v>
      </c>
      <c r="I2361" s="177">
        <f>IF(G2361=0,0,IF(E2361="MXN",1/HLOOKUP(YEAR(C2361)+(MONTH(C2361)/100),TC!$5:$37,DAY(C2361)+2,FALSE),VLOOKUP(E2361,Equivalencia!$5:$23,((MAX(Equivalencia!$3:$3)-YEAR(C2361))*14)+MONTH(C2361)+2,FALSE)))</f>
        <v>0</v>
      </c>
      <c r="J2361" s="178">
        <f t="shared" si="221"/>
        <v>0</v>
      </c>
      <c r="K2361" s="462">
        <f>IF(C2361=0,0,VLOOKUP(YEAR(C2361),INPC!$B$4:$O$29,MONTH(C2361)+1))</f>
        <v>0</v>
      </c>
      <c r="L2361" s="462">
        <f>IF(S2361=0,0,VLOOKUP(YEAR(S2361),INPC!$B$4:$O$29,MONTH(S2361)+1))</f>
        <v>0</v>
      </c>
      <c r="M2361" s="463">
        <f t="shared" si="214"/>
        <v>0</v>
      </c>
      <c r="N2361" s="465">
        <f t="shared" si="222"/>
        <v>0</v>
      </c>
      <c r="O2361" s="179"/>
      <c r="P2361" s="180"/>
      <c r="Q2361" s="173"/>
      <c r="R2361" s="173"/>
      <c r="S2361" s="174"/>
      <c r="T2361" s="173"/>
      <c r="U2361" s="182"/>
      <c r="V2361" s="177">
        <f>IF(U2361=0,0,IF(T2361="MXN",1/HLOOKUP(YEAR(S2361)+(MONTH(S2361)/100),TC!$5:$37,DAY(S2361)+2,FALSE),VLOOKUP(T2361,Equivalencia!$1:$23,((MAX(Equivalencia!$3:$3)-YEAR(S2361))*14)+MONTH(S2361)+2,FALSE)))</f>
        <v>0</v>
      </c>
      <c r="W2361" s="178">
        <f t="shared" si="219"/>
        <v>0</v>
      </c>
      <c r="X2361" s="481">
        <f t="shared" si="215"/>
        <v>0</v>
      </c>
      <c r="Y2361" s="179"/>
      <c r="Z2361" s="466">
        <f t="shared" si="216"/>
        <v>0</v>
      </c>
      <c r="AA2361" s="473">
        <f t="shared" si="217"/>
        <v>0</v>
      </c>
      <c r="AB2361" s="339">
        <f t="shared" si="218"/>
        <v>0</v>
      </c>
    </row>
    <row r="2362" spans="2:28" ht="20.100000000000001" customHeight="1">
      <c r="B2362" s="172"/>
      <c r="C2362" s="174"/>
      <c r="D2362" s="181"/>
      <c r="E2362" s="173"/>
      <c r="F2362" s="176"/>
      <c r="G2362" s="175">
        <f t="shared" si="220"/>
        <v>0</v>
      </c>
      <c r="H2362" s="175">
        <f t="shared" si="213"/>
        <v>0</v>
      </c>
      <c r="I2362" s="177">
        <f>IF(G2362=0,0,IF(E2362="MXN",1/HLOOKUP(YEAR(C2362)+(MONTH(C2362)/100),TC!$5:$37,DAY(C2362)+2,FALSE),VLOOKUP(E2362,Equivalencia!$5:$23,((MAX(Equivalencia!$3:$3)-YEAR(C2362))*14)+MONTH(C2362)+2,FALSE)))</f>
        <v>0</v>
      </c>
      <c r="J2362" s="178">
        <f t="shared" si="221"/>
        <v>0</v>
      </c>
      <c r="K2362" s="462">
        <f>IF(C2362=0,0,VLOOKUP(YEAR(C2362),INPC!$B$4:$O$29,MONTH(C2362)+1))</f>
        <v>0</v>
      </c>
      <c r="L2362" s="462">
        <f>IF(S2362=0,0,VLOOKUP(YEAR(S2362),INPC!$B$4:$O$29,MONTH(S2362)+1))</f>
        <v>0</v>
      </c>
      <c r="M2362" s="463">
        <f t="shared" si="214"/>
        <v>0</v>
      </c>
      <c r="N2362" s="465">
        <f t="shared" si="222"/>
        <v>0</v>
      </c>
      <c r="O2362" s="179"/>
      <c r="P2362" s="180"/>
      <c r="Q2362" s="173"/>
      <c r="R2362" s="173"/>
      <c r="S2362" s="174"/>
      <c r="T2362" s="173"/>
      <c r="U2362" s="182"/>
      <c r="V2362" s="177">
        <f>IF(U2362=0,0,IF(T2362="MXN",1/HLOOKUP(YEAR(S2362)+(MONTH(S2362)/100),TC!$5:$37,DAY(S2362)+2,FALSE),VLOOKUP(T2362,Equivalencia!$1:$23,((MAX(Equivalencia!$3:$3)-YEAR(S2362))*14)+MONTH(S2362)+2,FALSE)))</f>
        <v>0</v>
      </c>
      <c r="W2362" s="178">
        <f t="shared" si="219"/>
        <v>0</v>
      </c>
      <c r="X2362" s="481">
        <f t="shared" si="215"/>
        <v>0</v>
      </c>
      <c r="Y2362" s="179"/>
      <c r="Z2362" s="466">
        <f t="shared" si="216"/>
        <v>0</v>
      </c>
      <c r="AA2362" s="473">
        <f t="shared" si="217"/>
        <v>0</v>
      </c>
      <c r="AB2362" s="339">
        <f t="shared" si="218"/>
        <v>0</v>
      </c>
    </row>
    <row r="2363" spans="2:28" ht="20.100000000000001" customHeight="1">
      <c r="B2363" s="172"/>
      <c r="C2363" s="174"/>
      <c r="D2363" s="181"/>
      <c r="E2363" s="173"/>
      <c r="F2363" s="176"/>
      <c r="G2363" s="175">
        <f t="shared" si="220"/>
        <v>0</v>
      </c>
      <c r="H2363" s="175">
        <f t="shared" si="213"/>
        <v>0</v>
      </c>
      <c r="I2363" s="177">
        <f>IF(G2363=0,0,IF(E2363="MXN",1/HLOOKUP(YEAR(C2363)+(MONTH(C2363)/100),TC!$5:$37,DAY(C2363)+2,FALSE),VLOOKUP(E2363,Equivalencia!$5:$23,((MAX(Equivalencia!$3:$3)-YEAR(C2363))*14)+MONTH(C2363)+2,FALSE)))</f>
        <v>0</v>
      </c>
      <c r="J2363" s="178">
        <f t="shared" si="221"/>
        <v>0</v>
      </c>
      <c r="K2363" s="462">
        <f>IF(C2363=0,0,VLOOKUP(YEAR(C2363),INPC!$B$4:$O$29,MONTH(C2363)+1))</f>
        <v>0</v>
      </c>
      <c r="L2363" s="462">
        <f>IF(S2363=0,0,VLOOKUP(YEAR(S2363),INPC!$B$4:$O$29,MONTH(S2363)+1))</f>
        <v>0</v>
      </c>
      <c r="M2363" s="463">
        <f t="shared" si="214"/>
        <v>0</v>
      </c>
      <c r="N2363" s="465">
        <f t="shared" si="222"/>
        <v>0</v>
      </c>
      <c r="O2363" s="179"/>
      <c r="P2363" s="180"/>
      <c r="Q2363" s="173"/>
      <c r="R2363" s="173"/>
      <c r="S2363" s="174"/>
      <c r="T2363" s="173"/>
      <c r="U2363" s="182"/>
      <c r="V2363" s="177">
        <f>IF(U2363=0,0,IF(T2363="MXN",1/HLOOKUP(YEAR(S2363)+(MONTH(S2363)/100),TC!$5:$37,DAY(S2363)+2,FALSE),VLOOKUP(T2363,Equivalencia!$1:$23,((MAX(Equivalencia!$3:$3)-YEAR(S2363))*14)+MONTH(S2363)+2,FALSE)))</f>
        <v>0</v>
      </c>
      <c r="W2363" s="178">
        <f t="shared" si="219"/>
        <v>0</v>
      </c>
      <c r="X2363" s="481">
        <f t="shared" si="215"/>
        <v>0</v>
      </c>
      <c r="Y2363" s="179"/>
      <c r="Z2363" s="466">
        <f t="shared" si="216"/>
        <v>0</v>
      </c>
      <c r="AA2363" s="473">
        <f t="shared" si="217"/>
        <v>0</v>
      </c>
      <c r="AB2363" s="339">
        <f t="shared" si="218"/>
        <v>0</v>
      </c>
    </row>
    <row r="2364" spans="2:28" ht="20.100000000000001" customHeight="1">
      <c r="B2364" s="172"/>
      <c r="C2364" s="174"/>
      <c r="D2364" s="181"/>
      <c r="E2364" s="173"/>
      <c r="F2364" s="176"/>
      <c r="G2364" s="175">
        <f t="shared" si="220"/>
        <v>0</v>
      </c>
      <c r="H2364" s="175">
        <f t="shared" si="213"/>
        <v>0</v>
      </c>
      <c r="I2364" s="177">
        <f>IF(G2364=0,0,IF(E2364="MXN",1/HLOOKUP(YEAR(C2364)+(MONTH(C2364)/100),TC!$5:$37,DAY(C2364)+2,FALSE),VLOOKUP(E2364,Equivalencia!$5:$23,((MAX(Equivalencia!$3:$3)-YEAR(C2364))*14)+MONTH(C2364)+2,FALSE)))</f>
        <v>0</v>
      </c>
      <c r="J2364" s="178">
        <f t="shared" si="221"/>
        <v>0</v>
      </c>
      <c r="K2364" s="462">
        <f>IF(C2364=0,0,VLOOKUP(YEAR(C2364),INPC!$B$4:$O$29,MONTH(C2364)+1))</f>
        <v>0</v>
      </c>
      <c r="L2364" s="462">
        <f>IF(S2364=0,0,VLOOKUP(YEAR(S2364),INPC!$B$4:$O$29,MONTH(S2364)+1))</f>
        <v>0</v>
      </c>
      <c r="M2364" s="463">
        <f t="shared" si="214"/>
        <v>0</v>
      </c>
      <c r="N2364" s="465">
        <f t="shared" si="222"/>
        <v>0</v>
      </c>
      <c r="O2364" s="179"/>
      <c r="P2364" s="180"/>
      <c r="Q2364" s="173"/>
      <c r="R2364" s="173"/>
      <c r="S2364" s="174"/>
      <c r="T2364" s="173"/>
      <c r="U2364" s="182"/>
      <c r="V2364" s="177">
        <f>IF(U2364=0,0,IF(T2364="MXN",1/HLOOKUP(YEAR(S2364)+(MONTH(S2364)/100),TC!$5:$37,DAY(S2364)+2,FALSE),VLOOKUP(T2364,Equivalencia!$1:$23,((MAX(Equivalencia!$3:$3)-YEAR(S2364))*14)+MONTH(S2364)+2,FALSE)))</f>
        <v>0</v>
      </c>
      <c r="W2364" s="178">
        <f t="shared" si="219"/>
        <v>0</v>
      </c>
      <c r="X2364" s="481">
        <f t="shared" si="215"/>
        <v>0</v>
      </c>
      <c r="Y2364" s="179"/>
      <c r="Z2364" s="466">
        <f t="shared" si="216"/>
        <v>0</v>
      </c>
      <c r="AA2364" s="473">
        <f t="shared" si="217"/>
        <v>0</v>
      </c>
      <c r="AB2364" s="339">
        <f t="shared" si="218"/>
        <v>0</v>
      </c>
    </row>
    <row r="2365" spans="2:28" ht="20.100000000000001" customHeight="1">
      <c r="B2365" s="172"/>
      <c r="C2365" s="174"/>
      <c r="D2365" s="181"/>
      <c r="E2365" s="173"/>
      <c r="F2365" s="176"/>
      <c r="G2365" s="175">
        <f t="shared" si="220"/>
        <v>0</v>
      </c>
      <c r="H2365" s="175">
        <f t="shared" si="213"/>
        <v>0</v>
      </c>
      <c r="I2365" s="177">
        <f>IF(G2365=0,0,IF(E2365="MXN",1/HLOOKUP(YEAR(C2365)+(MONTH(C2365)/100),TC!$5:$37,DAY(C2365)+2,FALSE),VLOOKUP(E2365,Equivalencia!$5:$23,((MAX(Equivalencia!$3:$3)-YEAR(C2365))*14)+MONTH(C2365)+2,FALSE)))</f>
        <v>0</v>
      </c>
      <c r="J2365" s="178">
        <f t="shared" si="221"/>
        <v>0</v>
      </c>
      <c r="K2365" s="462">
        <f>IF(C2365=0,0,VLOOKUP(YEAR(C2365),INPC!$B$4:$O$29,MONTH(C2365)+1))</f>
        <v>0</v>
      </c>
      <c r="L2365" s="462">
        <f>IF(S2365=0,0,VLOOKUP(YEAR(S2365),INPC!$B$4:$O$29,MONTH(S2365)+1))</f>
        <v>0</v>
      </c>
      <c r="M2365" s="463">
        <f t="shared" si="214"/>
        <v>0</v>
      </c>
      <c r="N2365" s="465">
        <f t="shared" si="222"/>
        <v>0</v>
      </c>
      <c r="O2365" s="179"/>
      <c r="P2365" s="180"/>
      <c r="Q2365" s="173"/>
      <c r="R2365" s="173"/>
      <c r="S2365" s="174"/>
      <c r="T2365" s="173"/>
      <c r="U2365" s="182"/>
      <c r="V2365" s="177">
        <f>IF(U2365=0,0,IF(T2365="MXN",1/HLOOKUP(YEAR(S2365)+(MONTH(S2365)/100),TC!$5:$37,DAY(S2365)+2,FALSE),VLOOKUP(T2365,Equivalencia!$1:$23,((MAX(Equivalencia!$3:$3)-YEAR(S2365))*14)+MONTH(S2365)+2,FALSE)))</f>
        <v>0</v>
      </c>
      <c r="W2365" s="178">
        <f t="shared" si="219"/>
        <v>0</v>
      </c>
      <c r="X2365" s="481">
        <f t="shared" si="215"/>
        <v>0</v>
      </c>
      <c r="Y2365" s="179"/>
      <c r="Z2365" s="466">
        <f t="shared" si="216"/>
        <v>0</v>
      </c>
      <c r="AA2365" s="473">
        <f t="shared" si="217"/>
        <v>0</v>
      </c>
      <c r="AB2365" s="339">
        <f t="shared" si="218"/>
        <v>0</v>
      </c>
    </row>
    <row r="2366" spans="2:28" ht="20.100000000000001" customHeight="1">
      <c r="B2366" s="172"/>
      <c r="C2366" s="174"/>
      <c r="D2366" s="181"/>
      <c r="E2366" s="173"/>
      <c r="F2366" s="176"/>
      <c r="G2366" s="175">
        <f t="shared" si="220"/>
        <v>0</v>
      </c>
      <c r="H2366" s="175">
        <f t="shared" si="213"/>
        <v>0</v>
      </c>
      <c r="I2366" s="177">
        <f>IF(G2366=0,0,IF(E2366="MXN",1/HLOOKUP(YEAR(C2366)+(MONTH(C2366)/100),TC!$5:$37,DAY(C2366)+2,FALSE),VLOOKUP(E2366,Equivalencia!$5:$23,((MAX(Equivalencia!$3:$3)-YEAR(C2366))*14)+MONTH(C2366)+2,FALSE)))</f>
        <v>0</v>
      </c>
      <c r="J2366" s="178">
        <f t="shared" si="221"/>
        <v>0</v>
      </c>
      <c r="K2366" s="462">
        <f>IF(C2366=0,0,VLOOKUP(YEAR(C2366),INPC!$B$4:$O$29,MONTH(C2366)+1))</f>
        <v>0</v>
      </c>
      <c r="L2366" s="462">
        <f>IF(S2366=0,0,VLOOKUP(YEAR(S2366),INPC!$B$4:$O$29,MONTH(S2366)+1))</f>
        <v>0</v>
      </c>
      <c r="M2366" s="463">
        <f t="shared" si="214"/>
        <v>0</v>
      </c>
      <c r="N2366" s="465">
        <f t="shared" si="222"/>
        <v>0</v>
      </c>
      <c r="O2366" s="179"/>
      <c r="P2366" s="180"/>
      <c r="Q2366" s="173"/>
      <c r="R2366" s="173"/>
      <c r="S2366" s="174"/>
      <c r="T2366" s="173"/>
      <c r="U2366" s="182"/>
      <c r="V2366" s="177">
        <f>IF(U2366=0,0,IF(T2366="MXN",1/HLOOKUP(YEAR(S2366)+(MONTH(S2366)/100),TC!$5:$37,DAY(S2366)+2,FALSE),VLOOKUP(T2366,Equivalencia!$1:$23,((MAX(Equivalencia!$3:$3)-YEAR(S2366))*14)+MONTH(S2366)+2,FALSE)))</f>
        <v>0</v>
      </c>
      <c r="W2366" s="178">
        <f t="shared" si="219"/>
        <v>0</v>
      </c>
      <c r="X2366" s="481">
        <f t="shared" si="215"/>
        <v>0</v>
      </c>
      <c r="Y2366" s="179"/>
      <c r="Z2366" s="466">
        <f t="shared" si="216"/>
        <v>0</v>
      </c>
      <c r="AA2366" s="473">
        <f t="shared" si="217"/>
        <v>0</v>
      </c>
      <c r="AB2366" s="339">
        <f t="shared" si="218"/>
        <v>0</v>
      </c>
    </row>
    <row r="2367" spans="2:28" ht="20.100000000000001" customHeight="1">
      <c r="B2367" s="172"/>
      <c r="C2367" s="174"/>
      <c r="D2367" s="181"/>
      <c r="E2367" s="173"/>
      <c r="F2367" s="176"/>
      <c r="G2367" s="175">
        <f t="shared" si="220"/>
        <v>0</v>
      </c>
      <c r="H2367" s="175">
        <f t="shared" si="213"/>
        <v>0</v>
      </c>
      <c r="I2367" s="177">
        <f>IF(G2367=0,0,IF(E2367="MXN",1/HLOOKUP(YEAR(C2367)+(MONTH(C2367)/100),TC!$5:$37,DAY(C2367)+2,FALSE),VLOOKUP(E2367,Equivalencia!$5:$23,((MAX(Equivalencia!$3:$3)-YEAR(C2367))*14)+MONTH(C2367)+2,FALSE)))</f>
        <v>0</v>
      </c>
      <c r="J2367" s="178">
        <f t="shared" si="221"/>
        <v>0</v>
      </c>
      <c r="K2367" s="462">
        <f>IF(C2367=0,0,VLOOKUP(YEAR(C2367),INPC!$B$4:$O$29,MONTH(C2367)+1))</f>
        <v>0</v>
      </c>
      <c r="L2367" s="462">
        <f>IF(S2367=0,0,VLOOKUP(YEAR(S2367),INPC!$B$4:$O$29,MONTH(S2367)+1))</f>
        <v>0</v>
      </c>
      <c r="M2367" s="463">
        <f t="shared" si="214"/>
        <v>0</v>
      </c>
      <c r="N2367" s="465">
        <f t="shared" si="222"/>
        <v>0</v>
      </c>
      <c r="O2367" s="179"/>
      <c r="P2367" s="180"/>
      <c r="Q2367" s="173"/>
      <c r="R2367" s="173"/>
      <c r="S2367" s="174"/>
      <c r="T2367" s="173"/>
      <c r="U2367" s="182"/>
      <c r="V2367" s="177">
        <f>IF(U2367=0,0,IF(T2367="MXN",1/HLOOKUP(YEAR(S2367)+(MONTH(S2367)/100),TC!$5:$37,DAY(S2367)+2,FALSE),VLOOKUP(T2367,Equivalencia!$1:$23,((MAX(Equivalencia!$3:$3)-YEAR(S2367))*14)+MONTH(S2367)+2,FALSE)))</f>
        <v>0</v>
      </c>
      <c r="W2367" s="178">
        <f t="shared" si="219"/>
        <v>0</v>
      </c>
      <c r="X2367" s="481">
        <f t="shared" si="215"/>
        <v>0</v>
      </c>
      <c r="Y2367" s="179"/>
      <c r="Z2367" s="466">
        <f t="shared" si="216"/>
        <v>0</v>
      </c>
      <c r="AA2367" s="473">
        <f t="shared" si="217"/>
        <v>0</v>
      </c>
      <c r="AB2367" s="339">
        <f t="shared" si="218"/>
        <v>0</v>
      </c>
    </row>
    <row r="2368" spans="2:28" ht="20.100000000000001" customHeight="1">
      <c r="B2368" s="172"/>
      <c r="C2368" s="174"/>
      <c r="D2368" s="181"/>
      <c r="E2368" s="173"/>
      <c r="F2368" s="176"/>
      <c r="G2368" s="175">
        <f t="shared" si="220"/>
        <v>0</v>
      </c>
      <c r="H2368" s="175">
        <f t="shared" si="213"/>
        <v>0</v>
      </c>
      <c r="I2368" s="177">
        <f>IF(G2368=0,0,IF(E2368="MXN",1/HLOOKUP(YEAR(C2368)+(MONTH(C2368)/100),TC!$5:$37,DAY(C2368)+2,FALSE),VLOOKUP(E2368,Equivalencia!$5:$23,((MAX(Equivalencia!$3:$3)-YEAR(C2368))*14)+MONTH(C2368)+2,FALSE)))</f>
        <v>0</v>
      </c>
      <c r="J2368" s="178">
        <f t="shared" si="221"/>
        <v>0</v>
      </c>
      <c r="K2368" s="462">
        <f>IF(C2368=0,0,VLOOKUP(YEAR(C2368),INPC!$B$4:$O$29,MONTH(C2368)+1))</f>
        <v>0</v>
      </c>
      <c r="L2368" s="462">
        <f>IF(S2368=0,0,VLOOKUP(YEAR(S2368),INPC!$B$4:$O$29,MONTH(S2368)+1))</f>
        <v>0</v>
      </c>
      <c r="M2368" s="463">
        <f t="shared" si="214"/>
        <v>0</v>
      </c>
      <c r="N2368" s="465">
        <f t="shared" si="222"/>
        <v>0</v>
      </c>
      <c r="O2368" s="179"/>
      <c r="P2368" s="180"/>
      <c r="Q2368" s="173"/>
      <c r="R2368" s="173"/>
      <c r="S2368" s="174"/>
      <c r="T2368" s="173"/>
      <c r="U2368" s="182"/>
      <c r="V2368" s="177">
        <f>IF(U2368=0,0,IF(T2368="MXN",1/HLOOKUP(YEAR(S2368)+(MONTH(S2368)/100),TC!$5:$37,DAY(S2368)+2,FALSE),VLOOKUP(T2368,Equivalencia!$1:$23,((MAX(Equivalencia!$3:$3)-YEAR(S2368))*14)+MONTH(S2368)+2,FALSE)))</f>
        <v>0</v>
      </c>
      <c r="W2368" s="178">
        <f t="shared" si="219"/>
        <v>0</v>
      </c>
      <c r="X2368" s="481">
        <f t="shared" si="215"/>
        <v>0</v>
      </c>
      <c r="Y2368" s="179"/>
      <c r="Z2368" s="466">
        <f t="shared" si="216"/>
        <v>0</v>
      </c>
      <c r="AA2368" s="473">
        <f t="shared" si="217"/>
        <v>0</v>
      </c>
      <c r="AB2368" s="339">
        <f t="shared" si="218"/>
        <v>0</v>
      </c>
    </row>
    <row r="2369" spans="2:28" ht="20.100000000000001" customHeight="1">
      <c r="B2369" s="172"/>
      <c r="C2369" s="174"/>
      <c r="D2369" s="181"/>
      <c r="E2369" s="173"/>
      <c r="F2369" s="176"/>
      <c r="G2369" s="175">
        <f t="shared" si="220"/>
        <v>0</v>
      </c>
      <c r="H2369" s="175">
        <f t="shared" si="213"/>
        <v>0</v>
      </c>
      <c r="I2369" s="177">
        <f>IF(G2369=0,0,IF(E2369="MXN",1/HLOOKUP(YEAR(C2369)+(MONTH(C2369)/100),TC!$5:$37,DAY(C2369)+2,FALSE),VLOOKUP(E2369,Equivalencia!$5:$23,((MAX(Equivalencia!$3:$3)-YEAR(C2369))*14)+MONTH(C2369)+2,FALSE)))</f>
        <v>0</v>
      </c>
      <c r="J2369" s="178">
        <f t="shared" si="221"/>
        <v>0</v>
      </c>
      <c r="K2369" s="462">
        <f>IF(C2369=0,0,VLOOKUP(YEAR(C2369),INPC!$B$4:$O$29,MONTH(C2369)+1))</f>
        <v>0</v>
      </c>
      <c r="L2369" s="462">
        <f>IF(S2369=0,0,VLOOKUP(YEAR(S2369),INPC!$B$4:$O$29,MONTH(S2369)+1))</f>
        <v>0</v>
      </c>
      <c r="M2369" s="463">
        <f t="shared" si="214"/>
        <v>0</v>
      </c>
      <c r="N2369" s="465">
        <f t="shared" si="222"/>
        <v>0</v>
      </c>
      <c r="O2369" s="179"/>
      <c r="P2369" s="180"/>
      <c r="Q2369" s="173"/>
      <c r="R2369" s="173"/>
      <c r="S2369" s="174"/>
      <c r="T2369" s="173"/>
      <c r="U2369" s="182"/>
      <c r="V2369" s="177">
        <f>IF(U2369=0,0,IF(T2369="MXN",1/HLOOKUP(YEAR(S2369)+(MONTH(S2369)/100),TC!$5:$37,DAY(S2369)+2,FALSE),VLOOKUP(T2369,Equivalencia!$1:$23,((MAX(Equivalencia!$3:$3)-YEAR(S2369))*14)+MONTH(S2369)+2,FALSE)))</f>
        <v>0</v>
      </c>
      <c r="W2369" s="178">
        <f t="shared" si="219"/>
        <v>0</v>
      </c>
      <c r="X2369" s="481">
        <f t="shared" si="215"/>
        <v>0</v>
      </c>
      <c r="Y2369" s="179"/>
      <c r="Z2369" s="466">
        <f t="shared" si="216"/>
        <v>0</v>
      </c>
      <c r="AA2369" s="473">
        <f t="shared" si="217"/>
        <v>0</v>
      </c>
      <c r="AB2369" s="339">
        <f t="shared" si="218"/>
        <v>0</v>
      </c>
    </row>
    <row r="2370" spans="2:28" ht="20.100000000000001" customHeight="1">
      <c r="B2370" s="172"/>
      <c r="C2370" s="174"/>
      <c r="D2370" s="181"/>
      <c r="E2370" s="173"/>
      <c r="F2370" s="176"/>
      <c r="G2370" s="175">
        <f t="shared" si="220"/>
        <v>0</v>
      </c>
      <c r="H2370" s="175">
        <f t="shared" si="213"/>
        <v>0</v>
      </c>
      <c r="I2370" s="177">
        <f>IF(G2370=0,0,IF(E2370="MXN",1/HLOOKUP(YEAR(C2370)+(MONTH(C2370)/100),TC!$5:$37,DAY(C2370)+2,FALSE),VLOOKUP(E2370,Equivalencia!$5:$23,((MAX(Equivalencia!$3:$3)-YEAR(C2370))*14)+MONTH(C2370)+2,FALSE)))</f>
        <v>0</v>
      </c>
      <c r="J2370" s="178">
        <f t="shared" si="221"/>
        <v>0</v>
      </c>
      <c r="K2370" s="462">
        <f>IF(C2370=0,0,VLOOKUP(YEAR(C2370),INPC!$B$4:$O$29,MONTH(C2370)+1))</f>
        <v>0</v>
      </c>
      <c r="L2370" s="462">
        <f>IF(S2370=0,0,VLOOKUP(YEAR(S2370),INPC!$B$4:$O$29,MONTH(S2370)+1))</f>
        <v>0</v>
      </c>
      <c r="M2370" s="463">
        <f t="shared" si="214"/>
        <v>0</v>
      </c>
      <c r="N2370" s="465">
        <f t="shared" si="222"/>
        <v>0</v>
      </c>
      <c r="O2370" s="179"/>
      <c r="P2370" s="180"/>
      <c r="Q2370" s="173"/>
      <c r="R2370" s="173"/>
      <c r="S2370" s="174"/>
      <c r="T2370" s="173"/>
      <c r="U2370" s="182"/>
      <c r="V2370" s="177">
        <f>IF(U2370=0,0,IF(T2370="MXN",1/HLOOKUP(YEAR(S2370)+(MONTH(S2370)/100),TC!$5:$37,DAY(S2370)+2,FALSE),VLOOKUP(T2370,Equivalencia!$1:$23,((MAX(Equivalencia!$3:$3)-YEAR(S2370))*14)+MONTH(S2370)+2,FALSE)))</f>
        <v>0</v>
      </c>
      <c r="W2370" s="178">
        <f t="shared" si="219"/>
        <v>0</v>
      </c>
      <c r="X2370" s="481">
        <f t="shared" si="215"/>
        <v>0</v>
      </c>
      <c r="Y2370" s="179"/>
      <c r="Z2370" s="466">
        <f t="shared" si="216"/>
        <v>0</v>
      </c>
      <c r="AA2370" s="473">
        <f t="shared" si="217"/>
        <v>0</v>
      </c>
      <c r="AB2370" s="339">
        <f t="shared" si="218"/>
        <v>0</v>
      </c>
    </row>
    <row r="2371" spans="2:28" ht="20.100000000000001" customHeight="1">
      <c r="B2371" s="172"/>
      <c r="C2371" s="174"/>
      <c r="D2371" s="181"/>
      <c r="E2371" s="173"/>
      <c r="F2371" s="176"/>
      <c r="G2371" s="175">
        <f t="shared" si="220"/>
        <v>0</v>
      </c>
      <c r="H2371" s="175">
        <f t="shared" si="213"/>
        <v>0</v>
      </c>
      <c r="I2371" s="177">
        <f>IF(G2371=0,0,IF(E2371="MXN",1/HLOOKUP(YEAR(C2371)+(MONTH(C2371)/100),TC!$5:$37,DAY(C2371)+2,FALSE),VLOOKUP(E2371,Equivalencia!$5:$23,((MAX(Equivalencia!$3:$3)-YEAR(C2371))*14)+MONTH(C2371)+2,FALSE)))</f>
        <v>0</v>
      </c>
      <c r="J2371" s="178">
        <f t="shared" si="221"/>
        <v>0</v>
      </c>
      <c r="K2371" s="462">
        <f>IF(C2371=0,0,VLOOKUP(YEAR(C2371),INPC!$B$4:$O$29,MONTH(C2371)+1))</f>
        <v>0</v>
      </c>
      <c r="L2371" s="462">
        <f>IF(S2371=0,0,VLOOKUP(YEAR(S2371),INPC!$B$4:$O$29,MONTH(S2371)+1))</f>
        <v>0</v>
      </c>
      <c r="M2371" s="463">
        <f t="shared" si="214"/>
        <v>0</v>
      </c>
      <c r="N2371" s="465">
        <f t="shared" si="222"/>
        <v>0</v>
      </c>
      <c r="O2371" s="179"/>
      <c r="P2371" s="180"/>
      <c r="Q2371" s="173"/>
      <c r="R2371" s="173"/>
      <c r="S2371" s="174"/>
      <c r="T2371" s="173"/>
      <c r="U2371" s="182"/>
      <c r="V2371" s="177">
        <f>IF(U2371=0,0,IF(T2371="MXN",1/HLOOKUP(YEAR(S2371)+(MONTH(S2371)/100),TC!$5:$37,DAY(S2371)+2,FALSE),VLOOKUP(T2371,Equivalencia!$1:$23,((MAX(Equivalencia!$3:$3)-YEAR(S2371))*14)+MONTH(S2371)+2,FALSE)))</f>
        <v>0</v>
      </c>
      <c r="W2371" s="178">
        <f t="shared" si="219"/>
        <v>0</v>
      </c>
      <c r="X2371" s="481">
        <f t="shared" si="215"/>
        <v>0</v>
      </c>
      <c r="Y2371" s="179"/>
      <c r="Z2371" s="466">
        <f t="shared" si="216"/>
        <v>0</v>
      </c>
      <c r="AA2371" s="473">
        <f t="shared" si="217"/>
        <v>0</v>
      </c>
      <c r="AB2371" s="339">
        <f t="shared" si="218"/>
        <v>0</v>
      </c>
    </row>
    <row r="2372" spans="2:28" ht="20.100000000000001" customHeight="1">
      <c r="B2372" s="172"/>
      <c r="C2372" s="174"/>
      <c r="D2372" s="181"/>
      <c r="E2372" s="173"/>
      <c r="F2372" s="176"/>
      <c r="G2372" s="175">
        <f t="shared" si="220"/>
        <v>0</v>
      </c>
      <c r="H2372" s="175">
        <f t="shared" si="213"/>
        <v>0</v>
      </c>
      <c r="I2372" s="177">
        <f>IF(G2372=0,0,IF(E2372="MXN",1/HLOOKUP(YEAR(C2372)+(MONTH(C2372)/100),TC!$5:$37,DAY(C2372)+2,FALSE),VLOOKUP(E2372,Equivalencia!$5:$23,((MAX(Equivalencia!$3:$3)-YEAR(C2372))*14)+MONTH(C2372)+2,FALSE)))</f>
        <v>0</v>
      </c>
      <c r="J2372" s="178">
        <f t="shared" si="221"/>
        <v>0</v>
      </c>
      <c r="K2372" s="462">
        <f>IF(C2372=0,0,VLOOKUP(YEAR(C2372),INPC!$B$4:$O$29,MONTH(C2372)+1))</f>
        <v>0</v>
      </c>
      <c r="L2372" s="462">
        <f>IF(S2372=0,0,VLOOKUP(YEAR(S2372),INPC!$B$4:$O$29,MONTH(S2372)+1))</f>
        <v>0</v>
      </c>
      <c r="M2372" s="463">
        <f t="shared" si="214"/>
        <v>0</v>
      </c>
      <c r="N2372" s="465">
        <f t="shared" si="222"/>
        <v>0</v>
      </c>
      <c r="O2372" s="179"/>
      <c r="P2372" s="180"/>
      <c r="Q2372" s="173"/>
      <c r="R2372" s="173"/>
      <c r="S2372" s="174"/>
      <c r="T2372" s="173"/>
      <c r="U2372" s="182"/>
      <c r="V2372" s="177">
        <f>IF(U2372=0,0,IF(T2372="MXN",1/HLOOKUP(YEAR(S2372)+(MONTH(S2372)/100),TC!$5:$37,DAY(S2372)+2,FALSE),VLOOKUP(T2372,Equivalencia!$1:$23,((MAX(Equivalencia!$3:$3)-YEAR(S2372))*14)+MONTH(S2372)+2,FALSE)))</f>
        <v>0</v>
      </c>
      <c r="W2372" s="178">
        <f t="shared" si="219"/>
        <v>0</v>
      </c>
      <c r="X2372" s="481">
        <f t="shared" si="215"/>
        <v>0</v>
      </c>
      <c r="Y2372" s="179"/>
      <c r="Z2372" s="466">
        <f t="shared" si="216"/>
        <v>0</v>
      </c>
      <c r="AA2372" s="473">
        <f t="shared" si="217"/>
        <v>0</v>
      </c>
      <c r="AB2372" s="339">
        <f t="shared" si="218"/>
        <v>0</v>
      </c>
    </row>
    <row r="2373" spans="2:28" ht="20.100000000000001" customHeight="1">
      <c r="B2373" s="172"/>
      <c r="C2373" s="174"/>
      <c r="D2373" s="181"/>
      <c r="E2373" s="173"/>
      <c r="F2373" s="176"/>
      <c r="G2373" s="175">
        <f t="shared" si="220"/>
        <v>0</v>
      </c>
      <c r="H2373" s="175">
        <f t="shared" si="213"/>
        <v>0</v>
      </c>
      <c r="I2373" s="177">
        <f>IF(G2373=0,0,IF(E2373="MXN",1/HLOOKUP(YEAR(C2373)+(MONTH(C2373)/100),TC!$5:$37,DAY(C2373)+2,FALSE),VLOOKUP(E2373,Equivalencia!$5:$23,((MAX(Equivalencia!$3:$3)-YEAR(C2373))*14)+MONTH(C2373)+2,FALSE)))</f>
        <v>0</v>
      </c>
      <c r="J2373" s="178">
        <f t="shared" si="221"/>
        <v>0</v>
      </c>
      <c r="K2373" s="462">
        <f>IF(C2373=0,0,VLOOKUP(YEAR(C2373),INPC!$B$4:$O$29,MONTH(C2373)+1))</f>
        <v>0</v>
      </c>
      <c r="L2373" s="462">
        <f>IF(S2373=0,0,VLOOKUP(YEAR(S2373),INPC!$B$4:$O$29,MONTH(S2373)+1))</f>
        <v>0</v>
      </c>
      <c r="M2373" s="463">
        <f t="shared" si="214"/>
        <v>0</v>
      </c>
      <c r="N2373" s="465">
        <f t="shared" si="222"/>
        <v>0</v>
      </c>
      <c r="O2373" s="179"/>
      <c r="P2373" s="180"/>
      <c r="Q2373" s="173"/>
      <c r="R2373" s="173"/>
      <c r="S2373" s="174"/>
      <c r="T2373" s="173"/>
      <c r="U2373" s="182"/>
      <c r="V2373" s="177">
        <f>IF(U2373=0,0,IF(T2373="MXN",1/HLOOKUP(YEAR(S2373)+(MONTH(S2373)/100),TC!$5:$37,DAY(S2373)+2,FALSE),VLOOKUP(T2373,Equivalencia!$1:$23,((MAX(Equivalencia!$3:$3)-YEAR(S2373))*14)+MONTH(S2373)+2,FALSE)))</f>
        <v>0</v>
      </c>
      <c r="W2373" s="178">
        <f t="shared" si="219"/>
        <v>0</v>
      </c>
      <c r="X2373" s="481">
        <f t="shared" si="215"/>
        <v>0</v>
      </c>
      <c r="Y2373" s="179"/>
      <c r="Z2373" s="466">
        <f t="shared" si="216"/>
        <v>0</v>
      </c>
      <c r="AA2373" s="473">
        <f t="shared" si="217"/>
        <v>0</v>
      </c>
      <c r="AB2373" s="339">
        <f t="shared" si="218"/>
        <v>0</v>
      </c>
    </row>
    <row r="2374" spans="2:28" ht="20.100000000000001" customHeight="1">
      <c r="B2374" s="172"/>
      <c r="C2374" s="174"/>
      <c r="D2374" s="181"/>
      <c r="E2374" s="173"/>
      <c r="F2374" s="176"/>
      <c r="G2374" s="175">
        <f t="shared" si="220"/>
        <v>0</v>
      </c>
      <c r="H2374" s="175">
        <f t="shared" si="213"/>
        <v>0</v>
      </c>
      <c r="I2374" s="177">
        <f>IF(G2374=0,0,IF(E2374="MXN",1/HLOOKUP(YEAR(C2374)+(MONTH(C2374)/100),TC!$5:$37,DAY(C2374)+2,FALSE),VLOOKUP(E2374,Equivalencia!$5:$23,((MAX(Equivalencia!$3:$3)-YEAR(C2374))*14)+MONTH(C2374)+2,FALSE)))</f>
        <v>0</v>
      </c>
      <c r="J2374" s="178">
        <f t="shared" si="221"/>
        <v>0</v>
      </c>
      <c r="K2374" s="462">
        <f>IF(C2374=0,0,VLOOKUP(YEAR(C2374),INPC!$B$4:$O$29,MONTH(C2374)+1))</f>
        <v>0</v>
      </c>
      <c r="L2374" s="462">
        <f>IF(S2374=0,0,VLOOKUP(YEAR(S2374),INPC!$B$4:$O$29,MONTH(S2374)+1))</f>
        <v>0</v>
      </c>
      <c r="M2374" s="463">
        <f t="shared" si="214"/>
        <v>0</v>
      </c>
      <c r="N2374" s="465">
        <f t="shared" si="222"/>
        <v>0</v>
      </c>
      <c r="O2374" s="179"/>
      <c r="P2374" s="180"/>
      <c r="Q2374" s="173"/>
      <c r="R2374" s="173"/>
      <c r="S2374" s="174"/>
      <c r="T2374" s="173"/>
      <c r="U2374" s="182"/>
      <c r="V2374" s="177">
        <f>IF(U2374=0,0,IF(T2374="MXN",1/HLOOKUP(YEAR(S2374)+(MONTH(S2374)/100),TC!$5:$37,DAY(S2374)+2,FALSE),VLOOKUP(T2374,Equivalencia!$1:$23,((MAX(Equivalencia!$3:$3)-YEAR(S2374))*14)+MONTH(S2374)+2,FALSE)))</f>
        <v>0</v>
      </c>
      <c r="W2374" s="178">
        <f t="shared" si="219"/>
        <v>0</v>
      </c>
      <c r="X2374" s="481">
        <f t="shared" si="215"/>
        <v>0</v>
      </c>
      <c r="Y2374" s="179"/>
      <c r="Z2374" s="466">
        <f t="shared" si="216"/>
        <v>0</v>
      </c>
      <c r="AA2374" s="473">
        <f t="shared" si="217"/>
        <v>0</v>
      </c>
      <c r="AB2374" s="339">
        <f t="shared" si="218"/>
        <v>0</v>
      </c>
    </row>
    <row r="2375" spans="2:28" ht="20.100000000000001" customHeight="1">
      <c r="B2375" s="172"/>
      <c r="C2375" s="174"/>
      <c r="D2375" s="181"/>
      <c r="E2375" s="173"/>
      <c r="F2375" s="176"/>
      <c r="G2375" s="175">
        <f t="shared" si="220"/>
        <v>0</v>
      </c>
      <c r="H2375" s="175">
        <f t="shared" si="213"/>
        <v>0</v>
      </c>
      <c r="I2375" s="177">
        <f>IF(G2375=0,0,IF(E2375="MXN",1/HLOOKUP(YEAR(C2375)+(MONTH(C2375)/100),TC!$5:$37,DAY(C2375)+2,FALSE),VLOOKUP(E2375,Equivalencia!$5:$23,((MAX(Equivalencia!$3:$3)-YEAR(C2375))*14)+MONTH(C2375)+2,FALSE)))</f>
        <v>0</v>
      </c>
      <c r="J2375" s="178">
        <f t="shared" si="221"/>
        <v>0</v>
      </c>
      <c r="K2375" s="462">
        <f>IF(C2375=0,0,VLOOKUP(YEAR(C2375),INPC!$B$4:$O$29,MONTH(C2375)+1))</f>
        <v>0</v>
      </c>
      <c r="L2375" s="462">
        <f>IF(S2375=0,0,VLOOKUP(YEAR(S2375),INPC!$B$4:$O$29,MONTH(S2375)+1))</f>
        <v>0</v>
      </c>
      <c r="M2375" s="463">
        <f t="shared" si="214"/>
        <v>0</v>
      </c>
      <c r="N2375" s="465">
        <f t="shared" si="222"/>
        <v>0</v>
      </c>
      <c r="O2375" s="179"/>
      <c r="P2375" s="180"/>
      <c r="Q2375" s="173"/>
      <c r="R2375" s="173"/>
      <c r="S2375" s="174"/>
      <c r="T2375" s="173"/>
      <c r="U2375" s="182"/>
      <c r="V2375" s="177">
        <f>IF(U2375=0,0,IF(T2375="MXN",1/HLOOKUP(YEAR(S2375)+(MONTH(S2375)/100),TC!$5:$37,DAY(S2375)+2,FALSE),VLOOKUP(T2375,Equivalencia!$1:$23,((MAX(Equivalencia!$3:$3)-YEAR(S2375))*14)+MONTH(S2375)+2,FALSE)))</f>
        <v>0</v>
      </c>
      <c r="W2375" s="178">
        <f t="shared" si="219"/>
        <v>0</v>
      </c>
      <c r="X2375" s="481">
        <f t="shared" si="215"/>
        <v>0</v>
      </c>
      <c r="Y2375" s="179"/>
      <c r="Z2375" s="466">
        <f t="shared" si="216"/>
        <v>0</v>
      </c>
      <c r="AA2375" s="473">
        <f t="shared" si="217"/>
        <v>0</v>
      </c>
      <c r="AB2375" s="339">
        <f t="shared" si="218"/>
        <v>0</v>
      </c>
    </row>
    <row r="2376" spans="2:28" ht="20.100000000000001" customHeight="1">
      <c r="B2376" s="172"/>
      <c r="C2376" s="174"/>
      <c r="D2376" s="181"/>
      <c r="E2376" s="173"/>
      <c r="F2376" s="176"/>
      <c r="G2376" s="175">
        <f t="shared" si="220"/>
        <v>0</v>
      </c>
      <c r="H2376" s="175">
        <f t="shared" si="213"/>
        <v>0</v>
      </c>
      <c r="I2376" s="177">
        <f>IF(G2376=0,0,IF(E2376="MXN",1/HLOOKUP(YEAR(C2376)+(MONTH(C2376)/100),TC!$5:$37,DAY(C2376)+2,FALSE),VLOOKUP(E2376,Equivalencia!$5:$23,((MAX(Equivalencia!$3:$3)-YEAR(C2376))*14)+MONTH(C2376)+2,FALSE)))</f>
        <v>0</v>
      </c>
      <c r="J2376" s="178">
        <f t="shared" si="221"/>
        <v>0</v>
      </c>
      <c r="K2376" s="462">
        <f>IF(C2376=0,0,VLOOKUP(YEAR(C2376),INPC!$B$4:$O$29,MONTH(C2376)+1))</f>
        <v>0</v>
      </c>
      <c r="L2376" s="462">
        <f>IF(S2376=0,0,VLOOKUP(YEAR(S2376),INPC!$B$4:$O$29,MONTH(S2376)+1))</f>
        <v>0</v>
      </c>
      <c r="M2376" s="463">
        <f t="shared" si="214"/>
        <v>0</v>
      </c>
      <c r="N2376" s="465">
        <f t="shared" si="222"/>
        <v>0</v>
      </c>
      <c r="O2376" s="179"/>
      <c r="P2376" s="180"/>
      <c r="Q2376" s="173"/>
      <c r="R2376" s="173"/>
      <c r="S2376" s="174"/>
      <c r="T2376" s="173"/>
      <c r="U2376" s="182"/>
      <c r="V2376" s="177">
        <f>IF(U2376=0,0,IF(T2376="MXN",1/HLOOKUP(YEAR(S2376)+(MONTH(S2376)/100),TC!$5:$37,DAY(S2376)+2,FALSE),VLOOKUP(T2376,Equivalencia!$1:$23,((MAX(Equivalencia!$3:$3)-YEAR(S2376))*14)+MONTH(S2376)+2,FALSE)))</f>
        <v>0</v>
      </c>
      <c r="W2376" s="178">
        <f t="shared" si="219"/>
        <v>0</v>
      </c>
      <c r="X2376" s="481">
        <f t="shared" si="215"/>
        <v>0</v>
      </c>
      <c r="Y2376" s="179"/>
      <c r="Z2376" s="466">
        <f t="shared" si="216"/>
        <v>0</v>
      </c>
      <c r="AA2376" s="473">
        <f t="shared" si="217"/>
        <v>0</v>
      </c>
      <c r="AB2376" s="339">
        <f t="shared" si="218"/>
        <v>0</v>
      </c>
    </row>
    <row r="2377" spans="2:28" ht="20.100000000000001" customHeight="1">
      <c r="B2377" s="172"/>
      <c r="C2377" s="174"/>
      <c r="D2377" s="181"/>
      <c r="E2377" s="173"/>
      <c r="F2377" s="176"/>
      <c r="G2377" s="175">
        <f t="shared" si="220"/>
        <v>0</v>
      </c>
      <c r="H2377" s="175">
        <f t="shared" si="213"/>
        <v>0</v>
      </c>
      <c r="I2377" s="177">
        <f>IF(G2377=0,0,IF(E2377="MXN",1/HLOOKUP(YEAR(C2377)+(MONTH(C2377)/100),TC!$5:$37,DAY(C2377)+2,FALSE),VLOOKUP(E2377,Equivalencia!$5:$23,((MAX(Equivalencia!$3:$3)-YEAR(C2377))*14)+MONTH(C2377)+2,FALSE)))</f>
        <v>0</v>
      </c>
      <c r="J2377" s="178">
        <f t="shared" si="221"/>
        <v>0</v>
      </c>
      <c r="K2377" s="462">
        <f>IF(C2377=0,0,VLOOKUP(YEAR(C2377),INPC!$B$4:$O$29,MONTH(C2377)+1))</f>
        <v>0</v>
      </c>
      <c r="L2377" s="462">
        <f>IF(S2377=0,0,VLOOKUP(YEAR(S2377),INPC!$B$4:$O$29,MONTH(S2377)+1))</f>
        <v>0</v>
      </c>
      <c r="M2377" s="463">
        <f t="shared" si="214"/>
        <v>0</v>
      </c>
      <c r="N2377" s="465">
        <f t="shared" si="222"/>
        <v>0</v>
      </c>
      <c r="O2377" s="179"/>
      <c r="P2377" s="180"/>
      <c r="Q2377" s="173"/>
      <c r="R2377" s="173"/>
      <c r="S2377" s="174"/>
      <c r="T2377" s="173"/>
      <c r="U2377" s="182"/>
      <c r="V2377" s="177">
        <f>IF(U2377=0,0,IF(T2377="MXN",1/HLOOKUP(YEAR(S2377)+(MONTH(S2377)/100),TC!$5:$37,DAY(S2377)+2,FALSE),VLOOKUP(T2377,Equivalencia!$1:$23,((MAX(Equivalencia!$3:$3)-YEAR(S2377))*14)+MONTH(S2377)+2,FALSE)))</f>
        <v>0</v>
      </c>
      <c r="W2377" s="178">
        <f t="shared" si="219"/>
        <v>0</v>
      </c>
      <c r="X2377" s="481">
        <f t="shared" si="215"/>
        <v>0</v>
      </c>
      <c r="Y2377" s="179"/>
      <c r="Z2377" s="466">
        <f t="shared" si="216"/>
        <v>0</v>
      </c>
      <c r="AA2377" s="473">
        <f t="shared" si="217"/>
        <v>0</v>
      </c>
      <c r="AB2377" s="339">
        <f t="shared" si="218"/>
        <v>0</v>
      </c>
    </row>
    <row r="2378" spans="2:28" ht="20.100000000000001" customHeight="1">
      <c r="B2378" s="172"/>
      <c r="C2378" s="174"/>
      <c r="D2378" s="181"/>
      <c r="E2378" s="173"/>
      <c r="F2378" s="176"/>
      <c r="G2378" s="175">
        <f t="shared" si="220"/>
        <v>0</v>
      </c>
      <c r="H2378" s="175">
        <f t="shared" si="213"/>
        <v>0</v>
      </c>
      <c r="I2378" s="177">
        <f>IF(G2378=0,0,IF(E2378="MXN",1/HLOOKUP(YEAR(C2378)+(MONTH(C2378)/100),TC!$5:$37,DAY(C2378)+2,FALSE),VLOOKUP(E2378,Equivalencia!$5:$23,((MAX(Equivalencia!$3:$3)-YEAR(C2378))*14)+MONTH(C2378)+2,FALSE)))</f>
        <v>0</v>
      </c>
      <c r="J2378" s="178">
        <f t="shared" si="221"/>
        <v>0</v>
      </c>
      <c r="K2378" s="462">
        <f>IF(C2378=0,0,VLOOKUP(YEAR(C2378),INPC!$B$4:$O$29,MONTH(C2378)+1))</f>
        <v>0</v>
      </c>
      <c r="L2378" s="462">
        <f>IF(S2378=0,0,VLOOKUP(YEAR(S2378),INPC!$B$4:$O$29,MONTH(S2378)+1))</f>
        <v>0</v>
      </c>
      <c r="M2378" s="463">
        <f t="shared" si="214"/>
        <v>0</v>
      </c>
      <c r="N2378" s="465">
        <f t="shared" si="222"/>
        <v>0</v>
      </c>
      <c r="O2378" s="179"/>
      <c r="P2378" s="180"/>
      <c r="Q2378" s="173"/>
      <c r="R2378" s="173"/>
      <c r="S2378" s="174"/>
      <c r="T2378" s="173"/>
      <c r="U2378" s="182"/>
      <c r="V2378" s="177">
        <f>IF(U2378=0,0,IF(T2378="MXN",1/HLOOKUP(YEAR(S2378)+(MONTH(S2378)/100),TC!$5:$37,DAY(S2378)+2,FALSE),VLOOKUP(T2378,Equivalencia!$1:$23,((MAX(Equivalencia!$3:$3)-YEAR(S2378))*14)+MONTH(S2378)+2,FALSE)))</f>
        <v>0</v>
      </c>
      <c r="W2378" s="178">
        <f t="shared" si="219"/>
        <v>0</v>
      </c>
      <c r="X2378" s="481">
        <f t="shared" si="215"/>
        <v>0</v>
      </c>
      <c r="Y2378" s="179"/>
      <c r="Z2378" s="466">
        <f t="shared" si="216"/>
        <v>0</v>
      </c>
      <c r="AA2378" s="473">
        <f t="shared" si="217"/>
        <v>0</v>
      </c>
      <c r="AB2378" s="339">
        <f t="shared" si="218"/>
        <v>0</v>
      </c>
    </row>
    <row r="2379" spans="2:28" ht="20.100000000000001" customHeight="1">
      <c r="B2379" s="172"/>
      <c r="C2379" s="174"/>
      <c r="D2379" s="181"/>
      <c r="E2379" s="173"/>
      <c r="F2379" s="176"/>
      <c r="G2379" s="175">
        <f t="shared" si="220"/>
        <v>0</v>
      </c>
      <c r="H2379" s="175">
        <f t="shared" si="213"/>
        <v>0</v>
      </c>
      <c r="I2379" s="177">
        <f>IF(G2379=0,0,IF(E2379="MXN",1/HLOOKUP(YEAR(C2379)+(MONTH(C2379)/100),TC!$5:$37,DAY(C2379)+2,FALSE),VLOOKUP(E2379,Equivalencia!$5:$23,((MAX(Equivalencia!$3:$3)-YEAR(C2379))*14)+MONTH(C2379)+2,FALSE)))</f>
        <v>0</v>
      </c>
      <c r="J2379" s="178">
        <f t="shared" si="221"/>
        <v>0</v>
      </c>
      <c r="K2379" s="462">
        <f>IF(C2379=0,0,VLOOKUP(YEAR(C2379),INPC!$B$4:$O$29,MONTH(C2379)+1))</f>
        <v>0</v>
      </c>
      <c r="L2379" s="462">
        <f>IF(S2379=0,0,VLOOKUP(YEAR(S2379),INPC!$B$4:$O$29,MONTH(S2379)+1))</f>
        <v>0</v>
      </c>
      <c r="M2379" s="463">
        <f t="shared" si="214"/>
        <v>0</v>
      </c>
      <c r="N2379" s="465">
        <f t="shared" si="222"/>
        <v>0</v>
      </c>
      <c r="O2379" s="179"/>
      <c r="P2379" s="180"/>
      <c r="Q2379" s="173"/>
      <c r="R2379" s="173"/>
      <c r="S2379" s="174"/>
      <c r="T2379" s="173"/>
      <c r="U2379" s="182"/>
      <c r="V2379" s="177">
        <f>IF(U2379=0,0,IF(T2379="MXN",1/HLOOKUP(YEAR(S2379)+(MONTH(S2379)/100),TC!$5:$37,DAY(S2379)+2,FALSE),VLOOKUP(T2379,Equivalencia!$1:$23,((MAX(Equivalencia!$3:$3)-YEAR(S2379))*14)+MONTH(S2379)+2,FALSE)))</f>
        <v>0</v>
      </c>
      <c r="W2379" s="178">
        <f t="shared" si="219"/>
        <v>0</v>
      </c>
      <c r="X2379" s="481">
        <f t="shared" si="215"/>
        <v>0</v>
      </c>
      <c r="Y2379" s="179"/>
      <c r="Z2379" s="466">
        <f t="shared" si="216"/>
        <v>0</v>
      </c>
      <c r="AA2379" s="473">
        <f t="shared" si="217"/>
        <v>0</v>
      </c>
      <c r="AB2379" s="339">
        <f t="shared" si="218"/>
        <v>0</v>
      </c>
    </row>
    <row r="2380" spans="2:28" ht="20.100000000000001" customHeight="1">
      <c r="B2380" s="172"/>
      <c r="C2380" s="174"/>
      <c r="D2380" s="181"/>
      <c r="E2380" s="173"/>
      <c r="F2380" s="176"/>
      <c r="G2380" s="175">
        <f t="shared" si="220"/>
        <v>0</v>
      </c>
      <c r="H2380" s="175">
        <f t="shared" si="213"/>
        <v>0</v>
      </c>
      <c r="I2380" s="177">
        <f>IF(G2380=0,0,IF(E2380="MXN",1/HLOOKUP(YEAR(C2380)+(MONTH(C2380)/100),TC!$5:$37,DAY(C2380)+2,FALSE),VLOOKUP(E2380,Equivalencia!$5:$23,((MAX(Equivalencia!$3:$3)-YEAR(C2380))*14)+MONTH(C2380)+2,FALSE)))</f>
        <v>0</v>
      </c>
      <c r="J2380" s="178">
        <f t="shared" si="221"/>
        <v>0</v>
      </c>
      <c r="K2380" s="462">
        <f>IF(C2380=0,0,VLOOKUP(YEAR(C2380),INPC!$B$4:$O$29,MONTH(C2380)+1))</f>
        <v>0</v>
      </c>
      <c r="L2380" s="462">
        <f>IF(S2380=0,0,VLOOKUP(YEAR(S2380),INPC!$B$4:$O$29,MONTH(S2380)+1))</f>
        <v>0</v>
      </c>
      <c r="M2380" s="463">
        <f t="shared" si="214"/>
        <v>0</v>
      </c>
      <c r="N2380" s="465">
        <f t="shared" si="222"/>
        <v>0</v>
      </c>
      <c r="O2380" s="179"/>
      <c r="P2380" s="180"/>
      <c r="Q2380" s="173"/>
      <c r="R2380" s="173"/>
      <c r="S2380" s="174"/>
      <c r="T2380" s="173"/>
      <c r="U2380" s="182"/>
      <c r="V2380" s="177">
        <f>IF(U2380=0,0,IF(T2380="MXN",1/HLOOKUP(YEAR(S2380)+(MONTH(S2380)/100),TC!$5:$37,DAY(S2380)+2,FALSE),VLOOKUP(T2380,Equivalencia!$1:$23,((MAX(Equivalencia!$3:$3)-YEAR(S2380))*14)+MONTH(S2380)+2,FALSE)))</f>
        <v>0</v>
      </c>
      <c r="W2380" s="178">
        <f t="shared" si="219"/>
        <v>0</v>
      </c>
      <c r="X2380" s="481">
        <f t="shared" si="215"/>
        <v>0</v>
      </c>
      <c r="Y2380" s="179"/>
      <c r="Z2380" s="466">
        <f t="shared" si="216"/>
        <v>0</v>
      </c>
      <c r="AA2380" s="473">
        <f t="shared" si="217"/>
        <v>0</v>
      </c>
      <c r="AB2380" s="339">
        <f t="shared" si="218"/>
        <v>0</v>
      </c>
    </row>
    <row r="2381" spans="2:28" ht="20.100000000000001" customHeight="1">
      <c r="B2381" s="172"/>
      <c r="C2381" s="174"/>
      <c r="D2381" s="181"/>
      <c r="E2381" s="173"/>
      <c r="F2381" s="176"/>
      <c r="G2381" s="175">
        <f t="shared" si="220"/>
        <v>0</v>
      </c>
      <c r="H2381" s="175">
        <f t="shared" si="213"/>
        <v>0</v>
      </c>
      <c r="I2381" s="177">
        <f>IF(G2381=0,0,IF(E2381="MXN",1/HLOOKUP(YEAR(C2381)+(MONTH(C2381)/100),TC!$5:$37,DAY(C2381)+2,FALSE),VLOOKUP(E2381,Equivalencia!$5:$23,((MAX(Equivalencia!$3:$3)-YEAR(C2381))*14)+MONTH(C2381)+2,FALSE)))</f>
        <v>0</v>
      </c>
      <c r="J2381" s="178">
        <f t="shared" si="221"/>
        <v>0</v>
      </c>
      <c r="K2381" s="462">
        <f>IF(C2381=0,0,VLOOKUP(YEAR(C2381),INPC!$B$4:$O$29,MONTH(C2381)+1))</f>
        <v>0</v>
      </c>
      <c r="L2381" s="462">
        <f>IF(S2381=0,0,VLOOKUP(YEAR(S2381),INPC!$B$4:$O$29,MONTH(S2381)+1))</f>
        <v>0</v>
      </c>
      <c r="M2381" s="463">
        <f t="shared" si="214"/>
        <v>0</v>
      </c>
      <c r="N2381" s="465">
        <f t="shared" si="222"/>
        <v>0</v>
      </c>
      <c r="O2381" s="179"/>
      <c r="P2381" s="180"/>
      <c r="Q2381" s="173"/>
      <c r="R2381" s="173"/>
      <c r="S2381" s="174"/>
      <c r="T2381" s="173"/>
      <c r="U2381" s="182"/>
      <c r="V2381" s="177">
        <f>IF(U2381=0,0,IF(T2381="MXN",1/HLOOKUP(YEAR(S2381)+(MONTH(S2381)/100),TC!$5:$37,DAY(S2381)+2,FALSE),VLOOKUP(T2381,Equivalencia!$1:$23,((MAX(Equivalencia!$3:$3)-YEAR(S2381))*14)+MONTH(S2381)+2,FALSE)))</f>
        <v>0</v>
      </c>
      <c r="W2381" s="178">
        <f t="shared" si="219"/>
        <v>0</v>
      </c>
      <c r="X2381" s="481">
        <f t="shared" si="215"/>
        <v>0</v>
      </c>
      <c r="Y2381" s="179"/>
      <c r="Z2381" s="466">
        <f t="shared" si="216"/>
        <v>0</v>
      </c>
      <c r="AA2381" s="473">
        <f t="shared" si="217"/>
        <v>0</v>
      </c>
      <c r="AB2381" s="339">
        <f t="shared" si="218"/>
        <v>0</v>
      </c>
    </row>
    <row r="2382" spans="2:28" ht="20.100000000000001" customHeight="1">
      <c r="B2382" s="172"/>
      <c r="C2382" s="174"/>
      <c r="D2382" s="181"/>
      <c r="E2382" s="173"/>
      <c r="F2382" s="176"/>
      <c r="G2382" s="175">
        <f t="shared" si="220"/>
        <v>0</v>
      </c>
      <c r="H2382" s="175">
        <f t="shared" si="213"/>
        <v>0</v>
      </c>
      <c r="I2382" s="177">
        <f>IF(G2382=0,0,IF(E2382="MXN",1/HLOOKUP(YEAR(C2382)+(MONTH(C2382)/100),TC!$5:$37,DAY(C2382)+2,FALSE),VLOOKUP(E2382,Equivalencia!$5:$23,((MAX(Equivalencia!$3:$3)-YEAR(C2382))*14)+MONTH(C2382)+2,FALSE)))</f>
        <v>0</v>
      </c>
      <c r="J2382" s="178">
        <f t="shared" si="221"/>
        <v>0</v>
      </c>
      <c r="K2382" s="462">
        <f>IF(C2382=0,0,VLOOKUP(YEAR(C2382),INPC!$B$4:$O$29,MONTH(C2382)+1))</f>
        <v>0</v>
      </c>
      <c r="L2382" s="462">
        <f>IF(S2382=0,0,VLOOKUP(YEAR(S2382),INPC!$B$4:$O$29,MONTH(S2382)+1))</f>
        <v>0</v>
      </c>
      <c r="M2382" s="463">
        <f t="shared" si="214"/>
        <v>0</v>
      </c>
      <c r="N2382" s="465">
        <f t="shared" si="222"/>
        <v>0</v>
      </c>
      <c r="O2382" s="179"/>
      <c r="P2382" s="180"/>
      <c r="Q2382" s="173"/>
      <c r="R2382" s="173"/>
      <c r="S2382" s="174"/>
      <c r="T2382" s="173"/>
      <c r="U2382" s="182"/>
      <c r="V2382" s="177">
        <f>IF(U2382=0,0,IF(T2382="MXN",1/HLOOKUP(YEAR(S2382)+(MONTH(S2382)/100),TC!$5:$37,DAY(S2382)+2,FALSE),VLOOKUP(T2382,Equivalencia!$1:$23,((MAX(Equivalencia!$3:$3)-YEAR(S2382))*14)+MONTH(S2382)+2,FALSE)))</f>
        <v>0</v>
      </c>
      <c r="W2382" s="178">
        <f t="shared" si="219"/>
        <v>0</v>
      </c>
      <c r="X2382" s="481">
        <f t="shared" si="215"/>
        <v>0</v>
      </c>
      <c r="Y2382" s="179"/>
      <c r="Z2382" s="466">
        <f t="shared" si="216"/>
        <v>0</v>
      </c>
      <c r="AA2382" s="473">
        <f t="shared" si="217"/>
        <v>0</v>
      </c>
      <c r="AB2382" s="339">
        <f t="shared" si="218"/>
        <v>0</v>
      </c>
    </row>
    <row r="2383" spans="2:28" ht="20.100000000000001" customHeight="1">
      <c r="B2383" s="172"/>
      <c r="C2383" s="174"/>
      <c r="D2383" s="181"/>
      <c r="E2383" s="173"/>
      <c r="F2383" s="176"/>
      <c r="G2383" s="175">
        <f t="shared" si="220"/>
        <v>0</v>
      </c>
      <c r="H2383" s="175">
        <f t="shared" si="213"/>
        <v>0</v>
      </c>
      <c r="I2383" s="177">
        <f>IF(G2383=0,0,IF(E2383="MXN",1/HLOOKUP(YEAR(C2383)+(MONTH(C2383)/100),TC!$5:$37,DAY(C2383)+2,FALSE),VLOOKUP(E2383,Equivalencia!$5:$23,((MAX(Equivalencia!$3:$3)-YEAR(C2383))*14)+MONTH(C2383)+2,FALSE)))</f>
        <v>0</v>
      </c>
      <c r="J2383" s="178">
        <f t="shared" si="221"/>
        <v>0</v>
      </c>
      <c r="K2383" s="462">
        <f>IF(C2383=0,0,VLOOKUP(YEAR(C2383),INPC!$B$4:$O$29,MONTH(C2383)+1))</f>
        <v>0</v>
      </c>
      <c r="L2383" s="462">
        <f>IF(S2383=0,0,VLOOKUP(YEAR(S2383),INPC!$B$4:$O$29,MONTH(S2383)+1))</f>
        <v>0</v>
      </c>
      <c r="M2383" s="463">
        <f t="shared" si="214"/>
        <v>0</v>
      </c>
      <c r="N2383" s="465">
        <f t="shared" si="222"/>
        <v>0</v>
      </c>
      <c r="O2383" s="179"/>
      <c r="P2383" s="180"/>
      <c r="Q2383" s="173"/>
      <c r="R2383" s="173"/>
      <c r="S2383" s="174"/>
      <c r="T2383" s="173"/>
      <c r="U2383" s="182"/>
      <c r="V2383" s="177">
        <f>IF(U2383=0,0,IF(T2383="MXN",1/HLOOKUP(YEAR(S2383)+(MONTH(S2383)/100),TC!$5:$37,DAY(S2383)+2,FALSE),VLOOKUP(T2383,Equivalencia!$1:$23,((MAX(Equivalencia!$3:$3)-YEAR(S2383))*14)+MONTH(S2383)+2,FALSE)))</f>
        <v>0</v>
      </c>
      <c r="W2383" s="178">
        <f t="shared" si="219"/>
        <v>0</v>
      </c>
      <c r="X2383" s="481">
        <f t="shared" si="215"/>
        <v>0</v>
      </c>
      <c r="Y2383" s="179"/>
      <c r="Z2383" s="466">
        <f t="shared" si="216"/>
        <v>0</v>
      </c>
      <c r="AA2383" s="473">
        <f t="shared" si="217"/>
        <v>0</v>
      </c>
      <c r="AB2383" s="339">
        <f t="shared" si="218"/>
        <v>0</v>
      </c>
    </row>
    <row r="2384" spans="2:28" ht="20.100000000000001" customHeight="1">
      <c r="B2384" s="172"/>
      <c r="C2384" s="174"/>
      <c r="D2384" s="181"/>
      <c r="E2384" s="173"/>
      <c r="F2384" s="176"/>
      <c r="G2384" s="175">
        <f t="shared" si="220"/>
        <v>0</v>
      </c>
      <c r="H2384" s="175">
        <f t="shared" si="213"/>
        <v>0</v>
      </c>
      <c r="I2384" s="177">
        <f>IF(G2384=0,0,IF(E2384="MXN",1/HLOOKUP(YEAR(C2384)+(MONTH(C2384)/100),TC!$5:$37,DAY(C2384)+2,FALSE),VLOOKUP(E2384,Equivalencia!$5:$23,((MAX(Equivalencia!$3:$3)-YEAR(C2384))*14)+MONTH(C2384)+2,FALSE)))</f>
        <v>0</v>
      </c>
      <c r="J2384" s="178">
        <f t="shared" si="221"/>
        <v>0</v>
      </c>
      <c r="K2384" s="462">
        <f>IF(C2384=0,0,VLOOKUP(YEAR(C2384),INPC!$B$4:$O$29,MONTH(C2384)+1))</f>
        <v>0</v>
      </c>
      <c r="L2384" s="462">
        <f>IF(S2384=0,0,VLOOKUP(YEAR(S2384),INPC!$B$4:$O$29,MONTH(S2384)+1))</f>
        <v>0</v>
      </c>
      <c r="M2384" s="463">
        <f t="shared" si="214"/>
        <v>0</v>
      </c>
      <c r="N2384" s="465">
        <f t="shared" si="222"/>
        <v>0</v>
      </c>
      <c r="O2384" s="179"/>
      <c r="P2384" s="180"/>
      <c r="Q2384" s="173"/>
      <c r="R2384" s="173"/>
      <c r="S2384" s="174"/>
      <c r="T2384" s="173"/>
      <c r="U2384" s="182"/>
      <c r="V2384" s="177">
        <f>IF(U2384=0,0,IF(T2384="MXN",1/HLOOKUP(YEAR(S2384)+(MONTH(S2384)/100),TC!$5:$37,DAY(S2384)+2,FALSE),VLOOKUP(T2384,Equivalencia!$1:$23,((MAX(Equivalencia!$3:$3)-YEAR(S2384))*14)+MONTH(S2384)+2,FALSE)))</f>
        <v>0</v>
      </c>
      <c r="W2384" s="178">
        <f t="shared" si="219"/>
        <v>0</v>
      </c>
      <c r="X2384" s="481">
        <f t="shared" si="215"/>
        <v>0</v>
      </c>
      <c r="Y2384" s="179"/>
      <c r="Z2384" s="466">
        <f t="shared" si="216"/>
        <v>0</v>
      </c>
      <c r="AA2384" s="473">
        <f t="shared" si="217"/>
        <v>0</v>
      </c>
      <c r="AB2384" s="339">
        <f t="shared" si="218"/>
        <v>0</v>
      </c>
    </row>
    <row r="2385" spans="2:28" ht="20.100000000000001" customHeight="1">
      <c r="B2385" s="172"/>
      <c r="C2385" s="174"/>
      <c r="D2385" s="181"/>
      <c r="E2385" s="173"/>
      <c r="F2385" s="176"/>
      <c r="G2385" s="175">
        <f t="shared" si="220"/>
        <v>0</v>
      </c>
      <c r="H2385" s="175">
        <f t="shared" si="213"/>
        <v>0</v>
      </c>
      <c r="I2385" s="177">
        <f>IF(G2385=0,0,IF(E2385="MXN",1/HLOOKUP(YEAR(C2385)+(MONTH(C2385)/100),TC!$5:$37,DAY(C2385)+2,FALSE),VLOOKUP(E2385,Equivalencia!$5:$23,((MAX(Equivalencia!$3:$3)-YEAR(C2385))*14)+MONTH(C2385)+2,FALSE)))</f>
        <v>0</v>
      </c>
      <c r="J2385" s="178">
        <f t="shared" si="221"/>
        <v>0</v>
      </c>
      <c r="K2385" s="462">
        <f>IF(C2385=0,0,VLOOKUP(YEAR(C2385),INPC!$B$4:$O$29,MONTH(C2385)+1))</f>
        <v>0</v>
      </c>
      <c r="L2385" s="462">
        <f>IF(S2385=0,0,VLOOKUP(YEAR(S2385),INPC!$B$4:$O$29,MONTH(S2385)+1))</f>
        <v>0</v>
      </c>
      <c r="M2385" s="463">
        <f t="shared" si="214"/>
        <v>0</v>
      </c>
      <c r="N2385" s="465">
        <f t="shared" si="222"/>
        <v>0</v>
      </c>
      <c r="O2385" s="179"/>
      <c r="P2385" s="180"/>
      <c r="Q2385" s="173"/>
      <c r="R2385" s="173"/>
      <c r="S2385" s="174"/>
      <c r="T2385" s="173"/>
      <c r="U2385" s="182"/>
      <c r="V2385" s="177">
        <f>IF(U2385=0,0,IF(T2385="MXN",1/HLOOKUP(YEAR(S2385)+(MONTH(S2385)/100),TC!$5:$37,DAY(S2385)+2,FALSE),VLOOKUP(T2385,Equivalencia!$1:$23,((MAX(Equivalencia!$3:$3)-YEAR(S2385))*14)+MONTH(S2385)+2,FALSE)))</f>
        <v>0</v>
      </c>
      <c r="W2385" s="178">
        <f t="shared" si="219"/>
        <v>0</v>
      </c>
      <c r="X2385" s="481">
        <f t="shared" si="215"/>
        <v>0</v>
      </c>
      <c r="Y2385" s="179"/>
      <c r="Z2385" s="466">
        <f t="shared" si="216"/>
        <v>0</v>
      </c>
      <c r="AA2385" s="473">
        <f t="shared" si="217"/>
        <v>0</v>
      </c>
      <c r="AB2385" s="339">
        <f t="shared" si="218"/>
        <v>0</v>
      </c>
    </row>
    <row r="2386" spans="2:28" ht="20.100000000000001" customHeight="1">
      <c r="B2386" s="172"/>
      <c r="C2386" s="174"/>
      <c r="D2386" s="181"/>
      <c r="E2386" s="173"/>
      <c r="F2386" s="176"/>
      <c r="G2386" s="175">
        <f t="shared" si="220"/>
        <v>0</v>
      </c>
      <c r="H2386" s="175">
        <f t="shared" si="213"/>
        <v>0</v>
      </c>
      <c r="I2386" s="177">
        <f>IF(G2386=0,0,IF(E2386="MXN",1/HLOOKUP(YEAR(C2386)+(MONTH(C2386)/100),TC!$5:$37,DAY(C2386)+2,FALSE),VLOOKUP(E2386,Equivalencia!$5:$23,((MAX(Equivalencia!$3:$3)-YEAR(C2386))*14)+MONTH(C2386)+2,FALSE)))</f>
        <v>0</v>
      </c>
      <c r="J2386" s="178">
        <f t="shared" si="221"/>
        <v>0</v>
      </c>
      <c r="K2386" s="462">
        <f>IF(C2386=0,0,VLOOKUP(YEAR(C2386),INPC!$B$4:$O$29,MONTH(C2386)+1))</f>
        <v>0</v>
      </c>
      <c r="L2386" s="462">
        <f>IF(S2386=0,0,VLOOKUP(YEAR(S2386),INPC!$B$4:$O$29,MONTH(S2386)+1))</f>
        <v>0</v>
      </c>
      <c r="M2386" s="463">
        <f t="shared" si="214"/>
        <v>0</v>
      </c>
      <c r="N2386" s="465">
        <f t="shared" si="222"/>
        <v>0</v>
      </c>
      <c r="O2386" s="179"/>
      <c r="P2386" s="180"/>
      <c r="Q2386" s="173"/>
      <c r="R2386" s="173"/>
      <c r="S2386" s="174"/>
      <c r="T2386" s="173"/>
      <c r="U2386" s="182"/>
      <c r="V2386" s="177">
        <f>IF(U2386=0,0,IF(T2386="MXN",1/HLOOKUP(YEAR(S2386)+(MONTH(S2386)/100),TC!$5:$37,DAY(S2386)+2,FALSE),VLOOKUP(T2386,Equivalencia!$1:$23,((MAX(Equivalencia!$3:$3)-YEAR(S2386))*14)+MONTH(S2386)+2,FALSE)))</f>
        <v>0</v>
      </c>
      <c r="W2386" s="178">
        <f t="shared" si="219"/>
        <v>0</v>
      </c>
      <c r="X2386" s="481">
        <f t="shared" si="215"/>
        <v>0</v>
      </c>
      <c r="Y2386" s="179"/>
      <c r="Z2386" s="466">
        <f t="shared" si="216"/>
        <v>0</v>
      </c>
      <c r="AA2386" s="473">
        <f t="shared" si="217"/>
        <v>0</v>
      </c>
      <c r="AB2386" s="339">
        <f t="shared" si="218"/>
        <v>0</v>
      </c>
    </row>
    <row r="2387" spans="2:28" ht="20.100000000000001" customHeight="1">
      <c r="B2387" s="172"/>
      <c r="C2387" s="174"/>
      <c r="D2387" s="181"/>
      <c r="E2387" s="173"/>
      <c r="F2387" s="176"/>
      <c r="G2387" s="175">
        <f t="shared" si="220"/>
        <v>0</v>
      </c>
      <c r="H2387" s="175">
        <f t="shared" si="213"/>
        <v>0</v>
      </c>
      <c r="I2387" s="177">
        <f>IF(G2387=0,0,IF(E2387="MXN",1/HLOOKUP(YEAR(C2387)+(MONTH(C2387)/100),TC!$5:$37,DAY(C2387)+2,FALSE),VLOOKUP(E2387,Equivalencia!$5:$23,((MAX(Equivalencia!$3:$3)-YEAR(C2387))*14)+MONTH(C2387)+2,FALSE)))</f>
        <v>0</v>
      </c>
      <c r="J2387" s="178">
        <f t="shared" si="221"/>
        <v>0</v>
      </c>
      <c r="K2387" s="462">
        <f>IF(C2387=0,0,VLOOKUP(YEAR(C2387),INPC!$B$4:$O$29,MONTH(C2387)+1))</f>
        <v>0</v>
      </c>
      <c r="L2387" s="462">
        <f>IF(S2387=0,0,VLOOKUP(YEAR(S2387),INPC!$B$4:$O$29,MONTH(S2387)+1))</f>
        <v>0</v>
      </c>
      <c r="M2387" s="463">
        <f t="shared" si="214"/>
        <v>0</v>
      </c>
      <c r="N2387" s="465">
        <f t="shared" si="222"/>
        <v>0</v>
      </c>
      <c r="O2387" s="179"/>
      <c r="P2387" s="180"/>
      <c r="Q2387" s="173"/>
      <c r="R2387" s="173"/>
      <c r="S2387" s="174"/>
      <c r="T2387" s="173"/>
      <c r="U2387" s="182"/>
      <c r="V2387" s="177">
        <f>IF(U2387=0,0,IF(T2387="MXN",1/HLOOKUP(YEAR(S2387)+(MONTH(S2387)/100),TC!$5:$37,DAY(S2387)+2,FALSE),VLOOKUP(T2387,Equivalencia!$1:$23,((MAX(Equivalencia!$3:$3)-YEAR(S2387))*14)+MONTH(S2387)+2,FALSE)))</f>
        <v>0</v>
      </c>
      <c r="W2387" s="178">
        <f t="shared" si="219"/>
        <v>0</v>
      </c>
      <c r="X2387" s="481">
        <f t="shared" si="215"/>
        <v>0</v>
      </c>
      <c r="Y2387" s="179"/>
      <c r="Z2387" s="466">
        <f t="shared" si="216"/>
        <v>0</v>
      </c>
      <c r="AA2387" s="473">
        <f t="shared" si="217"/>
        <v>0</v>
      </c>
      <c r="AB2387" s="339">
        <f t="shared" si="218"/>
        <v>0</v>
      </c>
    </row>
    <row r="2388" spans="2:28" ht="20.100000000000001" customHeight="1">
      <c r="B2388" s="172"/>
      <c r="C2388" s="174"/>
      <c r="D2388" s="181"/>
      <c r="E2388" s="173"/>
      <c r="F2388" s="176"/>
      <c r="G2388" s="175">
        <f t="shared" si="220"/>
        <v>0</v>
      </c>
      <c r="H2388" s="175">
        <f t="shared" si="213"/>
        <v>0</v>
      </c>
      <c r="I2388" s="177">
        <f>IF(G2388=0,0,IF(E2388="MXN",1/HLOOKUP(YEAR(C2388)+(MONTH(C2388)/100),TC!$5:$37,DAY(C2388)+2,FALSE),VLOOKUP(E2388,Equivalencia!$5:$23,((MAX(Equivalencia!$3:$3)-YEAR(C2388))*14)+MONTH(C2388)+2,FALSE)))</f>
        <v>0</v>
      </c>
      <c r="J2388" s="178">
        <f t="shared" si="221"/>
        <v>0</v>
      </c>
      <c r="K2388" s="462">
        <f>IF(C2388=0,0,VLOOKUP(YEAR(C2388),INPC!$B$4:$O$29,MONTH(C2388)+1))</f>
        <v>0</v>
      </c>
      <c r="L2388" s="462">
        <f>IF(S2388=0,0,VLOOKUP(YEAR(S2388),INPC!$B$4:$O$29,MONTH(S2388)+1))</f>
        <v>0</v>
      </c>
      <c r="M2388" s="463">
        <f t="shared" si="214"/>
        <v>0</v>
      </c>
      <c r="N2388" s="465">
        <f t="shared" si="222"/>
        <v>0</v>
      </c>
      <c r="O2388" s="179"/>
      <c r="P2388" s="180"/>
      <c r="Q2388" s="173"/>
      <c r="R2388" s="173"/>
      <c r="S2388" s="174"/>
      <c r="T2388" s="173"/>
      <c r="U2388" s="182"/>
      <c r="V2388" s="177">
        <f>IF(U2388=0,0,IF(T2388="MXN",1/HLOOKUP(YEAR(S2388)+(MONTH(S2388)/100),TC!$5:$37,DAY(S2388)+2,FALSE),VLOOKUP(T2388,Equivalencia!$1:$23,((MAX(Equivalencia!$3:$3)-YEAR(S2388))*14)+MONTH(S2388)+2,FALSE)))</f>
        <v>0</v>
      </c>
      <c r="W2388" s="178">
        <f t="shared" si="219"/>
        <v>0</v>
      </c>
      <c r="X2388" s="481">
        <f t="shared" si="215"/>
        <v>0</v>
      </c>
      <c r="Y2388" s="179"/>
      <c r="Z2388" s="466">
        <f t="shared" si="216"/>
        <v>0</v>
      </c>
      <c r="AA2388" s="473">
        <f t="shared" si="217"/>
        <v>0</v>
      </c>
      <c r="AB2388" s="339">
        <f t="shared" si="218"/>
        <v>0</v>
      </c>
    </row>
    <row r="2389" spans="2:28" ht="20.100000000000001" customHeight="1">
      <c r="B2389" s="172"/>
      <c r="C2389" s="174"/>
      <c r="D2389" s="181"/>
      <c r="E2389" s="173"/>
      <c r="F2389" s="176"/>
      <c r="G2389" s="175">
        <f t="shared" si="220"/>
        <v>0</v>
      </c>
      <c r="H2389" s="175">
        <f t="shared" si="213"/>
        <v>0</v>
      </c>
      <c r="I2389" s="177">
        <f>IF(G2389=0,0,IF(E2389="MXN",1/HLOOKUP(YEAR(C2389)+(MONTH(C2389)/100),TC!$5:$37,DAY(C2389)+2,FALSE),VLOOKUP(E2389,Equivalencia!$5:$23,((MAX(Equivalencia!$3:$3)-YEAR(C2389))*14)+MONTH(C2389)+2,FALSE)))</f>
        <v>0</v>
      </c>
      <c r="J2389" s="178">
        <f t="shared" si="221"/>
        <v>0</v>
      </c>
      <c r="K2389" s="462">
        <f>IF(C2389=0,0,VLOOKUP(YEAR(C2389),INPC!$B$4:$O$29,MONTH(C2389)+1))</f>
        <v>0</v>
      </c>
      <c r="L2389" s="462">
        <f>IF(S2389=0,0,VLOOKUP(YEAR(S2389),INPC!$B$4:$O$29,MONTH(S2389)+1))</f>
        <v>0</v>
      </c>
      <c r="M2389" s="463">
        <f t="shared" si="214"/>
        <v>0</v>
      </c>
      <c r="N2389" s="465">
        <f t="shared" si="222"/>
        <v>0</v>
      </c>
      <c r="O2389" s="179"/>
      <c r="P2389" s="180"/>
      <c r="Q2389" s="173"/>
      <c r="R2389" s="173"/>
      <c r="S2389" s="174"/>
      <c r="T2389" s="173"/>
      <c r="U2389" s="182"/>
      <c r="V2389" s="177">
        <f>IF(U2389=0,0,IF(T2389="MXN",1/HLOOKUP(YEAR(S2389)+(MONTH(S2389)/100),TC!$5:$37,DAY(S2389)+2,FALSE),VLOOKUP(T2389,Equivalencia!$1:$23,((MAX(Equivalencia!$3:$3)-YEAR(S2389))*14)+MONTH(S2389)+2,FALSE)))</f>
        <v>0</v>
      </c>
      <c r="W2389" s="178">
        <f t="shared" si="219"/>
        <v>0</v>
      </c>
      <c r="X2389" s="481">
        <f t="shared" si="215"/>
        <v>0</v>
      </c>
      <c r="Y2389" s="179"/>
      <c r="Z2389" s="466">
        <f t="shared" si="216"/>
        <v>0</v>
      </c>
      <c r="AA2389" s="473">
        <f t="shared" si="217"/>
        <v>0</v>
      </c>
      <c r="AB2389" s="339">
        <f t="shared" si="218"/>
        <v>0</v>
      </c>
    </row>
    <row r="2390" spans="2:28" ht="20.100000000000001" customHeight="1">
      <c r="B2390" s="172"/>
      <c r="C2390" s="174"/>
      <c r="D2390" s="181"/>
      <c r="E2390" s="173"/>
      <c r="F2390" s="176"/>
      <c r="G2390" s="175">
        <f t="shared" si="220"/>
        <v>0</v>
      </c>
      <c r="H2390" s="175">
        <f t="shared" si="213"/>
        <v>0</v>
      </c>
      <c r="I2390" s="177">
        <f>IF(G2390=0,0,IF(E2390="MXN",1/HLOOKUP(YEAR(C2390)+(MONTH(C2390)/100),TC!$5:$37,DAY(C2390)+2,FALSE),VLOOKUP(E2390,Equivalencia!$5:$23,((MAX(Equivalencia!$3:$3)-YEAR(C2390))*14)+MONTH(C2390)+2,FALSE)))</f>
        <v>0</v>
      </c>
      <c r="J2390" s="178">
        <f t="shared" si="221"/>
        <v>0</v>
      </c>
      <c r="K2390" s="462">
        <f>IF(C2390=0,0,VLOOKUP(YEAR(C2390),INPC!$B$4:$O$29,MONTH(C2390)+1))</f>
        <v>0</v>
      </c>
      <c r="L2390" s="462">
        <f>IF(S2390=0,0,VLOOKUP(YEAR(S2390),INPC!$B$4:$O$29,MONTH(S2390)+1))</f>
        <v>0</v>
      </c>
      <c r="M2390" s="463">
        <f t="shared" si="214"/>
        <v>0</v>
      </c>
      <c r="N2390" s="465">
        <f t="shared" si="222"/>
        <v>0</v>
      </c>
      <c r="O2390" s="179"/>
      <c r="P2390" s="180"/>
      <c r="Q2390" s="173"/>
      <c r="R2390" s="173"/>
      <c r="S2390" s="174"/>
      <c r="T2390" s="173"/>
      <c r="U2390" s="182"/>
      <c r="V2390" s="177">
        <f>IF(U2390=0,0,IF(T2390="MXN",1/HLOOKUP(YEAR(S2390)+(MONTH(S2390)/100),TC!$5:$37,DAY(S2390)+2,FALSE),VLOOKUP(T2390,Equivalencia!$1:$23,((MAX(Equivalencia!$3:$3)-YEAR(S2390))*14)+MONTH(S2390)+2,FALSE)))</f>
        <v>0</v>
      </c>
      <c r="W2390" s="178">
        <f t="shared" si="219"/>
        <v>0</v>
      </c>
      <c r="X2390" s="481">
        <f t="shared" si="215"/>
        <v>0</v>
      </c>
      <c r="Y2390" s="179"/>
      <c r="Z2390" s="466">
        <f t="shared" si="216"/>
        <v>0</v>
      </c>
      <c r="AA2390" s="473">
        <f t="shared" si="217"/>
        <v>0</v>
      </c>
      <c r="AB2390" s="339">
        <f t="shared" si="218"/>
        <v>0</v>
      </c>
    </row>
    <row r="2391" spans="2:28" ht="20.100000000000001" customHeight="1">
      <c r="B2391" s="172"/>
      <c r="C2391" s="174"/>
      <c r="D2391" s="181"/>
      <c r="E2391" s="173"/>
      <c r="F2391" s="176"/>
      <c r="G2391" s="175">
        <f t="shared" si="220"/>
        <v>0</v>
      </c>
      <c r="H2391" s="175">
        <f t="shared" si="213"/>
        <v>0</v>
      </c>
      <c r="I2391" s="177">
        <f>IF(G2391=0,0,IF(E2391="MXN",1/HLOOKUP(YEAR(C2391)+(MONTH(C2391)/100),TC!$5:$37,DAY(C2391)+2,FALSE),VLOOKUP(E2391,Equivalencia!$5:$23,((MAX(Equivalencia!$3:$3)-YEAR(C2391))*14)+MONTH(C2391)+2,FALSE)))</f>
        <v>0</v>
      </c>
      <c r="J2391" s="178">
        <f t="shared" si="221"/>
        <v>0</v>
      </c>
      <c r="K2391" s="462">
        <f>IF(C2391=0,0,VLOOKUP(YEAR(C2391),INPC!$B$4:$O$29,MONTH(C2391)+1))</f>
        <v>0</v>
      </c>
      <c r="L2391" s="462">
        <f>IF(S2391=0,0,VLOOKUP(YEAR(S2391),INPC!$B$4:$O$29,MONTH(S2391)+1))</f>
        <v>0</v>
      </c>
      <c r="M2391" s="463">
        <f t="shared" si="214"/>
        <v>0</v>
      </c>
      <c r="N2391" s="465">
        <f t="shared" si="222"/>
        <v>0</v>
      </c>
      <c r="O2391" s="179"/>
      <c r="P2391" s="180"/>
      <c r="Q2391" s="173"/>
      <c r="R2391" s="173"/>
      <c r="S2391" s="174"/>
      <c r="T2391" s="173"/>
      <c r="U2391" s="182"/>
      <c r="V2391" s="177">
        <f>IF(U2391=0,0,IF(T2391="MXN",1/HLOOKUP(YEAR(S2391)+(MONTH(S2391)/100),TC!$5:$37,DAY(S2391)+2,FALSE),VLOOKUP(T2391,Equivalencia!$1:$23,((MAX(Equivalencia!$3:$3)-YEAR(S2391))*14)+MONTH(S2391)+2,FALSE)))</f>
        <v>0</v>
      </c>
      <c r="W2391" s="178">
        <f t="shared" si="219"/>
        <v>0</v>
      </c>
      <c r="X2391" s="481">
        <f t="shared" si="215"/>
        <v>0</v>
      </c>
      <c r="Y2391" s="179"/>
      <c r="Z2391" s="466">
        <f t="shared" si="216"/>
        <v>0</v>
      </c>
      <c r="AA2391" s="473">
        <f t="shared" si="217"/>
        <v>0</v>
      </c>
      <c r="AB2391" s="339">
        <f t="shared" si="218"/>
        <v>0</v>
      </c>
    </row>
    <row r="2392" spans="2:28" ht="20.100000000000001" customHeight="1">
      <c r="B2392" s="172"/>
      <c r="C2392" s="174"/>
      <c r="D2392" s="181"/>
      <c r="E2392" s="173"/>
      <c r="F2392" s="176"/>
      <c r="G2392" s="175">
        <f t="shared" si="220"/>
        <v>0</v>
      </c>
      <c r="H2392" s="175">
        <f t="shared" si="213"/>
        <v>0</v>
      </c>
      <c r="I2392" s="177">
        <f>IF(G2392=0,0,IF(E2392="MXN",1/HLOOKUP(YEAR(C2392)+(MONTH(C2392)/100),TC!$5:$37,DAY(C2392)+2,FALSE),VLOOKUP(E2392,Equivalencia!$5:$23,((MAX(Equivalencia!$3:$3)-YEAR(C2392))*14)+MONTH(C2392)+2,FALSE)))</f>
        <v>0</v>
      </c>
      <c r="J2392" s="178">
        <f t="shared" si="221"/>
        <v>0</v>
      </c>
      <c r="K2392" s="462">
        <f>IF(C2392=0,0,VLOOKUP(YEAR(C2392),INPC!$B$4:$O$29,MONTH(C2392)+1))</f>
        <v>0</v>
      </c>
      <c r="L2392" s="462">
        <f>IF(S2392=0,0,VLOOKUP(YEAR(S2392),INPC!$B$4:$O$29,MONTH(S2392)+1))</f>
        <v>0</v>
      </c>
      <c r="M2392" s="463">
        <f t="shared" si="214"/>
        <v>0</v>
      </c>
      <c r="N2392" s="465">
        <f t="shared" si="222"/>
        <v>0</v>
      </c>
      <c r="O2392" s="179"/>
      <c r="P2392" s="180"/>
      <c r="Q2392" s="173"/>
      <c r="R2392" s="173"/>
      <c r="S2392" s="174"/>
      <c r="T2392" s="173"/>
      <c r="U2392" s="182"/>
      <c r="V2392" s="177">
        <f>IF(U2392=0,0,IF(T2392="MXN",1/HLOOKUP(YEAR(S2392)+(MONTH(S2392)/100),TC!$5:$37,DAY(S2392)+2,FALSE),VLOOKUP(T2392,Equivalencia!$1:$23,((MAX(Equivalencia!$3:$3)-YEAR(S2392))*14)+MONTH(S2392)+2,FALSE)))</f>
        <v>0</v>
      </c>
      <c r="W2392" s="178">
        <f t="shared" si="219"/>
        <v>0</v>
      </c>
      <c r="X2392" s="481">
        <f t="shared" si="215"/>
        <v>0</v>
      </c>
      <c r="Y2392" s="179"/>
      <c r="Z2392" s="466">
        <f t="shared" si="216"/>
        <v>0</v>
      </c>
      <c r="AA2392" s="473">
        <f t="shared" si="217"/>
        <v>0</v>
      </c>
      <c r="AB2392" s="339">
        <f t="shared" si="218"/>
        <v>0</v>
      </c>
    </row>
    <row r="2393" spans="2:28" ht="20.100000000000001" customHeight="1">
      <c r="B2393" s="172"/>
      <c r="C2393" s="174"/>
      <c r="D2393" s="181"/>
      <c r="E2393" s="173"/>
      <c r="F2393" s="176"/>
      <c r="G2393" s="175">
        <f t="shared" si="220"/>
        <v>0</v>
      </c>
      <c r="H2393" s="175">
        <f t="shared" si="213"/>
        <v>0</v>
      </c>
      <c r="I2393" s="177">
        <f>IF(G2393=0,0,IF(E2393="MXN",1/HLOOKUP(YEAR(C2393)+(MONTH(C2393)/100),TC!$5:$37,DAY(C2393)+2,FALSE),VLOOKUP(E2393,Equivalencia!$5:$23,((MAX(Equivalencia!$3:$3)-YEAR(C2393))*14)+MONTH(C2393)+2,FALSE)))</f>
        <v>0</v>
      </c>
      <c r="J2393" s="178">
        <f t="shared" si="221"/>
        <v>0</v>
      </c>
      <c r="K2393" s="462">
        <f>IF(C2393=0,0,VLOOKUP(YEAR(C2393),INPC!$B$4:$O$29,MONTH(C2393)+1))</f>
        <v>0</v>
      </c>
      <c r="L2393" s="462">
        <f>IF(S2393=0,0,VLOOKUP(YEAR(S2393),INPC!$B$4:$O$29,MONTH(S2393)+1))</f>
        <v>0</v>
      </c>
      <c r="M2393" s="463">
        <f t="shared" si="214"/>
        <v>0</v>
      </c>
      <c r="N2393" s="465">
        <f t="shared" si="222"/>
        <v>0</v>
      </c>
      <c r="O2393" s="179"/>
      <c r="P2393" s="180"/>
      <c r="Q2393" s="173"/>
      <c r="R2393" s="173"/>
      <c r="S2393" s="174"/>
      <c r="T2393" s="173"/>
      <c r="U2393" s="182"/>
      <c r="V2393" s="177">
        <f>IF(U2393=0,0,IF(T2393="MXN",1/HLOOKUP(YEAR(S2393)+(MONTH(S2393)/100),TC!$5:$37,DAY(S2393)+2,FALSE),VLOOKUP(T2393,Equivalencia!$1:$23,((MAX(Equivalencia!$3:$3)-YEAR(S2393))*14)+MONTH(S2393)+2,FALSE)))</f>
        <v>0</v>
      </c>
      <c r="W2393" s="178">
        <f t="shared" si="219"/>
        <v>0</v>
      </c>
      <c r="X2393" s="481">
        <f t="shared" si="215"/>
        <v>0</v>
      </c>
      <c r="Y2393" s="179"/>
      <c r="Z2393" s="466">
        <f t="shared" si="216"/>
        <v>0</v>
      </c>
      <c r="AA2393" s="473">
        <f t="shared" si="217"/>
        <v>0</v>
      </c>
      <c r="AB2393" s="339">
        <f t="shared" si="218"/>
        <v>0</v>
      </c>
    </row>
    <row r="2394" spans="2:28" ht="20.100000000000001" customHeight="1">
      <c r="B2394" s="172"/>
      <c r="C2394" s="174"/>
      <c r="D2394" s="181"/>
      <c r="E2394" s="173"/>
      <c r="F2394" s="176"/>
      <c r="G2394" s="175">
        <f t="shared" si="220"/>
        <v>0</v>
      </c>
      <c r="H2394" s="175">
        <f t="shared" si="213"/>
        <v>0</v>
      </c>
      <c r="I2394" s="177">
        <f>IF(G2394=0,0,IF(E2394="MXN",1/HLOOKUP(YEAR(C2394)+(MONTH(C2394)/100),TC!$5:$37,DAY(C2394)+2,FALSE),VLOOKUP(E2394,Equivalencia!$5:$23,((MAX(Equivalencia!$3:$3)-YEAR(C2394))*14)+MONTH(C2394)+2,FALSE)))</f>
        <v>0</v>
      </c>
      <c r="J2394" s="178">
        <f t="shared" si="221"/>
        <v>0</v>
      </c>
      <c r="K2394" s="462">
        <f>IF(C2394=0,0,VLOOKUP(YEAR(C2394),INPC!$B$4:$O$29,MONTH(C2394)+1))</f>
        <v>0</v>
      </c>
      <c r="L2394" s="462">
        <f>IF(S2394=0,0,VLOOKUP(YEAR(S2394),INPC!$B$4:$O$29,MONTH(S2394)+1))</f>
        <v>0</v>
      </c>
      <c r="M2394" s="463">
        <f t="shared" si="214"/>
        <v>0</v>
      </c>
      <c r="N2394" s="465">
        <f t="shared" si="222"/>
        <v>0</v>
      </c>
      <c r="O2394" s="179"/>
      <c r="P2394" s="180"/>
      <c r="Q2394" s="173"/>
      <c r="R2394" s="173"/>
      <c r="S2394" s="174"/>
      <c r="T2394" s="173"/>
      <c r="U2394" s="182"/>
      <c r="V2394" s="177">
        <f>IF(U2394=0,0,IF(T2394="MXN",1/HLOOKUP(YEAR(S2394)+(MONTH(S2394)/100),TC!$5:$37,DAY(S2394)+2,FALSE),VLOOKUP(T2394,Equivalencia!$1:$23,((MAX(Equivalencia!$3:$3)-YEAR(S2394))*14)+MONTH(S2394)+2,FALSE)))</f>
        <v>0</v>
      </c>
      <c r="W2394" s="178">
        <f t="shared" si="219"/>
        <v>0</v>
      </c>
      <c r="X2394" s="481">
        <f t="shared" si="215"/>
        <v>0</v>
      </c>
      <c r="Y2394" s="179"/>
      <c r="Z2394" s="466">
        <f t="shared" si="216"/>
        <v>0</v>
      </c>
      <c r="AA2394" s="473">
        <f t="shared" si="217"/>
        <v>0</v>
      </c>
      <c r="AB2394" s="339">
        <f t="shared" si="218"/>
        <v>0</v>
      </c>
    </row>
    <row r="2395" spans="2:28" ht="20.100000000000001" customHeight="1">
      <c r="B2395" s="172"/>
      <c r="C2395" s="174"/>
      <c r="D2395" s="181"/>
      <c r="E2395" s="173"/>
      <c r="F2395" s="176"/>
      <c r="G2395" s="175">
        <f t="shared" si="220"/>
        <v>0</v>
      </c>
      <c r="H2395" s="175">
        <f t="shared" si="213"/>
        <v>0</v>
      </c>
      <c r="I2395" s="177">
        <f>IF(G2395=0,0,IF(E2395="MXN",1/HLOOKUP(YEAR(C2395)+(MONTH(C2395)/100),TC!$5:$37,DAY(C2395)+2,FALSE),VLOOKUP(E2395,Equivalencia!$5:$23,((MAX(Equivalencia!$3:$3)-YEAR(C2395))*14)+MONTH(C2395)+2,FALSE)))</f>
        <v>0</v>
      </c>
      <c r="J2395" s="178">
        <f t="shared" si="221"/>
        <v>0</v>
      </c>
      <c r="K2395" s="462">
        <f>IF(C2395=0,0,VLOOKUP(YEAR(C2395),INPC!$B$4:$O$29,MONTH(C2395)+1))</f>
        <v>0</v>
      </c>
      <c r="L2395" s="462">
        <f>IF(S2395=0,0,VLOOKUP(YEAR(S2395),INPC!$B$4:$O$29,MONTH(S2395)+1))</f>
        <v>0</v>
      </c>
      <c r="M2395" s="463">
        <f t="shared" si="214"/>
        <v>0</v>
      </c>
      <c r="N2395" s="465">
        <f t="shared" si="222"/>
        <v>0</v>
      </c>
      <c r="O2395" s="179"/>
      <c r="P2395" s="180"/>
      <c r="Q2395" s="173"/>
      <c r="R2395" s="173"/>
      <c r="S2395" s="174"/>
      <c r="T2395" s="173"/>
      <c r="U2395" s="182"/>
      <c r="V2395" s="177">
        <f>IF(U2395=0,0,IF(T2395="MXN",1/HLOOKUP(YEAR(S2395)+(MONTH(S2395)/100),TC!$5:$37,DAY(S2395)+2,FALSE),VLOOKUP(T2395,Equivalencia!$1:$23,((MAX(Equivalencia!$3:$3)-YEAR(S2395))*14)+MONTH(S2395)+2,FALSE)))</f>
        <v>0</v>
      </c>
      <c r="W2395" s="178">
        <f t="shared" si="219"/>
        <v>0</v>
      </c>
      <c r="X2395" s="481">
        <f t="shared" si="215"/>
        <v>0</v>
      </c>
      <c r="Y2395" s="179"/>
      <c r="Z2395" s="466">
        <f t="shared" si="216"/>
        <v>0</v>
      </c>
      <c r="AA2395" s="473">
        <f t="shared" si="217"/>
        <v>0</v>
      </c>
      <c r="AB2395" s="339">
        <f t="shared" si="218"/>
        <v>0</v>
      </c>
    </row>
    <row r="2396" spans="2:28" ht="20.100000000000001" customHeight="1">
      <c r="B2396" s="172"/>
      <c r="C2396" s="174"/>
      <c r="D2396" s="181"/>
      <c r="E2396" s="173"/>
      <c r="F2396" s="176"/>
      <c r="G2396" s="175">
        <f t="shared" si="220"/>
        <v>0</v>
      </c>
      <c r="H2396" s="175">
        <f t="shared" si="213"/>
        <v>0</v>
      </c>
      <c r="I2396" s="177">
        <f>IF(G2396=0,0,IF(E2396="MXN",1/HLOOKUP(YEAR(C2396)+(MONTH(C2396)/100),TC!$5:$37,DAY(C2396)+2,FALSE),VLOOKUP(E2396,Equivalencia!$5:$23,((MAX(Equivalencia!$3:$3)-YEAR(C2396))*14)+MONTH(C2396)+2,FALSE)))</f>
        <v>0</v>
      </c>
      <c r="J2396" s="178">
        <f t="shared" si="221"/>
        <v>0</v>
      </c>
      <c r="K2396" s="462">
        <f>IF(C2396=0,0,VLOOKUP(YEAR(C2396),INPC!$B$4:$O$29,MONTH(C2396)+1))</f>
        <v>0</v>
      </c>
      <c r="L2396" s="462">
        <f>IF(S2396=0,0,VLOOKUP(YEAR(S2396),INPC!$B$4:$O$29,MONTH(S2396)+1))</f>
        <v>0</v>
      </c>
      <c r="M2396" s="463">
        <f t="shared" si="214"/>
        <v>0</v>
      </c>
      <c r="N2396" s="465">
        <f t="shared" si="222"/>
        <v>0</v>
      </c>
      <c r="O2396" s="179"/>
      <c r="P2396" s="180"/>
      <c r="Q2396" s="173"/>
      <c r="R2396" s="173"/>
      <c r="S2396" s="174"/>
      <c r="T2396" s="173"/>
      <c r="U2396" s="182"/>
      <c r="V2396" s="177">
        <f>IF(U2396=0,0,IF(T2396="MXN",1/HLOOKUP(YEAR(S2396)+(MONTH(S2396)/100),TC!$5:$37,DAY(S2396)+2,FALSE),VLOOKUP(T2396,Equivalencia!$1:$23,((MAX(Equivalencia!$3:$3)-YEAR(S2396))*14)+MONTH(S2396)+2,FALSE)))</f>
        <v>0</v>
      </c>
      <c r="W2396" s="178">
        <f t="shared" si="219"/>
        <v>0</v>
      </c>
      <c r="X2396" s="481">
        <f t="shared" si="215"/>
        <v>0</v>
      </c>
      <c r="Y2396" s="179"/>
      <c r="Z2396" s="466">
        <f t="shared" si="216"/>
        <v>0</v>
      </c>
      <c r="AA2396" s="473">
        <f t="shared" si="217"/>
        <v>0</v>
      </c>
      <c r="AB2396" s="339">
        <f t="shared" si="218"/>
        <v>0</v>
      </c>
    </row>
    <row r="2397" spans="2:28" ht="20.100000000000001" customHeight="1">
      <c r="B2397" s="172"/>
      <c r="C2397" s="174"/>
      <c r="D2397" s="181"/>
      <c r="E2397" s="173"/>
      <c r="F2397" s="176"/>
      <c r="G2397" s="175">
        <f t="shared" si="220"/>
        <v>0</v>
      </c>
      <c r="H2397" s="175">
        <f t="shared" si="213"/>
        <v>0</v>
      </c>
      <c r="I2397" s="177">
        <f>IF(G2397=0,0,IF(E2397="MXN",1/HLOOKUP(YEAR(C2397)+(MONTH(C2397)/100),TC!$5:$37,DAY(C2397)+2,FALSE),VLOOKUP(E2397,Equivalencia!$5:$23,((MAX(Equivalencia!$3:$3)-YEAR(C2397))*14)+MONTH(C2397)+2,FALSE)))</f>
        <v>0</v>
      </c>
      <c r="J2397" s="178">
        <f t="shared" si="221"/>
        <v>0</v>
      </c>
      <c r="K2397" s="462">
        <f>IF(C2397=0,0,VLOOKUP(YEAR(C2397),INPC!$B$4:$O$29,MONTH(C2397)+1))</f>
        <v>0</v>
      </c>
      <c r="L2397" s="462">
        <f>IF(S2397=0,0,VLOOKUP(YEAR(S2397),INPC!$B$4:$O$29,MONTH(S2397)+1))</f>
        <v>0</v>
      </c>
      <c r="M2397" s="463">
        <f t="shared" si="214"/>
        <v>0</v>
      </c>
      <c r="N2397" s="465">
        <f t="shared" si="222"/>
        <v>0</v>
      </c>
      <c r="O2397" s="179"/>
      <c r="P2397" s="180"/>
      <c r="Q2397" s="173"/>
      <c r="R2397" s="173"/>
      <c r="S2397" s="174"/>
      <c r="T2397" s="173"/>
      <c r="U2397" s="182"/>
      <c r="V2397" s="177">
        <f>IF(U2397=0,0,IF(T2397="MXN",1/HLOOKUP(YEAR(S2397)+(MONTH(S2397)/100),TC!$5:$37,DAY(S2397)+2,FALSE),VLOOKUP(T2397,Equivalencia!$1:$23,((MAX(Equivalencia!$3:$3)-YEAR(S2397))*14)+MONTH(S2397)+2,FALSE)))</f>
        <v>0</v>
      </c>
      <c r="W2397" s="178">
        <f t="shared" si="219"/>
        <v>0</v>
      </c>
      <c r="X2397" s="481">
        <f t="shared" si="215"/>
        <v>0</v>
      </c>
      <c r="Y2397" s="179"/>
      <c r="Z2397" s="466">
        <f t="shared" si="216"/>
        <v>0</v>
      </c>
      <c r="AA2397" s="473">
        <f t="shared" si="217"/>
        <v>0</v>
      </c>
      <c r="AB2397" s="339">
        <f t="shared" si="218"/>
        <v>0</v>
      </c>
    </row>
    <row r="2398" spans="2:28" ht="20.100000000000001" customHeight="1">
      <c r="B2398" s="172"/>
      <c r="C2398" s="174"/>
      <c r="D2398" s="181"/>
      <c r="E2398" s="173"/>
      <c r="F2398" s="176"/>
      <c r="G2398" s="175">
        <f t="shared" si="220"/>
        <v>0</v>
      </c>
      <c r="H2398" s="175">
        <f t="shared" si="213"/>
        <v>0</v>
      </c>
      <c r="I2398" s="177">
        <f>IF(G2398=0,0,IF(E2398="MXN",1/HLOOKUP(YEAR(C2398)+(MONTH(C2398)/100),TC!$5:$37,DAY(C2398)+2,FALSE),VLOOKUP(E2398,Equivalencia!$5:$23,((MAX(Equivalencia!$3:$3)-YEAR(C2398))*14)+MONTH(C2398)+2,FALSE)))</f>
        <v>0</v>
      </c>
      <c r="J2398" s="178">
        <f t="shared" si="221"/>
        <v>0</v>
      </c>
      <c r="K2398" s="462">
        <f>IF(C2398=0,0,VLOOKUP(YEAR(C2398),INPC!$B$4:$O$29,MONTH(C2398)+1))</f>
        <v>0</v>
      </c>
      <c r="L2398" s="462">
        <f>IF(S2398=0,0,VLOOKUP(YEAR(S2398),INPC!$B$4:$O$29,MONTH(S2398)+1))</f>
        <v>0</v>
      </c>
      <c r="M2398" s="463">
        <f t="shared" si="214"/>
        <v>0</v>
      </c>
      <c r="N2398" s="465">
        <f t="shared" si="222"/>
        <v>0</v>
      </c>
      <c r="O2398" s="179"/>
      <c r="P2398" s="180"/>
      <c r="Q2398" s="173"/>
      <c r="R2398" s="173"/>
      <c r="S2398" s="174"/>
      <c r="T2398" s="173"/>
      <c r="U2398" s="182"/>
      <c r="V2398" s="177">
        <f>IF(U2398=0,0,IF(T2398="MXN",1/HLOOKUP(YEAR(S2398)+(MONTH(S2398)/100),TC!$5:$37,DAY(S2398)+2,FALSE),VLOOKUP(T2398,Equivalencia!$1:$23,((MAX(Equivalencia!$3:$3)-YEAR(S2398))*14)+MONTH(S2398)+2,FALSE)))</f>
        <v>0</v>
      </c>
      <c r="W2398" s="178">
        <f t="shared" si="219"/>
        <v>0</v>
      </c>
      <c r="X2398" s="481">
        <f t="shared" si="215"/>
        <v>0</v>
      </c>
      <c r="Y2398" s="179"/>
      <c r="Z2398" s="466">
        <f t="shared" si="216"/>
        <v>0</v>
      </c>
      <c r="AA2398" s="473">
        <f t="shared" si="217"/>
        <v>0</v>
      </c>
      <c r="AB2398" s="339">
        <f t="shared" si="218"/>
        <v>0</v>
      </c>
    </row>
    <row r="2399" spans="2:28" ht="20.100000000000001" customHeight="1">
      <c r="B2399" s="172"/>
      <c r="C2399" s="174"/>
      <c r="D2399" s="181"/>
      <c r="E2399" s="173"/>
      <c r="F2399" s="176"/>
      <c r="G2399" s="175">
        <f t="shared" si="220"/>
        <v>0</v>
      </c>
      <c r="H2399" s="175">
        <f t="shared" si="213"/>
        <v>0</v>
      </c>
      <c r="I2399" s="177">
        <f>IF(G2399=0,0,IF(E2399="MXN",1/HLOOKUP(YEAR(C2399)+(MONTH(C2399)/100),TC!$5:$37,DAY(C2399)+2,FALSE),VLOOKUP(E2399,Equivalencia!$5:$23,((MAX(Equivalencia!$3:$3)-YEAR(C2399))*14)+MONTH(C2399)+2,FALSE)))</f>
        <v>0</v>
      </c>
      <c r="J2399" s="178">
        <f t="shared" si="221"/>
        <v>0</v>
      </c>
      <c r="K2399" s="462">
        <f>IF(C2399=0,0,VLOOKUP(YEAR(C2399),INPC!$B$4:$O$29,MONTH(C2399)+1))</f>
        <v>0</v>
      </c>
      <c r="L2399" s="462">
        <f>IF(S2399=0,0,VLOOKUP(YEAR(S2399),INPC!$B$4:$O$29,MONTH(S2399)+1))</f>
        <v>0</v>
      </c>
      <c r="M2399" s="463">
        <f t="shared" si="214"/>
        <v>0</v>
      </c>
      <c r="N2399" s="465">
        <f t="shared" si="222"/>
        <v>0</v>
      </c>
      <c r="O2399" s="179"/>
      <c r="P2399" s="180"/>
      <c r="Q2399" s="173"/>
      <c r="R2399" s="173"/>
      <c r="S2399" s="174"/>
      <c r="T2399" s="173"/>
      <c r="U2399" s="182"/>
      <c r="V2399" s="177">
        <f>IF(U2399=0,0,IF(T2399="MXN",1/HLOOKUP(YEAR(S2399)+(MONTH(S2399)/100),TC!$5:$37,DAY(S2399)+2,FALSE),VLOOKUP(T2399,Equivalencia!$1:$23,((MAX(Equivalencia!$3:$3)-YEAR(S2399))*14)+MONTH(S2399)+2,FALSE)))</f>
        <v>0</v>
      </c>
      <c r="W2399" s="178">
        <f t="shared" si="219"/>
        <v>0</v>
      </c>
      <c r="X2399" s="481">
        <f t="shared" si="215"/>
        <v>0</v>
      </c>
      <c r="Y2399" s="179"/>
      <c r="Z2399" s="466">
        <f t="shared" si="216"/>
        <v>0</v>
      </c>
      <c r="AA2399" s="473">
        <f t="shared" si="217"/>
        <v>0</v>
      </c>
      <c r="AB2399" s="339">
        <f t="shared" si="218"/>
        <v>0</v>
      </c>
    </row>
    <row r="2400" spans="2:28" ht="20.100000000000001" customHeight="1">
      <c r="B2400" s="172"/>
      <c r="C2400" s="174"/>
      <c r="D2400" s="181"/>
      <c r="E2400" s="173"/>
      <c r="F2400" s="176"/>
      <c r="G2400" s="175">
        <f t="shared" si="220"/>
        <v>0</v>
      </c>
      <c r="H2400" s="175">
        <f t="shared" si="213"/>
        <v>0</v>
      </c>
      <c r="I2400" s="177">
        <f>IF(G2400=0,0,IF(E2400="MXN",1/HLOOKUP(YEAR(C2400)+(MONTH(C2400)/100),TC!$5:$37,DAY(C2400)+2,FALSE),VLOOKUP(E2400,Equivalencia!$5:$23,((MAX(Equivalencia!$3:$3)-YEAR(C2400))*14)+MONTH(C2400)+2,FALSE)))</f>
        <v>0</v>
      </c>
      <c r="J2400" s="178">
        <f t="shared" si="221"/>
        <v>0</v>
      </c>
      <c r="K2400" s="462">
        <f>IF(C2400=0,0,VLOOKUP(YEAR(C2400),INPC!$B$4:$O$29,MONTH(C2400)+1))</f>
        <v>0</v>
      </c>
      <c r="L2400" s="462">
        <f>IF(S2400=0,0,VLOOKUP(YEAR(S2400),INPC!$B$4:$O$29,MONTH(S2400)+1))</f>
        <v>0</v>
      </c>
      <c r="M2400" s="463">
        <f t="shared" si="214"/>
        <v>0</v>
      </c>
      <c r="N2400" s="465">
        <f t="shared" si="222"/>
        <v>0</v>
      </c>
      <c r="O2400" s="179"/>
      <c r="P2400" s="180"/>
      <c r="Q2400" s="173"/>
      <c r="R2400" s="173"/>
      <c r="S2400" s="174"/>
      <c r="T2400" s="173"/>
      <c r="U2400" s="182"/>
      <c r="V2400" s="177">
        <f>IF(U2400=0,0,IF(T2400="MXN",1/HLOOKUP(YEAR(S2400)+(MONTH(S2400)/100),TC!$5:$37,DAY(S2400)+2,FALSE),VLOOKUP(T2400,Equivalencia!$1:$23,((MAX(Equivalencia!$3:$3)-YEAR(S2400))*14)+MONTH(S2400)+2,FALSE)))</f>
        <v>0</v>
      </c>
      <c r="W2400" s="178">
        <f t="shared" si="219"/>
        <v>0</v>
      </c>
      <c r="X2400" s="481">
        <f t="shared" si="215"/>
        <v>0</v>
      </c>
      <c r="Y2400" s="179"/>
      <c r="Z2400" s="466">
        <f t="shared" si="216"/>
        <v>0</v>
      </c>
      <c r="AA2400" s="473">
        <f t="shared" si="217"/>
        <v>0</v>
      </c>
      <c r="AB2400" s="339">
        <f t="shared" si="218"/>
        <v>0</v>
      </c>
    </row>
    <row r="2401" spans="2:28" ht="20.100000000000001" customHeight="1">
      <c r="B2401" s="172"/>
      <c r="C2401" s="174"/>
      <c r="D2401" s="181"/>
      <c r="E2401" s="173"/>
      <c r="F2401" s="176"/>
      <c r="G2401" s="175">
        <f t="shared" si="220"/>
        <v>0</v>
      </c>
      <c r="H2401" s="175">
        <f t="shared" si="213"/>
        <v>0</v>
      </c>
      <c r="I2401" s="177">
        <f>IF(G2401=0,0,IF(E2401="MXN",1/HLOOKUP(YEAR(C2401)+(MONTH(C2401)/100),TC!$5:$37,DAY(C2401)+2,FALSE),VLOOKUP(E2401,Equivalencia!$5:$23,((MAX(Equivalencia!$3:$3)-YEAR(C2401))*14)+MONTH(C2401)+2,FALSE)))</f>
        <v>0</v>
      </c>
      <c r="J2401" s="178">
        <f t="shared" si="221"/>
        <v>0</v>
      </c>
      <c r="K2401" s="462">
        <f>IF(C2401=0,0,VLOOKUP(YEAR(C2401),INPC!$B$4:$O$29,MONTH(C2401)+1))</f>
        <v>0</v>
      </c>
      <c r="L2401" s="462">
        <f>IF(S2401=0,0,VLOOKUP(YEAR(S2401),INPC!$B$4:$O$29,MONTH(S2401)+1))</f>
        <v>0</v>
      </c>
      <c r="M2401" s="463">
        <f t="shared" si="214"/>
        <v>0</v>
      </c>
      <c r="N2401" s="465">
        <f t="shared" si="222"/>
        <v>0</v>
      </c>
      <c r="O2401" s="179"/>
      <c r="P2401" s="180"/>
      <c r="Q2401" s="173"/>
      <c r="R2401" s="173"/>
      <c r="S2401" s="174"/>
      <c r="T2401" s="173"/>
      <c r="U2401" s="182"/>
      <c r="V2401" s="177">
        <f>IF(U2401=0,0,IF(T2401="MXN",1/HLOOKUP(YEAR(S2401)+(MONTH(S2401)/100),TC!$5:$37,DAY(S2401)+2,FALSE),VLOOKUP(T2401,Equivalencia!$1:$23,((MAX(Equivalencia!$3:$3)-YEAR(S2401))*14)+MONTH(S2401)+2,FALSE)))</f>
        <v>0</v>
      </c>
      <c r="W2401" s="178">
        <f t="shared" si="219"/>
        <v>0</v>
      </c>
      <c r="X2401" s="481">
        <f t="shared" si="215"/>
        <v>0</v>
      </c>
      <c r="Y2401" s="179"/>
      <c r="Z2401" s="466">
        <f t="shared" si="216"/>
        <v>0</v>
      </c>
      <c r="AA2401" s="473">
        <f t="shared" si="217"/>
        <v>0</v>
      </c>
      <c r="AB2401" s="339">
        <f t="shared" si="218"/>
        <v>0</v>
      </c>
    </row>
    <row r="2402" spans="2:28" ht="20.100000000000001" customHeight="1">
      <c r="B2402" s="172"/>
      <c r="C2402" s="174"/>
      <c r="D2402" s="181"/>
      <c r="E2402" s="173"/>
      <c r="F2402" s="176"/>
      <c r="G2402" s="175">
        <f t="shared" si="220"/>
        <v>0</v>
      </c>
      <c r="H2402" s="175">
        <f t="shared" si="213"/>
        <v>0</v>
      </c>
      <c r="I2402" s="177">
        <f>IF(G2402=0,0,IF(E2402="MXN",1/HLOOKUP(YEAR(C2402)+(MONTH(C2402)/100),TC!$5:$37,DAY(C2402)+2,FALSE),VLOOKUP(E2402,Equivalencia!$5:$23,((MAX(Equivalencia!$3:$3)-YEAR(C2402))*14)+MONTH(C2402)+2,FALSE)))</f>
        <v>0</v>
      </c>
      <c r="J2402" s="178">
        <f t="shared" si="221"/>
        <v>0</v>
      </c>
      <c r="K2402" s="462">
        <f>IF(C2402=0,0,VLOOKUP(YEAR(C2402),INPC!$B$4:$O$29,MONTH(C2402)+1))</f>
        <v>0</v>
      </c>
      <c r="L2402" s="462">
        <f>IF(S2402=0,0,VLOOKUP(YEAR(S2402),INPC!$B$4:$O$29,MONTH(S2402)+1))</f>
        <v>0</v>
      </c>
      <c r="M2402" s="463">
        <f t="shared" si="214"/>
        <v>0</v>
      </c>
      <c r="N2402" s="465">
        <f t="shared" si="222"/>
        <v>0</v>
      </c>
      <c r="O2402" s="179"/>
      <c r="P2402" s="180"/>
      <c r="Q2402" s="173"/>
      <c r="R2402" s="173"/>
      <c r="S2402" s="174"/>
      <c r="T2402" s="173"/>
      <c r="U2402" s="182"/>
      <c r="V2402" s="177">
        <f>IF(U2402=0,0,IF(T2402="MXN",1/HLOOKUP(YEAR(S2402)+(MONTH(S2402)/100),TC!$5:$37,DAY(S2402)+2,FALSE),VLOOKUP(T2402,Equivalencia!$1:$23,((MAX(Equivalencia!$3:$3)-YEAR(S2402))*14)+MONTH(S2402)+2,FALSE)))</f>
        <v>0</v>
      </c>
      <c r="W2402" s="178">
        <f t="shared" si="219"/>
        <v>0</v>
      </c>
      <c r="X2402" s="481">
        <f t="shared" si="215"/>
        <v>0</v>
      </c>
      <c r="Y2402" s="179"/>
      <c r="Z2402" s="466">
        <f t="shared" si="216"/>
        <v>0</v>
      </c>
      <c r="AA2402" s="473">
        <f t="shared" si="217"/>
        <v>0</v>
      </c>
      <c r="AB2402" s="339">
        <f t="shared" si="218"/>
        <v>0</v>
      </c>
    </row>
    <row r="2403" spans="2:28" ht="20.100000000000001" customHeight="1">
      <c r="B2403" s="172"/>
      <c r="C2403" s="174"/>
      <c r="D2403" s="181"/>
      <c r="E2403" s="173"/>
      <c r="F2403" s="176"/>
      <c r="G2403" s="175">
        <f t="shared" si="220"/>
        <v>0</v>
      </c>
      <c r="H2403" s="175">
        <f t="shared" si="213"/>
        <v>0</v>
      </c>
      <c r="I2403" s="177">
        <f>IF(G2403=0,0,IF(E2403="MXN",1/HLOOKUP(YEAR(C2403)+(MONTH(C2403)/100),TC!$5:$37,DAY(C2403)+2,FALSE),VLOOKUP(E2403,Equivalencia!$5:$23,((MAX(Equivalencia!$3:$3)-YEAR(C2403))*14)+MONTH(C2403)+2,FALSE)))</f>
        <v>0</v>
      </c>
      <c r="J2403" s="178">
        <f t="shared" si="221"/>
        <v>0</v>
      </c>
      <c r="K2403" s="462">
        <f>IF(C2403=0,0,VLOOKUP(YEAR(C2403),INPC!$B$4:$O$29,MONTH(C2403)+1))</f>
        <v>0</v>
      </c>
      <c r="L2403" s="462">
        <f>IF(S2403=0,0,VLOOKUP(YEAR(S2403),INPC!$B$4:$O$29,MONTH(S2403)+1))</f>
        <v>0</v>
      </c>
      <c r="M2403" s="463">
        <f t="shared" si="214"/>
        <v>0</v>
      </c>
      <c r="N2403" s="465">
        <f t="shared" si="222"/>
        <v>0</v>
      </c>
      <c r="O2403" s="179"/>
      <c r="P2403" s="180"/>
      <c r="Q2403" s="173"/>
      <c r="R2403" s="173"/>
      <c r="S2403" s="174"/>
      <c r="T2403" s="173"/>
      <c r="U2403" s="182"/>
      <c r="V2403" s="177">
        <f>IF(U2403=0,0,IF(T2403="MXN",1/HLOOKUP(YEAR(S2403)+(MONTH(S2403)/100),TC!$5:$37,DAY(S2403)+2,FALSE),VLOOKUP(T2403,Equivalencia!$1:$23,((MAX(Equivalencia!$3:$3)-YEAR(S2403))*14)+MONTH(S2403)+2,FALSE)))</f>
        <v>0</v>
      </c>
      <c r="W2403" s="178">
        <f t="shared" si="219"/>
        <v>0</v>
      </c>
      <c r="X2403" s="481">
        <f t="shared" si="215"/>
        <v>0</v>
      </c>
      <c r="Y2403" s="179"/>
      <c r="Z2403" s="466">
        <f t="shared" si="216"/>
        <v>0</v>
      </c>
      <c r="AA2403" s="473">
        <f t="shared" si="217"/>
        <v>0</v>
      </c>
      <c r="AB2403" s="339">
        <f t="shared" si="218"/>
        <v>0</v>
      </c>
    </row>
    <row r="2404" spans="2:28" ht="20.100000000000001" customHeight="1">
      <c r="B2404" s="172"/>
      <c r="C2404" s="174"/>
      <c r="D2404" s="181"/>
      <c r="E2404" s="173"/>
      <c r="F2404" s="176"/>
      <c r="G2404" s="175">
        <f t="shared" si="220"/>
        <v>0</v>
      </c>
      <c r="H2404" s="175">
        <f t="shared" si="213"/>
        <v>0</v>
      </c>
      <c r="I2404" s="177">
        <f>IF(G2404=0,0,IF(E2404="MXN",1/HLOOKUP(YEAR(C2404)+(MONTH(C2404)/100),TC!$5:$37,DAY(C2404)+2,FALSE),VLOOKUP(E2404,Equivalencia!$5:$23,((MAX(Equivalencia!$3:$3)-YEAR(C2404))*14)+MONTH(C2404)+2,FALSE)))</f>
        <v>0</v>
      </c>
      <c r="J2404" s="178">
        <f t="shared" si="221"/>
        <v>0</v>
      </c>
      <c r="K2404" s="462">
        <f>IF(C2404=0,0,VLOOKUP(YEAR(C2404),INPC!$B$4:$O$29,MONTH(C2404)+1))</f>
        <v>0</v>
      </c>
      <c r="L2404" s="462">
        <f>IF(S2404=0,0,VLOOKUP(YEAR(S2404),INPC!$B$4:$O$29,MONTH(S2404)+1))</f>
        <v>0</v>
      </c>
      <c r="M2404" s="463">
        <f t="shared" si="214"/>
        <v>0</v>
      </c>
      <c r="N2404" s="465">
        <f t="shared" si="222"/>
        <v>0</v>
      </c>
      <c r="O2404" s="179"/>
      <c r="P2404" s="180"/>
      <c r="Q2404" s="173"/>
      <c r="R2404" s="173"/>
      <c r="S2404" s="174"/>
      <c r="T2404" s="173"/>
      <c r="U2404" s="182"/>
      <c r="V2404" s="177">
        <f>IF(U2404=0,0,IF(T2404="MXN",1/HLOOKUP(YEAR(S2404)+(MONTH(S2404)/100),TC!$5:$37,DAY(S2404)+2,FALSE),VLOOKUP(T2404,Equivalencia!$1:$23,((MAX(Equivalencia!$3:$3)-YEAR(S2404))*14)+MONTH(S2404)+2,FALSE)))</f>
        <v>0</v>
      </c>
      <c r="W2404" s="178">
        <f t="shared" si="219"/>
        <v>0</v>
      </c>
      <c r="X2404" s="481">
        <f t="shared" si="215"/>
        <v>0</v>
      </c>
      <c r="Y2404" s="179"/>
      <c r="Z2404" s="466">
        <f t="shared" si="216"/>
        <v>0</v>
      </c>
      <c r="AA2404" s="473">
        <f t="shared" si="217"/>
        <v>0</v>
      </c>
      <c r="AB2404" s="339">
        <f t="shared" si="218"/>
        <v>0</v>
      </c>
    </row>
    <row r="2405" spans="2:28" ht="20.100000000000001" customHeight="1">
      <c r="B2405" s="172"/>
      <c r="C2405" s="174"/>
      <c r="D2405" s="181"/>
      <c r="E2405" s="173"/>
      <c r="F2405" s="176"/>
      <c r="G2405" s="175">
        <f t="shared" si="220"/>
        <v>0</v>
      </c>
      <c r="H2405" s="175">
        <f t="shared" si="213"/>
        <v>0</v>
      </c>
      <c r="I2405" s="177">
        <f>IF(G2405=0,0,IF(E2405="MXN",1/HLOOKUP(YEAR(C2405)+(MONTH(C2405)/100),TC!$5:$37,DAY(C2405)+2,FALSE),VLOOKUP(E2405,Equivalencia!$5:$23,((MAX(Equivalencia!$3:$3)-YEAR(C2405))*14)+MONTH(C2405)+2,FALSE)))</f>
        <v>0</v>
      </c>
      <c r="J2405" s="178">
        <f t="shared" si="221"/>
        <v>0</v>
      </c>
      <c r="K2405" s="462">
        <f>IF(C2405=0,0,VLOOKUP(YEAR(C2405),INPC!$B$4:$O$29,MONTH(C2405)+1))</f>
        <v>0</v>
      </c>
      <c r="L2405" s="462">
        <f>IF(S2405=0,0,VLOOKUP(YEAR(S2405),INPC!$B$4:$O$29,MONTH(S2405)+1))</f>
        <v>0</v>
      </c>
      <c r="M2405" s="463">
        <f t="shared" si="214"/>
        <v>0</v>
      </c>
      <c r="N2405" s="465">
        <f t="shared" si="222"/>
        <v>0</v>
      </c>
      <c r="O2405" s="179"/>
      <c r="P2405" s="180"/>
      <c r="Q2405" s="173"/>
      <c r="R2405" s="173"/>
      <c r="S2405" s="174"/>
      <c r="T2405" s="173"/>
      <c r="U2405" s="182"/>
      <c r="V2405" s="177">
        <f>IF(U2405=0,0,IF(T2405="MXN",1/HLOOKUP(YEAR(S2405)+(MONTH(S2405)/100),TC!$5:$37,DAY(S2405)+2,FALSE),VLOOKUP(T2405,Equivalencia!$1:$23,((MAX(Equivalencia!$3:$3)-YEAR(S2405))*14)+MONTH(S2405)+2,FALSE)))</f>
        <v>0</v>
      </c>
      <c r="W2405" s="178">
        <f t="shared" si="219"/>
        <v>0</v>
      </c>
      <c r="X2405" s="481">
        <f t="shared" si="215"/>
        <v>0</v>
      </c>
      <c r="Y2405" s="179"/>
      <c r="Z2405" s="466">
        <f t="shared" si="216"/>
        <v>0</v>
      </c>
      <c r="AA2405" s="473">
        <f t="shared" si="217"/>
        <v>0</v>
      </c>
      <c r="AB2405" s="339">
        <f t="shared" si="218"/>
        <v>0</v>
      </c>
    </row>
    <row r="2406" spans="2:28" ht="20.100000000000001" customHeight="1">
      <c r="B2406" s="172"/>
      <c r="C2406" s="174"/>
      <c r="D2406" s="181"/>
      <c r="E2406" s="173"/>
      <c r="F2406" s="176"/>
      <c r="G2406" s="175">
        <f t="shared" si="220"/>
        <v>0</v>
      </c>
      <c r="H2406" s="175">
        <f t="shared" si="213"/>
        <v>0</v>
      </c>
      <c r="I2406" s="177">
        <f>IF(G2406=0,0,IF(E2406="MXN",1/HLOOKUP(YEAR(C2406)+(MONTH(C2406)/100),TC!$5:$37,DAY(C2406)+2,FALSE),VLOOKUP(E2406,Equivalencia!$5:$23,((MAX(Equivalencia!$3:$3)-YEAR(C2406))*14)+MONTH(C2406)+2,FALSE)))</f>
        <v>0</v>
      </c>
      <c r="J2406" s="178">
        <f t="shared" si="221"/>
        <v>0</v>
      </c>
      <c r="K2406" s="462">
        <f>IF(C2406=0,0,VLOOKUP(YEAR(C2406),INPC!$B$4:$O$29,MONTH(C2406)+1))</f>
        <v>0</v>
      </c>
      <c r="L2406" s="462">
        <f>IF(S2406=0,0,VLOOKUP(YEAR(S2406),INPC!$B$4:$O$29,MONTH(S2406)+1))</f>
        <v>0</v>
      </c>
      <c r="M2406" s="463">
        <f t="shared" si="214"/>
        <v>0</v>
      </c>
      <c r="N2406" s="465">
        <f t="shared" si="222"/>
        <v>0</v>
      </c>
      <c r="O2406" s="179"/>
      <c r="P2406" s="180"/>
      <c r="Q2406" s="173"/>
      <c r="R2406" s="173"/>
      <c r="S2406" s="174"/>
      <c r="T2406" s="173"/>
      <c r="U2406" s="182"/>
      <c r="V2406" s="177">
        <f>IF(U2406=0,0,IF(T2406="MXN",1/HLOOKUP(YEAR(S2406)+(MONTH(S2406)/100),TC!$5:$37,DAY(S2406)+2,FALSE),VLOOKUP(T2406,Equivalencia!$1:$23,((MAX(Equivalencia!$3:$3)-YEAR(S2406))*14)+MONTH(S2406)+2,FALSE)))</f>
        <v>0</v>
      </c>
      <c r="W2406" s="178">
        <f t="shared" si="219"/>
        <v>0</v>
      </c>
      <c r="X2406" s="481">
        <f t="shared" si="215"/>
        <v>0</v>
      </c>
      <c r="Y2406" s="179"/>
      <c r="Z2406" s="466">
        <f t="shared" si="216"/>
        <v>0</v>
      </c>
      <c r="AA2406" s="473">
        <f t="shared" si="217"/>
        <v>0</v>
      </c>
      <c r="AB2406" s="339">
        <f t="shared" si="218"/>
        <v>0</v>
      </c>
    </row>
    <row r="2407" spans="2:28" ht="20.100000000000001" customHeight="1">
      <c r="B2407" s="172"/>
      <c r="C2407" s="174"/>
      <c r="D2407" s="181"/>
      <c r="E2407" s="173"/>
      <c r="F2407" s="176"/>
      <c r="G2407" s="175">
        <f t="shared" si="220"/>
        <v>0</v>
      </c>
      <c r="H2407" s="175">
        <f t="shared" si="213"/>
        <v>0</v>
      </c>
      <c r="I2407" s="177">
        <f>IF(G2407=0,0,IF(E2407="MXN",1/HLOOKUP(YEAR(C2407)+(MONTH(C2407)/100),TC!$5:$37,DAY(C2407)+2,FALSE),VLOOKUP(E2407,Equivalencia!$5:$23,((MAX(Equivalencia!$3:$3)-YEAR(C2407))*14)+MONTH(C2407)+2,FALSE)))</f>
        <v>0</v>
      </c>
      <c r="J2407" s="178">
        <f t="shared" si="221"/>
        <v>0</v>
      </c>
      <c r="K2407" s="462">
        <f>IF(C2407=0,0,VLOOKUP(YEAR(C2407),INPC!$B$4:$O$29,MONTH(C2407)+1))</f>
        <v>0</v>
      </c>
      <c r="L2407" s="462">
        <f>IF(S2407=0,0,VLOOKUP(YEAR(S2407),INPC!$B$4:$O$29,MONTH(S2407)+1))</f>
        <v>0</v>
      </c>
      <c r="M2407" s="463">
        <f t="shared" si="214"/>
        <v>0</v>
      </c>
      <c r="N2407" s="465">
        <f t="shared" si="222"/>
        <v>0</v>
      </c>
      <c r="O2407" s="179"/>
      <c r="P2407" s="180"/>
      <c r="Q2407" s="173"/>
      <c r="R2407" s="173"/>
      <c r="S2407" s="174"/>
      <c r="T2407" s="173"/>
      <c r="U2407" s="182"/>
      <c r="V2407" s="177">
        <f>IF(U2407=0,0,IF(T2407="MXN",1/HLOOKUP(YEAR(S2407)+(MONTH(S2407)/100),TC!$5:$37,DAY(S2407)+2,FALSE),VLOOKUP(T2407,Equivalencia!$1:$23,((MAX(Equivalencia!$3:$3)-YEAR(S2407))*14)+MONTH(S2407)+2,FALSE)))</f>
        <v>0</v>
      </c>
      <c r="W2407" s="178">
        <f t="shared" si="219"/>
        <v>0</v>
      </c>
      <c r="X2407" s="481">
        <f t="shared" si="215"/>
        <v>0</v>
      </c>
      <c r="Y2407" s="179"/>
      <c r="Z2407" s="466">
        <f t="shared" si="216"/>
        <v>0</v>
      </c>
      <c r="AA2407" s="473">
        <f t="shared" si="217"/>
        <v>0</v>
      </c>
      <c r="AB2407" s="339">
        <f t="shared" si="218"/>
        <v>0</v>
      </c>
    </row>
    <row r="2408" spans="2:28" ht="20.100000000000001" customHeight="1">
      <c r="B2408" s="172"/>
      <c r="C2408" s="174"/>
      <c r="D2408" s="181"/>
      <c r="E2408" s="173"/>
      <c r="F2408" s="176"/>
      <c r="G2408" s="175">
        <f t="shared" si="220"/>
        <v>0</v>
      </c>
      <c r="H2408" s="175">
        <f t="shared" si="213"/>
        <v>0</v>
      </c>
      <c r="I2408" s="177">
        <f>IF(G2408=0,0,IF(E2408="MXN",1/HLOOKUP(YEAR(C2408)+(MONTH(C2408)/100),TC!$5:$37,DAY(C2408)+2,FALSE),VLOOKUP(E2408,Equivalencia!$5:$23,((MAX(Equivalencia!$3:$3)-YEAR(C2408))*14)+MONTH(C2408)+2,FALSE)))</f>
        <v>0</v>
      </c>
      <c r="J2408" s="178">
        <f t="shared" si="221"/>
        <v>0</v>
      </c>
      <c r="K2408" s="462">
        <f>IF(C2408=0,0,VLOOKUP(YEAR(C2408),INPC!$B$4:$O$29,MONTH(C2408)+1))</f>
        <v>0</v>
      </c>
      <c r="L2408" s="462">
        <f>IF(S2408=0,0,VLOOKUP(YEAR(S2408),INPC!$B$4:$O$29,MONTH(S2408)+1))</f>
        <v>0</v>
      </c>
      <c r="M2408" s="463">
        <f t="shared" si="214"/>
        <v>0</v>
      </c>
      <c r="N2408" s="465">
        <f t="shared" si="222"/>
        <v>0</v>
      </c>
      <c r="O2408" s="179"/>
      <c r="P2408" s="180"/>
      <c r="Q2408" s="173"/>
      <c r="R2408" s="173"/>
      <c r="S2408" s="174"/>
      <c r="T2408" s="173"/>
      <c r="U2408" s="182"/>
      <c r="V2408" s="177">
        <f>IF(U2408=0,0,IF(T2408="MXN",1/HLOOKUP(YEAR(S2408)+(MONTH(S2408)/100),TC!$5:$37,DAY(S2408)+2,FALSE),VLOOKUP(T2408,Equivalencia!$1:$23,((MAX(Equivalencia!$3:$3)-YEAR(S2408))*14)+MONTH(S2408)+2,FALSE)))</f>
        <v>0</v>
      </c>
      <c r="W2408" s="178">
        <f t="shared" si="219"/>
        <v>0</v>
      </c>
      <c r="X2408" s="481">
        <f t="shared" si="215"/>
        <v>0</v>
      </c>
      <c r="Y2408" s="179"/>
      <c r="Z2408" s="466">
        <f t="shared" si="216"/>
        <v>0</v>
      </c>
      <c r="AA2408" s="473">
        <f t="shared" si="217"/>
        <v>0</v>
      </c>
      <c r="AB2408" s="339">
        <f t="shared" si="218"/>
        <v>0</v>
      </c>
    </row>
    <row r="2409" spans="2:28" ht="20.100000000000001" customHeight="1">
      <c r="B2409" s="172"/>
      <c r="C2409" s="174"/>
      <c r="D2409" s="181"/>
      <c r="E2409" s="173"/>
      <c r="F2409" s="176"/>
      <c r="G2409" s="175">
        <f t="shared" si="220"/>
        <v>0</v>
      </c>
      <c r="H2409" s="175">
        <f t="shared" si="213"/>
        <v>0</v>
      </c>
      <c r="I2409" s="177">
        <f>IF(G2409=0,0,IF(E2409="MXN",1/HLOOKUP(YEAR(C2409)+(MONTH(C2409)/100),TC!$5:$37,DAY(C2409)+2,FALSE),VLOOKUP(E2409,Equivalencia!$5:$23,((MAX(Equivalencia!$3:$3)-YEAR(C2409))*14)+MONTH(C2409)+2,FALSE)))</f>
        <v>0</v>
      </c>
      <c r="J2409" s="178">
        <f t="shared" si="221"/>
        <v>0</v>
      </c>
      <c r="K2409" s="462">
        <f>IF(C2409=0,0,VLOOKUP(YEAR(C2409),INPC!$B$4:$O$29,MONTH(C2409)+1))</f>
        <v>0</v>
      </c>
      <c r="L2409" s="462">
        <f>IF(S2409=0,0,VLOOKUP(YEAR(S2409),INPC!$B$4:$O$29,MONTH(S2409)+1))</f>
        <v>0</v>
      </c>
      <c r="M2409" s="463">
        <f t="shared" si="214"/>
        <v>0</v>
      </c>
      <c r="N2409" s="465">
        <f t="shared" si="222"/>
        <v>0</v>
      </c>
      <c r="O2409" s="179"/>
      <c r="P2409" s="180"/>
      <c r="Q2409" s="173"/>
      <c r="R2409" s="173"/>
      <c r="S2409" s="174"/>
      <c r="T2409" s="173"/>
      <c r="U2409" s="182"/>
      <c r="V2409" s="177">
        <f>IF(U2409=0,0,IF(T2409="MXN",1/HLOOKUP(YEAR(S2409)+(MONTH(S2409)/100),TC!$5:$37,DAY(S2409)+2,FALSE),VLOOKUP(T2409,Equivalencia!$1:$23,((MAX(Equivalencia!$3:$3)-YEAR(S2409))*14)+MONTH(S2409)+2,FALSE)))</f>
        <v>0</v>
      </c>
      <c r="W2409" s="178">
        <f t="shared" si="219"/>
        <v>0</v>
      </c>
      <c r="X2409" s="481">
        <f t="shared" si="215"/>
        <v>0</v>
      </c>
      <c r="Y2409" s="179"/>
      <c r="Z2409" s="466">
        <f t="shared" si="216"/>
        <v>0</v>
      </c>
      <c r="AA2409" s="473">
        <f t="shared" si="217"/>
        <v>0</v>
      </c>
      <c r="AB2409" s="339">
        <f t="shared" si="218"/>
        <v>0</v>
      </c>
    </row>
    <row r="2410" spans="2:28" ht="20.100000000000001" customHeight="1">
      <c r="B2410" s="172"/>
      <c r="C2410" s="174"/>
      <c r="D2410" s="181"/>
      <c r="E2410" s="173"/>
      <c r="F2410" s="176"/>
      <c r="G2410" s="175">
        <f t="shared" si="220"/>
        <v>0</v>
      </c>
      <c r="H2410" s="175">
        <f t="shared" si="213"/>
        <v>0</v>
      </c>
      <c r="I2410" s="177">
        <f>IF(G2410=0,0,IF(E2410="MXN",1/HLOOKUP(YEAR(C2410)+(MONTH(C2410)/100),TC!$5:$37,DAY(C2410)+2,FALSE),VLOOKUP(E2410,Equivalencia!$5:$23,((MAX(Equivalencia!$3:$3)-YEAR(C2410))*14)+MONTH(C2410)+2,FALSE)))</f>
        <v>0</v>
      </c>
      <c r="J2410" s="178">
        <f t="shared" si="221"/>
        <v>0</v>
      </c>
      <c r="K2410" s="462">
        <f>IF(C2410=0,0,VLOOKUP(YEAR(C2410),INPC!$B$4:$O$29,MONTH(C2410)+1))</f>
        <v>0</v>
      </c>
      <c r="L2410" s="462">
        <f>IF(S2410=0,0,VLOOKUP(YEAR(S2410),INPC!$B$4:$O$29,MONTH(S2410)+1))</f>
        <v>0</v>
      </c>
      <c r="M2410" s="463">
        <f t="shared" si="214"/>
        <v>0</v>
      </c>
      <c r="N2410" s="465">
        <f t="shared" si="222"/>
        <v>0</v>
      </c>
      <c r="O2410" s="179"/>
      <c r="P2410" s="180"/>
      <c r="Q2410" s="173"/>
      <c r="R2410" s="173"/>
      <c r="S2410" s="174"/>
      <c r="T2410" s="173"/>
      <c r="U2410" s="182"/>
      <c r="V2410" s="177">
        <f>IF(U2410=0,0,IF(T2410="MXN",1/HLOOKUP(YEAR(S2410)+(MONTH(S2410)/100),TC!$5:$37,DAY(S2410)+2,FALSE),VLOOKUP(T2410,Equivalencia!$1:$23,((MAX(Equivalencia!$3:$3)-YEAR(S2410))*14)+MONTH(S2410)+2,FALSE)))</f>
        <v>0</v>
      </c>
      <c r="W2410" s="178">
        <f t="shared" si="219"/>
        <v>0</v>
      </c>
      <c r="X2410" s="481">
        <f t="shared" si="215"/>
        <v>0</v>
      </c>
      <c r="Y2410" s="179"/>
      <c r="Z2410" s="466">
        <f t="shared" si="216"/>
        <v>0</v>
      </c>
      <c r="AA2410" s="473">
        <f t="shared" si="217"/>
        <v>0</v>
      </c>
      <c r="AB2410" s="339">
        <f t="shared" si="218"/>
        <v>0</v>
      </c>
    </row>
    <row r="2411" spans="2:28" ht="20.100000000000001" customHeight="1">
      <c r="B2411" s="172"/>
      <c r="C2411" s="174"/>
      <c r="D2411" s="181"/>
      <c r="E2411" s="173"/>
      <c r="F2411" s="176"/>
      <c r="G2411" s="175">
        <f t="shared" si="220"/>
        <v>0</v>
      </c>
      <c r="H2411" s="175">
        <f t="shared" si="213"/>
        <v>0</v>
      </c>
      <c r="I2411" s="177">
        <f>IF(G2411=0,0,IF(E2411="MXN",1/HLOOKUP(YEAR(C2411)+(MONTH(C2411)/100),TC!$5:$37,DAY(C2411)+2,FALSE),VLOOKUP(E2411,Equivalencia!$5:$23,((MAX(Equivalencia!$3:$3)-YEAR(C2411))*14)+MONTH(C2411)+2,FALSE)))</f>
        <v>0</v>
      </c>
      <c r="J2411" s="178">
        <f t="shared" si="221"/>
        <v>0</v>
      </c>
      <c r="K2411" s="462">
        <f>IF(C2411=0,0,VLOOKUP(YEAR(C2411),INPC!$B$4:$O$29,MONTH(C2411)+1))</f>
        <v>0</v>
      </c>
      <c r="L2411" s="462">
        <f>IF(S2411=0,0,VLOOKUP(YEAR(S2411),INPC!$B$4:$O$29,MONTH(S2411)+1))</f>
        <v>0</v>
      </c>
      <c r="M2411" s="463">
        <f t="shared" si="214"/>
        <v>0</v>
      </c>
      <c r="N2411" s="465">
        <f t="shared" si="222"/>
        <v>0</v>
      </c>
      <c r="O2411" s="179"/>
      <c r="P2411" s="180"/>
      <c r="Q2411" s="173"/>
      <c r="R2411" s="173"/>
      <c r="S2411" s="174"/>
      <c r="T2411" s="173"/>
      <c r="U2411" s="182"/>
      <c r="V2411" s="177">
        <f>IF(U2411=0,0,IF(T2411="MXN",1/HLOOKUP(YEAR(S2411)+(MONTH(S2411)/100),TC!$5:$37,DAY(S2411)+2,FALSE),VLOOKUP(T2411,Equivalencia!$1:$23,((MAX(Equivalencia!$3:$3)-YEAR(S2411))*14)+MONTH(S2411)+2,FALSE)))</f>
        <v>0</v>
      </c>
      <c r="W2411" s="178">
        <f t="shared" si="219"/>
        <v>0</v>
      </c>
      <c r="X2411" s="481">
        <f t="shared" si="215"/>
        <v>0</v>
      </c>
      <c r="Y2411" s="179"/>
      <c r="Z2411" s="466">
        <f t="shared" si="216"/>
        <v>0</v>
      </c>
      <c r="AA2411" s="473">
        <f t="shared" si="217"/>
        <v>0</v>
      </c>
      <c r="AB2411" s="339">
        <f t="shared" si="218"/>
        <v>0</v>
      </c>
    </row>
    <row r="2412" spans="2:28" ht="20.100000000000001" customHeight="1">
      <c r="B2412" s="172"/>
      <c r="C2412" s="174"/>
      <c r="D2412" s="181"/>
      <c r="E2412" s="173"/>
      <c r="F2412" s="176"/>
      <c r="G2412" s="175">
        <f t="shared" si="220"/>
        <v>0</v>
      </c>
      <c r="H2412" s="175">
        <f t="shared" si="213"/>
        <v>0</v>
      </c>
      <c r="I2412" s="177">
        <f>IF(G2412=0,0,IF(E2412="MXN",1/HLOOKUP(YEAR(C2412)+(MONTH(C2412)/100),TC!$5:$37,DAY(C2412)+2,FALSE),VLOOKUP(E2412,Equivalencia!$5:$23,((MAX(Equivalencia!$3:$3)-YEAR(C2412))*14)+MONTH(C2412)+2,FALSE)))</f>
        <v>0</v>
      </c>
      <c r="J2412" s="178">
        <f t="shared" si="221"/>
        <v>0</v>
      </c>
      <c r="K2412" s="462">
        <f>IF(C2412=0,0,VLOOKUP(YEAR(C2412),INPC!$B$4:$O$29,MONTH(C2412)+1))</f>
        <v>0</v>
      </c>
      <c r="L2412" s="462">
        <f>IF(S2412=0,0,VLOOKUP(YEAR(S2412),INPC!$B$4:$O$29,MONTH(S2412)+1))</f>
        <v>0</v>
      </c>
      <c r="M2412" s="463">
        <f t="shared" si="214"/>
        <v>0</v>
      </c>
      <c r="N2412" s="465">
        <f t="shared" si="222"/>
        <v>0</v>
      </c>
      <c r="O2412" s="179"/>
      <c r="P2412" s="180"/>
      <c r="Q2412" s="173"/>
      <c r="R2412" s="173"/>
      <c r="S2412" s="174"/>
      <c r="T2412" s="173"/>
      <c r="U2412" s="182"/>
      <c r="V2412" s="177">
        <f>IF(U2412=0,0,IF(T2412="MXN",1/HLOOKUP(YEAR(S2412)+(MONTH(S2412)/100),TC!$5:$37,DAY(S2412)+2,FALSE),VLOOKUP(T2412,Equivalencia!$1:$23,((MAX(Equivalencia!$3:$3)-YEAR(S2412))*14)+MONTH(S2412)+2,FALSE)))</f>
        <v>0</v>
      </c>
      <c r="W2412" s="178">
        <f t="shared" si="219"/>
        <v>0</v>
      </c>
      <c r="X2412" s="481">
        <f t="shared" si="215"/>
        <v>0</v>
      </c>
      <c r="Y2412" s="179"/>
      <c r="Z2412" s="466">
        <f t="shared" si="216"/>
        <v>0</v>
      </c>
      <c r="AA2412" s="473">
        <f t="shared" si="217"/>
        <v>0</v>
      </c>
      <c r="AB2412" s="339">
        <f t="shared" si="218"/>
        <v>0</v>
      </c>
    </row>
    <row r="2413" spans="2:28" ht="20.100000000000001" customHeight="1">
      <c r="B2413" s="172"/>
      <c r="C2413" s="174"/>
      <c r="D2413" s="181"/>
      <c r="E2413" s="173"/>
      <c r="F2413" s="176"/>
      <c r="G2413" s="175">
        <f t="shared" si="220"/>
        <v>0</v>
      </c>
      <c r="H2413" s="175">
        <f t="shared" si="213"/>
        <v>0</v>
      </c>
      <c r="I2413" s="177">
        <f>IF(G2413=0,0,IF(E2413="MXN",1/HLOOKUP(YEAR(C2413)+(MONTH(C2413)/100),TC!$5:$37,DAY(C2413)+2,FALSE),VLOOKUP(E2413,Equivalencia!$5:$23,((MAX(Equivalencia!$3:$3)-YEAR(C2413))*14)+MONTH(C2413)+2,FALSE)))</f>
        <v>0</v>
      </c>
      <c r="J2413" s="178">
        <f t="shared" si="221"/>
        <v>0</v>
      </c>
      <c r="K2413" s="462">
        <f>IF(C2413=0,0,VLOOKUP(YEAR(C2413),INPC!$B$4:$O$29,MONTH(C2413)+1))</f>
        <v>0</v>
      </c>
      <c r="L2413" s="462">
        <f>IF(S2413=0,0,VLOOKUP(YEAR(S2413),INPC!$B$4:$O$29,MONTH(S2413)+1))</f>
        <v>0</v>
      </c>
      <c r="M2413" s="463">
        <f t="shared" si="214"/>
        <v>0</v>
      </c>
      <c r="N2413" s="465">
        <f t="shared" si="222"/>
        <v>0</v>
      </c>
      <c r="O2413" s="179"/>
      <c r="P2413" s="180"/>
      <c r="Q2413" s="173"/>
      <c r="R2413" s="173"/>
      <c r="S2413" s="174"/>
      <c r="T2413" s="173"/>
      <c r="U2413" s="182"/>
      <c r="V2413" s="177">
        <f>IF(U2413=0,0,IF(T2413="MXN",1/HLOOKUP(YEAR(S2413)+(MONTH(S2413)/100),TC!$5:$37,DAY(S2413)+2,FALSE),VLOOKUP(T2413,Equivalencia!$1:$23,((MAX(Equivalencia!$3:$3)-YEAR(S2413))*14)+MONTH(S2413)+2,FALSE)))</f>
        <v>0</v>
      </c>
      <c r="W2413" s="178">
        <f t="shared" si="219"/>
        <v>0</v>
      </c>
      <c r="X2413" s="481">
        <f t="shared" si="215"/>
        <v>0</v>
      </c>
      <c r="Y2413" s="179"/>
      <c r="Z2413" s="466">
        <f t="shared" si="216"/>
        <v>0</v>
      </c>
      <c r="AA2413" s="473">
        <f t="shared" si="217"/>
        <v>0</v>
      </c>
      <c r="AB2413" s="339">
        <f t="shared" si="218"/>
        <v>0</v>
      </c>
    </row>
    <row r="2414" spans="2:28" ht="20.100000000000001" customHeight="1">
      <c r="B2414" s="172"/>
      <c r="C2414" s="174"/>
      <c r="D2414" s="181"/>
      <c r="E2414" s="173"/>
      <c r="F2414" s="176"/>
      <c r="G2414" s="175">
        <f t="shared" si="220"/>
        <v>0</v>
      </c>
      <c r="H2414" s="175">
        <f t="shared" si="213"/>
        <v>0</v>
      </c>
      <c r="I2414" s="177">
        <f>IF(G2414=0,0,IF(E2414="MXN",1/HLOOKUP(YEAR(C2414)+(MONTH(C2414)/100),TC!$5:$37,DAY(C2414)+2,FALSE),VLOOKUP(E2414,Equivalencia!$5:$23,((MAX(Equivalencia!$3:$3)-YEAR(C2414))*14)+MONTH(C2414)+2,FALSE)))</f>
        <v>0</v>
      </c>
      <c r="J2414" s="178">
        <f t="shared" si="221"/>
        <v>0</v>
      </c>
      <c r="K2414" s="462">
        <f>IF(C2414=0,0,VLOOKUP(YEAR(C2414),INPC!$B$4:$O$29,MONTH(C2414)+1))</f>
        <v>0</v>
      </c>
      <c r="L2414" s="462">
        <f>IF(S2414=0,0,VLOOKUP(YEAR(S2414),INPC!$B$4:$O$29,MONTH(S2414)+1))</f>
        <v>0</v>
      </c>
      <c r="M2414" s="463">
        <f t="shared" si="214"/>
        <v>0</v>
      </c>
      <c r="N2414" s="465">
        <f t="shared" si="222"/>
        <v>0</v>
      </c>
      <c r="O2414" s="179"/>
      <c r="P2414" s="180"/>
      <c r="Q2414" s="173"/>
      <c r="R2414" s="173"/>
      <c r="S2414" s="174"/>
      <c r="T2414" s="173"/>
      <c r="U2414" s="182"/>
      <c r="V2414" s="177">
        <f>IF(U2414=0,0,IF(T2414="MXN",1/HLOOKUP(YEAR(S2414)+(MONTH(S2414)/100),TC!$5:$37,DAY(S2414)+2,FALSE),VLOOKUP(T2414,Equivalencia!$1:$23,((MAX(Equivalencia!$3:$3)-YEAR(S2414))*14)+MONTH(S2414)+2,FALSE)))</f>
        <v>0</v>
      </c>
      <c r="W2414" s="178">
        <f t="shared" si="219"/>
        <v>0</v>
      </c>
      <c r="X2414" s="481">
        <f t="shared" si="215"/>
        <v>0</v>
      </c>
      <c r="Y2414" s="179"/>
      <c r="Z2414" s="466">
        <f t="shared" si="216"/>
        <v>0</v>
      </c>
      <c r="AA2414" s="473">
        <f t="shared" si="217"/>
        <v>0</v>
      </c>
      <c r="AB2414" s="339">
        <f t="shared" si="218"/>
        <v>0</v>
      </c>
    </row>
    <row r="2415" spans="2:28" ht="20.100000000000001" customHeight="1">
      <c r="B2415" s="172"/>
      <c r="C2415" s="174"/>
      <c r="D2415" s="181"/>
      <c r="E2415" s="173"/>
      <c r="F2415" s="176"/>
      <c r="G2415" s="175">
        <f t="shared" si="220"/>
        <v>0</v>
      </c>
      <c r="H2415" s="175">
        <f t="shared" si="213"/>
        <v>0</v>
      </c>
      <c r="I2415" s="177">
        <f>IF(G2415=0,0,IF(E2415="MXN",1/HLOOKUP(YEAR(C2415)+(MONTH(C2415)/100),TC!$5:$37,DAY(C2415)+2,FALSE),VLOOKUP(E2415,Equivalencia!$5:$23,((MAX(Equivalencia!$3:$3)-YEAR(C2415))*14)+MONTH(C2415)+2,FALSE)))</f>
        <v>0</v>
      </c>
      <c r="J2415" s="178">
        <f t="shared" si="221"/>
        <v>0</v>
      </c>
      <c r="K2415" s="462">
        <f>IF(C2415=0,0,VLOOKUP(YEAR(C2415),INPC!$B$4:$O$29,MONTH(C2415)+1))</f>
        <v>0</v>
      </c>
      <c r="L2415" s="462">
        <f>IF(S2415=0,0,VLOOKUP(YEAR(S2415),INPC!$B$4:$O$29,MONTH(S2415)+1))</f>
        <v>0</v>
      </c>
      <c r="M2415" s="463">
        <f t="shared" si="214"/>
        <v>0</v>
      </c>
      <c r="N2415" s="465">
        <f t="shared" si="222"/>
        <v>0</v>
      </c>
      <c r="O2415" s="179"/>
      <c r="P2415" s="180"/>
      <c r="Q2415" s="173"/>
      <c r="R2415" s="173"/>
      <c r="S2415" s="174"/>
      <c r="T2415" s="173"/>
      <c r="U2415" s="182"/>
      <c r="V2415" s="177">
        <f>IF(U2415=0,0,IF(T2415="MXN",1/HLOOKUP(YEAR(S2415)+(MONTH(S2415)/100),TC!$5:$37,DAY(S2415)+2,FALSE),VLOOKUP(T2415,Equivalencia!$1:$23,((MAX(Equivalencia!$3:$3)-YEAR(S2415))*14)+MONTH(S2415)+2,FALSE)))</f>
        <v>0</v>
      </c>
      <c r="W2415" s="178">
        <f t="shared" si="219"/>
        <v>0</v>
      </c>
      <c r="X2415" s="481">
        <f t="shared" si="215"/>
        <v>0</v>
      </c>
      <c r="Y2415" s="179"/>
      <c r="Z2415" s="466">
        <f t="shared" si="216"/>
        <v>0</v>
      </c>
      <c r="AA2415" s="473">
        <f t="shared" si="217"/>
        <v>0</v>
      </c>
      <c r="AB2415" s="339">
        <f t="shared" si="218"/>
        <v>0</v>
      </c>
    </row>
    <row r="2416" spans="2:28" ht="20.100000000000001" customHeight="1">
      <c r="B2416" s="172"/>
      <c r="C2416" s="174"/>
      <c r="D2416" s="181"/>
      <c r="E2416" s="173"/>
      <c r="F2416" s="176"/>
      <c r="G2416" s="175">
        <f t="shared" si="220"/>
        <v>0</v>
      </c>
      <c r="H2416" s="175">
        <f t="shared" si="213"/>
        <v>0</v>
      </c>
      <c r="I2416" s="177">
        <f>IF(G2416=0,0,IF(E2416="MXN",1/HLOOKUP(YEAR(C2416)+(MONTH(C2416)/100),TC!$5:$37,DAY(C2416)+2,FALSE),VLOOKUP(E2416,Equivalencia!$5:$23,((MAX(Equivalencia!$3:$3)-YEAR(C2416))*14)+MONTH(C2416)+2,FALSE)))</f>
        <v>0</v>
      </c>
      <c r="J2416" s="178">
        <f t="shared" si="221"/>
        <v>0</v>
      </c>
      <c r="K2416" s="462">
        <f>IF(C2416=0,0,VLOOKUP(YEAR(C2416),INPC!$B$4:$O$29,MONTH(C2416)+1))</f>
        <v>0</v>
      </c>
      <c r="L2416" s="462">
        <f>IF(S2416=0,0,VLOOKUP(YEAR(S2416),INPC!$B$4:$O$29,MONTH(S2416)+1))</f>
        <v>0</v>
      </c>
      <c r="M2416" s="463">
        <f t="shared" si="214"/>
        <v>0</v>
      </c>
      <c r="N2416" s="465">
        <f t="shared" si="222"/>
        <v>0</v>
      </c>
      <c r="O2416" s="179"/>
      <c r="P2416" s="180"/>
      <c r="Q2416" s="173"/>
      <c r="R2416" s="173"/>
      <c r="S2416" s="174"/>
      <c r="T2416" s="173"/>
      <c r="U2416" s="182"/>
      <c r="V2416" s="177">
        <f>IF(U2416=0,0,IF(T2416="MXN",1/HLOOKUP(YEAR(S2416)+(MONTH(S2416)/100),TC!$5:$37,DAY(S2416)+2,FALSE),VLOOKUP(T2416,Equivalencia!$1:$23,((MAX(Equivalencia!$3:$3)-YEAR(S2416))*14)+MONTH(S2416)+2,FALSE)))</f>
        <v>0</v>
      </c>
      <c r="W2416" s="178">
        <f t="shared" si="219"/>
        <v>0</v>
      </c>
      <c r="X2416" s="481">
        <f t="shared" si="215"/>
        <v>0</v>
      </c>
      <c r="Y2416" s="179"/>
      <c r="Z2416" s="466">
        <f t="shared" si="216"/>
        <v>0</v>
      </c>
      <c r="AA2416" s="473">
        <f t="shared" si="217"/>
        <v>0</v>
      </c>
      <c r="AB2416" s="339">
        <f t="shared" si="218"/>
        <v>0</v>
      </c>
    </row>
    <row r="2417" spans="2:28" ht="20.100000000000001" customHeight="1">
      <c r="B2417" s="172"/>
      <c r="C2417" s="174"/>
      <c r="D2417" s="181"/>
      <c r="E2417" s="173"/>
      <c r="F2417" s="176"/>
      <c r="G2417" s="175">
        <f t="shared" si="220"/>
        <v>0</v>
      </c>
      <c r="H2417" s="175">
        <f t="shared" si="213"/>
        <v>0</v>
      </c>
      <c r="I2417" s="177">
        <f>IF(G2417=0,0,IF(E2417="MXN",1/HLOOKUP(YEAR(C2417)+(MONTH(C2417)/100),TC!$5:$37,DAY(C2417)+2,FALSE),VLOOKUP(E2417,Equivalencia!$5:$23,((MAX(Equivalencia!$3:$3)-YEAR(C2417))*14)+MONTH(C2417)+2,FALSE)))</f>
        <v>0</v>
      </c>
      <c r="J2417" s="178">
        <f t="shared" si="221"/>
        <v>0</v>
      </c>
      <c r="K2417" s="462">
        <f>IF(C2417=0,0,VLOOKUP(YEAR(C2417),INPC!$B$4:$O$29,MONTH(C2417)+1))</f>
        <v>0</v>
      </c>
      <c r="L2417" s="462">
        <f>IF(S2417=0,0,VLOOKUP(YEAR(S2417),INPC!$B$4:$O$29,MONTH(S2417)+1))</f>
        <v>0</v>
      </c>
      <c r="M2417" s="463">
        <f t="shared" si="214"/>
        <v>0</v>
      </c>
      <c r="N2417" s="465">
        <f t="shared" si="222"/>
        <v>0</v>
      </c>
      <c r="O2417" s="179"/>
      <c r="P2417" s="180"/>
      <c r="Q2417" s="173"/>
      <c r="R2417" s="173"/>
      <c r="S2417" s="174"/>
      <c r="T2417" s="173"/>
      <c r="U2417" s="182"/>
      <c r="V2417" s="177">
        <f>IF(U2417=0,0,IF(T2417="MXN",1/HLOOKUP(YEAR(S2417)+(MONTH(S2417)/100),TC!$5:$37,DAY(S2417)+2,FALSE),VLOOKUP(T2417,Equivalencia!$1:$23,((MAX(Equivalencia!$3:$3)-YEAR(S2417))*14)+MONTH(S2417)+2,FALSE)))</f>
        <v>0</v>
      </c>
      <c r="W2417" s="178">
        <f t="shared" si="219"/>
        <v>0</v>
      </c>
      <c r="X2417" s="481">
        <f t="shared" si="215"/>
        <v>0</v>
      </c>
      <c r="Y2417" s="179"/>
      <c r="Z2417" s="466">
        <f t="shared" si="216"/>
        <v>0</v>
      </c>
      <c r="AA2417" s="473">
        <f t="shared" si="217"/>
        <v>0</v>
      </c>
      <c r="AB2417" s="339">
        <f t="shared" si="218"/>
        <v>0</v>
      </c>
    </row>
    <row r="2418" spans="2:28" ht="20.100000000000001" customHeight="1">
      <c r="B2418" s="172"/>
      <c r="C2418" s="174"/>
      <c r="D2418" s="181"/>
      <c r="E2418" s="173"/>
      <c r="F2418" s="176"/>
      <c r="G2418" s="175">
        <f t="shared" si="220"/>
        <v>0</v>
      </c>
      <c r="H2418" s="175">
        <f t="shared" si="213"/>
        <v>0</v>
      </c>
      <c r="I2418" s="177">
        <f>IF(G2418=0,0,IF(E2418="MXN",1/HLOOKUP(YEAR(C2418)+(MONTH(C2418)/100),TC!$5:$37,DAY(C2418)+2,FALSE),VLOOKUP(E2418,Equivalencia!$5:$23,((MAX(Equivalencia!$3:$3)-YEAR(C2418))*14)+MONTH(C2418)+2,FALSE)))</f>
        <v>0</v>
      </c>
      <c r="J2418" s="178">
        <f t="shared" si="221"/>
        <v>0</v>
      </c>
      <c r="K2418" s="462">
        <f>IF(C2418=0,0,VLOOKUP(YEAR(C2418),INPC!$B$4:$O$29,MONTH(C2418)+1))</f>
        <v>0</v>
      </c>
      <c r="L2418" s="462">
        <f>IF(S2418=0,0,VLOOKUP(YEAR(S2418),INPC!$B$4:$O$29,MONTH(S2418)+1))</f>
        <v>0</v>
      </c>
      <c r="M2418" s="463">
        <f t="shared" si="214"/>
        <v>0</v>
      </c>
      <c r="N2418" s="465">
        <f t="shared" si="222"/>
        <v>0</v>
      </c>
      <c r="O2418" s="179"/>
      <c r="P2418" s="180"/>
      <c r="Q2418" s="173"/>
      <c r="R2418" s="173"/>
      <c r="S2418" s="174"/>
      <c r="T2418" s="173"/>
      <c r="U2418" s="182"/>
      <c r="V2418" s="177">
        <f>IF(U2418=0,0,IF(T2418="MXN",1/HLOOKUP(YEAR(S2418)+(MONTH(S2418)/100),TC!$5:$37,DAY(S2418)+2,FALSE),VLOOKUP(T2418,Equivalencia!$1:$23,((MAX(Equivalencia!$3:$3)-YEAR(S2418))*14)+MONTH(S2418)+2,FALSE)))</f>
        <v>0</v>
      </c>
      <c r="W2418" s="178">
        <f t="shared" si="219"/>
        <v>0</v>
      </c>
      <c r="X2418" s="481">
        <f t="shared" si="215"/>
        <v>0</v>
      </c>
      <c r="Y2418" s="179"/>
      <c r="Z2418" s="466">
        <f t="shared" si="216"/>
        <v>0</v>
      </c>
      <c r="AA2418" s="473">
        <f t="shared" si="217"/>
        <v>0</v>
      </c>
      <c r="AB2418" s="339">
        <f t="shared" si="218"/>
        <v>0</v>
      </c>
    </row>
    <row r="2419" spans="2:28" ht="20.100000000000001" customHeight="1">
      <c r="B2419" s="172"/>
      <c r="C2419" s="174"/>
      <c r="D2419" s="181"/>
      <c r="E2419" s="173"/>
      <c r="F2419" s="176"/>
      <c r="G2419" s="175">
        <f t="shared" si="220"/>
        <v>0</v>
      </c>
      <c r="H2419" s="175">
        <f t="shared" si="213"/>
        <v>0</v>
      </c>
      <c r="I2419" s="177">
        <f>IF(G2419=0,0,IF(E2419="MXN",1/HLOOKUP(YEAR(C2419)+(MONTH(C2419)/100),TC!$5:$37,DAY(C2419)+2,FALSE),VLOOKUP(E2419,Equivalencia!$5:$23,((MAX(Equivalencia!$3:$3)-YEAR(C2419))*14)+MONTH(C2419)+2,FALSE)))</f>
        <v>0</v>
      </c>
      <c r="J2419" s="178">
        <f t="shared" si="221"/>
        <v>0</v>
      </c>
      <c r="K2419" s="462">
        <f>IF(C2419=0,0,VLOOKUP(YEAR(C2419),INPC!$B$4:$O$29,MONTH(C2419)+1))</f>
        <v>0</v>
      </c>
      <c r="L2419" s="462">
        <f>IF(S2419=0,0,VLOOKUP(YEAR(S2419),INPC!$B$4:$O$29,MONTH(S2419)+1))</f>
        <v>0</v>
      </c>
      <c r="M2419" s="463">
        <f t="shared" si="214"/>
        <v>0</v>
      </c>
      <c r="N2419" s="465">
        <f t="shared" si="222"/>
        <v>0</v>
      </c>
      <c r="O2419" s="179"/>
      <c r="P2419" s="180"/>
      <c r="Q2419" s="173"/>
      <c r="R2419" s="173"/>
      <c r="S2419" s="174"/>
      <c r="T2419" s="173"/>
      <c r="U2419" s="182"/>
      <c r="V2419" s="177">
        <f>IF(U2419=0,0,IF(T2419="MXN",1/HLOOKUP(YEAR(S2419)+(MONTH(S2419)/100),TC!$5:$37,DAY(S2419)+2,FALSE),VLOOKUP(T2419,Equivalencia!$1:$23,((MAX(Equivalencia!$3:$3)-YEAR(S2419))*14)+MONTH(S2419)+2,FALSE)))</f>
        <v>0</v>
      </c>
      <c r="W2419" s="178">
        <f t="shared" si="219"/>
        <v>0</v>
      </c>
      <c r="X2419" s="481">
        <f t="shared" si="215"/>
        <v>0</v>
      </c>
      <c r="Y2419" s="179"/>
      <c r="Z2419" s="466">
        <f t="shared" si="216"/>
        <v>0</v>
      </c>
      <c r="AA2419" s="473">
        <f t="shared" si="217"/>
        <v>0</v>
      </c>
      <c r="AB2419" s="339">
        <f t="shared" si="218"/>
        <v>0</v>
      </c>
    </row>
    <row r="2420" spans="2:28" ht="20.100000000000001" customHeight="1">
      <c r="B2420" s="172"/>
      <c r="C2420" s="174"/>
      <c r="D2420" s="181"/>
      <c r="E2420" s="173"/>
      <c r="F2420" s="176"/>
      <c r="G2420" s="175">
        <f t="shared" si="220"/>
        <v>0</v>
      </c>
      <c r="H2420" s="175">
        <f t="shared" si="213"/>
        <v>0</v>
      </c>
      <c r="I2420" s="177">
        <f>IF(G2420=0,0,IF(E2420="MXN",1/HLOOKUP(YEAR(C2420)+(MONTH(C2420)/100),TC!$5:$37,DAY(C2420)+2,FALSE),VLOOKUP(E2420,Equivalencia!$5:$23,((MAX(Equivalencia!$3:$3)-YEAR(C2420))*14)+MONTH(C2420)+2,FALSE)))</f>
        <v>0</v>
      </c>
      <c r="J2420" s="178">
        <f t="shared" si="221"/>
        <v>0</v>
      </c>
      <c r="K2420" s="462">
        <f>IF(C2420=0,0,VLOOKUP(YEAR(C2420),INPC!$B$4:$O$29,MONTH(C2420)+1))</f>
        <v>0</v>
      </c>
      <c r="L2420" s="462">
        <f>IF(S2420=0,0,VLOOKUP(YEAR(S2420),INPC!$B$4:$O$29,MONTH(S2420)+1))</f>
        <v>0</v>
      </c>
      <c r="M2420" s="463">
        <f t="shared" si="214"/>
        <v>0</v>
      </c>
      <c r="N2420" s="465">
        <f t="shared" si="222"/>
        <v>0</v>
      </c>
      <c r="O2420" s="179"/>
      <c r="P2420" s="180"/>
      <c r="Q2420" s="173"/>
      <c r="R2420" s="173"/>
      <c r="S2420" s="174"/>
      <c r="T2420" s="173"/>
      <c r="U2420" s="182"/>
      <c r="V2420" s="177">
        <f>IF(U2420=0,0,IF(T2420="MXN",1/HLOOKUP(YEAR(S2420)+(MONTH(S2420)/100),TC!$5:$37,DAY(S2420)+2,FALSE),VLOOKUP(T2420,Equivalencia!$1:$23,((MAX(Equivalencia!$3:$3)-YEAR(S2420))*14)+MONTH(S2420)+2,FALSE)))</f>
        <v>0</v>
      </c>
      <c r="W2420" s="178">
        <f t="shared" si="219"/>
        <v>0</v>
      </c>
      <c r="X2420" s="481">
        <f t="shared" si="215"/>
        <v>0</v>
      </c>
      <c r="Y2420" s="179"/>
      <c r="Z2420" s="466">
        <f t="shared" si="216"/>
        <v>0</v>
      </c>
      <c r="AA2420" s="473">
        <f t="shared" si="217"/>
        <v>0</v>
      </c>
      <c r="AB2420" s="339">
        <f t="shared" si="218"/>
        <v>0</v>
      </c>
    </row>
    <row r="2421" spans="2:28" ht="20.100000000000001" customHeight="1">
      <c r="B2421" s="172"/>
      <c r="C2421" s="174"/>
      <c r="D2421" s="181"/>
      <c r="E2421" s="173"/>
      <c r="F2421" s="176"/>
      <c r="G2421" s="175">
        <f t="shared" si="220"/>
        <v>0</v>
      </c>
      <c r="H2421" s="175">
        <f t="shared" si="213"/>
        <v>0</v>
      </c>
      <c r="I2421" s="177">
        <f>IF(G2421=0,0,IF(E2421="MXN",1/HLOOKUP(YEAR(C2421)+(MONTH(C2421)/100),TC!$5:$37,DAY(C2421)+2,FALSE),VLOOKUP(E2421,Equivalencia!$5:$23,((MAX(Equivalencia!$3:$3)-YEAR(C2421))*14)+MONTH(C2421)+2,FALSE)))</f>
        <v>0</v>
      </c>
      <c r="J2421" s="178">
        <f t="shared" si="221"/>
        <v>0</v>
      </c>
      <c r="K2421" s="462">
        <f>IF(C2421=0,0,VLOOKUP(YEAR(C2421),INPC!$B$4:$O$29,MONTH(C2421)+1))</f>
        <v>0</v>
      </c>
      <c r="L2421" s="462">
        <f>IF(S2421=0,0,VLOOKUP(YEAR(S2421),INPC!$B$4:$O$29,MONTH(S2421)+1))</f>
        <v>0</v>
      </c>
      <c r="M2421" s="463">
        <f t="shared" si="214"/>
        <v>0</v>
      </c>
      <c r="N2421" s="465">
        <f t="shared" si="222"/>
        <v>0</v>
      </c>
      <c r="O2421" s="179"/>
      <c r="P2421" s="180"/>
      <c r="Q2421" s="173"/>
      <c r="R2421" s="173"/>
      <c r="S2421" s="174"/>
      <c r="T2421" s="173"/>
      <c r="U2421" s="182"/>
      <c r="V2421" s="177">
        <f>IF(U2421=0,0,IF(T2421="MXN",1/HLOOKUP(YEAR(S2421)+(MONTH(S2421)/100),TC!$5:$37,DAY(S2421)+2,FALSE),VLOOKUP(T2421,Equivalencia!$1:$23,((MAX(Equivalencia!$3:$3)-YEAR(S2421))*14)+MONTH(S2421)+2,FALSE)))</f>
        <v>0</v>
      </c>
      <c r="W2421" s="178">
        <f t="shared" si="219"/>
        <v>0</v>
      </c>
      <c r="X2421" s="481">
        <f t="shared" si="215"/>
        <v>0</v>
      </c>
      <c r="Y2421" s="179"/>
      <c r="Z2421" s="466">
        <f t="shared" si="216"/>
        <v>0</v>
      </c>
      <c r="AA2421" s="473">
        <f t="shared" si="217"/>
        <v>0</v>
      </c>
      <c r="AB2421" s="339">
        <f t="shared" si="218"/>
        <v>0</v>
      </c>
    </row>
    <row r="2422" spans="2:28" ht="20.100000000000001" customHeight="1">
      <c r="B2422" s="172"/>
      <c r="C2422" s="174"/>
      <c r="D2422" s="181"/>
      <c r="E2422" s="173"/>
      <c r="F2422" s="176"/>
      <c r="G2422" s="175">
        <f t="shared" si="220"/>
        <v>0</v>
      </c>
      <c r="H2422" s="175">
        <f t="shared" si="213"/>
        <v>0</v>
      </c>
      <c r="I2422" s="177">
        <f>IF(G2422=0,0,IF(E2422="MXN",1/HLOOKUP(YEAR(C2422)+(MONTH(C2422)/100),TC!$5:$37,DAY(C2422)+2,FALSE),VLOOKUP(E2422,Equivalencia!$5:$23,((MAX(Equivalencia!$3:$3)-YEAR(C2422))*14)+MONTH(C2422)+2,FALSE)))</f>
        <v>0</v>
      </c>
      <c r="J2422" s="178">
        <f t="shared" si="221"/>
        <v>0</v>
      </c>
      <c r="K2422" s="462">
        <f>IF(C2422=0,0,VLOOKUP(YEAR(C2422),INPC!$B$4:$O$29,MONTH(C2422)+1))</f>
        <v>0</v>
      </c>
      <c r="L2422" s="462">
        <f>IF(S2422=0,0,VLOOKUP(YEAR(S2422),INPC!$B$4:$O$29,MONTH(S2422)+1))</f>
        <v>0</v>
      </c>
      <c r="M2422" s="463">
        <f t="shared" si="214"/>
        <v>0</v>
      </c>
      <c r="N2422" s="465">
        <f t="shared" si="222"/>
        <v>0</v>
      </c>
      <c r="O2422" s="179"/>
      <c r="P2422" s="180"/>
      <c r="Q2422" s="173"/>
      <c r="R2422" s="173"/>
      <c r="S2422" s="174"/>
      <c r="T2422" s="173"/>
      <c r="U2422" s="182"/>
      <c r="V2422" s="177">
        <f>IF(U2422=0,0,IF(T2422="MXN",1/HLOOKUP(YEAR(S2422)+(MONTH(S2422)/100),TC!$5:$37,DAY(S2422)+2,FALSE),VLOOKUP(T2422,Equivalencia!$1:$23,((MAX(Equivalencia!$3:$3)-YEAR(S2422))*14)+MONTH(S2422)+2,FALSE)))</f>
        <v>0</v>
      </c>
      <c r="W2422" s="178">
        <f t="shared" si="219"/>
        <v>0</v>
      </c>
      <c r="X2422" s="481">
        <f t="shared" si="215"/>
        <v>0</v>
      </c>
      <c r="Y2422" s="179"/>
      <c r="Z2422" s="466">
        <f t="shared" si="216"/>
        <v>0</v>
      </c>
      <c r="AA2422" s="473">
        <f t="shared" si="217"/>
        <v>0</v>
      </c>
      <c r="AB2422" s="339">
        <f t="shared" si="218"/>
        <v>0</v>
      </c>
    </row>
    <row r="2423" spans="2:28" ht="20.100000000000001" customHeight="1">
      <c r="B2423" s="172"/>
      <c r="C2423" s="174"/>
      <c r="D2423" s="181"/>
      <c r="E2423" s="173"/>
      <c r="F2423" s="176"/>
      <c r="G2423" s="175">
        <f t="shared" si="220"/>
        <v>0</v>
      </c>
      <c r="H2423" s="175">
        <f t="shared" si="213"/>
        <v>0</v>
      </c>
      <c r="I2423" s="177">
        <f>IF(G2423=0,0,IF(E2423="MXN",1/HLOOKUP(YEAR(C2423)+(MONTH(C2423)/100),TC!$5:$37,DAY(C2423)+2,FALSE),VLOOKUP(E2423,Equivalencia!$5:$23,((MAX(Equivalencia!$3:$3)-YEAR(C2423))*14)+MONTH(C2423)+2,FALSE)))</f>
        <v>0</v>
      </c>
      <c r="J2423" s="178">
        <f t="shared" si="221"/>
        <v>0</v>
      </c>
      <c r="K2423" s="462">
        <f>IF(C2423=0,0,VLOOKUP(YEAR(C2423),INPC!$B$4:$O$29,MONTH(C2423)+1))</f>
        <v>0</v>
      </c>
      <c r="L2423" s="462">
        <f>IF(S2423=0,0,VLOOKUP(YEAR(S2423),INPC!$B$4:$O$29,MONTH(S2423)+1))</f>
        <v>0</v>
      </c>
      <c r="M2423" s="463">
        <f t="shared" si="214"/>
        <v>0</v>
      </c>
      <c r="N2423" s="465">
        <f t="shared" si="222"/>
        <v>0</v>
      </c>
      <c r="O2423" s="179"/>
      <c r="P2423" s="180"/>
      <c r="Q2423" s="173"/>
      <c r="R2423" s="173"/>
      <c r="S2423" s="174"/>
      <c r="T2423" s="173"/>
      <c r="U2423" s="182"/>
      <c r="V2423" s="177">
        <f>IF(U2423=0,0,IF(T2423="MXN",1/HLOOKUP(YEAR(S2423)+(MONTH(S2423)/100),TC!$5:$37,DAY(S2423)+2,FALSE),VLOOKUP(T2423,Equivalencia!$1:$23,((MAX(Equivalencia!$3:$3)-YEAR(S2423))*14)+MONTH(S2423)+2,FALSE)))</f>
        <v>0</v>
      </c>
      <c r="W2423" s="178">
        <f t="shared" si="219"/>
        <v>0</v>
      </c>
      <c r="X2423" s="481">
        <f t="shared" si="215"/>
        <v>0</v>
      </c>
      <c r="Y2423" s="179"/>
      <c r="Z2423" s="466">
        <f t="shared" si="216"/>
        <v>0</v>
      </c>
      <c r="AA2423" s="473">
        <f t="shared" si="217"/>
        <v>0</v>
      </c>
      <c r="AB2423" s="339">
        <f t="shared" si="218"/>
        <v>0</v>
      </c>
    </row>
    <row r="2424" spans="2:28" ht="20.100000000000001" customHeight="1">
      <c r="B2424" s="172"/>
      <c r="C2424" s="174"/>
      <c r="D2424" s="181"/>
      <c r="E2424" s="173"/>
      <c r="F2424" s="176"/>
      <c r="G2424" s="175">
        <f t="shared" si="220"/>
        <v>0</v>
      </c>
      <c r="H2424" s="175">
        <f t="shared" si="213"/>
        <v>0</v>
      </c>
      <c r="I2424" s="177">
        <f>IF(G2424=0,0,IF(E2424="MXN",1/HLOOKUP(YEAR(C2424)+(MONTH(C2424)/100),TC!$5:$37,DAY(C2424)+2,FALSE),VLOOKUP(E2424,Equivalencia!$5:$23,((MAX(Equivalencia!$3:$3)-YEAR(C2424))*14)+MONTH(C2424)+2,FALSE)))</f>
        <v>0</v>
      </c>
      <c r="J2424" s="178">
        <f t="shared" si="221"/>
        <v>0</v>
      </c>
      <c r="K2424" s="462">
        <f>IF(C2424=0,0,VLOOKUP(YEAR(C2424),INPC!$B$4:$O$29,MONTH(C2424)+1))</f>
        <v>0</v>
      </c>
      <c r="L2424" s="462">
        <f>IF(S2424=0,0,VLOOKUP(YEAR(S2424),INPC!$B$4:$O$29,MONTH(S2424)+1))</f>
        <v>0</v>
      </c>
      <c r="M2424" s="463">
        <f t="shared" si="214"/>
        <v>0</v>
      </c>
      <c r="N2424" s="465">
        <f t="shared" si="222"/>
        <v>0</v>
      </c>
      <c r="O2424" s="179"/>
      <c r="P2424" s="180"/>
      <c r="Q2424" s="173"/>
      <c r="R2424" s="173"/>
      <c r="S2424" s="174"/>
      <c r="T2424" s="173"/>
      <c r="U2424" s="182"/>
      <c r="V2424" s="177">
        <f>IF(U2424=0,0,IF(T2424="MXN",1/HLOOKUP(YEAR(S2424)+(MONTH(S2424)/100),TC!$5:$37,DAY(S2424)+2,FALSE),VLOOKUP(T2424,Equivalencia!$1:$23,((MAX(Equivalencia!$3:$3)-YEAR(S2424))*14)+MONTH(S2424)+2,FALSE)))</f>
        <v>0</v>
      </c>
      <c r="W2424" s="178">
        <f t="shared" si="219"/>
        <v>0</v>
      </c>
      <c r="X2424" s="481">
        <f t="shared" si="215"/>
        <v>0</v>
      </c>
      <c r="Y2424" s="179"/>
      <c r="Z2424" s="466">
        <f t="shared" si="216"/>
        <v>0</v>
      </c>
      <c r="AA2424" s="473">
        <f t="shared" si="217"/>
        <v>0</v>
      </c>
      <c r="AB2424" s="339">
        <f t="shared" si="218"/>
        <v>0</v>
      </c>
    </row>
    <row r="2425" spans="2:28" ht="20.100000000000001" customHeight="1">
      <c r="B2425" s="172"/>
      <c r="C2425" s="174"/>
      <c r="D2425" s="181"/>
      <c r="E2425" s="173"/>
      <c r="F2425" s="176"/>
      <c r="G2425" s="175">
        <f t="shared" si="220"/>
        <v>0</v>
      </c>
      <c r="H2425" s="175">
        <f t="shared" si="213"/>
        <v>0</v>
      </c>
      <c r="I2425" s="177">
        <f>IF(G2425=0,0,IF(E2425="MXN",1/HLOOKUP(YEAR(C2425)+(MONTH(C2425)/100),TC!$5:$37,DAY(C2425)+2,FALSE),VLOOKUP(E2425,Equivalencia!$5:$23,((MAX(Equivalencia!$3:$3)-YEAR(C2425))*14)+MONTH(C2425)+2,FALSE)))</f>
        <v>0</v>
      </c>
      <c r="J2425" s="178">
        <f t="shared" si="221"/>
        <v>0</v>
      </c>
      <c r="K2425" s="462">
        <f>IF(C2425=0,0,VLOOKUP(YEAR(C2425),INPC!$B$4:$O$29,MONTH(C2425)+1))</f>
        <v>0</v>
      </c>
      <c r="L2425" s="462">
        <f>IF(S2425=0,0,VLOOKUP(YEAR(S2425),INPC!$B$4:$O$29,MONTH(S2425)+1))</f>
        <v>0</v>
      </c>
      <c r="M2425" s="463">
        <f t="shared" si="214"/>
        <v>0</v>
      </c>
      <c r="N2425" s="465">
        <f t="shared" si="222"/>
        <v>0</v>
      </c>
      <c r="O2425" s="179"/>
      <c r="P2425" s="180"/>
      <c r="Q2425" s="173"/>
      <c r="R2425" s="173"/>
      <c r="S2425" s="174"/>
      <c r="T2425" s="173"/>
      <c r="U2425" s="182"/>
      <c r="V2425" s="177">
        <f>IF(U2425=0,0,IF(T2425="MXN",1/HLOOKUP(YEAR(S2425)+(MONTH(S2425)/100),TC!$5:$37,DAY(S2425)+2,FALSE),VLOOKUP(T2425,Equivalencia!$1:$23,((MAX(Equivalencia!$3:$3)-YEAR(S2425))*14)+MONTH(S2425)+2,FALSE)))</f>
        <v>0</v>
      </c>
      <c r="W2425" s="178">
        <f t="shared" si="219"/>
        <v>0</v>
      </c>
      <c r="X2425" s="481">
        <f t="shared" si="215"/>
        <v>0</v>
      </c>
      <c r="Y2425" s="179"/>
      <c r="Z2425" s="466">
        <f t="shared" si="216"/>
        <v>0</v>
      </c>
      <c r="AA2425" s="473">
        <f t="shared" si="217"/>
        <v>0</v>
      </c>
      <c r="AB2425" s="339">
        <f t="shared" si="218"/>
        <v>0</v>
      </c>
    </row>
    <row r="2426" spans="2:28" ht="20.100000000000001" customHeight="1">
      <c r="B2426" s="172"/>
      <c r="C2426" s="174"/>
      <c r="D2426" s="181"/>
      <c r="E2426" s="173"/>
      <c r="F2426" s="176"/>
      <c r="G2426" s="175">
        <f t="shared" si="220"/>
        <v>0</v>
      </c>
      <c r="H2426" s="175">
        <f t="shared" si="213"/>
        <v>0</v>
      </c>
      <c r="I2426" s="177">
        <f>IF(G2426=0,0,IF(E2426="MXN",1/HLOOKUP(YEAR(C2426)+(MONTH(C2426)/100),TC!$5:$37,DAY(C2426)+2,FALSE),VLOOKUP(E2426,Equivalencia!$5:$23,((MAX(Equivalencia!$3:$3)-YEAR(C2426))*14)+MONTH(C2426)+2,FALSE)))</f>
        <v>0</v>
      </c>
      <c r="J2426" s="178">
        <f t="shared" si="221"/>
        <v>0</v>
      </c>
      <c r="K2426" s="462">
        <f>IF(C2426=0,0,VLOOKUP(YEAR(C2426),INPC!$B$4:$O$29,MONTH(C2426)+1))</f>
        <v>0</v>
      </c>
      <c r="L2426" s="462">
        <f>IF(S2426=0,0,VLOOKUP(YEAR(S2426),INPC!$B$4:$O$29,MONTH(S2426)+1))</f>
        <v>0</v>
      </c>
      <c r="M2426" s="463">
        <f t="shared" si="214"/>
        <v>0</v>
      </c>
      <c r="N2426" s="465">
        <f t="shared" si="222"/>
        <v>0</v>
      </c>
      <c r="O2426" s="179"/>
      <c r="P2426" s="180"/>
      <c r="Q2426" s="173"/>
      <c r="R2426" s="173"/>
      <c r="S2426" s="174"/>
      <c r="T2426" s="173"/>
      <c r="U2426" s="182"/>
      <c r="V2426" s="177">
        <f>IF(U2426=0,0,IF(T2426="MXN",1/HLOOKUP(YEAR(S2426)+(MONTH(S2426)/100),TC!$5:$37,DAY(S2426)+2,FALSE),VLOOKUP(T2426,Equivalencia!$1:$23,((MAX(Equivalencia!$3:$3)-YEAR(S2426))*14)+MONTH(S2426)+2,FALSE)))</f>
        <v>0</v>
      </c>
      <c r="W2426" s="178">
        <f t="shared" si="219"/>
        <v>0</v>
      </c>
      <c r="X2426" s="481">
        <f t="shared" si="215"/>
        <v>0</v>
      </c>
      <c r="Y2426" s="179"/>
      <c r="Z2426" s="466">
        <f t="shared" si="216"/>
        <v>0</v>
      </c>
      <c r="AA2426" s="473">
        <f t="shared" si="217"/>
        <v>0</v>
      </c>
      <c r="AB2426" s="339">
        <f t="shared" si="218"/>
        <v>0</v>
      </c>
    </row>
    <row r="2427" spans="2:28" ht="20.100000000000001" customHeight="1">
      <c r="B2427" s="172"/>
      <c r="C2427" s="174"/>
      <c r="D2427" s="181"/>
      <c r="E2427" s="173"/>
      <c r="F2427" s="176"/>
      <c r="G2427" s="175">
        <f t="shared" si="220"/>
        <v>0</v>
      </c>
      <c r="H2427" s="175">
        <f t="shared" si="213"/>
        <v>0</v>
      </c>
      <c r="I2427" s="177">
        <f>IF(G2427=0,0,IF(E2427="MXN",1/HLOOKUP(YEAR(C2427)+(MONTH(C2427)/100),TC!$5:$37,DAY(C2427)+2,FALSE),VLOOKUP(E2427,Equivalencia!$5:$23,((MAX(Equivalencia!$3:$3)-YEAR(C2427))*14)+MONTH(C2427)+2,FALSE)))</f>
        <v>0</v>
      </c>
      <c r="J2427" s="178">
        <f t="shared" si="221"/>
        <v>0</v>
      </c>
      <c r="K2427" s="462">
        <f>IF(C2427=0,0,VLOOKUP(YEAR(C2427),INPC!$B$4:$O$29,MONTH(C2427)+1))</f>
        <v>0</v>
      </c>
      <c r="L2427" s="462">
        <f>IF(S2427=0,0,VLOOKUP(YEAR(S2427),INPC!$B$4:$O$29,MONTH(S2427)+1))</f>
        <v>0</v>
      </c>
      <c r="M2427" s="463">
        <f t="shared" si="214"/>
        <v>0</v>
      </c>
      <c r="N2427" s="465">
        <f t="shared" si="222"/>
        <v>0</v>
      </c>
      <c r="O2427" s="179"/>
      <c r="P2427" s="180"/>
      <c r="Q2427" s="173"/>
      <c r="R2427" s="173"/>
      <c r="S2427" s="174"/>
      <c r="T2427" s="173"/>
      <c r="U2427" s="182"/>
      <c r="V2427" s="177">
        <f>IF(U2427=0,0,IF(T2427="MXN",1/HLOOKUP(YEAR(S2427)+(MONTH(S2427)/100),TC!$5:$37,DAY(S2427)+2,FALSE),VLOOKUP(T2427,Equivalencia!$1:$23,((MAX(Equivalencia!$3:$3)-YEAR(S2427))*14)+MONTH(S2427)+2,FALSE)))</f>
        <v>0</v>
      </c>
      <c r="W2427" s="178">
        <f t="shared" si="219"/>
        <v>0</v>
      </c>
      <c r="X2427" s="481">
        <f t="shared" si="215"/>
        <v>0</v>
      </c>
      <c r="Y2427" s="179"/>
      <c r="Z2427" s="466">
        <f t="shared" si="216"/>
        <v>0</v>
      </c>
      <c r="AA2427" s="473">
        <f t="shared" si="217"/>
        <v>0</v>
      </c>
      <c r="AB2427" s="339">
        <f t="shared" si="218"/>
        <v>0</v>
      </c>
    </row>
    <row r="2428" spans="2:28" ht="20.100000000000001" customHeight="1">
      <c r="B2428" s="172"/>
      <c r="C2428" s="174"/>
      <c r="D2428" s="181"/>
      <c r="E2428" s="173"/>
      <c r="F2428" s="176"/>
      <c r="G2428" s="175">
        <f t="shared" si="220"/>
        <v>0</v>
      </c>
      <c r="H2428" s="175">
        <f t="shared" si="213"/>
        <v>0</v>
      </c>
      <c r="I2428" s="177">
        <f>IF(G2428=0,0,IF(E2428="MXN",1/HLOOKUP(YEAR(C2428)+(MONTH(C2428)/100),TC!$5:$37,DAY(C2428)+2,FALSE),VLOOKUP(E2428,Equivalencia!$5:$23,((MAX(Equivalencia!$3:$3)-YEAR(C2428))*14)+MONTH(C2428)+2,FALSE)))</f>
        <v>0</v>
      </c>
      <c r="J2428" s="178">
        <f t="shared" si="221"/>
        <v>0</v>
      </c>
      <c r="K2428" s="462">
        <f>IF(C2428=0,0,VLOOKUP(YEAR(C2428),INPC!$B$4:$O$29,MONTH(C2428)+1))</f>
        <v>0</v>
      </c>
      <c r="L2428" s="462">
        <f>IF(S2428=0,0,VLOOKUP(YEAR(S2428),INPC!$B$4:$O$29,MONTH(S2428)+1))</f>
        <v>0</v>
      </c>
      <c r="M2428" s="463">
        <f t="shared" si="214"/>
        <v>0</v>
      </c>
      <c r="N2428" s="465">
        <f t="shared" si="222"/>
        <v>0</v>
      </c>
      <c r="O2428" s="179"/>
      <c r="P2428" s="180"/>
      <c r="Q2428" s="173"/>
      <c r="R2428" s="173"/>
      <c r="S2428" s="174"/>
      <c r="T2428" s="173"/>
      <c r="U2428" s="182"/>
      <c r="V2428" s="177">
        <f>IF(U2428=0,0,IF(T2428="MXN",1/HLOOKUP(YEAR(S2428)+(MONTH(S2428)/100),TC!$5:$37,DAY(S2428)+2,FALSE),VLOOKUP(T2428,Equivalencia!$1:$23,((MAX(Equivalencia!$3:$3)-YEAR(S2428))*14)+MONTH(S2428)+2,FALSE)))</f>
        <v>0</v>
      </c>
      <c r="W2428" s="178">
        <f t="shared" si="219"/>
        <v>0</v>
      </c>
      <c r="X2428" s="481">
        <f t="shared" si="215"/>
        <v>0</v>
      </c>
      <c r="Y2428" s="179"/>
      <c r="Z2428" s="466">
        <f t="shared" si="216"/>
        <v>0</v>
      </c>
      <c r="AA2428" s="473">
        <f t="shared" si="217"/>
        <v>0</v>
      </c>
      <c r="AB2428" s="339">
        <f t="shared" si="218"/>
        <v>0</v>
      </c>
    </row>
    <row r="2429" spans="2:28" ht="20.100000000000001" customHeight="1">
      <c r="B2429" s="172"/>
      <c r="C2429" s="174"/>
      <c r="D2429" s="181"/>
      <c r="E2429" s="173"/>
      <c r="F2429" s="176"/>
      <c r="G2429" s="175">
        <f t="shared" si="220"/>
        <v>0</v>
      </c>
      <c r="H2429" s="175">
        <f t="shared" si="213"/>
        <v>0</v>
      </c>
      <c r="I2429" s="177">
        <f>IF(G2429=0,0,IF(E2429="MXN",1/HLOOKUP(YEAR(C2429)+(MONTH(C2429)/100),TC!$5:$37,DAY(C2429)+2,FALSE),VLOOKUP(E2429,Equivalencia!$5:$23,((MAX(Equivalencia!$3:$3)-YEAR(C2429))*14)+MONTH(C2429)+2,FALSE)))</f>
        <v>0</v>
      </c>
      <c r="J2429" s="178">
        <f t="shared" si="221"/>
        <v>0</v>
      </c>
      <c r="K2429" s="462">
        <f>IF(C2429=0,0,VLOOKUP(YEAR(C2429),INPC!$B$4:$O$29,MONTH(C2429)+1))</f>
        <v>0</v>
      </c>
      <c r="L2429" s="462">
        <f>IF(S2429=0,0,VLOOKUP(YEAR(S2429),INPC!$B$4:$O$29,MONTH(S2429)+1))</f>
        <v>0</v>
      </c>
      <c r="M2429" s="463">
        <f t="shared" si="214"/>
        <v>0</v>
      </c>
      <c r="N2429" s="465">
        <f t="shared" si="222"/>
        <v>0</v>
      </c>
      <c r="O2429" s="179"/>
      <c r="P2429" s="180"/>
      <c r="Q2429" s="173"/>
      <c r="R2429" s="173"/>
      <c r="S2429" s="174"/>
      <c r="T2429" s="173"/>
      <c r="U2429" s="182"/>
      <c r="V2429" s="177">
        <f>IF(U2429=0,0,IF(T2429="MXN",1/HLOOKUP(YEAR(S2429)+(MONTH(S2429)/100),TC!$5:$37,DAY(S2429)+2,FALSE),VLOOKUP(T2429,Equivalencia!$1:$23,((MAX(Equivalencia!$3:$3)-YEAR(S2429))*14)+MONTH(S2429)+2,FALSE)))</f>
        <v>0</v>
      </c>
      <c r="W2429" s="178">
        <f t="shared" si="219"/>
        <v>0</v>
      </c>
      <c r="X2429" s="481">
        <f t="shared" si="215"/>
        <v>0</v>
      </c>
      <c r="Y2429" s="179"/>
      <c r="Z2429" s="466">
        <f t="shared" si="216"/>
        <v>0</v>
      </c>
      <c r="AA2429" s="473">
        <f t="shared" si="217"/>
        <v>0</v>
      </c>
      <c r="AB2429" s="339">
        <f t="shared" si="218"/>
        <v>0</v>
      </c>
    </row>
    <row r="2430" spans="2:28" ht="20.100000000000001" customHeight="1">
      <c r="B2430" s="172"/>
      <c r="C2430" s="174"/>
      <c r="D2430" s="181"/>
      <c r="E2430" s="173"/>
      <c r="F2430" s="176"/>
      <c r="G2430" s="175">
        <f t="shared" si="220"/>
        <v>0</v>
      </c>
      <c r="H2430" s="175">
        <f t="shared" si="213"/>
        <v>0</v>
      </c>
      <c r="I2430" s="177">
        <f>IF(G2430=0,0,IF(E2430="MXN",1/HLOOKUP(YEAR(C2430)+(MONTH(C2430)/100),TC!$5:$37,DAY(C2430)+2,FALSE),VLOOKUP(E2430,Equivalencia!$5:$23,((MAX(Equivalencia!$3:$3)-YEAR(C2430))*14)+MONTH(C2430)+2,FALSE)))</f>
        <v>0</v>
      </c>
      <c r="J2430" s="178">
        <f t="shared" si="221"/>
        <v>0</v>
      </c>
      <c r="K2430" s="462">
        <f>IF(C2430=0,0,VLOOKUP(YEAR(C2430),INPC!$B$4:$O$29,MONTH(C2430)+1))</f>
        <v>0</v>
      </c>
      <c r="L2430" s="462">
        <f>IF(S2430=0,0,VLOOKUP(YEAR(S2430),INPC!$B$4:$O$29,MONTH(S2430)+1))</f>
        <v>0</v>
      </c>
      <c r="M2430" s="463">
        <f t="shared" si="214"/>
        <v>0</v>
      </c>
      <c r="N2430" s="465">
        <f t="shared" si="222"/>
        <v>0</v>
      </c>
      <c r="O2430" s="179"/>
      <c r="P2430" s="180"/>
      <c r="Q2430" s="173"/>
      <c r="R2430" s="173"/>
      <c r="S2430" s="174"/>
      <c r="T2430" s="173"/>
      <c r="U2430" s="182"/>
      <c r="V2430" s="177">
        <f>IF(U2430=0,0,IF(T2430="MXN",1/HLOOKUP(YEAR(S2430)+(MONTH(S2430)/100),TC!$5:$37,DAY(S2430)+2,FALSE),VLOOKUP(T2430,Equivalencia!$1:$23,((MAX(Equivalencia!$3:$3)-YEAR(S2430))*14)+MONTH(S2430)+2,FALSE)))</f>
        <v>0</v>
      </c>
      <c r="W2430" s="178">
        <f t="shared" si="219"/>
        <v>0</v>
      </c>
      <c r="X2430" s="481">
        <f t="shared" si="215"/>
        <v>0</v>
      </c>
      <c r="Y2430" s="179"/>
      <c r="Z2430" s="466">
        <f t="shared" si="216"/>
        <v>0</v>
      </c>
      <c r="AA2430" s="473">
        <f t="shared" si="217"/>
        <v>0</v>
      </c>
      <c r="AB2430" s="339">
        <f t="shared" si="218"/>
        <v>0</v>
      </c>
    </row>
    <row r="2431" spans="2:28" ht="20.100000000000001" customHeight="1">
      <c r="B2431" s="172"/>
      <c r="C2431" s="174"/>
      <c r="D2431" s="181"/>
      <c r="E2431" s="173"/>
      <c r="F2431" s="176"/>
      <c r="G2431" s="175">
        <f t="shared" si="220"/>
        <v>0</v>
      </c>
      <c r="H2431" s="175">
        <f t="shared" si="213"/>
        <v>0</v>
      </c>
      <c r="I2431" s="177">
        <f>IF(G2431=0,0,IF(E2431="MXN",1/HLOOKUP(YEAR(C2431)+(MONTH(C2431)/100),TC!$5:$37,DAY(C2431)+2,FALSE),VLOOKUP(E2431,Equivalencia!$5:$23,((MAX(Equivalencia!$3:$3)-YEAR(C2431))*14)+MONTH(C2431)+2,FALSE)))</f>
        <v>0</v>
      </c>
      <c r="J2431" s="178">
        <f t="shared" si="221"/>
        <v>0</v>
      </c>
      <c r="K2431" s="462">
        <f>IF(C2431=0,0,VLOOKUP(YEAR(C2431),INPC!$B$4:$O$29,MONTH(C2431)+1))</f>
        <v>0</v>
      </c>
      <c r="L2431" s="462">
        <f>IF(S2431=0,0,VLOOKUP(YEAR(S2431),INPC!$B$4:$O$29,MONTH(S2431)+1))</f>
        <v>0</v>
      </c>
      <c r="M2431" s="463">
        <f t="shared" si="214"/>
        <v>0</v>
      </c>
      <c r="N2431" s="465">
        <f t="shared" si="222"/>
        <v>0</v>
      </c>
      <c r="O2431" s="179"/>
      <c r="P2431" s="180"/>
      <c r="Q2431" s="173"/>
      <c r="R2431" s="173"/>
      <c r="S2431" s="174"/>
      <c r="T2431" s="173"/>
      <c r="U2431" s="182"/>
      <c r="V2431" s="177">
        <f>IF(U2431=0,0,IF(T2431="MXN",1/HLOOKUP(YEAR(S2431)+(MONTH(S2431)/100),TC!$5:$37,DAY(S2431)+2,FALSE),VLOOKUP(T2431,Equivalencia!$1:$23,((MAX(Equivalencia!$3:$3)-YEAR(S2431))*14)+MONTH(S2431)+2,FALSE)))</f>
        <v>0</v>
      </c>
      <c r="W2431" s="178">
        <f t="shared" si="219"/>
        <v>0</v>
      </c>
      <c r="X2431" s="481">
        <f t="shared" si="215"/>
        <v>0</v>
      </c>
      <c r="Y2431" s="179"/>
      <c r="Z2431" s="466">
        <f t="shared" si="216"/>
        <v>0</v>
      </c>
      <c r="AA2431" s="473">
        <f t="shared" si="217"/>
        <v>0</v>
      </c>
      <c r="AB2431" s="339">
        <f t="shared" si="218"/>
        <v>0</v>
      </c>
    </row>
    <row r="2432" spans="2:28" ht="20.100000000000001" customHeight="1">
      <c r="B2432" s="172"/>
      <c r="C2432" s="174"/>
      <c r="D2432" s="181"/>
      <c r="E2432" s="173"/>
      <c r="F2432" s="176"/>
      <c r="G2432" s="175">
        <f t="shared" si="220"/>
        <v>0</v>
      </c>
      <c r="H2432" s="175">
        <f t="shared" si="213"/>
        <v>0</v>
      </c>
      <c r="I2432" s="177">
        <f>IF(G2432=0,0,IF(E2432="MXN",1/HLOOKUP(YEAR(C2432)+(MONTH(C2432)/100),TC!$5:$37,DAY(C2432)+2,FALSE),VLOOKUP(E2432,Equivalencia!$5:$23,((MAX(Equivalencia!$3:$3)-YEAR(C2432))*14)+MONTH(C2432)+2,FALSE)))</f>
        <v>0</v>
      </c>
      <c r="J2432" s="178">
        <f t="shared" si="221"/>
        <v>0</v>
      </c>
      <c r="K2432" s="462">
        <f>IF(C2432=0,0,VLOOKUP(YEAR(C2432),INPC!$B$4:$O$29,MONTH(C2432)+1))</f>
        <v>0</v>
      </c>
      <c r="L2432" s="462">
        <f>IF(S2432=0,0,VLOOKUP(YEAR(S2432),INPC!$B$4:$O$29,MONTH(S2432)+1))</f>
        <v>0</v>
      </c>
      <c r="M2432" s="463">
        <f t="shared" si="214"/>
        <v>0</v>
      </c>
      <c r="N2432" s="465">
        <f t="shared" si="222"/>
        <v>0</v>
      </c>
      <c r="O2432" s="179"/>
      <c r="P2432" s="180"/>
      <c r="Q2432" s="173"/>
      <c r="R2432" s="173"/>
      <c r="S2432" s="174"/>
      <c r="T2432" s="173"/>
      <c r="U2432" s="182"/>
      <c r="V2432" s="177">
        <f>IF(U2432=0,0,IF(T2432="MXN",1/HLOOKUP(YEAR(S2432)+(MONTH(S2432)/100),TC!$5:$37,DAY(S2432)+2,FALSE),VLOOKUP(T2432,Equivalencia!$1:$23,((MAX(Equivalencia!$3:$3)-YEAR(S2432))*14)+MONTH(S2432)+2,FALSE)))</f>
        <v>0</v>
      </c>
      <c r="W2432" s="178">
        <f t="shared" si="219"/>
        <v>0</v>
      </c>
      <c r="X2432" s="481">
        <f t="shared" si="215"/>
        <v>0</v>
      </c>
      <c r="Y2432" s="179"/>
      <c r="Z2432" s="466">
        <f t="shared" si="216"/>
        <v>0</v>
      </c>
      <c r="AA2432" s="473">
        <f t="shared" si="217"/>
        <v>0</v>
      </c>
      <c r="AB2432" s="339">
        <f t="shared" si="218"/>
        <v>0</v>
      </c>
    </row>
    <row r="2433" spans="2:28" ht="20.100000000000001" customHeight="1">
      <c r="B2433" s="172"/>
      <c r="C2433" s="174"/>
      <c r="D2433" s="181"/>
      <c r="E2433" s="173"/>
      <c r="F2433" s="176"/>
      <c r="G2433" s="175">
        <f t="shared" si="220"/>
        <v>0</v>
      </c>
      <c r="H2433" s="175">
        <f t="shared" si="213"/>
        <v>0</v>
      </c>
      <c r="I2433" s="177">
        <f>IF(G2433=0,0,IF(E2433="MXN",1/HLOOKUP(YEAR(C2433)+(MONTH(C2433)/100),TC!$5:$37,DAY(C2433)+2,FALSE),VLOOKUP(E2433,Equivalencia!$5:$23,((MAX(Equivalencia!$3:$3)-YEAR(C2433))*14)+MONTH(C2433)+2,FALSE)))</f>
        <v>0</v>
      </c>
      <c r="J2433" s="178">
        <f t="shared" si="221"/>
        <v>0</v>
      </c>
      <c r="K2433" s="462">
        <f>IF(C2433=0,0,VLOOKUP(YEAR(C2433),INPC!$B$4:$O$29,MONTH(C2433)+1))</f>
        <v>0</v>
      </c>
      <c r="L2433" s="462">
        <f>IF(S2433=0,0,VLOOKUP(YEAR(S2433),INPC!$B$4:$O$29,MONTH(S2433)+1))</f>
        <v>0</v>
      </c>
      <c r="M2433" s="463">
        <f t="shared" si="214"/>
        <v>0</v>
      </c>
      <c r="N2433" s="465">
        <f t="shared" si="222"/>
        <v>0</v>
      </c>
      <c r="O2433" s="179"/>
      <c r="P2433" s="180"/>
      <c r="Q2433" s="173"/>
      <c r="R2433" s="173"/>
      <c r="S2433" s="174"/>
      <c r="T2433" s="173"/>
      <c r="U2433" s="182"/>
      <c r="V2433" s="177">
        <f>IF(U2433=0,0,IF(T2433="MXN",1/HLOOKUP(YEAR(S2433)+(MONTH(S2433)/100),TC!$5:$37,DAY(S2433)+2,FALSE),VLOOKUP(T2433,Equivalencia!$1:$23,((MAX(Equivalencia!$3:$3)-YEAR(S2433))*14)+MONTH(S2433)+2,FALSE)))</f>
        <v>0</v>
      </c>
      <c r="W2433" s="178">
        <f t="shared" si="219"/>
        <v>0</v>
      </c>
      <c r="X2433" s="481">
        <f t="shared" si="215"/>
        <v>0</v>
      </c>
      <c r="Y2433" s="179"/>
      <c r="Z2433" s="466">
        <f t="shared" si="216"/>
        <v>0</v>
      </c>
      <c r="AA2433" s="473">
        <f t="shared" si="217"/>
        <v>0</v>
      </c>
      <c r="AB2433" s="339">
        <f t="shared" si="218"/>
        <v>0</v>
      </c>
    </row>
    <row r="2434" spans="2:28" ht="20.100000000000001" customHeight="1">
      <c r="B2434" s="172"/>
      <c r="C2434" s="174"/>
      <c r="D2434" s="181"/>
      <c r="E2434" s="173"/>
      <c r="F2434" s="176"/>
      <c r="G2434" s="175">
        <f t="shared" si="220"/>
        <v>0</v>
      </c>
      <c r="H2434" s="175">
        <f t="shared" si="213"/>
        <v>0</v>
      </c>
      <c r="I2434" s="177">
        <f>IF(G2434=0,0,IF(E2434="MXN",1/HLOOKUP(YEAR(C2434)+(MONTH(C2434)/100),TC!$5:$37,DAY(C2434)+2,FALSE),VLOOKUP(E2434,Equivalencia!$5:$23,((MAX(Equivalencia!$3:$3)-YEAR(C2434))*14)+MONTH(C2434)+2,FALSE)))</f>
        <v>0</v>
      </c>
      <c r="J2434" s="178">
        <f t="shared" si="221"/>
        <v>0</v>
      </c>
      <c r="K2434" s="462">
        <f>IF(C2434=0,0,VLOOKUP(YEAR(C2434),INPC!$B$4:$O$29,MONTH(C2434)+1))</f>
        <v>0</v>
      </c>
      <c r="L2434" s="462">
        <f>IF(S2434=0,0,VLOOKUP(YEAR(S2434),INPC!$B$4:$O$29,MONTH(S2434)+1))</f>
        <v>0</v>
      </c>
      <c r="M2434" s="463">
        <f t="shared" si="214"/>
        <v>0</v>
      </c>
      <c r="N2434" s="465">
        <f t="shared" si="222"/>
        <v>0</v>
      </c>
      <c r="O2434" s="179"/>
      <c r="P2434" s="180"/>
      <c r="Q2434" s="173"/>
      <c r="R2434" s="173"/>
      <c r="S2434" s="174"/>
      <c r="T2434" s="173"/>
      <c r="U2434" s="182"/>
      <c r="V2434" s="177">
        <f>IF(U2434=0,0,IF(T2434="MXN",1/HLOOKUP(YEAR(S2434)+(MONTH(S2434)/100),TC!$5:$37,DAY(S2434)+2,FALSE),VLOOKUP(T2434,Equivalencia!$1:$23,((MAX(Equivalencia!$3:$3)-YEAR(S2434))*14)+MONTH(S2434)+2,FALSE)))</f>
        <v>0</v>
      </c>
      <c r="W2434" s="178">
        <f t="shared" si="219"/>
        <v>0</v>
      </c>
      <c r="X2434" s="481">
        <f t="shared" si="215"/>
        <v>0</v>
      </c>
      <c r="Y2434" s="179"/>
      <c r="Z2434" s="466">
        <f t="shared" si="216"/>
        <v>0</v>
      </c>
      <c r="AA2434" s="473">
        <f t="shared" si="217"/>
        <v>0</v>
      </c>
      <c r="AB2434" s="339">
        <f t="shared" si="218"/>
        <v>0</v>
      </c>
    </row>
    <row r="2435" spans="2:28" ht="20.100000000000001" customHeight="1">
      <c r="B2435" s="172"/>
      <c r="C2435" s="174"/>
      <c r="D2435" s="181"/>
      <c r="E2435" s="173"/>
      <c r="F2435" s="176"/>
      <c r="G2435" s="175">
        <f t="shared" si="220"/>
        <v>0</v>
      </c>
      <c r="H2435" s="175">
        <f t="shared" si="213"/>
        <v>0</v>
      </c>
      <c r="I2435" s="177">
        <f>IF(G2435=0,0,IF(E2435="MXN",1/HLOOKUP(YEAR(C2435)+(MONTH(C2435)/100),TC!$5:$37,DAY(C2435)+2,FALSE),VLOOKUP(E2435,Equivalencia!$5:$23,((MAX(Equivalencia!$3:$3)-YEAR(C2435))*14)+MONTH(C2435)+2,FALSE)))</f>
        <v>0</v>
      </c>
      <c r="J2435" s="178">
        <f t="shared" si="221"/>
        <v>0</v>
      </c>
      <c r="K2435" s="462">
        <f>IF(C2435=0,0,VLOOKUP(YEAR(C2435),INPC!$B$4:$O$29,MONTH(C2435)+1))</f>
        <v>0</v>
      </c>
      <c r="L2435" s="462">
        <f>IF(S2435=0,0,VLOOKUP(YEAR(S2435),INPC!$B$4:$O$29,MONTH(S2435)+1))</f>
        <v>0</v>
      </c>
      <c r="M2435" s="463">
        <f t="shared" si="214"/>
        <v>0</v>
      </c>
      <c r="N2435" s="465">
        <f t="shared" si="222"/>
        <v>0</v>
      </c>
      <c r="O2435" s="179"/>
      <c r="P2435" s="180"/>
      <c r="Q2435" s="173"/>
      <c r="R2435" s="173"/>
      <c r="S2435" s="174"/>
      <c r="T2435" s="173"/>
      <c r="U2435" s="182"/>
      <c r="V2435" s="177">
        <f>IF(U2435=0,0,IF(T2435="MXN",1/HLOOKUP(YEAR(S2435)+(MONTH(S2435)/100),TC!$5:$37,DAY(S2435)+2,FALSE),VLOOKUP(T2435,Equivalencia!$1:$23,((MAX(Equivalencia!$3:$3)-YEAR(S2435))*14)+MONTH(S2435)+2,FALSE)))</f>
        <v>0</v>
      </c>
      <c r="W2435" s="178">
        <f t="shared" si="219"/>
        <v>0</v>
      </c>
      <c r="X2435" s="481">
        <f t="shared" si="215"/>
        <v>0</v>
      </c>
      <c r="Y2435" s="179"/>
      <c r="Z2435" s="466">
        <f t="shared" si="216"/>
        <v>0</v>
      </c>
      <c r="AA2435" s="473">
        <f t="shared" si="217"/>
        <v>0</v>
      </c>
      <c r="AB2435" s="339">
        <f t="shared" si="218"/>
        <v>0</v>
      </c>
    </row>
    <row r="2436" spans="2:28" ht="20.100000000000001" customHeight="1">
      <c r="B2436" s="172"/>
      <c r="C2436" s="174"/>
      <c r="D2436" s="181"/>
      <c r="E2436" s="173"/>
      <c r="F2436" s="176"/>
      <c r="G2436" s="175">
        <f t="shared" si="220"/>
        <v>0</v>
      </c>
      <c r="H2436" s="175">
        <f t="shared" si="213"/>
        <v>0</v>
      </c>
      <c r="I2436" s="177">
        <f>IF(G2436=0,0,IF(E2436="MXN",1/HLOOKUP(YEAR(C2436)+(MONTH(C2436)/100),TC!$5:$37,DAY(C2436)+2,FALSE),VLOOKUP(E2436,Equivalencia!$5:$23,((MAX(Equivalencia!$3:$3)-YEAR(C2436))*14)+MONTH(C2436)+2,FALSE)))</f>
        <v>0</v>
      </c>
      <c r="J2436" s="178">
        <f t="shared" si="221"/>
        <v>0</v>
      </c>
      <c r="K2436" s="462">
        <f>IF(C2436=0,0,VLOOKUP(YEAR(C2436),INPC!$B$4:$O$29,MONTH(C2436)+1))</f>
        <v>0</v>
      </c>
      <c r="L2436" s="462">
        <f>IF(S2436=0,0,VLOOKUP(YEAR(S2436),INPC!$B$4:$O$29,MONTH(S2436)+1))</f>
        <v>0</v>
      </c>
      <c r="M2436" s="463">
        <f t="shared" si="214"/>
        <v>0</v>
      </c>
      <c r="N2436" s="465">
        <f t="shared" si="222"/>
        <v>0</v>
      </c>
      <c r="O2436" s="179"/>
      <c r="P2436" s="180"/>
      <c r="Q2436" s="173"/>
      <c r="R2436" s="173"/>
      <c r="S2436" s="174"/>
      <c r="T2436" s="173"/>
      <c r="U2436" s="182"/>
      <c r="V2436" s="177">
        <f>IF(U2436=0,0,IF(T2436="MXN",1/HLOOKUP(YEAR(S2436)+(MONTH(S2436)/100),TC!$5:$37,DAY(S2436)+2,FALSE),VLOOKUP(T2436,Equivalencia!$1:$23,((MAX(Equivalencia!$3:$3)-YEAR(S2436))*14)+MONTH(S2436)+2,FALSE)))</f>
        <v>0</v>
      </c>
      <c r="W2436" s="178">
        <f t="shared" si="219"/>
        <v>0</v>
      </c>
      <c r="X2436" s="481">
        <f t="shared" si="215"/>
        <v>0</v>
      </c>
      <c r="Y2436" s="179"/>
      <c r="Z2436" s="466">
        <f t="shared" si="216"/>
        <v>0</v>
      </c>
      <c r="AA2436" s="473">
        <f t="shared" si="217"/>
        <v>0</v>
      </c>
      <c r="AB2436" s="339">
        <f t="shared" si="218"/>
        <v>0</v>
      </c>
    </row>
    <row r="2437" spans="2:28" ht="20.100000000000001" customHeight="1">
      <c r="B2437" s="172"/>
      <c r="C2437" s="174"/>
      <c r="D2437" s="181"/>
      <c r="E2437" s="173"/>
      <c r="F2437" s="176"/>
      <c r="G2437" s="175">
        <f t="shared" si="220"/>
        <v>0</v>
      </c>
      <c r="H2437" s="175">
        <f t="shared" si="213"/>
        <v>0</v>
      </c>
      <c r="I2437" s="177">
        <f>IF(G2437=0,0,IF(E2437="MXN",1/HLOOKUP(YEAR(C2437)+(MONTH(C2437)/100),TC!$5:$37,DAY(C2437)+2,FALSE),VLOOKUP(E2437,Equivalencia!$5:$23,((MAX(Equivalencia!$3:$3)-YEAR(C2437))*14)+MONTH(C2437)+2,FALSE)))</f>
        <v>0</v>
      </c>
      <c r="J2437" s="178">
        <f t="shared" si="221"/>
        <v>0</v>
      </c>
      <c r="K2437" s="462">
        <f>IF(C2437=0,0,VLOOKUP(YEAR(C2437),INPC!$B$4:$O$29,MONTH(C2437)+1))</f>
        <v>0</v>
      </c>
      <c r="L2437" s="462">
        <f>IF(S2437=0,0,VLOOKUP(YEAR(S2437),INPC!$B$4:$O$29,MONTH(S2437)+1))</f>
        <v>0</v>
      </c>
      <c r="M2437" s="463">
        <f t="shared" si="214"/>
        <v>0</v>
      </c>
      <c r="N2437" s="465">
        <f t="shared" si="222"/>
        <v>0</v>
      </c>
      <c r="O2437" s="179"/>
      <c r="P2437" s="180"/>
      <c r="Q2437" s="173"/>
      <c r="R2437" s="173"/>
      <c r="S2437" s="174"/>
      <c r="T2437" s="173"/>
      <c r="U2437" s="182"/>
      <c r="V2437" s="177">
        <f>IF(U2437=0,0,IF(T2437="MXN",1/HLOOKUP(YEAR(S2437)+(MONTH(S2437)/100),TC!$5:$37,DAY(S2437)+2,FALSE),VLOOKUP(T2437,Equivalencia!$1:$23,((MAX(Equivalencia!$3:$3)-YEAR(S2437))*14)+MONTH(S2437)+2,FALSE)))</f>
        <v>0</v>
      </c>
      <c r="W2437" s="178">
        <f t="shared" si="219"/>
        <v>0</v>
      </c>
      <c r="X2437" s="481">
        <f t="shared" si="215"/>
        <v>0</v>
      </c>
      <c r="Y2437" s="179"/>
      <c r="Z2437" s="466">
        <f t="shared" si="216"/>
        <v>0</v>
      </c>
      <c r="AA2437" s="473">
        <f t="shared" si="217"/>
        <v>0</v>
      </c>
      <c r="AB2437" s="339">
        <f t="shared" si="218"/>
        <v>0</v>
      </c>
    </row>
    <row r="2438" spans="2:28" ht="20.100000000000001" customHeight="1">
      <c r="B2438" s="172"/>
      <c r="C2438" s="174"/>
      <c r="D2438" s="181"/>
      <c r="E2438" s="173"/>
      <c r="F2438" s="176"/>
      <c r="G2438" s="175">
        <f t="shared" si="220"/>
        <v>0</v>
      </c>
      <c r="H2438" s="175">
        <f t="shared" si="213"/>
        <v>0</v>
      </c>
      <c r="I2438" s="177">
        <f>IF(G2438=0,0,IF(E2438="MXN",1/HLOOKUP(YEAR(C2438)+(MONTH(C2438)/100),TC!$5:$37,DAY(C2438)+2,FALSE),VLOOKUP(E2438,Equivalencia!$5:$23,((MAX(Equivalencia!$3:$3)-YEAR(C2438))*14)+MONTH(C2438)+2,FALSE)))</f>
        <v>0</v>
      </c>
      <c r="J2438" s="178">
        <f t="shared" si="221"/>
        <v>0</v>
      </c>
      <c r="K2438" s="462">
        <f>IF(C2438=0,0,VLOOKUP(YEAR(C2438),INPC!$B$4:$O$29,MONTH(C2438)+1))</f>
        <v>0</v>
      </c>
      <c r="L2438" s="462">
        <f>IF(S2438=0,0,VLOOKUP(YEAR(S2438),INPC!$B$4:$O$29,MONTH(S2438)+1))</f>
        <v>0</v>
      </c>
      <c r="M2438" s="463">
        <f t="shared" si="214"/>
        <v>0</v>
      </c>
      <c r="N2438" s="465">
        <f t="shared" si="222"/>
        <v>0</v>
      </c>
      <c r="O2438" s="179"/>
      <c r="P2438" s="180"/>
      <c r="Q2438" s="173"/>
      <c r="R2438" s="173"/>
      <c r="S2438" s="174"/>
      <c r="T2438" s="173"/>
      <c r="U2438" s="182"/>
      <c r="V2438" s="177">
        <f>IF(U2438=0,0,IF(T2438="MXN",1/HLOOKUP(YEAR(S2438)+(MONTH(S2438)/100),TC!$5:$37,DAY(S2438)+2,FALSE),VLOOKUP(T2438,Equivalencia!$1:$23,((MAX(Equivalencia!$3:$3)-YEAR(S2438))*14)+MONTH(S2438)+2,FALSE)))</f>
        <v>0</v>
      </c>
      <c r="W2438" s="178">
        <f t="shared" si="219"/>
        <v>0</v>
      </c>
      <c r="X2438" s="481">
        <f t="shared" si="215"/>
        <v>0</v>
      </c>
      <c r="Y2438" s="179"/>
      <c r="Z2438" s="466">
        <f t="shared" si="216"/>
        <v>0</v>
      </c>
      <c r="AA2438" s="473">
        <f t="shared" si="217"/>
        <v>0</v>
      </c>
      <c r="AB2438" s="339">
        <f t="shared" si="218"/>
        <v>0</v>
      </c>
    </row>
    <row r="2439" spans="2:28" ht="20.100000000000001" customHeight="1">
      <c r="B2439" s="172"/>
      <c r="C2439" s="174"/>
      <c r="D2439" s="181"/>
      <c r="E2439" s="173"/>
      <c r="F2439" s="176"/>
      <c r="G2439" s="175">
        <f t="shared" si="220"/>
        <v>0</v>
      </c>
      <c r="H2439" s="175">
        <f t="shared" si="213"/>
        <v>0</v>
      </c>
      <c r="I2439" s="177">
        <f>IF(G2439=0,0,IF(E2439="MXN",1/HLOOKUP(YEAR(C2439)+(MONTH(C2439)/100),TC!$5:$37,DAY(C2439)+2,FALSE),VLOOKUP(E2439,Equivalencia!$5:$23,((MAX(Equivalencia!$3:$3)-YEAR(C2439))*14)+MONTH(C2439)+2,FALSE)))</f>
        <v>0</v>
      </c>
      <c r="J2439" s="178">
        <f t="shared" si="221"/>
        <v>0</v>
      </c>
      <c r="K2439" s="462">
        <f>IF(C2439=0,0,VLOOKUP(YEAR(C2439),INPC!$B$4:$O$29,MONTH(C2439)+1))</f>
        <v>0</v>
      </c>
      <c r="L2439" s="462">
        <f>IF(S2439=0,0,VLOOKUP(YEAR(S2439),INPC!$B$4:$O$29,MONTH(S2439)+1))</f>
        <v>0</v>
      </c>
      <c r="M2439" s="463">
        <f t="shared" si="214"/>
        <v>0</v>
      </c>
      <c r="N2439" s="465">
        <f t="shared" si="222"/>
        <v>0</v>
      </c>
      <c r="O2439" s="179"/>
      <c r="P2439" s="180"/>
      <c r="Q2439" s="173"/>
      <c r="R2439" s="173"/>
      <c r="S2439" s="174"/>
      <c r="T2439" s="173"/>
      <c r="U2439" s="182"/>
      <c r="V2439" s="177">
        <f>IF(U2439=0,0,IF(T2439="MXN",1/HLOOKUP(YEAR(S2439)+(MONTH(S2439)/100),TC!$5:$37,DAY(S2439)+2,FALSE),VLOOKUP(T2439,Equivalencia!$1:$23,((MAX(Equivalencia!$3:$3)-YEAR(S2439))*14)+MONTH(S2439)+2,FALSE)))</f>
        <v>0</v>
      </c>
      <c r="W2439" s="178">
        <f t="shared" si="219"/>
        <v>0</v>
      </c>
      <c r="X2439" s="481">
        <f t="shared" si="215"/>
        <v>0</v>
      </c>
      <c r="Y2439" s="179"/>
      <c r="Z2439" s="466">
        <f t="shared" si="216"/>
        <v>0</v>
      </c>
      <c r="AA2439" s="473">
        <f t="shared" si="217"/>
        <v>0</v>
      </c>
      <c r="AB2439" s="339">
        <f t="shared" si="218"/>
        <v>0</v>
      </c>
    </row>
    <row r="2440" spans="2:28" ht="20.100000000000001" customHeight="1">
      <c r="B2440" s="172"/>
      <c r="C2440" s="174"/>
      <c r="D2440" s="181"/>
      <c r="E2440" s="173"/>
      <c r="F2440" s="176"/>
      <c r="G2440" s="175">
        <f t="shared" si="220"/>
        <v>0</v>
      </c>
      <c r="H2440" s="175">
        <f t="shared" si="213"/>
        <v>0</v>
      </c>
      <c r="I2440" s="177">
        <f>IF(G2440=0,0,IF(E2440="MXN",1/HLOOKUP(YEAR(C2440)+(MONTH(C2440)/100),TC!$5:$37,DAY(C2440)+2,FALSE),VLOOKUP(E2440,Equivalencia!$5:$23,((MAX(Equivalencia!$3:$3)-YEAR(C2440))*14)+MONTH(C2440)+2,FALSE)))</f>
        <v>0</v>
      </c>
      <c r="J2440" s="178">
        <f t="shared" si="221"/>
        <v>0</v>
      </c>
      <c r="K2440" s="462">
        <f>IF(C2440=0,0,VLOOKUP(YEAR(C2440),INPC!$B$4:$O$29,MONTH(C2440)+1))</f>
        <v>0</v>
      </c>
      <c r="L2440" s="462">
        <f>IF(S2440=0,0,VLOOKUP(YEAR(S2440),INPC!$B$4:$O$29,MONTH(S2440)+1))</f>
        <v>0</v>
      </c>
      <c r="M2440" s="463">
        <f t="shared" si="214"/>
        <v>0</v>
      </c>
      <c r="N2440" s="465">
        <f t="shared" si="222"/>
        <v>0</v>
      </c>
      <c r="O2440" s="179"/>
      <c r="P2440" s="180"/>
      <c r="Q2440" s="173"/>
      <c r="R2440" s="173"/>
      <c r="S2440" s="174"/>
      <c r="T2440" s="173"/>
      <c r="U2440" s="182"/>
      <c r="V2440" s="177">
        <f>IF(U2440=0,0,IF(T2440="MXN",1/HLOOKUP(YEAR(S2440)+(MONTH(S2440)/100),TC!$5:$37,DAY(S2440)+2,FALSE),VLOOKUP(T2440,Equivalencia!$1:$23,((MAX(Equivalencia!$3:$3)-YEAR(S2440))*14)+MONTH(S2440)+2,FALSE)))</f>
        <v>0</v>
      </c>
      <c r="W2440" s="178">
        <f t="shared" si="219"/>
        <v>0</v>
      </c>
      <c r="X2440" s="481">
        <f t="shared" si="215"/>
        <v>0</v>
      </c>
      <c r="Y2440" s="179"/>
      <c r="Z2440" s="466">
        <f t="shared" si="216"/>
        <v>0</v>
      </c>
      <c r="AA2440" s="473">
        <f t="shared" si="217"/>
        <v>0</v>
      </c>
      <c r="AB2440" s="339">
        <f t="shared" si="218"/>
        <v>0</v>
      </c>
    </row>
    <row r="2441" spans="2:28" ht="20.100000000000001" customHeight="1">
      <c r="B2441" s="172"/>
      <c r="C2441" s="174"/>
      <c r="D2441" s="181"/>
      <c r="E2441" s="173"/>
      <c r="F2441" s="176"/>
      <c r="G2441" s="175">
        <f t="shared" si="220"/>
        <v>0</v>
      </c>
      <c r="H2441" s="175">
        <f t="shared" si="213"/>
        <v>0</v>
      </c>
      <c r="I2441" s="177">
        <f>IF(G2441=0,0,IF(E2441="MXN",1/HLOOKUP(YEAR(C2441)+(MONTH(C2441)/100),TC!$5:$37,DAY(C2441)+2,FALSE),VLOOKUP(E2441,Equivalencia!$5:$23,((MAX(Equivalencia!$3:$3)-YEAR(C2441))*14)+MONTH(C2441)+2,FALSE)))</f>
        <v>0</v>
      </c>
      <c r="J2441" s="178">
        <f t="shared" si="221"/>
        <v>0</v>
      </c>
      <c r="K2441" s="462">
        <f>IF(C2441=0,0,VLOOKUP(YEAR(C2441),INPC!$B$4:$O$29,MONTH(C2441)+1))</f>
        <v>0</v>
      </c>
      <c r="L2441" s="462">
        <f>IF(S2441=0,0,VLOOKUP(YEAR(S2441),INPC!$B$4:$O$29,MONTH(S2441)+1))</f>
        <v>0</v>
      </c>
      <c r="M2441" s="463">
        <f t="shared" si="214"/>
        <v>0</v>
      </c>
      <c r="N2441" s="465">
        <f t="shared" si="222"/>
        <v>0</v>
      </c>
      <c r="O2441" s="179"/>
      <c r="P2441" s="180"/>
      <c r="Q2441" s="173"/>
      <c r="R2441" s="173"/>
      <c r="S2441" s="174"/>
      <c r="T2441" s="173"/>
      <c r="U2441" s="182"/>
      <c r="V2441" s="177">
        <f>IF(U2441=0,0,IF(T2441="MXN",1/HLOOKUP(YEAR(S2441)+(MONTH(S2441)/100),TC!$5:$37,DAY(S2441)+2,FALSE),VLOOKUP(T2441,Equivalencia!$1:$23,((MAX(Equivalencia!$3:$3)-YEAR(S2441))*14)+MONTH(S2441)+2,FALSE)))</f>
        <v>0</v>
      </c>
      <c r="W2441" s="178">
        <f t="shared" si="219"/>
        <v>0</v>
      </c>
      <c r="X2441" s="481">
        <f t="shared" si="215"/>
        <v>0</v>
      </c>
      <c r="Y2441" s="179"/>
      <c r="Z2441" s="466">
        <f t="shared" si="216"/>
        <v>0</v>
      </c>
      <c r="AA2441" s="473">
        <f t="shared" si="217"/>
        <v>0</v>
      </c>
      <c r="AB2441" s="339">
        <f t="shared" si="218"/>
        <v>0</v>
      </c>
    </row>
    <row r="2442" spans="2:28" ht="20.100000000000001" customHeight="1">
      <c r="B2442" s="172"/>
      <c r="C2442" s="174"/>
      <c r="D2442" s="181"/>
      <c r="E2442" s="173"/>
      <c r="F2442" s="176"/>
      <c r="G2442" s="175">
        <f t="shared" si="220"/>
        <v>0</v>
      </c>
      <c r="H2442" s="175">
        <f t="shared" si="213"/>
        <v>0</v>
      </c>
      <c r="I2442" s="177">
        <f>IF(G2442=0,0,IF(E2442="MXN",1/HLOOKUP(YEAR(C2442)+(MONTH(C2442)/100),TC!$5:$37,DAY(C2442)+2,FALSE),VLOOKUP(E2442,Equivalencia!$5:$23,((MAX(Equivalencia!$3:$3)-YEAR(C2442))*14)+MONTH(C2442)+2,FALSE)))</f>
        <v>0</v>
      </c>
      <c r="J2442" s="178">
        <f t="shared" si="221"/>
        <v>0</v>
      </c>
      <c r="K2442" s="462">
        <f>IF(C2442=0,0,VLOOKUP(YEAR(C2442),INPC!$B$4:$O$29,MONTH(C2442)+1))</f>
        <v>0</v>
      </c>
      <c r="L2442" s="462">
        <f>IF(S2442=0,0,VLOOKUP(YEAR(S2442),INPC!$B$4:$O$29,MONTH(S2442)+1))</f>
        <v>0</v>
      </c>
      <c r="M2442" s="463">
        <f t="shared" si="214"/>
        <v>0</v>
      </c>
      <c r="N2442" s="465">
        <f t="shared" si="222"/>
        <v>0</v>
      </c>
      <c r="O2442" s="179"/>
      <c r="P2442" s="180"/>
      <c r="Q2442" s="173"/>
      <c r="R2442" s="173"/>
      <c r="S2442" s="174"/>
      <c r="T2442" s="173"/>
      <c r="U2442" s="182"/>
      <c r="V2442" s="177">
        <f>IF(U2442=0,0,IF(T2442="MXN",1/HLOOKUP(YEAR(S2442)+(MONTH(S2442)/100),TC!$5:$37,DAY(S2442)+2,FALSE),VLOOKUP(T2442,Equivalencia!$1:$23,((MAX(Equivalencia!$3:$3)-YEAR(S2442))*14)+MONTH(S2442)+2,FALSE)))</f>
        <v>0</v>
      </c>
      <c r="W2442" s="178">
        <f t="shared" si="219"/>
        <v>0</v>
      </c>
      <c r="X2442" s="481">
        <f t="shared" si="215"/>
        <v>0</v>
      </c>
      <c r="Y2442" s="179"/>
      <c r="Z2442" s="466">
        <f t="shared" si="216"/>
        <v>0</v>
      </c>
      <c r="AA2442" s="473">
        <f t="shared" si="217"/>
        <v>0</v>
      </c>
      <c r="AB2442" s="339">
        <f t="shared" si="218"/>
        <v>0</v>
      </c>
    </row>
    <row r="2443" spans="2:28" ht="20.100000000000001" customHeight="1">
      <c r="B2443" s="172"/>
      <c r="C2443" s="174"/>
      <c r="D2443" s="181"/>
      <c r="E2443" s="173"/>
      <c r="F2443" s="176"/>
      <c r="G2443" s="175">
        <f t="shared" si="220"/>
        <v>0</v>
      </c>
      <c r="H2443" s="175">
        <f t="shared" si="213"/>
        <v>0</v>
      </c>
      <c r="I2443" s="177">
        <f>IF(G2443=0,0,IF(E2443="MXN",1/HLOOKUP(YEAR(C2443)+(MONTH(C2443)/100),TC!$5:$37,DAY(C2443)+2,FALSE),VLOOKUP(E2443,Equivalencia!$5:$23,((MAX(Equivalencia!$3:$3)-YEAR(C2443))*14)+MONTH(C2443)+2,FALSE)))</f>
        <v>0</v>
      </c>
      <c r="J2443" s="178">
        <f t="shared" si="221"/>
        <v>0</v>
      </c>
      <c r="K2443" s="462">
        <f>IF(C2443=0,0,VLOOKUP(YEAR(C2443),INPC!$B$4:$O$29,MONTH(C2443)+1))</f>
        <v>0</v>
      </c>
      <c r="L2443" s="462">
        <f>IF(S2443=0,0,VLOOKUP(YEAR(S2443),INPC!$B$4:$O$29,MONTH(S2443)+1))</f>
        <v>0</v>
      </c>
      <c r="M2443" s="463">
        <f t="shared" si="214"/>
        <v>0</v>
      </c>
      <c r="N2443" s="465">
        <f t="shared" si="222"/>
        <v>0</v>
      </c>
      <c r="O2443" s="179"/>
      <c r="P2443" s="180"/>
      <c r="Q2443" s="173"/>
      <c r="R2443" s="173"/>
      <c r="S2443" s="174"/>
      <c r="T2443" s="173"/>
      <c r="U2443" s="182"/>
      <c r="V2443" s="177">
        <f>IF(U2443=0,0,IF(T2443="MXN",1/HLOOKUP(YEAR(S2443)+(MONTH(S2443)/100),TC!$5:$37,DAY(S2443)+2,FALSE),VLOOKUP(T2443,Equivalencia!$1:$23,((MAX(Equivalencia!$3:$3)-YEAR(S2443))*14)+MONTH(S2443)+2,FALSE)))</f>
        <v>0</v>
      </c>
      <c r="W2443" s="178">
        <f t="shared" si="219"/>
        <v>0</v>
      </c>
      <c r="X2443" s="481">
        <f t="shared" si="215"/>
        <v>0</v>
      </c>
      <c r="Y2443" s="179"/>
      <c r="Z2443" s="466">
        <f t="shared" si="216"/>
        <v>0</v>
      </c>
      <c r="AA2443" s="473">
        <f t="shared" si="217"/>
        <v>0</v>
      </c>
      <c r="AB2443" s="339">
        <f t="shared" si="218"/>
        <v>0</v>
      </c>
    </row>
    <row r="2444" spans="2:28" ht="20.100000000000001" customHeight="1">
      <c r="B2444" s="172"/>
      <c r="C2444" s="174"/>
      <c r="D2444" s="181"/>
      <c r="E2444" s="173"/>
      <c r="F2444" s="176"/>
      <c r="G2444" s="175">
        <f t="shared" si="220"/>
        <v>0</v>
      </c>
      <c r="H2444" s="175">
        <f t="shared" si="213"/>
        <v>0</v>
      </c>
      <c r="I2444" s="177">
        <f>IF(G2444=0,0,IF(E2444="MXN",1/HLOOKUP(YEAR(C2444)+(MONTH(C2444)/100),TC!$5:$37,DAY(C2444)+2,FALSE),VLOOKUP(E2444,Equivalencia!$5:$23,((MAX(Equivalencia!$3:$3)-YEAR(C2444))*14)+MONTH(C2444)+2,FALSE)))</f>
        <v>0</v>
      </c>
      <c r="J2444" s="178">
        <f t="shared" si="221"/>
        <v>0</v>
      </c>
      <c r="K2444" s="462">
        <f>IF(C2444=0,0,VLOOKUP(YEAR(C2444),INPC!$B$4:$O$29,MONTH(C2444)+1))</f>
        <v>0</v>
      </c>
      <c r="L2444" s="462">
        <f>IF(S2444=0,0,VLOOKUP(YEAR(S2444),INPC!$B$4:$O$29,MONTH(S2444)+1))</f>
        <v>0</v>
      </c>
      <c r="M2444" s="463">
        <f t="shared" si="214"/>
        <v>0</v>
      </c>
      <c r="N2444" s="465">
        <f t="shared" si="222"/>
        <v>0</v>
      </c>
      <c r="O2444" s="179"/>
      <c r="P2444" s="180"/>
      <c r="Q2444" s="173"/>
      <c r="R2444" s="173"/>
      <c r="S2444" s="174"/>
      <c r="T2444" s="173"/>
      <c r="U2444" s="182"/>
      <c r="V2444" s="177">
        <f>IF(U2444=0,0,IF(T2444="MXN",1/HLOOKUP(YEAR(S2444)+(MONTH(S2444)/100),TC!$5:$37,DAY(S2444)+2,FALSE),VLOOKUP(T2444,Equivalencia!$1:$23,((MAX(Equivalencia!$3:$3)-YEAR(S2444))*14)+MONTH(S2444)+2,FALSE)))</f>
        <v>0</v>
      </c>
      <c r="W2444" s="178">
        <f t="shared" si="219"/>
        <v>0</v>
      </c>
      <c r="X2444" s="481">
        <f t="shared" si="215"/>
        <v>0</v>
      </c>
      <c r="Y2444" s="179"/>
      <c r="Z2444" s="466">
        <f t="shared" si="216"/>
        <v>0</v>
      </c>
      <c r="AA2444" s="473">
        <f t="shared" si="217"/>
        <v>0</v>
      </c>
      <c r="AB2444" s="339">
        <f t="shared" si="218"/>
        <v>0</v>
      </c>
    </row>
    <row r="2445" spans="2:28" ht="20.100000000000001" customHeight="1">
      <c r="B2445" s="172"/>
      <c r="C2445" s="174"/>
      <c r="D2445" s="181"/>
      <c r="E2445" s="173"/>
      <c r="F2445" s="176"/>
      <c r="G2445" s="175">
        <f t="shared" si="220"/>
        <v>0</v>
      </c>
      <c r="H2445" s="175">
        <f t="shared" si="213"/>
        <v>0</v>
      </c>
      <c r="I2445" s="177">
        <f>IF(G2445=0,0,IF(E2445="MXN",1/HLOOKUP(YEAR(C2445)+(MONTH(C2445)/100),TC!$5:$37,DAY(C2445)+2,FALSE),VLOOKUP(E2445,Equivalencia!$5:$23,((MAX(Equivalencia!$3:$3)-YEAR(C2445))*14)+MONTH(C2445)+2,FALSE)))</f>
        <v>0</v>
      </c>
      <c r="J2445" s="178">
        <f t="shared" si="221"/>
        <v>0</v>
      </c>
      <c r="K2445" s="462">
        <f>IF(C2445=0,0,VLOOKUP(YEAR(C2445),INPC!$B$4:$O$29,MONTH(C2445)+1))</f>
        <v>0</v>
      </c>
      <c r="L2445" s="462">
        <f>IF(S2445=0,0,VLOOKUP(YEAR(S2445),INPC!$B$4:$O$29,MONTH(S2445)+1))</f>
        <v>0</v>
      </c>
      <c r="M2445" s="463">
        <f t="shared" si="214"/>
        <v>0</v>
      </c>
      <c r="N2445" s="465">
        <f t="shared" si="222"/>
        <v>0</v>
      </c>
      <c r="O2445" s="179"/>
      <c r="P2445" s="180"/>
      <c r="Q2445" s="173"/>
      <c r="R2445" s="173"/>
      <c r="S2445" s="174"/>
      <c r="T2445" s="173"/>
      <c r="U2445" s="182"/>
      <c r="V2445" s="177">
        <f>IF(U2445=0,0,IF(T2445="MXN",1/HLOOKUP(YEAR(S2445)+(MONTH(S2445)/100),TC!$5:$37,DAY(S2445)+2,FALSE),VLOOKUP(T2445,Equivalencia!$1:$23,((MAX(Equivalencia!$3:$3)-YEAR(S2445))*14)+MONTH(S2445)+2,FALSE)))</f>
        <v>0</v>
      </c>
      <c r="W2445" s="178">
        <f t="shared" si="219"/>
        <v>0</v>
      </c>
      <c r="X2445" s="481">
        <f t="shared" si="215"/>
        <v>0</v>
      </c>
      <c r="Y2445" s="179"/>
      <c r="Z2445" s="466">
        <f t="shared" si="216"/>
        <v>0</v>
      </c>
      <c r="AA2445" s="473">
        <f t="shared" si="217"/>
        <v>0</v>
      </c>
      <c r="AB2445" s="339">
        <f t="shared" si="218"/>
        <v>0</v>
      </c>
    </row>
    <row r="2446" spans="2:28" ht="20.100000000000001" customHeight="1">
      <c r="B2446" s="172"/>
      <c r="C2446" s="174"/>
      <c r="D2446" s="181"/>
      <c r="E2446" s="173"/>
      <c r="F2446" s="176"/>
      <c r="G2446" s="175">
        <f t="shared" si="220"/>
        <v>0</v>
      </c>
      <c r="H2446" s="175">
        <f t="shared" si="213"/>
        <v>0</v>
      </c>
      <c r="I2446" s="177">
        <f>IF(G2446=0,0,IF(E2446="MXN",1/HLOOKUP(YEAR(C2446)+(MONTH(C2446)/100),TC!$5:$37,DAY(C2446)+2,FALSE),VLOOKUP(E2446,Equivalencia!$5:$23,((MAX(Equivalencia!$3:$3)-YEAR(C2446))*14)+MONTH(C2446)+2,FALSE)))</f>
        <v>0</v>
      </c>
      <c r="J2446" s="178">
        <f t="shared" si="221"/>
        <v>0</v>
      </c>
      <c r="K2446" s="462">
        <f>IF(C2446=0,0,VLOOKUP(YEAR(C2446),INPC!$B$4:$O$29,MONTH(C2446)+1))</f>
        <v>0</v>
      </c>
      <c r="L2446" s="462">
        <f>IF(S2446=0,0,VLOOKUP(YEAR(S2446),INPC!$B$4:$O$29,MONTH(S2446)+1))</f>
        <v>0</v>
      </c>
      <c r="M2446" s="463">
        <f t="shared" si="214"/>
        <v>0</v>
      </c>
      <c r="N2446" s="465">
        <f t="shared" si="222"/>
        <v>0</v>
      </c>
      <c r="O2446" s="179"/>
      <c r="P2446" s="180"/>
      <c r="Q2446" s="173"/>
      <c r="R2446" s="173"/>
      <c r="S2446" s="174"/>
      <c r="T2446" s="173"/>
      <c r="U2446" s="182"/>
      <c r="V2446" s="177">
        <f>IF(U2446=0,0,IF(T2446="MXN",1/HLOOKUP(YEAR(S2446)+(MONTH(S2446)/100),TC!$5:$37,DAY(S2446)+2,FALSE),VLOOKUP(T2446,Equivalencia!$1:$23,((MAX(Equivalencia!$3:$3)-YEAR(S2446))*14)+MONTH(S2446)+2,FALSE)))</f>
        <v>0</v>
      </c>
      <c r="W2446" s="178">
        <f t="shared" si="219"/>
        <v>0</v>
      </c>
      <c r="X2446" s="481">
        <f t="shared" si="215"/>
        <v>0</v>
      </c>
      <c r="Y2446" s="179"/>
      <c r="Z2446" s="466">
        <f t="shared" si="216"/>
        <v>0</v>
      </c>
      <c r="AA2446" s="473">
        <f t="shared" si="217"/>
        <v>0</v>
      </c>
      <c r="AB2446" s="339">
        <f t="shared" si="218"/>
        <v>0</v>
      </c>
    </row>
    <row r="2447" spans="2:28" ht="20.100000000000001" customHeight="1">
      <c r="B2447" s="172"/>
      <c r="C2447" s="174"/>
      <c r="D2447" s="181"/>
      <c r="E2447" s="173"/>
      <c r="F2447" s="176"/>
      <c r="G2447" s="175">
        <f t="shared" si="220"/>
        <v>0</v>
      </c>
      <c r="H2447" s="175">
        <f t="shared" si="213"/>
        <v>0</v>
      </c>
      <c r="I2447" s="177">
        <f>IF(G2447=0,0,IF(E2447="MXN",1/HLOOKUP(YEAR(C2447)+(MONTH(C2447)/100),TC!$5:$37,DAY(C2447)+2,FALSE),VLOOKUP(E2447,Equivalencia!$5:$23,((MAX(Equivalencia!$3:$3)-YEAR(C2447))*14)+MONTH(C2447)+2,FALSE)))</f>
        <v>0</v>
      </c>
      <c r="J2447" s="178">
        <f t="shared" si="221"/>
        <v>0</v>
      </c>
      <c r="K2447" s="462">
        <f>IF(C2447=0,0,VLOOKUP(YEAR(C2447),INPC!$B$4:$O$29,MONTH(C2447)+1))</f>
        <v>0</v>
      </c>
      <c r="L2447" s="462">
        <f>IF(S2447=0,0,VLOOKUP(YEAR(S2447),INPC!$B$4:$O$29,MONTH(S2447)+1))</f>
        <v>0</v>
      </c>
      <c r="M2447" s="463">
        <f t="shared" si="214"/>
        <v>0</v>
      </c>
      <c r="N2447" s="465">
        <f t="shared" si="222"/>
        <v>0</v>
      </c>
      <c r="O2447" s="179"/>
      <c r="P2447" s="180"/>
      <c r="Q2447" s="173"/>
      <c r="R2447" s="173"/>
      <c r="S2447" s="174"/>
      <c r="T2447" s="173"/>
      <c r="U2447" s="182"/>
      <c r="V2447" s="177">
        <f>IF(U2447=0,0,IF(T2447="MXN",1/HLOOKUP(YEAR(S2447)+(MONTH(S2447)/100),TC!$5:$37,DAY(S2447)+2,FALSE),VLOOKUP(T2447,Equivalencia!$1:$23,((MAX(Equivalencia!$3:$3)-YEAR(S2447))*14)+MONTH(S2447)+2,FALSE)))</f>
        <v>0</v>
      </c>
      <c r="W2447" s="178">
        <f t="shared" si="219"/>
        <v>0</v>
      </c>
      <c r="X2447" s="481">
        <f t="shared" si="215"/>
        <v>0</v>
      </c>
      <c r="Y2447" s="179"/>
      <c r="Z2447" s="466">
        <f t="shared" si="216"/>
        <v>0</v>
      </c>
      <c r="AA2447" s="473">
        <f t="shared" si="217"/>
        <v>0</v>
      </c>
      <c r="AB2447" s="339">
        <f t="shared" si="218"/>
        <v>0</v>
      </c>
    </row>
    <row r="2448" spans="2:28" ht="20.100000000000001" customHeight="1">
      <c r="B2448" s="172"/>
      <c r="C2448" s="174"/>
      <c r="D2448" s="181"/>
      <c r="E2448" s="173"/>
      <c r="F2448" s="176"/>
      <c r="G2448" s="175">
        <f t="shared" si="220"/>
        <v>0</v>
      </c>
      <c r="H2448" s="175">
        <f t="shared" si="213"/>
        <v>0</v>
      </c>
      <c r="I2448" s="177">
        <f>IF(G2448=0,0,IF(E2448="MXN",1/HLOOKUP(YEAR(C2448)+(MONTH(C2448)/100),TC!$5:$37,DAY(C2448)+2,FALSE),VLOOKUP(E2448,Equivalencia!$5:$23,((MAX(Equivalencia!$3:$3)-YEAR(C2448))*14)+MONTH(C2448)+2,FALSE)))</f>
        <v>0</v>
      </c>
      <c r="J2448" s="178">
        <f t="shared" si="221"/>
        <v>0</v>
      </c>
      <c r="K2448" s="462">
        <f>IF(C2448=0,0,VLOOKUP(YEAR(C2448),INPC!$B$4:$O$29,MONTH(C2448)+1))</f>
        <v>0</v>
      </c>
      <c r="L2448" s="462">
        <f>IF(S2448=0,0,VLOOKUP(YEAR(S2448),INPC!$B$4:$O$29,MONTH(S2448)+1))</f>
        <v>0</v>
      </c>
      <c r="M2448" s="463">
        <f t="shared" si="214"/>
        <v>0</v>
      </c>
      <c r="N2448" s="465">
        <f t="shared" si="222"/>
        <v>0</v>
      </c>
      <c r="O2448" s="179"/>
      <c r="P2448" s="180"/>
      <c r="Q2448" s="173"/>
      <c r="R2448" s="173"/>
      <c r="S2448" s="174"/>
      <c r="T2448" s="173"/>
      <c r="U2448" s="182"/>
      <c r="V2448" s="177">
        <f>IF(U2448=0,0,IF(T2448="MXN",1/HLOOKUP(YEAR(S2448)+(MONTH(S2448)/100),TC!$5:$37,DAY(S2448)+2,FALSE),VLOOKUP(T2448,Equivalencia!$1:$23,((MAX(Equivalencia!$3:$3)-YEAR(S2448))*14)+MONTH(S2448)+2,FALSE)))</f>
        <v>0</v>
      </c>
      <c r="W2448" s="178">
        <f t="shared" si="219"/>
        <v>0</v>
      </c>
      <c r="X2448" s="481">
        <f t="shared" si="215"/>
        <v>0</v>
      </c>
      <c r="Y2448" s="179"/>
      <c r="Z2448" s="466">
        <f t="shared" si="216"/>
        <v>0</v>
      </c>
      <c r="AA2448" s="473">
        <f t="shared" si="217"/>
        <v>0</v>
      </c>
      <c r="AB2448" s="339">
        <f t="shared" si="218"/>
        <v>0</v>
      </c>
    </row>
    <row r="2449" spans="2:28" ht="20.100000000000001" customHeight="1">
      <c r="B2449" s="172"/>
      <c r="C2449" s="174"/>
      <c r="D2449" s="181"/>
      <c r="E2449" s="173"/>
      <c r="F2449" s="176"/>
      <c r="G2449" s="175">
        <f t="shared" si="220"/>
        <v>0</v>
      </c>
      <c r="H2449" s="175">
        <f t="shared" si="213"/>
        <v>0</v>
      </c>
      <c r="I2449" s="177">
        <f>IF(G2449=0,0,IF(E2449="MXN",1/HLOOKUP(YEAR(C2449)+(MONTH(C2449)/100),TC!$5:$37,DAY(C2449)+2,FALSE),VLOOKUP(E2449,Equivalencia!$5:$23,((MAX(Equivalencia!$3:$3)-YEAR(C2449))*14)+MONTH(C2449)+2,FALSE)))</f>
        <v>0</v>
      </c>
      <c r="J2449" s="178">
        <f t="shared" si="221"/>
        <v>0</v>
      </c>
      <c r="K2449" s="462">
        <f>IF(C2449=0,0,VLOOKUP(YEAR(C2449),INPC!$B$4:$O$29,MONTH(C2449)+1))</f>
        <v>0</v>
      </c>
      <c r="L2449" s="462">
        <f>IF(S2449=0,0,VLOOKUP(YEAR(S2449),INPC!$B$4:$O$29,MONTH(S2449)+1))</f>
        <v>0</v>
      </c>
      <c r="M2449" s="463">
        <f t="shared" si="214"/>
        <v>0</v>
      </c>
      <c r="N2449" s="465">
        <f t="shared" si="222"/>
        <v>0</v>
      </c>
      <c r="O2449" s="179"/>
      <c r="P2449" s="180"/>
      <c r="Q2449" s="173"/>
      <c r="R2449" s="173"/>
      <c r="S2449" s="174"/>
      <c r="T2449" s="173"/>
      <c r="U2449" s="182"/>
      <c r="V2449" s="177">
        <f>IF(U2449=0,0,IF(T2449="MXN",1/HLOOKUP(YEAR(S2449)+(MONTH(S2449)/100),TC!$5:$37,DAY(S2449)+2,FALSE),VLOOKUP(T2449,Equivalencia!$1:$23,((MAX(Equivalencia!$3:$3)-YEAR(S2449))*14)+MONTH(S2449)+2,FALSE)))</f>
        <v>0</v>
      </c>
      <c r="W2449" s="178">
        <f t="shared" si="219"/>
        <v>0</v>
      </c>
      <c r="X2449" s="481">
        <f t="shared" si="215"/>
        <v>0</v>
      </c>
      <c r="Y2449" s="179"/>
      <c r="Z2449" s="466">
        <f t="shared" si="216"/>
        <v>0</v>
      </c>
      <c r="AA2449" s="473">
        <f t="shared" si="217"/>
        <v>0</v>
      </c>
      <c r="AB2449" s="339">
        <f t="shared" si="218"/>
        <v>0</v>
      </c>
    </row>
    <row r="2450" spans="2:28" ht="20.100000000000001" customHeight="1">
      <c r="B2450" s="172"/>
      <c r="C2450" s="174"/>
      <c r="D2450" s="181"/>
      <c r="E2450" s="173"/>
      <c r="F2450" s="176"/>
      <c r="G2450" s="175">
        <f t="shared" si="220"/>
        <v>0</v>
      </c>
      <c r="H2450" s="175">
        <f t="shared" si="213"/>
        <v>0</v>
      </c>
      <c r="I2450" s="177">
        <f>IF(G2450=0,0,IF(E2450="MXN",1/HLOOKUP(YEAR(C2450)+(MONTH(C2450)/100),TC!$5:$37,DAY(C2450)+2,FALSE),VLOOKUP(E2450,Equivalencia!$5:$23,((MAX(Equivalencia!$3:$3)-YEAR(C2450))*14)+MONTH(C2450)+2,FALSE)))</f>
        <v>0</v>
      </c>
      <c r="J2450" s="178">
        <f t="shared" si="221"/>
        <v>0</v>
      </c>
      <c r="K2450" s="462">
        <f>IF(C2450=0,0,VLOOKUP(YEAR(C2450),INPC!$B$4:$O$29,MONTH(C2450)+1))</f>
        <v>0</v>
      </c>
      <c r="L2450" s="462">
        <f>IF(S2450=0,0,VLOOKUP(YEAR(S2450),INPC!$B$4:$O$29,MONTH(S2450)+1))</f>
        <v>0</v>
      </c>
      <c r="M2450" s="463">
        <f t="shared" si="214"/>
        <v>0</v>
      </c>
      <c r="N2450" s="465">
        <f t="shared" si="222"/>
        <v>0</v>
      </c>
      <c r="O2450" s="179"/>
      <c r="P2450" s="180"/>
      <c r="Q2450" s="173"/>
      <c r="R2450" s="173"/>
      <c r="S2450" s="174"/>
      <c r="T2450" s="173"/>
      <c r="U2450" s="182"/>
      <c r="V2450" s="177">
        <f>IF(U2450=0,0,IF(T2450="MXN",1/HLOOKUP(YEAR(S2450)+(MONTH(S2450)/100),TC!$5:$37,DAY(S2450)+2,FALSE),VLOOKUP(T2450,Equivalencia!$1:$23,((MAX(Equivalencia!$3:$3)-YEAR(S2450))*14)+MONTH(S2450)+2,FALSE)))</f>
        <v>0</v>
      </c>
      <c r="W2450" s="178">
        <f t="shared" si="219"/>
        <v>0</v>
      </c>
      <c r="X2450" s="481">
        <f t="shared" si="215"/>
        <v>0</v>
      </c>
      <c r="Y2450" s="179"/>
      <c r="Z2450" s="466">
        <f t="shared" si="216"/>
        <v>0</v>
      </c>
      <c r="AA2450" s="473">
        <f t="shared" si="217"/>
        <v>0</v>
      </c>
      <c r="AB2450" s="339">
        <f t="shared" si="218"/>
        <v>0</v>
      </c>
    </row>
    <row r="2451" spans="2:28" ht="20.100000000000001" customHeight="1">
      <c r="B2451" s="172"/>
      <c r="C2451" s="174"/>
      <c r="D2451" s="181"/>
      <c r="E2451" s="173"/>
      <c r="F2451" s="176"/>
      <c r="G2451" s="175">
        <f t="shared" si="220"/>
        <v>0</v>
      </c>
      <c r="H2451" s="175">
        <f t="shared" si="213"/>
        <v>0</v>
      </c>
      <c r="I2451" s="177">
        <f>IF(G2451=0,0,IF(E2451="MXN",1/HLOOKUP(YEAR(C2451)+(MONTH(C2451)/100),TC!$5:$37,DAY(C2451)+2,FALSE),VLOOKUP(E2451,Equivalencia!$5:$23,((MAX(Equivalencia!$3:$3)-YEAR(C2451))*14)+MONTH(C2451)+2,FALSE)))</f>
        <v>0</v>
      </c>
      <c r="J2451" s="178">
        <f t="shared" si="221"/>
        <v>0</v>
      </c>
      <c r="K2451" s="462">
        <f>IF(C2451=0,0,VLOOKUP(YEAR(C2451),INPC!$B$4:$O$29,MONTH(C2451)+1))</f>
        <v>0</v>
      </c>
      <c r="L2451" s="462">
        <f>IF(S2451=0,0,VLOOKUP(YEAR(S2451),INPC!$B$4:$O$29,MONTH(S2451)+1))</f>
        <v>0</v>
      </c>
      <c r="M2451" s="463">
        <f t="shared" si="214"/>
        <v>0</v>
      </c>
      <c r="N2451" s="465">
        <f t="shared" si="222"/>
        <v>0</v>
      </c>
      <c r="O2451" s="179"/>
      <c r="P2451" s="180"/>
      <c r="Q2451" s="173"/>
      <c r="R2451" s="173"/>
      <c r="S2451" s="174"/>
      <c r="T2451" s="173"/>
      <c r="U2451" s="182"/>
      <c r="V2451" s="177">
        <f>IF(U2451=0,0,IF(T2451="MXN",1/HLOOKUP(YEAR(S2451)+(MONTH(S2451)/100),TC!$5:$37,DAY(S2451)+2,FALSE),VLOOKUP(T2451,Equivalencia!$1:$23,((MAX(Equivalencia!$3:$3)-YEAR(S2451))*14)+MONTH(S2451)+2,FALSE)))</f>
        <v>0</v>
      </c>
      <c r="W2451" s="178">
        <f t="shared" si="219"/>
        <v>0</v>
      </c>
      <c r="X2451" s="481">
        <f t="shared" si="215"/>
        <v>0</v>
      </c>
      <c r="Y2451" s="179"/>
      <c r="Z2451" s="466">
        <f t="shared" si="216"/>
        <v>0</v>
      </c>
      <c r="AA2451" s="473">
        <f t="shared" si="217"/>
        <v>0</v>
      </c>
      <c r="AB2451" s="339">
        <f t="shared" si="218"/>
        <v>0</v>
      </c>
    </row>
    <row r="2452" spans="2:28" ht="20.100000000000001" customHeight="1">
      <c r="B2452" s="172"/>
      <c r="C2452" s="174"/>
      <c r="D2452" s="181"/>
      <c r="E2452" s="173"/>
      <c r="F2452" s="176"/>
      <c r="G2452" s="175">
        <f t="shared" si="220"/>
        <v>0</v>
      </c>
      <c r="H2452" s="175">
        <f t="shared" si="213"/>
        <v>0</v>
      </c>
      <c r="I2452" s="177">
        <f>IF(G2452=0,0,IF(E2452="MXN",1/HLOOKUP(YEAR(C2452)+(MONTH(C2452)/100),TC!$5:$37,DAY(C2452)+2,FALSE),VLOOKUP(E2452,Equivalencia!$5:$23,((MAX(Equivalencia!$3:$3)-YEAR(C2452))*14)+MONTH(C2452)+2,FALSE)))</f>
        <v>0</v>
      </c>
      <c r="J2452" s="178">
        <f t="shared" si="221"/>
        <v>0</v>
      </c>
      <c r="K2452" s="462">
        <f>IF(C2452=0,0,VLOOKUP(YEAR(C2452),INPC!$B$4:$O$29,MONTH(C2452)+1))</f>
        <v>0</v>
      </c>
      <c r="L2452" s="462">
        <f>IF(S2452=0,0,VLOOKUP(YEAR(S2452),INPC!$B$4:$O$29,MONTH(S2452)+1))</f>
        <v>0</v>
      </c>
      <c r="M2452" s="463">
        <f t="shared" si="214"/>
        <v>0</v>
      </c>
      <c r="N2452" s="465">
        <f t="shared" si="222"/>
        <v>0</v>
      </c>
      <c r="O2452" s="179"/>
      <c r="P2452" s="180"/>
      <c r="Q2452" s="173"/>
      <c r="R2452" s="173"/>
      <c r="S2452" s="174"/>
      <c r="T2452" s="173"/>
      <c r="U2452" s="182"/>
      <c r="V2452" s="177">
        <f>IF(U2452=0,0,IF(T2452="MXN",1/HLOOKUP(YEAR(S2452)+(MONTH(S2452)/100),TC!$5:$37,DAY(S2452)+2,FALSE),VLOOKUP(T2452,Equivalencia!$1:$23,((MAX(Equivalencia!$3:$3)-YEAR(S2452))*14)+MONTH(S2452)+2,FALSE)))</f>
        <v>0</v>
      </c>
      <c r="W2452" s="178">
        <f t="shared" si="219"/>
        <v>0</v>
      </c>
      <c r="X2452" s="481">
        <f t="shared" si="215"/>
        <v>0</v>
      </c>
      <c r="Y2452" s="179"/>
      <c r="Z2452" s="466">
        <f t="shared" si="216"/>
        <v>0</v>
      </c>
      <c r="AA2452" s="473">
        <f t="shared" si="217"/>
        <v>0</v>
      </c>
      <c r="AB2452" s="339">
        <f t="shared" si="218"/>
        <v>0</v>
      </c>
    </row>
    <row r="2453" spans="2:28" ht="20.100000000000001" customHeight="1">
      <c r="B2453" s="172"/>
      <c r="C2453" s="174"/>
      <c r="D2453" s="181"/>
      <c r="E2453" s="173"/>
      <c r="F2453" s="176"/>
      <c r="G2453" s="175">
        <f t="shared" si="220"/>
        <v>0</v>
      </c>
      <c r="H2453" s="175">
        <f t="shared" si="213"/>
        <v>0</v>
      </c>
      <c r="I2453" s="177">
        <f>IF(G2453=0,0,IF(E2453="MXN",1/HLOOKUP(YEAR(C2453)+(MONTH(C2453)/100),TC!$5:$37,DAY(C2453)+2,FALSE),VLOOKUP(E2453,Equivalencia!$5:$23,((MAX(Equivalencia!$3:$3)-YEAR(C2453))*14)+MONTH(C2453)+2,FALSE)))</f>
        <v>0</v>
      </c>
      <c r="J2453" s="178">
        <f t="shared" si="221"/>
        <v>0</v>
      </c>
      <c r="K2453" s="462">
        <f>IF(C2453=0,0,VLOOKUP(YEAR(C2453),INPC!$B$4:$O$29,MONTH(C2453)+1))</f>
        <v>0</v>
      </c>
      <c r="L2453" s="462">
        <f>IF(S2453=0,0,VLOOKUP(YEAR(S2453),INPC!$B$4:$O$29,MONTH(S2453)+1))</f>
        <v>0</v>
      </c>
      <c r="M2453" s="463">
        <f t="shared" si="214"/>
        <v>0</v>
      </c>
      <c r="N2453" s="465">
        <f t="shared" si="222"/>
        <v>0</v>
      </c>
      <c r="O2453" s="179"/>
      <c r="P2453" s="180"/>
      <c r="Q2453" s="173"/>
      <c r="R2453" s="173"/>
      <c r="S2453" s="174"/>
      <c r="T2453" s="173"/>
      <c r="U2453" s="182"/>
      <c r="V2453" s="177">
        <f>IF(U2453=0,0,IF(T2453="MXN",1/HLOOKUP(YEAR(S2453)+(MONTH(S2453)/100),TC!$5:$37,DAY(S2453)+2,FALSE),VLOOKUP(T2453,Equivalencia!$1:$23,((MAX(Equivalencia!$3:$3)-YEAR(S2453))*14)+MONTH(S2453)+2,FALSE)))</f>
        <v>0</v>
      </c>
      <c r="W2453" s="178">
        <f t="shared" si="219"/>
        <v>0</v>
      </c>
      <c r="X2453" s="481">
        <f t="shared" si="215"/>
        <v>0</v>
      </c>
      <c r="Y2453" s="179"/>
      <c r="Z2453" s="466">
        <f t="shared" si="216"/>
        <v>0</v>
      </c>
      <c r="AA2453" s="473">
        <f t="shared" si="217"/>
        <v>0</v>
      </c>
      <c r="AB2453" s="339">
        <f t="shared" si="218"/>
        <v>0</v>
      </c>
    </row>
    <row r="2454" spans="2:28" ht="20.100000000000001" customHeight="1">
      <c r="B2454" s="172"/>
      <c r="C2454" s="174"/>
      <c r="D2454" s="181"/>
      <c r="E2454" s="173"/>
      <c r="F2454" s="176"/>
      <c r="G2454" s="175">
        <f t="shared" si="220"/>
        <v>0</v>
      </c>
      <c r="H2454" s="175">
        <f t="shared" si="213"/>
        <v>0</v>
      </c>
      <c r="I2454" s="177">
        <f>IF(G2454=0,0,IF(E2454="MXN",1/HLOOKUP(YEAR(C2454)+(MONTH(C2454)/100),TC!$5:$37,DAY(C2454)+2,FALSE),VLOOKUP(E2454,Equivalencia!$5:$23,((MAX(Equivalencia!$3:$3)-YEAR(C2454))*14)+MONTH(C2454)+2,FALSE)))</f>
        <v>0</v>
      </c>
      <c r="J2454" s="178">
        <f t="shared" si="221"/>
        <v>0</v>
      </c>
      <c r="K2454" s="462">
        <f>IF(C2454=0,0,VLOOKUP(YEAR(C2454),INPC!$B$4:$O$29,MONTH(C2454)+1))</f>
        <v>0</v>
      </c>
      <c r="L2454" s="462">
        <f>IF(S2454=0,0,VLOOKUP(YEAR(S2454),INPC!$B$4:$O$29,MONTH(S2454)+1))</f>
        <v>0</v>
      </c>
      <c r="M2454" s="463">
        <f t="shared" si="214"/>
        <v>0</v>
      </c>
      <c r="N2454" s="465">
        <f t="shared" si="222"/>
        <v>0</v>
      </c>
      <c r="O2454" s="179"/>
      <c r="P2454" s="180"/>
      <c r="Q2454" s="173"/>
      <c r="R2454" s="173"/>
      <c r="S2454" s="174"/>
      <c r="T2454" s="173"/>
      <c r="U2454" s="182"/>
      <c r="V2454" s="177">
        <f>IF(U2454=0,0,IF(T2454="MXN",1/HLOOKUP(YEAR(S2454)+(MONTH(S2454)/100),TC!$5:$37,DAY(S2454)+2,FALSE),VLOOKUP(T2454,Equivalencia!$1:$23,((MAX(Equivalencia!$3:$3)-YEAR(S2454))*14)+MONTH(S2454)+2,FALSE)))</f>
        <v>0</v>
      </c>
      <c r="W2454" s="178">
        <f t="shared" si="219"/>
        <v>0</v>
      </c>
      <c r="X2454" s="481">
        <f t="shared" si="215"/>
        <v>0</v>
      </c>
      <c r="Y2454" s="179"/>
      <c r="Z2454" s="466">
        <f t="shared" si="216"/>
        <v>0</v>
      </c>
      <c r="AA2454" s="473">
        <f t="shared" si="217"/>
        <v>0</v>
      </c>
      <c r="AB2454" s="339">
        <f t="shared" si="218"/>
        <v>0</v>
      </c>
    </row>
    <row r="2455" spans="2:28" ht="20.100000000000001" customHeight="1">
      <c r="B2455" s="172"/>
      <c r="C2455" s="174"/>
      <c r="D2455" s="181"/>
      <c r="E2455" s="173"/>
      <c r="F2455" s="176"/>
      <c r="G2455" s="175">
        <f t="shared" si="220"/>
        <v>0</v>
      </c>
      <c r="H2455" s="175">
        <f t="shared" si="213"/>
        <v>0</v>
      </c>
      <c r="I2455" s="177">
        <f>IF(G2455=0,0,IF(E2455="MXN",1/HLOOKUP(YEAR(C2455)+(MONTH(C2455)/100),TC!$5:$37,DAY(C2455)+2,FALSE),VLOOKUP(E2455,Equivalencia!$5:$23,((MAX(Equivalencia!$3:$3)-YEAR(C2455))*14)+MONTH(C2455)+2,FALSE)))</f>
        <v>0</v>
      </c>
      <c r="J2455" s="178">
        <f t="shared" si="221"/>
        <v>0</v>
      </c>
      <c r="K2455" s="462">
        <f>IF(C2455=0,0,VLOOKUP(YEAR(C2455),INPC!$B$4:$O$29,MONTH(C2455)+1))</f>
        <v>0</v>
      </c>
      <c r="L2455" s="462">
        <f>IF(S2455=0,0,VLOOKUP(YEAR(S2455),INPC!$B$4:$O$29,MONTH(S2455)+1))</f>
        <v>0</v>
      </c>
      <c r="M2455" s="463">
        <f t="shared" si="214"/>
        <v>0</v>
      </c>
      <c r="N2455" s="465">
        <f t="shared" si="222"/>
        <v>0</v>
      </c>
      <c r="O2455" s="179"/>
      <c r="P2455" s="180"/>
      <c r="Q2455" s="173"/>
      <c r="R2455" s="173"/>
      <c r="S2455" s="174"/>
      <c r="T2455" s="173"/>
      <c r="U2455" s="182"/>
      <c r="V2455" s="177">
        <f>IF(U2455=0,0,IF(T2455="MXN",1/HLOOKUP(YEAR(S2455)+(MONTH(S2455)/100),TC!$5:$37,DAY(S2455)+2,FALSE),VLOOKUP(T2455,Equivalencia!$1:$23,((MAX(Equivalencia!$3:$3)-YEAR(S2455))*14)+MONTH(S2455)+2,FALSE)))</f>
        <v>0</v>
      </c>
      <c r="W2455" s="178">
        <f t="shared" si="219"/>
        <v>0</v>
      </c>
      <c r="X2455" s="481">
        <f t="shared" si="215"/>
        <v>0</v>
      </c>
      <c r="Y2455" s="179"/>
      <c r="Z2455" s="466">
        <f t="shared" si="216"/>
        <v>0</v>
      </c>
      <c r="AA2455" s="473">
        <f t="shared" si="217"/>
        <v>0</v>
      </c>
      <c r="AB2455" s="339">
        <f t="shared" si="218"/>
        <v>0</v>
      </c>
    </row>
    <row r="2456" spans="2:28" ht="20.100000000000001" customHeight="1">
      <c r="B2456" s="172"/>
      <c r="C2456" s="174"/>
      <c r="D2456" s="181"/>
      <c r="E2456" s="173"/>
      <c r="F2456" s="176"/>
      <c r="G2456" s="175">
        <f t="shared" si="220"/>
        <v>0</v>
      </c>
      <c r="H2456" s="175">
        <f t="shared" si="213"/>
        <v>0</v>
      </c>
      <c r="I2456" s="177">
        <f>IF(G2456=0,0,IF(E2456="MXN",1/HLOOKUP(YEAR(C2456)+(MONTH(C2456)/100),TC!$5:$37,DAY(C2456)+2,FALSE),VLOOKUP(E2456,Equivalencia!$5:$23,((MAX(Equivalencia!$3:$3)-YEAR(C2456))*14)+MONTH(C2456)+2,FALSE)))</f>
        <v>0</v>
      </c>
      <c r="J2456" s="178">
        <f t="shared" si="221"/>
        <v>0</v>
      </c>
      <c r="K2456" s="462">
        <f>IF(C2456=0,0,VLOOKUP(YEAR(C2456),INPC!$B$4:$O$29,MONTH(C2456)+1))</f>
        <v>0</v>
      </c>
      <c r="L2456" s="462">
        <f>IF(S2456=0,0,VLOOKUP(YEAR(S2456),INPC!$B$4:$O$29,MONTH(S2456)+1))</f>
        <v>0</v>
      </c>
      <c r="M2456" s="463">
        <f t="shared" si="214"/>
        <v>0</v>
      </c>
      <c r="N2456" s="465">
        <f t="shared" si="222"/>
        <v>0</v>
      </c>
      <c r="O2456" s="179"/>
      <c r="P2456" s="180"/>
      <c r="Q2456" s="173"/>
      <c r="R2456" s="173"/>
      <c r="S2456" s="174"/>
      <c r="T2456" s="173"/>
      <c r="U2456" s="182"/>
      <c r="V2456" s="177">
        <f>IF(U2456=0,0,IF(T2456="MXN",1/HLOOKUP(YEAR(S2456)+(MONTH(S2456)/100),TC!$5:$37,DAY(S2456)+2,FALSE),VLOOKUP(T2456,Equivalencia!$1:$23,((MAX(Equivalencia!$3:$3)-YEAR(S2456))*14)+MONTH(S2456)+2,FALSE)))</f>
        <v>0</v>
      </c>
      <c r="W2456" s="178">
        <f t="shared" si="219"/>
        <v>0</v>
      </c>
      <c r="X2456" s="481">
        <f t="shared" si="215"/>
        <v>0</v>
      </c>
      <c r="Y2456" s="179"/>
      <c r="Z2456" s="466">
        <f t="shared" si="216"/>
        <v>0</v>
      </c>
      <c r="AA2456" s="473">
        <f t="shared" si="217"/>
        <v>0</v>
      </c>
      <c r="AB2456" s="339">
        <f t="shared" si="218"/>
        <v>0</v>
      </c>
    </row>
    <row r="2457" spans="2:28" ht="20.100000000000001" customHeight="1">
      <c r="B2457" s="172"/>
      <c r="C2457" s="174"/>
      <c r="D2457" s="181"/>
      <c r="E2457" s="173"/>
      <c r="F2457" s="176"/>
      <c r="G2457" s="175">
        <f t="shared" si="220"/>
        <v>0</v>
      </c>
      <c r="H2457" s="175">
        <f t="shared" si="213"/>
        <v>0</v>
      </c>
      <c r="I2457" s="177">
        <f>IF(G2457=0,0,IF(E2457="MXN",1/HLOOKUP(YEAR(C2457)+(MONTH(C2457)/100),TC!$5:$37,DAY(C2457)+2,FALSE),VLOOKUP(E2457,Equivalencia!$5:$23,((MAX(Equivalencia!$3:$3)-YEAR(C2457))*14)+MONTH(C2457)+2,FALSE)))</f>
        <v>0</v>
      </c>
      <c r="J2457" s="178">
        <f t="shared" si="221"/>
        <v>0</v>
      </c>
      <c r="K2457" s="462">
        <f>IF(C2457=0,0,VLOOKUP(YEAR(C2457),INPC!$B$4:$O$29,MONTH(C2457)+1))</f>
        <v>0</v>
      </c>
      <c r="L2457" s="462">
        <f>IF(S2457=0,0,VLOOKUP(YEAR(S2457),INPC!$B$4:$O$29,MONTH(S2457)+1))</f>
        <v>0</v>
      </c>
      <c r="M2457" s="463">
        <f t="shared" si="214"/>
        <v>0</v>
      </c>
      <c r="N2457" s="465">
        <f t="shared" si="222"/>
        <v>0</v>
      </c>
      <c r="O2457" s="179"/>
      <c r="P2457" s="180"/>
      <c r="Q2457" s="173"/>
      <c r="R2457" s="173"/>
      <c r="S2457" s="174"/>
      <c r="T2457" s="173"/>
      <c r="U2457" s="182"/>
      <c r="V2457" s="177">
        <f>IF(U2457=0,0,IF(T2457="MXN",1/HLOOKUP(YEAR(S2457)+(MONTH(S2457)/100),TC!$5:$37,DAY(S2457)+2,FALSE),VLOOKUP(T2457,Equivalencia!$1:$23,((MAX(Equivalencia!$3:$3)-YEAR(S2457))*14)+MONTH(S2457)+2,FALSE)))</f>
        <v>0</v>
      </c>
      <c r="W2457" s="178">
        <f t="shared" si="219"/>
        <v>0</v>
      </c>
      <c r="X2457" s="481">
        <f t="shared" si="215"/>
        <v>0</v>
      </c>
      <c r="Y2457" s="179"/>
      <c r="Z2457" s="466">
        <f t="shared" si="216"/>
        <v>0</v>
      </c>
      <c r="AA2457" s="473">
        <f t="shared" si="217"/>
        <v>0</v>
      </c>
      <c r="AB2457" s="339">
        <f t="shared" si="218"/>
        <v>0</v>
      </c>
    </row>
    <row r="2458" spans="2:28" ht="20.100000000000001" customHeight="1">
      <c r="B2458" s="172"/>
      <c r="C2458" s="174"/>
      <c r="D2458" s="181"/>
      <c r="E2458" s="173"/>
      <c r="F2458" s="176"/>
      <c r="G2458" s="175">
        <f t="shared" si="220"/>
        <v>0</v>
      </c>
      <c r="H2458" s="175">
        <f t="shared" si="213"/>
        <v>0</v>
      </c>
      <c r="I2458" s="177">
        <f>IF(G2458=0,0,IF(E2458="MXN",1/HLOOKUP(YEAR(C2458)+(MONTH(C2458)/100),TC!$5:$37,DAY(C2458)+2,FALSE),VLOOKUP(E2458,Equivalencia!$5:$23,((MAX(Equivalencia!$3:$3)-YEAR(C2458))*14)+MONTH(C2458)+2,FALSE)))</f>
        <v>0</v>
      </c>
      <c r="J2458" s="178">
        <f t="shared" si="221"/>
        <v>0</v>
      </c>
      <c r="K2458" s="462">
        <f>IF(C2458=0,0,VLOOKUP(YEAR(C2458),INPC!$B$4:$O$29,MONTH(C2458)+1))</f>
        <v>0</v>
      </c>
      <c r="L2458" s="462">
        <f>IF(S2458=0,0,VLOOKUP(YEAR(S2458),INPC!$B$4:$O$29,MONTH(S2458)+1))</f>
        <v>0</v>
      </c>
      <c r="M2458" s="463">
        <f t="shared" si="214"/>
        <v>0</v>
      </c>
      <c r="N2458" s="465">
        <f t="shared" si="222"/>
        <v>0</v>
      </c>
      <c r="O2458" s="179"/>
      <c r="P2458" s="180"/>
      <c r="Q2458" s="173"/>
      <c r="R2458" s="173"/>
      <c r="S2458" s="174"/>
      <c r="T2458" s="173"/>
      <c r="U2458" s="182"/>
      <c r="V2458" s="177">
        <f>IF(U2458=0,0,IF(T2458="MXN",1/HLOOKUP(YEAR(S2458)+(MONTH(S2458)/100),TC!$5:$37,DAY(S2458)+2,FALSE),VLOOKUP(T2458,Equivalencia!$1:$23,((MAX(Equivalencia!$3:$3)-YEAR(S2458))*14)+MONTH(S2458)+2,FALSE)))</f>
        <v>0</v>
      </c>
      <c r="W2458" s="178">
        <f t="shared" si="219"/>
        <v>0</v>
      </c>
      <c r="X2458" s="481">
        <f t="shared" si="215"/>
        <v>0</v>
      </c>
      <c r="Y2458" s="179"/>
      <c r="Z2458" s="466">
        <f t="shared" si="216"/>
        <v>0</v>
      </c>
      <c r="AA2458" s="473">
        <f t="shared" si="217"/>
        <v>0</v>
      </c>
      <c r="AB2458" s="339">
        <f t="shared" si="218"/>
        <v>0</v>
      </c>
    </row>
    <row r="2459" spans="2:28" ht="20.100000000000001" customHeight="1">
      <c r="B2459" s="172"/>
      <c r="C2459" s="174"/>
      <c r="D2459" s="181"/>
      <c r="E2459" s="173"/>
      <c r="F2459" s="176"/>
      <c r="G2459" s="175">
        <f t="shared" si="220"/>
        <v>0</v>
      </c>
      <c r="H2459" s="175">
        <f t="shared" si="213"/>
        <v>0</v>
      </c>
      <c r="I2459" s="177">
        <f>IF(G2459=0,0,IF(E2459="MXN",1/HLOOKUP(YEAR(C2459)+(MONTH(C2459)/100),TC!$5:$37,DAY(C2459)+2,FALSE),VLOOKUP(E2459,Equivalencia!$5:$23,((MAX(Equivalencia!$3:$3)-YEAR(C2459))*14)+MONTH(C2459)+2,FALSE)))</f>
        <v>0</v>
      </c>
      <c r="J2459" s="178">
        <f t="shared" si="221"/>
        <v>0</v>
      </c>
      <c r="K2459" s="462">
        <f>IF(C2459=0,0,VLOOKUP(YEAR(C2459),INPC!$B$4:$O$29,MONTH(C2459)+1))</f>
        <v>0</v>
      </c>
      <c r="L2459" s="462">
        <f>IF(S2459=0,0,VLOOKUP(YEAR(S2459),INPC!$B$4:$O$29,MONTH(S2459)+1))</f>
        <v>0</v>
      </c>
      <c r="M2459" s="463">
        <f t="shared" si="214"/>
        <v>0</v>
      </c>
      <c r="N2459" s="465">
        <f t="shared" si="222"/>
        <v>0</v>
      </c>
      <c r="O2459" s="179"/>
      <c r="P2459" s="180"/>
      <c r="Q2459" s="173"/>
      <c r="R2459" s="173"/>
      <c r="S2459" s="174"/>
      <c r="T2459" s="173"/>
      <c r="U2459" s="182"/>
      <c r="V2459" s="177">
        <f>IF(U2459=0,0,IF(T2459="MXN",1/HLOOKUP(YEAR(S2459)+(MONTH(S2459)/100),TC!$5:$37,DAY(S2459)+2,FALSE),VLOOKUP(T2459,Equivalencia!$1:$23,((MAX(Equivalencia!$3:$3)-YEAR(S2459))*14)+MONTH(S2459)+2,FALSE)))</f>
        <v>0</v>
      </c>
      <c r="W2459" s="178">
        <f t="shared" si="219"/>
        <v>0</v>
      </c>
      <c r="X2459" s="481">
        <f t="shared" si="215"/>
        <v>0</v>
      </c>
      <c r="Y2459" s="179"/>
      <c r="Z2459" s="466">
        <f t="shared" si="216"/>
        <v>0</v>
      </c>
      <c r="AA2459" s="473">
        <f t="shared" si="217"/>
        <v>0</v>
      </c>
      <c r="AB2459" s="339">
        <f t="shared" si="218"/>
        <v>0</v>
      </c>
    </row>
    <row r="2460" spans="2:28" ht="20.100000000000001" customHeight="1">
      <c r="B2460" s="172"/>
      <c r="C2460" s="174"/>
      <c r="D2460" s="181"/>
      <c r="E2460" s="173"/>
      <c r="F2460" s="176"/>
      <c r="G2460" s="175">
        <f t="shared" si="220"/>
        <v>0</v>
      </c>
      <c r="H2460" s="175">
        <f t="shared" si="213"/>
        <v>0</v>
      </c>
      <c r="I2460" s="177">
        <f>IF(G2460=0,0,IF(E2460="MXN",1/HLOOKUP(YEAR(C2460)+(MONTH(C2460)/100),TC!$5:$37,DAY(C2460)+2,FALSE),VLOOKUP(E2460,Equivalencia!$5:$23,((MAX(Equivalencia!$3:$3)-YEAR(C2460))*14)+MONTH(C2460)+2,FALSE)))</f>
        <v>0</v>
      </c>
      <c r="J2460" s="178">
        <f t="shared" si="221"/>
        <v>0</v>
      </c>
      <c r="K2460" s="462">
        <f>IF(C2460=0,0,VLOOKUP(YEAR(C2460),INPC!$B$4:$O$29,MONTH(C2460)+1))</f>
        <v>0</v>
      </c>
      <c r="L2460" s="462">
        <f>IF(S2460=0,0,VLOOKUP(YEAR(S2460),INPC!$B$4:$O$29,MONTH(S2460)+1))</f>
        <v>0</v>
      </c>
      <c r="M2460" s="463">
        <f t="shared" si="214"/>
        <v>0</v>
      </c>
      <c r="N2460" s="465">
        <f t="shared" si="222"/>
        <v>0</v>
      </c>
      <c r="O2460" s="179"/>
      <c r="P2460" s="180"/>
      <c r="Q2460" s="173"/>
      <c r="R2460" s="173"/>
      <c r="S2460" s="174"/>
      <c r="T2460" s="173"/>
      <c r="U2460" s="182"/>
      <c r="V2460" s="177">
        <f>IF(U2460=0,0,IF(T2460="MXN",1/HLOOKUP(YEAR(S2460)+(MONTH(S2460)/100),TC!$5:$37,DAY(S2460)+2,FALSE),VLOOKUP(T2460,Equivalencia!$1:$23,((MAX(Equivalencia!$3:$3)-YEAR(S2460))*14)+MONTH(S2460)+2,FALSE)))</f>
        <v>0</v>
      </c>
      <c r="W2460" s="178">
        <f t="shared" si="219"/>
        <v>0</v>
      </c>
      <c r="X2460" s="481">
        <f t="shared" si="215"/>
        <v>0</v>
      </c>
      <c r="Y2460" s="179"/>
      <c r="Z2460" s="466">
        <f t="shared" si="216"/>
        <v>0</v>
      </c>
      <c r="AA2460" s="473">
        <f t="shared" si="217"/>
        <v>0</v>
      </c>
      <c r="AB2460" s="339">
        <f t="shared" si="218"/>
        <v>0</v>
      </c>
    </row>
    <row r="2461" spans="2:28" ht="20.100000000000001" customHeight="1">
      <c r="B2461" s="172"/>
      <c r="C2461" s="174"/>
      <c r="D2461" s="181"/>
      <c r="E2461" s="173"/>
      <c r="F2461" s="176"/>
      <c r="G2461" s="175">
        <f t="shared" si="220"/>
        <v>0</v>
      </c>
      <c r="H2461" s="175">
        <f t="shared" si="213"/>
        <v>0</v>
      </c>
      <c r="I2461" s="177">
        <f>IF(G2461=0,0,IF(E2461="MXN",1/HLOOKUP(YEAR(C2461)+(MONTH(C2461)/100),TC!$5:$37,DAY(C2461)+2,FALSE),VLOOKUP(E2461,Equivalencia!$5:$23,((MAX(Equivalencia!$3:$3)-YEAR(C2461))*14)+MONTH(C2461)+2,FALSE)))</f>
        <v>0</v>
      </c>
      <c r="J2461" s="178">
        <f t="shared" si="221"/>
        <v>0</v>
      </c>
      <c r="K2461" s="462">
        <f>IF(C2461=0,0,VLOOKUP(YEAR(C2461),INPC!$B$4:$O$29,MONTH(C2461)+1))</f>
        <v>0</v>
      </c>
      <c r="L2461" s="462">
        <f>IF(S2461=0,0,VLOOKUP(YEAR(S2461),INPC!$B$4:$O$29,MONTH(S2461)+1))</f>
        <v>0</v>
      </c>
      <c r="M2461" s="463">
        <f t="shared" si="214"/>
        <v>0</v>
      </c>
      <c r="N2461" s="465">
        <f t="shared" si="222"/>
        <v>0</v>
      </c>
      <c r="O2461" s="179"/>
      <c r="P2461" s="180"/>
      <c r="Q2461" s="173"/>
      <c r="R2461" s="173"/>
      <c r="S2461" s="174"/>
      <c r="T2461" s="173"/>
      <c r="U2461" s="182"/>
      <c r="V2461" s="177">
        <f>IF(U2461=0,0,IF(T2461="MXN",1/HLOOKUP(YEAR(S2461)+(MONTH(S2461)/100),TC!$5:$37,DAY(S2461)+2,FALSE),VLOOKUP(T2461,Equivalencia!$1:$23,((MAX(Equivalencia!$3:$3)-YEAR(S2461))*14)+MONTH(S2461)+2,FALSE)))</f>
        <v>0</v>
      </c>
      <c r="W2461" s="178">
        <f t="shared" si="219"/>
        <v>0</v>
      </c>
      <c r="X2461" s="481">
        <f t="shared" si="215"/>
        <v>0</v>
      </c>
      <c r="Y2461" s="179"/>
      <c r="Z2461" s="466">
        <f t="shared" si="216"/>
        <v>0</v>
      </c>
      <c r="AA2461" s="473">
        <f t="shared" si="217"/>
        <v>0</v>
      </c>
      <c r="AB2461" s="339">
        <f t="shared" si="218"/>
        <v>0</v>
      </c>
    </row>
    <row r="2462" spans="2:28" ht="20.100000000000001" customHeight="1">
      <c r="B2462" s="172"/>
      <c r="C2462" s="174"/>
      <c r="D2462" s="181"/>
      <c r="E2462" s="173"/>
      <c r="F2462" s="176"/>
      <c r="G2462" s="175">
        <f t="shared" si="220"/>
        <v>0</v>
      </c>
      <c r="H2462" s="175">
        <f t="shared" si="213"/>
        <v>0</v>
      </c>
      <c r="I2462" s="177">
        <f>IF(G2462=0,0,IF(E2462="MXN",1/HLOOKUP(YEAR(C2462)+(MONTH(C2462)/100),TC!$5:$37,DAY(C2462)+2,FALSE),VLOOKUP(E2462,Equivalencia!$5:$23,((MAX(Equivalencia!$3:$3)-YEAR(C2462))*14)+MONTH(C2462)+2,FALSE)))</f>
        <v>0</v>
      </c>
      <c r="J2462" s="178">
        <f t="shared" si="221"/>
        <v>0</v>
      </c>
      <c r="K2462" s="462">
        <f>IF(C2462=0,0,VLOOKUP(YEAR(C2462),INPC!$B$4:$O$29,MONTH(C2462)+1))</f>
        <v>0</v>
      </c>
      <c r="L2462" s="462">
        <f>IF(S2462=0,0,VLOOKUP(YEAR(S2462),INPC!$B$4:$O$29,MONTH(S2462)+1))</f>
        <v>0</v>
      </c>
      <c r="M2462" s="463">
        <f t="shared" si="214"/>
        <v>0</v>
      </c>
      <c r="N2462" s="465">
        <f t="shared" si="222"/>
        <v>0</v>
      </c>
      <c r="O2462" s="179"/>
      <c r="P2462" s="180"/>
      <c r="Q2462" s="173"/>
      <c r="R2462" s="173"/>
      <c r="S2462" s="174"/>
      <c r="T2462" s="173"/>
      <c r="U2462" s="182"/>
      <c r="V2462" s="177">
        <f>IF(U2462=0,0,IF(T2462="MXN",1/HLOOKUP(YEAR(S2462)+(MONTH(S2462)/100),TC!$5:$37,DAY(S2462)+2,FALSE),VLOOKUP(T2462,Equivalencia!$1:$23,((MAX(Equivalencia!$3:$3)-YEAR(S2462))*14)+MONTH(S2462)+2,FALSE)))</f>
        <v>0</v>
      </c>
      <c r="W2462" s="178">
        <f t="shared" si="219"/>
        <v>0</v>
      </c>
      <c r="X2462" s="481">
        <f t="shared" si="215"/>
        <v>0</v>
      </c>
      <c r="Y2462" s="179"/>
      <c r="Z2462" s="466">
        <f t="shared" si="216"/>
        <v>0</v>
      </c>
      <c r="AA2462" s="473">
        <f t="shared" si="217"/>
        <v>0</v>
      </c>
      <c r="AB2462" s="339">
        <f t="shared" si="218"/>
        <v>0</v>
      </c>
    </row>
    <row r="2463" spans="2:28" ht="20.100000000000001" customHeight="1">
      <c r="B2463" s="172"/>
      <c r="C2463" s="174"/>
      <c r="D2463" s="181"/>
      <c r="E2463" s="173"/>
      <c r="F2463" s="176"/>
      <c r="G2463" s="175">
        <f t="shared" si="220"/>
        <v>0</v>
      </c>
      <c r="H2463" s="175">
        <f t="shared" si="213"/>
        <v>0</v>
      </c>
      <c r="I2463" s="177">
        <f>IF(G2463=0,0,IF(E2463="MXN",1/HLOOKUP(YEAR(C2463)+(MONTH(C2463)/100),TC!$5:$37,DAY(C2463)+2,FALSE),VLOOKUP(E2463,Equivalencia!$5:$23,((MAX(Equivalencia!$3:$3)-YEAR(C2463))*14)+MONTH(C2463)+2,FALSE)))</f>
        <v>0</v>
      </c>
      <c r="J2463" s="178">
        <f t="shared" si="221"/>
        <v>0</v>
      </c>
      <c r="K2463" s="462">
        <f>IF(C2463=0,0,VLOOKUP(YEAR(C2463),INPC!$B$4:$O$29,MONTH(C2463)+1))</f>
        <v>0</v>
      </c>
      <c r="L2463" s="462">
        <f>IF(S2463=0,0,VLOOKUP(YEAR(S2463),INPC!$B$4:$O$29,MONTH(S2463)+1))</f>
        <v>0</v>
      </c>
      <c r="M2463" s="463">
        <f t="shared" si="214"/>
        <v>0</v>
      </c>
      <c r="N2463" s="465">
        <f t="shared" si="222"/>
        <v>0</v>
      </c>
      <c r="O2463" s="179"/>
      <c r="P2463" s="180"/>
      <c r="Q2463" s="173"/>
      <c r="R2463" s="173"/>
      <c r="S2463" s="174"/>
      <c r="T2463" s="173"/>
      <c r="U2463" s="182"/>
      <c r="V2463" s="177">
        <f>IF(U2463=0,0,IF(T2463="MXN",1/HLOOKUP(YEAR(S2463)+(MONTH(S2463)/100),TC!$5:$37,DAY(S2463)+2,FALSE),VLOOKUP(T2463,Equivalencia!$1:$23,((MAX(Equivalencia!$3:$3)-YEAR(S2463))*14)+MONTH(S2463)+2,FALSE)))</f>
        <v>0</v>
      </c>
      <c r="W2463" s="178">
        <f t="shared" si="219"/>
        <v>0</v>
      </c>
      <c r="X2463" s="481">
        <f t="shared" si="215"/>
        <v>0</v>
      </c>
      <c r="Y2463" s="179"/>
      <c r="Z2463" s="466">
        <f t="shared" si="216"/>
        <v>0</v>
      </c>
      <c r="AA2463" s="473">
        <f t="shared" si="217"/>
        <v>0</v>
      </c>
      <c r="AB2463" s="339">
        <f t="shared" si="218"/>
        <v>0</v>
      </c>
    </row>
    <row r="2464" spans="2:28" ht="20.100000000000001" customHeight="1">
      <c r="B2464" s="172"/>
      <c r="C2464" s="174"/>
      <c r="D2464" s="181"/>
      <c r="E2464" s="173"/>
      <c r="F2464" s="176"/>
      <c r="G2464" s="175">
        <f t="shared" si="220"/>
        <v>0</v>
      </c>
      <c r="H2464" s="175">
        <f t="shared" si="213"/>
        <v>0</v>
      </c>
      <c r="I2464" s="177">
        <f>IF(G2464=0,0,IF(E2464="MXN",1/HLOOKUP(YEAR(C2464)+(MONTH(C2464)/100),TC!$5:$37,DAY(C2464)+2,FALSE),VLOOKUP(E2464,Equivalencia!$5:$23,((MAX(Equivalencia!$3:$3)-YEAR(C2464))*14)+MONTH(C2464)+2,FALSE)))</f>
        <v>0</v>
      </c>
      <c r="J2464" s="178">
        <f t="shared" si="221"/>
        <v>0</v>
      </c>
      <c r="K2464" s="462">
        <f>IF(C2464=0,0,VLOOKUP(YEAR(C2464),INPC!$B$4:$O$29,MONTH(C2464)+1))</f>
        <v>0</v>
      </c>
      <c r="L2464" s="462">
        <f>IF(S2464=0,0,VLOOKUP(YEAR(S2464),INPC!$B$4:$O$29,MONTH(S2464)+1))</f>
        <v>0</v>
      </c>
      <c r="M2464" s="463">
        <f t="shared" si="214"/>
        <v>0</v>
      </c>
      <c r="N2464" s="465">
        <f t="shared" si="222"/>
        <v>0</v>
      </c>
      <c r="O2464" s="179"/>
      <c r="P2464" s="180"/>
      <c r="Q2464" s="173"/>
      <c r="R2464" s="173"/>
      <c r="S2464" s="174"/>
      <c r="T2464" s="173"/>
      <c r="U2464" s="182"/>
      <c r="V2464" s="177">
        <f>IF(U2464=0,0,IF(T2464="MXN",1/HLOOKUP(YEAR(S2464)+(MONTH(S2464)/100),TC!$5:$37,DAY(S2464)+2,FALSE),VLOOKUP(T2464,Equivalencia!$1:$23,((MAX(Equivalencia!$3:$3)-YEAR(S2464))*14)+MONTH(S2464)+2,FALSE)))</f>
        <v>0</v>
      </c>
      <c r="W2464" s="178">
        <f t="shared" si="219"/>
        <v>0</v>
      </c>
      <c r="X2464" s="481">
        <f t="shared" si="215"/>
        <v>0</v>
      </c>
      <c r="Y2464" s="179"/>
      <c r="Z2464" s="466">
        <f t="shared" si="216"/>
        <v>0</v>
      </c>
      <c r="AA2464" s="473">
        <f t="shared" si="217"/>
        <v>0</v>
      </c>
      <c r="AB2464" s="339">
        <f t="shared" si="218"/>
        <v>0</v>
      </c>
    </row>
    <row r="2465" spans="2:28" ht="20.100000000000001" customHeight="1">
      <c r="B2465" s="172"/>
      <c r="C2465" s="174"/>
      <c r="D2465" s="181"/>
      <c r="E2465" s="173"/>
      <c r="F2465" s="176"/>
      <c r="G2465" s="175">
        <f t="shared" si="220"/>
        <v>0</v>
      </c>
      <c r="H2465" s="175">
        <f t="shared" si="213"/>
        <v>0</v>
      </c>
      <c r="I2465" s="177">
        <f>IF(G2465=0,0,IF(E2465="MXN",1/HLOOKUP(YEAR(C2465)+(MONTH(C2465)/100),TC!$5:$37,DAY(C2465)+2,FALSE),VLOOKUP(E2465,Equivalencia!$5:$23,((MAX(Equivalencia!$3:$3)-YEAR(C2465))*14)+MONTH(C2465)+2,FALSE)))</f>
        <v>0</v>
      </c>
      <c r="J2465" s="178">
        <f t="shared" si="221"/>
        <v>0</v>
      </c>
      <c r="K2465" s="462">
        <f>IF(C2465=0,0,VLOOKUP(YEAR(C2465),INPC!$B$4:$O$29,MONTH(C2465)+1))</f>
        <v>0</v>
      </c>
      <c r="L2465" s="462">
        <f>IF(S2465=0,0,VLOOKUP(YEAR(S2465),INPC!$B$4:$O$29,MONTH(S2465)+1))</f>
        <v>0</v>
      </c>
      <c r="M2465" s="463">
        <f t="shared" si="214"/>
        <v>0</v>
      </c>
      <c r="N2465" s="465">
        <f t="shared" si="222"/>
        <v>0</v>
      </c>
      <c r="O2465" s="179"/>
      <c r="P2465" s="180"/>
      <c r="Q2465" s="173"/>
      <c r="R2465" s="173"/>
      <c r="S2465" s="174"/>
      <c r="T2465" s="173"/>
      <c r="U2465" s="182"/>
      <c r="V2465" s="177">
        <f>IF(U2465=0,0,IF(T2465="MXN",1/HLOOKUP(YEAR(S2465)+(MONTH(S2465)/100),TC!$5:$37,DAY(S2465)+2,FALSE),VLOOKUP(T2465,Equivalencia!$1:$23,((MAX(Equivalencia!$3:$3)-YEAR(S2465))*14)+MONTH(S2465)+2,FALSE)))</f>
        <v>0</v>
      </c>
      <c r="W2465" s="178">
        <f t="shared" si="219"/>
        <v>0</v>
      </c>
      <c r="X2465" s="481">
        <f t="shared" si="215"/>
        <v>0</v>
      </c>
      <c r="Y2465" s="179"/>
      <c r="Z2465" s="466">
        <f t="shared" si="216"/>
        <v>0</v>
      </c>
      <c r="AA2465" s="473">
        <f t="shared" si="217"/>
        <v>0</v>
      </c>
      <c r="AB2465" s="339">
        <f t="shared" si="218"/>
        <v>0</v>
      </c>
    </row>
    <row r="2466" spans="2:28" ht="20.100000000000001" customHeight="1">
      <c r="B2466" s="172"/>
      <c r="C2466" s="174"/>
      <c r="D2466" s="181"/>
      <c r="E2466" s="173"/>
      <c r="F2466" s="176"/>
      <c r="G2466" s="175">
        <f t="shared" si="220"/>
        <v>0</v>
      </c>
      <c r="H2466" s="175">
        <f t="shared" si="213"/>
        <v>0</v>
      </c>
      <c r="I2466" s="177">
        <f>IF(G2466=0,0,IF(E2466="MXN",1/HLOOKUP(YEAR(C2466)+(MONTH(C2466)/100),TC!$5:$37,DAY(C2466)+2,FALSE),VLOOKUP(E2466,Equivalencia!$5:$23,((MAX(Equivalencia!$3:$3)-YEAR(C2466))*14)+MONTH(C2466)+2,FALSE)))</f>
        <v>0</v>
      </c>
      <c r="J2466" s="178">
        <f t="shared" si="221"/>
        <v>0</v>
      </c>
      <c r="K2466" s="462">
        <f>IF(C2466=0,0,VLOOKUP(YEAR(C2466),INPC!$B$4:$O$29,MONTH(C2466)+1))</f>
        <v>0</v>
      </c>
      <c r="L2466" s="462">
        <f>IF(S2466=0,0,VLOOKUP(YEAR(S2466),INPC!$B$4:$O$29,MONTH(S2466)+1))</f>
        <v>0</v>
      </c>
      <c r="M2466" s="463">
        <f t="shared" si="214"/>
        <v>0</v>
      </c>
      <c r="N2466" s="465">
        <f t="shared" si="222"/>
        <v>0</v>
      </c>
      <c r="O2466" s="179"/>
      <c r="P2466" s="180"/>
      <c r="Q2466" s="173"/>
      <c r="R2466" s="173"/>
      <c r="S2466" s="174"/>
      <c r="T2466" s="173"/>
      <c r="U2466" s="182"/>
      <c r="V2466" s="177">
        <f>IF(U2466=0,0,IF(T2466="MXN",1/HLOOKUP(YEAR(S2466)+(MONTH(S2466)/100),TC!$5:$37,DAY(S2466)+2,FALSE),VLOOKUP(T2466,Equivalencia!$1:$23,((MAX(Equivalencia!$3:$3)-YEAR(S2466))*14)+MONTH(S2466)+2,FALSE)))</f>
        <v>0</v>
      </c>
      <c r="W2466" s="178">
        <f t="shared" si="219"/>
        <v>0</v>
      </c>
      <c r="X2466" s="481">
        <f t="shared" si="215"/>
        <v>0</v>
      </c>
      <c r="Y2466" s="179"/>
      <c r="Z2466" s="466">
        <f t="shared" si="216"/>
        <v>0</v>
      </c>
      <c r="AA2466" s="473">
        <f t="shared" si="217"/>
        <v>0</v>
      </c>
      <c r="AB2466" s="339">
        <f t="shared" si="218"/>
        <v>0</v>
      </c>
    </row>
    <row r="2467" spans="2:28" ht="20.100000000000001" customHeight="1">
      <c r="B2467" s="172"/>
      <c r="C2467" s="174"/>
      <c r="D2467" s="181"/>
      <c r="E2467" s="173"/>
      <c r="F2467" s="176"/>
      <c r="G2467" s="175">
        <f t="shared" si="220"/>
        <v>0</v>
      </c>
      <c r="H2467" s="175">
        <f t="shared" si="213"/>
        <v>0</v>
      </c>
      <c r="I2467" s="177">
        <f>IF(G2467=0,0,IF(E2467="MXN",1/HLOOKUP(YEAR(C2467)+(MONTH(C2467)/100),TC!$5:$37,DAY(C2467)+2,FALSE),VLOOKUP(E2467,Equivalencia!$5:$23,((MAX(Equivalencia!$3:$3)-YEAR(C2467))*14)+MONTH(C2467)+2,FALSE)))</f>
        <v>0</v>
      </c>
      <c r="J2467" s="178">
        <f t="shared" si="221"/>
        <v>0</v>
      </c>
      <c r="K2467" s="462">
        <f>IF(C2467=0,0,VLOOKUP(YEAR(C2467),INPC!$B$4:$O$29,MONTH(C2467)+1))</f>
        <v>0</v>
      </c>
      <c r="L2467" s="462">
        <f>IF(S2467=0,0,VLOOKUP(YEAR(S2467),INPC!$B$4:$O$29,MONTH(S2467)+1))</f>
        <v>0</v>
      </c>
      <c r="M2467" s="463">
        <f t="shared" si="214"/>
        <v>0</v>
      </c>
      <c r="N2467" s="465">
        <f t="shared" si="222"/>
        <v>0</v>
      </c>
      <c r="O2467" s="179"/>
      <c r="P2467" s="180"/>
      <c r="Q2467" s="173"/>
      <c r="R2467" s="173"/>
      <c r="S2467" s="174"/>
      <c r="T2467" s="173"/>
      <c r="U2467" s="182"/>
      <c r="V2467" s="177">
        <f>IF(U2467=0,0,IF(T2467="MXN",1/HLOOKUP(YEAR(S2467)+(MONTH(S2467)/100),TC!$5:$37,DAY(S2467)+2,FALSE),VLOOKUP(T2467,Equivalencia!$1:$23,((MAX(Equivalencia!$3:$3)-YEAR(S2467))*14)+MONTH(S2467)+2,FALSE)))</f>
        <v>0</v>
      </c>
      <c r="W2467" s="178">
        <f t="shared" si="219"/>
        <v>0</v>
      </c>
      <c r="X2467" s="481">
        <f t="shared" si="215"/>
        <v>0</v>
      </c>
      <c r="Y2467" s="179"/>
      <c r="Z2467" s="466">
        <f t="shared" si="216"/>
        <v>0</v>
      </c>
      <c r="AA2467" s="473">
        <f t="shared" si="217"/>
        <v>0</v>
      </c>
      <c r="AB2467" s="339">
        <f t="shared" si="218"/>
        <v>0</v>
      </c>
    </row>
    <row r="2468" spans="2:28" ht="20.100000000000001" customHeight="1">
      <c r="B2468" s="172"/>
      <c r="C2468" s="174"/>
      <c r="D2468" s="181"/>
      <c r="E2468" s="173"/>
      <c r="F2468" s="176"/>
      <c r="G2468" s="175">
        <f t="shared" si="220"/>
        <v>0</v>
      </c>
      <c r="H2468" s="175">
        <f t="shared" si="213"/>
        <v>0</v>
      </c>
      <c r="I2468" s="177">
        <f>IF(G2468=0,0,IF(E2468="MXN",1/HLOOKUP(YEAR(C2468)+(MONTH(C2468)/100),TC!$5:$37,DAY(C2468)+2,FALSE),VLOOKUP(E2468,Equivalencia!$5:$23,((MAX(Equivalencia!$3:$3)-YEAR(C2468))*14)+MONTH(C2468)+2,FALSE)))</f>
        <v>0</v>
      </c>
      <c r="J2468" s="178">
        <f t="shared" si="221"/>
        <v>0</v>
      </c>
      <c r="K2468" s="462">
        <f>IF(C2468=0,0,VLOOKUP(YEAR(C2468),INPC!$B$4:$O$29,MONTH(C2468)+1))</f>
        <v>0</v>
      </c>
      <c r="L2468" s="462">
        <f>IF(S2468=0,0,VLOOKUP(YEAR(S2468),INPC!$B$4:$O$29,MONTH(S2468)+1))</f>
        <v>0</v>
      </c>
      <c r="M2468" s="463">
        <f t="shared" si="214"/>
        <v>0</v>
      </c>
      <c r="N2468" s="465">
        <f t="shared" si="222"/>
        <v>0</v>
      </c>
      <c r="O2468" s="179"/>
      <c r="P2468" s="180"/>
      <c r="Q2468" s="173"/>
      <c r="R2468" s="173"/>
      <c r="S2468" s="174"/>
      <c r="T2468" s="173"/>
      <c r="U2468" s="182"/>
      <c r="V2468" s="177">
        <f>IF(U2468=0,0,IF(T2468="MXN",1/HLOOKUP(YEAR(S2468)+(MONTH(S2468)/100),TC!$5:$37,DAY(S2468)+2,FALSE),VLOOKUP(T2468,Equivalencia!$1:$23,((MAX(Equivalencia!$3:$3)-YEAR(S2468))*14)+MONTH(S2468)+2,FALSE)))</f>
        <v>0</v>
      </c>
      <c r="W2468" s="178">
        <f t="shared" si="219"/>
        <v>0</v>
      </c>
      <c r="X2468" s="481">
        <f t="shared" si="215"/>
        <v>0</v>
      </c>
      <c r="Y2468" s="179"/>
      <c r="Z2468" s="466">
        <f t="shared" si="216"/>
        <v>0</v>
      </c>
      <c r="AA2468" s="473">
        <f t="shared" si="217"/>
        <v>0</v>
      </c>
      <c r="AB2468" s="339">
        <f t="shared" si="218"/>
        <v>0</v>
      </c>
    </row>
    <row r="2469" spans="2:28" ht="20.100000000000001" customHeight="1">
      <c r="B2469" s="172"/>
      <c r="C2469" s="174"/>
      <c r="D2469" s="181"/>
      <c r="E2469" s="173"/>
      <c r="F2469" s="176"/>
      <c r="G2469" s="175">
        <f t="shared" si="220"/>
        <v>0</v>
      </c>
      <c r="H2469" s="175">
        <f t="shared" si="213"/>
        <v>0</v>
      </c>
      <c r="I2469" s="177">
        <f>IF(G2469=0,0,IF(E2469="MXN",1/HLOOKUP(YEAR(C2469)+(MONTH(C2469)/100),TC!$5:$37,DAY(C2469)+2,FALSE),VLOOKUP(E2469,Equivalencia!$5:$23,((MAX(Equivalencia!$3:$3)-YEAR(C2469))*14)+MONTH(C2469)+2,FALSE)))</f>
        <v>0</v>
      </c>
      <c r="J2469" s="178">
        <f t="shared" si="221"/>
        <v>0</v>
      </c>
      <c r="K2469" s="462">
        <f>IF(C2469=0,0,VLOOKUP(YEAR(C2469),INPC!$B$4:$O$29,MONTH(C2469)+1))</f>
        <v>0</v>
      </c>
      <c r="L2469" s="462">
        <f>IF(S2469=0,0,VLOOKUP(YEAR(S2469),INPC!$B$4:$O$29,MONTH(S2469)+1))</f>
        <v>0</v>
      </c>
      <c r="M2469" s="463">
        <f t="shared" si="214"/>
        <v>0</v>
      </c>
      <c r="N2469" s="465">
        <f t="shared" si="222"/>
        <v>0</v>
      </c>
      <c r="O2469" s="179"/>
      <c r="P2469" s="180"/>
      <c r="Q2469" s="173"/>
      <c r="R2469" s="173"/>
      <c r="S2469" s="174"/>
      <c r="T2469" s="173"/>
      <c r="U2469" s="182"/>
      <c r="V2469" s="177">
        <f>IF(U2469=0,0,IF(T2469="MXN",1/HLOOKUP(YEAR(S2469)+(MONTH(S2469)/100),TC!$5:$37,DAY(S2469)+2,FALSE),VLOOKUP(T2469,Equivalencia!$1:$23,((MAX(Equivalencia!$3:$3)-YEAR(S2469))*14)+MONTH(S2469)+2,FALSE)))</f>
        <v>0</v>
      </c>
      <c r="W2469" s="178">
        <f t="shared" si="219"/>
        <v>0</v>
      </c>
      <c r="X2469" s="481">
        <f t="shared" si="215"/>
        <v>0</v>
      </c>
      <c r="Y2469" s="179"/>
      <c r="Z2469" s="466">
        <f t="shared" si="216"/>
        <v>0</v>
      </c>
      <c r="AA2469" s="473">
        <f t="shared" si="217"/>
        <v>0</v>
      </c>
      <c r="AB2469" s="339">
        <f t="shared" si="218"/>
        <v>0</v>
      </c>
    </row>
    <row r="2470" spans="2:28" ht="20.100000000000001" customHeight="1">
      <c r="B2470" s="172"/>
      <c r="C2470" s="174"/>
      <c r="D2470" s="181"/>
      <c r="E2470" s="173"/>
      <c r="F2470" s="176"/>
      <c r="G2470" s="175">
        <f t="shared" si="220"/>
        <v>0</v>
      </c>
      <c r="H2470" s="175">
        <f t="shared" si="213"/>
        <v>0</v>
      </c>
      <c r="I2470" s="177">
        <f>IF(G2470=0,0,IF(E2470="MXN",1/HLOOKUP(YEAR(C2470)+(MONTH(C2470)/100),TC!$5:$37,DAY(C2470)+2,FALSE),VLOOKUP(E2470,Equivalencia!$5:$23,((MAX(Equivalencia!$3:$3)-YEAR(C2470))*14)+MONTH(C2470)+2,FALSE)))</f>
        <v>0</v>
      </c>
      <c r="J2470" s="178">
        <f t="shared" si="221"/>
        <v>0</v>
      </c>
      <c r="K2470" s="462">
        <f>IF(C2470=0,0,VLOOKUP(YEAR(C2470),INPC!$B$4:$O$29,MONTH(C2470)+1))</f>
        <v>0</v>
      </c>
      <c r="L2470" s="462">
        <f>IF(S2470=0,0,VLOOKUP(YEAR(S2470),INPC!$B$4:$O$29,MONTH(S2470)+1))</f>
        <v>0</v>
      </c>
      <c r="M2470" s="463">
        <f t="shared" si="214"/>
        <v>0</v>
      </c>
      <c r="N2470" s="465">
        <f t="shared" si="222"/>
        <v>0</v>
      </c>
      <c r="O2470" s="179"/>
      <c r="P2470" s="180"/>
      <c r="Q2470" s="173"/>
      <c r="R2470" s="173"/>
      <c r="S2470" s="174"/>
      <c r="T2470" s="173"/>
      <c r="U2470" s="182"/>
      <c r="V2470" s="177">
        <f>IF(U2470=0,0,IF(T2470="MXN",1/HLOOKUP(YEAR(S2470)+(MONTH(S2470)/100),TC!$5:$37,DAY(S2470)+2,FALSE),VLOOKUP(T2470,Equivalencia!$1:$23,((MAX(Equivalencia!$3:$3)-YEAR(S2470))*14)+MONTH(S2470)+2,FALSE)))</f>
        <v>0</v>
      </c>
      <c r="W2470" s="178">
        <f t="shared" si="219"/>
        <v>0</v>
      </c>
      <c r="X2470" s="481">
        <f t="shared" si="215"/>
        <v>0</v>
      </c>
      <c r="Y2470" s="179"/>
      <c r="Z2470" s="466">
        <f t="shared" si="216"/>
        <v>0</v>
      </c>
      <c r="AA2470" s="473">
        <f t="shared" si="217"/>
        <v>0</v>
      </c>
      <c r="AB2470" s="339">
        <f t="shared" si="218"/>
        <v>0</v>
      </c>
    </row>
    <row r="2471" spans="2:28" ht="20.100000000000001" customHeight="1">
      <c r="B2471" s="172"/>
      <c r="C2471" s="174"/>
      <c r="D2471" s="181"/>
      <c r="E2471" s="173"/>
      <c r="F2471" s="176"/>
      <c r="G2471" s="175">
        <f t="shared" si="220"/>
        <v>0</v>
      </c>
      <c r="H2471" s="175">
        <f t="shared" si="213"/>
        <v>0</v>
      </c>
      <c r="I2471" s="177">
        <f>IF(G2471=0,0,IF(E2471="MXN",1/HLOOKUP(YEAR(C2471)+(MONTH(C2471)/100),TC!$5:$37,DAY(C2471)+2,FALSE),VLOOKUP(E2471,Equivalencia!$5:$23,((MAX(Equivalencia!$3:$3)-YEAR(C2471))*14)+MONTH(C2471)+2,FALSE)))</f>
        <v>0</v>
      </c>
      <c r="J2471" s="178">
        <f t="shared" si="221"/>
        <v>0</v>
      </c>
      <c r="K2471" s="462">
        <f>IF(C2471=0,0,VLOOKUP(YEAR(C2471),INPC!$B$4:$O$29,MONTH(C2471)+1))</f>
        <v>0</v>
      </c>
      <c r="L2471" s="462">
        <f>IF(S2471=0,0,VLOOKUP(YEAR(S2471),INPC!$B$4:$O$29,MONTH(S2471)+1))</f>
        <v>0</v>
      </c>
      <c r="M2471" s="463">
        <f t="shared" si="214"/>
        <v>0</v>
      </c>
      <c r="N2471" s="465">
        <f t="shared" si="222"/>
        <v>0</v>
      </c>
      <c r="O2471" s="179"/>
      <c r="P2471" s="180"/>
      <c r="Q2471" s="173"/>
      <c r="R2471" s="173"/>
      <c r="S2471" s="174"/>
      <c r="T2471" s="173"/>
      <c r="U2471" s="182"/>
      <c r="V2471" s="177">
        <f>IF(U2471=0,0,IF(T2471="MXN",1/HLOOKUP(YEAR(S2471)+(MONTH(S2471)/100),TC!$5:$37,DAY(S2471)+2,FALSE),VLOOKUP(T2471,Equivalencia!$1:$23,((MAX(Equivalencia!$3:$3)-YEAR(S2471))*14)+MONTH(S2471)+2,FALSE)))</f>
        <v>0</v>
      </c>
      <c r="W2471" s="178">
        <f t="shared" si="219"/>
        <v>0</v>
      </c>
      <c r="X2471" s="481">
        <f t="shared" si="215"/>
        <v>0</v>
      </c>
      <c r="Y2471" s="179"/>
      <c r="Z2471" s="466">
        <f t="shared" si="216"/>
        <v>0</v>
      </c>
      <c r="AA2471" s="473">
        <f t="shared" si="217"/>
        <v>0</v>
      </c>
      <c r="AB2471" s="339">
        <f t="shared" si="218"/>
        <v>0</v>
      </c>
    </row>
    <row r="2472" spans="2:28" ht="20.100000000000001" customHeight="1">
      <c r="B2472" s="172"/>
      <c r="C2472" s="174"/>
      <c r="D2472" s="181"/>
      <c r="E2472" s="173"/>
      <c r="F2472" s="176"/>
      <c r="G2472" s="175">
        <f t="shared" si="220"/>
        <v>0</v>
      </c>
      <c r="H2472" s="175">
        <f t="shared" si="213"/>
        <v>0</v>
      </c>
      <c r="I2472" s="177">
        <f>IF(G2472=0,0,IF(E2472="MXN",1/HLOOKUP(YEAR(C2472)+(MONTH(C2472)/100),TC!$5:$37,DAY(C2472)+2,FALSE),VLOOKUP(E2472,Equivalencia!$5:$23,((MAX(Equivalencia!$3:$3)-YEAR(C2472))*14)+MONTH(C2472)+2,FALSE)))</f>
        <v>0</v>
      </c>
      <c r="J2472" s="178">
        <f t="shared" si="221"/>
        <v>0</v>
      </c>
      <c r="K2472" s="462">
        <f>IF(C2472=0,0,VLOOKUP(YEAR(C2472),INPC!$B$4:$O$29,MONTH(C2472)+1))</f>
        <v>0</v>
      </c>
      <c r="L2472" s="462">
        <f>IF(S2472=0,0,VLOOKUP(YEAR(S2472),INPC!$B$4:$O$29,MONTH(S2472)+1))</f>
        <v>0</v>
      </c>
      <c r="M2472" s="463">
        <f t="shared" si="214"/>
        <v>0</v>
      </c>
      <c r="N2472" s="465">
        <f t="shared" si="222"/>
        <v>0</v>
      </c>
      <c r="O2472" s="179"/>
      <c r="P2472" s="180"/>
      <c r="Q2472" s="173"/>
      <c r="R2472" s="173"/>
      <c r="S2472" s="174"/>
      <c r="T2472" s="173"/>
      <c r="U2472" s="182"/>
      <c r="V2472" s="177">
        <f>IF(U2472=0,0,IF(T2472="MXN",1/HLOOKUP(YEAR(S2472)+(MONTH(S2472)/100),TC!$5:$37,DAY(S2472)+2,FALSE),VLOOKUP(T2472,Equivalencia!$1:$23,((MAX(Equivalencia!$3:$3)-YEAR(S2472))*14)+MONTH(S2472)+2,FALSE)))</f>
        <v>0</v>
      </c>
      <c r="W2472" s="178">
        <f t="shared" si="219"/>
        <v>0</v>
      </c>
      <c r="X2472" s="481">
        <f t="shared" si="215"/>
        <v>0</v>
      </c>
      <c r="Y2472" s="179"/>
      <c r="Z2472" s="466">
        <f t="shared" si="216"/>
        <v>0</v>
      </c>
      <c r="AA2472" s="473">
        <f t="shared" si="217"/>
        <v>0</v>
      </c>
      <c r="AB2472" s="339">
        <f t="shared" si="218"/>
        <v>0</v>
      </c>
    </row>
    <row r="2473" spans="2:28" ht="20.100000000000001" customHeight="1">
      <c r="B2473" s="172"/>
      <c r="C2473" s="174"/>
      <c r="D2473" s="181"/>
      <c r="E2473" s="173"/>
      <c r="F2473" s="176"/>
      <c r="G2473" s="175">
        <f t="shared" si="220"/>
        <v>0</v>
      </c>
      <c r="H2473" s="175">
        <f t="shared" si="213"/>
        <v>0</v>
      </c>
      <c r="I2473" s="177">
        <f>IF(G2473=0,0,IF(E2473="MXN",1/HLOOKUP(YEAR(C2473)+(MONTH(C2473)/100),TC!$5:$37,DAY(C2473)+2,FALSE),VLOOKUP(E2473,Equivalencia!$5:$23,((MAX(Equivalencia!$3:$3)-YEAR(C2473))*14)+MONTH(C2473)+2,FALSE)))</f>
        <v>0</v>
      </c>
      <c r="J2473" s="178">
        <f t="shared" si="221"/>
        <v>0</v>
      </c>
      <c r="K2473" s="462">
        <f>IF(C2473=0,0,VLOOKUP(YEAR(C2473),INPC!$B$4:$O$29,MONTH(C2473)+1))</f>
        <v>0</v>
      </c>
      <c r="L2473" s="462">
        <f>IF(S2473=0,0,VLOOKUP(YEAR(S2473),INPC!$B$4:$O$29,MONTH(S2473)+1))</f>
        <v>0</v>
      </c>
      <c r="M2473" s="463">
        <f t="shared" si="214"/>
        <v>0</v>
      </c>
      <c r="N2473" s="465">
        <f t="shared" si="222"/>
        <v>0</v>
      </c>
      <c r="O2473" s="179"/>
      <c r="P2473" s="180"/>
      <c r="Q2473" s="173"/>
      <c r="R2473" s="173"/>
      <c r="S2473" s="174"/>
      <c r="T2473" s="173"/>
      <c r="U2473" s="182"/>
      <c r="V2473" s="177">
        <f>IF(U2473=0,0,IF(T2473="MXN",1/HLOOKUP(YEAR(S2473)+(MONTH(S2473)/100),TC!$5:$37,DAY(S2473)+2,FALSE),VLOOKUP(T2473,Equivalencia!$1:$23,((MAX(Equivalencia!$3:$3)-YEAR(S2473))*14)+MONTH(S2473)+2,FALSE)))</f>
        <v>0</v>
      </c>
      <c r="W2473" s="178">
        <f t="shared" si="219"/>
        <v>0</v>
      </c>
      <c r="X2473" s="481">
        <f t="shared" si="215"/>
        <v>0</v>
      </c>
      <c r="Y2473" s="179"/>
      <c r="Z2473" s="466">
        <f t="shared" si="216"/>
        <v>0</v>
      </c>
      <c r="AA2473" s="473">
        <f t="shared" si="217"/>
        <v>0</v>
      </c>
      <c r="AB2473" s="339">
        <f t="shared" si="218"/>
        <v>0</v>
      </c>
    </row>
    <row r="2474" spans="2:28" ht="20.100000000000001" customHeight="1">
      <c r="B2474" s="172"/>
      <c r="C2474" s="174"/>
      <c r="D2474" s="181"/>
      <c r="E2474" s="173"/>
      <c r="F2474" s="176"/>
      <c r="G2474" s="175">
        <f t="shared" si="220"/>
        <v>0</v>
      </c>
      <c r="H2474" s="175">
        <f t="shared" si="213"/>
        <v>0</v>
      </c>
      <c r="I2474" s="177">
        <f>IF(G2474=0,0,IF(E2474="MXN",1/HLOOKUP(YEAR(C2474)+(MONTH(C2474)/100),TC!$5:$37,DAY(C2474)+2,FALSE),VLOOKUP(E2474,Equivalencia!$5:$23,((MAX(Equivalencia!$3:$3)-YEAR(C2474))*14)+MONTH(C2474)+2,FALSE)))</f>
        <v>0</v>
      </c>
      <c r="J2474" s="178">
        <f t="shared" si="221"/>
        <v>0</v>
      </c>
      <c r="K2474" s="462">
        <f>IF(C2474=0,0,VLOOKUP(YEAR(C2474),INPC!$B$4:$O$29,MONTH(C2474)+1))</f>
        <v>0</v>
      </c>
      <c r="L2474" s="462">
        <f>IF(S2474=0,0,VLOOKUP(YEAR(S2474),INPC!$B$4:$O$29,MONTH(S2474)+1))</f>
        <v>0</v>
      </c>
      <c r="M2474" s="463">
        <f t="shared" si="214"/>
        <v>0</v>
      </c>
      <c r="N2474" s="465">
        <f t="shared" si="222"/>
        <v>0</v>
      </c>
      <c r="O2474" s="179"/>
      <c r="P2474" s="180"/>
      <c r="Q2474" s="173"/>
      <c r="R2474" s="173"/>
      <c r="S2474" s="174"/>
      <c r="T2474" s="173"/>
      <c r="U2474" s="182"/>
      <c r="V2474" s="177">
        <f>IF(U2474=0,0,IF(T2474="MXN",1/HLOOKUP(YEAR(S2474)+(MONTH(S2474)/100),TC!$5:$37,DAY(S2474)+2,FALSE),VLOOKUP(T2474,Equivalencia!$1:$23,((MAX(Equivalencia!$3:$3)-YEAR(S2474))*14)+MONTH(S2474)+2,FALSE)))</f>
        <v>0</v>
      </c>
      <c r="W2474" s="178">
        <f t="shared" si="219"/>
        <v>0</v>
      </c>
      <c r="X2474" s="481">
        <f t="shared" si="215"/>
        <v>0</v>
      </c>
      <c r="Y2474" s="179"/>
      <c r="Z2474" s="466">
        <f t="shared" si="216"/>
        <v>0</v>
      </c>
      <c r="AA2474" s="473">
        <f t="shared" si="217"/>
        <v>0</v>
      </c>
      <c r="AB2474" s="339">
        <f t="shared" si="218"/>
        <v>0</v>
      </c>
    </row>
    <row r="2475" spans="2:28" ht="20.100000000000001" customHeight="1">
      <c r="B2475" s="172"/>
      <c r="C2475" s="174"/>
      <c r="D2475" s="181"/>
      <c r="E2475" s="173"/>
      <c r="F2475" s="176"/>
      <c r="G2475" s="175">
        <f t="shared" si="220"/>
        <v>0</v>
      </c>
      <c r="H2475" s="175">
        <f t="shared" si="213"/>
        <v>0</v>
      </c>
      <c r="I2475" s="177">
        <f>IF(G2475=0,0,IF(E2475="MXN",1/HLOOKUP(YEAR(C2475)+(MONTH(C2475)/100),TC!$5:$37,DAY(C2475)+2,FALSE),VLOOKUP(E2475,Equivalencia!$5:$23,((MAX(Equivalencia!$3:$3)-YEAR(C2475))*14)+MONTH(C2475)+2,FALSE)))</f>
        <v>0</v>
      </c>
      <c r="J2475" s="178">
        <f t="shared" si="221"/>
        <v>0</v>
      </c>
      <c r="K2475" s="462">
        <f>IF(C2475=0,0,VLOOKUP(YEAR(C2475),INPC!$B$4:$O$29,MONTH(C2475)+1))</f>
        <v>0</v>
      </c>
      <c r="L2475" s="462">
        <f>IF(S2475=0,0,VLOOKUP(YEAR(S2475),INPC!$B$4:$O$29,MONTH(S2475)+1))</f>
        <v>0</v>
      </c>
      <c r="M2475" s="463">
        <f t="shared" si="214"/>
        <v>0</v>
      </c>
      <c r="N2475" s="465">
        <f t="shared" si="222"/>
        <v>0</v>
      </c>
      <c r="O2475" s="179"/>
      <c r="P2475" s="180"/>
      <c r="Q2475" s="173"/>
      <c r="R2475" s="173"/>
      <c r="S2475" s="174"/>
      <c r="T2475" s="173"/>
      <c r="U2475" s="182"/>
      <c r="V2475" s="177">
        <f>IF(U2475=0,0,IF(T2475="MXN",1/HLOOKUP(YEAR(S2475)+(MONTH(S2475)/100),TC!$5:$37,DAY(S2475)+2,FALSE),VLOOKUP(T2475,Equivalencia!$1:$23,((MAX(Equivalencia!$3:$3)-YEAR(S2475))*14)+MONTH(S2475)+2,FALSE)))</f>
        <v>0</v>
      </c>
      <c r="W2475" s="178">
        <f t="shared" si="219"/>
        <v>0</v>
      </c>
      <c r="X2475" s="481">
        <f t="shared" si="215"/>
        <v>0</v>
      </c>
      <c r="Y2475" s="179"/>
      <c r="Z2475" s="466">
        <f t="shared" si="216"/>
        <v>0</v>
      </c>
      <c r="AA2475" s="473">
        <f t="shared" si="217"/>
        <v>0</v>
      </c>
      <c r="AB2475" s="339">
        <f t="shared" si="218"/>
        <v>0</v>
      </c>
    </row>
    <row r="2476" spans="2:28" ht="20.100000000000001" customHeight="1">
      <c r="B2476" s="172"/>
      <c r="C2476" s="174"/>
      <c r="D2476" s="181"/>
      <c r="E2476" s="173"/>
      <c r="F2476" s="176"/>
      <c r="G2476" s="175">
        <f t="shared" si="220"/>
        <v>0</v>
      </c>
      <c r="H2476" s="175">
        <f t="shared" si="213"/>
        <v>0</v>
      </c>
      <c r="I2476" s="177">
        <f>IF(G2476=0,0,IF(E2476="MXN",1/HLOOKUP(YEAR(C2476)+(MONTH(C2476)/100),TC!$5:$37,DAY(C2476)+2,FALSE),VLOOKUP(E2476,Equivalencia!$5:$23,((MAX(Equivalencia!$3:$3)-YEAR(C2476))*14)+MONTH(C2476)+2,FALSE)))</f>
        <v>0</v>
      </c>
      <c r="J2476" s="178">
        <f t="shared" si="221"/>
        <v>0</v>
      </c>
      <c r="K2476" s="462">
        <f>IF(C2476=0,0,VLOOKUP(YEAR(C2476),INPC!$B$4:$O$29,MONTH(C2476)+1))</f>
        <v>0</v>
      </c>
      <c r="L2476" s="462">
        <f>IF(S2476=0,0,VLOOKUP(YEAR(S2476),INPC!$B$4:$O$29,MONTH(S2476)+1))</f>
        <v>0</v>
      </c>
      <c r="M2476" s="463">
        <f t="shared" si="214"/>
        <v>0</v>
      </c>
      <c r="N2476" s="465">
        <f t="shared" si="222"/>
        <v>0</v>
      </c>
      <c r="O2476" s="179"/>
      <c r="P2476" s="180"/>
      <c r="Q2476" s="173"/>
      <c r="R2476" s="173"/>
      <c r="S2476" s="174"/>
      <c r="T2476" s="173"/>
      <c r="U2476" s="182"/>
      <c r="V2476" s="177">
        <f>IF(U2476=0,0,IF(T2476="MXN",1/HLOOKUP(YEAR(S2476)+(MONTH(S2476)/100),TC!$5:$37,DAY(S2476)+2,FALSE),VLOOKUP(T2476,Equivalencia!$1:$23,((MAX(Equivalencia!$3:$3)-YEAR(S2476))*14)+MONTH(S2476)+2,FALSE)))</f>
        <v>0</v>
      </c>
      <c r="W2476" s="178">
        <f t="shared" si="219"/>
        <v>0</v>
      </c>
      <c r="X2476" s="481">
        <f t="shared" si="215"/>
        <v>0</v>
      </c>
      <c r="Y2476" s="179"/>
      <c r="Z2476" s="466">
        <f t="shared" si="216"/>
        <v>0</v>
      </c>
      <c r="AA2476" s="473">
        <f t="shared" si="217"/>
        <v>0</v>
      </c>
      <c r="AB2476" s="339">
        <f t="shared" si="218"/>
        <v>0</v>
      </c>
    </row>
    <row r="2477" spans="2:28" ht="20.100000000000001" customHeight="1">
      <c r="B2477" s="172"/>
      <c r="C2477" s="174"/>
      <c r="D2477" s="181"/>
      <c r="E2477" s="173"/>
      <c r="F2477" s="176"/>
      <c r="G2477" s="175">
        <f t="shared" si="220"/>
        <v>0</v>
      </c>
      <c r="H2477" s="175">
        <f t="shared" si="213"/>
        <v>0</v>
      </c>
      <c r="I2477" s="177">
        <f>IF(G2477=0,0,IF(E2477="MXN",1/HLOOKUP(YEAR(C2477)+(MONTH(C2477)/100),TC!$5:$37,DAY(C2477)+2,FALSE),VLOOKUP(E2477,Equivalencia!$5:$23,((MAX(Equivalencia!$3:$3)-YEAR(C2477))*14)+MONTH(C2477)+2,FALSE)))</f>
        <v>0</v>
      </c>
      <c r="J2477" s="178">
        <f t="shared" si="221"/>
        <v>0</v>
      </c>
      <c r="K2477" s="462">
        <f>IF(C2477=0,0,VLOOKUP(YEAR(C2477),INPC!$B$4:$O$29,MONTH(C2477)+1))</f>
        <v>0</v>
      </c>
      <c r="L2477" s="462">
        <f>IF(S2477=0,0,VLOOKUP(YEAR(S2477),INPC!$B$4:$O$29,MONTH(S2477)+1))</f>
        <v>0</v>
      </c>
      <c r="M2477" s="463">
        <f t="shared" si="214"/>
        <v>0</v>
      </c>
      <c r="N2477" s="465">
        <f t="shared" si="222"/>
        <v>0</v>
      </c>
      <c r="O2477" s="179"/>
      <c r="P2477" s="180"/>
      <c r="Q2477" s="173"/>
      <c r="R2477" s="173"/>
      <c r="S2477" s="174"/>
      <c r="T2477" s="173"/>
      <c r="U2477" s="182"/>
      <c r="V2477" s="177">
        <f>IF(U2477=0,0,IF(T2477="MXN",1/HLOOKUP(YEAR(S2477)+(MONTH(S2477)/100),TC!$5:$37,DAY(S2477)+2,FALSE),VLOOKUP(T2477,Equivalencia!$1:$23,((MAX(Equivalencia!$3:$3)-YEAR(S2477))*14)+MONTH(S2477)+2,FALSE)))</f>
        <v>0</v>
      </c>
      <c r="W2477" s="178">
        <f t="shared" si="219"/>
        <v>0</v>
      </c>
      <c r="X2477" s="481">
        <f t="shared" si="215"/>
        <v>0</v>
      </c>
      <c r="Y2477" s="179"/>
      <c r="Z2477" s="466">
        <f t="shared" si="216"/>
        <v>0</v>
      </c>
      <c r="AA2477" s="473">
        <f t="shared" si="217"/>
        <v>0</v>
      </c>
      <c r="AB2477" s="339">
        <f t="shared" si="218"/>
        <v>0</v>
      </c>
    </row>
    <row r="2478" spans="2:28" ht="20.100000000000001" customHeight="1">
      <c r="B2478" s="172"/>
      <c r="C2478" s="174"/>
      <c r="D2478" s="181"/>
      <c r="E2478" s="173"/>
      <c r="F2478" s="176"/>
      <c r="G2478" s="175">
        <f t="shared" si="220"/>
        <v>0</v>
      </c>
      <c r="H2478" s="175">
        <f t="shared" si="213"/>
        <v>0</v>
      </c>
      <c r="I2478" s="177">
        <f>IF(G2478=0,0,IF(E2478="MXN",1/HLOOKUP(YEAR(C2478)+(MONTH(C2478)/100),TC!$5:$37,DAY(C2478)+2,FALSE),VLOOKUP(E2478,Equivalencia!$5:$23,((MAX(Equivalencia!$3:$3)-YEAR(C2478))*14)+MONTH(C2478)+2,FALSE)))</f>
        <v>0</v>
      </c>
      <c r="J2478" s="178">
        <f t="shared" si="221"/>
        <v>0</v>
      </c>
      <c r="K2478" s="462">
        <f>IF(C2478=0,0,VLOOKUP(YEAR(C2478),INPC!$B$4:$O$29,MONTH(C2478)+1))</f>
        <v>0</v>
      </c>
      <c r="L2478" s="462">
        <f>IF(S2478=0,0,VLOOKUP(YEAR(S2478),INPC!$B$4:$O$29,MONTH(S2478)+1))</f>
        <v>0</v>
      </c>
      <c r="M2478" s="463">
        <f t="shared" si="214"/>
        <v>0</v>
      </c>
      <c r="N2478" s="465">
        <f t="shared" si="222"/>
        <v>0</v>
      </c>
      <c r="O2478" s="179"/>
      <c r="P2478" s="180"/>
      <c r="Q2478" s="173"/>
      <c r="R2478" s="173"/>
      <c r="S2478" s="174"/>
      <c r="T2478" s="173"/>
      <c r="U2478" s="182"/>
      <c r="V2478" s="177">
        <f>IF(U2478=0,0,IF(T2478="MXN",1/HLOOKUP(YEAR(S2478)+(MONTH(S2478)/100),TC!$5:$37,DAY(S2478)+2,FALSE),VLOOKUP(T2478,Equivalencia!$1:$23,((MAX(Equivalencia!$3:$3)-YEAR(S2478))*14)+MONTH(S2478)+2,FALSE)))</f>
        <v>0</v>
      </c>
      <c r="W2478" s="178">
        <f t="shared" si="219"/>
        <v>0</v>
      </c>
      <c r="X2478" s="481">
        <f t="shared" si="215"/>
        <v>0</v>
      </c>
      <c r="Y2478" s="179"/>
      <c r="Z2478" s="466">
        <f t="shared" si="216"/>
        <v>0</v>
      </c>
      <c r="AA2478" s="473">
        <f t="shared" si="217"/>
        <v>0</v>
      </c>
      <c r="AB2478" s="339">
        <f t="shared" si="218"/>
        <v>0</v>
      </c>
    </row>
    <row r="2479" spans="2:28" ht="20.100000000000001" customHeight="1">
      <c r="B2479" s="172"/>
      <c r="C2479" s="174"/>
      <c r="D2479" s="181"/>
      <c r="E2479" s="173"/>
      <c r="F2479" s="176"/>
      <c r="G2479" s="175">
        <f t="shared" si="220"/>
        <v>0</v>
      </c>
      <c r="H2479" s="175">
        <f t="shared" si="213"/>
        <v>0</v>
      </c>
      <c r="I2479" s="177">
        <f>IF(G2479=0,0,IF(E2479="MXN",1/HLOOKUP(YEAR(C2479)+(MONTH(C2479)/100),TC!$5:$37,DAY(C2479)+2,FALSE),VLOOKUP(E2479,Equivalencia!$5:$23,((MAX(Equivalencia!$3:$3)-YEAR(C2479))*14)+MONTH(C2479)+2,FALSE)))</f>
        <v>0</v>
      </c>
      <c r="J2479" s="178">
        <f t="shared" si="221"/>
        <v>0</v>
      </c>
      <c r="K2479" s="462">
        <f>IF(C2479=0,0,VLOOKUP(YEAR(C2479),INPC!$B$4:$O$29,MONTH(C2479)+1))</f>
        <v>0</v>
      </c>
      <c r="L2479" s="462">
        <f>IF(S2479=0,0,VLOOKUP(YEAR(S2479),INPC!$B$4:$O$29,MONTH(S2479)+1))</f>
        <v>0</v>
      </c>
      <c r="M2479" s="463">
        <f t="shared" si="214"/>
        <v>0</v>
      </c>
      <c r="N2479" s="465">
        <f t="shared" si="222"/>
        <v>0</v>
      </c>
      <c r="O2479" s="179"/>
      <c r="P2479" s="180"/>
      <c r="Q2479" s="173"/>
      <c r="R2479" s="173"/>
      <c r="S2479" s="174"/>
      <c r="T2479" s="173"/>
      <c r="U2479" s="182"/>
      <c r="V2479" s="177">
        <f>IF(U2479=0,0,IF(T2479="MXN",1/HLOOKUP(YEAR(S2479)+(MONTH(S2479)/100),TC!$5:$37,DAY(S2479)+2,FALSE),VLOOKUP(T2479,Equivalencia!$1:$23,((MAX(Equivalencia!$3:$3)-YEAR(S2479))*14)+MONTH(S2479)+2,FALSE)))</f>
        <v>0</v>
      </c>
      <c r="W2479" s="178">
        <f t="shared" si="219"/>
        <v>0</v>
      </c>
      <c r="X2479" s="481">
        <f t="shared" si="215"/>
        <v>0</v>
      </c>
      <c r="Y2479" s="179"/>
      <c r="Z2479" s="466">
        <f t="shared" si="216"/>
        <v>0</v>
      </c>
      <c r="AA2479" s="473">
        <f t="shared" si="217"/>
        <v>0</v>
      </c>
      <c r="AB2479" s="339">
        <f t="shared" si="218"/>
        <v>0</v>
      </c>
    </row>
    <row r="2480" spans="2:28" ht="20.100000000000001" customHeight="1">
      <c r="B2480" s="172"/>
      <c r="C2480" s="174"/>
      <c r="D2480" s="181"/>
      <c r="E2480" s="173"/>
      <c r="F2480" s="176"/>
      <c r="G2480" s="175">
        <f t="shared" si="220"/>
        <v>0</v>
      </c>
      <c r="H2480" s="175">
        <f t="shared" si="213"/>
        <v>0</v>
      </c>
      <c r="I2480" s="177">
        <f>IF(G2480=0,0,IF(E2480="MXN",1/HLOOKUP(YEAR(C2480)+(MONTH(C2480)/100),TC!$5:$37,DAY(C2480)+2,FALSE),VLOOKUP(E2480,Equivalencia!$5:$23,((MAX(Equivalencia!$3:$3)-YEAR(C2480))*14)+MONTH(C2480)+2,FALSE)))</f>
        <v>0</v>
      </c>
      <c r="J2480" s="178">
        <f t="shared" si="221"/>
        <v>0</v>
      </c>
      <c r="K2480" s="462">
        <f>IF(C2480=0,0,VLOOKUP(YEAR(C2480),INPC!$B$4:$O$29,MONTH(C2480)+1))</f>
        <v>0</v>
      </c>
      <c r="L2480" s="462">
        <f>IF(S2480=0,0,VLOOKUP(YEAR(S2480),INPC!$B$4:$O$29,MONTH(S2480)+1))</f>
        <v>0</v>
      </c>
      <c r="M2480" s="463">
        <f t="shared" si="214"/>
        <v>0</v>
      </c>
      <c r="N2480" s="465">
        <f t="shared" si="222"/>
        <v>0</v>
      </c>
      <c r="O2480" s="179"/>
      <c r="P2480" s="180"/>
      <c r="Q2480" s="173"/>
      <c r="R2480" s="173"/>
      <c r="S2480" s="174"/>
      <c r="T2480" s="173"/>
      <c r="U2480" s="182"/>
      <c r="V2480" s="177">
        <f>IF(U2480=0,0,IF(T2480="MXN",1/HLOOKUP(YEAR(S2480)+(MONTH(S2480)/100),TC!$5:$37,DAY(S2480)+2,FALSE),VLOOKUP(T2480,Equivalencia!$1:$23,((MAX(Equivalencia!$3:$3)-YEAR(S2480))*14)+MONTH(S2480)+2,FALSE)))</f>
        <v>0</v>
      </c>
      <c r="W2480" s="178">
        <f t="shared" si="219"/>
        <v>0</v>
      </c>
      <c r="X2480" s="481">
        <f t="shared" si="215"/>
        <v>0</v>
      </c>
      <c r="Y2480" s="179"/>
      <c r="Z2480" s="466">
        <f t="shared" si="216"/>
        <v>0</v>
      </c>
      <c r="AA2480" s="473">
        <f t="shared" si="217"/>
        <v>0</v>
      </c>
      <c r="AB2480" s="339">
        <f t="shared" si="218"/>
        <v>0</v>
      </c>
    </row>
    <row r="2481" spans="2:28" ht="20.100000000000001" customHeight="1">
      <c r="B2481" s="172"/>
      <c r="C2481" s="174"/>
      <c r="D2481" s="181"/>
      <c r="E2481" s="173"/>
      <c r="F2481" s="176"/>
      <c r="G2481" s="175">
        <f t="shared" si="220"/>
        <v>0</v>
      </c>
      <c r="H2481" s="175">
        <f t="shared" si="213"/>
        <v>0</v>
      </c>
      <c r="I2481" s="177">
        <f>IF(G2481=0,0,IF(E2481="MXN",1/HLOOKUP(YEAR(C2481)+(MONTH(C2481)/100),TC!$5:$37,DAY(C2481)+2,FALSE),VLOOKUP(E2481,Equivalencia!$5:$23,((MAX(Equivalencia!$3:$3)-YEAR(C2481))*14)+MONTH(C2481)+2,FALSE)))</f>
        <v>0</v>
      </c>
      <c r="J2481" s="178">
        <f t="shared" si="221"/>
        <v>0</v>
      </c>
      <c r="K2481" s="462">
        <f>IF(C2481=0,0,VLOOKUP(YEAR(C2481),INPC!$B$4:$O$29,MONTH(C2481)+1))</f>
        <v>0</v>
      </c>
      <c r="L2481" s="462">
        <f>IF(S2481=0,0,VLOOKUP(YEAR(S2481),INPC!$B$4:$O$29,MONTH(S2481)+1))</f>
        <v>0</v>
      </c>
      <c r="M2481" s="463">
        <f t="shared" si="214"/>
        <v>0</v>
      </c>
      <c r="N2481" s="465">
        <f t="shared" si="222"/>
        <v>0</v>
      </c>
      <c r="O2481" s="179"/>
      <c r="P2481" s="180"/>
      <c r="Q2481" s="173"/>
      <c r="R2481" s="173"/>
      <c r="S2481" s="174"/>
      <c r="T2481" s="173"/>
      <c r="U2481" s="182"/>
      <c r="V2481" s="177">
        <f>IF(U2481=0,0,IF(T2481="MXN",1/HLOOKUP(YEAR(S2481)+(MONTH(S2481)/100),TC!$5:$37,DAY(S2481)+2,FALSE),VLOOKUP(T2481,Equivalencia!$1:$23,((MAX(Equivalencia!$3:$3)-YEAR(S2481))*14)+MONTH(S2481)+2,FALSE)))</f>
        <v>0</v>
      </c>
      <c r="W2481" s="178">
        <f t="shared" si="219"/>
        <v>0</v>
      </c>
      <c r="X2481" s="481">
        <f t="shared" si="215"/>
        <v>0</v>
      </c>
      <c r="Y2481" s="179"/>
      <c r="Z2481" s="466">
        <f t="shared" si="216"/>
        <v>0</v>
      </c>
      <c r="AA2481" s="473">
        <f t="shared" si="217"/>
        <v>0</v>
      </c>
      <c r="AB2481" s="339">
        <f t="shared" si="218"/>
        <v>0</v>
      </c>
    </row>
    <row r="2482" spans="2:28" ht="20.100000000000001" customHeight="1">
      <c r="B2482" s="172"/>
      <c r="C2482" s="174"/>
      <c r="D2482" s="181"/>
      <c r="E2482" s="173"/>
      <c r="F2482" s="176"/>
      <c r="G2482" s="175">
        <f t="shared" si="220"/>
        <v>0</v>
      </c>
      <c r="H2482" s="175">
        <f t="shared" si="213"/>
        <v>0</v>
      </c>
      <c r="I2482" s="177">
        <f>IF(G2482=0,0,IF(E2482="MXN",1/HLOOKUP(YEAR(C2482)+(MONTH(C2482)/100),TC!$5:$37,DAY(C2482)+2,FALSE),VLOOKUP(E2482,Equivalencia!$5:$23,((MAX(Equivalencia!$3:$3)-YEAR(C2482))*14)+MONTH(C2482)+2,FALSE)))</f>
        <v>0</v>
      </c>
      <c r="J2482" s="178">
        <f t="shared" si="221"/>
        <v>0</v>
      </c>
      <c r="K2482" s="462">
        <f>IF(C2482=0,0,VLOOKUP(YEAR(C2482),INPC!$B$4:$O$29,MONTH(C2482)+1))</f>
        <v>0</v>
      </c>
      <c r="L2482" s="462">
        <f>IF(S2482=0,0,VLOOKUP(YEAR(S2482),INPC!$B$4:$O$29,MONTH(S2482)+1))</f>
        <v>0</v>
      </c>
      <c r="M2482" s="463">
        <f t="shared" si="214"/>
        <v>0</v>
      </c>
      <c r="N2482" s="465">
        <f t="shared" si="222"/>
        <v>0</v>
      </c>
      <c r="O2482" s="179"/>
      <c r="P2482" s="180"/>
      <c r="Q2482" s="173"/>
      <c r="R2482" s="173"/>
      <c r="S2482" s="174"/>
      <c r="T2482" s="173"/>
      <c r="U2482" s="182"/>
      <c r="V2482" s="177">
        <f>IF(U2482=0,0,IF(T2482="MXN",1/HLOOKUP(YEAR(S2482)+(MONTH(S2482)/100),TC!$5:$37,DAY(S2482)+2,FALSE),VLOOKUP(T2482,Equivalencia!$1:$23,((MAX(Equivalencia!$3:$3)-YEAR(S2482))*14)+MONTH(S2482)+2,FALSE)))</f>
        <v>0</v>
      </c>
      <c r="W2482" s="178">
        <f t="shared" si="219"/>
        <v>0</v>
      </c>
      <c r="X2482" s="481">
        <f t="shared" si="215"/>
        <v>0</v>
      </c>
      <c r="Y2482" s="179"/>
      <c r="Z2482" s="466">
        <f t="shared" si="216"/>
        <v>0</v>
      </c>
      <c r="AA2482" s="473">
        <f t="shared" si="217"/>
        <v>0</v>
      </c>
      <c r="AB2482" s="339">
        <f t="shared" si="218"/>
        <v>0</v>
      </c>
    </row>
    <row r="2483" spans="2:28" ht="20.100000000000001" customHeight="1">
      <c r="B2483" s="172"/>
      <c r="C2483" s="174"/>
      <c r="D2483" s="181"/>
      <c r="E2483" s="173"/>
      <c r="F2483" s="176"/>
      <c r="G2483" s="175">
        <f t="shared" si="220"/>
        <v>0</v>
      </c>
      <c r="H2483" s="175">
        <f t="shared" si="213"/>
        <v>0</v>
      </c>
      <c r="I2483" s="177">
        <f>IF(G2483=0,0,IF(E2483="MXN",1/HLOOKUP(YEAR(C2483)+(MONTH(C2483)/100),TC!$5:$37,DAY(C2483)+2,FALSE),VLOOKUP(E2483,Equivalencia!$5:$23,((MAX(Equivalencia!$3:$3)-YEAR(C2483))*14)+MONTH(C2483)+2,FALSE)))</f>
        <v>0</v>
      </c>
      <c r="J2483" s="178">
        <f t="shared" si="221"/>
        <v>0</v>
      </c>
      <c r="K2483" s="462">
        <f>IF(C2483=0,0,VLOOKUP(YEAR(C2483),INPC!$B$4:$O$29,MONTH(C2483)+1))</f>
        <v>0</v>
      </c>
      <c r="L2483" s="462">
        <f>IF(S2483=0,0,VLOOKUP(YEAR(S2483),INPC!$B$4:$O$29,MONTH(S2483)+1))</f>
        <v>0</v>
      </c>
      <c r="M2483" s="463">
        <f t="shared" si="214"/>
        <v>0</v>
      </c>
      <c r="N2483" s="465">
        <f t="shared" si="222"/>
        <v>0</v>
      </c>
      <c r="O2483" s="179"/>
      <c r="P2483" s="180"/>
      <c r="Q2483" s="173"/>
      <c r="R2483" s="173"/>
      <c r="S2483" s="174"/>
      <c r="T2483" s="173"/>
      <c r="U2483" s="182"/>
      <c r="V2483" s="177">
        <f>IF(U2483=0,0,IF(T2483="MXN",1/HLOOKUP(YEAR(S2483)+(MONTH(S2483)/100),TC!$5:$37,DAY(S2483)+2,FALSE),VLOOKUP(T2483,Equivalencia!$1:$23,((MAX(Equivalencia!$3:$3)-YEAR(S2483))*14)+MONTH(S2483)+2,FALSE)))</f>
        <v>0</v>
      </c>
      <c r="W2483" s="178">
        <f t="shared" si="219"/>
        <v>0</v>
      </c>
      <c r="X2483" s="481">
        <f t="shared" si="215"/>
        <v>0</v>
      </c>
      <c r="Y2483" s="179"/>
      <c r="Z2483" s="466">
        <f t="shared" si="216"/>
        <v>0</v>
      </c>
      <c r="AA2483" s="473">
        <f t="shared" si="217"/>
        <v>0</v>
      </c>
      <c r="AB2483" s="339">
        <f t="shared" si="218"/>
        <v>0</v>
      </c>
    </row>
    <row r="2484" spans="2:28" ht="20.100000000000001" customHeight="1">
      <c r="B2484" s="172"/>
      <c r="C2484" s="174"/>
      <c r="D2484" s="181"/>
      <c r="E2484" s="173"/>
      <c r="F2484" s="176"/>
      <c r="G2484" s="175">
        <f t="shared" si="220"/>
        <v>0</v>
      </c>
      <c r="H2484" s="175">
        <f t="shared" si="213"/>
        <v>0</v>
      </c>
      <c r="I2484" s="177">
        <f>IF(G2484=0,0,IF(E2484="MXN",1/HLOOKUP(YEAR(C2484)+(MONTH(C2484)/100),TC!$5:$37,DAY(C2484)+2,FALSE),VLOOKUP(E2484,Equivalencia!$5:$23,((MAX(Equivalencia!$3:$3)-YEAR(C2484))*14)+MONTH(C2484)+2,FALSE)))</f>
        <v>0</v>
      </c>
      <c r="J2484" s="178">
        <f t="shared" si="221"/>
        <v>0</v>
      </c>
      <c r="K2484" s="462">
        <f>IF(C2484=0,0,VLOOKUP(YEAR(C2484),INPC!$B$4:$O$29,MONTH(C2484)+1))</f>
        <v>0</v>
      </c>
      <c r="L2484" s="462">
        <f>IF(S2484=0,0,VLOOKUP(YEAR(S2484),INPC!$B$4:$O$29,MONTH(S2484)+1))</f>
        <v>0</v>
      </c>
      <c r="M2484" s="463">
        <f t="shared" si="214"/>
        <v>0</v>
      </c>
      <c r="N2484" s="465">
        <f t="shared" si="222"/>
        <v>0</v>
      </c>
      <c r="O2484" s="179"/>
      <c r="P2484" s="180"/>
      <c r="Q2484" s="173"/>
      <c r="R2484" s="173"/>
      <c r="S2484" s="174"/>
      <c r="T2484" s="173"/>
      <c r="U2484" s="182"/>
      <c r="V2484" s="177">
        <f>IF(U2484=0,0,IF(T2484="MXN",1/HLOOKUP(YEAR(S2484)+(MONTH(S2484)/100),TC!$5:$37,DAY(S2484)+2,FALSE),VLOOKUP(T2484,Equivalencia!$1:$23,((MAX(Equivalencia!$3:$3)-YEAR(S2484))*14)+MONTH(S2484)+2,FALSE)))</f>
        <v>0</v>
      </c>
      <c r="W2484" s="178">
        <f t="shared" si="219"/>
        <v>0</v>
      </c>
      <c r="X2484" s="481">
        <f t="shared" si="215"/>
        <v>0</v>
      </c>
      <c r="Y2484" s="179"/>
      <c r="Z2484" s="466">
        <f t="shared" si="216"/>
        <v>0</v>
      </c>
      <c r="AA2484" s="473">
        <f t="shared" si="217"/>
        <v>0</v>
      </c>
      <c r="AB2484" s="339">
        <f t="shared" si="218"/>
        <v>0</v>
      </c>
    </row>
    <row r="2485" spans="2:28" ht="20.100000000000001" customHeight="1">
      <c r="B2485" s="172"/>
      <c r="C2485" s="174"/>
      <c r="D2485" s="181"/>
      <c r="E2485" s="173"/>
      <c r="F2485" s="176"/>
      <c r="G2485" s="175">
        <f t="shared" si="220"/>
        <v>0</v>
      </c>
      <c r="H2485" s="175">
        <f t="shared" si="213"/>
        <v>0</v>
      </c>
      <c r="I2485" s="177">
        <f>IF(G2485=0,0,IF(E2485="MXN",1/HLOOKUP(YEAR(C2485)+(MONTH(C2485)/100),TC!$5:$37,DAY(C2485)+2,FALSE),VLOOKUP(E2485,Equivalencia!$5:$23,((MAX(Equivalencia!$3:$3)-YEAR(C2485))*14)+MONTH(C2485)+2,FALSE)))</f>
        <v>0</v>
      </c>
      <c r="J2485" s="178">
        <f t="shared" si="221"/>
        <v>0</v>
      </c>
      <c r="K2485" s="462">
        <f>IF(C2485=0,0,VLOOKUP(YEAR(C2485),INPC!$B$4:$O$29,MONTH(C2485)+1))</f>
        <v>0</v>
      </c>
      <c r="L2485" s="462">
        <f>IF(S2485=0,0,VLOOKUP(YEAR(S2485),INPC!$B$4:$O$29,MONTH(S2485)+1))</f>
        <v>0</v>
      </c>
      <c r="M2485" s="463">
        <f t="shared" si="214"/>
        <v>0</v>
      </c>
      <c r="N2485" s="465">
        <f t="shared" si="222"/>
        <v>0</v>
      </c>
      <c r="O2485" s="179"/>
      <c r="P2485" s="180"/>
      <c r="Q2485" s="173"/>
      <c r="R2485" s="173"/>
      <c r="S2485" s="174"/>
      <c r="T2485" s="173"/>
      <c r="U2485" s="182"/>
      <c r="V2485" s="177">
        <f>IF(U2485=0,0,IF(T2485="MXN",1/HLOOKUP(YEAR(S2485)+(MONTH(S2485)/100),TC!$5:$37,DAY(S2485)+2,FALSE),VLOOKUP(T2485,Equivalencia!$1:$23,((MAX(Equivalencia!$3:$3)-YEAR(S2485))*14)+MONTH(S2485)+2,FALSE)))</f>
        <v>0</v>
      </c>
      <c r="W2485" s="178">
        <f t="shared" si="219"/>
        <v>0</v>
      </c>
      <c r="X2485" s="481">
        <f t="shared" si="215"/>
        <v>0</v>
      </c>
      <c r="Y2485" s="179"/>
      <c r="Z2485" s="466">
        <f t="shared" si="216"/>
        <v>0</v>
      </c>
      <c r="AA2485" s="473">
        <f t="shared" si="217"/>
        <v>0</v>
      </c>
      <c r="AB2485" s="339">
        <f t="shared" si="218"/>
        <v>0</v>
      </c>
    </row>
    <row r="2486" spans="2:28" ht="20.100000000000001" customHeight="1">
      <c r="B2486" s="172"/>
      <c r="C2486" s="174"/>
      <c r="D2486" s="181"/>
      <c r="E2486" s="173"/>
      <c r="F2486" s="176"/>
      <c r="G2486" s="175">
        <f t="shared" si="220"/>
        <v>0</v>
      </c>
      <c r="H2486" s="175">
        <f t="shared" si="213"/>
        <v>0</v>
      </c>
      <c r="I2486" s="177">
        <f>IF(G2486=0,0,IF(E2486="MXN",1/HLOOKUP(YEAR(C2486)+(MONTH(C2486)/100),TC!$5:$37,DAY(C2486)+2,FALSE),VLOOKUP(E2486,Equivalencia!$5:$23,((MAX(Equivalencia!$3:$3)-YEAR(C2486))*14)+MONTH(C2486)+2,FALSE)))</f>
        <v>0</v>
      </c>
      <c r="J2486" s="178">
        <f t="shared" si="221"/>
        <v>0</v>
      </c>
      <c r="K2486" s="462">
        <f>IF(C2486=0,0,VLOOKUP(YEAR(C2486),INPC!$B$4:$O$29,MONTH(C2486)+1))</f>
        <v>0</v>
      </c>
      <c r="L2486" s="462">
        <f>IF(S2486=0,0,VLOOKUP(YEAR(S2486),INPC!$B$4:$O$29,MONTH(S2486)+1))</f>
        <v>0</v>
      </c>
      <c r="M2486" s="463">
        <f t="shared" si="214"/>
        <v>0</v>
      </c>
      <c r="N2486" s="465">
        <f t="shared" si="222"/>
        <v>0</v>
      </c>
      <c r="O2486" s="179"/>
      <c r="P2486" s="180"/>
      <c r="Q2486" s="173"/>
      <c r="R2486" s="173"/>
      <c r="S2486" s="174"/>
      <c r="T2486" s="173"/>
      <c r="U2486" s="182"/>
      <c r="V2486" s="177">
        <f>IF(U2486=0,0,IF(T2486="MXN",1/HLOOKUP(YEAR(S2486)+(MONTH(S2486)/100),TC!$5:$37,DAY(S2486)+2,FALSE),VLOOKUP(T2486,Equivalencia!$1:$23,((MAX(Equivalencia!$3:$3)-YEAR(S2486))*14)+MONTH(S2486)+2,FALSE)))</f>
        <v>0</v>
      </c>
      <c r="W2486" s="178">
        <f t="shared" si="219"/>
        <v>0</v>
      </c>
      <c r="X2486" s="481">
        <f t="shared" si="215"/>
        <v>0</v>
      </c>
      <c r="Y2486" s="179"/>
      <c r="Z2486" s="466">
        <f t="shared" si="216"/>
        <v>0</v>
      </c>
      <c r="AA2486" s="473">
        <f t="shared" si="217"/>
        <v>0</v>
      </c>
      <c r="AB2486" s="339">
        <f t="shared" si="218"/>
        <v>0</v>
      </c>
    </row>
    <row r="2487" spans="2:28" ht="20.100000000000001" customHeight="1">
      <c r="B2487" s="172"/>
      <c r="C2487" s="174"/>
      <c r="D2487" s="181"/>
      <c r="E2487" s="173"/>
      <c r="F2487" s="176"/>
      <c r="G2487" s="175">
        <f t="shared" si="220"/>
        <v>0</v>
      </c>
      <c r="H2487" s="175">
        <f t="shared" si="213"/>
        <v>0</v>
      </c>
      <c r="I2487" s="177">
        <f>IF(G2487=0,0,IF(E2487="MXN",1/HLOOKUP(YEAR(C2487)+(MONTH(C2487)/100),TC!$5:$37,DAY(C2487)+2,FALSE),VLOOKUP(E2487,Equivalencia!$5:$23,((MAX(Equivalencia!$3:$3)-YEAR(C2487))*14)+MONTH(C2487)+2,FALSE)))</f>
        <v>0</v>
      </c>
      <c r="J2487" s="178">
        <f t="shared" si="221"/>
        <v>0</v>
      </c>
      <c r="K2487" s="462">
        <f>IF(C2487=0,0,VLOOKUP(YEAR(C2487),INPC!$B$4:$O$29,MONTH(C2487)+1))</f>
        <v>0</v>
      </c>
      <c r="L2487" s="462">
        <f>IF(S2487=0,0,VLOOKUP(YEAR(S2487),INPC!$B$4:$O$29,MONTH(S2487)+1))</f>
        <v>0</v>
      </c>
      <c r="M2487" s="463">
        <f t="shared" si="214"/>
        <v>0</v>
      </c>
      <c r="N2487" s="465">
        <f t="shared" si="222"/>
        <v>0</v>
      </c>
      <c r="O2487" s="179"/>
      <c r="P2487" s="180"/>
      <c r="Q2487" s="173"/>
      <c r="R2487" s="173"/>
      <c r="S2487" s="174"/>
      <c r="T2487" s="173"/>
      <c r="U2487" s="182"/>
      <c r="V2487" s="177">
        <f>IF(U2487=0,0,IF(T2487="MXN",1/HLOOKUP(YEAR(S2487)+(MONTH(S2487)/100),TC!$5:$37,DAY(S2487)+2,FALSE),VLOOKUP(T2487,Equivalencia!$1:$23,((MAX(Equivalencia!$3:$3)-YEAR(S2487))*14)+MONTH(S2487)+2,FALSE)))</f>
        <v>0</v>
      </c>
      <c r="W2487" s="178">
        <f t="shared" si="219"/>
        <v>0</v>
      </c>
      <c r="X2487" s="481">
        <f t="shared" si="215"/>
        <v>0</v>
      </c>
      <c r="Y2487" s="179"/>
      <c r="Z2487" s="466">
        <f t="shared" si="216"/>
        <v>0</v>
      </c>
      <c r="AA2487" s="473">
        <f t="shared" si="217"/>
        <v>0</v>
      </c>
      <c r="AB2487" s="339">
        <f t="shared" si="218"/>
        <v>0</v>
      </c>
    </row>
    <row r="2488" spans="2:28" ht="20.100000000000001" customHeight="1">
      <c r="B2488" s="172"/>
      <c r="C2488" s="174"/>
      <c r="D2488" s="181"/>
      <c r="E2488" s="173"/>
      <c r="F2488" s="176"/>
      <c r="G2488" s="175">
        <f t="shared" si="220"/>
        <v>0</v>
      </c>
      <c r="H2488" s="175">
        <f t="shared" si="213"/>
        <v>0</v>
      </c>
      <c r="I2488" s="177">
        <f>IF(G2488=0,0,IF(E2488="MXN",1/HLOOKUP(YEAR(C2488)+(MONTH(C2488)/100),TC!$5:$37,DAY(C2488)+2,FALSE),VLOOKUP(E2488,Equivalencia!$5:$23,((MAX(Equivalencia!$3:$3)-YEAR(C2488))*14)+MONTH(C2488)+2,FALSE)))</f>
        <v>0</v>
      </c>
      <c r="J2488" s="178">
        <f t="shared" si="221"/>
        <v>0</v>
      </c>
      <c r="K2488" s="462">
        <f>IF(C2488=0,0,VLOOKUP(YEAR(C2488),INPC!$B$4:$O$29,MONTH(C2488)+1))</f>
        <v>0</v>
      </c>
      <c r="L2488" s="462">
        <f>IF(S2488=0,0,VLOOKUP(YEAR(S2488),INPC!$B$4:$O$29,MONTH(S2488)+1))</f>
        <v>0</v>
      </c>
      <c r="M2488" s="463">
        <f t="shared" si="214"/>
        <v>0</v>
      </c>
      <c r="N2488" s="465">
        <f t="shared" si="222"/>
        <v>0</v>
      </c>
      <c r="O2488" s="179"/>
      <c r="P2488" s="180"/>
      <c r="Q2488" s="173"/>
      <c r="R2488" s="173"/>
      <c r="S2488" s="174"/>
      <c r="T2488" s="173"/>
      <c r="U2488" s="182"/>
      <c r="V2488" s="177">
        <f>IF(U2488=0,0,IF(T2488="MXN",1/HLOOKUP(YEAR(S2488)+(MONTH(S2488)/100),TC!$5:$37,DAY(S2488)+2,FALSE),VLOOKUP(T2488,Equivalencia!$1:$23,((MAX(Equivalencia!$3:$3)-YEAR(S2488))*14)+MONTH(S2488)+2,FALSE)))</f>
        <v>0</v>
      </c>
      <c r="W2488" s="178">
        <f t="shared" si="219"/>
        <v>0</v>
      </c>
      <c r="X2488" s="481">
        <f t="shared" si="215"/>
        <v>0</v>
      </c>
      <c r="Y2488" s="179"/>
      <c r="Z2488" s="466">
        <f t="shared" si="216"/>
        <v>0</v>
      </c>
      <c r="AA2488" s="473">
        <f t="shared" si="217"/>
        <v>0</v>
      </c>
      <c r="AB2488" s="339">
        <f t="shared" si="218"/>
        <v>0</v>
      </c>
    </row>
    <row r="2489" spans="2:28" ht="20.100000000000001" customHeight="1">
      <c r="B2489" s="172"/>
      <c r="C2489" s="174"/>
      <c r="D2489" s="181"/>
      <c r="E2489" s="173"/>
      <c r="F2489" s="176"/>
      <c r="G2489" s="175">
        <f t="shared" si="220"/>
        <v>0</v>
      </c>
      <c r="H2489" s="175">
        <f t="shared" si="213"/>
        <v>0</v>
      </c>
      <c r="I2489" s="177">
        <f>IF(G2489=0,0,IF(E2489="MXN",1/HLOOKUP(YEAR(C2489)+(MONTH(C2489)/100),TC!$5:$37,DAY(C2489)+2,FALSE),VLOOKUP(E2489,Equivalencia!$5:$23,((MAX(Equivalencia!$3:$3)-YEAR(C2489))*14)+MONTH(C2489)+2,FALSE)))</f>
        <v>0</v>
      </c>
      <c r="J2489" s="178">
        <f t="shared" si="221"/>
        <v>0</v>
      </c>
      <c r="K2489" s="462">
        <f>IF(C2489=0,0,VLOOKUP(YEAR(C2489),INPC!$B$4:$O$29,MONTH(C2489)+1))</f>
        <v>0</v>
      </c>
      <c r="L2489" s="462">
        <f>IF(S2489=0,0,VLOOKUP(YEAR(S2489),INPC!$B$4:$O$29,MONTH(S2489)+1))</f>
        <v>0</v>
      </c>
      <c r="M2489" s="463">
        <f t="shared" si="214"/>
        <v>0</v>
      </c>
      <c r="N2489" s="465">
        <f t="shared" si="222"/>
        <v>0</v>
      </c>
      <c r="O2489" s="179"/>
      <c r="P2489" s="180"/>
      <c r="Q2489" s="173"/>
      <c r="R2489" s="173"/>
      <c r="S2489" s="174"/>
      <c r="T2489" s="173"/>
      <c r="U2489" s="182"/>
      <c r="V2489" s="177">
        <f>IF(U2489=0,0,IF(T2489="MXN",1/HLOOKUP(YEAR(S2489)+(MONTH(S2489)/100),TC!$5:$37,DAY(S2489)+2,FALSE),VLOOKUP(T2489,Equivalencia!$1:$23,((MAX(Equivalencia!$3:$3)-YEAR(S2489))*14)+MONTH(S2489)+2,FALSE)))</f>
        <v>0</v>
      </c>
      <c r="W2489" s="178">
        <f t="shared" si="219"/>
        <v>0</v>
      </c>
      <c r="X2489" s="481">
        <f t="shared" si="215"/>
        <v>0</v>
      </c>
      <c r="Y2489" s="179"/>
      <c r="Z2489" s="466">
        <f t="shared" si="216"/>
        <v>0</v>
      </c>
      <c r="AA2489" s="473">
        <f t="shared" si="217"/>
        <v>0</v>
      </c>
      <c r="AB2489" s="339">
        <f t="shared" si="218"/>
        <v>0</v>
      </c>
    </row>
    <row r="2490" spans="2:28" ht="20.100000000000001" customHeight="1">
      <c r="B2490" s="172"/>
      <c r="C2490" s="174"/>
      <c r="D2490" s="181"/>
      <c r="E2490" s="173"/>
      <c r="F2490" s="176"/>
      <c r="G2490" s="175">
        <f t="shared" si="220"/>
        <v>0</v>
      </c>
      <c r="H2490" s="175">
        <f t="shared" si="213"/>
        <v>0</v>
      </c>
      <c r="I2490" s="177">
        <f>IF(G2490=0,0,IF(E2490="MXN",1/HLOOKUP(YEAR(C2490)+(MONTH(C2490)/100),TC!$5:$37,DAY(C2490)+2,FALSE),VLOOKUP(E2490,Equivalencia!$5:$23,((MAX(Equivalencia!$3:$3)-YEAR(C2490))*14)+MONTH(C2490)+2,FALSE)))</f>
        <v>0</v>
      </c>
      <c r="J2490" s="178">
        <f t="shared" si="221"/>
        <v>0</v>
      </c>
      <c r="K2490" s="462">
        <f>IF(C2490=0,0,VLOOKUP(YEAR(C2490),INPC!$B$4:$O$29,MONTH(C2490)+1))</f>
        <v>0</v>
      </c>
      <c r="L2490" s="462">
        <f>IF(S2490=0,0,VLOOKUP(YEAR(S2490),INPC!$B$4:$O$29,MONTH(S2490)+1))</f>
        <v>0</v>
      </c>
      <c r="M2490" s="463">
        <f t="shared" si="214"/>
        <v>0</v>
      </c>
      <c r="N2490" s="465">
        <f t="shared" si="222"/>
        <v>0</v>
      </c>
      <c r="O2490" s="179"/>
      <c r="P2490" s="180"/>
      <c r="Q2490" s="173"/>
      <c r="R2490" s="173"/>
      <c r="S2490" s="174"/>
      <c r="T2490" s="173"/>
      <c r="U2490" s="182"/>
      <c r="V2490" s="177">
        <f>IF(U2490=0,0,IF(T2490="MXN",1/HLOOKUP(YEAR(S2490)+(MONTH(S2490)/100),TC!$5:$37,DAY(S2490)+2,FALSE),VLOOKUP(T2490,Equivalencia!$1:$23,((MAX(Equivalencia!$3:$3)-YEAR(S2490))*14)+MONTH(S2490)+2,FALSE)))</f>
        <v>0</v>
      </c>
      <c r="W2490" s="178">
        <f t="shared" si="219"/>
        <v>0</v>
      </c>
      <c r="X2490" s="481">
        <f t="shared" si="215"/>
        <v>0</v>
      </c>
      <c r="Y2490" s="179"/>
      <c r="Z2490" s="466">
        <f t="shared" si="216"/>
        <v>0</v>
      </c>
      <c r="AA2490" s="473">
        <f t="shared" si="217"/>
        <v>0</v>
      </c>
      <c r="AB2490" s="339">
        <f t="shared" si="218"/>
        <v>0</v>
      </c>
    </row>
    <row r="2491" spans="2:28" ht="20.100000000000001" customHeight="1">
      <c r="B2491" s="172"/>
      <c r="C2491" s="174"/>
      <c r="D2491" s="181"/>
      <c r="E2491" s="173"/>
      <c r="F2491" s="176"/>
      <c r="G2491" s="175">
        <f t="shared" si="220"/>
        <v>0</v>
      </c>
      <c r="H2491" s="175">
        <f t="shared" si="213"/>
        <v>0</v>
      </c>
      <c r="I2491" s="177">
        <f>IF(G2491=0,0,IF(E2491="MXN",1/HLOOKUP(YEAR(C2491)+(MONTH(C2491)/100),TC!$5:$37,DAY(C2491)+2,FALSE),VLOOKUP(E2491,Equivalencia!$5:$23,((MAX(Equivalencia!$3:$3)-YEAR(C2491))*14)+MONTH(C2491)+2,FALSE)))</f>
        <v>0</v>
      </c>
      <c r="J2491" s="178">
        <f t="shared" si="221"/>
        <v>0</v>
      </c>
      <c r="K2491" s="462">
        <f>IF(C2491=0,0,VLOOKUP(YEAR(C2491),INPC!$B$4:$O$29,MONTH(C2491)+1))</f>
        <v>0</v>
      </c>
      <c r="L2491" s="462">
        <f>IF(S2491=0,0,VLOOKUP(YEAR(S2491),INPC!$B$4:$O$29,MONTH(S2491)+1))</f>
        <v>0</v>
      </c>
      <c r="M2491" s="463">
        <f t="shared" si="214"/>
        <v>0</v>
      </c>
      <c r="N2491" s="465">
        <f t="shared" si="222"/>
        <v>0</v>
      </c>
      <c r="O2491" s="179"/>
      <c r="P2491" s="180"/>
      <c r="Q2491" s="173"/>
      <c r="R2491" s="173"/>
      <c r="S2491" s="174"/>
      <c r="T2491" s="173"/>
      <c r="U2491" s="182"/>
      <c r="V2491" s="177">
        <f>IF(U2491=0,0,IF(T2491="MXN",1/HLOOKUP(YEAR(S2491)+(MONTH(S2491)/100),TC!$5:$37,DAY(S2491)+2,FALSE),VLOOKUP(T2491,Equivalencia!$1:$23,((MAX(Equivalencia!$3:$3)-YEAR(S2491))*14)+MONTH(S2491)+2,FALSE)))</f>
        <v>0</v>
      </c>
      <c r="W2491" s="178">
        <f t="shared" si="219"/>
        <v>0</v>
      </c>
      <c r="X2491" s="481">
        <f t="shared" si="215"/>
        <v>0</v>
      </c>
      <c r="Y2491" s="179"/>
      <c r="Z2491" s="466">
        <f t="shared" si="216"/>
        <v>0</v>
      </c>
      <c r="AA2491" s="473">
        <f t="shared" si="217"/>
        <v>0</v>
      </c>
      <c r="AB2491" s="339">
        <f t="shared" si="218"/>
        <v>0</v>
      </c>
    </row>
    <row r="2492" spans="2:28" ht="20.100000000000001" customHeight="1">
      <c r="B2492" s="172"/>
      <c r="C2492" s="174"/>
      <c r="D2492" s="181"/>
      <c r="E2492" s="173"/>
      <c r="F2492" s="176"/>
      <c r="G2492" s="175">
        <f t="shared" si="220"/>
        <v>0</v>
      </c>
      <c r="H2492" s="175">
        <f t="shared" si="213"/>
        <v>0</v>
      </c>
      <c r="I2492" s="177">
        <f>IF(G2492=0,0,IF(E2492="MXN",1/HLOOKUP(YEAR(C2492)+(MONTH(C2492)/100),TC!$5:$37,DAY(C2492)+2,FALSE),VLOOKUP(E2492,Equivalencia!$5:$23,((MAX(Equivalencia!$3:$3)-YEAR(C2492))*14)+MONTH(C2492)+2,FALSE)))</f>
        <v>0</v>
      </c>
      <c r="J2492" s="178">
        <f t="shared" si="221"/>
        <v>0</v>
      </c>
      <c r="K2492" s="462">
        <f>IF(C2492=0,0,VLOOKUP(YEAR(C2492),INPC!$B$4:$O$29,MONTH(C2492)+1))</f>
        <v>0</v>
      </c>
      <c r="L2492" s="462">
        <f>IF(S2492=0,0,VLOOKUP(YEAR(S2492),INPC!$B$4:$O$29,MONTH(S2492)+1))</f>
        <v>0</v>
      </c>
      <c r="M2492" s="463">
        <f t="shared" si="214"/>
        <v>0</v>
      </c>
      <c r="N2492" s="465">
        <f t="shared" si="222"/>
        <v>0</v>
      </c>
      <c r="O2492" s="179"/>
      <c r="P2492" s="180"/>
      <c r="Q2492" s="173"/>
      <c r="R2492" s="173"/>
      <c r="S2492" s="174"/>
      <c r="T2492" s="173"/>
      <c r="U2492" s="182"/>
      <c r="V2492" s="177">
        <f>IF(U2492=0,0,IF(T2492="MXN",1/HLOOKUP(YEAR(S2492)+(MONTH(S2492)/100),TC!$5:$37,DAY(S2492)+2,FALSE),VLOOKUP(T2492,Equivalencia!$1:$23,((MAX(Equivalencia!$3:$3)-YEAR(S2492))*14)+MONTH(S2492)+2,FALSE)))</f>
        <v>0</v>
      </c>
      <c r="W2492" s="178">
        <f t="shared" si="219"/>
        <v>0</v>
      </c>
      <c r="X2492" s="481">
        <f t="shared" si="215"/>
        <v>0</v>
      </c>
      <c r="Y2492" s="179"/>
      <c r="Z2492" s="466">
        <f t="shared" si="216"/>
        <v>0</v>
      </c>
      <c r="AA2492" s="473">
        <f t="shared" si="217"/>
        <v>0</v>
      </c>
      <c r="AB2492" s="339">
        <f t="shared" si="218"/>
        <v>0</v>
      </c>
    </row>
    <row r="2493" spans="2:28" ht="20.100000000000001" customHeight="1">
      <c r="B2493" s="172"/>
      <c r="C2493" s="174"/>
      <c r="D2493" s="181"/>
      <c r="E2493" s="173"/>
      <c r="F2493" s="176"/>
      <c r="G2493" s="175">
        <f t="shared" si="220"/>
        <v>0</v>
      </c>
      <c r="H2493" s="175">
        <f t="shared" si="213"/>
        <v>0</v>
      </c>
      <c r="I2493" s="177">
        <f>IF(G2493=0,0,IF(E2493="MXN",1/HLOOKUP(YEAR(C2493)+(MONTH(C2493)/100),TC!$5:$37,DAY(C2493)+2,FALSE),VLOOKUP(E2493,Equivalencia!$5:$23,((MAX(Equivalencia!$3:$3)-YEAR(C2493))*14)+MONTH(C2493)+2,FALSE)))</f>
        <v>0</v>
      </c>
      <c r="J2493" s="178">
        <f t="shared" si="221"/>
        <v>0</v>
      </c>
      <c r="K2493" s="462">
        <f>IF(C2493=0,0,VLOOKUP(YEAR(C2493),INPC!$B$4:$O$29,MONTH(C2493)+1))</f>
        <v>0</v>
      </c>
      <c r="L2493" s="462">
        <f>IF(S2493=0,0,VLOOKUP(YEAR(S2493),INPC!$B$4:$O$29,MONTH(S2493)+1))</f>
        <v>0</v>
      </c>
      <c r="M2493" s="463">
        <f t="shared" si="214"/>
        <v>0</v>
      </c>
      <c r="N2493" s="465">
        <f t="shared" si="222"/>
        <v>0</v>
      </c>
      <c r="O2493" s="179"/>
      <c r="P2493" s="180"/>
      <c r="Q2493" s="173"/>
      <c r="R2493" s="173"/>
      <c r="S2493" s="174"/>
      <c r="T2493" s="173"/>
      <c r="U2493" s="182"/>
      <c r="V2493" s="177">
        <f>IF(U2493=0,0,IF(T2493="MXN",1/HLOOKUP(YEAR(S2493)+(MONTH(S2493)/100),TC!$5:$37,DAY(S2493)+2,FALSE),VLOOKUP(T2493,Equivalencia!$1:$23,((MAX(Equivalencia!$3:$3)-YEAR(S2493))*14)+MONTH(S2493)+2,FALSE)))</f>
        <v>0</v>
      </c>
      <c r="W2493" s="178">
        <f t="shared" si="219"/>
        <v>0</v>
      </c>
      <c r="X2493" s="481">
        <f t="shared" si="215"/>
        <v>0</v>
      </c>
      <c r="Y2493" s="179"/>
      <c r="Z2493" s="466">
        <f t="shared" si="216"/>
        <v>0</v>
      </c>
      <c r="AA2493" s="473">
        <f t="shared" si="217"/>
        <v>0</v>
      </c>
      <c r="AB2493" s="339">
        <f t="shared" si="218"/>
        <v>0</v>
      </c>
    </row>
    <row r="2494" spans="2:28" ht="20.100000000000001" customHeight="1">
      <c r="B2494" s="172"/>
      <c r="C2494" s="174"/>
      <c r="D2494" s="181"/>
      <c r="E2494" s="173"/>
      <c r="F2494" s="176"/>
      <c r="G2494" s="175">
        <f t="shared" si="220"/>
        <v>0</v>
      </c>
      <c r="H2494" s="175">
        <f t="shared" si="213"/>
        <v>0</v>
      </c>
      <c r="I2494" s="177">
        <f>IF(G2494=0,0,IF(E2494="MXN",1/HLOOKUP(YEAR(C2494)+(MONTH(C2494)/100),TC!$5:$37,DAY(C2494)+2,FALSE),VLOOKUP(E2494,Equivalencia!$5:$23,((MAX(Equivalencia!$3:$3)-YEAR(C2494))*14)+MONTH(C2494)+2,FALSE)))</f>
        <v>0</v>
      </c>
      <c r="J2494" s="178">
        <f t="shared" si="221"/>
        <v>0</v>
      </c>
      <c r="K2494" s="462">
        <f>IF(C2494=0,0,VLOOKUP(YEAR(C2494),INPC!$B$4:$O$29,MONTH(C2494)+1))</f>
        <v>0</v>
      </c>
      <c r="L2494" s="462">
        <f>IF(S2494=0,0,VLOOKUP(YEAR(S2494),INPC!$B$4:$O$29,MONTH(S2494)+1))</f>
        <v>0</v>
      </c>
      <c r="M2494" s="463">
        <f t="shared" si="214"/>
        <v>0</v>
      </c>
      <c r="N2494" s="465">
        <f t="shared" si="222"/>
        <v>0</v>
      </c>
      <c r="O2494" s="179"/>
      <c r="P2494" s="180"/>
      <c r="Q2494" s="173"/>
      <c r="R2494" s="173"/>
      <c r="S2494" s="174"/>
      <c r="T2494" s="173"/>
      <c r="U2494" s="182"/>
      <c r="V2494" s="177">
        <f>IF(U2494=0,0,IF(T2494="MXN",1/HLOOKUP(YEAR(S2494)+(MONTH(S2494)/100),TC!$5:$37,DAY(S2494)+2,FALSE),VLOOKUP(T2494,Equivalencia!$1:$23,((MAX(Equivalencia!$3:$3)-YEAR(S2494))*14)+MONTH(S2494)+2,FALSE)))</f>
        <v>0</v>
      </c>
      <c r="W2494" s="178">
        <f t="shared" si="219"/>
        <v>0</v>
      </c>
      <c r="X2494" s="481">
        <f t="shared" si="215"/>
        <v>0</v>
      </c>
      <c r="Y2494" s="179"/>
      <c r="Z2494" s="466">
        <f t="shared" si="216"/>
        <v>0</v>
      </c>
      <c r="AA2494" s="473">
        <f t="shared" si="217"/>
        <v>0</v>
      </c>
      <c r="AB2494" s="339">
        <f t="shared" si="218"/>
        <v>0</v>
      </c>
    </row>
    <row r="2495" spans="2:28" ht="20.100000000000001" customHeight="1">
      <c r="B2495" s="172"/>
      <c r="C2495" s="174"/>
      <c r="D2495" s="181"/>
      <c r="E2495" s="173"/>
      <c r="F2495" s="176"/>
      <c r="G2495" s="175">
        <f t="shared" si="220"/>
        <v>0</v>
      </c>
      <c r="H2495" s="175">
        <f t="shared" si="213"/>
        <v>0</v>
      </c>
      <c r="I2495" s="177">
        <f>IF(G2495=0,0,IF(E2495="MXN",1/HLOOKUP(YEAR(C2495)+(MONTH(C2495)/100),TC!$5:$37,DAY(C2495)+2,FALSE),VLOOKUP(E2495,Equivalencia!$5:$23,((MAX(Equivalencia!$3:$3)-YEAR(C2495))*14)+MONTH(C2495)+2,FALSE)))</f>
        <v>0</v>
      </c>
      <c r="J2495" s="178">
        <f t="shared" si="221"/>
        <v>0</v>
      </c>
      <c r="K2495" s="462">
        <f>IF(C2495=0,0,VLOOKUP(YEAR(C2495),INPC!$B$4:$O$29,MONTH(C2495)+1))</f>
        <v>0</v>
      </c>
      <c r="L2495" s="462">
        <f>IF(S2495=0,0,VLOOKUP(YEAR(S2495),INPC!$B$4:$O$29,MONTH(S2495)+1))</f>
        <v>0</v>
      </c>
      <c r="M2495" s="463">
        <f t="shared" si="214"/>
        <v>0</v>
      </c>
      <c r="N2495" s="465">
        <f t="shared" si="222"/>
        <v>0</v>
      </c>
      <c r="O2495" s="179"/>
      <c r="P2495" s="180"/>
      <c r="Q2495" s="173"/>
      <c r="R2495" s="173"/>
      <c r="S2495" s="174"/>
      <c r="T2495" s="173"/>
      <c r="U2495" s="182"/>
      <c r="V2495" s="177">
        <f>IF(U2495=0,0,IF(T2495="MXN",1/HLOOKUP(YEAR(S2495)+(MONTH(S2495)/100),TC!$5:$37,DAY(S2495)+2,FALSE),VLOOKUP(T2495,Equivalencia!$1:$23,((MAX(Equivalencia!$3:$3)-YEAR(S2495))*14)+MONTH(S2495)+2,FALSE)))</f>
        <v>0</v>
      </c>
      <c r="W2495" s="178">
        <f t="shared" si="219"/>
        <v>0</v>
      </c>
      <c r="X2495" s="481">
        <f t="shared" si="215"/>
        <v>0</v>
      </c>
      <c r="Y2495" s="179"/>
      <c r="Z2495" s="466">
        <f t="shared" si="216"/>
        <v>0</v>
      </c>
      <c r="AA2495" s="473">
        <f t="shared" si="217"/>
        <v>0</v>
      </c>
      <c r="AB2495" s="339">
        <f t="shared" si="218"/>
        <v>0</v>
      </c>
    </row>
    <row r="2496" spans="2:28" ht="20.100000000000001" customHeight="1">
      <c r="B2496" s="172"/>
      <c r="C2496" s="174"/>
      <c r="D2496" s="181"/>
      <c r="E2496" s="173"/>
      <c r="F2496" s="176"/>
      <c r="G2496" s="175">
        <f t="shared" si="220"/>
        <v>0</v>
      </c>
      <c r="H2496" s="175">
        <f t="shared" si="213"/>
        <v>0</v>
      </c>
      <c r="I2496" s="177">
        <f>IF(G2496=0,0,IF(E2496="MXN",1/HLOOKUP(YEAR(C2496)+(MONTH(C2496)/100),TC!$5:$37,DAY(C2496)+2,FALSE),VLOOKUP(E2496,Equivalencia!$5:$23,((MAX(Equivalencia!$3:$3)-YEAR(C2496))*14)+MONTH(C2496)+2,FALSE)))</f>
        <v>0</v>
      </c>
      <c r="J2496" s="178">
        <f t="shared" si="221"/>
        <v>0</v>
      </c>
      <c r="K2496" s="462">
        <f>IF(C2496=0,0,VLOOKUP(YEAR(C2496),INPC!$B$4:$O$29,MONTH(C2496)+1))</f>
        <v>0</v>
      </c>
      <c r="L2496" s="462">
        <f>IF(S2496=0,0,VLOOKUP(YEAR(S2496),INPC!$B$4:$O$29,MONTH(S2496)+1))</f>
        <v>0</v>
      </c>
      <c r="M2496" s="463">
        <f t="shared" si="214"/>
        <v>0</v>
      </c>
      <c r="N2496" s="465">
        <f t="shared" si="222"/>
        <v>0</v>
      </c>
      <c r="O2496" s="179"/>
      <c r="P2496" s="180"/>
      <c r="Q2496" s="173"/>
      <c r="R2496" s="173"/>
      <c r="S2496" s="174"/>
      <c r="T2496" s="173"/>
      <c r="U2496" s="182"/>
      <c r="V2496" s="177">
        <f>IF(U2496=0,0,IF(T2496="MXN",1/HLOOKUP(YEAR(S2496)+(MONTH(S2496)/100),TC!$5:$37,DAY(S2496)+2,FALSE),VLOOKUP(T2496,Equivalencia!$1:$23,((MAX(Equivalencia!$3:$3)-YEAR(S2496))*14)+MONTH(S2496)+2,FALSE)))</f>
        <v>0</v>
      </c>
      <c r="W2496" s="178">
        <f t="shared" si="219"/>
        <v>0</v>
      </c>
      <c r="X2496" s="481">
        <f t="shared" si="215"/>
        <v>0</v>
      </c>
      <c r="Y2496" s="179"/>
      <c r="Z2496" s="466">
        <f t="shared" si="216"/>
        <v>0</v>
      </c>
      <c r="AA2496" s="473">
        <f t="shared" si="217"/>
        <v>0</v>
      </c>
      <c r="AB2496" s="339">
        <f t="shared" si="218"/>
        <v>0</v>
      </c>
    </row>
    <row r="2497" spans="2:28" ht="20.100000000000001" customHeight="1">
      <c r="B2497" s="172"/>
      <c r="C2497" s="174"/>
      <c r="D2497" s="181"/>
      <c r="E2497" s="173"/>
      <c r="F2497" s="176"/>
      <c r="G2497" s="175">
        <f t="shared" si="220"/>
        <v>0</v>
      </c>
      <c r="H2497" s="175">
        <f t="shared" si="213"/>
        <v>0</v>
      </c>
      <c r="I2497" s="177">
        <f>IF(G2497=0,0,IF(E2497="MXN",1/HLOOKUP(YEAR(C2497)+(MONTH(C2497)/100),TC!$5:$37,DAY(C2497)+2,FALSE),VLOOKUP(E2497,Equivalencia!$5:$23,((MAX(Equivalencia!$3:$3)-YEAR(C2497))*14)+MONTH(C2497)+2,FALSE)))</f>
        <v>0</v>
      </c>
      <c r="J2497" s="178">
        <f t="shared" si="221"/>
        <v>0</v>
      </c>
      <c r="K2497" s="462">
        <f>IF(C2497=0,0,VLOOKUP(YEAR(C2497),INPC!$B$4:$O$29,MONTH(C2497)+1))</f>
        <v>0</v>
      </c>
      <c r="L2497" s="462">
        <f>IF(S2497=0,0,VLOOKUP(YEAR(S2497),INPC!$B$4:$O$29,MONTH(S2497)+1))</f>
        <v>0</v>
      </c>
      <c r="M2497" s="463">
        <f t="shared" si="214"/>
        <v>0</v>
      </c>
      <c r="N2497" s="465">
        <f t="shared" si="222"/>
        <v>0</v>
      </c>
      <c r="O2497" s="179"/>
      <c r="P2497" s="180"/>
      <c r="Q2497" s="173"/>
      <c r="R2497" s="173"/>
      <c r="S2497" s="174"/>
      <c r="T2497" s="173"/>
      <c r="U2497" s="182"/>
      <c r="V2497" s="177">
        <f>IF(U2497=0,0,IF(T2497="MXN",1/HLOOKUP(YEAR(S2497)+(MONTH(S2497)/100),TC!$5:$37,DAY(S2497)+2,FALSE),VLOOKUP(T2497,Equivalencia!$1:$23,((MAX(Equivalencia!$3:$3)-YEAR(S2497))*14)+MONTH(S2497)+2,FALSE)))</f>
        <v>0</v>
      </c>
      <c r="W2497" s="178">
        <f t="shared" si="219"/>
        <v>0</v>
      </c>
      <c r="X2497" s="481">
        <f t="shared" si="215"/>
        <v>0</v>
      </c>
      <c r="Y2497" s="179"/>
      <c r="Z2497" s="466">
        <f t="shared" si="216"/>
        <v>0</v>
      </c>
      <c r="AA2497" s="473">
        <f t="shared" si="217"/>
        <v>0</v>
      </c>
      <c r="AB2497" s="339">
        <f t="shared" si="218"/>
        <v>0</v>
      </c>
    </row>
    <row r="2498" spans="2:28" ht="20.100000000000001" customHeight="1">
      <c r="B2498" s="172"/>
      <c r="C2498" s="174"/>
      <c r="D2498" s="181"/>
      <c r="E2498" s="173"/>
      <c r="F2498" s="176"/>
      <c r="G2498" s="175">
        <f t="shared" si="220"/>
        <v>0</v>
      </c>
      <c r="H2498" s="175">
        <f t="shared" si="213"/>
        <v>0</v>
      </c>
      <c r="I2498" s="177">
        <f>IF(G2498=0,0,IF(E2498="MXN",1/HLOOKUP(YEAR(C2498)+(MONTH(C2498)/100),TC!$5:$37,DAY(C2498)+2,FALSE),VLOOKUP(E2498,Equivalencia!$5:$23,((MAX(Equivalencia!$3:$3)-YEAR(C2498))*14)+MONTH(C2498)+2,FALSE)))</f>
        <v>0</v>
      </c>
      <c r="J2498" s="178">
        <f t="shared" si="221"/>
        <v>0</v>
      </c>
      <c r="K2498" s="462">
        <f>IF(C2498=0,0,VLOOKUP(YEAR(C2498),INPC!$B$4:$O$29,MONTH(C2498)+1))</f>
        <v>0</v>
      </c>
      <c r="L2498" s="462">
        <f>IF(S2498=0,0,VLOOKUP(YEAR(S2498),INPC!$B$4:$O$29,MONTH(S2498)+1))</f>
        <v>0</v>
      </c>
      <c r="M2498" s="463">
        <f t="shared" si="214"/>
        <v>0</v>
      </c>
      <c r="N2498" s="465">
        <f t="shared" si="222"/>
        <v>0</v>
      </c>
      <c r="O2498" s="179"/>
      <c r="P2498" s="180"/>
      <c r="Q2498" s="173"/>
      <c r="R2498" s="173"/>
      <c r="S2498" s="174"/>
      <c r="T2498" s="173"/>
      <c r="U2498" s="182"/>
      <c r="V2498" s="177">
        <f>IF(U2498=0,0,IF(T2498="MXN",1/HLOOKUP(YEAR(S2498)+(MONTH(S2498)/100),TC!$5:$37,DAY(S2498)+2,FALSE),VLOOKUP(T2498,Equivalencia!$1:$23,((MAX(Equivalencia!$3:$3)-YEAR(S2498))*14)+MONTH(S2498)+2,FALSE)))</f>
        <v>0</v>
      </c>
      <c r="W2498" s="178">
        <f t="shared" si="219"/>
        <v>0</v>
      </c>
      <c r="X2498" s="481">
        <f t="shared" si="215"/>
        <v>0</v>
      </c>
      <c r="Y2498" s="179"/>
      <c r="Z2498" s="466">
        <f t="shared" si="216"/>
        <v>0</v>
      </c>
      <c r="AA2498" s="473">
        <f t="shared" si="217"/>
        <v>0</v>
      </c>
      <c r="AB2498" s="339">
        <f t="shared" si="218"/>
        <v>0</v>
      </c>
    </row>
    <row r="2499" spans="2:28" ht="20.100000000000001" customHeight="1">
      <c r="B2499" s="172"/>
      <c r="C2499" s="174"/>
      <c r="D2499" s="181"/>
      <c r="E2499" s="173"/>
      <c r="F2499" s="176"/>
      <c r="G2499" s="175">
        <f t="shared" si="220"/>
        <v>0</v>
      </c>
      <c r="H2499" s="175">
        <f t="shared" si="213"/>
        <v>0</v>
      </c>
      <c r="I2499" s="177">
        <f>IF(G2499=0,0,IF(E2499="MXN",1/HLOOKUP(YEAR(C2499)+(MONTH(C2499)/100),TC!$5:$37,DAY(C2499)+2,FALSE),VLOOKUP(E2499,Equivalencia!$5:$23,((MAX(Equivalencia!$3:$3)-YEAR(C2499))*14)+MONTH(C2499)+2,FALSE)))</f>
        <v>0</v>
      </c>
      <c r="J2499" s="178">
        <f t="shared" si="221"/>
        <v>0</v>
      </c>
      <c r="K2499" s="462">
        <f>IF(C2499=0,0,VLOOKUP(YEAR(C2499),INPC!$B$4:$O$29,MONTH(C2499)+1))</f>
        <v>0</v>
      </c>
      <c r="L2499" s="462">
        <f>IF(S2499=0,0,VLOOKUP(YEAR(S2499),INPC!$B$4:$O$29,MONTH(S2499)+1))</f>
        <v>0</v>
      </c>
      <c r="M2499" s="463">
        <f t="shared" si="214"/>
        <v>0</v>
      </c>
      <c r="N2499" s="465">
        <f t="shared" si="222"/>
        <v>0</v>
      </c>
      <c r="O2499" s="179"/>
      <c r="P2499" s="180"/>
      <c r="Q2499" s="173"/>
      <c r="R2499" s="173"/>
      <c r="S2499" s="174"/>
      <c r="T2499" s="173"/>
      <c r="U2499" s="182"/>
      <c r="V2499" s="177">
        <f>IF(U2499=0,0,IF(T2499="MXN",1/HLOOKUP(YEAR(S2499)+(MONTH(S2499)/100),TC!$5:$37,DAY(S2499)+2,FALSE),VLOOKUP(T2499,Equivalencia!$1:$23,((MAX(Equivalencia!$3:$3)-YEAR(S2499))*14)+MONTH(S2499)+2,FALSE)))</f>
        <v>0</v>
      </c>
      <c r="W2499" s="178">
        <f t="shared" si="219"/>
        <v>0</v>
      </c>
      <c r="X2499" s="481">
        <f t="shared" si="215"/>
        <v>0</v>
      </c>
      <c r="Y2499" s="179"/>
      <c r="Z2499" s="466">
        <f t="shared" si="216"/>
        <v>0</v>
      </c>
      <c r="AA2499" s="473">
        <f t="shared" si="217"/>
        <v>0</v>
      </c>
      <c r="AB2499" s="339">
        <f t="shared" si="218"/>
        <v>0</v>
      </c>
    </row>
    <row r="2500" spans="2:28" ht="20.100000000000001" customHeight="1">
      <c r="B2500" s="172"/>
      <c r="C2500" s="174"/>
      <c r="D2500" s="181"/>
      <c r="E2500" s="173"/>
      <c r="F2500" s="176"/>
      <c r="G2500" s="175">
        <f t="shared" si="220"/>
        <v>0</v>
      </c>
      <c r="H2500" s="175">
        <f t="shared" si="213"/>
        <v>0</v>
      </c>
      <c r="I2500" s="177">
        <f>IF(G2500=0,0,IF(E2500="MXN",1/HLOOKUP(YEAR(C2500)+(MONTH(C2500)/100),TC!$5:$37,DAY(C2500)+2,FALSE),VLOOKUP(E2500,Equivalencia!$5:$23,((MAX(Equivalencia!$3:$3)-YEAR(C2500))*14)+MONTH(C2500)+2,FALSE)))</f>
        <v>0</v>
      </c>
      <c r="J2500" s="178">
        <f t="shared" si="221"/>
        <v>0</v>
      </c>
      <c r="K2500" s="462">
        <f>IF(C2500=0,0,VLOOKUP(YEAR(C2500),INPC!$B$4:$O$29,MONTH(C2500)+1))</f>
        <v>0</v>
      </c>
      <c r="L2500" s="462">
        <f>IF(S2500=0,0,VLOOKUP(YEAR(S2500),INPC!$B$4:$O$29,MONTH(S2500)+1))</f>
        <v>0</v>
      </c>
      <c r="M2500" s="463">
        <f t="shared" si="214"/>
        <v>0</v>
      </c>
      <c r="N2500" s="465">
        <f t="shared" si="222"/>
        <v>0</v>
      </c>
      <c r="O2500" s="179"/>
      <c r="P2500" s="180"/>
      <c r="Q2500" s="173"/>
      <c r="R2500" s="173"/>
      <c r="S2500" s="174"/>
      <c r="T2500" s="173"/>
      <c r="U2500" s="182"/>
      <c r="V2500" s="177">
        <f>IF(U2500=0,0,IF(T2500="MXN",1/HLOOKUP(YEAR(S2500)+(MONTH(S2500)/100),TC!$5:$37,DAY(S2500)+2,FALSE),VLOOKUP(T2500,Equivalencia!$1:$23,((MAX(Equivalencia!$3:$3)-YEAR(S2500))*14)+MONTH(S2500)+2,FALSE)))</f>
        <v>0</v>
      </c>
      <c r="W2500" s="178">
        <f t="shared" si="219"/>
        <v>0</v>
      </c>
      <c r="X2500" s="481">
        <f t="shared" si="215"/>
        <v>0</v>
      </c>
      <c r="Y2500" s="179"/>
      <c r="Z2500" s="466">
        <f t="shared" si="216"/>
        <v>0</v>
      </c>
      <c r="AA2500" s="473">
        <f t="shared" si="217"/>
        <v>0</v>
      </c>
      <c r="AB2500" s="339">
        <f t="shared" si="218"/>
        <v>0</v>
      </c>
    </row>
    <row r="2501" spans="2:28" ht="20.100000000000001" customHeight="1">
      <c r="B2501" s="172"/>
      <c r="C2501" s="174"/>
      <c r="D2501" s="181"/>
      <c r="E2501" s="173"/>
      <c r="F2501" s="176"/>
      <c r="G2501" s="175">
        <f t="shared" si="220"/>
        <v>0</v>
      </c>
      <c r="H2501" s="175">
        <f t="shared" si="213"/>
        <v>0</v>
      </c>
      <c r="I2501" s="177">
        <f>IF(G2501=0,0,IF(E2501="MXN",1/HLOOKUP(YEAR(C2501)+(MONTH(C2501)/100),TC!$5:$37,DAY(C2501)+2,FALSE),VLOOKUP(E2501,Equivalencia!$5:$23,((MAX(Equivalencia!$3:$3)-YEAR(C2501))*14)+MONTH(C2501)+2,FALSE)))</f>
        <v>0</v>
      </c>
      <c r="J2501" s="178">
        <f t="shared" si="221"/>
        <v>0</v>
      </c>
      <c r="K2501" s="462">
        <f>IF(C2501=0,0,VLOOKUP(YEAR(C2501),INPC!$B$4:$O$29,MONTH(C2501)+1))</f>
        <v>0</v>
      </c>
      <c r="L2501" s="462">
        <f>IF(S2501=0,0,VLOOKUP(YEAR(S2501),INPC!$B$4:$O$29,MONTH(S2501)+1))</f>
        <v>0</v>
      </c>
      <c r="M2501" s="463">
        <f t="shared" si="214"/>
        <v>0</v>
      </c>
      <c r="N2501" s="465">
        <f t="shared" si="222"/>
        <v>0</v>
      </c>
      <c r="O2501" s="179"/>
      <c r="P2501" s="180"/>
      <c r="Q2501" s="173"/>
      <c r="R2501" s="173"/>
      <c r="S2501" s="174"/>
      <c r="T2501" s="173"/>
      <c r="U2501" s="182"/>
      <c r="V2501" s="177">
        <f>IF(U2501=0,0,IF(T2501="MXN",1/HLOOKUP(YEAR(S2501)+(MONTH(S2501)/100),TC!$5:$37,DAY(S2501)+2,FALSE),VLOOKUP(T2501,Equivalencia!$1:$23,((MAX(Equivalencia!$3:$3)-YEAR(S2501))*14)+MONTH(S2501)+2,FALSE)))</f>
        <v>0</v>
      </c>
      <c r="W2501" s="178">
        <f t="shared" si="219"/>
        <v>0</v>
      </c>
      <c r="X2501" s="481">
        <f t="shared" si="215"/>
        <v>0</v>
      </c>
      <c r="Y2501" s="179"/>
      <c r="Z2501" s="466">
        <f t="shared" si="216"/>
        <v>0</v>
      </c>
      <c r="AA2501" s="473">
        <f t="shared" si="217"/>
        <v>0</v>
      </c>
      <c r="AB2501" s="339">
        <f t="shared" si="218"/>
        <v>0</v>
      </c>
    </row>
    <row r="2502" spans="2:28" ht="20.100000000000001" customHeight="1">
      <c r="B2502" s="172"/>
      <c r="C2502" s="174"/>
      <c r="D2502" s="181"/>
      <c r="E2502" s="173"/>
      <c r="F2502" s="176"/>
      <c r="G2502" s="175">
        <f t="shared" si="220"/>
        <v>0</v>
      </c>
      <c r="H2502" s="175">
        <f t="shared" si="213"/>
        <v>0</v>
      </c>
      <c r="I2502" s="177">
        <f>IF(G2502=0,0,IF(E2502="MXN",1/HLOOKUP(YEAR(C2502)+(MONTH(C2502)/100),TC!$5:$37,DAY(C2502)+2,FALSE),VLOOKUP(E2502,Equivalencia!$5:$23,((MAX(Equivalencia!$3:$3)-YEAR(C2502))*14)+MONTH(C2502)+2,FALSE)))</f>
        <v>0</v>
      </c>
      <c r="J2502" s="178">
        <f t="shared" si="221"/>
        <v>0</v>
      </c>
      <c r="K2502" s="462">
        <f>IF(C2502=0,0,VLOOKUP(YEAR(C2502),INPC!$B$4:$O$29,MONTH(C2502)+1))</f>
        <v>0</v>
      </c>
      <c r="L2502" s="462">
        <f>IF(S2502=0,0,VLOOKUP(YEAR(S2502),INPC!$B$4:$O$29,MONTH(S2502)+1))</f>
        <v>0</v>
      </c>
      <c r="M2502" s="463">
        <f t="shared" si="214"/>
        <v>0</v>
      </c>
      <c r="N2502" s="465">
        <f t="shared" si="222"/>
        <v>0</v>
      </c>
      <c r="O2502" s="179"/>
      <c r="P2502" s="180"/>
      <c r="Q2502" s="173"/>
      <c r="R2502" s="173"/>
      <c r="S2502" s="174"/>
      <c r="T2502" s="173"/>
      <c r="U2502" s="182"/>
      <c r="V2502" s="177">
        <f>IF(U2502=0,0,IF(T2502="MXN",1/HLOOKUP(YEAR(S2502)+(MONTH(S2502)/100),TC!$5:$37,DAY(S2502)+2,FALSE),VLOOKUP(T2502,Equivalencia!$1:$23,((MAX(Equivalencia!$3:$3)-YEAR(S2502))*14)+MONTH(S2502)+2,FALSE)))</f>
        <v>0</v>
      </c>
      <c r="W2502" s="178">
        <f t="shared" si="219"/>
        <v>0</v>
      </c>
      <c r="X2502" s="481">
        <f t="shared" si="215"/>
        <v>0</v>
      </c>
      <c r="Y2502" s="179"/>
      <c r="Z2502" s="466">
        <f t="shared" si="216"/>
        <v>0</v>
      </c>
      <c r="AA2502" s="473">
        <f t="shared" si="217"/>
        <v>0</v>
      </c>
      <c r="AB2502" s="339">
        <f t="shared" si="218"/>
        <v>0</v>
      </c>
    </row>
    <row r="2503" spans="2:28" ht="20.100000000000001" customHeight="1">
      <c r="B2503" s="172"/>
      <c r="C2503" s="174"/>
      <c r="D2503" s="181"/>
      <c r="E2503" s="173"/>
      <c r="F2503" s="176"/>
      <c r="G2503" s="175">
        <f t="shared" si="220"/>
        <v>0</v>
      </c>
      <c r="H2503" s="175">
        <f t="shared" si="213"/>
        <v>0</v>
      </c>
      <c r="I2503" s="177">
        <f>IF(G2503=0,0,IF(E2503="MXN",1/HLOOKUP(YEAR(C2503)+(MONTH(C2503)/100),TC!$5:$37,DAY(C2503)+2,FALSE),VLOOKUP(E2503,Equivalencia!$5:$23,((MAX(Equivalencia!$3:$3)-YEAR(C2503))*14)+MONTH(C2503)+2,FALSE)))</f>
        <v>0</v>
      </c>
      <c r="J2503" s="178">
        <f t="shared" si="221"/>
        <v>0</v>
      </c>
      <c r="K2503" s="462">
        <f>IF(C2503=0,0,VLOOKUP(YEAR(C2503),INPC!$B$4:$O$29,MONTH(C2503)+1))</f>
        <v>0</v>
      </c>
      <c r="L2503" s="462">
        <f>IF(S2503=0,0,VLOOKUP(YEAR(S2503),INPC!$B$4:$O$29,MONTH(S2503)+1))</f>
        <v>0</v>
      </c>
      <c r="M2503" s="463">
        <f t="shared" si="214"/>
        <v>0</v>
      </c>
      <c r="N2503" s="465">
        <f t="shared" si="222"/>
        <v>0</v>
      </c>
      <c r="O2503" s="179"/>
      <c r="P2503" s="180"/>
      <c r="Q2503" s="173"/>
      <c r="R2503" s="173"/>
      <c r="S2503" s="174"/>
      <c r="T2503" s="173"/>
      <c r="U2503" s="182"/>
      <c r="V2503" s="177">
        <f>IF(U2503=0,0,IF(T2503="MXN",1/HLOOKUP(YEAR(S2503)+(MONTH(S2503)/100),TC!$5:$37,DAY(S2503)+2,FALSE),VLOOKUP(T2503,Equivalencia!$1:$23,((MAX(Equivalencia!$3:$3)-YEAR(S2503))*14)+MONTH(S2503)+2,FALSE)))</f>
        <v>0</v>
      </c>
      <c r="W2503" s="178">
        <f t="shared" si="219"/>
        <v>0</v>
      </c>
      <c r="X2503" s="481">
        <f t="shared" si="215"/>
        <v>0</v>
      </c>
      <c r="Y2503" s="179"/>
      <c r="Z2503" s="466">
        <f t="shared" si="216"/>
        <v>0</v>
      </c>
      <c r="AA2503" s="473">
        <f t="shared" si="217"/>
        <v>0</v>
      </c>
      <c r="AB2503" s="339">
        <f t="shared" si="218"/>
        <v>0</v>
      </c>
    </row>
    <row r="2504" spans="2:28" ht="20.100000000000001" customHeight="1">
      <c r="B2504" s="172"/>
      <c r="C2504" s="174"/>
      <c r="D2504" s="181"/>
      <c r="E2504" s="173"/>
      <c r="F2504" s="176"/>
      <c r="G2504" s="175">
        <f t="shared" si="220"/>
        <v>0</v>
      </c>
      <c r="H2504" s="175">
        <f t="shared" si="213"/>
        <v>0</v>
      </c>
      <c r="I2504" s="177">
        <f>IF(G2504=0,0,IF(E2504="MXN",1/HLOOKUP(YEAR(C2504)+(MONTH(C2504)/100),TC!$5:$37,DAY(C2504)+2,FALSE),VLOOKUP(E2504,Equivalencia!$5:$23,((MAX(Equivalencia!$3:$3)-YEAR(C2504))*14)+MONTH(C2504)+2,FALSE)))</f>
        <v>0</v>
      </c>
      <c r="J2504" s="178">
        <f t="shared" si="221"/>
        <v>0</v>
      </c>
      <c r="K2504" s="462">
        <f>IF(C2504=0,0,VLOOKUP(YEAR(C2504),INPC!$B$4:$O$29,MONTH(C2504)+1))</f>
        <v>0</v>
      </c>
      <c r="L2504" s="462">
        <f>IF(S2504=0,0,VLOOKUP(YEAR(S2504),INPC!$B$4:$O$29,MONTH(S2504)+1))</f>
        <v>0</v>
      </c>
      <c r="M2504" s="463">
        <f t="shared" si="214"/>
        <v>0</v>
      </c>
      <c r="N2504" s="465">
        <f t="shared" si="222"/>
        <v>0</v>
      </c>
      <c r="O2504" s="179"/>
      <c r="P2504" s="180"/>
      <c r="Q2504" s="173"/>
      <c r="R2504" s="173"/>
      <c r="S2504" s="174"/>
      <c r="T2504" s="173"/>
      <c r="U2504" s="182"/>
      <c r="V2504" s="177">
        <f>IF(U2504=0,0,IF(T2504="MXN",1/HLOOKUP(YEAR(S2504)+(MONTH(S2504)/100),TC!$5:$37,DAY(S2504)+2,FALSE),VLOOKUP(T2504,Equivalencia!$1:$23,((MAX(Equivalencia!$3:$3)-YEAR(S2504))*14)+MONTH(S2504)+2,FALSE)))</f>
        <v>0</v>
      </c>
      <c r="W2504" s="178">
        <f t="shared" si="219"/>
        <v>0</v>
      </c>
      <c r="X2504" s="481">
        <f t="shared" si="215"/>
        <v>0</v>
      </c>
      <c r="Y2504" s="179"/>
      <c r="Z2504" s="466">
        <f t="shared" si="216"/>
        <v>0</v>
      </c>
      <c r="AA2504" s="473">
        <f t="shared" si="217"/>
        <v>0</v>
      </c>
      <c r="AB2504" s="339">
        <f t="shared" si="218"/>
        <v>0</v>
      </c>
    </row>
    <row r="2505" spans="2:28" ht="20.100000000000001" customHeight="1">
      <c r="B2505" s="172"/>
      <c r="C2505" s="174"/>
      <c r="D2505" s="181"/>
      <c r="E2505" s="173"/>
      <c r="F2505" s="176"/>
      <c r="G2505" s="175">
        <f t="shared" si="220"/>
        <v>0</v>
      </c>
      <c r="H2505" s="175">
        <f t="shared" si="213"/>
        <v>0</v>
      </c>
      <c r="I2505" s="177">
        <f>IF(G2505=0,0,IF(E2505="MXN",1/HLOOKUP(YEAR(C2505)+(MONTH(C2505)/100),TC!$5:$37,DAY(C2505)+2,FALSE),VLOOKUP(E2505,Equivalencia!$5:$23,((MAX(Equivalencia!$3:$3)-YEAR(C2505))*14)+MONTH(C2505)+2,FALSE)))</f>
        <v>0</v>
      </c>
      <c r="J2505" s="178">
        <f t="shared" si="221"/>
        <v>0</v>
      </c>
      <c r="K2505" s="462">
        <f>IF(C2505=0,0,VLOOKUP(YEAR(C2505),INPC!$B$4:$O$29,MONTH(C2505)+1))</f>
        <v>0</v>
      </c>
      <c r="L2505" s="462">
        <f>IF(S2505=0,0,VLOOKUP(YEAR(S2505),INPC!$B$4:$O$29,MONTH(S2505)+1))</f>
        <v>0</v>
      </c>
      <c r="M2505" s="463">
        <f t="shared" si="214"/>
        <v>0</v>
      </c>
      <c r="N2505" s="465">
        <f t="shared" si="222"/>
        <v>0</v>
      </c>
      <c r="O2505" s="179"/>
      <c r="P2505" s="180"/>
      <c r="Q2505" s="173"/>
      <c r="R2505" s="173"/>
      <c r="S2505" s="174"/>
      <c r="T2505" s="173"/>
      <c r="U2505" s="182"/>
      <c r="V2505" s="177">
        <f>IF(U2505=0,0,IF(T2505="MXN",1/HLOOKUP(YEAR(S2505)+(MONTH(S2505)/100),TC!$5:$37,DAY(S2505)+2,FALSE),VLOOKUP(T2505,Equivalencia!$1:$23,((MAX(Equivalencia!$3:$3)-YEAR(S2505))*14)+MONTH(S2505)+2,FALSE)))</f>
        <v>0</v>
      </c>
      <c r="W2505" s="178">
        <f t="shared" si="219"/>
        <v>0</v>
      </c>
      <c r="X2505" s="481">
        <f t="shared" si="215"/>
        <v>0</v>
      </c>
      <c r="Y2505" s="179"/>
      <c r="Z2505" s="466">
        <f t="shared" si="216"/>
        <v>0</v>
      </c>
      <c r="AA2505" s="473">
        <f t="shared" si="217"/>
        <v>0</v>
      </c>
      <c r="AB2505" s="339">
        <f t="shared" si="218"/>
        <v>0</v>
      </c>
    </row>
    <row r="2506" spans="2:28" ht="20.100000000000001" customHeight="1">
      <c r="B2506" s="172"/>
      <c r="C2506" s="174"/>
      <c r="D2506" s="181"/>
      <c r="E2506" s="173"/>
      <c r="F2506" s="176"/>
      <c r="G2506" s="175">
        <f t="shared" si="220"/>
        <v>0</v>
      </c>
      <c r="H2506" s="175">
        <f t="shared" si="213"/>
        <v>0</v>
      </c>
      <c r="I2506" s="177">
        <f>IF(G2506=0,0,IF(E2506="MXN",1/HLOOKUP(YEAR(C2506)+(MONTH(C2506)/100),TC!$5:$37,DAY(C2506)+2,FALSE),VLOOKUP(E2506,Equivalencia!$5:$23,((MAX(Equivalencia!$3:$3)-YEAR(C2506))*14)+MONTH(C2506)+2,FALSE)))</f>
        <v>0</v>
      </c>
      <c r="J2506" s="178">
        <f t="shared" si="221"/>
        <v>0</v>
      </c>
      <c r="K2506" s="462">
        <f>IF(C2506=0,0,VLOOKUP(YEAR(C2506),INPC!$B$4:$O$29,MONTH(C2506)+1))</f>
        <v>0</v>
      </c>
      <c r="L2506" s="462">
        <f>IF(S2506=0,0,VLOOKUP(YEAR(S2506),INPC!$B$4:$O$29,MONTH(S2506)+1))</f>
        <v>0</v>
      </c>
      <c r="M2506" s="463">
        <f t="shared" si="214"/>
        <v>0</v>
      </c>
      <c r="N2506" s="465">
        <f t="shared" si="222"/>
        <v>0</v>
      </c>
      <c r="O2506" s="179"/>
      <c r="P2506" s="180"/>
      <c r="Q2506" s="173"/>
      <c r="R2506" s="173"/>
      <c r="S2506" s="174"/>
      <c r="T2506" s="173"/>
      <c r="U2506" s="182"/>
      <c r="V2506" s="177">
        <f>IF(U2506=0,0,IF(T2506="MXN",1/HLOOKUP(YEAR(S2506)+(MONTH(S2506)/100),TC!$5:$37,DAY(S2506)+2,FALSE),VLOOKUP(T2506,Equivalencia!$1:$23,((MAX(Equivalencia!$3:$3)-YEAR(S2506))*14)+MONTH(S2506)+2,FALSE)))</f>
        <v>0</v>
      </c>
      <c r="W2506" s="178">
        <f t="shared" si="219"/>
        <v>0</v>
      </c>
      <c r="X2506" s="481">
        <f t="shared" si="215"/>
        <v>0</v>
      </c>
      <c r="Y2506" s="179"/>
      <c r="Z2506" s="466">
        <f t="shared" si="216"/>
        <v>0</v>
      </c>
      <c r="AA2506" s="473">
        <f t="shared" si="217"/>
        <v>0</v>
      </c>
      <c r="AB2506" s="339">
        <f t="shared" si="218"/>
        <v>0</v>
      </c>
    </row>
    <row r="2507" spans="2:28" ht="20.100000000000001" customHeight="1">
      <c r="B2507" s="172"/>
      <c r="C2507" s="174"/>
      <c r="D2507" s="181"/>
      <c r="E2507" s="173"/>
      <c r="F2507" s="176"/>
      <c r="G2507" s="175">
        <f t="shared" si="220"/>
        <v>0</v>
      </c>
      <c r="H2507" s="175">
        <f t="shared" si="213"/>
        <v>0</v>
      </c>
      <c r="I2507" s="177">
        <f>IF(G2507=0,0,IF(E2507="MXN",1/HLOOKUP(YEAR(C2507)+(MONTH(C2507)/100),TC!$5:$37,DAY(C2507)+2,FALSE),VLOOKUP(E2507,Equivalencia!$5:$23,((MAX(Equivalencia!$3:$3)-YEAR(C2507))*14)+MONTH(C2507)+2,FALSE)))</f>
        <v>0</v>
      </c>
      <c r="J2507" s="178">
        <f t="shared" si="221"/>
        <v>0</v>
      </c>
      <c r="K2507" s="462">
        <f>IF(C2507=0,0,VLOOKUP(YEAR(C2507),INPC!$B$4:$O$29,MONTH(C2507)+1))</f>
        <v>0</v>
      </c>
      <c r="L2507" s="462">
        <f>IF(S2507=0,0,VLOOKUP(YEAR(S2507),INPC!$B$4:$O$29,MONTH(S2507)+1))</f>
        <v>0</v>
      </c>
      <c r="M2507" s="463">
        <f t="shared" si="214"/>
        <v>0</v>
      </c>
      <c r="N2507" s="465">
        <f t="shared" si="222"/>
        <v>0</v>
      </c>
      <c r="O2507" s="179"/>
      <c r="P2507" s="180"/>
      <c r="Q2507" s="173"/>
      <c r="R2507" s="173"/>
      <c r="S2507" s="174"/>
      <c r="T2507" s="173"/>
      <c r="U2507" s="182"/>
      <c r="V2507" s="177">
        <f>IF(U2507=0,0,IF(T2507="MXN",1/HLOOKUP(YEAR(S2507)+(MONTH(S2507)/100),TC!$5:$37,DAY(S2507)+2,FALSE),VLOOKUP(T2507,Equivalencia!$1:$23,((MAX(Equivalencia!$3:$3)-YEAR(S2507))*14)+MONTH(S2507)+2,FALSE)))</f>
        <v>0</v>
      </c>
      <c r="W2507" s="178">
        <f t="shared" si="219"/>
        <v>0</v>
      </c>
      <c r="X2507" s="481">
        <f t="shared" si="215"/>
        <v>0</v>
      </c>
      <c r="Y2507" s="179"/>
      <c r="Z2507" s="466">
        <f t="shared" si="216"/>
        <v>0</v>
      </c>
      <c r="AA2507" s="473">
        <f t="shared" si="217"/>
        <v>0</v>
      </c>
      <c r="AB2507" s="339">
        <f t="shared" si="218"/>
        <v>0</v>
      </c>
    </row>
    <row r="2508" spans="2:28" ht="20.100000000000001" customHeight="1">
      <c r="B2508" s="172"/>
      <c r="C2508" s="174"/>
      <c r="D2508" s="181"/>
      <c r="E2508" s="173"/>
      <c r="F2508" s="176"/>
      <c r="G2508" s="175">
        <f t="shared" si="220"/>
        <v>0</v>
      </c>
      <c r="H2508" s="175">
        <f t="shared" si="213"/>
        <v>0</v>
      </c>
      <c r="I2508" s="177">
        <f>IF(G2508=0,0,IF(E2508="MXN",1/HLOOKUP(YEAR(C2508)+(MONTH(C2508)/100),TC!$5:$37,DAY(C2508)+2,FALSE),VLOOKUP(E2508,Equivalencia!$5:$23,((MAX(Equivalencia!$3:$3)-YEAR(C2508))*14)+MONTH(C2508)+2,FALSE)))</f>
        <v>0</v>
      </c>
      <c r="J2508" s="178">
        <f t="shared" si="221"/>
        <v>0</v>
      </c>
      <c r="K2508" s="462">
        <f>IF(C2508=0,0,VLOOKUP(YEAR(C2508),INPC!$B$4:$O$29,MONTH(C2508)+1))</f>
        <v>0</v>
      </c>
      <c r="L2508" s="462">
        <f>IF(S2508=0,0,VLOOKUP(YEAR(S2508),INPC!$B$4:$O$29,MONTH(S2508)+1))</f>
        <v>0</v>
      </c>
      <c r="M2508" s="463">
        <f t="shared" si="214"/>
        <v>0</v>
      </c>
      <c r="N2508" s="465">
        <f t="shared" si="222"/>
        <v>0</v>
      </c>
      <c r="O2508" s="179"/>
      <c r="P2508" s="180"/>
      <c r="Q2508" s="173"/>
      <c r="R2508" s="173"/>
      <c r="S2508" s="174"/>
      <c r="T2508" s="173"/>
      <c r="U2508" s="182"/>
      <c r="V2508" s="177">
        <f>IF(U2508=0,0,IF(T2508="MXN",1/HLOOKUP(YEAR(S2508)+(MONTH(S2508)/100),TC!$5:$37,DAY(S2508)+2,FALSE),VLOOKUP(T2508,Equivalencia!$1:$23,((MAX(Equivalencia!$3:$3)-YEAR(S2508))*14)+MONTH(S2508)+2,FALSE)))</f>
        <v>0</v>
      </c>
      <c r="W2508" s="178">
        <f t="shared" si="219"/>
        <v>0</v>
      </c>
      <c r="X2508" s="481">
        <f t="shared" si="215"/>
        <v>0</v>
      </c>
      <c r="Y2508" s="179"/>
      <c r="Z2508" s="466">
        <f t="shared" si="216"/>
        <v>0</v>
      </c>
      <c r="AA2508" s="473">
        <f t="shared" si="217"/>
        <v>0</v>
      </c>
      <c r="AB2508" s="339">
        <f t="shared" si="218"/>
        <v>0</v>
      </c>
    </row>
    <row r="2509" spans="2:28" ht="20.100000000000001" customHeight="1">
      <c r="B2509" s="172"/>
      <c r="C2509" s="174"/>
      <c r="D2509" s="181"/>
      <c r="E2509" s="173"/>
      <c r="F2509" s="176"/>
      <c r="G2509" s="175">
        <f t="shared" si="220"/>
        <v>0</v>
      </c>
      <c r="H2509" s="175">
        <f t="shared" si="213"/>
        <v>0</v>
      </c>
      <c r="I2509" s="177">
        <f>IF(G2509=0,0,IF(E2509="MXN",1/HLOOKUP(YEAR(C2509)+(MONTH(C2509)/100),TC!$5:$37,DAY(C2509)+2,FALSE),VLOOKUP(E2509,Equivalencia!$5:$23,((MAX(Equivalencia!$3:$3)-YEAR(C2509))*14)+MONTH(C2509)+2,FALSE)))</f>
        <v>0</v>
      </c>
      <c r="J2509" s="178">
        <f t="shared" si="221"/>
        <v>0</v>
      </c>
      <c r="K2509" s="462">
        <f>IF(C2509=0,0,VLOOKUP(YEAR(C2509),INPC!$B$4:$O$29,MONTH(C2509)+1))</f>
        <v>0</v>
      </c>
      <c r="L2509" s="462">
        <f>IF(S2509=0,0,VLOOKUP(YEAR(S2509),INPC!$B$4:$O$29,MONTH(S2509)+1))</f>
        <v>0</v>
      </c>
      <c r="M2509" s="463">
        <f t="shared" si="214"/>
        <v>0</v>
      </c>
      <c r="N2509" s="465">
        <f t="shared" si="222"/>
        <v>0</v>
      </c>
      <c r="O2509" s="179"/>
      <c r="P2509" s="180"/>
      <c r="Q2509" s="173"/>
      <c r="R2509" s="173"/>
      <c r="S2509" s="174"/>
      <c r="T2509" s="173"/>
      <c r="U2509" s="182"/>
      <c r="V2509" s="177">
        <f>IF(U2509=0,0,IF(T2509="MXN",1/HLOOKUP(YEAR(S2509)+(MONTH(S2509)/100),TC!$5:$37,DAY(S2509)+2,FALSE),VLOOKUP(T2509,Equivalencia!$1:$23,((MAX(Equivalencia!$3:$3)-YEAR(S2509))*14)+MONTH(S2509)+2,FALSE)))</f>
        <v>0</v>
      </c>
      <c r="W2509" s="178">
        <f t="shared" si="219"/>
        <v>0</v>
      </c>
      <c r="X2509" s="481">
        <f t="shared" si="215"/>
        <v>0</v>
      </c>
      <c r="Y2509" s="179"/>
      <c r="Z2509" s="466">
        <f t="shared" si="216"/>
        <v>0</v>
      </c>
      <c r="AA2509" s="473">
        <f t="shared" si="217"/>
        <v>0</v>
      </c>
      <c r="AB2509" s="339">
        <f t="shared" si="218"/>
        <v>0</v>
      </c>
    </row>
    <row r="2510" spans="2:28" ht="20.100000000000001" customHeight="1">
      <c r="B2510" s="172"/>
      <c r="C2510" s="174"/>
      <c r="D2510" s="181"/>
      <c r="E2510" s="173"/>
      <c r="F2510" s="176"/>
      <c r="G2510" s="175">
        <f t="shared" si="220"/>
        <v>0</v>
      </c>
      <c r="H2510" s="175">
        <f t="shared" si="213"/>
        <v>0</v>
      </c>
      <c r="I2510" s="177">
        <f>IF(G2510=0,0,IF(E2510="MXN",1/HLOOKUP(YEAR(C2510)+(MONTH(C2510)/100),TC!$5:$37,DAY(C2510)+2,FALSE),VLOOKUP(E2510,Equivalencia!$5:$23,((MAX(Equivalencia!$3:$3)-YEAR(C2510))*14)+MONTH(C2510)+2,FALSE)))</f>
        <v>0</v>
      </c>
      <c r="J2510" s="178">
        <f t="shared" si="221"/>
        <v>0</v>
      </c>
      <c r="K2510" s="462">
        <f>IF(C2510=0,0,VLOOKUP(YEAR(C2510),INPC!$B$4:$O$29,MONTH(C2510)+1))</f>
        <v>0</v>
      </c>
      <c r="L2510" s="462">
        <f>IF(S2510=0,0,VLOOKUP(YEAR(S2510),INPC!$B$4:$O$29,MONTH(S2510)+1))</f>
        <v>0</v>
      </c>
      <c r="M2510" s="463">
        <f t="shared" si="214"/>
        <v>0</v>
      </c>
      <c r="N2510" s="465">
        <f t="shared" si="222"/>
        <v>0</v>
      </c>
      <c r="O2510" s="179"/>
      <c r="P2510" s="180"/>
      <c r="Q2510" s="173"/>
      <c r="R2510" s="173"/>
      <c r="S2510" s="174"/>
      <c r="T2510" s="173"/>
      <c r="U2510" s="182"/>
      <c r="V2510" s="177">
        <f>IF(U2510=0,0,IF(T2510="MXN",1/HLOOKUP(YEAR(S2510)+(MONTH(S2510)/100),TC!$5:$37,DAY(S2510)+2,FALSE),VLOOKUP(T2510,Equivalencia!$1:$23,((MAX(Equivalencia!$3:$3)-YEAR(S2510))*14)+MONTH(S2510)+2,FALSE)))</f>
        <v>0</v>
      </c>
      <c r="W2510" s="178">
        <f t="shared" si="219"/>
        <v>0</v>
      </c>
      <c r="X2510" s="481">
        <f t="shared" si="215"/>
        <v>0</v>
      </c>
      <c r="Y2510" s="179"/>
      <c r="Z2510" s="466">
        <f t="shared" si="216"/>
        <v>0</v>
      </c>
      <c r="AA2510" s="473">
        <f t="shared" si="217"/>
        <v>0</v>
      </c>
      <c r="AB2510" s="339">
        <f t="shared" si="218"/>
        <v>0</v>
      </c>
    </row>
    <row r="2511" spans="2:28" ht="20.100000000000001" customHeight="1">
      <c r="B2511" s="172"/>
      <c r="C2511" s="174"/>
      <c r="D2511" s="181"/>
      <c r="E2511" s="173"/>
      <c r="F2511" s="176"/>
      <c r="G2511" s="175">
        <f t="shared" si="220"/>
        <v>0</v>
      </c>
      <c r="H2511" s="175">
        <f t="shared" si="213"/>
        <v>0</v>
      </c>
      <c r="I2511" s="177">
        <f>IF(G2511=0,0,IF(E2511="MXN",1/HLOOKUP(YEAR(C2511)+(MONTH(C2511)/100),TC!$5:$37,DAY(C2511)+2,FALSE),VLOOKUP(E2511,Equivalencia!$5:$23,((MAX(Equivalencia!$3:$3)-YEAR(C2511))*14)+MONTH(C2511)+2,FALSE)))</f>
        <v>0</v>
      </c>
      <c r="J2511" s="178">
        <f t="shared" si="221"/>
        <v>0</v>
      </c>
      <c r="K2511" s="462">
        <f>IF(C2511=0,0,VLOOKUP(YEAR(C2511),INPC!$B$4:$O$29,MONTH(C2511)+1))</f>
        <v>0</v>
      </c>
      <c r="L2511" s="462">
        <f>IF(S2511=0,0,VLOOKUP(YEAR(S2511),INPC!$B$4:$O$29,MONTH(S2511)+1))</f>
        <v>0</v>
      </c>
      <c r="M2511" s="463">
        <f t="shared" si="214"/>
        <v>0</v>
      </c>
      <c r="N2511" s="465">
        <f t="shared" si="222"/>
        <v>0</v>
      </c>
      <c r="O2511" s="179"/>
      <c r="P2511" s="180"/>
      <c r="Q2511" s="173"/>
      <c r="R2511" s="173"/>
      <c r="S2511" s="174"/>
      <c r="T2511" s="173"/>
      <c r="U2511" s="182"/>
      <c r="V2511" s="177">
        <f>IF(U2511=0,0,IF(T2511="MXN",1/HLOOKUP(YEAR(S2511)+(MONTH(S2511)/100),TC!$5:$37,DAY(S2511)+2,FALSE),VLOOKUP(T2511,Equivalencia!$1:$23,((MAX(Equivalencia!$3:$3)-YEAR(S2511))*14)+MONTH(S2511)+2,FALSE)))</f>
        <v>0</v>
      </c>
      <c r="W2511" s="178">
        <f t="shared" si="219"/>
        <v>0</v>
      </c>
      <c r="X2511" s="481">
        <f t="shared" si="215"/>
        <v>0</v>
      </c>
      <c r="Y2511" s="179"/>
      <c r="Z2511" s="466">
        <f t="shared" si="216"/>
        <v>0</v>
      </c>
      <c r="AA2511" s="473">
        <f t="shared" si="217"/>
        <v>0</v>
      </c>
      <c r="AB2511" s="339">
        <f t="shared" si="218"/>
        <v>0</v>
      </c>
    </row>
    <row r="2512" spans="2:28" ht="20.100000000000001" customHeight="1">
      <c r="B2512" s="172"/>
      <c r="C2512" s="174"/>
      <c r="D2512" s="181"/>
      <c r="E2512" s="173"/>
      <c r="F2512" s="176"/>
      <c r="G2512" s="175">
        <f t="shared" si="220"/>
        <v>0</v>
      </c>
      <c r="H2512" s="175">
        <f t="shared" si="213"/>
        <v>0</v>
      </c>
      <c r="I2512" s="177">
        <f>IF(G2512=0,0,IF(E2512="MXN",1/HLOOKUP(YEAR(C2512)+(MONTH(C2512)/100),TC!$5:$37,DAY(C2512)+2,FALSE),VLOOKUP(E2512,Equivalencia!$5:$23,((MAX(Equivalencia!$3:$3)-YEAR(C2512))*14)+MONTH(C2512)+2,FALSE)))</f>
        <v>0</v>
      </c>
      <c r="J2512" s="178">
        <f t="shared" si="221"/>
        <v>0</v>
      </c>
      <c r="K2512" s="462">
        <f>IF(C2512=0,0,VLOOKUP(YEAR(C2512),INPC!$B$4:$O$29,MONTH(C2512)+1))</f>
        <v>0</v>
      </c>
      <c r="L2512" s="462">
        <f>IF(S2512=0,0,VLOOKUP(YEAR(S2512),INPC!$B$4:$O$29,MONTH(S2512)+1))</f>
        <v>0</v>
      </c>
      <c r="M2512" s="463">
        <f t="shared" si="214"/>
        <v>0</v>
      </c>
      <c r="N2512" s="465">
        <f t="shared" si="222"/>
        <v>0</v>
      </c>
      <c r="O2512" s="179"/>
      <c r="P2512" s="180"/>
      <c r="Q2512" s="173"/>
      <c r="R2512" s="173"/>
      <c r="S2512" s="174"/>
      <c r="T2512" s="173"/>
      <c r="U2512" s="182"/>
      <c r="V2512" s="177">
        <f>IF(U2512=0,0,IF(T2512="MXN",1/HLOOKUP(YEAR(S2512)+(MONTH(S2512)/100),TC!$5:$37,DAY(S2512)+2,FALSE),VLOOKUP(T2512,Equivalencia!$1:$23,((MAX(Equivalencia!$3:$3)-YEAR(S2512))*14)+MONTH(S2512)+2,FALSE)))</f>
        <v>0</v>
      </c>
      <c r="W2512" s="178">
        <f t="shared" si="219"/>
        <v>0</v>
      </c>
      <c r="X2512" s="481">
        <f t="shared" si="215"/>
        <v>0</v>
      </c>
      <c r="Y2512" s="179"/>
      <c r="Z2512" s="466">
        <f t="shared" si="216"/>
        <v>0</v>
      </c>
      <c r="AA2512" s="473">
        <f t="shared" si="217"/>
        <v>0</v>
      </c>
      <c r="AB2512" s="339">
        <f t="shared" si="218"/>
        <v>0</v>
      </c>
    </row>
    <row r="2513" spans="2:28" ht="20.100000000000001" customHeight="1">
      <c r="B2513" s="172"/>
      <c r="C2513" s="174"/>
      <c r="D2513" s="181"/>
      <c r="E2513" s="173"/>
      <c r="F2513" s="176"/>
      <c r="G2513" s="175">
        <f t="shared" si="220"/>
        <v>0</v>
      </c>
      <c r="H2513" s="175">
        <f t="shared" si="213"/>
        <v>0</v>
      </c>
      <c r="I2513" s="177">
        <f>IF(G2513=0,0,IF(E2513="MXN",1/HLOOKUP(YEAR(C2513)+(MONTH(C2513)/100),TC!$5:$37,DAY(C2513)+2,FALSE),VLOOKUP(E2513,Equivalencia!$5:$23,((MAX(Equivalencia!$3:$3)-YEAR(C2513))*14)+MONTH(C2513)+2,FALSE)))</f>
        <v>0</v>
      </c>
      <c r="J2513" s="178">
        <f t="shared" si="221"/>
        <v>0</v>
      </c>
      <c r="K2513" s="462">
        <f>IF(C2513=0,0,VLOOKUP(YEAR(C2513),INPC!$B$4:$O$29,MONTH(C2513)+1))</f>
        <v>0</v>
      </c>
      <c r="L2513" s="462">
        <f>IF(S2513=0,0,VLOOKUP(YEAR(S2513),INPC!$B$4:$O$29,MONTH(S2513)+1))</f>
        <v>0</v>
      </c>
      <c r="M2513" s="463">
        <f t="shared" si="214"/>
        <v>0</v>
      </c>
      <c r="N2513" s="465">
        <f t="shared" si="222"/>
        <v>0</v>
      </c>
      <c r="O2513" s="179"/>
      <c r="P2513" s="180"/>
      <c r="Q2513" s="173"/>
      <c r="R2513" s="173"/>
      <c r="S2513" s="174"/>
      <c r="T2513" s="173"/>
      <c r="U2513" s="182"/>
      <c r="V2513" s="177">
        <f>IF(U2513=0,0,IF(T2513="MXN",1/HLOOKUP(YEAR(S2513)+(MONTH(S2513)/100),TC!$5:$37,DAY(S2513)+2,FALSE),VLOOKUP(T2513,Equivalencia!$1:$23,((MAX(Equivalencia!$3:$3)-YEAR(S2513))*14)+MONTH(S2513)+2,FALSE)))</f>
        <v>0</v>
      </c>
      <c r="W2513" s="178">
        <f t="shared" si="219"/>
        <v>0</v>
      </c>
      <c r="X2513" s="481">
        <f t="shared" si="215"/>
        <v>0</v>
      </c>
      <c r="Y2513" s="179"/>
      <c r="Z2513" s="466">
        <f t="shared" si="216"/>
        <v>0</v>
      </c>
      <c r="AA2513" s="473">
        <f t="shared" si="217"/>
        <v>0</v>
      </c>
      <c r="AB2513" s="339">
        <f t="shared" si="218"/>
        <v>0</v>
      </c>
    </row>
    <row r="2514" spans="2:28" ht="20.100000000000001" customHeight="1">
      <c r="B2514" s="172"/>
      <c r="C2514" s="174"/>
      <c r="D2514" s="181"/>
      <c r="E2514" s="173"/>
      <c r="F2514" s="176"/>
      <c r="G2514" s="175">
        <f t="shared" si="220"/>
        <v>0</v>
      </c>
      <c r="H2514" s="175">
        <f t="shared" si="213"/>
        <v>0</v>
      </c>
      <c r="I2514" s="177">
        <f>IF(G2514=0,0,IF(E2514="MXN",1/HLOOKUP(YEAR(C2514)+(MONTH(C2514)/100),TC!$5:$37,DAY(C2514)+2,FALSE),VLOOKUP(E2514,Equivalencia!$5:$23,((MAX(Equivalencia!$3:$3)-YEAR(C2514))*14)+MONTH(C2514)+2,FALSE)))</f>
        <v>0</v>
      </c>
      <c r="J2514" s="178">
        <f t="shared" si="221"/>
        <v>0</v>
      </c>
      <c r="K2514" s="462">
        <f>IF(C2514=0,0,VLOOKUP(YEAR(C2514),INPC!$B$4:$O$29,MONTH(C2514)+1))</f>
        <v>0</v>
      </c>
      <c r="L2514" s="462">
        <f>IF(S2514=0,0,VLOOKUP(YEAR(S2514),INPC!$B$4:$O$29,MONTH(S2514)+1))</f>
        <v>0</v>
      </c>
      <c r="M2514" s="463">
        <f t="shared" si="214"/>
        <v>0</v>
      </c>
      <c r="N2514" s="465">
        <f t="shared" si="222"/>
        <v>0</v>
      </c>
      <c r="O2514" s="179"/>
      <c r="P2514" s="180"/>
      <c r="Q2514" s="173"/>
      <c r="R2514" s="173"/>
      <c r="S2514" s="174"/>
      <c r="T2514" s="173"/>
      <c r="U2514" s="182"/>
      <c r="V2514" s="177">
        <f>IF(U2514=0,0,IF(T2514="MXN",1/HLOOKUP(YEAR(S2514)+(MONTH(S2514)/100),TC!$5:$37,DAY(S2514)+2,FALSE),VLOOKUP(T2514,Equivalencia!$1:$23,((MAX(Equivalencia!$3:$3)-YEAR(S2514))*14)+MONTH(S2514)+2,FALSE)))</f>
        <v>0</v>
      </c>
      <c r="W2514" s="178">
        <f t="shared" si="219"/>
        <v>0</v>
      </c>
      <c r="X2514" s="481">
        <f t="shared" si="215"/>
        <v>0</v>
      </c>
      <c r="Y2514" s="179"/>
      <c r="Z2514" s="466">
        <f t="shared" si="216"/>
        <v>0</v>
      </c>
      <c r="AA2514" s="473">
        <f t="shared" si="217"/>
        <v>0</v>
      </c>
      <c r="AB2514" s="339">
        <f t="shared" si="218"/>
        <v>0</v>
      </c>
    </row>
    <row r="2515" spans="2:28" ht="20.100000000000001" customHeight="1">
      <c r="B2515" s="172"/>
      <c r="C2515" s="174"/>
      <c r="D2515" s="181"/>
      <c r="E2515" s="173"/>
      <c r="F2515" s="176"/>
      <c r="G2515" s="175">
        <f t="shared" si="220"/>
        <v>0</v>
      </c>
      <c r="H2515" s="175">
        <f t="shared" si="213"/>
        <v>0</v>
      </c>
      <c r="I2515" s="177">
        <f>IF(G2515=0,0,IF(E2515="MXN",1/HLOOKUP(YEAR(C2515)+(MONTH(C2515)/100),TC!$5:$37,DAY(C2515)+2,FALSE),VLOOKUP(E2515,Equivalencia!$5:$23,((MAX(Equivalencia!$3:$3)-YEAR(C2515))*14)+MONTH(C2515)+2,FALSE)))</f>
        <v>0</v>
      </c>
      <c r="J2515" s="178">
        <f t="shared" si="221"/>
        <v>0</v>
      </c>
      <c r="K2515" s="462">
        <f>IF(C2515=0,0,VLOOKUP(YEAR(C2515),INPC!$B$4:$O$29,MONTH(C2515)+1))</f>
        <v>0</v>
      </c>
      <c r="L2515" s="462">
        <f>IF(S2515=0,0,VLOOKUP(YEAR(S2515),INPC!$B$4:$O$29,MONTH(S2515)+1))</f>
        <v>0</v>
      </c>
      <c r="M2515" s="463">
        <f t="shared" si="214"/>
        <v>0</v>
      </c>
      <c r="N2515" s="465">
        <f t="shared" si="222"/>
        <v>0</v>
      </c>
      <c r="O2515" s="179"/>
      <c r="P2515" s="180"/>
      <c r="Q2515" s="173"/>
      <c r="R2515" s="173"/>
      <c r="S2515" s="174"/>
      <c r="T2515" s="173"/>
      <c r="U2515" s="182"/>
      <c r="V2515" s="177">
        <f>IF(U2515=0,0,IF(T2515="MXN",1/HLOOKUP(YEAR(S2515)+(MONTH(S2515)/100),TC!$5:$37,DAY(S2515)+2,FALSE),VLOOKUP(T2515,Equivalencia!$1:$23,((MAX(Equivalencia!$3:$3)-YEAR(S2515))*14)+MONTH(S2515)+2,FALSE)))</f>
        <v>0</v>
      </c>
      <c r="W2515" s="178">
        <f t="shared" si="219"/>
        <v>0</v>
      </c>
      <c r="X2515" s="481">
        <f t="shared" si="215"/>
        <v>0</v>
      </c>
      <c r="Y2515" s="179"/>
      <c r="Z2515" s="466">
        <f t="shared" si="216"/>
        <v>0</v>
      </c>
      <c r="AA2515" s="473">
        <f t="shared" si="217"/>
        <v>0</v>
      </c>
      <c r="AB2515" s="339">
        <f t="shared" si="218"/>
        <v>0</v>
      </c>
    </row>
    <row r="2516" spans="2:28" ht="20.100000000000001" customHeight="1">
      <c r="B2516" s="172"/>
      <c r="C2516" s="174"/>
      <c r="D2516" s="181"/>
      <c r="E2516" s="173"/>
      <c r="F2516" s="176"/>
      <c r="G2516" s="175">
        <f t="shared" si="220"/>
        <v>0</v>
      </c>
      <c r="H2516" s="175">
        <f t="shared" si="213"/>
        <v>0</v>
      </c>
      <c r="I2516" s="177">
        <f>IF(G2516=0,0,IF(E2516="MXN",1/HLOOKUP(YEAR(C2516)+(MONTH(C2516)/100),TC!$5:$37,DAY(C2516)+2,FALSE),VLOOKUP(E2516,Equivalencia!$5:$23,((MAX(Equivalencia!$3:$3)-YEAR(C2516))*14)+MONTH(C2516)+2,FALSE)))</f>
        <v>0</v>
      </c>
      <c r="J2516" s="178">
        <f t="shared" si="221"/>
        <v>0</v>
      </c>
      <c r="K2516" s="462">
        <f>IF(C2516=0,0,VLOOKUP(YEAR(C2516),INPC!$B$4:$O$29,MONTH(C2516)+1))</f>
        <v>0</v>
      </c>
      <c r="L2516" s="462">
        <f>IF(S2516=0,0,VLOOKUP(YEAR(S2516),INPC!$B$4:$O$29,MONTH(S2516)+1))</f>
        <v>0</v>
      </c>
      <c r="M2516" s="463">
        <f t="shared" si="214"/>
        <v>0</v>
      </c>
      <c r="N2516" s="465">
        <f t="shared" si="222"/>
        <v>0</v>
      </c>
      <c r="O2516" s="179"/>
      <c r="P2516" s="180"/>
      <c r="Q2516" s="173"/>
      <c r="R2516" s="173"/>
      <c r="S2516" s="174"/>
      <c r="T2516" s="173"/>
      <c r="U2516" s="182"/>
      <c r="V2516" s="177">
        <f>IF(U2516=0,0,IF(T2516="MXN",1/HLOOKUP(YEAR(S2516)+(MONTH(S2516)/100),TC!$5:$37,DAY(S2516)+2,FALSE),VLOOKUP(T2516,Equivalencia!$1:$23,((MAX(Equivalencia!$3:$3)-YEAR(S2516))*14)+MONTH(S2516)+2,FALSE)))</f>
        <v>0</v>
      </c>
      <c r="W2516" s="178">
        <f t="shared" si="219"/>
        <v>0</v>
      </c>
      <c r="X2516" s="481">
        <f t="shared" si="215"/>
        <v>0</v>
      </c>
      <c r="Y2516" s="179"/>
      <c r="Z2516" s="466">
        <f t="shared" si="216"/>
        <v>0</v>
      </c>
      <c r="AA2516" s="473">
        <f t="shared" si="217"/>
        <v>0</v>
      </c>
      <c r="AB2516" s="339">
        <f t="shared" si="218"/>
        <v>0</v>
      </c>
    </row>
    <row r="2517" spans="2:28" ht="20.100000000000001" customHeight="1">
      <c r="B2517" s="172"/>
      <c r="C2517" s="174"/>
      <c r="D2517" s="181"/>
      <c r="E2517" s="173"/>
      <c r="F2517" s="176"/>
      <c r="G2517" s="175">
        <f t="shared" si="220"/>
        <v>0</v>
      </c>
      <c r="H2517" s="175">
        <f t="shared" si="213"/>
        <v>0</v>
      </c>
      <c r="I2517" s="177">
        <f>IF(G2517=0,0,IF(E2517="MXN",1/HLOOKUP(YEAR(C2517)+(MONTH(C2517)/100),TC!$5:$37,DAY(C2517)+2,FALSE),VLOOKUP(E2517,Equivalencia!$5:$23,((MAX(Equivalencia!$3:$3)-YEAR(C2517))*14)+MONTH(C2517)+2,FALSE)))</f>
        <v>0</v>
      </c>
      <c r="J2517" s="178">
        <f t="shared" si="221"/>
        <v>0</v>
      </c>
      <c r="K2517" s="462">
        <f>IF(C2517=0,0,VLOOKUP(YEAR(C2517),INPC!$B$4:$O$29,MONTH(C2517)+1))</f>
        <v>0</v>
      </c>
      <c r="L2517" s="462">
        <f>IF(S2517=0,0,VLOOKUP(YEAR(S2517),INPC!$B$4:$O$29,MONTH(S2517)+1))</f>
        <v>0</v>
      </c>
      <c r="M2517" s="463">
        <f t="shared" si="214"/>
        <v>0</v>
      </c>
      <c r="N2517" s="465">
        <f t="shared" si="222"/>
        <v>0</v>
      </c>
      <c r="O2517" s="179"/>
      <c r="P2517" s="180"/>
      <c r="Q2517" s="173"/>
      <c r="R2517" s="173"/>
      <c r="S2517" s="174"/>
      <c r="T2517" s="173"/>
      <c r="U2517" s="182"/>
      <c r="V2517" s="177">
        <f>IF(U2517=0,0,IF(T2517="MXN",1/HLOOKUP(YEAR(S2517)+(MONTH(S2517)/100),TC!$5:$37,DAY(S2517)+2,FALSE),VLOOKUP(T2517,Equivalencia!$1:$23,((MAX(Equivalencia!$3:$3)-YEAR(S2517))*14)+MONTH(S2517)+2,FALSE)))</f>
        <v>0</v>
      </c>
      <c r="W2517" s="178">
        <f t="shared" si="219"/>
        <v>0</v>
      </c>
      <c r="X2517" s="481">
        <f t="shared" si="215"/>
        <v>0</v>
      </c>
      <c r="Y2517" s="179"/>
      <c r="Z2517" s="466">
        <f t="shared" si="216"/>
        <v>0</v>
      </c>
      <c r="AA2517" s="473">
        <f t="shared" si="217"/>
        <v>0</v>
      </c>
      <c r="AB2517" s="339">
        <f t="shared" si="218"/>
        <v>0</v>
      </c>
    </row>
    <row r="2518" spans="2:28" ht="20.100000000000001" customHeight="1">
      <c r="B2518" s="172"/>
      <c r="C2518" s="174"/>
      <c r="D2518" s="181"/>
      <c r="E2518" s="173"/>
      <c r="F2518" s="176"/>
      <c r="G2518" s="175">
        <f t="shared" si="220"/>
        <v>0</v>
      </c>
      <c r="H2518" s="175">
        <f t="shared" si="213"/>
        <v>0</v>
      </c>
      <c r="I2518" s="177">
        <f>IF(G2518=0,0,IF(E2518="MXN",1/HLOOKUP(YEAR(C2518)+(MONTH(C2518)/100),TC!$5:$37,DAY(C2518)+2,FALSE),VLOOKUP(E2518,Equivalencia!$5:$23,((MAX(Equivalencia!$3:$3)-YEAR(C2518))*14)+MONTH(C2518)+2,FALSE)))</f>
        <v>0</v>
      </c>
      <c r="J2518" s="178">
        <f t="shared" si="221"/>
        <v>0</v>
      </c>
      <c r="K2518" s="462">
        <f>IF(C2518=0,0,VLOOKUP(YEAR(C2518),INPC!$B$4:$O$29,MONTH(C2518)+1))</f>
        <v>0</v>
      </c>
      <c r="L2518" s="462">
        <f>IF(S2518=0,0,VLOOKUP(YEAR(S2518),INPC!$B$4:$O$29,MONTH(S2518)+1))</f>
        <v>0</v>
      </c>
      <c r="M2518" s="463">
        <f t="shared" si="214"/>
        <v>0</v>
      </c>
      <c r="N2518" s="465">
        <f t="shared" si="222"/>
        <v>0</v>
      </c>
      <c r="O2518" s="179"/>
      <c r="P2518" s="180"/>
      <c r="Q2518" s="173"/>
      <c r="R2518" s="173"/>
      <c r="S2518" s="174"/>
      <c r="T2518" s="173"/>
      <c r="U2518" s="182"/>
      <c r="V2518" s="177">
        <f>IF(U2518=0,0,IF(T2518="MXN",1/HLOOKUP(YEAR(S2518)+(MONTH(S2518)/100),TC!$5:$37,DAY(S2518)+2,FALSE),VLOOKUP(T2518,Equivalencia!$1:$23,((MAX(Equivalencia!$3:$3)-YEAR(S2518))*14)+MONTH(S2518)+2,FALSE)))</f>
        <v>0</v>
      </c>
      <c r="W2518" s="178">
        <f t="shared" si="219"/>
        <v>0</v>
      </c>
      <c r="X2518" s="481">
        <f t="shared" si="215"/>
        <v>0</v>
      </c>
      <c r="Y2518" s="179"/>
      <c r="Z2518" s="466">
        <f t="shared" si="216"/>
        <v>0</v>
      </c>
      <c r="AA2518" s="473">
        <f t="shared" si="217"/>
        <v>0</v>
      </c>
      <c r="AB2518" s="339">
        <f t="shared" si="218"/>
        <v>0</v>
      </c>
    </row>
    <row r="2519" spans="2:28" ht="20.100000000000001" customHeight="1">
      <c r="B2519" s="172"/>
      <c r="C2519" s="174"/>
      <c r="D2519" s="181"/>
      <c r="E2519" s="173"/>
      <c r="F2519" s="176"/>
      <c r="G2519" s="175">
        <f t="shared" si="220"/>
        <v>0</v>
      </c>
      <c r="H2519" s="175">
        <f t="shared" si="213"/>
        <v>0</v>
      </c>
      <c r="I2519" s="177">
        <f>IF(G2519=0,0,IF(E2519="MXN",1/HLOOKUP(YEAR(C2519)+(MONTH(C2519)/100),TC!$5:$37,DAY(C2519)+2,FALSE),VLOOKUP(E2519,Equivalencia!$5:$23,((MAX(Equivalencia!$3:$3)-YEAR(C2519))*14)+MONTH(C2519)+2,FALSE)))</f>
        <v>0</v>
      </c>
      <c r="J2519" s="178">
        <f t="shared" si="221"/>
        <v>0</v>
      </c>
      <c r="K2519" s="462">
        <f>IF(C2519=0,0,VLOOKUP(YEAR(C2519),INPC!$B$4:$O$29,MONTH(C2519)+1))</f>
        <v>0</v>
      </c>
      <c r="L2519" s="462">
        <f>IF(S2519=0,0,VLOOKUP(YEAR(S2519),INPC!$B$4:$O$29,MONTH(S2519)+1))</f>
        <v>0</v>
      </c>
      <c r="M2519" s="463">
        <f t="shared" si="214"/>
        <v>0</v>
      </c>
      <c r="N2519" s="465">
        <f t="shared" si="222"/>
        <v>0</v>
      </c>
      <c r="O2519" s="179"/>
      <c r="P2519" s="180"/>
      <c r="Q2519" s="173"/>
      <c r="R2519" s="173"/>
      <c r="S2519" s="174"/>
      <c r="T2519" s="173"/>
      <c r="U2519" s="182"/>
      <c r="V2519" s="177">
        <f>IF(U2519=0,0,IF(T2519="MXN",1/HLOOKUP(YEAR(S2519)+(MONTH(S2519)/100),TC!$5:$37,DAY(S2519)+2,FALSE),VLOOKUP(T2519,Equivalencia!$1:$23,((MAX(Equivalencia!$3:$3)-YEAR(S2519))*14)+MONTH(S2519)+2,FALSE)))</f>
        <v>0</v>
      </c>
      <c r="W2519" s="178">
        <f t="shared" si="219"/>
        <v>0</v>
      </c>
      <c r="X2519" s="481">
        <f t="shared" si="215"/>
        <v>0</v>
      </c>
      <c r="Y2519" s="179"/>
      <c r="Z2519" s="466">
        <f t="shared" si="216"/>
        <v>0</v>
      </c>
      <c r="AA2519" s="473">
        <f t="shared" si="217"/>
        <v>0</v>
      </c>
      <c r="AB2519" s="339">
        <f t="shared" si="218"/>
        <v>0</v>
      </c>
    </row>
    <row r="2520" spans="2:28" ht="20.100000000000001" customHeight="1">
      <c r="B2520" s="172"/>
      <c r="C2520" s="174"/>
      <c r="D2520" s="181"/>
      <c r="E2520" s="173"/>
      <c r="F2520" s="176"/>
      <c r="G2520" s="175">
        <f t="shared" si="220"/>
        <v>0</v>
      </c>
      <c r="H2520" s="175">
        <f t="shared" si="213"/>
        <v>0</v>
      </c>
      <c r="I2520" s="177">
        <f>IF(G2520=0,0,IF(E2520="MXN",1/HLOOKUP(YEAR(C2520)+(MONTH(C2520)/100),TC!$5:$37,DAY(C2520)+2,FALSE),VLOOKUP(E2520,Equivalencia!$5:$23,((MAX(Equivalencia!$3:$3)-YEAR(C2520))*14)+MONTH(C2520)+2,FALSE)))</f>
        <v>0</v>
      </c>
      <c r="J2520" s="178">
        <f t="shared" si="221"/>
        <v>0</v>
      </c>
      <c r="K2520" s="462">
        <f>IF(C2520=0,0,VLOOKUP(YEAR(C2520),INPC!$B$4:$O$29,MONTH(C2520)+1))</f>
        <v>0</v>
      </c>
      <c r="L2520" s="462">
        <f>IF(S2520=0,0,VLOOKUP(YEAR(S2520),INPC!$B$4:$O$29,MONTH(S2520)+1))</f>
        <v>0</v>
      </c>
      <c r="M2520" s="463">
        <f t="shared" si="214"/>
        <v>0</v>
      </c>
      <c r="N2520" s="465">
        <f t="shared" si="222"/>
        <v>0</v>
      </c>
      <c r="O2520" s="179"/>
      <c r="P2520" s="180"/>
      <c r="Q2520" s="173"/>
      <c r="R2520" s="173"/>
      <c r="S2520" s="174"/>
      <c r="T2520" s="173"/>
      <c r="U2520" s="182"/>
      <c r="V2520" s="177">
        <f>IF(U2520=0,0,IF(T2520="MXN",1/HLOOKUP(YEAR(S2520)+(MONTH(S2520)/100),TC!$5:$37,DAY(S2520)+2,FALSE),VLOOKUP(T2520,Equivalencia!$1:$23,((MAX(Equivalencia!$3:$3)-YEAR(S2520))*14)+MONTH(S2520)+2,FALSE)))</f>
        <v>0</v>
      </c>
      <c r="W2520" s="178">
        <f t="shared" si="219"/>
        <v>0</v>
      </c>
      <c r="X2520" s="481">
        <f t="shared" si="215"/>
        <v>0</v>
      </c>
      <c r="Y2520" s="179"/>
      <c r="Z2520" s="466">
        <f t="shared" si="216"/>
        <v>0</v>
      </c>
      <c r="AA2520" s="473">
        <f t="shared" si="217"/>
        <v>0</v>
      </c>
      <c r="AB2520" s="339">
        <f t="shared" si="218"/>
        <v>0</v>
      </c>
    </row>
    <row r="2521" spans="2:28" ht="20.100000000000001" customHeight="1">
      <c r="B2521" s="172"/>
      <c r="C2521" s="174"/>
      <c r="D2521" s="181"/>
      <c r="E2521" s="173"/>
      <c r="F2521" s="176"/>
      <c r="G2521" s="175">
        <f t="shared" si="220"/>
        <v>0</v>
      </c>
      <c r="H2521" s="175">
        <f t="shared" si="213"/>
        <v>0</v>
      </c>
      <c r="I2521" s="177">
        <f>IF(G2521=0,0,IF(E2521="MXN",1/HLOOKUP(YEAR(C2521)+(MONTH(C2521)/100),TC!$5:$37,DAY(C2521)+2,FALSE),VLOOKUP(E2521,Equivalencia!$5:$23,((MAX(Equivalencia!$3:$3)-YEAR(C2521))*14)+MONTH(C2521)+2,FALSE)))</f>
        <v>0</v>
      </c>
      <c r="J2521" s="178">
        <f t="shared" si="221"/>
        <v>0</v>
      </c>
      <c r="K2521" s="462">
        <f>IF(C2521=0,0,VLOOKUP(YEAR(C2521),INPC!$B$4:$O$29,MONTH(C2521)+1))</f>
        <v>0</v>
      </c>
      <c r="L2521" s="462">
        <f>IF(S2521=0,0,VLOOKUP(YEAR(S2521),INPC!$B$4:$O$29,MONTH(S2521)+1))</f>
        <v>0</v>
      </c>
      <c r="M2521" s="463">
        <f t="shared" si="214"/>
        <v>0</v>
      </c>
      <c r="N2521" s="465">
        <f t="shared" si="222"/>
        <v>0</v>
      </c>
      <c r="O2521" s="179"/>
      <c r="P2521" s="180"/>
      <c r="Q2521" s="173"/>
      <c r="R2521" s="173"/>
      <c r="S2521" s="174"/>
      <c r="T2521" s="173"/>
      <c r="U2521" s="182"/>
      <c r="V2521" s="177">
        <f>IF(U2521=0,0,IF(T2521="MXN",1/HLOOKUP(YEAR(S2521)+(MONTH(S2521)/100),TC!$5:$37,DAY(S2521)+2,FALSE),VLOOKUP(T2521,Equivalencia!$1:$23,((MAX(Equivalencia!$3:$3)-YEAR(S2521))*14)+MONTH(S2521)+2,FALSE)))</f>
        <v>0</v>
      </c>
      <c r="W2521" s="178">
        <f t="shared" si="219"/>
        <v>0</v>
      </c>
      <c r="X2521" s="481">
        <f t="shared" si="215"/>
        <v>0</v>
      </c>
      <c r="Y2521" s="179"/>
      <c r="Z2521" s="466">
        <f t="shared" si="216"/>
        <v>0</v>
      </c>
      <c r="AA2521" s="473">
        <f t="shared" si="217"/>
        <v>0</v>
      </c>
      <c r="AB2521" s="339">
        <f t="shared" si="218"/>
        <v>0</v>
      </c>
    </row>
    <row r="2522" spans="2:28" ht="20.100000000000001" customHeight="1">
      <c r="B2522" s="172"/>
      <c r="C2522" s="174"/>
      <c r="D2522" s="181"/>
      <c r="E2522" s="173"/>
      <c r="F2522" s="176"/>
      <c r="G2522" s="175">
        <f t="shared" si="220"/>
        <v>0</v>
      </c>
      <c r="H2522" s="175">
        <f t="shared" si="213"/>
        <v>0</v>
      </c>
      <c r="I2522" s="177">
        <f>IF(G2522=0,0,IF(E2522="MXN",1/HLOOKUP(YEAR(C2522)+(MONTH(C2522)/100),TC!$5:$37,DAY(C2522)+2,FALSE),VLOOKUP(E2522,Equivalencia!$5:$23,((MAX(Equivalencia!$3:$3)-YEAR(C2522))*14)+MONTH(C2522)+2,FALSE)))</f>
        <v>0</v>
      </c>
      <c r="J2522" s="178">
        <f t="shared" si="221"/>
        <v>0</v>
      </c>
      <c r="K2522" s="462">
        <f>IF(C2522=0,0,VLOOKUP(YEAR(C2522),INPC!$B$4:$O$29,MONTH(C2522)+1))</f>
        <v>0</v>
      </c>
      <c r="L2522" s="462">
        <f>IF(S2522=0,0,VLOOKUP(YEAR(S2522),INPC!$B$4:$O$29,MONTH(S2522)+1))</f>
        <v>0</v>
      </c>
      <c r="M2522" s="463">
        <f t="shared" si="214"/>
        <v>0</v>
      </c>
      <c r="N2522" s="465">
        <f t="shared" si="222"/>
        <v>0</v>
      </c>
      <c r="O2522" s="179"/>
      <c r="P2522" s="180"/>
      <c r="Q2522" s="173"/>
      <c r="R2522" s="173"/>
      <c r="S2522" s="174"/>
      <c r="T2522" s="173"/>
      <c r="U2522" s="182"/>
      <c r="V2522" s="177">
        <f>IF(U2522=0,0,IF(T2522="MXN",1/HLOOKUP(YEAR(S2522)+(MONTH(S2522)/100),TC!$5:$37,DAY(S2522)+2,FALSE),VLOOKUP(T2522,Equivalencia!$1:$23,((MAX(Equivalencia!$3:$3)-YEAR(S2522))*14)+MONTH(S2522)+2,FALSE)))</f>
        <v>0</v>
      </c>
      <c r="W2522" s="178">
        <f t="shared" si="219"/>
        <v>0</v>
      </c>
      <c r="X2522" s="481">
        <f t="shared" si="215"/>
        <v>0</v>
      </c>
      <c r="Y2522" s="179"/>
      <c r="Z2522" s="466">
        <f t="shared" si="216"/>
        <v>0</v>
      </c>
      <c r="AA2522" s="473">
        <f t="shared" si="217"/>
        <v>0</v>
      </c>
      <c r="AB2522" s="339">
        <f t="shared" si="218"/>
        <v>0</v>
      </c>
    </row>
    <row r="2523" spans="2:28" ht="20.100000000000001" customHeight="1">
      <c r="B2523" s="172"/>
      <c r="C2523" s="174"/>
      <c r="D2523" s="181"/>
      <c r="E2523" s="173"/>
      <c r="F2523" s="176"/>
      <c r="G2523" s="175">
        <f t="shared" si="220"/>
        <v>0</v>
      </c>
      <c r="H2523" s="175">
        <f t="shared" si="213"/>
        <v>0</v>
      </c>
      <c r="I2523" s="177">
        <f>IF(G2523=0,0,IF(E2523="MXN",1/HLOOKUP(YEAR(C2523)+(MONTH(C2523)/100),TC!$5:$37,DAY(C2523)+2,FALSE),VLOOKUP(E2523,Equivalencia!$5:$23,((MAX(Equivalencia!$3:$3)-YEAR(C2523))*14)+MONTH(C2523)+2,FALSE)))</f>
        <v>0</v>
      </c>
      <c r="J2523" s="178">
        <f t="shared" si="221"/>
        <v>0</v>
      </c>
      <c r="K2523" s="462">
        <f>IF(C2523=0,0,VLOOKUP(YEAR(C2523),INPC!$B$4:$O$29,MONTH(C2523)+1))</f>
        <v>0</v>
      </c>
      <c r="L2523" s="462">
        <f>IF(S2523=0,0,VLOOKUP(YEAR(S2523),INPC!$B$4:$O$29,MONTH(S2523)+1))</f>
        <v>0</v>
      </c>
      <c r="M2523" s="463">
        <f t="shared" si="214"/>
        <v>0</v>
      </c>
      <c r="N2523" s="465">
        <f t="shared" si="222"/>
        <v>0</v>
      </c>
      <c r="O2523" s="179"/>
      <c r="P2523" s="180"/>
      <c r="Q2523" s="173"/>
      <c r="R2523" s="173"/>
      <c r="S2523" s="174"/>
      <c r="T2523" s="173"/>
      <c r="U2523" s="182"/>
      <c r="V2523" s="177">
        <f>IF(U2523=0,0,IF(T2523="MXN",1/HLOOKUP(YEAR(S2523)+(MONTH(S2523)/100),TC!$5:$37,DAY(S2523)+2,FALSE),VLOOKUP(T2523,Equivalencia!$1:$23,((MAX(Equivalencia!$3:$3)-YEAR(S2523))*14)+MONTH(S2523)+2,FALSE)))</f>
        <v>0</v>
      </c>
      <c r="W2523" s="178">
        <f t="shared" si="219"/>
        <v>0</v>
      </c>
      <c r="X2523" s="481">
        <f t="shared" si="215"/>
        <v>0</v>
      </c>
      <c r="Y2523" s="179"/>
      <c r="Z2523" s="466">
        <f t="shared" si="216"/>
        <v>0</v>
      </c>
      <c r="AA2523" s="473">
        <f t="shared" si="217"/>
        <v>0</v>
      </c>
      <c r="AB2523" s="339">
        <f t="shared" si="218"/>
        <v>0</v>
      </c>
    </row>
    <row r="2524" spans="2:28" ht="20.100000000000001" customHeight="1">
      <c r="B2524" s="172"/>
      <c r="C2524" s="174"/>
      <c r="D2524" s="181"/>
      <c r="E2524" s="173"/>
      <c r="F2524" s="176"/>
      <c r="G2524" s="175">
        <f t="shared" si="220"/>
        <v>0</v>
      </c>
      <c r="H2524" s="175">
        <f t="shared" si="213"/>
        <v>0</v>
      </c>
      <c r="I2524" s="177">
        <f>IF(G2524=0,0,IF(E2524="MXN",1/HLOOKUP(YEAR(C2524)+(MONTH(C2524)/100),TC!$5:$37,DAY(C2524)+2,FALSE),VLOOKUP(E2524,Equivalencia!$5:$23,((MAX(Equivalencia!$3:$3)-YEAR(C2524))*14)+MONTH(C2524)+2,FALSE)))</f>
        <v>0</v>
      </c>
      <c r="J2524" s="178">
        <f t="shared" si="221"/>
        <v>0</v>
      </c>
      <c r="K2524" s="462">
        <f>IF(C2524=0,0,VLOOKUP(YEAR(C2524),INPC!$B$4:$O$29,MONTH(C2524)+1))</f>
        <v>0</v>
      </c>
      <c r="L2524" s="462">
        <f>IF(S2524=0,0,VLOOKUP(YEAR(S2524),INPC!$B$4:$O$29,MONTH(S2524)+1))</f>
        <v>0</v>
      </c>
      <c r="M2524" s="463">
        <f t="shared" si="214"/>
        <v>0</v>
      </c>
      <c r="N2524" s="465">
        <f t="shared" si="222"/>
        <v>0</v>
      </c>
      <c r="O2524" s="179"/>
      <c r="P2524" s="180"/>
      <c r="Q2524" s="173"/>
      <c r="R2524" s="173"/>
      <c r="S2524" s="174"/>
      <c r="T2524" s="173"/>
      <c r="U2524" s="182"/>
      <c r="V2524" s="177">
        <f>IF(U2524=0,0,IF(T2524="MXN",1/HLOOKUP(YEAR(S2524)+(MONTH(S2524)/100),TC!$5:$37,DAY(S2524)+2,FALSE),VLOOKUP(T2524,Equivalencia!$1:$23,((MAX(Equivalencia!$3:$3)-YEAR(S2524))*14)+MONTH(S2524)+2,FALSE)))</f>
        <v>0</v>
      </c>
      <c r="W2524" s="178">
        <f t="shared" si="219"/>
        <v>0</v>
      </c>
      <c r="X2524" s="481">
        <f t="shared" si="215"/>
        <v>0</v>
      </c>
      <c r="Y2524" s="179"/>
      <c r="Z2524" s="466">
        <f t="shared" si="216"/>
        <v>0</v>
      </c>
      <c r="AA2524" s="473">
        <f t="shared" si="217"/>
        <v>0</v>
      </c>
      <c r="AB2524" s="339">
        <f t="shared" si="218"/>
        <v>0</v>
      </c>
    </row>
    <row r="2525" spans="2:28" ht="20.100000000000001" customHeight="1">
      <c r="B2525" s="172"/>
      <c r="C2525" s="174"/>
      <c r="D2525" s="181"/>
      <c r="E2525" s="173"/>
      <c r="F2525" s="176"/>
      <c r="G2525" s="175">
        <f t="shared" si="220"/>
        <v>0</v>
      </c>
      <c r="H2525" s="175">
        <f t="shared" si="213"/>
        <v>0</v>
      </c>
      <c r="I2525" s="177">
        <f>IF(G2525=0,0,IF(E2525="MXN",1/HLOOKUP(YEAR(C2525)+(MONTH(C2525)/100),TC!$5:$37,DAY(C2525)+2,FALSE),VLOOKUP(E2525,Equivalencia!$5:$23,((MAX(Equivalencia!$3:$3)-YEAR(C2525))*14)+MONTH(C2525)+2,FALSE)))</f>
        <v>0</v>
      </c>
      <c r="J2525" s="178">
        <f t="shared" si="221"/>
        <v>0</v>
      </c>
      <c r="K2525" s="462">
        <f>IF(C2525=0,0,VLOOKUP(YEAR(C2525),INPC!$B$4:$O$29,MONTH(C2525)+1))</f>
        <v>0</v>
      </c>
      <c r="L2525" s="462">
        <f>IF(S2525=0,0,VLOOKUP(YEAR(S2525),INPC!$B$4:$O$29,MONTH(S2525)+1))</f>
        <v>0</v>
      </c>
      <c r="M2525" s="463">
        <f t="shared" si="214"/>
        <v>0</v>
      </c>
      <c r="N2525" s="465">
        <f t="shared" si="222"/>
        <v>0</v>
      </c>
      <c r="O2525" s="179"/>
      <c r="P2525" s="180"/>
      <c r="Q2525" s="173"/>
      <c r="R2525" s="173"/>
      <c r="S2525" s="174"/>
      <c r="T2525" s="173"/>
      <c r="U2525" s="182"/>
      <c r="V2525" s="177">
        <f>IF(U2525=0,0,IF(T2525="MXN",1/HLOOKUP(YEAR(S2525)+(MONTH(S2525)/100),TC!$5:$37,DAY(S2525)+2,FALSE),VLOOKUP(T2525,Equivalencia!$1:$23,((MAX(Equivalencia!$3:$3)-YEAR(S2525))*14)+MONTH(S2525)+2,FALSE)))</f>
        <v>0</v>
      </c>
      <c r="W2525" s="178">
        <f t="shared" si="219"/>
        <v>0</v>
      </c>
      <c r="X2525" s="481">
        <f t="shared" si="215"/>
        <v>0</v>
      </c>
      <c r="Y2525" s="179"/>
      <c r="Z2525" s="466">
        <f t="shared" si="216"/>
        <v>0</v>
      </c>
      <c r="AA2525" s="473">
        <f t="shared" si="217"/>
        <v>0</v>
      </c>
      <c r="AB2525" s="339">
        <f t="shared" si="218"/>
        <v>0</v>
      </c>
    </row>
    <row r="2526" spans="2:28" ht="20.100000000000001" customHeight="1">
      <c r="B2526" s="172"/>
      <c r="C2526" s="174"/>
      <c r="D2526" s="181"/>
      <c r="E2526" s="173"/>
      <c r="F2526" s="176"/>
      <c r="G2526" s="175">
        <f t="shared" si="220"/>
        <v>0</v>
      </c>
      <c r="H2526" s="175">
        <f t="shared" si="213"/>
        <v>0</v>
      </c>
      <c r="I2526" s="177">
        <f>IF(G2526=0,0,IF(E2526="MXN",1/HLOOKUP(YEAR(C2526)+(MONTH(C2526)/100),TC!$5:$37,DAY(C2526)+2,FALSE),VLOOKUP(E2526,Equivalencia!$5:$23,((MAX(Equivalencia!$3:$3)-YEAR(C2526))*14)+MONTH(C2526)+2,FALSE)))</f>
        <v>0</v>
      </c>
      <c r="J2526" s="178">
        <f t="shared" si="221"/>
        <v>0</v>
      </c>
      <c r="K2526" s="462">
        <f>IF(C2526=0,0,VLOOKUP(YEAR(C2526),INPC!$B$4:$O$29,MONTH(C2526)+1))</f>
        <v>0</v>
      </c>
      <c r="L2526" s="462">
        <f>IF(S2526=0,0,VLOOKUP(YEAR(S2526),INPC!$B$4:$O$29,MONTH(S2526)+1))</f>
        <v>0</v>
      </c>
      <c r="M2526" s="463">
        <f t="shared" si="214"/>
        <v>0</v>
      </c>
      <c r="N2526" s="465">
        <f t="shared" si="222"/>
        <v>0</v>
      </c>
      <c r="O2526" s="179"/>
      <c r="P2526" s="180"/>
      <c r="Q2526" s="173"/>
      <c r="R2526" s="173"/>
      <c r="S2526" s="174"/>
      <c r="T2526" s="173"/>
      <c r="U2526" s="182"/>
      <c r="V2526" s="177">
        <f>IF(U2526=0,0,IF(T2526="MXN",1/HLOOKUP(YEAR(S2526)+(MONTH(S2526)/100),TC!$5:$37,DAY(S2526)+2,FALSE),VLOOKUP(T2526,Equivalencia!$1:$23,((MAX(Equivalencia!$3:$3)-YEAR(S2526))*14)+MONTH(S2526)+2,FALSE)))</f>
        <v>0</v>
      </c>
      <c r="W2526" s="178">
        <f t="shared" si="219"/>
        <v>0</v>
      </c>
      <c r="X2526" s="481">
        <f t="shared" si="215"/>
        <v>0</v>
      </c>
      <c r="Y2526" s="179"/>
      <c r="Z2526" s="466">
        <f t="shared" si="216"/>
        <v>0</v>
      </c>
      <c r="AA2526" s="473">
        <f t="shared" si="217"/>
        <v>0</v>
      </c>
      <c r="AB2526" s="339">
        <f t="shared" si="218"/>
        <v>0</v>
      </c>
    </row>
    <row r="2527" spans="2:28" ht="20.100000000000001" customHeight="1">
      <c r="B2527" s="172"/>
      <c r="C2527" s="174"/>
      <c r="D2527" s="181"/>
      <c r="E2527" s="173"/>
      <c r="F2527" s="176"/>
      <c r="G2527" s="175">
        <f t="shared" si="220"/>
        <v>0</v>
      </c>
      <c r="H2527" s="175">
        <f t="shared" si="213"/>
        <v>0</v>
      </c>
      <c r="I2527" s="177">
        <f>IF(G2527=0,0,IF(E2527="MXN",1/HLOOKUP(YEAR(C2527)+(MONTH(C2527)/100),TC!$5:$37,DAY(C2527)+2,FALSE),VLOOKUP(E2527,Equivalencia!$5:$23,((MAX(Equivalencia!$3:$3)-YEAR(C2527))*14)+MONTH(C2527)+2,FALSE)))</f>
        <v>0</v>
      </c>
      <c r="J2527" s="178">
        <f t="shared" si="221"/>
        <v>0</v>
      </c>
      <c r="K2527" s="462">
        <f>IF(C2527=0,0,VLOOKUP(YEAR(C2527),INPC!$B$4:$O$29,MONTH(C2527)+1))</f>
        <v>0</v>
      </c>
      <c r="L2527" s="462">
        <f>IF(S2527=0,0,VLOOKUP(YEAR(S2527),INPC!$B$4:$O$29,MONTH(S2527)+1))</f>
        <v>0</v>
      </c>
      <c r="M2527" s="463">
        <f t="shared" si="214"/>
        <v>0</v>
      </c>
      <c r="N2527" s="465">
        <f t="shared" si="222"/>
        <v>0</v>
      </c>
      <c r="O2527" s="179"/>
      <c r="P2527" s="180"/>
      <c r="Q2527" s="173"/>
      <c r="R2527" s="173"/>
      <c r="S2527" s="174"/>
      <c r="T2527" s="173"/>
      <c r="U2527" s="182"/>
      <c r="V2527" s="177">
        <f>IF(U2527=0,0,IF(T2527="MXN",1/HLOOKUP(YEAR(S2527)+(MONTH(S2527)/100),TC!$5:$37,DAY(S2527)+2,FALSE),VLOOKUP(T2527,Equivalencia!$1:$23,((MAX(Equivalencia!$3:$3)-YEAR(S2527))*14)+MONTH(S2527)+2,FALSE)))</f>
        <v>0</v>
      </c>
      <c r="W2527" s="178">
        <f t="shared" si="219"/>
        <v>0</v>
      </c>
      <c r="X2527" s="481">
        <f t="shared" si="215"/>
        <v>0</v>
      </c>
      <c r="Y2527" s="179"/>
      <c r="Z2527" s="466">
        <f t="shared" si="216"/>
        <v>0</v>
      </c>
      <c r="AA2527" s="473">
        <f t="shared" si="217"/>
        <v>0</v>
      </c>
      <c r="AB2527" s="339">
        <f t="shared" si="218"/>
        <v>0</v>
      </c>
    </row>
    <row r="2528" spans="2:28" ht="20.100000000000001" customHeight="1">
      <c r="B2528" s="172"/>
      <c r="C2528" s="174"/>
      <c r="D2528" s="181"/>
      <c r="E2528" s="173"/>
      <c r="F2528" s="176"/>
      <c r="G2528" s="175">
        <f t="shared" si="220"/>
        <v>0</v>
      </c>
      <c r="H2528" s="175">
        <f t="shared" si="213"/>
        <v>0</v>
      </c>
      <c r="I2528" s="177">
        <f>IF(G2528=0,0,IF(E2528="MXN",1/HLOOKUP(YEAR(C2528)+(MONTH(C2528)/100),TC!$5:$37,DAY(C2528)+2,FALSE),VLOOKUP(E2528,Equivalencia!$5:$23,((MAX(Equivalencia!$3:$3)-YEAR(C2528))*14)+MONTH(C2528)+2,FALSE)))</f>
        <v>0</v>
      </c>
      <c r="J2528" s="178">
        <f t="shared" si="221"/>
        <v>0</v>
      </c>
      <c r="K2528" s="462">
        <f>IF(C2528=0,0,VLOOKUP(YEAR(C2528),INPC!$B$4:$O$29,MONTH(C2528)+1))</f>
        <v>0</v>
      </c>
      <c r="L2528" s="462">
        <f>IF(S2528=0,0,VLOOKUP(YEAR(S2528),INPC!$B$4:$O$29,MONTH(S2528)+1))</f>
        <v>0</v>
      </c>
      <c r="M2528" s="463">
        <f t="shared" si="214"/>
        <v>0</v>
      </c>
      <c r="N2528" s="465">
        <f t="shared" si="222"/>
        <v>0</v>
      </c>
      <c r="O2528" s="179"/>
      <c r="P2528" s="180"/>
      <c r="Q2528" s="173"/>
      <c r="R2528" s="173"/>
      <c r="S2528" s="174"/>
      <c r="T2528" s="173"/>
      <c r="U2528" s="182"/>
      <c r="V2528" s="177">
        <f>IF(U2528=0,0,IF(T2528="MXN",1/HLOOKUP(YEAR(S2528)+(MONTH(S2528)/100),TC!$5:$37,DAY(S2528)+2,FALSE),VLOOKUP(T2528,Equivalencia!$1:$23,((MAX(Equivalencia!$3:$3)-YEAR(S2528))*14)+MONTH(S2528)+2,FALSE)))</f>
        <v>0</v>
      </c>
      <c r="W2528" s="178">
        <f t="shared" si="219"/>
        <v>0</v>
      </c>
      <c r="X2528" s="481">
        <f t="shared" si="215"/>
        <v>0</v>
      </c>
      <c r="Y2528" s="179"/>
      <c r="Z2528" s="466">
        <f t="shared" si="216"/>
        <v>0</v>
      </c>
      <c r="AA2528" s="473">
        <f t="shared" si="217"/>
        <v>0</v>
      </c>
      <c r="AB2528" s="339">
        <f t="shared" si="218"/>
        <v>0</v>
      </c>
    </row>
    <row r="2529" spans="2:28" ht="20.100000000000001" customHeight="1">
      <c r="B2529" s="172"/>
      <c r="C2529" s="174"/>
      <c r="D2529" s="181"/>
      <c r="E2529" s="173"/>
      <c r="F2529" s="176"/>
      <c r="G2529" s="175">
        <f t="shared" si="220"/>
        <v>0</v>
      </c>
      <c r="H2529" s="175">
        <f t="shared" si="213"/>
        <v>0</v>
      </c>
      <c r="I2529" s="177">
        <f>IF(G2529=0,0,IF(E2529="MXN",1/HLOOKUP(YEAR(C2529)+(MONTH(C2529)/100),TC!$5:$37,DAY(C2529)+2,FALSE),VLOOKUP(E2529,Equivalencia!$5:$23,((MAX(Equivalencia!$3:$3)-YEAR(C2529))*14)+MONTH(C2529)+2,FALSE)))</f>
        <v>0</v>
      </c>
      <c r="J2529" s="178">
        <f t="shared" si="221"/>
        <v>0</v>
      </c>
      <c r="K2529" s="462">
        <f>IF(C2529=0,0,VLOOKUP(YEAR(C2529),INPC!$B$4:$O$29,MONTH(C2529)+1))</f>
        <v>0</v>
      </c>
      <c r="L2529" s="462">
        <f>IF(S2529=0,0,VLOOKUP(YEAR(S2529),INPC!$B$4:$O$29,MONTH(S2529)+1))</f>
        <v>0</v>
      </c>
      <c r="M2529" s="463">
        <f t="shared" si="214"/>
        <v>0</v>
      </c>
      <c r="N2529" s="465">
        <f t="shared" si="222"/>
        <v>0</v>
      </c>
      <c r="O2529" s="179"/>
      <c r="P2529" s="180"/>
      <c r="Q2529" s="173"/>
      <c r="R2529" s="173"/>
      <c r="S2529" s="174"/>
      <c r="T2529" s="173"/>
      <c r="U2529" s="182"/>
      <c r="V2529" s="177">
        <f>IF(U2529=0,0,IF(T2529="MXN",1/HLOOKUP(YEAR(S2529)+(MONTH(S2529)/100),TC!$5:$37,DAY(S2529)+2,FALSE),VLOOKUP(T2529,Equivalencia!$1:$23,((MAX(Equivalencia!$3:$3)-YEAR(S2529))*14)+MONTH(S2529)+2,FALSE)))</f>
        <v>0</v>
      </c>
      <c r="W2529" s="178">
        <f t="shared" si="219"/>
        <v>0</v>
      </c>
      <c r="X2529" s="481">
        <f t="shared" si="215"/>
        <v>0</v>
      </c>
      <c r="Y2529" s="179"/>
      <c r="Z2529" s="466">
        <f t="shared" si="216"/>
        <v>0</v>
      </c>
      <c r="AA2529" s="473">
        <f t="shared" si="217"/>
        <v>0</v>
      </c>
      <c r="AB2529" s="339">
        <f t="shared" si="218"/>
        <v>0</v>
      </c>
    </row>
    <row r="2530" spans="2:28" ht="20.100000000000001" customHeight="1">
      <c r="B2530" s="172"/>
      <c r="C2530" s="174"/>
      <c r="D2530" s="181"/>
      <c r="E2530" s="173"/>
      <c r="F2530" s="176"/>
      <c r="G2530" s="175">
        <f t="shared" si="220"/>
        <v>0</v>
      </c>
      <c r="H2530" s="175">
        <f t="shared" si="213"/>
        <v>0</v>
      </c>
      <c r="I2530" s="177">
        <f>IF(G2530=0,0,IF(E2530="MXN",1/HLOOKUP(YEAR(C2530)+(MONTH(C2530)/100),TC!$5:$37,DAY(C2530)+2,FALSE),VLOOKUP(E2530,Equivalencia!$5:$23,((MAX(Equivalencia!$3:$3)-YEAR(C2530))*14)+MONTH(C2530)+2,FALSE)))</f>
        <v>0</v>
      </c>
      <c r="J2530" s="178">
        <f t="shared" si="221"/>
        <v>0</v>
      </c>
      <c r="K2530" s="462">
        <f>IF(C2530=0,0,VLOOKUP(YEAR(C2530),INPC!$B$4:$O$29,MONTH(C2530)+1))</f>
        <v>0</v>
      </c>
      <c r="L2530" s="462">
        <f>IF(S2530=0,0,VLOOKUP(YEAR(S2530),INPC!$B$4:$O$29,MONTH(S2530)+1))</f>
        <v>0</v>
      </c>
      <c r="M2530" s="463">
        <f t="shared" si="214"/>
        <v>0</v>
      </c>
      <c r="N2530" s="465">
        <f t="shared" si="222"/>
        <v>0</v>
      </c>
      <c r="O2530" s="179"/>
      <c r="P2530" s="180"/>
      <c r="Q2530" s="173"/>
      <c r="R2530" s="173"/>
      <c r="S2530" s="174"/>
      <c r="T2530" s="173"/>
      <c r="U2530" s="182"/>
      <c r="V2530" s="177">
        <f>IF(U2530=0,0,IF(T2530="MXN",1/HLOOKUP(YEAR(S2530)+(MONTH(S2530)/100),TC!$5:$37,DAY(S2530)+2,FALSE),VLOOKUP(T2530,Equivalencia!$1:$23,((MAX(Equivalencia!$3:$3)-YEAR(S2530))*14)+MONTH(S2530)+2,FALSE)))</f>
        <v>0</v>
      </c>
      <c r="W2530" s="178">
        <f t="shared" si="219"/>
        <v>0</v>
      </c>
      <c r="X2530" s="481">
        <f t="shared" si="215"/>
        <v>0</v>
      </c>
      <c r="Y2530" s="179"/>
      <c r="Z2530" s="466">
        <f t="shared" si="216"/>
        <v>0</v>
      </c>
      <c r="AA2530" s="473">
        <f t="shared" si="217"/>
        <v>0</v>
      </c>
      <c r="AB2530" s="339">
        <f t="shared" si="218"/>
        <v>0</v>
      </c>
    </row>
    <row r="2531" spans="2:28" ht="20.100000000000001" customHeight="1">
      <c r="B2531" s="172"/>
      <c r="C2531" s="174"/>
      <c r="D2531" s="181"/>
      <c r="E2531" s="173"/>
      <c r="F2531" s="176"/>
      <c r="G2531" s="175">
        <f t="shared" si="220"/>
        <v>0</v>
      </c>
      <c r="H2531" s="175">
        <f t="shared" si="213"/>
        <v>0</v>
      </c>
      <c r="I2531" s="177">
        <f>IF(G2531=0,0,IF(E2531="MXN",1/HLOOKUP(YEAR(C2531)+(MONTH(C2531)/100),TC!$5:$37,DAY(C2531)+2,FALSE),VLOOKUP(E2531,Equivalencia!$5:$23,((MAX(Equivalencia!$3:$3)-YEAR(C2531))*14)+MONTH(C2531)+2,FALSE)))</f>
        <v>0</v>
      </c>
      <c r="J2531" s="178">
        <f t="shared" si="221"/>
        <v>0</v>
      </c>
      <c r="K2531" s="462">
        <f>IF(C2531=0,0,VLOOKUP(YEAR(C2531),INPC!$B$4:$O$29,MONTH(C2531)+1))</f>
        <v>0</v>
      </c>
      <c r="L2531" s="462">
        <f>IF(S2531=0,0,VLOOKUP(YEAR(S2531),INPC!$B$4:$O$29,MONTH(S2531)+1))</f>
        <v>0</v>
      </c>
      <c r="M2531" s="463">
        <f t="shared" si="214"/>
        <v>0</v>
      </c>
      <c r="N2531" s="465">
        <f t="shared" si="222"/>
        <v>0</v>
      </c>
      <c r="O2531" s="179"/>
      <c r="P2531" s="180"/>
      <c r="Q2531" s="173"/>
      <c r="R2531" s="173"/>
      <c r="S2531" s="174"/>
      <c r="T2531" s="173"/>
      <c r="U2531" s="182"/>
      <c r="V2531" s="177">
        <f>IF(U2531=0,0,IF(T2531="MXN",1/HLOOKUP(YEAR(S2531)+(MONTH(S2531)/100),TC!$5:$37,DAY(S2531)+2,FALSE),VLOOKUP(T2531,Equivalencia!$1:$23,((MAX(Equivalencia!$3:$3)-YEAR(S2531))*14)+MONTH(S2531)+2,FALSE)))</f>
        <v>0</v>
      </c>
      <c r="W2531" s="178">
        <f t="shared" si="219"/>
        <v>0</v>
      </c>
      <c r="X2531" s="481">
        <f t="shared" si="215"/>
        <v>0</v>
      </c>
      <c r="Y2531" s="179"/>
      <c r="Z2531" s="466">
        <f t="shared" si="216"/>
        <v>0</v>
      </c>
      <c r="AA2531" s="473">
        <f t="shared" si="217"/>
        <v>0</v>
      </c>
      <c r="AB2531" s="339">
        <f t="shared" si="218"/>
        <v>0</v>
      </c>
    </row>
    <row r="2532" spans="2:28" ht="20.100000000000001" customHeight="1">
      <c r="B2532" s="172"/>
      <c r="C2532" s="174"/>
      <c r="D2532" s="181"/>
      <c r="E2532" s="173"/>
      <c r="F2532" s="176"/>
      <c r="G2532" s="175">
        <f t="shared" si="220"/>
        <v>0</v>
      </c>
      <c r="H2532" s="175">
        <f t="shared" si="213"/>
        <v>0</v>
      </c>
      <c r="I2532" s="177">
        <f>IF(G2532=0,0,IF(E2532="MXN",1/HLOOKUP(YEAR(C2532)+(MONTH(C2532)/100),TC!$5:$37,DAY(C2532)+2,FALSE),VLOOKUP(E2532,Equivalencia!$5:$23,((MAX(Equivalencia!$3:$3)-YEAR(C2532))*14)+MONTH(C2532)+2,FALSE)))</f>
        <v>0</v>
      </c>
      <c r="J2532" s="178">
        <f t="shared" si="221"/>
        <v>0</v>
      </c>
      <c r="K2532" s="462">
        <f>IF(C2532=0,0,VLOOKUP(YEAR(C2532),INPC!$B$4:$O$29,MONTH(C2532)+1))</f>
        <v>0</v>
      </c>
      <c r="L2532" s="462">
        <f>IF(S2532=0,0,VLOOKUP(YEAR(S2532),INPC!$B$4:$O$29,MONTH(S2532)+1))</f>
        <v>0</v>
      </c>
      <c r="M2532" s="463">
        <f t="shared" si="214"/>
        <v>0</v>
      </c>
      <c r="N2532" s="465">
        <f t="shared" si="222"/>
        <v>0</v>
      </c>
      <c r="O2532" s="179"/>
      <c r="P2532" s="180"/>
      <c r="Q2532" s="173"/>
      <c r="R2532" s="173"/>
      <c r="S2532" s="174"/>
      <c r="T2532" s="173"/>
      <c r="U2532" s="182"/>
      <c r="V2532" s="177">
        <f>IF(U2532=0,0,IF(T2532="MXN",1/HLOOKUP(YEAR(S2532)+(MONTH(S2532)/100),TC!$5:$37,DAY(S2532)+2,FALSE),VLOOKUP(T2532,Equivalencia!$1:$23,((MAX(Equivalencia!$3:$3)-YEAR(S2532))*14)+MONTH(S2532)+2,FALSE)))</f>
        <v>0</v>
      </c>
      <c r="W2532" s="178">
        <f t="shared" si="219"/>
        <v>0</v>
      </c>
      <c r="X2532" s="481">
        <f t="shared" si="215"/>
        <v>0</v>
      </c>
      <c r="Y2532" s="179"/>
      <c r="Z2532" s="466">
        <f t="shared" si="216"/>
        <v>0</v>
      </c>
      <c r="AA2532" s="473">
        <f t="shared" si="217"/>
        <v>0</v>
      </c>
      <c r="AB2532" s="339">
        <f t="shared" si="218"/>
        <v>0</v>
      </c>
    </row>
    <row r="2533" spans="2:28" ht="20.100000000000001" customHeight="1">
      <c r="B2533" s="172"/>
      <c r="C2533" s="174"/>
      <c r="D2533" s="181"/>
      <c r="E2533" s="173"/>
      <c r="F2533" s="176"/>
      <c r="G2533" s="175">
        <f t="shared" si="220"/>
        <v>0</v>
      </c>
      <c r="H2533" s="175">
        <f t="shared" si="213"/>
        <v>0</v>
      </c>
      <c r="I2533" s="177">
        <f>IF(G2533=0,0,IF(E2533="MXN",1/HLOOKUP(YEAR(C2533)+(MONTH(C2533)/100),TC!$5:$37,DAY(C2533)+2,FALSE),VLOOKUP(E2533,Equivalencia!$5:$23,((MAX(Equivalencia!$3:$3)-YEAR(C2533))*14)+MONTH(C2533)+2,FALSE)))</f>
        <v>0</v>
      </c>
      <c r="J2533" s="178">
        <f t="shared" si="221"/>
        <v>0</v>
      </c>
      <c r="K2533" s="462">
        <f>IF(C2533=0,0,VLOOKUP(YEAR(C2533),INPC!$B$4:$O$29,MONTH(C2533)+1))</f>
        <v>0</v>
      </c>
      <c r="L2533" s="462">
        <f>IF(S2533=0,0,VLOOKUP(YEAR(S2533),INPC!$B$4:$O$29,MONTH(S2533)+1))</f>
        <v>0</v>
      </c>
      <c r="M2533" s="463">
        <f t="shared" si="214"/>
        <v>0</v>
      </c>
      <c r="N2533" s="465">
        <f t="shared" si="222"/>
        <v>0</v>
      </c>
      <c r="O2533" s="179"/>
      <c r="P2533" s="180"/>
      <c r="Q2533" s="173"/>
      <c r="R2533" s="173"/>
      <c r="S2533" s="174"/>
      <c r="T2533" s="173"/>
      <c r="U2533" s="182"/>
      <c r="V2533" s="177">
        <f>IF(U2533=0,0,IF(T2533="MXN",1/HLOOKUP(YEAR(S2533)+(MONTH(S2533)/100),TC!$5:$37,DAY(S2533)+2,FALSE),VLOOKUP(T2533,Equivalencia!$1:$23,((MAX(Equivalencia!$3:$3)-YEAR(S2533))*14)+MONTH(S2533)+2,FALSE)))</f>
        <v>0</v>
      </c>
      <c r="W2533" s="178">
        <f t="shared" si="219"/>
        <v>0</v>
      </c>
      <c r="X2533" s="481">
        <f t="shared" si="215"/>
        <v>0</v>
      </c>
      <c r="Y2533" s="179"/>
      <c r="Z2533" s="466">
        <f t="shared" si="216"/>
        <v>0</v>
      </c>
      <c r="AA2533" s="473">
        <f t="shared" si="217"/>
        <v>0</v>
      </c>
      <c r="AB2533" s="339">
        <f t="shared" si="218"/>
        <v>0</v>
      </c>
    </row>
    <row r="2534" spans="2:28" ht="20.100000000000001" customHeight="1">
      <c r="B2534" s="172"/>
      <c r="C2534" s="174"/>
      <c r="D2534" s="181"/>
      <c r="E2534" s="173"/>
      <c r="F2534" s="176"/>
      <c r="G2534" s="175">
        <f t="shared" si="220"/>
        <v>0</v>
      </c>
      <c r="H2534" s="175">
        <f t="shared" si="213"/>
        <v>0</v>
      </c>
      <c r="I2534" s="177">
        <f>IF(G2534=0,0,IF(E2534="MXN",1/HLOOKUP(YEAR(C2534)+(MONTH(C2534)/100),TC!$5:$37,DAY(C2534)+2,FALSE),VLOOKUP(E2534,Equivalencia!$5:$23,((MAX(Equivalencia!$3:$3)-YEAR(C2534))*14)+MONTH(C2534)+2,FALSE)))</f>
        <v>0</v>
      </c>
      <c r="J2534" s="178">
        <f t="shared" si="221"/>
        <v>0</v>
      </c>
      <c r="K2534" s="462">
        <f>IF(C2534=0,0,VLOOKUP(YEAR(C2534),INPC!$B$4:$O$29,MONTH(C2534)+1))</f>
        <v>0</v>
      </c>
      <c r="L2534" s="462">
        <f>IF(S2534=0,0,VLOOKUP(YEAR(S2534),INPC!$B$4:$O$29,MONTH(S2534)+1))</f>
        <v>0</v>
      </c>
      <c r="M2534" s="463">
        <f t="shared" si="214"/>
        <v>0</v>
      </c>
      <c r="N2534" s="465">
        <f t="shared" si="222"/>
        <v>0</v>
      </c>
      <c r="O2534" s="179"/>
      <c r="P2534" s="180"/>
      <c r="Q2534" s="173"/>
      <c r="R2534" s="173"/>
      <c r="S2534" s="174"/>
      <c r="T2534" s="173"/>
      <c r="U2534" s="182"/>
      <c r="V2534" s="177">
        <f>IF(U2534=0,0,IF(T2534="MXN",1/HLOOKUP(YEAR(S2534)+(MONTH(S2534)/100),TC!$5:$37,DAY(S2534)+2,FALSE),VLOOKUP(T2534,Equivalencia!$1:$23,((MAX(Equivalencia!$3:$3)-YEAR(S2534))*14)+MONTH(S2534)+2,FALSE)))</f>
        <v>0</v>
      </c>
      <c r="W2534" s="178">
        <f t="shared" si="219"/>
        <v>0</v>
      </c>
      <c r="X2534" s="481">
        <f t="shared" si="215"/>
        <v>0</v>
      </c>
      <c r="Y2534" s="179"/>
      <c r="Z2534" s="466">
        <f t="shared" si="216"/>
        <v>0</v>
      </c>
      <c r="AA2534" s="473">
        <f t="shared" si="217"/>
        <v>0</v>
      </c>
      <c r="AB2534" s="339">
        <f t="shared" si="218"/>
        <v>0</v>
      </c>
    </row>
    <row r="2535" spans="2:28" ht="20.100000000000001" customHeight="1">
      <c r="B2535" s="172"/>
      <c r="C2535" s="174"/>
      <c r="D2535" s="181"/>
      <c r="E2535" s="173"/>
      <c r="F2535" s="176"/>
      <c r="G2535" s="175">
        <f t="shared" si="220"/>
        <v>0</v>
      </c>
      <c r="H2535" s="175">
        <f t="shared" si="213"/>
        <v>0</v>
      </c>
      <c r="I2535" s="177">
        <f>IF(G2535=0,0,IF(E2535="MXN",1/HLOOKUP(YEAR(C2535)+(MONTH(C2535)/100),TC!$5:$37,DAY(C2535)+2,FALSE),VLOOKUP(E2535,Equivalencia!$5:$23,((MAX(Equivalencia!$3:$3)-YEAR(C2535))*14)+MONTH(C2535)+2,FALSE)))</f>
        <v>0</v>
      </c>
      <c r="J2535" s="178">
        <f t="shared" si="221"/>
        <v>0</v>
      </c>
      <c r="K2535" s="462">
        <f>IF(C2535=0,0,VLOOKUP(YEAR(C2535),INPC!$B$4:$O$29,MONTH(C2535)+1))</f>
        <v>0</v>
      </c>
      <c r="L2535" s="462">
        <f>IF(S2535=0,0,VLOOKUP(YEAR(S2535),INPC!$B$4:$O$29,MONTH(S2535)+1))</f>
        <v>0</v>
      </c>
      <c r="M2535" s="463">
        <f t="shared" si="214"/>
        <v>0</v>
      </c>
      <c r="N2535" s="465">
        <f t="shared" si="222"/>
        <v>0</v>
      </c>
      <c r="O2535" s="179"/>
      <c r="P2535" s="180"/>
      <c r="Q2535" s="173"/>
      <c r="R2535" s="173"/>
      <c r="S2535" s="174"/>
      <c r="T2535" s="173"/>
      <c r="U2535" s="182"/>
      <c r="V2535" s="177">
        <f>IF(U2535=0,0,IF(T2535="MXN",1/HLOOKUP(YEAR(S2535)+(MONTH(S2535)/100),TC!$5:$37,DAY(S2535)+2,FALSE),VLOOKUP(T2535,Equivalencia!$1:$23,((MAX(Equivalencia!$3:$3)-YEAR(S2535))*14)+MONTH(S2535)+2,FALSE)))</f>
        <v>0</v>
      </c>
      <c r="W2535" s="178">
        <f t="shared" si="219"/>
        <v>0</v>
      </c>
      <c r="X2535" s="481">
        <f t="shared" si="215"/>
        <v>0</v>
      </c>
      <c r="Y2535" s="179"/>
      <c r="Z2535" s="466">
        <f t="shared" si="216"/>
        <v>0</v>
      </c>
      <c r="AA2535" s="473">
        <f t="shared" si="217"/>
        <v>0</v>
      </c>
      <c r="AB2535" s="339">
        <f t="shared" si="218"/>
        <v>0</v>
      </c>
    </row>
    <row r="2536" spans="2:28" ht="20.100000000000001" customHeight="1">
      <c r="B2536" s="172"/>
      <c r="C2536" s="174"/>
      <c r="D2536" s="181"/>
      <c r="E2536" s="173"/>
      <c r="F2536" s="176"/>
      <c r="G2536" s="175">
        <f t="shared" si="220"/>
        <v>0</v>
      </c>
      <c r="H2536" s="175">
        <f t="shared" si="213"/>
        <v>0</v>
      </c>
      <c r="I2536" s="177">
        <f>IF(G2536=0,0,IF(E2536="MXN",1/HLOOKUP(YEAR(C2536)+(MONTH(C2536)/100),TC!$5:$37,DAY(C2536)+2,FALSE),VLOOKUP(E2536,Equivalencia!$5:$23,((MAX(Equivalencia!$3:$3)-YEAR(C2536))*14)+MONTH(C2536)+2,FALSE)))</f>
        <v>0</v>
      </c>
      <c r="J2536" s="178">
        <f t="shared" si="221"/>
        <v>0</v>
      </c>
      <c r="K2536" s="462">
        <f>IF(C2536=0,0,VLOOKUP(YEAR(C2536),INPC!$B$4:$O$29,MONTH(C2536)+1))</f>
        <v>0</v>
      </c>
      <c r="L2536" s="462">
        <f>IF(S2536=0,0,VLOOKUP(YEAR(S2536),INPC!$B$4:$O$29,MONTH(S2536)+1))</f>
        <v>0</v>
      </c>
      <c r="M2536" s="463">
        <f t="shared" si="214"/>
        <v>0</v>
      </c>
      <c r="N2536" s="465">
        <f t="shared" si="222"/>
        <v>0</v>
      </c>
      <c r="O2536" s="179"/>
      <c r="P2536" s="180"/>
      <c r="Q2536" s="173"/>
      <c r="R2536" s="173"/>
      <c r="S2536" s="174"/>
      <c r="T2536" s="173"/>
      <c r="U2536" s="182"/>
      <c r="V2536" s="177">
        <f>IF(U2536=0,0,IF(T2536="MXN",1/HLOOKUP(YEAR(S2536)+(MONTH(S2536)/100),TC!$5:$37,DAY(S2536)+2,FALSE),VLOOKUP(T2536,Equivalencia!$1:$23,((MAX(Equivalencia!$3:$3)-YEAR(S2536))*14)+MONTH(S2536)+2,FALSE)))</f>
        <v>0</v>
      </c>
      <c r="W2536" s="178">
        <f t="shared" si="219"/>
        <v>0</v>
      </c>
      <c r="X2536" s="481">
        <f t="shared" si="215"/>
        <v>0</v>
      </c>
      <c r="Y2536" s="179"/>
      <c r="Z2536" s="466">
        <f t="shared" si="216"/>
        <v>0</v>
      </c>
      <c r="AA2536" s="473">
        <f t="shared" si="217"/>
        <v>0</v>
      </c>
      <c r="AB2536" s="339">
        <f t="shared" si="218"/>
        <v>0</v>
      </c>
    </row>
    <row r="2537" spans="2:28" ht="20.100000000000001" customHeight="1">
      <c r="B2537" s="172"/>
      <c r="C2537" s="174"/>
      <c r="D2537" s="181"/>
      <c r="E2537" s="173"/>
      <c r="F2537" s="176"/>
      <c r="G2537" s="175">
        <f t="shared" si="220"/>
        <v>0</v>
      </c>
      <c r="H2537" s="175">
        <f t="shared" si="213"/>
        <v>0</v>
      </c>
      <c r="I2537" s="177">
        <f>IF(G2537=0,0,IF(E2537="MXN",1/HLOOKUP(YEAR(C2537)+(MONTH(C2537)/100),TC!$5:$37,DAY(C2537)+2,FALSE),VLOOKUP(E2537,Equivalencia!$5:$23,((MAX(Equivalencia!$3:$3)-YEAR(C2537))*14)+MONTH(C2537)+2,FALSE)))</f>
        <v>0</v>
      </c>
      <c r="J2537" s="178">
        <f t="shared" si="221"/>
        <v>0</v>
      </c>
      <c r="K2537" s="462">
        <f>IF(C2537=0,0,VLOOKUP(YEAR(C2537),INPC!$B$4:$O$29,MONTH(C2537)+1))</f>
        <v>0</v>
      </c>
      <c r="L2537" s="462">
        <f>IF(S2537=0,0,VLOOKUP(YEAR(S2537),INPC!$B$4:$O$29,MONTH(S2537)+1))</f>
        <v>0</v>
      </c>
      <c r="M2537" s="463">
        <f t="shared" si="214"/>
        <v>0</v>
      </c>
      <c r="N2537" s="465">
        <f t="shared" si="222"/>
        <v>0</v>
      </c>
      <c r="O2537" s="179"/>
      <c r="P2537" s="180"/>
      <c r="Q2537" s="173"/>
      <c r="R2537" s="173"/>
      <c r="S2537" s="174"/>
      <c r="T2537" s="173"/>
      <c r="U2537" s="182"/>
      <c r="V2537" s="177">
        <f>IF(U2537=0,0,IF(T2537="MXN",1/HLOOKUP(YEAR(S2537)+(MONTH(S2537)/100),TC!$5:$37,DAY(S2537)+2,FALSE),VLOOKUP(T2537,Equivalencia!$1:$23,((MAX(Equivalencia!$3:$3)-YEAR(S2537))*14)+MONTH(S2537)+2,FALSE)))</f>
        <v>0</v>
      </c>
      <c r="W2537" s="178">
        <f t="shared" si="219"/>
        <v>0</v>
      </c>
      <c r="X2537" s="481">
        <f t="shared" si="215"/>
        <v>0</v>
      </c>
      <c r="Y2537" s="179"/>
      <c r="Z2537" s="466">
        <f t="shared" si="216"/>
        <v>0</v>
      </c>
      <c r="AA2537" s="473">
        <f t="shared" si="217"/>
        <v>0</v>
      </c>
      <c r="AB2537" s="339">
        <f t="shared" si="218"/>
        <v>0</v>
      </c>
    </row>
    <row r="2538" spans="2:28" ht="20.100000000000001" customHeight="1">
      <c r="B2538" s="172"/>
      <c r="C2538" s="174"/>
      <c r="D2538" s="181"/>
      <c r="E2538" s="173"/>
      <c r="F2538" s="176"/>
      <c r="G2538" s="175">
        <f t="shared" si="220"/>
        <v>0</v>
      </c>
      <c r="H2538" s="175">
        <f t="shared" si="213"/>
        <v>0</v>
      </c>
      <c r="I2538" s="177">
        <f>IF(G2538=0,0,IF(E2538="MXN",1/HLOOKUP(YEAR(C2538)+(MONTH(C2538)/100),TC!$5:$37,DAY(C2538)+2,FALSE),VLOOKUP(E2538,Equivalencia!$5:$23,((MAX(Equivalencia!$3:$3)-YEAR(C2538))*14)+MONTH(C2538)+2,FALSE)))</f>
        <v>0</v>
      </c>
      <c r="J2538" s="178">
        <f t="shared" si="221"/>
        <v>0</v>
      </c>
      <c r="K2538" s="462">
        <f>IF(C2538=0,0,VLOOKUP(YEAR(C2538),INPC!$B$4:$O$29,MONTH(C2538)+1))</f>
        <v>0</v>
      </c>
      <c r="L2538" s="462">
        <f>IF(S2538=0,0,VLOOKUP(YEAR(S2538),INPC!$B$4:$O$29,MONTH(S2538)+1))</f>
        <v>0</v>
      </c>
      <c r="M2538" s="463">
        <f t="shared" si="214"/>
        <v>0</v>
      </c>
      <c r="N2538" s="465">
        <f t="shared" si="222"/>
        <v>0</v>
      </c>
      <c r="O2538" s="179"/>
      <c r="P2538" s="180"/>
      <c r="Q2538" s="173"/>
      <c r="R2538" s="173"/>
      <c r="S2538" s="174"/>
      <c r="T2538" s="173"/>
      <c r="U2538" s="182"/>
      <c r="V2538" s="177">
        <f>IF(U2538=0,0,IF(T2538="MXN",1/HLOOKUP(YEAR(S2538)+(MONTH(S2538)/100),TC!$5:$37,DAY(S2538)+2,FALSE),VLOOKUP(T2538,Equivalencia!$1:$23,((MAX(Equivalencia!$3:$3)-YEAR(S2538))*14)+MONTH(S2538)+2,FALSE)))</f>
        <v>0</v>
      </c>
      <c r="W2538" s="178">
        <f t="shared" si="219"/>
        <v>0</v>
      </c>
      <c r="X2538" s="481">
        <f t="shared" si="215"/>
        <v>0</v>
      </c>
      <c r="Y2538" s="179"/>
      <c r="Z2538" s="466">
        <f t="shared" si="216"/>
        <v>0</v>
      </c>
      <c r="AA2538" s="473">
        <f t="shared" si="217"/>
        <v>0</v>
      </c>
      <c r="AB2538" s="339">
        <f t="shared" si="218"/>
        <v>0</v>
      </c>
    </row>
    <row r="2539" spans="2:28" ht="20.100000000000001" customHeight="1">
      <c r="B2539" s="172"/>
      <c r="C2539" s="174"/>
      <c r="D2539" s="181"/>
      <c r="E2539" s="173"/>
      <c r="F2539" s="176"/>
      <c r="G2539" s="175">
        <f t="shared" si="220"/>
        <v>0</v>
      </c>
      <c r="H2539" s="175">
        <f t="shared" si="213"/>
        <v>0</v>
      </c>
      <c r="I2539" s="177">
        <f>IF(G2539=0,0,IF(E2539="MXN",1/HLOOKUP(YEAR(C2539)+(MONTH(C2539)/100),TC!$5:$37,DAY(C2539)+2,FALSE),VLOOKUP(E2539,Equivalencia!$5:$23,((MAX(Equivalencia!$3:$3)-YEAR(C2539))*14)+MONTH(C2539)+2,FALSE)))</f>
        <v>0</v>
      </c>
      <c r="J2539" s="178">
        <f t="shared" si="221"/>
        <v>0</v>
      </c>
      <c r="K2539" s="462">
        <f>IF(C2539=0,0,VLOOKUP(YEAR(C2539),INPC!$B$4:$O$29,MONTH(C2539)+1))</f>
        <v>0</v>
      </c>
      <c r="L2539" s="462">
        <f>IF(S2539=0,0,VLOOKUP(YEAR(S2539),INPC!$B$4:$O$29,MONTH(S2539)+1))</f>
        <v>0</v>
      </c>
      <c r="M2539" s="463">
        <f t="shared" si="214"/>
        <v>0</v>
      </c>
      <c r="N2539" s="465">
        <f t="shared" si="222"/>
        <v>0</v>
      </c>
      <c r="O2539" s="179"/>
      <c r="P2539" s="180"/>
      <c r="Q2539" s="173"/>
      <c r="R2539" s="173"/>
      <c r="S2539" s="174"/>
      <c r="T2539" s="173"/>
      <c r="U2539" s="182"/>
      <c r="V2539" s="177">
        <f>IF(U2539=0,0,IF(T2539="MXN",1/HLOOKUP(YEAR(S2539)+(MONTH(S2539)/100),TC!$5:$37,DAY(S2539)+2,FALSE),VLOOKUP(T2539,Equivalencia!$1:$23,((MAX(Equivalencia!$3:$3)-YEAR(S2539))*14)+MONTH(S2539)+2,FALSE)))</f>
        <v>0</v>
      </c>
      <c r="W2539" s="178">
        <f t="shared" si="219"/>
        <v>0</v>
      </c>
      <c r="X2539" s="481">
        <f t="shared" si="215"/>
        <v>0</v>
      </c>
      <c r="Y2539" s="179"/>
      <c r="Z2539" s="466">
        <f t="shared" si="216"/>
        <v>0</v>
      </c>
      <c r="AA2539" s="473">
        <f t="shared" si="217"/>
        <v>0</v>
      </c>
      <c r="AB2539" s="339">
        <f t="shared" si="218"/>
        <v>0</v>
      </c>
    </row>
    <row r="2540" spans="2:28" ht="20.100000000000001" customHeight="1">
      <c r="B2540" s="172"/>
      <c r="C2540" s="174"/>
      <c r="D2540" s="181"/>
      <c r="E2540" s="173"/>
      <c r="F2540" s="176"/>
      <c r="G2540" s="175">
        <f t="shared" si="220"/>
        <v>0</v>
      </c>
      <c r="H2540" s="175">
        <f t="shared" si="213"/>
        <v>0</v>
      </c>
      <c r="I2540" s="177">
        <f>IF(G2540=0,0,IF(E2540="MXN",1/HLOOKUP(YEAR(C2540)+(MONTH(C2540)/100),TC!$5:$37,DAY(C2540)+2,FALSE),VLOOKUP(E2540,Equivalencia!$5:$23,((MAX(Equivalencia!$3:$3)-YEAR(C2540))*14)+MONTH(C2540)+2,FALSE)))</f>
        <v>0</v>
      </c>
      <c r="J2540" s="178">
        <f t="shared" si="221"/>
        <v>0</v>
      </c>
      <c r="K2540" s="462">
        <f>IF(C2540=0,0,VLOOKUP(YEAR(C2540),INPC!$B$4:$O$29,MONTH(C2540)+1))</f>
        <v>0</v>
      </c>
      <c r="L2540" s="462">
        <f>IF(S2540=0,0,VLOOKUP(YEAR(S2540),INPC!$B$4:$O$29,MONTH(S2540)+1))</f>
        <v>0</v>
      </c>
      <c r="M2540" s="463">
        <f t="shared" si="214"/>
        <v>0</v>
      </c>
      <c r="N2540" s="465">
        <f t="shared" si="222"/>
        <v>0</v>
      </c>
      <c r="O2540" s="179"/>
      <c r="P2540" s="180"/>
      <c r="Q2540" s="173"/>
      <c r="R2540" s="173"/>
      <c r="S2540" s="174"/>
      <c r="T2540" s="173"/>
      <c r="U2540" s="182"/>
      <c r="V2540" s="177">
        <f>IF(U2540=0,0,IF(T2540="MXN",1/HLOOKUP(YEAR(S2540)+(MONTH(S2540)/100),TC!$5:$37,DAY(S2540)+2,FALSE),VLOOKUP(T2540,Equivalencia!$1:$23,((MAX(Equivalencia!$3:$3)-YEAR(S2540))*14)+MONTH(S2540)+2,FALSE)))</f>
        <v>0</v>
      </c>
      <c r="W2540" s="178">
        <f t="shared" si="219"/>
        <v>0</v>
      </c>
      <c r="X2540" s="481">
        <f t="shared" si="215"/>
        <v>0</v>
      </c>
      <c r="Y2540" s="179"/>
      <c r="Z2540" s="466">
        <f t="shared" si="216"/>
        <v>0</v>
      </c>
      <c r="AA2540" s="473">
        <f t="shared" si="217"/>
        <v>0</v>
      </c>
      <c r="AB2540" s="339">
        <f t="shared" si="218"/>
        <v>0</v>
      </c>
    </row>
    <row r="2541" spans="2:28" ht="20.100000000000001" customHeight="1">
      <c r="B2541" s="172"/>
      <c r="C2541" s="174"/>
      <c r="D2541" s="181"/>
      <c r="E2541" s="173"/>
      <c r="F2541" s="176"/>
      <c r="G2541" s="175">
        <f t="shared" si="220"/>
        <v>0</v>
      </c>
      <c r="H2541" s="175">
        <f t="shared" si="213"/>
        <v>0</v>
      </c>
      <c r="I2541" s="177">
        <f>IF(G2541=0,0,IF(E2541="MXN",1/HLOOKUP(YEAR(C2541)+(MONTH(C2541)/100),TC!$5:$37,DAY(C2541)+2,FALSE),VLOOKUP(E2541,Equivalencia!$5:$23,((MAX(Equivalencia!$3:$3)-YEAR(C2541))*14)+MONTH(C2541)+2,FALSE)))</f>
        <v>0</v>
      </c>
      <c r="J2541" s="178">
        <f t="shared" si="221"/>
        <v>0</v>
      </c>
      <c r="K2541" s="462">
        <f>IF(C2541=0,0,VLOOKUP(YEAR(C2541),INPC!$B$4:$O$29,MONTH(C2541)+1))</f>
        <v>0</v>
      </c>
      <c r="L2541" s="462">
        <f>IF(S2541=0,0,VLOOKUP(YEAR(S2541),INPC!$B$4:$O$29,MONTH(S2541)+1))</f>
        <v>0</v>
      </c>
      <c r="M2541" s="463">
        <f t="shared" si="214"/>
        <v>0</v>
      </c>
      <c r="N2541" s="465">
        <f t="shared" si="222"/>
        <v>0</v>
      </c>
      <c r="O2541" s="179"/>
      <c r="P2541" s="180"/>
      <c r="Q2541" s="173"/>
      <c r="R2541" s="173"/>
      <c r="S2541" s="174"/>
      <c r="T2541" s="173"/>
      <c r="U2541" s="182"/>
      <c r="V2541" s="177">
        <f>IF(U2541=0,0,IF(T2541="MXN",1/HLOOKUP(YEAR(S2541)+(MONTH(S2541)/100),TC!$5:$37,DAY(S2541)+2,FALSE),VLOOKUP(T2541,Equivalencia!$1:$23,((MAX(Equivalencia!$3:$3)-YEAR(S2541))*14)+MONTH(S2541)+2,FALSE)))</f>
        <v>0</v>
      </c>
      <c r="W2541" s="178">
        <f t="shared" si="219"/>
        <v>0</v>
      </c>
      <c r="X2541" s="481">
        <f t="shared" si="215"/>
        <v>0</v>
      </c>
      <c r="Y2541" s="179"/>
      <c r="Z2541" s="466">
        <f t="shared" si="216"/>
        <v>0</v>
      </c>
      <c r="AA2541" s="473">
        <f t="shared" si="217"/>
        <v>0</v>
      </c>
      <c r="AB2541" s="339">
        <f t="shared" si="218"/>
        <v>0</v>
      </c>
    </row>
    <row r="2542" spans="2:28" ht="20.100000000000001" customHeight="1">
      <c r="B2542" s="172"/>
      <c r="C2542" s="174"/>
      <c r="D2542" s="181"/>
      <c r="E2542" s="173"/>
      <c r="F2542" s="176"/>
      <c r="G2542" s="175">
        <f t="shared" si="220"/>
        <v>0</v>
      </c>
      <c r="H2542" s="175">
        <f t="shared" si="213"/>
        <v>0</v>
      </c>
      <c r="I2542" s="177">
        <f>IF(G2542=0,0,IF(E2542="MXN",1/HLOOKUP(YEAR(C2542)+(MONTH(C2542)/100),TC!$5:$37,DAY(C2542)+2,FALSE),VLOOKUP(E2542,Equivalencia!$5:$23,((MAX(Equivalencia!$3:$3)-YEAR(C2542))*14)+MONTH(C2542)+2,FALSE)))</f>
        <v>0</v>
      </c>
      <c r="J2542" s="178">
        <f t="shared" si="221"/>
        <v>0</v>
      </c>
      <c r="K2542" s="462">
        <f>IF(C2542=0,0,VLOOKUP(YEAR(C2542),INPC!$B$4:$O$29,MONTH(C2542)+1))</f>
        <v>0</v>
      </c>
      <c r="L2542" s="462">
        <f>IF(S2542=0,0,VLOOKUP(YEAR(S2542),INPC!$B$4:$O$29,MONTH(S2542)+1))</f>
        <v>0</v>
      </c>
      <c r="M2542" s="463">
        <f t="shared" si="214"/>
        <v>0</v>
      </c>
      <c r="N2542" s="465">
        <f t="shared" si="222"/>
        <v>0</v>
      </c>
      <c r="O2542" s="179"/>
      <c r="P2542" s="180"/>
      <c r="Q2542" s="173"/>
      <c r="R2542" s="173"/>
      <c r="S2542" s="174"/>
      <c r="T2542" s="173"/>
      <c r="U2542" s="182"/>
      <c r="V2542" s="177">
        <f>IF(U2542=0,0,IF(T2542="MXN",1/HLOOKUP(YEAR(S2542)+(MONTH(S2542)/100),TC!$5:$37,DAY(S2542)+2,FALSE),VLOOKUP(T2542,Equivalencia!$1:$23,((MAX(Equivalencia!$3:$3)-YEAR(S2542))*14)+MONTH(S2542)+2,FALSE)))</f>
        <v>0</v>
      </c>
      <c r="W2542" s="178">
        <f t="shared" si="219"/>
        <v>0</v>
      </c>
      <c r="X2542" s="481">
        <f t="shared" si="215"/>
        <v>0</v>
      </c>
      <c r="Y2542" s="179"/>
      <c r="Z2542" s="466">
        <f t="shared" si="216"/>
        <v>0</v>
      </c>
      <c r="AA2542" s="473">
        <f t="shared" si="217"/>
        <v>0</v>
      </c>
      <c r="AB2542" s="339">
        <f t="shared" si="218"/>
        <v>0</v>
      </c>
    </row>
    <row r="2543" spans="2:28" ht="20.100000000000001" customHeight="1">
      <c r="B2543" s="172"/>
      <c r="C2543" s="174"/>
      <c r="D2543" s="181"/>
      <c r="E2543" s="173"/>
      <c r="F2543" s="176"/>
      <c r="G2543" s="175">
        <f t="shared" si="220"/>
        <v>0</v>
      </c>
      <c r="H2543" s="175">
        <f t="shared" si="213"/>
        <v>0</v>
      </c>
      <c r="I2543" s="177">
        <f>IF(G2543=0,0,IF(E2543="MXN",1/HLOOKUP(YEAR(C2543)+(MONTH(C2543)/100),TC!$5:$37,DAY(C2543)+2,FALSE),VLOOKUP(E2543,Equivalencia!$5:$23,((MAX(Equivalencia!$3:$3)-YEAR(C2543))*14)+MONTH(C2543)+2,FALSE)))</f>
        <v>0</v>
      </c>
      <c r="J2543" s="178">
        <f t="shared" si="221"/>
        <v>0</v>
      </c>
      <c r="K2543" s="462">
        <f>IF(C2543=0,0,VLOOKUP(YEAR(C2543),INPC!$B$4:$O$29,MONTH(C2543)+1))</f>
        <v>0</v>
      </c>
      <c r="L2543" s="462">
        <f>IF(S2543=0,0,VLOOKUP(YEAR(S2543),INPC!$B$4:$O$29,MONTH(S2543)+1))</f>
        <v>0</v>
      </c>
      <c r="M2543" s="463">
        <f t="shared" si="214"/>
        <v>0</v>
      </c>
      <c r="N2543" s="465">
        <f t="shared" si="222"/>
        <v>0</v>
      </c>
      <c r="O2543" s="179"/>
      <c r="P2543" s="180"/>
      <c r="Q2543" s="173"/>
      <c r="R2543" s="173"/>
      <c r="S2543" s="174"/>
      <c r="T2543" s="173"/>
      <c r="U2543" s="182"/>
      <c r="V2543" s="177">
        <f>IF(U2543=0,0,IF(T2543="MXN",1/HLOOKUP(YEAR(S2543)+(MONTH(S2543)/100),TC!$5:$37,DAY(S2543)+2,FALSE),VLOOKUP(T2543,Equivalencia!$1:$23,((MAX(Equivalencia!$3:$3)-YEAR(S2543))*14)+MONTH(S2543)+2,FALSE)))</f>
        <v>0</v>
      </c>
      <c r="W2543" s="178">
        <f t="shared" si="219"/>
        <v>0</v>
      </c>
      <c r="X2543" s="481">
        <f t="shared" si="215"/>
        <v>0</v>
      </c>
      <c r="Y2543" s="179"/>
      <c r="Z2543" s="466">
        <f t="shared" si="216"/>
        <v>0</v>
      </c>
      <c r="AA2543" s="473">
        <f t="shared" si="217"/>
        <v>0</v>
      </c>
      <c r="AB2543" s="339">
        <f t="shared" si="218"/>
        <v>0</v>
      </c>
    </row>
    <row r="2544" spans="2:28" ht="20.100000000000001" customHeight="1">
      <c r="B2544" s="172"/>
      <c r="C2544" s="174"/>
      <c r="D2544" s="181"/>
      <c r="E2544" s="173"/>
      <c r="F2544" s="176"/>
      <c r="G2544" s="175">
        <f t="shared" si="220"/>
        <v>0</v>
      </c>
      <c r="H2544" s="175">
        <f t="shared" si="213"/>
        <v>0</v>
      </c>
      <c r="I2544" s="177">
        <f>IF(G2544=0,0,IF(E2544="MXN",1/HLOOKUP(YEAR(C2544)+(MONTH(C2544)/100),TC!$5:$37,DAY(C2544)+2,FALSE),VLOOKUP(E2544,Equivalencia!$5:$23,((MAX(Equivalencia!$3:$3)-YEAR(C2544))*14)+MONTH(C2544)+2,FALSE)))</f>
        <v>0</v>
      </c>
      <c r="J2544" s="178">
        <f t="shared" si="221"/>
        <v>0</v>
      </c>
      <c r="K2544" s="462">
        <f>IF(C2544=0,0,VLOOKUP(YEAR(C2544),INPC!$B$4:$O$29,MONTH(C2544)+1))</f>
        <v>0</v>
      </c>
      <c r="L2544" s="462">
        <f>IF(S2544=0,0,VLOOKUP(YEAR(S2544),INPC!$B$4:$O$29,MONTH(S2544)+1))</f>
        <v>0</v>
      </c>
      <c r="M2544" s="463">
        <f t="shared" si="214"/>
        <v>0</v>
      </c>
      <c r="N2544" s="465">
        <f t="shared" si="222"/>
        <v>0</v>
      </c>
      <c r="O2544" s="179"/>
      <c r="P2544" s="180"/>
      <c r="Q2544" s="173"/>
      <c r="R2544" s="173"/>
      <c r="S2544" s="174"/>
      <c r="T2544" s="173"/>
      <c r="U2544" s="182"/>
      <c r="V2544" s="177">
        <f>IF(U2544=0,0,IF(T2544="MXN",1/HLOOKUP(YEAR(S2544)+(MONTH(S2544)/100),TC!$5:$37,DAY(S2544)+2,FALSE),VLOOKUP(T2544,Equivalencia!$1:$23,((MAX(Equivalencia!$3:$3)-YEAR(S2544))*14)+MONTH(S2544)+2,FALSE)))</f>
        <v>0</v>
      </c>
      <c r="W2544" s="178">
        <f t="shared" si="219"/>
        <v>0</v>
      </c>
      <c r="X2544" s="481">
        <f t="shared" si="215"/>
        <v>0</v>
      </c>
      <c r="Y2544" s="179"/>
      <c r="Z2544" s="466">
        <f t="shared" si="216"/>
        <v>0</v>
      </c>
      <c r="AA2544" s="473">
        <f t="shared" si="217"/>
        <v>0</v>
      </c>
      <c r="AB2544" s="339">
        <f t="shared" si="218"/>
        <v>0</v>
      </c>
    </row>
    <row r="2545" spans="2:28" ht="20.100000000000001" customHeight="1">
      <c r="B2545" s="172"/>
      <c r="C2545" s="174"/>
      <c r="D2545" s="181"/>
      <c r="E2545" s="173"/>
      <c r="F2545" s="176"/>
      <c r="G2545" s="175">
        <f t="shared" si="220"/>
        <v>0</v>
      </c>
      <c r="H2545" s="175">
        <f t="shared" si="213"/>
        <v>0</v>
      </c>
      <c r="I2545" s="177">
        <f>IF(G2545=0,0,IF(E2545="MXN",1/HLOOKUP(YEAR(C2545)+(MONTH(C2545)/100),TC!$5:$37,DAY(C2545)+2,FALSE),VLOOKUP(E2545,Equivalencia!$5:$23,((MAX(Equivalencia!$3:$3)-YEAR(C2545))*14)+MONTH(C2545)+2,FALSE)))</f>
        <v>0</v>
      </c>
      <c r="J2545" s="178">
        <f t="shared" si="221"/>
        <v>0</v>
      </c>
      <c r="K2545" s="462">
        <f>IF(C2545=0,0,VLOOKUP(YEAR(C2545),INPC!$B$4:$O$29,MONTH(C2545)+1))</f>
        <v>0</v>
      </c>
      <c r="L2545" s="462">
        <f>IF(S2545=0,0,VLOOKUP(YEAR(S2545),INPC!$B$4:$O$29,MONTH(S2545)+1))</f>
        <v>0</v>
      </c>
      <c r="M2545" s="463">
        <f t="shared" si="214"/>
        <v>0</v>
      </c>
      <c r="N2545" s="465">
        <f t="shared" si="222"/>
        <v>0</v>
      </c>
      <c r="O2545" s="179"/>
      <c r="P2545" s="180"/>
      <c r="Q2545" s="173"/>
      <c r="R2545" s="173"/>
      <c r="S2545" s="174"/>
      <c r="T2545" s="173"/>
      <c r="U2545" s="182"/>
      <c r="V2545" s="177">
        <f>IF(U2545=0,0,IF(T2545="MXN",1/HLOOKUP(YEAR(S2545)+(MONTH(S2545)/100),TC!$5:$37,DAY(S2545)+2,FALSE),VLOOKUP(T2545,Equivalencia!$1:$23,((MAX(Equivalencia!$3:$3)-YEAR(S2545))*14)+MONTH(S2545)+2,FALSE)))</f>
        <v>0</v>
      </c>
      <c r="W2545" s="178">
        <f t="shared" si="219"/>
        <v>0</v>
      </c>
      <c r="X2545" s="481">
        <f t="shared" si="215"/>
        <v>0</v>
      </c>
      <c r="Y2545" s="179"/>
      <c r="Z2545" s="466">
        <f t="shared" si="216"/>
        <v>0</v>
      </c>
      <c r="AA2545" s="473">
        <f t="shared" si="217"/>
        <v>0</v>
      </c>
      <c r="AB2545" s="339">
        <f t="shared" si="218"/>
        <v>0</v>
      </c>
    </row>
    <row r="2546" spans="2:28" ht="20.100000000000001" customHeight="1">
      <c r="B2546" s="172"/>
      <c r="C2546" s="174"/>
      <c r="D2546" s="181"/>
      <c r="E2546" s="173"/>
      <c r="F2546" s="176"/>
      <c r="G2546" s="175">
        <f t="shared" si="220"/>
        <v>0</v>
      </c>
      <c r="H2546" s="175">
        <f t="shared" si="213"/>
        <v>0</v>
      </c>
      <c r="I2546" s="177">
        <f>IF(G2546=0,0,IF(E2546="MXN",1/HLOOKUP(YEAR(C2546)+(MONTH(C2546)/100),TC!$5:$37,DAY(C2546)+2,FALSE),VLOOKUP(E2546,Equivalencia!$5:$23,((MAX(Equivalencia!$3:$3)-YEAR(C2546))*14)+MONTH(C2546)+2,FALSE)))</f>
        <v>0</v>
      </c>
      <c r="J2546" s="178">
        <f t="shared" si="221"/>
        <v>0</v>
      </c>
      <c r="K2546" s="462">
        <f>IF(C2546=0,0,VLOOKUP(YEAR(C2546),INPC!$B$4:$O$29,MONTH(C2546)+1))</f>
        <v>0</v>
      </c>
      <c r="L2546" s="462">
        <f>IF(S2546=0,0,VLOOKUP(YEAR(S2546),INPC!$B$4:$O$29,MONTH(S2546)+1))</f>
        <v>0</v>
      </c>
      <c r="M2546" s="463">
        <f t="shared" si="214"/>
        <v>0</v>
      </c>
      <c r="N2546" s="465">
        <f t="shared" si="222"/>
        <v>0</v>
      </c>
      <c r="O2546" s="179"/>
      <c r="P2546" s="180"/>
      <c r="Q2546" s="173"/>
      <c r="R2546" s="173"/>
      <c r="S2546" s="174"/>
      <c r="T2546" s="173"/>
      <c r="U2546" s="182"/>
      <c r="V2546" s="177">
        <f>IF(U2546=0,0,IF(T2546="MXN",1/HLOOKUP(YEAR(S2546)+(MONTH(S2546)/100),TC!$5:$37,DAY(S2546)+2,FALSE),VLOOKUP(T2546,Equivalencia!$1:$23,((MAX(Equivalencia!$3:$3)-YEAR(S2546))*14)+MONTH(S2546)+2,FALSE)))</f>
        <v>0</v>
      </c>
      <c r="W2546" s="178">
        <f t="shared" si="219"/>
        <v>0</v>
      </c>
      <c r="X2546" s="481">
        <f t="shared" si="215"/>
        <v>0</v>
      </c>
      <c r="Y2546" s="179"/>
      <c r="Z2546" s="466">
        <f t="shared" si="216"/>
        <v>0</v>
      </c>
      <c r="AA2546" s="473">
        <f t="shared" si="217"/>
        <v>0</v>
      </c>
      <c r="AB2546" s="339">
        <f t="shared" si="218"/>
        <v>0</v>
      </c>
    </row>
    <row r="2547" spans="2:28" ht="20.100000000000001" customHeight="1">
      <c r="B2547" s="172"/>
      <c r="C2547" s="174"/>
      <c r="D2547" s="181"/>
      <c r="E2547" s="173"/>
      <c r="F2547" s="176"/>
      <c r="G2547" s="175">
        <f t="shared" si="220"/>
        <v>0</v>
      </c>
      <c r="H2547" s="175">
        <f t="shared" si="213"/>
        <v>0</v>
      </c>
      <c r="I2547" s="177">
        <f>IF(G2547=0,0,IF(E2547="MXN",1/HLOOKUP(YEAR(C2547)+(MONTH(C2547)/100),TC!$5:$37,DAY(C2547)+2,FALSE),VLOOKUP(E2547,Equivalencia!$5:$23,((MAX(Equivalencia!$3:$3)-YEAR(C2547))*14)+MONTH(C2547)+2,FALSE)))</f>
        <v>0</v>
      </c>
      <c r="J2547" s="178">
        <f t="shared" si="221"/>
        <v>0</v>
      </c>
      <c r="K2547" s="462">
        <f>IF(C2547=0,0,VLOOKUP(YEAR(C2547),INPC!$B$4:$O$29,MONTH(C2547)+1))</f>
        <v>0</v>
      </c>
      <c r="L2547" s="462">
        <f>IF(S2547=0,0,VLOOKUP(YEAR(S2547),INPC!$B$4:$O$29,MONTH(S2547)+1))</f>
        <v>0</v>
      </c>
      <c r="M2547" s="463">
        <f t="shared" si="214"/>
        <v>0</v>
      </c>
      <c r="N2547" s="465">
        <f t="shared" si="222"/>
        <v>0</v>
      </c>
      <c r="O2547" s="179"/>
      <c r="P2547" s="180"/>
      <c r="Q2547" s="173"/>
      <c r="R2547" s="173"/>
      <c r="S2547" s="174"/>
      <c r="T2547" s="173"/>
      <c r="U2547" s="182"/>
      <c r="V2547" s="177">
        <f>IF(U2547=0,0,IF(T2547="MXN",1/HLOOKUP(YEAR(S2547)+(MONTH(S2547)/100),TC!$5:$37,DAY(S2547)+2,FALSE),VLOOKUP(T2547,Equivalencia!$1:$23,((MAX(Equivalencia!$3:$3)-YEAR(S2547))*14)+MONTH(S2547)+2,FALSE)))</f>
        <v>0</v>
      </c>
      <c r="W2547" s="178">
        <f t="shared" si="219"/>
        <v>0</v>
      </c>
      <c r="X2547" s="481">
        <f t="shared" si="215"/>
        <v>0</v>
      </c>
      <c r="Y2547" s="179"/>
      <c r="Z2547" s="466">
        <f t="shared" si="216"/>
        <v>0</v>
      </c>
      <c r="AA2547" s="473">
        <f t="shared" si="217"/>
        <v>0</v>
      </c>
      <c r="AB2547" s="339">
        <f t="shared" si="218"/>
        <v>0</v>
      </c>
    </row>
    <row r="2548" spans="2:28" ht="20.100000000000001" customHeight="1">
      <c r="B2548" s="172"/>
      <c r="C2548" s="174"/>
      <c r="D2548" s="181"/>
      <c r="E2548" s="173"/>
      <c r="F2548" s="176"/>
      <c r="G2548" s="175">
        <f t="shared" si="220"/>
        <v>0</v>
      </c>
      <c r="H2548" s="175">
        <f t="shared" si="213"/>
        <v>0</v>
      </c>
      <c r="I2548" s="177">
        <f>IF(G2548=0,0,IF(E2548="MXN",1/HLOOKUP(YEAR(C2548)+(MONTH(C2548)/100),TC!$5:$37,DAY(C2548)+2,FALSE),VLOOKUP(E2548,Equivalencia!$5:$23,((MAX(Equivalencia!$3:$3)-YEAR(C2548))*14)+MONTH(C2548)+2,FALSE)))</f>
        <v>0</v>
      </c>
      <c r="J2548" s="178">
        <f t="shared" si="221"/>
        <v>0</v>
      </c>
      <c r="K2548" s="462">
        <f>IF(C2548=0,0,VLOOKUP(YEAR(C2548),INPC!$B$4:$O$29,MONTH(C2548)+1))</f>
        <v>0</v>
      </c>
      <c r="L2548" s="462">
        <f>IF(S2548=0,0,VLOOKUP(YEAR(S2548),INPC!$B$4:$O$29,MONTH(S2548)+1))</f>
        <v>0</v>
      </c>
      <c r="M2548" s="463">
        <f t="shared" si="214"/>
        <v>0</v>
      </c>
      <c r="N2548" s="465">
        <f t="shared" si="222"/>
        <v>0</v>
      </c>
      <c r="O2548" s="179"/>
      <c r="P2548" s="180"/>
      <c r="Q2548" s="173"/>
      <c r="R2548" s="173"/>
      <c r="S2548" s="174"/>
      <c r="T2548" s="173"/>
      <c r="U2548" s="182"/>
      <c r="V2548" s="177">
        <f>IF(U2548=0,0,IF(T2548="MXN",1/HLOOKUP(YEAR(S2548)+(MONTH(S2548)/100),TC!$5:$37,DAY(S2548)+2,FALSE),VLOOKUP(T2548,Equivalencia!$1:$23,((MAX(Equivalencia!$3:$3)-YEAR(S2548))*14)+MONTH(S2548)+2,FALSE)))</f>
        <v>0</v>
      </c>
      <c r="W2548" s="178">
        <f t="shared" si="219"/>
        <v>0</v>
      </c>
      <c r="X2548" s="481">
        <f t="shared" si="215"/>
        <v>0</v>
      </c>
      <c r="Y2548" s="179"/>
      <c r="Z2548" s="466">
        <f t="shared" si="216"/>
        <v>0</v>
      </c>
      <c r="AA2548" s="473">
        <f t="shared" si="217"/>
        <v>0</v>
      </c>
      <c r="AB2548" s="339">
        <f t="shared" si="218"/>
        <v>0</v>
      </c>
    </row>
    <row r="2549" spans="2:28" ht="20.100000000000001" customHeight="1">
      <c r="B2549" s="172"/>
      <c r="C2549" s="174"/>
      <c r="D2549" s="181"/>
      <c r="E2549" s="173"/>
      <c r="F2549" s="176"/>
      <c r="G2549" s="175">
        <f t="shared" si="220"/>
        <v>0</v>
      </c>
      <c r="H2549" s="175">
        <f t="shared" si="213"/>
        <v>0</v>
      </c>
      <c r="I2549" s="177">
        <f>IF(G2549=0,0,IF(E2549="MXN",1/HLOOKUP(YEAR(C2549)+(MONTH(C2549)/100),TC!$5:$37,DAY(C2549)+2,FALSE),VLOOKUP(E2549,Equivalencia!$5:$23,((MAX(Equivalencia!$3:$3)-YEAR(C2549))*14)+MONTH(C2549)+2,FALSE)))</f>
        <v>0</v>
      </c>
      <c r="J2549" s="178">
        <f t="shared" si="221"/>
        <v>0</v>
      </c>
      <c r="K2549" s="462">
        <f>IF(C2549=0,0,VLOOKUP(YEAR(C2549),INPC!$B$4:$O$29,MONTH(C2549)+1))</f>
        <v>0</v>
      </c>
      <c r="L2549" s="462">
        <f>IF(S2549=0,0,VLOOKUP(YEAR(S2549),INPC!$B$4:$O$29,MONTH(S2549)+1))</f>
        <v>0</v>
      </c>
      <c r="M2549" s="463">
        <f t="shared" si="214"/>
        <v>0</v>
      </c>
      <c r="N2549" s="465">
        <f t="shared" si="222"/>
        <v>0</v>
      </c>
      <c r="O2549" s="179"/>
      <c r="P2549" s="180"/>
      <c r="Q2549" s="173"/>
      <c r="R2549" s="173"/>
      <c r="S2549" s="174"/>
      <c r="T2549" s="173"/>
      <c r="U2549" s="182"/>
      <c r="V2549" s="177">
        <f>IF(U2549=0,0,IF(T2549="MXN",1/HLOOKUP(YEAR(S2549)+(MONTH(S2549)/100),TC!$5:$37,DAY(S2549)+2,FALSE),VLOOKUP(T2549,Equivalencia!$1:$23,((MAX(Equivalencia!$3:$3)-YEAR(S2549))*14)+MONTH(S2549)+2,FALSE)))</f>
        <v>0</v>
      </c>
      <c r="W2549" s="178">
        <f t="shared" si="219"/>
        <v>0</v>
      </c>
      <c r="X2549" s="481">
        <f t="shared" si="215"/>
        <v>0</v>
      </c>
      <c r="Y2549" s="179"/>
      <c r="Z2549" s="466">
        <f t="shared" si="216"/>
        <v>0</v>
      </c>
      <c r="AA2549" s="473">
        <f t="shared" si="217"/>
        <v>0</v>
      </c>
      <c r="AB2549" s="339">
        <f t="shared" si="218"/>
        <v>0</v>
      </c>
    </row>
    <row r="2550" spans="2:28" ht="20.100000000000001" customHeight="1">
      <c r="B2550" s="172"/>
      <c r="C2550" s="174"/>
      <c r="D2550" s="181"/>
      <c r="E2550" s="173"/>
      <c r="F2550" s="176"/>
      <c r="G2550" s="175">
        <f t="shared" si="220"/>
        <v>0</v>
      </c>
      <c r="H2550" s="175">
        <f t="shared" si="213"/>
        <v>0</v>
      </c>
      <c r="I2550" s="177">
        <f>IF(G2550=0,0,IF(E2550="MXN",1/HLOOKUP(YEAR(C2550)+(MONTH(C2550)/100),TC!$5:$37,DAY(C2550)+2,FALSE),VLOOKUP(E2550,Equivalencia!$5:$23,((MAX(Equivalencia!$3:$3)-YEAR(C2550))*14)+MONTH(C2550)+2,FALSE)))</f>
        <v>0</v>
      </c>
      <c r="J2550" s="178">
        <f t="shared" si="221"/>
        <v>0</v>
      </c>
      <c r="K2550" s="462">
        <f>IF(C2550=0,0,VLOOKUP(YEAR(C2550),INPC!$B$4:$O$29,MONTH(C2550)+1))</f>
        <v>0</v>
      </c>
      <c r="L2550" s="462">
        <f>IF(S2550=0,0,VLOOKUP(YEAR(S2550),INPC!$B$4:$O$29,MONTH(S2550)+1))</f>
        <v>0</v>
      </c>
      <c r="M2550" s="463">
        <f t="shared" si="214"/>
        <v>0</v>
      </c>
      <c r="N2550" s="465">
        <f t="shared" si="222"/>
        <v>0</v>
      </c>
      <c r="O2550" s="179"/>
      <c r="P2550" s="180"/>
      <c r="Q2550" s="173"/>
      <c r="R2550" s="173"/>
      <c r="S2550" s="174"/>
      <c r="T2550" s="173"/>
      <c r="U2550" s="182"/>
      <c r="V2550" s="177">
        <f>IF(U2550=0,0,IF(T2550="MXN",1/HLOOKUP(YEAR(S2550)+(MONTH(S2550)/100),TC!$5:$37,DAY(S2550)+2,FALSE),VLOOKUP(T2550,Equivalencia!$1:$23,((MAX(Equivalencia!$3:$3)-YEAR(S2550))*14)+MONTH(S2550)+2,FALSE)))</f>
        <v>0</v>
      </c>
      <c r="W2550" s="178">
        <f t="shared" si="219"/>
        <v>0</v>
      </c>
      <c r="X2550" s="481">
        <f t="shared" si="215"/>
        <v>0</v>
      </c>
      <c r="Y2550" s="179"/>
      <c r="Z2550" s="466">
        <f t="shared" si="216"/>
        <v>0</v>
      </c>
      <c r="AA2550" s="473">
        <f t="shared" si="217"/>
        <v>0</v>
      </c>
      <c r="AB2550" s="339">
        <f t="shared" si="218"/>
        <v>0</v>
      </c>
    </row>
    <row r="2551" spans="2:28" ht="20.100000000000001" customHeight="1">
      <c r="B2551" s="172"/>
      <c r="C2551" s="174"/>
      <c r="D2551" s="181"/>
      <c r="E2551" s="173"/>
      <c r="F2551" s="176"/>
      <c r="G2551" s="175">
        <f t="shared" si="220"/>
        <v>0</v>
      </c>
      <c r="H2551" s="175">
        <f t="shared" si="213"/>
        <v>0</v>
      </c>
      <c r="I2551" s="177">
        <f>IF(G2551=0,0,IF(E2551="MXN",1/HLOOKUP(YEAR(C2551)+(MONTH(C2551)/100),TC!$5:$37,DAY(C2551)+2,FALSE),VLOOKUP(E2551,Equivalencia!$5:$23,((MAX(Equivalencia!$3:$3)-YEAR(C2551))*14)+MONTH(C2551)+2,FALSE)))</f>
        <v>0</v>
      </c>
      <c r="J2551" s="178">
        <f t="shared" si="221"/>
        <v>0</v>
      </c>
      <c r="K2551" s="462">
        <f>IF(C2551=0,0,VLOOKUP(YEAR(C2551),INPC!$B$4:$O$29,MONTH(C2551)+1))</f>
        <v>0</v>
      </c>
      <c r="L2551" s="462">
        <f>IF(S2551=0,0,VLOOKUP(YEAR(S2551),INPC!$B$4:$O$29,MONTH(S2551)+1))</f>
        <v>0</v>
      </c>
      <c r="M2551" s="463">
        <f t="shared" si="214"/>
        <v>0</v>
      </c>
      <c r="N2551" s="465">
        <f t="shared" si="222"/>
        <v>0</v>
      </c>
      <c r="O2551" s="179"/>
      <c r="P2551" s="180"/>
      <c r="Q2551" s="173"/>
      <c r="R2551" s="173"/>
      <c r="S2551" s="174"/>
      <c r="T2551" s="173"/>
      <c r="U2551" s="182"/>
      <c r="V2551" s="177">
        <f>IF(U2551=0,0,IF(T2551="MXN",1/HLOOKUP(YEAR(S2551)+(MONTH(S2551)/100),TC!$5:$37,DAY(S2551)+2,FALSE),VLOOKUP(T2551,Equivalencia!$1:$23,((MAX(Equivalencia!$3:$3)-YEAR(S2551))*14)+MONTH(S2551)+2,FALSE)))</f>
        <v>0</v>
      </c>
      <c r="W2551" s="178">
        <f t="shared" si="219"/>
        <v>0</v>
      </c>
      <c r="X2551" s="481">
        <f t="shared" si="215"/>
        <v>0</v>
      </c>
      <c r="Y2551" s="179"/>
      <c r="Z2551" s="466">
        <f t="shared" si="216"/>
        <v>0</v>
      </c>
      <c r="AA2551" s="473">
        <f t="shared" si="217"/>
        <v>0</v>
      </c>
      <c r="AB2551" s="339">
        <f t="shared" si="218"/>
        <v>0</v>
      </c>
    </row>
    <row r="2552" spans="2:28" ht="20.100000000000001" customHeight="1">
      <c r="B2552" s="172"/>
      <c r="C2552" s="174"/>
      <c r="D2552" s="181"/>
      <c r="E2552" s="173"/>
      <c r="F2552" s="176"/>
      <c r="G2552" s="175">
        <f t="shared" si="220"/>
        <v>0</v>
      </c>
      <c r="H2552" s="175">
        <f t="shared" si="213"/>
        <v>0</v>
      </c>
      <c r="I2552" s="177">
        <f>IF(G2552=0,0,IF(E2552="MXN",1/HLOOKUP(YEAR(C2552)+(MONTH(C2552)/100),TC!$5:$37,DAY(C2552)+2,FALSE),VLOOKUP(E2552,Equivalencia!$5:$23,((MAX(Equivalencia!$3:$3)-YEAR(C2552))*14)+MONTH(C2552)+2,FALSE)))</f>
        <v>0</v>
      </c>
      <c r="J2552" s="178">
        <f t="shared" si="221"/>
        <v>0</v>
      </c>
      <c r="K2552" s="462">
        <f>IF(C2552=0,0,VLOOKUP(YEAR(C2552),INPC!$B$4:$O$29,MONTH(C2552)+1))</f>
        <v>0</v>
      </c>
      <c r="L2552" s="462">
        <f>IF(S2552=0,0,VLOOKUP(YEAR(S2552),INPC!$B$4:$O$29,MONTH(S2552)+1))</f>
        <v>0</v>
      </c>
      <c r="M2552" s="463">
        <f t="shared" si="214"/>
        <v>0</v>
      </c>
      <c r="N2552" s="465">
        <f t="shared" si="222"/>
        <v>0</v>
      </c>
      <c r="O2552" s="179"/>
      <c r="P2552" s="180"/>
      <c r="Q2552" s="173"/>
      <c r="R2552" s="173"/>
      <c r="S2552" s="174"/>
      <c r="T2552" s="173"/>
      <c r="U2552" s="182"/>
      <c r="V2552" s="177">
        <f>IF(U2552=0,0,IF(T2552="MXN",1/HLOOKUP(YEAR(S2552)+(MONTH(S2552)/100),TC!$5:$37,DAY(S2552)+2,FALSE),VLOOKUP(T2552,Equivalencia!$1:$23,((MAX(Equivalencia!$3:$3)-YEAR(S2552))*14)+MONTH(S2552)+2,FALSE)))</f>
        <v>0</v>
      </c>
      <c r="W2552" s="178">
        <f t="shared" si="219"/>
        <v>0</v>
      </c>
      <c r="X2552" s="481">
        <f t="shared" si="215"/>
        <v>0</v>
      </c>
      <c r="Y2552" s="179"/>
      <c r="Z2552" s="466">
        <f t="shared" si="216"/>
        <v>0</v>
      </c>
      <c r="AA2552" s="473">
        <f t="shared" si="217"/>
        <v>0</v>
      </c>
      <c r="AB2552" s="339">
        <f t="shared" si="218"/>
        <v>0</v>
      </c>
    </row>
    <row r="2553" spans="2:28" ht="20.100000000000001" customHeight="1">
      <c r="B2553" s="172"/>
      <c r="C2553" s="174"/>
      <c r="D2553" s="181"/>
      <c r="E2553" s="173"/>
      <c r="F2553" s="176"/>
      <c r="G2553" s="175">
        <f t="shared" si="220"/>
        <v>0</v>
      </c>
      <c r="H2553" s="175">
        <f t="shared" si="213"/>
        <v>0</v>
      </c>
      <c r="I2553" s="177">
        <f>IF(G2553=0,0,IF(E2553="MXN",1/HLOOKUP(YEAR(C2553)+(MONTH(C2553)/100),TC!$5:$37,DAY(C2553)+2,FALSE),VLOOKUP(E2553,Equivalencia!$5:$23,((MAX(Equivalencia!$3:$3)-YEAR(C2553))*14)+MONTH(C2553)+2,FALSE)))</f>
        <v>0</v>
      </c>
      <c r="J2553" s="178">
        <f t="shared" si="221"/>
        <v>0</v>
      </c>
      <c r="K2553" s="462">
        <f>IF(C2553=0,0,VLOOKUP(YEAR(C2553),INPC!$B$4:$O$29,MONTH(C2553)+1))</f>
        <v>0</v>
      </c>
      <c r="L2553" s="462">
        <f>IF(S2553=0,0,VLOOKUP(YEAR(S2553),INPC!$B$4:$O$29,MONTH(S2553)+1))</f>
        <v>0</v>
      </c>
      <c r="M2553" s="463">
        <f t="shared" si="214"/>
        <v>0</v>
      </c>
      <c r="N2553" s="465">
        <f t="shared" si="222"/>
        <v>0</v>
      </c>
      <c r="O2553" s="179"/>
      <c r="P2553" s="180"/>
      <c r="Q2553" s="173"/>
      <c r="R2553" s="173"/>
      <c r="S2553" s="174"/>
      <c r="T2553" s="173"/>
      <c r="U2553" s="182"/>
      <c r="V2553" s="177">
        <f>IF(U2553=0,0,IF(T2553="MXN",1/HLOOKUP(YEAR(S2553)+(MONTH(S2553)/100),TC!$5:$37,DAY(S2553)+2,FALSE),VLOOKUP(T2553,Equivalencia!$1:$23,((MAX(Equivalencia!$3:$3)-YEAR(S2553))*14)+MONTH(S2553)+2,FALSE)))</f>
        <v>0</v>
      </c>
      <c r="W2553" s="178">
        <f t="shared" si="219"/>
        <v>0</v>
      </c>
      <c r="X2553" s="481">
        <f t="shared" si="215"/>
        <v>0</v>
      </c>
      <c r="Y2553" s="179"/>
      <c r="Z2553" s="466">
        <f t="shared" si="216"/>
        <v>0</v>
      </c>
      <c r="AA2553" s="473">
        <f t="shared" si="217"/>
        <v>0</v>
      </c>
      <c r="AB2553" s="339">
        <f t="shared" si="218"/>
        <v>0</v>
      </c>
    </row>
    <row r="2554" spans="2:28" ht="20.100000000000001" customHeight="1">
      <c r="B2554" s="172"/>
      <c r="C2554" s="174"/>
      <c r="D2554" s="181"/>
      <c r="E2554" s="173"/>
      <c r="F2554" s="176"/>
      <c r="G2554" s="175">
        <f t="shared" si="220"/>
        <v>0</v>
      </c>
      <c r="H2554" s="175">
        <f t="shared" si="213"/>
        <v>0</v>
      </c>
      <c r="I2554" s="177">
        <f>IF(G2554=0,0,IF(E2554="MXN",1/HLOOKUP(YEAR(C2554)+(MONTH(C2554)/100),TC!$5:$37,DAY(C2554)+2,FALSE),VLOOKUP(E2554,Equivalencia!$5:$23,((MAX(Equivalencia!$3:$3)-YEAR(C2554))*14)+MONTH(C2554)+2,FALSE)))</f>
        <v>0</v>
      </c>
      <c r="J2554" s="178">
        <f t="shared" si="221"/>
        <v>0</v>
      </c>
      <c r="K2554" s="462">
        <f>IF(C2554=0,0,VLOOKUP(YEAR(C2554),INPC!$B$4:$O$29,MONTH(C2554)+1))</f>
        <v>0</v>
      </c>
      <c r="L2554" s="462">
        <f>IF(S2554=0,0,VLOOKUP(YEAR(S2554),INPC!$B$4:$O$29,MONTH(S2554)+1))</f>
        <v>0</v>
      </c>
      <c r="M2554" s="463">
        <f t="shared" si="214"/>
        <v>0</v>
      </c>
      <c r="N2554" s="465">
        <f t="shared" si="222"/>
        <v>0</v>
      </c>
      <c r="O2554" s="179"/>
      <c r="P2554" s="180"/>
      <c r="Q2554" s="173"/>
      <c r="R2554" s="173"/>
      <c r="S2554" s="174"/>
      <c r="T2554" s="173"/>
      <c r="U2554" s="182"/>
      <c r="V2554" s="177">
        <f>IF(U2554=0,0,IF(T2554="MXN",1/HLOOKUP(YEAR(S2554)+(MONTH(S2554)/100),TC!$5:$37,DAY(S2554)+2,FALSE),VLOOKUP(T2554,Equivalencia!$1:$23,((MAX(Equivalencia!$3:$3)-YEAR(S2554))*14)+MONTH(S2554)+2,FALSE)))</f>
        <v>0</v>
      </c>
      <c r="W2554" s="178">
        <f t="shared" si="219"/>
        <v>0</v>
      </c>
      <c r="X2554" s="481">
        <f t="shared" si="215"/>
        <v>0</v>
      </c>
      <c r="Y2554" s="179"/>
      <c r="Z2554" s="466">
        <f t="shared" si="216"/>
        <v>0</v>
      </c>
      <c r="AA2554" s="473">
        <f t="shared" si="217"/>
        <v>0</v>
      </c>
      <c r="AB2554" s="339">
        <f t="shared" si="218"/>
        <v>0</v>
      </c>
    </row>
    <row r="2555" spans="2:28" ht="20.100000000000001" customHeight="1">
      <c r="B2555" s="172"/>
      <c r="C2555" s="174"/>
      <c r="D2555" s="181"/>
      <c r="E2555" s="173"/>
      <c r="F2555" s="176"/>
      <c r="G2555" s="175">
        <f t="shared" si="220"/>
        <v>0</v>
      </c>
      <c r="H2555" s="175">
        <f t="shared" si="213"/>
        <v>0</v>
      </c>
      <c r="I2555" s="177">
        <f>IF(G2555=0,0,IF(E2555="MXN",1/HLOOKUP(YEAR(C2555)+(MONTH(C2555)/100),TC!$5:$37,DAY(C2555)+2,FALSE),VLOOKUP(E2555,Equivalencia!$5:$23,((MAX(Equivalencia!$3:$3)-YEAR(C2555))*14)+MONTH(C2555)+2,FALSE)))</f>
        <v>0</v>
      </c>
      <c r="J2555" s="178">
        <f t="shared" si="221"/>
        <v>0</v>
      </c>
      <c r="K2555" s="462">
        <f>IF(C2555=0,0,VLOOKUP(YEAR(C2555),INPC!$B$4:$O$29,MONTH(C2555)+1))</f>
        <v>0</v>
      </c>
      <c r="L2555" s="462">
        <f>IF(S2555=0,0,VLOOKUP(YEAR(S2555),INPC!$B$4:$O$29,MONTH(S2555)+1))</f>
        <v>0</v>
      </c>
      <c r="M2555" s="463">
        <f t="shared" si="214"/>
        <v>0</v>
      </c>
      <c r="N2555" s="465">
        <f t="shared" si="222"/>
        <v>0</v>
      </c>
      <c r="O2555" s="179"/>
      <c r="P2555" s="180"/>
      <c r="Q2555" s="173"/>
      <c r="R2555" s="173"/>
      <c r="S2555" s="174"/>
      <c r="T2555" s="173"/>
      <c r="U2555" s="182"/>
      <c r="V2555" s="177">
        <f>IF(U2555=0,0,IF(T2555="MXN",1/HLOOKUP(YEAR(S2555)+(MONTH(S2555)/100),TC!$5:$37,DAY(S2555)+2,FALSE),VLOOKUP(T2555,Equivalencia!$1:$23,((MAX(Equivalencia!$3:$3)-YEAR(S2555))*14)+MONTH(S2555)+2,FALSE)))</f>
        <v>0</v>
      </c>
      <c r="W2555" s="178">
        <f t="shared" si="219"/>
        <v>0</v>
      </c>
      <c r="X2555" s="481">
        <f t="shared" si="215"/>
        <v>0</v>
      </c>
      <c r="Y2555" s="179"/>
      <c r="Z2555" s="466">
        <f t="shared" si="216"/>
        <v>0</v>
      </c>
      <c r="AA2555" s="473">
        <f t="shared" si="217"/>
        <v>0</v>
      </c>
      <c r="AB2555" s="339">
        <f t="shared" si="218"/>
        <v>0</v>
      </c>
    </row>
    <row r="2556" spans="2:28" ht="20.100000000000001" customHeight="1">
      <c r="B2556" s="172"/>
      <c r="C2556" s="174"/>
      <c r="D2556" s="181"/>
      <c r="E2556" s="173"/>
      <c r="F2556" s="176"/>
      <c r="G2556" s="175">
        <f t="shared" si="220"/>
        <v>0</v>
      </c>
      <c r="H2556" s="175">
        <f t="shared" si="213"/>
        <v>0</v>
      </c>
      <c r="I2556" s="177">
        <f>IF(G2556=0,0,IF(E2556="MXN",1/HLOOKUP(YEAR(C2556)+(MONTH(C2556)/100),TC!$5:$37,DAY(C2556)+2,FALSE),VLOOKUP(E2556,Equivalencia!$5:$23,((MAX(Equivalencia!$3:$3)-YEAR(C2556))*14)+MONTH(C2556)+2,FALSE)))</f>
        <v>0</v>
      </c>
      <c r="J2556" s="178">
        <f t="shared" si="221"/>
        <v>0</v>
      </c>
      <c r="K2556" s="462">
        <f>IF(C2556=0,0,VLOOKUP(YEAR(C2556),INPC!$B$4:$O$29,MONTH(C2556)+1))</f>
        <v>0</v>
      </c>
      <c r="L2556" s="462">
        <f>IF(S2556=0,0,VLOOKUP(YEAR(S2556),INPC!$B$4:$O$29,MONTH(S2556)+1))</f>
        <v>0</v>
      </c>
      <c r="M2556" s="463">
        <f t="shared" si="214"/>
        <v>0</v>
      </c>
      <c r="N2556" s="465">
        <f t="shared" si="222"/>
        <v>0</v>
      </c>
      <c r="O2556" s="179"/>
      <c r="P2556" s="180"/>
      <c r="Q2556" s="173"/>
      <c r="R2556" s="173"/>
      <c r="S2556" s="174"/>
      <c r="T2556" s="173"/>
      <c r="U2556" s="182"/>
      <c r="V2556" s="177">
        <f>IF(U2556=0,0,IF(T2556="MXN",1/HLOOKUP(YEAR(S2556)+(MONTH(S2556)/100),TC!$5:$37,DAY(S2556)+2,FALSE),VLOOKUP(T2556,Equivalencia!$1:$23,((MAX(Equivalencia!$3:$3)-YEAR(S2556))*14)+MONTH(S2556)+2,FALSE)))</f>
        <v>0</v>
      </c>
      <c r="W2556" s="178">
        <f t="shared" si="219"/>
        <v>0</v>
      </c>
      <c r="X2556" s="481">
        <f t="shared" si="215"/>
        <v>0</v>
      </c>
      <c r="Y2556" s="179"/>
      <c r="Z2556" s="466">
        <f t="shared" si="216"/>
        <v>0</v>
      </c>
      <c r="AA2556" s="473">
        <f t="shared" si="217"/>
        <v>0</v>
      </c>
      <c r="AB2556" s="339">
        <f t="shared" si="218"/>
        <v>0</v>
      </c>
    </row>
    <row r="2557" spans="2:28" ht="20.100000000000001" customHeight="1">
      <c r="B2557" s="172"/>
      <c r="C2557" s="174"/>
      <c r="D2557" s="181"/>
      <c r="E2557" s="173"/>
      <c r="F2557" s="176"/>
      <c r="G2557" s="175">
        <f t="shared" si="220"/>
        <v>0</v>
      </c>
      <c r="H2557" s="175">
        <f t="shared" si="213"/>
        <v>0</v>
      </c>
      <c r="I2557" s="177">
        <f>IF(G2557=0,0,IF(E2557="MXN",1/HLOOKUP(YEAR(C2557)+(MONTH(C2557)/100),TC!$5:$37,DAY(C2557)+2,FALSE),VLOOKUP(E2557,Equivalencia!$5:$23,((MAX(Equivalencia!$3:$3)-YEAR(C2557))*14)+MONTH(C2557)+2,FALSE)))</f>
        <v>0</v>
      </c>
      <c r="J2557" s="178">
        <f t="shared" si="221"/>
        <v>0</v>
      </c>
      <c r="K2557" s="462">
        <f>IF(C2557=0,0,VLOOKUP(YEAR(C2557),INPC!$B$4:$O$29,MONTH(C2557)+1))</f>
        <v>0</v>
      </c>
      <c r="L2557" s="462">
        <f>IF(S2557=0,0,VLOOKUP(YEAR(S2557),INPC!$B$4:$O$29,MONTH(S2557)+1))</f>
        <v>0</v>
      </c>
      <c r="M2557" s="463">
        <f t="shared" si="214"/>
        <v>0</v>
      </c>
      <c r="N2557" s="465">
        <f t="shared" si="222"/>
        <v>0</v>
      </c>
      <c r="O2557" s="179"/>
      <c r="P2557" s="180"/>
      <c r="Q2557" s="173"/>
      <c r="R2557" s="173"/>
      <c r="S2557" s="174"/>
      <c r="T2557" s="173"/>
      <c r="U2557" s="182"/>
      <c r="V2557" s="177">
        <f>IF(U2557=0,0,IF(T2557="MXN",1/HLOOKUP(YEAR(S2557)+(MONTH(S2557)/100),TC!$5:$37,DAY(S2557)+2,FALSE),VLOOKUP(T2557,Equivalencia!$1:$23,((MAX(Equivalencia!$3:$3)-YEAR(S2557))*14)+MONTH(S2557)+2,FALSE)))</f>
        <v>0</v>
      </c>
      <c r="W2557" s="178">
        <f t="shared" si="219"/>
        <v>0</v>
      </c>
      <c r="X2557" s="481">
        <f t="shared" si="215"/>
        <v>0</v>
      </c>
      <c r="Y2557" s="179"/>
      <c r="Z2557" s="466">
        <f t="shared" si="216"/>
        <v>0</v>
      </c>
      <c r="AA2557" s="473">
        <f t="shared" si="217"/>
        <v>0</v>
      </c>
      <c r="AB2557" s="339">
        <f t="shared" si="218"/>
        <v>0</v>
      </c>
    </row>
    <row r="2558" spans="2:28" ht="20.100000000000001" customHeight="1">
      <c r="B2558" s="172"/>
      <c r="C2558" s="174"/>
      <c r="D2558" s="181"/>
      <c r="E2558" s="173"/>
      <c r="F2558" s="176"/>
      <c r="G2558" s="175">
        <f t="shared" si="220"/>
        <v>0</v>
      </c>
      <c r="H2558" s="175">
        <f t="shared" si="213"/>
        <v>0</v>
      </c>
      <c r="I2558" s="177">
        <f>IF(G2558=0,0,IF(E2558="MXN",1/HLOOKUP(YEAR(C2558)+(MONTH(C2558)/100),TC!$5:$37,DAY(C2558)+2,FALSE),VLOOKUP(E2558,Equivalencia!$5:$23,((MAX(Equivalencia!$3:$3)-YEAR(C2558))*14)+MONTH(C2558)+2,FALSE)))</f>
        <v>0</v>
      </c>
      <c r="J2558" s="178">
        <f t="shared" si="221"/>
        <v>0</v>
      </c>
      <c r="K2558" s="462">
        <f>IF(C2558=0,0,VLOOKUP(YEAR(C2558),INPC!$B$4:$O$29,MONTH(C2558)+1))</f>
        <v>0</v>
      </c>
      <c r="L2558" s="462">
        <f>IF(S2558=0,0,VLOOKUP(YEAR(S2558),INPC!$B$4:$O$29,MONTH(S2558)+1))</f>
        <v>0</v>
      </c>
      <c r="M2558" s="463">
        <f t="shared" si="214"/>
        <v>0</v>
      </c>
      <c r="N2558" s="465">
        <f t="shared" si="222"/>
        <v>0</v>
      </c>
      <c r="O2558" s="179"/>
      <c r="P2558" s="180"/>
      <c r="Q2558" s="173"/>
      <c r="R2558" s="173"/>
      <c r="S2558" s="174"/>
      <c r="T2558" s="173"/>
      <c r="U2558" s="182"/>
      <c r="V2558" s="177">
        <f>IF(U2558=0,0,IF(T2558="MXN",1/HLOOKUP(YEAR(S2558)+(MONTH(S2558)/100),TC!$5:$37,DAY(S2558)+2,FALSE),VLOOKUP(T2558,Equivalencia!$1:$23,((MAX(Equivalencia!$3:$3)-YEAR(S2558))*14)+MONTH(S2558)+2,FALSE)))</f>
        <v>0</v>
      </c>
      <c r="W2558" s="178">
        <f t="shared" si="219"/>
        <v>0</v>
      </c>
      <c r="X2558" s="481">
        <f t="shared" si="215"/>
        <v>0</v>
      </c>
      <c r="Y2558" s="179"/>
      <c r="Z2558" s="466">
        <f t="shared" si="216"/>
        <v>0</v>
      </c>
      <c r="AA2558" s="473">
        <f t="shared" si="217"/>
        <v>0</v>
      </c>
      <c r="AB2558" s="339">
        <f t="shared" si="218"/>
        <v>0</v>
      </c>
    </row>
    <row r="2559" spans="2:28" ht="20.100000000000001" customHeight="1">
      <c r="B2559" s="172"/>
      <c r="C2559" s="174"/>
      <c r="D2559" s="181"/>
      <c r="E2559" s="173"/>
      <c r="F2559" s="176"/>
      <c r="G2559" s="175">
        <f t="shared" si="220"/>
        <v>0</v>
      </c>
      <c r="H2559" s="175">
        <f t="shared" si="213"/>
        <v>0</v>
      </c>
      <c r="I2559" s="177">
        <f>IF(G2559=0,0,IF(E2559="MXN",1/HLOOKUP(YEAR(C2559)+(MONTH(C2559)/100),TC!$5:$37,DAY(C2559)+2,FALSE),VLOOKUP(E2559,Equivalencia!$5:$23,((MAX(Equivalencia!$3:$3)-YEAR(C2559))*14)+MONTH(C2559)+2,FALSE)))</f>
        <v>0</v>
      </c>
      <c r="J2559" s="178">
        <f t="shared" si="221"/>
        <v>0</v>
      </c>
      <c r="K2559" s="462">
        <f>IF(C2559=0,0,VLOOKUP(YEAR(C2559),INPC!$B$4:$O$29,MONTH(C2559)+1))</f>
        <v>0</v>
      </c>
      <c r="L2559" s="462">
        <f>IF(S2559=0,0,VLOOKUP(YEAR(S2559),INPC!$B$4:$O$29,MONTH(S2559)+1))</f>
        <v>0</v>
      </c>
      <c r="M2559" s="463">
        <f t="shared" si="214"/>
        <v>0</v>
      </c>
      <c r="N2559" s="465">
        <f t="shared" si="222"/>
        <v>0</v>
      </c>
      <c r="O2559" s="179"/>
      <c r="P2559" s="180"/>
      <c r="Q2559" s="173"/>
      <c r="R2559" s="173"/>
      <c r="S2559" s="174"/>
      <c r="T2559" s="173"/>
      <c r="U2559" s="182"/>
      <c r="V2559" s="177">
        <f>IF(U2559=0,0,IF(T2559="MXN",1/HLOOKUP(YEAR(S2559)+(MONTH(S2559)/100),TC!$5:$37,DAY(S2559)+2,FALSE),VLOOKUP(T2559,Equivalencia!$1:$23,((MAX(Equivalencia!$3:$3)-YEAR(S2559))*14)+MONTH(S2559)+2,FALSE)))</f>
        <v>0</v>
      </c>
      <c r="W2559" s="178">
        <f t="shared" si="219"/>
        <v>0</v>
      </c>
      <c r="X2559" s="481">
        <f t="shared" si="215"/>
        <v>0</v>
      </c>
      <c r="Y2559" s="179"/>
      <c r="Z2559" s="466">
        <f t="shared" si="216"/>
        <v>0</v>
      </c>
      <c r="AA2559" s="473">
        <f t="shared" si="217"/>
        <v>0</v>
      </c>
      <c r="AB2559" s="339">
        <f t="shared" si="218"/>
        <v>0</v>
      </c>
    </row>
    <row r="2560" spans="2:28" ht="20.100000000000001" customHeight="1">
      <c r="B2560" s="172"/>
      <c r="C2560" s="174"/>
      <c r="D2560" s="181"/>
      <c r="E2560" s="173"/>
      <c r="F2560" s="176"/>
      <c r="G2560" s="175">
        <f t="shared" si="220"/>
        <v>0</v>
      </c>
      <c r="H2560" s="175">
        <f t="shared" si="213"/>
        <v>0</v>
      </c>
      <c r="I2560" s="177">
        <f>IF(G2560=0,0,IF(E2560="MXN",1/HLOOKUP(YEAR(C2560)+(MONTH(C2560)/100),TC!$5:$37,DAY(C2560)+2,FALSE),VLOOKUP(E2560,Equivalencia!$5:$23,((MAX(Equivalencia!$3:$3)-YEAR(C2560))*14)+MONTH(C2560)+2,FALSE)))</f>
        <v>0</v>
      </c>
      <c r="J2560" s="178">
        <f t="shared" si="221"/>
        <v>0</v>
      </c>
      <c r="K2560" s="462">
        <f>IF(C2560=0,0,VLOOKUP(YEAR(C2560),INPC!$B$4:$O$29,MONTH(C2560)+1))</f>
        <v>0</v>
      </c>
      <c r="L2560" s="462">
        <f>IF(S2560=0,0,VLOOKUP(YEAR(S2560),INPC!$B$4:$O$29,MONTH(S2560)+1))</f>
        <v>0</v>
      </c>
      <c r="M2560" s="463">
        <f t="shared" si="214"/>
        <v>0</v>
      </c>
      <c r="N2560" s="465">
        <f t="shared" si="222"/>
        <v>0</v>
      </c>
      <c r="O2560" s="179"/>
      <c r="P2560" s="180"/>
      <c r="Q2560" s="173"/>
      <c r="R2560" s="173"/>
      <c r="S2560" s="174"/>
      <c r="T2560" s="173"/>
      <c r="U2560" s="182"/>
      <c r="V2560" s="177">
        <f>IF(U2560=0,0,IF(T2560="MXN",1/HLOOKUP(YEAR(S2560)+(MONTH(S2560)/100),TC!$5:$37,DAY(S2560)+2,FALSE),VLOOKUP(T2560,Equivalencia!$1:$23,((MAX(Equivalencia!$3:$3)-YEAR(S2560))*14)+MONTH(S2560)+2,FALSE)))</f>
        <v>0</v>
      </c>
      <c r="W2560" s="178">
        <f t="shared" si="219"/>
        <v>0</v>
      </c>
      <c r="X2560" s="481">
        <f t="shared" si="215"/>
        <v>0</v>
      </c>
      <c r="Y2560" s="179"/>
      <c r="Z2560" s="466">
        <f t="shared" si="216"/>
        <v>0</v>
      </c>
      <c r="AA2560" s="473">
        <f t="shared" si="217"/>
        <v>0</v>
      </c>
      <c r="AB2560" s="339">
        <f t="shared" si="218"/>
        <v>0</v>
      </c>
    </row>
    <row r="2561" spans="2:28" ht="20.100000000000001" customHeight="1">
      <c r="B2561" s="172"/>
      <c r="C2561" s="174"/>
      <c r="D2561" s="181"/>
      <c r="E2561" s="173"/>
      <c r="F2561" s="176"/>
      <c r="G2561" s="175">
        <f t="shared" si="220"/>
        <v>0</v>
      </c>
      <c r="H2561" s="175">
        <f t="shared" si="213"/>
        <v>0</v>
      </c>
      <c r="I2561" s="177">
        <f>IF(G2561=0,0,IF(E2561="MXN",1/HLOOKUP(YEAR(C2561)+(MONTH(C2561)/100),TC!$5:$37,DAY(C2561)+2,FALSE),VLOOKUP(E2561,Equivalencia!$5:$23,((MAX(Equivalencia!$3:$3)-YEAR(C2561))*14)+MONTH(C2561)+2,FALSE)))</f>
        <v>0</v>
      </c>
      <c r="J2561" s="178">
        <f t="shared" si="221"/>
        <v>0</v>
      </c>
      <c r="K2561" s="462">
        <f>IF(C2561=0,0,VLOOKUP(YEAR(C2561),INPC!$B$4:$O$29,MONTH(C2561)+1))</f>
        <v>0</v>
      </c>
      <c r="L2561" s="462">
        <f>IF(S2561=0,0,VLOOKUP(YEAR(S2561),INPC!$B$4:$O$29,MONTH(S2561)+1))</f>
        <v>0</v>
      </c>
      <c r="M2561" s="463">
        <f t="shared" si="214"/>
        <v>0</v>
      </c>
      <c r="N2561" s="465">
        <f t="shared" si="222"/>
        <v>0</v>
      </c>
      <c r="O2561" s="179"/>
      <c r="P2561" s="180"/>
      <c r="Q2561" s="173"/>
      <c r="R2561" s="173"/>
      <c r="S2561" s="174"/>
      <c r="T2561" s="173"/>
      <c r="U2561" s="182"/>
      <c r="V2561" s="177">
        <f>IF(U2561=0,0,IF(T2561="MXN",1/HLOOKUP(YEAR(S2561)+(MONTH(S2561)/100),TC!$5:$37,DAY(S2561)+2,FALSE),VLOOKUP(T2561,Equivalencia!$1:$23,((MAX(Equivalencia!$3:$3)-YEAR(S2561))*14)+MONTH(S2561)+2,FALSE)))</f>
        <v>0</v>
      </c>
      <c r="W2561" s="178">
        <f t="shared" si="219"/>
        <v>0</v>
      </c>
      <c r="X2561" s="481">
        <f t="shared" si="215"/>
        <v>0</v>
      </c>
      <c r="Y2561" s="179"/>
      <c r="Z2561" s="466">
        <f t="shared" si="216"/>
        <v>0</v>
      </c>
      <c r="AA2561" s="473">
        <f t="shared" si="217"/>
        <v>0</v>
      </c>
      <c r="AB2561" s="339">
        <f t="shared" si="218"/>
        <v>0</v>
      </c>
    </row>
    <row r="2562" spans="2:28" ht="20.100000000000001" customHeight="1">
      <c r="B2562" s="172"/>
      <c r="C2562" s="174"/>
      <c r="D2562" s="181"/>
      <c r="E2562" s="173"/>
      <c r="F2562" s="176"/>
      <c r="G2562" s="175">
        <f t="shared" si="220"/>
        <v>0</v>
      </c>
      <c r="H2562" s="175">
        <f t="shared" si="213"/>
        <v>0</v>
      </c>
      <c r="I2562" s="177">
        <f>IF(G2562=0,0,IF(E2562="MXN",1/HLOOKUP(YEAR(C2562)+(MONTH(C2562)/100),TC!$5:$37,DAY(C2562)+2,FALSE),VLOOKUP(E2562,Equivalencia!$5:$23,((MAX(Equivalencia!$3:$3)-YEAR(C2562))*14)+MONTH(C2562)+2,FALSE)))</f>
        <v>0</v>
      </c>
      <c r="J2562" s="178">
        <f t="shared" si="221"/>
        <v>0</v>
      </c>
      <c r="K2562" s="462">
        <f>IF(C2562=0,0,VLOOKUP(YEAR(C2562),INPC!$B$4:$O$29,MONTH(C2562)+1))</f>
        <v>0</v>
      </c>
      <c r="L2562" s="462">
        <f>IF(S2562=0,0,VLOOKUP(YEAR(S2562),INPC!$B$4:$O$29,MONTH(S2562)+1))</f>
        <v>0</v>
      </c>
      <c r="M2562" s="463">
        <f t="shared" si="214"/>
        <v>0</v>
      </c>
      <c r="N2562" s="465">
        <f t="shared" si="222"/>
        <v>0</v>
      </c>
      <c r="O2562" s="179"/>
      <c r="P2562" s="180"/>
      <c r="Q2562" s="173"/>
      <c r="R2562" s="173"/>
      <c r="S2562" s="174"/>
      <c r="T2562" s="173"/>
      <c r="U2562" s="182"/>
      <c r="V2562" s="177">
        <f>IF(U2562=0,0,IF(T2562="MXN",1/HLOOKUP(YEAR(S2562)+(MONTH(S2562)/100),TC!$5:$37,DAY(S2562)+2,FALSE),VLOOKUP(T2562,Equivalencia!$1:$23,((MAX(Equivalencia!$3:$3)-YEAR(S2562))*14)+MONTH(S2562)+2,FALSE)))</f>
        <v>0</v>
      </c>
      <c r="W2562" s="178">
        <f t="shared" si="219"/>
        <v>0</v>
      </c>
      <c r="X2562" s="481">
        <f t="shared" si="215"/>
        <v>0</v>
      </c>
      <c r="Y2562" s="179"/>
      <c r="Z2562" s="466">
        <f t="shared" si="216"/>
        <v>0</v>
      </c>
      <c r="AA2562" s="473">
        <f t="shared" si="217"/>
        <v>0</v>
      </c>
      <c r="AB2562" s="339">
        <f t="shared" si="218"/>
        <v>0</v>
      </c>
    </row>
    <row r="2563" spans="2:28" ht="20.100000000000001" customHeight="1">
      <c r="B2563" s="172"/>
      <c r="C2563" s="174"/>
      <c r="D2563" s="181"/>
      <c r="E2563" s="173"/>
      <c r="F2563" s="176"/>
      <c r="G2563" s="175">
        <f t="shared" si="220"/>
        <v>0</v>
      </c>
      <c r="H2563" s="175">
        <f t="shared" si="213"/>
        <v>0</v>
      </c>
      <c r="I2563" s="177">
        <f>IF(G2563=0,0,IF(E2563="MXN",1/HLOOKUP(YEAR(C2563)+(MONTH(C2563)/100),TC!$5:$37,DAY(C2563)+2,FALSE),VLOOKUP(E2563,Equivalencia!$5:$23,((MAX(Equivalencia!$3:$3)-YEAR(C2563))*14)+MONTH(C2563)+2,FALSE)))</f>
        <v>0</v>
      </c>
      <c r="J2563" s="178">
        <f t="shared" si="221"/>
        <v>0</v>
      </c>
      <c r="K2563" s="462">
        <f>IF(C2563=0,0,VLOOKUP(YEAR(C2563),INPC!$B$4:$O$29,MONTH(C2563)+1))</f>
        <v>0</v>
      </c>
      <c r="L2563" s="462">
        <f>IF(S2563=0,0,VLOOKUP(YEAR(S2563),INPC!$B$4:$O$29,MONTH(S2563)+1))</f>
        <v>0</v>
      </c>
      <c r="M2563" s="463">
        <f t="shared" si="214"/>
        <v>0</v>
      </c>
      <c r="N2563" s="465">
        <f t="shared" si="222"/>
        <v>0</v>
      </c>
      <c r="O2563" s="179"/>
      <c r="P2563" s="180"/>
      <c r="Q2563" s="173"/>
      <c r="R2563" s="173"/>
      <c r="S2563" s="174"/>
      <c r="T2563" s="173"/>
      <c r="U2563" s="182"/>
      <c r="V2563" s="177">
        <f>IF(U2563=0,0,IF(T2563="MXN",1/HLOOKUP(YEAR(S2563)+(MONTH(S2563)/100),TC!$5:$37,DAY(S2563)+2,FALSE),VLOOKUP(T2563,Equivalencia!$1:$23,((MAX(Equivalencia!$3:$3)-YEAR(S2563))*14)+MONTH(S2563)+2,FALSE)))</f>
        <v>0</v>
      </c>
      <c r="W2563" s="178">
        <f t="shared" si="219"/>
        <v>0</v>
      </c>
      <c r="X2563" s="481">
        <f t="shared" si="215"/>
        <v>0</v>
      </c>
      <c r="Y2563" s="179"/>
      <c r="Z2563" s="466">
        <f t="shared" si="216"/>
        <v>0</v>
      </c>
      <c r="AA2563" s="473">
        <f t="shared" si="217"/>
        <v>0</v>
      </c>
      <c r="AB2563" s="339">
        <f t="shared" si="218"/>
        <v>0</v>
      </c>
    </row>
    <row r="2564" spans="2:28" ht="20.100000000000001" customHeight="1">
      <c r="B2564" s="172"/>
      <c r="C2564" s="174"/>
      <c r="D2564" s="181"/>
      <c r="E2564" s="173"/>
      <c r="F2564" s="176"/>
      <c r="G2564" s="175">
        <f t="shared" si="220"/>
        <v>0</v>
      </c>
      <c r="H2564" s="175">
        <f t="shared" si="213"/>
        <v>0</v>
      </c>
      <c r="I2564" s="177">
        <f>IF(G2564=0,0,IF(E2564="MXN",1/HLOOKUP(YEAR(C2564)+(MONTH(C2564)/100),TC!$5:$37,DAY(C2564)+2,FALSE),VLOOKUP(E2564,Equivalencia!$5:$23,((MAX(Equivalencia!$3:$3)-YEAR(C2564))*14)+MONTH(C2564)+2,FALSE)))</f>
        <v>0</v>
      </c>
      <c r="J2564" s="178">
        <f t="shared" si="221"/>
        <v>0</v>
      </c>
      <c r="K2564" s="462">
        <f>IF(C2564=0,0,VLOOKUP(YEAR(C2564),INPC!$B$4:$O$29,MONTH(C2564)+1))</f>
        <v>0</v>
      </c>
      <c r="L2564" s="462">
        <f>IF(S2564=0,0,VLOOKUP(YEAR(S2564),INPC!$B$4:$O$29,MONTH(S2564)+1))</f>
        <v>0</v>
      </c>
      <c r="M2564" s="463">
        <f t="shared" si="214"/>
        <v>0</v>
      </c>
      <c r="N2564" s="465">
        <f t="shared" si="222"/>
        <v>0</v>
      </c>
      <c r="O2564" s="179"/>
      <c r="P2564" s="180"/>
      <c r="Q2564" s="173"/>
      <c r="R2564" s="173"/>
      <c r="S2564" s="174"/>
      <c r="T2564" s="173"/>
      <c r="U2564" s="182"/>
      <c r="V2564" s="177">
        <f>IF(U2564=0,0,IF(T2564="MXN",1/HLOOKUP(YEAR(S2564)+(MONTH(S2564)/100),TC!$5:$37,DAY(S2564)+2,FALSE),VLOOKUP(T2564,Equivalencia!$1:$23,((MAX(Equivalencia!$3:$3)-YEAR(S2564))*14)+MONTH(S2564)+2,FALSE)))</f>
        <v>0</v>
      </c>
      <c r="W2564" s="178">
        <f t="shared" si="219"/>
        <v>0</v>
      </c>
      <c r="X2564" s="481">
        <f t="shared" si="215"/>
        <v>0</v>
      </c>
      <c r="Y2564" s="179"/>
      <c r="Z2564" s="466">
        <f t="shared" si="216"/>
        <v>0</v>
      </c>
      <c r="AA2564" s="473">
        <f t="shared" si="217"/>
        <v>0</v>
      </c>
      <c r="AB2564" s="339">
        <f t="shared" si="218"/>
        <v>0</v>
      </c>
    </row>
    <row r="2565" spans="2:28" ht="20.100000000000001" customHeight="1">
      <c r="B2565" s="172"/>
      <c r="C2565" s="174"/>
      <c r="D2565" s="181"/>
      <c r="E2565" s="173"/>
      <c r="F2565" s="176"/>
      <c r="G2565" s="175">
        <f t="shared" si="220"/>
        <v>0</v>
      </c>
      <c r="H2565" s="175">
        <f t="shared" si="213"/>
        <v>0</v>
      </c>
      <c r="I2565" s="177">
        <f>IF(G2565=0,0,IF(E2565="MXN",1/HLOOKUP(YEAR(C2565)+(MONTH(C2565)/100),TC!$5:$37,DAY(C2565)+2,FALSE),VLOOKUP(E2565,Equivalencia!$5:$23,((MAX(Equivalencia!$3:$3)-YEAR(C2565))*14)+MONTH(C2565)+2,FALSE)))</f>
        <v>0</v>
      </c>
      <c r="J2565" s="178">
        <f t="shared" si="221"/>
        <v>0</v>
      </c>
      <c r="K2565" s="462">
        <f>IF(C2565=0,0,VLOOKUP(YEAR(C2565),INPC!$B$4:$O$29,MONTH(C2565)+1))</f>
        <v>0</v>
      </c>
      <c r="L2565" s="462">
        <f>IF(S2565=0,0,VLOOKUP(YEAR(S2565),INPC!$B$4:$O$29,MONTH(S2565)+1))</f>
        <v>0</v>
      </c>
      <c r="M2565" s="463">
        <f t="shared" si="214"/>
        <v>0</v>
      </c>
      <c r="N2565" s="465">
        <f t="shared" si="222"/>
        <v>0</v>
      </c>
      <c r="O2565" s="179"/>
      <c r="P2565" s="180"/>
      <c r="Q2565" s="173"/>
      <c r="R2565" s="173"/>
      <c r="S2565" s="174"/>
      <c r="T2565" s="173"/>
      <c r="U2565" s="182"/>
      <c r="V2565" s="177">
        <f>IF(U2565=0,0,IF(T2565="MXN",1/HLOOKUP(YEAR(S2565)+(MONTH(S2565)/100),TC!$5:$37,DAY(S2565)+2,FALSE),VLOOKUP(T2565,Equivalencia!$1:$23,((MAX(Equivalencia!$3:$3)-YEAR(S2565))*14)+MONTH(S2565)+2,FALSE)))</f>
        <v>0</v>
      </c>
      <c r="W2565" s="178">
        <f t="shared" si="219"/>
        <v>0</v>
      </c>
      <c r="X2565" s="481">
        <f t="shared" si="215"/>
        <v>0</v>
      </c>
      <c r="Y2565" s="179"/>
      <c r="Z2565" s="466">
        <f t="shared" si="216"/>
        <v>0</v>
      </c>
      <c r="AA2565" s="473">
        <f t="shared" si="217"/>
        <v>0</v>
      </c>
      <c r="AB2565" s="339">
        <f t="shared" si="218"/>
        <v>0</v>
      </c>
    </row>
    <row r="2566" spans="2:28" ht="20.100000000000001" customHeight="1">
      <c r="B2566" s="172"/>
      <c r="C2566" s="174"/>
      <c r="D2566" s="181"/>
      <c r="E2566" s="173"/>
      <c r="F2566" s="176"/>
      <c r="G2566" s="175">
        <f t="shared" si="220"/>
        <v>0</v>
      </c>
      <c r="H2566" s="175">
        <f t="shared" si="213"/>
        <v>0</v>
      </c>
      <c r="I2566" s="177">
        <f>IF(G2566=0,0,IF(E2566="MXN",1/HLOOKUP(YEAR(C2566)+(MONTH(C2566)/100),TC!$5:$37,DAY(C2566)+2,FALSE),VLOOKUP(E2566,Equivalencia!$5:$23,((MAX(Equivalencia!$3:$3)-YEAR(C2566))*14)+MONTH(C2566)+2,FALSE)))</f>
        <v>0</v>
      </c>
      <c r="J2566" s="178">
        <f t="shared" si="221"/>
        <v>0</v>
      </c>
      <c r="K2566" s="462">
        <f>IF(C2566=0,0,VLOOKUP(YEAR(C2566),INPC!$B$4:$O$29,MONTH(C2566)+1))</f>
        <v>0</v>
      </c>
      <c r="L2566" s="462">
        <f>IF(S2566=0,0,VLOOKUP(YEAR(S2566),INPC!$B$4:$O$29,MONTH(S2566)+1))</f>
        <v>0</v>
      </c>
      <c r="M2566" s="463">
        <f t="shared" si="214"/>
        <v>0</v>
      </c>
      <c r="N2566" s="465">
        <f t="shared" si="222"/>
        <v>0</v>
      </c>
      <c r="O2566" s="179"/>
      <c r="P2566" s="180"/>
      <c r="Q2566" s="173"/>
      <c r="R2566" s="173"/>
      <c r="S2566" s="174"/>
      <c r="T2566" s="173"/>
      <c r="U2566" s="182"/>
      <c r="V2566" s="177">
        <f>IF(U2566=0,0,IF(T2566="MXN",1/HLOOKUP(YEAR(S2566)+(MONTH(S2566)/100),TC!$5:$37,DAY(S2566)+2,FALSE),VLOOKUP(T2566,Equivalencia!$1:$23,((MAX(Equivalencia!$3:$3)-YEAR(S2566))*14)+MONTH(S2566)+2,FALSE)))</f>
        <v>0</v>
      </c>
      <c r="W2566" s="178">
        <f t="shared" si="219"/>
        <v>0</v>
      </c>
      <c r="X2566" s="481">
        <f t="shared" si="215"/>
        <v>0</v>
      </c>
      <c r="Y2566" s="179"/>
      <c r="Z2566" s="466">
        <f t="shared" si="216"/>
        <v>0</v>
      </c>
      <c r="AA2566" s="473">
        <f t="shared" si="217"/>
        <v>0</v>
      </c>
      <c r="AB2566" s="339">
        <f t="shared" si="218"/>
        <v>0</v>
      </c>
    </row>
    <row r="2567" spans="2:28" ht="20.100000000000001" customHeight="1">
      <c r="B2567" s="172"/>
      <c r="C2567" s="174"/>
      <c r="D2567" s="181"/>
      <c r="E2567" s="173"/>
      <c r="F2567" s="176"/>
      <c r="G2567" s="175">
        <f t="shared" si="220"/>
        <v>0</v>
      </c>
      <c r="H2567" s="175">
        <f t="shared" si="213"/>
        <v>0</v>
      </c>
      <c r="I2567" s="177">
        <f>IF(G2567=0,0,IF(E2567="MXN",1/HLOOKUP(YEAR(C2567)+(MONTH(C2567)/100),TC!$5:$37,DAY(C2567)+2,FALSE),VLOOKUP(E2567,Equivalencia!$5:$23,((MAX(Equivalencia!$3:$3)-YEAR(C2567))*14)+MONTH(C2567)+2,FALSE)))</f>
        <v>0</v>
      </c>
      <c r="J2567" s="178">
        <f t="shared" si="221"/>
        <v>0</v>
      </c>
      <c r="K2567" s="462">
        <f>IF(C2567=0,0,VLOOKUP(YEAR(C2567),INPC!$B$4:$O$29,MONTH(C2567)+1))</f>
        <v>0</v>
      </c>
      <c r="L2567" s="462">
        <f>IF(S2567=0,0,VLOOKUP(YEAR(S2567),INPC!$B$4:$O$29,MONTH(S2567)+1))</f>
        <v>0</v>
      </c>
      <c r="M2567" s="463">
        <f t="shared" si="214"/>
        <v>0</v>
      </c>
      <c r="N2567" s="465">
        <f t="shared" si="222"/>
        <v>0</v>
      </c>
      <c r="O2567" s="179"/>
      <c r="P2567" s="180"/>
      <c r="Q2567" s="173"/>
      <c r="R2567" s="173"/>
      <c r="S2567" s="174"/>
      <c r="T2567" s="173"/>
      <c r="U2567" s="182"/>
      <c r="V2567" s="177">
        <f>IF(U2567=0,0,IF(T2567="MXN",1/HLOOKUP(YEAR(S2567)+(MONTH(S2567)/100),TC!$5:$37,DAY(S2567)+2,FALSE),VLOOKUP(T2567,Equivalencia!$1:$23,((MAX(Equivalencia!$3:$3)-YEAR(S2567))*14)+MONTH(S2567)+2,FALSE)))</f>
        <v>0</v>
      </c>
      <c r="W2567" s="178">
        <f t="shared" si="219"/>
        <v>0</v>
      </c>
      <c r="X2567" s="481">
        <f t="shared" si="215"/>
        <v>0</v>
      </c>
      <c r="Y2567" s="179"/>
      <c r="Z2567" s="466">
        <f t="shared" si="216"/>
        <v>0</v>
      </c>
      <c r="AA2567" s="473">
        <f t="shared" si="217"/>
        <v>0</v>
      </c>
      <c r="AB2567" s="339">
        <f t="shared" si="218"/>
        <v>0</v>
      </c>
    </row>
    <row r="2568" spans="2:28" ht="20.100000000000001" customHeight="1">
      <c r="B2568" s="172"/>
      <c r="C2568" s="174"/>
      <c r="D2568" s="181"/>
      <c r="E2568" s="173"/>
      <c r="F2568" s="176"/>
      <c r="G2568" s="175">
        <f t="shared" si="220"/>
        <v>0</v>
      </c>
      <c r="H2568" s="175">
        <f t="shared" si="213"/>
        <v>0</v>
      </c>
      <c r="I2568" s="177">
        <f>IF(G2568=0,0,IF(E2568="MXN",1/HLOOKUP(YEAR(C2568)+(MONTH(C2568)/100),TC!$5:$37,DAY(C2568)+2,FALSE),VLOOKUP(E2568,Equivalencia!$5:$23,((MAX(Equivalencia!$3:$3)-YEAR(C2568))*14)+MONTH(C2568)+2,FALSE)))</f>
        <v>0</v>
      </c>
      <c r="J2568" s="178">
        <f t="shared" si="221"/>
        <v>0</v>
      </c>
      <c r="K2568" s="462">
        <f>IF(C2568=0,0,VLOOKUP(YEAR(C2568),INPC!$B$4:$O$29,MONTH(C2568)+1))</f>
        <v>0</v>
      </c>
      <c r="L2568" s="462">
        <f>IF(S2568=0,0,VLOOKUP(YEAR(S2568),INPC!$B$4:$O$29,MONTH(S2568)+1))</f>
        <v>0</v>
      </c>
      <c r="M2568" s="463">
        <f t="shared" si="214"/>
        <v>0</v>
      </c>
      <c r="N2568" s="465">
        <f t="shared" si="222"/>
        <v>0</v>
      </c>
      <c r="O2568" s="179"/>
      <c r="P2568" s="180"/>
      <c r="Q2568" s="173"/>
      <c r="R2568" s="173"/>
      <c r="S2568" s="174"/>
      <c r="T2568" s="173"/>
      <c r="U2568" s="182"/>
      <c r="V2568" s="177">
        <f>IF(U2568=0,0,IF(T2568="MXN",1/HLOOKUP(YEAR(S2568)+(MONTH(S2568)/100),TC!$5:$37,DAY(S2568)+2,FALSE),VLOOKUP(T2568,Equivalencia!$1:$23,((MAX(Equivalencia!$3:$3)-YEAR(S2568))*14)+MONTH(S2568)+2,FALSE)))</f>
        <v>0</v>
      </c>
      <c r="W2568" s="178">
        <f t="shared" si="219"/>
        <v>0</v>
      </c>
      <c r="X2568" s="481">
        <f t="shared" si="215"/>
        <v>0</v>
      </c>
      <c r="Y2568" s="179"/>
      <c r="Z2568" s="466">
        <f t="shared" si="216"/>
        <v>0</v>
      </c>
      <c r="AA2568" s="473">
        <f t="shared" si="217"/>
        <v>0</v>
      </c>
      <c r="AB2568" s="339">
        <f t="shared" si="218"/>
        <v>0</v>
      </c>
    </row>
    <row r="2569" spans="2:28" ht="20.100000000000001" customHeight="1">
      <c r="B2569" s="172"/>
      <c r="C2569" s="174"/>
      <c r="D2569" s="181"/>
      <c r="E2569" s="173"/>
      <c r="F2569" s="176"/>
      <c r="G2569" s="175">
        <f t="shared" si="220"/>
        <v>0</v>
      </c>
      <c r="H2569" s="175">
        <f t="shared" si="213"/>
        <v>0</v>
      </c>
      <c r="I2569" s="177">
        <f>IF(G2569=0,0,IF(E2569="MXN",1/HLOOKUP(YEAR(C2569)+(MONTH(C2569)/100),TC!$5:$37,DAY(C2569)+2,FALSE),VLOOKUP(E2569,Equivalencia!$5:$23,((MAX(Equivalencia!$3:$3)-YEAR(C2569))*14)+MONTH(C2569)+2,FALSE)))</f>
        <v>0</v>
      </c>
      <c r="J2569" s="178">
        <f t="shared" si="221"/>
        <v>0</v>
      </c>
      <c r="K2569" s="462">
        <f>IF(C2569=0,0,VLOOKUP(YEAR(C2569),INPC!$B$4:$O$29,MONTH(C2569)+1))</f>
        <v>0</v>
      </c>
      <c r="L2569" s="462">
        <f>IF(S2569=0,0,VLOOKUP(YEAR(S2569),INPC!$B$4:$O$29,MONTH(S2569)+1))</f>
        <v>0</v>
      </c>
      <c r="M2569" s="463">
        <f t="shared" si="214"/>
        <v>0</v>
      </c>
      <c r="N2569" s="465">
        <f t="shared" si="222"/>
        <v>0</v>
      </c>
      <c r="O2569" s="179"/>
      <c r="P2569" s="180"/>
      <c r="Q2569" s="173"/>
      <c r="R2569" s="173"/>
      <c r="S2569" s="174"/>
      <c r="T2569" s="173"/>
      <c r="U2569" s="182"/>
      <c r="V2569" s="177">
        <f>IF(U2569=0,0,IF(T2569="MXN",1/HLOOKUP(YEAR(S2569)+(MONTH(S2569)/100),TC!$5:$37,DAY(S2569)+2,FALSE),VLOOKUP(T2569,Equivalencia!$1:$23,((MAX(Equivalencia!$3:$3)-YEAR(S2569))*14)+MONTH(S2569)+2,FALSE)))</f>
        <v>0</v>
      </c>
      <c r="W2569" s="178">
        <f t="shared" si="219"/>
        <v>0</v>
      </c>
      <c r="X2569" s="481">
        <f t="shared" si="215"/>
        <v>0</v>
      </c>
      <c r="Y2569" s="179"/>
      <c r="Z2569" s="466">
        <f t="shared" si="216"/>
        <v>0</v>
      </c>
      <c r="AA2569" s="473">
        <f t="shared" si="217"/>
        <v>0</v>
      </c>
      <c r="AB2569" s="339">
        <f t="shared" si="218"/>
        <v>0</v>
      </c>
    </row>
    <row r="2570" spans="2:28" ht="20.100000000000001" customHeight="1">
      <c r="B2570" s="172"/>
      <c r="C2570" s="174"/>
      <c r="D2570" s="181"/>
      <c r="E2570" s="173"/>
      <c r="F2570" s="176"/>
      <c r="G2570" s="175">
        <f t="shared" si="220"/>
        <v>0</v>
      </c>
      <c r="H2570" s="175">
        <f t="shared" si="213"/>
        <v>0</v>
      </c>
      <c r="I2570" s="177">
        <f>IF(G2570=0,0,IF(E2570="MXN",1/HLOOKUP(YEAR(C2570)+(MONTH(C2570)/100),TC!$5:$37,DAY(C2570)+2,FALSE),VLOOKUP(E2570,Equivalencia!$5:$23,((MAX(Equivalencia!$3:$3)-YEAR(C2570))*14)+MONTH(C2570)+2,FALSE)))</f>
        <v>0</v>
      </c>
      <c r="J2570" s="178">
        <f t="shared" si="221"/>
        <v>0</v>
      </c>
      <c r="K2570" s="462">
        <f>IF(C2570=0,0,VLOOKUP(YEAR(C2570),INPC!$B$4:$O$29,MONTH(C2570)+1))</f>
        <v>0</v>
      </c>
      <c r="L2570" s="462">
        <f>IF(S2570=0,0,VLOOKUP(YEAR(S2570),INPC!$B$4:$O$29,MONTH(S2570)+1))</f>
        <v>0</v>
      </c>
      <c r="M2570" s="463">
        <f t="shared" si="214"/>
        <v>0</v>
      </c>
      <c r="N2570" s="465">
        <f t="shared" si="222"/>
        <v>0</v>
      </c>
      <c r="O2570" s="179"/>
      <c r="P2570" s="180"/>
      <c r="Q2570" s="173"/>
      <c r="R2570" s="173"/>
      <c r="S2570" s="174"/>
      <c r="T2570" s="173"/>
      <c r="U2570" s="182"/>
      <c r="V2570" s="177">
        <f>IF(U2570=0,0,IF(T2570="MXN",1/HLOOKUP(YEAR(S2570)+(MONTH(S2570)/100),TC!$5:$37,DAY(S2570)+2,FALSE),VLOOKUP(T2570,Equivalencia!$1:$23,((MAX(Equivalencia!$3:$3)-YEAR(S2570))*14)+MONTH(S2570)+2,FALSE)))</f>
        <v>0</v>
      </c>
      <c r="W2570" s="178">
        <f t="shared" si="219"/>
        <v>0</v>
      </c>
      <c r="X2570" s="481">
        <f t="shared" si="215"/>
        <v>0</v>
      </c>
      <c r="Y2570" s="179"/>
      <c r="Z2570" s="466">
        <f t="shared" si="216"/>
        <v>0</v>
      </c>
      <c r="AA2570" s="473">
        <f t="shared" si="217"/>
        <v>0</v>
      </c>
      <c r="AB2570" s="339">
        <f t="shared" si="218"/>
        <v>0</v>
      </c>
    </row>
    <row r="2571" spans="2:28" ht="20.100000000000001" customHeight="1">
      <c r="B2571" s="172"/>
      <c r="C2571" s="174"/>
      <c r="D2571" s="181"/>
      <c r="E2571" s="173"/>
      <c r="F2571" s="176"/>
      <c r="G2571" s="175">
        <f t="shared" si="220"/>
        <v>0</v>
      </c>
      <c r="H2571" s="175">
        <f t="shared" si="213"/>
        <v>0</v>
      </c>
      <c r="I2571" s="177">
        <f>IF(G2571=0,0,IF(E2571="MXN",1/HLOOKUP(YEAR(C2571)+(MONTH(C2571)/100),TC!$5:$37,DAY(C2571)+2,FALSE),VLOOKUP(E2571,Equivalencia!$5:$23,((MAX(Equivalencia!$3:$3)-YEAR(C2571))*14)+MONTH(C2571)+2,FALSE)))</f>
        <v>0</v>
      </c>
      <c r="J2571" s="178">
        <f t="shared" si="221"/>
        <v>0</v>
      </c>
      <c r="K2571" s="462">
        <f>IF(C2571=0,0,VLOOKUP(YEAR(C2571),INPC!$B$4:$O$29,MONTH(C2571)+1))</f>
        <v>0</v>
      </c>
      <c r="L2571" s="462">
        <f>IF(S2571=0,0,VLOOKUP(YEAR(S2571),INPC!$B$4:$O$29,MONTH(S2571)+1))</f>
        <v>0</v>
      </c>
      <c r="M2571" s="463">
        <f t="shared" si="214"/>
        <v>0</v>
      </c>
      <c r="N2571" s="465">
        <f t="shared" si="222"/>
        <v>0</v>
      </c>
      <c r="O2571" s="179"/>
      <c r="P2571" s="180"/>
      <c r="Q2571" s="173"/>
      <c r="R2571" s="173"/>
      <c r="S2571" s="174"/>
      <c r="T2571" s="173"/>
      <c r="U2571" s="182"/>
      <c r="V2571" s="177">
        <f>IF(U2571=0,0,IF(T2571="MXN",1/HLOOKUP(YEAR(S2571)+(MONTH(S2571)/100),TC!$5:$37,DAY(S2571)+2,FALSE),VLOOKUP(T2571,Equivalencia!$1:$23,((MAX(Equivalencia!$3:$3)-YEAR(S2571))*14)+MONTH(S2571)+2,FALSE)))</f>
        <v>0</v>
      </c>
      <c r="W2571" s="178">
        <f t="shared" si="219"/>
        <v>0</v>
      </c>
      <c r="X2571" s="481">
        <f t="shared" si="215"/>
        <v>0</v>
      </c>
      <c r="Y2571" s="179"/>
      <c r="Z2571" s="466">
        <f t="shared" si="216"/>
        <v>0</v>
      </c>
      <c r="AA2571" s="473">
        <f t="shared" si="217"/>
        <v>0</v>
      </c>
      <c r="AB2571" s="339">
        <f t="shared" si="218"/>
        <v>0</v>
      </c>
    </row>
    <row r="2572" spans="2:28" ht="20.100000000000001" customHeight="1">
      <c r="B2572" s="172"/>
      <c r="C2572" s="174"/>
      <c r="D2572" s="181"/>
      <c r="E2572" s="173"/>
      <c r="F2572" s="176"/>
      <c r="G2572" s="175">
        <f t="shared" si="220"/>
        <v>0</v>
      </c>
      <c r="H2572" s="175">
        <f t="shared" si="213"/>
        <v>0</v>
      </c>
      <c r="I2572" s="177">
        <f>IF(G2572=0,0,IF(E2572="MXN",1/HLOOKUP(YEAR(C2572)+(MONTH(C2572)/100),TC!$5:$37,DAY(C2572)+2,FALSE),VLOOKUP(E2572,Equivalencia!$5:$23,((MAX(Equivalencia!$3:$3)-YEAR(C2572))*14)+MONTH(C2572)+2,FALSE)))</f>
        <v>0</v>
      </c>
      <c r="J2572" s="178">
        <f t="shared" si="221"/>
        <v>0</v>
      </c>
      <c r="K2572" s="462">
        <f>IF(C2572=0,0,VLOOKUP(YEAR(C2572),INPC!$B$4:$O$29,MONTH(C2572)+1))</f>
        <v>0</v>
      </c>
      <c r="L2572" s="462">
        <f>IF(S2572=0,0,VLOOKUP(YEAR(S2572),INPC!$B$4:$O$29,MONTH(S2572)+1))</f>
        <v>0</v>
      </c>
      <c r="M2572" s="463">
        <f t="shared" si="214"/>
        <v>0</v>
      </c>
      <c r="N2572" s="465">
        <f t="shared" si="222"/>
        <v>0</v>
      </c>
      <c r="O2572" s="179"/>
      <c r="P2572" s="180"/>
      <c r="Q2572" s="173"/>
      <c r="R2572" s="173"/>
      <c r="S2572" s="174"/>
      <c r="T2572" s="173"/>
      <c r="U2572" s="182"/>
      <c r="V2572" s="177">
        <f>IF(U2572=0,0,IF(T2572="MXN",1/HLOOKUP(YEAR(S2572)+(MONTH(S2572)/100),TC!$5:$37,DAY(S2572)+2,FALSE),VLOOKUP(T2572,Equivalencia!$1:$23,((MAX(Equivalencia!$3:$3)-YEAR(S2572))*14)+MONTH(S2572)+2,FALSE)))</f>
        <v>0</v>
      </c>
      <c r="W2572" s="178">
        <f t="shared" si="219"/>
        <v>0</v>
      </c>
      <c r="X2572" s="481">
        <f t="shared" si="215"/>
        <v>0</v>
      </c>
      <c r="Y2572" s="179"/>
      <c r="Z2572" s="466">
        <f t="shared" si="216"/>
        <v>0</v>
      </c>
      <c r="AA2572" s="473">
        <f t="shared" si="217"/>
        <v>0</v>
      </c>
      <c r="AB2572" s="339">
        <f t="shared" si="218"/>
        <v>0</v>
      </c>
    </row>
    <row r="2573" spans="2:28" ht="20.100000000000001" customHeight="1">
      <c r="B2573" s="172"/>
      <c r="C2573" s="174"/>
      <c r="D2573" s="181"/>
      <c r="E2573" s="173"/>
      <c r="F2573" s="176"/>
      <c r="G2573" s="175">
        <f t="shared" si="220"/>
        <v>0</v>
      </c>
      <c r="H2573" s="175">
        <f t="shared" si="213"/>
        <v>0</v>
      </c>
      <c r="I2573" s="177">
        <f>IF(G2573=0,0,IF(E2573="MXN",1/HLOOKUP(YEAR(C2573)+(MONTH(C2573)/100),TC!$5:$37,DAY(C2573)+2,FALSE),VLOOKUP(E2573,Equivalencia!$5:$23,((MAX(Equivalencia!$3:$3)-YEAR(C2573))*14)+MONTH(C2573)+2,FALSE)))</f>
        <v>0</v>
      </c>
      <c r="J2573" s="178">
        <f t="shared" si="221"/>
        <v>0</v>
      </c>
      <c r="K2573" s="462">
        <f>IF(C2573=0,0,VLOOKUP(YEAR(C2573),INPC!$B$4:$O$29,MONTH(C2573)+1))</f>
        <v>0</v>
      </c>
      <c r="L2573" s="462">
        <f>IF(S2573=0,0,VLOOKUP(YEAR(S2573),INPC!$B$4:$O$29,MONTH(S2573)+1))</f>
        <v>0</v>
      </c>
      <c r="M2573" s="463">
        <f t="shared" si="214"/>
        <v>0</v>
      </c>
      <c r="N2573" s="465">
        <f t="shared" si="222"/>
        <v>0</v>
      </c>
      <c r="O2573" s="179"/>
      <c r="P2573" s="180"/>
      <c r="Q2573" s="173"/>
      <c r="R2573" s="173"/>
      <c r="S2573" s="174"/>
      <c r="T2573" s="173"/>
      <c r="U2573" s="182"/>
      <c r="V2573" s="177">
        <f>IF(U2573=0,0,IF(T2573="MXN",1/HLOOKUP(YEAR(S2573)+(MONTH(S2573)/100),TC!$5:$37,DAY(S2573)+2,FALSE),VLOOKUP(T2573,Equivalencia!$1:$23,((MAX(Equivalencia!$3:$3)-YEAR(S2573))*14)+MONTH(S2573)+2,FALSE)))</f>
        <v>0</v>
      </c>
      <c r="W2573" s="178">
        <f t="shared" si="219"/>
        <v>0</v>
      </c>
      <c r="X2573" s="481">
        <f t="shared" si="215"/>
        <v>0</v>
      </c>
      <c r="Y2573" s="179"/>
      <c r="Z2573" s="466">
        <f t="shared" si="216"/>
        <v>0</v>
      </c>
      <c r="AA2573" s="473">
        <f t="shared" si="217"/>
        <v>0</v>
      </c>
      <c r="AB2573" s="339">
        <f t="shared" si="218"/>
        <v>0</v>
      </c>
    </row>
    <row r="2574" spans="2:28" ht="20.100000000000001" customHeight="1">
      <c r="B2574" s="172"/>
      <c r="C2574" s="174"/>
      <c r="D2574" s="181"/>
      <c r="E2574" s="173"/>
      <c r="F2574" s="176"/>
      <c r="G2574" s="175">
        <f t="shared" si="220"/>
        <v>0</v>
      </c>
      <c r="H2574" s="175">
        <f t="shared" si="213"/>
        <v>0</v>
      </c>
      <c r="I2574" s="177">
        <f>IF(G2574=0,0,IF(E2574="MXN",1/HLOOKUP(YEAR(C2574)+(MONTH(C2574)/100),TC!$5:$37,DAY(C2574)+2,FALSE),VLOOKUP(E2574,Equivalencia!$5:$23,((MAX(Equivalencia!$3:$3)-YEAR(C2574))*14)+MONTH(C2574)+2,FALSE)))</f>
        <v>0</v>
      </c>
      <c r="J2574" s="178">
        <f t="shared" si="221"/>
        <v>0</v>
      </c>
      <c r="K2574" s="462">
        <f>IF(C2574=0,0,VLOOKUP(YEAR(C2574),INPC!$B$4:$O$29,MONTH(C2574)+1))</f>
        <v>0</v>
      </c>
      <c r="L2574" s="462">
        <f>IF(S2574=0,0,VLOOKUP(YEAR(S2574),INPC!$B$4:$O$29,MONTH(S2574)+1))</f>
        <v>0</v>
      </c>
      <c r="M2574" s="463">
        <f t="shared" si="214"/>
        <v>0</v>
      </c>
      <c r="N2574" s="465">
        <f t="shared" si="222"/>
        <v>0</v>
      </c>
      <c r="O2574" s="179"/>
      <c r="P2574" s="180"/>
      <c r="Q2574" s="173"/>
      <c r="R2574" s="173"/>
      <c r="S2574" s="174"/>
      <c r="T2574" s="173"/>
      <c r="U2574" s="182"/>
      <c r="V2574" s="177">
        <f>IF(U2574=0,0,IF(T2574="MXN",1/HLOOKUP(YEAR(S2574)+(MONTH(S2574)/100),TC!$5:$37,DAY(S2574)+2,FALSE),VLOOKUP(T2574,Equivalencia!$1:$23,((MAX(Equivalencia!$3:$3)-YEAR(S2574))*14)+MONTH(S2574)+2,FALSE)))</f>
        <v>0</v>
      </c>
      <c r="W2574" s="178">
        <f t="shared" si="219"/>
        <v>0</v>
      </c>
      <c r="X2574" s="481">
        <f t="shared" si="215"/>
        <v>0</v>
      </c>
      <c r="Y2574" s="179"/>
      <c r="Z2574" s="466">
        <f t="shared" si="216"/>
        <v>0</v>
      </c>
      <c r="AA2574" s="473">
        <f t="shared" si="217"/>
        <v>0</v>
      </c>
      <c r="AB2574" s="339">
        <f t="shared" si="218"/>
        <v>0</v>
      </c>
    </row>
    <row r="2575" spans="2:28" ht="20.100000000000001" customHeight="1">
      <c r="B2575" s="172"/>
      <c r="C2575" s="174"/>
      <c r="D2575" s="181"/>
      <c r="E2575" s="173"/>
      <c r="F2575" s="176"/>
      <c r="G2575" s="175">
        <f t="shared" si="220"/>
        <v>0</v>
      </c>
      <c r="H2575" s="175">
        <f t="shared" si="213"/>
        <v>0</v>
      </c>
      <c r="I2575" s="177">
        <f>IF(G2575=0,0,IF(E2575="MXN",1/HLOOKUP(YEAR(C2575)+(MONTH(C2575)/100),TC!$5:$37,DAY(C2575)+2,FALSE),VLOOKUP(E2575,Equivalencia!$5:$23,((MAX(Equivalencia!$3:$3)-YEAR(C2575))*14)+MONTH(C2575)+2,FALSE)))</f>
        <v>0</v>
      </c>
      <c r="J2575" s="178">
        <f t="shared" si="221"/>
        <v>0</v>
      </c>
      <c r="K2575" s="462">
        <f>IF(C2575=0,0,VLOOKUP(YEAR(C2575),INPC!$B$4:$O$29,MONTH(C2575)+1))</f>
        <v>0</v>
      </c>
      <c r="L2575" s="462">
        <f>IF(S2575=0,0,VLOOKUP(YEAR(S2575),INPC!$B$4:$O$29,MONTH(S2575)+1))</f>
        <v>0</v>
      </c>
      <c r="M2575" s="463">
        <f t="shared" si="214"/>
        <v>0</v>
      </c>
      <c r="N2575" s="465">
        <f t="shared" si="222"/>
        <v>0</v>
      </c>
      <c r="O2575" s="179"/>
      <c r="P2575" s="180"/>
      <c r="Q2575" s="173"/>
      <c r="R2575" s="173"/>
      <c r="S2575" s="174"/>
      <c r="T2575" s="173"/>
      <c r="U2575" s="182"/>
      <c r="V2575" s="177">
        <f>IF(U2575=0,0,IF(T2575="MXN",1/HLOOKUP(YEAR(S2575)+(MONTH(S2575)/100),TC!$5:$37,DAY(S2575)+2,FALSE),VLOOKUP(T2575,Equivalencia!$1:$23,((MAX(Equivalencia!$3:$3)-YEAR(S2575))*14)+MONTH(S2575)+2,FALSE)))</f>
        <v>0</v>
      </c>
      <c r="W2575" s="178">
        <f t="shared" si="219"/>
        <v>0</v>
      </c>
      <c r="X2575" s="481">
        <f t="shared" si="215"/>
        <v>0</v>
      </c>
      <c r="Y2575" s="179"/>
      <c r="Z2575" s="466">
        <f t="shared" si="216"/>
        <v>0</v>
      </c>
      <c r="AA2575" s="473">
        <f t="shared" si="217"/>
        <v>0</v>
      </c>
      <c r="AB2575" s="339">
        <f t="shared" si="218"/>
        <v>0</v>
      </c>
    </row>
    <row r="2576" spans="2:28" ht="20.100000000000001" customHeight="1">
      <c r="B2576" s="172"/>
      <c r="C2576" s="174"/>
      <c r="D2576" s="181"/>
      <c r="E2576" s="173"/>
      <c r="F2576" s="176"/>
      <c r="G2576" s="175">
        <f t="shared" si="220"/>
        <v>0</v>
      </c>
      <c r="H2576" s="175">
        <f t="shared" si="213"/>
        <v>0</v>
      </c>
      <c r="I2576" s="177">
        <f>IF(G2576=0,0,IF(E2576="MXN",1/HLOOKUP(YEAR(C2576)+(MONTH(C2576)/100),TC!$5:$37,DAY(C2576)+2,FALSE),VLOOKUP(E2576,Equivalencia!$5:$23,((MAX(Equivalencia!$3:$3)-YEAR(C2576))*14)+MONTH(C2576)+2,FALSE)))</f>
        <v>0</v>
      </c>
      <c r="J2576" s="178">
        <f t="shared" si="221"/>
        <v>0</v>
      </c>
      <c r="K2576" s="462">
        <f>IF(C2576=0,0,VLOOKUP(YEAR(C2576),INPC!$B$4:$O$29,MONTH(C2576)+1))</f>
        <v>0</v>
      </c>
      <c r="L2576" s="462">
        <f>IF(S2576=0,0,VLOOKUP(YEAR(S2576),INPC!$B$4:$O$29,MONTH(S2576)+1))</f>
        <v>0</v>
      </c>
      <c r="M2576" s="463">
        <f t="shared" si="214"/>
        <v>0</v>
      </c>
      <c r="N2576" s="465">
        <f t="shared" si="222"/>
        <v>0</v>
      </c>
      <c r="O2576" s="179"/>
      <c r="P2576" s="180"/>
      <c r="Q2576" s="173"/>
      <c r="R2576" s="173"/>
      <c r="S2576" s="174"/>
      <c r="T2576" s="173"/>
      <c r="U2576" s="182"/>
      <c r="V2576" s="177">
        <f>IF(U2576=0,0,IF(T2576="MXN",1/HLOOKUP(YEAR(S2576)+(MONTH(S2576)/100),TC!$5:$37,DAY(S2576)+2,FALSE),VLOOKUP(T2576,Equivalencia!$1:$23,((MAX(Equivalencia!$3:$3)-YEAR(S2576))*14)+MONTH(S2576)+2,FALSE)))</f>
        <v>0</v>
      </c>
      <c r="W2576" s="178">
        <f t="shared" si="219"/>
        <v>0</v>
      </c>
      <c r="X2576" s="481">
        <f t="shared" si="215"/>
        <v>0</v>
      </c>
      <c r="Y2576" s="179"/>
      <c r="Z2576" s="466">
        <f t="shared" si="216"/>
        <v>0</v>
      </c>
      <c r="AA2576" s="473">
        <f t="shared" si="217"/>
        <v>0</v>
      </c>
      <c r="AB2576" s="339">
        <f t="shared" si="218"/>
        <v>0</v>
      </c>
    </row>
    <row r="2577" spans="2:28" ht="20.100000000000001" customHeight="1">
      <c r="B2577" s="172"/>
      <c r="C2577" s="174"/>
      <c r="D2577" s="181"/>
      <c r="E2577" s="173"/>
      <c r="F2577" s="176"/>
      <c r="G2577" s="175">
        <f t="shared" si="220"/>
        <v>0</v>
      </c>
      <c r="H2577" s="175">
        <f t="shared" si="213"/>
        <v>0</v>
      </c>
      <c r="I2577" s="177">
        <f>IF(G2577=0,0,IF(E2577="MXN",1/HLOOKUP(YEAR(C2577)+(MONTH(C2577)/100),TC!$5:$37,DAY(C2577)+2,FALSE),VLOOKUP(E2577,Equivalencia!$5:$23,((MAX(Equivalencia!$3:$3)-YEAR(C2577))*14)+MONTH(C2577)+2,FALSE)))</f>
        <v>0</v>
      </c>
      <c r="J2577" s="178">
        <f t="shared" si="221"/>
        <v>0</v>
      </c>
      <c r="K2577" s="462">
        <f>IF(C2577=0,0,VLOOKUP(YEAR(C2577),INPC!$B$4:$O$29,MONTH(C2577)+1))</f>
        <v>0</v>
      </c>
      <c r="L2577" s="462">
        <f>IF(S2577=0,0,VLOOKUP(YEAR(S2577),INPC!$B$4:$O$29,MONTH(S2577)+1))</f>
        <v>0</v>
      </c>
      <c r="M2577" s="463">
        <f t="shared" si="214"/>
        <v>0</v>
      </c>
      <c r="N2577" s="465">
        <f t="shared" si="222"/>
        <v>0</v>
      </c>
      <c r="O2577" s="179"/>
      <c r="P2577" s="180"/>
      <c r="Q2577" s="173"/>
      <c r="R2577" s="173"/>
      <c r="S2577" s="174"/>
      <c r="T2577" s="173"/>
      <c r="U2577" s="182"/>
      <c r="V2577" s="177">
        <f>IF(U2577=0,0,IF(T2577="MXN",1/HLOOKUP(YEAR(S2577)+(MONTH(S2577)/100),TC!$5:$37,DAY(S2577)+2,FALSE),VLOOKUP(T2577,Equivalencia!$1:$23,((MAX(Equivalencia!$3:$3)-YEAR(S2577))*14)+MONTH(S2577)+2,FALSE)))</f>
        <v>0</v>
      </c>
      <c r="W2577" s="178">
        <f t="shared" si="219"/>
        <v>0</v>
      </c>
      <c r="X2577" s="481">
        <f t="shared" si="215"/>
        <v>0</v>
      </c>
      <c r="Y2577" s="179"/>
      <c r="Z2577" s="466">
        <f t="shared" si="216"/>
        <v>0</v>
      </c>
      <c r="AA2577" s="473">
        <f t="shared" si="217"/>
        <v>0</v>
      </c>
      <c r="AB2577" s="339">
        <f t="shared" si="218"/>
        <v>0</v>
      </c>
    </row>
    <row r="2578" spans="2:28" ht="20.100000000000001" customHeight="1">
      <c r="B2578" s="172"/>
      <c r="C2578" s="174"/>
      <c r="D2578" s="181"/>
      <c r="E2578" s="173"/>
      <c r="F2578" s="176"/>
      <c r="G2578" s="175">
        <f t="shared" si="220"/>
        <v>0</v>
      </c>
      <c r="H2578" s="175">
        <f t="shared" si="213"/>
        <v>0</v>
      </c>
      <c r="I2578" s="177">
        <f>IF(G2578=0,0,IF(E2578="MXN",1/HLOOKUP(YEAR(C2578)+(MONTH(C2578)/100),TC!$5:$37,DAY(C2578)+2,FALSE),VLOOKUP(E2578,Equivalencia!$5:$23,((MAX(Equivalencia!$3:$3)-YEAR(C2578))*14)+MONTH(C2578)+2,FALSE)))</f>
        <v>0</v>
      </c>
      <c r="J2578" s="178">
        <f t="shared" si="221"/>
        <v>0</v>
      </c>
      <c r="K2578" s="462">
        <f>IF(C2578=0,0,VLOOKUP(YEAR(C2578),INPC!$B$4:$O$29,MONTH(C2578)+1))</f>
        <v>0</v>
      </c>
      <c r="L2578" s="462">
        <f>IF(S2578=0,0,VLOOKUP(YEAR(S2578),INPC!$B$4:$O$29,MONTH(S2578)+1))</f>
        <v>0</v>
      </c>
      <c r="M2578" s="463">
        <f t="shared" si="214"/>
        <v>0</v>
      </c>
      <c r="N2578" s="465">
        <f t="shared" si="222"/>
        <v>0</v>
      </c>
      <c r="O2578" s="179"/>
      <c r="P2578" s="180"/>
      <c r="Q2578" s="173"/>
      <c r="R2578" s="173"/>
      <c r="S2578" s="174"/>
      <c r="T2578" s="173"/>
      <c r="U2578" s="182"/>
      <c r="V2578" s="177">
        <f>IF(U2578=0,0,IF(T2578="MXN",1/HLOOKUP(YEAR(S2578)+(MONTH(S2578)/100),TC!$5:$37,DAY(S2578)+2,FALSE),VLOOKUP(T2578,Equivalencia!$1:$23,((MAX(Equivalencia!$3:$3)-YEAR(S2578))*14)+MONTH(S2578)+2,FALSE)))</f>
        <v>0</v>
      </c>
      <c r="W2578" s="178">
        <f t="shared" si="219"/>
        <v>0</v>
      </c>
      <c r="X2578" s="481">
        <f t="shared" si="215"/>
        <v>0</v>
      </c>
      <c r="Y2578" s="179"/>
      <c r="Z2578" s="466">
        <f t="shared" si="216"/>
        <v>0</v>
      </c>
      <c r="AA2578" s="473">
        <f t="shared" si="217"/>
        <v>0</v>
      </c>
      <c r="AB2578" s="339">
        <f t="shared" si="218"/>
        <v>0</v>
      </c>
    </row>
    <row r="2579" spans="2:28" ht="20.100000000000001" customHeight="1">
      <c r="B2579" s="172"/>
      <c r="C2579" s="174"/>
      <c r="D2579" s="181"/>
      <c r="E2579" s="173"/>
      <c r="F2579" s="176"/>
      <c r="G2579" s="175">
        <f t="shared" si="220"/>
        <v>0</v>
      </c>
      <c r="H2579" s="175">
        <f t="shared" si="213"/>
        <v>0</v>
      </c>
      <c r="I2579" s="177">
        <f>IF(G2579=0,0,IF(E2579="MXN",1/HLOOKUP(YEAR(C2579)+(MONTH(C2579)/100),TC!$5:$37,DAY(C2579)+2,FALSE),VLOOKUP(E2579,Equivalencia!$5:$23,((MAX(Equivalencia!$3:$3)-YEAR(C2579))*14)+MONTH(C2579)+2,FALSE)))</f>
        <v>0</v>
      </c>
      <c r="J2579" s="178">
        <f t="shared" si="221"/>
        <v>0</v>
      </c>
      <c r="K2579" s="462">
        <f>IF(C2579=0,0,VLOOKUP(YEAR(C2579),INPC!$B$4:$O$29,MONTH(C2579)+1))</f>
        <v>0</v>
      </c>
      <c r="L2579" s="462">
        <f>IF(S2579=0,0,VLOOKUP(YEAR(S2579),INPC!$B$4:$O$29,MONTH(S2579)+1))</f>
        <v>0</v>
      </c>
      <c r="M2579" s="463">
        <f t="shared" si="214"/>
        <v>0</v>
      </c>
      <c r="N2579" s="465">
        <f t="shared" si="222"/>
        <v>0</v>
      </c>
      <c r="O2579" s="179"/>
      <c r="P2579" s="180"/>
      <c r="Q2579" s="173"/>
      <c r="R2579" s="173"/>
      <c r="S2579" s="174"/>
      <c r="T2579" s="173"/>
      <c r="U2579" s="182"/>
      <c r="V2579" s="177">
        <f>IF(U2579=0,0,IF(T2579="MXN",1/HLOOKUP(YEAR(S2579)+(MONTH(S2579)/100),TC!$5:$37,DAY(S2579)+2,FALSE),VLOOKUP(T2579,Equivalencia!$1:$23,((MAX(Equivalencia!$3:$3)-YEAR(S2579))*14)+MONTH(S2579)+2,FALSE)))</f>
        <v>0</v>
      </c>
      <c r="W2579" s="178">
        <f t="shared" si="219"/>
        <v>0</v>
      </c>
      <c r="X2579" s="481">
        <f t="shared" si="215"/>
        <v>0</v>
      </c>
      <c r="Y2579" s="179"/>
      <c r="Z2579" s="466">
        <f t="shared" si="216"/>
        <v>0</v>
      </c>
      <c r="AA2579" s="473">
        <f t="shared" si="217"/>
        <v>0</v>
      </c>
      <c r="AB2579" s="339">
        <f t="shared" si="218"/>
        <v>0</v>
      </c>
    </row>
    <row r="2580" spans="2:28" ht="20.100000000000001" customHeight="1">
      <c r="B2580" s="172"/>
      <c r="C2580" s="174"/>
      <c r="D2580" s="181"/>
      <c r="E2580" s="173"/>
      <c r="F2580" s="176"/>
      <c r="G2580" s="175">
        <f t="shared" si="220"/>
        <v>0</v>
      </c>
      <c r="H2580" s="175">
        <f t="shared" si="213"/>
        <v>0</v>
      </c>
      <c r="I2580" s="177">
        <f>IF(G2580=0,0,IF(E2580="MXN",1/HLOOKUP(YEAR(C2580)+(MONTH(C2580)/100),TC!$5:$37,DAY(C2580)+2,FALSE),VLOOKUP(E2580,Equivalencia!$5:$23,((MAX(Equivalencia!$3:$3)-YEAR(C2580))*14)+MONTH(C2580)+2,FALSE)))</f>
        <v>0</v>
      </c>
      <c r="J2580" s="178">
        <f t="shared" si="221"/>
        <v>0</v>
      </c>
      <c r="K2580" s="462">
        <f>IF(C2580=0,0,VLOOKUP(YEAR(C2580),INPC!$B$4:$O$29,MONTH(C2580)+1))</f>
        <v>0</v>
      </c>
      <c r="L2580" s="462">
        <f>IF(S2580=0,0,VLOOKUP(YEAR(S2580),INPC!$B$4:$O$29,MONTH(S2580)+1))</f>
        <v>0</v>
      </c>
      <c r="M2580" s="463">
        <f t="shared" si="214"/>
        <v>0</v>
      </c>
      <c r="N2580" s="465">
        <f t="shared" si="222"/>
        <v>0</v>
      </c>
      <c r="O2580" s="179"/>
      <c r="P2580" s="180"/>
      <c r="Q2580" s="173"/>
      <c r="R2580" s="173"/>
      <c r="S2580" s="174"/>
      <c r="T2580" s="173"/>
      <c r="U2580" s="182"/>
      <c r="V2580" s="177">
        <f>IF(U2580=0,0,IF(T2580="MXN",1/HLOOKUP(YEAR(S2580)+(MONTH(S2580)/100),TC!$5:$37,DAY(S2580)+2,FALSE),VLOOKUP(T2580,Equivalencia!$1:$23,((MAX(Equivalencia!$3:$3)-YEAR(S2580))*14)+MONTH(S2580)+2,FALSE)))</f>
        <v>0</v>
      </c>
      <c r="W2580" s="178">
        <f t="shared" si="219"/>
        <v>0</v>
      </c>
      <c r="X2580" s="481">
        <f t="shared" si="215"/>
        <v>0</v>
      </c>
      <c r="Y2580" s="179"/>
      <c r="Z2580" s="466">
        <f t="shared" si="216"/>
        <v>0</v>
      </c>
      <c r="AA2580" s="473">
        <f t="shared" si="217"/>
        <v>0</v>
      </c>
      <c r="AB2580" s="339">
        <f t="shared" si="218"/>
        <v>0</v>
      </c>
    </row>
    <row r="2581" spans="2:28" ht="20.100000000000001" customHeight="1">
      <c r="B2581" s="172"/>
      <c r="C2581" s="174"/>
      <c r="D2581" s="181"/>
      <c r="E2581" s="173"/>
      <c r="F2581" s="176"/>
      <c r="G2581" s="175">
        <f t="shared" si="220"/>
        <v>0</v>
      </c>
      <c r="H2581" s="175">
        <f t="shared" si="213"/>
        <v>0</v>
      </c>
      <c r="I2581" s="177">
        <f>IF(G2581=0,0,IF(E2581="MXN",1/HLOOKUP(YEAR(C2581)+(MONTH(C2581)/100),TC!$5:$37,DAY(C2581)+2,FALSE),VLOOKUP(E2581,Equivalencia!$5:$23,((MAX(Equivalencia!$3:$3)-YEAR(C2581))*14)+MONTH(C2581)+2,FALSE)))</f>
        <v>0</v>
      </c>
      <c r="J2581" s="178">
        <f t="shared" si="221"/>
        <v>0</v>
      </c>
      <c r="K2581" s="462">
        <f>IF(C2581=0,0,VLOOKUP(YEAR(C2581),INPC!$B$4:$O$29,MONTH(C2581)+1))</f>
        <v>0</v>
      </c>
      <c r="L2581" s="462">
        <f>IF(S2581=0,0,VLOOKUP(YEAR(S2581),INPC!$B$4:$O$29,MONTH(S2581)+1))</f>
        <v>0</v>
      </c>
      <c r="M2581" s="463">
        <f t="shared" si="214"/>
        <v>0</v>
      </c>
      <c r="N2581" s="465">
        <f t="shared" si="222"/>
        <v>0</v>
      </c>
      <c r="O2581" s="179"/>
      <c r="P2581" s="180"/>
      <c r="Q2581" s="173"/>
      <c r="R2581" s="173"/>
      <c r="S2581" s="174"/>
      <c r="T2581" s="173"/>
      <c r="U2581" s="182"/>
      <c r="V2581" s="177">
        <f>IF(U2581=0,0,IF(T2581="MXN",1/HLOOKUP(YEAR(S2581)+(MONTH(S2581)/100),TC!$5:$37,DAY(S2581)+2,FALSE),VLOOKUP(T2581,Equivalencia!$1:$23,((MAX(Equivalencia!$3:$3)-YEAR(S2581))*14)+MONTH(S2581)+2,FALSE)))</f>
        <v>0</v>
      </c>
      <c r="W2581" s="178">
        <f t="shared" si="219"/>
        <v>0</v>
      </c>
      <c r="X2581" s="481">
        <f t="shared" si="215"/>
        <v>0</v>
      </c>
      <c r="Y2581" s="179"/>
      <c r="Z2581" s="466">
        <f t="shared" si="216"/>
        <v>0</v>
      </c>
      <c r="AA2581" s="473">
        <f t="shared" si="217"/>
        <v>0</v>
      </c>
      <c r="AB2581" s="339">
        <f t="shared" si="218"/>
        <v>0</v>
      </c>
    </row>
    <row r="2582" spans="2:28" ht="20.100000000000001" customHeight="1">
      <c r="B2582" s="172"/>
      <c r="C2582" s="174"/>
      <c r="D2582" s="181"/>
      <c r="E2582" s="173"/>
      <c r="F2582" s="176"/>
      <c r="G2582" s="175">
        <f t="shared" si="220"/>
        <v>0</v>
      </c>
      <c r="H2582" s="175">
        <f t="shared" si="213"/>
        <v>0</v>
      </c>
      <c r="I2582" s="177">
        <f>IF(G2582=0,0,IF(E2582="MXN",1/HLOOKUP(YEAR(C2582)+(MONTH(C2582)/100),TC!$5:$37,DAY(C2582)+2,FALSE),VLOOKUP(E2582,Equivalencia!$5:$23,((MAX(Equivalencia!$3:$3)-YEAR(C2582))*14)+MONTH(C2582)+2,FALSE)))</f>
        <v>0</v>
      </c>
      <c r="J2582" s="178">
        <f t="shared" si="221"/>
        <v>0</v>
      </c>
      <c r="K2582" s="462">
        <f>IF(C2582=0,0,VLOOKUP(YEAR(C2582),INPC!$B$4:$O$29,MONTH(C2582)+1))</f>
        <v>0</v>
      </c>
      <c r="L2582" s="462">
        <f>IF(S2582=0,0,VLOOKUP(YEAR(S2582),INPC!$B$4:$O$29,MONTH(S2582)+1))</f>
        <v>0</v>
      </c>
      <c r="M2582" s="463">
        <f t="shared" si="214"/>
        <v>0</v>
      </c>
      <c r="N2582" s="465">
        <f t="shared" si="222"/>
        <v>0</v>
      </c>
      <c r="O2582" s="179"/>
      <c r="P2582" s="180"/>
      <c r="Q2582" s="173"/>
      <c r="R2582" s="173"/>
      <c r="S2582" s="174"/>
      <c r="T2582" s="173"/>
      <c r="U2582" s="182"/>
      <c r="V2582" s="177">
        <f>IF(U2582=0,0,IF(T2582="MXN",1/HLOOKUP(YEAR(S2582)+(MONTH(S2582)/100),TC!$5:$37,DAY(S2582)+2,FALSE),VLOOKUP(T2582,Equivalencia!$1:$23,((MAX(Equivalencia!$3:$3)-YEAR(S2582))*14)+MONTH(S2582)+2,FALSE)))</f>
        <v>0</v>
      </c>
      <c r="W2582" s="178">
        <f t="shared" si="219"/>
        <v>0</v>
      </c>
      <c r="X2582" s="481">
        <f t="shared" si="215"/>
        <v>0</v>
      </c>
      <c r="Y2582" s="179"/>
      <c r="Z2582" s="466">
        <f t="shared" si="216"/>
        <v>0</v>
      </c>
      <c r="AA2582" s="473">
        <f t="shared" si="217"/>
        <v>0</v>
      </c>
      <c r="AB2582" s="339">
        <f t="shared" si="218"/>
        <v>0</v>
      </c>
    </row>
    <row r="2583" spans="2:28" ht="20.100000000000001" customHeight="1">
      <c r="B2583" s="172"/>
      <c r="C2583" s="174"/>
      <c r="D2583" s="181"/>
      <c r="E2583" s="173"/>
      <c r="F2583" s="176"/>
      <c r="G2583" s="175">
        <f t="shared" si="220"/>
        <v>0</v>
      </c>
      <c r="H2583" s="175">
        <f t="shared" si="213"/>
        <v>0</v>
      </c>
      <c r="I2583" s="177">
        <f>IF(G2583=0,0,IF(E2583="MXN",1/HLOOKUP(YEAR(C2583)+(MONTH(C2583)/100),TC!$5:$37,DAY(C2583)+2,FALSE),VLOOKUP(E2583,Equivalencia!$5:$23,((MAX(Equivalencia!$3:$3)-YEAR(C2583))*14)+MONTH(C2583)+2,FALSE)))</f>
        <v>0</v>
      </c>
      <c r="J2583" s="178">
        <f t="shared" si="221"/>
        <v>0</v>
      </c>
      <c r="K2583" s="462">
        <f>IF(C2583=0,0,VLOOKUP(YEAR(C2583),INPC!$B$4:$O$29,MONTH(C2583)+1))</f>
        <v>0</v>
      </c>
      <c r="L2583" s="462">
        <f>IF(S2583=0,0,VLOOKUP(YEAR(S2583),INPC!$B$4:$O$29,MONTH(S2583)+1))</f>
        <v>0</v>
      </c>
      <c r="M2583" s="463">
        <f t="shared" si="214"/>
        <v>0</v>
      </c>
      <c r="N2583" s="465">
        <f t="shared" si="222"/>
        <v>0</v>
      </c>
      <c r="O2583" s="179"/>
      <c r="P2583" s="180"/>
      <c r="Q2583" s="173"/>
      <c r="R2583" s="173"/>
      <c r="S2583" s="174"/>
      <c r="T2583" s="173"/>
      <c r="U2583" s="182"/>
      <c r="V2583" s="177">
        <f>IF(U2583=0,0,IF(T2583="MXN",1/HLOOKUP(YEAR(S2583)+(MONTH(S2583)/100),TC!$5:$37,DAY(S2583)+2,FALSE),VLOOKUP(T2583,Equivalencia!$1:$23,((MAX(Equivalencia!$3:$3)-YEAR(S2583))*14)+MONTH(S2583)+2,FALSE)))</f>
        <v>0</v>
      </c>
      <c r="W2583" s="178">
        <f t="shared" si="219"/>
        <v>0</v>
      </c>
      <c r="X2583" s="481">
        <f t="shared" si="215"/>
        <v>0</v>
      </c>
      <c r="Y2583" s="179"/>
      <c r="Z2583" s="466">
        <f t="shared" si="216"/>
        <v>0</v>
      </c>
      <c r="AA2583" s="473">
        <f t="shared" si="217"/>
        <v>0</v>
      </c>
      <c r="AB2583" s="339">
        <f t="shared" si="218"/>
        <v>0</v>
      </c>
    </row>
    <row r="2584" spans="2:28" ht="20.100000000000001" customHeight="1">
      <c r="B2584" s="172"/>
      <c r="C2584" s="174"/>
      <c r="D2584" s="181"/>
      <c r="E2584" s="173"/>
      <c r="F2584" s="176"/>
      <c r="G2584" s="175">
        <f t="shared" si="220"/>
        <v>0</v>
      </c>
      <c r="H2584" s="175">
        <f t="shared" si="213"/>
        <v>0</v>
      </c>
      <c r="I2584" s="177">
        <f>IF(G2584=0,0,IF(E2584="MXN",1/HLOOKUP(YEAR(C2584)+(MONTH(C2584)/100),TC!$5:$37,DAY(C2584)+2,FALSE),VLOOKUP(E2584,Equivalencia!$5:$23,((MAX(Equivalencia!$3:$3)-YEAR(C2584))*14)+MONTH(C2584)+2,FALSE)))</f>
        <v>0</v>
      </c>
      <c r="J2584" s="178">
        <f t="shared" si="221"/>
        <v>0</v>
      </c>
      <c r="K2584" s="462">
        <f>IF(C2584=0,0,VLOOKUP(YEAR(C2584),INPC!$B$4:$O$29,MONTH(C2584)+1))</f>
        <v>0</v>
      </c>
      <c r="L2584" s="462">
        <f>IF(S2584=0,0,VLOOKUP(YEAR(S2584),INPC!$B$4:$O$29,MONTH(S2584)+1))</f>
        <v>0</v>
      </c>
      <c r="M2584" s="463">
        <f t="shared" si="214"/>
        <v>0</v>
      </c>
      <c r="N2584" s="465">
        <f t="shared" si="222"/>
        <v>0</v>
      </c>
      <c r="O2584" s="179"/>
      <c r="P2584" s="180"/>
      <c r="Q2584" s="173"/>
      <c r="R2584" s="173"/>
      <c r="S2584" s="174"/>
      <c r="T2584" s="173"/>
      <c r="U2584" s="182"/>
      <c r="V2584" s="177">
        <f>IF(U2584=0,0,IF(T2584="MXN",1/HLOOKUP(YEAR(S2584)+(MONTH(S2584)/100),TC!$5:$37,DAY(S2584)+2,FALSE),VLOOKUP(T2584,Equivalencia!$1:$23,((MAX(Equivalencia!$3:$3)-YEAR(S2584))*14)+MONTH(S2584)+2,FALSE)))</f>
        <v>0</v>
      </c>
      <c r="W2584" s="178">
        <f t="shared" si="219"/>
        <v>0</v>
      </c>
      <c r="X2584" s="481">
        <f t="shared" si="215"/>
        <v>0</v>
      </c>
      <c r="Y2584" s="179"/>
      <c r="Z2584" s="466">
        <f t="shared" si="216"/>
        <v>0</v>
      </c>
      <c r="AA2584" s="473">
        <f t="shared" si="217"/>
        <v>0</v>
      </c>
      <c r="AB2584" s="339">
        <f t="shared" si="218"/>
        <v>0</v>
      </c>
    </row>
    <row r="2585" spans="2:28" ht="20.100000000000001" customHeight="1">
      <c r="B2585" s="172"/>
      <c r="C2585" s="174"/>
      <c r="D2585" s="181"/>
      <c r="E2585" s="173"/>
      <c r="F2585" s="176"/>
      <c r="G2585" s="175">
        <f t="shared" si="220"/>
        <v>0</v>
      </c>
      <c r="H2585" s="175">
        <f t="shared" si="213"/>
        <v>0</v>
      </c>
      <c r="I2585" s="177">
        <f>IF(G2585=0,0,IF(E2585="MXN",1/HLOOKUP(YEAR(C2585)+(MONTH(C2585)/100),TC!$5:$37,DAY(C2585)+2,FALSE),VLOOKUP(E2585,Equivalencia!$5:$23,((MAX(Equivalencia!$3:$3)-YEAR(C2585))*14)+MONTH(C2585)+2,FALSE)))</f>
        <v>0</v>
      </c>
      <c r="J2585" s="178">
        <f t="shared" si="221"/>
        <v>0</v>
      </c>
      <c r="K2585" s="462">
        <f>IF(C2585=0,0,VLOOKUP(YEAR(C2585),INPC!$B$4:$O$29,MONTH(C2585)+1))</f>
        <v>0</v>
      </c>
      <c r="L2585" s="462">
        <f>IF(S2585=0,0,VLOOKUP(YEAR(S2585),INPC!$B$4:$O$29,MONTH(S2585)+1))</f>
        <v>0</v>
      </c>
      <c r="M2585" s="463">
        <f t="shared" si="214"/>
        <v>0</v>
      </c>
      <c r="N2585" s="465">
        <f t="shared" si="222"/>
        <v>0</v>
      </c>
      <c r="O2585" s="179"/>
      <c r="P2585" s="180"/>
      <c r="Q2585" s="173"/>
      <c r="R2585" s="173"/>
      <c r="S2585" s="174"/>
      <c r="T2585" s="173"/>
      <c r="U2585" s="182"/>
      <c r="V2585" s="177">
        <f>IF(U2585=0,0,IF(T2585="MXN",1/HLOOKUP(YEAR(S2585)+(MONTH(S2585)/100),TC!$5:$37,DAY(S2585)+2,FALSE),VLOOKUP(T2585,Equivalencia!$1:$23,((MAX(Equivalencia!$3:$3)-YEAR(S2585))*14)+MONTH(S2585)+2,FALSE)))</f>
        <v>0</v>
      </c>
      <c r="W2585" s="178">
        <f t="shared" si="219"/>
        <v>0</v>
      </c>
      <c r="X2585" s="481">
        <f t="shared" si="215"/>
        <v>0</v>
      </c>
      <c r="Y2585" s="179"/>
      <c r="Z2585" s="466">
        <f t="shared" si="216"/>
        <v>0</v>
      </c>
      <c r="AA2585" s="473">
        <f t="shared" si="217"/>
        <v>0</v>
      </c>
      <c r="AB2585" s="339">
        <f t="shared" si="218"/>
        <v>0</v>
      </c>
    </row>
    <row r="2586" spans="2:28" ht="20.100000000000001" customHeight="1">
      <c r="B2586" s="172"/>
      <c r="C2586" s="174"/>
      <c r="D2586" s="181"/>
      <c r="E2586" s="173"/>
      <c r="F2586" s="176"/>
      <c r="G2586" s="175">
        <f t="shared" si="220"/>
        <v>0</v>
      </c>
      <c r="H2586" s="175">
        <f t="shared" si="213"/>
        <v>0</v>
      </c>
      <c r="I2586" s="177">
        <f>IF(G2586=0,0,IF(E2586="MXN",1/HLOOKUP(YEAR(C2586)+(MONTH(C2586)/100),TC!$5:$37,DAY(C2586)+2,FALSE),VLOOKUP(E2586,Equivalencia!$5:$23,((MAX(Equivalencia!$3:$3)-YEAR(C2586))*14)+MONTH(C2586)+2,FALSE)))</f>
        <v>0</v>
      </c>
      <c r="J2586" s="178">
        <f t="shared" si="221"/>
        <v>0</v>
      </c>
      <c r="K2586" s="462">
        <f>IF(C2586=0,0,VLOOKUP(YEAR(C2586),INPC!$B$4:$O$29,MONTH(C2586)+1))</f>
        <v>0</v>
      </c>
      <c r="L2586" s="462">
        <f>IF(S2586=0,0,VLOOKUP(YEAR(S2586),INPC!$B$4:$O$29,MONTH(S2586)+1))</f>
        <v>0</v>
      </c>
      <c r="M2586" s="463">
        <f t="shared" si="214"/>
        <v>0</v>
      </c>
      <c r="N2586" s="465">
        <f t="shared" si="222"/>
        <v>0</v>
      </c>
      <c r="O2586" s="179"/>
      <c r="P2586" s="180"/>
      <c r="Q2586" s="173"/>
      <c r="R2586" s="173"/>
      <c r="S2586" s="174"/>
      <c r="T2586" s="173"/>
      <c r="U2586" s="182"/>
      <c r="V2586" s="177">
        <f>IF(U2586=0,0,IF(T2586="MXN",1/HLOOKUP(YEAR(S2586)+(MONTH(S2586)/100),TC!$5:$37,DAY(S2586)+2,FALSE),VLOOKUP(T2586,Equivalencia!$1:$23,((MAX(Equivalencia!$3:$3)-YEAR(S2586))*14)+MONTH(S2586)+2,FALSE)))</f>
        <v>0</v>
      </c>
      <c r="W2586" s="178">
        <f t="shared" si="219"/>
        <v>0</v>
      </c>
      <c r="X2586" s="481">
        <f t="shared" si="215"/>
        <v>0</v>
      </c>
      <c r="Y2586" s="179"/>
      <c r="Z2586" s="466">
        <f t="shared" si="216"/>
        <v>0</v>
      </c>
      <c r="AA2586" s="473">
        <f t="shared" si="217"/>
        <v>0</v>
      </c>
      <c r="AB2586" s="339">
        <f t="shared" si="218"/>
        <v>0</v>
      </c>
    </row>
    <row r="2587" spans="2:28" ht="20.100000000000001" customHeight="1">
      <c r="B2587" s="172"/>
      <c r="C2587" s="174"/>
      <c r="D2587" s="181"/>
      <c r="E2587" s="173"/>
      <c r="F2587" s="176"/>
      <c r="G2587" s="175">
        <f t="shared" si="220"/>
        <v>0</v>
      </c>
      <c r="H2587" s="175">
        <f t="shared" si="213"/>
        <v>0</v>
      </c>
      <c r="I2587" s="177">
        <f>IF(G2587=0,0,IF(E2587="MXN",1/HLOOKUP(YEAR(C2587)+(MONTH(C2587)/100),TC!$5:$37,DAY(C2587)+2,FALSE),VLOOKUP(E2587,Equivalencia!$5:$23,((MAX(Equivalencia!$3:$3)-YEAR(C2587))*14)+MONTH(C2587)+2,FALSE)))</f>
        <v>0</v>
      </c>
      <c r="J2587" s="178">
        <f t="shared" si="221"/>
        <v>0</v>
      </c>
      <c r="K2587" s="462">
        <f>IF(C2587=0,0,VLOOKUP(YEAR(C2587),INPC!$B$4:$O$29,MONTH(C2587)+1))</f>
        <v>0</v>
      </c>
      <c r="L2587" s="462">
        <f>IF(S2587=0,0,VLOOKUP(YEAR(S2587),INPC!$B$4:$O$29,MONTH(S2587)+1))</f>
        <v>0</v>
      </c>
      <c r="M2587" s="463">
        <f t="shared" si="214"/>
        <v>0</v>
      </c>
      <c r="N2587" s="465">
        <f t="shared" si="222"/>
        <v>0</v>
      </c>
      <c r="O2587" s="179"/>
      <c r="P2587" s="180"/>
      <c r="Q2587" s="173"/>
      <c r="R2587" s="173"/>
      <c r="S2587" s="174"/>
      <c r="T2587" s="173"/>
      <c r="U2587" s="182"/>
      <c r="V2587" s="177">
        <f>IF(U2587=0,0,IF(T2587="MXN",1/HLOOKUP(YEAR(S2587)+(MONTH(S2587)/100),TC!$5:$37,DAY(S2587)+2,FALSE),VLOOKUP(T2587,Equivalencia!$1:$23,((MAX(Equivalencia!$3:$3)-YEAR(S2587))*14)+MONTH(S2587)+2,FALSE)))</f>
        <v>0</v>
      </c>
      <c r="W2587" s="178">
        <f t="shared" si="219"/>
        <v>0</v>
      </c>
      <c r="X2587" s="481">
        <f t="shared" si="215"/>
        <v>0</v>
      </c>
      <c r="Y2587" s="179"/>
      <c r="Z2587" s="466">
        <f t="shared" si="216"/>
        <v>0</v>
      </c>
      <c r="AA2587" s="473">
        <f t="shared" si="217"/>
        <v>0</v>
      </c>
      <c r="AB2587" s="339">
        <f t="shared" si="218"/>
        <v>0</v>
      </c>
    </row>
    <row r="2588" spans="2:28" ht="20.100000000000001" customHeight="1">
      <c r="B2588" s="172"/>
      <c r="C2588" s="174"/>
      <c r="D2588" s="181"/>
      <c r="E2588" s="173"/>
      <c r="F2588" s="176"/>
      <c r="G2588" s="175">
        <f t="shared" si="220"/>
        <v>0</v>
      </c>
      <c r="H2588" s="175">
        <f t="shared" si="213"/>
        <v>0</v>
      </c>
      <c r="I2588" s="177">
        <f>IF(G2588=0,0,IF(E2588="MXN",1/HLOOKUP(YEAR(C2588)+(MONTH(C2588)/100),TC!$5:$37,DAY(C2588)+2,FALSE),VLOOKUP(E2588,Equivalencia!$5:$23,((MAX(Equivalencia!$3:$3)-YEAR(C2588))*14)+MONTH(C2588)+2,FALSE)))</f>
        <v>0</v>
      </c>
      <c r="J2588" s="178">
        <f t="shared" si="221"/>
        <v>0</v>
      </c>
      <c r="K2588" s="462">
        <f>IF(C2588=0,0,VLOOKUP(YEAR(C2588),INPC!$B$4:$O$29,MONTH(C2588)+1))</f>
        <v>0</v>
      </c>
      <c r="L2588" s="462">
        <f>IF(S2588=0,0,VLOOKUP(YEAR(S2588),INPC!$B$4:$O$29,MONTH(S2588)+1))</f>
        <v>0</v>
      </c>
      <c r="M2588" s="463">
        <f t="shared" si="214"/>
        <v>0</v>
      </c>
      <c r="N2588" s="465">
        <f t="shared" si="222"/>
        <v>0</v>
      </c>
      <c r="O2588" s="179"/>
      <c r="P2588" s="180"/>
      <c r="Q2588" s="173"/>
      <c r="R2588" s="173"/>
      <c r="S2588" s="174"/>
      <c r="T2588" s="173"/>
      <c r="U2588" s="182"/>
      <c r="V2588" s="177">
        <f>IF(U2588=0,0,IF(T2588="MXN",1/HLOOKUP(YEAR(S2588)+(MONTH(S2588)/100),TC!$5:$37,DAY(S2588)+2,FALSE),VLOOKUP(T2588,Equivalencia!$1:$23,((MAX(Equivalencia!$3:$3)-YEAR(S2588))*14)+MONTH(S2588)+2,FALSE)))</f>
        <v>0</v>
      </c>
      <c r="W2588" s="178">
        <f t="shared" si="219"/>
        <v>0</v>
      </c>
      <c r="X2588" s="481">
        <f t="shared" si="215"/>
        <v>0</v>
      </c>
      <c r="Y2588" s="179"/>
      <c r="Z2588" s="466">
        <f t="shared" si="216"/>
        <v>0</v>
      </c>
      <c r="AA2588" s="473">
        <f t="shared" si="217"/>
        <v>0</v>
      </c>
      <c r="AB2588" s="339">
        <f t="shared" si="218"/>
        <v>0</v>
      </c>
    </row>
    <row r="2589" spans="2:28" ht="20.100000000000001" customHeight="1">
      <c r="B2589" s="172"/>
      <c r="C2589" s="174"/>
      <c r="D2589" s="181"/>
      <c r="E2589" s="173"/>
      <c r="F2589" s="176"/>
      <c r="G2589" s="175">
        <f t="shared" si="220"/>
        <v>0</v>
      </c>
      <c r="H2589" s="175">
        <f t="shared" si="213"/>
        <v>0</v>
      </c>
      <c r="I2589" s="177">
        <f>IF(G2589=0,0,IF(E2589="MXN",1/HLOOKUP(YEAR(C2589)+(MONTH(C2589)/100),TC!$5:$37,DAY(C2589)+2,FALSE),VLOOKUP(E2589,Equivalencia!$5:$23,((MAX(Equivalencia!$3:$3)-YEAR(C2589))*14)+MONTH(C2589)+2,FALSE)))</f>
        <v>0</v>
      </c>
      <c r="J2589" s="178">
        <f t="shared" si="221"/>
        <v>0</v>
      </c>
      <c r="K2589" s="462">
        <f>IF(C2589=0,0,VLOOKUP(YEAR(C2589),INPC!$B$4:$O$29,MONTH(C2589)+1))</f>
        <v>0</v>
      </c>
      <c r="L2589" s="462">
        <f>IF(S2589=0,0,VLOOKUP(YEAR(S2589),INPC!$B$4:$O$29,MONTH(S2589)+1))</f>
        <v>0</v>
      </c>
      <c r="M2589" s="463">
        <f t="shared" si="214"/>
        <v>0</v>
      </c>
      <c r="N2589" s="465">
        <f t="shared" si="222"/>
        <v>0</v>
      </c>
      <c r="O2589" s="179"/>
      <c r="P2589" s="180"/>
      <c r="Q2589" s="173"/>
      <c r="R2589" s="173"/>
      <c r="S2589" s="174"/>
      <c r="T2589" s="173"/>
      <c r="U2589" s="182"/>
      <c r="V2589" s="177">
        <f>IF(U2589=0,0,IF(T2589="MXN",1/HLOOKUP(YEAR(S2589)+(MONTH(S2589)/100),TC!$5:$37,DAY(S2589)+2,FALSE),VLOOKUP(T2589,Equivalencia!$1:$23,((MAX(Equivalencia!$3:$3)-YEAR(S2589))*14)+MONTH(S2589)+2,FALSE)))</f>
        <v>0</v>
      </c>
      <c r="W2589" s="178">
        <f t="shared" si="219"/>
        <v>0</v>
      </c>
      <c r="X2589" s="481">
        <f t="shared" si="215"/>
        <v>0</v>
      </c>
      <c r="Y2589" s="179"/>
      <c r="Z2589" s="466">
        <f t="shared" si="216"/>
        <v>0</v>
      </c>
      <c r="AA2589" s="473">
        <f t="shared" si="217"/>
        <v>0</v>
      </c>
      <c r="AB2589" s="339">
        <f t="shared" si="218"/>
        <v>0</v>
      </c>
    </row>
    <row r="2590" spans="2:28" ht="20.100000000000001" customHeight="1">
      <c r="B2590" s="172"/>
      <c r="C2590" s="174"/>
      <c r="D2590" s="181"/>
      <c r="E2590" s="173"/>
      <c r="F2590" s="176"/>
      <c r="G2590" s="175">
        <f t="shared" si="220"/>
        <v>0</v>
      </c>
      <c r="H2590" s="175">
        <f t="shared" si="213"/>
        <v>0</v>
      </c>
      <c r="I2590" s="177">
        <f>IF(G2590=0,0,IF(E2590="MXN",1/HLOOKUP(YEAR(C2590)+(MONTH(C2590)/100),TC!$5:$37,DAY(C2590)+2,FALSE),VLOOKUP(E2590,Equivalencia!$5:$23,((MAX(Equivalencia!$3:$3)-YEAR(C2590))*14)+MONTH(C2590)+2,FALSE)))</f>
        <v>0</v>
      </c>
      <c r="J2590" s="178">
        <f t="shared" si="221"/>
        <v>0</v>
      </c>
      <c r="K2590" s="462">
        <f>IF(C2590=0,0,VLOOKUP(YEAR(C2590),INPC!$B$4:$O$29,MONTH(C2590)+1))</f>
        <v>0</v>
      </c>
      <c r="L2590" s="462">
        <f>IF(S2590=0,0,VLOOKUP(YEAR(S2590),INPC!$B$4:$O$29,MONTH(S2590)+1))</f>
        <v>0</v>
      </c>
      <c r="M2590" s="463">
        <f t="shared" si="214"/>
        <v>0</v>
      </c>
      <c r="N2590" s="465">
        <f t="shared" si="222"/>
        <v>0</v>
      </c>
      <c r="O2590" s="179"/>
      <c r="P2590" s="180"/>
      <c r="Q2590" s="173"/>
      <c r="R2590" s="173"/>
      <c r="S2590" s="174"/>
      <c r="T2590" s="173"/>
      <c r="U2590" s="182"/>
      <c r="V2590" s="177">
        <f>IF(U2590=0,0,IF(T2590="MXN",1/HLOOKUP(YEAR(S2590)+(MONTH(S2590)/100),TC!$5:$37,DAY(S2590)+2,FALSE),VLOOKUP(T2590,Equivalencia!$1:$23,((MAX(Equivalencia!$3:$3)-YEAR(S2590))*14)+MONTH(S2590)+2,FALSE)))</f>
        <v>0</v>
      </c>
      <c r="W2590" s="178">
        <f t="shared" si="219"/>
        <v>0</v>
      </c>
      <c r="X2590" s="481">
        <f t="shared" si="215"/>
        <v>0</v>
      </c>
      <c r="Y2590" s="179"/>
      <c r="Z2590" s="466">
        <f t="shared" si="216"/>
        <v>0</v>
      </c>
      <c r="AA2590" s="473">
        <f t="shared" si="217"/>
        <v>0</v>
      </c>
      <c r="AB2590" s="339">
        <f t="shared" si="218"/>
        <v>0</v>
      </c>
    </row>
    <row r="2591" spans="2:28" ht="20.100000000000001" customHeight="1">
      <c r="B2591" s="172"/>
      <c r="C2591" s="174"/>
      <c r="D2591" s="181"/>
      <c r="E2591" s="173"/>
      <c r="F2591" s="176"/>
      <c r="G2591" s="175">
        <f t="shared" si="220"/>
        <v>0</v>
      </c>
      <c r="H2591" s="175">
        <f t="shared" si="213"/>
        <v>0</v>
      </c>
      <c r="I2591" s="177">
        <f>IF(G2591=0,0,IF(E2591="MXN",1/HLOOKUP(YEAR(C2591)+(MONTH(C2591)/100),TC!$5:$37,DAY(C2591)+2,FALSE),VLOOKUP(E2591,Equivalencia!$5:$23,((MAX(Equivalencia!$3:$3)-YEAR(C2591))*14)+MONTH(C2591)+2,FALSE)))</f>
        <v>0</v>
      </c>
      <c r="J2591" s="178">
        <f t="shared" si="221"/>
        <v>0</v>
      </c>
      <c r="K2591" s="462">
        <f>IF(C2591=0,0,VLOOKUP(YEAR(C2591),INPC!$B$4:$O$29,MONTH(C2591)+1))</f>
        <v>0</v>
      </c>
      <c r="L2591" s="462">
        <f>IF(S2591=0,0,VLOOKUP(YEAR(S2591),INPC!$B$4:$O$29,MONTH(S2591)+1))</f>
        <v>0</v>
      </c>
      <c r="M2591" s="463">
        <f t="shared" si="214"/>
        <v>0</v>
      </c>
      <c r="N2591" s="465">
        <f t="shared" si="222"/>
        <v>0</v>
      </c>
      <c r="O2591" s="179"/>
      <c r="P2591" s="180"/>
      <c r="Q2591" s="173"/>
      <c r="R2591" s="173"/>
      <c r="S2591" s="174"/>
      <c r="T2591" s="173"/>
      <c r="U2591" s="182"/>
      <c r="V2591" s="177">
        <f>IF(U2591=0,0,IF(T2591="MXN",1/HLOOKUP(YEAR(S2591)+(MONTH(S2591)/100),TC!$5:$37,DAY(S2591)+2,FALSE),VLOOKUP(T2591,Equivalencia!$1:$23,((MAX(Equivalencia!$3:$3)-YEAR(S2591))*14)+MONTH(S2591)+2,FALSE)))</f>
        <v>0</v>
      </c>
      <c r="W2591" s="178">
        <f t="shared" si="219"/>
        <v>0</v>
      </c>
      <c r="X2591" s="481">
        <f t="shared" si="215"/>
        <v>0</v>
      </c>
      <c r="Y2591" s="179"/>
      <c r="Z2591" s="466">
        <f t="shared" si="216"/>
        <v>0</v>
      </c>
      <c r="AA2591" s="473">
        <f t="shared" si="217"/>
        <v>0</v>
      </c>
      <c r="AB2591" s="339">
        <f t="shared" si="218"/>
        <v>0</v>
      </c>
    </row>
    <row r="2592" spans="2:28" ht="20.100000000000001" customHeight="1">
      <c r="B2592" s="172"/>
      <c r="C2592" s="174"/>
      <c r="D2592" s="181"/>
      <c r="E2592" s="173"/>
      <c r="F2592" s="176"/>
      <c r="G2592" s="175">
        <f t="shared" si="220"/>
        <v>0</v>
      </c>
      <c r="H2592" s="175">
        <f t="shared" si="213"/>
        <v>0</v>
      </c>
      <c r="I2592" s="177">
        <f>IF(G2592=0,0,IF(E2592="MXN",1/HLOOKUP(YEAR(C2592)+(MONTH(C2592)/100),TC!$5:$37,DAY(C2592)+2,FALSE),VLOOKUP(E2592,Equivalencia!$5:$23,((MAX(Equivalencia!$3:$3)-YEAR(C2592))*14)+MONTH(C2592)+2,FALSE)))</f>
        <v>0</v>
      </c>
      <c r="J2592" s="178">
        <f t="shared" si="221"/>
        <v>0</v>
      </c>
      <c r="K2592" s="462">
        <f>IF(C2592=0,0,VLOOKUP(YEAR(C2592),INPC!$B$4:$O$29,MONTH(C2592)+1))</f>
        <v>0</v>
      </c>
      <c r="L2592" s="462">
        <f>IF(S2592=0,0,VLOOKUP(YEAR(S2592),INPC!$B$4:$O$29,MONTH(S2592)+1))</f>
        <v>0</v>
      </c>
      <c r="M2592" s="463">
        <f t="shared" si="214"/>
        <v>0</v>
      </c>
      <c r="N2592" s="465">
        <f t="shared" si="222"/>
        <v>0</v>
      </c>
      <c r="O2592" s="179"/>
      <c r="P2592" s="180"/>
      <c r="Q2592" s="173"/>
      <c r="R2592" s="173"/>
      <c r="S2592" s="174"/>
      <c r="T2592" s="173"/>
      <c r="U2592" s="182"/>
      <c r="V2592" s="177">
        <f>IF(U2592=0,0,IF(T2592="MXN",1/HLOOKUP(YEAR(S2592)+(MONTH(S2592)/100),TC!$5:$37,DAY(S2592)+2,FALSE),VLOOKUP(T2592,Equivalencia!$1:$23,((MAX(Equivalencia!$3:$3)-YEAR(S2592))*14)+MONTH(S2592)+2,FALSE)))</f>
        <v>0</v>
      </c>
      <c r="W2592" s="178">
        <f t="shared" si="219"/>
        <v>0</v>
      </c>
      <c r="X2592" s="481">
        <f t="shared" si="215"/>
        <v>0</v>
      </c>
      <c r="Y2592" s="179"/>
      <c r="Z2592" s="466">
        <f t="shared" si="216"/>
        <v>0</v>
      </c>
      <c r="AA2592" s="473">
        <f t="shared" si="217"/>
        <v>0</v>
      </c>
      <c r="AB2592" s="339">
        <f t="shared" si="218"/>
        <v>0</v>
      </c>
    </row>
    <row r="2593" spans="2:28" ht="20.100000000000001" customHeight="1">
      <c r="B2593" s="172"/>
      <c r="C2593" s="174"/>
      <c r="D2593" s="181"/>
      <c r="E2593" s="173"/>
      <c r="F2593" s="176"/>
      <c r="G2593" s="175">
        <f t="shared" si="220"/>
        <v>0</v>
      </c>
      <c r="H2593" s="175">
        <f t="shared" si="213"/>
        <v>0</v>
      </c>
      <c r="I2593" s="177">
        <f>IF(G2593=0,0,IF(E2593="MXN",1/HLOOKUP(YEAR(C2593)+(MONTH(C2593)/100),TC!$5:$37,DAY(C2593)+2,FALSE),VLOOKUP(E2593,Equivalencia!$5:$23,((MAX(Equivalencia!$3:$3)-YEAR(C2593))*14)+MONTH(C2593)+2,FALSE)))</f>
        <v>0</v>
      </c>
      <c r="J2593" s="178">
        <f t="shared" si="221"/>
        <v>0</v>
      </c>
      <c r="K2593" s="462">
        <f>IF(C2593=0,0,VLOOKUP(YEAR(C2593),INPC!$B$4:$O$29,MONTH(C2593)+1))</f>
        <v>0</v>
      </c>
      <c r="L2593" s="462">
        <f>IF(S2593=0,0,VLOOKUP(YEAR(S2593),INPC!$B$4:$O$29,MONTH(S2593)+1))</f>
        <v>0</v>
      </c>
      <c r="M2593" s="463">
        <f t="shared" si="214"/>
        <v>0</v>
      </c>
      <c r="N2593" s="465">
        <f t="shared" si="222"/>
        <v>0</v>
      </c>
      <c r="O2593" s="179"/>
      <c r="P2593" s="180"/>
      <c r="Q2593" s="173"/>
      <c r="R2593" s="173"/>
      <c r="S2593" s="174"/>
      <c r="T2593" s="173"/>
      <c r="U2593" s="182"/>
      <c r="V2593" s="177">
        <f>IF(U2593=0,0,IF(T2593="MXN",1/HLOOKUP(YEAR(S2593)+(MONTH(S2593)/100),TC!$5:$37,DAY(S2593)+2,FALSE),VLOOKUP(T2593,Equivalencia!$1:$23,((MAX(Equivalencia!$3:$3)-YEAR(S2593))*14)+MONTH(S2593)+2,FALSE)))</f>
        <v>0</v>
      </c>
      <c r="W2593" s="178">
        <f t="shared" si="219"/>
        <v>0</v>
      </c>
      <c r="X2593" s="481">
        <f t="shared" si="215"/>
        <v>0</v>
      </c>
      <c r="Y2593" s="179"/>
      <c r="Z2593" s="466">
        <f t="shared" si="216"/>
        <v>0</v>
      </c>
      <c r="AA2593" s="473">
        <f t="shared" si="217"/>
        <v>0</v>
      </c>
      <c r="AB2593" s="339">
        <f t="shared" si="218"/>
        <v>0</v>
      </c>
    </row>
    <row r="2594" spans="2:28" ht="20.100000000000001" customHeight="1">
      <c r="B2594" s="172"/>
      <c r="C2594" s="174"/>
      <c r="D2594" s="181"/>
      <c r="E2594" s="173"/>
      <c r="F2594" s="176"/>
      <c r="G2594" s="175">
        <f t="shared" si="220"/>
        <v>0</v>
      </c>
      <c r="H2594" s="175">
        <f t="shared" si="213"/>
        <v>0</v>
      </c>
      <c r="I2594" s="177">
        <f>IF(G2594=0,0,IF(E2594="MXN",1/HLOOKUP(YEAR(C2594)+(MONTH(C2594)/100),TC!$5:$37,DAY(C2594)+2,FALSE),VLOOKUP(E2594,Equivalencia!$5:$23,((MAX(Equivalencia!$3:$3)-YEAR(C2594))*14)+MONTH(C2594)+2,FALSE)))</f>
        <v>0</v>
      </c>
      <c r="J2594" s="178">
        <f t="shared" si="221"/>
        <v>0</v>
      </c>
      <c r="K2594" s="462">
        <f>IF(C2594=0,0,VLOOKUP(YEAR(C2594),INPC!$B$4:$O$29,MONTH(C2594)+1))</f>
        <v>0</v>
      </c>
      <c r="L2594" s="462">
        <f>IF(S2594=0,0,VLOOKUP(YEAR(S2594),INPC!$B$4:$O$29,MONTH(S2594)+1))</f>
        <v>0</v>
      </c>
      <c r="M2594" s="463">
        <f t="shared" si="214"/>
        <v>0</v>
      </c>
      <c r="N2594" s="465">
        <f t="shared" si="222"/>
        <v>0</v>
      </c>
      <c r="O2594" s="179"/>
      <c r="P2594" s="180"/>
      <c r="Q2594" s="173"/>
      <c r="R2594" s="173"/>
      <c r="S2594" s="174"/>
      <c r="T2594" s="173"/>
      <c r="U2594" s="182"/>
      <c r="V2594" s="177">
        <f>IF(U2594=0,0,IF(T2594="MXN",1/HLOOKUP(YEAR(S2594)+(MONTH(S2594)/100),TC!$5:$37,DAY(S2594)+2,FALSE),VLOOKUP(T2594,Equivalencia!$1:$23,((MAX(Equivalencia!$3:$3)-YEAR(S2594))*14)+MONTH(S2594)+2,FALSE)))</f>
        <v>0</v>
      </c>
      <c r="W2594" s="178">
        <f t="shared" si="219"/>
        <v>0</v>
      </c>
      <c r="X2594" s="481">
        <f t="shared" si="215"/>
        <v>0</v>
      </c>
      <c r="Y2594" s="179"/>
      <c r="Z2594" s="466">
        <f t="shared" si="216"/>
        <v>0</v>
      </c>
      <c r="AA2594" s="473">
        <f t="shared" si="217"/>
        <v>0</v>
      </c>
      <c r="AB2594" s="339">
        <f t="shared" si="218"/>
        <v>0</v>
      </c>
    </row>
    <row r="2595" spans="2:28" ht="20.100000000000001" customHeight="1">
      <c r="B2595" s="172"/>
      <c r="C2595" s="174"/>
      <c r="D2595" s="181"/>
      <c r="E2595" s="173"/>
      <c r="F2595" s="176"/>
      <c r="G2595" s="175">
        <f t="shared" si="220"/>
        <v>0</v>
      </c>
      <c r="H2595" s="175">
        <f t="shared" si="213"/>
        <v>0</v>
      </c>
      <c r="I2595" s="177">
        <f>IF(G2595=0,0,IF(E2595="MXN",1/HLOOKUP(YEAR(C2595)+(MONTH(C2595)/100),TC!$5:$37,DAY(C2595)+2,FALSE),VLOOKUP(E2595,Equivalencia!$5:$23,((MAX(Equivalencia!$3:$3)-YEAR(C2595))*14)+MONTH(C2595)+2,FALSE)))</f>
        <v>0</v>
      </c>
      <c r="J2595" s="178">
        <f t="shared" si="221"/>
        <v>0</v>
      </c>
      <c r="K2595" s="462">
        <f>IF(C2595=0,0,VLOOKUP(YEAR(C2595),INPC!$B$4:$O$29,MONTH(C2595)+1))</f>
        <v>0</v>
      </c>
      <c r="L2595" s="462">
        <f>IF(S2595=0,0,VLOOKUP(YEAR(S2595),INPC!$B$4:$O$29,MONTH(S2595)+1))</f>
        <v>0</v>
      </c>
      <c r="M2595" s="463">
        <f t="shared" si="214"/>
        <v>0</v>
      </c>
      <c r="N2595" s="465">
        <f t="shared" si="222"/>
        <v>0</v>
      </c>
      <c r="O2595" s="179"/>
      <c r="P2595" s="180"/>
      <c r="Q2595" s="173"/>
      <c r="R2595" s="173"/>
      <c r="S2595" s="174"/>
      <c r="T2595" s="173"/>
      <c r="U2595" s="182"/>
      <c r="V2595" s="177">
        <f>IF(U2595=0,0,IF(T2595="MXN",1/HLOOKUP(YEAR(S2595)+(MONTH(S2595)/100),TC!$5:$37,DAY(S2595)+2,FALSE),VLOOKUP(T2595,Equivalencia!$1:$23,((MAX(Equivalencia!$3:$3)-YEAR(S2595))*14)+MONTH(S2595)+2,FALSE)))</f>
        <v>0</v>
      </c>
      <c r="W2595" s="178">
        <f t="shared" si="219"/>
        <v>0</v>
      </c>
      <c r="X2595" s="481">
        <f t="shared" si="215"/>
        <v>0</v>
      </c>
      <c r="Y2595" s="179"/>
      <c r="Z2595" s="466">
        <f t="shared" si="216"/>
        <v>0</v>
      </c>
      <c r="AA2595" s="473">
        <f t="shared" si="217"/>
        <v>0</v>
      </c>
      <c r="AB2595" s="339">
        <f t="shared" si="218"/>
        <v>0</v>
      </c>
    </row>
    <row r="2596" spans="2:28" ht="20.100000000000001" customHeight="1">
      <c r="B2596" s="172"/>
      <c r="C2596" s="174"/>
      <c r="D2596" s="181"/>
      <c r="E2596" s="173"/>
      <c r="F2596" s="176"/>
      <c r="G2596" s="175">
        <f t="shared" si="220"/>
        <v>0</v>
      </c>
      <c r="H2596" s="175">
        <f t="shared" si="213"/>
        <v>0</v>
      </c>
      <c r="I2596" s="177">
        <f>IF(G2596=0,0,IF(E2596="MXN",1/HLOOKUP(YEAR(C2596)+(MONTH(C2596)/100),TC!$5:$37,DAY(C2596)+2,FALSE),VLOOKUP(E2596,Equivalencia!$5:$23,((MAX(Equivalencia!$3:$3)-YEAR(C2596))*14)+MONTH(C2596)+2,FALSE)))</f>
        <v>0</v>
      </c>
      <c r="J2596" s="178">
        <f t="shared" si="221"/>
        <v>0</v>
      </c>
      <c r="K2596" s="462">
        <f>IF(C2596=0,0,VLOOKUP(YEAR(C2596),INPC!$B$4:$O$29,MONTH(C2596)+1))</f>
        <v>0</v>
      </c>
      <c r="L2596" s="462">
        <f>IF(S2596=0,0,VLOOKUP(YEAR(S2596),INPC!$B$4:$O$29,MONTH(S2596)+1))</f>
        <v>0</v>
      </c>
      <c r="M2596" s="463">
        <f t="shared" si="214"/>
        <v>0</v>
      </c>
      <c r="N2596" s="465">
        <f t="shared" si="222"/>
        <v>0</v>
      </c>
      <c r="O2596" s="179"/>
      <c r="P2596" s="180"/>
      <c r="Q2596" s="173"/>
      <c r="R2596" s="173"/>
      <c r="S2596" s="174"/>
      <c r="T2596" s="173"/>
      <c r="U2596" s="182"/>
      <c r="V2596" s="177">
        <f>IF(U2596=0,0,IF(T2596="MXN",1/HLOOKUP(YEAR(S2596)+(MONTH(S2596)/100),TC!$5:$37,DAY(S2596)+2,FALSE),VLOOKUP(T2596,Equivalencia!$1:$23,((MAX(Equivalencia!$3:$3)-YEAR(S2596))*14)+MONTH(S2596)+2,FALSE)))</f>
        <v>0</v>
      </c>
      <c r="W2596" s="178">
        <f t="shared" si="219"/>
        <v>0</v>
      </c>
      <c r="X2596" s="481">
        <f t="shared" si="215"/>
        <v>0</v>
      </c>
      <c r="Y2596" s="179"/>
      <c r="Z2596" s="466">
        <f t="shared" si="216"/>
        <v>0</v>
      </c>
      <c r="AA2596" s="473">
        <f t="shared" si="217"/>
        <v>0</v>
      </c>
      <c r="AB2596" s="339">
        <f t="shared" si="218"/>
        <v>0</v>
      </c>
    </row>
    <row r="2597" spans="2:28" ht="20.100000000000001" customHeight="1">
      <c r="B2597" s="172"/>
      <c r="C2597" s="174"/>
      <c r="D2597" s="181"/>
      <c r="E2597" s="173"/>
      <c r="F2597" s="176"/>
      <c r="G2597" s="175">
        <f t="shared" si="220"/>
        <v>0</v>
      </c>
      <c r="H2597" s="175">
        <f t="shared" si="213"/>
        <v>0</v>
      </c>
      <c r="I2597" s="177">
        <f>IF(G2597=0,0,IF(E2597="MXN",1/HLOOKUP(YEAR(C2597)+(MONTH(C2597)/100),TC!$5:$37,DAY(C2597)+2,FALSE),VLOOKUP(E2597,Equivalencia!$5:$23,((MAX(Equivalencia!$3:$3)-YEAR(C2597))*14)+MONTH(C2597)+2,FALSE)))</f>
        <v>0</v>
      </c>
      <c r="J2597" s="178">
        <f t="shared" si="221"/>
        <v>0</v>
      </c>
      <c r="K2597" s="462">
        <f>IF(C2597=0,0,VLOOKUP(YEAR(C2597),INPC!$B$4:$O$29,MONTH(C2597)+1))</f>
        <v>0</v>
      </c>
      <c r="L2597" s="462">
        <f>IF(S2597=0,0,VLOOKUP(YEAR(S2597),INPC!$B$4:$O$29,MONTH(S2597)+1))</f>
        <v>0</v>
      </c>
      <c r="M2597" s="463">
        <f t="shared" si="214"/>
        <v>0</v>
      </c>
      <c r="N2597" s="465">
        <f t="shared" si="222"/>
        <v>0</v>
      </c>
      <c r="O2597" s="179"/>
      <c r="P2597" s="180"/>
      <c r="Q2597" s="173"/>
      <c r="R2597" s="173"/>
      <c r="S2597" s="174"/>
      <c r="T2597" s="173"/>
      <c r="U2597" s="182"/>
      <c r="V2597" s="177">
        <f>IF(U2597=0,0,IF(T2597="MXN",1/HLOOKUP(YEAR(S2597)+(MONTH(S2597)/100),TC!$5:$37,DAY(S2597)+2,FALSE),VLOOKUP(T2597,Equivalencia!$1:$23,((MAX(Equivalencia!$3:$3)-YEAR(S2597))*14)+MONTH(S2597)+2,FALSE)))</f>
        <v>0</v>
      </c>
      <c r="W2597" s="178">
        <f t="shared" si="219"/>
        <v>0</v>
      </c>
      <c r="X2597" s="481">
        <f t="shared" si="215"/>
        <v>0</v>
      </c>
      <c r="Y2597" s="179"/>
      <c r="Z2597" s="466">
        <f t="shared" si="216"/>
        <v>0</v>
      </c>
      <c r="AA2597" s="473">
        <f t="shared" si="217"/>
        <v>0</v>
      </c>
      <c r="AB2597" s="339">
        <f t="shared" si="218"/>
        <v>0</v>
      </c>
    </row>
    <row r="2598" spans="2:28" ht="20.100000000000001" customHeight="1">
      <c r="B2598" s="172"/>
      <c r="C2598" s="174"/>
      <c r="D2598" s="181"/>
      <c r="E2598" s="173"/>
      <c r="F2598" s="176"/>
      <c r="G2598" s="175">
        <f t="shared" si="220"/>
        <v>0</v>
      </c>
      <c r="H2598" s="175">
        <f t="shared" si="213"/>
        <v>0</v>
      </c>
      <c r="I2598" s="177">
        <f>IF(G2598=0,0,IF(E2598="MXN",1/HLOOKUP(YEAR(C2598)+(MONTH(C2598)/100),TC!$5:$37,DAY(C2598)+2,FALSE),VLOOKUP(E2598,Equivalencia!$5:$23,((MAX(Equivalencia!$3:$3)-YEAR(C2598))*14)+MONTH(C2598)+2,FALSE)))</f>
        <v>0</v>
      </c>
      <c r="J2598" s="178">
        <f t="shared" si="221"/>
        <v>0</v>
      </c>
      <c r="K2598" s="462">
        <f>IF(C2598=0,0,VLOOKUP(YEAR(C2598),INPC!$B$4:$O$29,MONTH(C2598)+1))</f>
        <v>0</v>
      </c>
      <c r="L2598" s="462">
        <f>IF(S2598=0,0,VLOOKUP(YEAR(S2598),INPC!$B$4:$O$29,MONTH(S2598)+1))</f>
        <v>0</v>
      </c>
      <c r="M2598" s="463">
        <f t="shared" si="214"/>
        <v>0</v>
      </c>
      <c r="N2598" s="465">
        <f t="shared" si="222"/>
        <v>0</v>
      </c>
      <c r="O2598" s="179"/>
      <c r="P2598" s="180"/>
      <c r="Q2598" s="173"/>
      <c r="R2598" s="173"/>
      <c r="S2598" s="174"/>
      <c r="T2598" s="173"/>
      <c r="U2598" s="182"/>
      <c r="V2598" s="177">
        <f>IF(U2598=0,0,IF(T2598="MXN",1/HLOOKUP(YEAR(S2598)+(MONTH(S2598)/100),TC!$5:$37,DAY(S2598)+2,FALSE),VLOOKUP(T2598,Equivalencia!$1:$23,((MAX(Equivalencia!$3:$3)-YEAR(S2598))*14)+MONTH(S2598)+2,FALSE)))</f>
        <v>0</v>
      </c>
      <c r="W2598" s="178">
        <f t="shared" si="219"/>
        <v>0</v>
      </c>
      <c r="X2598" s="481">
        <f t="shared" si="215"/>
        <v>0</v>
      </c>
      <c r="Y2598" s="179"/>
      <c r="Z2598" s="466">
        <f t="shared" si="216"/>
        <v>0</v>
      </c>
      <c r="AA2598" s="473">
        <f t="shared" si="217"/>
        <v>0</v>
      </c>
      <c r="AB2598" s="339">
        <f t="shared" si="218"/>
        <v>0</v>
      </c>
    </row>
    <row r="2599" spans="2:28" ht="20.100000000000001" customHeight="1">
      <c r="B2599" s="172"/>
      <c r="C2599" s="174"/>
      <c r="D2599" s="181"/>
      <c r="E2599" s="173"/>
      <c r="F2599" s="176"/>
      <c r="G2599" s="175">
        <f t="shared" si="220"/>
        <v>0</v>
      </c>
      <c r="H2599" s="175">
        <f t="shared" si="213"/>
        <v>0</v>
      </c>
      <c r="I2599" s="177">
        <f>IF(G2599=0,0,IF(E2599="MXN",1/HLOOKUP(YEAR(C2599)+(MONTH(C2599)/100),TC!$5:$37,DAY(C2599)+2,FALSE),VLOOKUP(E2599,Equivalencia!$5:$23,((MAX(Equivalencia!$3:$3)-YEAR(C2599))*14)+MONTH(C2599)+2,FALSE)))</f>
        <v>0</v>
      </c>
      <c r="J2599" s="178">
        <f t="shared" si="221"/>
        <v>0</v>
      </c>
      <c r="K2599" s="462">
        <f>IF(C2599=0,0,VLOOKUP(YEAR(C2599),INPC!$B$4:$O$29,MONTH(C2599)+1))</f>
        <v>0</v>
      </c>
      <c r="L2599" s="462">
        <f>IF(S2599=0,0,VLOOKUP(YEAR(S2599),INPC!$B$4:$O$29,MONTH(S2599)+1))</f>
        <v>0</v>
      </c>
      <c r="M2599" s="463">
        <f t="shared" si="214"/>
        <v>0</v>
      </c>
      <c r="N2599" s="465">
        <f t="shared" si="222"/>
        <v>0</v>
      </c>
      <c r="O2599" s="179"/>
      <c r="P2599" s="180"/>
      <c r="Q2599" s="173"/>
      <c r="R2599" s="173"/>
      <c r="S2599" s="174"/>
      <c r="T2599" s="173"/>
      <c r="U2599" s="182"/>
      <c r="V2599" s="177">
        <f>IF(U2599=0,0,IF(T2599="MXN",1/HLOOKUP(YEAR(S2599)+(MONTH(S2599)/100),TC!$5:$37,DAY(S2599)+2,FALSE),VLOOKUP(T2599,Equivalencia!$1:$23,((MAX(Equivalencia!$3:$3)-YEAR(S2599))*14)+MONTH(S2599)+2,FALSE)))</f>
        <v>0</v>
      </c>
      <c r="W2599" s="178">
        <f t="shared" si="219"/>
        <v>0</v>
      </c>
      <c r="X2599" s="481">
        <f t="shared" si="215"/>
        <v>0</v>
      </c>
      <c r="Y2599" s="179"/>
      <c r="Z2599" s="466">
        <f t="shared" si="216"/>
        <v>0</v>
      </c>
      <c r="AA2599" s="473">
        <f t="shared" si="217"/>
        <v>0</v>
      </c>
      <c r="AB2599" s="339">
        <f t="shared" si="218"/>
        <v>0</v>
      </c>
    </row>
    <row r="2600" spans="2:28" ht="20.100000000000001" customHeight="1">
      <c r="B2600" s="172"/>
      <c r="C2600" s="174"/>
      <c r="D2600" s="181"/>
      <c r="E2600" s="173"/>
      <c r="F2600" s="176"/>
      <c r="G2600" s="175">
        <f t="shared" si="220"/>
        <v>0</v>
      </c>
      <c r="H2600" s="175">
        <f t="shared" si="213"/>
        <v>0</v>
      </c>
      <c r="I2600" s="177">
        <f>IF(G2600=0,0,IF(E2600="MXN",1/HLOOKUP(YEAR(C2600)+(MONTH(C2600)/100),TC!$5:$37,DAY(C2600)+2,FALSE),VLOOKUP(E2600,Equivalencia!$5:$23,((MAX(Equivalencia!$3:$3)-YEAR(C2600))*14)+MONTH(C2600)+2,FALSE)))</f>
        <v>0</v>
      </c>
      <c r="J2600" s="178">
        <f t="shared" si="221"/>
        <v>0</v>
      </c>
      <c r="K2600" s="462">
        <f>IF(C2600=0,0,VLOOKUP(YEAR(C2600),INPC!$B$4:$O$29,MONTH(C2600)+1))</f>
        <v>0</v>
      </c>
      <c r="L2600" s="462">
        <f>IF(S2600=0,0,VLOOKUP(YEAR(S2600),INPC!$B$4:$O$29,MONTH(S2600)+1))</f>
        <v>0</v>
      </c>
      <c r="M2600" s="463">
        <f t="shared" si="214"/>
        <v>0</v>
      </c>
      <c r="N2600" s="465">
        <f t="shared" si="222"/>
        <v>0</v>
      </c>
      <c r="O2600" s="179"/>
      <c r="P2600" s="180"/>
      <c r="Q2600" s="173"/>
      <c r="R2600" s="173"/>
      <c r="S2600" s="174"/>
      <c r="T2600" s="173"/>
      <c r="U2600" s="182"/>
      <c r="V2600" s="177">
        <f>IF(U2600=0,0,IF(T2600="MXN",1/HLOOKUP(YEAR(S2600)+(MONTH(S2600)/100),TC!$5:$37,DAY(S2600)+2,FALSE),VLOOKUP(T2600,Equivalencia!$1:$23,((MAX(Equivalencia!$3:$3)-YEAR(S2600))*14)+MONTH(S2600)+2,FALSE)))</f>
        <v>0</v>
      </c>
      <c r="W2600" s="178">
        <f t="shared" si="219"/>
        <v>0</v>
      </c>
      <c r="X2600" s="481">
        <f t="shared" si="215"/>
        <v>0</v>
      </c>
      <c r="Y2600" s="179"/>
      <c r="Z2600" s="466">
        <f t="shared" si="216"/>
        <v>0</v>
      </c>
      <c r="AA2600" s="473">
        <f t="shared" si="217"/>
        <v>0</v>
      </c>
      <c r="AB2600" s="339">
        <f t="shared" si="218"/>
        <v>0</v>
      </c>
    </row>
    <row r="2601" spans="2:28" ht="20.100000000000001" customHeight="1">
      <c r="B2601" s="172"/>
      <c r="C2601" s="174"/>
      <c r="D2601" s="181"/>
      <c r="E2601" s="173"/>
      <c r="F2601" s="176"/>
      <c r="G2601" s="175">
        <f t="shared" si="220"/>
        <v>0</v>
      </c>
      <c r="H2601" s="175">
        <f t="shared" si="213"/>
        <v>0</v>
      </c>
      <c r="I2601" s="177">
        <f>IF(G2601=0,0,IF(E2601="MXN",1/HLOOKUP(YEAR(C2601)+(MONTH(C2601)/100),TC!$5:$37,DAY(C2601)+2,FALSE),VLOOKUP(E2601,Equivalencia!$5:$23,((MAX(Equivalencia!$3:$3)-YEAR(C2601))*14)+MONTH(C2601)+2,FALSE)))</f>
        <v>0</v>
      </c>
      <c r="J2601" s="178">
        <f t="shared" si="221"/>
        <v>0</v>
      </c>
      <c r="K2601" s="462">
        <f>IF(C2601=0,0,VLOOKUP(YEAR(C2601),INPC!$B$4:$O$29,MONTH(C2601)+1))</f>
        <v>0</v>
      </c>
      <c r="L2601" s="462">
        <f>IF(S2601=0,0,VLOOKUP(YEAR(S2601),INPC!$B$4:$O$29,MONTH(S2601)+1))</f>
        <v>0</v>
      </c>
      <c r="M2601" s="463">
        <f t="shared" si="214"/>
        <v>0</v>
      </c>
      <c r="N2601" s="465">
        <f t="shared" si="222"/>
        <v>0</v>
      </c>
      <c r="O2601" s="179"/>
      <c r="P2601" s="180"/>
      <c r="Q2601" s="173"/>
      <c r="R2601" s="173"/>
      <c r="S2601" s="174"/>
      <c r="T2601" s="173"/>
      <c r="U2601" s="182"/>
      <c r="V2601" s="177">
        <f>IF(U2601=0,0,IF(T2601="MXN",1/HLOOKUP(YEAR(S2601)+(MONTH(S2601)/100),TC!$5:$37,DAY(S2601)+2,FALSE),VLOOKUP(T2601,Equivalencia!$1:$23,((MAX(Equivalencia!$3:$3)-YEAR(S2601))*14)+MONTH(S2601)+2,FALSE)))</f>
        <v>0</v>
      </c>
      <c r="W2601" s="178">
        <f t="shared" si="219"/>
        <v>0</v>
      </c>
      <c r="X2601" s="481">
        <f t="shared" si="215"/>
        <v>0</v>
      </c>
      <c r="Y2601" s="179"/>
      <c r="Z2601" s="466">
        <f t="shared" si="216"/>
        <v>0</v>
      </c>
      <c r="AA2601" s="473">
        <f t="shared" si="217"/>
        <v>0</v>
      </c>
      <c r="AB2601" s="339">
        <f t="shared" si="218"/>
        <v>0</v>
      </c>
    </row>
    <row r="2602" spans="2:28" ht="20.100000000000001" customHeight="1">
      <c r="B2602" s="172"/>
      <c r="C2602" s="174"/>
      <c r="D2602" s="181"/>
      <c r="E2602" s="173"/>
      <c r="F2602" s="176"/>
      <c r="G2602" s="175">
        <f t="shared" si="220"/>
        <v>0</v>
      </c>
      <c r="H2602" s="175">
        <f t="shared" si="213"/>
        <v>0</v>
      </c>
      <c r="I2602" s="177">
        <f>IF(G2602=0,0,IF(E2602="MXN",1/HLOOKUP(YEAR(C2602)+(MONTH(C2602)/100),TC!$5:$37,DAY(C2602)+2,FALSE),VLOOKUP(E2602,Equivalencia!$5:$23,((MAX(Equivalencia!$3:$3)-YEAR(C2602))*14)+MONTH(C2602)+2,FALSE)))</f>
        <v>0</v>
      </c>
      <c r="J2602" s="178">
        <f t="shared" si="221"/>
        <v>0</v>
      </c>
      <c r="K2602" s="462">
        <f>IF(C2602=0,0,VLOOKUP(YEAR(C2602),INPC!$B$4:$O$29,MONTH(C2602)+1))</f>
        <v>0</v>
      </c>
      <c r="L2602" s="462">
        <f>IF(S2602=0,0,VLOOKUP(YEAR(S2602),INPC!$B$4:$O$29,MONTH(S2602)+1))</f>
        <v>0</v>
      </c>
      <c r="M2602" s="463">
        <f t="shared" si="214"/>
        <v>0</v>
      </c>
      <c r="N2602" s="465">
        <f t="shared" si="222"/>
        <v>0</v>
      </c>
      <c r="O2602" s="179"/>
      <c r="P2602" s="180"/>
      <c r="Q2602" s="173"/>
      <c r="R2602" s="173"/>
      <c r="S2602" s="174"/>
      <c r="T2602" s="173"/>
      <c r="U2602" s="182"/>
      <c r="V2602" s="177">
        <f>IF(U2602=0,0,IF(T2602="MXN",1/HLOOKUP(YEAR(S2602)+(MONTH(S2602)/100),TC!$5:$37,DAY(S2602)+2,FALSE),VLOOKUP(T2602,Equivalencia!$1:$23,((MAX(Equivalencia!$3:$3)-YEAR(S2602))*14)+MONTH(S2602)+2,FALSE)))</f>
        <v>0</v>
      </c>
      <c r="W2602" s="178">
        <f t="shared" si="219"/>
        <v>0</v>
      </c>
      <c r="X2602" s="481">
        <f t="shared" si="215"/>
        <v>0</v>
      </c>
      <c r="Y2602" s="179"/>
      <c r="Z2602" s="466">
        <f t="shared" si="216"/>
        <v>0</v>
      </c>
      <c r="AA2602" s="473">
        <f t="shared" si="217"/>
        <v>0</v>
      </c>
      <c r="AB2602" s="339">
        <f t="shared" si="218"/>
        <v>0</v>
      </c>
    </row>
    <row r="2603" spans="2:28" ht="20.100000000000001" customHeight="1">
      <c r="B2603" s="172"/>
      <c r="C2603" s="174"/>
      <c r="D2603" s="181"/>
      <c r="E2603" s="173"/>
      <c r="F2603" s="176"/>
      <c r="G2603" s="175">
        <f t="shared" si="220"/>
        <v>0</v>
      </c>
      <c r="H2603" s="175">
        <f t="shared" si="213"/>
        <v>0</v>
      </c>
      <c r="I2603" s="177">
        <f>IF(G2603=0,0,IF(E2603="MXN",1/HLOOKUP(YEAR(C2603)+(MONTH(C2603)/100),TC!$5:$37,DAY(C2603)+2,FALSE),VLOOKUP(E2603,Equivalencia!$5:$23,((MAX(Equivalencia!$3:$3)-YEAR(C2603))*14)+MONTH(C2603)+2,FALSE)))</f>
        <v>0</v>
      </c>
      <c r="J2603" s="178">
        <f t="shared" si="221"/>
        <v>0</v>
      </c>
      <c r="K2603" s="462">
        <f>IF(C2603=0,0,VLOOKUP(YEAR(C2603),INPC!$B$4:$O$29,MONTH(C2603)+1))</f>
        <v>0</v>
      </c>
      <c r="L2603" s="462">
        <f>IF(S2603=0,0,VLOOKUP(YEAR(S2603),INPC!$B$4:$O$29,MONTH(S2603)+1))</f>
        <v>0</v>
      </c>
      <c r="M2603" s="463">
        <f t="shared" si="214"/>
        <v>0</v>
      </c>
      <c r="N2603" s="465">
        <f t="shared" si="222"/>
        <v>0</v>
      </c>
      <c r="O2603" s="179"/>
      <c r="P2603" s="180"/>
      <c r="Q2603" s="173"/>
      <c r="R2603" s="173"/>
      <c r="S2603" s="174"/>
      <c r="T2603" s="173"/>
      <c r="U2603" s="182"/>
      <c r="V2603" s="177">
        <f>IF(U2603=0,0,IF(T2603="MXN",1/HLOOKUP(YEAR(S2603)+(MONTH(S2603)/100),TC!$5:$37,DAY(S2603)+2,FALSE),VLOOKUP(T2603,Equivalencia!$1:$23,((MAX(Equivalencia!$3:$3)-YEAR(S2603))*14)+MONTH(S2603)+2,FALSE)))</f>
        <v>0</v>
      </c>
      <c r="W2603" s="178">
        <f t="shared" si="219"/>
        <v>0</v>
      </c>
      <c r="X2603" s="481">
        <f t="shared" si="215"/>
        <v>0</v>
      </c>
      <c r="Y2603" s="179"/>
      <c r="Z2603" s="466">
        <f t="shared" si="216"/>
        <v>0</v>
      </c>
      <c r="AA2603" s="473">
        <f t="shared" si="217"/>
        <v>0</v>
      </c>
      <c r="AB2603" s="339">
        <f t="shared" si="218"/>
        <v>0</v>
      </c>
    </row>
    <row r="2604" spans="2:28" ht="20.100000000000001" customHeight="1">
      <c r="B2604" s="172"/>
      <c r="C2604" s="174"/>
      <c r="D2604" s="181"/>
      <c r="E2604" s="173"/>
      <c r="F2604" s="176"/>
      <c r="G2604" s="175">
        <f t="shared" si="220"/>
        <v>0</v>
      </c>
      <c r="H2604" s="175">
        <f t="shared" si="213"/>
        <v>0</v>
      </c>
      <c r="I2604" s="177">
        <f>IF(G2604=0,0,IF(E2604="MXN",1/HLOOKUP(YEAR(C2604)+(MONTH(C2604)/100),TC!$5:$37,DAY(C2604)+2,FALSE),VLOOKUP(E2604,Equivalencia!$5:$23,((MAX(Equivalencia!$3:$3)-YEAR(C2604))*14)+MONTH(C2604)+2,FALSE)))</f>
        <v>0</v>
      </c>
      <c r="J2604" s="178">
        <f t="shared" si="221"/>
        <v>0</v>
      </c>
      <c r="K2604" s="462">
        <f>IF(C2604=0,0,VLOOKUP(YEAR(C2604),INPC!$B$4:$O$29,MONTH(C2604)+1))</f>
        <v>0</v>
      </c>
      <c r="L2604" s="462">
        <f>IF(S2604=0,0,VLOOKUP(YEAR(S2604),INPC!$B$4:$O$29,MONTH(S2604)+1))</f>
        <v>0</v>
      </c>
      <c r="M2604" s="463">
        <f t="shared" si="214"/>
        <v>0</v>
      </c>
      <c r="N2604" s="465">
        <f t="shared" si="222"/>
        <v>0</v>
      </c>
      <c r="O2604" s="179"/>
      <c r="P2604" s="180"/>
      <c r="Q2604" s="173"/>
      <c r="R2604" s="173"/>
      <c r="S2604" s="174"/>
      <c r="T2604" s="173"/>
      <c r="U2604" s="182"/>
      <c r="V2604" s="177">
        <f>IF(U2604=0,0,IF(T2604="MXN",1/HLOOKUP(YEAR(S2604)+(MONTH(S2604)/100),TC!$5:$37,DAY(S2604)+2,FALSE),VLOOKUP(T2604,Equivalencia!$1:$23,((MAX(Equivalencia!$3:$3)-YEAR(S2604))*14)+MONTH(S2604)+2,FALSE)))</f>
        <v>0</v>
      </c>
      <c r="W2604" s="178">
        <f t="shared" si="219"/>
        <v>0</v>
      </c>
      <c r="X2604" s="481">
        <f t="shared" si="215"/>
        <v>0</v>
      </c>
      <c r="Y2604" s="179"/>
      <c r="Z2604" s="466">
        <f t="shared" si="216"/>
        <v>0</v>
      </c>
      <c r="AA2604" s="473">
        <f t="shared" si="217"/>
        <v>0</v>
      </c>
      <c r="AB2604" s="339">
        <f t="shared" si="218"/>
        <v>0</v>
      </c>
    </row>
    <row r="2605" spans="2:28" ht="20.100000000000001" customHeight="1">
      <c r="B2605" s="172"/>
      <c r="C2605" s="174"/>
      <c r="D2605" s="181"/>
      <c r="E2605" s="173"/>
      <c r="F2605" s="176"/>
      <c r="G2605" s="175">
        <f t="shared" si="220"/>
        <v>0</v>
      </c>
      <c r="H2605" s="175">
        <f t="shared" si="213"/>
        <v>0</v>
      </c>
      <c r="I2605" s="177">
        <f>IF(G2605=0,0,IF(E2605="MXN",1/HLOOKUP(YEAR(C2605)+(MONTH(C2605)/100),TC!$5:$37,DAY(C2605)+2,FALSE),VLOOKUP(E2605,Equivalencia!$5:$23,((MAX(Equivalencia!$3:$3)-YEAR(C2605))*14)+MONTH(C2605)+2,FALSE)))</f>
        <v>0</v>
      </c>
      <c r="J2605" s="178">
        <f t="shared" si="221"/>
        <v>0</v>
      </c>
      <c r="K2605" s="462">
        <f>IF(C2605=0,0,VLOOKUP(YEAR(C2605),INPC!$B$4:$O$29,MONTH(C2605)+1))</f>
        <v>0</v>
      </c>
      <c r="L2605" s="462">
        <f>IF(S2605=0,0,VLOOKUP(YEAR(S2605),INPC!$B$4:$O$29,MONTH(S2605)+1))</f>
        <v>0</v>
      </c>
      <c r="M2605" s="463">
        <f t="shared" si="214"/>
        <v>0</v>
      </c>
      <c r="N2605" s="465">
        <f t="shared" si="222"/>
        <v>0</v>
      </c>
      <c r="O2605" s="179"/>
      <c r="P2605" s="180"/>
      <c r="Q2605" s="173"/>
      <c r="R2605" s="173"/>
      <c r="S2605" s="174"/>
      <c r="T2605" s="173"/>
      <c r="U2605" s="182"/>
      <c r="V2605" s="177">
        <f>IF(U2605=0,0,IF(T2605="MXN",1/HLOOKUP(YEAR(S2605)+(MONTH(S2605)/100),TC!$5:$37,DAY(S2605)+2,FALSE),VLOOKUP(T2605,Equivalencia!$1:$23,((MAX(Equivalencia!$3:$3)-YEAR(S2605))*14)+MONTH(S2605)+2,FALSE)))</f>
        <v>0</v>
      </c>
      <c r="W2605" s="178">
        <f t="shared" si="219"/>
        <v>0</v>
      </c>
      <c r="X2605" s="481">
        <f t="shared" si="215"/>
        <v>0</v>
      </c>
      <c r="Y2605" s="179"/>
      <c r="Z2605" s="466">
        <f t="shared" si="216"/>
        <v>0</v>
      </c>
      <c r="AA2605" s="473">
        <f t="shared" si="217"/>
        <v>0</v>
      </c>
      <c r="AB2605" s="339">
        <f t="shared" si="218"/>
        <v>0</v>
      </c>
    </row>
    <row r="2606" spans="2:28" ht="20.100000000000001" customHeight="1">
      <c r="B2606" s="172"/>
      <c r="C2606" s="174"/>
      <c r="D2606" s="181"/>
      <c r="E2606" s="173"/>
      <c r="F2606" s="176"/>
      <c r="G2606" s="175">
        <f t="shared" si="220"/>
        <v>0</v>
      </c>
      <c r="H2606" s="175">
        <f t="shared" si="213"/>
        <v>0</v>
      </c>
      <c r="I2606" s="177">
        <f>IF(G2606=0,0,IF(E2606="MXN",1/HLOOKUP(YEAR(C2606)+(MONTH(C2606)/100),TC!$5:$37,DAY(C2606)+2,FALSE),VLOOKUP(E2606,Equivalencia!$5:$23,((MAX(Equivalencia!$3:$3)-YEAR(C2606))*14)+MONTH(C2606)+2,FALSE)))</f>
        <v>0</v>
      </c>
      <c r="J2606" s="178">
        <f t="shared" si="221"/>
        <v>0</v>
      </c>
      <c r="K2606" s="462">
        <f>IF(C2606=0,0,VLOOKUP(YEAR(C2606),INPC!$B$4:$O$29,MONTH(C2606)+1))</f>
        <v>0</v>
      </c>
      <c r="L2606" s="462">
        <f>IF(S2606=0,0,VLOOKUP(YEAR(S2606),INPC!$B$4:$O$29,MONTH(S2606)+1))</f>
        <v>0</v>
      </c>
      <c r="M2606" s="463">
        <f t="shared" si="214"/>
        <v>0</v>
      </c>
      <c r="N2606" s="465">
        <f t="shared" si="222"/>
        <v>0</v>
      </c>
      <c r="O2606" s="179"/>
      <c r="P2606" s="180"/>
      <c r="Q2606" s="173"/>
      <c r="R2606" s="173"/>
      <c r="S2606" s="174"/>
      <c r="T2606" s="173"/>
      <c r="U2606" s="182"/>
      <c r="V2606" s="177">
        <f>IF(U2606=0,0,IF(T2606="MXN",1/HLOOKUP(YEAR(S2606)+(MONTH(S2606)/100),TC!$5:$37,DAY(S2606)+2,FALSE),VLOOKUP(T2606,Equivalencia!$1:$23,((MAX(Equivalencia!$3:$3)-YEAR(S2606))*14)+MONTH(S2606)+2,FALSE)))</f>
        <v>0</v>
      </c>
      <c r="W2606" s="178">
        <f t="shared" si="219"/>
        <v>0</v>
      </c>
      <c r="X2606" s="481">
        <f t="shared" si="215"/>
        <v>0</v>
      </c>
      <c r="Y2606" s="179"/>
      <c r="Z2606" s="466">
        <f t="shared" si="216"/>
        <v>0</v>
      </c>
      <c r="AA2606" s="473">
        <f t="shared" si="217"/>
        <v>0</v>
      </c>
      <c r="AB2606" s="339">
        <f t="shared" si="218"/>
        <v>0</v>
      </c>
    </row>
    <row r="2607" spans="2:28" ht="20.100000000000001" customHeight="1">
      <c r="B2607" s="172"/>
      <c r="C2607" s="174"/>
      <c r="D2607" s="181"/>
      <c r="E2607" s="173"/>
      <c r="F2607" s="176"/>
      <c r="G2607" s="175">
        <f t="shared" si="220"/>
        <v>0</v>
      </c>
      <c r="H2607" s="175">
        <f t="shared" ref="H2607:H2687" si="223">IF(F2607=0,0,(F2607/G2607)*P2607)</f>
        <v>0</v>
      </c>
      <c r="I2607" s="177">
        <f>IF(G2607=0,0,IF(E2607="MXN",1/HLOOKUP(YEAR(C2607)+(MONTH(C2607)/100),TC!$5:$37,DAY(C2607)+2,FALSE),VLOOKUP(E2607,Equivalencia!$5:$23,((MAX(Equivalencia!$3:$3)-YEAR(C2607))*14)+MONTH(C2607)+2,FALSE)))</f>
        <v>0</v>
      </c>
      <c r="J2607" s="178">
        <f t="shared" si="221"/>
        <v>0</v>
      </c>
      <c r="K2607" s="462">
        <f>IF(C2607=0,0,VLOOKUP(YEAR(C2607),INPC!$B$4:$O$29,MONTH(C2607)+1))</f>
        <v>0</v>
      </c>
      <c r="L2607" s="462">
        <f>IF(S2607=0,0,VLOOKUP(YEAR(S2607),INPC!$B$4:$O$29,MONTH(S2607)+1))</f>
        <v>0</v>
      </c>
      <c r="M2607" s="463">
        <f t="shared" ref="M2607:M2687" si="224">IF(H2607=0,0,IF(R2607=$AF$4,1,IF(TRUNC(L2607/K2607,4)&gt;=1,TRUNC(L2607/K2607,4),1)))</f>
        <v>0</v>
      </c>
      <c r="N2607" s="465">
        <f t="shared" si="222"/>
        <v>0</v>
      </c>
      <c r="O2607" s="179"/>
      <c r="P2607" s="180"/>
      <c r="Q2607" s="173"/>
      <c r="R2607" s="173"/>
      <c r="S2607" s="174"/>
      <c r="T2607" s="173"/>
      <c r="U2607" s="182"/>
      <c r="V2607" s="177">
        <f>IF(U2607=0,0,IF(T2607="MXN",1/HLOOKUP(YEAR(S2607)+(MONTH(S2607)/100),TC!$5:$37,DAY(S2607)+2,FALSE),VLOOKUP(T2607,Equivalencia!$1:$23,((MAX(Equivalencia!$3:$3)-YEAR(S2607))*14)+MONTH(S2607)+2,FALSE)))</f>
        <v>0</v>
      </c>
      <c r="W2607" s="178">
        <f t="shared" si="219"/>
        <v>0</v>
      </c>
      <c r="X2607" s="481">
        <f t="shared" ref="X2607:X2687" si="225">+W2607-J2607</f>
        <v>0</v>
      </c>
      <c r="Y2607" s="179"/>
      <c r="Z2607" s="466">
        <f t="shared" ref="Z2607:Z2687" si="226">N2607</f>
        <v>0</v>
      </c>
      <c r="AA2607" s="473">
        <f t="shared" ref="AA2607:AA2687" si="227">+W2607-Z2607</f>
        <v>0</v>
      </c>
      <c r="AB2607" s="339">
        <f t="shared" ref="AB2607:AB2687" si="228">+IF(P2607=0,0,(U2607/F2607)-1)</f>
        <v>0</v>
      </c>
    </row>
    <row r="2608" spans="2:28" ht="20.100000000000001" customHeight="1">
      <c r="B2608" s="172"/>
      <c r="C2608" s="174"/>
      <c r="D2608" s="181"/>
      <c r="E2608" s="173"/>
      <c r="F2608" s="176"/>
      <c r="G2608" s="175">
        <f t="shared" si="220"/>
        <v>0</v>
      </c>
      <c r="H2608" s="175">
        <f t="shared" si="223"/>
        <v>0</v>
      </c>
      <c r="I2608" s="177">
        <f>IF(G2608=0,0,IF(E2608="MXN",1/HLOOKUP(YEAR(C2608)+(MONTH(C2608)/100),TC!$5:$37,DAY(C2608)+2,FALSE),VLOOKUP(E2608,Equivalencia!$5:$23,((MAX(Equivalencia!$3:$3)-YEAR(C2608))*14)+MONTH(C2608)+2,FALSE)))</f>
        <v>0</v>
      </c>
      <c r="J2608" s="178">
        <f t="shared" si="221"/>
        <v>0</v>
      </c>
      <c r="K2608" s="462">
        <f>IF(C2608=0,0,VLOOKUP(YEAR(C2608),INPC!$B$4:$O$29,MONTH(C2608)+1))</f>
        <v>0</v>
      </c>
      <c r="L2608" s="462">
        <f>IF(S2608=0,0,VLOOKUP(YEAR(S2608),INPC!$B$4:$O$29,MONTH(S2608)+1))</f>
        <v>0</v>
      </c>
      <c r="M2608" s="463">
        <f t="shared" si="224"/>
        <v>0</v>
      </c>
      <c r="N2608" s="465">
        <f t="shared" si="222"/>
        <v>0</v>
      </c>
      <c r="O2608" s="179"/>
      <c r="P2608" s="180"/>
      <c r="Q2608" s="173"/>
      <c r="R2608" s="173"/>
      <c r="S2608" s="174"/>
      <c r="T2608" s="173"/>
      <c r="U2608" s="182"/>
      <c r="V2608" s="177">
        <f>IF(U2608=0,0,IF(T2608="MXN",1/HLOOKUP(YEAR(S2608)+(MONTH(S2608)/100),TC!$5:$37,DAY(S2608)+2,FALSE),VLOOKUP(T2608,Equivalencia!$1:$23,((MAX(Equivalencia!$3:$3)-YEAR(S2608))*14)+MONTH(S2608)+2,FALSE)))</f>
        <v>0</v>
      </c>
      <c r="W2608" s="178">
        <f t="shared" ref="W2608:W2688" si="229">+V2608*U2608</f>
        <v>0</v>
      </c>
      <c r="X2608" s="481">
        <f t="shared" si="225"/>
        <v>0</v>
      </c>
      <c r="Y2608" s="179"/>
      <c r="Z2608" s="466">
        <f t="shared" si="226"/>
        <v>0</v>
      </c>
      <c r="AA2608" s="473">
        <f t="shared" si="227"/>
        <v>0</v>
      </c>
      <c r="AB2608" s="339">
        <f t="shared" si="228"/>
        <v>0</v>
      </c>
    </row>
    <row r="2609" spans="2:28" ht="20.100000000000001" customHeight="1">
      <c r="B2609" s="172"/>
      <c r="C2609" s="174"/>
      <c r="D2609" s="181"/>
      <c r="E2609" s="173"/>
      <c r="F2609" s="176"/>
      <c r="G2609" s="175">
        <f t="shared" si="220"/>
        <v>0</v>
      </c>
      <c r="H2609" s="175">
        <f t="shared" si="223"/>
        <v>0</v>
      </c>
      <c r="I2609" s="177">
        <f>IF(G2609=0,0,IF(E2609="MXN",1/HLOOKUP(YEAR(C2609)+(MONTH(C2609)/100),TC!$5:$37,DAY(C2609)+2,FALSE),VLOOKUP(E2609,Equivalencia!$5:$23,((MAX(Equivalencia!$3:$3)-YEAR(C2609))*14)+MONTH(C2609)+2,FALSE)))</f>
        <v>0</v>
      </c>
      <c r="J2609" s="178">
        <f t="shared" si="221"/>
        <v>0</v>
      </c>
      <c r="K2609" s="462">
        <f>IF(C2609=0,0,VLOOKUP(YEAR(C2609),INPC!$B$4:$O$29,MONTH(C2609)+1))</f>
        <v>0</v>
      </c>
      <c r="L2609" s="462">
        <f>IF(S2609=0,0,VLOOKUP(YEAR(S2609),INPC!$B$4:$O$29,MONTH(S2609)+1))</f>
        <v>0</v>
      </c>
      <c r="M2609" s="463">
        <f t="shared" si="224"/>
        <v>0</v>
      </c>
      <c r="N2609" s="465">
        <f t="shared" si="222"/>
        <v>0</v>
      </c>
      <c r="O2609" s="179"/>
      <c r="P2609" s="180"/>
      <c r="Q2609" s="173"/>
      <c r="R2609" s="173"/>
      <c r="S2609" s="174"/>
      <c r="T2609" s="173"/>
      <c r="U2609" s="182"/>
      <c r="V2609" s="177">
        <f>IF(U2609=0,0,IF(T2609="MXN",1/HLOOKUP(YEAR(S2609)+(MONTH(S2609)/100),TC!$5:$37,DAY(S2609)+2,FALSE),VLOOKUP(T2609,Equivalencia!$1:$23,((MAX(Equivalencia!$3:$3)-YEAR(S2609))*14)+MONTH(S2609)+2,FALSE)))</f>
        <v>0</v>
      </c>
      <c r="W2609" s="178">
        <f t="shared" si="229"/>
        <v>0</v>
      </c>
      <c r="X2609" s="481">
        <f t="shared" si="225"/>
        <v>0</v>
      </c>
      <c r="Y2609" s="179"/>
      <c r="Z2609" s="466">
        <f t="shared" si="226"/>
        <v>0</v>
      </c>
      <c r="AA2609" s="473">
        <f t="shared" si="227"/>
        <v>0</v>
      </c>
      <c r="AB2609" s="339">
        <f t="shared" si="228"/>
        <v>0</v>
      </c>
    </row>
    <row r="2610" spans="2:28" ht="20.100000000000001" customHeight="1">
      <c r="B2610" s="172"/>
      <c r="C2610" s="174"/>
      <c r="D2610" s="181"/>
      <c r="E2610" s="173"/>
      <c r="F2610" s="176"/>
      <c r="G2610" s="175">
        <f t="shared" si="220"/>
        <v>0</v>
      </c>
      <c r="H2610" s="175">
        <f t="shared" si="223"/>
        <v>0</v>
      </c>
      <c r="I2610" s="177">
        <f>IF(G2610=0,0,IF(E2610="MXN",1/HLOOKUP(YEAR(C2610)+(MONTH(C2610)/100),TC!$5:$37,DAY(C2610)+2,FALSE),VLOOKUP(E2610,Equivalencia!$5:$23,((MAX(Equivalencia!$3:$3)-YEAR(C2610))*14)+MONTH(C2610)+2,FALSE)))</f>
        <v>0</v>
      </c>
      <c r="J2610" s="178">
        <f t="shared" si="221"/>
        <v>0</v>
      </c>
      <c r="K2610" s="462">
        <f>IF(C2610=0,0,VLOOKUP(YEAR(C2610),INPC!$B$4:$O$29,MONTH(C2610)+1))</f>
        <v>0</v>
      </c>
      <c r="L2610" s="462">
        <f>IF(S2610=0,0,VLOOKUP(YEAR(S2610),INPC!$B$4:$O$29,MONTH(S2610)+1))</f>
        <v>0</v>
      </c>
      <c r="M2610" s="463">
        <f t="shared" si="224"/>
        <v>0</v>
      </c>
      <c r="N2610" s="465">
        <f t="shared" si="222"/>
        <v>0</v>
      </c>
      <c r="O2610" s="179"/>
      <c r="P2610" s="180"/>
      <c r="Q2610" s="173"/>
      <c r="R2610" s="173"/>
      <c r="S2610" s="174"/>
      <c r="T2610" s="173"/>
      <c r="U2610" s="182"/>
      <c r="V2610" s="177">
        <f>IF(U2610=0,0,IF(T2610="MXN",1/HLOOKUP(YEAR(S2610)+(MONTH(S2610)/100),TC!$5:$37,DAY(S2610)+2,FALSE),VLOOKUP(T2610,Equivalencia!$1:$23,((MAX(Equivalencia!$3:$3)-YEAR(S2610))*14)+MONTH(S2610)+2,FALSE)))</f>
        <v>0</v>
      </c>
      <c r="W2610" s="178">
        <f t="shared" si="229"/>
        <v>0</v>
      </c>
      <c r="X2610" s="481">
        <f t="shared" si="225"/>
        <v>0</v>
      </c>
      <c r="Y2610" s="179"/>
      <c r="Z2610" s="466">
        <f t="shared" si="226"/>
        <v>0</v>
      </c>
      <c r="AA2610" s="473">
        <f t="shared" si="227"/>
        <v>0</v>
      </c>
      <c r="AB2610" s="339">
        <f t="shared" si="228"/>
        <v>0</v>
      </c>
    </row>
    <row r="2611" spans="2:28" ht="20.100000000000001" customHeight="1">
      <c r="B2611" s="172"/>
      <c r="C2611" s="174"/>
      <c r="D2611" s="181"/>
      <c r="E2611" s="173"/>
      <c r="F2611" s="176"/>
      <c r="G2611" s="175">
        <f t="shared" ref="G2611:G2691" si="230">+P2611</f>
        <v>0</v>
      </c>
      <c r="H2611" s="175">
        <f t="shared" si="223"/>
        <v>0</v>
      </c>
      <c r="I2611" s="177">
        <f>IF(G2611=0,0,IF(E2611="MXN",1/HLOOKUP(YEAR(C2611)+(MONTH(C2611)/100),TC!$5:$37,DAY(C2611)+2,FALSE),VLOOKUP(E2611,Equivalencia!$5:$23,((MAX(Equivalencia!$3:$3)-YEAR(C2611))*14)+MONTH(C2611)+2,FALSE)))</f>
        <v>0</v>
      </c>
      <c r="J2611" s="178">
        <f t="shared" ref="J2611:J2691" si="231">+H2611*I2611</f>
        <v>0</v>
      </c>
      <c r="K2611" s="462">
        <f>IF(C2611=0,0,VLOOKUP(YEAR(C2611),INPC!$B$4:$O$29,MONTH(C2611)+1))</f>
        <v>0</v>
      </c>
      <c r="L2611" s="462">
        <f>IF(S2611=0,0,VLOOKUP(YEAR(S2611),INPC!$B$4:$O$29,MONTH(S2611)+1))</f>
        <v>0</v>
      </c>
      <c r="M2611" s="463">
        <f t="shared" si="224"/>
        <v>0</v>
      </c>
      <c r="N2611" s="465">
        <f t="shared" ref="N2611:N2691" si="232">+M2611*J2611</f>
        <v>0</v>
      </c>
      <c r="O2611" s="179"/>
      <c r="P2611" s="180"/>
      <c r="Q2611" s="173"/>
      <c r="R2611" s="173"/>
      <c r="S2611" s="174"/>
      <c r="T2611" s="173"/>
      <c r="U2611" s="182"/>
      <c r="V2611" s="177">
        <f>IF(U2611=0,0,IF(T2611="MXN",1/HLOOKUP(YEAR(S2611)+(MONTH(S2611)/100),TC!$5:$37,DAY(S2611)+2,FALSE),VLOOKUP(T2611,Equivalencia!$1:$23,((MAX(Equivalencia!$3:$3)-YEAR(S2611))*14)+MONTH(S2611)+2,FALSE)))</f>
        <v>0</v>
      </c>
      <c r="W2611" s="178">
        <f t="shared" si="229"/>
        <v>0</v>
      </c>
      <c r="X2611" s="481">
        <f t="shared" si="225"/>
        <v>0</v>
      </c>
      <c r="Y2611" s="179"/>
      <c r="Z2611" s="466">
        <f t="shared" si="226"/>
        <v>0</v>
      </c>
      <c r="AA2611" s="473">
        <f t="shared" si="227"/>
        <v>0</v>
      </c>
      <c r="AB2611" s="339">
        <f t="shared" si="228"/>
        <v>0</v>
      </c>
    </row>
    <row r="2612" spans="2:28" ht="20.100000000000001" customHeight="1">
      <c r="B2612" s="172"/>
      <c r="C2612" s="174"/>
      <c r="D2612" s="181"/>
      <c r="E2612" s="173"/>
      <c r="F2612" s="176"/>
      <c r="G2612" s="175">
        <f t="shared" si="230"/>
        <v>0</v>
      </c>
      <c r="H2612" s="175">
        <f t="shared" si="223"/>
        <v>0</v>
      </c>
      <c r="I2612" s="177">
        <f>IF(G2612=0,0,IF(E2612="MXN",1/HLOOKUP(YEAR(C2612)+(MONTH(C2612)/100),TC!$5:$37,DAY(C2612)+2,FALSE),VLOOKUP(E2612,Equivalencia!$5:$23,((MAX(Equivalencia!$3:$3)-YEAR(C2612))*14)+MONTH(C2612)+2,FALSE)))</f>
        <v>0</v>
      </c>
      <c r="J2612" s="178">
        <f t="shared" si="231"/>
        <v>0</v>
      </c>
      <c r="K2612" s="462">
        <f>IF(C2612=0,0,VLOOKUP(YEAR(C2612),INPC!$B$4:$O$29,MONTH(C2612)+1))</f>
        <v>0</v>
      </c>
      <c r="L2612" s="462">
        <f>IF(S2612=0,0,VLOOKUP(YEAR(S2612),INPC!$B$4:$O$29,MONTH(S2612)+1))</f>
        <v>0</v>
      </c>
      <c r="M2612" s="463">
        <f t="shared" si="224"/>
        <v>0</v>
      </c>
      <c r="N2612" s="465">
        <f t="shared" si="232"/>
        <v>0</v>
      </c>
      <c r="O2612" s="179"/>
      <c r="P2612" s="180"/>
      <c r="Q2612" s="173"/>
      <c r="R2612" s="173"/>
      <c r="S2612" s="174"/>
      <c r="T2612" s="173"/>
      <c r="U2612" s="182"/>
      <c r="V2612" s="177">
        <f>IF(U2612=0,0,IF(T2612="MXN",1/HLOOKUP(YEAR(S2612)+(MONTH(S2612)/100),TC!$5:$37,DAY(S2612)+2,FALSE),VLOOKUP(T2612,Equivalencia!$1:$23,((MAX(Equivalencia!$3:$3)-YEAR(S2612))*14)+MONTH(S2612)+2,FALSE)))</f>
        <v>0</v>
      </c>
      <c r="W2612" s="178">
        <f t="shared" si="229"/>
        <v>0</v>
      </c>
      <c r="X2612" s="481">
        <f t="shared" si="225"/>
        <v>0</v>
      </c>
      <c r="Y2612" s="179"/>
      <c r="Z2612" s="466">
        <f t="shared" si="226"/>
        <v>0</v>
      </c>
      <c r="AA2612" s="473">
        <f t="shared" si="227"/>
        <v>0</v>
      </c>
      <c r="AB2612" s="339">
        <f t="shared" si="228"/>
        <v>0</v>
      </c>
    </row>
    <row r="2613" spans="2:28" ht="20.100000000000001" customHeight="1">
      <c r="B2613" s="172"/>
      <c r="C2613" s="174"/>
      <c r="D2613" s="181"/>
      <c r="E2613" s="173"/>
      <c r="F2613" s="176"/>
      <c r="G2613" s="175">
        <f t="shared" si="230"/>
        <v>0</v>
      </c>
      <c r="H2613" s="175">
        <f t="shared" si="223"/>
        <v>0</v>
      </c>
      <c r="I2613" s="177">
        <f>IF(G2613=0,0,IF(E2613="MXN",1/HLOOKUP(YEAR(C2613)+(MONTH(C2613)/100),TC!$5:$37,DAY(C2613)+2,FALSE),VLOOKUP(E2613,Equivalencia!$5:$23,((MAX(Equivalencia!$3:$3)-YEAR(C2613))*14)+MONTH(C2613)+2,FALSE)))</f>
        <v>0</v>
      </c>
      <c r="J2613" s="178">
        <f t="shared" si="231"/>
        <v>0</v>
      </c>
      <c r="K2613" s="462">
        <f>IF(C2613=0,0,VLOOKUP(YEAR(C2613),INPC!$B$4:$O$29,MONTH(C2613)+1))</f>
        <v>0</v>
      </c>
      <c r="L2613" s="462">
        <f>IF(S2613=0,0,VLOOKUP(YEAR(S2613),INPC!$B$4:$O$29,MONTH(S2613)+1))</f>
        <v>0</v>
      </c>
      <c r="M2613" s="463">
        <f t="shared" si="224"/>
        <v>0</v>
      </c>
      <c r="N2613" s="465">
        <f t="shared" si="232"/>
        <v>0</v>
      </c>
      <c r="O2613" s="179"/>
      <c r="P2613" s="180"/>
      <c r="Q2613" s="173"/>
      <c r="R2613" s="173"/>
      <c r="S2613" s="174"/>
      <c r="T2613" s="173"/>
      <c r="U2613" s="182"/>
      <c r="V2613" s="177">
        <f>IF(U2613=0,0,IF(T2613="MXN",1/HLOOKUP(YEAR(S2613)+(MONTH(S2613)/100),TC!$5:$37,DAY(S2613)+2,FALSE),VLOOKUP(T2613,Equivalencia!$1:$23,((MAX(Equivalencia!$3:$3)-YEAR(S2613))*14)+MONTH(S2613)+2,FALSE)))</f>
        <v>0</v>
      </c>
      <c r="W2613" s="178">
        <f t="shared" si="229"/>
        <v>0</v>
      </c>
      <c r="X2613" s="481">
        <f t="shared" si="225"/>
        <v>0</v>
      </c>
      <c r="Y2613" s="179"/>
      <c r="Z2613" s="466">
        <f t="shared" si="226"/>
        <v>0</v>
      </c>
      <c r="AA2613" s="473">
        <f t="shared" si="227"/>
        <v>0</v>
      </c>
      <c r="AB2613" s="339">
        <f t="shared" si="228"/>
        <v>0</v>
      </c>
    </row>
    <row r="2614" spans="2:28" ht="20.100000000000001" customHeight="1">
      <c r="B2614" s="172"/>
      <c r="C2614" s="174"/>
      <c r="D2614" s="181"/>
      <c r="E2614" s="173"/>
      <c r="F2614" s="176"/>
      <c r="G2614" s="175">
        <f t="shared" si="230"/>
        <v>0</v>
      </c>
      <c r="H2614" s="175">
        <f t="shared" si="223"/>
        <v>0</v>
      </c>
      <c r="I2614" s="177">
        <f>IF(G2614=0,0,IF(E2614="MXN",1/HLOOKUP(YEAR(C2614)+(MONTH(C2614)/100),TC!$5:$37,DAY(C2614)+2,FALSE),VLOOKUP(E2614,Equivalencia!$5:$23,((MAX(Equivalencia!$3:$3)-YEAR(C2614))*14)+MONTH(C2614)+2,FALSE)))</f>
        <v>0</v>
      </c>
      <c r="J2614" s="178">
        <f t="shared" si="231"/>
        <v>0</v>
      </c>
      <c r="K2614" s="462">
        <f>IF(C2614=0,0,VLOOKUP(YEAR(C2614),INPC!$B$4:$O$29,MONTH(C2614)+1))</f>
        <v>0</v>
      </c>
      <c r="L2614" s="462">
        <f>IF(S2614=0,0,VLOOKUP(YEAR(S2614),INPC!$B$4:$O$29,MONTH(S2614)+1))</f>
        <v>0</v>
      </c>
      <c r="M2614" s="463">
        <f t="shared" si="224"/>
        <v>0</v>
      </c>
      <c r="N2614" s="465">
        <f t="shared" si="232"/>
        <v>0</v>
      </c>
      <c r="O2614" s="179"/>
      <c r="P2614" s="180"/>
      <c r="Q2614" s="173"/>
      <c r="R2614" s="173"/>
      <c r="S2614" s="174"/>
      <c r="T2614" s="173"/>
      <c r="U2614" s="182"/>
      <c r="V2614" s="177">
        <f>IF(U2614=0,0,IF(T2614="MXN",1/HLOOKUP(YEAR(S2614)+(MONTH(S2614)/100),TC!$5:$37,DAY(S2614)+2,FALSE),VLOOKUP(T2614,Equivalencia!$1:$23,((MAX(Equivalencia!$3:$3)-YEAR(S2614))*14)+MONTH(S2614)+2,FALSE)))</f>
        <v>0</v>
      </c>
      <c r="W2614" s="178">
        <f t="shared" si="229"/>
        <v>0</v>
      </c>
      <c r="X2614" s="481">
        <f t="shared" si="225"/>
        <v>0</v>
      </c>
      <c r="Y2614" s="179"/>
      <c r="Z2614" s="466">
        <f t="shared" si="226"/>
        <v>0</v>
      </c>
      <c r="AA2614" s="473">
        <f t="shared" si="227"/>
        <v>0</v>
      </c>
      <c r="AB2614" s="339">
        <f t="shared" si="228"/>
        <v>0</v>
      </c>
    </row>
    <row r="2615" spans="2:28" ht="20.100000000000001" customHeight="1">
      <c r="B2615" s="172"/>
      <c r="C2615" s="174"/>
      <c r="D2615" s="181"/>
      <c r="E2615" s="173"/>
      <c r="F2615" s="176"/>
      <c r="G2615" s="175">
        <f t="shared" si="230"/>
        <v>0</v>
      </c>
      <c r="H2615" s="175">
        <f t="shared" si="223"/>
        <v>0</v>
      </c>
      <c r="I2615" s="177">
        <f>IF(G2615=0,0,IF(E2615="MXN",1/HLOOKUP(YEAR(C2615)+(MONTH(C2615)/100),TC!$5:$37,DAY(C2615)+2,FALSE),VLOOKUP(E2615,Equivalencia!$5:$23,((MAX(Equivalencia!$3:$3)-YEAR(C2615))*14)+MONTH(C2615)+2,FALSE)))</f>
        <v>0</v>
      </c>
      <c r="J2615" s="178">
        <f t="shared" si="231"/>
        <v>0</v>
      </c>
      <c r="K2615" s="462">
        <f>IF(C2615=0,0,VLOOKUP(YEAR(C2615),INPC!$B$4:$O$29,MONTH(C2615)+1))</f>
        <v>0</v>
      </c>
      <c r="L2615" s="462">
        <f>IF(S2615=0,0,VLOOKUP(YEAR(S2615),INPC!$B$4:$O$29,MONTH(S2615)+1))</f>
        <v>0</v>
      </c>
      <c r="M2615" s="463">
        <f t="shared" si="224"/>
        <v>0</v>
      </c>
      <c r="N2615" s="465">
        <f t="shared" si="232"/>
        <v>0</v>
      </c>
      <c r="O2615" s="179"/>
      <c r="P2615" s="180"/>
      <c r="Q2615" s="173"/>
      <c r="R2615" s="173"/>
      <c r="S2615" s="174"/>
      <c r="T2615" s="173"/>
      <c r="U2615" s="182"/>
      <c r="V2615" s="177">
        <f>IF(U2615=0,0,IF(T2615="MXN",1/HLOOKUP(YEAR(S2615)+(MONTH(S2615)/100),TC!$5:$37,DAY(S2615)+2,FALSE),VLOOKUP(T2615,Equivalencia!$1:$23,((MAX(Equivalencia!$3:$3)-YEAR(S2615))*14)+MONTH(S2615)+2,FALSE)))</f>
        <v>0</v>
      </c>
      <c r="W2615" s="178">
        <f t="shared" si="229"/>
        <v>0</v>
      </c>
      <c r="X2615" s="481">
        <f t="shared" si="225"/>
        <v>0</v>
      </c>
      <c r="Y2615" s="179"/>
      <c r="Z2615" s="466">
        <f t="shared" si="226"/>
        <v>0</v>
      </c>
      <c r="AA2615" s="473">
        <f t="shared" si="227"/>
        <v>0</v>
      </c>
      <c r="AB2615" s="339">
        <f t="shared" si="228"/>
        <v>0</v>
      </c>
    </row>
    <row r="2616" spans="2:28" ht="20.100000000000001" customHeight="1">
      <c r="B2616" s="172"/>
      <c r="C2616" s="174"/>
      <c r="D2616" s="181"/>
      <c r="E2616" s="173"/>
      <c r="F2616" s="176"/>
      <c r="G2616" s="175">
        <f t="shared" si="230"/>
        <v>0</v>
      </c>
      <c r="H2616" s="175">
        <f t="shared" si="223"/>
        <v>0</v>
      </c>
      <c r="I2616" s="177">
        <f>IF(G2616=0,0,IF(E2616="MXN",1/HLOOKUP(YEAR(C2616)+(MONTH(C2616)/100),TC!$5:$37,DAY(C2616)+2,FALSE),VLOOKUP(E2616,Equivalencia!$5:$23,((MAX(Equivalencia!$3:$3)-YEAR(C2616))*14)+MONTH(C2616)+2,FALSE)))</f>
        <v>0</v>
      </c>
      <c r="J2616" s="178">
        <f t="shared" si="231"/>
        <v>0</v>
      </c>
      <c r="K2616" s="462">
        <f>IF(C2616=0,0,VLOOKUP(YEAR(C2616),INPC!$B$4:$O$29,MONTH(C2616)+1))</f>
        <v>0</v>
      </c>
      <c r="L2616" s="462">
        <f>IF(S2616=0,0,VLOOKUP(YEAR(S2616),INPC!$B$4:$O$29,MONTH(S2616)+1))</f>
        <v>0</v>
      </c>
      <c r="M2616" s="463">
        <f t="shared" si="224"/>
        <v>0</v>
      </c>
      <c r="N2616" s="465">
        <f t="shared" si="232"/>
        <v>0</v>
      </c>
      <c r="O2616" s="179"/>
      <c r="P2616" s="180"/>
      <c r="Q2616" s="173"/>
      <c r="R2616" s="173"/>
      <c r="S2616" s="174"/>
      <c r="T2616" s="173"/>
      <c r="U2616" s="182"/>
      <c r="V2616" s="177">
        <f>IF(U2616=0,0,IF(T2616="MXN",1/HLOOKUP(YEAR(S2616)+(MONTH(S2616)/100),TC!$5:$37,DAY(S2616)+2,FALSE),VLOOKUP(T2616,Equivalencia!$1:$23,((MAX(Equivalencia!$3:$3)-YEAR(S2616))*14)+MONTH(S2616)+2,FALSE)))</f>
        <v>0</v>
      </c>
      <c r="W2616" s="178">
        <f t="shared" si="229"/>
        <v>0</v>
      </c>
      <c r="X2616" s="481">
        <f t="shared" si="225"/>
        <v>0</v>
      </c>
      <c r="Y2616" s="179"/>
      <c r="Z2616" s="466">
        <f t="shared" si="226"/>
        <v>0</v>
      </c>
      <c r="AA2616" s="473">
        <f t="shared" si="227"/>
        <v>0</v>
      </c>
      <c r="AB2616" s="339">
        <f t="shared" si="228"/>
        <v>0</v>
      </c>
    </row>
    <row r="2617" spans="2:28" ht="20.100000000000001" customHeight="1">
      <c r="B2617" s="172"/>
      <c r="C2617" s="174"/>
      <c r="D2617" s="181"/>
      <c r="E2617" s="173"/>
      <c r="F2617" s="176"/>
      <c r="G2617" s="175">
        <f t="shared" si="230"/>
        <v>0</v>
      </c>
      <c r="H2617" s="175">
        <f t="shared" si="223"/>
        <v>0</v>
      </c>
      <c r="I2617" s="177">
        <f>IF(G2617=0,0,IF(E2617="MXN",1/HLOOKUP(YEAR(C2617)+(MONTH(C2617)/100),TC!$5:$37,DAY(C2617)+2,FALSE),VLOOKUP(E2617,Equivalencia!$5:$23,((MAX(Equivalencia!$3:$3)-YEAR(C2617))*14)+MONTH(C2617)+2,FALSE)))</f>
        <v>0</v>
      </c>
      <c r="J2617" s="178">
        <f t="shared" si="231"/>
        <v>0</v>
      </c>
      <c r="K2617" s="462">
        <f>IF(C2617=0,0,VLOOKUP(YEAR(C2617),INPC!$B$4:$O$29,MONTH(C2617)+1))</f>
        <v>0</v>
      </c>
      <c r="L2617" s="462">
        <f>IF(S2617=0,0,VLOOKUP(YEAR(S2617),INPC!$B$4:$O$29,MONTH(S2617)+1))</f>
        <v>0</v>
      </c>
      <c r="M2617" s="463">
        <f t="shared" si="224"/>
        <v>0</v>
      </c>
      <c r="N2617" s="465">
        <f t="shared" si="232"/>
        <v>0</v>
      </c>
      <c r="O2617" s="179"/>
      <c r="P2617" s="180"/>
      <c r="Q2617" s="173"/>
      <c r="R2617" s="173"/>
      <c r="S2617" s="174"/>
      <c r="T2617" s="173"/>
      <c r="U2617" s="182"/>
      <c r="V2617" s="177">
        <f>IF(U2617=0,0,IF(T2617="MXN",1/HLOOKUP(YEAR(S2617)+(MONTH(S2617)/100),TC!$5:$37,DAY(S2617)+2,FALSE),VLOOKUP(T2617,Equivalencia!$1:$23,((MAX(Equivalencia!$3:$3)-YEAR(S2617))*14)+MONTH(S2617)+2,FALSE)))</f>
        <v>0</v>
      </c>
      <c r="W2617" s="178">
        <f t="shared" si="229"/>
        <v>0</v>
      </c>
      <c r="X2617" s="481">
        <f t="shared" si="225"/>
        <v>0</v>
      </c>
      <c r="Y2617" s="179"/>
      <c r="Z2617" s="466">
        <f t="shared" si="226"/>
        <v>0</v>
      </c>
      <c r="AA2617" s="473">
        <f t="shared" si="227"/>
        <v>0</v>
      </c>
      <c r="AB2617" s="339">
        <f t="shared" si="228"/>
        <v>0</v>
      </c>
    </row>
    <row r="2618" spans="2:28" ht="20.100000000000001" customHeight="1">
      <c r="B2618" s="172"/>
      <c r="C2618" s="174"/>
      <c r="D2618" s="181"/>
      <c r="E2618" s="173"/>
      <c r="F2618" s="176"/>
      <c r="G2618" s="175">
        <f t="shared" si="230"/>
        <v>0</v>
      </c>
      <c r="H2618" s="175">
        <f t="shared" si="223"/>
        <v>0</v>
      </c>
      <c r="I2618" s="177">
        <f>IF(G2618=0,0,IF(E2618="MXN",1/HLOOKUP(YEAR(C2618)+(MONTH(C2618)/100),TC!$5:$37,DAY(C2618)+2,FALSE),VLOOKUP(E2618,Equivalencia!$5:$23,((MAX(Equivalencia!$3:$3)-YEAR(C2618))*14)+MONTH(C2618)+2,FALSE)))</f>
        <v>0</v>
      </c>
      <c r="J2618" s="178">
        <f t="shared" si="231"/>
        <v>0</v>
      </c>
      <c r="K2618" s="462">
        <f>IF(C2618=0,0,VLOOKUP(YEAR(C2618),INPC!$B$4:$O$29,MONTH(C2618)+1))</f>
        <v>0</v>
      </c>
      <c r="L2618" s="462">
        <f>IF(S2618=0,0,VLOOKUP(YEAR(S2618),INPC!$B$4:$O$29,MONTH(S2618)+1))</f>
        <v>0</v>
      </c>
      <c r="M2618" s="463">
        <f t="shared" si="224"/>
        <v>0</v>
      </c>
      <c r="N2618" s="465">
        <f t="shared" si="232"/>
        <v>0</v>
      </c>
      <c r="O2618" s="179"/>
      <c r="P2618" s="180"/>
      <c r="Q2618" s="173"/>
      <c r="R2618" s="173"/>
      <c r="S2618" s="174"/>
      <c r="T2618" s="173"/>
      <c r="U2618" s="182"/>
      <c r="V2618" s="177">
        <f>IF(U2618=0,0,IF(T2618="MXN",1/HLOOKUP(YEAR(S2618)+(MONTH(S2618)/100),TC!$5:$37,DAY(S2618)+2,FALSE),VLOOKUP(T2618,Equivalencia!$1:$23,((MAX(Equivalencia!$3:$3)-YEAR(S2618))*14)+MONTH(S2618)+2,FALSE)))</f>
        <v>0</v>
      </c>
      <c r="W2618" s="178">
        <f t="shared" si="229"/>
        <v>0</v>
      </c>
      <c r="X2618" s="481">
        <f t="shared" si="225"/>
        <v>0</v>
      </c>
      <c r="Y2618" s="179"/>
      <c r="Z2618" s="466">
        <f t="shared" si="226"/>
        <v>0</v>
      </c>
      <c r="AA2618" s="473">
        <f t="shared" si="227"/>
        <v>0</v>
      </c>
      <c r="AB2618" s="339">
        <f t="shared" si="228"/>
        <v>0</v>
      </c>
    </row>
    <row r="2619" spans="2:28" ht="20.100000000000001" customHeight="1">
      <c r="B2619" s="172"/>
      <c r="C2619" s="174"/>
      <c r="D2619" s="181"/>
      <c r="E2619" s="173"/>
      <c r="F2619" s="176"/>
      <c r="G2619" s="175">
        <f t="shared" si="230"/>
        <v>0</v>
      </c>
      <c r="H2619" s="175">
        <f t="shared" si="223"/>
        <v>0</v>
      </c>
      <c r="I2619" s="177">
        <f>IF(G2619=0,0,IF(E2619="MXN",1/HLOOKUP(YEAR(C2619)+(MONTH(C2619)/100),TC!$5:$37,DAY(C2619)+2,FALSE),VLOOKUP(E2619,Equivalencia!$5:$23,((MAX(Equivalencia!$3:$3)-YEAR(C2619))*14)+MONTH(C2619)+2,FALSE)))</f>
        <v>0</v>
      </c>
      <c r="J2619" s="178">
        <f t="shared" si="231"/>
        <v>0</v>
      </c>
      <c r="K2619" s="462">
        <f>IF(C2619=0,0,VLOOKUP(YEAR(C2619),INPC!$B$4:$O$29,MONTH(C2619)+1))</f>
        <v>0</v>
      </c>
      <c r="L2619" s="462">
        <f>IF(S2619=0,0,VLOOKUP(YEAR(S2619),INPC!$B$4:$O$29,MONTH(S2619)+1))</f>
        <v>0</v>
      </c>
      <c r="M2619" s="463">
        <f t="shared" si="224"/>
        <v>0</v>
      </c>
      <c r="N2619" s="465">
        <f t="shared" si="232"/>
        <v>0</v>
      </c>
      <c r="O2619" s="179"/>
      <c r="P2619" s="180"/>
      <c r="Q2619" s="173"/>
      <c r="R2619" s="173"/>
      <c r="S2619" s="174"/>
      <c r="T2619" s="173"/>
      <c r="U2619" s="182"/>
      <c r="V2619" s="177">
        <f>IF(U2619=0,0,IF(T2619="MXN",1/HLOOKUP(YEAR(S2619)+(MONTH(S2619)/100),TC!$5:$37,DAY(S2619)+2,FALSE),VLOOKUP(T2619,Equivalencia!$1:$23,((MAX(Equivalencia!$3:$3)-YEAR(S2619))*14)+MONTH(S2619)+2,FALSE)))</f>
        <v>0</v>
      </c>
      <c r="W2619" s="178">
        <f t="shared" si="229"/>
        <v>0</v>
      </c>
      <c r="X2619" s="481">
        <f t="shared" si="225"/>
        <v>0</v>
      </c>
      <c r="Y2619" s="179"/>
      <c r="Z2619" s="466">
        <f t="shared" si="226"/>
        <v>0</v>
      </c>
      <c r="AA2619" s="473">
        <f t="shared" si="227"/>
        <v>0</v>
      </c>
      <c r="AB2619" s="339">
        <f t="shared" si="228"/>
        <v>0</v>
      </c>
    </row>
    <row r="2620" spans="2:28" ht="20.100000000000001" customHeight="1">
      <c r="B2620" s="172"/>
      <c r="C2620" s="174"/>
      <c r="D2620" s="181"/>
      <c r="E2620" s="173"/>
      <c r="F2620" s="176"/>
      <c r="G2620" s="175">
        <f t="shared" si="230"/>
        <v>0</v>
      </c>
      <c r="H2620" s="175">
        <f t="shared" si="223"/>
        <v>0</v>
      </c>
      <c r="I2620" s="177">
        <f>IF(G2620=0,0,IF(E2620="MXN",1/HLOOKUP(YEAR(C2620)+(MONTH(C2620)/100),TC!$5:$37,DAY(C2620)+2,FALSE),VLOOKUP(E2620,Equivalencia!$5:$23,((MAX(Equivalencia!$3:$3)-YEAR(C2620))*14)+MONTH(C2620)+2,FALSE)))</f>
        <v>0</v>
      </c>
      <c r="J2620" s="178">
        <f t="shared" si="231"/>
        <v>0</v>
      </c>
      <c r="K2620" s="462">
        <f>IF(C2620=0,0,VLOOKUP(YEAR(C2620),INPC!$B$4:$O$29,MONTH(C2620)+1))</f>
        <v>0</v>
      </c>
      <c r="L2620" s="462">
        <f>IF(S2620=0,0,VLOOKUP(YEAR(S2620),INPC!$B$4:$O$29,MONTH(S2620)+1))</f>
        <v>0</v>
      </c>
      <c r="M2620" s="463">
        <f t="shared" si="224"/>
        <v>0</v>
      </c>
      <c r="N2620" s="465">
        <f t="shared" si="232"/>
        <v>0</v>
      </c>
      <c r="O2620" s="179"/>
      <c r="P2620" s="180"/>
      <c r="Q2620" s="173"/>
      <c r="R2620" s="173"/>
      <c r="S2620" s="174"/>
      <c r="T2620" s="173"/>
      <c r="U2620" s="182"/>
      <c r="V2620" s="177">
        <f>IF(U2620=0,0,IF(T2620="MXN",1/HLOOKUP(YEAR(S2620)+(MONTH(S2620)/100),TC!$5:$37,DAY(S2620)+2,FALSE),VLOOKUP(T2620,Equivalencia!$1:$23,((MAX(Equivalencia!$3:$3)-YEAR(S2620))*14)+MONTH(S2620)+2,FALSE)))</f>
        <v>0</v>
      </c>
      <c r="W2620" s="178">
        <f t="shared" si="229"/>
        <v>0</v>
      </c>
      <c r="X2620" s="481">
        <f t="shared" si="225"/>
        <v>0</v>
      </c>
      <c r="Y2620" s="179"/>
      <c r="Z2620" s="466">
        <f t="shared" si="226"/>
        <v>0</v>
      </c>
      <c r="AA2620" s="473">
        <f t="shared" si="227"/>
        <v>0</v>
      </c>
      <c r="AB2620" s="339">
        <f t="shared" si="228"/>
        <v>0</v>
      </c>
    </row>
    <row r="2621" spans="2:28" ht="20.100000000000001" customHeight="1">
      <c r="B2621" s="172"/>
      <c r="C2621" s="174"/>
      <c r="D2621" s="181"/>
      <c r="E2621" s="173"/>
      <c r="F2621" s="176"/>
      <c r="G2621" s="175">
        <f t="shared" si="230"/>
        <v>0</v>
      </c>
      <c r="H2621" s="175">
        <f t="shared" si="223"/>
        <v>0</v>
      </c>
      <c r="I2621" s="177">
        <f>IF(G2621=0,0,IF(E2621="MXN",1/HLOOKUP(YEAR(C2621)+(MONTH(C2621)/100),TC!$5:$37,DAY(C2621)+2,FALSE),VLOOKUP(E2621,Equivalencia!$5:$23,((MAX(Equivalencia!$3:$3)-YEAR(C2621))*14)+MONTH(C2621)+2,FALSE)))</f>
        <v>0</v>
      </c>
      <c r="J2621" s="178">
        <f t="shared" si="231"/>
        <v>0</v>
      </c>
      <c r="K2621" s="462">
        <f>IF(C2621=0,0,VLOOKUP(YEAR(C2621),INPC!$B$4:$O$29,MONTH(C2621)+1))</f>
        <v>0</v>
      </c>
      <c r="L2621" s="462">
        <f>IF(S2621=0,0,VLOOKUP(YEAR(S2621),INPC!$B$4:$O$29,MONTH(S2621)+1))</f>
        <v>0</v>
      </c>
      <c r="M2621" s="463">
        <f t="shared" si="224"/>
        <v>0</v>
      </c>
      <c r="N2621" s="465">
        <f t="shared" si="232"/>
        <v>0</v>
      </c>
      <c r="O2621" s="179"/>
      <c r="P2621" s="180"/>
      <c r="Q2621" s="173"/>
      <c r="R2621" s="173"/>
      <c r="S2621" s="174"/>
      <c r="T2621" s="173"/>
      <c r="U2621" s="182"/>
      <c r="V2621" s="177">
        <f>IF(U2621=0,0,IF(T2621="MXN",1/HLOOKUP(YEAR(S2621)+(MONTH(S2621)/100),TC!$5:$37,DAY(S2621)+2,FALSE),VLOOKUP(T2621,Equivalencia!$1:$23,((MAX(Equivalencia!$3:$3)-YEAR(S2621))*14)+MONTH(S2621)+2,FALSE)))</f>
        <v>0</v>
      </c>
      <c r="W2621" s="178">
        <f t="shared" si="229"/>
        <v>0</v>
      </c>
      <c r="X2621" s="481">
        <f t="shared" si="225"/>
        <v>0</v>
      </c>
      <c r="Y2621" s="179"/>
      <c r="Z2621" s="466">
        <f t="shared" si="226"/>
        <v>0</v>
      </c>
      <c r="AA2621" s="473">
        <f t="shared" si="227"/>
        <v>0</v>
      </c>
      <c r="AB2621" s="339">
        <f t="shared" si="228"/>
        <v>0</v>
      </c>
    </row>
    <row r="2622" spans="2:28" ht="20.100000000000001" customHeight="1">
      <c r="B2622" s="172"/>
      <c r="C2622" s="174"/>
      <c r="D2622" s="181"/>
      <c r="E2622" s="173"/>
      <c r="F2622" s="176"/>
      <c r="G2622" s="175">
        <f t="shared" si="230"/>
        <v>0</v>
      </c>
      <c r="H2622" s="175">
        <f t="shared" si="223"/>
        <v>0</v>
      </c>
      <c r="I2622" s="177">
        <f>IF(G2622=0,0,IF(E2622="MXN",1/HLOOKUP(YEAR(C2622)+(MONTH(C2622)/100),TC!$5:$37,DAY(C2622)+2,FALSE),VLOOKUP(E2622,Equivalencia!$5:$23,((MAX(Equivalencia!$3:$3)-YEAR(C2622))*14)+MONTH(C2622)+2,FALSE)))</f>
        <v>0</v>
      </c>
      <c r="J2622" s="178">
        <f t="shared" si="231"/>
        <v>0</v>
      </c>
      <c r="K2622" s="462">
        <f>IF(C2622=0,0,VLOOKUP(YEAR(C2622),INPC!$B$4:$O$29,MONTH(C2622)+1))</f>
        <v>0</v>
      </c>
      <c r="L2622" s="462">
        <f>IF(S2622=0,0,VLOOKUP(YEAR(S2622),INPC!$B$4:$O$29,MONTH(S2622)+1))</f>
        <v>0</v>
      </c>
      <c r="M2622" s="463">
        <f t="shared" si="224"/>
        <v>0</v>
      </c>
      <c r="N2622" s="465">
        <f t="shared" si="232"/>
        <v>0</v>
      </c>
      <c r="O2622" s="179"/>
      <c r="P2622" s="180"/>
      <c r="Q2622" s="173"/>
      <c r="R2622" s="173"/>
      <c r="S2622" s="174"/>
      <c r="T2622" s="173"/>
      <c r="U2622" s="182"/>
      <c r="V2622" s="177">
        <f>IF(U2622=0,0,IF(T2622="MXN",1/HLOOKUP(YEAR(S2622)+(MONTH(S2622)/100),TC!$5:$37,DAY(S2622)+2,FALSE),VLOOKUP(T2622,Equivalencia!$1:$23,((MAX(Equivalencia!$3:$3)-YEAR(S2622))*14)+MONTH(S2622)+2,FALSE)))</f>
        <v>0</v>
      </c>
      <c r="W2622" s="178">
        <f t="shared" si="229"/>
        <v>0</v>
      </c>
      <c r="X2622" s="481">
        <f t="shared" si="225"/>
        <v>0</v>
      </c>
      <c r="Y2622" s="179"/>
      <c r="Z2622" s="466">
        <f t="shared" si="226"/>
        <v>0</v>
      </c>
      <c r="AA2622" s="473">
        <f t="shared" si="227"/>
        <v>0</v>
      </c>
      <c r="AB2622" s="339">
        <f t="shared" si="228"/>
        <v>0</v>
      </c>
    </row>
    <row r="2623" spans="2:28" ht="20.100000000000001" customHeight="1">
      <c r="B2623" s="172"/>
      <c r="C2623" s="174"/>
      <c r="D2623" s="181"/>
      <c r="E2623" s="173"/>
      <c r="F2623" s="176"/>
      <c r="G2623" s="175">
        <f t="shared" si="230"/>
        <v>0</v>
      </c>
      <c r="H2623" s="175">
        <f t="shared" si="223"/>
        <v>0</v>
      </c>
      <c r="I2623" s="177">
        <f>IF(G2623=0,0,IF(E2623="MXN",1/HLOOKUP(YEAR(C2623)+(MONTH(C2623)/100),TC!$5:$37,DAY(C2623)+2,FALSE),VLOOKUP(E2623,Equivalencia!$5:$23,((MAX(Equivalencia!$3:$3)-YEAR(C2623))*14)+MONTH(C2623)+2,FALSE)))</f>
        <v>0</v>
      </c>
      <c r="J2623" s="178">
        <f t="shared" si="231"/>
        <v>0</v>
      </c>
      <c r="K2623" s="462">
        <f>IF(C2623=0,0,VLOOKUP(YEAR(C2623),INPC!$B$4:$O$29,MONTH(C2623)+1))</f>
        <v>0</v>
      </c>
      <c r="L2623" s="462">
        <f>IF(S2623=0,0,VLOOKUP(YEAR(S2623),INPC!$B$4:$O$29,MONTH(S2623)+1))</f>
        <v>0</v>
      </c>
      <c r="M2623" s="463">
        <f t="shared" si="224"/>
        <v>0</v>
      </c>
      <c r="N2623" s="465">
        <f t="shared" si="232"/>
        <v>0</v>
      </c>
      <c r="O2623" s="179"/>
      <c r="P2623" s="180"/>
      <c r="Q2623" s="173"/>
      <c r="R2623" s="173"/>
      <c r="S2623" s="174"/>
      <c r="T2623" s="173"/>
      <c r="U2623" s="182"/>
      <c r="V2623" s="177">
        <f>IF(U2623=0,0,IF(T2623="MXN",1/HLOOKUP(YEAR(S2623)+(MONTH(S2623)/100),TC!$5:$37,DAY(S2623)+2,FALSE),VLOOKUP(T2623,Equivalencia!$1:$23,((MAX(Equivalencia!$3:$3)-YEAR(S2623))*14)+MONTH(S2623)+2,FALSE)))</f>
        <v>0</v>
      </c>
      <c r="W2623" s="178">
        <f t="shared" si="229"/>
        <v>0</v>
      </c>
      <c r="X2623" s="481">
        <f t="shared" si="225"/>
        <v>0</v>
      </c>
      <c r="Y2623" s="179"/>
      <c r="Z2623" s="466">
        <f t="shared" si="226"/>
        <v>0</v>
      </c>
      <c r="AA2623" s="473">
        <f t="shared" si="227"/>
        <v>0</v>
      </c>
      <c r="AB2623" s="339">
        <f t="shared" si="228"/>
        <v>0</v>
      </c>
    </row>
    <row r="2624" spans="2:28" ht="20.100000000000001" customHeight="1">
      <c r="B2624" s="172"/>
      <c r="C2624" s="174"/>
      <c r="D2624" s="181"/>
      <c r="E2624" s="173"/>
      <c r="F2624" s="176"/>
      <c r="G2624" s="175">
        <f t="shared" si="230"/>
        <v>0</v>
      </c>
      <c r="H2624" s="175">
        <f t="shared" si="223"/>
        <v>0</v>
      </c>
      <c r="I2624" s="177">
        <f>IF(G2624=0,0,IF(E2624="MXN",1/HLOOKUP(YEAR(C2624)+(MONTH(C2624)/100),TC!$5:$37,DAY(C2624)+2,FALSE),VLOOKUP(E2624,Equivalencia!$5:$23,((MAX(Equivalencia!$3:$3)-YEAR(C2624))*14)+MONTH(C2624)+2,FALSE)))</f>
        <v>0</v>
      </c>
      <c r="J2624" s="178">
        <f t="shared" si="231"/>
        <v>0</v>
      </c>
      <c r="K2624" s="462">
        <f>IF(C2624=0,0,VLOOKUP(YEAR(C2624),INPC!$B$4:$O$29,MONTH(C2624)+1))</f>
        <v>0</v>
      </c>
      <c r="L2624" s="462">
        <f>IF(S2624=0,0,VLOOKUP(YEAR(S2624),INPC!$B$4:$O$29,MONTH(S2624)+1))</f>
        <v>0</v>
      </c>
      <c r="M2624" s="463">
        <f t="shared" si="224"/>
        <v>0</v>
      </c>
      <c r="N2624" s="465">
        <f t="shared" si="232"/>
        <v>0</v>
      </c>
      <c r="O2624" s="179"/>
      <c r="P2624" s="180"/>
      <c r="Q2624" s="173"/>
      <c r="R2624" s="173"/>
      <c r="S2624" s="174"/>
      <c r="T2624" s="173"/>
      <c r="U2624" s="182"/>
      <c r="V2624" s="177">
        <f>IF(U2624=0,0,IF(T2624="MXN",1/HLOOKUP(YEAR(S2624)+(MONTH(S2624)/100),TC!$5:$37,DAY(S2624)+2,FALSE),VLOOKUP(T2624,Equivalencia!$1:$23,((MAX(Equivalencia!$3:$3)-YEAR(S2624))*14)+MONTH(S2624)+2,FALSE)))</f>
        <v>0</v>
      </c>
      <c r="W2624" s="178">
        <f t="shared" si="229"/>
        <v>0</v>
      </c>
      <c r="X2624" s="481">
        <f t="shared" si="225"/>
        <v>0</v>
      </c>
      <c r="Y2624" s="179"/>
      <c r="Z2624" s="466">
        <f t="shared" si="226"/>
        <v>0</v>
      </c>
      <c r="AA2624" s="473">
        <f t="shared" si="227"/>
        <v>0</v>
      </c>
      <c r="AB2624" s="339">
        <f t="shared" si="228"/>
        <v>0</v>
      </c>
    </row>
    <row r="2625" spans="2:28" ht="20.100000000000001" customHeight="1">
      <c r="B2625" s="172"/>
      <c r="C2625" s="174"/>
      <c r="D2625" s="181"/>
      <c r="E2625" s="173"/>
      <c r="F2625" s="176"/>
      <c r="G2625" s="175">
        <f t="shared" si="230"/>
        <v>0</v>
      </c>
      <c r="H2625" s="175">
        <f t="shared" si="223"/>
        <v>0</v>
      </c>
      <c r="I2625" s="177">
        <f>IF(G2625=0,0,IF(E2625="MXN",1/HLOOKUP(YEAR(C2625)+(MONTH(C2625)/100),TC!$5:$37,DAY(C2625)+2,FALSE),VLOOKUP(E2625,Equivalencia!$5:$23,((MAX(Equivalencia!$3:$3)-YEAR(C2625))*14)+MONTH(C2625)+2,FALSE)))</f>
        <v>0</v>
      </c>
      <c r="J2625" s="178">
        <f t="shared" si="231"/>
        <v>0</v>
      </c>
      <c r="K2625" s="462">
        <f>IF(C2625=0,0,VLOOKUP(YEAR(C2625),INPC!$B$4:$O$29,MONTH(C2625)+1))</f>
        <v>0</v>
      </c>
      <c r="L2625" s="462">
        <f>IF(S2625=0,0,VLOOKUP(YEAR(S2625),INPC!$B$4:$O$29,MONTH(S2625)+1))</f>
        <v>0</v>
      </c>
      <c r="M2625" s="463">
        <f t="shared" si="224"/>
        <v>0</v>
      </c>
      <c r="N2625" s="465">
        <f t="shared" si="232"/>
        <v>0</v>
      </c>
      <c r="O2625" s="179"/>
      <c r="P2625" s="180"/>
      <c r="Q2625" s="173"/>
      <c r="R2625" s="173"/>
      <c r="S2625" s="174"/>
      <c r="T2625" s="173"/>
      <c r="U2625" s="182"/>
      <c r="V2625" s="177">
        <f>IF(U2625=0,0,IF(T2625="MXN",1/HLOOKUP(YEAR(S2625)+(MONTH(S2625)/100),TC!$5:$37,DAY(S2625)+2,FALSE),VLOOKUP(T2625,Equivalencia!$1:$23,((MAX(Equivalencia!$3:$3)-YEAR(S2625))*14)+MONTH(S2625)+2,FALSE)))</f>
        <v>0</v>
      </c>
      <c r="W2625" s="178">
        <f t="shared" si="229"/>
        <v>0</v>
      </c>
      <c r="X2625" s="481">
        <f t="shared" si="225"/>
        <v>0</v>
      </c>
      <c r="Y2625" s="179"/>
      <c r="Z2625" s="466">
        <f t="shared" si="226"/>
        <v>0</v>
      </c>
      <c r="AA2625" s="473">
        <f t="shared" si="227"/>
        <v>0</v>
      </c>
      <c r="AB2625" s="339">
        <f t="shared" si="228"/>
        <v>0</v>
      </c>
    </row>
    <row r="2626" spans="2:28" ht="20.100000000000001" customHeight="1">
      <c r="B2626" s="172"/>
      <c r="C2626" s="174"/>
      <c r="D2626" s="181"/>
      <c r="E2626" s="173"/>
      <c r="F2626" s="176"/>
      <c r="G2626" s="175">
        <f t="shared" si="230"/>
        <v>0</v>
      </c>
      <c r="H2626" s="175">
        <f t="shared" si="223"/>
        <v>0</v>
      </c>
      <c r="I2626" s="177">
        <f>IF(G2626=0,0,IF(E2626="MXN",1/HLOOKUP(YEAR(C2626)+(MONTH(C2626)/100),TC!$5:$37,DAY(C2626)+2,FALSE),VLOOKUP(E2626,Equivalencia!$5:$23,((MAX(Equivalencia!$3:$3)-YEAR(C2626))*14)+MONTH(C2626)+2,FALSE)))</f>
        <v>0</v>
      </c>
      <c r="J2626" s="178">
        <f t="shared" si="231"/>
        <v>0</v>
      </c>
      <c r="K2626" s="462">
        <f>IF(C2626=0,0,VLOOKUP(YEAR(C2626),INPC!$B$4:$O$29,MONTH(C2626)+1))</f>
        <v>0</v>
      </c>
      <c r="L2626" s="462">
        <f>IF(S2626=0,0,VLOOKUP(YEAR(S2626),INPC!$B$4:$O$29,MONTH(S2626)+1))</f>
        <v>0</v>
      </c>
      <c r="M2626" s="463">
        <f t="shared" si="224"/>
        <v>0</v>
      </c>
      <c r="N2626" s="465">
        <f t="shared" si="232"/>
        <v>0</v>
      </c>
      <c r="O2626" s="179"/>
      <c r="P2626" s="180"/>
      <c r="Q2626" s="173"/>
      <c r="R2626" s="173"/>
      <c r="S2626" s="174"/>
      <c r="T2626" s="173"/>
      <c r="U2626" s="182"/>
      <c r="V2626" s="177">
        <f>IF(U2626=0,0,IF(T2626="MXN",1/HLOOKUP(YEAR(S2626)+(MONTH(S2626)/100),TC!$5:$37,DAY(S2626)+2,FALSE),VLOOKUP(T2626,Equivalencia!$1:$23,((MAX(Equivalencia!$3:$3)-YEAR(S2626))*14)+MONTH(S2626)+2,FALSE)))</f>
        <v>0</v>
      </c>
      <c r="W2626" s="178">
        <f t="shared" si="229"/>
        <v>0</v>
      </c>
      <c r="X2626" s="481">
        <f t="shared" si="225"/>
        <v>0</v>
      </c>
      <c r="Y2626" s="179"/>
      <c r="Z2626" s="466">
        <f t="shared" si="226"/>
        <v>0</v>
      </c>
      <c r="AA2626" s="473">
        <f t="shared" si="227"/>
        <v>0</v>
      </c>
      <c r="AB2626" s="339">
        <f t="shared" si="228"/>
        <v>0</v>
      </c>
    </row>
    <row r="2627" spans="2:28" ht="20.100000000000001" customHeight="1">
      <c r="B2627" s="172"/>
      <c r="C2627" s="174"/>
      <c r="D2627" s="181"/>
      <c r="E2627" s="173"/>
      <c r="F2627" s="176"/>
      <c r="G2627" s="175">
        <f t="shared" si="230"/>
        <v>0</v>
      </c>
      <c r="H2627" s="175">
        <f t="shared" si="223"/>
        <v>0</v>
      </c>
      <c r="I2627" s="177">
        <f>IF(G2627=0,0,IF(E2627="MXN",1/HLOOKUP(YEAR(C2627)+(MONTH(C2627)/100),TC!$5:$37,DAY(C2627)+2,FALSE),VLOOKUP(E2627,Equivalencia!$5:$23,((MAX(Equivalencia!$3:$3)-YEAR(C2627))*14)+MONTH(C2627)+2,FALSE)))</f>
        <v>0</v>
      </c>
      <c r="J2627" s="178">
        <f t="shared" si="231"/>
        <v>0</v>
      </c>
      <c r="K2627" s="462">
        <f>IF(C2627=0,0,VLOOKUP(YEAR(C2627),INPC!$B$4:$O$29,MONTH(C2627)+1))</f>
        <v>0</v>
      </c>
      <c r="L2627" s="462">
        <f>IF(S2627=0,0,VLOOKUP(YEAR(S2627),INPC!$B$4:$O$29,MONTH(S2627)+1))</f>
        <v>0</v>
      </c>
      <c r="M2627" s="463">
        <f t="shared" si="224"/>
        <v>0</v>
      </c>
      <c r="N2627" s="465">
        <f t="shared" si="232"/>
        <v>0</v>
      </c>
      <c r="O2627" s="179"/>
      <c r="P2627" s="180"/>
      <c r="Q2627" s="173"/>
      <c r="R2627" s="173"/>
      <c r="S2627" s="174"/>
      <c r="T2627" s="173"/>
      <c r="U2627" s="182"/>
      <c r="V2627" s="177">
        <f>IF(U2627=0,0,IF(T2627="MXN",1/HLOOKUP(YEAR(S2627)+(MONTH(S2627)/100),TC!$5:$37,DAY(S2627)+2,FALSE),VLOOKUP(T2627,Equivalencia!$1:$23,((MAX(Equivalencia!$3:$3)-YEAR(S2627))*14)+MONTH(S2627)+2,FALSE)))</f>
        <v>0</v>
      </c>
      <c r="W2627" s="178">
        <f t="shared" si="229"/>
        <v>0</v>
      </c>
      <c r="X2627" s="481">
        <f t="shared" si="225"/>
        <v>0</v>
      </c>
      <c r="Y2627" s="179"/>
      <c r="Z2627" s="466">
        <f t="shared" si="226"/>
        <v>0</v>
      </c>
      <c r="AA2627" s="473">
        <f t="shared" si="227"/>
        <v>0</v>
      </c>
      <c r="AB2627" s="339">
        <f t="shared" si="228"/>
        <v>0</v>
      </c>
    </row>
    <row r="2628" spans="2:28" ht="20.100000000000001" customHeight="1">
      <c r="B2628" s="172"/>
      <c r="C2628" s="174"/>
      <c r="D2628" s="181"/>
      <c r="E2628" s="173"/>
      <c r="F2628" s="176"/>
      <c r="G2628" s="175">
        <f t="shared" si="230"/>
        <v>0</v>
      </c>
      <c r="H2628" s="175">
        <f t="shared" si="223"/>
        <v>0</v>
      </c>
      <c r="I2628" s="177">
        <f>IF(G2628=0,0,IF(E2628="MXN",1/HLOOKUP(YEAR(C2628)+(MONTH(C2628)/100),TC!$5:$37,DAY(C2628)+2,FALSE),VLOOKUP(E2628,Equivalencia!$5:$23,((MAX(Equivalencia!$3:$3)-YEAR(C2628))*14)+MONTH(C2628)+2,FALSE)))</f>
        <v>0</v>
      </c>
      <c r="J2628" s="178">
        <f t="shared" si="231"/>
        <v>0</v>
      </c>
      <c r="K2628" s="462">
        <f>IF(C2628=0,0,VLOOKUP(YEAR(C2628),INPC!$B$4:$O$29,MONTH(C2628)+1))</f>
        <v>0</v>
      </c>
      <c r="L2628" s="462">
        <f>IF(S2628=0,0,VLOOKUP(YEAR(S2628),INPC!$B$4:$O$29,MONTH(S2628)+1))</f>
        <v>0</v>
      </c>
      <c r="M2628" s="463">
        <f t="shared" si="224"/>
        <v>0</v>
      </c>
      <c r="N2628" s="465">
        <f t="shared" si="232"/>
        <v>0</v>
      </c>
      <c r="O2628" s="179"/>
      <c r="P2628" s="180"/>
      <c r="Q2628" s="173"/>
      <c r="R2628" s="173"/>
      <c r="S2628" s="174"/>
      <c r="T2628" s="173"/>
      <c r="U2628" s="182"/>
      <c r="V2628" s="177">
        <f>IF(U2628=0,0,IF(T2628="MXN",1/HLOOKUP(YEAR(S2628)+(MONTH(S2628)/100),TC!$5:$37,DAY(S2628)+2,FALSE),VLOOKUP(T2628,Equivalencia!$1:$23,((MAX(Equivalencia!$3:$3)-YEAR(S2628))*14)+MONTH(S2628)+2,FALSE)))</f>
        <v>0</v>
      </c>
      <c r="W2628" s="178">
        <f t="shared" si="229"/>
        <v>0</v>
      </c>
      <c r="X2628" s="481">
        <f t="shared" si="225"/>
        <v>0</v>
      </c>
      <c r="Y2628" s="179"/>
      <c r="Z2628" s="466">
        <f t="shared" si="226"/>
        <v>0</v>
      </c>
      <c r="AA2628" s="473">
        <f t="shared" si="227"/>
        <v>0</v>
      </c>
      <c r="AB2628" s="339">
        <f t="shared" si="228"/>
        <v>0</v>
      </c>
    </row>
    <row r="2629" spans="2:28" ht="20.100000000000001" customHeight="1">
      <c r="B2629" s="172"/>
      <c r="C2629" s="174"/>
      <c r="D2629" s="181"/>
      <c r="E2629" s="173"/>
      <c r="F2629" s="176"/>
      <c r="G2629" s="175">
        <f t="shared" si="230"/>
        <v>0</v>
      </c>
      <c r="H2629" s="175">
        <f t="shared" si="223"/>
        <v>0</v>
      </c>
      <c r="I2629" s="177">
        <f>IF(G2629=0,0,IF(E2629="MXN",1/HLOOKUP(YEAR(C2629)+(MONTH(C2629)/100),TC!$5:$37,DAY(C2629)+2,FALSE),VLOOKUP(E2629,Equivalencia!$5:$23,((MAX(Equivalencia!$3:$3)-YEAR(C2629))*14)+MONTH(C2629)+2,FALSE)))</f>
        <v>0</v>
      </c>
      <c r="J2629" s="178">
        <f t="shared" si="231"/>
        <v>0</v>
      </c>
      <c r="K2629" s="462">
        <f>IF(C2629=0,0,VLOOKUP(YEAR(C2629),INPC!$B$4:$O$29,MONTH(C2629)+1))</f>
        <v>0</v>
      </c>
      <c r="L2629" s="462">
        <f>IF(S2629=0,0,VLOOKUP(YEAR(S2629),INPC!$B$4:$O$29,MONTH(S2629)+1))</f>
        <v>0</v>
      </c>
      <c r="M2629" s="463">
        <f t="shared" si="224"/>
        <v>0</v>
      </c>
      <c r="N2629" s="465">
        <f t="shared" si="232"/>
        <v>0</v>
      </c>
      <c r="O2629" s="179"/>
      <c r="P2629" s="180"/>
      <c r="Q2629" s="173"/>
      <c r="R2629" s="173"/>
      <c r="S2629" s="174"/>
      <c r="T2629" s="173"/>
      <c r="U2629" s="182"/>
      <c r="V2629" s="177">
        <f>IF(U2629=0,0,IF(T2629="MXN",1/HLOOKUP(YEAR(S2629)+(MONTH(S2629)/100),TC!$5:$37,DAY(S2629)+2,FALSE),VLOOKUP(T2629,Equivalencia!$1:$23,((MAX(Equivalencia!$3:$3)-YEAR(S2629))*14)+MONTH(S2629)+2,FALSE)))</f>
        <v>0</v>
      </c>
      <c r="W2629" s="178">
        <f t="shared" si="229"/>
        <v>0</v>
      </c>
      <c r="X2629" s="481">
        <f t="shared" si="225"/>
        <v>0</v>
      </c>
      <c r="Y2629" s="179"/>
      <c r="Z2629" s="466">
        <f t="shared" si="226"/>
        <v>0</v>
      </c>
      <c r="AA2629" s="473">
        <f t="shared" si="227"/>
        <v>0</v>
      </c>
      <c r="AB2629" s="339">
        <f t="shared" si="228"/>
        <v>0</v>
      </c>
    </row>
    <row r="2630" spans="2:28" ht="20.100000000000001" customHeight="1">
      <c r="B2630" s="172"/>
      <c r="C2630" s="174"/>
      <c r="D2630" s="181"/>
      <c r="E2630" s="173"/>
      <c r="F2630" s="176"/>
      <c r="G2630" s="175">
        <f t="shared" si="230"/>
        <v>0</v>
      </c>
      <c r="H2630" s="175">
        <f t="shared" si="223"/>
        <v>0</v>
      </c>
      <c r="I2630" s="177">
        <f>IF(G2630=0,0,IF(E2630="MXN",1/HLOOKUP(YEAR(C2630)+(MONTH(C2630)/100),TC!$5:$37,DAY(C2630)+2,FALSE),VLOOKUP(E2630,Equivalencia!$5:$23,((MAX(Equivalencia!$3:$3)-YEAR(C2630))*14)+MONTH(C2630)+2,FALSE)))</f>
        <v>0</v>
      </c>
      <c r="J2630" s="178">
        <f t="shared" si="231"/>
        <v>0</v>
      </c>
      <c r="K2630" s="462">
        <f>IF(C2630=0,0,VLOOKUP(YEAR(C2630),INPC!$B$4:$O$29,MONTH(C2630)+1))</f>
        <v>0</v>
      </c>
      <c r="L2630" s="462">
        <f>IF(S2630=0,0,VLOOKUP(YEAR(S2630),INPC!$B$4:$O$29,MONTH(S2630)+1))</f>
        <v>0</v>
      </c>
      <c r="M2630" s="463">
        <f t="shared" si="224"/>
        <v>0</v>
      </c>
      <c r="N2630" s="465">
        <f t="shared" si="232"/>
        <v>0</v>
      </c>
      <c r="O2630" s="179"/>
      <c r="P2630" s="180"/>
      <c r="Q2630" s="173"/>
      <c r="R2630" s="173"/>
      <c r="S2630" s="174"/>
      <c r="T2630" s="173"/>
      <c r="U2630" s="182"/>
      <c r="V2630" s="177">
        <f>IF(U2630=0,0,IF(T2630="MXN",1/HLOOKUP(YEAR(S2630)+(MONTH(S2630)/100),TC!$5:$37,DAY(S2630)+2,FALSE),VLOOKUP(T2630,Equivalencia!$1:$23,((MAX(Equivalencia!$3:$3)-YEAR(S2630))*14)+MONTH(S2630)+2,FALSE)))</f>
        <v>0</v>
      </c>
      <c r="W2630" s="178">
        <f t="shared" si="229"/>
        <v>0</v>
      </c>
      <c r="X2630" s="481">
        <f t="shared" si="225"/>
        <v>0</v>
      </c>
      <c r="Y2630" s="179"/>
      <c r="Z2630" s="466">
        <f t="shared" si="226"/>
        <v>0</v>
      </c>
      <c r="AA2630" s="473">
        <f t="shared" si="227"/>
        <v>0</v>
      </c>
      <c r="AB2630" s="339">
        <f t="shared" si="228"/>
        <v>0</v>
      </c>
    </row>
    <row r="2631" spans="2:28" ht="20.100000000000001" customHeight="1">
      <c r="B2631" s="172"/>
      <c r="C2631" s="174"/>
      <c r="D2631" s="181"/>
      <c r="E2631" s="173"/>
      <c r="F2631" s="176"/>
      <c r="G2631" s="175">
        <f t="shared" si="230"/>
        <v>0</v>
      </c>
      <c r="H2631" s="175">
        <f t="shared" si="223"/>
        <v>0</v>
      </c>
      <c r="I2631" s="177">
        <f>IF(G2631=0,0,IF(E2631="MXN",1/HLOOKUP(YEAR(C2631)+(MONTH(C2631)/100),TC!$5:$37,DAY(C2631)+2,FALSE),VLOOKUP(E2631,Equivalencia!$5:$23,((MAX(Equivalencia!$3:$3)-YEAR(C2631))*14)+MONTH(C2631)+2,FALSE)))</f>
        <v>0</v>
      </c>
      <c r="J2631" s="178">
        <f t="shared" si="231"/>
        <v>0</v>
      </c>
      <c r="K2631" s="462">
        <f>IF(C2631=0,0,VLOOKUP(YEAR(C2631),INPC!$B$4:$O$29,MONTH(C2631)+1))</f>
        <v>0</v>
      </c>
      <c r="L2631" s="462">
        <f>IF(S2631=0,0,VLOOKUP(YEAR(S2631),INPC!$B$4:$O$29,MONTH(S2631)+1))</f>
        <v>0</v>
      </c>
      <c r="M2631" s="463">
        <f t="shared" si="224"/>
        <v>0</v>
      </c>
      <c r="N2631" s="465">
        <f t="shared" si="232"/>
        <v>0</v>
      </c>
      <c r="O2631" s="179"/>
      <c r="P2631" s="180"/>
      <c r="Q2631" s="173"/>
      <c r="R2631" s="173"/>
      <c r="S2631" s="174"/>
      <c r="T2631" s="173"/>
      <c r="U2631" s="182"/>
      <c r="V2631" s="177">
        <f>IF(U2631=0,0,IF(T2631="MXN",1/HLOOKUP(YEAR(S2631)+(MONTH(S2631)/100),TC!$5:$37,DAY(S2631)+2,FALSE),VLOOKUP(T2631,Equivalencia!$1:$23,((MAX(Equivalencia!$3:$3)-YEAR(S2631))*14)+MONTH(S2631)+2,FALSE)))</f>
        <v>0</v>
      </c>
      <c r="W2631" s="178">
        <f t="shared" si="229"/>
        <v>0</v>
      </c>
      <c r="X2631" s="481">
        <f t="shared" si="225"/>
        <v>0</v>
      </c>
      <c r="Y2631" s="179"/>
      <c r="Z2631" s="466">
        <f t="shared" si="226"/>
        <v>0</v>
      </c>
      <c r="AA2631" s="473">
        <f t="shared" si="227"/>
        <v>0</v>
      </c>
      <c r="AB2631" s="339">
        <f t="shared" si="228"/>
        <v>0</v>
      </c>
    </row>
    <row r="2632" spans="2:28" ht="20.100000000000001" customHeight="1">
      <c r="B2632" s="172"/>
      <c r="C2632" s="174"/>
      <c r="D2632" s="181"/>
      <c r="E2632" s="173"/>
      <c r="F2632" s="176"/>
      <c r="G2632" s="175">
        <f t="shared" si="230"/>
        <v>0</v>
      </c>
      <c r="H2632" s="175">
        <f t="shared" si="223"/>
        <v>0</v>
      </c>
      <c r="I2632" s="177">
        <f>IF(G2632=0,0,IF(E2632="MXN",1/HLOOKUP(YEAR(C2632)+(MONTH(C2632)/100),TC!$5:$37,DAY(C2632)+2,FALSE),VLOOKUP(E2632,Equivalencia!$5:$23,((MAX(Equivalencia!$3:$3)-YEAR(C2632))*14)+MONTH(C2632)+2,FALSE)))</f>
        <v>0</v>
      </c>
      <c r="J2632" s="178">
        <f t="shared" si="231"/>
        <v>0</v>
      </c>
      <c r="K2632" s="462">
        <f>IF(C2632=0,0,VLOOKUP(YEAR(C2632),INPC!$B$4:$O$29,MONTH(C2632)+1))</f>
        <v>0</v>
      </c>
      <c r="L2632" s="462">
        <f>IF(S2632=0,0,VLOOKUP(YEAR(S2632),INPC!$B$4:$O$29,MONTH(S2632)+1))</f>
        <v>0</v>
      </c>
      <c r="M2632" s="463">
        <f t="shared" si="224"/>
        <v>0</v>
      </c>
      <c r="N2632" s="465">
        <f t="shared" si="232"/>
        <v>0</v>
      </c>
      <c r="O2632" s="179"/>
      <c r="P2632" s="180"/>
      <c r="Q2632" s="173"/>
      <c r="R2632" s="173"/>
      <c r="S2632" s="174"/>
      <c r="T2632" s="173"/>
      <c r="U2632" s="182"/>
      <c r="V2632" s="177">
        <f>IF(U2632=0,0,IF(T2632="MXN",1/HLOOKUP(YEAR(S2632)+(MONTH(S2632)/100),TC!$5:$37,DAY(S2632)+2,FALSE),VLOOKUP(T2632,Equivalencia!$1:$23,((MAX(Equivalencia!$3:$3)-YEAR(S2632))*14)+MONTH(S2632)+2,FALSE)))</f>
        <v>0</v>
      </c>
      <c r="W2632" s="178">
        <f t="shared" si="229"/>
        <v>0</v>
      </c>
      <c r="X2632" s="481">
        <f t="shared" si="225"/>
        <v>0</v>
      </c>
      <c r="Y2632" s="179"/>
      <c r="Z2632" s="466">
        <f t="shared" si="226"/>
        <v>0</v>
      </c>
      <c r="AA2632" s="473">
        <f t="shared" si="227"/>
        <v>0</v>
      </c>
      <c r="AB2632" s="339">
        <f t="shared" si="228"/>
        <v>0</v>
      </c>
    </row>
    <row r="2633" spans="2:28" ht="20.100000000000001" customHeight="1">
      <c r="B2633" s="172"/>
      <c r="C2633" s="174"/>
      <c r="D2633" s="181"/>
      <c r="E2633" s="173"/>
      <c r="F2633" s="176"/>
      <c r="G2633" s="175">
        <f t="shared" si="230"/>
        <v>0</v>
      </c>
      <c r="H2633" s="175">
        <f t="shared" si="223"/>
        <v>0</v>
      </c>
      <c r="I2633" s="177">
        <f>IF(G2633=0,0,IF(E2633="MXN",1/HLOOKUP(YEAR(C2633)+(MONTH(C2633)/100),TC!$5:$37,DAY(C2633)+2,FALSE),VLOOKUP(E2633,Equivalencia!$5:$23,((MAX(Equivalencia!$3:$3)-YEAR(C2633))*14)+MONTH(C2633)+2,FALSE)))</f>
        <v>0</v>
      </c>
      <c r="J2633" s="178">
        <f t="shared" si="231"/>
        <v>0</v>
      </c>
      <c r="K2633" s="462">
        <f>IF(C2633=0,0,VLOOKUP(YEAR(C2633),INPC!$B$4:$O$29,MONTH(C2633)+1))</f>
        <v>0</v>
      </c>
      <c r="L2633" s="462">
        <f>IF(S2633=0,0,VLOOKUP(YEAR(S2633),INPC!$B$4:$O$29,MONTH(S2633)+1))</f>
        <v>0</v>
      </c>
      <c r="M2633" s="463">
        <f t="shared" si="224"/>
        <v>0</v>
      </c>
      <c r="N2633" s="465">
        <f t="shared" si="232"/>
        <v>0</v>
      </c>
      <c r="O2633" s="179"/>
      <c r="P2633" s="180"/>
      <c r="Q2633" s="173"/>
      <c r="R2633" s="173"/>
      <c r="S2633" s="174"/>
      <c r="T2633" s="173"/>
      <c r="U2633" s="182"/>
      <c r="V2633" s="177">
        <f>IF(U2633=0,0,IF(T2633="MXN",1/HLOOKUP(YEAR(S2633)+(MONTH(S2633)/100),TC!$5:$37,DAY(S2633)+2,FALSE),VLOOKUP(T2633,Equivalencia!$1:$23,((MAX(Equivalencia!$3:$3)-YEAR(S2633))*14)+MONTH(S2633)+2,FALSE)))</f>
        <v>0</v>
      </c>
      <c r="W2633" s="178">
        <f t="shared" si="229"/>
        <v>0</v>
      </c>
      <c r="X2633" s="481">
        <f t="shared" si="225"/>
        <v>0</v>
      </c>
      <c r="Y2633" s="179"/>
      <c r="Z2633" s="466">
        <f t="shared" si="226"/>
        <v>0</v>
      </c>
      <c r="AA2633" s="473">
        <f t="shared" si="227"/>
        <v>0</v>
      </c>
      <c r="AB2633" s="339">
        <f t="shared" si="228"/>
        <v>0</v>
      </c>
    </row>
    <row r="2634" spans="2:28" ht="20.100000000000001" customHeight="1">
      <c r="B2634" s="172"/>
      <c r="C2634" s="174"/>
      <c r="D2634" s="181"/>
      <c r="E2634" s="173"/>
      <c r="F2634" s="176"/>
      <c r="G2634" s="175">
        <f t="shared" si="230"/>
        <v>0</v>
      </c>
      <c r="H2634" s="175">
        <f t="shared" si="223"/>
        <v>0</v>
      </c>
      <c r="I2634" s="177">
        <f>IF(G2634=0,0,IF(E2634="MXN",1/HLOOKUP(YEAR(C2634)+(MONTH(C2634)/100),TC!$5:$37,DAY(C2634)+2,FALSE),VLOOKUP(E2634,Equivalencia!$5:$23,((MAX(Equivalencia!$3:$3)-YEAR(C2634))*14)+MONTH(C2634)+2,FALSE)))</f>
        <v>0</v>
      </c>
      <c r="J2634" s="178">
        <f t="shared" si="231"/>
        <v>0</v>
      </c>
      <c r="K2634" s="462">
        <f>IF(C2634=0,0,VLOOKUP(YEAR(C2634),INPC!$B$4:$O$29,MONTH(C2634)+1))</f>
        <v>0</v>
      </c>
      <c r="L2634" s="462">
        <f>IF(S2634=0,0,VLOOKUP(YEAR(S2634),INPC!$B$4:$O$29,MONTH(S2634)+1))</f>
        <v>0</v>
      </c>
      <c r="M2634" s="463">
        <f t="shared" si="224"/>
        <v>0</v>
      </c>
      <c r="N2634" s="465">
        <f t="shared" si="232"/>
        <v>0</v>
      </c>
      <c r="O2634" s="179"/>
      <c r="P2634" s="180"/>
      <c r="Q2634" s="173"/>
      <c r="R2634" s="173"/>
      <c r="S2634" s="174"/>
      <c r="T2634" s="173"/>
      <c r="U2634" s="182"/>
      <c r="V2634" s="177">
        <f>IF(U2634=0,0,IF(T2634="MXN",1/HLOOKUP(YEAR(S2634)+(MONTH(S2634)/100),TC!$5:$37,DAY(S2634)+2,FALSE),VLOOKUP(T2634,Equivalencia!$1:$23,((MAX(Equivalencia!$3:$3)-YEAR(S2634))*14)+MONTH(S2634)+2,FALSE)))</f>
        <v>0</v>
      </c>
      <c r="W2634" s="178">
        <f t="shared" si="229"/>
        <v>0</v>
      </c>
      <c r="X2634" s="481">
        <f t="shared" si="225"/>
        <v>0</v>
      </c>
      <c r="Y2634" s="179"/>
      <c r="Z2634" s="466">
        <f t="shared" si="226"/>
        <v>0</v>
      </c>
      <c r="AA2634" s="473">
        <f t="shared" si="227"/>
        <v>0</v>
      </c>
      <c r="AB2634" s="339">
        <f t="shared" si="228"/>
        <v>0</v>
      </c>
    </row>
    <row r="2635" spans="2:28" ht="20.100000000000001" customHeight="1">
      <c r="B2635" s="172"/>
      <c r="C2635" s="174"/>
      <c r="D2635" s="181"/>
      <c r="E2635" s="173"/>
      <c r="F2635" s="176"/>
      <c r="G2635" s="175">
        <f t="shared" si="230"/>
        <v>0</v>
      </c>
      <c r="H2635" s="175">
        <f t="shared" si="223"/>
        <v>0</v>
      </c>
      <c r="I2635" s="177">
        <f>IF(G2635=0,0,IF(E2635="MXN",1/HLOOKUP(YEAR(C2635)+(MONTH(C2635)/100),TC!$5:$37,DAY(C2635)+2,FALSE),VLOOKUP(E2635,Equivalencia!$5:$23,((MAX(Equivalencia!$3:$3)-YEAR(C2635))*14)+MONTH(C2635)+2,FALSE)))</f>
        <v>0</v>
      </c>
      <c r="J2635" s="178">
        <f t="shared" si="231"/>
        <v>0</v>
      </c>
      <c r="K2635" s="462">
        <f>IF(C2635=0,0,VLOOKUP(YEAR(C2635),INPC!$B$4:$O$29,MONTH(C2635)+1))</f>
        <v>0</v>
      </c>
      <c r="L2635" s="462">
        <f>IF(S2635=0,0,VLOOKUP(YEAR(S2635),INPC!$B$4:$O$29,MONTH(S2635)+1))</f>
        <v>0</v>
      </c>
      <c r="M2635" s="463">
        <f t="shared" si="224"/>
        <v>0</v>
      </c>
      <c r="N2635" s="465">
        <f t="shared" si="232"/>
        <v>0</v>
      </c>
      <c r="O2635" s="179"/>
      <c r="P2635" s="180"/>
      <c r="Q2635" s="173"/>
      <c r="R2635" s="173"/>
      <c r="S2635" s="174"/>
      <c r="T2635" s="173"/>
      <c r="U2635" s="182"/>
      <c r="V2635" s="177">
        <f>IF(U2635=0,0,IF(T2635="MXN",1/HLOOKUP(YEAR(S2635)+(MONTH(S2635)/100),TC!$5:$37,DAY(S2635)+2,FALSE),VLOOKUP(T2635,Equivalencia!$1:$23,((MAX(Equivalencia!$3:$3)-YEAR(S2635))*14)+MONTH(S2635)+2,FALSE)))</f>
        <v>0</v>
      </c>
      <c r="W2635" s="178">
        <f t="shared" si="229"/>
        <v>0</v>
      </c>
      <c r="X2635" s="481">
        <f t="shared" si="225"/>
        <v>0</v>
      </c>
      <c r="Y2635" s="179"/>
      <c r="Z2635" s="466">
        <f t="shared" si="226"/>
        <v>0</v>
      </c>
      <c r="AA2635" s="473">
        <f t="shared" si="227"/>
        <v>0</v>
      </c>
      <c r="AB2635" s="339">
        <f t="shared" si="228"/>
        <v>0</v>
      </c>
    </row>
    <row r="2636" spans="2:28" ht="20.100000000000001" customHeight="1">
      <c r="B2636" s="172"/>
      <c r="C2636" s="174"/>
      <c r="D2636" s="181"/>
      <c r="E2636" s="173"/>
      <c r="F2636" s="176"/>
      <c r="G2636" s="175">
        <f t="shared" si="230"/>
        <v>0</v>
      </c>
      <c r="H2636" s="175">
        <f t="shared" si="223"/>
        <v>0</v>
      </c>
      <c r="I2636" s="177">
        <f>IF(G2636=0,0,IF(E2636="MXN",1/HLOOKUP(YEAR(C2636)+(MONTH(C2636)/100),TC!$5:$37,DAY(C2636)+2,FALSE),VLOOKUP(E2636,Equivalencia!$5:$23,((MAX(Equivalencia!$3:$3)-YEAR(C2636))*14)+MONTH(C2636)+2,FALSE)))</f>
        <v>0</v>
      </c>
      <c r="J2636" s="178">
        <f t="shared" si="231"/>
        <v>0</v>
      </c>
      <c r="K2636" s="462">
        <f>IF(C2636=0,0,VLOOKUP(YEAR(C2636),INPC!$B$4:$O$29,MONTH(C2636)+1))</f>
        <v>0</v>
      </c>
      <c r="L2636" s="462">
        <f>IF(S2636=0,0,VLOOKUP(YEAR(S2636),INPC!$B$4:$O$29,MONTH(S2636)+1))</f>
        <v>0</v>
      </c>
      <c r="M2636" s="463">
        <f t="shared" si="224"/>
        <v>0</v>
      </c>
      <c r="N2636" s="465">
        <f t="shared" si="232"/>
        <v>0</v>
      </c>
      <c r="O2636" s="179"/>
      <c r="P2636" s="180"/>
      <c r="Q2636" s="173"/>
      <c r="R2636" s="173"/>
      <c r="S2636" s="174"/>
      <c r="T2636" s="173"/>
      <c r="U2636" s="182"/>
      <c r="V2636" s="177">
        <f>IF(U2636=0,0,IF(T2636="MXN",1/HLOOKUP(YEAR(S2636)+(MONTH(S2636)/100),TC!$5:$37,DAY(S2636)+2,FALSE),VLOOKUP(T2636,Equivalencia!$1:$23,((MAX(Equivalencia!$3:$3)-YEAR(S2636))*14)+MONTH(S2636)+2,FALSE)))</f>
        <v>0</v>
      </c>
      <c r="W2636" s="178">
        <f t="shared" si="229"/>
        <v>0</v>
      </c>
      <c r="X2636" s="481">
        <f t="shared" si="225"/>
        <v>0</v>
      </c>
      <c r="Y2636" s="179"/>
      <c r="Z2636" s="466">
        <f t="shared" si="226"/>
        <v>0</v>
      </c>
      <c r="AA2636" s="473">
        <f t="shared" si="227"/>
        <v>0</v>
      </c>
      <c r="AB2636" s="339">
        <f t="shared" si="228"/>
        <v>0</v>
      </c>
    </row>
    <row r="2637" spans="2:28" ht="20.100000000000001" customHeight="1">
      <c r="B2637" s="172"/>
      <c r="C2637" s="174"/>
      <c r="D2637" s="181"/>
      <c r="E2637" s="173"/>
      <c r="F2637" s="176"/>
      <c r="G2637" s="175">
        <f t="shared" si="230"/>
        <v>0</v>
      </c>
      <c r="H2637" s="175">
        <f t="shared" si="223"/>
        <v>0</v>
      </c>
      <c r="I2637" s="177">
        <f>IF(G2637=0,0,IF(E2637="MXN",1/HLOOKUP(YEAR(C2637)+(MONTH(C2637)/100),TC!$5:$37,DAY(C2637)+2,FALSE),VLOOKUP(E2637,Equivalencia!$5:$23,((MAX(Equivalencia!$3:$3)-YEAR(C2637))*14)+MONTH(C2637)+2,FALSE)))</f>
        <v>0</v>
      </c>
      <c r="J2637" s="178">
        <f t="shared" si="231"/>
        <v>0</v>
      </c>
      <c r="K2637" s="462">
        <f>IF(C2637=0,0,VLOOKUP(YEAR(C2637),INPC!$B$4:$O$29,MONTH(C2637)+1))</f>
        <v>0</v>
      </c>
      <c r="L2637" s="462">
        <f>IF(S2637=0,0,VLOOKUP(YEAR(S2637),INPC!$B$4:$O$29,MONTH(S2637)+1))</f>
        <v>0</v>
      </c>
      <c r="M2637" s="463">
        <f t="shared" si="224"/>
        <v>0</v>
      </c>
      <c r="N2637" s="465">
        <f t="shared" si="232"/>
        <v>0</v>
      </c>
      <c r="O2637" s="179"/>
      <c r="P2637" s="180"/>
      <c r="Q2637" s="173"/>
      <c r="R2637" s="173"/>
      <c r="S2637" s="174"/>
      <c r="T2637" s="173"/>
      <c r="U2637" s="182"/>
      <c r="V2637" s="177">
        <f>IF(U2637=0,0,IF(T2637="MXN",1/HLOOKUP(YEAR(S2637)+(MONTH(S2637)/100),TC!$5:$37,DAY(S2637)+2,FALSE),VLOOKUP(T2637,Equivalencia!$1:$23,((MAX(Equivalencia!$3:$3)-YEAR(S2637))*14)+MONTH(S2637)+2,FALSE)))</f>
        <v>0</v>
      </c>
      <c r="W2637" s="178">
        <f t="shared" si="229"/>
        <v>0</v>
      </c>
      <c r="X2637" s="481">
        <f t="shared" si="225"/>
        <v>0</v>
      </c>
      <c r="Y2637" s="179"/>
      <c r="Z2637" s="466">
        <f t="shared" si="226"/>
        <v>0</v>
      </c>
      <c r="AA2637" s="473">
        <f t="shared" si="227"/>
        <v>0</v>
      </c>
      <c r="AB2637" s="339">
        <f t="shared" si="228"/>
        <v>0</v>
      </c>
    </row>
    <row r="2638" spans="2:28" ht="20.100000000000001" customHeight="1">
      <c r="B2638" s="172"/>
      <c r="C2638" s="174"/>
      <c r="D2638" s="181"/>
      <c r="E2638" s="173"/>
      <c r="F2638" s="176"/>
      <c r="G2638" s="175">
        <f t="shared" si="230"/>
        <v>0</v>
      </c>
      <c r="H2638" s="175">
        <f t="shared" si="223"/>
        <v>0</v>
      </c>
      <c r="I2638" s="177">
        <f>IF(G2638=0,0,IF(E2638="MXN",1/HLOOKUP(YEAR(C2638)+(MONTH(C2638)/100),TC!$5:$37,DAY(C2638)+2,FALSE),VLOOKUP(E2638,Equivalencia!$5:$23,((MAX(Equivalencia!$3:$3)-YEAR(C2638))*14)+MONTH(C2638)+2,FALSE)))</f>
        <v>0</v>
      </c>
      <c r="J2638" s="178">
        <f t="shared" si="231"/>
        <v>0</v>
      </c>
      <c r="K2638" s="462">
        <f>IF(C2638=0,0,VLOOKUP(YEAR(C2638),INPC!$B$4:$O$29,MONTH(C2638)+1))</f>
        <v>0</v>
      </c>
      <c r="L2638" s="462">
        <f>IF(S2638=0,0,VLOOKUP(YEAR(S2638),INPC!$B$4:$O$29,MONTH(S2638)+1))</f>
        <v>0</v>
      </c>
      <c r="M2638" s="463">
        <f t="shared" si="224"/>
        <v>0</v>
      </c>
      <c r="N2638" s="465">
        <f t="shared" si="232"/>
        <v>0</v>
      </c>
      <c r="O2638" s="179"/>
      <c r="P2638" s="180"/>
      <c r="Q2638" s="173"/>
      <c r="R2638" s="173"/>
      <c r="S2638" s="174"/>
      <c r="T2638" s="173"/>
      <c r="U2638" s="182"/>
      <c r="V2638" s="177">
        <f>IF(U2638=0,0,IF(T2638="MXN",1/HLOOKUP(YEAR(S2638)+(MONTH(S2638)/100),TC!$5:$37,DAY(S2638)+2,FALSE),VLOOKUP(T2638,Equivalencia!$1:$23,((MAX(Equivalencia!$3:$3)-YEAR(S2638))*14)+MONTH(S2638)+2,FALSE)))</f>
        <v>0</v>
      </c>
      <c r="W2638" s="178">
        <f t="shared" si="229"/>
        <v>0</v>
      </c>
      <c r="X2638" s="481">
        <f t="shared" si="225"/>
        <v>0</v>
      </c>
      <c r="Y2638" s="179"/>
      <c r="Z2638" s="466">
        <f t="shared" si="226"/>
        <v>0</v>
      </c>
      <c r="AA2638" s="473">
        <f t="shared" si="227"/>
        <v>0</v>
      </c>
      <c r="AB2638" s="339">
        <f t="shared" si="228"/>
        <v>0</v>
      </c>
    </row>
    <row r="2639" spans="2:28" ht="20.100000000000001" customHeight="1">
      <c r="B2639" s="172"/>
      <c r="C2639" s="174"/>
      <c r="D2639" s="181"/>
      <c r="E2639" s="173"/>
      <c r="F2639" s="176"/>
      <c r="G2639" s="175">
        <f t="shared" si="230"/>
        <v>0</v>
      </c>
      <c r="H2639" s="175">
        <f t="shared" si="223"/>
        <v>0</v>
      </c>
      <c r="I2639" s="177">
        <f>IF(G2639=0,0,IF(E2639="MXN",1/HLOOKUP(YEAR(C2639)+(MONTH(C2639)/100),TC!$5:$37,DAY(C2639)+2,FALSE),VLOOKUP(E2639,Equivalencia!$5:$23,((MAX(Equivalencia!$3:$3)-YEAR(C2639))*14)+MONTH(C2639)+2,FALSE)))</f>
        <v>0</v>
      </c>
      <c r="J2639" s="178">
        <f t="shared" si="231"/>
        <v>0</v>
      </c>
      <c r="K2639" s="462">
        <f>IF(C2639=0,0,VLOOKUP(YEAR(C2639),INPC!$B$4:$O$29,MONTH(C2639)+1))</f>
        <v>0</v>
      </c>
      <c r="L2639" s="462">
        <f>IF(S2639=0,0,VLOOKUP(YEAR(S2639),INPC!$B$4:$O$29,MONTH(S2639)+1))</f>
        <v>0</v>
      </c>
      <c r="M2639" s="463">
        <f t="shared" si="224"/>
        <v>0</v>
      </c>
      <c r="N2639" s="465">
        <f t="shared" si="232"/>
        <v>0</v>
      </c>
      <c r="O2639" s="179"/>
      <c r="P2639" s="180"/>
      <c r="Q2639" s="173"/>
      <c r="R2639" s="173"/>
      <c r="S2639" s="174"/>
      <c r="T2639" s="173"/>
      <c r="U2639" s="182"/>
      <c r="V2639" s="177">
        <f>IF(U2639=0,0,IF(T2639="MXN",1/HLOOKUP(YEAR(S2639)+(MONTH(S2639)/100),TC!$5:$37,DAY(S2639)+2,FALSE),VLOOKUP(T2639,Equivalencia!$1:$23,((MAX(Equivalencia!$3:$3)-YEAR(S2639))*14)+MONTH(S2639)+2,FALSE)))</f>
        <v>0</v>
      </c>
      <c r="W2639" s="178">
        <f t="shared" si="229"/>
        <v>0</v>
      </c>
      <c r="X2639" s="481">
        <f t="shared" si="225"/>
        <v>0</v>
      </c>
      <c r="Y2639" s="179"/>
      <c r="Z2639" s="466">
        <f t="shared" si="226"/>
        <v>0</v>
      </c>
      <c r="AA2639" s="473">
        <f t="shared" si="227"/>
        <v>0</v>
      </c>
      <c r="AB2639" s="339">
        <f t="shared" si="228"/>
        <v>0</v>
      </c>
    </row>
    <row r="2640" spans="2:28" ht="20.100000000000001" customHeight="1">
      <c r="B2640" s="172"/>
      <c r="C2640" s="174"/>
      <c r="D2640" s="181"/>
      <c r="E2640" s="173"/>
      <c r="F2640" s="176"/>
      <c r="G2640" s="175">
        <f t="shared" si="230"/>
        <v>0</v>
      </c>
      <c r="H2640" s="175">
        <f t="shared" si="223"/>
        <v>0</v>
      </c>
      <c r="I2640" s="177">
        <f>IF(G2640=0,0,IF(E2640="MXN",1/HLOOKUP(YEAR(C2640)+(MONTH(C2640)/100),TC!$5:$37,DAY(C2640)+2,FALSE),VLOOKUP(E2640,Equivalencia!$5:$23,((MAX(Equivalencia!$3:$3)-YEAR(C2640))*14)+MONTH(C2640)+2,FALSE)))</f>
        <v>0</v>
      </c>
      <c r="J2640" s="178">
        <f t="shared" si="231"/>
        <v>0</v>
      </c>
      <c r="K2640" s="462">
        <f>IF(C2640=0,0,VLOOKUP(YEAR(C2640),INPC!$B$4:$O$29,MONTH(C2640)+1))</f>
        <v>0</v>
      </c>
      <c r="L2640" s="462">
        <f>IF(S2640=0,0,VLOOKUP(YEAR(S2640),INPC!$B$4:$O$29,MONTH(S2640)+1))</f>
        <v>0</v>
      </c>
      <c r="M2640" s="463">
        <f t="shared" si="224"/>
        <v>0</v>
      </c>
      <c r="N2640" s="465">
        <f t="shared" si="232"/>
        <v>0</v>
      </c>
      <c r="O2640" s="179"/>
      <c r="P2640" s="180"/>
      <c r="Q2640" s="173"/>
      <c r="R2640" s="173"/>
      <c r="S2640" s="174"/>
      <c r="T2640" s="173"/>
      <c r="U2640" s="182"/>
      <c r="V2640" s="177">
        <f>IF(U2640=0,0,IF(T2640="MXN",1/HLOOKUP(YEAR(S2640)+(MONTH(S2640)/100),TC!$5:$37,DAY(S2640)+2,FALSE),VLOOKUP(T2640,Equivalencia!$1:$23,((MAX(Equivalencia!$3:$3)-YEAR(S2640))*14)+MONTH(S2640)+2,FALSE)))</f>
        <v>0</v>
      </c>
      <c r="W2640" s="178">
        <f t="shared" si="229"/>
        <v>0</v>
      </c>
      <c r="X2640" s="481">
        <f t="shared" si="225"/>
        <v>0</v>
      </c>
      <c r="Y2640" s="179"/>
      <c r="Z2640" s="466">
        <f t="shared" si="226"/>
        <v>0</v>
      </c>
      <c r="AA2640" s="473">
        <f t="shared" si="227"/>
        <v>0</v>
      </c>
      <c r="AB2640" s="339">
        <f t="shared" si="228"/>
        <v>0</v>
      </c>
    </row>
    <row r="2641" spans="2:28" ht="20.100000000000001" customHeight="1">
      <c r="B2641" s="172"/>
      <c r="C2641" s="174"/>
      <c r="D2641" s="181"/>
      <c r="E2641" s="173"/>
      <c r="F2641" s="176"/>
      <c r="G2641" s="175">
        <f t="shared" si="230"/>
        <v>0</v>
      </c>
      <c r="H2641" s="175">
        <f t="shared" si="223"/>
        <v>0</v>
      </c>
      <c r="I2641" s="177">
        <f>IF(G2641=0,0,IF(E2641="MXN",1/HLOOKUP(YEAR(C2641)+(MONTH(C2641)/100),TC!$5:$37,DAY(C2641)+2,FALSE),VLOOKUP(E2641,Equivalencia!$5:$23,((MAX(Equivalencia!$3:$3)-YEAR(C2641))*14)+MONTH(C2641)+2,FALSE)))</f>
        <v>0</v>
      </c>
      <c r="J2641" s="178">
        <f t="shared" si="231"/>
        <v>0</v>
      </c>
      <c r="K2641" s="462">
        <f>IF(C2641=0,0,VLOOKUP(YEAR(C2641),INPC!$B$4:$O$29,MONTH(C2641)+1))</f>
        <v>0</v>
      </c>
      <c r="L2641" s="462">
        <f>IF(S2641=0,0,VLOOKUP(YEAR(S2641),INPC!$B$4:$O$29,MONTH(S2641)+1))</f>
        <v>0</v>
      </c>
      <c r="M2641" s="463">
        <f t="shared" si="224"/>
        <v>0</v>
      </c>
      <c r="N2641" s="465">
        <f t="shared" si="232"/>
        <v>0</v>
      </c>
      <c r="O2641" s="179"/>
      <c r="P2641" s="180"/>
      <c r="Q2641" s="173"/>
      <c r="R2641" s="173"/>
      <c r="S2641" s="174"/>
      <c r="T2641" s="173"/>
      <c r="U2641" s="182"/>
      <c r="V2641" s="177">
        <f>IF(U2641=0,0,IF(T2641="MXN",1/HLOOKUP(YEAR(S2641)+(MONTH(S2641)/100),TC!$5:$37,DAY(S2641)+2,FALSE),VLOOKUP(T2641,Equivalencia!$1:$23,((MAX(Equivalencia!$3:$3)-YEAR(S2641))*14)+MONTH(S2641)+2,FALSE)))</f>
        <v>0</v>
      </c>
      <c r="W2641" s="178">
        <f t="shared" si="229"/>
        <v>0</v>
      </c>
      <c r="X2641" s="481">
        <f t="shared" si="225"/>
        <v>0</v>
      </c>
      <c r="Y2641" s="179"/>
      <c r="Z2641" s="466">
        <f t="shared" si="226"/>
        <v>0</v>
      </c>
      <c r="AA2641" s="473">
        <f t="shared" si="227"/>
        <v>0</v>
      </c>
      <c r="AB2641" s="339">
        <f t="shared" si="228"/>
        <v>0</v>
      </c>
    </row>
    <row r="2642" spans="2:28" ht="20.100000000000001" customHeight="1">
      <c r="B2642" s="172"/>
      <c r="C2642" s="174"/>
      <c r="D2642" s="181"/>
      <c r="E2642" s="173"/>
      <c r="F2642" s="176"/>
      <c r="G2642" s="175">
        <f t="shared" si="230"/>
        <v>0</v>
      </c>
      <c r="H2642" s="175">
        <f t="shared" si="223"/>
        <v>0</v>
      </c>
      <c r="I2642" s="177">
        <f>IF(G2642=0,0,IF(E2642="MXN",1/HLOOKUP(YEAR(C2642)+(MONTH(C2642)/100),TC!$5:$37,DAY(C2642)+2,FALSE),VLOOKUP(E2642,Equivalencia!$5:$23,((MAX(Equivalencia!$3:$3)-YEAR(C2642))*14)+MONTH(C2642)+2,FALSE)))</f>
        <v>0</v>
      </c>
      <c r="J2642" s="178">
        <f t="shared" si="231"/>
        <v>0</v>
      </c>
      <c r="K2642" s="462">
        <f>IF(C2642=0,0,VLOOKUP(YEAR(C2642),INPC!$B$4:$O$29,MONTH(C2642)+1))</f>
        <v>0</v>
      </c>
      <c r="L2642" s="462">
        <f>IF(S2642=0,0,VLOOKUP(YEAR(S2642),INPC!$B$4:$O$29,MONTH(S2642)+1))</f>
        <v>0</v>
      </c>
      <c r="M2642" s="463">
        <f t="shared" si="224"/>
        <v>0</v>
      </c>
      <c r="N2642" s="465">
        <f t="shared" si="232"/>
        <v>0</v>
      </c>
      <c r="O2642" s="179"/>
      <c r="P2642" s="180"/>
      <c r="Q2642" s="173"/>
      <c r="R2642" s="173"/>
      <c r="S2642" s="174"/>
      <c r="T2642" s="173"/>
      <c r="U2642" s="182"/>
      <c r="V2642" s="177">
        <f>IF(U2642=0,0,IF(T2642="MXN",1/HLOOKUP(YEAR(S2642)+(MONTH(S2642)/100),TC!$5:$37,DAY(S2642)+2,FALSE),VLOOKUP(T2642,Equivalencia!$1:$23,((MAX(Equivalencia!$3:$3)-YEAR(S2642))*14)+MONTH(S2642)+2,FALSE)))</f>
        <v>0</v>
      </c>
      <c r="W2642" s="178">
        <f t="shared" si="229"/>
        <v>0</v>
      </c>
      <c r="X2642" s="481">
        <f t="shared" si="225"/>
        <v>0</v>
      </c>
      <c r="Y2642" s="179"/>
      <c r="Z2642" s="466">
        <f t="shared" si="226"/>
        <v>0</v>
      </c>
      <c r="AA2642" s="473">
        <f t="shared" si="227"/>
        <v>0</v>
      </c>
      <c r="AB2642" s="339">
        <f t="shared" si="228"/>
        <v>0</v>
      </c>
    </row>
    <row r="2643" spans="2:28" ht="20.100000000000001" customHeight="1">
      <c r="B2643" s="172"/>
      <c r="C2643" s="174"/>
      <c r="D2643" s="181"/>
      <c r="E2643" s="173"/>
      <c r="F2643" s="176"/>
      <c r="G2643" s="175">
        <f t="shared" si="230"/>
        <v>0</v>
      </c>
      <c r="H2643" s="175">
        <f t="shared" si="223"/>
        <v>0</v>
      </c>
      <c r="I2643" s="177">
        <f>IF(G2643=0,0,IF(E2643="MXN",1/HLOOKUP(YEAR(C2643)+(MONTH(C2643)/100),TC!$5:$37,DAY(C2643)+2,FALSE),VLOOKUP(E2643,Equivalencia!$5:$23,((MAX(Equivalencia!$3:$3)-YEAR(C2643))*14)+MONTH(C2643)+2,FALSE)))</f>
        <v>0</v>
      </c>
      <c r="J2643" s="178">
        <f t="shared" si="231"/>
        <v>0</v>
      </c>
      <c r="K2643" s="462">
        <f>IF(C2643=0,0,VLOOKUP(YEAR(C2643),INPC!$B$4:$O$29,MONTH(C2643)+1))</f>
        <v>0</v>
      </c>
      <c r="L2643" s="462">
        <f>IF(S2643=0,0,VLOOKUP(YEAR(S2643),INPC!$B$4:$O$29,MONTH(S2643)+1))</f>
        <v>0</v>
      </c>
      <c r="M2643" s="463">
        <f t="shared" si="224"/>
        <v>0</v>
      </c>
      <c r="N2643" s="465">
        <f t="shared" si="232"/>
        <v>0</v>
      </c>
      <c r="O2643" s="179"/>
      <c r="P2643" s="180"/>
      <c r="Q2643" s="173"/>
      <c r="R2643" s="173"/>
      <c r="S2643" s="174"/>
      <c r="T2643" s="173"/>
      <c r="U2643" s="182"/>
      <c r="V2643" s="177">
        <f>IF(U2643=0,0,IF(T2643="MXN",1/HLOOKUP(YEAR(S2643)+(MONTH(S2643)/100),TC!$5:$37,DAY(S2643)+2,FALSE),VLOOKUP(T2643,Equivalencia!$1:$23,((MAX(Equivalencia!$3:$3)-YEAR(S2643))*14)+MONTH(S2643)+2,FALSE)))</f>
        <v>0</v>
      </c>
      <c r="W2643" s="178">
        <f t="shared" si="229"/>
        <v>0</v>
      </c>
      <c r="X2643" s="481">
        <f t="shared" si="225"/>
        <v>0</v>
      </c>
      <c r="Y2643" s="179"/>
      <c r="Z2643" s="466">
        <f t="shared" si="226"/>
        <v>0</v>
      </c>
      <c r="AA2643" s="473">
        <f t="shared" si="227"/>
        <v>0</v>
      </c>
      <c r="AB2643" s="339">
        <f t="shared" si="228"/>
        <v>0</v>
      </c>
    </row>
    <row r="2644" spans="2:28" ht="20.100000000000001" customHeight="1">
      <c r="B2644" s="172"/>
      <c r="C2644" s="174"/>
      <c r="D2644" s="181"/>
      <c r="E2644" s="173"/>
      <c r="F2644" s="176"/>
      <c r="G2644" s="175">
        <f t="shared" si="230"/>
        <v>0</v>
      </c>
      <c r="H2644" s="175">
        <f t="shared" si="223"/>
        <v>0</v>
      </c>
      <c r="I2644" s="177">
        <f>IF(G2644=0,0,IF(E2644="MXN",1/HLOOKUP(YEAR(C2644)+(MONTH(C2644)/100),TC!$5:$37,DAY(C2644)+2,FALSE),VLOOKUP(E2644,Equivalencia!$5:$23,((MAX(Equivalencia!$3:$3)-YEAR(C2644))*14)+MONTH(C2644)+2,FALSE)))</f>
        <v>0</v>
      </c>
      <c r="J2644" s="178">
        <f t="shared" si="231"/>
        <v>0</v>
      </c>
      <c r="K2644" s="462">
        <f>IF(C2644=0,0,VLOOKUP(YEAR(C2644),INPC!$B$4:$O$29,MONTH(C2644)+1))</f>
        <v>0</v>
      </c>
      <c r="L2644" s="462">
        <f>IF(S2644=0,0,VLOOKUP(YEAR(S2644),INPC!$B$4:$O$29,MONTH(S2644)+1))</f>
        <v>0</v>
      </c>
      <c r="M2644" s="463">
        <f t="shared" si="224"/>
        <v>0</v>
      </c>
      <c r="N2644" s="465">
        <f t="shared" si="232"/>
        <v>0</v>
      </c>
      <c r="O2644" s="179"/>
      <c r="P2644" s="180"/>
      <c r="Q2644" s="173"/>
      <c r="R2644" s="173"/>
      <c r="S2644" s="174"/>
      <c r="T2644" s="173"/>
      <c r="U2644" s="182"/>
      <c r="V2644" s="177">
        <f>IF(U2644=0,0,IF(T2644="MXN",1/HLOOKUP(YEAR(S2644)+(MONTH(S2644)/100),TC!$5:$37,DAY(S2644)+2,FALSE),VLOOKUP(T2644,Equivalencia!$1:$23,((MAX(Equivalencia!$3:$3)-YEAR(S2644))*14)+MONTH(S2644)+2,FALSE)))</f>
        <v>0</v>
      </c>
      <c r="W2644" s="178">
        <f t="shared" si="229"/>
        <v>0</v>
      </c>
      <c r="X2644" s="481">
        <f t="shared" si="225"/>
        <v>0</v>
      </c>
      <c r="Y2644" s="179"/>
      <c r="Z2644" s="466">
        <f t="shared" si="226"/>
        <v>0</v>
      </c>
      <c r="AA2644" s="473">
        <f t="shared" si="227"/>
        <v>0</v>
      </c>
      <c r="AB2644" s="339">
        <f t="shared" si="228"/>
        <v>0</v>
      </c>
    </row>
    <row r="2645" spans="2:28" ht="20.100000000000001" customHeight="1">
      <c r="B2645" s="172"/>
      <c r="C2645" s="174"/>
      <c r="D2645" s="181"/>
      <c r="E2645" s="173"/>
      <c r="F2645" s="176"/>
      <c r="G2645" s="175">
        <f t="shared" si="230"/>
        <v>0</v>
      </c>
      <c r="H2645" s="175">
        <f t="shared" si="223"/>
        <v>0</v>
      </c>
      <c r="I2645" s="177">
        <f>IF(G2645=0,0,IF(E2645="MXN",1/HLOOKUP(YEAR(C2645)+(MONTH(C2645)/100),TC!$5:$37,DAY(C2645)+2,FALSE),VLOOKUP(E2645,Equivalencia!$5:$23,((MAX(Equivalencia!$3:$3)-YEAR(C2645))*14)+MONTH(C2645)+2,FALSE)))</f>
        <v>0</v>
      </c>
      <c r="J2645" s="178">
        <f t="shared" si="231"/>
        <v>0</v>
      </c>
      <c r="K2645" s="462">
        <f>IF(C2645=0,0,VLOOKUP(YEAR(C2645),INPC!$B$4:$O$29,MONTH(C2645)+1))</f>
        <v>0</v>
      </c>
      <c r="L2645" s="462">
        <f>IF(S2645=0,0,VLOOKUP(YEAR(S2645),INPC!$B$4:$O$29,MONTH(S2645)+1))</f>
        <v>0</v>
      </c>
      <c r="M2645" s="463">
        <f t="shared" si="224"/>
        <v>0</v>
      </c>
      <c r="N2645" s="465">
        <f t="shared" si="232"/>
        <v>0</v>
      </c>
      <c r="O2645" s="179"/>
      <c r="P2645" s="180"/>
      <c r="Q2645" s="173"/>
      <c r="R2645" s="173"/>
      <c r="S2645" s="174"/>
      <c r="T2645" s="173"/>
      <c r="U2645" s="182"/>
      <c r="V2645" s="177">
        <f>IF(U2645=0,0,IF(T2645="MXN",1/HLOOKUP(YEAR(S2645)+(MONTH(S2645)/100),TC!$5:$37,DAY(S2645)+2,FALSE),VLOOKUP(T2645,Equivalencia!$1:$23,((MAX(Equivalencia!$3:$3)-YEAR(S2645))*14)+MONTH(S2645)+2,FALSE)))</f>
        <v>0</v>
      </c>
      <c r="W2645" s="178">
        <f t="shared" si="229"/>
        <v>0</v>
      </c>
      <c r="X2645" s="481">
        <f t="shared" si="225"/>
        <v>0</v>
      </c>
      <c r="Y2645" s="179"/>
      <c r="Z2645" s="466">
        <f t="shared" si="226"/>
        <v>0</v>
      </c>
      <c r="AA2645" s="473">
        <f t="shared" si="227"/>
        <v>0</v>
      </c>
      <c r="AB2645" s="339">
        <f t="shared" si="228"/>
        <v>0</v>
      </c>
    </row>
    <row r="2646" spans="2:28" ht="20.100000000000001" customHeight="1">
      <c r="B2646" s="172"/>
      <c r="C2646" s="174"/>
      <c r="D2646" s="181"/>
      <c r="E2646" s="173"/>
      <c r="F2646" s="176"/>
      <c r="G2646" s="175">
        <f t="shared" si="230"/>
        <v>0</v>
      </c>
      <c r="H2646" s="175">
        <f t="shared" si="223"/>
        <v>0</v>
      </c>
      <c r="I2646" s="177">
        <f>IF(G2646=0,0,IF(E2646="MXN",1/HLOOKUP(YEAR(C2646)+(MONTH(C2646)/100),TC!$5:$37,DAY(C2646)+2,FALSE),VLOOKUP(E2646,Equivalencia!$5:$23,((MAX(Equivalencia!$3:$3)-YEAR(C2646))*14)+MONTH(C2646)+2,FALSE)))</f>
        <v>0</v>
      </c>
      <c r="J2646" s="178">
        <f t="shared" si="231"/>
        <v>0</v>
      </c>
      <c r="K2646" s="462">
        <f>IF(C2646=0,0,VLOOKUP(YEAR(C2646),INPC!$B$4:$O$29,MONTH(C2646)+1))</f>
        <v>0</v>
      </c>
      <c r="L2646" s="462">
        <f>IF(S2646=0,0,VLOOKUP(YEAR(S2646),INPC!$B$4:$O$29,MONTH(S2646)+1))</f>
        <v>0</v>
      </c>
      <c r="M2646" s="463">
        <f t="shared" si="224"/>
        <v>0</v>
      </c>
      <c r="N2646" s="465">
        <f t="shared" si="232"/>
        <v>0</v>
      </c>
      <c r="O2646" s="179"/>
      <c r="P2646" s="180"/>
      <c r="Q2646" s="173"/>
      <c r="R2646" s="173"/>
      <c r="S2646" s="174"/>
      <c r="T2646" s="173"/>
      <c r="U2646" s="182"/>
      <c r="V2646" s="177">
        <f>IF(U2646=0,0,IF(T2646="MXN",1/HLOOKUP(YEAR(S2646)+(MONTH(S2646)/100),TC!$5:$37,DAY(S2646)+2,FALSE),VLOOKUP(T2646,Equivalencia!$1:$23,((MAX(Equivalencia!$3:$3)-YEAR(S2646))*14)+MONTH(S2646)+2,FALSE)))</f>
        <v>0</v>
      </c>
      <c r="W2646" s="178">
        <f t="shared" si="229"/>
        <v>0</v>
      </c>
      <c r="X2646" s="481">
        <f t="shared" si="225"/>
        <v>0</v>
      </c>
      <c r="Y2646" s="179"/>
      <c r="Z2646" s="466">
        <f t="shared" si="226"/>
        <v>0</v>
      </c>
      <c r="AA2646" s="473">
        <f t="shared" si="227"/>
        <v>0</v>
      </c>
      <c r="AB2646" s="339">
        <f t="shared" si="228"/>
        <v>0</v>
      </c>
    </row>
    <row r="2647" spans="2:28" ht="20.100000000000001" customHeight="1">
      <c r="B2647" s="172"/>
      <c r="C2647" s="174"/>
      <c r="D2647" s="181"/>
      <c r="E2647" s="173"/>
      <c r="F2647" s="176"/>
      <c r="G2647" s="175">
        <f t="shared" si="230"/>
        <v>0</v>
      </c>
      <c r="H2647" s="175">
        <f t="shared" si="223"/>
        <v>0</v>
      </c>
      <c r="I2647" s="177">
        <f>IF(G2647=0,0,IF(E2647="MXN",1/HLOOKUP(YEAR(C2647)+(MONTH(C2647)/100),TC!$5:$37,DAY(C2647)+2,FALSE),VLOOKUP(E2647,Equivalencia!$5:$23,((MAX(Equivalencia!$3:$3)-YEAR(C2647))*14)+MONTH(C2647)+2,FALSE)))</f>
        <v>0</v>
      </c>
      <c r="J2647" s="178">
        <f t="shared" si="231"/>
        <v>0</v>
      </c>
      <c r="K2647" s="462">
        <f>IF(C2647=0,0,VLOOKUP(YEAR(C2647),INPC!$B$4:$O$29,MONTH(C2647)+1))</f>
        <v>0</v>
      </c>
      <c r="L2647" s="462">
        <f>IF(S2647=0,0,VLOOKUP(YEAR(S2647),INPC!$B$4:$O$29,MONTH(S2647)+1))</f>
        <v>0</v>
      </c>
      <c r="M2647" s="463">
        <f t="shared" si="224"/>
        <v>0</v>
      </c>
      <c r="N2647" s="465">
        <f t="shared" si="232"/>
        <v>0</v>
      </c>
      <c r="O2647" s="179"/>
      <c r="P2647" s="180"/>
      <c r="Q2647" s="173"/>
      <c r="R2647" s="173"/>
      <c r="S2647" s="174"/>
      <c r="T2647" s="173"/>
      <c r="U2647" s="182"/>
      <c r="V2647" s="177">
        <f>IF(U2647=0,0,IF(T2647="MXN",1/HLOOKUP(YEAR(S2647)+(MONTH(S2647)/100),TC!$5:$37,DAY(S2647)+2,FALSE),VLOOKUP(T2647,Equivalencia!$1:$23,((MAX(Equivalencia!$3:$3)-YEAR(S2647))*14)+MONTH(S2647)+2,FALSE)))</f>
        <v>0</v>
      </c>
      <c r="W2647" s="178">
        <f t="shared" si="229"/>
        <v>0</v>
      </c>
      <c r="X2647" s="481">
        <f t="shared" si="225"/>
        <v>0</v>
      </c>
      <c r="Y2647" s="179"/>
      <c r="Z2647" s="466">
        <f t="shared" si="226"/>
        <v>0</v>
      </c>
      <c r="AA2647" s="473">
        <f t="shared" si="227"/>
        <v>0</v>
      </c>
      <c r="AB2647" s="339">
        <f t="shared" si="228"/>
        <v>0</v>
      </c>
    </row>
    <row r="2648" spans="2:28" ht="20.100000000000001" customHeight="1">
      <c r="B2648" s="172"/>
      <c r="C2648" s="174"/>
      <c r="D2648" s="181"/>
      <c r="E2648" s="173"/>
      <c r="F2648" s="176"/>
      <c r="G2648" s="175">
        <f t="shared" si="230"/>
        <v>0</v>
      </c>
      <c r="H2648" s="175">
        <f t="shared" si="223"/>
        <v>0</v>
      </c>
      <c r="I2648" s="177">
        <f>IF(G2648=0,0,IF(E2648="MXN",1/HLOOKUP(YEAR(C2648)+(MONTH(C2648)/100),TC!$5:$37,DAY(C2648)+2,FALSE),VLOOKUP(E2648,Equivalencia!$5:$23,((MAX(Equivalencia!$3:$3)-YEAR(C2648))*14)+MONTH(C2648)+2,FALSE)))</f>
        <v>0</v>
      </c>
      <c r="J2648" s="178">
        <f t="shared" si="231"/>
        <v>0</v>
      </c>
      <c r="K2648" s="462">
        <f>IF(C2648=0,0,VLOOKUP(YEAR(C2648),INPC!$B$4:$O$29,MONTH(C2648)+1))</f>
        <v>0</v>
      </c>
      <c r="L2648" s="462">
        <f>IF(S2648=0,0,VLOOKUP(YEAR(S2648),INPC!$B$4:$O$29,MONTH(S2648)+1))</f>
        <v>0</v>
      </c>
      <c r="M2648" s="463">
        <f t="shared" si="224"/>
        <v>0</v>
      </c>
      <c r="N2648" s="465">
        <f t="shared" si="232"/>
        <v>0</v>
      </c>
      <c r="O2648" s="179"/>
      <c r="P2648" s="180"/>
      <c r="Q2648" s="173"/>
      <c r="R2648" s="173"/>
      <c r="S2648" s="174"/>
      <c r="T2648" s="173"/>
      <c r="U2648" s="182"/>
      <c r="V2648" s="177">
        <f>IF(U2648=0,0,IF(T2648="MXN",1/HLOOKUP(YEAR(S2648)+(MONTH(S2648)/100),TC!$5:$37,DAY(S2648)+2,FALSE),VLOOKUP(T2648,Equivalencia!$1:$23,((MAX(Equivalencia!$3:$3)-YEAR(S2648))*14)+MONTH(S2648)+2,FALSE)))</f>
        <v>0</v>
      </c>
      <c r="W2648" s="178">
        <f t="shared" si="229"/>
        <v>0</v>
      </c>
      <c r="X2648" s="481">
        <f t="shared" si="225"/>
        <v>0</v>
      </c>
      <c r="Y2648" s="179"/>
      <c r="Z2648" s="466">
        <f t="shared" si="226"/>
        <v>0</v>
      </c>
      <c r="AA2648" s="473">
        <f t="shared" si="227"/>
        <v>0</v>
      </c>
      <c r="AB2648" s="339">
        <f t="shared" si="228"/>
        <v>0</v>
      </c>
    </row>
    <row r="2649" spans="2:28" ht="20.100000000000001" customHeight="1">
      <c r="B2649" s="172"/>
      <c r="C2649" s="174"/>
      <c r="D2649" s="181"/>
      <c r="E2649" s="173"/>
      <c r="F2649" s="176"/>
      <c r="G2649" s="175">
        <f t="shared" si="230"/>
        <v>0</v>
      </c>
      <c r="H2649" s="175">
        <f t="shared" si="223"/>
        <v>0</v>
      </c>
      <c r="I2649" s="177">
        <f>IF(G2649=0,0,IF(E2649="MXN",1/HLOOKUP(YEAR(C2649)+(MONTH(C2649)/100),TC!$5:$37,DAY(C2649)+2,FALSE),VLOOKUP(E2649,Equivalencia!$5:$23,((MAX(Equivalencia!$3:$3)-YEAR(C2649))*14)+MONTH(C2649)+2,FALSE)))</f>
        <v>0</v>
      </c>
      <c r="J2649" s="178">
        <f t="shared" si="231"/>
        <v>0</v>
      </c>
      <c r="K2649" s="462">
        <f>IF(C2649=0,0,VLOOKUP(YEAR(C2649),INPC!$B$4:$O$29,MONTH(C2649)+1))</f>
        <v>0</v>
      </c>
      <c r="L2649" s="462">
        <f>IF(S2649=0,0,VLOOKUP(YEAR(S2649),INPC!$B$4:$O$29,MONTH(S2649)+1))</f>
        <v>0</v>
      </c>
      <c r="M2649" s="463">
        <f t="shared" si="224"/>
        <v>0</v>
      </c>
      <c r="N2649" s="465">
        <f t="shared" si="232"/>
        <v>0</v>
      </c>
      <c r="O2649" s="179"/>
      <c r="P2649" s="180"/>
      <c r="Q2649" s="173"/>
      <c r="R2649" s="173"/>
      <c r="S2649" s="174"/>
      <c r="T2649" s="173"/>
      <c r="U2649" s="182"/>
      <c r="V2649" s="177">
        <f>IF(U2649=0,0,IF(T2649="MXN",1/HLOOKUP(YEAR(S2649)+(MONTH(S2649)/100),TC!$5:$37,DAY(S2649)+2,FALSE),VLOOKUP(T2649,Equivalencia!$1:$23,((MAX(Equivalencia!$3:$3)-YEAR(S2649))*14)+MONTH(S2649)+2,FALSE)))</f>
        <v>0</v>
      </c>
      <c r="W2649" s="178">
        <f t="shared" si="229"/>
        <v>0</v>
      </c>
      <c r="X2649" s="481">
        <f t="shared" si="225"/>
        <v>0</v>
      </c>
      <c r="Y2649" s="179"/>
      <c r="Z2649" s="466">
        <f t="shared" si="226"/>
        <v>0</v>
      </c>
      <c r="AA2649" s="473">
        <f t="shared" si="227"/>
        <v>0</v>
      </c>
      <c r="AB2649" s="339">
        <f t="shared" si="228"/>
        <v>0</v>
      </c>
    </row>
    <row r="2650" spans="2:28" ht="20.100000000000001" customHeight="1">
      <c r="B2650" s="172"/>
      <c r="C2650" s="174"/>
      <c r="D2650" s="181"/>
      <c r="E2650" s="173"/>
      <c r="F2650" s="176"/>
      <c r="G2650" s="175">
        <f t="shared" si="230"/>
        <v>0</v>
      </c>
      <c r="H2650" s="175">
        <f t="shared" si="223"/>
        <v>0</v>
      </c>
      <c r="I2650" s="177">
        <f>IF(G2650=0,0,IF(E2650="MXN",1/HLOOKUP(YEAR(C2650)+(MONTH(C2650)/100),TC!$5:$37,DAY(C2650)+2,FALSE),VLOOKUP(E2650,Equivalencia!$5:$23,((MAX(Equivalencia!$3:$3)-YEAR(C2650))*14)+MONTH(C2650)+2,FALSE)))</f>
        <v>0</v>
      </c>
      <c r="J2650" s="178">
        <f t="shared" si="231"/>
        <v>0</v>
      </c>
      <c r="K2650" s="462">
        <f>IF(C2650=0,0,VLOOKUP(YEAR(C2650),INPC!$B$4:$O$29,MONTH(C2650)+1))</f>
        <v>0</v>
      </c>
      <c r="L2650" s="462">
        <f>IF(S2650=0,0,VLOOKUP(YEAR(S2650),INPC!$B$4:$O$29,MONTH(S2650)+1))</f>
        <v>0</v>
      </c>
      <c r="M2650" s="463">
        <f t="shared" si="224"/>
        <v>0</v>
      </c>
      <c r="N2650" s="465">
        <f t="shared" si="232"/>
        <v>0</v>
      </c>
      <c r="O2650" s="179"/>
      <c r="P2650" s="180"/>
      <c r="Q2650" s="173"/>
      <c r="R2650" s="173"/>
      <c r="S2650" s="174"/>
      <c r="T2650" s="173"/>
      <c r="U2650" s="182"/>
      <c r="V2650" s="177">
        <f>IF(U2650=0,0,IF(T2650="MXN",1/HLOOKUP(YEAR(S2650)+(MONTH(S2650)/100),TC!$5:$37,DAY(S2650)+2,FALSE),VLOOKUP(T2650,Equivalencia!$1:$23,((MAX(Equivalencia!$3:$3)-YEAR(S2650))*14)+MONTH(S2650)+2,FALSE)))</f>
        <v>0</v>
      </c>
      <c r="W2650" s="178">
        <f t="shared" si="229"/>
        <v>0</v>
      </c>
      <c r="X2650" s="481">
        <f t="shared" si="225"/>
        <v>0</v>
      </c>
      <c r="Y2650" s="179"/>
      <c r="Z2650" s="466">
        <f t="shared" si="226"/>
        <v>0</v>
      </c>
      <c r="AA2650" s="473">
        <f t="shared" si="227"/>
        <v>0</v>
      </c>
      <c r="AB2650" s="339">
        <f t="shared" si="228"/>
        <v>0</v>
      </c>
    </row>
    <row r="2651" spans="2:28" ht="20.100000000000001" customHeight="1">
      <c r="B2651" s="172"/>
      <c r="C2651" s="174"/>
      <c r="D2651" s="181"/>
      <c r="E2651" s="173"/>
      <c r="F2651" s="176"/>
      <c r="G2651" s="175">
        <f t="shared" si="230"/>
        <v>0</v>
      </c>
      <c r="H2651" s="175">
        <f t="shared" si="223"/>
        <v>0</v>
      </c>
      <c r="I2651" s="177">
        <f>IF(G2651=0,0,IF(E2651="MXN",1/HLOOKUP(YEAR(C2651)+(MONTH(C2651)/100),TC!$5:$37,DAY(C2651)+2,FALSE),VLOOKUP(E2651,Equivalencia!$5:$23,((MAX(Equivalencia!$3:$3)-YEAR(C2651))*14)+MONTH(C2651)+2,FALSE)))</f>
        <v>0</v>
      </c>
      <c r="J2651" s="178">
        <f t="shared" si="231"/>
        <v>0</v>
      </c>
      <c r="K2651" s="462">
        <f>IF(C2651=0,0,VLOOKUP(YEAR(C2651),INPC!$B$4:$O$29,MONTH(C2651)+1))</f>
        <v>0</v>
      </c>
      <c r="L2651" s="462">
        <f>IF(S2651=0,0,VLOOKUP(YEAR(S2651),INPC!$B$4:$O$29,MONTH(S2651)+1))</f>
        <v>0</v>
      </c>
      <c r="M2651" s="463">
        <f t="shared" si="224"/>
        <v>0</v>
      </c>
      <c r="N2651" s="465">
        <f t="shared" si="232"/>
        <v>0</v>
      </c>
      <c r="O2651" s="179"/>
      <c r="P2651" s="180"/>
      <c r="Q2651" s="173"/>
      <c r="R2651" s="173"/>
      <c r="S2651" s="174"/>
      <c r="T2651" s="173"/>
      <c r="U2651" s="182"/>
      <c r="V2651" s="177">
        <f>IF(U2651=0,0,IF(T2651="MXN",1/HLOOKUP(YEAR(S2651)+(MONTH(S2651)/100),TC!$5:$37,DAY(S2651)+2,FALSE),VLOOKUP(T2651,Equivalencia!$1:$23,((MAX(Equivalencia!$3:$3)-YEAR(S2651))*14)+MONTH(S2651)+2,FALSE)))</f>
        <v>0</v>
      </c>
      <c r="W2651" s="178">
        <f t="shared" si="229"/>
        <v>0</v>
      </c>
      <c r="X2651" s="481">
        <f t="shared" si="225"/>
        <v>0</v>
      </c>
      <c r="Y2651" s="179"/>
      <c r="Z2651" s="466">
        <f t="shared" si="226"/>
        <v>0</v>
      </c>
      <c r="AA2651" s="473">
        <f t="shared" si="227"/>
        <v>0</v>
      </c>
      <c r="AB2651" s="339">
        <f t="shared" si="228"/>
        <v>0</v>
      </c>
    </row>
    <row r="2652" spans="2:28" ht="20.100000000000001" customHeight="1">
      <c r="B2652" s="172"/>
      <c r="C2652" s="174"/>
      <c r="D2652" s="181"/>
      <c r="E2652" s="173"/>
      <c r="F2652" s="176"/>
      <c r="G2652" s="175">
        <f t="shared" si="230"/>
        <v>0</v>
      </c>
      <c r="H2652" s="175">
        <f t="shared" si="223"/>
        <v>0</v>
      </c>
      <c r="I2652" s="177">
        <f>IF(G2652=0,0,IF(E2652="MXN",1/HLOOKUP(YEAR(C2652)+(MONTH(C2652)/100),TC!$5:$37,DAY(C2652)+2,FALSE),VLOOKUP(E2652,Equivalencia!$5:$23,((MAX(Equivalencia!$3:$3)-YEAR(C2652))*14)+MONTH(C2652)+2,FALSE)))</f>
        <v>0</v>
      </c>
      <c r="J2652" s="178">
        <f t="shared" si="231"/>
        <v>0</v>
      </c>
      <c r="K2652" s="462">
        <f>IF(C2652=0,0,VLOOKUP(YEAR(C2652),INPC!$B$4:$O$29,MONTH(C2652)+1))</f>
        <v>0</v>
      </c>
      <c r="L2652" s="462">
        <f>IF(S2652=0,0,VLOOKUP(YEAR(S2652),INPC!$B$4:$O$29,MONTH(S2652)+1))</f>
        <v>0</v>
      </c>
      <c r="M2652" s="463">
        <f t="shared" si="224"/>
        <v>0</v>
      </c>
      <c r="N2652" s="465">
        <f t="shared" si="232"/>
        <v>0</v>
      </c>
      <c r="O2652" s="179"/>
      <c r="P2652" s="180"/>
      <c r="Q2652" s="173"/>
      <c r="R2652" s="173"/>
      <c r="S2652" s="174"/>
      <c r="T2652" s="173"/>
      <c r="U2652" s="182"/>
      <c r="V2652" s="177">
        <f>IF(U2652=0,0,IF(T2652="MXN",1/HLOOKUP(YEAR(S2652)+(MONTH(S2652)/100),TC!$5:$37,DAY(S2652)+2,FALSE),VLOOKUP(T2652,Equivalencia!$1:$23,((MAX(Equivalencia!$3:$3)-YEAR(S2652))*14)+MONTH(S2652)+2,FALSE)))</f>
        <v>0</v>
      </c>
      <c r="W2652" s="178">
        <f t="shared" si="229"/>
        <v>0</v>
      </c>
      <c r="X2652" s="481">
        <f t="shared" si="225"/>
        <v>0</v>
      </c>
      <c r="Y2652" s="179"/>
      <c r="Z2652" s="466">
        <f t="shared" si="226"/>
        <v>0</v>
      </c>
      <c r="AA2652" s="473">
        <f t="shared" si="227"/>
        <v>0</v>
      </c>
      <c r="AB2652" s="339">
        <f t="shared" si="228"/>
        <v>0</v>
      </c>
    </row>
    <row r="2653" spans="2:28" ht="20.100000000000001" customHeight="1">
      <c r="B2653" s="172"/>
      <c r="C2653" s="174"/>
      <c r="D2653" s="181"/>
      <c r="E2653" s="173"/>
      <c r="F2653" s="176"/>
      <c r="G2653" s="175">
        <f t="shared" si="230"/>
        <v>0</v>
      </c>
      <c r="H2653" s="175">
        <f t="shared" si="223"/>
        <v>0</v>
      </c>
      <c r="I2653" s="177">
        <f>IF(G2653=0,0,IF(E2653="MXN",1/HLOOKUP(YEAR(C2653)+(MONTH(C2653)/100),TC!$5:$37,DAY(C2653)+2,FALSE),VLOOKUP(E2653,Equivalencia!$5:$23,((MAX(Equivalencia!$3:$3)-YEAR(C2653))*14)+MONTH(C2653)+2,FALSE)))</f>
        <v>0</v>
      </c>
      <c r="J2653" s="178">
        <f t="shared" si="231"/>
        <v>0</v>
      </c>
      <c r="K2653" s="462">
        <f>IF(C2653=0,0,VLOOKUP(YEAR(C2653),INPC!$B$4:$O$29,MONTH(C2653)+1))</f>
        <v>0</v>
      </c>
      <c r="L2653" s="462">
        <f>IF(S2653=0,0,VLOOKUP(YEAR(S2653),INPC!$B$4:$O$29,MONTH(S2653)+1))</f>
        <v>0</v>
      </c>
      <c r="M2653" s="463">
        <f t="shared" si="224"/>
        <v>0</v>
      </c>
      <c r="N2653" s="465">
        <f t="shared" si="232"/>
        <v>0</v>
      </c>
      <c r="O2653" s="179"/>
      <c r="P2653" s="180"/>
      <c r="Q2653" s="173"/>
      <c r="R2653" s="173"/>
      <c r="S2653" s="174"/>
      <c r="T2653" s="173"/>
      <c r="U2653" s="182"/>
      <c r="V2653" s="177">
        <f>IF(U2653=0,0,IF(T2653="MXN",1/HLOOKUP(YEAR(S2653)+(MONTH(S2653)/100),TC!$5:$37,DAY(S2653)+2,FALSE),VLOOKUP(T2653,Equivalencia!$1:$23,((MAX(Equivalencia!$3:$3)-YEAR(S2653))*14)+MONTH(S2653)+2,FALSE)))</f>
        <v>0</v>
      </c>
      <c r="W2653" s="178">
        <f t="shared" si="229"/>
        <v>0</v>
      </c>
      <c r="X2653" s="481">
        <f t="shared" si="225"/>
        <v>0</v>
      </c>
      <c r="Y2653" s="179"/>
      <c r="Z2653" s="466">
        <f t="shared" si="226"/>
        <v>0</v>
      </c>
      <c r="AA2653" s="473">
        <f t="shared" si="227"/>
        <v>0</v>
      </c>
      <c r="AB2653" s="339">
        <f t="shared" si="228"/>
        <v>0</v>
      </c>
    </row>
    <row r="2654" spans="2:28" ht="20.100000000000001" customHeight="1">
      <c r="B2654" s="172"/>
      <c r="C2654" s="174"/>
      <c r="D2654" s="181"/>
      <c r="E2654" s="173"/>
      <c r="F2654" s="176"/>
      <c r="G2654" s="175">
        <f t="shared" si="230"/>
        <v>0</v>
      </c>
      <c r="H2654" s="175">
        <f t="shared" si="223"/>
        <v>0</v>
      </c>
      <c r="I2654" s="177">
        <f>IF(G2654=0,0,IF(E2654="MXN",1/HLOOKUP(YEAR(C2654)+(MONTH(C2654)/100),TC!$5:$37,DAY(C2654)+2,FALSE),VLOOKUP(E2654,Equivalencia!$5:$23,((MAX(Equivalencia!$3:$3)-YEAR(C2654))*14)+MONTH(C2654)+2,FALSE)))</f>
        <v>0</v>
      </c>
      <c r="J2654" s="178">
        <f t="shared" si="231"/>
        <v>0</v>
      </c>
      <c r="K2654" s="462">
        <f>IF(C2654=0,0,VLOOKUP(YEAR(C2654),INPC!$B$4:$O$29,MONTH(C2654)+1))</f>
        <v>0</v>
      </c>
      <c r="L2654" s="462">
        <f>IF(S2654=0,0,VLOOKUP(YEAR(S2654),INPC!$B$4:$O$29,MONTH(S2654)+1))</f>
        <v>0</v>
      </c>
      <c r="M2654" s="463">
        <f t="shared" si="224"/>
        <v>0</v>
      </c>
      <c r="N2654" s="465">
        <f t="shared" si="232"/>
        <v>0</v>
      </c>
      <c r="O2654" s="179"/>
      <c r="P2654" s="180"/>
      <c r="Q2654" s="173"/>
      <c r="R2654" s="173"/>
      <c r="S2654" s="174"/>
      <c r="T2654" s="173"/>
      <c r="U2654" s="182"/>
      <c r="V2654" s="177">
        <f>IF(U2654=0,0,IF(T2654="MXN",1/HLOOKUP(YEAR(S2654)+(MONTH(S2654)/100),TC!$5:$37,DAY(S2654)+2,FALSE),VLOOKUP(T2654,Equivalencia!$1:$23,((MAX(Equivalencia!$3:$3)-YEAR(S2654))*14)+MONTH(S2654)+2,FALSE)))</f>
        <v>0</v>
      </c>
      <c r="W2654" s="178">
        <f t="shared" si="229"/>
        <v>0</v>
      </c>
      <c r="X2654" s="481">
        <f t="shared" si="225"/>
        <v>0</v>
      </c>
      <c r="Y2654" s="179"/>
      <c r="Z2654" s="466">
        <f t="shared" si="226"/>
        <v>0</v>
      </c>
      <c r="AA2654" s="473">
        <f t="shared" si="227"/>
        <v>0</v>
      </c>
      <c r="AB2654" s="339">
        <f t="shared" si="228"/>
        <v>0</v>
      </c>
    </row>
    <row r="2655" spans="2:28" ht="20.100000000000001" customHeight="1">
      <c r="B2655" s="172"/>
      <c r="C2655" s="174"/>
      <c r="D2655" s="181"/>
      <c r="E2655" s="173"/>
      <c r="F2655" s="176"/>
      <c r="G2655" s="175">
        <f t="shared" si="230"/>
        <v>0</v>
      </c>
      <c r="H2655" s="175">
        <f t="shared" si="223"/>
        <v>0</v>
      </c>
      <c r="I2655" s="177">
        <f>IF(G2655=0,0,IF(E2655="MXN",1/HLOOKUP(YEAR(C2655)+(MONTH(C2655)/100),TC!$5:$37,DAY(C2655)+2,FALSE),VLOOKUP(E2655,Equivalencia!$5:$23,((MAX(Equivalencia!$3:$3)-YEAR(C2655))*14)+MONTH(C2655)+2,FALSE)))</f>
        <v>0</v>
      </c>
      <c r="J2655" s="178">
        <f t="shared" si="231"/>
        <v>0</v>
      </c>
      <c r="K2655" s="462">
        <f>IF(C2655=0,0,VLOOKUP(YEAR(C2655),INPC!$B$4:$O$29,MONTH(C2655)+1))</f>
        <v>0</v>
      </c>
      <c r="L2655" s="462">
        <f>IF(S2655=0,0,VLOOKUP(YEAR(S2655),INPC!$B$4:$O$29,MONTH(S2655)+1))</f>
        <v>0</v>
      </c>
      <c r="M2655" s="463">
        <f t="shared" si="224"/>
        <v>0</v>
      </c>
      <c r="N2655" s="465">
        <f t="shared" si="232"/>
        <v>0</v>
      </c>
      <c r="O2655" s="179"/>
      <c r="P2655" s="180"/>
      <c r="Q2655" s="173"/>
      <c r="R2655" s="173"/>
      <c r="S2655" s="174"/>
      <c r="T2655" s="173"/>
      <c r="U2655" s="182"/>
      <c r="V2655" s="177">
        <f>IF(U2655=0,0,IF(T2655="MXN",1/HLOOKUP(YEAR(S2655)+(MONTH(S2655)/100),TC!$5:$37,DAY(S2655)+2,FALSE),VLOOKUP(T2655,Equivalencia!$1:$23,((MAX(Equivalencia!$3:$3)-YEAR(S2655))*14)+MONTH(S2655)+2,FALSE)))</f>
        <v>0</v>
      </c>
      <c r="W2655" s="178">
        <f t="shared" si="229"/>
        <v>0</v>
      </c>
      <c r="X2655" s="481">
        <f t="shared" si="225"/>
        <v>0</v>
      </c>
      <c r="Y2655" s="179"/>
      <c r="Z2655" s="466">
        <f t="shared" si="226"/>
        <v>0</v>
      </c>
      <c r="AA2655" s="473">
        <f t="shared" si="227"/>
        <v>0</v>
      </c>
      <c r="AB2655" s="339">
        <f t="shared" si="228"/>
        <v>0</v>
      </c>
    </row>
    <row r="2656" spans="2:28" ht="20.100000000000001" customHeight="1">
      <c r="B2656" s="172"/>
      <c r="C2656" s="174"/>
      <c r="D2656" s="181"/>
      <c r="E2656" s="173"/>
      <c r="F2656" s="176"/>
      <c r="G2656" s="175">
        <f t="shared" si="230"/>
        <v>0</v>
      </c>
      <c r="H2656" s="175">
        <f t="shared" si="223"/>
        <v>0</v>
      </c>
      <c r="I2656" s="177">
        <f>IF(G2656=0,0,IF(E2656="MXN",1/HLOOKUP(YEAR(C2656)+(MONTH(C2656)/100),TC!$5:$37,DAY(C2656)+2,FALSE),VLOOKUP(E2656,Equivalencia!$5:$23,((MAX(Equivalencia!$3:$3)-YEAR(C2656))*14)+MONTH(C2656)+2,FALSE)))</f>
        <v>0</v>
      </c>
      <c r="J2656" s="178">
        <f t="shared" si="231"/>
        <v>0</v>
      </c>
      <c r="K2656" s="462">
        <f>IF(C2656=0,0,VLOOKUP(YEAR(C2656),INPC!$B$4:$O$29,MONTH(C2656)+1))</f>
        <v>0</v>
      </c>
      <c r="L2656" s="462">
        <f>IF(S2656=0,0,VLOOKUP(YEAR(S2656),INPC!$B$4:$O$29,MONTH(S2656)+1))</f>
        <v>0</v>
      </c>
      <c r="M2656" s="463">
        <f t="shared" si="224"/>
        <v>0</v>
      </c>
      <c r="N2656" s="465">
        <f t="shared" si="232"/>
        <v>0</v>
      </c>
      <c r="O2656" s="179"/>
      <c r="P2656" s="180"/>
      <c r="Q2656" s="173"/>
      <c r="R2656" s="173"/>
      <c r="S2656" s="174"/>
      <c r="T2656" s="173"/>
      <c r="U2656" s="182"/>
      <c r="V2656" s="177">
        <f>IF(U2656=0,0,IF(T2656="MXN",1/HLOOKUP(YEAR(S2656)+(MONTH(S2656)/100),TC!$5:$37,DAY(S2656)+2,FALSE),VLOOKUP(T2656,Equivalencia!$1:$23,((MAX(Equivalencia!$3:$3)-YEAR(S2656))*14)+MONTH(S2656)+2,FALSE)))</f>
        <v>0</v>
      </c>
      <c r="W2656" s="178">
        <f t="shared" si="229"/>
        <v>0</v>
      </c>
      <c r="X2656" s="481">
        <f t="shared" si="225"/>
        <v>0</v>
      </c>
      <c r="Y2656" s="179"/>
      <c r="Z2656" s="466">
        <f t="shared" si="226"/>
        <v>0</v>
      </c>
      <c r="AA2656" s="473">
        <f t="shared" si="227"/>
        <v>0</v>
      </c>
      <c r="AB2656" s="339">
        <f t="shared" si="228"/>
        <v>0</v>
      </c>
    </row>
    <row r="2657" spans="2:28" ht="20.100000000000001" customHeight="1">
      <c r="B2657" s="172"/>
      <c r="C2657" s="174"/>
      <c r="D2657" s="181"/>
      <c r="E2657" s="173"/>
      <c r="F2657" s="176"/>
      <c r="G2657" s="175">
        <f t="shared" si="230"/>
        <v>0</v>
      </c>
      <c r="H2657" s="175">
        <f t="shared" si="223"/>
        <v>0</v>
      </c>
      <c r="I2657" s="177">
        <f>IF(G2657=0,0,IF(E2657="MXN",1/HLOOKUP(YEAR(C2657)+(MONTH(C2657)/100),TC!$5:$37,DAY(C2657)+2,FALSE),VLOOKUP(E2657,Equivalencia!$5:$23,((MAX(Equivalencia!$3:$3)-YEAR(C2657))*14)+MONTH(C2657)+2,FALSE)))</f>
        <v>0</v>
      </c>
      <c r="J2657" s="178">
        <f t="shared" si="231"/>
        <v>0</v>
      </c>
      <c r="K2657" s="462">
        <f>IF(C2657=0,0,VLOOKUP(YEAR(C2657),INPC!$B$4:$O$29,MONTH(C2657)+1))</f>
        <v>0</v>
      </c>
      <c r="L2657" s="462">
        <f>IF(S2657=0,0,VLOOKUP(YEAR(S2657),INPC!$B$4:$O$29,MONTH(S2657)+1))</f>
        <v>0</v>
      </c>
      <c r="M2657" s="463">
        <f t="shared" si="224"/>
        <v>0</v>
      </c>
      <c r="N2657" s="465">
        <f t="shared" si="232"/>
        <v>0</v>
      </c>
      <c r="O2657" s="179"/>
      <c r="P2657" s="180"/>
      <c r="Q2657" s="173"/>
      <c r="R2657" s="173"/>
      <c r="S2657" s="174"/>
      <c r="T2657" s="173"/>
      <c r="U2657" s="182"/>
      <c r="V2657" s="177">
        <f>IF(U2657=0,0,IF(T2657="MXN",1/HLOOKUP(YEAR(S2657)+(MONTH(S2657)/100),TC!$5:$37,DAY(S2657)+2,FALSE),VLOOKUP(T2657,Equivalencia!$1:$23,((MAX(Equivalencia!$3:$3)-YEAR(S2657))*14)+MONTH(S2657)+2,FALSE)))</f>
        <v>0</v>
      </c>
      <c r="W2657" s="178">
        <f t="shared" si="229"/>
        <v>0</v>
      </c>
      <c r="X2657" s="481">
        <f t="shared" si="225"/>
        <v>0</v>
      </c>
      <c r="Y2657" s="179"/>
      <c r="Z2657" s="466">
        <f t="shared" si="226"/>
        <v>0</v>
      </c>
      <c r="AA2657" s="473">
        <f t="shared" si="227"/>
        <v>0</v>
      </c>
      <c r="AB2657" s="339">
        <f t="shared" si="228"/>
        <v>0</v>
      </c>
    </row>
    <row r="2658" spans="2:28" ht="20.100000000000001" customHeight="1">
      <c r="B2658" s="172"/>
      <c r="C2658" s="174"/>
      <c r="D2658" s="181"/>
      <c r="E2658" s="173"/>
      <c r="F2658" s="176"/>
      <c r="G2658" s="175">
        <f t="shared" si="230"/>
        <v>0</v>
      </c>
      <c r="H2658" s="175">
        <f t="shared" si="223"/>
        <v>0</v>
      </c>
      <c r="I2658" s="177">
        <f>IF(G2658=0,0,IF(E2658="MXN",1/HLOOKUP(YEAR(C2658)+(MONTH(C2658)/100),TC!$5:$37,DAY(C2658)+2,FALSE),VLOOKUP(E2658,Equivalencia!$5:$23,((MAX(Equivalencia!$3:$3)-YEAR(C2658))*14)+MONTH(C2658)+2,FALSE)))</f>
        <v>0</v>
      </c>
      <c r="J2658" s="178">
        <f t="shared" si="231"/>
        <v>0</v>
      </c>
      <c r="K2658" s="462">
        <f>IF(C2658=0,0,VLOOKUP(YEAR(C2658),INPC!$B$4:$O$29,MONTH(C2658)+1))</f>
        <v>0</v>
      </c>
      <c r="L2658" s="462">
        <f>IF(S2658=0,0,VLOOKUP(YEAR(S2658),INPC!$B$4:$O$29,MONTH(S2658)+1))</f>
        <v>0</v>
      </c>
      <c r="M2658" s="463">
        <f t="shared" si="224"/>
        <v>0</v>
      </c>
      <c r="N2658" s="465">
        <f t="shared" si="232"/>
        <v>0</v>
      </c>
      <c r="O2658" s="179"/>
      <c r="P2658" s="180"/>
      <c r="Q2658" s="173"/>
      <c r="R2658" s="173"/>
      <c r="S2658" s="174"/>
      <c r="T2658" s="173"/>
      <c r="U2658" s="182"/>
      <c r="V2658" s="177">
        <f>IF(U2658=0,0,IF(T2658="MXN",1/HLOOKUP(YEAR(S2658)+(MONTH(S2658)/100),TC!$5:$37,DAY(S2658)+2,FALSE),VLOOKUP(T2658,Equivalencia!$1:$23,((MAX(Equivalencia!$3:$3)-YEAR(S2658))*14)+MONTH(S2658)+2,FALSE)))</f>
        <v>0</v>
      </c>
      <c r="W2658" s="178">
        <f t="shared" si="229"/>
        <v>0</v>
      </c>
      <c r="X2658" s="481">
        <f t="shared" si="225"/>
        <v>0</v>
      </c>
      <c r="Y2658" s="179"/>
      <c r="Z2658" s="466">
        <f t="shared" si="226"/>
        <v>0</v>
      </c>
      <c r="AA2658" s="473">
        <f t="shared" si="227"/>
        <v>0</v>
      </c>
      <c r="AB2658" s="339">
        <f t="shared" si="228"/>
        <v>0</v>
      </c>
    </row>
    <row r="2659" spans="2:28" ht="20.100000000000001" customHeight="1">
      <c r="B2659" s="172"/>
      <c r="C2659" s="174"/>
      <c r="D2659" s="181"/>
      <c r="E2659" s="173"/>
      <c r="F2659" s="176"/>
      <c r="G2659" s="175">
        <f t="shared" si="230"/>
        <v>0</v>
      </c>
      <c r="H2659" s="175">
        <f t="shared" si="223"/>
        <v>0</v>
      </c>
      <c r="I2659" s="177">
        <f>IF(G2659=0,0,IF(E2659="MXN",1/HLOOKUP(YEAR(C2659)+(MONTH(C2659)/100),TC!$5:$37,DAY(C2659)+2,FALSE),VLOOKUP(E2659,Equivalencia!$5:$23,((MAX(Equivalencia!$3:$3)-YEAR(C2659))*14)+MONTH(C2659)+2,FALSE)))</f>
        <v>0</v>
      </c>
      <c r="J2659" s="178">
        <f t="shared" si="231"/>
        <v>0</v>
      </c>
      <c r="K2659" s="462">
        <f>IF(C2659=0,0,VLOOKUP(YEAR(C2659),INPC!$B$4:$O$29,MONTH(C2659)+1))</f>
        <v>0</v>
      </c>
      <c r="L2659" s="462">
        <f>IF(S2659=0,0,VLOOKUP(YEAR(S2659),INPC!$B$4:$O$29,MONTH(S2659)+1))</f>
        <v>0</v>
      </c>
      <c r="M2659" s="463">
        <f t="shared" si="224"/>
        <v>0</v>
      </c>
      <c r="N2659" s="465">
        <f t="shared" si="232"/>
        <v>0</v>
      </c>
      <c r="O2659" s="179"/>
      <c r="P2659" s="180"/>
      <c r="Q2659" s="173"/>
      <c r="R2659" s="173"/>
      <c r="S2659" s="174"/>
      <c r="T2659" s="173"/>
      <c r="U2659" s="182"/>
      <c r="V2659" s="177">
        <f>IF(U2659=0,0,IF(T2659="MXN",1/HLOOKUP(YEAR(S2659)+(MONTH(S2659)/100),TC!$5:$37,DAY(S2659)+2,FALSE),VLOOKUP(T2659,Equivalencia!$1:$23,((MAX(Equivalencia!$3:$3)-YEAR(S2659))*14)+MONTH(S2659)+2,FALSE)))</f>
        <v>0</v>
      </c>
      <c r="W2659" s="178">
        <f t="shared" si="229"/>
        <v>0</v>
      </c>
      <c r="X2659" s="481">
        <f t="shared" si="225"/>
        <v>0</v>
      </c>
      <c r="Y2659" s="179"/>
      <c r="Z2659" s="466">
        <f t="shared" si="226"/>
        <v>0</v>
      </c>
      <c r="AA2659" s="473">
        <f t="shared" si="227"/>
        <v>0</v>
      </c>
      <c r="AB2659" s="339">
        <f t="shared" si="228"/>
        <v>0</v>
      </c>
    </row>
    <row r="2660" spans="2:28" ht="20.100000000000001" customHeight="1">
      <c r="B2660" s="172"/>
      <c r="C2660" s="174"/>
      <c r="D2660" s="181"/>
      <c r="E2660" s="173"/>
      <c r="F2660" s="176"/>
      <c r="G2660" s="175">
        <f t="shared" si="230"/>
        <v>0</v>
      </c>
      <c r="H2660" s="175">
        <f t="shared" si="223"/>
        <v>0</v>
      </c>
      <c r="I2660" s="177">
        <f>IF(G2660=0,0,IF(E2660="MXN",1/HLOOKUP(YEAR(C2660)+(MONTH(C2660)/100),TC!$5:$37,DAY(C2660)+2,FALSE),VLOOKUP(E2660,Equivalencia!$5:$23,((MAX(Equivalencia!$3:$3)-YEAR(C2660))*14)+MONTH(C2660)+2,FALSE)))</f>
        <v>0</v>
      </c>
      <c r="J2660" s="178">
        <f t="shared" si="231"/>
        <v>0</v>
      </c>
      <c r="K2660" s="462">
        <f>IF(C2660=0,0,VLOOKUP(YEAR(C2660),INPC!$B$4:$O$29,MONTH(C2660)+1))</f>
        <v>0</v>
      </c>
      <c r="L2660" s="462">
        <f>IF(S2660=0,0,VLOOKUP(YEAR(S2660),INPC!$B$4:$O$29,MONTH(S2660)+1))</f>
        <v>0</v>
      </c>
      <c r="M2660" s="463">
        <f t="shared" si="224"/>
        <v>0</v>
      </c>
      <c r="N2660" s="465">
        <f t="shared" si="232"/>
        <v>0</v>
      </c>
      <c r="O2660" s="179"/>
      <c r="P2660" s="180"/>
      <c r="Q2660" s="173"/>
      <c r="R2660" s="173"/>
      <c r="S2660" s="174"/>
      <c r="T2660" s="173"/>
      <c r="U2660" s="182"/>
      <c r="V2660" s="177">
        <f>IF(U2660=0,0,IF(T2660="MXN",1/HLOOKUP(YEAR(S2660)+(MONTH(S2660)/100),TC!$5:$37,DAY(S2660)+2,FALSE),VLOOKUP(T2660,Equivalencia!$1:$23,((MAX(Equivalencia!$3:$3)-YEAR(S2660))*14)+MONTH(S2660)+2,FALSE)))</f>
        <v>0</v>
      </c>
      <c r="W2660" s="178">
        <f t="shared" si="229"/>
        <v>0</v>
      </c>
      <c r="X2660" s="481">
        <f t="shared" si="225"/>
        <v>0</v>
      </c>
      <c r="Y2660" s="179"/>
      <c r="Z2660" s="466">
        <f t="shared" si="226"/>
        <v>0</v>
      </c>
      <c r="AA2660" s="473">
        <f t="shared" si="227"/>
        <v>0</v>
      </c>
      <c r="AB2660" s="339">
        <f t="shared" si="228"/>
        <v>0</v>
      </c>
    </row>
    <row r="2661" spans="2:28" ht="20.100000000000001" customHeight="1">
      <c r="B2661" s="172"/>
      <c r="C2661" s="174"/>
      <c r="D2661" s="181"/>
      <c r="E2661" s="173"/>
      <c r="F2661" s="176"/>
      <c r="G2661" s="175">
        <f t="shared" si="230"/>
        <v>0</v>
      </c>
      <c r="H2661" s="175">
        <f t="shared" si="223"/>
        <v>0</v>
      </c>
      <c r="I2661" s="177">
        <f>IF(G2661=0,0,IF(E2661="MXN",1/HLOOKUP(YEAR(C2661)+(MONTH(C2661)/100),TC!$5:$37,DAY(C2661)+2,FALSE),VLOOKUP(E2661,Equivalencia!$5:$23,((MAX(Equivalencia!$3:$3)-YEAR(C2661))*14)+MONTH(C2661)+2,FALSE)))</f>
        <v>0</v>
      </c>
      <c r="J2661" s="178">
        <f t="shared" si="231"/>
        <v>0</v>
      </c>
      <c r="K2661" s="462">
        <f>IF(C2661=0,0,VLOOKUP(YEAR(C2661),INPC!$B$4:$O$29,MONTH(C2661)+1))</f>
        <v>0</v>
      </c>
      <c r="L2661" s="462">
        <f>IF(S2661=0,0,VLOOKUP(YEAR(S2661),INPC!$B$4:$O$29,MONTH(S2661)+1))</f>
        <v>0</v>
      </c>
      <c r="M2661" s="463">
        <f t="shared" si="224"/>
        <v>0</v>
      </c>
      <c r="N2661" s="465">
        <f t="shared" si="232"/>
        <v>0</v>
      </c>
      <c r="O2661" s="179"/>
      <c r="P2661" s="180"/>
      <c r="Q2661" s="173"/>
      <c r="R2661" s="173"/>
      <c r="S2661" s="174"/>
      <c r="T2661" s="173"/>
      <c r="U2661" s="182"/>
      <c r="V2661" s="177">
        <f>IF(U2661=0,0,IF(T2661="MXN",1/HLOOKUP(YEAR(S2661)+(MONTH(S2661)/100),TC!$5:$37,DAY(S2661)+2,FALSE),VLOOKUP(T2661,Equivalencia!$1:$23,((MAX(Equivalencia!$3:$3)-YEAR(S2661))*14)+MONTH(S2661)+2,FALSE)))</f>
        <v>0</v>
      </c>
      <c r="W2661" s="178">
        <f t="shared" si="229"/>
        <v>0</v>
      </c>
      <c r="X2661" s="481">
        <f t="shared" si="225"/>
        <v>0</v>
      </c>
      <c r="Y2661" s="179"/>
      <c r="Z2661" s="466">
        <f t="shared" si="226"/>
        <v>0</v>
      </c>
      <c r="AA2661" s="473">
        <f t="shared" si="227"/>
        <v>0</v>
      </c>
      <c r="AB2661" s="339">
        <f t="shared" si="228"/>
        <v>0</v>
      </c>
    </row>
    <row r="2662" spans="2:28" ht="20.100000000000001" customHeight="1">
      <c r="B2662" s="172"/>
      <c r="C2662" s="174"/>
      <c r="D2662" s="181"/>
      <c r="E2662" s="173"/>
      <c r="F2662" s="176"/>
      <c r="G2662" s="175">
        <f t="shared" si="230"/>
        <v>0</v>
      </c>
      <c r="H2662" s="175">
        <f t="shared" si="223"/>
        <v>0</v>
      </c>
      <c r="I2662" s="177">
        <f>IF(G2662=0,0,IF(E2662="MXN",1/HLOOKUP(YEAR(C2662)+(MONTH(C2662)/100),TC!$5:$37,DAY(C2662)+2,FALSE),VLOOKUP(E2662,Equivalencia!$5:$23,((MAX(Equivalencia!$3:$3)-YEAR(C2662))*14)+MONTH(C2662)+2,FALSE)))</f>
        <v>0</v>
      </c>
      <c r="J2662" s="178">
        <f t="shared" si="231"/>
        <v>0</v>
      </c>
      <c r="K2662" s="462">
        <f>IF(C2662=0,0,VLOOKUP(YEAR(C2662),INPC!$B$4:$O$29,MONTH(C2662)+1))</f>
        <v>0</v>
      </c>
      <c r="L2662" s="462">
        <f>IF(S2662=0,0,VLOOKUP(YEAR(S2662),INPC!$B$4:$O$29,MONTH(S2662)+1))</f>
        <v>0</v>
      </c>
      <c r="M2662" s="463">
        <f t="shared" si="224"/>
        <v>0</v>
      </c>
      <c r="N2662" s="465">
        <f t="shared" si="232"/>
        <v>0</v>
      </c>
      <c r="O2662" s="179"/>
      <c r="P2662" s="180"/>
      <c r="Q2662" s="173"/>
      <c r="R2662" s="173"/>
      <c r="S2662" s="174"/>
      <c r="T2662" s="173"/>
      <c r="U2662" s="182"/>
      <c r="V2662" s="177">
        <f>IF(U2662=0,0,IF(T2662="MXN",1/HLOOKUP(YEAR(S2662)+(MONTH(S2662)/100),TC!$5:$37,DAY(S2662)+2,FALSE),VLOOKUP(T2662,Equivalencia!$1:$23,((MAX(Equivalencia!$3:$3)-YEAR(S2662))*14)+MONTH(S2662)+2,FALSE)))</f>
        <v>0</v>
      </c>
      <c r="W2662" s="178">
        <f t="shared" si="229"/>
        <v>0</v>
      </c>
      <c r="X2662" s="481">
        <f t="shared" si="225"/>
        <v>0</v>
      </c>
      <c r="Y2662" s="179"/>
      <c r="Z2662" s="466">
        <f t="shared" si="226"/>
        <v>0</v>
      </c>
      <c r="AA2662" s="473">
        <f t="shared" si="227"/>
        <v>0</v>
      </c>
      <c r="AB2662" s="339">
        <f t="shared" si="228"/>
        <v>0</v>
      </c>
    </row>
    <row r="2663" spans="2:28" ht="20.100000000000001" customHeight="1">
      <c r="B2663" s="172"/>
      <c r="C2663" s="174"/>
      <c r="D2663" s="181"/>
      <c r="E2663" s="173"/>
      <c r="F2663" s="176"/>
      <c r="G2663" s="175">
        <f t="shared" si="230"/>
        <v>0</v>
      </c>
      <c r="H2663" s="175">
        <f t="shared" si="223"/>
        <v>0</v>
      </c>
      <c r="I2663" s="177">
        <f>IF(G2663=0,0,IF(E2663="MXN",1/HLOOKUP(YEAR(C2663)+(MONTH(C2663)/100),TC!$5:$37,DAY(C2663)+2,FALSE),VLOOKUP(E2663,Equivalencia!$5:$23,((MAX(Equivalencia!$3:$3)-YEAR(C2663))*14)+MONTH(C2663)+2,FALSE)))</f>
        <v>0</v>
      </c>
      <c r="J2663" s="178">
        <f t="shared" si="231"/>
        <v>0</v>
      </c>
      <c r="K2663" s="462">
        <f>IF(C2663=0,0,VLOOKUP(YEAR(C2663),INPC!$B$4:$O$29,MONTH(C2663)+1))</f>
        <v>0</v>
      </c>
      <c r="L2663" s="462">
        <f>IF(S2663=0,0,VLOOKUP(YEAR(S2663),INPC!$B$4:$O$29,MONTH(S2663)+1))</f>
        <v>0</v>
      </c>
      <c r="M2663" s="463">
        <f t="shared" si="224"/>
        <v>0</v>
      </c>
      <c r="N2663" s="465">
        <f t="shared" si="232"/>
        <v>0</v>
      </c>
      <c r="O2663" s="179"/>
      <c r="P2663" s="180"/>
      <c r="Q2663" s="173"/>
      <c r="R2663" s="173"/>
      <c r="S2663" s="174"/>
      <c r="T2663" s="173"/>
      <c r="U2663" s="182"/>
      <c r="V2663" s="177">
        <f>IF(U2663=0,0,IF(T2663="MXN",1/HLOOKUP(YEAR(S2663)+(MONTH(S2663)/100),TC!$5:$37,DAY(S2663)+2,FALSE),VLOOKUP(T2663,Equivalencia!$1:$23,((MAX(Equivalencia!$3:$3)-YEAR(S2663))*14)+MONTH(S2663)+2,FALSE)))</f>
        <v>0</v>
      </c>
      <c r="W2663" s="178">
        <f t="shared" si="229"/>
        <v>0</v>
      </c>
      <c r="X2663" s="481">
        <f t="shared" si="225"/>
        <v>0</v>
      </c>
      <c r="Y2663" s="179"/>
      <c r="Z2663" s="466">
        <f t="shared" si="226"/>
        <v>0</v>
      </c>
      <c r="AA2663" s="473">
        <f t="shared" si="227"/>
        <v>0</v>
      </c>
      <c r="AB2663" s="339">
        <f t="shared" si="228"/>
        <v>0</v>
      </c>
    </row>
    <row r="2664" spans="2:28" ht="20.100000000000001" customHeight="1">
      <c r="B2664" s="172"/>
      <c r="C2664" s="174"/>
      <c r="D2664" s="181"/>
      <c r="E2664" s="173"/>
      <c r="F2664" s="176"/>
      <c r="G2664" s="175">
        <f t="shared" si="230"/>
        <v>0</v>
      </c>
      <c r="H2664" s="175">
        <f t="shared" si="223"/>
        <v>0</v>
      </c>
      <c r="I2664" s="177">
        <f>IF(G2664=0,0,IF(E2664="MXN",1/HLOOKUP(YEAR(C2664)+(MONTH(C2664)/100),TC!$5:$37,DAY(C2664)+2,FALSE),VLOOKUP(E2664,Equivalencia!$5:$23,((MAX(Equivalencia!$3:$3)-YEAR(C2664))*14)+MONTH(C2664)+2,FALSE)))</f>
        <v>0</v>
      </c>
      <c r="J2664" s="178">
        <f t="shared" si="231"/>
        <v>0</v>
      </c>
      <c r="K2664" s="462">
        <f>IF(C2664=0,0,VLOOKUP(YEAR(C2664),INPC!$B$4:$O$29,MONTH(C2664)+1))</f>
        <v>0</v>
      </c>
      <c r="L2664" s="462">
        <f>IF(S2664=0,0,VLOOKUP(YEAR(S2664),INPC!$B$4:$O$29,MONTH(S2664)+1))</f>
        <v>0</v>
      </c>
      <c r="M2664" s="463">
        <f t="shared" si="224"/>
        <v>0</v>
      </c>
      <c r="N2664" s="465">
        <f t="shared" si="232"/>
        <v>0</v>
      </c>
      <c r="O2664" s="179"/>
      <c r="P2664" s="180"/>
      <c r="Q2664" s="173"/>
      <c r="R2664" s="173"/>
      <c r="S2664" s="174"/>
      <c r="T2664" s="173"/>
      <c r="U2664" s="182"/>
      <c r="V2664" s="177">
        <f>IF(U2664=0,0,IF(T2664="MXN",1/HLOOKUP(YEAR(S2664)+(MONTH(S2664)/100),TC!$5:$37,DAY(S2664)+2,FALSE),VLOOKUP(T2664,Equivalencia!$1:$23,((MAX(Equivalencia!$3:$3)-YEAR(S2664))*14)+MONTH(S2664)+2,FALSE)))</f>
        <v>0</v>
      </c>
      <c r="W2664" s="178">
        <f t="shared" si="229"/>
        <v>0</v>
      </c>
      <c r="X2664" s="481">
        <f t="shared" si="225"/>
        <v>0</v>
      </c>
      <c r="Y2664" s="179"/>
      <c r="Z2664" s="466">
        <f t="shared" si="226"/>
        <v>0</v>
      </c>
      <c r="AA2664" s="473">
        <f t="shared" si="227"/>
        <v>0</v>
      </c>
      <c r="AB2664" s="339">
        <f t="shared" si="228"/>
        <v>0</v>
      </c>
    </row>
    <row r="2665" spans="2:28" ht="20.100000000000001" customHeight="1">
      <c r="B2665" s="172"/>
      <c r="C2665" s="174"/>
      <c r="D2665" s="181"/>
      <c r="E2665" s="173"/>
      <c r="F2665" s="176"/>
      <c r="G2665" s="175">
        <f t="shared" si="230"/>
        <v>0</v>
      </c>
      <c r="H2665" s="175">
        <f t="shared" si="223"/>
        <v>0</v>
      </c>
      <c r="I2665" s="177">
        <f>IF(G2665=0,0,IF(E2665="MXN",1/HLOOKUP(YEAR(C2665)+(MONTH(C2665)/100),TC!$5:$37,DAY(C2665)+2,FALSE),VLOOKUP(E2665,Equivalencia!$5:$23,((MAX(Equivalencia!$3:$3)-YEAR(C2665))*14)+MONTH(C2665)+2,FALSE)))</f>
        <v>0</v>
      </c>
      <c r="J2665" s="178">
        <f t="shared" si="231"/>
        <v>0</v>
      </c>
      <c r="K2665" s="462">
        <f>IF(C2665=0,0,VLOOKUP(YEAR(C2665),INPC!$B$4:$O$29,MONTH(C2665)+1))</f>
        <v>0</v>
      </c>
      <c r="L2665" s="462">
        <f>IF(S2665=0,0,VLOOKUP(YEAR(S2665),INPC!$B$4:$O$29,MONTH(S2665)+1))</f>
        <v>0</v>
      </c>
      <c r="M2665" s="463">
        <f t="shared" si="224"/>
        <v>0</v>
      </c>
      <c r="N2665" s="465">
        <f t="shared" si="232"/>
        <v>0</v>
      </c>
      <c r="O2665" s="179"/>
      <c r="P2665" s="180"/>
      <c r="Q2665" s="173"/>
      <c r="R2665" s="173"/>
      <c r="S2665" s="174"/>
      <c r="T2665" s="173"/>
      <c r="U2665" s="182"/>
      <c r="V2665" s="177">
        <f>IF(U2665=0,0,IF(T2665="MXN",1/HLOOKUP(YEAR(S2665)+(MONTH(S2665)/100),TC!$5:$37,DAY(S2665)+2,FALSE),VLOOKUP(T2665,Equivalencia!$1:$23,((MAX(Equivalencia!$3:$3)-YEAR(S2665))*14)+MONTH(S2665)+2,FALSE)))</f>
        <v>0</v>
      </c>
      <c r="W2665" s="178">
        <f t="shared" si="229"/>
        <v>0</v>
      </c>
      <c r="X2665" s="481">
        <f t="shared" si="225"/>
        <v>0</v>
      </c>
      <c r="Y2665" s="179"/>
      <c r="Z2665" s="466">
        <f t="shared" si="226"/>
        <v>0</v>
      </c>
      <c r="AA2665" s="473">
        <f t="shared" si="227"/>
        <v>0</v>
      </c>
      <c r="AB2665" s="339">
        <f t="shared" si="228"/>
        <v>0</v>
      </c>
    </row>
    <row r="2666" spans="2:28" ht="20.100000000000001" customHeight="1">
      <c r="B2666" s="172"/>
      <c r="C2666" s="174"/>
      <c r="D2666" s="181"/>
      <c r="E2666" s="173"/>
      <c r="F2666" s="176"/>
      <c r="G2666" s="175">
        <f t="shared" si="230"/>
        <v>0</v>
      </c>
      <c r="H2666" s="175">
        <f t="shared" si="223"/>
        <v>0</v>
      </c>
      <c r="I2666" s="177">
        <f>IF(G2666=0,0,IF(E2666="MXN",1/HLOOKUP(YEAR(C2666)+(MONTH(C2666)/100),TC!$5:$37,DAY(C2666)+2,FALSE),VLOOKUP(E2666,Equivalencia!$5:$23,((MAX(Equivalencia!$3:$3)-YEAR(C2666))*14)+MONTH(C2666)+2,FALSE)))</f>
        <v>0</v>
      </c>
      <c r="J2666" s="178">
        <f t="shared" si="231"/>
        <v>0</v>
      </c>
      <c r="K2666" s="462">
        <f>IF(C2666=0,0,VLOOKUP(YEAR(C2666),INPC!$B$4:$O$29,MONTH(C2666)+1))</f>
        <v>0</v>
      </c>
      <c r="L2666" s="462">
        <f>IF(S2666=0,0,VLOOKUP(YEAR(S2666),INPC!$B$4:$O$29,MONTH(S2666)+1))</f>
        <v>0</v>
      </c>
      <c r="M2666" s="463">
        <f t="shared" si="224"/>
        <v>0</v>
      </c>
      <c r="N2666" s="465">
        <f t="shared" si="232"/>
        <v>0</v>
      </c>
      <c r="O2666" s="179"/>
      <c r="P2666" s="180"/>
      <c r="Q2666" s="173"/>
      <c r="R2666" s="173"/>
      <c r="S2666" s="174"/>
      <c r="T2666" s="173"/>
      <c r="U2666" s="182"/>
      <c r="V2666" s="177">
        <f>IF(U2666=0,0,IF(T2666="MXN",1/HLOOKUP(YEAR(S2666)+(MONTH(S2666)/100),TC!$5:$37,DAY(S2666)+2,FALSE),VLOOKUP(T2666,Equivalencia!$1:$23,((MAX(Equivalencia!$3:$3)-YEAR(S2666))*14)+MONTH(S2666)+2,FALSE)))</f>
        <v>0</v>
      </c>
      <c r="W2666" s="178">
        <f t="shared" si="229"/>
        <v>0</v>
      </c>
      <c r="X2666" s="481">
        <f t="shared" si="225"/>
        <v>0</v>
      </c>
      <c r="Y2666" s="179"/>
      <c r="Z2666" s="466">
        <f t="shared" si="226"/>
        <v>0</v>
      </c>
      <c r="AA2666" s="473">
        <f t="shared" si="227"/>
        <v>0</v>
      </c>
      <c r="AB2666" s="339">
        <f t="shared" si="228"/>
        <v>0</v>
      </c>
    </row>
    <row r="2667" spans="2:28" ht="20.100000000000001" customHeight="1">
      <c r="B2667" s="172"/>
      <c r="C2667" s="174"/>
      <c r="D2667" s="181"/>
      <c r="E2667" s="173"/>
      <c r="F2667" s="176"/>
      <c r="G2667" s="175">
        <f t="shared" si="230"/>
        <v>0</v>
      </c>
      <c r="H2667" s="175">
        <f t="shared" si="223"/>
        <v>0</v>
      </c>
      <c r="I2667" s="177">
        <f>IF(G2667=0,0,IF(E2667="MXN",1/HLOOKUP(YEAR(C2667)+(MONTH(C2667)/100),TC!$5:$37,DAY(C2667)+2,FALSE),VLOOKUP(E2667,Equivalencia!$5:$23,((MAX(Equivalencia!$3:$3)-YEAR(C2667))*14)+MONTH(C2667)+2,FALSE)))</f>
        <v>0</v>
      </c>
      <c r="J2667" s="178">
        <f t="shared" si="231"/>
        <v>0</v>
      </c>
      <c r="K2667" s="462">
        <f>IF(C2667=0,0,VLOOKUP(YEAR(C2667),INPC!$B$4:$O$29,MONTH(C2667)+1))</f>
        <v>0</v>
      </c>
      <c r="L2667" s="462">
        <f>IF(S2667=0,0,VLOOKUP(YEAR(S2667),INPC!$B$4:$O$29,MONTH(S2667)+1))</f>
        <v>0</v>
      </c>
      <c r="M2667" s="463">
        <f t="shared" si="224"/>
        <v>0</v>
      </c>
      <c r="N2667" s="465">
        <f t="shared" si="232"/>
        <v>0</v>
      </c>
      <c r="O2667" s="179"/>
      <c r="P2667" s="180"/>
      <c r="Q2667" s="173"/>
      <c r="R2667" s="173"/>
      <c r="S2667" s="174"/>
      <c r="T2667" s="173"/>
      <c r="U2667" s="182"/>
      <c r="V2667" s="177">
        <f>IF(U2667=0,0,IF(T2667="MXN",1/HLOOKUP(YEAR(S2667)+(MONTH(S2667)/100),TC!$5:$37,DAY(S2667)+2,FALSE),VLOOKUP(T2667,Equivalencia!$1:$23,((MAX(Equivalencia!$3:$3)-YEAR(S2667))*14)+MONTH(S2667)+2,FALSE)))</f>
        <v>0</v>
      </c>
      <c r="W2667" s="178">
        <f t="shared" si="229"/>
        <v>0</v>
      </c>
      <c r="X2667" s="481">
        <f t="shared" si="225"/>
        <v>0</v>
      </c>
      <c r="Y2667" s="179"/>
      <c r="Z2667" s="466">
        <f t="shared" si="226"/>
        <v>0</v>
      </c>
      <c r="AA2667" s="473">
        <f t="shared" si="227"/>
        <v>0</v>
      </c>
      <c r="AB2667" s="339">
        <f t="shared" si="228"/>
        <v>0</v>
      </c>
    </row>
    <row r="2668" spans="2:28" ht="20.100000000000001" customHeight="1">
      <c r="B2668" s="172"/>
      <c r="C2668" s="174"/>
      <c r="D2668" s="181"/>
      <c r="E2668" s="173"/>
      <c r="F2668" s="176"/>
      <c r="G2668" s="175">
        <f t="shared" si="230"/>
        <v>0</v>
      </c>
      <c r="H2668" s="175">
        <f t="shared" si="223"/>
        <v>0</v>
      </c>
      <c r="I2668" s="177">
        <f>IF(G2668=0,0,IF(E2668="MXN",1/HLOOKUP(YEAR(C2668)+(MONTH(C2668)/100),TC!$5:$37,DAY(C2668)+2,FALSE),VLOOKUP(E2668,Equivalencia!$5:$23,((MAX(Equivalencia!$3:$3)-YEAR(C2668))*14)+MONTH(C2668)+2,FALSE)))</f>
        <v>0</v>
      </c>
      <c r="J2668" s="178">
        <f t="shared" si="231"/>
        <v>0</v>
      </c>
      <c r="K2668" s="462">
        <f>IF(C2668=0,0,VLOOKUP(YEAR(C2668),INPC!$B$4:$O$29,MONTH(C2668)+1))</f>
        <v>0</v>
      </c>
      <c r="L2668" s="462">
        <f>IF(S2668=0,0,VLOOKUP(YEAR(S2668),INPC!$B$4:$O$29,MONTH(S2668)+1))</f>
        <v>0</v>
      </c>
      <c r="M2668" s="463">
        <f t="shared" si="224"/>
        <v>0</v>
      </c>
      <c r="N2668" s="465">
        <f t="shared" si="232"/>
        <v>0</v>
      </c>
      <c r="O2668" s="179"/>
      <c r="P2668" s="180"/>
      <c r="Q2668" s="173"/>
      <c r="R2668" s="173"/>
      <c r="S2668" s="174"/>
      <c r="T2668" s="173"/>
      <c r="U2668" s="182"/>
      <c r="V2668" s="177">
        <f>IF(U2668=0,0,IF(T2668="MXN",1/HLOOKUP(YEAR(S2668)+(MONTH(S2668)/100),TC!$5:$37,DAY(S2668)+2,FALSE),VLOOKUP(T2668,Equivalencia!$1:$23,((MAX(Equivalencia!$3:$3)-YEAR(S2668))*14)+MONTH(S2668)+2,FALSE)))</f>
        <v>0</v>
      </c>
      <c r="W2668" s="178">
        <f t="shared" si="229"/>
        <v>0</v>
      </c>
      <c r="X2668" s="481">
        <f t="shared" si="225"/>
        <v>0</v>
      </c>
      <c r="Y2668" s="179"/>
      <c r="Z2668" s="466">
        <f t="shared" si="226"/>
        <v>0</v>
      </c>
      <c r="AA2668" s="473">
        <f t="shared" si="227"/>
        <v>0</v>
      </c>
      <c r="AB2668" s="339">
        <f t="shared" si="228"/>
        <v>0</v>
      </c>
    </row>
    <row r="2669" spans="2:28" ht="20.100000000000001" customHeight="1">
      <c r="B2669" s="172"/>
      <c r="C2669" s="174"/>
      <c r="D2669" s="181"/>
      <c r="E2669" s="173"/>
      <c r="F2669" s="176"/>
      <c r="G2669" s="175">
        <f t="shared" si="230"/>
        <v>0</v>
      </c>
      <c r="H2669" s="175">
        <f t="shared" si="223"/>
        <v>0</v>
      </c>
      <c r="I2669" s="177">
        <f>IF(G2669=0,0,IF(E2669="MXN",1/HLOOKUP(YEAR(C2669)+(MONTH(C2669)/100),TC!$5:$37,DAY(C2669)+2,FALSE),VLOOKUP(E2669,Equivalencia!$5:$23,((MAX(Equivalencia!$3:$3)-YEAR(C2669))*14)+MONTH(C2669)+2,FALSE)))</f>
        <v>0</v>
      </c>
      <c r="J2669" s="178">
        <f t="shared" si="231"/>
        <v>0</v>
      </c>
      <c r="K2669" s="462">
        <f>IF(C2669=0,0,VLOOKUP(YEAR(C2669),INPC!$B$4:$O$29,MONTH(C2669)+1))</f>
        <v>0</v>
      </c>
      <c r="L2669" s="462">
        <f>IF(S2669=0,0,VLOOKUP(YEAR(S2669),INPC!$B$4:$O$29,MONTH(S2669)+1))</f>
        <v>0</v>
      </c>
      <c r="M2669" s="463">
        <f t="shared" si="224"/>
        <v>0</v>
      </c>
      <c r="N2669" s="465">
        <f t="shared" si="232"/>
        <v>0</v>
      </c>
      <c r="O2669" s="179"/>
      <c r="P2669" s="180"/>
      <c r="Q2669" s="173"/>
      <c r="R2669" s="173"/>
      <c r="S2669" s="174"/>
      <c r="T2669" s="173"/>
      <c r="U2669" s="182"/>
      <c r="V2669" s="177">
        <f>IF(U2669=0,0,IF(T2669="MXN",1/HLOOKUP(YEAR(S2669)+(MONTH(S2669)/100),TC!$5:$37,DAY(S2669)+2,FALSE),VLOOKUP(T2669,Equivalencia!$1:$23,((MAX(Equivalencia!$3:$3)-YEAR(S2669))*14)+MONTH(S2669)+2,FALSE)))</f>
        <v>0</v>
      </c>
      <c r="W2669" s="178">
        <f t="shared" si="229"/>
        <v>0</v>
      </c>
      <c r="X2669" s="481">
        <f t="shared" si="225"/>
        <v>0</v>
      </c>
      <c r="Y2669" s="179"/>
      <c r="Z2669" s="466">
        <f t="shared" si="226"/>
        <v>0</v>
      </c>
      <c r="AA2669" s="473">
        <f t="shared" si="227"/>
        <v>0</v>
      </c>
      <c r="AB2669" s="339">
        <f t="shared" si="228"/>
        <v>0</v>
      </c>
    </row>
    <row r="2670" spans="2:28" ht="20.100000000000001" customHeight="1">
      <c r="B2670" s="172"/>
      <c r="C2670" s="174"/>
      <c r="D2670" s="181"/>
      <c r="E2670" s="173"/>
      <c r="F2670" s="176"/>
      <c r="G2670" s="175">
        <f t="shared" si="230"/>
        <v>0</v>
      </c>
      <c r="H2670" s="175">
        <f t="shared" si="223"/>
        <v>0</v>
      </c>
      <c r="I2670" s="177">
        <f>IF(G2670=0,0,IF(E2670="MXN",1/HLOOKUP(YEAR(C2670)+(MONTH(C2670)/100),TC!$5:$37,DAY(C2670)+2,FALSE),VLOOKUP(E2670,Equivalencia!$5:$23,((MAX(Equivalencia!$3:$3)-YEAR(C2670))*14)+MONTH(C2670)+2,FALSE)))</f>
        <v>0</v>
      </c>
      <c r="J2670" s="178">
        <f t="shared" si="231"/>
        <v>0</v>
      </c>
      <c r="K2670" s="462">
        <f>IF(C2670=0,0,VLOOKUP(YEAR(C2670),INPC!$B$4:$O$29,MONTH(C2670)+1))</f>
        <v>0</v>
      </c>
      <c r="L2670" s="462">
        <f>IF(S2670=0,0,VLOOKUP(YEAR(S2670),INPC!$B$4:$O$29,MONTH(S2670)+1))</f>
        <v>0</v>
      </c>
      <c r="M2670" s="463">
        <f t="shared" si="224"/>
        <v>0</v>
      </c>
      <c r="N2670" s="465">
        <f t="shared" si="232"/>
        <v>0</v>
      </c>
      <c r="O2670" s="179"/>
      <c r="P2670" s="180"/>
      <c r="Q2670" s="173"/>
      <c r="R2670" s="173"/>
      <c r="S2670" s="174"/>
      <c r="T2670" s="173"/>
      <c r="U2670" s="182"/>
      <c r="V2670" s="177">
        <f>IF(U2670=0,0,IF(T2670="MXN",1/HLOOKUP(YEAR(S2670)+(MONTH(S2670)/100),TC!$5:$37,DAY(S2670)+2,FALSE),VLOOKUP(T2670,Equivalencia!$1:$23,((MAX(Equivalencia!$3:$3)-YEAR(S2670))*14)+MONTH(S2670)+2,FALSE)))</f>
        <v>0</v>
      </c>
      <c r="W2670" s="178">
        <f t="shared" si="229"/>
        <v>0</v>
      </c>
      <c r="X2670" s="481">
        <f t="shared" si="225"/>
        <v>0</v>
      </c>
      <c r="Y2670" s="179"/>
      <c r="Z2670" s="466">
        <f t="shared" si="226"/>
        <v>0</v>
      </c>
      <c r="AA2670" s="473">
        <f t="shared" si="227"/>
        <v>0</v>
      </c>
      <c r="AB2670" s="339">
        <f t="shared" si="228"/>
        <v>0</v>
      </c>
    </row>
    <row r="2671" spans="2:28" ht="20.100000000000001" customHeight="1">
      <c r="B2671" s="172"/>
      <c r="C2671" s="174"/>
      <c r="D2671" s="181"/>
      <c r="E2671" s="173"/>
      <c r="F2671" s="176"/>
      <c r="G2671" s="175">
        <f t="shared" si="230"/>
        <v>0</v>
      </c>
      <c r="H2671" s="175">
        <f t="shared" si="223"/>
        <v>0</v>
      </c>
      <c r="I2671" s="177">
        <f>IF(G2671=0,0,IF(E2671="MXN",1/HLOOKUP(YEAR(C2671)+(MONTH(C2671)/100),TC!$5:$37,DAY(C2671)+2,FALSE),VLOOKUP(E2671,Equivalencia!$5:$23,((MAX(Equivalencia!$3:$3)-YEAR(C2671))*14)+MONTH(C2671)+2,FALSE)))</f>
        <v>0</v>
      </c>
      <c r="J2671" s="178">
        <f t="shared" si="231"/>
        <v>0</v>
      </c>
      <c r="K2671" s="462">
        <f>IF(C2671=0,0,VLOOKUP(YEAR(C2671),INPC!$B$4:$O$29,MONTH(C2671)+1))</f>
        <v>0</v>
      </c>
      <c r="L2671" s="462">
        <f>IF(S2671=0,0,VLOOKUP(YEAR(S2671),INPC!$B$4:$O$29,MONTH(S2671)+1))</f>
        <v>0</v>
      </c>
      <c r="M2671" s="463">
        <f t="shared" si="224"/>
        <v>0</v>
      </c>
      <c r="N2671" s="465">
        <f t="shared" si="232"/>
        <v>0</v>
      </c>
      <c r="O2671" s="179"/>
      <c r="P2671" s="180"/>
      <c r="Q2671" s="173"/>
      <c r="R2671" s="173"/>
      <c r="S2671" s="174"/>
      <c r="T2671" s="173"/>
      <c r="U2671" s="182"/>
      <c r="V2671" s="177">
        <f>IF(U2671=0,0,IF(T2671="MXN",1/HLOOKUP(YEAR(S2671)+(MONTH(S2671)/100),TC!$5:$37,DAY(S2671)+2,FALSE),VLOOKUP(T2671,Equivalencia!$1:$23,((MAX(Equivalencia!$3:$3)-YEAR(S2671))*14)+MONTH(S2671)+2,FALSE)))</f>
        <v>0</v>
      </c>
      <c r="W2671" s="178">
        <f t="shared" si="229"/>
        <v>0</v>
      </c>
      <c r="X2671" s="481">
        <f t="shared" si="225"/>
        <v>0</v>
      </c>
      <c r="Y2671" s="179"/>
      <c r="Z2671" s="466">
        <f t="shared" si="226"/>
        <v>0</v>
      </c>
      <c r="AA2671" s="473">
        <f t="shared" si="227"/>
        <v>0</v>
      </c>
      <c r="AB2671" s="339">
        <f t="shared" si="228"/>
        <v>0</v>
      </c>
    </row>
    <row r="2672" spans="2:28" ht="20.100000000000001" customHeight="1">
      <c r="B2672" s="172"/>
      <c r="C2672" s="174"/>
      <c r="D2672" s="181"/>
      <c r="E2672" s="173"/>
      <c r="F2672" s="176"/>
      <c r="G2672" s="175">
        <f t="shared" si="230"/>
        <v>0</v>
      </c>
      <c r="H2672" s="175">
        <f t="shared" si="223"/>
        <v>0</v>
      </c>
      <c r="I2672" s="177">
        <f>IF(G2672=0,0,IF(E2672="MXN",1/HLOOKUP(YEAR(C2672)+(MONTH(C2672)/100),TC!$5:$37,DAY(C2672)+2,FALSE),VLOOKUP(E2672,Equivalencia!$5:$23,((MAX(Equivalencia!$3:$3)-YEAR(C2672))*14)+MONTH(C2672)+2,FALSE)))</f>
        <v>0</v>
      </c>
      <c r="J2672" s="178">
        <f t="shared" si="231"/>
        <v>0</v>
      </c>
      <c r="K2672" s="462">
        <f>IF(C2672=0,0,VLOOKUP(YEAR(C2672),INPC!$B$4:$O$29,MONTH(C2672)+1))</f>
        <v>0</v>
      </c>
      <c r="L2672" s="462">
        <f>IF(S2672=0,0,VLOOKUP(YEAR(S2672),INPC!$B$4:$O$29,MONTH(S2672)+1))</f>
        <v>0</v>
      </c>
      <c r="M2672" s="463">
        <f t="shared" si="224"/>
        <v>0</v>
      </c>
      <c r="N2672" s="465">
        <f t="shared" si="232"/>
        <v>0</v>
      </c>
      <c r="O2672" s="179"/>
      <c r="P2672" s="180"/>
      <c r="Q2672" s="173"/>
      <c r="R2672" s="173"/>
      <c r="S2672" s="174"/>
      <c r="T2672" s="173"/>
      <c r="U2672" s="182"/>
      <c r="V2672" s="177">
        <f>IF(U2672=0,0,IF(T2672="MXN",1/HLOOKUP(YEAR(S2672)+(MONTH(S2672)/100),TC!$5:$37,DAY(S2672)+2,FALSE),VLOOKUP(T2672,Equivalencia!$1:$23,((MAX(Equivalencia!$3:$3)-YEAR(S2672))*14)+MONTH(S2672)+2,FALSE)))</f>
        <v>0</v>
      </c>
      <c r="W2672" s="178">
        <f t="shared" si="229"/>
        <v>0</v>
      </c>
      <c r="X2672" s="481">
        <f t="shared" si="225"/>
        <v>0</v>
      </c>
      <c r="Y2672" s="179"/>
      <c r="Z2672" s="466">
        <f t="shared" si="226"/>
        <v>0</v>
      </c>
      <c r="AA2672" s="473">
        <f t="shared" si="227"/>
        <v>0</v>
      </c>
      <c r="AB2672" s="339">
        <f t="shared" si="228"/>
        <v>0</v>
      </c>
    </row>
    <row r="2673" spans="2:28" ht="20.100000000000001" customHeight="1">
      <c r="B2673" s="172"/>
      <c r="C2673" s="174"/>
      <c r="D2673" s="181"/>
      <c r="E2673" s="173"/>
      <c r="F2673" s="176"/>
      <c r="G2673" s="175">
        <f t="shared" si="230"/>
        <v>0</v>
      </c>
      <c r="H2673" s="175">
        <f t="shared" si="223"/>
        <v>0</v>
      </c>
      <c r="I2673" s="177">
        <f>IF(G2673=0,0,IF(E2673="MXN",1/HLOOKUP(YEAR(C2673)+(MONTH(C2673)/100),TC!$5:$37,DAY(C2673)+2,FALSE),VLOOKUP(E2673,Equivalencia!$5:$23,((MAX(Equivalencia!$3:$3)-YEAR(C2673))*14)+MONTH(C2673)+2,FALSE)))</f>
        <v>0</v>
      </c>
      <c r="J2673" s="178">
        <f t="shared" si="231"/>
        <v>0</v>
      </c>
      <c r="K2673" s="462">
        <f>IF(C2673=0,0,VLOOKUP(YEAR(C2673),INPC!$B$4:$O$29,MONTH(C2673)+1))</f>
        <v>0</v>
      </c>
      <c r="L2673" s="462">
        <f>IF(S2673=0,0,VLOOKUP(YEAR(S2673),INPC!$B$4:$O$29,MONTH(S2673)+1))</f>
        <v>0</v>
      </c>
      <c r="M2673" s="463">
        <f t="shared" si="224"/>
        <v>0</v>
      </c>
      <c r="N2673" s="465">
        <f t="shared" si="232"/>
        <v>0</v>
      </c>
      <c r="O2673" s="179"/>
      <c r="P2673" s="180"/>
      <c r="Q2673" s="173"/>
      <c r="R2673" s="173"/>
      <c r="S2673" s="174"/>
      <c r="T2673" s="173"/>
      <c r="U2673" s="182"/>
      <c r="V2673" s="177">
        <f>IF(U2673=0,0,IF(T2673="MXN",1/HLOOKUP(YEAR(S2673)+(MONTH(S2673)/100),TC!$5:$37,DAY(S2673)+2,FALSE),VLOOKUP(T2673,Equivalencia!$1:$23,((MAX(Equivalencia!$3:$3)-YEAR(S2673))*14)+MONTH(S2673)+2,FALSE)))</f>
        <v>0</v>
      </c>
      <c r="W2673" s="178">
        <f t="shared" si="229"/>
        <v>0</v>
      </c>
      <c r="X2673" s="481">
        <f t="shared" si="225"/>
        <v>0</v>
      </c>
      <c r="Y2673" s="179"/>
      <c r="Z2673" s="466">
        <f t="shared" si="226"/>
        <v>0</v>
      </c>
      <c r="AA2673" s="473">
        <f t="shared" si="227"/>
        <v>0</v>
      </c>
      <c r="AB2673" s="339">
        <f t="shared" si="228"/>
        <v>0</v>
      </c>
    </row>
    <row r="2674" spans="2:28" ht="20.100000000000001" customHeight="1">
      <c r="B2674" s="172"/>
      <c r="C2674" s="174"/>
      <c r="D2674" s="181"/>
      <c r="E2674" s="173"/>
      <c r="F2674" s="176"/>
      <c r="G2674" s="175">
        <f t="shared" si="230"/>
        <v>0</v>
      </c>
      <c r="H2674" s="175">
        <f t="shared" si="223"/>
        <v>0</v>
      </c>
      <c r="I2674" s="177">
        <f>IF(G2674=0,0,IF(E2674="MXN",1/HLOOKUP(YEAR(C2674)+(MONTH(C2674)/100),TC!$5:$37,DAY(C2674)+2,FALSE),VLOOKUP(E2674,Equivalencia!$5:$23,((MAX(Equivalencia!$3:$3)-YEAR(C2674))*14)+MONTH(C2674)+2,FALSE)))</f>
        <v>0</v>
      </c>
      <c r="J2674" s="178">
        <f t="shared" si="231"/>
        <v>0</v>
      </c>
      <c r="K2674" s="462">
        <f>IF(C2674=0,0,VLOOKUP(YEAR(C2674),INPC!$B$4:$O$29,MONTH(C2674)+1))</f>
        <v>0</v>
      </c>
      <c r="L2674" s="462">
        <f>IF(S2674=0,0,VLOOKUP(YEAR(S2674),INPC!$B$4:$O$29,MONTH(S2674)+1))</f>
        <v>0</v>
      </c>
      <c r="M2674" s="463">
        <f t="shared" si="224"/>
        <v>0</v>
      </c>
      <c r="N2674" s="465">
        <f t="shared" si="232"/>
        <v>0</v>
      </c>
      <c r="O2674" s="179"/>
      <c r="P2674" s="180"/>
      <c r="Q2674" s="173"/>
      <c r="R2674" s="173"/>
      <c r="S2674" s="174"/>
      <c r="T2674" s="173"/>
      <c r="U2674" s="182"/>
      <c r="V2674" s="177">
        <f>IF(U2674=0,0,IF(T2674="MXN",1/HLOOKUP(YEAR(S2674)+(MONTH(S2674)/100),TC!$5:$37,DAY(S2674)+2,FALSE),VLOOKUP(T2674,Equivalencia!$1:$23,((MAX(Equivalencia!$3:$3)-YEAR(S2674))*14)+MONTH(S2674)+2,FALSE)))</f>
        <v>0</v>
      </c>
      <c r="W2674" s="178">
        <f t="shared" si="229"/>
        <v>0</v>
      </c>
      <c r="X2674" s="481">
        <f t="shared" si="225"/>
        <v>0</v>
      </c>
      <c r="Y2674" s="179"/>
      <c r="Z2674" s="466">
        <f t="shared" si="226"/>
        <v>0</v>
      </c>
      <c r="AA2674" s="473">
        <f t="shared" si="227"/>
        <v>0</v>
      </c>
      <c r="AB2674" s="339">
        <f t="shared" si="228"/>
        <v>0</v>
      </c>
    </row>
    <row r="2675" spans="2:28" ht="20.100000000000001" customHeight="1">
      <c r="B2675" s="172"/>
      <c r="C2675" s="174"/>
      <c r="D2675" s="181"/>
      <c r="E2675" s="173"/>
      <c r="F2675" s="176"/>
      <c r="G2675" s="175">
        <f t="shared" si="230"/>
        <v>0</v>
      </c>
      <c r="H2675" s="175">
        <f t="shared" si="223"/>
        <v>0</v>
      </c>
      <c r="I2675" s="177">
        <f>IF(G2675=0,0,IF(E2675="MXN",1/HLOOKUP(YEAR(C2675)+(MONTH(C2675)/100),TC!$5:$37,DAY(C2675)+2,FALSE),VLOOKUP(E2675,Equivalencia!$5:$23,((MAX(Equivalencia!$3:$3)-YEAR(C2675))*14)+MONTH(C2675)+2,FALSE)))</f>
        <v>0</v>
      </c>
      <c r="J2675" s="178">
        <f t="shared" si="231"/>
        <v>0</v>
      </c>
      <c r="K2675" s="462">
        <f>IF(C2675=0,0,VLOOKUP(YEAR(C2675),INPC!$B$4:$O$29,MONTH(C2675)+1))</f>
        <v>0</v>
      </c>
      <c r="L2675" s="462">
        <f>IF(S2675=0,0,VLOOKUP(YEAR(S2675),INPC!$B$4:$O$29,MONTH(S2675)+1))</f>
        <v>0</v>
      </c>
      <c r="M2675" s="463">
        <f t="shared" si="224"/>
        <v>0</v>
      </c>
      <c r="N2675" s="465">
        <f t="shared" si="232"/>
        <v>0</v>
      </c>
      <c r="O2675" s="179"/>
      <c r="P2675" s="180"/>
      <c r="Q2675" s="173"/>
      <c r="R2675" s="173"/>
      <c r="S2675" s="174"/>
      <c r="T2675" s="173"/>
      <c r="U2675" s="182"/>
      <c r="V2675" s="177">
        <f>IF(U2675=0,0,IF(T2675="MXN",1/HLOOKUP(YEAR(S2675)+(MONTH(S2675)/100),TC!$5:$37,DAY(S2675)+2,FALSE),VLOOKUP(T2675,Equivalencia!$1:$23,((MAX(Equivalencia!$3:$3)-YEAR(S2675))*14)+MONTH(S2675)+2,FALSE)))</f>
        <v>0</v>
      </c>
      <c r="W2675" s="178">
        <f t="shared" si="229"/>
        <v>0</v>
      </c>
      <c r="X2675" s="481">
        <f t="shared" si="225"/>
        <v>0</v>
      </c>
      <c r="Y2675" s="179"/>
      <c r="Z2675" s="466">
        <f t="shared" si="226"/>
        <v>0</v>
      </c>
      <c r="AA2675" s="473">
        <f t="shared" si="227"/>
        <v>0</v>
      </c>
      <c r="AB2675" s="339">
        <f t="shared" si="228"/>
        <v>0</v>
      </c>
    </row>
    <row r="2676" spans="2:28" ht="20.100000000000001" customHeight="1">
      <c r="B2676" s="172"/>
      <c r="C2676" s="174"/>
      <c r="D2676" s="181"/>
      <c r="E2676" s="173"/>
      <c r="F2676" s="176"/>
      <c r="G2676" s="175">
        <f t="shared" si="230"/>
        <v>0</v>
      </c>
      <c r="H2676" s="175">
        <f t="shared" si="223"/>
        <v>0</v>
      </c>
      <c r="I2676" s="177">
        <f>IF(G2676=0,0,IF(E2676="MXN",1/HLOOKUP(YEAR(C2676)+(MONTH(C2676)/100),TC!$5:$37,DAY(C2676)+2,FALSE),VLOOKUP(E2676,Equivalencia!$5:$23,((MAX(Equivalencia!$3:$3)-YEAR(C2676))*14)+MONTH(C2676)+2,FALSE)))</f>
        <v>0</v>
      </c>
      <c r="J2676" s="178">
        <f t="shared" si="231"/>
        <v>0</v>
      </c>
      <c r="K2676" s="462">
        <f>IF(C2676=0,0,VLOOKUP(YEAR(C2676),INPC!$B$4:$O$29,MONTH(C2676)+1))</f>
        <v>0</v>
      </c>
      <c r="L2676" s="462">
        <f>IF(S2676=0,0,VLOOKUP(YEAR(S2676),INPC!$B$4:$O$29,MONTH(S2676)+1))</f>
        <v>0</v>
      </c>
      <c r="M2676" s="463">
        <f t="shared" si="224"/>
        <v>0</v>
      </c>
      <c r="N2676" s="465">
        <f t="shared" si="232"/>
        <v>0</v>
      </c>
      <c r="O2676" s="179"/>
      <c r="P2676" s="180"/>
      <c r="Q2676" s="173"/>
      <c r="R2676" s="173"/>
      <c r="S2676" s="174"/>
      <c r="T2676" s="173"/>
      <c r="U2676" s="182"/>
      <c r="V2676" s="177">
        <f>IF(U2676=0,0,IF(T2676="MXN",1/HLOOKUP(YEAR(S2676)+(MONTH(S2676)/100),TC!$5:$37,DAY(S2676)+2,FALSE),VLOOKUP(T2676,Equivalencia!$1:$23,((MAX(Equivalencia!$3:$3)-YEAR(S2676))*14)+MONTH(S2676)+2,FALSE)))</f>
        <v>0</v>
      </c>
      <c r="W2676" s="178">
        <f t="shared" si="229"/>
        <v>0</v>
      </c>
      <c r="X2676" s="481">
        <f t="shared" si="225"/>
        <v>0</v>
      </c>
      <c r="Y2676" s="179"/>
      <c r="Z2676" s="466">
        <f t="shared" si="226"/>
        <v>0</v>
      </c>
      <c r="AA2676" s="473">
        <f t="shared" si="227"/>
        <v>0</v>
      </c>
      <c r="AB2676" s="339">
        <f t="shared" si="228"/>
        <v>0</v>
      </c>
    </row>
    <row r="2677" spans="2:28" ht="20.100000000000001" customHeight="1">
      <c r="B2677" s="172"/>
      <c r="C2677" s="174"/>
      <c r="D2677" s="181"/>
      <c r="E2677" s="173"/>
      <c r="F2677" s="176"/>
      <c r="G2677" s="175">
        <f t="shared" si="230"/>
        <v>0</v>
      </c>
      <c r="H2677" s="175">
        <f t="shared" si="223"/>
        <v>0</v>
      </c>
      <c r="I2677" s="177">
        <f>IF(G2677=0,0,IF(E2677="MXN",1/HLOOKUP(YEAR(C2677)+(MONTH(C2677)/100),TC!$5:$37,DAY(C2677)+2,FALSE),VLOOKUP(E2677,Equivalencia!$5:$23,((MAX(Equivalencia!$3:$3)-YEAR(C2677))*14)+MONTH(C2677)+2,FALSE)))</f>
        <v>0</v>
      </c>
      <c r="J2677" s="178">
        <f t="shared" si="231"/>
        <v>0</v>
      </c>
      <c r="K2677" s="462">
        <f>IF(C2677=0,0,VLOOKUP(YEAR(C2677),INPC!$B$4:$O$29,MONTH(C2677)+1))</f>
        <v>0</v>
      </c>
      <c r="L2677" s="462">
        <f>IF(S2677=0,0,VLOOKUP(YEAR(S2677),INPC!$B$4:$O$29,MONTH(S2677)+1))</f>
        <v>0</v>
      </c>
      <c r="M2677" s="463">
        <f t="shared" si="224"/>
        <v>0</v>
      </c>
      <c r="N2677" s="465">
        <f t="shared" si="232"/>
        <v>0</v>
      </c>
      <c r="O2677" s="179"/>
      <c r="P2677" s="180"/>
      <c r="Q2677" s="173"/>
      <c r="R2677" s="173"/>
      <c r="S2677" s="174"/>
      <c r="T2677" s="173"/>
      <c r="U2677" s="182"/>
      <c r="V2677" s="177">
        <f>IF(U2677=0,0,IF(T2677="MXN",1/HLOOKUP(YEAR(S2677)+(MONTH(S2677)/100),TC!$5:$37,DAY(S2677)+2,FALSE),VLOOKUP(T2677,Equivalencia!$1:$23,((MAX(Equivalencia!$3:$3)-YEAR(S2677))*14)+MONTH(S2677)+2,FALSE)))</f>
        <v>0</v>
      </c>
      <c r="W2677" s="178">
        <f t="shared" si="229"/>
        <v>0</v>
      </c>
      <c r="X2677" s="481">
        <f t="shared" si="225"/>
        <v>0</v>
      </c>
      <c r="Y2677" s="179"/>
      <c r="Z2677" s="466">
        <f t="shared" si="226"/>
        <v>0</v>
      </c>
      <c r="AA2677" s="473">
        <f t="shared" si="227"/>
        <v>0</v>
      </c>
      <c r="AB2677" s="339">
        <f t="shared" si="228"/>
        <v>0</v>
      </c>
    </row>
    <row r="2678" spans="2:28" ht="20.100000000000001" customHeight="1">
      <c r="B2678" s="172"/>
      <c r="C2678" s="174"/>
      <c r="D2678" s="181"/>
      <c r="E2678" s="173"/>
      <c r="F2678" s="176"/>
      <c r="G2678" s="175">
        <f t="shared" si="230"/>
        <v>0</v>
      </c>
      <c r="H2678" s="175">
        <f t="shared" si="223"/>
        <v>0</v>
      </c>
      <c r="I2678" s="177">
        <f>IF(G2678=0,0,IF(E2678="MXN",1/HLOOKUP(YEAR(C2678)+(MONTH(C2678)/100),TC!$5:$37,DAY(C2678)+2,FALSE),VLOOKUP(E2678,Equivalencia!$5:$23,((MAX(Equivalencia!$3:$3)-YEAR(C2678))*14)+MONTH(C2678)+2,FALSE)))</f>
        <v>0</v>
      </c>
      <c r="J2678" s="178">
        <f t="shared" si="231"/>
        <v>0</v>
      </c>
      <c r="K2678" s="462">
        <f>IF(C2678=0,0,VLOOKUP(YEAR(C2678),INPC!$B$4:$O$29,MONTH(C2678)+1))</f>
        <v>0</v>
      </c>
      <c r="L2678" s="462">
        <f>IF(S2678=0,0,VLOOKUP(YEAR(S2678),INPC!$B$4:$O$29,MONTH(S2678)+1))</f>
        <v>0</v>
      </c>
      <c r="M2678" s="463">
        <f t="shared" si="224"/>
        <v>0</v>
      </c>
      <c r="N2678" s="465">
        <f t="shared" si="232"/>
        <v>0</v>
      </c>
      <c r="O2678" s="179"/>
      <c r="P2678" s="180"/>
      <c r="Q2678" s="173"/>
      <c r="R2678" s="173"/>
      <c r="S2678" s="174"/>
      <c r="T2678" s="173"/>
      <c r="U2678" s="182"/>
      <c r="V2678" s="177">
        <f>IF(U2678=0,0,IF(T2678="MXN",1/HLOOKUP(YEAR(S2678)+(MONTH(S2678)/100),TC!$5:$37,DAY(S2678)+2,FALSE),VLOOKUP(T2678,Equivalencia!$1:$23,((MAX(Equivalencia!$3:$3)-YEAR(S2678))*14)+MONTH(S2678)+2,FALSE)))</f>
        <v>0</v>
      </c>
      <c r="W2678" s="178">
        <f t="shared" si="229"/>
        <v>0</v>
      </c>
      <c r="X2678" s="481">
        <f t="shared" si="225"/>
        <v>0</v>
      </c>
      <c r="Y2678" s="179"/>
      <c r="Z2678" s="466">
        <f t="shared" si="226"/>
        <v>0</v>
      </c>
      <c r="AA2678" s="473">
        <f t="shared" si="227"/>
        <v>0</v>
      </c>
      <c r="AB2678" s="339">
        <f t="shared" si="228"/>
        <v>0</v>
      </c>
    </row>
    <row r="2679" spans="2:28" ht="20.100000000000001" customHeight="1">
      <c r="B2679" s="172"/>
      <c r="C2679" s="174"/>
      <c r="D2679" s="181"/>
      <c r="E2679" s="173"/>
      <c r="F2679" s="176"/>
      <c r="G2679" s="175">
        <f t="shared" si="230"/>
        <v>0</v>
      </c>
      <c r="H2679" s="175">
        <f t="shared" si="223"/>
        <v>0</v>
      </c>
      <c r="I2679" s="177">
        <f>IF(G2679=0,0,IF(E2679="MXN",1/HLOOKUP(YEAR(C2679)+(MONTH(C2679)/100),TC!$5:$37,DAY(C2679)+2,FALSE),VLOOKUP(E2679,Equivalencia!$5:$23,((MAX(Equivalencia!$3:$3)-YEAR(C2679))*14)+MONTH(C2679)+2,FALSE)))</f>
        <v>0</v>
      </c>
      <c r="J2679" s="178">
        <f t="shared" si="231"/>
        <v>0</v>
      </c>
      <c r="K2679" s="462">
        <f>IF(C2679=0,0,VLOOKUP(YEAR(C2679),INPC!$B$4:$O$29,MONTH(C2679)+1))</f>
        <v>0</v>
      </c>
      <c r="L2679" s="462">
        <f>IF(S2679=0,0,VLOOKUP(YEAR(S2679),INPC!$B$4:$O$29,MONTH(S2679)+1))</f>
        <v>0</v>
      </c>
      <c r="M2679" s="463">
        <f t="shared" si="224"/>
        <v>0</v>
      </c>
      <c r="N2679" s="465">
        <f t="shared" si="232"/>
        <v>0</v>
      </c>
      <c r="O2679" s="179"/>
      <c r="P2679" s="180"/>
      <c r="Q2679" s="173"/>
      <c r="R2679" s="173"/>
      <c r="S2679" s="174"/>
      <c r="T2679" s="173"/>
      <c r="U2679" s="182"/>
      <c r="V2679" s="177">
        <f>IF(U2679=0,0,IF(T2679="MXN",1/HLOOKUP(YEAR(S2679)+(MONTH(S2679)/100),TC!$5:$37,DAY(S2679)+2,FALSE),VLOOKUP(T2679,Equivalencia!$1:$23,((MAX(Equivalencia!$3:$3)-YEAR(S2679))*14)+MONTH(S2679)+2,FALSE)))</f>
        <v>0</v>
      </c>
      <c r="W2679" s="178">
        <f t="shared" si="229"/>
        <v>0</v>
      </c>
      <c r="X2679" s="481">
        <f t="shared" si="225"/>
        <v>0</v>
      </c>
      <c r="Y2679" s="179"/>
      <c r="Z2679" s="466">
        <f t="shared" si="226"/>
        <v>0</v>
      </c>
      <c r="AA2679" s="473">
        <f t="shared" si="227"/>
        <v>0</v>
      </c>
      <c r="AB2679" s="339">
        <f t="shared" si="228"/>
        <v>0</v>
      </c>
    </row>
    <row r="2680" spans="2:28" ht="20.100000000000001" customHeight="1">
      <c r="B2680" s="172"/>
      <c r="C2680" s="174"/>
      <c r="D2680" s="181"/>
      <c r="E2680" s="173"/>
      <c r="F2680" s="176"/>
      <c r="G2680" s="175">
        <f t="shared" si="230"/>
        <v>0</v>
      </c>
      <c r="H2680" s="175">
        <f t="shared" si="223"/>
        <v>0</v>
      </c>
      <c r="I2680" s="177">
        <f>IF(G2680=0,0,IF(E2680="MXN",1/HLOOKUP(YEAR(C2680)+(MONTH(C2680)/100),TC!$5:$37,DAY(C2680)+2,FALSE),VLOOKUP(E2680,Equivalencia!$5:$23,((MAX(Equivalencia!$3:$3)-YEAR(C2680))*14)+MONTH(C2680)+2,FALSE)))</f>
        <v>0</v>
      </c>
      <c r="J2680" s="178">
        <f t="shared" si="231"/>
        <v>0</v>
      </c>
      <c r="K2680" s="462">
        <f>IF(C2680=0,0,VLOOKUP(YEAR(C2680),INPC!$B$4:$O$29,MONTH(C2680)+1))</f>
        <v>0</v>
      </c>
      <c r="L2680" s="462">
        <f>IF(S2680=0,0,VLOOKUP(YEAR(S2680),INPC!$B$4:$O$29,MONTH(S2680)+1))</f>
        <v>0</v>
      </c>
      <c r="M2680" s="463">
        <f t="shared" si="224"/>
        <v>0</v>
      </c>
      <c r="N2680" s="465">
        <f t="shared" si="232"/>
        <v>0</v>
      </c>
      <c r="O2680" s="179"/>
      <c r="P2680" s="180"/>
      <c r="Q2680" s="173"/>
      <c r="R2680" s="173"/>
      <c r="S2680" s="174"/>
      <c r="T2680" s="173"/>
      <c r="U2680" s="182"/>
      <c r="V2680" s="177">
        <f>IF(U2680=0,0,IF(T2680="MXN",1/HLOOKUP(YEAR(S2680)+(MONTH(S2680)/100),TC!$5:$37,DAY(S2680)+2,FALSE),VLOOKUP(T2680,Equivalencia!$1:$23,((MAX(Equivalencia!$3:$3)-YEAR(S2680))*14)+MONTH(S2680)+2,FALSE)))</f>
        <v>0</v>
      </c>
      <c r="W2680" s="178">
        <f t="shared" si="229"/>
        <v>0</v>
      </c>
      <c r="X2680" s="481">
        <f t="shared" si="225"/>
        <v>0</v>
      </c>
      <c r="Y2680" s="179"/>
      <c r="Z2680" s="466">
        <f t="shared" si="226"/>
        <v>0</v>
      </c>
      <c r="AA2680" s="473">
        <f t="shared" si="227"/>
        <v>0</v>
      </c>
      <c r="AB2680" s="339">
        <f t="shared" si="228"/>
        <v>0</v>
      </c>
    </row>
    <row r="2681" spans="2:28" ht="20.100000000000001" customHeight="1">
      <c r="B2681" s="172"/>
      <c r="C2681" s="174"/>
      <c r="D2681" s="181"/>
      <c r="E2681" s="173"/>
      <c r="F2681" s="176"/>
      <c r="G2681" s="175">
        <f t="shared" si="230"/>
        <v>0</v>
      </c>
      <c r="H2681" s="175">
        <f t="shared" si="223"/>
        <v>0</v>
      </c>
      <c r="I2681" s="177">
        <f>IF(G2681=0,0,IF(E2681="MXN",1/HLOOKUP(YEAR(C2681)+(MONTH(C2681)/100),TC!$5:$37,DAY(C2681)+2,FALSE),VLOOKUP(E2681,Equivalencia!$5:$23,((MAX(Equivalencia!$3:$3)-YEAR(C2681))*14)+MONTH(C2681)+2,FALSE)))</f>
        <v>0</v>
      </c>
      <c r="J2681" s="178">
        <f t="shared" si="231"/>
        <v>0</v>
      </c>
      <c r="K2681" s="462">
        <f>IF(C2681=0,0,VLOOKUP(YEAR(C2681),INPC!$B$4:$O$29,MONTH(C2681)+1))</f>
        <v>0</v>
      </c>
      <c r="L2681" s="462">
        <f>IF(S2681=0,0,VLOOKUP(YEAR(S2681),INPC!$B$4:$O$29,MONTH(S2681)+1))</f>
        <v>0</v>
      </c>
      <c r="M2681" s="463">
        <f t="shared" si="224"/>
        <v>0</v>
      </c>
      <c r="N2681" s="465">
        <f t="shared" si="232"/>
        <v>0</v>
      </c>
      <c r="O2681" s="179"/>
      <c r="P2681" s="180"/>
      <c r="Q2681" s="173"/>
      <c r="R2681" s="173"/>
      <c r="S2681" s="174"/>
      <c r="T2681" s="173"/>
      <c r="U2681" s="182"/>
      <c r="V2681" s="177">
        <f>IF(U2681=0,0,IF(T2681="MXN",1/HLOOKUP(YEAR(S2681)+(MONTH(S2681)/100),TC!$5:$37,DAY(S2681)+2,FALSE),VLOOKUP(T2681,Equivalencia!$1:$23,((MAX(Equivalencia!$3:$3)-YEAR(S2681))*14)+MONTH(S2681)+2,FALSE)))</f>
        <v>0</v>
      </c>
      <c r="W2681" s="178">
        <f t="shared" si="229"/>
        <v>0</v>
      </c>
      <c r="X2681" s="481">
        <f t="shared" si="225"/>
        <v>0</v>
      </c>
      <c r="Y2681" s="179"/>
      <c r="Z2681" s="466">
        <f t="shared" si="226"/>
        <v>0</v>
      </c>
      <c r="AA2681" s="473">
        <f t="shared" si="227"/>
        <v>0</v>
      </c>
      <c r="AB2681" s="339">
        <f t="shared" si="228"/>
        <v>0</v>
      </c>
    </row>
    <row r="2682" spans="2:28" ht="20.100000000000001" customHeight="1">
      <c r="B2682" s="172"/>
      <c r="C2682" s="174"/>
      <c r="D2682" s="181"/>
      <c r="E2682" s="173"/>
      <c r="F2682" s="176"/>
      <c r="G2682" s="175">
        <f t="shared" si="230"/>
        <v>0</v>
      </c>
      <c r="H2682" s="175">
        <f t="shared" si="223"/>
        <v>0</v>
      </c>
      <c r="I2682" s="177">
        <f>IF(G2682=0,0,IF(E2682="MXN",1/HLOOKUP(YEAR(C2682)+(MONTH(C2682)/100),TC!$5:$37,DAY(C2682)+2,FALSE),VLOOKUP(E2682,Equivalencia!$5:$23,((MAX(Equivalencia!$3:$3)-YEAR(C2682))*14)+MONTH(C2682)+2,FALSE)))</f>
        <v>0</v>
      </c>
      <c r="J2682" s="178">
        <f t="shared" si="231"/>
        <v>0</v>
      </c>
      <c r="K2682" s="462">
        <f>IF(C2682=0,0,VLOOKUP(YEAR(C2682),INPC!$B$4:$O$29,MONTH(C2682)+1))</f>
        <v>0</v>
      </c>
      <c r="L2682" s="462">
        <f>IF(S2682=0,0,VLOOKUP(YEAR(S2682),INPC!$B$4:$O$29,MONTH(S2682)+1))</f>
        <v>0</v>
      </c>
      <c r="M2682" s="463">
        <f t="shared" si="224"/>
        <v>0</v>
      </c>
      <c r="N2682" s="465">
        <f t="shared" si="232"/>
        <v>0</v>
      </c>
      <c r="O2682" s="179"/>
      <c r="P2682" s="180"/>
      <c r="Q2682" s="173"/>
      <c r="R2682" s="173"/>
      <c r="S2682" s="174"/>
      <c r="T2682" s="173"/>
      <c r="U2682" s="182"/>
      <c r="V2682" s="177">
        <f>IF(U2682=0,0,IF(T2682="MXN",1/HLOOKUP(YEAR(S2682)+(MONTH(S2682)/100),TC!$5:$37,DAY(S2682)+2,FALSE),VLOOKUP(T2682,Equivalencia!$1:$23,((MAX(Equivalencia!$3:$3)-YEAR(S2682))*14)+MONTH(S2682)+2,FALSE)))</f>
        <v>0</v>
      </c>
      <c r="W2682" s="178">
        <f t="shared" si="229"/>
        <v>0</v>
      </c>
      <c r="X2682" s="481">
        <f t="shared" si="225"/>
        <v>0</v>
      </c>
      <c r="Y2682" s="179"/>
      <c r="Z2682" s="466">
        <f t="shared" si="226"/>
        <v>0</v>
      </c>
      <c r="AA2682" s="473">
        <f t="shared" si="227"/>
        <v>0</v>
      </c>
      <c r="AB2682" s="339">
        <f t="shared" si="228"/>
        <v>0</v>
      </c>
    </row>
    <row r="2683" spans="2:28" ht="20.100000000000001" customHeight="1">
      <c r="B2683" s="172"/>
      <c r="C2683" s="174"/>
      <c r="D2683" s="181"/>
      <c r="E2683" s="173"/>
      <c r="F2683" s="176"/>
      <c r="G2683" s="175">
        <f t="shared" si="230"/>
        <v>0</v>
      </c>
      <c r="H2683" s="175">
        <f t="shared" si="223"/>
        <v>0</v>
      </c>
      <c r="I2683" s="177">
        <f>IF(G2683=0,0,IF(E2683="MXN",1/HLOOKUP(YEAR(C2683)+(MONTH(C2683)/100),TC!$5:$37,DAY(C2683)+2,FALSE),VLOOKUP(E2683,Equivalencia!$5:$23,((MAX(Equivalencia!$3:$3)-YEAR(C2683))*14)+MONTH(C2683)+2,FALSE)))</f>
        <v>0</v>
      </c>
      <c r="J2683" s="178">
        <f t="shared" si="231"/>
        <v>0</v>
      </c>
      <c r="K2683" s="462">
        <f>IF(C2683=0,0,VLOOKUP(YEAR(C2683),INPC!$B$4:$O$29,MONTH(C2683)+1))</f>
        <v>0</v>
      </c>
      <c r="L2683" s="462">
        <f>IF(S2683=0,0,VLOOKUP(YEAR(S2683),INPC!$B$4:$O$29,MONTH(S2683)+1))</f>
        <v>0</v>
      </c>
      <c r="M2683" s="463">
        <f t="shared" si="224"/>
        <v>0</v>
      </c>
      <c r="N2683" s="465">
        <f t="shared" si="232"/>
        <v>0</v>
      </c>
      <c r="O2683" s="179"/>
      <c r="P2683" s="180"/>
      <c r="Q2683" s="173"/>
      <c r="R2683" s="173"/>
      <c r="S2683" s="174"/>
      <c r="T2683" s="173"/>
      <c r="U2683" s="182"/>
      <c r="V2683" s="177">
        <f>IF(U2683=0,0,IF(T2683="MXN",1/HLOOKUP(YEAR(S2683)+(MONTH(S2683)/100),TC!$5:$37,DAY(S2683)+2,FALSE),VLOOKUP(T2683,Equivalencia!$1:$23,((MAX(Equivalencia!$3:$3)-YEAR(S2683))*14)+MONTH(S2683)+2,FALSE)))</f>
        <v>0</v>
      </c>
      <c r="W2683" s="178">
        <f t="shared" si="229"/>
        <v>0</v>
      </c>
      <c r="X2683" s="481">
        <f t="shared" si="225"/>
        <v>0</v>
      </c>
      <c r="Y2683" s="179"/>
      <c r="Z2683" s="466">
        <f t="shared" si="226"/>
        <v>0</v>
      </c>
      <c r="AA2683" s="473">
        <f t="shared" si="227"/>
        <v>0</v>
      </c>
      <c r="AB2683" s="339">
        <f t="shared" si="228"/>
        <v>0</v>
      </c>
    </row>
    <row r="2684" spans="2:28" ht="20.100000000000001" customHeight="1">
      <c r="B2684" s="172"/>
      <c r="C2684" s="174"/>
      <c r="D2684" s="181"/>
      <c r="E2684" s="173"/>
      <c r="F2684" s="176"/>
      <c r="G2684" s="175">
        <f t="shared" si="230"/>
        <v>0</v>
      </c>
      <c r="H2684" s="175">
        <f t="shared" si="223"/>
        <v>0</v>
      </c>
      <c r="I2684" s="177">
        <f>IF(G2684=0,0,IF(E2684="MXN",1/HLOOKUP(YEAR(C2684)+(MONTH(C2684)/100),TC!$5:$37,DAY(C2684)+2,FALSE),VLOOKUP(E2684,Equivalencia!$5:$23,((MAX(Equivalencia!$3:$3)-YEAR(C2684))*14)+MONTH(C2684)+2,FALSE)))</f>
        <v>0</v>
      </c>
      <c r="J2684" s="178">
        <f t="shared" si="231"/>
        <v>0</v>
      </c>
      <c r="K2684" s="462">
        <f>IF(C2684=0,0,VLOOKUP(YEAR(C2684),INPC!$B$4:$O$29,MONTH(C2684)+1))</f>
        <v>0</v>
      </c>
      <c r="L2684" s="462">
        <f>IF(S2684=0,0,VLOOKUP(YEAR(S2684),INPC!$B$4:$O$29,MONTH(S2684)+1))</f>
        <v>0</v>
      </c>
      <c r="M2684" s="463">
        <f t="shared" si="224"/>
        <v>0</v>
      </c>
      <c r="N2684" s="465">
        <f t="shared" si="232"/>
        <v>0</v>
      </c>
      <c r="O2684" s="179"/>
      <c r="P2684" s="180"/>
      <c r="Q2684" s="173"/>
      <c r="R2684" s="173"/>
      <c r="S2684" s="174"/>
      <c r="T2684" s="173"/>
      <c r="U2684" s="182"/>
      <c r="V2684" s="177">
        <f>IF(U2684=0,0,IF(T2684="MXN",1/HLOOKUP(YEAR(S2684)+(MONTH(S2684)/100),TC!$5:$37,DAY(S2684)+2,FALSE),VLOOKUP(T2684,Equivalencia!$1:$23,((MAX(Equivalencia!$3:$3)-YEAR(S2684))*14)+MONTH(S2684)+2,FALSE)))</f>
        <v>0</v>
      </c>
      <c r="W2684" s="178">
        <f t="shared" si="229"/>
        <v>0</v>
      </c>
      <c r="X2684" s="481">
        <f t="shared" si="225"/>
        <v>0</v>
      </c>
      <c r="Y2684" s="179"/>
      <c r="Z2684" s="466">
        <f t="shared" si="226"/>
        <v>0</v>
      </c>
      <c r="AA2684" s="473">
        <f t="shared" si="227"/>
        <v>0</v>
      </c>
      <c r="AB2684" s="339">
        <f t="shared" si="228"/>
        <v>0</v>
      </c>
    </row>
    <row r="2685" spans="2:28" ht="20.100000000000001" customHeight="1">
      <c r="B2685" s="172"/>
      <c r="C2685" s="174"/>
      <c r="D2685" s="181"/>
      <c r="E2685" s="173"/>
      <c r="F2685" s="176"/>
      <c r="G2685" s="175">
        <f t="shared" si="230"/>
        <v>0</v>
      </c>
      <c r="H2685" s="175">
        <f t="shared" si="223"/>
        <v>0</v>
      </c>
      <c r="I2685" s="177">
        <f>IF(G2685=0,0,IF(E2685="MXN",1/HLOOKUP(YEAR(C2685)+(MONTH(C2685)/100),TC!$5:$37,DAY(C2685)+2,FALSE),VLOOKUP(E2685,Equivalencia!$5:$23,((MAX(Equivalencia!$3:$3)-YEAR(C2685))*14)+MONTH(C2685)+2,FALSE)))</f>
        <v>0</v>
      </c>
      <c r="J2685" s="178">
        <f t="shared" si="231"/>
        <v>0</v>
      </c>
      <c r="K2685" s="462">
        <f>IF(C2685=0,0,VLOOKUP(YEAR(C2685),INPC!$B$4:$O$29,MONTH(C2685)+1))</f>
        <v>0</v>
      </c>
      <c r="L2685" s="462">
        <f>IF(S2685=0,0,VLOOKUP(YEAR(S2685),INPC!$B$4:$O$29,MONTH(S2685)+1))</f>
        <v>0</v>
      </c>
      <c r="M2685" s="463">
        <f t="shared" si="224"/>
        <v>0</v>
      </c>
      <c r="N2685" s="465">
        <f t="shared" si="232"/>
        <v>0</v>
      </c>
      <c r="O2685" s="179"/>
      <c r="P2685" s="180"/>
      <c r="Q2685" s="173"/>
      <c r="R2685" s="173"/>
      <c r="S2685" s="174"/>
      <c r="T2685" s="173"/>
      <c r="U2685" s="182"/>
      <c r="V2685" s="177">
        <f>IF(U2685=0,0,IF(T2685="MXN",1/HLOOKUP(YEAR(S2685)+(MONTH(S2685)/100),TC!$5:$37,DAY(S2685)+2,FALSE),VLOOKUP(T2685,Equivalencia!$1:$23,((MAX(Equivalencia!$3:$3)-YEAR(S2685))*14)+MONTH(S2685)+2,FALSE)))</f>
        <v>0</v>
      </c>
      <c r="W2685" s="178">
        <f t="shared" si="229"/>
        <v>0</v>
      </c>
      <c r="X2685" s="481">
        <f t="shared" si="225"/>
        <v>0</v>
      </c>
      <c r="Y2685" s="179"/>
      <c r="Z2685" s="466">
        <f t="shared" si="226"/>
        <v>0</v>
      </c>
      <c r="AA2685" s="473">
        <f t="shared" si="227"/>
        <v>0</v>
      </c>
      <c r="AB2685" s="339">
        <f t="shared" si="228"/>
        <v>0</v>
      </c>
    </row>
    <row r="2686" spans="2:28" ht="20.100000000000001" customHeight="1">
      <c r="B2686" s="172"/>
      <c r="C2686" s="174"/>
      <c r="D2686" s="181"/>
      <c r="E2686" s="173"/>
      <c r="F2686" s="176"/>
      <c r="G2686" s="175">
        <f t="shared" si="230"/>
        <v>0</v>
      </c>
      <c r="H2686" s="175">
        <f t="shared" si="223"/>
        <v>0</v>
      </c>
      <c r="I2686" s="177">
        <f>IF(G2686=0,0,IF(E2686="MXN",1/HLOOKUP(YEAR(C2686)+(MONTH(C2686)/100),TC!$5:$37,DAY(C2686)+2,FALSE),VLOOKUP(E2686,Equivalencia!$5:$23,((MAX(Equivalencia!$3:$3)-YEAR(C2686))*14)+MONTH(C2686)+2,FALSE)))</f>
        <v>0</v>
      </c>
      <c r="J2686" s="178">
        <f t="shared" si="231"/>
        <v>0</v>
      </c>
      <c r="K2686" s="462">
        <f>IF(C2686=0,0,VLOOKUP(YEAR(C2686),INPC!$B$4:$O$29,MONTH(C2686)+1))</f>
        <v>0</v>
      </c>
      <c r="L2686" s="462">
        <f>IF(S2686=0,0,VLOOKUP(YEAR(S2686),INPC!$B$4:$O$29,MONTH(S2686)+1))</f>
        <v>0</v>
      </c>
      <c r="M2686" s="463">
        <f t="shared" si="224"/>
        <v>0</v>
      </c>
      <c r="N2686" s="465">
        <f t="shared" si="232"/>
        <v>0</v>
      </c>
      <c r="O2686" s="179"/>
      <c r="P2686" s="180"/>
      <c r="Q2686" s="173"/>
      <c r="R2686" s="173"/>
      <c r="S2686" s="174"/>
      <c r="T2686" s="173"/>
      <c r="U2686" s="182"/>
      <c r="V2686" s="177">
        <f>IF(U2686=0,0,IF(T2686="MXN",1/HLOOKUP(YEAR(S2686)+(MONTH(S2686)/100),TC!$5:$37,DAY(S2686)+2,FALSE),VLOOKUP(T2686,Equivalencia!$1:$23,((MAX(Equivalencia!$3:$3)-YEAR(S2686))*14)+MONTH(S2686)+2,FALSE)))</f>
        <v>0</v>
      </c>
      <c r="W2686" s="178">
        <f t="shared" si="229"/>
        <v>0</v>
      </c>
      <c r="X2686" s="481">
        <f t="shared" si="225"/>
        <v>0</v>
      </c>
      <c r="Y2686" s="179"/>
      <c r="Z2686" s="466">
        <f t="shared" si="226"/>
        <v>0</v>
      </c>
      <c r="AA2686" s="473">
        <f t="shared" si="227"/>
        <v>0</v>
      </c>
      <c r="AB2686" s="339">
        <f t="shared" si="228"/>
        <v>0</v>
      </c>
    </row>
    <row r="2687" spans="2:28" ht="20.100000000000001" customHeight="1">
      <c r="B2687" s="172"/>
      <c r="C2687" s="174"/>
      <c r="D2687" s="181"/>
      <c r="E2687" s="173"/>
      <c r="F2687" s="176"/>
      <c r="G2687" s="175">
        <f t="shared" si="230"/>
        <v>0</v>
      </c>
      <c r="H2687" s="175">
        <f t="shared" si="223"/>
        <v>0</v>
      </c>
      <c r="I2687" s="177">
        <f>IF(G2687=0,0,IF(E2687="MXN",1/HLOOKUP(YEAR(C2687)+(MONTH(C2687)/100),TC!$5:$37,DAY(C2687)+2,FALSE),VLOOKUP(E2687,Equivalencia!$5:$23,((MAX(Equivalencia!$3:$3)-YEAR(C2687))*14)+MONTH(C2687)+2,FALSE)))</f>
        <v>0</v>
      </c>
      <c r="J2687" s="178">
        <f t="shared" si="231"/>
        <v>0</v>
      </c>
      <c r="K2687" s="462">
        <f>IF(C2687=0,0,VLOOKUP(YEAR(C2687),INPC!$B$4:$O$29,MONTH(C2687)+1))</f>
        <v>0</v>
      </c>
      <c r="L2687" s="462">
        <f>IF(S2687=0,0,VLOOKUP(YEAR(S2687),INPC!$B$4:$O$29,MONTH(S2687)+1))</f>
        <v>0</v>
      </c>
      <c r="M2687" s="463">
        <f t="shared" si="224"/>
        <v>0</v>
      </c>
      <c r="N2687" s="465">
        <f t="shared" si="232"/>
        <v>0</v>
      </c>
      <c r="O2687" s="179"/>
      <c r="P2687" s="180"/>
      <c r="Q2687" s="173"/>
      <c r="R2687" s="173"/>
      <c r="S2687" s="174"/>
      <c r="T2687" s="173"/>
      <c r="U2687" s="182"/>
      <c r="V2687" s="177">
        <f>IF(U2687=0,0,IF(T2687="MXN",1/HLOOKUP(YEAR(S2687)+(MONTH(S2687)/100),TC!$5:$37,DAY(S2687)+2,FALSE),VLOOKUP(T2687,Equivalencia!$1:$23,((MAX(Equivalencia!$3:$3)-YEAR(S2687))*14)+MONTH(S2687)+2,FALSE)))</f>
        <v>0</v>
      </c>
      <c r="W2687" s="178">
        <f t="shared" si="229"/>
        <v>0</v>
      </c>
      <c r="X2687" s="481">
        <f t="shared" si="225"/>
        <v>0</v>
      </c>
      <c r="Y2687" s="179"/>
      <c r="Z2687" s="466">
        <f t="shared" si="226"/>
        <v>0</v>
      </c>
      <c r="AA2687" s="473">
        <f t="shared" si="227"/>
        <v>0</v>
      </c>
      <c r="AB2687" s="339">
        <f t="shared" si="228"/>
        <v>0</v>
      </c>
    </row>
    <row r="2688" spans="2:28" ht="20.100000000000001" customHeight="1">
      <c r="B2688" s="172"/>
      <c r="C2688" s="174"/>
      <c r="D2688" s="181"/>
      <c r="E2688" s="173"/>
      <c r="F2688" s="176"/>
      <c r="G2688" s="175">
        <f t="shared" si="230"/>
        <v>0</v>
      </c>
      <c r="H2688" s="175">
        <f t="shared" ref="H2688:H2942" si="233">IF(F2688=0,0,(F2688/G2688)*P2688)</f>
        <v>0</v>
      </c>
      <c r="I2688" s="177">
        <f>IF(G2688=0,0,IF(E2688="MXN",1/HLOOKUP(YEAR(C2688)+(MONTH(C2688)/100),TC!$5:$37,DAY(C2688)+2,FALSE),VLOOKUP(E2688,Equivalencia!$5:$23,((MAX(Equivalencia!$3:$3)-YEAR(C2688))*14)+MONTH(C2688)+2,FALSE)))</f>
        <v>0</v>
      </c>
      <c r="J2688" s="178">
        <f t="shared" si="231"/>
        <v>0</v>
      </c>
      <c r="K2688" s="462">
        <f>IF(C2688=0,0,VLOOKUP(YEAR(C2688),INPC!$B$4:$O$29,MONTH(C2688)+1))</f>
        <v>0</v>
      </c>
      <c r="L2688" s="462">
        <f>IF(S2688=0,0,VLOOKUP(YEAR(S2688),INPC!$B$4:$O$29,MONTH(S2688)+1))</f>
        <v>0</v>
      </c>
      <c r="M2688" s="463">
        <f t="shared" ref="M2688:M2942" si="234">IF(H2688=0,0,IF(R2688=$AF$4,1,IF(TRUNC(L2688/K2688,4)&gt;=1,TRUNC(L2688/K2688,4),1)))</f>
        <v>0</v>
      </c>
      <c r="N2688" s="465">
        <f t="shared" si="232"/>
        <v>0</v>
      </c>
      <c r="O2688" s="179"/>
      <c r="P2688" s="180"/>
      <c r="Q2688" s="173"/>
      <c r="R2688" s="173"/>
      <c r="S2688" s="174"/>
      <c r="T2688" s="173"/>
      <c r="U2688" s="182"/>
      <c r="V2688" s="177">
        <f>IF(U2688=0,0,IF(T2688="MXN",1/HLOOKUP(YEAR(S2688)+(MONTH(S2688)/100),TC!$5:$37,DAY(S2688)+2,FALSE),VLOOKUP(T2688,Equivalencia!$1:$23,((MAX(Equivalencia!$3:$3)-YEAR(S2688))*14)+MONTH(S2688)+2,FALSE)))</f>
        <v>0</v>
      </c>
      <c r="W2688" s="178">
        <f t="shared" si="229"/>
        <v>0</v>
      </c>
      <c r="X2688" s="481">
        <f t="shared" ref="X2688:X2942" si="235">+W2688-J2688</f>
        <v>0</v>
      </c>
      <c r="Y2688" s="179"/>
      <c r="Z2688" s="466">
        <f t="shared" ref="Z2688:Z2942" si="236">N2688</f>
        <v>0</v>
      </c>
      <c r="AA2688" s="473">
        <f t="shared" ref="AA2688:AA2942" si="237">+W2688-Z2688</f>
        <v>0</v>
      </c>
      <c r="AB2688" s="339">
        <f t="shared" ref="AB2688:AB2942" si="238">+IF(P2688=0,0,(U2688/F2688)-1)</f>
        <v>0</v>
      </c>
    </row>
    <row r="2689" spans="2:28" ht="20.100000000000001" customHeight="1">
      <c r="B2689" s="172"/>
      <c r="C2689" s="174"/>
      <c r="D2689" s="181"/>
      <c r="E2689" s="173"/>
      <c r="F2689" s="176"/>
      <c r="G2689" s="175">
        <f t="shared" si="230"/>
        <v>0</v>
      </c>
      <c r="H2689" s="175">
        <f t="shared" si="233"/>
        <v>0</v>
      </c>
      <c r="I2689" s="177">
        <f>IF(G2689=0,0,IF(E2689="MXN",1/HLOOKUP(YEAR(C2689)+(MONTH(C2689)/100),TC!$5:$37,DAY(C2689)+2,FALSE),VLOOKUP(E2689,Equivalencia!$5:$23,((MAX(Equivalencia!$3:$3)-YEAR(C2689))*14)+MONTH(C2689)+2,FALSE)))</f>
        <v>0</v>
      </c>
      <c r="J2689" s="178">
        <f t="shared" si="231"/>
        <v>0</v>
      </c>
      <c r="K2689" s="462">
        <f>IF(C2689=0,0,VLOOKUP(YEAR(C2689),INPC!$B$4:$O$29,MONTH(C2689)+1))</f>
        <v>0</v>
      </c>
      <c r="L2689" s="462">
        <f>IF(S2689=0,0,VLOOKUP(YEAR(S2689),INPC!$B$4:$O$29,MONTH(S2689)+1))</f>
        <v>0</v>
      </c>
      <c r="M2689" s="463">
        <f t="shared" si="234"/>
        <v>0</v>
      </c>
      <c r="N2689" s="465">
        <f t="shared" si="232"/>
        <v>0</v>
      </c>
      <c r="O2689" s="179"/>
      <c r="P2689" s="180"/>
      <c r="Q2689" s="173"/>
      <c r="R2689" s="173"/>
      <c r="S2689" s="174"/>
      <c r="T2689" s="173"/>
      <c r="U2689" s="182"/>
      <c r="V2689" s="177">
        <f>IF(U2689=0,0,IF(T2689="MXN",1/HLOOKUP(YEAR(S2689)+(MONTH(S2689)/100),TC!$5:$37,DAY(S2689)+2,FALSE),VLOOKUP(T2689,Equivalencia!$1:$23,((MAX(Equivalencia!$3:$3)-YEAR(S2689))*14)+MONTH(S2689)+2,FALSE)))</f>
        <v>0</v>
      </c>
      <c r="W2689" s="178">
        <f t="shared" ref="W2689:W2943" si="239">+V2689*U2689</f>
        <v>0</v>
      </c>
      <c r="X2689" s="481">
        <f t="shared" si="235"/>
        <v>0</v>
      </c>
      <c r="Y2689" s="179"/>
      <c r="Z2689" s="466">
        <f t="shared" si="236"/>
        <v>0</v>
      </c>
      <c r="AA2689" s="473">
        <f t="shared" si="237"/>
        <v>0</v>
      </c>
      <c r="AB2689" s="339">
        <f t="shared" si="238"/>
        <v>0</v>
      </c>
    </row>
    <row r="2690" spans="2:28" ht="20.100000000000001" customHeight="1">
      <c r="B2690" s="172"/>
      <c r="C2690" s="174"/>
      <c r="D2690" s="181"/>
      <c r="E2690" s="173"/>
      <c r="F2690" s="176"/>
      <c r="G2690" s="175">
        <f t="shared" si="230"/>
        <v>0</v>
      </c>
      <c r="H2690" s="175">
        <f t="shared" si="233"/>
        <v>0</v>
      </c>
      <c r="I2690" s="177">
        <f>IF(G2690=0,0,IF(E2690="MXN",1/HLOOKUP(YEAR(C2690)+(MONTH(C2690)/100),TC!$5:$37,DAY(C2690)+2,FALSE),VLOOKUP(E2690,Equivalencia!$5:$23,((MAX(Equivalencia!$3:$3)-YEAR(C2690))*14)+MONTH(C2690)+2,FALSE)))</f>
        <v>0</v>
      </c>
      <c r="J2690" s="178">
        <f t="shared" si="231"/>
        <v>0</v>
      </c>
      <c r="K2690" s="462">
        <f>IF(C2690=0,0,VLOOKUP(YEAR(C2690),INPC!$B$4:$O$29,MONTH(C2690)+1))</f>
        <v>0</v>
      </c>
      <c r="L2690" s="462">
        <f>IF(S2690=0,0,VLOOKUP(YEAR(S2690),INPC!$B$4:$O$29,MONTH(S2690)+1))</f>
        <v>0</v>
      </c>
      <c r="M2690" s="463">
        <f t="shared" si="234"/>
        <v>0</v>
      </c>
      <c r="N2690" s="465">
        <f t="shared" si="232"/>
        <v>0</v>
      </c>
      <c r="O2690" s="179"/>
      <c r="P2690" s="180"/>
      <c r="Q2690" s="173"/>
      <c r="R2690" s="173"/>
      <c r="S2690" s="174"/>
      <c r="T2690" s="173"/>
      <c r="U2690" s="182"/>
      <c r="V2690" s="177">
        <f>IF(U2690=0,0,IF(T2690="MXN",1/HLOOKUP(YEAR(S2690)+(MONTH(S2690)/100),TC!$5:$37,DAY(S2690)+2,FALSE),VLOOKUP(T2690,Equivalencia!$1:$23,((MAX(Equivalencia!$3:$3)-YEAR(S2690))*14)+MONTH(S2690)+2,FALSE)))</f>
        <v>0</v>
      </c>
      <c r="W2690" s="178">
        <f t="shared" si="239"/>
        <v>0</v>
      </c>
      <c r="X2690" s="481">
        <f t="shared" si="235"/>
        <v>0</v>
      </c>
      <c r="Y2690" s="179"/>
      <c r="Z2690" s="466">
        <f t="shared" si="236"/>
        <v>0</v>
      </c>
      <c r="AA2690" s="473">
        <f t="shared" si="237"/>
        <v>0</v>
      </c>
      <c r="AB2690" s="339">
        <f t="shared" si="238"/>
        <v>0</v>
      </c>
    </row>
    <row r="2691" spans="2:28" ht="20.100000000000001" customHeight="1">
      <c r="B2691" s="172"/>
      <c r="C2691" s="174"/>
      <c r="D2691" s="181"/>
      <c r="E2691" s="173"/>
      <c r="F2691" s="176"/>
      <c r="G2691" s="175">
        <f t="shared" si="230"/>
        <v>0</v>
      </c>
      <c r="H2691" s="175">
        <f t="shared" si="233"/>
        <v>0</v>
      </c>
      <c r="I2691" s="177">
        <f>IF(G2691=0,0,IF(E2691="MXN",1/HLOOKUP(YEAR(C2691)+(MONTH(C2691)/100),TC!$5:$37,DAY(C2691)+2,FALSE),VLOOKUP(E2691,Equivalencia!$5:$23,((MAX(Equivalencia!$3:$3)-YEAR(C2691))*14)+MONTH(C2691)+2,FALSE)))</f>
        <v>0</v>
      </c>
      <c r="J2691" s="178">
        <f t="shared" si="231"/>
        <v>0</v>
      </c>
      <c r="K2691" s="462">
        <f>IF(C2691=0,0,VLOOKUP(YEAR(C2691),INPC!$B$4:$O$29,MONTH(C2691)+1))</f>
        <v>0</v>
      </c>
      <c r="L2691" s="462">
        <f>IF(S2691=0,0,VLOOKUP(YEAR(S2691),INPC!$B$4:$O$29,MONTH(S2691)+1))</f>
        <v>0</v>
      </c>
      <c r="M2691" s="463">
        <f t="shared" si="234"/>
        <v>0</v>
      </c>
      <c r="N2691" s="465">
        <f t="shared" si="232"/>
        <v>0</v>
      </c>
      <c r="O2691" s="179"/>
      <c r="P2691" s="180"/>
      <c r="Q2691" s="173"/>
      <c r="R2691" s="173"/>
      <c r="S2691" s="174"/>
      <c r="T2691" s="173"/>
      <c r="U2691" s="182"/>
      <c r="V2691" s="177">
        <f>IF(U2691=0,0,IF(T2691="MXN",1/HLOOKUP(YEAR(S2691)+(MONTH(S2691)/100),TC!$5:$37,DAY(S2691)+2,FALSE),VLOOKUP(T2691,Equivalencia!$1:$23,((MAX(Equivalencia!$3:$3)-YEAR(S2691))*14)+MONTH(S2691)+2,FALSE)))</f>
        <v>0</v>
      </c>
      <c r="W2691" s="178">
        <f t="shared" si="239"/>
        <v>0</v>
      </c>
      <c r="X2691" s="481">
        <f t="shared" si="235"/>
        <v>0</v>
      </c>
      <c r="Y2691" s="179"/>
      <c r="Z2691" s="466">
        <f t="shared" si="236"/>
        <v>0</v>
      </c>
      <c r="AA2691" s="473">
        <f t="shared" si="237"/>
        <v>0</v>
      </c>
      <c r="AB2691" s="339">
        <f t="shared" si="238"/>
        <v>0</v>
      </c>
    </row>
    <row r="2692" spans="2:28" ht="20.100000000000001" customHeight="1">
      <c r="B2692" s="172"/>
      <c r="C2692" s="174"/>
      <c r="D2692" s="181"/>
      <c r="E2692" s="173"/>
      <c r="F2692" s="176"/>
      <c r="G2692" s="175">
        <f t="shared" ref="G2692:G2946" si="240">+P2692</f>
        <v>0</v>
      </c>
      <c r="H2692" s="175">
        <f t="shared" si="233"/>
        <v>0</v>
      </c>
      <c r="I2692" s="177">
        <f>IF(G2692=0,0,IF(E2692="MXN",1/HLOOKUP(YEAR(C2692)+(MONTH(C2692)/100),TC!$5:$37,DAY(C2692)+2,FALSE),VLOOKUP(E2692,Equivalencia!$5:$23,((MAX(Equivalencia!$3:$3)-YEAR(C2692))*14)+MONTH(C2692)+2,FALSE)))</f>
        <v>0</v>
      </c>
      <c r="J2692" s="178">
        <f t="shared" ref="J2692:J2946" si="241">+H2692*I2692</f>
        <v>0</v>
      </c>
      <c r="K2692" s="462">
        <f>IF(C2692=0,0,VLOOKUP(YEAR(C2692),INPC!$B$4:$O$29,MONTH(C2692)+1))</f>
        <v>0</v>
      </c>
      <c r="L2692" s="462">
        <f>IF(S2692=0,0,VLOOKUP(YEAR(S2692),INPC!$B$4:$O$29,MONTH(S2692)+1))</f>
        <v>0</v>
      </c>
      <c r="M2692" s="463">
        <f t="shared" si="234"/>
        <v>0</v>
      </c>
      <c r="N2692" s="465">
        <f t="shared" ref="N2692:N2946" si="242">+M2692*J2692</f>
        <v>0</v>
      </c>
      <c r="O2692" s="179"/>
      <c r="P2692" s="180"/>
      <c r="Q2692" s="173"/>
      <c r="R2692" s="173"/>
      <c r="S2692" s="174"/>
      <c r="T2692" s="173"/>
      <c r="U2692" s="182"/>
      <c r="V2692" s="177">
        <f>IF(U2692=0,0,IF(T2692="MXN",1/HLOOKUP(YEAR(S2692)+(MONTH(S2692)/100),TC!$5:$37,DAY(S2692)+2,FALSE),VLOOKUP(T2692,Equivalencia!$1:$23,((MAX(Equivalencia!$3:$3)-YEAR(S2692))*14)+MONTH(S2692)+2,FALSE)))</f>
        <v>0</v>
      </c>
      <c r="W2692" s="178">
        <f t="shared" si="239"/>
        <v>0</v>
      </c>
      <c r="X2692" s="481">
        <f t="shared" si="235"/>
        <v>0</v>
      </c>
      <c r="Y2692" s="179"/>
      <c r="Z2692" s="466">
        <f t="shared" si="236"/>
        <v>0</v>
      </c>
      <c r="AA2692" s="473">
        <f t="shared" si="237"/>
        <v>0</v>
      </c>
      <c r="AB2692" s="339">
        <f t="shared" si="238"/>
        <v>0</v>
      </c>
    </row>
    <row r="2693" spans="2:28" ht="20.100000000000001" customHeight="1">
      <c r="B2693" s="172"/>
      <c r="C2693" s="174"/>
      <c r="D2693" s="181"/>
      <c r="E2693" s="173"/>
      <c r="F2693" s="176"/>
      <c r="G2693" s="175">
        <f t="shared" si="240"/>
        <v>0</v>
      </c>
      <c r="H2693" s="175">
        <f t="shared" si="233"/>
        <v>0</v>
      </c>
      <c r="I2693" s="177">
        <f>IF(G2693=0,0,IF(E2693="MXN",1/HLOOKUP(YEAR(C2693)+(MONTH(C2693)/100),TC!$5:$37,DAY(C2693)+2,FALSE),VLOOKUP(E2693,Equivalencia!$5:$23,((MAX(Equivalencia!$3:$3)-YEAR(C2693))*14)+MONTH(C2693)+2,FALSE)))</f>
        <v>0</v>
      </c>
      <c r="J2693" s="178">
        <f t="shared" si="241"/>
        <v>0</v>
      </c>
      <c r="K2693" s="462">
        <f>IF(C2693=0,0,VLOOKUP(YEAR(C2693),INPC!$B$4:$O$29,MONTH(C2693)+1))</f>
        <v>0</v>
      </c>
      <c r="L2693" s="462">
        <f>IF(S2693=0,0,VLOOKUP(YEAR(S2693),INPC!$B$4:$O$29,MONTH(S2693)+1))</f>
        <v>0</v>
      </c>
      <c r="M2693" s="463">
        <f t="shared" si="234"/>
        <v>0</v>
      </c>
      <c r="N2693" s="465">
        <f t="shared" si="242"/>
        <v>0</v>
      </c>
      <c r="O2693" s="179"/>
      <c r="P2693" s="180"/>
      <c r="Q2693" s="173"/>
      <c r="R2693" s="173"/>
      <c r="S2693" s="174"/>
      <c r="T2693" s="173"/>
      <c r="U2693" s="182"/>
      <c r="V2693" s="177">
        <f>IF(U2693=0,0,IF(T2693="MXN",1/HLOOKUP(YEAR(S2693)+(MONTH(S2693)/100),TC!$5:$37,DAY(S2693)+2,FALSE),VLOOKUP(T2693,Equivalencia!$1:$23,((MAX(Equivalencia!$3:$3)-YEAR(S2693))*14)+MONTH(S2693)+2,FALSE)))</f>
        <v>0</v>
      </c>
      <c r="W2693" s="178">
        <f t="shared" si="239"/>
        <v>0</v>
      </c>
      <c r="X2693" s="481">
        <f t="shared" si="235"/>
        <v>0</v>
      </c>
      <c r="Y2693" s="179"/>
      <c r="Z2693" s="466">
        <f t="shared" si="236"/>
        <v>0</v>
      </c>
      <c r="AA2693" s="473">
        <f t="shared" si="237"/>
        <v>0</v>
      </c>
      <c r="AB2693" s="339">
        <f t="shared" si="238"/>
        <v>0</v>
      </c>
    </row>
    <row r="2694" spans="2:28" ht="20.100000000000001" customHeight="1">
      <c r="B2694" s="172"/>
      <c r="C2694" s="174"/>
      <c r="D2694" s="181"/>
      <c r="E2694" s="173"/>
      <c r="F2694" s="176"/>
      <c r="G2694" s="175">
        <f t="shared" si="240"/>
        <v>0</v>
      </c>
      <c r="H2694" s="175">
        <f t="shared" si="233"/>
        <v>0</v>
      </c>
      <c r="I2694" s="177">
        <f>IF(G2694=0,0,IF(E2694="MXN",1/HLOOKUP(YEAR(C2694)+(MONTH(C2694)/100),TC!$5:$37,DAY(C2694)+2,FALSE),VLOOKUP(E2694,Equivalencia!$5:$23,((MAX(Equivalencia!$3:$3)-YEAR(C2694))*14)+MONTH(C2694)+2,FALSE)))</f>
        <v>0</v>
      </c>
      <c r="J2694" s="178">
        <f t="shared" si="241"/>
        <v>0</v>
      </c>
      <c r="K2694" s="462">
        <f>IF(C2694=0,0,VLOOKUP(YEAR(C2694),INPC!$B$4:$O$29,MONTH(C2694)+1))</f>
        <v>0</v>
      </c>
      <c r="L2694" s="462">
        <f>IF(S2694=0,0,VLOOKUP(YEAR(S2694),INPC!$B$4:$O$29,MONTH(S2694)+1))</f>
        <v>0</v>
      </c>
      <c r="M2694" s="463">
        <f t="shared" si="234"/>
        <v>0</v>
      </c>
      <c r="N2694" s="465">
        <f t="shared" si="242"/>
        <v>0</v>
      </c>
      <c r="O2694" s="179"/>
      <c r="P2694" s="180"/>
      <c r="Q2694" s="173"/>
      <c r="R2694" s="173"/>
      <c r="S2694" s="174"/>
      <c r="T2694" s="173"/>
      <c r="U2694" s="182"/>
      <c r="V2694" s="177">
        <f>IF(U2694=0,0,IF(T2694="MXN",1/HLOOKUP(YEAR(S2694)+(MONTH(S2694)/100),TC!$5:$37,DAY(S2694)+2,FALSE),VLOOKUP(T2694,Equivalencia!$1:$23,((MAX(Equivalencia!$3:$3)-YEAR(S2694))*14)+MONTH(S2694)+2,FALSE)))</f>
        <v>0</v>
      </c>
      <c r="W2694" s="178">
        <f t="shared" si="239"/>
        <v>0</v>
      </c>
      <c r="X2694" s="481">
        <f t="shared" si="235"/>
        <v>0</v>
      </c>
      <c r="Y2694" s="179"/>
      <c r="Z2694" s="466">
        <f t="shared" si="236"/>
        <v>0</v>
      </c>
      <c r="AA2694" s="473">
        <f t="shared" si="237"/>
        <v>0</v>
      </c>
      <c r="AB2694" s="339">
        <f t="shared" si="238"/>
        <v>0</v>
      </c>
    </row>
    <row r="2695" spans="2:28" ht="20.100000000000001" customHeight="1">
      <c r="B2695" s="172"/>
      <c r="C2695" s="174"/>
      <c r="D2695" s="181"/>
      <c r="E2695" s="173"/>
      <c r="F2695" s="176"/>
      <c r="G2695" s="175">
        <f t="shared" si="240"/>
        <v>0</v>
      </c>
      <c r="H2695" s="175">
        <f t="shared" si="233"/>
        <v>0</v>
      </c>
      <c r="I2695" s="177">
        <f>IF(G2695=0,0,IF(E2695="MXN",1/HLOOKUP(YEAR(C2695)+(MONTH(C2695)/100),TC!$5:$37,DAY(C2695)+2,FALSE),VLOOKUP(E2695,Equivalencia!$5:$23,((MAX(Equivalencia!$3:$3)-YEAR(C2695))*14)+MONTH(C2695)+2,FALSE)))</f>
        <v>0</v>
      </c>
      <c r="J2695" s="178">
        <f t="shared" si="241"/>
        <v>0</v>
      </c>
      <c r="K2695" s="462">
        <f>IF(C2695=0,0,VLOOKUP(YEAR(C2695),INPC!$B$4:$O$29,MONTH(C2695)+1))</f>
        <v>0</v>
      </c>
      <c r="L2695" s="462">
        <f>IF(S2695=0,0,VLOOKUP(YEAR(S2695),INPC!$B$4:$O$29,MONTH(S2695)+1))</f>
        <v>0</v>
      </c>
      <c r="M2695" s="463">
        <f t="shared" si="234"/>
        <v>0</v>
      </c>
      <c r="N2695" s="465">
        <f t="shared" si="242"/>
        <v>0</v>
      </c>
      <c r="O2695" s="179"/>
      <c r="P2695" s="180"/>
      <c r="Q2695" s="173"/>
      <c r="R2695" s="173"/>
      <c r="S2695" s="174"/>
      <c r="T2695" s="173"/>
      <c r="U2695" s="182"/>
      <c r="V2695" s="177">
        <f>IF(U2695=0,0,IF(T2695="MXN",1/HLOOKUP(YEAR(S2695)+(MONTH(S2695)/100),TC!$5:$37,DAY(S2695)+2,FALSE),VLOOKUP(T2695,Equivalencia!$1:$23,((MAX(Equivalencia!$3:$3)-YEAR(S2695))*14)+MONTH(S2695)+2,FALSE)))</f>
        <v>0</v>
      </c>
      <c r="W2695" s="178">
        <f t="shared" si="239"/>
        <v>0</v>
      </c>
      <c r="X2695" s="481">
        <f t="shared" si="235"/>
        <v>0</v>
      </c>
      <c r="Y2695" s="179"/>
      <c r="Z2695" s="466">
        <f t="shared" si="236"/>
        <v>0</v>
      </c>
      <c r="AA2695" s="473">
        <f t="shared" si="237"/>
        <v>0</v>
      </c>
      <c r="AB2695" s="339">
        <f t="shared" si="238"/>
        <v>0</v>
      </c>
    </row>
    <row r="2696" spans="2:28" ht="20.100000000000001" customHeight="1">
      <c r="B2696" s="172"/>
      <c r="C2696" s="174"/>
      <c r="D2696" s="181"/>
      <c r="E2696" s="173"/>
      <c r="F2696" s="176"/>
      <c r="G2696" s="175">
        <f t="shared" si="240"/>
        <v>0</v>
      </c>
      <c r="H2696" s="175">
        <f t="shared" si="233"/>
        <v>0</v>
      </c>
      <c r="I2696" s="177">
        <f>IF(G2696=0,0,IF(E2696="MXN",1/HLOOKUP(YEAR(C2696)+(MONTH(C2696)/100),TC!$5:$37,DAY(C2696)+2,FALSE),VLOOKUP(E2696,Equivalencia!$5:$23,((MAX(Equivalencia!$3:$3)-YEAR(C2696))*14)+MONTH(C2696)+2,FALSE)))</f>
        <v>0</v>
      </c>
      <c r="J2696" s="178">
        <f t="shared" si="241"/>
        <v>0</v>
      </c>
      <c r="K2696" s="462">
        <f>IF(C2696=0,0,VLOOKUP(YEAR(C2696),INPC!$B$4:$O$29,MONTH(C2696)+1))</f>
        <v>0</v>
      </c>
      <c r="L2696" s="462">
        <f>IF(S2696=0,0,VLOOKUP(YEAR(S2696),INPC!$B$4:$O$29,MONTH(S2696)+1))</f>
        <v>0</v>
      </c>
      <c r="M2696" s="463">
        <f t="shared" si="234"/>
        <v>0</v>
      </c>
      <c r="N2696" s="465">
        <f t="shared" si="242"/>
        <v>0</v>
      </c>
      <c r="O2696" s="179"/>
      <c r="P2696" s="180"/>
      <c r="Q2696" s="173"/>
      <c r="R2696" s="173"/>
      <c r="S2696" s="174"/>
      <c r="T2696" s="173"/>
      <c r="U2696" s="182"/>
      <c r="V2696" s="177">
        <f>IF(U2696=0,0,IF(T2696="MXN",1/HLOOKUP(YEAR(S2696)+(MONTH(S2696)/100),TC!$5:$37,DAY(S2696)+2,FALSE),VLOOKUP(T2696,Equivalencia!$1:$23,((MAX(Equivalencia!$3:$3)-YEAR(S2696))*14)+MONTH(S2696)+2,FALSE)))</f>
        <v>0</v>
      </c>
      <c r="W2696" s="178">
        <f t="shared" si="239"/>
        <v>0</v>
      </c>
      <c r="X2696" s="481">
        <f t="shared" si="235"/>
        <v>0</v>
      </c>
      <c r="Y2696" s="179"/>
      <c r="Z2696" s="466">
        <f t="shared" si="236"/>
        <v>0</v>
      </c>
      <c r="AA2696" s="473">
        <f t="shared" si="237"/>
        <v>0</v>
      </c>
      <c r="AB2696" s="339">
        <f t="shared" si="238"/>
        <v>0</v>
      </c>
    </row>
    <row r="2697" spans="2:28" ht="20.100000000000001" customHeight="1">
      <c r="B2697" s="172"/>
      <c r="C2697" s="174"/>
      <c r="D2697" s="181"/>
      <c r="E2697" s="173"/>
      <c r="F2697" s="176"/>
      <c r="G2697" s="175">
        <f t="shared" si="240"/>
        <v>0</v>
      </c>
      <c r="H2697" s="175">
        <f t="shared" si="233"/>
        <v>0</v>
      </c>
      <c r="I2697" s="177">
        <f>IF(G2697=0,0,IF(E2697="MXN",1/HLOOKUP(YEAR(C2697)+(MONTH(C2697)/100),TC!$5:$37,DAY(C2697)+2,FALSE),VLOOKUP(E2697,Equivalencia!$5:$23,((MAX(Equivalencia!$3:$3)-YEAR(C2697))*14)+MONTH(C2697)+2,FALSE)))</f>
        <v>0</v>
      </c>
      <c r="J2697" s="178">
        <f t="shared" si="241"/>
        <v>0</v>
      </c>
      <c r="K2697" s="462">
        <f>IF(C2697=0,0,VLOOKUP(YEAR(C2697),INPC!$B$4:$O$29,MONTH(C2697)+1))</f>
        <v>0</v>
      </c>
      <c r="L2697" s="462">
        <f>IF(S2697=0,0,VLOOKUP(YEAR(S2697),INPC!$B$4:$O$29,MONTH(S2697)+1))</f>
        <v>0</v>
      </c>
      <c r="M2697" s="463">
        <f t="shared" si="234"/>
        <v>0</v>
      </c>
      <c r="N2697" s="465">
        <f t="shared" si="242"/>
        <v>0</v>
      </c>
      <c r="O2697" s="179"/>
      <c r="P2697" s="180"/>
      <c r="Q2697" s="173"/>
      <c r="R2697" s="173"/>
      <c r="S2697" s="174"/>
      <c r="T2697" s="173"/>
      <c r="U2697" s="182"/>
      <c r="V2697" s="177">
        <f>IF(U2697=0,0,IF(T2697="MXN",1/HLOOKUP(YEAR(S2697)+(MONTH(S2697)/100),TC!$5:$37,DAY(S2697)+2,FALSE),VLOOKUP(T2697,Equivalencia!$1:$23,((MAX(Equivalencia!$3:$3)-YEAR(S2697))*14)+MONTH(S2697)+2,FALSE)))</f>
        <v>0</v>
      </c>
      <c r="W2697" s="178">
        <f t="shared" si="239"/>
        <v>0</v>
      </c>
      <c r="X2697" s="481">
        <f t="shared" si="235"/>
        <v>0</v>
      </c>
      <c r="Y2697" s="179"/>
      <c r="Z2697" s="466">
        <f t="shared" si="236"/>
        <v>0</v>
      </c>
      <c r="AA2697" s="473">
        <f t="shared" si="237"/>
        <v>0</v>
      </c>
      <c r="AB2697" s="339">
        <f t="shared" si="238"/>
        <v>0</v>
      </c>
    </row>
    <row r="2698" spans="2:28" ht="20.100000000000001" customHeight="1">
      <c r="B2698" s="172"/>
      <c r="C2698" s="174"/>
      <c r="D2698" s="181"/>
      <c r="E2698" s="173"/>
      <c r="F2698" s="176"/>
      <c r="G2698" s="175">
        <f t="shared" si="240"/>
        <v>0</v>
      </c>
      <c r="H2698" s="175">
        <f t="shared" si="233"/>
        <v>0</v>
      </c>
      <c r="I2698" s="177">
        <f>IF(G2698=0,0,IF(E2698="MXN",1/HLOOKUP(YEAR(C2698)+(MONTH(C2698)/100),TC!$5:$37,DAY(C2698)+2,FALSE),VLOOKUP(E2698,Equivalencia!$5:$23,((MAX(Equivalencia!$3:$3)-YEAR(C2698))*14)+MONTH(C2698)+2,FALSE)))</f>
        <v>0</v>
      </c>
      <c r="J2698" s="178">
        <f t="shared" si="241"/>
        <v>0</v>
      </c>
      <c r="K2698" s="462">
        <f>IF(C2698=0,0,VLOOKUP(YEAR(C2698),INPC!$B$4:$O$29,MONTH(C2698)+1))</f>
        <v>0</v>
      </c>
      <c r="L2698" s="462">
        <f>IF(S2698=0,0,VLOOKUP(YEAR(S2698),INPC!$B$4:$O$29,MONTH(S2698)+1))</f>
        <v>0</v>
      </c>
      <c r="M2698" s="463">
        <f t="shared" si="234"/>
        <v>0</v>
      </c>
      <c r="N2698" s="465">
        <f t="shared" si="242"/>
        <v>0</v>
      </c>
      <c r="O2698" s="179"/>
      <c r="P2698" s="180"/>
      <c r="Q2698" s="173"/>
      <c r="R2698" s="173"/>
      <c r="S2698" s="174"/>
      <c r="T2698" s="173"/>
      <c r="U2698" s="182"/>
      <c r="V2698" s="177">
        <f>IF(U2698=0,0,IF(T2698="MXN",1/HLOOKUP(YEAR(S2698)+(MONTH(S2698)/100),TC!$5:$37,DAY(S2698)+2,FALSE),VLOOKUP(T2698,Equivalencia!$1:$23,((MAX(Equivalencia!$3:$3)-YEAR(S2698))*14)+MONTH(S2698)+2,FALSE)))</f>
        <v>0</v>
      </c>
      <c r="W2698" s="178">
        <f t="shared" si="239"/>
        <v>0</v>
      </c>
      <c r="X2698" s="481">
        <f t="shared" si="235"/>
        <v>0</v>
      </c>
      <c r="Y2698" s="179"/>
      <c r="Z2698" s="466">
        <f t="shared" si="236"/>
        <v>0</v>
      </c>
      <c r="AA2698" s="473">
        <f t="shared" si="237"/>
        <v>0</v>
      </c>
      <c r="AB2698" s="339">
        <f t="shared" si="238"/>
        <v>0</v>
      </c>
    </row>
    <row r="2699" spans="2:28" ht="20.100000000000001" customHeight="1">
      <c r="B2699" s="172"/>
      <c r="C2699" s="174"/>
      <c r="D2699" s="181"/>
      <c r="E2699" s="173"/>
      <c r="F2699" s="176"/>
      <c r="G2699" s="175">
        <f t="shared" si="240"/>
        <v>0</v>
      </c>
      <c r="H2699" s="175">
        <f t="shared" si="233"/>
        <v>0</v>
      </c>
      <c r="I2699" s="177">
        <f>IF(G2699=0,0,IF(E2699="MXN",1/HLOOKUP(YEAR(C2699)+(MONTH(C2699)/100),TC!$5:$37,DAY(C2699)+2,FALSE),VLOOKUP(E2699,Equivalencia!$5:$23,((MAX(Equivalencia!$3:$3)-YEAR(C2699))*14)+MONTH(C2699)+2,FALSE)))</f>
        <v>0</v>
      </c>
      <c r="J2699" s="178">
        <f t="shared" si="241"/>
        <v>0</v>
      </c>
      <c r="K2699" s="462">
        <f>IF(C2699=0,0,VLOOKUP(YEAR(C2699),INPC!$B$4:$O$29,MONTH(C2699)+1))</f>
        <v>0</v>
      </c>
      <c r="L2699" s="462">
        <f>IF(S2699=0,0,VLOOKUP(YEAR(S2699),INPC!$B$4:$O$29,MONTH(S2699)+1))</f>
        <v>0</v>
      </c>
      <c r="M2699" s="463">
        <f t="shared" si="234"/>
        <v>0</v>
      </c>
      <c r="N2699" s="465">
        <f t="shared" si="242"/>
        <v>0</v>
      </c>
      <c r="O2699" s="179"/>
      <c r="P2699" s="180"/>
      <c r="Q2699" s="173"/>
      <c r="R2699" s="173"/>
      <c r="S2699" s="174"/>
      <c r="T2699" s="173"/>
      <c r="U2699" s="182"/>
      <c r="V2699" s="177">
        <f>IF(U2699=0,0,IF(T2699="MXN",1/HLOOKUP(YEAR(S2699)+(MONTH(S2699)/100),TC!$5:$37,DAY(S2699)+2,FALSE),VLOOKUP(T2699,Equivalencia!$1:$23,((MAX(Equivalencia!$3:$3)-YEAR(S2699))*14)+MONTH(S2699)+2,FALSE)))</f>
        <v>0</v>
      </c>
      <c r="W2699" s="178">
        <f t="shared" si="239"/>
        <v>0</v>
      </c>
      <c r="X2699" s="481">
        <f t="shared" si="235"/>
        <v>0</v>
      </c>
      <c r="Y2699" s="179"/>
      <c r="Z2699" s="466">
        <f t="shared" si="236"/>
        <v>0</v>
      </c>
      <c r="AA2699" s="473">
        <f t="shared" si="237"/>
        <v>0</v>
      </c>
      <c r="AB2699" s="339">
        <f t="shared" si="238"/>
        <v>0</v>
      </c>
    </row>
    <row r="2700" spans="2:28" ht="20.100000000000001" customHeight="1">
      <c r="B2700" s="172"/>
      <c r="C2700" s="174"/>
      <c r="D2700" s="181"/>
      <c r="E2700" s="173"/>
      <c r="F2700" s="176"/>
      <c r="G2700" s="175">
        <f t="shared" si="240"/>
        <v>0</v>
      </c>
      <c r="H2700" s="175">
        <f t="shared" si="233"/>
        <v>0</v>
      </c>
      <c r="I2700" s="177">
        <f>IF(G2700=0,0,IF(E2700="MXN",1/HLOOKUP(YEAR(C2700)+(MONTH(C2700)/100),TC!$5:$37,DAY(C2700)+2,FALSE),VLOOKUP(E2700,Equivalencia!$5:$23,((MAX(Equivalencia!$3:$3)-YEAR(C2700))*14)+MONTH(C2700)+2,FALSE)))</f>
        <v>0</v>
      </c>
      <c r="J2700" s="178">
        <f t="shared" si="241"/>
        <v>0</v>
      </c>
      <c r="K2700" s="462">
        <f>IF(C2700=0,0,VLOOKUP(YEAR(C2700),INPC!$B$4:$O$29,MONTH(C2700)+1))</f>
        <v>0</v>
      </c>
      <c r="L2700" s="462">
        <f>IF(S2700=0,0,VLOOKUP(YEAR(S2700),INPC!$B$4:$O$29,MONTH(S2700)+1))</f>
        <v>0</v>
      </c>
      <c r="M2700" s="463">
        <f t="shared" si="234"/>
        <v>0</v>
      </c>
      <c r="N2700" s="465">
        <f t="shared" si="242"/>
        <v>0</v>
      </c>
      <c r="O2700" s="179"/>
      <c r="P2700" s="180"/>
      <c r="Q2700" s="173"/>
      <c r="R2700" s="173"/>
      <c r="S2700" s="174"/>
      <c r="T2700" s="173"/>
      <c r="U2700" s="182"/>
      <c r="V2700" s="177">
        <f>IF(U2700=0,0,IF(T2700="MXN",1/HLOOKUP(YEAR(S2700)+(MONTH(S2700)/100),TC!$5:$37,DAY(S2700)+2,FALSE),VLOOKUP(T2700,Equivalencia!$1:$23,((MAX(Equivalencia!$3:$3)-YEAR(S2700))*14)+MONTH(S2700)+2,FALSE)))</f>
        <v>0</v>
      </c>
      <c r="W2700" s="178">
        <f t="shared" si="239"/>
        <v>0</v>
      </c>
      <c r="X2700" s="481">
        <f t="shared" si="235"/>
        <v>0</v>
      </c>
      <c r="Y2700" s="179"/>
      <c r="Z2700" s="466">
        <f t="shared" si="236"/>
        <v>0</v>
      </c>
      <c r="AA2700" s="473">
        <f t="shared" si="237"/>
        <v>0</v>
      </c>
      <c r="AB2700" s="339">
        <f t="shared" si="238"/>
        <v>0</v>
      </c>
    </row>
    <row r="2701" spans="2:28" ht="20.100000000000001" customHeight="1">
      <c r="B2701" s="172"/>
      <c r="C2701" s="174"/>
      <c r="D2701" s="181"/>
      <c r="E2701" s="173"/>
      <c r="F2701" s="176"/>
      <c r="G2701" s="175">
        <f t="shared" si="240"/>
        <v>0</v>
      </c>
      <c r="H2701" s="175">
        <f t="shared" si="233"/>
        <v>0</v>
      </c>
      <c r="I2701" s="177">
        <f>IF(G2701=0,0,IF(E2701="MXN",1/HLOOKUP(YEAR(C2701)+(MONTH(C2701)/100),TC!$5:$37,DAY(C2701)+2,FALSE),VLOOKUP(E2701,Equivalencia!$5:$23,((MAX(Equivalencia!$3:$3)-YEAR(C2701))*14)+MONTH(C2701)+2,FALSE)))</f>
        <v>0</v>
      </c>
      <c r="J2701" s="178">
        <f t="shared" si="241"/>
        <v>0</v>
      </c>
      <c r="K2701" s="462">
        <f>IF(C2701=0,0,VLOOKUP(YEAR(C2701),INPC!$B$4:$O$29,MONTH(C2701)+1))</f>
        <v>0</v>
      </c>
      <c r="L2701" s="462">
        <f>IF(S2701=0,0,VLOOKUP(YEAR(S2701),INPC!$B$4:$O$29,MONTH(S2701)+1))</f>
        <v>0</v>
      </c>
      <c r="M2701" s="463">
        <f t="shared" si="234"/>
        <v>0</v>
      </c>
      <c r="N2701" s="465">
        <f t="shared" si="242"/>
        <v>0</v>
      </c>
      <c r="O2701" s="179"/>
      <c r="P2701" s="180"/>
      <c r="Q2701" s="173"/>
      <c r="R2701" s="173"/>
      <c r="S2701" s="174"/>
      <c r="T2701" s="173"/>
      <c r="U2701" s="182"/>
      <c r="V2701" s="177">
        <f>IF(U2701=0,0,IF(T2701="MXN",1/HLOOKUP(YEAR(S2701)+(MONTH(S2701)/100),TC!$5:$37,DAY(S2701)+2,FALSE),VLOOKUP(T2701,Equivalencia!$1:$23,((MAX(Equivalencia!$3:$3)-YEAR(S2701))*14)+MONTH(S2701)+2,FALSE)))</f>
        <v>0</v>
      </c>
      <c r="W2701" s="178">
        <f t="shared" si="239"/>
        <v>0</v>
      </c>
      <c r="X2701" s="481">
        <f t="shared" si="235"/>
        <v>0</v>
      </c>
      <c r="Y2701" s="179"/>
      <c r="Z2701" s="466">
        <f t="shared" si="236"/>
        <v>0</v>
      </c>
      <c r="AA2701" s="473">
        <f t="shared" si="237"/>
        <v>0</v>
      </c>
      <c r="AB2701" s="339">
        <f t="shared" si="238"/>
        <v>0</v>
      </c>
    </row>
    <row r="2702" spans="2:28" ht="20.100000000000001" customHeight="1">
      <c r="B2702" s="172"/>
      <c r="C2702" s="174"/>
      <c r="D2702" s="181"/>
      <c r="E2702" s="173"/>
      <c r="F2702" s="176"/>
      <c r="G2702" s="175">
        <f t="shared" si="240"/>
        <v>0</v>
      </c>
      <c r="H2702" s="175">
        <f t="shared" si="233"/>
        <v>0</v>
      </c>
      <c r="I2702" s="177">
        <f>IF(G2702=0,0,IF(E2702="MXN",1/HLOOKUP(YEAR(C2702)+(MONTH(C2702)/100),TC!$5:$37,DAY(C2702)+2,FALSE),VLOOKUP(E2702,Equivalencia!$5:$23,((MAX(Equivalencia!$3:$3)-YEAR(C2702))*14)+MONTH(C2702)+2,FALSE)))</f>
        <v>0</v>
      </c>
      <c r="J2702" s="178">
        <f t="shared" si="241"/>
        <v>0</v>
      </c>
      <c r="K2702" s="462">
        <f>IF(C2702=0,0,VLOOKUP(YEAR(C2702),INPC!$B$4:$O$29,MONTH(C2702)+1))</f>
        <v>0</v>
      </c>
      <c r="L2702" s="462">
        <f>IF(S2702=0,0,VLOOKUP(YEAR(S2702),INPC!$B$4:$O$29,MONTH(S2702)+1))</f>
        <v>0</v>
      </c>
      <c r="M2702" s="463">
        <f t="shared" si="234"/>
        <v>0</v>
      </c>
      <c r="N2702" s="465">
        <f t="shared" si="242"/>
        <v>0</v>
      </c>
      <c r="O2702" s="179"/>
      <c r="P2702" s="180"/>
      <c r="Q2702" s="173"/>
      <c r="R2702" s="173"/>
      <c r="S2702" s="174"/>
      <c r="T2702" s="173"/>
      <c r="U2702" s="182"/>
      <c r="V2702" s="177">
        <f>IF(U2702=0,0,IF(T2702="MXN",1/HLOOKUP(YEAR(S2702)+(MONTH(S2702)/100),TC!$5:$37,DAY(S2702)+2,FALSE),VLOOKUP(T2702,Equivalencia!$1:$23,((MAX(Equivalencia!$3:$3)-YEAR(S2702))*14)+MONTH(S2702)+2,FALSE)))</f>
        <v>0</v>
      </c>
      <c r="W2702" s="178">
        <f t="shared" si="239"/>
        <v>0</v>
      </c>
      <c r="X2702" s="481">
        <f t="shared" si="235"/>
        <v>0</v>
      </c>
      <c r="Y2702" s="179"/>
      <c r="Z2702" s="466">
        <f t="shared" si="236"/>
        <v>0</v>
      </c>
      <c r="AA2702" s="473">
        <f t="shared" si="237"/>
        <v>0</v>
      </c>
      <c r="AB2702" s="339">
        <f t="shared" si="238"/>
        <v>0</v>
      </c>
    </row>
    <row r="2703" spans="2:28" ht="20.100000000000001" customHeight="1">
      <c r="B2703" s="172"/>
      <c r="C2703" s="174"/>
      <c r="D2703" s="181"/>
      <c r="E2703" s="173"/>
      <c r="F2703" s="176"/>
      <c r="G2703" s="175">
        <f t="shared" si="240"/>
        <v>0</v>
      </c>
      <c r="H2703" s="175">
        <f t="shared" si="233"/>
        <v>0</v>
      </c>
      <c r="I2703" s="177">
        <f>IF(G2703=0,0,IF(E2703="MXN",1/HLOOKUP(YEAR(C2703)+(MONTH(C2703)/100),TC!$5:$37,DAY(C2703)+2,FALSE),VLOOKUP(E2703,Equivalencia!$5:$23,((MAX(Equivalencia!$3:$3)-YEAR(C2703))*14)+MONTH(C2703)+2,FALSE)))</f>
        <v>0</v>
      </c>
      <c r="J2703" s="178">
        <f t="shared" si="241"/>
        <v>0</v>
      </c>
      <c r="K2703" s="462">
        <f>IF(C2703=0,0,VLOOKUP(YEAR(C2703),INPC!$B$4:$O$29,MONTH(C2703)+1))</f>
        <v>0</v>
      </c>
      <c r="L2703" s="462">
        <f>IF(S2703=0,0,VLOOKUP(YEAR(S2703),INPC!$B$4:$O$29,MONTH(S2703)+1))</f>
        <v>0</v>
      </c>
      <c r="M2703" s="463">
        <f t="shared" si="234"/>
        <v>0</v>
      </c>
      <c r="N2703" s="465">
        <f t="shared" si="242"/>
        <v>0</v>
      </c>
      <c r="O2703" s="179"/>
      <c r="P2703" s="180"/>
      <c r="Q2703" s="173"/>
      <c r="R2703" s="173"/>
      <c r="S2703" s="174"/>
      <c r="T2703" s="173"/>
      <c r="U2703" s="182"/>
      <c r="V2703" s="177">
        <f>IF(U2703=0,0,IF(T2703="MXN",1/HLOOKUP(YEAR(S2703)+(MONTH(S2703)/100),TC!$5:$37,DAY(S2703)+2,FALSE),VLOOKUP(T2703,Equivalencia!$1:$23,((MAX(Equivalencia!$3:$3)-YEAR(S2703))*14)+MONTH(S2703)+2,FALSE)))</f>
        <v>0</v>
      </c>
      <c r="W2703" s="178">
        <f t="shared" si="239"/>
        <v>0</v>
      </c>
      <c r="X2703" s="481">
        <f t="shared" si="235"/>
        <v>0</v>
      </c>
      <c r="Y2703" s="179"/>
      <c r="Z2703" s="466">
        <f t="shared" si="236"/>
        <v>0</v>
      </c>
      <c r="AA2703" s="473">
        <f t="shared" si="237"/>
        <v>0</v>
      </c>
      <c r="AB2703" s="339">
        <f t="shared" si="238"/>
        <v>0</v>
      </c>
    </row>
    <row r="2704" spans="2:28" ht="20.100000000000001" customHeight="1">
      <c r="B2704" s="172"/>
      <c r="C2704" s="174"/>
      <c r="D2704" s="181"/>
      <c r="E2704" s="173"/>
      <c r="F2704" s="176"/>
      <c r="G2704" s="175">
        <f t="shared" si="240"/>
        <v>0</v>
      </c>
      <c r="H2704" s="175">
        <f t="shared" si="233"/>
        <v>0</v>
      </c>
      <c r="I2704" s="177">
        <f>IF(G2704=0,0,IF(E2704="MXN",1/HLOOKUP(YEAR(C2704)+(MONTH(C2704)/100),TC!$5:$37,DAY(C2704)+2,FALSE),VLOOKUP(E2704,Equivalencia!$5:$23,((MAX(Equivalencia!$3:$3)-YEAR(C2704))*14)+MONTH(C2704)+2,FALSE)))</f>
        <v>0</v>
      </c>
      <c r="J2704" s="178">
        <f t="shared" si="241"/>
        <v>0</v>
      </c>
      <c r="K2704" s="462">
        <f>IF(C2704=0,0,VLOOKUP(YEAR(C2704),INPC!$B$4:$O$29,MONTH(C2704)+1))</f>
        <v>0</v>
      </c>
      <c r="L2704" s="462">
        <f>IF(S2704=0,0,VLOOKUP(YEAR(S2704),INPC!$B$4:$O$29,MONTH(S2704)+1))</f>
        <v>0</v>
      </c>
      <c r="M2704" s="463">
        <f t="shared" si="234"/>
        <v>0</v>
      </c>
      <c r="N2704" s="465">
        <f t="shared" si="242"/>
        <v>0</v>
      </c>
      <c r="O2704" s="179"/>
      <c r="P2704" s="180"/>
      <c r="Q2704" s="173"/>
      <c r="R2704" s="173"/>
      <c r="S2704" s="174"/>
      <c r="T2704" s="173"/>
      <c r="U2704" s="182"/>
      <c r="V2704" s="177">
        <f>IF(U2704=0,0,IF(T2704="MXN",1/HLOOKUP(YEAR(S2704)+(MONTH(S2704)/100),TC!$5:$37,DAY(S2704)+2,FALSE),VLOOKUP(T2704,Equivalencia!$1:$23,((MAX(Equivalencia!$3:$3)-YEAR(S2704))*14)+MONTH(S2704)+2,FALSE)))</f>
        <v>0</v>
      </c>
      <c r="W2704" s="178">
        <f t="shared" si="239"/>
        <v>0</v>
      </c>
      <c r="X2704" s="481">
        <f t="shared" si="235"/>
        <v>0</v>
      </c>
      <c r="Y2704" s="179"/>
      <c r="Z2704" s="466">
        <f t="shared" si="236"/>
        <v>0</v>
      </c>
      <c r="AA2704" s="473">
        <f t="shared" si="237"/>
        <v>0</v>
      </c>
      <c r="AB2704" s="339">
        <f t="shared" si="238"/>
        <v>0</v>
      </c>
    </row>
    <row r="2705" spans="2:28" ht="20.100000000000001" customHeight="1">
      <c r="B2705" s="172"/>
      <c r="C2705" s="174"/>
      <c r="D2705" s="181"/>
      <c r="E2705" s="173"/>
      <c r="F2705" s="176"/>
      <c r="G2705" s="175">
        <f t="shared" si="240"/>
        <v>0</v>
      </c>
      <c r="H2705" s="175">
        <f t="shared" si="233"/>
        <v>0</v>
      </c>
      <c r="I2705" s="177">
        <f>IF(G2705=0,0,IF(E2705="MXN",1/HLOOKUP(YEAR(C2705)+(MONTH(C2705)/100),TC!$5:$37,DAY(C2705)+2,FALSE),VLOOKUP(E2705,Equivalencia!$5:$23,((MAX(Equivalencia!$3:$3)-YEAR(C2705))*14)+MONTH(C2705)+2,FALSE)))</f>
        <v>0</v>
      </c>
      <c r="J2705" s="178">
        <f t="shared" si="241"/>
        <v>0</v>
      </c>
      <c r="K2705" s="462">
        <f>IF(C2705=0,0,VLOOKUP(YEAR(C2705),INPC!$B$4:$O$29,MONTH(C2705)+1))</f>
        <v>0</v>
      </c>
      <c r="L2705" s="462">
        <f>IF(S2705=0,0,VLOOKUP(YEAR(S2705),INPC!$B$4:$O$29,MONTH(S2705)+1))</f>
        <v>0</v>
      </c>
      <c r="M2705" s="463">
        <f t="shared" si="234"/>
        <v>0</v>
      </c>
      <c r="N2705" s="465">
        <f t="shared" si="242"/>
        <v>0</v>
      </c>
      <c r="O2705" s="179"/>
      <c r="P2705" s="180"/>
      <c r="Q2705" s="173"/>
      <c r="R2705" s="173"/>
      <c r="S2705" s="174"/>
      <c r="T2705" s="173"/>
      <c r="U2705" s="182"/>
      <c r="V2705" s="177">
        <f>IF(U2705=0,0,IF(T2705="MXN",1/HLOOKUP(YEAR(S2705)+(MONTH(S2705)/100),TC!$5:$37,DAY(S2705)+2,FALSE),VLOOKUP(T2705,Equivalencia!$1:$23,((MAX(Equivalencia!$3:$3)-YEAR(S2705))*14)+MONTH(S2705)+2,FALSE)))</f>
        <v>0</v>
      </c>
      <c r="W2705" s="178">
        <f t="shared" si="239"/>
        <v>0</v>
      </c>
      <c r="X2705" s="481">
        <f t="shared" si="235"/>
        <v>0</v>
      </c>
      <c r="Y2705" s="179"/>
      <c r="Z2705" s="466">
        <f t="shared" si="236"/>
        <v>0</v>
      </c>
      <c r="AA2705" s="473">
        <f t="shared" si="237"/>
        <v>0</v>
      </c>
      <c r="AB2705" s="339">
        <f t="shared" si="238"/>
        <v>0</v>
      </c>
    </row>
    <row r="2706" spans="2:28" ht="20.100000000000001" customHeight="1">
      <c r="B2706" s="172"/>
      <c r="C2706" s="174"/>
      <c r="D2706" s="181"/>
      <c r="E2706" s="173"/>
      <c r="F2706" s="176"/>
      <c r="G2706" s="175">
        <f t="shared" si="240"/>
        <v>0</v>
      </c>
      <c r="H2706" s="175">
        <f t="shared" si="233"/>
        <v>0</v>
      </c>
      <c r="I2706" s="177">
        <f>IF(G2706=0,0,IF(E2706="MXN",1/HLOOKUP(YEAR(C2706)+(MONTH(C2706)/100),TC!$5:$37,DAY(C2706)+2,FALSE),VLOOKUP(E2706,Equivalencia!$5:$23,((MAX(Equivalencia!$3:$3)-YEAR(C2706))*14)+MONTH(C2706)+2,FALSE)))</f>
        <v>0</v>
      </c>
      <c r="J2706" s="178">
        <f t="shared" si="241"/>
        <v>0</v>
      </c>
      <c r="K2706" s="462">
        <f>IF(C2706=0,0,VLOOKUP(YEAR(C2706),INPC!$B$4:$O$29,MONTH(C2706)+1))</f>
        <v>0</v>
      </c>
      <c r="L2706" s="462">
        <f>IF(S2706=0,0,VLOOKUP(YEAR(S2706),INPC!$B$4:$O$29,MONTH(S2706)+1))</f>
        <v>0</v>
      </c>
      <c r="M2706" s="463">
        <f t="shared" si="234"/>
        <v>0</v>
      </c>
      <c r="N2706" s="465">
        <f t="shared" si="242"/>
        <v>0</v>
      </c>
      <c r="O2706" s="179"/>
      <c r="P2706" s="180"/>
      <c r="Q2706" s="173"/>
      <c r="R2706" s="173"/>
      <c r="S2706" s="174"/>
      <c r="T2706" s="173"/>
      <c r="U2706" s="182"/>
      <c r="V2706" s="177">
        <f>IF(U2706=0,0,IF(T2706="MXN",1/HLOOKUP(YEAR(S2706)+(MONTH(S2706)/100),TC!$5:$37,DAY(S2706)+2,FALSE),VLOOKUP(T2706,Equivalencia!$1:$23,((MAX(Equivalencia!$3:$3)-YEAR(S2706))*14)+MONTH(S2706)+2,FALSE)))</f>
        <v>0</v>
      </c>
      <c r="W2706" s="178">
        <f t="shared" si="239"/>
        <v>0</v>
      </c>
      <c r="X2706" s="481">
        <f t="shared" si="235"/>
        <v>0</v>
      </c>
      <c r="Y2706" s="179"/>
      <c r="Z2706" s="466">
        <f t="shared" si="236"/>
        <v>0</v>
      </c>
      <c r="AA2706" s="473">
        <f t="shared" si="237"/>
        <v>0</v>
      </c>
      <c r="AB2706" s="339">
        <f t="shared" si="238"/>
        <v>0</v>
      </c>
    </row>
    <row r="2707" spans="2:28" ht="20.100000000000001" customHeight="1">
      <c r="B2707" s="172"/>
      <c r="C2707" s="174"/>
      <c r="D2707" s="181"/>
      <c r="E2707" s="173"/>
      <c r="F2707" s="176"/>
      <c r="G2707" s="175">
        <f t="shared" si="240"/>
        <v>0</v>
      </c>
      <c r="H2707" s="175">
        <f t="shared" si="233"/>
        <v>0</v>
      </c>
      <c r="I2707" s="177">
        <f>IF(G2707=0,0,IF(E2707="MXN",1/HLOOKUP(YEAR(C2707)+(MONTH(C2707)/100),TC!$5:$37,DAY(C2707)+2,FALSE),VLOOKUP(E2707,Equivalencia!$5:$23,((MAX(Equivalencia!$3:$3)-YEAR(C2707))*14)+MONTH(C2707)+2,FALSE)))</f>
        <v>0</v>
      </c>
      <c r="J2707" s="178">
        <f t="shared" si="241"/>
        <v>0</v>
      </c>
      <c r="K2707" s="462">
        <f>IF(C2707=0,0,VLOOKUP(YEAR(C2707),INPC!$B$4:$O$29,MONTH(C2707)+1))</f>
        <v>0</v>
      </c>
      <c r="L2707" s="462">
        <f>IF(S2707=0,0,VLOOKUP(YEAR(S2707),INPC!$B$4:$O$29,MONTH(S2707)+1))</f>
        <v>0</v>
      </c>
      <c r="M2707" s="463">
        <f t="shared" si="234"/>
        <v>0</v>
      </c>
      <c r="N2707" s="465">
        <f t="shared" si="242"/>
        <v>0</v>
      </c>
      <c r="O2707" s="179"/>
      <c r="P2707" s="180"/>
      <c r="Q2707" s="173"/>
      <c r="R2707" s="173"/>
      <c r="S2707" s="174"/>
      <c r="T2707" s="173"/>
      <c r="U2707" s="182"/>
      <c r="V2707" s="177">
        <f>IF(U2707=0,0,IF(T2707="MXN",1/HLOOKUP(YEAR(S2707)+(MONTH(S2707)/100),TC!$5:$37,DAY(S2707)+2,FALSE),VLOOKUP(T2707,Equivalencia!$1:$23,((MAX(Equivalencia!$3:$3)-YEAR(S2707))*14)+MONTH(S2707)+2,FALSE)))</f>
        <v>0</v>
      </c>
      <c r="W2707" s="178">
        <f t="shared" si="239"/>
        <v>0</v>
      </c>
      <c r="X2707" s="481">
        <f t="shared" si="235"/>
        <v>0</v>
      </c>
      <c r="Y2707" s="179"/>
      <c r="Z2707" s="466">
        <f t="shared" si="236"/>
        <v>0</v>
      </c>
      <c r="AA2707" s="473">
        <f t="shared" si="237"/>
        <v>0</v>
      </c>
      <c r="AB2707" s="339">
        <f t="shared" si="238"/>
        <v>0</v>
      </c>
    </row>
    <row r="2708" spans="2:28" ht="20.100000000000001" customHeight="1">
      <c r="B2708" s="172"/>
      <c r="C2708" s="174"/>
      <c r="D2708" s="181"/>
      <c r="E2708" s="173"/>
      <c r="F2708" s="176"/>
      <c r="G2708" s="175">
        <f t="shared" si="240"/>
        <v>0</v>
      </c>
      <c r="H2708" s="175">
        <f t="shared" si="233"/>
        <v>0</v>
      </c>
      <c r="I2708" s="177">
        <f>IF(G2708=0,0,IF(E2708="MXN",1/HLOOKUP(YEAR(C2708)+(MONTH(C2708)/100),TC!$5:$37,DAY(C2708)+2,FALSE),VLOOKUP(E2708,Equivalencia!$5:$23,((MAX(Equivalencia!$3:$3)-YEAR(C2708))*14)+MONTH(C2708)+2,FALSE)))</f>
        <v>0</v>
      </c>
      <c r="J2708" s="178">
        <f t="shared" si="241"/>
        <v>0</v>
      </c>
      <c r="K2708" s="462">
        <f>IF(C2708=0,0,VLOOKUP(YEAR(C2708),INPC!$B$4:$O$29,MONTH(C2708)+1))</f>
        <v>0</v>
      </c>
      <c r="L2708" s="462">
        <f>IF(S2708=0,0,VLOOKUP(YEAR(S2708),INPC!$B$4:$O$29,MONTH(S2708)+1))</f>
        <v>0</v>
      </c>
      <c r="M2708" s="463">
        <f t="shared" si="234"/>
        <v>0</v>
      </c>
      <c r="N2708" s="465">
        <f t="shared" si="242"/>
        <v>0</v>
      </c>
      <c r="O2708" s="179"/>
      <c r="P2708" s="180"/>
      <c r="Q2708" s="173"/>
      <c r="R2708" s="173"/>
      <c r="S2708" s="174"/>
      <c r="T2708" s="173"/>
      <c r="U2708" s="182"/>
      <c r="V2708" s="177">
        <f>IF(U2708=0,0,IF(T2708="MXN",1/HLOOKUP(YEAR(S2708)+(MONTH(S2708)/100),TC!$5:$37,DAY(S2708)+2,FALSE),VLOOKUP(T2708,Equivalencia!$1:$23,((MAX(Equivalencia!$3:$3)-YEAR(S2708))*14)+MONTH(S2708)+2,FALSE)))</f>
        <v>0</v>
      </c>
      <c r="W2708" s="178">
        <f t="shared" si="239"/>
        <v>0</v>
      </c>
      <c r="X2708" s="481">
        <f t="shared" si="235"/>
        <v>0</v>
      </c>
      <c r="Y2708" s="179"/>
      <c r="Z2708" s="466">
        <f t="shared" si="236"/>
        <v>0</v>
      </c>
      <c r="AA2708" s="473">
        <f t="shared" si="237"/>
        <v>0</v>
      </c>
      <c r="AB2708" s="339">
        <f t="shared" si="238"/>
        <v>0</v>
      </c>
    </row>
    <row r="2709" spans="2:28" ht="20.100000000000001" customHeight="1">
      <c r="B2709" s="172"/>
      <c r="C2709" s="174"/>
      <c r="D2709" s="181"/>
      <c r="E2709" s="173"/>
      <c r="F2709" s="176"/>
      <c r="G2709" s="175">
        <f t="shared" si="240"/>
        <v>0</v>
      </c>
      <c r="H2709" s="175">
        <f t="shared" si="233"/>
        <v>0</v>
      </c>
      <c r="I2709" s="177">
        <f>IF(G2709=0,0,IF(E2709="MXN",1/HLOOKUP(YEAR(C2709)+(MONTH(C2709)/100),TC!$5:$37,DAY(C2709)+2,FALSE),VLOOKUP(E2709,Equivalencia!$5:$23,((MAX(Equivalencia!$3:$3)-YEAR(C2709))*14)+MONTH(C2709)+2,FALSE)))</f>
        <v>0</v>
      </c>
      <c r="J2709" s="178">
        <f t="shared" si="241"/>
        <v>0</v>
      </c>
      <c r="K2709" s="462">
        <f>IF(C2709=0,0,VLOOKUP(YEAR(C2709),INPC!$B$4:$O$29,MONTH(C2709)+1))</f>
        <v>0</v>
      </c>
      <c r="L2709" s="462">
        <f>IF(S2709=0,0,VLOOKUP(YEAR(S2709),INPC!$B$4:$O$29,MONTH(S2709)+1))</f>
        <v>0</v>
      </c>
      <c r="M2709" s="463">
        <f t="shared" si="234"/>
        <v>0</v>
      </c>
      <c r="N2709" s="465">
        <f t="shared" si="242"/>
        <v>0</v>
      </c>
      <c r="O2709" s="179"/>
      <c r="P2709" s="180"/>
      <c r="Q2709" s="173"/>
      <c r="R2709" s="173"/>
      <c r="S2709" s="174"/>
      <c r="T2709" s="173"/>
      <c r="U2709" s="182"/>
      <c r="V2709" s="177">
        <f>IF(U2709=0,0,IF(T2709="MXN",1/HLOOKUP(YEAR(S2709)+(MONTH(S2709)/100),TC!$5:$37,DAY(S2709)+2,FALSE),VLOOKUP(T2709,Equivalencia!$1:$23,((MAX(Equivalencia!$3:$3)-YEAR(S2709))*14)+MONTH(S2709)+2,FALSE)))</f>
        <v>0</v>
      </c>
      <c r="W2709" s="178">
        <f t="shared" si="239"/>
        <v>0</v>
      </c>
      <c r="X2709" s="481">
        <f t="shared" si="235"/>
        <v>0</v>
      </c>
      <c r="Y2709" s="179"/>
      <c r="Z2709" s="466">
        <f t="shared" si="236"/>
        <v>0</v>
      </c>
      <c r="AA2709" s="473">
        <f t="shared" si="237"/>
        <v>0</v>
      </c>
      <c r="AB2709" s="339">
        <f t="shared" si="238"/>
        <v>0</v>
      </c>
    </row>
    <row r="2710" spans="2:28" ht="20.100000000000001" customHeight="1">
      <c r="B2710" s="172"/>
      <c r="C2710" s="174"/>
      <c r="D2710" s="181"/>
      <c r="E2710" s="173"/>
      <c r="F2710" s="176"/>
      <c r="G2710" s="175">
        <f t="shared" si="240"/>
        <v>0</v>
      </c>
      <c r="H2710" s="175">
        <f t="shared" si="233"/>
        <v>0</v>
      </c>
      <c r="I2710" s="177">
        <f>IF(G2710=0,0,IF(E2710="MXN",1/HLOOKUP(YEAR(C2710)+(MONTH(C2710)/100),TC!$5:$37,DAY(C2710)+2,FALSE),VLOOKUP(E2710,Equivalencia!$5:$23,((MAX(Equivalencia!$3:$3)-YEAR(C2710))*14)+MONTH(C2710)+2,FALSE)))</f>
        <v>0</v>
      </c>
      <c r="J2710" s="178">
        <f t="shared" si="241"/>
        <v>0</v>
      </c>
      <c r="K2710" s="462">
        <f>IF(C2710=0,0,VLOOKUP(YEAR(C2710),INPC!$B$4:$O$29,MONTH(C2710)+1))</f>
        <v>0</v>
      </c>
      <c r="L2710" s="462">
        <f>IF(S2710=0,0,VLOOKUP(YEAR(S2710),INPC!$B$4:$O$29,MONTH(S2710)+1))</f>
        <v>0</v>
      </c>
      <c r="M2710" s="463">
        <f t="shared" si="234"/>
        <v>0</v>
      </c>
      <c r="N2710" s="465">
        <f t="shared" si="242"/>
        <v>0</v>
      </c>
      <c r="O2710" s="179"/>
      <c r="P2710" s="180"/>
      <c r="Q2710" s="173"/>
      <c r="R2710" s="173"/>
      <c r="S2710" s="174"/>
      <c r="T2710" s="173"/>
      <c r="U2710" s="182"/>
      <c r="V2710" s="177">
        <f>IF(U2710=0,0,IF(T2710="MXN",1/HLOOKUP(YEAR(S2710)+(MONTH(S2710)/100),TC!$5:$37,DAY(S2710)+2,FALSE),VLOOKUP(T2710,Equivalencia!$1:$23,((MAX(Equivalencia!$3:$3)-YEAR(S2710))*14)+MONTH(S2710)+2,FALSE)))</f>
        <v>0</v>
      </c>
      <c r="W2710" s="178">
        <f t="shared" si="239"/>
        <v>0</v>
      </c>
      <c r="X2710" s="481">
        <f t="shared" si="235"/>
        <v>0</v>
      </c>
      <c r="Y2710" s="179"/>
      <c r="Z2710" s="466">
        <f t="shared" si="236"/>
        <v>0</v>
      </c>
      <c r="AA2710" s="473">
        <f t="shared" si="237"/>
        <v>0</v>
      </c>
      <c r="AB2710" s="339">
        <f t="shared" si="238"/>
        <v>0</v>
      </c>
    </row>
    <row r="2711" spans="2:28" ht="20.100000000000001" customHeight="1">
      <c r="B2711" s="172"/>
      <c r="C2711" s="174"/>
      <c r="D2711" s="181"/>
      <c r="E2711" s="173"/>
      <c r="F2711" s="176"/>
      <c r="G2711" s="175">
        <f t="shared" si="240"/>
        <v>0</v>
      </c>
      <c r="H2711" s="175">
        <f t="shared" si="233"/>
        <v>0</v>
      </c>
      <c r="I2711" s="177">
        <f>IF(G2711=0,0,IF(E2711="MXN",1/HLOOKUP(YEAR(C2711)+(MONTH(C2711)/100),TC!$5:$37,DAY(C2711)+2,FALSE),VLOOKUP(E2711,Equivalencia!$5:$23,((MAX(Equivalencia!$3:$3)-YEAR(C2711))*14)+MONTH(C2711)+2,FALSE)))</f>
        <v>0</v>
      </c>
      <c r="J2711" s="178">
        <f t="shared" si="241"/>
        <v>0</v>
      </c>
      <c r="K2711" s="462">
        <f>IF(C2711=0,0,VLOOKUP(YEAR(C2711),INPC!$B$4:$O$29,MONTH(C2711)+1))</f>
        <v>0</v>
      </c>
      <c r="L2711" s="462">
        <f>IF(S2711=0,0,VLOOKUP(YEAR(S2711),INPC!$B$4:$O$29,MONTH(S2711)+1))</f>
        <v>0</v>
      </c>
      <c r="M2711" s="463">
        <f t="shared" si="234"/>
        <v>0</v>
      </c>
      <c r="N2711" s="465">
        <f t="shared" si="242"/>
        <v>0</v>
      </c>
      <c r="O2711" s="179"/>
      <c r="P2711" s="180"/>
      <c r="Q2711" s="173"/>
      <c r="R2711" s="173"/>
      <c r="S2711" s="174"/>
      <c r="T2711" s="173"/>
      <c r="U2711" s="182"/>
      <c r="V2711" s="177">
        <f>IF(U2711=0,0,IF(T2711="MXN",1/HLOOKUP(YEAR(S2711)+(MONTH(S2711)/100),TC!$5:$37,DAY(S2711)+2,FALSE),VLOOKUP(T2711,Equivalencia!$1:$23,((MAX(Equivalencia!$3:$3)-YEAR(S2711))*14)+MONTH(S2711)+2,FALSE)))</f>
        <v>0</v>
      </c>
      <c r="W2711" s="178">
        <f t="shared" si="239"/>
        <v>0</v>
      </c>
      <c r="X2711" s="481">
        <f t="shared" si="235"/>
        <v>0</v>
      </c>
      <c r="Y2711" s="179"/>
      <c r="Z2711" s="466">
        <f t="shared" si="236"/>
        <v>0</v>
      </c>
      <c r="AA2711" s="473">
        <f t="shared" si="237"/>
        <v>0</v>
      </c>
      <c r="AB2711" s="339">
        <f t="shared" si="238"/>
        <v>0</v>
      </c>
    </row>
    <row r="2712" spans="2:28" ht="20.100000000000001" customHeight="1">
      <c r="B2712" s="172"/>
      <c r="C2712" s="174"/>
      <c r="D2712" s="181"/>
      <c r="E2712" s="173"/>
      <c r="F2712" s="176"/>
      <c r="G2712" s="175">
        <f t="shared" si="240"/>
        <v>0</v>
      </c>
      <c r="H2712" s="175">
        <f t="shared" si="233"/>
        <v>0</v>
      </c>
      <c r="I2712" s="177">
        <f>IF(G2712=0,0,IF(E2712="MXN",1/HLOOKUP(YEAR(C2712)+(MONTH(C2712)/100),TC!$5:$37,DAY(C2712)+2,FALSE),VLOOKUP(E2712,Equivalencia!$5:$23,((MAX(Equivalencia!$3:$3)-YEAR(C2712))*14)+MONTH(C2712)+2,FALSE)))</f>
        <v>0</v>
      </c>
      <c r="J2712" s="178">
        <f t="shared" si="241"/>
        <v>0</v>
      </c>
      <c r="K2712" s="462">
        <f>IF(C2712=0,0,VLOOKUP(YEAR(C2712),INPC!$B$4:$O$29,MONTH(C2712)+1))</f>
        <v>0</v>
      </c>
      <c r="L2712" s="462">
        <f>IF(S2712=0,0,VLOOKUP(YEAR(S2712),INPC!$B$4:$O$29,MONTH(S2712)+1))</f>
        <v>0</v>
      </c>
      <c r="M2712" s="463">
        <f t="shared" si="234"/>
        <v>0</v>
      </c>
      <c r="N2712" s="465">
        <f t="shared" si="242"/>
        <v>0</v>
      </c>
      <c r="O2712" s="179"/>
      <c r="P2712" s="180"/>
      <c r="Q2712" s="173"/>
      <c r="R2712" s="173"/>
      <c r="S2712" s="174"/>
      <c r="T2712" s="173"/>
      <c r="U2712" s="182"/>
      <c r="V2712" s="177">
        <f>IF(U2712=0,0,IF(T2712="MXN",1/HLOOKUP(YEAR(S2712)+(MONTH(S2712)/100),TC!$5:$37,DAY(S2712)+2,FALSE),VLOOKUP(T2712,Equivalencia!$1:$23,((MAX(Equivalencia!$3:$3)-YEAR(S2712))*14)+MONTH(S2712)+2,FALSE)))</f>
        <v>0</v>
      </c>
      <c r="W2712" s="178">
        <f t="shared" si="239"/>
        <v>0</v>
      </c>
      <c r="X2712" s="481">
        <f t="shared" si="235"/>
        <v>0</v>
      </c>
      <c r="Y2712" s="179"/>
      <c r="Z2712" s="466">
        <f t="shared" si="236"/>
        <v>0</v>
      </c>
      <c r="AA2712" s="473">
        <f t="shared" si="237"/>
        <v>0</v>
      </c>
      <c r="AB2712" s="339">
        <f t="shared" si="238"/>
        <v>0</v>
      </c>
    </row>
    <row r="2713" spans="2:28" ht="20.100000000000001" customHeight="1">
      <c r="B2713" s="172"/>
      <c r="C2713" s="174"/>
      <c r="D2713" s="181"/>
      <c r="E2713" s="173"/>
      <c r="F2713" s="176"/>
      <c r="G2713" s="175">
        <f t="shared" si="240"/>
        <v>0</v>
      </c>
      <c r="H2713" s="175">
        <f t="shared" si="233"/>
        <v>0</v>
      </c>
      <c r="I2713" s="177">
        <f>IF(G2713=0,0,IF(E2713="MXN",1/HLOOKUP(YEAR(C2713)+(MONTH(C2713)/100),TC!$5:$37,DAY(C2713)+2,FALSE),VLOOKUP(E2713,Equivalencia!$5:$23,((MAX(Equivalencia!$3:$3)-YEAR(C2713))*14)+MONTH(C2713)+2,FALSE)))</f>
        <v>0</v>
      </c>
      <c r="J2713" s="178">
        <f t="shared" si="241"/>
        <v>0</v>
      </c>
      <c r="K2713" s="462">
        <f>IF(C2713=0,0,VLOOKUP(YEAR(C2713),INPC!$B$4:$O$29,MONTH(C2713)+1))</f>
        <v>0</v>
      </c>
      <c r="L2713" s="462">
        <f>IF(S2713=0,0,VLOOKUP(YEAR(S2713),INPC!$B$4:$O$29,MONTH(S2713)+1))</f>
        <v>0</v>
      </c>
      <c r="M2713" s="463">
        <f t="shared" si="234"/>
        <v>0</v>
      </c>
      <c r="N2713" s="465">
        <f t="shared" si="242"/>
        <v>0</v>
      </c>
      <c r="O2713" s="179"/>
      <c r="P2713" s="180"/>
      <c r="Q2713" s="173"/>
      <c r="R2713" s="173"/>
      <c r="S2713" s="174"/>
      <c r="T2713" s="173"/>
      <c r="U2713" s="182"/>
      <c r="V2713" s="177">
        <f>IF(U2713=0,0,IF(T2713="MXN",1/HLOOKUP(YEAR(S2713)+(MONTH(S2713)/100),TC!$5:$37,DAY(S2713)+2,FALSE),VLOOKUP(T2713,Equivalencia!$1:$23,((MAX(Equivalencia!$3:$3)-YEAR(S2713))*14)+MONTH(S2713)+2,FALSE)))</f>
        <v>0</v>
      </c>
      <c r="W2713" s="178">
        <f t="shared" si="239"/>
        <v>0</v>
      </c>
      <c r="X2713" s="481">
        <f t="shared" si="235"/>
        <v>0</v>
      </c>
      <c r="Y2713" s="179"/>
      <c r="Z2713" s="466">
        <f t="shared" si="236"/>
        <v>0</v>
      </c>
      <c r="AA2713" s="473">
        <f t="shared" si="237"/>
        <v>0</v>
      </c>
      <c r="AB2713" s="339">
        <f t="shared" si="238"/>
        <v>0</v>
      </c>
    </row>
    <row r="2714" spans="2:28" ht="20.100000000000001" customHeight="1">
      <c r="B2714" s="172"/>
      <c r="C2714" s="174"/>
      <c r="D2714" s="181"/>
      <c r="E2714" s="173"/>
      <c r="F2714" s="176"/>
      <c r="G2714" s="175">
        <f t="shared" si="240"/>
        <v>0</v>
      </c>
      <c r="H2714" s="175">
        <f t="shared" si="233"/>
        <v>0</v>
      </c>
      <c r="I2714" s="177">
        <f>IF(G2714=0,0,IF(E2714="MXN",1/HLOOKUP(YEAR(C2714)+(MONTH(C2714)/100),TC!$5:$37,DAY(C2714)+2,FALSE),VLOOKUP(E2714,Equivalencia!$5:$23,((MAX(Equivalencia!$3:$3)-YEAR(C2714))*14)+MONTH(C2714)+2,FALSE)))</f>
        <v>0</v>
      </c>
      <c r="J2714" s="178">
        <f t="shared" si="241"/>
        <v>0</v>
      </c>
      <c r="K2714" s="462">
        <f>IF(C2714=0,0,VLOOKUP(YEAR(C2714),INPC!$B$4:$O$29,MONTH(C2714)+1))</f>
        <v>0</v>
      </c>
      <c r="L2714" s="462">
        <f>IF(S2714=0,0,VLOOKUP(YEAR(S2714),INPC!$B$4:$O$29,MONTH(S2714)+1))</f>
        <v>0</v>
      </c>
      <c r="M2714" s="463">
        <f t="shared" si="234"/>
        <v>0</v>
      </c>
      <c r="N2714" s="465">
        <f t="shared" si="242"/>
        <v>0</v>
      </c>
      <c r="O2714" s="179"/>
      <c r="P2714" s="180"/>
      <c r="Q2714" s="173"/>
      <c r="R2714" s="173"/>
      <c r="S2714" s="174"/>
      <c r="T2714" s="173"/>
      <c r="U2714" s="182"/>
      <c r="V2714" s="177">
        <f>IF(U2714=0,0,IF(T2714="MXN",1/HLOOKUP(YEAR(S2714)+(MONTH(S2714)/100),TC!$5:$37,DAY(S2714)+2,FALSE),VLOOKUP(T2714,Equivalencia!$1:$23,((MAX(Equivalencia!$3:$3)-YEAR(S2714))*14)+MONTH(S2714)+2,FALSE)))</f>
        <v>0</v>
      </c>
      <c r="W2714" s="178">
        <f t="shared" si="239"/>
        <v>0</v>
      </c>
      <c r="X2714" s="481">
        <f t="shared" si="235"/>
        <v>0</v>
      </c>
      <c r="Y2714" s="179"/>
      <c r="Z2714" s="466">
        <f t="shared" si="236"/>
        <v>0</v>
      </c>
      <c r="AA2714" s="473">
        <f t="shared" si="237"/>
        <v>0</v>
      </c>
      <c r="AB2714" s="339">
        <f t="shared" si="238"/>
        <v>0</v>
      </c>
    </row>
    <row r="2715" spans="2:28" ht="20.100000000000001" customHeight="1">
      <c r="B2715" s="172"/>
      <c r="C2715" s="174"/>
      <c r="D2715" s="181"/>
      <c r="E2715" s="173"/>
      <c r="F2715" s="176"/>
      <c r="G2715" s="175">
        <f t="shared" si="240"/>
        <v>0</v>
      </c>
      <c r="H2715" s="175">
        <f t="shared" si="233"/>
        <v>0</v>
      </c>
      <c r="I2715" s="177">
        <f>IF(G2715=0,0,IF(E2715="MXN",1/HLOOKUP(YEAR(C2715)+(MONTH(C2715)/100),TC!$5:$37,DAY(C2715)+2,FALSE),VLOOKUP(E2715,Equivalencia!$5:$23,((MAX(Equivalencia!$3:$3)-YEAR(C2715))*14)+MONTH(C2715)+2,FALSE)))</f>
        <v>0</v>
      </c>
      <c r="J2715" s="178">
        <f t="shared" si="241"/>
        <v>0</v>
      </c>
      <c r="K2715" s="462">
        <f>IF(C2715=0,0,VLOOKUP(YEAR(C2715),INPC!$B$4:$O$29,MONTH(C2715)+1))</f>
        <v>0</v>
      </c>
      <c r="L2715" s="462">
        <f>IF(S2715=0,0,VLOOKUP(YEAR(S2715),INPC!$B$4:$O$29,MONTH(S2715)+1))</f>
        <v>0</v>
      </c>
      <c r="M2715" s="463">
        <f t="shared" si="234"/>
        <v>0</v>
      </c>
      <c r="N2715" s="465">
        <f t="shared" si="242"/>
        <v>0</v>
      </c>
      <c r="O2715" s="179"/>
      <c r="P2715" s="180"/>
      <c r="Q2715" s="173"/>
      <c r="R2715" s="173"/>
      <c r="S2715" s="174"/>
      <c r="T2715" s="173"/>
      <c r="U2715" s="182"/>
      <c r="V2715" s="177">
        <f>IF(U2715=0,0,IF(T2715="MXN",1/HLOOKUP(YEAR(S2715)+(MONTH(S2715)/100),TC!$5:$37,DAY(S2715)+2,FALSE),VLOOKUP(T2715,Equivalencia!$1:$23,((MAX(Equivalencia!$3:$3)-YEAR(S2715))*14)+MONTH(S2715)+2,FALSE)))</f>
        <v>0</v>
      </c>
      <c r="W2715" s="178">
        <f t="shared" si="239"/>
        <v>0</v>
      </c>
      <c r="X2715" s="481">
        <f t="shared" si="235"/>
        <v>0</v>
      </c>
      <c r="Y2715" s="179"/>
      <c r="Z2715" s="466">
        <f t="shared" si="236"/>
        <v>0</v>
      </c>
      <c r="AA2715" s="473">
        <f t="shared" si="237"/>
        <v>0</v>
      </c>
      <c r="AB2715" s="339">
        <f t="shared" si="238"/>
        <v>0</v>
      </c>
    </row>
    <row r="2716" spans="2:28" ht="20.100000000000001" customHeight="1">
      <c r="B2716" s="172"/>
      <c r="C2716" s="174"/>
      <c r="D2716" s="181"/>
      <c r="E2716" s="173"/>
      <c r="F2716" s="176"/>
      <c r="G2716" s="175">
        <f t="shared" si="240"/>
        <v>0</v>
      </c>
      <c r="H2716" s="175">
        <f t="shared" si="233"/>
        <v>0</v>
      </c>
      <c r="I2716" s="177">
        <f>IF(G2716=0,0,IF(E2716="MXN",1/HLOOKUP(YEAR(C2716)+(MONTH(C2716)/100),TC!$5:$37,DAY(C2716)+2,FALSE),VLOOKUP(E2716,Equivalencia!$5:$23,((MAX(Equivalencia!$3:$3)-YEAR(C2716))*14)+MONTH(C2716)+2,FALSE)))</f>
        <v>0</v>
      </c>
      <c r="J2716" s="178">
        <f t="shared" si="241"/>
        <v>0</v>
      </c>
      <c r="K2716" s="462">
        <f>IF(C2716=0,0,VLOOKUP(YEAR(C2716),INPC!$B$4:$O$29,MONTH(C2716)+1))</f>
        <v>0</v>
      </c>
      <c r="L2716" s="462">
        <f>IF(S2716=0,0,VLOOKUP(YEAR(S2716),INPC!$B$4:$O$29,MONTH(S2716)+1))</f>
        <v>0</v>
      </c>
      <c r="M2716" s="463">
        <f t="shared" si="234"/>
        <v>0</v>
      </c>
      <c r="N2716" s="465">
        <f t="shared" si="242"/>
        <v>0</v>
      </c>
      <c r="O2716" s="179"/>
      <c r="P2716" s="180"/>
      <c r="Q2716" s="173"/>
      <c r="R2716" s="173"/>
      <c r="S2716" s="174"/>
      <c r="T2716" s="173"/>
      <c r="U2716" s="182"/>
      <c r="V2716" s="177">
        <f>IF(U2716=0,0,IF(T2716="MXN",1/HLOOKUP(YEAR(S2716)+(MONTH(S2716)/100),TC!$5:$37,DAY(S2716)+2,FALSE),VLOOKUP(T2716,Equivalencia!$1:$23,((MAX(Equivalencia!$3:$3)-YEAR(S2716))*14)+MONTH(S2716)+2,FALSE)))</f>
        <v>0</v>
      </c>
      <c r="W2716" s="178">
        <f t="shared" si="239"/>
        <v>0</v>
      </c>
      <c r="X2716" s="481">
        <f t="shared" si="235"/>
        <v>0</v>
      </c>
      <c r="Y2716" s="179"/>
      <c r="Z2716" s="466">
        <f t="shared" si="236"/>
        <v>0</v>
      </c>
      <c r="AA2716" s="473">
        <f t="shared" si="237"/>
        <v>0</v>
      </c>
      <c r="AB2716" s="339">
        <f t="shared" si="238"/>
        <v>0</v>
      </c>
    </row>
    <row r="2717" spans="2:28" ht="20.100000000000001" customHeight="1">
      <c r="B2717" s="172"/>
      <c r="C2717" s="174"/>
      <c r="D2717" s="181"/>
      <c r="E2717" s="173"/>
      <c r="F2717" s="176"/>
      <c r="G2717" s="175">
        <f t="shared" si="240"/>
        <v>0</v>
      </c>
      <c r="H2717" s="175">
        <f t="shared" si="233"/>
        <v>0</v>
      </c>
      <c r="I2717" s="177">
        <f>IF(G2717=0,0,IF(E2717="MXN",1/HLOOKUP(YEAR(C2717)+(MONTH(C2717)/100),TC!$5:$37,DAY(C2717)+2,FALSE),VLOOKUP(E2717,Equivalencia!$5:$23,((MAX(Equivalencia!$3:$3)-YEAR(C2717))*14)+MONTH(C2717)+2,FALSE)))</f>
        <v>0</v>
      </c>
      <c r="J2717" s="178">
        <f t="shared" si="241"/>
        <v>0</v>
      </c>
      <c r="K2717" s="462">
        <f>IF(C2717=0,0,VLOOKUP(YEAR(C2717),INPC!$B$4:$O$29,MONTH(C2717)+1))</f>
        <v>0</v>
      </c>
      <c r="L2717" s="462">
        <f>IF(S2717=0,0,VLOOKUP(YEAR(S2717),INPC!$B$4:$O$29,MONTH(S2717)+1))</f>
        <v>0</v>
      </c>
      <c r="M2717" s="463">
        <f t="shared" si="234"/>
        <v>0</v>
      </c>
      <c r="N2717" s="465">
        <f t="shared" si="242"/>
        <v>0</v>
      </c>
      <c r="O2717" s="179"/>
      <c r="P2717" s="180"/>
      <c r="Q2717" s="173"/>
      <c r="R2717" s="173"/>
      <c r="S2717" s="174"/>
      <c r="T2717" s="173"/>
      <c r="U2717" s="182"/>
      <c r="V2717" s="177">
        <f>IF(U2717=0,0,IF(T2717="MXN",1/HLOOKUP(YEAR(S2717)+(MONTH(S2717)/100),TC!$5:$37,DAY(S2717)+2,FALSE),VLOOKUP(T2717,Equivalencia!$1:$23,((MAX(Equivalencia!$3:$3)-YEAR(S2717))*14)+MONTH(S2717)+2,FALSE)))</f>
        <v>0</v>
      </c>
      <c r="W2717" s="178">
        <f t="shared" si="239"/>
        <v>0</v>
      </c>
      <c r="X2717" s="481">
        <f t="shared" si="235"/>
        <v>0</v>
      </c>
      <c r="Y2717" s="179"/>
      <c r="Z2717" s="466">
        <f t="shared" si="236"/>
        <v>0</v>
      </c>
      <c r="AA2717" s="473">
        <f t="shared" si="237"/>
        <v>0</v>
      </c>
      <c r="AB2717" s="339">
        <f t="shared" si="238"/>
        <v>0</v>
      </c>
    </row>
    <row r="2718" spans="2:28" ht="20.100000000000001" customHeight="1">
      <c r="B2718" s="172"/>
      <c r="C2718" s="174"/>
      <c r="D2718" s="181"/>
      <c r="E2718" s="173"/>
      <c r="F2718" s="176"/>
      <c r="G2718" s="175">
        <f t="shared" si="240"/>
        <v>0</v>
      </c>
      <c r="H2718" s="175">
        <f t="shared" si="233"/>
        <v>0</v>
      </c>
      <c r="I2718" s="177">
        <f>IF(G2718=0,0,IF(E2718="MXN",1/HLOOKUP(YEAR(C2718)+(MONTH(C2718)/100),TC!$5:$37,DAY(C2718)+2,FALSE),VLOOKUP(E2718,Equivalencia!$5:$23,((MAX(Equivalencia!$3:$3)-YEAR(C2718))*14)+MONTH(C2718)+2,FALSE)))</f>
        <v>0</v>
      </c>
      <c r="J2718" s="178">
        <f t="shared" si="241"/>
        <v>0</v>
      </c>
      <c r="K2718" s="462">
        <f>IF(C2718=0,0,VLOOKUP(YEAR(C2718),INPC!$B$4:$O$29,MONTH(C2718)+1))</f>
        <v>0</v>
      </c>
      <c r="L2718" s="462">
        <f>IF(S2718=0,0,VLOOKUP(YEAR(S2718),INPC!$B$4:$O$29,MONTH(S2718)+1))</f>
        <v>0</v>
      </c>
      <c r="M2718" s="463">
        <f t="shared" si="234"/>
        <v>0</v>
      </c>
      <c r="N2718" s="465">
        <f t="shared" si="242"/>
        <v>0</v>
      </c>
      <c r="O2718" s="179"/>
      <c r="P2718" s="180"/>
      <c r="Q2718" s="173"/>
      <c r="R2718" s="173"/>
      <c r="S2718" s="174"/>
      <c r="T2718" s="173"/>
      <c r="U2718" s="182"/>
      <c r="V2718" s="177">
        <f>IF(U2718=0,0,IF(T2718="MXN",1/HLOOKUP(YEAR(S2718)+(MONTH(S2718)/100),TC!$5:$37,DAY(S2718)+2,FALSE),VLOOKUP(T2718,Equivalencia!$1:$23,((MAX(Equivalencia!$3:$3)-YEAR(S2718))*14)+MONTH(S2718)+2,FALSE)))</f>
        <v>0</v>
      </c>
      <c r="W2718" s="178">
        <f t="shared" si="239"/>
        <v>0</v>
      </c>
      <c r="X2718" s="481">
        <f t="shared" si="235"/>
        <v>0</v>
      </c>
      <c r="Y2718" s="179"/>
      <c r="Z2718" s="466">
        <f t="shared" si="236"/>
        <v>0</v>
      </c>
      <c r="AA2718" s="473">
        <f t="shared" si="237"/>
        <v>0</v>
      </c>
      <c r="AB2718" s="339">
        <f t="shared" si="238"/>
        <v>0</v>
      </c>
    </row>
    <row r="2719" spans="2:28" ht="20.100000000000001" customHeight="1">
      <c r="B2719" s="172"/>
      <c r="C2719" s="174"/>
      <c r="D2719" s="181"/>
      <c r="E2719" s="173"/>
      <c r="F2719" s="176"/>
      <c r="G2719" s="175">
        <f t="shared" si="240"/>
        <v>0</v>
      </c>
      <c r="H2719" s="175">
        <f t="shared" si="233"/>
        <v>0</v>
      </c>
      <c r="I2719" s="177">
        <f>IF(G2719=0,0,IF(E2719="MXN",1/HLOOKUP(YEAR(C2719)+(MONTH(C2719)/100),TC!$5:$37,DAY(C2719)+2,FALSE),VLOOKUP(E2719,Equivalencia!$5:$23,((MAX(Equivalencia!$3:$3)-YEAR(C2719))*14)+MONTH(C2719)+2,FALSE)))</f>
        <v>0</v>
      </c>
      <c r="J2719" s="178">
        <f t="shared" si="241"/>
        <v>0</v>
      </c>
      <c r="K2719" s="462">
        <f>IF(C2719=0,0,VLOOKUP(YEAR(C2719),INPC!$B$4:$O$29,MONTH(C2719)+1))</f>
        <v>0</v>
      </c>
      <c r="L2719" s="462">
        <f>IF(S2719=0,0,VLOOKUP(YEAR(S2719),INPC!$B$4:$O$29,MONTH(S2719)+1))</f>
        <v>0</v>
      </c>
      <c r="M2719" s="463">
        <f t="shared" si="234"/>
        <v>0</v>
      </c>
      <c r="N2719" s="465">
        <f t="shared" si="242"/>
        <v>0</v>
      </c>
      <c r="O2719" s="179"/>
      <c r="P2719" s="180"/>
      <c r="Q2719" s="173"/>
      <c r="R2719" s="173"/>
      <c r="S2719" s="174"/>
      <c r="T2719" s="173"/>
      <c r="U2719" s="182"/>
      <c r="V2719" s="177">
        <f>IF(U2719=0,0,IF(T2719="MXN",1/HLOOKUP(YEAR(S2719)+(MONTH(S2719)/100),TC!$5:$37,DAY(S2719)+2,FALSE),VLOOKUP(T2719,Equivalencia!$1:$23,((MAX(Equivalencia!$3:$3)-YEAR(S2719))*14)+MONTH(S2719)+2,FALSE)))</f>
        <v>0</v>
      </c>
      <c r="W2719" s="178">
        <f t="shared" si="239"/>
        <v>0</v>
      </c>
      <c r="X2719" s="481">
        <f t="shared" si="235"/>
        <v>0</v>
      </c>
      <c r="Y2719" s="179"/>
      <c r="Z2719" s="466">
        <f t="shared" si="236"/>
        <v>0</v>
      </c>
      <c r="AA2719" s="473">
        <f t="shared" si="237"/>
        <v>0</v>
      </c>
      <c r="AB2719" s="339">
        <f t="shared" si="238"/>
        <v>0</v>
      </c>
    </row>
    <row r="2720" spans="2:28" ht="20.100000000000001" customHeight="1">
      <c r="B2720" s="172"/>
      <c r="C2720" s="174"/>
      <c r="D2720" s="181"/>
      <c r="E2720" s="173"/>
      <c r="F2720" s="176"/>
      <c r="G2720" s="175">
        <f t="shared" si="240"/>
        <v>0</v>
      </c>
      <c r="H2720" s="175">
        <f t="shared" si="233"/>
        <v>0</v>
      </c>
      <c r="I2720" s="177">
        <f>IF(G2720=0,0,IF(E2720="MXN",1/HLOOKUP(YEAR(C2720)+(MONTH(C2720)/100),TC!$5:$37,DAY(C2720)+2,FALSE),VLOOKUP(E2720,Equivalencia!$5:$23,((MAX(Equivalencia!$3:$3)-YEAR(C2720))*14)+MONTH(C2720)+2,FALSE)))</f>
        <v>0</v>
      </c>
      <c r="J2720" s="178">
        <f t="shared" si="241"/>
        <v>0</v>
      </c>
      <c r="K2720" s="462">
        <f>IF(C2720=0,0,VLOOKUP(YEAR(C2720),INPC!$B$4:$O$29,MONTH(C2720)+1))</f>
        <v>0</v>
      </c>
      <c r="L2720" s="462">
        <f>IF(S2720=0,0,VLOOKUP(YEAR(S2720),INPC!$B$4:$O$29,MONTH(S2720)+1))</f>
        <v>0</v>
      </c>
      <c r="M2720" s="463">
        <f t="shared" si="234"/>
        <v>0</v>
      </c>
      <c r="N2720" s="465">
        <f t="shared" si="242"/>
        <v>0</v>
      </c>
      <c r="O2720" s="179"/>
      <c r="P2720" s="180"/>
      <c r="Q2720" s="173"/>
      <c r="R2720" s="173"/>
      <c r="S2720" s="174"/>
      <c r="T2720" s="173"/>
      <c r="U2720" s="182"/>
      <c r="V2720" s="177">
        <f>IF(U2720=0,0,IF(T2720="MXN",1/HLOOKUP(YEAR(S2720)+(MONTH(S2720)/100),TC!$5:$37,DAY(S2720)+2,FALSE),VLOOKUP(T2720,Equivalencia!$1:$23,((MAX(Equivalencia!$3:$3)-YEAR(S2720))*14)+MONTH(S2720)+2,FALSE)))</f>
        <v>0</v>
      </c>
      <c r="W2720" s="178">
        <f t="shared" si="239"/>
        <v>0</v>
      </c>
      <c r="X2720" s="481">
        <f t="shared" si="235"/>
        <v>0</v>
      </c>
      <c r="Y2720" s="179"/>
      <c r="Z2720" s="466">
        <f t="shared" si="236"/>
        <v>0</v>
      </c>
      <c r="AA2720" s="473">
        <f t="shared" si="237"/>
        <v>0</v>
      </c>
      <c r="AB2720" s="339">
        <f t="shared" si="238"/>
        <v>0</v>
      </c>
    </row>
    <row r="2721" spans="2:28" ht="20.100000000000001" customHeight="1">
      <c r="B2721" s="172"/>
      <c r="C2721" s="174"/>
      <c r="D2721" s="181"/>
      <c r="E2721" s="173"/>
      <c r="F2721" s="176"/>
      <c r="G2721" s="175">
        <f t="shared" si="240"/>
        <v>0</v>
      </c>
      <c r="H2721" s="175">
        <f t="shared" si="233"/>
        <v>0</v>
      </c>
      <c r="I2721" s="177">
        <f>IF(G2721=0,0,IF(E2721="MXN",1/HLOOKUP(YEAR(C2721)+(MONTH(C2721)/100),TC!$5:$37,DAY(C2721)+2,FALSE),VLOOKUP(E2721,Equivalencia!$5:$23,((MAX(Equivalencia!$3:$3)-YEAR(C2721))*14)+MONTH(C2721)+2,FALSE)))</f>
        <v>0</v>
      </c>
      <c r="J2721" s="178">
        <f t="shared" si="241"/>
        <v>0</v>
      </c>
      <c r="K2721" s="462">
        <f>IF(C2721=0,0,VLOOKUP(YEAR(C2721),INPC!$B$4:$O$29,MONTH(C2721)+1))</f>
        <v>0</v>
      </c>
      <c r="L2721" s="462">
        <f>IF(S2721=0,0,VLOOKUP(YEAR(S2721),INPC!$B$4:$O$29,MONTH(S2721)+1))</f>
        <v>0</v>
      </c>
      <c r="M2721" s="463">
        <f t="shared" si="234"/>
        <v>0</v>
      </c>
      <c r="N2721" s="465">
        <f t="shared" si="242"/>
        <v>0</v>
      </c>
      <c r="O2721" s="179"/>
      <c r="P2721" s="180"/>
      <c r="Q2721" s="173"/>
      <c r="R2721" s="173"/>
      <c r="S2721" s="174"/>
      <c r="T2721" s="173"/>
      <c r="U2721" s="182"/>
      <c r="V2721" s="177">
        <f>IF(U2721=0,0,IF(T2721="MXN",1/HLOOKUP(YEAR(S2721)+(MONTH(S2721)/100),TC!$5:$37,DAY(S2721)+2,FALSE),VLOOKUP(T2721,Equivalencia!$1:$23,((MAX(Equivalencia!$3:$3)-YEAR(S2721))*14)+MONTH(S2721)+2,FALSE)))</f>
        <v>0</v>
      </c>
      <c r="W2721" s="178">
        <f t="shared" si="239"/>
        <v>0</v>
      </c>
      <c r="X2721" s="481">
        <f t="shared" si="235"/>
        <v>0</v>
      </c>
      <c r="Y2721" s="179"/>
      <c r="Z2721" s="466">
        <f t="shared" si="236"/>
        <v>0</v>
      </c>
      <c r="AA2721" s="473">
        <f t="shared" si="237"/>
        <v>0</v>
      </c>
      <c r="AB2721" s="339">
        <f t="shared" si="238"/>
        <v>0</v>
      </c>
    </row>
    <row r="2722" spans="2:28" ht="20.100000000000001" customHeight="1">
      <c r="B2722" s="172"/>
      <c r="C2722" s="174"/>
      <c r="D2722" s="181"/>
      <c r="E2722" s="173"/>
      <c r="F2722" s="176"/>
      <c r="G2722" s="175">
        <f t="shared" si="240"/>
        <v>0</v>
      </c>
      <c r="H2722" s="175">
        <f t="shared" si="233"/>
        <v>0</v>
      </c>
      <c r="I2722" s="177">
        <f>IF(G2722=0,0,IF(E2722="MXN",1/HLOOKUP(YEAR(C2722)+(MONTH(C2722)/100),TC!$5:$37,DAY(C2722)+2,FALSE),VLOOKUP(E2722,Equivalencia!$5:$23,((MAX(Equivalencia!$3:$3)-YEAR(C2722))*14)+MONTH(C2722)+2,FALSE)))</f>
        <v>0</v>
      </c>
      <c r="J2722" s="178">
        <f t="shared" si="241"/>
        <v>0</v>
      </c>
      <c r="K2722" s="462">
        <f>IF(C2722=0,0,VLOOKUP(YEAR(C2722),INPC!$B$4:$O$29,MONTH(C2722)+1))</f>
        <v>0</v>
      </c>
      <c r="L2722" s="462">
        <f>IF(S2722=0,0,VLOOKUP(YEAR(S2722),INPC!$B$4:$O$29,MONTH(S2722)+1))</f>
        <v>0</v>
      </c>
      <c r="M2722" s="463">
        <f t="shared" si="234"/>
        <v>0</v>
      </c>
      <c r="N2722" s="465">
        <f t="shared" si="242"/>
        <v>0</v>
      </c>
      <c r="O2722" s="179"/>
      <c r="P2722" s="180"/>
      <c r="Q2722" s="173"/>
      <c r="R2722" s="173"/>
      <c r="S2722" s="174"/>
      <c r="T2722" s="173"/>
      <c r="U2722" s="182"/>
      <c r="V2722" s="177">
        <f>IF(U2722=0,0,IF(T2722="MXN",1/HLOOKUP(YEAR(S2722)+(MONTH(S2722)/100),TC!$5:$37,DAY(S2722)+2,FALSE),VLOOKUP(T2722,Equivalencia!$1:$23,((MAX(Equivalencia!$3:$3)-YEAR(S2722))*14)+MONTH(S2722)+2,FALSE)))</f>
        <v>0</v>
      </c>
      <c r="W2722" s="178">
        <f t="shared" si="239"/>
        <v>0</v>
      </c>
      <c r="X2722" s="481">
        <f t="shared" si="235"/>
        <v>0</v>
      </c>
      <c r="Y2722" s="179"/>
      <c r="Z2722" s="466">
        <f t="shared" si="236"/>
        <v>0</v>
      </c>
      <c r="AA2722" s="473">
        <f t="shared" si="237"/>
        <v>0</v>
      </c>
      <c r="AB2722" s="339">
        <f t="shared" si="238"/>
        <v>0</v>
      </c>
    </row>
    <row r="2723" spans="2:28" ht="20.100000000000001" customHeight="1">
      <c r="B2723" s="172"/>
      <c r="C2723" s="174"/>
      <c r="D2723" s="181"/>
      <c r="E2723" s="173"/>
      <c r="F2723" s="176"/>
      <c r="G2723" s="175">
        <f t="shared" si="240"/>
        <v>0</v>
      </c>
      <c r="H2723" s="175">
        <f t="shared" si="233"/>
        <v>0</v>
      </c>
      <c r="I2723" s="177">
        <f>IF(G2723=0,0,IF(E2723="MXN",1/HLOOKUP(YEAR(C2723)+(MONTH(C2723)/100),TC!$5:$37,DAY(C2723)+2,FALSE),VLOOKUP(E2723,Equivalencia!$5:$23,((MAX(Equivalencia!$3:$3)-YEAR(C2723))*14)+MONTH(C2723)+2,FALSE)))</f>
        <v>0</v>
      </c>
      <c r="J2723" s="178">
        <f t="shared" si="241"/>
        <v>0</v>
      </c>
      <c r="K2723" s="462">
        <f>IF(C2723=0,0,VLOOKUP(YEAR(C2723),INPC!$B$4:$O$29,MONTH(C2723)+1))</f>
        <v>0</v>
      </c>
      <c r="L2723" s="462">
        <f>IF(S2723=0,0,VLOOKUP(YEAR(S2723),INPC!$B$4:$O$29,MONTH(S2723)+1))</f>
        <v>0</v>
      </c>
      <c r="M2723" s="463">
        <f t="shared" si="234"/>
        <v>0</v>
      </c>
      <c r="N2723" s="465">
        <f t="shared" si="242"/>
        <v>0</v>
      </c>
      <c r="O2723" s="179"/>
      <c r="P2723" s="180"/>
      <c r="Q2723" s="173"/>
      <c r="R2723" s="173"/>
      <c r="S2723" s="174"/>
      <c r="T2723" s="173"/>
      <c r="U2723" s="182"/>
      <c r="V2723" s="177">
        <f>IF(U2723=0,0,IF(T2723="MXN",1/HLOOKUP(YEAR(S2723)+(MONTH(S2723)/100),TC!$5:$37,DAY(S2723)+2,FALSE),VLOOKUP(T2723,Equivalencia!$1:$23,((MAX(Equivalencia!$3:$3)-YEAR(S2723))*14)+MONTH(S2723)+2,FALSE)))</f>
        <v>0</v>
      </c>
      <c r="W2723" s="178">
        <f t="shared" si="239"/>
        <v>0</v>
      </c>
      <c r="X2723" s="481">
        <f t="shared" si="235"/>
        <v>0</v>
      </c>
      <c r="Y2723" s="179"/>
      <c r="Z2723" s="466">
        <f t="shared" si="236"/>
        <v>0</v>
      </c>
      <c r="AA2723" s="473">
        <f t="shared" si="237"/>
        <v>0</v>
      </c>
      <c r="AB2723" s="339">
        <f t="shared" si="238"/>
        <v>0</v>
      </c>
    </row>
    <row r="2724" spans="2:28" ht="20.100000000000001" customHeight="1">
      <c r="B2724" s="172"/>
      <c r="C2724" s="174"/>
      <c r="D2724" s="181"/>
      <c r="E2724" s="173"/>
      <c r="F2724" s="176"/>
      <c r="G2724" s="175">
        <f t="shared" si="240"/>
        <v>0</v>
      </c>
      <c r="H2724" s="175">
        <f t="shared" si="233"/>
        <v>0</v>
      </c>
      <c r="I2724" s="177">
        <f>IF(G2724=0,0,IF(E2724="MXN",1/HLOOKUP(YEAR(C2724)+(MONTH(C2724)/100),TC!$5:$37,DAY(C2724)+2,FALSE),VLOOKUP(E2724,Equivalencia!$5:$23,((MAX(Equivalencia!$3:$3)-YEAR(C2724))*14)+MONTH(C2724)+2,FALSE)))</f>
        <v>0</v>
      </c>
      <c r="J2724" s="178">
        <f t="shared" si="241"/>
        <v>0</v>
      </c>
      <c r="K2724" s="462">
        <f>IF(C2724=0,0,VLOOKUP(YEAR(C2724),INPC!$B$4:$O$29,MONTH(C2724)+1))</f>
        <v>0</v>
      </c>
      <c r="L2724" s="462">
        <f>IF(S2724=0,0,VLOOKUP(YEAR(S2724),INPC!$B$4:$O$29,MONTH(S2724)+1))</f>
        <v>0</v>
      </c>
      <c r="M2724" s="463">
        <f t="shared" si="234"/>
        <v>0</v>
      </c>
      <c r="N2724" s="465">
        <f t="shared" si="242"/>
        <v>0</v>
      </c>
      <c r="O2724" s="179"/>
      <c r="P2724" s="180"/>
      <c r="Q2724" s="173"/>
      <c r="R2724" s="173"/>
      <c r="S2724" s="174"/>
      <c r="T2724" s="173"/>
      <c r="U2724" s="182"/>
      <c r="V2724" s="177">
        <f>IF(U2724=0,0,IF(T2724="MXN",1/HLOOKUP(YEAR(S2724)+(MONTH(S2724)/100),TC!$5:$37,DAY(S2724)+2,FALSE),VLOOKUP(T2724,Equivalencia!$1:$23,((MAX(Equivalencia!$3:$3)-YEAR(S2724))*14)+MONTH(S2724)+2,FALSE)))</f>
        <v>0</v>
      </c>
      <c r="W2724" s="178">
        <f t="shared" si="239"/>
        <v>0</v>
      </c>
      <c r="X2724" s="481">
        <f t="shared" si="235"/>
        <v>0</v>
      </c>
      <c r="Y2724" s="179"/>
      <c r="Z2724" s="466">
        <f t="shared" si="236"/>
        <v>0</v>
      </c>
      <c r="AA2724" s="473">
        <f t="shared" si="237"/>
        <v>0</v>
      </c>
      <c r="AB2724" s="339">
        <f t="shared" si="238"/>
        <v>0</v>
      </c>
    </row>
    <row r="2725" spans="2:28" ht="20.100000000000001" customHeight="1">
      <c r="B2725" s="172"/>
      <c r="C2725" s="174"/>
      <c r="D2725" s="181"/>
      <c r="E2725" s="173"/>
      <c r="F2725" s="176"/>
      <c r="G2725" s="175">
        <f t="shared" si="240"/>
        <v>0</v>
      </c>
      <c r="H2725" s="175">
        <f t="shared" si="233"/>
        <v>0</v>
      </c>
      <c r="I2725" s="177">
        <f>IF(G2725=0,0,IF(E2725="MXN",1/HLOOKUP(YEAR(C2725)+(MONTH(C2725)/100),TC!$5:$37,DAY(C2725)+2,FALSE),VLOOKUP(E2725,Equivalencia!$5:$23,((MAX(Equivalencia!$3:$3)-YEAR(C2725))*14)+MONTH(C2725)+2,FALSE)))</f>
        <v>0</v>
      </c>
      <c r="J2725" s="178">
        <f t="shared" si="241"/>
        <v>0</v>
      </c>
      <c r="K2725" s="462">
        <f>IF(C2725=0,0,VLOOKUP(YEAR(C2725),INPC!$B$4:$O$29,MONTH(C2725)+1))</f>
        <v>0</v>
      </c>
      <c r="L2725" s="462">
        <f>IF(S2725=0,0,VLOOKUP(YEAR(S2725),INPC!$B$4:$O$29,MONTH(S2725)+1))</f>
        <v>0</v>
      </c>
      <c r="M2725" s="463">
        <f t="shared" si="234"/>
        <v>0</v>
      </c>
      <c r="N2725" s="465">
        <f t="shared" si="242"/>
        <v>0</v>
      </c>
      <c r="O2725" s="179"/>
      <c r="P2725" s="180"/>
      <c r="Q2725" s="173"/>
      <c r="R2725" s="173"/>
      <c r="S2725" s="174"/>
      <c r="T2725" s="173"/>
      <c r="U2725" s="182"/>
      <c r="V2725" s="177">
        <f>IF(U2725=0,0,IF(T2725="MXN",1/HLOOKUP(YEAR(S2725)+(MONTH(S2725)/100),TC!$5:$37,DAY(S2725)+2,FALSE),VLOOKUP(T2725,Equivalencia!$1:$23,((MAX(Equivalencia!$3:$3)-YEAR(S2725))*14)+MONTH(S2725)+2,FALSE)))</f>
        <v>0</v>
      </c>
      <c r="W2725" s="178">
        <f t="shared" si="239"/>
        <v>0</v>
      </c>
      <c r="X2725" s="481">
        <f t="shared" si="235"/>
        <v>0</v>
      </c>
      <c r="Y2725" s="179"/>
      <c r="Z2725" s="466">
        <f t="shared" si="236"/>
        <v>0</v>
      </c>
      <c r="AA2725" s="473">
        <f t="shared" si="237"/>
        <v>0</v>
      </c>
      <c r="AB2725" s="339">
        <f t="shared" si="238"/>
        <v>0</v>
      </c>
    </row>
    <row r="2726" spans="2:28" ht="20.100000000000001" customHeight="1">
      <c r="B2726" s="172"/>
      <c r="C2726" s="174"/>
      <c r="D2726" s="181"/>
      <c r="E2726" s="173"/>
      <c r="F2726" s="176"/>
      <c r="G2726" s="175">
        <f t="shared" si="240"/>
        <v>0</v>
      </c>
      <c r="H2726" s="175">
        <f t="shared" si="233"/>
        <v>0</v>
      </c>
      <c r="I2726" s="177">
        <f>IF(G2726=0,0,IF(E2726="MXN",1/HLOOKUP(YEAR(C2726)+(MONTH(C2726)/100),TC!$5:$37,DAY(C2726)+2,FALSE),VLOOKUP(E2726,Equivalencia!$5:$23,((MAX(Equivalencia!$3:$3)-YEAR(C2726))*14)+MONTH(C2726)+2,FALSE)))</f>
        <v>0</v>
      </c>
      <c r="J2726" s="178">
        <f t="shared" si="241"/>
        <v>0</v>
      </c>
      <c r="K2726" s="462">
        <f>IF(C2726=0,0,VLOOKUP(YEAR(C2726),INPC!$B$4:$O$29,MONTH(C2726)+1))</f>
        <v>0</v>
      </c>
      <c r="L2726" s="462">
        <f>IF(S2726=0,0,VLOOKUP(YEAR(S2726),INPC!$B$4:$O$29,MONTH(S2726)+1))</f>
        <v>0</v>
      </c>
      <c r="M2726" s="463">
        <f t="shared" si="234"/>
        <v>0</v>
      </c>
      <c r="N2726" s="465">
        <f t="shared" si="242"/>
        <v>0</v>
      </c>
      <c r="O2726" s="179"/>
      <c r="P2726" s="180"/>
      <c r="Q2726" s="173"/>
      <c r="R2726" s="173"/>
      <c r="S2726" s="174"/>
      <c r="T2726" s="173"/>
      <c r="U2726" s="182"/>
      <c r="V2726" s="177">
        <f>IF(U2726=0,0,IF(T2726="MXN",1/HLOOKUP(YEAR(S2726)+(MONTH(S2726)/100),TC!$5:$37,DAY(S2726)+2,FALSE),VLOOKUP(T2726,Equivalencia!$1:$23,((MAX(Equivalencia!$3:$3)-YEAR(S2726))*14)+MONTH(S2726)+2,FALSE)))</f>
        <v>0</v>
      </c>
      <c r="W2726" s="178">
        <f t="shared" si="239"/>
        <v>0</v>
      </c>
      <c r="X2726" s="481">
        <f t="shared" si="235"/>
        <v>0</v>
      </c>
      <c r="Y2726" s="179"/>
      <c r="Z2726" s="466">
        <f t="shared" si="236"/>
        <v>0</v>
      </c>
      <c r="AA2726" s="473">
        <f t="shared" si="237"/>
        <v>0</v>
      </c>
      <c r="AB2726" s="339">
        <f t="shared" si="238"/>
        <v>0</v>
      </c>
    </row>
    <row r="2727" spans="2:28" ht="20.100000000000001" customHeight="1">
      <c r="B2727" s="172"/>
      <c r="C2727" s="174"/>
      <c r="D2727" s="181"/>
      <c r="E2727" s="173"/>
      <c r="F2727" s="176"/>
      <c r="G2727" s="175">
        <f t="shared" si="240"/>
        <v>0</v>
      </c>
      <c r="H2727" s="175">
        <f t="shared" si="233"/>
        <v>0</v>
      </c>
      <c r="I2727" s="177">
        <f>IF(G2727=0,0,IF(E2727="MXN",1/HLOOKUP(YEAR(C2727)+(MONTH(C2727)/100),TC!$5:$37,DAY(C2727)+2,FALSE),VLOOKUP(E2727,Equivalencia!$5:$23,((MAX(Equivalencia!$3:$3)-YEAR(C2727))*14)+MONTH(C2727)+2,FALSE)))</f>
        <v>0</v>
      </c>
      <c r="J2727" s="178">
        <f t="shared" si="241"/>
        <v>0</v>
      </c>
      <c r="K2727" s="462">
        <f>IF(C2727=0,0,VLOOKUP(YEAR(C2727),INPC!$B$4:$O$29,MONTH(C2727)+1))</f>
        <v>0</v>
      </c>
      <c r="L2727" s="462">
        <f>IF(S2727=0,0,VLOOKUP(YEAR(S2727),INPC!$B$4:$O$29,MONTH(S2727)+1))</f>
        <v>0</v>
      </c>
      <c r="M2727" s="463">
        <f t="shared" si="234"/>
        <v>0</v>
      </c>
      <c r="N2727" s="465">
        <f t="shared" si="242"/>
        <v>0</v>
      </c>
      <c r="O2727" s="179"/>
      <c r="P2727" s="180"/>
      <c r="Q2727" s="173"/>
      <c r="R2727" s="173"/>
      <c r="S2727" s="174"/>
      <c r="T2727" s="173"/>
      <c r="U2727" s="182"/>
      <c r="V2727" s="177">
        <f>IF(U2727=0,0,IF(T2727="MXN",1/HLOOKUP(YEAR(S2727)+(MONTH(S2727)/100),TC!$5:$37,DAY(S2727)+2,FALSE),VLOOKUP(T2727,Equivalencia!$1:$23,((MAX(Equivalencia!$3:$3)-YEAR(S2727))*14)+MONTH(S2727)+2,FALSE)))</f>
        <v>0</v>
      </c>
      <c r="W2727" s="178">
        <f t="shared" si="239"/>
        <v>0</v>
      </c>
      <c r="X2727" s="481">
        <f t="shared" si="235"/>
        <v>0</v>
      </c>
      <c r="Y2727" s="179"/>
      <c r="Z2727" s="466">
        <f t="shared" si="236"/>
        <v>0</v>
      </c>
      <c r="AA2727" s="473">
        <f t="shared" si="237"/>
        <v>0</v>
      </c>
      <c r="AB2727" s="339">
        <f t="shared" si="238"/>
        <v>0</v>
      </c>
    </row>
    <row r="2728" spans="2:28" ht="20.100000000000001" customHeight="1">
      <c r="B2728" s="172"/>
      <c r="C2728" s="174"/>
      <c r="D2728" s="181"/>
      <c r="E2728" s="173"/>
      <c r="F2728" s="176"/>
      <c r="G2728" s="175">
        <f t="shared" si="240"/>
        <v>0</v>
      </c>
      <c r="H2728" s="175">
        <f t="shared" si="233"/>
        <v>0</v>
      </c>
      <c r="I2728" s="177">
        <f>IF(G2728=0,0,IF(E2728="MXN",1/HLOOKUP(YEAR(C2728)+(MONTH(C2728)/100),TC!$5:$37,DAY(C2728)+2,FALSE),VLOOKUP(E2728,Equivalencia!$5:$23,((MAX(Equivalencia!$3:$3)-YEAR(C2728))*14)+MONTH(C2728)+2,FALSE)))</f>
        <v>0</v>
      </c>
      <c r="J2728" s="178">
        <f t="shared" si="241"/>
        <v>0</v>
      </c>
      <c r="K2728" s="462">
        <f>IF(C2728=0,0,VLOOKUP(YEAR(C2728),INPC!$B$4:$O$29,MONTH(C2728)+1))</f>
        <v>0</v>
      </c>
      <c r="L2728" s="462">
        <f>IF(S2728=0,0,VLOOKUP(YEAR(S2728),INPC!$B$4:$O$29,MONTH(S2728)+1))</f>
        <v>0</v>
      </c>
      <c r="M2728" s="463">
        <f t="shared" si="234"/>
        <v>0</v>
      </c>
      <c r="N2728" s="465">
        <f t="shared" si="242"/>
        <v>0</v>
      </c>
      <c r="O2728" s="179"/>
      <c r="P2728" s="180"/>
      <c r="Q2728" s="173"/>
      <c r="R2728" s="173"/>
      <c r="S2728" s="174"/>
      <c r="T2728" s="173"/>
      <c r="U2728" s="182"/>
      <c r="V2728" s="177">
        <f>IF(U2728=0,0,IF(T2728="MXN",1/HLOOKUP(YEAR(S2728)+(MONTH(S2728)/100),TC!$5:$37,DAY(S2728)+2,FALSE),VLOOKUP(T2728,Equivalencia!$1:$23,((MAX(Equivalencia!$3:$3)-YEAR(S2728))*14)+MONTH(S2728)+2,FALSE)))</f>
        <v>0</v>
      </c>
      <c r="W2728" s="178">
        <f t="shared" si="239"/>
        <v>0</v>
      </c>
      <c r="X2728" s="481">
        <f t="shared" si="235"/>
        <v>0</v>
      </c>
      <c r="Y2728" s="179"/>
      <c r="Z2728" s="466">
        <f t="shared" si="236"/>
        <v>0</v>
      </c>
      <c r="AA2728" s="473">
        <f t="shared" si="237"/>
        <v>0</v>
      </c>
      <c r="AB2728" s="339">
        <f t="shared" si="238"/>
        <v>0</v>
      </c>
    </row>
    <row r="2729" spans="2:28" ht="20.100000000000001" customHeight="1">
      <c r="B2729" s="172"/>
      <c r="C2729" s="174"/>
      <c r="D2729" s="181"/>
      <c r="E2729" s="173"/>
      <c r="F2729" s="176"/>
      <c r="G2729" s="175">
        <f t="shared" si="240"/>
        <v>0</v>
      </c>
      <c r="H2729" s="175">
        <f t="shared" si="233"/>
        <v>0</v>
      </c>
      <c r="I2729" s="177">
        <f>IF(G2729=0,0,IF(E2729="MXN",1/HLOOKUP(YEAR(C2729)+(MONTH(C2729)/100),TC!$5:$37,DAY(C2729)+2,FALSE),VLOOKUP(E2729,Equivalencia!$5:$23,((MAX(Equivalencia!$3:$3)-YEAR(C2729))*14)+MONTH(C2729)+2,FALSE)))</f>
        <v>0</v>
      </c>
      <c r="J2729" s="178">
        <f t="shared" si="241"/>
        <v>0</v>
      </c>
      <c r="K2729" s="462">
        <f>IF(C2729=0,0,VLOOKUP(YEAR(C2729),INPC!$B$4:$O$29,MONTH(C2729)+1))</f>
        <v>0</v>
      </c>
      <c r="L2729" s="462">
        <f>IF(S2729=0,0,VLOOKUP(YEAR(S2729),INPC!$B$4:$O$29,MONTH(S2729)+1))</f>
        <v>0</v>
      </c>
      <c r="M2729" s="463">
        <f t="shared" si="234"/>
        <v>0</v>
      </c>
      <c r="N2729" s="465">
        <f t="shared" si="242"/>
        <v>0</v>
      </c>
      <c r="O2729" s="179"/>
      <c r="P2729" s="180"/>
      <c r="Q2729" s="173"/>
      <c r="R2729" s="173"/>
      <c r="S2729" s="174"/>
      <c r="T2729" s="173"/>
      <c r="U2729" s="182"/>
      <c r="V2729" s="177">
        <f>IF(U2729=0,0,IF(T2729="MXN",1/HLOOKUP(YEAR(S2729)+(MONTH(S2729)/100),TC!$5:$37,DAY(S2729)+2,FALSE),VLOOKUP(T2729,Equivalencia!$1:$23,((MAX(Equivalencia!$3:$3)-YEAR(S2729))*14)+MONTH(S2729)+2,FALSE)))</f>
        <v>0</v>
      </c>
      <c r="W2729" s="178">
        <f t="shared" si="239"/>
        <v>0</v>
      </c>
      <c r="X2729" s="481">
        <f t="shared" si="235"/>
        <v>0</v>
      </c>
      <c r="Y2729" s="179"/>
      <c r="Z2729" s="466">
        <f t="shared" si="236"/>
        <v>0</v>
      </c>
      <c r="AA2729" s="473">
        <f t="shared" si="237"/>
        <v>0</v>
      </c>
      <c r="AB2729" s="339">
        <f t="shared" si="238"/>
        <v>0</v>
      </c>
    </row>
    <row r="2730" spans="2:28" ht="20.100000000000001" customHeight="1">
      <c r="B2730" s="172"/>
      <c r="C2730" s="174"/>
      <c r="D2730" s="181"/>
      <c r="E2730" s="173"/>
      <c r="F2730" s="176"/>
      <c r="G2730" s="175">
        <f t="shared" si="240"/>
        <v>0</v>
      </c>
      <c r="H2730" s="175">
        <f t="shared" si="233"/>
        <v>0</v>
      </c>
      <c r="I2730" s="177">
        <f>IF(G2730=0,0,IF(E2730="MXN",1/HLOOKUP(YEAR(C2730)+(MONTH(C2730)/100),TC!$5:$37,DAY(C2730)+2,FALSE),VLOOKUP(E2730,Equivalencia!$5:$23,((MAX(Equivalencia!$3:$3)-YEAR(C2730))*14)+MONTH(C2730)+2,FALSE)))</f>
        <v>0</v>
      </c>
      <c r="J2730" s="178">
        <f t="shared" si="241"/>
        <v>0</v>
      </c>
      <c r="K2730" s="462">
        <f>IF(C2730=0,0,VLOOKUP(YEAR(C2730),INPC!$B$4:$O$29,MONTH(C2730)+1))</f>
        <v>0</v>
      </c>
      <c r="L2730" s="462">
        <f>IF(S2730=0,0,VLOOKUP(YEAR(S2730),INPC!$B$4:$O$29,MONTH(S2730)+1))</f>
        <v>0</v>
      </c>
      <c r="M2730" s="463">
        <f t="shared" si="234"/>
        <v>0</v>
      </c>
      <c r="N2730" s="465">
        <f t="shared" si="242"/>
        <v>0</v>
      </c>
      <c r="O2730" s="179"/>
      <c r="P2730" s="180"/>
      <c r="Q2730" s="173"/>
      <c r="R2730" s="173"/>
      <c r="S2730" s="174"/>
      <c r="T2730" s="173"/>
      <c r="U2730" s="182"/>
      <c r="V2730" s="177">
        <f>IF(U2730=0,0,IF(T2730="MXN",1/HLOOKUP(YEAR(S2730)+(MONTH(S2730)/100),TC!$5:$37,DAY(S2730)+2,FALSE),VLOOKUP(T2730,Equivalencia!$1:$23,((MAX(Equivalencia!$3:$3)-YEAR(S2730))*14)+MONTH(S2730)+2,FALSE)))</f>
        <v>0</v>
      </c>
      <c r="W2730" s="178">
        <f t="shared" si="239"/>
        <v>0</v>
      </c>
      <c r="X2730" s="481">
        <f t="shared" si="235"/>
        <v>0</v>
      </c>
      <c r="Y2730" s="179"/>
      <c r="Z2730" s="466">
        <f t="shared" si="236"/>
        <v>0</v>
      </c>
      <c r="AA2730" s="473">
        <f t="shared" si="237"/>
        <v>0</v>
      </c>
      <c r="AB2730" s="339">
        <f t="shared" si="238"/>
        <v>0</v>
      </c>
    </row>
    <row r="2731" spans="2:28" ht="20.100000000000001" customHeight="1">
      <c r="B2731" s="172"/>
      <c r="C2731" s="174"/>
      <c r="D2731" s="181"/>
      <c r="E2731" s="173"/>
      <c r="F2731" s="176"/>
      <c r="G2731" s="175">
        <f t="shared" si="240"/>
        <v>0</v>
      </c>
      <c r="H2731" s="175">
        <f t="shared" si="233"/>
        <v>0</v>
      </c>
      <c r="I2731" s="177">
        <f>IF(G2731=0,0,IF(E2731="MXN",1/HLOOKUP(YEAR(C2731)+(MONTH(C2731)/100),TC!$5:$37,DAY(C2731)+2,FALSE),VLOOKUP(E2731,Equivalencia!$5:$23,((MAX(Equivalencia!$3:$3)-YEAR(C2731))*14)+MONTH(C2731)+2,FALSE)))</f>
        <v>0</v>
      </c>
      <c r="J2731" s="178">
        <f t="shared" si="241"/>
        <v>0</v>
      </c>
      <c r="K2731" s="462">
        <f>IF(C2731=0,0,VLOOKUP(YEAR(C2731),INPC!$B$4:$O$29,MONTH(C2731)+1))</f>
        <v>0</v>
      </c>
      <c r="L2731" s="462">
        <f>IF(S2731=0,0,VLOOKUP(YEAR(S2731),INPC!$B$4:$O$29,MONTH(S2731)+1))</f>
        <v>0</v>
      </c>
      <c r="M2731" s="463">
        <f t="shared" si="234"/>
        <v>0</v>
      </c>
      <c r="N2731" s="465">
        <f t="shared" si="242"/>
        <v>0</v>
      </c>
      <c r="O2731" s="179"/>
      <c r="P2731" s="180"/>
      <c r="Q2731" s="173"/>
      <c r="R2731" s="173"/>
      <c r="S2731" s="174"/>
      <c r="T2731" s="173"/>
      <c r="U2731" s="182"/>
      <c r="V2731" s="177">
        <f>IF(U2731=0,0,IF(T2731="MXN",1/HLOOKUP(YEAR(S2731)+(MONTH(S2731)/100),TC!$5:$37,DAY(S2731)+2,FALSE),VLOOKUP(T2731,Equivalencia!$1:$23,((MAX(Equivalencia!$3:$3)-YEAR(S2731))*14)+MONTH(S2731)+2,FALSE)))</f>
        <v>0</v>
      </c>
      <c r="W2731" s="178">
        <f t="shared" si="239"/>
        <v>0</v>
      </c>
      <c r="X2731" s="481">
        <f t="shared" si="235"/>
        <v>0</v>
      </c>
      <c r="Y2731" s="179"/>
      <c r="Z2731" s="466">
        <f t="shared" si="236"/>
        <v>0</v>
      </c>
      <c r="AA2731" s="473">
        <f t="shared" si="237"/>
        <v>0</v>
      </c>
      <c r="AB2731" s="339">
        <f t="shared" si="238"/>
        <v>0</v>
      </c>
    </row>
    <row r="2732" spans="2:28" ht="20.100000000000001" customHeight="1">
      <c r="B2732" s="172"/>
      <c r="C2732" s="174"/>
      <c r="D2732" s="181"/>
      <c r="E2732" s="173"/>
      <c r="F2732" s="176"/>
      <c r="G2732" s="175">
        <f t="shared" si="240"/>
        <v>0</v>
      </c>
      <c r="H2732" s="175">
        <f t="shared" si="233"/>
        <v>0</v>
      </c>
      <c r="I2732" s="177">
        <f>IF(G2732=0,0,IF(E2732="MXN",1/HLOOKUP(YEAR(C2732)+(MONTH(C2732)/100),TC!$5:$37,DAY(C2732)+2,FALSE),VLOOKUP(E2732,Equivalencia!$5:$23,((MAX(Equivalencia!$3:$3)-YEAR(C2732))*14)+MONTH(C2732)+2,FALSE)))</f>
        <v>0</v>
      </c>
      <c r="J2732" s="178">
        <f t="shared" si="241"/>
        <v>0</v>
      </c>
      <c r="K2732" s="462">
        <f>IF(C2732=0,0,VLOOKUP(YEAR(C2732),INPC!$B$4:$O$29,MONTH(C2732)+1))</f>
        <v>0</v>
      </c>
      <c r="L2732" s="462">
        <f>IF(S2732=0,0,VLOOKUP(YEAR(S2732),INPC!$B$4:$O$29,MONTH(S2732)+1))</f>
        <v>0</v>
      </c>
      <c r="M2732" s="463">
        <f t="shared" si="234"/>
        <v>0</v>
      </c>
      <c r="N2732" s="465">
        <f t="shared" si="242"/>
        <v>0</v>
      </c>
      <c r="O2732" s="179"/>
      <c r="P2732" s="180"/>
      <c r="Q2732" s="173"/>
      <c r="R2732" s="173"/>
      <c r="S2732" s="174"/>
      <c r="T2732" s="173"/>
      <c r="U2732" s="182"/>
      <c r="V2732" s="177">
        <f>IF(U2732=0,0,IF(T2732="MXN",1/HLOOKUP(YEAR(S2732)+(MONTH(S2732)/100),TC!$5:$37,DAY(S2732)+2,FALSE),VLOOKUP(T2732,Equivalencia!$1:$23,((MAX(Equivalencia!$3:$3)-YEAR(S2732))*14)+MONTH(S2732)+2,FALSE)))</f>
        <v>0</v>
      </c>
      <c r="W2732" s="178">
        <f t="shared" si="239"/>
        <v>0</v>
      </c>
      <c r="X2732" s="481">
        <f t="shared" si="235"/>
        <v>0</v>
      </c>
      <c r="Y2732" s="179"/>
      <c r="Z2732" s="466">
        <f t="shared" si="236"/>
        <v>0</v>
      </c>
      <c r="AA2732" s="473">
        <f t="shared" si="237"/>
        <v>0</v>
      </c>
      <c r="AB2732" s="339">
        <f t="shared" si="238"/>
        <v>0</v>
      </c>
    </row>
    <row r="2733" spans="2:28" ht="20.100000000000001" customHeight="1">
      <c r="B2733" s="172"/>
      <c r="C2733" s="174"/>
      <c r="D2733" s="181"/>
      <c r="E2733" s="173"/>
      <c r="F2733" s="176"/>
      <c r="G2733" s="175">
        <f t="shared" si="240"/>
        <v>0</v>
      </c>
      <c r="H2733" s="175">
        <f t="shared" si="233"/>
        <v>0</v>
      </c>
      <c r="I2733" s="177">
        <f>IF(G2733=0,0,IF(E2733="MXN",1/HLOOKUP(YEAR(C2733)+(MONTH(C2733)/100),TC!$5:$37,DAY(C2733)+2,FALSE),VLOOKUP(E2733,Equivalencia!$5:$23,((MAX(Equivalencia!$3:$3)-YEAR(C2733))*14)+MONTH(C2733)+2,FALSE)))</f>
        <v>0</v>
      </c>
      <c r="J2733" s="178">
        <f t="shared" si="241"/>
        <v>0</v>
      </c>
      <c r="K2733" s="462">
        <f>IF(C2733=0,0,VLOOKUP(YEAR(C2733),INPC!$B$4:$O$29,MONTH(C2733)+1))</f>
        <v>0</v>
      </c>
      <c r="L2733" s="462">
        <f>IF(S2733=0,0,VLOOKUP(YEAR(S2733),INPC!$B$4:$O$29,MONTH(S2733)+1))</f>
        <v>0</v>
      </c>
      <c r="M2733" s="463">
        <f t="shared" si="234"/>
        <v>0</v>
      </c>
      <c r="N2733" s="465">
        <f t="shared" si="242"/>
        <v>0</v>
      </c>
      <c r="O2733" s="179"/>
      <c r="P2733" s="180"/>
      <c r="Q2733" s="173"/>
      <c r="R2733" s="173"/>
      <c r="S2733" s="174"/>
      <c r="T2733" s="173"/>
      <c r="U2733" s="182"/>
      <c r="V2733" s="177">
        <f>IF(U2733=0,0,IF(T2733="MXN",1/HLOOKUP(YEAR(S2733)+(MONTH(S2733)/100),TC!$5:$37,DAY(S2733)+2,FALSE),VLOOKUP(T2733,Equivalencia!$1:$23,((MAX(Equivalencia!$3:$3)-YEAR(S2733))*14)+MONTH(S2733)+2,FALSE)))</f>
        <v>0</v>
      </c>
      <c r="W2733" s="178">
        <f t="shared" si="239"/>
        <v>0</v>
      </c>
      <c r="X2733" s="481">
        <f t="shared" si="235"/>
        <v>0</v>
      </c>
      <c r="Y2733" s="179"/>
      <c r="Z2733" s="466">
        <f t="shared" si="236"/>
        <v>0</v>
      </c>
      <c r="AA2733" s="473">
        <f t="shared" si="237"/>
        <v>0</v>
      </c>
      <c r="AB2733" s="339">
        <f t="shared" si="238"/>
        <v>0</v>
      </c>
    </row>
    <row r="2734" spans="2:28" ht="20.100000000000001" customHeight="1">
      <c r="B2734" s="172"/>
      <c r="C2734" s="174"/>
      <c r="D2734" s="181"/>
      <c r="E2734" s="173"/>
      <c r="F2734" s="176"/>
      <c r="G2734" s="175">
        <f t="shared" si="240"/>
        <v>0</v>
      </c>
      <c r="H2734" s="175">
        <f t="shared" si="233"/>
        <v>0</v>
      </c>
      <c r="I2734" s="177">
        <f>IF(G2734=0,0,IF(E2734="MXN",1/HLOOKUP(YEAR(C2734)+(MONTH(C2734)/100),TC!$5:$37,DAY(C2734)+2,FALSE),VLOOKUP(E2734,Equivalencia!$5:$23,((MAX(Equivalencia!$3:$3)-YEAR(C2734))*14)+MONTH(C2734)+2,FALSE)))</f>
        <v>0</v>
      </c>
      <c r="J2734" s="178">
        <f t="shared" si="241"/>
        <v>0</v>
      </c>
      <c r="K2734" s="462">
        <f>IF(C2734=0,0,VLOOKUP(YEAR(C2734),INPC!$B$4:$O$29,MONTH(C2734)+1))</f>
        <v>0</v>
      </c>
      <c r="L2734" s="462">
        <f>IF(S2734=0,0,VLOOKUP(YEAR(S2734),INPC!$B$4:$O$29,MONTH(S2734)+1))</f>
        <v>0</v>
      </c>
      <c r="M2734" s="463">
        <f t="shared" si="234"/>
        <v>0</v>
      </c>
      <c r="N2734" s="465">
        <f t="shared" si="242"/>
        <v>0</v>
      </c>
      <c r="O2734" s="179"/>
      <c r="P2734" s="180"/>
      <c r="Q2734" s="173"/>
      <c r="R2734" s="173"/>
      <c r="S2734" s="174"/>
      <c r="T2734" s="173"/>
      <c r="U2734" s="182"/>
      <c r="V2734" s="177">
        <f>IF(U2734=0,0,IF(T2734="MXN",1/HLOOKUP(YEAR(S2734)+(MONTH(S2734)/100),TC!$5:$37,DAY(S2734)+2,FALSE),VLOOKUP(T2734,Equivalencia!$1:$23,((MAX(Equivalencia!$3:$3)-YEAR(S2734))*14)+MONTH(S2734)+2,FALSE)))</f>
        <v>0</v>
      </c>
      <c r="W2734" s="178">
        <f t="shared" si="239"/>
        <v>0</v>
      </c>
      <c r="X2734" s="481">
        <f t="shared" si="235"/>
        <v>0</v>
      </c>
      <c r="Y2734" s="179"/>
      <c r="Z2734" s="466">
        <f t="shared" si="236"/>
        <v>0</v>
      </c>
      <c r="AA2734" s="473">
        <f t="shared" si="237"/>
        <v>0</v>
      </c>
      <c r="AB2734" s="339">
        <f t="shared" si="238"/>
        <v>0</v>
      </c>
    </row>
    <row r="2735" spans="2:28" ht="20.100000000000001" customHeight="1">
      <c r="B2735" s="172"/>
      <c r="C2735" s="174"/>
      <c r="D2735" s="181"/>
      <c r="E2735" s="173"/>
      <c r="F2735" s="176"/>
      <c r="G2735" s="175">
        <f t="shared" si="240"/>
        <v>0</v>
      </c>
      <c r="H2735" s="175">
        <f t="shared" si="233"/>
        <v>0</v>
      </c>
      <c r="I2735" s="177">
        <f>IF(G2735=0,0,IF(E2735="MXN",1/HLOOKUP(YEAR(C2735)+(MONTH(C2735)/100),TC!$5:$37,DAY(C2735)+2,FALSE),VLOOKUP(E2735,Equivalencia!$5:$23,((MAX(Equivalencia!$3:$3)-YEAR(C2735))*14)+MONTH(C2735)+2,FALSE)))</f>
        <v>0</v>
      </c>
      <c r="J2735" s="178">
        <f t="shared" si="241"/>
        <v>0</v>
      </c>
      <c r="K2735" s="462">
        <f>IF(C2735=0,0,VLOOKUP(YEAR(C2735),INPC!$B$4:$O$29,MONTH(C2735)+1))</f>
        <v>0</v>
      </c>
      <c r="L2735" s="462">
        <f>IF(S2735=0,0,VLOOKUP(YEAR(S2735),INPC!$B$4:$O$29,MONTH(S2735)+1))</f>
        <v>0</v>
      </c>
      <c r="M2735" s="463">
        <f t="shared" si="234"/>
        <v>0</v>
      </c>
      <c r="N2735" s="465">
        <f t="shared" si="242"/>
        <v>0</v>
      </c>
      <c r="O2735" s="179"/>
      <c r="P2735" s="180"/>
      <c r="Q2735" s="173"/>
      <c r="R2735" s="173"/>
      <c r="S2735" s="174"/>
      <c r="T2735" s="173"/>
      <c r="U2735" s="182"/>
      <c r="V2735" s="177">
        <f>IF(U2735=0,0,IF(T2735="MXN",1/HLOOKUP(YEAR(S2735)+(MONTH(S2735)/100),TC!$5:$37,DAY(S2735)+2,FALSE),VLOOKUP(T2735,Equivalencia!$1:$23,((MAX(Equivalencia!$3:$3)-YEAR(S2735))*14)+MONTH(S2735)+2,FALSE)))</f>
        <v>0</v>
      </c>
      <c r="W2735" s="178">
        <f t="shared" si="239"/>
        <v>0</v>
      </c>
      <c r="X2735" s="481">
        <f t="shared" si="235"/>
        <v>0</v>
      </c>
      <c r="Y2735" s="179"/>
      <c r="Z2735" s="466">
        <f t="shared" si="236"/>
        <v>0</v>
      </c>
      <c r="AA2735" s="473">
        <f t="shared" si="237"/>
        <v>0</v>
      </c>
      <c r="AB2735" s="339">
        <f t="shared" si="238"/>
        <v>0</v>
      </c>
    </row>
    <row r="2736" spans="2:28" ht="20.100000000000001" customHeight="1">
      <c r="B2736" s="172"/>
      <c r="C2736" s="174"/>
      <c r="D2736" s="181"/>
      <c r="E2736" s="173"/>
      <c r="F2736" s="176"/>
      <c r="G2736" s="175">
        <f t="shared" si="240"/>
        <v>0</v>
      </c>
      <c r="H2736" s="175">
        <f t="shared" si="233"/>
        <v>0</v>
      </c>
      <c r="I2736" s="177">
        <f>IF(G2736=0,0,IF(E2736="MXN",1/HLOOKUP(YEAR(C2736)+(MONTH(C2736)/100),TC!$5:$37,DAY(C2736)+2,FALSE),VLOOKUP(E2736,Equivalencia!$5:$23,((MAX(Equivalencia!$3:$3)-YEAR(C2736))*14)+MONTH(C2736)+2,FALSE)))</f>
        <v>0</v>
      </c>
      <c r="J2736" s="178">
        <f t="shared" si="241"/>
        <v>0</v>
      </c>
      <c r="K2736" s="462">
        <f>IF(C2736=0,0,VLOOKUP(YEAR(C2736),INPC!$B$4:$O$29,MONTH(C2736)+1))</f>
        <v>0</v>
      </c>
      <c r="L2736" s="462">
        <f>IF(S2736=0,0,VLOOKUP(YEAR(S2736),INPC!$B$4:$O$29,MONTH(S2736)+1))</f>
        <v>0</v>
      </c>
      <c r="M2736" s="463">
        <f t="shared" si="234"/>
        <v>0</v>
      </c>
      <c r="N2736" s="465">
        <f t="shared" si="242"/>
        <v>0</v>
      </c>
      <c r="O2736" s="179"/>
      <c r="P2736" s="180"/>
      <c r="Q2736" s="173"/>
      <c r="R2736" s="173"/>
      <c r="S2736" s="174"/>
      <c r="T2736" s="173"/>
      <c r="U2736" s="182"/>
      <c r="V2736" s="177">
        <f>IF(U2736=0,0,IF(T2736="MXN",1/HLOOKUP(YEAR(S2736)+(MONTH(S2736)/100),TC!$5:$37,DAY(S2736)+2,FALSE),VLOOKUP(T2736,Equivalencia!$1:$23,((MAX(Equivalencia!$3:$3)-YEAR(S2736))*14)+MONTH(S2736)+2,FALSE)))</f>
        <v>0</v>
      </c>
      <c r="W2736" s="178">
        <f t="shared" si="239"/>
        <v>0</v>
      </c>
      <c r="X2736" s="481">
        <f t="shared" si="235"/>
        <v>0</v>
      </c>
      <c r="Y2736" s="179"/>
      <c r="Z2736" s="466">
        <f t="shared" si="236"/>
        <v>0</v>
      </c>
      <c r="AA2736" s="473">
        <f t="shared" si="237"/>
        <v>0</v>
      </c>
      <c r="AB2736" s="339">
        <f t="shared" si="238"/>
        <v>0</v>
      </c>
    </row>
    <row r="2737" spans="2:28" ht="20.100000000000001" customHeight="1">
      <c r="B2737" s="172"/>
      <c r="C2737" s="174"/>
      <c r="D2737" s="181"/>
      <c r="E2737" s="173"/>
      <c r="F2737" s="176"/>
      <c r="G2737" s="175">
        <f t="shared" si="240"/>
        <v>0</v>
      </c>
      <c r="H2737" s="175">
        <f t="shared" si="233"/>
        <v>0</v>
      </c>
      <c r="I2737" s="177">
        <f>IF(G2737=0,0,IF(E2737="MXN",1/HLOOKUP(YEAR(C2737)+(MONTH(C2737)/100),TC!$5:$37,DAY(C2737)+2,FALSE),VLOOKUP(E2737,Equivalencia!$5:$23,((MAX(Equivalencia!$3:$3)-YEAR(C2737))*14)+MONTH(C2737)+2,FALSE)))</f>
        <v>0</v>
      </c>
      <c r="J2737" s="178">
        <f t="shared" si="241"/>
        <v>0</v>
      </c>
      <c r="K2737" s="462">
        <f>IF(C2737=0,0,VLOOKUP(YEAR(C2737),INPC!$B$4:$O$29,MONTH(C2737)+1))</f>
        <v>0</v>
      </c>
      <c r="L2737" s="462">
        <f>IF(S2737=0,0,VLOOKUP(YEAR(S2737),INPC!$B$4:$O$29,MONTH(S2737)+1))</f>
        <v>0</v>
      </c>
      <c r="M2737" s="463">
        <f t="shared" si="234"/>
        <v>0</v>
      </c>
      <c r="N2737" s="465">
        <f t="shared" si="242"/>
        <v>0</v>
      </c>
      <c r="O2737" s="179"/>
      <c r="P2737" s="180"/>
      <c r="Q2737" s="173"/>
      <c r="R2737" s="173"/>
      <c r="S2737" s="174"/>
      <c r="T2737" s="173"/>
      <c r="U2737" s="182"/>
      <c r="V2737" s="177">
        <f>IF(U2737=0,0,IF(T2737="MXN",1/HLOOKUP(YEAR(S2737)+(MONTH(S2737)/100),TC!$5:$37,DAY(S2737)+2,FALSE),VLOOKUP(T2737,Equivalencia!$1:$23,((MAX(Equivalencia!$3:$3)-YEAR(S2737))*14)+MONTH(S2737)+2,FALSE)))</f>
        <v>0</v>
      </c>
      <c r="W2737" s="178">
        <f t="shared" si="239"/>
        <v>0</v>
      </c>
      <c r="X2737" s="481">
        <f t="shared" si="235"/>
        <v>0</v>
      </c>
      <c r="Y2737" s="179"/>
      <c r="Z2737" s="466">
        <f t="shared" si="236"/>
        <v>0</v>
      </c>
      <c r="AA2737" s="473">
        <f t="shared" si="237"/>
        <v>0</v>
      </c>
      <c r="AB2737" s="339">
        <f t="shared" si="238"/>
        <v>0</v>
      </c>
    </row>
    <row r="2738" spans="2:28" ht="20.100000000000001" customHeight="1">
      <c r="B2738" s="172"/>
      <c r="C2738" s="174"/>
      <c r="D2738" s="181"/>
      <c r="E2738" s="173"/>
      <c r="F2738" s="176"/>
      <c r="G2738" s="175">
        <f t="shared" si="240"/>
        <v>0</v>
      </c>
      <c r="H2738" s="175">
        <f t="shared" si="233"/>
        <v>0</v>
      </c>
      <c r="I2738" s="177">
        <f>IF(G2738=0,0,IF(E2738="MXN",1/HLOOKUP(YEAR(C2738)+(MONTH(C2738)/100),TC!$5:$37,DAY(C2738)+2,FALSE),VLOOKUP(E2738,Equivalencia!$5:$23,((MAX(Equivalencia!$3:$3)-YEAR(C2738))*14)+MONTH(C2738)+2,FALSE)))</f>
        <v>0</v>
      </c>
      <c r="J2738" s="178">
        <f t="shared" si="241"/>
        <v>0</v>
      </c>
      <c r="K2738" s="462">
        <f>IF(C2738=0,0,VLOOKUP(YEAR(C2738),INPC!$B$4:$O$29,MONTH(C2738)+1))</f>
        <v>0</v>
      </c>
      <c r="L2738" s="462">
        <f>IF(S2738=0,0,VLOOKUP(YEAR(S2738),INPC!$B$4:$O$29,MONTH(S2738)+1))</f>
        <v>0</v>
      </c>
      <c r="M2738" s="463">
        <f t="shared" si="234"/>
        <v>0</v>
      </c>
      <c r="N2738" s="465">
        <f t="shared" si="242"/>
        <v>0</v>
      </c>
      <c r="O2738" s="179"/>
      <c r="P2738" s="180"/>
      <c r="Q2738" s="173"/>
      <c r="R2738" s="173"/>
      <c r="S2738" s="174"/>
      <c r="T2738" s="173"/>
      <c r="U2738" s="182"/>
      <c r="V2738" s="177">
        <f>IF(U2738=0,0,IF(T2738="MXN",1/HLOOKUP(YEAR(S2738)+(MONTH(S2738)/100),TC!$5:$37,DAY(S2738)+2,FALSE),VLOOKUP(T2738,Equivalencia!$1:$23,((MAX(Equivalencia!$3:$3)-YEAR(S2738))*14)+MONTH(S2738)+2,FALSE)))</f>
        <v>0</v>
      </c>
      <c r="W2738" s="178">
        <f t="shared" si="239"/>
        <v>0</v>
      </c>
      <c r="X2738" s="481">
        <f t="shared" si="235"/>
        <v>0</v>
      </c>
      <c r="Y2738" s="179"/>
      <c r="Z2738" s="466">
        <f t="shared" si="236"/>
        <v>0</v>
      </c>
      <c r="AA2738" s="473">
        <f t="shared" si="237"/>
        <v>0</v>
      </c>
      <c r="AB2738" s="339">
        <f t="shared" si="238"/>
        <v>0</v>
      </c>
    </row>
    <row r="2739" spans="2:28" ht="20.100000000000001" customHeight="1">
      <c r="B2739" s="172"/>
      <c r="C2739" s="174"/>
      <c r="D2739" s="181"/>
      <c r="E2739" s="173"/>
      <c r="F2739" s="176"/>
      <c r="G2739" s="175">
        <f t="shared" si="240"/>
        <v>0</v>
      </c>
      <c r="H2739" s="175">
        <f t="shared" si="233"/>
        <v>0</v>
      </c>
      <c r="I2739" s="177">
        <f>IF(G2739=0,0,IF(E2739="MXN",1/HLOOKUP(YEAR(C2739)+(MONTH(C2739)/100),TC!$5:$37,DAY(C2739)+2,FALSE),VLOOKUP(E2739,Equivalencia!$5:$23,((MAX(Equivalencia!$3:$3)-YEAR(C2739))*14)+MONTH(C2739)+2,FALSE)))</f>
        <v>0</v>
      </c>
      <c r="J2739" s="178">
        <f t="shared" si="241"/>
        <v>0</v>
      </c>
      <c r="K2739" s="462">
        <f>IF(C2739=0,0,VLOOKUP(YEAR(C2739),INPC!$B$4:$O$29,MONTH(C2739)+1))</f>
        <v>0</v>
      </c>
      <c r="L2739" s="462">
        <f>IF(S2739=0,0,VLOOKUP(YEAR(S2739),INPC!$B$4:$O$29,MONTH(S2739)+1))</f>
        <v>0</v>
      </c>
      <c r="M2739" s="463">
        <f t="shared" si="234"/>
        <v>0</v>
      </c>
      <c r="N2739" s="465">
        <f t="shared" si="242"/>
        <v>0</v>
      </c>
      <c r="O2739" s="179"/>
      <c r="P2739" s="180"/>
      <c r="Q2739" s="173"/>
      <c r="R2739" s="173"/>
      <c r="S2739" s="174"/>
      <c r="T2739" s="173"/>
      <c r="U2739" s="182"/>
      <c r="V2739" s="177">
        <f>IF(U2739=0,0,IF(T2739="MXN",1/HLOOKUP(YEAR(S2739)+(MONTH(S2739)/100),TC!$5:$37,DAY(S2739)+2,FALSE),VLOOKUP(T2739,Equivalencia!$1:$23,((MAX(Equivalencia!$3:$3)-YEAR(S2739))*14)+MONTH(S2739)+2,FALSE)))</f>
        <v>0</v>
      </c>
      <c r="W2739" s="178">
        <f t="shared" si="239"/>
        <v>0</v>
      </c>
      <c r="X2739" s="481">
        <f t="shared" si="235"/>
        <v>0</v>
      </c>
      <c r="Y2739" s="179"/>
      <c r="Z2739" s="466">
        <f t="shared" si="236"/>
        <v>0</v>
      </c>
      <c r="AA2739" s="473">
        <f t="shared" si="237"/>
        <v>0</v>
      </c>
      <c r="AB2739" s="339">
        <f t="shared" si="238"/>
        <v>0</v>
      </c>
    </row>
    <row r="2740" spans="2:28" ht="20.100000000000001" customHeight="1">
      <c r="B2740" s="172"/>
      <c r="C2740" s="174"/>
      <c r="D2740" s="181"/>
      <c r="E2740" s="173"/>
      <c r="F2740" s="176"/>
      <c r="G2740" s="175">
        <f t="shared" si="240"/>
        <v>0</v>
      </c>
      <c r="H2740" s="175">
        <f t="shared" si="233"/>
        <v>0</v>
      </c>
      <c r="I2740" s="177">
        <f>IF(G2740=0,0,IF(E2740="MXN",1/HLOOKUP(YEAR(C2740)+(MONTH(C2740)/100),TC!$5:$37,DAY(C2740)+2,FALSE),VLOOKUP(E2740,Equivalencia!$5:$23,((MAX(Equivalencia!$3:$3)-YEAR(C2740))*14)+MONTH(C2740)+2,FALSE)))</f>
        <v>0</v>
      </c>
      <c r="J2740" s="178">
        <f t="shared" si="241"/>
        <v>0</v>
      </c>
      <c r="K2740" s="462">
        <f>IF(C2740=0,0,VLOOKUP(YEAR(C2740),INPC!$B$4:$O$29,MONTH(C2740)+1))</f>
        <v>0</v>
      </c>
      <c r="L2740" s="462">
        <f>IF(S2740=0,0,VLOOKUP(YEAR(S2740),INPC!$B$4:$O$29,MONTH(S2740)+1))</f>
        <v>0</v>
      </c>
      <c r="M2740" s="463">
        <f t="shared" si="234"/>
        <v>0</v>
      </c>
      <c r="N2740" s="465">
        <f t="shared" si="242"/>
        <v>0</v>
      </c>
      <c r="O2740" s="179"/>
      <c r="P2740" s="180"/>
      <c r="Q2740" s="173"/>
      <c r="R2740" s="173"/>
      <c r="S2740" s="174"/>
      <c r="T2740" s="173"/>
      <c r="U2740" s="182"/>
      <c r="V2740" s="177">
        <f>IF(U2740=0,0,IF(T2740="MXN",1/HLOOKUP(YEAR(S2740)+(MONTH(S2740)/100),TC!$5:$37,DAY(S2740)+2,FALSE),VLOOKUP(T2740,Equivalencia!$1:$23,((MAX(Equivalencia!$3:$3)-YEAR(S2740))*14)+MONTH(S2740)+2,FALSE)))</f>
        <v>0</v>
      </c>
      <c r="W2740" s="178">
        <f t="shared" si="239"/>
        <v>0</v>
      </c>
      <c r="X2740" s="481">
        <f t="shared" si="235"/>
        <v>0</v>
      </c>
      <c r="Y2740" s="179"/>
      <c r="Z2740" s="466">
        <f t="shared" si="236"/>
        <v>0</v>
      </c>
      <c r="AA2740" s="473">
        <f t="shared" si="237"/>
        <v>0</v>
      </c>
      <c r="AB2740" s="339">
        <f t="shared" si="238"/>
        <v>0</v>
      </c>
    </row>
    <row r="2741" spans="2:28" ht="20.100000000000001" customHeight="1">
      <c r="B2741" s="172"/>
      <c r="C2741" s="174"/>
      <c r="D2741" s="181"/>
      <c r="E2741" s="173"/>
      <c r="F2741" s="176"/>
      <c r="G2741" s="175">
        <f t="shared" si="240"/>
        <v>0</v>
      </c>
      <c r="H2741" s="175">
        <f t="shared" si="233"/>
        <v>0</v>
      </c>
      <c r="I2741" s="177">
        <f>IF(G2741=0,0,IF(E2741="MXN",1/HLOOKUP(YEAR(C2741)+(MONTH(C2741)/100),TC!$5:$37,DAY(C2741)+2,FALSE),VLOOKUP(E2741,Equivalencia!$5:$23,((MAX(Equivalencia!$3:$3)-YEAR(C2741))*14)+MONTH(C2741)+2,FALSE)))</f>
        <v>0</v>
      </c>
      <c r="J2741" s="178">
        <f t="shared" si="241"/>
        <v>0</v>
      </c>
      <c r="K2741" s="462">
        <f>IF(C2741=0,0,VLOOKUP(YEAR(C2741),INPC!$B$4:$O$29,MONTH(C2741)+1))</f>
        <v>0</v>
      </c>
      <c r="L2741" s="462">
        <f>IF(S2741=0,0,VLOOKUP(YEAR(S2741),INPC!$B$4:$O$29,MONTH(S2741)+1))</f>
        <v>0</v>
      </c>
      <c r="M2741" s="463">
        <f t="shared" si="234"/>
        <v>0</v>
      </c>
      <c r="N2741" s="465">
        <f t="shared" si="242"/>
        <v>0</v>
      </c>
      <c r="O2741" s="179"/>
      <c r="P2741" s="180"/>
      <c r="Q2741" s="173"/>
      <c r="R2741" s="173"/>
      <c r="S2741" s="174"/>
      <c r="T2741" s="173"/>
      <c r="U2741" s="182"/>
      <c r="V2741" s="177">
        <f>IF(U2741=0,0,IF(T2741="MXN",1/HLOOKUP(YEAR(S2741)+(MONTH(S2741)/100),TC!$5:$37,DAY(S2741)+2,FALSE),VLOOKUP(T2741,Equivalencia!$1:$23,((MAX(Equivalencia!$3:$3)-YEAR(S2741))*14)+MONTH(S2741)+2,FALSE)))</f>
        <v>0</v>
      </c>
      <c r="W2741" s="178">
        <f t="shared" si="239"/>
        <v>0</v>
      </c>
      <c r="X2741" s="481">
        <f t="shared" si="235"/>
        <v>0</v>
      </c>
      <c r="Y2741" s="179"/>
      <c r="Z2741" s="466">
        <f t="shared" si="236"/>
        <v>0</v>
      </c>
      <c r="AA2741" s="473">
        <f t="shared" si="237"/>
        <v>0</v>
      </c>
      <c r="AB2741" s="339">
        <f t="shared" si="238"/>
        <v>0</v>
      </c>
    </row>
    <row r="2742" spans="2:28" ht="20.100000000000001" customHeight="1">
      <c r="B2742" s="172"/>
      <c r="C2742" s="174"/>
      <c r="D2742" s="181"/>
      <c r="E2742" s="173"/>
      <c r="F2742" s="176"/>
      <c r="G2742" s="175">
        <f t="shared" si="240"/>
        <v>0</v>
      </c>
      <c r="H2742" s="175">
        <f t="shared" si="233"/>
        <v>0</v>
      </c>
      <c r="I2742" s="177">
        <f>IF(G2742=0,0,IF(E2742="MXN",1/HLOOKUP(YEAR(C2742)+(MONTH(C2742)/100),TC!$5:$37,DAY(C2742)+2,FALSE),VLOOKUP(E2742,Equivalencia!$5:$23,((MAX(Equivalencia!$3:$3)-YEAR(C2742))*14)+MONTH(C2742)+2,FALSE)))</f>
        <v>0</v>
      </c>
      <c r="J2742" s="178">
        <f t="shared" si="241"/>
        <v>0</v>
      </c>
      <c r="K2742" s="462">
        <f>IF(C2742=0,0,VLOOKUP(YEAR(C2742),INPC!$B$4:$O$29,MONTH(C2742)+1))</f>
        <v>0</v>
      </c>
      <c r="L2742" s="462">
        <f>IF(S2742=0,0,VLOOKUP(YEAR(S2742),INPC!$B$4:$O$29,MONTH(S2742)+1))</f>
        <v>0</v>
      </c>
      <c r="M2742" s="463">
        <f t="shared" si="234"/>
        <v>0</v>
      </c>
      <c r="N2742" s="465">
        <f t="shared" si="242"/>
        <v>0</v>
      </c>
      <c r="O2742" s="179"/>
      <c r="P2742" s="180"/>
      <c r="Q2742" s="173"/>
      <c r="R2742" s="173"/>
      <c r="S2742" s="174"/>
      <c r="T2742" s="173"/>
      <c r="U2742" s="182"/>
      <c r="V2742" s="177">
        <f>IF(U2742=0,0,IF(T2742="MXN",1/HLOOKUP(YEAR(S2742)+(MONTH(S2742)/100),TC!$5:$37,DAY(S2742)+2,FALSE),VLOOKUP(T2742,Equivalencia!$1:$23,((MAX(Equivalencia!$3:$3)-YEAR(S2742))*14)+MONTH(S2742)+2,FALSE)))</f>
        <v>0</v>
      </c>
      <c r="W2742" s="178">
        <f t="shared" si="239"/>
        <v>0</v>
      </c>
      <c r="X2742" s="481">
        <f t="shared" si="235"/>
        <v>0</v>
      </c>
      <c r="Y2742" s="179"/>
      <c r="Z2742" s="466">
        <f t="shared" si="236"/>
        <v>0</v>
      </c>
      <c r="AA2742" s="473">
        <f t="shared" si="237"/>
        <v>0</v>
      </c>
      <c r="AB2742" s="339">
        <f t="shared" si="238"/>
        <v>0</v>
      </c>
    </row>
    <row r="2743" spans="2:28" ht="20.100000000000001" customHeight="1">
      <c r="B2743" s="172"/>
      <c r="C2743" s="174"/>
      <c r="D2743" s="181"/>
      <c r="E2743" s="173"/>
      <c r="F2743" s="176"/>
      <c r="G2743" s="175">
        <f t="shared" si="240"/>
        <v>0</v>
      </c>
      <c r="H2743" s="175">
        <f t="shared" si="233"/>
        <v>0</v>
      </c>
      <c r="I2743" s="177">
        <f>IF(G2743=0,0,IF(E2743="MXN",1/HLOOKUP(YEAR(C2743)+(MONTH(C2743)/100),TC!$5:$37,DAY(C2743)+2,FALSE),VLOOKUP(E2743,Equivalencia!$5:$23,((MAX(Equivalencia!$3:$3)-YEAR(C2743))*14)+MONTH(C2743)+2,FALSE)))</f>
        <v>0</v>
      </c>
      <c r="J2743" s="178">
        <f t="shared" si="241"/>
        <v>0</v>
      </c>
      <c r="K2743" s="462">
        <f>IF(C2743=0,0,VLOOKUP(YEAR(C2743),INPC!$B$4:$O$29,MONTH(C2743)+1))</f>
        <v>0</v>
      </c>
      <c r="L2743" s="462">
        <f>IF(S2743=0,0,VLOOKUP(YEAR(S2743),INPC!$B$4:$O$29,MONTH(S2743)+1))</f>
        <v>0</v>
      </c>
      <c r="M2743" s="463">
        <f t="shared" si="234"/>
        <v>0</v>
      </c>
      <c r="N2743" s="465">
        <f t="shared" si="242"/>
        <v>0</v>
      </c>
      <c r="O2743" s="179"/>
      <c r="P2743" s="180"/>
      <c r="Q2743" s="173"/>
      <c r="R2743" s="173"/>
      <c r="S2743" s="174"/>
      <c r="T2743" s="173"/>
      <c r="U2743" s="182"/>
      <c r="V2743" s="177">
        <f>IF(U2743=0,0,IF(T2743="MXN",1/HLOOKUP(YEAR(S2743)+(MONTH(S2743)/100),TC!$5:$37,DAY(S2743)+2,FALSE),VLOOKUP(T2743,Equivalencia!$1:$23,((MAX(Equivalencia!$3:$3)-YEAR(S2743))*14)+MONTH(S2743)+2,FALSE)))</f>
        <v>0</v>
      </c>
      <c r="W2743" s="178">
        <f t="shared" si="239"/>
        <v>0</v>
      </c>
      <c r="X2743" s="481">
        <f t="shared" si="235"/>
        <v>0</v>
      </c>
      <c r="Y2743" s="179"/>
      <c r="Z2743" s="466">
        <f t="shared" si="236"/>
        <v>0</v>
      </c>
      <c r="AA2743" s="473">
        <f t="shared" si="237"/>
        <v>0</v>
      </c>
      <c r="AB2743" s="339">
        <f t="shared" si="238"/>
        <v>0</v>
      </c>
    </row>
    <row r="2744" spans="2:28" ht="20.100000000000001" customHeight="1">
      <c r="B2744" s="172"/>
      <c r="C2744" s="174"/>
      <c r="D2744" s="181"/>
      <c r="E2744" s="173"/>
      <c r="F2744" s="176"/>
      <c r="G2744" s="175">
        <f t="shared" si="240"/>
        <v>0</v>
      </c>
      <c r="H2744" s="175">
        <f t="shared" si="233"/>
        <v>0</v>
      </c>
      <c r="I2744" s="177">
        <f>IF(G2744=0,0,IF(E2744="MXN",1/HLOOKUP(YEAR(C2744)+(MONTH(C2744)/100),TC!$5:$37,DAY(C2744)+2,FALSE),VLOOKUP(E2744,Equivalencia!$5:$23,((MAX(Equivalencia!$3:$3)-YEAR(C2744))*14)+MONTH(C2744)+2,FALSE)))</f>
        <v>0</v>
      </c>
      <c r="J2744" s="178">
        <f t="shared" si="241"/>
        <v>0</v>
      </c>
      <c r="K2744" s="462">
        <f>IF(C2744=0,0,VLOOKUP(YEAR(C2744),INPC!$B$4:$O$29,MONTH(C2744)+1))</f>
        <v>0</v>
      </c>
      <c r="L2744" s="462">
        <f>IF(S2744=0,0,VLOOKUP(YEAR(S2744),INPC!$B$4:$O$29,MONTH(S2744)+1))</f>
        <v>0</v>
      </c>
      <c r="M2744" s="463">
        <f t="shared" si="234"/>
        <v>0</v>
      </c>
      <c r="N2744" s="465">
        <f t="shared" si="242"/>
        <v>0</v>
      </c>
      <c r="O2744" s="179"/>
      <c r="P2744" s="180"/>
      <c r="Q2744" s="173"/>
      <c r="R2744" s="173"/>
      <c r="S2744" s="174"/>
      <c r="T2744" s="173"/>
      <c r="U2744" s="182"/>
      <c r="V2744" s="177">
        <f>IF(U2744=0,0,IF(T2744="MXN",1/HLOOKUP(YEAR(S2744)+(MONTH(S2744)/100),TC!$5:$37,DAY(S2744)+2,FALSE),VLOOKUP(T2744,Equivalencia!$1:$23,((MAX(Equivalencia!$3:$3)-YEAR(S2744))*14)+MONTH(S2744)+2,FALSE)))</f>
        <v>0</v>
      </c>
      <c r="W2744" s="178">
        <f t="shared" si="239"/>
        <v>0</v>
      </c>
      <c r="X2744" s="481">
        <f t="shared" si="235"/>
        <v>0</v>
      </c>
      <c r="Y2744" s="179"/>
      <c r="Z2744" s="466">
        <f t="shared" si="236"/>
        <v>0</v>
      </c>
      <c r="AA2744" s="473">
        <f t="shared" si="237"/>
        <v>0</v>
      </c>
      <c r="AB2744" s="339">
        <f t="shared" si="238"/>
        <v>0</v>
      </c>
    </row>
    <row r="2745" spans="2:28" ht="20.100000000000001" customHeight="1">
      <c r="B2745" s="172"/>
      <c r="C2745" s="174"/>
      <c r="D2745" s="181"/>
      <c r="E2745" s="173"/>
      <c r="F2745" s="176"/>
      <c r="G2745" s="175">
        <f t="shared" si="240"/>
        <v>0</v>
      </c>
      <c r="H2745" s="175">
        <f t="shared" si="233"/>
        <v>0</v>
      </c>
      <c r="I2745" s="177">
        <f>IF(G2745=0,0,IF(E2745="MXN",1/HLOOKUP(YEAR(C2745)+(MONTH(C2745)/100),TC!$5:$37,DAY(C2745)+2,FALSE),VLOOKUP(E2745,Equivalencia!$5:$23,((MAX(Equivalencia!$3:$3)-YEAR(C2745))*14)+MONTH(C2745)+2,FALSE)))</f>
        <v>0</v>
      </c>
      <c r="J2745" s="178">
        <f t="shared" si="241"/>
        <v>0</v>
      </c>
      <c r="K2745" s="462">
        <f>IF(C2745=0,0,VLOOKUP(YEAR(C2745),INPC!$B$4:$O$29,MONTH(C2745)+1))</f>
        <v>0</v>
      </c>
      <c r="L2745" s="462">
        <f>IF(S2745=0,0,VLOOKUP(YEAR(S2745),INPC!$B$4:$O$29,MONTH(S2745)+1))</f>
        <v>0</v>
      </c>
      <c r="M2745" s="463">
        <f t="shared" si="234"/>
        <v>0</v>
      </c>
      <c r="N2745" s="465">
        <f t="shared" si="242"/>
        <v>0</v>
      </c>
      <c r="O2745" s="179"/>
      <c r="P2745" s="180"/>
      <c r="Q2745" s="173"/>
      <c r="R2745" s="173"/>
      <c r="S2745" s="174"/>
      <c r="T2745" s="173"/>
      <c r="U2745" s="182"/>
      <c r="V2745" s="177">
        <f>IF(U2745=0,0,IF(T2745="MXN",1/HLOOKUP(YEAR(S2745)+(MONTH(S2745)/100),TC!$5:$37,DAY(S2745)+2,FALSE),VLOOKUP(T2745,Equivalencia!$1:$23,((MAX(Equivalencia!$3:$3)-YEAR(S2745))*14)+MONTH(S2745)+2,FALSE)))</f>
        <v>0</v>
      </c>
      <c r="W2745" s="178">
        <f t="shared" si="239"/>
        <v>0</v>
      </c>
      <c r="X2745" s="481">
        <f t="shared" si="235"/>
        <v>0</v>
      </c>
      <c r="Y2745" s="179"/>
      <c r="Z2745" s="466">
        <f t="shared" si="236"/>
        <v>0</v>
      </c>
      <c r="AA2745" s="473">
        <f t="shared" si="237"/>
        <v>0</v>
      </c>
      <c r="AB2745" s="339">
        <f t="shared" si="238"/>
        <v>0</v>
      </c>
    </row>
    <row r="2746" spans="2:28" ht="20.100000000000001" customHeight="1">
      <c r="B2746" s="172"/>
      <c r="C2746" s="174"/>
      <c r="D2746" s="181"/>
      <c r="E2746" s="173"/>
      <c r="F2746" s="176"/>
      <c r="G2746" s="175">
        <f t="shared" si="240"/>
        <v>0</v>
      </c>
      <c r="H2746" s="175">
        <f t="shared" si="233"/>
        <v>0</v>
      </c>
      <c r="I2746" s="177">
        <f>IF(G2746=0,0,IF(E2746="MXN",1/HLOOKUP(YEAR(C2746)+(MONTH(C2746)/100),TC!$5:$37,DAY(C2746)+2,FALSE),VLOOKUP(E2746,Equivalencia!$5:$23,((MAX(Equivalencia!$3:$3)-YEAR(C2746))*14)+MONTH(C2746)+2,FALSE)))</f>
        <v>0</v>
      </c>
      <c r="J2746" s="178">
        <f t="shared" si="241"/>
        <v>0</v>
      </c>
      <c r="K2746" s="462">
        <f>IF(C2746=0,0,VLOOKUP(YEAR(C2746),INPC!$B$4:$O$29,MONTH(C2746)+1))</f>
        <v>0</v>
      </c>
      <c r="L2746" s="462">
        <f>IF(S2746=0,0,VLOOKUP(YEAR(S2746),INPC!$B$4:$O$29,MONTH(S2746)+1))</f>
        <v>0</v>
      </c>
      <c r="M2746" s="463">
        <f t="shared" si="234"/>
        <v>0</v>
      </c>
      <c r="N2746" s="465">
        <f t="shared" si="242"/>
        <v>0</v>
      </c>
      <c r="O2746" s="179"/>
      <c r="P2746" s="180"/>
      <c r="Q2746" s="173"/>
      <c r="R2746" s="173"/>
      <c r="S2746" s="174"/>
      <c r="T2746" s="173"/>
      <c r="U2746" s="182"/>
      <c r="V2746" s="177">
        <f>IF(U2746=0,0,IF(T2746="MXN",1/HLOOKUP(YEAR(S2746)+(MONTH(S2746)/100),TC!$5:$37,DAY(S2746)+2,FALSE),VLOOKUP(T2746,Equivalencia!$1:$23,((MAX(Equivalencia!$3:$3)-YEAR(S2746))*14)+MONTH(S2746)+2,FALSE)))</f>
        <v>0</v>
      </c>
      <c r="W2746" s="178">
        <f t="shared" si="239"/>
        <v>0</v>
      </c>
      <c r="X2746" s="481">
        <f t="shared" si="235"/>
        <v>0</v>
      </c>
      <c r="Y2746" s="179"/>
      <c r="Z2746" s="466">
        <f t="shared" si="236"/>
        <v>0</v>
      </c>
      <c r="AA2746" s="473">
        <f t="shared" si="237"/>
        <v>0</v>
      </c>
      <c r="AB2746" s="339">
        <f t="shared" si="238"/>
        <v>0</v>
      </c>
    </row>
    <row r="2747" spans="2:28" ht="20.100000000000001" customHeight="1">
      <c r="B2747" s="172"/>
      <c r="C2747" s="174"/>
      <c r="D2747" s="181"/>
      <c r="E2747" s="173"/>
      <c r="F2747" s="176"/>
      <c r="G2747" s="175">
        <f t="shared" si="240"/>
        <v>0</v>
      </c>
      <c r="H2747" s="175">
        <f t="shared" si="233"/>
        <v>0</v>
      </c>
      <c r="I2747" s="177">
        <f>IF(G2747=0,0,IF(E2747="MXN",1/HLOOKUP(YEAR(C2747)+(MONTH(C2747)/100),TC!$5:$37,DAY(C2747)+2,FALSE),VLOOKUP(E2747,Equivalencia!$5:$23,((MAX(Equivalencia!$3:$3)-YEAR(C2747))*14)+MONTH(C2747)+2,FALSE)))</f>
        <v>0</v>
      </c>
      <c r="J2747" s="178">
        <f t="shared" si="241"/>
        <v>0</v>
      </c>
      <c r="K2747" s="462">
        <f>IF(C2747=0,0,VLOOKUP(YEAR(C2747),INPC!$B$4:$O$29,MONTH(C2747)+1))</f>
        <v>0</v>
      </c>
      <c r="L2747" s="462">
        <f>IF(S2747=0,0,VLOOKUP(YEAR(S2747),INPC!$B$4:$O$29,MONTH(S2747)+1))</f>
        <v>0</v>
      </c>
      <c r="M2747" s="463">
        <f t="shared" si="234"/>
        <v>0</v>
      </c>
      <c r="N2747" s="465">
        <f t="shared" si="242"/>
        <v>0</v>
      </c>
      <c r="O2747" s="179"/>
      <c r="P2747" s="180"/>
      <c r="Q2747" s="173"/>
      <c r="R2747" s="173"/>
      <c r="S2747" s="174"/>
      <c r="T2747" s="173"/>
      <c r="U2747" s="182"/>
      <c r="V2747" s="177">
        <f>IF(U2747=0,0,IF(T2747="MXN",1/HLOOKUP(YEAR(S2747)+(MONTH(S2747)/100),TC!$5:$37,DAY(S2747)+2,FALSE),VLOOKUP(T2747,Equivalencia!$1:$23,((MAX(Equivalencia!$3:$3)-YEAR(S2747))*14)+MONTH(S2747)+2,FALSE)))</f>
        <v>0</v>
      </c>
      <c r="W2747" s="178">
        <f t="shared" si="239"/>
        <v>0</v>
      </c>
      <c r="X2747" s="481">
        <f t="shared" si="235"/>
        <v>0</v>
      </c>
      <c r="Y2747" s="179"/>
      <c r="Z2747" s="466">
        <f t="shared" si="236"/>
        <v>0</v>
      </c>
      <c r="AA2747" s="473">
        <f t="shared" si="237"/>
        <v>0</v>
      </c>
      <c r="AB2747" s="339">
        <f t="shared" si="238"/>
        <v>0</v>
      </c>
    </row>
    <row r="2748" spans="2:28" ht="20.100000000000001" customHeight="1">
      <c r="B2748" s="172"/>
      <c r="C2748" s="174"/>
      <c r="D2748" s="181"/>
      <c r="E2748" s="173"/>
      <c r="F2748" s="176"/>
      <c r="G2748" s="175">
        <f t="shared" si="240"/>
        <v>0</v>
      </c>
      <c r="H2748" s="175">
        <f t="shared" si="233"/>
        <v>0</v>
      </c>
      <c r="I2748" s="177">
        <f>IF(G2748=0,0,IF(E2748="MXN",1/HLOOKUP(YEAR(C2748)+(MONTH(C2748)/100),TC!$5:$37,DAY(C2748)+2,FALSE),VLOOKUP(E2748,Equivalencia!$5:$23,((MAX(Equivalencia!$3:$3)-YEAR(C2748))*14)+MONTH(C2748)+2,FALSE)))</f>
        <v>0</v>
      </c>
      <c r="J2748" s="178">
        <f t="shared" si="241"/>
        <v>0</v>
      </c>
      <c r="K2748" s="462">
        <f>IF(C2748=0,0,VLOOKUP(YEAR(C2748),INPC!$B$4:$O$29,MONTH(C2748)+1))</f>
        <v>0</v>
      </c>
      <c r="L2748" s="462">
        <f>IF(S2748=0,0,VLOOKUP(YEAR(S2748),INPC!$B$4:$O$29,MONTH(S2748)+1))</f>
        <v>0</v>
      </c>
      <c r="M2748" s="463">
        <f t="shared" si="234"/>
        <v>0</v>
      </c>
      <c r="N2748" s="465">
        <f t="shared" si="242"/>
        <v>0</v>
      </c>
      <c r="O2748" s="179"/>
      <c r="P2748" s="180"/>
      <c r="Q2748" s="173"/>
      <c r="R2748" s="173"/>
      <c r="S2748" s="174"/>
      <c r="T2748" s="173"/>
      <c r="U2748" s="182"/>
      <c r="V2748" s="177">
        <f>IF(U2748=0,0,IF(T2748="MXN",1/HLOOKUP(YEAR(S2748)+(MONTH(S2748)/100),TC!$5:$37,DAY(S2748)+2,FALSE),VLOOKUP(T2748,Equivalencia!$1:$23,((MAX(Equivalencia!$3:$3)-YEAR(S2748))*14)+MONTH(S2748)+2,FALSE)))</f>
        <v>0</v>
      </c>
      <c r="W2748" s="178">
        <f t="shared" si="239"/>
        <v>0</v>
      </c>
      <c r="X2748" s="481">
        <f t="shared" si="235"/>
        <v>0</v>
      </c>
      <c r="Y2748" s="179"/>
      <c r="Z2748" s="466">
        <f t="shared" si="236"/>
        <v>0</v>
      </c>
      <c r="AA2748" s="473">
        <f t="shared" si="237"/>
        <v>0</v>
      </c>
      <c r="AB2748" s="339">
        <f t="shared" si="238"/>
        <v>0</v>
      </c>
    </row>
    <row r="2749" spans="2:28" ht="20.100000000000001" customHeight="1">
      <c r="B2749" s="172"/>
      <c r="C2749" s="174"/>
      <c r="D2749" s="181"/>
      <c r="E2749" s="173"/>
      <c r="F2749" s="176"/>
      <c r="G2749" s="175">
        <f t="shared" si="240"/>
        <v>0</v>
      </c>
      <c r="H2749" s="175">
        <f t="shared" si="233"/>
        <v>0</v>
      </c>
      <c r="I2749" s="177">
        <f>IF(G2749=0,0,IF(E2749="MXN",1/HLOOKUP(YEAR(C2749)+(MONTH(C2749)/100),TC!$5:$37,DAY(C2749)+2,FALSE),VLOOKUP(E2749,Equivalencia!$5:$23,((MAX(Equivalencia!$3:$3)-YEAR(C2749))*14)+MONTH(C2749)+2,FALSE)))</f>
        <v>0</v>
      </c>
      <c r="J2749" s="178">
        <f t="shared" si="241"/>
        <v>0</v>
      </c>
      <c r="K2749" s="462">
        <f>IF(C2749=0,0,VLOOKUP(YEAR(C2749),INPC!$B$4:$O$29,MONTH(C2749)+1))</f>
        <v>0</v>
      </c>
      <c r="L2749" s="462">
        <f>IF(S2749=0,0,VLOOKUP(YEAR(S2749),INPC!$B$4:$O$29,MONTH(S2749)+1))</f>
        <v>0</v>
      </c>
      <c r="M2749" s="463">
        <f t="shared" si="234"/>
        <v>0</v>
      </c>
      <c r="N2749" s="465">
        <f t="shared" si="242"/>
        <v>0</v>
      </c>
      <c r="O2749" s="179"/>
      <c r="P2749" s="180"/>
      <c r="Q2749" s="173"/>
      <c r="R2749" s="173"/>
      <c r="S2749" s="174"/>
      <c r="T2749" s="173"/>
      <c r="U2749" s="182"/>
      <c r="V2749" s="177">
        <f>IF(U2749=0,0,IF(T2749="MXN",1/HLOOKUP(YEAR(S2749)+(MONTH(S2749)/100),TC!$5:$37,DAY(S2749)+2,FALSE),VLOOKUP(T2749,Equivalencia!$1:$23,((MAX(Equivalencia!$3:$3)-YEAR(S2749))*14)+MONTH(S2749)+2,FALSE)))</f>
        <v>0</v>
      </c>
      <c r="W2749" s="178">
        <f t="shared" si="239"/>
        <v>0</v>
      </c>
      <c r="X2749" s="481">
        <f t="shared" si="235"/>
        <v>0</v>
      </c>
      <c r="Y2749" s="179"/>
      <c r="Z2749" s="466">
        <f t="shared" si="236"/>
        <v>0</v>
      </c>
      <c r="AA2749" s="473">
        <f t="shared" si="237"/>
        <v>0</v>
      </c>
      <c r="AB2749" s="339">
        <f t="shared" si="238"/>
        <v>0</v>
      </c>
    </row>
    <row r="2750" spans="2:28" ht="20.100000000000001" customHeight="1">
      <c r="B2750" s="172"/>
      <c r="C2750" s="174"/>
      <c r="D2750" s="181"/>
      <c r="E2750" s="173"/>
      <c r="F2750" s="176"/>
      <c r="G2750" s="175">
        <f t="shared" si="240"/>
        <v>0</v>
      </c>
      <c r="H2750" s="175">
        <f t="shared" si="233"/>
        <v>0</v>
      </c>
      <c r="I2750" s="177">
        <f>IF(G2750=0,0,IF(E2750="MXN",1/HLOOKUP(YEAR(C2750)+(MONTH(C2750)/100),TC!$5:$37,DAY(C2750)+2,FALSE),VLOOKUP(E2750,Equivalencia!$5:$23,((MAX(Equivalencia!$3:$3)-YEAR(C2750))*14)+MONTH(C2750)+2,FALSE)))</f>
        <v>0</v>
      </c>
      <c r="J2750" s="178">
        <f t="shared" si="241"/>
        <v>0</v>
      </c>
      <c r="K2750" s="462">
        <f>IF(C2750=0,0,VLOOKUP(YEAR(C2750),INPC!$B$4:$O$29,MONTH(C2750)+1))</f>
        <v>0</v>
      </c>
      <c r="L2750" s="462">
        <f>IF(S2750=0,0,VLOOKUP(YEAR(S2750),INPC!$B$4:$O$29,MONTH(S2750)+1))</f>
        <v>0</v>
      </c>
      <c r="M2750" s="463">
        <f t="shared" si="234"/>
        <v>0</v>
      </c>
      <c r="N2750" s="465">
        <f t="shared" si="242"/>
        <v>0</v>
      </c>
      <c r="O2750" s="179"/>
      <c r="P2750" s="180"/>
      <c r="Q2750" s="173"/>
      <c r="R2750" s="173"/>
      <c r="S2750" s="174"/>
      <c r="T2750" s="173"/>
      <c r="U2750" s="182"/>
      <c r="V2750" s="177">
        <f>IF(U2750=0,0,IF(T2750="MXN",1/HLOOKUP(YEAR(S2750)+(MONTH(S2750)/100),TC!$5:$37,DAY(S2750)+2,FALSE),VLOOKUP(T2750,Equivalencia!$1:$23,((MAX(Equivalencia!$3:$3)-YEAR(S2750))*14)+MONTH(S2750)+2,FALSE)))</f>
        <v>0</v>
      </c>
      <c r="W2750" s="178">
        <f t="shared" si="239"/>
        <v>0</v>
      </c>
      <c r="X2750" s="481">
        <f t="shared" si="235"/>
        <v>0</v>
      </c>
      <c r="Y2750" s="179"/>
      <c r="Z2750" s="466">
        <f t="shared" si="236"/>
        <v>0</v>
      </c>
      <c r="AA2750" s="473">
        <f t="shared" si="237"/>
        <v>0</v>
      </c>
      <c r="AB2750" s="339">
        <f t="shared" si="238"/>
        <v>0</v>
      </c>
    </row>
    <row r="2751" spans="2:28" ht="20.100000000000001" customHeight="1">
      <c r="B2751" s="172"/>
      <c r="C2751" s="174"/>
      <c r="D2751" s="181"/>
      <c r="E2751" s="173"/>
      <c r="F2751" s="176"/>
      <c r="G2751" s="175">
        <f t="shared" si="240"/>
        <v>0</v>
      </c>
      <c r="H2751" s="175">
        <f t="shared" si="233"/>
        <v>0</v>
      </c>
      <c r="I2751" s="177">
        <f>IF(G2751=0,0,IF(E2751="MXN",1/HLOOKUP(YEAR(C2751)+(MONTH(C2751)/100),TC!$5:$37,DAY(C2751)+2,FALSE),VLOOKUP(E2751,Equivalencia!$5:$23,((MAX(Equivalencia!$3:$3)-YEAR(C2751))*14)+MONTH(C2751)+2,FALSE)))</f>
        <v>0</v>
      </c>
      <c r="J2751" s="178">
        <f t="shared" si="241"/>
        <v>0</v>
      </c>
      <c r="K2751" s="462">
        <f>IF(C2751=0,0,VLOOKUP(YEAR(C2751),INPC!$B$4:$O$29,MONTH(C2751)+1))</f>
        <v>0</v>
      </c>
      <c r="L2751" s="462">
        <f>IF(S2751=0,0,VLOOKUP(YEAR(S2751),INPC!$B$4:$O$29,MONTH(S2751)+1))</f>
        <v>0</v>
      </c>
      <c r="M2751" s="463">
        <f t="shared" si="234"/>
        <v>0</v>
      </c>
      <c r="N2751" s="465">
        <f t="shared" si="242"/>
        <v>0</v>
      </c>
      <c r="O2751" s="179"/>
      <c r="P2751" s="180"/>
      <c r="Q2751" s="173"/>
      <c r="R2751" s="173"/>
      <c r="S2751" s="174"/>
      <c r="T2751" s="173"/>
      <c r="U2751" s="182"/>
      <c r="V2751" s="177">
        <f>IF(U2751=0,0,IF(T2751="MXN",1/HLOOKUP(YEAR(S2751)+(MONTH(S2751)/100),TC!$5:$37,DAY(S2751)+2,FALSE),VLOOKUP(T2751,Equivalencia!$1:$23,((MAX(Equivalencia!$3:$3)-YEAR(S2751))*14)+MONTH(S2751)+2,FALSE)))</f>
        <v>0</v>
      </c>
      <c r="W2751" s="178">
        <f t="shared" si="239"/>
        <v>0</v>
      </c>
      <c r="X2751" s="481">
        <f t="shared" si="235"/>
        <v>0</v>
      </c>
      <c r="Y2751" s="179"/>
      <c r="Z2751" s="466">
        <f t="shared" si="236"/>
        <v>0</v>
      </c>
      <c r="AA2751" s="473">
        <f t="shared" si="237"/>
        <v>0</v>
      </c>
      <c r="AB2751" s="339">
        <f t="shared" si="238"/>
        <v>0</v>
      </c>
    </row>
    <row r="2752" spans="2:28" ht="20.100000000000001" customHeight="1">
      <c r="B2752" s="172"/>
      <c r="C2752" s="174"/>
      <c r="D2752" s="181"/>
      <c r="E2752" s="173"/>
      <c r="F2752" s="176"/>
      <c r="G2752" s="175">
        <f t="shared" si="240"/>
        <v>0</v>
      </c>
      <c r="H2752" s="175">
        <f t="shared" si="233"/>
        <v>0</v>
      </c>
      <c r="I2752" s="177">
        <f>IF(G2752=0,0,IF(E2752="MXN",1/HLOOKUP(YEAR(C2752)+(MONTH(C2752)/100),TC!$5:$37,DAY(C2752)+2,FALSE),VLOOKUP(E2752,Equivalencia!$5:$23,((MAX(Equivalencia!$3:$3)-YEAR(C2752))*14)+MONTH(C2752)+2,FALSE)))</f>
        <v>0</v>
      </c>
      <c r="J2752" s="178">
        <f t="shared" si="241"/>
        <v>0</v>
      </c>
      <c r="K2752" s="462">
        <f>IF(C2752=0,0,VLOOKUP(YEAR(C2752),INPC!$B$4:$O$29,MONTH(C2752)+1))</f>
        <v>0</v>
      </c>
      <c r="L2752" s="462">
        <f>IF(S2752=0,0,VLOOKUP(YEAR(S2752),INPC!$B$4:$O$29,MONTH(S2752)+1))</f>
        <v>0</v>
      </c>
      <c r="M2752" s="463">
        <f t="shared" si="234"/>
        <v>0</v>
      </c>
      <c r="N2752" s="465">
        <f t="shared" si="242"/>
        <v>0</v>
      </c>
      <c r="O2752" s="179"/>
      <c r="P2752" s="180"/>
      <c r="Q2752" s="173"/>
      <c r="R2752" s="173"/>
      <c r="S2752" s="174"/>
      <c r="T2752" s="173"/>
      <c r="U2752" s="182"/>
      <c r="V2752" s="177">
        <f>IF(U2752=0,0,IF(T2752="MXN",1/HLOOKUP(YEAR(S2752)+(MONTH(S2752)/100),TC!$5:$37,DAY(S2752)+2,FALSE),VLOOKUP(T2752,Equivalencia!$1:$23,((MAX(Equivalencia!$3:$3)-YEAR(S2752))*14)+MONTH(S2752)+2,FALSE)))</f>
        <v>0</v>
      </c>
      <c r="W2752" s="178">
        <f t="shared" si="239"/>
        <v>0</v>
      </c>
      <c r="X2752" s="481">
        <f t="shared" si="235"/>
        <v>0</v>
      </c>
      <c r="Y2752" s="179"/>
      <c r="Z2752" s="466">
        <f t="shared" si="236"/>
        <v>0</v>
      </c>
      <c r="AA2752" s="473">
        <f t="shared" si="237"/>
        <v>0</v>
      </c>
      <c r="AB2752" s="339">
        <f t="shared" si="238"/>
        <v>0</v>
      </c>
    </row>
    <row r="2753" spans="2:28" ht="20.100000000000001" customHeight="1">
      <c r="B2753" s="172"/>
      <c r="C2753" s="174"/>
      <c r="D2753" s="181"/>
      <c r="E2753" s="173"/>
      <c r="F2753" s="176"/>
      <c r="G2753" s="175">
        <f t="shared" si="240"/>
        <v>0</v>
      </c>
      <c r="H2753" s="175">
        <f t="shared" si="233"/>
        <v>0</v>
      </c>
      <c r="I2753" s="177">
        <f>IF(G2753=0,0,IF(E2753="MXN",1/HLOOKUP(YEAR(C2753)+(MONTH(C2753)/100),TC!$5:$37,DAY(C2753)+2,FALSE),VLOOKUP(E2753,Equivalencia!$5:$23,((MAX(Equivalencia!$3:$3)-YEAR(C2753))*14)+MONTH(C2753)+2,FALSE)))</f>
        <v>0</v>
      </c>
      <c r="J2753" s="178">
        <f t="shared" si="241"/>
        <v>0</v>
      </c>
      <c r="K2753" s="462">
        <f>IF(C2753=0,0,VLOOKUP(YEAR(C2753),INPC!$B$4:$O$29,MONTH(C2753)+1))</f>
        <v>0</v>
      </c>
      <c r="L2753" s="462">
        <f>IF(S2753=0,0,VLOOKUP(YEAR(S2753),INPC!$B$4:$O$29,MONTH(S2753)+1))</f>
        <v>0</v>
      </c>
      <c r="M2753" s="463">
        <f t="shared" si="234"/>
        <v>0</v>
      </c>
      <c r="N2753" s="465">
        <f t="shared" si="242"/>
        <v>0</v>
      </c>
      <c r="O2753" s="179"/>
      <c r="P2753" s="180"/>
      <c r="Q2753" s="173"/>
      <c r="R2753" s="173"/>
      <c r="S2753" s="174"/>
      <c r="T2753" s="173"/>
      <c r="U2753" s="182"/>
      <c r="V2753" s="177">
        <f>IF(U2753=0,0,IF(T2753="MXN",1/HLOOKUP(YEAR(S2753)+(MONTH(S2753)/100),TC!$5:$37,DAY(S2753)+2,FALSE),VLOOKUP(T2753,Equivalencia!$1:$23,((MAX(Equivalencia!$3:$3)-YEAR(S2753))*14)+MONTH(S2753)+2,FALSE)))</f>
        <v>0</v>
      </c>
      <c r="W2753" s="178">
        <f t="shared" si="239"/>
        <v>0</v>
      </c>
      <c r="X2753" s="481">
        <f t="shared" si="235"/>
        <v>0</v>
      </c>
      <c r="Y2753" s="179"/>
      <c r="Z2753" s="466">
        <f t="shared" si="236"/>
        <v>0</v>
      </c>
      <c r="AA2753" s="473">
        <f t="shared" si="237"/>
        <v>0</v>
      </c>
      <c r="AB2753" s="339">
        <f t="shared" si="238"/>
        <v>0</v>
      </c>
    </row>
    <row r="2754" spans="2:28" ht="20.100000000000001" customHeight="1">
      <c r="B2754" s="172"/>
      <c r="C2754" s="174"/>
      <c r="D2754" s="181"/>
      <c r="E2754" s="173"/>
      <c r="F2754" s="176"/>
      <c r="G2754" s="175">
        <f t="shared" si="240"/>
        <v>0</v>
      </c>
      <c r="H2754" s="175">
        <f t="shared" si="233"/>
        <v>0</v>
      </c>
      <c r="I2754" s="177">
        <f>IF(G2754=0,0,IF(E2754="MXN",1/HLOOKUP(YEAR(C2754)+(MONTH(C2754)/100),TC!$5:$37,DAY(C2754)+2,FALSE),VLOOKUP(E2754,Equivalencia!$5:$23,((MAX(Equivalencia!$3:$3)-YEAR(C2754))*14)+MONTH(C2754)+2,FALSE)))</f>
        <v>0</v>
      </c>
      <c r="J2754" s="178">
        <f t="shared" si="241"/>
        <v>0</v>
      </c>
      <c r="K2754" s="462">
        <f>IF(C2754=0,0,VLOOKUP(YEAR(C2754),INPC!$B$4:$O$29,MONTH(C2754)+1))</f>
        <v>0</v>
      </c>
      <c r="L2754" s="462">
        <f>IF(S2754=0,0,VLOOKUP(YEAR(S2754),INPC!$B$4:$O$29,MONTH(S2754)+1))</f>
        <v>0</v>
      </c>
      <c r="M2754" s="463">
        <f t="shared" si="234"/>
        <v>0</v>
      </c>
      <c r="N2754" s="465">
        <f t="shared" si="242"/>
        <v>0</v>
      </c>
      <c r="O2754" s="179"/>
      <c r="P2754" s="180"/>
      <c r="Q2754" s="173"/>
      <c r="R2754" s="173"/>
      <c r="S2754" s="174"/>
      <c r="T2754" s="173"/>
      <c r="U2754" s="182"/>
      <c r="V2754" s="177">
        <f>IF(U2754=0,0,IF(T2754="MXN",1/HLOOKUP(YEAR(S2754)+(MONTH(S2754)/100),TC!$5:$37,DAY(S2754)+2,FALSE),VLOOKUP(T2754,Equivalencia!$1:$23,((MAX(Equivalencia!$3:$3)-YEAR(S2754))*14)+MONTH(S2754)+2,FALSE)))</f>
        <v>0</v>
      </c>
      <c r="W2754" s="178">
        <f t="shared" si="239"/>
        <v>0</v>
      </c>
      <c r="X2754" s="481">
        <f t="shared" si="235"/>
        <v>0</v>
      </c>
      <c r="Y2754" s="179"/>
      <c r="Z2754" s="466">
        <f t="shared" si="236"/>
        <v>0</v>
      </c>
      <c r="AA2754" s="473">
        <f t="shared" si="237"/>
        <v>0</v>
      </c>
      <c r="AB2754" s="339">
        <f t="shared" si="238"/>
        <v>0</v>
      </c>
    </row>
    <row r="2755" spans="2:28" ht="20.100000000000001" customHeight="1">
      <c r="B2755" s="172"/>
      <c r="C2755" s="174"/>
      <c r="D2755" s="181"/>
      <c r="E2755" s="173"/>
      <c r="F2755" s="176"/>
      <c r="G2755" s="175">
        <f t="shared" si="240"/>
        <v>0</v>
      </c>
      <c r="H2755" s="175">
        <f t="shared" si="233"/>
        <v>0</v>
      </c>
      <c r="I2755" s="177">
        <f>IF(G2755=0,0,IF(E2755="MXN",1/HLOOKUP(YEAR(C2755)+(MONTH(C2755)/100),TC!$5:$37,DAY(C2755)+2,FALSE),VLOOKUP(E2755,Equivalencia!$5:$23,((MAX(Equivalencia!$3:$3)-YEAR(C2755))*14)+MONTH(C2755)+2,FALSE)))</f>
        <v>0</v>
      </c>
      <c r="J2755" s="178">
        <f t="shared" si="241"/>
        <v>0</v>
      </c>
      <c r="K2755" s="462">
        <f>IF(C2755=0,0,VLOOKUP(YEAR(C2755),INPC!$B$4:$O$29,MONTH(C2755)+1))</f>
        <v>0</v>
      </c>
      <c r="L2755" s="462">
        <f>IF(S2755=0,0,VLOOKUP(YEAR(S2755),INPC!$B$4:$O$29,MONTH(S2755)+1))</f>
        <v>0</v>
      </c>
      <c r="M2755" s="463">
        <f t="shared" si="234"/>
        <v>0</v>
      </c>
      <c r="N2755" s="465">
        <f t="shared" si="242"/>
        <v>0</v>
      </c>
      <c r="O2755" s="179"/>
      <c r="P2755" s="180"/>
      <c r="Q2755" s="173"/>
      <c r="R2755" s="173"/>
      <c r="S2755" s="174"/>
      <c r="T2755" s="173"/>
      <c r="U2755" s="182"/>
      <c r="V2755" s="177">
        <f>IF(U2755=0,0,IF(T2755="MXN",1/HLOOKUP(YEAR(S2755)+(MONTH(S2755)/100),TC!$5:$37,DAY(S2755)+2,FALSE),VLOOKUP(T2755,Equivalencia!$1:$23,((MAX(Equivalencia!$3:$3)-YEAR(S2755))*14)+MONTH(S2755)+2,FALSE)))</f>
        <v>0</v>
      </c>
      <c r="W2755" s="178">
        <f t="shared" si="239"/>
        <v>0</v>
      </c>
      <c r="X2755" s="481">
        <f t="shared" si="235"/>
        <v>0</v>
      </c>
      <c r="Y2755" s="179"/>
      <c r="Z2755" s="466">
        <f t="shared" si="236"/>
        <v>0</v>
      </c>
      <c r="AA2755" s="473">
        <f t="shared" si="237"/>
        <v>0</v>
      </c>
      <c r="AB2755" s="339">
        <f t="shared" si="238"/>
        <v>0</v>
      </c>
    </row>
    <row r="2756" spans="2:28" ht="20.100000000000001" customHeight="1">
      <c r="B2756" s="172"/>
      <c r="C2756" s="174"/>
      <c r="D2756" s="181"/>
      <c r="E2756" s="173"/>
      <c r="F2756" s="176"/>
      <c r="G2756" s="175">
        <f t="shared" si="240"/>
        <v>0</v>
      </c>
      <c r="H2756" s="175">
        <f t="shared" si="233"/>
        <v>0</v>
      </c>
      <c r="I2756" s="177">
        <f>IF(G2756=0,0,IF(E2756="MXN",1/HLOOKUP(YEAR(C2756)+(MONTH(C2756)/100),TC!$5:$37,DAY(C2756)+2,FALSE),VLOOKUP(E2756,Equivalencia!$5:$23,((MAX(Equivalencia!$3:$3)-YEAR(C2756))*14)+MONTH(C2756)+2,FALSE)))</f>
        <v>0</v>
      </c>
      <c r="J2756" s="178">
        <f t="shared" si="241"/>
        <v>0</v>
      </c>
      <c r="K2756" s="462">
        <f>IF(C2756=0,0,VLOOKUP(YEAR(C2756),INPC!$B$4:$O$29,MONTH(C2756)+1))</f>
        <v>0</v>
      </c>
      <c r="L2756" s="462">
        <f>IF(S2756=0,0,VLOOKUP(YEAR(S2756),INPC!$B$4:$O$29,MONTH(S2756)+1))</f>
        <v>0</v>
      </c>
      <c r="M2756" s="463">
        <f t="shared" si="234"/>
        <v>0</v>
      </c>
      <c r="N2756" s="465">
        <f t="shared" si="242"/>
        <v>0</v>
      </c>
      <c r="O2756" s="179"/>
      <c r="P2756" s="180"/>
      <c r="Q2756" s="173"/>
      <c r="R2756" s="173"/>
      <c r="S2756" s="174"/>
      <c r="T2756" s="173"/>
      <c r="U2756" s="182"/>
      <c r="V2756" s="177">
        <f>IF(U2756=0,0,IF(T2756="MXN",1/HLOOKUP(YEAR(S2756)+(MONTH(S2756)/100),TC!$5:$37,DAY(S2756)+2,FALSE),VLOOKUP(T2756,Equivalencia!$1:$23,((MAX(Equivalencia!$3:$3)-YEAR(S2756))*14)+MONTH(S2756)+2,FALSE)))</f>
        <v>0</v>
      </c>
      <c r="W2756" s="178">
        <f t="shared" si="239"/>
        <v>0</v>
      </c>
      <c r="X2756" s="481">
        <f t="shared" si="235"/>
        <v>0</v>
      </c>
      <c r="Y2756" s="179"/>
      <c r="Z2756" s="466">
        <f t="shared" si="236"/>
        <v>0</v>
      </c>
      <c r="AA2756" s="473">
        <f t="shared" si="237"/>
        <v>0</v>
      </c>
      <c r="AB2756" s="339">
        <f t="shared" si="238"/>
        <v>0</v>
      </c>
    </row>
    <row r="2757" spans="2:28" ht="20.100000000000001" customHeight="1">
      <c r="B2757" s="172"/>
      <c r="C2757" s="174"/>
      <c r="D2757" s="181"/>
      <c r="E2757" s="173"/>
      <c r="F2757" s="176"/>
      <c r="G2757" s="175">
        <f t="shared" si="240"/>
        <v>0</v>
      </c>
      <c r="H2757" s="175">
        <f t="shared" si="233"/>
        <v>0</v>
      </c>
      <c r="I2757" s="177">
        <f>IF(G2757=0,0,IF(E2757="MXN",1/HLOOKUP(YEAR(C2757)+(MONTH(C2757)/100),TC!$5:$37,DAY(C2757)+2,FALSE),VLOOKUP(E2757,Equivalencia!$5:$23,((MAX(Equivalencia!$3:$3)-YEAR(C2757))*14)+MONTH(C2757)+2,FALSE)))</f>
        <v>0</v>
      </c>
      <c r="J2757" s="178">
        <f t="shared" si="241"/>
        <v>0</v>
      </c>
      <c r="K2757" s="462">
        <f>IF(C2757=0,0,VLOOKUP(YEAR(C2757),INPC!$B$4:$O$29,MONTH(C2757)+1))</f>
        <v>0</v>
      </c>
      <c r="L2757" s="462">
        <f>IF(S2757=0,0,VLOOKUP(YEAR(S2757),INPC!$B$4:$O$29,MONTH(S2757)+1))</f>
        <v>0</v>
      </c>
      <c r="M2757" s="463">
        <f t="shared" si="234"/>
        <v>0</v>
      </c>
      <c r="N2757" s="465">
        <f t="shared" si="242"/>
        <v>0</v>
      </c>
      <c r="O2757" s="179"/>
      <c r="P2757" s="180"/>
      <c r="Q2757" s="173"/>
      <c r="R2757" s="173"/>
      <c r="S2757" s="174"/>
      <c r="T2757" s="173"/>
      <c r="U2757" s="182"/>
      <c r="V2757" s="177">
        <f>IF(U2757=0,0,IF(T2757="MXN",1/HLOOKUP(YEAR(S2757)+(MONTH(S2757)/100),TC!$5:$37,DAY(S2757)+2,FALSE),VLOOKUP(T2757,Equivalencia!$1:$23,((MAX(Equivalencia!$3:$3)-YEAR(S2757))*14)+MONTH(S2757)+2,FALSE)))</f>
        <v>0</v>
      </c>
      <c r="W2757" s="178">
        <f t="shared" si="239"/>
        <v>0</v>
      </c>
      <c r="X2757" s="481">
        <f t="shared" si="235"/>
        <v>0</v>
      </c>
      <c r="Y2757" s="179"/>
      <c r="Z2757" s="466">
        <f t="shared" si="236"/>
        <v>0</v>
      </c>
      <c r="AA2757" s="473">
        <f t="shared" si="237"/>
        <v>0</v>
      </c>
      <c r="AB2757" s="339">
        <f t="shared" si="238"/>
        <v>0</v>
      </c>
    </row>
    <row r="2758" spans="2:28" ht="20.100000000000001" customHeight="1">
      <c r="B2758" s="172"/>
      <c r="C2758" s="174"/>
      <c r="D2758" s="181"/>
      <c r="E2758" s="173"/>
      <c r="F2758" s="176"/>
      <c r="G2758" s="175">
        <f t="shared" si="240"/>
        <v>0</v>
      </c>
      <c r="H2758" s="175">
        <f t="shared" si="233"/>
        <v>0</v>
      </c>
      <c r="I2758" s="177">
        <f>IF(G2758=0,0,IF(E2758="MXN",1/HLOOKUP(YEAR(C2758)+(MONTH(C2758)/100),TC!$5:$37,DAY(C2758)+2,FALSE),VLOOKUP(E2758,Equivalencia!$5:$23,((MAX(Equivalencia!$3:$3)-YEAR(C2758))*14)+MONTH(C2758)+2,FALSE)))</f>
        <v>0</v>
      </c>
      <c r="J2758" s="178">
        <f t="shared" si="241"/>
        <v>0</v>
      </c>
      <c r="K2758" s="462">
        <f>IF(C2758=0,0,VLOOKUP(YEAR(C2758),INPC!$B$4:$O$29,MONTH(C2758)+1))</f>
        <v>0</v>
      </c>
      <c r="L2758" s="462">
        <f>IF(S2758=0,0,VLOOKUP(YEAR(S2758),INPC!$B$4:$O$29,MONTH(S2758)+1))</f>
        <v>0</v>
      </c>
      <c r="M2758" s="463">
        <f t="shared" si="234"/>
        <v>0</v>
      </c>
      <c r="N2758" s="465">
        <f t="shared" si="242"/>
        <v>0</v>
      </c>
      <c r="O2758" s="179"/>
      <c r="P2758" s="180"/>
      <c r="Q2758" s="173"/>
      <c r="R2758" s="173"/>
      <c r="S2758" s="174"/>
      <c r="T2758" s="173"/>
      <c r="U2758" s="182"/>
      <c r="V2758" s="177">
        <f>IF(U2758=0,0,IF(T2758="MXN",1/HLOOKUP(YEAR(S2758)+(MONTH(S2758)/100),TC!$5:$37,DAY(S2758)+2,FALSE),VLOOKUP(T2758,Equivalencia!$1:$23,((MAX(Equivalencia!$3:$3)-YEAR(S2758))*14)+MONTH(S2758)+2,FALSE)))</f>
        <v>0</v>
      </c>
      <c r="W2758" s="178">
        <f t="shared" si="239"/>
        <v>0</v>
      </c>
      <c r="X2758" s="481">
        <f t="shared" si="235"/>
        <v>0</v>
      </c>
      <c r="Y2758" s="179"/>
      <c r="Z2758" s="466">
        <f t="shared" si="236"/>
        <v>0</v>
      </c>
      <c r="AA2758" s="473">
        <f t="shared" si="237"/>
        <v>0</v>
      </c>
      <c r="AB2758" s="339">
        <f t="shared" si="238"/>
        <v>0</v>
      </c>
    </row>
    <row r="2759" spans="2:28" ht="20.100000000000001" customHeight="1">
      <c r="B2759" s="172"/>
      <c r="C2759" s="174"/>
      <c r="D2759" s="181"/>
      <c r="E2759" s="173"/>
      <c r="F2759" s="176"/>
      <c r="G2759" s="175">
        <f t="shared" si="240"/>
        <v>0</v>
      </c>
      <c r="H2759" s="175">
        <f t="shared" si="233"/>
        <v>0</v>
      </c>
      <c r="I2759" s="177">
        <f>IF(G2759=0,0,IF(E2759="MXN",1/HLOOKUP(YEAR(C2759)+(MONTH(C2759)/100),TC!$5:$37,DAY(C2759)+2,FALSE),VLOOKUP(E2759,Equivalencia!$5:$23,((MAX(Equivalencia!$3:$3)-YEAR(C2759))*14)+MONTH(C2759)+2,FALSE)))</f>
        <v>0</v>
      </c>
      <c r="J2759" s="178">
        <f t="shared" si="241"/>
        <v>0</v>
      </c>
      <c r="K2759" s="462">
        <f>IF(C2759=0,0,VLOOKUP(YEAR(C2759),INPC!$B$4:$O$29,MONTH(C2759)+1))</f>
        <v>0</v>
      </c>
      <c r="L2759" s="462">
        <f>IF(S2759=0,0,VLOOKUP(YEAR(S2759),INPC!$B$4:$O$29,MONTH(S2759)+1))</f>
        <v>0</v>
      </c>
      <c r="M2759" s="463">
        <f t="shared" si="234"/>
        <v>0</v>
      </c>
      <c r="N2759" s="465">
        <f t="shared" si="242"/>
        <v>0</v>
      </c>
      <c r="O2759" s="179"/>
      <c r="P2759" s="180"/>
      <c r="Q2759" s="173"/>
      <c r="R2759" s="173"/>
      <c r="S2759" s="174"/>
      <c r="T2759" s="173"/>
      <c r="U2759" s="182"/>
      <c r="V2759" s="177">
        <f>IF(U2759=0,0,IF(T2759="MXN",1/HLOOKUP(YEAR(S2759)+(MONTH(S2759)/100),TC!$5:$37,DAY(S2759)+2,FALSE),VLOOKUP(T2759,Equivalencia!$1:$23,((MAX(Equivalencia!$3:$3)-YEAR(S2759))*14)+MONTH(S2759)+2,FALSE)))</f>
        <v>0</v>
      </c>
      <c r="W2759" s="178">
        <f t="shared" si="239"/>
        <v>0</v>
      </c>
      <c r="X2759" s="481">
        <f t="shared" si="235"/>
        <v>0</v>
      </c>
      <c r="Y2759" s="179"/>
      <c r="Z2759" s="466">
        <f t="shared" si="236"/>
        <v>0</v>
      </c>
      <c r="AA2759" s="473">
        <f t="shared" si="237"/>
        <v>0</v>
      </c>
      <c r="AB2759" s="339">
        <f t="shared" si="238"/>
        <v>0</v>
      </c>
    </row>
    <row r="2760" spans="2:28" ht="20.100000000000001" customHeight="1">
      <c r="B2760" s="172"/>
      <c r="C2760" s="174"/>
      <c r="D2760" s="181"/>
      <c r="E2760" s="173"/>
      <c r="F2760" s="176"/>
      <c r="G2760" s="175">
        <f t="shared" si="240"/>
        <v>0</v>
      </c>
      <c r="H2760" s="175">
        <f t="shared" si="233"/>
        <v>0</v>
      </c>
      <c r="I2760" s="177">
        <f>IF(G2760=0,0,IF(E2760="MXN",1/HLOOKUP(YEAR(C2760)+(MONTH(C2760)/100),TC!$5:$37,DAY(C2760)+2,FALSE),VLOOKUP(E2760,Equivalencia!$5:$23,((MAX(Equivalencia!$3:$3)-YEAR(C2760))*14)+MONTH(C2760)+2,FALSE)))</f>
        <v>0</v>
      </c>
      <c r="J2760" s="178">
        <f t="shared" si="241"/>
        <v>0</v>
      </c>
      <c r="K2760" s="462">
        <f>IF(C2760=0,0,VLOOKUP(YEAR(C2760),INPC!$B$4:$O$29,MONTH(C2760)+1))</f>
        <v>0</v>
      </c>
      <c r="L2760" s="462">
        <f>IF(S2760=0,0,VLOOKUP(YEAR(S2760),INPC!$B$4:$O$29,MONTH(S2760)+1))</f>
        <v>0</v>
      </c>
      <c r="M2760" s="463">
        <f t="shared" si="234"/>
        <v>0</v>
      </c>
      <c r="N2760" s="465">
        <f t="shared" si="242"/>
        <v>0</v>
      </c>
      <c r="O2760" s="179"/>
      <c r="P2760" s="180"/>
      <c r="Q2760" s="173"/>
      <c r="R2760" s="173"/>
      <c r="S2760" s="174"/>
      <c r="T2760" s="173"/>
      <c r="U2760" s="182"/>
      <c r="V2760" s="177">
        <f>IF(U2760=0,0,IF(T2760="MXN",1/HLOOKUP(YEAR(S2760)+(MONTH(S2760)/100),TC!$5:$37,DAY(S2760)+2,FALSE),VLOOKUP(T2760,Equivalencia!$1:$23,((MAX(Equivalencia!$3:$3)-YEAR(S2760))*14)+MONTH(S2760)+2,FALSE)))</f>
        <v>0</v>
      </c>
      <c r="W2760" s="178">
        <f t="shared" si="239"/>
        <v>0</v>
      </c>
      <c r="X2760" s="481">
        <f t="shared" si="235"/>
        <v>0</v>
      </c>
      <c r="Y2760" s="179"/>
      <c r="Z2760" s="466">
        <f t="shared" si="236"/>
        <v>0</v>
      </c>
      <c r="AA2760" s="473">
        <f t="shared" si="237"/>
        <v>0</v>
      </c>
      <c r="AB2760" s="339">
        <f t="shared" si="238"/>
        <v>0</v>
      </c>
    </row>
    <row r="2761" spans="2:28" ht="20.100000000000001" customHeight="1">
      <c r="B2761" s="172"/>
      <c r="C2761" s="174"/>
      <c r="D2761" s="181"/>
      <c r="E2761" s="173"/>
      <c r="F2761" s="176"/>
      <c r="G2761" s="175">
        <f t="shared" si="240"/>
        <v>0</v>
      </c>
      <c r="H2761" s="175">
        <f t="shared" si="233"/>
        <v>0</v>
      </c>
      <c r="I2761" s="177">
        <f>IF(G2761=0,0,IF(E2761="MXN",1/HLOOKUP(YEAR(C2761)+(MONTH(C2761)/100),TC!$5:$37,DAY(C2761)+2,FALSE),VLOOKUP(E2761,Equivalencia!$5:$23,((MAX(Equivalencia!$3:$3)-YEAR(C2761))*14)+MONTH(C2761)+2,FALSE)))</f>
        <v>0</v>
      </c>
      <c r="J2761" s="178">
        <f t="shared" si="241"/>
        <v>0</v>
      </c>
      <c r="K2761" s="462">
        <f>IF(C2761=0,0,VLOOKUP(YEAR(C2761),INPC!$B$4:$O$29,MONTH(C2761)+1))</f>
        <v>0</v>
      </c>
      <c r="L2761" s="462">
        <f>IF(S2761=0,0,VLOOKUP(YEAR(S2761),INPC!$B$4:$O$29,MONTH(S2761)+1))</f>
        <v>0</v>
      </c>
      <c r="M2761" s="463">
        <f t="shared" si="234"/>
        <v>0</v>
      </c>
      <c r="N2761" s="465">
        <f t="shared" si="242"/>
        <v>0</v>
      </c>
      <c r="O2761" s="179"/>
      <c r="P2761" s="180"/>
      <c r="Q2761" s="173"/>
      <c r="R2761" s="173"/>
      <c r="S2761" s="174"/>
      <c r="T2761" s="173"/>
      <c r="U2761" s="182"/>
      <c r="V2761" s="177">
        <f>IF(U2761=0,0,IF(T2761="MXN",1/HLOOKUP(YEAR(S2761)+(MONTH(S2761)/100),TC!$5:$37,DAY(S2761)+2,FALSE),VLOOKUP(T2761,Equivalencia!$1:$23,((MAX(Equivalencia!$3:$3)-YEAR(S2761))*14)+MONTH(S2761)+2,FALSE)))</f>
        <v>0</v>
      </c>
      <c r="W2761" s="178">
        <f t="shared" si="239"/>
        <v>0</v>
      </c>
      <c r="X2761" s="481">
        <f t="shared" si="235"/>
        <v>0</v>
      </c>
      <c r="Y2761" s="179"/>
      <c r="Z2761" s="466">
        <f t="shared" si="236"/>
        <v>0</v>
      </c>
      <c r="AA2761" s="473">
        <f t="shared" si="237"/>
        <v>0</v>
      </c>
      <c r="AB2761" s="339">
        <f t="shared" si="238"/>
        <v>0</v>
      </c>
    </row>
    <row r="2762" spans="2:28" ht="20.100000000000001" customHeight="1">
      <c r="B2762" s="172"/>
      <c r="C2762" s="174"/>
      <c r="D2762" s="181"/>
      <c r="E2762" s="173"/>
      <c r="F2762" s="176"/>
      <c r="G2762" s="175">
        <f t="shared" si="240"/>
        <v>0</v>
      </c>
      <c r="H2762" s="175">
        <f t="shared" si="233"/>
        <v>0</v>
      </c>
      <c r="I2762" s="177">
        <f>IF(G2762=0,0,IF(E2762="MXN",1/HLOOKUP(YEAR(C2762)+(MONTH(C2762)/100),TC!$5:$37,DAY(C2762)+2,FALSE),VLOOKUP(E2762,Equivalencia!$5:$23,((MAX(Equivalencia!$3:$3)-YEAR(C2762))*14)+MONTH(C2762)+2,FALSE)))</f>
        <v>0</v>
      </c>
      <c r="J2762" s="178">
        <f t="shared" si="241"/>
        <v>0</v>
      </c>
      <c r="K2762" s="462">
        <f>IF(C2762=0,0,VLOOKUP(YEAR(C2762),INPC!$B$4:$O$29,MONTH(C2762)+1))</f>
        <v>0</v>
      </c>
      <c r="L2762" s="462">
        <f>IF(S2762=0,0,VLOOKUP(YEAR(S2762),INPC!$B$4:$O$29,MONTH(S2762)+1))</f>
        <v>0</v>
      </c>
      <c r="M2762" s="463">
        <f t="shared" si="234"/>
        <v>0</v>
      </c>
      <c r="N2762" s="465">
        <f t="shared" si="242"/>
        <v>0</v>
      </c>
      <c r="O2762" s="179"/>
      <c r="P2762" s="180"/>
      <c r="Q2762" s="173"/>
      <c r="R2762" s="173"/>
      <c r="S2762" s="174"/>
      <c r="T2762" s="173"/>
      <c r="U2762" s="182"/>
      <c r="V2762" s="177">
        <f>IF(U2762=0,0,IF(T2762="MXN",1/HLOOKUP(YEAR(S2762)+(MONTH(S2762)/100),TC!$5:$37,DAY(S2762)+2,FALSE),VLOOKUP(T2762,Equivalencia!$1:$23,((MAX(Equivalencia!$3:$3)-YEAR(S2762))*14)+MONTH(S2762)+2,FALSE)))</f>
        <v>0</v>
      </c>
      <c r="W2762" s="178">
        <f t="shared" si="239"/>
        <v>0</v>
      </c>
      <c r="X2762" s="481">
        <f t="shared" si="235"/>
        <v>0</v>
      </c>
      <c r="Y2762" s="179"/>
      <c r="Z2762" s="466">
        <f t="shared" si="236"/>
        <v>0</v>
      </c>
      <c r="AA2762" s="473">
        <f t="shared" si="237"/>
        <v>0</v>
      </c>
      <c r="AB2762" s="339">
        <f t="shared" si="238"/>
        <v>0</v>
      </c>
    </row>
    <row r="2763" spans="2:28" ht="20.100000000000001" customHeight="1">
      <c r="B2763" s="172"/>
      <c r="C2763" s="174"/>
      <c r="D2763" s="181"/>
      <c r="E2763" s="173"/>
      <c r="F2763" s="176"/>
      <c r="G2763" s="175">
        <f t="shared" si="240"/>
        <v>0</v>
      </c>
      <c r="H2763" s="175">
        <f t="shared" si="233"/>
        <v>0</v>
      </c>
      <c r="I2763" s="177">
        <f>IF(G2763=0,0,IF(E2763="MXN",1/HLOOKUP(YEAR(C2763)+(MONTH(C2763)/100),TC!$5:$37,DAY(C2763)+2,FALSE),VLOOKUP(E2763,Equivalencia!$5:$23,((MAX(Equivalencia!$3:$3)-YEAR(C2763))*14)+MONTH(C2763)+2,FALSE)))</f>
        <v>0</v>
      </c>
      <c r="J2763" s="178">
        <f t="shared" si="241"/>
        <v>0</v>
      </c>
      <c r="K2763" s="462">
        <f>IF(C2763=0,0,VLOOKUP(YEAR(C2763),INPC!$B$4:$O$29,MONTH(C2763)+1))</f>
        <v>0</v>
      </c>
      <c r="L2763" s="462">
        <f>IF(S2763=0,0,VLOOKUP(YEAR(S2763),INPC!$B$4:$O$29,MONTH(S2763)+1))</f>
        <v>0</v>
      </c>
      <c r="M2763" s="463">
        <f t="shared" si="234"/>
        <v>0</v>
      </c>
      <c r="N2763" s="465">
        <f t="shared" si="242"/>
        <v>0</v>
      </c>
      <c r="O2763" s="179"/>
      <c r="P2763" s="180"/>
      <c r="Q2763" s="173"/>
      <c r="R2763" s="173"/>
      <c r="S2763" s="174"/>
      <c r="T2763" s="173"/>
      <c r="U2763" s="182"/>
      <c r="V2763" s="177">
        <f>IF(U2763=0,0,IF(T2763="MXN",1/HLOOKUP(YEAR(S2763)+(MONTH(S2763)/100),TC!$5:$37,DAY(S2763)+2,FALSE),VLOOKUP(T2763,Equivalencia!$1:$23,((MAX(Equivalencia!$3:$3)-YEAR(S2763))*14)+MONTH(S2763)+2,FALSE)))</f>
        <v>0</v>
      </c>
      <c r="W2763" s="178">
        <f t="shared" si="239"/>
        <v>0</v>
      </c>
      <c r="X2763" s="481">
        <f t="shared" si="235"/>
        <v>0</v>
      </c>
      <c r="Y2763" s="179"/>
      <c r="Z2763" s="466">
        <f t="shared" si="236"/>
        <v>0</v>
      </c>
      <c r="AA2763" s="473">
        <f t="shared" si="237"/>
        <v>0</v>
      </c>
      <c r="AB2763" s="339">
        <f t="shared" si="238"/>
        <v>0</v>
      </c>
    </row>
    <row r="2764" spans="2:28" ht="20.100000000000001" customHeight="1">
      <c r="B2764" s="172"/>
      <c r="C2764" s="174"/>
      <c r="D2764" s="181"/>
      <c r="E2764" s="173"/>
      <c r="F2764" s="176"/>
      <c r="G2764" s="175">
        <f t="shared" si="240"/>
        <v>0</v>
      </c>
      <c r="H2764" s="175">
        <f t="shared" si="233"/>
        <v>0</v>
      </c>
      <c r="I2764" s="177">
        <f>IF(G2764=0,0,IF(E2764="MXN",1/HLOOKUP(YEAR(C2764)+(MONTH(C2764)/100),TC!$5:$37,DAY(C2764)+2,FALSE),VLOOKUP(E2764,Equivalencia!$5:$23,((MAX(Equivalencia!$3:$3)-YEAR(C2764))*14)+MONTH(C2764)+2,FALSE)))</f>
        <v>0</v>
      </c>
      <c r="J2764" s="178">
        <f t="shared" si="241"/>
        <v>0</v>
      </c>
      <c r="K2764" s="462">
        <f>IF(C2764=0,0,VLOOKUP(YEAR(C2764),INPC!$B$4:$O$29,MONTH(C2764)+1))</f>
        <v>0</v>
      </c>
      <c r="L2764" s="462">
        <f>IF(S2764=0,0,VLOOKUP(YEAR(S2764),INPC!$B$4:$O$29,MONTH(S2764)+1))</f>
        <v>0</v>
      </c>
      <c r="M2764" s="463">
        <f t="shared" si="234"/>
        <v>0</v>
      </c>
      <c r="N2764" s="465">
        <f t="shared" si="242"/>
        <v>0</v>
      </c>
      <c r="O2764" s="179"/>
      <c r="P2764" s="180"/>
      <c r="Q2764" s="173"/>
      <c r="R2764" s="173"/>
      <c r="S2764" s="174"/>
      <c r="T2764" s="173"/>
      <c r="U2764" s="182"/>
      <c r="V2764" s="177">
        <f>IF(U2764=0,0,IF(T2764="MXN",1/HLOOKUP(YEAR(S2764)+(MONTH(S2764)/100),TC!$5:$37,DAY(S2764)+2,FALSE),VLOOKUP(T2764,Equivalencia!$1:$23,((MAX(Equivalencia!$3:$3)-YEAR(S2764))*14)+MONTH(S2764)+2,FALSE)))</f>
        <v>0</v>
      </c>
      <c r="W2764" s="178">
        <f t="shared" si="239"/>
        <v>0</v>
      </c>
      <c r="X2764" s="481">
        <f t="shared" si="235"/>
        <v>0</v>
      </c>
      <c r="Y2764" s="179"/>
      <c r="Z2764" s="466">
        <f t="shared" si="236"/>
        <v>0</v>
      </c>
      <c r="AA2764" s="473">
        <f t="shared" si="237"/>
        <v>0</v>
      </c>
      <c r="AB2764" s="339">
        <f t="shared" si="238"/>
        <v>0</v>
      </c>
    </row>
    <row r="2765" spans="2:28" ht="20.100000000000001" customHeight="1">
      <c r="B2765" s="172"/>
      <c r="C2765" s="174"/>
      <c r="D2765" s="181"/>
      <c r="E2765" s="173"/>
      <c r="F2765" s="176"/>
      <c r="G2765" s="175">
        <f t="shared" si="240"/>
        <v>0</v>
      </c>
      <c r="H2765" s="175">
        <f t="shared" si="233"/>
        <v>0</v>
      </c>
      <c r="I2765" s="177">
        <f>IF(G2765=0,0,IF(E2765="MXN",1/HLOOKUP(YEAR(C2765)+(MONTH(C2765)/100),TC!$5:$37,DAY(C2765)+2,FALSE),VLOOKUP(E2765,Equivalencia!$5:$23,((MAX(Equivalencia!$3:$3)-YEAR(C2765))*14)+MONTH(C2765)+2,FALSE)))</f>
        <v>0</v>
      </c>
      <c r="J2765" s="178">
        <f t="shared" si="241"/>
        <v>0</v>
      </c>
      <c r="K2765" s="462">
        <f>IF(C2765=0,0,VLOOKUP(YEAR(C2765),INPC!$B$4:$O$29,MONTH(C2765)+1))</f>
        <v>0</v>
      </c>
      <c r="L2765" s="462">
        <f>IF(S2765=0,0,VLOOKUP(YEAR(S2765),INPC!$B$4:$O$29,MONTH(S2765)+1))</f>
        <v>0</v>
      </c>
      <c r="M2765" s="463">
        <f t="shared" si="234"/>
        <v>0</v>
      </c>
      <c r="N2765" s="465">
        <f t="shared" si="242"/>
        <v>0</v>
      </c>
      <c r="O2765" s="179"/>
      <c r="P2765" s="180"/>
      <c r="Q2765" s="173"/>
      <c r="R2765" s="173"/>
      <c r="S2765" s="174"/>
      <c r="T2765" s="173"/>
      <c r="U2765" s="182"/>
      <c r="V2765" s="177">
        <f>IF(U2765=0,0,IF(T2765="MXN",1/HLOOKUP(YEAR(S2765)+(MONTH(S2765)/100),TC!$5:$37,DAY(S2765)+2,FALSE),VLOOKUP(T2765,Equivalencia!$1:$23,((MAX(Equivalencia!$3:$3)-YEAR(S2765))*14)+MONTH(S2765)+2,FALSE)))</f>
        <v>0</v>
      </c>
      <c r="W2765" s="178">
        <f t="shared" si="239"/>
        <v>0</v>
      </c>
      <c r="X2765" s="481">
        <f t="shared" si="235"/>
        <v>0</v>
      </c>
      <c r="Y2765" s="179"/>
      <c r="Z2765" s="466">
        <f t="shared" si="236"/>
        <v>0</v>
      </c>
      <c r="AA2765" s="473">
        <f t="shared" si="237"/>
        <v>0</v>
      </c>
      <c r="AB2765" s="339">
        <f t="shared" si="238"/>
        <v>0</v>
      </c>
    </row>
    <row r="2766" spans="2:28" ht="20.100000000000001" customHeight="1">
      <c r="B2766" s="172"/>
      <c r="C2766" s="174"/>
      <c r="D2766" s="181"/>
      <c r="E2766" s="173"/>
      <c r="F2766" s="176"/>
      <c r="G2766" s="175">
        <f t="shared" si="240"/>
        <v>0</v>
      </c>
      <c r="H2766" s="175">
        <f t="shared" si="233"/>
        <v>0</v>
      </c>
      <c r="I2766" s="177">
        <f>IF(G2766=0,0,IF(E2766="MXN",1/HLOOKUP(YEAR(C2766)+(MONTH(C2766)/100),TC!$5:$37,DAY(C2766)+2,FALSE),VLOOKUP(E2766,Equivalencia!$5:$23,((MAX(Equivalencia!$3:$3)-YEAR(C2766))*14)+MONTH(C2766)+2,FALSE)))</f>
        <v>0</v>
      </c>
      <c r="J2766" s="178">
        <f t="shared" si="241"/>
        <v>0</v>
      </c>
      <c r="K2766" s="462">
        <f>IF(C2766=0,0,VLOOKUP(YEAR(C2766),INPC!$B$4:$O$29,MONTH(C2766)+1))</f>
        <v>0</v>
      </c>
      <c r="L2766" s="462">
        <f>IF(S2766=0,0,VLOOKUP(YEAR(S2766),INPC!$B$4:$O$29,MONTH(S2766)+1))</f>
        <v>0</v>
      </c>
      <c r="M2766" s="463">
        <f t="shared" si="234"/>
        <v>0</v>
      </c>
      <c r="N2766" s="465">
        <f t="shared" si="242"/>
        <v>0</v>
      </c>
      <c r="O2766" s="179"/>
      <c r="P2766" s="180"/>
      <c r="Q2766" s="173"/>
      <c r="R2766" s="173"/>
      <c r="S2766" s="174"/>
      <c r="T2766" s="173"/>
      <c r="U2766" s="182"/>
      <c r="V2766" s="177">
        <f>IF(U2766=0,0,IF(T2766="MXN",1/HLOOKUP(YEAR(S2766)+(MONTH(S2766)/100),TC!$5:$37,DAY(S2766)+2,FALSE),VLOOKUP(T2766,Equivalencia!$1:$23,((MAX(Equivalencia!$3:$3)-YEAR(S2766))*14)+MONTH(S2766)+2,FALSE)))</f>
        <v>0</v>
      </c>
      <c r="W2766" s="178">
        <f t="shared" si="239"/>
        <v>0</v>
      </c>
      <c r="X2766" s="481">
        <f t="shared" si="235"/>
        <v>0</v>
      </c>
      <c r="Y2766" s="179"/>
      <c r="Z2766" s="466">
        <f t="shared" si="236"/>
        <v>0</v>
      </c>
      <c r="AA2766" s="473">
        <f t="shared" si="237"/>
        <v>0</v>
      </c>
      <c r="AB2766" s="339">
        <f t="shared" si="238"/>
        <v>0</v>
      </c>
    </row>
    <row r="2767" spans="2:28" ht="20.100000000000001" customHeight="1">
      <c r="B2767" s="172"/>
      <c r="C2767" s="174"/>
      <c r="D2767" s="181"/>
      <c r="E2767" s="173"/>
      <c r="F2767" s="176"/>
      <c r="G2767" s="175">
        <f t="shared" si="240"/>
        <v>0</v>
      </c>
      <c r="H2767" s="175">
        <f t="shared" si="233"/>
        <v>0</v>
      </c>
      <c r="I2767" s="177">
        <f>IF(G2767=0,0,IF(E2767="MXN",1/HLOOKUP(YEAR(C2767)+(MONTH(C2767)/100),TC!$5:$37,DAY(C2767)+2,FALSE),VLOOKUP(E2767,Equivalencia!$5:$23,((MAX(Equivalencia!$3:$3)-YEAR(C2767))*14)+MONTH(C2767)+2,FALSE)))</f>
        <v>0</v>
      </c>
      <c r="J2767" s="178">
        <f t="shared" si="241"/>
        <v>0</v>
      </c>
      <c r="K2767" s="462">
        <f>IF(C2767=0,0,VLOOKUP(YEAR(C2767),INPC!$B$4:$O$29,MONTH(C2767)+1))</f>
        <v>0</v>
      </c>
      <c r="L2767" s="462">
        <f>IF(S2767=0,0,VLOOKUP(YEAR(S2767),INPC!$B$4:$O$29,MONTH(S2767)+1))</f>
        <v>0</v>
      </c>
      <c r="M2767" s="463">
        <f t="shared" si="234"/>
        <v>0</v>
      </c>
      <c r="N2767" s="465">
        <f t="shared" si="242"/>
        <v>0</v>
      </c>
      <c r="O2767" s="179"/>
      <c r="P2767" s="180"/>
      <c r="Q2767" s="173"/>
      <c r="R2767" s="173"/>
      <c r="S2767" s="174"/>
      <c r="T2767" s="173"/>
      <c r="U2767" s="182"/>
      <c r="V2767" s="177">
        <f>IF(U2767=0,0,IF(T2767="MXN",1/HLOOKUP(YEAR(S2767)+(MONTH(S2767)/100),TC!$5:$37,DAY(S2767)+2,FALSE),VLOOKUP(T2767,Equivalencia!$1:$23,((MAX(Equivalencia!$3:$3)-YEAR(S2767))*14)+MONTH(S2767)+2,FALSE)))</f>
        <v>0</v>
      </c>
      <c r="W2767" s="178">
        <f t="shared" si="239"/>
        <v>0</v>
      </c>
      <c r="X2767" s="481">
        <f t="shared" si="235"/>
        <v>0</v>
      </c>
      <c r="Y2767" s="179"/>
      <c r="Z2767" s="466">
        <f t="shared" si="236"/>
        <v>0</v>
      </c>
      <c r="AA2767" s="473">
        <f t="shared" si="237"/>
        <v>0</v>
      </c>
      <c r="AB2767" s="339">
        <f t="shared" si="238"/>
        <v>0</v>
      </c>
    </row>
    <row r="2768" spans="2:28" ht="20.100000000000001" customHeight="1">
      <c r="B2768" s="172"/>
      <c r="C2768" s="174"/>
      <c r="D2768" s="181"/>
      <c r="E2768" s="173"/>
      <c r="F2768" s="176"/>
      <c r="G2768" s="175">
        <f t="shared" si="240"/>
        <v>0</v>
      </c>
      <c r="H2768" s="175">
        <f t="shared" si="233"/>
        <v>0</v>
      </c>
      <c r="I2768" s="177">
        <f>IF(G2768=0,0,IF(E2768="MXN",1/HLOOKUP(YEAR(C2768)+(MONTH(C2768)/100),TC!$5:$37,DAY(C2768)+2,FALSE),VLOOKUP(E2768,Equivalencia!$5:$23,((MAX(Equivalencia!$3:$3)-YEAR(C2768))*14)+MONTH(C2768)+2,FALSE)))</f>
        <v>0</v>
      </c>
      <c r="J2768" s="178">
        <f t="shared" si="241"/>
        <v>0</v>
      </c>
      <c r="K2768" s="462">
        <f>IF(C2768=0,0,VLOOKUP(YEAR(C2768),INPC!$B$4:$O$29,MONTH(C2768)+1))</f>
        <v>0</v>
      </c>
      <c r="L2768" s="462">
        <f>IF(S2768=0,0,VLOOKUP(YEAR(S2768),INPC!$B$4:$O$29,MONTH(S2768)+1))</f>
        <v>0</v>
      </c>
      <c r="M2768" s="463">
        <f t="shared" si="234"/>
        <v>0</v>
      </c>
      <c r="N2768" s="465">
        <f t="shared" si="242"/>
        <v>0</v>
      </c>
      <c r="O2768" s="179"/>
      <c r="P2768" s="180"/>
      <c r="Q2768" s="173"/>
      <c r="R2768" s="173"/>
      <c r="S2768" s="174"/>
      <c r="T2768" s="173"/>
      <c r="U2768" s="182"/>
      <c r="V2768" s="177">
        <f>IF(U2768=0,0,IF(T2768="MXN",1/HLOOKUP(YEAR(S2768)+(MONTH(S2768)/100),TC!$5:$37,DAY(S2768)+2,FALSE),VLOOKUP(T2768,Equivalencia!$1:$23,((MAX(Equivalencia!$3:$3)-YEAR(S2768))*14)+MONTH(S2768)+2,FALSE)))</f>
        <v>0</v>
      </c>
      <c r="W2768" s="178">
        <f t="shared" si="239"/>
        <v>0</v>
      </c>
      <c r="X2768" s="481">
        <f t="shared" si="235"/>
        <v>0</v>
      </c>
      <c r="Y2768" s="179"/>
      <c r="Z2768" s="466">
        <f t="shared" si="236"/>
        <v>0</v>
      </c>
      <c r="AA2768" s="473">
        <f t="shared" si="237"/>
        <v>0</v>
      </c>
      <c r="AB2768" s="339">
        <f t="shared" si="238"/>
        <v>0</v>
      </c>
    </row>
    <row r="2769" spans="2:28" ht="20.100000000000001" customHeight="1">
      <c r="B2769" s="172"/>
      <c r="C2769" s="174"/>
      <c r="D2769" s="181"/>
      <c r="E2769" s="173"/>
      <c r="F2769" s="176"/>
      <c r="G2769" s="175">
        <f t="shared" si="240"/>
        <v>0</v>
      </c>
      <c r="H2769" s="175">
        <f t="shared" si="233"/>
        <v>0</v>
      </c>
      <c r="I2769" s="177">
        <f>IF(G2769=0,0,IF(E2769="MXN",1/HLOOKUP(YEAR(C2769)+(MONTH(C2769)/100),TC!$5:$37,DAY(C2769)+2,FALSE),VLOOKUP(E2769,Equivalencia!$5:$23,((MAX(Equivalencia!$3:$3)-YEAR(C2769))*14)+MONTH(C2769)+2,FALSE)))</f>
        <v>0</v>
      </c>
      <c r="J2769" s="178">
        <f t="shared" si="241"/>
        <v>0</v>
      </c>
      <c r="K2769" s="462">
        <f>IF(C2769=0,0,VLOOKUP(YEAR(C2769),INPC!$B$4:$O$29,MONTH(C2769)+1))</f>
        <v>0</v>
      </c>
      <c r="L2769" s="462">
        <f>IF(S2769=0,0,VLOOKUP(YEAR(S2769),INPC!$B$4:$O$29,MONTH(S2769)+1))</f>
        <v>0</v>
      </c>
      <c r="M2769" s="463">
        <f t="shared" si="234"/>
        <v>0</v>
      </c>
      <c r="N2769" s="465">
        <f t="shared" si="242"/>
        <v>0</v>
      </c>
      <c r="O2769" s="179"/>
      <c r="P2769" s="180"/>
      <c r="Q2769" s="173"/>
      <c r="R2769" s="173"/>
      <c r="S2769" s="174"/>
      <c r="T2769" s="173"/>
      <c r="U2769" s="182"/>
      <c r="V2769" s="177">
        <f>IF(U2769=0,0,IF(T2769="MXN",1/HLOOKUP(YEAR(S2769)+(MONTH(S2769)/100),TC!$5:$37,DAY(S2769)+2,FALSE),VLOOKUP(T2769,Equivalencia!$1:$23,((MAX(Equivalencia!$3:$3)-YEAR(S2769))*14)+MONTH(S2769)+2,FALSE)))</f>
        <v>0</v>
      </c>
      <c r="W2769" s="178">
        <f t="shared" si="239"/>
        <v>0</v>
      </c>
      <c r="X2769" s="481">
        <f t="shared" si="235"/>
        <v>0</v>
      </c>
      <c r="Y2769" s="179"/>
      <c r="Z2769" s="466">
        <f t="shared" si="236"/>
        <v>0</v>
      </c>
      <c r="AA2769" s="473">
        <f t="shared" si="237"/>
        <v>0</v>
      </c>
      <c r="AB2769" s="339">
        <f t="shared" si="238"/>
        <v>0</v>
      </c>
    </row>
    <row r="2770" spans="2:28" ht="20.100000000000001" customHeight="1">
      <c r="B2770" s="172"/>
      <c r="C2770" s="174"/>
      <c r="D2770" s="181"/>
      <c r="E2770" s="173"/>
      <c r="F2770" s="176"/>
      <c r="G2770" s="175">
        <f t="shared" si="240"/>
        <v>0</v>
      </c>
      <c r="H2770" s="175">
        <f t="shared" si="233"/>
        <v>0</v>
      </c>
      <c r="I2770" s="177">
        <f>IF(G2770=0,0,IF(E2770="MXN",1/HLOOKUP(YEAR(C2770)+(MONTH(C2770)/100),TC!$5:$37,DAY(C2770)+2,FALSE),VLOOKUP(E2770,Equivalencia!$5:$23,((MAX(Equivalencia!$3:$3)-YEAR(C2770))*14)+MONTH(C2770)+2,FALSE)))</f>
        <v>0</v>
      </c>
      <c r="J2770" s="178">
        <f t="shared" si="241"/>
        <v>0</v>
      </c>
      <c r="K2770" s="462">
        <f>IF(C2770=0,0,VLOOKUP(YEAR(C2770),INPC!$B$4:$O$29,MONTH(C2770)+1))</f>
        <v>0</v>
      </c>
      <c r="L2770" s="462">
        <f>IF(S2770=0,0,VLOOKUP(YEAR(S2770),INPC!$B$4:$O$29,MONTH(S2770)+1))</f>
        <v>0</v>
      </c>
      <c r="M2770" s="463">
        <f t="shared" si="234"/>
        <v>0</v>
      </c>
      <c r="N2770" s="465">
        <f t="shared" si="242"/>
        <v>0</v>
      </c>
      <c r="O2770" s="179"/>
      <c r="P2770" s="180"/>
      <c r="Q2770" s="173"/>
      <c r="R2770" s="173"/>
      <c r="S2770" s="174"/>
      <c r="T2770" s="173"/>
      <c r="U2770" s="182"/>
      <c r="V2770" s="177">
        <f>IF(U2770=0,0,IF(T2770="MXN",1/HLOOKUP(YEAR(S2770)+(MONTH(S2770)/100),TC!$5:$37,DAY(S2770)+2,FALSE),VLOOKUP(T2770,Equivalencia!$1:$23,((MAX(Equivalencia!$3:$3)-YEAR(S2770))*14)+MONTH(S2770)+2,FALSE)))</f>
        <v>0</v>
      </c>
      <c r="W2770" s="178">
        <f t="shared" si="239"/>
        <v>0</v>
      </c>
      <c r="X2770" s="481">
        <f t="shared" si="235"/>
        <v>0</v>
      </c>
      <c r="Y2770" s="179"/>
      <c r="Z2770" s="466">
        <f t="shared" si="236"/>
        <v>0</v>
      </c>
      <c r="AA2770" s="473">
        <f t="shared" si="237"/>
        <v>0</v>
      </c>
      <c r="AB2770" s="339">
        <f t="shared" si="238"/>
        <v>0</v>
      </c>
    </row>
    <row r="2771" spans="2:28" ht="20.100000000000001" customHeight="1">
      <c r="B2771" s="172"/>
      <c r="C2771" s="174"/>
      <c r="D2771" s="181"/>
      <c r="E2771" s="173"/>
      <c r="F2771" s="176"/>
      <c r="G2771" s="175">
        <f t="shared" si="240"/>
        <v>0</v>
      </c>
      <c r="H2771" s="175">
        <f t="shared" si="233"/>
        <v>0</v>
      </c>
      <c r="I2771" s="177">
        <f>IF(G2771=0,0,IF(E2771="MXN",1/HLOOKUP(YEAR(C2771)+(MONTH(C2771)/100),TC!$5:$37,DAY(C2771)+2,FALSE),VLOOKUP(E2771,Equivalencia!$5:$23,((MAX(Equivalencia!$3:$3)-YEAR(C2771))*14)+MONTH(C2771)+2,FALSE)))</f>
        <v>0</v>
      </c>
      <c r="J2771" s="178">
        <f t="shared" si="241"/>
        <v>0</v>
      </c>
      <c r="K2771" s="462">
        <f>IF(C2771=0,0,VLOOKUP(YEAR(C2771),INPC!$B$4:$O$29,MONTH(C2771)+1))</f>
        <v>0</v>
      </c>
      <c r="L2771" s="462">
        <f>IF(S2771=0,0,VLOOKUP(YEAR(S2771),INPC!$B$4:$O$29,MONTH(S2771)+1))</f>
        <v>0</v>
      </c>
      <c r="M2771" s="463">
        <f t="shared" si="234"/>
        <v>0</v>
      </c>
      <c r="N2771" s="465">
        <f t="shared" si="242"/>
        <v>0</v>
      </c>
      <c r="O2771" s="179"/>
      <c r="P2771" s="180"/>
      <c r="Q2771" s="173"/>
      <c r="R2771" s="173"/>
      <c r="S2771" s="174"/>
      <c r="T2771" s="173"/>
      <c r="U2771" s="182"/>
      <c r="V2771" s="177">
        <f>IF(U2771=0,0,IF(T2771="MXN",1/HLOOKUP(YEAR(S2771)+(MONTH(S2771)/100),TC!$5:$37,DAY(S2771)+2,FALSE),VLOOKUP(T2771,Equivalencia!$1:$23,((MAX(Equivalencia!$3:$3)-YEAR(S2771))*14)+MONTH(S2771)+2,FALSE)))</f>
        <v>0</v>
      </c>
      <c r="W2771" s="178">
        <f t="shared" si="239"/>
        <v>0</v>
      </c>
      <c r="X2771" s="481">
        <f t="shared" si="235"/>
        <v>0</v>
      </c>
      <c r="Y2771" s="179"/>
      <c r="Z2771" s="466">
        <f t="shared" si="236"/>
        <v>0</v>
      </c>
      <c r="AA2771" s="473">
        <f t="shared" si="237"/>
        <v>0</v>
      </c>
      <c r="AB2771" s="339">
        <f t="shared" si="238"/>
        <v>0</v>
      </c>
    </row>
    <row r="2772" spans="2:28" ht="20.100000000000001" customHeight="1">
      <c r="B2772" s="172"/>
      <c r="C2772" s="174"/>
      <c r="D2772" s="181"/>
      <c r="E2772" s="173"/>
      <c r="F2772" s="176"/>
      <c r="G2772" s="175">
        <f t="shared" si="240"/>
        <v>0</v>
      </c>
      <c r="H2772" s="175">
        <f t="shared" si="233"/>
        <v>0</v>
      </c>
      <c r="I2772" s="177">
        <f>IF(G2772=0,0,IF(E2772="MXN",1/HLOOKUP(YEAR(C2772)+(MONTH(C2772)/100),TC!$5:$37,DAY(C2772)+2,FALSE),VLOOKUP(E2772,Equivalencia!$5:$23,((MAX(Equivalencia!$3:$3)-YEAR(C2772))*14)+MONTH(C2772)+2,FALSE)))</f>
        <v>0</v>
      </c>
      <c r="J2772" s="178">
        <f t="shared" si="241"/>
        <v>0</v>
      </c>
      <c r="K2772" s="462">
        <f>IF(C2772=0,0,VLOOKUP(YEAR(C2772),INPC!$B$4:$O$29,MONTH(C2772)+1))</f>
        <v>0</v>
      </c>
      <c r="L2772" s="462">
        <f>IF(S2772=0,0,VLOOKUP(YEAR(S2772),INPC!$B$4:$O$29,MONTH(S2772)+1))</f>
        <v>0</v>
      </c>
      <c r="M2772" s="463">
        <f t="shared" si="234"/>
        <v>0</v>
      </c>
      <c r="N2772" s="465">
        <f t="shared" si="242"/>
        <v>0</v>
      </c>
      <c r="O2772" s="179"/>
      <c r="P2772" s="180"/>
      <c r="Q2772" s="173"/>
      <c r="R2772" s="173"/>
      <c r="S2772" s="174"/>
      <c r="T2772" s="173"/>
      <c r="U2772" s="182"/>
      <c r="V2772" s="177">
        <f>IF(U2772=0,0,IF(T2772="MXN",1/HLOOKUP(YEAR(S2772)+(MONTH(S2772)/100),TC!$5:$37,DAY(S2772)+2,FALSE),VLOOKUP(T2772,Equivalencia!$1:$23,((MAX(Equivalencia!$3:$3)-YEAR(S2772))*14)+MONTH(S2772)+2,FALSE)))</f>
        <v>0</v>
      </c>
      <c r="W2772" s="178">
        <f t="shared" si="239"/>
        <v>0</v>
      </c>
      <c r="X2772" s="481">
        <f t="shared" si="235"/>
        <v>0</v>
      </c>
      <c r="Y2772" s="179"/>
      <c r="Z2772" s="466">
        <f t="shared" si="236"/>
        <v>0</v>
      </c>
      <c r="AA2772" s="473">
        <f t="shared" si="237"/>
        <v>0</v>
      </c>
      <c r="AB2772" s="339">
        <f t="shared" si="238"/>
        <v>0</v>
      </c>
    </row>
    <row r="2773" spans="2:28" ht="20.100000000000001" customHeight="1">
      <c r="B2773" s="172"/>
      <c r="C2773" s="174"/>
      <c r="D2773" s="181"/>
      <c r="E2773" s="173"/>
      <c r="F2773" s="176"/>
      <c r="G2773" s="175">
        <f t="shared" si="240"/>
        <v>0</v>
      </c>
      <c r="H2773" s="175">
        <f t="shared" si="233"/>
        <v>0</v>
      </c>
      <c r="I2773" s="177">
        <f>IF(G2773=0,0,IF(E2773="MXN",1/HLOOKUP(YEAR(C2773)+(MONTH(C2773)/100),TC!$5:$37,DAY(C2773)+2,FALSE),VLOOKUP(E2773,Equivalencia!$5:$23,((MAX(Equivalencia!$3:$3)-YEAR(C2773))*14)+MONTH(C2773)+2,FALSE)))</f>
        <v>0</v>
      </c>
      <c r="J2773" s="178">
        <f t="shared" si="241"/>
        <v>0</v>
      </c>
      <c r="K2773" s="462">
        <f>IF(C2773=0,0,VLOOKUP(YEAR(C2773),INPC!$B$4:$O$29,MONTH(C2773)+1))</f>
        <v>0</v>
      </c>
      <c r="L2773" s="462">
        <f>IF(S2773=0,0,VLOOKUP(YEAR(S2773),INPC!$B$4:$O$29,MONTH(S2773)+1))</f>
        <v>0</v>
      </c>
      <c r="M2773" s="463">
        <f t="shared" si="234"/>
        <v>0</v>
      </c>
      <c r="N2773" s="465">
        <f t="shared" si="242"/>
        <v>0</v>
      </c>
      <c r="O2773" s="179"/>
      <c r="P2773" s="180"/>
      <c r="Q2773" s="173"/>
      <c r="R2773" s="173"/>
      <c r="S2773" s="174"/>
      <c r="T2773" s="173"/>
      <c r="U2773" s="182"/>
      <c r="V2773" s="177">
        <f>IF(U2773=0,0,IF(T2773="MXN",1/HLOOKUP(YEAR(S2773)+(MONTH(S2773)/100),TC!$5:$37,DAY(S2773)+2,FALSE),VLOOKUP(T2773,Equivalencia!$1:$23,((MAX(Equivalencia!$3:$3)-YEAR(S2773))*14)+MONTH(S2773)+2,FALSE)))</f>
        <v>0</v>
      </c>
      <c r="W2773" s="178">
        <f t="shared" si="239"/>
        <v>0</v>
      </c>
      <c r="X2773" s="481">
        <f t="shared" si="235"/>
        <v>0</v>
      </c>
      <c r="Y2773" s="179"/>
      <c r="Z2773" s="466">
        <f t="shared" si="236"/>
        <v>0</v>
      </c>
      <c r="AA2773" s="473">
        <f t="shared" si="237"/>
        <v>0</v>
      </c>
      <c r="AB2773" s="339">
        <f t="shared" si="238"/>
        <v>0</v>
      </c>
    </row>
    <row r="2774" spans="2:28" ht="20.100000000000001" customHeight="1">
      <c r="B2774" s="172"/>
      <c r="C2774" s="174"/>
      <c r="D2774" s="181"/>
      <c r="E2774" s="173"/>
      <c r="F2774" s="176"/>
      <c r="G2774" s="175">
        <f t="shared" si="240"/>
        <v>0</v>
      </c>
      <c r="H2774" s="175">
        <f t="shared" si="233"/>
        <v>0</v>
      </c>
      <c r="I2774" s="177">
        <f>IF(G2774=0,0,IF(E2774="MXN",1/HLOOKUP(YEAR(C2774)+(MONTH(C2774)/100),TC!$5:$37,DAY(C2774)+2,FALSE),VLOOKUP(E2774,Equivalencia!$5:$23,((MAX(Equivalencia!$3:$3)-YEAR(C2774))*14)+MONTH(C2774)+2,FALSE)))</f>
        <v>0</v>
      </c>
      <c r="J2774" s="178">
        <f t="shared" si="241"/>
        <v>0</v>
      </c>
      <c r="K2774" s="462">
        <f>IF(C2774=0,0,VLOOKUP(YEAR(C2774),INPC!$B$4:$O$29,MONTH(C2774)+1))</f>
        <v>0</v>
      </c>
      <c r="L2774" s="462">
        <f>IF(S2774=0,0,VLOOKUP(YEAR(S2774),INPC!$B$4:$O$29,MONTH(S2774)+1))</f>
        <v>0</v>
      </c>
      <c r="M2774" s="463">
        <f t="shared" si="234"/>
        <v>0</v>
      </c>
      <c r="N2774" s="465">
        <f t="shared" si="242"/>
        <v>0</v>
      </c>
      <c r="O2774" s="179"/>
      <c r="P2774" s="180"/>
      <c r="Q2774" s="173"/>
      <c r="R2774" s="173"/>
      <c r="S2774" s="174"/>
      <c r="T2774" s="173"/>
      <c r="U2774" s="182"/>
      <c r="V2774" s="177">
        <f>IF(U2774=0,0,IF(T2774="MXN",1/HLOOKUP(YEAR(S2774)+(MONTH(S2774)/100),TC!$5:$37,DAY(S2774)+2,FALSE),VLOOKUP(T2774,Equivalencia!$1:$23,((MAX(Equivalencia!$3:$3)-YEAR(S2774))*14)+MONTH(S2774)+2,FALSE)))</f>
        <v>0</v>
      </c>
      <c r="W2774" s="178">
        <f t="shared" si="239"/>
        <v>0</v>
      </c>
      <c r="X2774" s="481">
        <f t="shared" si="235"/>
        <v>0</v>
      </c>
      <c r="Y2774" s="179"/>
      <c r="Z2774" s="466">
        <f t="shared" si="236"/>
        <v>0</v>
      </c>
      <c r="AA2774" s="473">
        <f t="shared" si="237"/>
        <v>0</v>
      </c>
      <c r="AB2774" s="339">
        <f t="shared" si="238"/>
        <v>0</v>
      </c>
    </row>
    <row r="2775" spans="2:28" ht="20.100000000000001" customHeight="1">
      <c r="B2775" s="172"/>
      <c r="C2775" s="174"/>
      <c r="D2775" s="181"/>
      <c r="E2775" s="173"/>
      <c r="F2775" s="176"/>
      <c r="G2775" s="175">
        <f t="shared" si="240"/>
        <v>0</v>
      </c>
      <c r="H2775" s="175">
        <f t="shared" si="233"/>
        <v>0</v>
      </c>
      <c r="I2775" s="177">
        <f>IF(G2775=0,0,IF(E2775="MXN",1/HLOOKUP(YEAR(C2775)+(MONTH(C2775)/100),TC!$5:$37,DAY(C2775)+2,FALSE),VLOOKUP(E2775,Equivalencia!$5:$23,((MAX(Equivalencia!$3:$3)-YEAR(C2775))*14)+MONTH(C2775)+2,FALSE)))</f>
        <v>0</v>
      </c>
      <c r="J2775" s="178">
        <f t="shared" si="241"/>
        <v>0</v>
      </c>
      <c r="K2775" s="462">
        <f>IF(C2775=0,0,VLOOKUP(YEAR(C2775),INPC!$B$4:$O$29,MONTH(C2775)+1))</f>
        <v>0</v>
      </c>
      <c r="L2775" s="462">
        <f>IF(S2775=0,0,VLOOKUP(YEAR(S2775),INPC!$B$4:$O$29,MONTH(S2775)+1))</f>
        <v>0</v>
      </c>
      <c r="M2775" s="463">
        <f t="shared" si="234"/>
        <v>0</v>
      </c>
      <c r="N2775" s="465">
        <f t="shared" si="242"/>
        <v>0</v>
      </c>
      <c r="O2775" s="179"/>
      <c r="P2775" s="180"/>
      <c r="Q2775" s="173"/>
      <c r="R2775" s="173"/>
      <c r="S2775" s="174"/>
      <c r="T2775" s="173"/>
      <c r="U2775" s="182"/>
      <c r="V2775" s="177">
        <f>IF(U2775=0,0,IF(T2775="MXN",1/HLOOKUP(YEAR(S2775)+(MONTH(S2775)/100),TC!$5:$37,DAY(S2775)+2,FALSE),VLOOKUP(T2775,Equivalencia!$1:$23,((MAX(Equivalencia!$3:$3)-YEAR(S2775))*14)+MONTH(S2775)+2,FALSE)))</f>
        <v>0</v>
      </c>
      <c r="W2775" s="178">
        <f t="shared" si="239"/>
        <v>0</v>
      </c>
      <c r="X2775" s="481">
        <f t="shared" si="235"/>
        <v>0</v>
      </c>
      <c r="Y2775" s="179"/>
      <c r="Z2775" s="466">
        <f t="shared" si="236"/>
        <v>0</v>
      </c>
      <c r="AA2775" s="473">
        <f t="shared" si="237"/>
        <v>0</v>
      </c>
      <c r="AB2775" s="339">
        <f t="shared" si="238"/>
        <v>0</v>
      </c>
    </row>
    <row r="2776" spans="2:28" ht="20.100000000000001" customHeight="1">
      <c r="B2776" s="172"/>
      <c r="C2776" s="174"/>
      <c r="D2776" s="181"/>
      <c r="E2776" s="173"/>
      <c r="F2776" s="176"/>
      <c r="G2776" s="175">
        <f t="shared" si="240"/>
        <v>0</v>
      </c>
      <c r="H2776" s="175">
        <f t="shared" si="233"/>
        <v>0</v>
      </c>
      <c r="I2776" s="177">
        <f>IF(G2776=0,0,IF(E2776="MXN",1/HLOOKUP(YEAR(C2776)+(MONTH(C2776)/100),TC!$5:$37,DAY(C2776)+2,FALSE),VLOOKUP(E2776,Equivalencia!$5:$23,((MAX(Equivalencia!$3:$3)-YEAR(C2776))*14)+MONTH(C2776)+2,FALSE)))</f>
        <v>0</v>
      </c>
      <c r="J2776" s="178">
        <f t="shared" si="241"/>
        <v>0</v>
      </c>
      <c r="K2776" s="462">
        <f>IF(C2776=0,0,VLOOKUP(YEAR(C2776),INPC!$B$4:$O$29,MONTH(C2776)+1))</f>
        <v>0</v>
      </c>
      <c r="L2776" s="462">
        <f>IF(S2776=0,0,VLOOKUP(YEAR(S2776),INPC!$B$4:$O$29,MONTH(S2776)+1))</f>
        <v>0</v>
      </c>
      <c r="M2776" s="463">
        <f t="shared" si="234"/>
        <v>0</v>
      </c>
      <c r="N2776" s="465">
        <f t="shared" si="242"/>
        <v>0</v>
      </c>
      <c r="O2776" s="179"/>
      <c r="P2776" s="180"/>
      <c r="Q2776" s="173"/>
      <c r="R2776" s="173"/>
      <c r="S2776" s="174"/>
      <c r="T2776" s="173"/>
      <c r="U2776" s="182"/>
      <c r="V2776" s="177">
        <f>IF(U2776=0,0,IF(T2776="MXN",1/HLOOKUP(YEAR(S2776)+(MONTH(S2776)/100),TC!$5:$37,DAY(S2776)+2,FALSE),VLOOKUP(T2776,Equivalencia!$1:$23,((MAX(Equivalencia!$3:$3)-YEAR(S2776))*14)+MONTH(S2776)+2,FALSE)))</f>
        <v>0</v>
      </c>
      <c r="W2776" s="178">
        <f t="shared" si="239"/>
        <v>0</v>
      </c>
      <c r="X2776" s="481">
        <f t="shared" si="235"/>
        <v>0</v>
      </c>
      <c r="Y2776" s="179"/>
      <c r="Z2776" s="466">
        <f t="shared" si="236"/>
        <v>0</v>
      </c>
      <c r="AA2776" s="473">
        <f t="shared" si="237"/>
        <v>0</v>
      </c>
      <c r="AB2776" s="339">
        <f t="shared" si="238"/>
        <v>0</v>
      </c>
    </row>
    <row r="2777" spans="2:28" ht="20.100000000000001" customHeight="1">
      <c r="B2777" s="172"/>
      <c r="C2777" s="174"/>
      <c r="D2777" s="181"/>
      <c r="E2777" s="173"/>
      <c r="F2777" s="176"/>
      <c r="G2777" s="175">
        <f t="shared" si="240"/>
        <v>0</v>
      </c>
      <c r="H2777" s="175">
        <f t="shared" si="233"/>
        <v>0</v>
      </c>
      <c r="I2777" s="177">
        <f>IF(G2777=0,0,IF(E2777="MXN",1/HLOOKUP(YEAR(C2777)+(MONTH(C2777)/100),TC!$5:$37,DAY(C2777)+2,FALSE),VLOOKUP(E2777,Equivalencia!$5:$23,((MAX(Equivalencia!$3:$3)-YEAR(C2777))*14)+MONTH(C2777)+2,FALSE)))</f>
        <v>0</v>
      </c>
      <c r="J2777" s="178">
        <f t="shared" si="241"/>
        <v>0</v>
      </c>
      <c r="K2777" s="462">
        <f>IF(C2777=0,0,VLOOKUP(YEAR(C2777),INPC!$B$4:$O$29,MONTH(C2777)+1))</f>
        <v>0</v>
      </c>
      <c r="L2777" s="462">
        <f>IF(S2777=0,0,VLOOKUP(YEAR(S2777),INPC!$B$4:$O$29,MONTH(S2777)+1))</f>
        <v>0</v>
      </c>
      <c r="M2777" s="463">
        <f t="shared" si="234"/>
        <v>0</v>
      </c>
      <c r="N2777" s="465">
        <f t="shared" si="242"/>
        <v>0</v>
      </c>
      <c r="O2777" s="179"/>
      <c r="P2777" s="180"/>
      <c r="Q2777" s="173"/>
      <c r="R2777" s="173"/>
      <c r="S2777" s="174"/>
      <c r="T2777" s="173"/>
      <c r="U2777" s="182"/>
      <c r="V2777" s="177">
        <f>IF(U2777=0,0,IF(T2777="MXN",1/HLOOKUP(YEAR(S2777)+(MONTH(S2777)/100),TC!$5:$37,DAY(S2777)+2,FALSE),VLOOKUP(T2777,Equivalencia!$1:$23,((MAX(Equivalencia!$3:$3)-YEAR(S2777))*14)+MONTH(S2777)+2,FALSE)))</f>
        <v>0</v>
      </c>
      <c r="W2777" s="178">
        <f t="shared" si="239"/>
        <v>0</v>
      </c>
      <c r="X2777" s="481">
        <f t="shared" si="235"/>
        <v>0</v>
      </c>
      <c r="Y2777" s="179"/>
      <c r="Z2777" s="466">
        <f t="shared" si="236"/>
        <v>0</v>
      </c>
      <c r="AA2777" s="473">
        <f t="shared" si="237"/>
        <v>0</v>
      </c>
      <c r="AB2777" s="339">
        <f t="shared" si="238"/>
        <v>0</v>
      </c>
    </row>
    <row r="2778" spans="2:28" ht="20.100000000000001" customHeight="1">
      <c r="B2778" s="172"/>
      <c r="C2778" s="174"/>
      <c r="D2778" s="181"/>
      <c r="E2778" s="173"/>
      <c r="F2778" s="176"/>
      <c r="G2778" s="175">
        <f t="shared" si="240"/>
        <v>0</v>
      </c>
      <c r="H2778" s="175">
        <f t="shared" si="233"/>
        <v>0</v>
      </c>
      <c r="I2778" s="177">
        <f>IF(G2778=0,0,IF(E2778="MXN",1/HLOOKUP(YEAR(C2778)+(MONTH(C2778)/100),TC!$5:$37,DAY(C2778)+2,FALSE),VLOOKUP(E2778,Equivalencia!$5:$23,((MAX(Equivalencia!$3:$3)-YEAR(C2778))*14)+MONTH(C2778)+2,FALSE)))</f>
        <v>0</v>
      </c>
      <c r="J2778" s="178">
        <f t="shared" si="241"/>
        <v>0</v>
      </c>
      <c r="K2778" s="462">
        <f>IF(C2778=0,0,VLOOKUP(YEAR(C2778),INPC!$B$4:$O$29,MONTH(C2778)+1))</f>
        <v>0</v>
      </c>
      <c r="L2778" s="462">
        <f>IF(S2778=0,0,VLOOKUP(YEAR(S2778),INPC!$B$4:$O$29,MONTH(S2778)+1))</f>
        <v>0</v>
      </c>
      <c r="M2778" s="463">
        <f t="shared" si="234"/>
        <v>0</v>
      </c>
      <c r="N2778" s="465">
        <f t="shared" si="242"/>
        <v>0</v>
      </c>
      <c r="O2778" s="179"/>
      <c r="P2778" s="180"/>
      <c r="Q2778" s="173"/>
      <c r="R2778" s="173"/>
      <c r="S2778" s="174"/>
      <c r="T2778" s="173"/>
      <c r="U2778" s="182"/>
      <c r="V2778" s="177">
        <f>IF(U2778=0,0,IF(T2778="MXN",1/HLOOKUP(YEAR(S2778)+(MONTH(S2778)/100),TC!$5:$37,DAY(S2778)+2,FALSE),VLOOKUP(T2778,Equivalencia!$1:$23,((MAX(Equivalencia!$3:$3)-YEAR(S2778))*14)+MONTH(S2778)+2,FALSE)))</f>
        <v>0</v>
      </c>
      <c r="W2778" s="178">
        <f t="shared" si="239"/>
        <v>0</v>
      </c>
      <c r="X2778" s="481">
        <f t="shared" si="235"/>
        <v>0</v>
      </c>
      <c r="Y2778" s="179"/>
      <c r="Z2778" s="466">
        <f t="shared" si="236"/>
        <v>0</v>
      </c>
      <c r="AA2778" s="473">
        <f t="shared" si="237"/>
        <v>0</v>
      </c>
      <c r="AB2778" s="339">
        <f t="shared" si="238"/>
        <v>0</v>
      </c>
    </row>
    <row r="2779" spans="2:28" ht="20.100000000000001" customHeight="1">
      <c r="B2779" s="172"/>
      <c r="C2779" s="174"/>
      <c r="D2779" s="181"/>
      <c r="E2779" s="173"/>
      <c r="F2779" s="176"/>
      <c r="G2779" s="175">
        <f t="shared" si="240"/>
        <v>0</v>
      </c>
      <c r="H2779" s="175">
        <f t="shared" si="233"/>
        <v>0</v>
      </c>
      <c r="I2779" s="177">
        <f>IF(G2779=0,0,IF(E2779="MXN",1/HLOOKUP(YEAR(C2779)+(MONTH(C2779)/100),TC!$5:$37,DAY(C2779)+2,FALSE),VLOOKUP(E2779,Equivalencia!$5:$23,((MAX(Equivalencia!$3:$3)-YEAR(C2779))*14)+MONTH(C2779)+2,FALSE)))</f>
        <v>0</v>
      </c>
      <c r="J2779" s="178">
        <f t="shared" si="241"/>
        <v>0</v>
      </c>
      <c r="K2779" s="462">
        <f>IF(C2779=0,0,VLOOKUP(YEAR(C2779),INPC!$B$4:$O$29,MONTH(C2779)+1))</f>
        <v>0</v>
      </c>
      <c r="L2779" s="462">
        <f>IF(S2779=0,0,VLOOKUP(YEAR(S2779),INPC!$B$4:$O$29,MONTH(S2779)+1))</f>
        <v>0</v>
      </c>
      <c r="M2779" s="463">
        <f t="shared" si="234"/>
        <v>0</v>
      </c>
      <c r="N2779" s="465">
        <f t="shared" si="242"/>
        <v>0</v>
      </c>
      <c r="O2779" s="179"/>
      <c r="P2779" s="180"/>
      <c r="Q2779" s="173"/>
      <c r="R2779" s="173"/>
      <c r="S2779" s="174"/>
      <c r="T2779" s="173"/>
      <c r="U2779" s="182"/>
      <c r="V2779" s="177">
        <f>IF(U2779=0,0,IF(T2779="MXN",1/HLOOKUP(YEAR(S2779)+(MONTH(S2779)/100),TC!$5:$37,DAY(S2779)+2,FALSE),VLOOKUP(T2779,Equivalencia!$1:$23,((MAX(Equivalencia!$3:$3)-YEAR(S2779))*14)+MONTH(S2779)+2,FALSE)))</f>
        <v>0</v>
      </c>
      <c r="W2779" s="178">
        <f t="shared" si="239"/>
        <v>0</v>
      </c>
      <c r="X2779" s="481">
        <f t="shared" si="235"/>
        <v>0</v>
      </c>
      <c r="Y2779" s="179"/>
      <c r="Z2779" s="466">
        <f t="shared" si="236"/>
        <v>0</v>
      </c>
      <c r="AA2779" s="473">
        <f t="shared" si="237"/>
        <v>0</v>
      </c>
      <c r="AB2779" s="339">
        <f t="shared" si="238"/>
        <v>0</v>
      </c>
    </row>
    <row r="2780" spans="2:28" ht="20.100000000000001" customHeight="1">
      <c r="B2780" s="172"/>
      <c r="C2780" s="174"/>
      <c r="D2780" s="181"/>
      <c r="E2780" s="173"/>
      <c r="F2780" s="176"/>
      <c r="G2780" s="175">
        <f t="shared" si="240"/>
        <v>0</v>
      </c>
      <c r="H2780" s="175">
        <f t="shared" si="233"/>
        <v>0</v>
      </c>
      <c r="I2780" s="177">
        <f>IF(G2780=0,0,IF(E2780="MXN",1/HLOOKUP(YEAR(C2780)+(MONTH(C2780)/100),TC!$5:$37,DAY(C2780)+2,FALSE),VLOOKUP(E2780,Equivalencia!$5:$23,((MAX(Equivalencia!$3:$3)-YEAR(C2780))*14)+MONTH(C2780)+2,FALSE)))</f>
        <v>0</v>
      </c>
      <c r="J2780" s="178">
        <f t="shared" si="241"/>
        <v>0</v>
      </c>
      <c r="K2780" s="462">
        <f>IF(C2780=0,0,VLOOKUP(YEAR(C2780),INPC!$B$4:$O$29,MONTH(C2780)+1))</f>
        <v>0</v>
      </c>
      <c r="L2780" s="462">
        <f>IF(S2780=0,0,VLOOKUP(YEAR(S2780),INPC!$B$4:$O$29,MONTH(S2780)+1))</f>
        <v>0</v>
      </c>
      <c r="M2780" s="463">
        <f t="shared" si="234"/>
        <v>0</v>
      </c>
      <c r="N2780" s="465">
        <f t="shared" si="242"/>
        <v>0</v>
      </c>
      <c r="O2780" s="179"/>
      <c r="P2780" s="180"/>
      <c r="Q2780" s="173"/>
      <c r="R2780" s="173"/>
      <c r="S2780" s="174"/>
      <c r="T2780" s="173"/>
      <c r="U2780" s="182"/>
      <c r="V2780" s="177">
        <f>IF(U2780=0,0,IF(T2780="MXN",1/HLOOKUP(YEAR(S2780)+(MONTH(S2780)/100),TC!$5:$37,DAY(S2780)+2,FALSE),VLOOKUP(T2780,Equivalencia!$1:$23,((MAX(Equivalencia!$3:$3)-YEAR(S2780))*14)+MONTH(S2780)+2,FALSE)))</f>
        <v>0</v>
      </c>
      <c r="W2780" s="178">
        <f t="shared" si="239"/>
        <v>0</v>
      </c>
      <c r="X2780" s="481">
        <f t="shared" si="235"/>
        <v>0</v>
      </c>
      <c r="Y2780" s="179"/>
      <c r="Z2780" s="466">
        <f t="shared" si="236"/>
        <v>0</v>
      </c>
      <c r="AA2780" s="473">
        <f t="shared" si="237"/>
        <v>0</v>
      </c>
      <c r="AB2780" s="339">
        <f t="shared" si="238"/>
        <v>0</v>
      </c>
    </row>
    <row r="2781" spans="2:28" ht="20.100000000000001" customHeight="1">
      <c r="B2781" s="172"/>
      <c r="C2781" s="174"/>
      <c r="D2781" s="181"/>
      <c r="E2781" s="173"/>
      <c r="F2781" s="176"/>
      <c r="G2781" s="175">
        <f t="shared" si="240"/>
        <v>0</v>
      </c>
      <c r="H2781" s="175">
        <f t="shared" si="233"/>
        <v>0</v>
      </c>
      <c r="I2781" s="177">
        <f>IF(G2781=0,0,IF(E2781="MXN",1/HLOOKUP(YEAR(C2781)+(MONTH(C2781)/100),TC!$5:$37,DAY(C2781)+2,FALSE),VLOOKUP(E2781,Equivalencia!$5:$23,((MAX(Equivalencia!$3:$3)-YEAR(C2781))*14)+MONTH(C2781)+2,FALSE)))</f>
        <v>0</v>
      </c>
      <c r="J2781" s="178">
        <f t="shared" si="241"/>
        <v>0</v>
      </c>
      <c r="K2781" s="462">
        <f>IF(C2781=0,0,VLOOKUP(YEAR(C2781),INPC!$B$4:$O$29,MONTH(C2781)+1))</f>
        <v>0</v>
      </c>
      <c r="L2781" s="462">
        <f>IF(S2781=0,0,VLOOKUP(YEAR(S2781),INPC!$B$4:$O$29,MONTH(S2781)+1))</f>
        <v>0</v>
      </c>
      <c r="M2781" s="463">
        <f t="shared" si="234"/>
        <v>0</v>
      </c>
      <c r="N2781" s="465">
        <f t="shared" si="242"/>
        <v>0</v>
      </c>
      <c r="O2781" s="179"/>
      <c r="P2781" s="180"/>
      <c r="Q2781" s="173"/>
      <c r="R2781" s="173"/>
      <c r="S2781" s="174"/>
      <c r="T2781" s="173"/>
      <c r="U2781" s="182"/>
      <c r="V2781" s="177">
        <f>IF(U2781=0,0,IF(T2781="MXN",1/HLOOKUP(YEAR(S2781)+(MONTH(S2781)/100),TC!$5:$37,DAY(S2781)+2,FALSE),VLOOKUP(T2781,Equivalencia!$1:$23,((MAX(Equivalencia!$3:$3)-YEAR(S2781))*14)+MONTH(S2781)+2,FALSE)))</f>
        <v>0</v>
      </c>
      <c r="W2781" s="178">
        <f t="shared" si="239"/>
        <v>0</v>
      </c>
      <c r="X2781" s="481">
        <f t="shared" si="235"/>
        <v>0</v>
      </c>
      <c r="Y2781" s="179"/>
      <c r="Z2781" s="466">
        <f t="shared" si="236"/>
        <v>0</v>
      </c>
      <c r="AA2781" s="473">
        <f t="shared" si="237"/>
        <v>0</v>
      </c>
      <c r="AB2781" s="339">
        <f t="shared" si="238"/>
        <v>0</v>
      </c>
    </row>
    <row r="2782" spans="2:28" ht="20.100000000000001" customHeight="1">
      <c r="B2782" s="172"/>
      <c r="C2782" s="174"/>
      <c r="D2782" s="181"/>
      <c r="E2782" s="173"/>
      <c r="F2782" s="176"/>
      <c r="G2782" s="175">
        <f t="shared" si="240"/>
        <v>0</v>
      </c>
      <c r="H2782" s="175">
        <f t="shared" si="233"/>
        <v>0</v>
      </c>
      <c r="I2782" s="177">
        <f>IF(G2782=0,0,IF(E2782="MXN",1/HLOOKUP(YEAR(C2782)+(MONTH(C2782)/100),TC!$5:$37,DAY(C2782)+2,FALSE),VLOOKUP(E2782,Equivalencia!$5:$23,((MAX(Equivalencia!$3:$3)-YEAR(C2782))*14)+MONTH(C2782)+2,FALSE)))</f>
        <v>0</v>
      </c>
      <c r="J2782" s="178">
        <f t="shared" si="241"/>
        <v>0</v>
      </c>
      <c r="K2782" s="462">
        <f>IF(C2782=0,0,VLOOKUP(YEAR(C2782),INPC!$B$4:$O$29,MONTH(C2782)+1))</f>
        <v>0</v>
      </c>
      <c r="L2782" s="462">
        <f>IF(S2782=0,0,VLOOKUP(YEAR(S2782),INPC!$B$4:$O$29,MONTH(S2782)+1))</f>
        <v>0</v>
      </c>
      <c r="M2782" s="463">
        <f t="shared" si="234"/>
        <v>0</v>
      </c>
      <c r="N2782" s="465">
        <f t="shared" si="242"/>
        <v>0</v>
      </c>
      <c r="O2782" s="179"/>
      <c r="P2782" s="180"/>
      <c r="Q2782" s="173"/>
      <c r="R2782" s="173"/>
      <c r="S2782" s="174"/>
      <c r="T2782" s="173"/>
      <c r="U2782" s="182"/>
      <c r="V2782" s="177">
        <f>IF(U2782=0,0,IF(T2782="MXN",1/HLOOKUP(YEAR(S2782)+(MONTH(S2782)/100),TC!$5:$37,DAY(S2782)+2,FALSE),VLOOKUP(T2782,Equivalencia!$1:$23,((MAX(Equivalencia!$3:$3)-YEAR(S2782))*14)+MONTH(S2782)+2,FALSE)))</f>
        <v>0</v>
      </c>
      <c r="W2782" s="178">
        <f t="shared" si="239"/>
        <v>0</v>
      </c>
      <c r="X2782" s="481">
        <f t="shared" si="235"/>
        <v>0</v>
      </c>
      <c r="Y2782" s="179"/>
      <c r="Z2782" s="466">
        <f t="shared" si="236"/>
        <v>0</v>
      </c>
      <c r="AA2782" s="473">
        <f t="shared" si="237"/>
        <v>0</v>
      </c>
      <c r="AB2782" s="339">
        <f t="shared" si="238"/>
        <v>0</v>
      </c>
    </row>
    <row r="2783" spans="2:28" ht="20.100000000000001" customHeight="1">
      <c r="B2783" s="172"/>
      <c r="C2783" s="174"/>
      <c r="D2783" s="181"/>
      <c r="E2783" s="173"/>
      <c r="F2783" s="176"/>
      <c r="G2783" s="175">
        <f t="shared" si="240"/>
        <v>0</v>
      </c>
      <c r="H2783" s="175">
        <f t="shared" si="233"/>
        <v>0</v>
      </c>
      <c r="I2783" s="177">
        <f>IF(G2783=0,0,IF(E2783="MXN",1/HLOOKUP(YEAR(C2783)+(MONTH(C2783)/100),TC!$5:$37,DAY(C2783)+2,FALSE),VLOOKUP(E2783,Equivalencia!$5:$23,((MAX(Equivalencia!$3:$3)-YEAR(C2783))*14)+MONTH(C2783)+2,FALSE)))</f>
        <v>0</v>
      </c>
      <c r="J2783" s="178">
        <f t="shared" si="241"/>
        <v>0</v>
      </c>
      <c r="K2783" s="462">
        <f>IF(C2783=0,0,VLOOKUP(YEAR(C2783),INPC!$B$4:$O$29,MONTH(C2783)+1))</f>
        <v>0</v>
      </c>
      <c r="L2783" s="462">
        <f>IF(S2783=0,0,VLOOKUP(YEAR(S2783),INPC!$B$4:$O$29,MONTH(S2783)+1))</f>
        <v>0</v>
      </c>
      <c r="M2783" s="463">
        <f t="shared" si="234"/>
        <v>0</v>
      </c>
      <c r="N2783" s="465">
        <f t="shared" si="242"/>
        <v>0</v>
      </c>
      <c r="O2783" s="179"/>
      <c r="P2783" s="180"/>
      <c r="Q2783" s="173"/>
      <c r="R2783" s="173"/>
      <c r="S2783" s="174"/>
      <c r="T2783" s="173"/>
      <c r="U2783" s="182"/>
      <c r="V2783" s="177">
        <f>IF(U2783=0,0,IF(T2783="MXN",1/HLOOKUP(YEAR(S2783)+(MONTH(S2783)/100),TC!$5:$37,DAY(S2783)+2,FALSE),VLOOKUP(T2783,Equivalencia!$1:$23,((MAX(Equivalencia!$3:$3)-YEAR(S2783))*14)+MONTH(S2783)+2,FALSE)))</f>
        <v>0</v>
      </c>
      <c r="W2783" s="178">
        <f t="shared" si="239"/>
        <v>0</v>
      </c>
      <c r="X2783" s="481">
        <f t="shared" si="235"/>
        <v>0</v>
      </c>
      <c r="Y2783" s="179"/>
      <c r="Z2783" s="466">
        <f t="shared" si="236"/>
        <v>0</v>
      </c>
      <c r="AA2783" s="473">
        <f t="shared" si="237"/>
        <v>0</v>
      </c>
      <c r="AB2783" s="339">
        <f t="shared" si="238"/>
        <v>0</v>
      </c>
    </row>
    <row r="2784" spans="2:28" ht="20.100000000000001" customHeight="1">
      <c r="B2784" s="172"/>
      <c r="C2784" s="174"/>
      <c r="D2784" s="181"/>
      <c r="E2784" s="173"/>
      <c r="F2784" s="176"/>
      <c r="G2784" s="175">
        <f t="shared" si="240"/>
        <v>0</v>
      </c>
      <c r="H2784" s="175">
        <f t="shared" si="233"/>
        <v>0</v>
      </c>
      <c r="I2784" s="177">
        <f>IF(G2784=0,0,IF(E2784="MXN",1/HLOOKUP(YEAR(C2784)+(MONTH(C2784)/100),TC!$5:$37,DAY(C2784)+2,FALSE),VLOOKUP(E2784,Equivalencia!$5:$23,((MAX(Equivalencia!$3:$3)-YEAR(C2784))*14)+MONTH(C2784)+2,FALSE)))</f>
        <v>0</v>
      </c>
      <c r="J2784" s="178">
        <f t="shared" si="241"/>
        <v>0</v>
      </c>
      <c r="K2784" s="462">
        <f>IF(C2784=0,0,VLOOKUP(YEAR(C2784),INPC!$B$4:$O$29,MONTH(C2784)+1))</f>
        <v>0</v>
      </c>
      <c r="L2784" s="462">
        <f>IF(S2784=0,0,VLOOKUP(YEAR(S2784),INPC!$B$4:$O$29,MONTH(S2784)+1))</f>
        <v>0</v>
      </c>
      <c r="M2784" s="463">
        <f t="shared" si="234"/>
        <v>0</v>
      </c>
      <c r="N2784" s="465">
        <f t="shared" si="242"/>
        <v>0</v>
      </c>
      <c r="O2784" s="179"/>
      <c r="P2784" s="180"/>
      <c r="Q2784" s="173"/>
      <c r="R2784" s="173"/>
      <c r="S2784" s="174"/>
      <c r="T2784" s="173"/>
      <c r="U2784" s="182"/>
      <c r="V2784" s="177">
        <f>IF(U2784=0,0,IF(T2784="MXN",1/HLOOKUP(YEAR(S2784)+(MONTH(S2784)/100),TC!$5:$37,DAY(S2784)+2,FALSE),VLOOKUP(T2784,Equivalencia!$1:$23,((MAX(Equivalencia!$3:$3)-YEAR(S2784))*14)+MONTH(S2784)+2,FALSE)))</f>
        <v>0</v>
      </c>
      <c r="W2784" s="178">
        <f t="shared" si="239"/>
        <v>0</v>
      </c>
      <c r="X2784" s="481">
        <f t="shared" si="235"/>
        <v>0</v>
      </c>
      <c r="Y2784" s="179"/>
      <c r="Z2784" s="466">
        <f t="shared" si="236"/>
        <v>0</v>
      </c>
      <c r="AA2784" s="473">
        <f t="shared" si="237"/>
        <v>0</v>
      </c>
      <c r="AB2784" s="339">
        <f t="shared" si="238"/>
        <v>0</v>
      </c>
    </row>
    <row r="2785" spans="2:28" ht="20.100000000000001" customHeight="1">
      <c r="B2785" s="172"/>
      <c r="C2785" s="174"/>
      <c r="D2785" s="181"/>
      <c r="E2785" s="173"/>
      <c r="F2785" s="176"/>
      <c r="G2785" s="175">
        <f t="shared" si="240"/>
        <v>0</v>
      </c>
      <c r="H2785" s="175">
        <f t="shared" si="233"/>
        <v>0</v>
      </c>
      <c r="I2785" s="177">
        <f>IF(G2785=0,0,IF(E2785="MXN",1/HLOOKUP(YEAR(C2785)+(MONTH(C2785)/100),TC!$5:$37,DAY(C2785)+2,FALSE),VLOOKUP(E2785,Equivalencia!$5:$23,((MAX(Equivalencia!$3:$3)-YEAR(C2785))*14)+MONTH(C2785)+2,FALSE)))</f>
        <v>0</v>
      </c>
      <c r="J2785" s="178">
        <f t="shared" si="241"/>
        <v>0</v>
      </c>
      <c r="K2785" s="462">
        <f>IF(C2785=0,0,VLOOKUP(YEAR(C2785),INPC!$B$4:$O$29,MONTH(C2785)+1))</f>
        <v>0</v>
      </c>
      <c r="L2785" s="462">
        <f>IF(S2785=0,0,VLOOKUP(YEAR(S2785),INPC!$B$4:$O$29,MONTH(S2785)+1))</f>
        <v>0</v>
      </c>
      <c r="M2785" s="463">
        <f t="shared" si="234"/>
        <v>0</v>
      </c>
      <c r="N2785" s="465">
        <f t="shared" si="242"/>
        <v>0</v>
      </c>
      <c r="O2785" s="179"/>
      <c r="P2785" s="180"/>
      <c r="Q2785" s="173"/>
      <c r="R2785" s="173"/>
      <c r="S2785" s="174"/>
      <c r="T2785" s="173"/>
      <c r="U2785" s="182"/>
      <c r="V2785" s="177">
        <f>IF(U2785=0,0,IF(T2785="MXN",1/HLOOKUP(YEAR(S2785)+(MONTH(S2785)/100),TC!$5:$37,DAY(S2785)+2,FALSE),VLOOKUP(T2785,Equivalencia!$1:$23,((MAX(Equivalencia!$3:$3)-YEAR(S2785))*14)+MONTH(S2785)+2,FALSE)))</f>
        <v>0</v>
      </c>
      <c r="W2785" s="178">
        <f t="shared" si="239"/>
        <v>0</v>
      </c>
      <c r="X2785" s="481">
        <f t="shared" si="235"/>
        <v>0</v>
      </c>
      <c r="Y2785" s="179"/>
      <c r="Z2785" s="466">
        <f t="shared" si="236"/>
        <v>0</v>
      </c>
      <c r="AA2785" s="473">
        <f t="shared" si="237"/>
        <v>0</v>
      </c>
      <c r="AB2785" s="339">
        <f t="shared" si="238"/>
        <v>0</v>
      </c>
    </row>
    <row r="2786" spans="2:28" ht="20.100000000000001" customHeight="1">
      <c r="B2786" s="172"/>
      <c r="C2786" s="174"/>
      <c r="D2786" s="181"/>
      <c r="E2786" s="173"/>
      <c r="F2786" s="176"/>
      <c r="G2786" s="175">
        <f t="shared" si="240"/>
        <v>0</v>
      </c>
      <c r="H2786" s="175">
        <f t="shared" si="233"/>
        <v>0</v>
      </c>
      <c r="I2786" s="177">
        <f>IF(G2786=0,0,IF(E2786="MXN",1/HLOOKUP(YEAR(C2786)+(MONTH(C2786)/100),TC!$5:$37,DAY(C2786)+2,FALSE),VLOOKUP(E2786,Equivalencia!$5:$23,((MAX(Equivalencia!$3:$3)-YEAR(C2786))*14)+MONTH(C2786)+2,FALSE)))</f>
        <v>0</v>
      </c>
      <c r="J2786" s="178">
        <f t="shared" si="241"/>
        <v>0</v>
      </c>
      <c r="K2786" s="462">
        <f>IF(C2786=0,0,VLOOKUP(YEAR(C2786),INPC!$B$4:$O$29,MONTH(C2786)+1))</f>
        <v>0</v>
      </c>
      <c r="L2786" s="462">
        <f>IF(S2786=0,0,VLOOKUP(YEAR(S2786),INPC!$B$4:$O$29,MONTH(S2786)+1))</f>
        <v>0</v>
      </c>
      <c r="M2786" s="463">
        <f t="shared" si="234"/>
        <v>0</v>
      </c>
      <c r="N2786" s="465">
        <f t="shared" si="242"/>
        <v>0</v>
      </c>
      <c r="O2786" s="179"/>
      <c r="P2786" s="180"/>
      <c r="Q2786" s="173"/>
      <c r="R2786" s="173"/>
      <c r="S2786" s="174"/>
      <c r="T2786" s="173"/>
      <c r="U2786" s="182"/>
      <c r="V2786" s="177">
        <f>IF(U2786=0,0,IF(T2786="MXN",1/HLOOKUP(YEAR(S2786)+(MONTH(S2786)/100),TC!$5:$37,DAY(S2786)+2,FALSE),VLOOKUP(T2786,Equivalencia!$1:$23,((MAX(Equivalencia!$3:$3)-YEAR(S2786))*14)+MONTH(S2786)+2,FALSE)))</f>
        <v>0</v>
      </c>
      <c r="W2786" s="178">
        <f t="shared" si="239"/>
        <v>0</v>
      </c>
      <c r="X2786" s="481">
        <f t="shared" si="235"/>
        <v>0</v>
      </c>
      <c r="Y2786" s="179"/>
      <c r="Z2786" s="466">
        <f t="shared" si="236"/>
        <v>0</v>
      </c>
      <c r="AA2786" s="473">
        <f t="shared" si="237"/>
        <v>0</v>
      </c>
      <c r="AB2786" s="339">
        <f t="shared" si="238"/>
        <v>0</v>
      </c>
    </row>
    <row r="2787" spans="2:28" ht="20.100000000000001" customHeight="1">
      <c r="B2787" s="172"/>
      <c r="C2787" s="174"/>
      <c r="D2787" s="181"/>
      <c r="E2787" s="173"/>
      <c r="F2787" s="176"/>
      <c r="G2787" s="175">
        <f t="shared" si="240"/>
        <v>0</v>
      </c>
      <c r="H2787" s="175">
        <f t="shared" si="233"/>
        <v>0</v>
      </c>
      <c r="I2787" s="177">
        <f>IF(G2787=0,0,IF(E2787="MXN",1/HLOOKUP(YEAR(C2787)+(MONTH(C2787)/100),TC!$5:$37,DAY(C2787)+2,FALSE),VLOOKUP(E2787,Equivalencia!$5:$23,((MAX(Equivalencia!$3:$3)-YEAR(C2787))*14)+MONTH(C2787)+2,FALSE)))</f>
        <v>0</v>
      </c>
      <c r="J2787" s="178">
        <f t="shared" si="241"/>
        <v>0</v>
      </c>
      <c r="K2787" s="462">
        <f>IF(C2787=0,0,VLOOKUP(YEAR(C2787),INPC!$B$4:$O$29,MONTH(C2787)+1))</f>
        <v>0</v>
      </c>
      <c r="L2787" s="462">
        <f>IF(S2787=0,0,VLOOKUP(YEAR(S2787),INPC!$B$4:$O$29,MONTH(S2787)+1))</f>
        <v>0</v>
      </c>
      <c r="M2787" s="463">
        <f t="shared" si="234"/>
        <v>0</v>
      </c>
      <c r="N2787" s="465">
        <f t="shared" si="242"/>
        <v>0</v>
      </c>
      <c r="O2787" s="179"/>
      <c r="P2787" s="180"/>
      <c r="Q2787" s="173"/>
      <c r="R2787" s="173"/>
      <c r="S2787" s="174"/>
      <c r="T2787" s="173"/>
      <c r="U2787" s="182"/>
      <c r="V2787" s="177">
        <f>IF(U2787=0,0,IF(T2787="MXN",1/HLOOKUP(YEAR(S2787)+(MONTH(S2787)/100),TC!$5:$37,DAY(S2787)+2,FALSE),VLOOKUP(T2787,Equivalencia!$1:$23,((MAX(Equivalencia!$3:$3)-YEAR(S2787))*14)+MONTH(S2787)+2,FALSE)))</f>
        <v>0</v>
      </c>
      <c r="W2787" s="178">
        <f t="shared" si="239"/>
        <v>0</v>
      </c>
      <c r="X2787" s="481">
        <f t="shared" si="235"/>
        <v>0</v>
      </c>
      <c r="Y2787" s="179"/>
      <c r="Z2787" s="466">
        <f t="shared" si="236"/>
        <v>0</v>
      </c>
      <c r="AA2787" s="473">
        <f t="shared" si="237"/>
        <v>0</v>
      </c>
      <c r="AB2787" s="339">
        <f t="shared" si="238"/>
        <v>0</v>
      </c>
    </row>
    <row r="2788" spans="2:28" ht="20.100000000000001" customHeight="1">
      <c r="B2788" s="172"/>
      <c r="C2788" s="174"/>
      <c r="D2788" s="181"/>
      <c r="E2788" s="173"/>
      <c r="F2788" s="176"/>
      <c r="G2788" s="175">
        <f t="shared" si="240"/>
        <v>0</v>
      </c>
      <c r="H2788" s="175">
        <f t="shared" si="233"/>
        <v>0</v>
      </c>
      <c r="I2788" s="177">
        <f>IF(G2788=0,0,IF(E2788="MXN",1/HLOOKUP(YEAR(C2788)+(MONTH(C2788)/100),TC!$5:$37,DAY(C2788)+2,FALSE),VLOOKUP(E2788,Equivalencia!$5:$23,((MAX(Equivalencia!$3:$3)-YEAR(C2788))*14)+MONTH(C2788)+2,FALSE)))</f>
        <v>0</v>
      </c>
      <c r="J2788" s="178">
        <f t="shared" si="241"/>
        <v>0</v>
      </c>
      <c r="K2788" s="462">
        <f>IF(C2788=0,0,VLOOKUP(YEAR(C2788),INPC!$B$4:$O$29,MONTH(C2788)+1))</f>
        <v>0</v>
      </c>
      <c r="L2788" s="462">
        <f>IF(S2788=0,0,VLOOKUP(YEAR(S2788),INPC!$B$4:$O$29,MONTH(S2788)+1))</f>
        <v>0</v>
      </c>
      <c r="M2788" s="463">
        <f t="shared" si="234"/>
        <v>0</v>
      </c>
      <c r="N2788" s="465">
        <f t="shared" si="242"/>
        <v>0</v>
      </c>
      <c r="O2788" s="179"/>
      <c r="P2788" s="180"/>
      <c r="Q2788" s="173"/>
      <c r="R2788" s="173"/>
      <c r="S2788" s="174"/>
      <c r="T2788" s="173"/>
      <c r="U2788" s="182"/>
      <c r="V2788" s="177">
        <f>IF(U2788=0,0,IF(T2788="MXN",1/HLOOKUP(YEAR(S2788)+(MONTH(S2788)/100),TC!$5:$37,DAY(S2788)+2,FALSE),VLOOKUP(T2788,Equivalencia!$1:$23,((MAX(Equivalencia!$3:$3)-YEAR(S2788))*14)+MONTH(S2788)+2,FALSE)))</f>
        <v>0</v>
      </c>
      <c r="W2788" s="178">
        <f t="shared" si="239"/>
        <v>0</v>
      </c>
      <c r="X2788" s="481">
        <f t="shared" si="235"/>
        <v>0</v>
      </c>
      <c r="Y2788" s="179"/>
      <c r="Z2788" s="466">
        <f t="shared" si="236"/>
        <v>0</v>
      </c>
      <c r="AA2788" s="473">
        <f t="shared" si="237"/>
        <v>0</v>
      </c>
      <c r="AB2788" s="339">
        <f t="shared" si="238"/>
        <v>0</v>
      </c>
    </row>
    <row r="2789" spans="2:28" ht="20.100000000000001" customHeight="1">
      <c r="B2789" s="172"/>
      <c r="C2789" s="174"/>
      <c r="D2789" s="181"/>
      <c r="E2789" s="173"/>
      <c r="F2789" s="176"/>
      <c r="G2789" s="175">
        <f t="shared" si="240"/>
        <v>0</v>
      </c>
      <c r="H2789" s="175">
        <f t="shared" si="233"/>
        <v>0</v>
      </c>
      <c r="I2789" s="177">
        <f>IF(G2789=0,0,IF(E2789="MXN",1/HLOOKUP(YEAR(C2789)+(MONTH(C2789)/100),TC!$5:$37,DAY(C2789)+2,FALSE),VLOOKUP(E2789,Equivalencia!$5:$23,((MAX(Equivalencia!$3:$3)-YEAR(C2789))*14)+MONTH(C2789)+2,FALSE)))</f>
        <v>0</v>
      </c>
      <c r="J2789" s="178">
        <f t="shared" si="241"/>
        <v>0</v>
      </c>
      <c r="K2789" s="462">
        <f>IF(C2789=0,0,VLOOKUP(YEAR(C2789),INPC!$B$4:$O$29,MONTH(C2789)+1))</f>
        <v>0</v>
      </c>
      <c r="L2789" s="462">
        <f>IF(S2789=0,0,VLOOKUP(YEAR(S2789),INPC!$B$4:$O$29,MONTH(S2789)+1))</f>
        <v>0</v>
      </c>
      <c r="M2789" s="463">
        <f t="shared" si="234"/>
        <v>0</v>
      </c>
      <c r="N2789" s="465">
        <f t="shared" si="242"/>
        <v>0</v>
      </c>
      <c r="O2789" s="179"/>
      <c r="P2789" s="180"/>
      <c r="Q2789" s="173"/>
      <c r="R2789" s="173"/>
      <c r="S2789" s="174"/>
      <c r="T2789" s="173"/>
      <c r="U2789" s="182"/>
      <c r="V2789" s="177">
        <f>IF(U2789=0,0,IF(T2789="MXN",1/HLOOKUP(YEAR(S2789)+(MONTH(S2789)/100),TC!$5:$37,DAY(S2789)+2,FALSE),VLOOKUP(T2789,Equivalencia!$1:$23,((MAX(Equivalencia!$3:$3)-YEAR(S2789))*14)+MONTH(S2789)+2,FALSE)))</f>
        <v>0</v>
      </c>
      <c r="W2789" s="178">
        <f t="shared" si="239"/>
        <v>0</v>
      </c>
      <c r="X2789" s="481">
        <f t="shared" si="235"/>
        <v>0</v>
      </c>
      <c r="Y2789" s="179"/>
      <c r="Z2789" s="466">
        <f t="shared" si="236"/>
        <v>0</v>
      </c>
      <c r="AA2789" s="473">
        <f t="shared" si="237"/>
        <v>0</v>
      </c>
      <c r="AB2789" s="339">
        <f t="shared" si="238"/>
        <v>0</v>
      </c>
    </row>
    <row r="2790" spans="2:28" ht="20.100000000000001" customHeight="1">
      <c r="B2790" s="172"/>
      <c r="C2790" s="174"/>
      <c r="D2790" s="181"/>
      <c r="E2790" s="173"/>
      <c r="F2790" s="176"/>
      <c r="G2790" s="175">
        <f t="shared" si="240"/>
        <v>0</v>
      </c>
      <c r="H2790" s="175">
        <f t="shared" si="233"/>
        <v>0</v>
      </c>
      <c r="I2790" s="177">
        <f>IF(G2790=0,0,IF(E2790="MXN",1/HLOOKUP(YEAR(C2790)+(MONTH(C2790)/100),TC!$5:$37,DAY(C2790)+2,FALSE),VLOOKUP(E2790,Equivalencia!$5:$23,((MAX(Equivalencia!$3:$3)-YEAR(C2790))*14)+MONTH(C2790)+2,FALSE)))</f>
        <v>0</v>
      </c>
      <c r="J2790" s="178">
        <f t="shared" si="241"/>
        <v>0</v>
      </c>
      <c r="K2790" s="462">
        <f>IF(C2790=0,0,VLOOKUP(YEAR(C2790),INPC!$B$4:$O$29,MONTH(C2790)+1))</f>
        <v>0</v>
      </c>
      <c r="L2790" s="462">
        <f>IF(S2790=0,0,VLOOKUP(YEAR(S2790),INPC!$B$4:$O$29,MONTH(S2790)+1))</f>
        <v>0</v>
      </c>
      <c r="M2790" s="463">
        <f t="shared" si="234"/>
        <v>0</v>
      </c>
      <c r="N2790" s="465">
        <f t="shared" si="242"/>
        <v>0</v>
      </c>
      <c r="O2790" s="179"/>
      <c r="P2790" s="180"/>
      <c r="Q2790" s="173"/>
      <c r="R2790" s="173"/>
      <c r="S2790" s="174"/>
      <c r="T2790" s="173"/>
      <c r="U2790" s="182"/>
      <c r="V2790" s="177">
        <f>IF(U2790=0,0,IF(T2790="MXN",1/HLOOKUP(YEAR(S2790)+(MONTH(S2790)/100),TC!$5:$37,DAY(S2790)+2,FALSE),VLOOKUP(T2790,Equivalencia!$1:$23,((MAX(Equivalencia!$3:$3)-YEAR(S2790))*14)+MONTH(S2790)+2,FALSE)))</f>
        <v>0</v>
      </c>
      <c r="W2790" s="178">
        <f t="shared" si="239"/>
        <v>0</v>
      </c>
      <c r="X2790" s="481">
        <f t="shared" si="235"/>
        <v>0</v>
      </c>
      <c r="Y2790" s="179"/>
      <c r="Z2790" s="466">
        <f t="shared" si="236"/>
        <v>0</v>
      </c>
      <c r="AA2790" s="473">
        <f t="shared" si="237"/>
        <v>0</v>
      </c>
      <c r="AB2790" s="339">
        <f t="shared" si="238"/>
        <v>0</v>
      </c>
    </row>
    <row r="2791" spans="2:28" ht="20.100000000000001" customHeight="1">
      <c r="B2791" s="172"/>
      <c r="C2791" s="174"/>
      <c r="D2791" s="181"/>
      <c r="E2791" s="173"/>
      <c r="F2791" s="176"/>
      <c r="G2791" s="175">
        <f t="shared" si="240"/>
        <v>0</v>
      </c>
      <c r="H2791" s="175">
        <f t="shared" si="233"/>
        <v>0</v>
      </c>
      <c r="I2791" s="177">
        <f>IF(G2791=0,0,IF(E2791="MXN",1/HLOOKUP(YEAR(C2791)+(MONTH(C2791)/100),TC!$5:$37,DAY(C2791)+2,FALSE),VLOOKUP(E2791,Equivalencia!$5:$23,((MAX(Equivalencia!$3:$3)-YEAR(C2791))*14)+MONTH(C2791)+2,FALSE)))</f>
        <v>0</v>
      </c>
      <c r="J2791" s="178">
        <f t="shared" si="241"/>
        <v>0</v>
      </c>
      <c r="K2791" s="462">
        <f>IF(C2791=0,0,VLOOKUP(YEAR(C2791),INPC!$B$4:$O$29,MONTH(C2791)+1))</f>
        <v>0</v>
      </c>
      <c r="L2791" s="462">
        <f>IF(S2791=0,0,VLOOKUP(YEAR(S2791),INPC!$B$4:$O$29,MONTH(S2791)+1))</f>
        <v>0</v>
      </c>
      <c r="M2791" s="463">
        <f t="shared" si="234"/>
        <v>0</v>
      </c>
      <c r="N2791" s="465">
        <f t="shared" si="242"/>
        <v>0</v>
      </c>
      <c r="O2791" s="179"/>
      <c r="P2791" s="180"/>
      <c r="Q2791" s="173"/>
      <c r="R2791" s="173"/>
      <c r="S2791" s="174"/>
      <c r="T2791" s="173"/>
      <c r="U2791" s="182"/>
      <c r="V2791" s="177">
        <f>IF(U2791=0,0,IF(T2791="MXN",1/HLOOKUP(YEAR(S2791)+(MONTH(S2791)/100),TC!$5:$37,DAY(S2791)+2,FALSE),VLOOKUP(T2791,Equivalencia!$1:$23,((MAX(Equivalencia!$3:$3)-YEAR(S2791))*14)+MONTH(S2791)+2,FALSE)))</f>
        <v>0</v>
      </c>
      <c r="W2791" s="178">
        <f t="shared" si="239"/>
        <v>0</v>
      </c>
      <c r="X2791" s="481">
        <f t="shared" si="235"/>
        <v>0</v>
      </c>
      <c r="Y2791" s="179"/>
      <c r="Z2791" s="466">
        <f t="shared" si="236"/>
        <v>0</v>
      </c>
      <c r="AA2791" s="473">
        <f t="shared" si="237"/>
        <v>0</v>
      </c>
      <c r="AB2791" s="339">
        <f t="shared" si="238"/>
        <v>0</v>
      </c>
    </row>
    <row r="2792" spans="2:28" ht="20.100000000000001" customHeight="1">
      <c r="B2792" s="172"/>
      <c r="C2792" s="174"/>
      <c r="D2792" s="181"/>
      <c r="E2792" s="173"/>
      <c r="F2792" s="176"/>
      <c r="G2792" s="175">
        <f t="shared" si="240"/>
        <v>0</v>
      </c>
      <c r="H2792" s="175">
        <f t="shared" si="233"/>
        <v>0</v>
      </c>
      <c r="I2792" s="177">
        <f>IF(G2792=0,0,IF(E2792="MXN",1/HLOOKUP(YEAR(C2792)+(MONTH(C2792)/100),TC!$5:$37,DAY(C2792)+2,FALSE),VLOOKUP(E2792,Equivalencia!$5:$23,((MAX(Equivalencia!$3:$3)-YEAR(C2792))*14)+MONTH(C2792)+2,FALSE)))</f>
        <v>0</v>
      </c>
      <c r="J2792" s="178">
        <f t="shared" si="241"/>
        <v>0</v>
      </c>
      <c r="K2792" s="462">
        <f>IF(C2792=0,0,VLOOKUP(YEAR(C2792),INPC!$B$4:$O$29,MONTH(C2792)+1))</f>
        <v>0</v>
      </c>
      <c r="L2792" s="462">
        <f>IF(S2792=0,0,VLOOKUP(YEAR(S2792),INPC!$B$4:$O$29,MONTH(S2792)+1))</f>
        <v>0</v>
      </c>
      <c r="M2792" s="463">
        <f t="shared" si="234"/>
        <v>0</v>
      </c>
      <c r="N2792" s="465">
        <f t="shared" si="242"/>
        <v>0</v>
      </c>
      <c r="O2792" s="179"/>
      <c r="P2792" s="180"/>
      <c r="Q2792" s="173"/>
      <c r="R2792" s="173"/>
      <c r="S2792" s="174"/>
      <c r="T2792" s="173"/>
      <c r="U2792" s="182"/>
      <c r="V2792" s="177">
        <f>IF(U2792=0,0,IF(T2792="MXN",1/HLOOKUP(YEAR(S2792)+(MONTH(S2792)/100),TC!$5:$37,DAY(S2792)+2,FALSE),VLOOKUP(T2792,Equivalencia!$1:$23,((MAX(Equivalencia!$3:$3)-YEAR(S2792))*14)+MONTH(S2792)+2,FALSE)))</f>
        <v>0</v>
      </c>
      <c r="W2792" s="178">
        <f t="shared" si="239"/>
        <v>0</v>
      </c>
      <c r="X2792" s="481">
        <f t="shared" si="235"/>
        <v>0</v>
      </c>
      <c r="Y2792" s="179"/>
      <c r="Z2792" s="466">
        <f t="shared" si="236"/>
        <v>0</v>
      </c>
      <c r="AA2792" s="473">
        <f t="shared" si="237"/>
        <v>0</v>
      </c>
      <c r="AB2792" s="339">
        <f t="shared" si="238"/>
        <v>0</v>
      </c>
    </row>
    <row r="2793" spans="2:28" ht="20.100000000000001" customHeight="1">
      <c r="B2793" s="172"/>
      <c r="C2793" s="174"/>
      <c r="D2793" s="181"/>
      <c r="E2793" s="173"/>
      <c r="F2793" s="176"/>
      <c r="G2793" s="175">
        <f t="shared" si="240"/>
        <v>0</v>
      </c>
      <c r="H2793" s="175">
        <f t="shared" si="233"/>
        <v>0</v>
      </c>
      <c r="I2793" s="177">
        <f>IF(G2793=0,0,IF(E2793="MXN",1/HLOOKUP(YEAR(C2793)+(MONTH(C2793)/100),TC!$5:$37,DAY(C2793)+2,FALSE),VLOOKUP(E2793,Equivalencia!$5:$23,((MAX(Equivalencia!$3:$3)-YEAR(C2793))*14)+MONTH(C2793)+2,FALSE)))</f>
        <v>0</v>
      </c>
      <c r="J2793" s="178">
        <f t="shared" si="241"/>
        <v>0</v>
      </c>
      <c r="K2793" s="462">
        <f>IF(C2793=0,0,VLOOKUP(YEAR(C2793),INPC!$B$4:$O$29,MONTH(C2793)+1))</f>
        <v>0</v>
      </c>
      <c r="L2793" s="462">
        <f>IF(S2793=0,0,VLOOKUP(YEAR(S2793),INPC!$B$4:$O$29,MONTH(S2793)+1))</f>
        <v>0</v>
      </c>
      <c r="M2793" s="463">
        <f t="shared" si="234"/>
        <v>0</v>
      </c>
      <c r="N2793" s="465">
        <f t="shared" si="242"/>
        <v>0</v>
      </c>
      <c r="O2793" s="179"/>
      <c r="P2793" s="180"/>
      <c r="Q2793" s="173"/>
      <c r="R2793" s="173"/>
      <c r="S2793" s="174"/>
      <c r="T2793" s="173"/>
      <c r="U2793" s="182"/>
      <c r="V2793" s="177">
        <f>IF(U2793=0,0,IF(T2793="MXN",1/HLOOKUP(YEAR(S2793)+(MONTH(S2793)/100),TC!$5:$37,DAY(S2793)+2,FALSE),VLOOKUP(T2793,Equivalencia!$1:$23,((MAX(Equivalencia!$3:$3)-YEAR(S2793))*14)+MONTH(S2793)+2,FALSE)))</f>
        <v>0</v>
      </c>
      <c r="W2793" s="178">
        <f t="shared" si="239"/>
        <v>0</v>
      </c>
      <c r="X2793" s="481">
        <f t="shared" si="235"/>
        <v>0</v>
      </c>
      <c r="Y2793" s="179"/>
      <c r="Z2793" s="466">
        <f t="shared" si="236"/>
        <v>0</v>
      </c>
      <c r="AA2793" s="473">
        <f t="shared" si="237"/>
        <v>0</v>
      </c>
      <c r="AB2793" s="339">
        <f t="shared" si="238"/>
        <v>0</v>
      </c>
    </row>
    <row r="2794" spans="2:28" ht="20.100000000000001" customHeight="1">
      <c r="B2794" s="172"/>
      <c r="C2794" s="174"/>
      <c r="D2794" s="181"/>
      <c r="E2794" s="173"/>
      <c r="F2794" s="176"/>
      <c r="G2794" s="175">
        <f t="shared" si="240"/>
        <v>0</v>
      </c>
      <c r="H2794" s="175">
        <f t="shared" si="233"/>
        <v>0</v>
      </c>
      <c r="I2794" s="177">
        <f>IF(G2794=0,0,IF(E2794="MXN",1/HLOOKUP(YEAR(C2794)+(MONTH(C2794)/100),TC!$5:$37,DAY(C2794)+2,FALSE),VLOOKUP(E2794,Equivalencia!$5:$23,((MAX(Equivalencia!$3:$3)-YEAR(C2794))*14)+MONTH(C2794)+2,FALSE)))</f>
        <v>0</v>
      </c>
      <c r="J2794" s="178">
        <f t="shared" si="241"/>
        <v>0</v>
      </c>
      <c r="K2794" s="462">
        <f>IF(C2794=0,0,VLOOKUP(YEAR(C2794),INPC!$B$4:$O$29,MONTH(C2794)+1))</f>
        <v>0</v>
      </c>
      <c r="L2794" s="462">
        <f>IF(S2794=0,0,VLOOKUP(YEAR(S2794),INPC!$B$4:$O$29,MONTH(S2794)+1))</f>
        <v>0</v>
      </c>
      <c r="M2794" s="463">
        <f t="shared" si="234"/>
        <v>0</v>
      </c>
      <c r="N2794" s="465">
        <f t="shared" si="242"/>
        <v>0</v>
      </c>
      <c r="O2794" s="179"/>
      <c r="P2794" s="180"/>
      <c r="Q2794" s="173"/>
      <c r="R2794" s="173"/>
      <c r="S2794" s="174"/>
      <c r="T2794" s="173"/>
      <c r="U2794" s="182"/>
      <c r="V2794" s="177">
        <f>IF(U2794=0,0,IF(T2794="MXN",1/HLOOKUP(YEAR(S2794)+(MONTH(S2794)/100),TC!$5:$37,DAY(S2794)+2,FALSE),VLOOKUP(T2794,Equivalencia!$1:$23,((MAX(Equivalencia!$3:$3)-YEAR(S2794))*14)+MONTH(S2794)+2,FALSE)))</f>
        <v>0</v>
      </c>
      <c r="W2794" s="178">
        <f t="shared" si="239"/>
        <v>0</v>
      </c>
      <c r="X2794" s="481">
        <f t="shared" si="235"/>
        <v>0</v>
      </c>
      <c r="Y2794" s="179"/>
      <c r="Z2794" s="466">
        <f t="shared" si="236"/>
        <v>0</v>
      </c>
      <c r="AA2794" s="473">
        <f t="shared" si="237"/>
        <v>0</v>
      </c>
      <c r="AB2794" s="339">
        <f t="shared" si="238"/>
        <v>0</v>
      </c>
    </row>
    <row r="2795" spans="2:28" ht="20.100000000000001" customHeight="1">
      <c r="B2795" s="172"/>
      <c r="C2795" s="174"/>
      <c r="D2795" s="181"/>
      <c r="E2795" s="173"/>
      <c r="F2795" s="176"/>
      <c r="G2795" s="175">
        <f t="shared" si="240"/>
        <v>0</v>
      </c>
      <c r="H2795" s="175">
        <f t="shared" si="233"/>
        <v>0</v>
      </c>
      <c r="I2795" s="177">
        <f>IF(G2795=0,0,IF(E2795="MXN",1/HLOOKUP(YEAR(C2795)+(MONTH(C2795)/100),TC!$5:$37,DAY(C2795)+2,FALSE),VLOOKUP(E2795,Equivalencia!$5:$23,((MAX(Equivalencia!$3:$3)-YEAR(C2795))*14)+MONTH(C2795)+2,FALSE)))</f>
        <v>0</v>
      </c>
      <c r="J2795" s="178">
        <f t="shared" si="241"/>
        <v>0</v>
      </c>
      <c r="K2795" s="462">
        <f>IF(C2795=0,0,VLOOKUP(YEAR(C2795),INPC!$B$4:$O$29,MONTH(C2795)+1))</f>
        <v>0</v>
      </c>
      <c r="L2795" s="462">
        <f>IF(S2795=0,0,VLOOKUP(YEAR(S2795),INPC!$B$4:$O$29,MONTH(S2795)+1))</f>
        <v>0</v>
      </c>
      <c r="M2795" s="463">
        <f t="shared" si="234"/>
        <v>0</v>
      </c>
      <c r="N2795" s="465">
        <f t="shared" si="242"/>
        <v>0</v>
      </c>
      <c r="O2795" s="179"/>
      <c r="P2795" s="180"/>
      <c r="Q2795" s="173"/>
      <c r="R2795" s="173"/>
      <c r="S2795" s="174"/>
      <c r="T2795" s="173"/>
      <c r="U2795" s="182"/>
      <c r="V2795" s="177">
        <f>IF(U2795=0,0,IF(T2795="MXN",1/HLOOKUP(YEAR(S2795)+(MONTH(S2795)/100),TC!$5:$37,DAY(S2795)+2,FALSE),VLOOKUP(T2795,Equivalencia!$1:$23,((MAX(Equivalencia!$3:$3)-YEAR(S2795))*14)+MONTH(S2795)+2,FALSE)))</f>
        <v>0</v>
      </c>
      <c r="W2795" s="178">
        <f t="shared" si="239"/>
        <v>0</v>
      </c>
      <c r="X2795" s="481">
        <f t="shared" si="235"/>
        <v>0</v>
      </c>
      <c r="Y2795" s="179"/>
      <c r="Z2795" s="466">
        <f t="shared" si="236"/>
        <v>0</v>
      </c>
      <c r="AA2795" s="473">
        <f t="shared" si="237"/>
        <v>0</v>
      </c>
      <c r="AB2795" s="339">
        <f t="shared" si="238"/>
        <v>0</v>
      </c>
    </row>
    <row r="2796" spans="2:28" ht="20.100000000000001" customHeight="1">
      <c r="B2796" s="172"/>
      <c r="C2796" s="174"/>
      <c r="D2796" s="181"/>
      <c r="E2796" s="173"/>
      <c r="F2796" s="176"/>
      <c r="G2796" s="175">
        <f t="shared" si="240"/>
        <v>0</v>
      </c>
      <c r="H2796" s="175">
        <f t="shared" si="233"/>
        <v>0</v>
      </c>
      <c r="I2796" s="177">
        <f>IF(G2796=0,0,IF(E2796="MXN",1/HLOOKUP(YEAR(C2796)+(MONTH(C2796)/100),TC!$5:$37,DAY(C2796)+2,FALSE),VLOOKUP(E2796,Equivalencia!$5:$23,((MAX(Equivalencia!$3:$3)-YEAR(C2796))*14)+MONTH(C2796)+2,FALSE)))</f>
        <v>0</v>
      </c>
      <c r="J2796" s="178">
        <f t="shared" si="241"/>
        <v>0</v>
      </c>
      <c r="K2796" s="462">
        <f>IF(C2796=0,0,VLOOKUP(YEAR(C2796),INPC!$B$4:$O$29,MONTH(C2796)+1))</f>
        <v>0</v>
      </c>
      <c r="L2796" s="462">
        <f>IF(S2796=0,0,VLOOKUP(YEAR(S2796),INPC!$B$4:$O$29,MONTH(S2796)+1))</f>
        <v>0</v>
      </c>
      <c r="M2796" s="463">
        <f t="shared" si="234"/>
        <v>0</v>
      </c>
      <c r="N2796" s="465">
        <f t="shared" si="242"/>
        <v>0</v>
      </c>
      <c r="O2796" s="179"/>
      <c r="P2796" s="180"/>
      <c r="Q2796" s="173"/>
      <c r="R2796" s="173"/>
      <c r="S2796" s="174"/>
      <c r="T2796" s="173"/>
      <c r="U2796" s="182"/>
      <c r="V2796" s="177">
        <f>IF(U2796=0,0,IF(T2796="MXN",1/HLOOKUP(YEAR(S2796)+(MONTH(S2796)/100),TC!$5:$37,DAY(S2796)+2,FALSE),VLOOKUP(T2796,Equivalencia!$1:$23,((MAX(Equivalencia!$3:$3)-YEAR(S2796))*14)+MONTH(S2796)+2,FALSE)))</f>
        <v>0</v>
      </c>
      <c r="W2796" s="178">
        <f t="shared" si="239"/>
        <v>0</v>
      </c>
      <c r="X2796" s="481">
        <f t="shared" si="235"/>
        <v>0</v>
      </c>
      <c r="Y2796" s="179"/>
      <c r="Z2796" s="466">
        <f t="shared" si="236"/>
        <v>0</v>
      </c>
      <c r="AA2796" s="473">
        <f t="shared" si="237"/>
        <v>0</v>
      </c>
      <c r="AB2796" s="339">
        <f t="shared" si="238"/>
        <v>0</v>
      </c>
    </row>
    <row r="2797" spans="2:28" ht="20.100000000000001" customHeight="1">
      <c r="B2797" s="172"/>
      <c r="C2797" s="174"/>
      <c r="D2797" s="181"/>
      <c r="E2797" s="173"/>
      <c r="F2797" s="176"/>
      <c r="G2797" s="175">
        <f t="shared" si="240"/>
        <v>0</v>
      </c>
      <c r="H2797" s="175">
        <f t="shared" si="233"/>
        <v>0</v>
      </c>
      <c r="I2797" s="177">
        <f>IF(G2797=0,0,IF(E2797="MXN",1/HLOOKUP(YEAR(C2797)+(MONTH(C2797)/100),TC!$5:$37,DAY(C2797)+2,FALSE),VLOOKUP(E2797,Equivalencia!$5:$23,((MAX(Equivalencia!$3:$3)-YEAR(C2797))*14)+MONTH(C2797)+2,FALSE)))</f>
        <v>0</v>
      </c>
      <c r="J2797" s="178">
        <f t="shared" si="241"/>
        <v>0</v>
      </c>
      <c r="K2797" s="462">
        <f>IF(C2797=0,0,VLOOKUP(YEAR(C2797),INPC!$B$4:$O$29,MONTH(C2797)+1))</f>
        <v>0</v>
      </c>
      <c r="L2797" s="462">
        <f>IF(S2797=0,0,VLOOKUP(YEAR(S2797),INPC!$B$4:$O$29,MONTH(S2797)+1))</f>
        <v>0</v>
      </c>
      <c r="M2797" s="463">
        <f t="shared" si="234"/>
        <v>0</v>
      </c>
      <c r="N2797" s="465">
        <f t="shared" si="242"/>
        <v>0</v>
      </c>
      <c r="O2797" s="179"/>
      <c r="P2797" s="180"/>
      <c r="Q2797" s="173"/>
      <c r="R2797" s="173"/>
      <c r="S2797" s="174"/>
      <c r="T2797" s="173"/>
      <c r="U2797" s="182"/>
      <c r="V2797" s="177">
        <f>IF(U2797=0,0,IF(T2797="MXN",1/HLOOKUP(YEAR(S2797)+(MONTH(S2797)/100),TC!$5:$37,DAY(S2797)+2,FALSE),VLOOKUP(T2797,Equivalencia!$1:$23,((MAX(Equivalencia!$3:$3)-YEAR(S2797))*14)+MONTH(S2797)+2,FALSE)))</f>
        <v>0</v>
      </c>
      <c r="W2797" s="178">
        <f t="shared" si="239"/>
        <v>0</v>
      </c>
      <c r="X2797" s="481">
        <f t="shared" si="235"/>
        <v>0</v>
      </c>
      <c r="Y2797" s="179"/>
      <c r="Z2797" s="466">
        <f t="shared" si="236"/>
        <v>0</v>
      </c>
      <c r="AA2797" s="473">
        <f t="shared" si="237"/>
        <v>0</v>
      </c>
      <c r="AB2797" s="339">
        <f t="shared" si="238"/>
        <v>0</v>
      </c>
    </row>
    <row r="2798" spans="2:28" ht="20.100000000000001" customHeight="1">
      <c r="B2798" s="172"/>
      <c r="C2798" s="174"/>
      <c r="D2798" s="181"/>
      <c r="E2798" s="173"/>
      <c r="F2798" s="176"/>
      <c r="G2798" s="175">
        <f t="shared" si="240"/>
        <v>0</v>
      </c>
      <c r="H2798" s="175">
        <f t="shared" si="233"/>
        <v>0</v>
      </c>
      <c r="I2798" s="177">
        <f>IF(G2798=0,0,IF(E2798="MXN",1/HLOOKUP(YEAR(C2798)+(MONTH(C2798)/100),TC!$5:$37,DAY(C2798)+2,FALSE),VLOOKUP(E2798,Equivalencia!$5:$23,((MAX(Equivalencia!$3:$3)-YEAR(C2798))*14)+MONTH(C2798)+2,FALSE)))</f>
        <v>0</v>
      </c>
      <c r="J2798" s="178">
        <f t="shared" si="241"/>
        <v>0</v>
      </c>
      <c r="K2798" s="462">
        <f>IF(C2798=0,0,VLOOKUP(YEAR(C2798),INPC!$B$4:$O$29,MONTH(C2798)+1))</f>
        <v>0</v>
      </c>
      <c r="L2798" s="462">
        <f>IF(S2798=0,0,VLOOKUP(YEAR(S2798),INPC!$B$4:$O$29,MONTH(S2798)+1))</f>
        <v>0</v>
      </c>
      <c r="M2798" s="463">
        <f t="shared" si="234"/>
        <v>0</v>
      </c>
      <c r="N2798" s="465">
        <f t="shared" si="242"/>
        <v>0</v>
      </c>
      <c r="O2798" s="179"/>
      <c r="P2798" s="180"/>
      <c r="Q2798" s="173"/>
      <c r="R2798" s="173"/>
      <c r="S2798" s="174"/>
      <c r="T2798" s="173"/>
      <c r="U2798" s="182"/>
      <c r="V2798" s="177">
        <f>IF(U2798=0,0,IF(T2798="MXN",1/HLOOKUP(YEAR(S2798)+(MONTH(S2798)/100),TC!$5:$37,DAY(S2798)+2,FALSE),VLOOKUP(T2798,Equivalencia!$1:$23,((MAX(Equivalencia!$3:$3)-YEAR(S2798))*14)+MONTH(S2798)+2,FALSE)))</f>
        <v>0</v>
      </c>
      <c r="W2798" s="178">
        <f t="shared" si="239"/>
        <v>0</v>
      </c>
      <c r="X2798" s="481">
        <f t="shared" si="235"/>
        <v>0</v>
      </c>
      <c r="Y2798" s="179"/>
      <c r="Z2798" s="466">
        <f t="shared" si="236"/>
        <v>0</v>
      </c>
      <c r="AA2798" s="473">
        <f t="shared" si="237"/>
        <v>0</v>
      </c>
      <c r="AB2798" s="339">
        <f t="shared" si="238"/>
        <v>0</v>
      </c>
    </row>
    <row r="2799" spans="2:28" ht="20.100000000000001" customHeight="1">
      <c r="B2799" s="172"/>
      <c r="C2799" s="174"/>
      <c r="D2799" s="181"/>
      <c r="E2799" s="173"/>
      <c r="F2799" s="176"/>
      <c r="G2799" s="175">
        <f t="shared" si="240"/>
        <v>0</v>
      </c>
      <c r="H2799" s="175">
        <f t="shared" si="233"/>
        <v>0</v>
      </c>
      <c r="I2799" s="177">
        <f>IF(G2799=0,0,IF(E2799="MXN",1/HLOOKUP(YEAR(C2799)+(MONTH(C2799)/100),TC!$5:$37,DAY(C2799)+2,FALSE),VLOOKUP(E2799,Equivalencia!$5:$23,((MAX(Equivalencia!$3:$3)-YEAR(C2799))*14)+MONTH(C2799)+2,FALSE)))</f>
        <v>0</v>
      </c>
      <c r="J2799" s="178">
        <f t="shared" si="241"/>
        <v>0</v>
      </c>
      <c r="K2799" s="462">
        <f>IF(C2799=0,0,VLOOKUP(YEAR(C2799),INPC!$B$4:$O$29,MONTH(C2799)+1))</f>
        <v>0</v>
      </c>
      <c r="L2799" s="462">
        <f>IF(S2799=0,0,VLOOKUP(YEAR(S2799),INPC!$B$4:$O$29,MONTH(S2799)+1))</f>
        <v>0</v>
      </c>
      <c r="M2799" s="463">
        <f t="shared" si="234"/>
        <v>0</v>
      </c>
      <c r="N2799" s="465">
        <f t="shared" si="242"/>
        <v>0</v>
      </c>
      <c r="O2799" s="179"/>
      <c r="P2799" s="180"/>
      <c r="Q2799" s="173"/>
      <c r="R2799" s="173"/>
      <c r="S2799" s="174"/>
      <c r="T2799" s="173"/>
      <c r="U2799" s="182"/>
      <c r="V2799" s="177">
        <f>IF(U2799=0,0,IF(T2799="MXN",1/HLOOKUP(YEAR(S2799)+(MONTH(S2799)/100),TC!$5:$37,DAY(S2799)+2,FALSE),VLOOKUP(T2799,Equivalencia!$1:$23,((MAX(Equivalencia!$3:$3)-YEAR(S2799))*14)+MONTH(S2799)+2,FALSE)))</f>
        <v>0</v>
      </c>
      <c r="W2799" s="178">
        <f t="shared" si="239"/>
        <v>0</v>
      </c>
      <c r="X2799" s="481">
        <f t="shared" si="235"/>
        <v>0</v>
      </c>
      <c r="Y2799" s="179"/>
      <c r="Z2799" s="466">
        <f t="shared" si="236"/>
        <v>0</v>
      </c>
      <c r="AA2799" s="473">
        <f t="shared" si="237"/>
        <v>0</v>
      </c>
      <c r="AB2799" s="339">
        <f t="shared" si="238"/>
        <v>0</v>
      </c>
    </row>
    <row r="2800" spans="2:28" ht="20.100000000000001" customHeight="1">
      <c r="B2800" s="172"/>
      <c r="C2800" s="174"/>
      <c r="D2800" s="181"/>
      <c r="E2800" s="173"/>
      <c r="F2800" s="176"/>
      <c r="G2800" s="175">
        <f t="shared" si="240"/>
        <v>0</v>
      </c>
      <c r="H2800" s="175">
        <f t="shared" si="233"/>
        <v>0</v>
      </c>
      <c r="I2800" s="177">
        <f>IF(G2800=0,0,IF(E2800="MXN",1/HLOOKUP(YEAR(C2800)+(MONTH(C2800)/100),TC!$5:$37,DAY(C2800)+2,FALSE),VLOOKUP(E2800,Equivalencia!$5:$23,((MAX(Equivalencia!$3:$3)-YEAR(C2800))*14)+MONTH(C2800)+2,FALSE)))</f>
        <v>0</v>
      </c>
      <c r="J2800" s="178">
        <f t="shared" si="241"/>
        <v>0</v>
      </c>
      <c r="K2800" s="462">
        <f>IF(C2800=0,0,VLOOKUP(YEAR(C2800),INPC!$B$4:$O$29,MONTH(C2800)+1))</f>
        <v>0</v>
      </c>
      <c r="L2800" s="462">
        <f>IF(S2800=0,0,VLOOKUP(YEAR(S2800),INPC!$B$4:$O$29,MONTH(S2800)+1))</f>
        <v>0</v>
      </c>
      <c r="M2800" s="463">
        <f t="shared" si="234"/>
        <v>0</v>
      </c>
      <c r="N2800" s="465">
        <f t="shared" si="242"/>
        <v>0</v>
      </c>
      <c r="O2800" s="179"/>
      <c r="P2800" s="180"/>
      <c r="Q2800" s="173"/>
      <c r="R2800" s="173"/>
      <c r="S2800" s="174"/>
      <c r="T2800" s="173"/>
      <c r="U2800" s="182"/>
      <c r="V2800" s="177">
        <f>IF(U2800=0,0,IF(T2800="MXN",1/HLOOKUP(YEAR(S2800)+(MONTH(S2800)/100),TC!$5:$37,DAY(S2800)+2,FALSE),VLOOKUP(T2800,Equivalencia!$1:$23,((MAX(Equivalencia!$3:$3)-YEAR(S2800))*14)+MONTH(S2800)+2,FALSE)))</f>
        <v>0</v>
      </c>
      <c r="W2800" s="178">
        <f t="shared" si="239"/>
        <v>0</v>
      </c>
      <c r="X2800" s="481">
        <f t="shared" si="235"/>
        <v>0</v>
      </c>
      <c r="Y2800" s="179"/>
      <c r="Z2800" s="466">
        <f t="shared" si="236"/>
        <v>0</v>
      </c>
      <c r="AA2800" s="473">
        <f t="shared" si="237"/>
        <v>0</v>
      </c>
      <c r="AB2800" s="339">
        <f t="shared" si="238"/>
        <v>0</v>
      </c>
    </row>
    <row r="2801" spans="2:28" ht="20.100000000000001" customHeight="1">
      <c r="B2801" s="172"/>
      <c r="C2801" s="174"/>
      <c r="D2801" s="181"/>
      <c r="E2801" s="173"/>
      <c r="F2801" s="176"/>
      <c r="G2801" s="175">
        <f t="shared" si="240"/>
        <v>0</v>
      </c>
      <c r="H2801" s="175">
        <f t="shared" si="233"/>
        <v>0</v>
      </c>
      <c r="I2801" s="177">
        <f>IF(G2801=0,0,IF(E2801="MXN",1/HLOOKUP(YEAR(C2801)+(MONTH(C2801)/100),TC!$5:$37,DAY(C2801)+2,FALSE),VLOOKUP(E2801,Equivalencia!$5:$23,((MAX(Equivalencia!$3:$3)-YEAR(C2801))*14)+MONTH(C2801)+2,FALSE)))</f>
        <v>0</v>
      </c>
      <c r="J2801" s="178">
        <f t="shared" si="241"/>
        <v>0</v>
      </c>
      <c r="K2801" s="462">
        <f>IF(C2801=0,0,VLOOKUP(YEAR(C2801),INPC!$B$4:$O$29,MONTH(C2801)+1))</f>
        <v>0</v>
      </c>
      <c r="L2801" s="462">
        <f>IF(S2801=0,0,VLOOKUP(YEAR(S2801),INPC!$B$4:$O$29,MONTH(S2801)+1))</f>
        <v>0</v>
      </c>
      <c r="M2801" s="463">
        <f t="shared" si="234"/>
        <v>0</v>
      </c>
      <c r="N2801" s="465">
        <f t="shared" si="242"/>
        <v>0</v>
      </c>
      <c r="O2801" s="179"/>
      <c r="P2801" s="180"/>
      <c r="Q2801" s="173"/>
      <c r="R2801" s="173"/>
      <c r="S2801" s="174"/>
      <c r="T2801" s="173"/>
      <c r="U2801" s="182"/>
      <c r="V2801" s="177">
        <f>IF(U2801=0,0,IF(T2801="MXN",1/HLOOKUP(YEAR(S2801)+(MONTH(S2801)/100),TC!$5:$37,DAY(S2801)+2,FALSE),VLOOKUP(T2801,Equivalencia!$1:$23,((MAX(Equivalencia!$3:$3)-YEAR(S2801))*14)+MONTH(S2801)+2,FALSE)))</f>
        <v>0</v>
      </c>
      <c r="W2801" s="178">
        <f t="shared" si="239"/>
        <v>0</v>
      </c>
      <c r="X2801" s="481">
        <f t="shared" si="235"/>
        <v>0</v>
      </c>
      <c r="Y2801" s="179"/>
      <c r="Z2801" s="466">
        <f t="shared" si="236"/>
        <v>0</v>
      </c>
      <c r="AA2801" s="473">
        <f t="shared" si="237"/>
        <v>0</v>
      </c>
      <c r="AB2801" s="339">
        <f t="shared" si="238"/>
        <v>0</v>
      </c>
    </row>
    <row r="2802" spans="2:28" ht="20.100000000000001" customHeight="1">
      <c r="B2802" s="172"/>
      <c r="C2802" s="174"/>
      <c r="D2802" s="181"/>
      <c r="E2802" s="173"/>
      <c r="F2802" s="176"/>
      <c r="G2802" s="175">
        <f t="shared" si="240"/>
        <v>0</v>
      </c>
      <c r="H2802" s="175">
        <f t="shared" si="233"/>
        <v>0</v>
      </c>
      <c r="I2802" s="177">
        <f>IF(G2802=0,0,IF(E2802="MXN",1/HLOOKUP(YEAR(C2802)+(MONTH(C2802)/100),TC!$5:$37,DAY(C2802)+2,FALSE),VLOOKUP(E2802,Equivalencia!$5:$23,((MAX(Equivalencia!$3:$3)-YEAR(C2802))*14)+MONTH(C2802)+2,FALSE)))</f>
        <v>0</v>
      </c>
      <c r="J2802" s="178">
        <f t="shared" si="241"/>
        <v>0</v>
      </c>
      <c r="K2802" s="462">
        <f>IF(C2802=0,0,VLOOKUP(YEAR(C2802),INPC!$B$4:$O$29,MONTH(C2802)+1))</f>
        <v>0</v>
      </c>
      <c r="L2802" s="462">
        <f>IF(S2802=0,0,VLOOKUP(YEAR(S2802),INPC!$B$4:$O$29,MONTH(S2802)+1))</f>
        <v>0</v>
      </c>
      <c r="M2802" s="463">
        <f t="shared" si="234"/>
        <v>0</v>
      </c>
      <c r="N2802" s="465">
        <f t="shared" si="242"/>
        <v>0</v>
      </c>
      <c r="O2802" s="179"/>
      <c r="P2802" s="180"/>
      <c r="Q2802" s="173"/>
      <c r="R2802" s="173"/>
      <c r="S2802" s="174"/>
      <c r="T2802" s="173"/>
      <c r="U2802" s="182"/>
      <c r="V2802" s="177">
        <f>IF(U2802=0,0,IF(T2802="MXN",1/HLOOKUP(YEAR(S2802)+(MONTH(S2802)/100),TC!$5:$37,DAY(S2802)+2,FALSE),VLOOKUP(T2802,Equivalencia!$1:$23,((MAX(Equivalencia!$3:$3)-YEAR(S2802))*14)+MONTH(S2802)+2,FALSE)))</f>
        <v>0</v>
      </c>
      <c r="W2802" s="178">
        <f t="shared" si="239"/>
        <v>0</v>
      </c>
      <c r="X2802" s="481">
        <f t="shared" si="235"/>
        <v>0</v>
      </c>
      <c r="Y2802" s="179"/>
      <c r="Z2802" s="466">
        <f t="shared" si="236"/>
        <v>0</v>
      </c>
      <c r="AA2802" s="473">
        <f t="shared" si="237"/>
        <v>0</v>
      </c>
      <c r="AB2802" s="339">
        <f t="shared" si="238"/>
        <v>0</v>
      </c>
    </row>
    <row r="2803" spans="2:28" ht="20.100000000000001" customHeight="1">
      <c r="B2803" s="172"/>
      <c r="C2803" s="174"/>
      <c r="D2803" s="181"/>
      <c r="E2803" s="173"/>
      <c r="F2803" s="176"/>
      <c r="G2803" s="175">
        <f t="shared" si="240"/>
        <v>0</v>
      </c>
      <c r="H2803" s="175">
        <f t="shared" si="233"/>
        <v>0</v>
      </c>
      <c r="I2803" s="177">
        <f>IF(G2803=0,0,IF(E2803="MXN",1/HLOOKUP(YEAR(C2803)+(MONTH(C2803)/100),TC!$5:$37,DAY(C2803)+2,FALSE),VLOOKUP(E2803,Equivalencia!$5:$23,((MAX(Equivalencia!$3:$3)-YEAR(C2803))*14)+MONTH(C2803)+2,FALSE)))</f>
        <v>0</v>
      </c>
      <c r="J2803" s="178">
        <f t="shared" si="241"/>
        <v>0</v>
      </c>
      <c r="K2803" s="462">
        <f>IF(C2803=0,0,VLOOKUP(YEAR(C2803),INPC!$B$4:$O$29,MONTH(C2803)+1))</f>
        <v>0</v>
      </c>
      <c r="L2803" s="462">
        <f>IF(S2803=0,0,VLOOKUP(YEAR(S2803),INPC!$B$4:$O$29,MONTH(S2803)+1))</f>
        <v>0</v>
      </c>
      <c r="M2803" s="463">
        <f t="shared" si="234"/>
        <v>0</v>
      </c>
      <c r="N2803" s="465">
        <f t="shared" si="242"/>
        <v>0</v>
      </c>
      <c r="O2803" s="179"/>
      <c r="P2803" s="180"/>
      <c r="Q2803" s="173"/>
      <c r="R2803" s="173"/>
      <c r="S2803" s="174"/>
      <c r="T2803" s="173"/>
      <c r="U2803" s="182"/>
      <c r="V2803" s="177">
        <f>IF(U2803=0,0,IF(T2803="MXN",1/HLOOKUP(YEAR(S2803)+(MONTH(S2803)/100),TC!$5:$37,DAY(S2803)+2,FALSE),VLOOKUP(T2803,Equivalencia!$1:$23,((MAX(Equivalencia!$3:$3)-YEAR(S2803))*14)+MONTH(S2803)+2,FALSE)))</f>
        <v>0</v>
      </c>
      <c r="W2803" s="178">
        <f t="shared" si="239"/>
        <v>0</v>
      </c>
      <c r="X2803" s="481">
        <f t="shared" si="235"/>
        <v>0</v>
      </c>
      <c r="Y2803" s="179"/>
      <c r="Z2803" s="466">
        <f t="shared" si="236"/>
        <v>0</v>
      </c>
      <c r="AA2803" s="473">
        <f t="shared" si="237"/>
        <v>0</v>
      </c>
      <c r="AB2803" s="339">
        <f t="shared" si="238"/>
        <v>0</v>
      </c>
    </row>
    <row r="2804" spans="2:28" ht="20.100000000000001" customHeight="1">
      <c r="B2804" s="172"/>
      <c r="C2804" s="174"/>
      <c r="D2804" s="181"/>
      <c r="E2804" s="173"/>
      <c r="F2804" s="176"/>
      <c r="G2804" s="175">
        <f t="shared" si="240"/>
        <v>0</v>
      </c>
      <c r="H2804" s="175">
        <f t="shared" si="233"/>
        <v>0</v>
      </c>
      <c r="I2804" s="177">
        <f>IF(G2804=0,0,IF(E2804="MXN",1/HLOOKUP(YEAR(C2804)+(MONTH(C2804)/100),TC!$5:$37,DAY(C2804)+2,FALSE),VLOOKUP(E2804,Equivalencia!$5:$23,((MAX(Equivalencia!$3:$3)-YEAR(C2804))*14)+MONTH(C2804)+2,FALSE)))</f>
        <v>0</v>
      </c>
      <c r="J2804" s="178">
        <f t="shared" si="241"/>
        <v>0</v>
      </c>
      <c r="K2804" s="462">
        <f>IF(C2804=0,0,VLOOKUP(YEAR(C2804),INPC!$B$4:$O$29,MONTH(C2804)+1))</f>
        <v>0</v>
      </c>
      <c r="L2804" s="462">
        <f>IF(S2804=0,0,VLOOKUP(YEAR(S2804),INPC!$B$4:$O$29,MONTH(S2804)+1))</f>
        <v>0</v>
      </c>
      <c r="M2804" s="463">
        <f t="shared" si="234"/>
        <v>0</v>
      </c>
      <c r="N2804" s="465">
        <f t="shared" si="242"/>
        <v>0</v>
      </c>
      <c r="O2804" s="179"/>
      <c r="P2804" s="180"/>
      <c r="Q2804" s="173"/>
      <c r="R2804" s="173"/>
      <c r="S2804" s="174"/>
      <c r="T2804" s="173"/>
      <c r="U2804" s="182"/>
      <c r="V2804" s="177">
        <f>IF(U2804=0,0,IF(T2804="MXN",1/HLOOKUP(YEAR(S2804)+(MONTH(S2804)/100),TC!$5:$37,DAY(S2804)+2,FALSE),VLOOKUP(T2804,Equivalencia!$1:$23,((MAX(Equivalencia!$3:$3)-YEAR(S2804))*14)+MONTH(S2804)+2,FALSE)))</f>
        <v>0</v>
      </c>
      <c r="W2804" s="178">
        <f t="shared" si="239"/>
        <v>0</v>
      </c>
      <c r="X2804" s="481">
        <f t="shared" si="235"/>
        <v>0</v>
      </c>
      <c r="Y2804" s="179"/>
      <c r="Z2804" s="466">
        <f t="shared" si="236"/>
        <v>0</v>
      </c>
      <c r="AA2804" s="473">
        <f t="shared" si="237"/>
        <v>0</v>
      </c>
      <c r="AB2804" s="339">
        <f t="shared" si="238"/>
        <v>0</v>
      </c>
    </row>
    <row r="2805" spans="2:28" ht="20.100000000000001" customHeight="1">
      <c r="B2805" s="172"/>
      <c r="C2805" s="174"/>
      <c r="D2805" s="181"/>
      <c r="E2805" s="173"/>
      <c r="F2805" s="176"/>
      <c r="G2805" s="175">
        <f t="shared" si="240"/>
        <v>0</v>
      </c>
      <c r="H2805" s="175">
        <f t="shared" si="233"/>
        <v>0</v>
      </c>
      <c r="I2805" s="177">
        <f>IF(G2805=0,0,IF(E2805="MXN",1/HLOOKUP(YEAR(C2805)+(MONTH(C2805)/100),TC!$5:$37,DAY(C2805)+2,FALSE),VLOOKUP(E2805,Equivalencia!$5:$23,((MAX(Equivalencia!$3:$3)-YEAR(C2805))*14)+MONTH(C2805)+2,FALSE)))</f>
        <v>0</v>
      </c>
      <c r="J2805" s="178">
        <f t="shared" si="241"/>
        <v>0</v>
      </c>
      <c r="K2805" s="462">
        <f>IF(C2805=0,0,VLOOKUP(YEAR(C2805),INPC!$B$4:$O$29,MONTH(C2805)+1))</f>
        <v>0</v>
      </c>
      <c r="L2805" s="462">
        <f>IF(S2805=0,0,VLOOKUP(YEAR(S2805),INPC!$B$4:$O$29,MONTH(S2805)+1))</f>
        <v>0</v>
      </c>
      <c r="M2805" s="463">
        <f t="shared" si="234"/>
        <v>0</v>
      </c>
      <c r="N2805" s="465">
        <f t="shared" si="242"/>
        <v>0</v>
      </c>
      <c r="O2805" s="179"/>
      <c r="P2805" s="180"/>
      <c r="Q2805" s="173"/>
      <c r="R2805" s="173"/>
      <c r="S2805" s="174"/>
      <c r="T2805" s="173"/>
      <c r="U2805" s="182"/>
      <c r="V2805" s="177">
        <f>IF(U2805=0,0,IF(T2805="MXN",1/HLOOKUP(YEAR(S2805)+(MONTH(S2805)/100),TC!$5:$37,DAY(S2805)+2,FALSE),VLOOKUP(T2805,Equivalencia!$1:$23,((MAX(Equivalencia!$3:$3)-YEAR(S2805))*14)+MONTH(S2805)+2,FALSE)))</f>
        <v>0</v>
      </c>
      <c r="W2805" s="178">
        <f t="shared" si="239"/>
        <v>0</v>
      </c>
      <c r="X2805" s="481">
        <f t="shared" si="235"/>
        <v>0</v>
      </c>
      <c r="Y2805" s="179"/>
      <c r="Z2805" s="466">
        <f t="shared" si="236"/>
        <v>0</v>
      </c>
      <c r="AA2805" s="473">
        <f t="shared" si="237"/>
        <v>0</v>
      </c>
      <c r="AB2805" s="339">
        <f t="shared" si="238"/>
        <v>0</v>
      </c>
    </row>
    <row r="2806" spans="2:28" ht="20.100000000000001" customHeight="1">
      <c r="B2806" s="172"/>
      <c r="C2806" s="174"/>
      <c r="D2806" s="181"/>
      <c r="E2806" s="173"/>
      <c r="F2806" s="176"/>
      <c r="G2806" s="175">
        <f t="shared" si="240"/>
        <v>0</v>
      </c>
      <c r="H2806" s="175">
        <f t="shared" si="233"/>
        <v>0</v>
      </c>
      <c r="I2806" s="177">
        <f>IF(G2806=0,0,IF(E2806="MXN",1/HLOOKUP(YEAR(C2806)+(MONTH(C2806)/100),TC!$5:$37,DAY(C2806)+2,FALSE),VLOOKUP(E2806,Equivalencia!$5:$23,((MAX(Equivalencia!$3:$3)-YEAR(C2806))*14)+MONTH(C2806)+2,FALSE)))</f>
        <v>0</v>
      </c>
      <c r="J2806" s="178">
        <f t="shared" si="241"/>
        <v>0</v>
      </c>
      <c r="K2806" s="462">
        <f>IF(C2806=0,0,VLOOKUP(YEAR(C2806),INPC!$B$4:$O$29,MONTH(C2806)+1))</f>
        <v>0</v>
      </c>
      <c r="L2806" s="462">
        <f>IF(S2806=0,0,VLOOKUP(YEAR(S2806),INPC!$B$4:$O$29,MONTH(S2806)+1))</f>
        <v>0</v>
      </c>
      <c r="M2806" s="463">
        <f t="shared" si="234"/>
        <v>0</v>
      </c>
      <c r="N2806" s="465">
        <f t="shared" si="242"/>
        <v>0</v>
      </c>
      <c r="O2806" s="179"/>
      <c r="P2806" s="180"/>
      <c r="Q2806" s="173"/>
      <c r="R2806" s="173"/>
      <c r="S2806" s="174"/>
      <c r="T2806" s="173"/>
      <c r="U2806" s="182"/>
      <c r="V2806" s="177">
        <f>IF(U2806=0,0,IF(T2806="MXN",1/HLOOKUP(YEAR(S2806)+(MONTH(S2806)/100),TC!$5:$37,DAY(S2806)+2,FALSE),VLOOKUP(T2806,Equivalencia!$1:$23,((MAX(Equivalencia!$3:$3)-YEAR(S2806))*14)+MONTH(S2806)+2,FALSE)))</f>
        <v>0</v>
      </c>
      <c r="W2806" s="178">
        <f t="shared" si="239"/>
        <v>0</v>
      </c>
      <c r="X2806" s="481">
        <f t="shared" si="235"/>
        <v>0</v>
      </c>
      <c r="Y2806" s="179"/>
      <c r="Z2806" s="466">
        <f t="shared" si="236"/>
        <v>0</v>
      </c>
      <c r="AA2806" s="473">
        <f t="shared" si="237"/>
        <v>0</v>
      </c>
      <c r="AB2806" s="339">
        <f t="shared" si="238"/>
        <v>0</v>
      </c>
    </row>
    <row r="2807" spans="2:28" ht="20.100000000000001" customHeight="1">
      <c r="B2807" s="172"/>
      <c r="C2807" s="174"/>
      <c r="D2807" s="181"/>
      <c r="E2807" s="173"/>
      <c r="F2807" s="176"/>
      <c r="G2807" s="175">
        <f t="shared" si="240"/>
        <v>0</v>
      </c>
      <c r="H2807" s="175">
        <f t="shared" si="233"/>
        <v>0</v>
      </c>
      <c r="I2807" s="177">
        <f>IF(G2807=0,0,IF(E2807="MXN",1/HLOOKUP(YEAR(C2807)+(MONTH(C2807)/100),TC!$5:$37,DAY(C2807)+2,FALSE),VLOOKUP(E2807,Equivalencia!$5:$23,((MAX(Equivalencia!$3:$3)-YEAR(C2807))*14)+MONTH(C2807)+2,FALSE)))</f>
        <v>0</v>
      </c>
      <c r="J2807" s="178">
        <f t="shared" si="241"/>
        <v>0</v>
      </c>
      <c r="K2807" s="462">
        <f>IF(C2807=0,0,VLOOKUP(YEAR(C2807),INPC!$B$4:$O$29,MONTH(C2807)+1))</f>
        <v>0</v>
      </c>
      <c r="L2807" s="462">
        <f>IF(S2807=0,0,VLOOKUP(YEAR(S2807),INPC!$B$4:$O$29,MONTH(S2807)+1))</f>
        <v>0</v>
      </c>
      <c r="M2807" s="463">
        <f t="shared" si="234"/>
        <v>0</v>
      </c>
      <c r="N2807" s="465">
        <f t="shared" si="242"/>
        <v>0</v>
      </c>
      <c r="O2807" s="179"/>
      <c r="P2807" s="180"/>
      <c r="Q2807" s="173"/>
      <c r="R2807" s="173"/>
      <c r="S2807" s="174"/>
      <c r="T2807" s="173"/>
      <c r="U2807" s="182"/>
      <c r="V2807" s="177">
        <f>IF(U2807=0,0,IF(T2807="MXN",1/HLOOKUP(YEAR(S2807)+(MONTH(S2807)/100),TC!$5:$37,DAY(S2807)+2,FALSE),VLOOKUP(T2807,Equivalencia!$1:$23,((MAX(Equivalencia!$3:$3)-YEAR(S2807))*14)+MONTH(S2807)+2,FALSE)))</f>
        <v>0</v>
      </c>
      <c r="W2807" s="178">
        <f t="shared" si="239"/>
        <v>0</v>
      </c>
      <c r="X2807" s="481">
        <f t="shared" si="235"/>
        <v>0</v>
      </c>
      <c r="Y2807" s="179"/>
      <c r="Z2807" s="466">
        <f t="shared" si="236"/>
        <v>0</v>
      </c>
      <c r="AA2807" s="473">
        <f t="shared" si="237"/>
        <v>0</v>
      </c>
      <c r="AB2807" s="339">
        <f t="shared" si="238"/>
        <v>0</v>
      </c>
    </row>
    <row r="2808" spans="2:28" ht="20.100000000000001" customHeight="1">
      <c r="B2808" s="172"/>
      <c r="C2808" s="174"/>
      <c r="D2808" s="181"/>
      <c r="E2808" s="173"/>
      <c r="F2808" s="176"/>
      <c r="G2808" s="175">
        <f t="shared" si="240"/>
        <v>0</v>
      </c>
      <c r="H2808" s="175">
        <f t="shared" si="233"/>
        <v>0</v>
      </c>
      <c r="I2808" s="177">
        <f>IF(G2808=0,0,IF(E2808="MXN",1/HLOOKUP(YEAR(C2808)+(MONTH(C2808)/100),TC!$5:$37,DAY(C2808)+2,FALSE),VLOOKUP(E2808,Equivalencia!$5:$23,((MAX(Equivalencia!$3:$3)-YEAR(C2808))*14)+MONTH(C2808)+2,FALSE)))</f>
        <v>0</v>
      </c>
      <c r="J2808" s="178">
        <f t="shared" si="241"/>
        <v>0</v>
      </c>
      <c r="K2808" s="462">
        <f>IF(C2808=0,0,VLOOKUP(YEAR(C2808),INPC!$B$4:$O$29,MONTH(C2808)+1))</f>
        <v>0</v>
      </c>
      <c r="L2808" s="462">
        <f>IF(S2808=0,0,VLOOKUP(YEAR(S2808),INPC!$B$4:$O$29,MONTH(S2808)+1))</f>
        <v>0</v>
      </c>
      <c r="M2808" s="463">
        <f t="shared" si="234"/>
        <v>0</v>
      </c>
      <c r="N2808" s="465">
        <f t="shared" si="242"/>
        <v>0</v>
      </c>
      <c r="O2808" s="179"/>
      <c r="P2808" s="180"/>
      <c r="Q2808" s="173"/>
      <c r="R2808" s="173"/>
      <c r="S2808" s="174"/>
      <c r="T2808" s="173"/>
      <c r="U2808" s="182"/>
      <c r="V2808" s="177">
        <f>IF(U2808=0,0,IF(T2808="MXN",1/HLOOKUP(YEAR(S2808)+(MONTH(S2808)/100),TC!$5:$37,DAY(S2808)+2,FALSE),VLOOKUP(T2808,Equivalencia!$1:$23,((MAX(Equivalencia!$3:$3)-YEAR(S2808))*14)+MONTH(S2808)+2,FALSE)))</f>
        <v>0</v>
      </c>
      <c r="W2808" s="178">
        <f t="shared" si="239"/>
        <v>0</v>
      </c>
      <c r="X2808" s="481">
        <f t="shared" si="235"/>
        <v>0</v>
      </c>
      <c r="Y2808" s="179"/>
      <c r="Z2808" s="466">
        <f t="shared" si="236"/>
        <v>0</v>
      </c>
      <c r="AA2808" s="473">
        <f t="shared" si="237"/>
        <v>0</v>
      </c>
      <c r="AB2808" s="339">
        <f t="shared" si="238"/>
        <v>0</v>
      </c>
    </row>
    <row r="2809" spans="2:28" ht="20.100000000000001" customHeight="1">
      <c r="B2809" s="172"/>
      <c r="C2809" s="174"/>
      <c r="D2809" s="181"/>
      <c r="E2809" s="173"/>
      <c r="F2809" s="176"/>
      <c r="G2809" s="175">
        <f t="shared" si="240"/>
        <v>0</v>
      </c>
      <c r="H2809" s="175">
        <f t="shared" si="233"/>
        <v>0</v>
      </c>
      <c r="I2809" s="177">
        <f>IF(G2809=0,0,IF(E2809="MXN",1/HLOOKUP(YEAR(C2809)+(MONTH(C2809)/100),TC!$5:$37,DAY(C2809)+2,FALSE),VLOOKUP(E2809,Equivalencia!$5:$23,((MAX(Equivalencia!$3:$3)-YEAR(C2809))*14)+MONTH(C2809)+2,FALSE)))</f>
        <v>0</v>
      </c>
      <c r="J2809" s="178">
        <f t="shared" si="241"/>
        <v>0</v>
      </c>
      <c r="K2809" s="462">
        <f>IF(C2809=0,0,VLOOKUP(YEAR(C2809),INPC!$B$4:$O$29,MONTH(C2809)+1))</f>
        <v>0</v>
      </c>
      <c r="L2809" s="462">
        <f>IF(S2809=0,0,VLOOKUP(YEAR(S2809),INPC!$B$4:$O$29,MONTH(S2809)+1))</f>
        <v>0</v>
      </c>
      <c r="M2809" s="463">
        <f t="shared" si="234"/>
        <v>0</v>
      </c>
      <c r="N2809" s="465">
        <f t="shared" si="242"/>
        <v>0</v>
      </c>
      <c r="O2809" s="179"/>
      <c r="P2809" s="180"/>
      <c r="Q2809" s="173"/>
      <c r="R2809" s="173"/>
      <c r="S2809" s="174"/>
      <c r="T2809" s="173"/>
      <c r="U2809" s="182"/>
      <c r="V2809" s="177">
        <f>IF(U2809=0,0,IF(T2809="MXN",1/HLOOKUP(YEAR(S2809)+(MONTH(S2809)/100),TC!$5:$37,DAY(S2809)+2,FALSE),VLOOKUP(T2809,Equivalencia!$1:$23,((MAX(Equivalencia!$3:$3)-YEAR(S2809))*14)+MONTH(S2809)+2,FALSE)))</f>
        <v>0</v>
      </c>
      <c r="W2809" s="178">
        <f t="shared" si="239"/>
        <v>0</v>
      </c>
      <c r="X2809" s="481">
        <f t="shared" si="235"/>
        <v>0</v>
      </c>
      <c r="Y2809" s="179"/>
      <c r="Z2809" s="466">
        <f t="shared" si="236"/>
        <v>0</v>
      </c>
      <c r="AA2809" s="473">
        <f t="shared" si="237"/>
        <v>0</v>
      </c>
      <c r="AB2809" s="339">
        <f t="shared" si="238"/>
        <v>0</v>
      </c>
    </row>
    <row r="2810" spans="2:28" ht="20.100000000000001" customHeight="1">
      <c r="B2810" s="172"/>
      <c r="C2810" s="174"/>
      <c r="D2810" s="181"/>
      <c r="E2810" s="173"/>
      <c r="F2810" s="176"/>
      <c r="G2810" s="175">
        <f t="shared" si="240"/>
        <v>0</v>
      </c>
      <c r="H2810" s="175">
        <f t="shared" si="233"/>
        <v>0</v>
      </c>
      <c r="I2810" s="177">
        <f>IF(G2810=0,0,IF(E2810="MXN",1/HLOOKUP(YEAR(C2810)+(MONTH(C2810)/100),TC!$5:$37,DAY(C2810)+2,FALSE),VLOOKUP(E2810,Equivalencia!$5:$23,((MAX(Equivalencia!$3:$3)-YEAR(C2810))*14)+MONTH(C2810)+2,FALSE)))</f>
        <v>0</v>
      </c>
      <c r="J2810" s="178">
        <f t="shared" si="241"/>
        <v>0</v>
      </c>
      <c r="K2810" s="462">
        <f>IF(C2810=0,0,VLOOKUP(YEAR(C2810),INPC!$B$4:$O$29,MONTH(C2810)+1))</f>
        <v>0</v>
      </c>
      <c r="L2810" s="462">
        <f>IF(S2810=0,0,VLOOKUP(YEAR(S2810),INPC!$B$4:$O$29,MONTH(S2810)+1))</f>
        <v>0</v>
      </c>
      <c r="M2810" s="463">
        <f t="shared" si="234"/>
        <v>0</v>
      </c>
      <c r="N2810" s="465">
        <f t="shared" si="242"/>
        <v>0</v>
      </c>
      <c r="O2810" s="179"/>
      <c r="P2810" s="180"/>
      <c r="Q2810" s="173"/>
      <c r="R2810" s="173"/>
      <c r="S2810" s="174"/>
      <c r="T2810" s="173"/>
      <c r="U2810" s="182"/>
      <c r="V2810" s="177">
        <f>IF(U2810=0,0,IF(T2810="MXN",1/HLOOKUP(YEAR(S2810)+(MONTH(S2810)/100),TC!$5:$37,DAY(S2810)+2,FALSE),VLOOKUP(T2810,Equivalencia!$1:$23,((MAX(Equivalencia!$3:$3)-YEAR(S2810))*14)+MONTH(S2810)+2,FALSE)))</f>
        <v>0</v>
      </c>
      <c r="W2810" s="178">
        <f t="shared" si="239"/>
        <v>0</v>
      </c>
      <c r="X2810" s="481">
        <f t="shared" si="235"/>
        <v>0</v>
      </c>
      <c r="Y2810" s="179"/>
      <c r="Z2810" s="466">
        <f t="shared" si="236"/>
        <v>0</v>
      </c>
      <c r="AA2810" s="473">
        <f t="shared" si="237"/>
        <v>0</v>
      </c>
      <c r="AB2810" s="339">
        <f t="shared" si="238"/>
        <v>0</v>
      </c>
    </row>
    <row r="2811" spans="2:28" ht="20.100000000000001" customHeight="1">
      <c r="B2811" s="172"/>
      <c r="C2811" s="174"/>
      <c r="D2811" s="181"/>
      <c r="E2811" s="173"/>
      <c r="F2811" s="176"/>
      <c r="G2811" s="175">
        <f t="shared" si="240"/>
        <v>0</v>
      </c>
      <c r="H2811" s="175">
        <f t="shared" si="233"/>
        <v>0</v>
      </c>
      <c r="I2811" s="177">
        <f>IF(G2811=0,0,IF(E2811="MXN",1/HLOOKUP(YEAR(C2811)+(MONTH(C2811)/100),TC!$5:$37,DAY(C2811)+2,FALSE),VLOOKUP(E2811,Equivalencia!$5:$23,((MAX(Equivalencia!$3:$3)-YEAR(C2811))*14)+MONTH(C2811)+2,FALSE)))</f>
        <v>0</v>
      </c>
      <c r="J2811" s="178">
        <f t="shared" si="241"/>
        <v>0</v>
      </c>
      <c r="K2811" s="462">
        <f>IF(C2811=0,0,VLOOKUP(YEAR(C2811),INPC!$B$4:$O$29,MONTH(C2811)+1))</f>
        <v>0</v>
      </c>
      <c r="L2811" s="462">
        <f>IF(S2811=0,0,VLOOKUP(YEAR(S2811),INPC!$B$4:$O$29,MONTH(S2811)+1))</f>
        <v>0</v>
      </c>
      <c r="M2811" s="463">
        <f t="shared" si="234"/>
        <v>0</v>
      </c>
      <c r="N2811" s="465">
        <f t="shared" si="242"/>
        <v>0</v>
      </c>
      <c r="O2811" s="179"/>
      <c r="P2811" s="180"/>
      <c r="Q2811" s="173"/>
      <c r="R2811" s="173"/>
      <c r="S2811" s="174"/>
      <c r="T2811" s="173"/>
      <c r="U2811" s="182"/>
      <c r="V2811" s="177">
        <f>IF(U2811=0,0,IF(T2811="MXN",1/HLOOKUP(YEAR(S2811)+(MONTH(S2811)/100),TC!$5:$37,DAY(S2811)+2,FALSE),VLOOKUP(T2811,Equivalencia!$1:$23,((MAX(Equivalencia!$3:$3)-YEAR(S2811))*14)+MONTH(S2811)+2,FALSE)))</f>
        <v>0</v>
      </c>
      <c r="W2811" s="178">
        <f t="shared" si="239"/>
        <v>0</v>
      </c>
      <c r="X2811" s="481">
        <f t="shared" si="235"/>
        <v>0</v>
      </c>
      <c r="Y2811" s="179"/>
      <c r="Z2811" s="466">
        <f t="shared" si="236"/>
        <v>0</v>
      </c>
      <c r="AA2811" s="473">
        <f t="shared" si="237"/>
        <v>0</v>
      </c>
      <c r="AB2811" s="339">
        <f t="shared" si="238"/>
        <v>0</v>
      </c>
    </row>
    <row r="2812" spans="2:28" ht="20.100000000000001" customHeight="1">
      <c r="B2812" s="172"/>
      <c r="C2812" s="174"/>
      <c r="D2812" s="181"/>
      <c r="E2812" s="173"/>
      <c r="F2812" s="176"/>
      <c r="G2812" s="175">
        <f t="shared" si="240"/>
        <v>0</v>
      </c>
      <c r="H2812" s="175">
        <f t="shared" si="233"/>
        <v>0</v>
      </c>
      <c r="I2812" s="177">
        <f>IF(G2812=0,0,IF(E2812="MXN",1/HLOOKUP(YEAR(C2812)+(MONTH(C2812)/100),TC!$5:$37,DAY(C2812)+2,FALSE),VLOOKUP(E2812,Equivalencia!$5:$23,((MAX(Equivalencia!$3:$3)-YEAR(C2812))*14)+MONTH(C2812)+2,FALSE)))</f>
        <v>0</v>
      </c>
      <c r="J2812" s="178">
        <f t="shared" si="241"/>
        <v>0</v>
      </c>
      <c r="K2812" s="462">
        <f>IF(C2812=0,0,VLOOKUP(YEAR(C2812),INPC!$B$4:$O$29,MONTH(C2812)+1))</f>
        <v>0</v>
      </c>
      <c r="L2812" s="462">
        <f>IF(S2812=0,0,VLOOKUP(YEAR(S2812),INPC!$B$4:$O$29,MONTH(S2812)+1))</f>
        <v>0</v>
      </c>
      <c r="M2812" s="463">
        <f t="shared" si="234"/>
        <v>0</v>
      </c>
      <c r="N2812" s="465">
        <f t="shared" si="242"/>
        <v>0</v>
      </c>
      <c r="O2812" s="179"/>
      <c r="P2812" s="180"/>
      <c r="Q2812" s="173"/>
      <c r="R2812" s="173"/>
      <c r="S2812" s="174"/>
      <c r="T2812" s="173"/>
      <c r="U2812" s="182"/>
      <c r="V2812" s="177">
        <f>IF(U2812=0,0,IF(T2812="MXN",1/HLOOKUP(YEAR(S2812)+(MONTH(S2812)/100),TC!$5:$37,DAY(S2812)+2,FALSE),VLOOKUP(T2812,Equivalencia!$1:$23,((MAX(Equivalencia!$3:$3)-YEAR(S2812))*14)+MONTH(S2812)+2,FALSE)))</f>
        <v>0</v>
      </c>
      <c r="W2812" s="178">
        <f t="shared" si="239"/>
        <v>0</v>
      </c>
      <c r="X2812" s="481">
        <f t="shared" si="235"/>
        <v>0</v>
      </c>
      <c r="Y2812" s="179"/>
      <c r="Z2812" s="466">
        <f t="shared" si="236"/>
        <v>0</v>
      </c>
      <c r="AA2812" s="473">
        <f t="shared" si="237"/>
        <v>0</v>
      </c>
      <c r="AB2812" s="339">
        <f t="shared" si="238"/>
        <v>0</v>
      </c>
    </row>
    <row r="2813" spans="2:28" ht="20.100000000000001" customHeight="1">
      <c r="B2813" s="172"/>
      <c r="C2813" s="174"/>
      <c r="D2813" s="181"/>
      <c r="E2813" s="173"/>
      <c r="F2813" s="176"/>
      <c r="G2813" s="175">
        <f t="shared" si="240"/>
        <v>0</v>
      </c>
      <c r="H2813" s="175">
        <f t="shared" si="233"/>
        <v>0</v>
      </c>
      <c r="I2813" s="177">
        <f>IF(G2813=0,0,IF(E2813="MXN",1/HLOOKUP(YEAR(C2813)+(MONTH(C2813)/100),TC!$5:$37,DAY(C2813)+2,FALSE),VLOOKUP(E2813,Equivalencia!$5:$23,((MAX(Equivalencia!$3:$3)-YEAR(C2813))*14)+MONTH(C2813)+2,FALSE)))</f>
        <v>0</v>
      </c>
      <c r="J2813" s="178">
        <f t="shared" si="241"/>
        <v>0</v>
      </c>
      <c r="K2813" s="462">
        <f>IF(C2813=0,0,VLOOKUP(YEAR(C2813),INPC!$B$4:$O$29,MONTH(C2813)+1))</f>
        <v>0</v>
      </c>
      <c r="L2813" s="462">
        <f>IF(S2813=0,0,VLOOKUP(YEAR(S2813),INPC!$B$4:$O$29,MONTH(S2813)+1))</f>
        <v>0</v>
      </c>
      <c r="M2813" s="463">
        <f t="shared" si="234"/>
        <v>0</v>
      </c>
      <c r="N2813" s="465">
        <f t="shared" si="242"/>
        <v>0</v>
      </c>
      <c r="O2813" s="179"/>
      <c r="P2813" s="180"/>
      <c r="Q2813" s="173"/>
      <c r="R2813" s="173"/>
      <c r="S2813" s="174"/>
      <c r="T2813" s="173"/>
      <c r="U2813" s="182"/>
      <c r="V2813" s="177">
        <f>IF(U2813=0,0,IF(T2813="MXN",1/HLOOKUP(YEAR(S2813)+(MONTH(S2813)/100),TC!$5:$37,DAY(S2813)+2,FALSE),VLOOKUP(T2813,Equivalencia!$1:$23,((MAX(Equivalencia!$3:$3)-YEAR(S2813))*14)+MONTH(S2813)+2,FALSE)))</f>
        <v>0</v>
      </c>
      <c r="W2813" s="178">
        <f t="shared" si="239"/>
        <v>0</v>
      </c>
      <c r="X2813" s="481">
        <f t="shared" si="235"/>
        <v>0</v>
      </c>
      <c r="Y2813" s="179"/>
      <c r="Z2813" s="466">
        <f t="shared" si="236"/>
        <v>0</v>
      </c>
      <c r="AA2813" s="473">
        <f t="shared" si="237"/>
        <v>0</v>
      </c>
      <c r="AB2813" s="339">
        <f t="shared" si="238"/>
        <v>0</v>
      </c>
    </row>
    <row r="2814" spans="2:28" ht="20.100000000000001" customHeight="1">
      <c r="B2814" s="172"/>
      <c r="C2814" s="174"/>
      <c r="D2814" s="181"/>
      <c r="E2814" s="173"/>
      <c r="F2814" s="176"/>
      <c r="G2814" s="175">
        <f t="shared" si="240"/>
        <v>0</v>
      </c>
      <c r="H2814" s="175">
        <f t="shared" si="233"/>
        <v>0</v>
      </c>
      <c r="I2814" s="177">
        <f>IF(G2814=0,0,IF(E2814="MXN",1/HLOOKUP(YEAR(C2814)+(MONTH(C2814)/100),TC!$5:$37,DAY(C2814)+2,FALSE),VLOOKUP(E2814,Equivalencia!$5:$23,((MAX(Equivalencia!$3:$3)-YEAR(C2814))*14)+MONTH(C2814)+2,FALSE)))</f>
        <v>0</v>
      </c>
      <c r="J2814" s="178">
        <f t="shared" si="241"/>
        <v>0</v>
      </c>
      <c r="K2814" s="462">
        <f>IF(C2814=0,0,VLOOKUP(YEAR(C2814),INPC!$B$4:$O$29,MONTH(C2814)+1))</f>
        <v>0</v>
      </c>
      <c r="L2814" s="462">
        <f>IF(S2814=0,0,VLOOKUP(YEAR(S2814),INPC!$B$4:$O$29,MONTH(S2814)+1))</f>
        <v>0</v>
      </c>
      <c r="M2814" s="463">
        <f t="shared" si="234"/>
        <v>0</v>
      </c>
      <c r="N2814" s="465">
        <f t="shared" si="242"/>
        <v>0</v>
      </c>
      <c r="O2814" s="179"/>
      <c r="P2814" s="180"/>
      <c r="Q2814" s="173"/>
      <c r="R2814" s="173"/>
      <c r="S2814" s="174"/>
      <c r="T2814" s="173"/>
      <c r="U2814" s="182"/>
      <c r="V2814" s="177">
        <f>IF(U2814=0,0,IF(T2814="MXN",1/HLOOKUP(YEAR(S2814)+(MONTH(S2814)/100),TC!$5:$37,DAY(S2814)+2,FALSE),VLOOKUP(T2814,Equivalencia!$1:$23,((MAX(Equivalencia!$3:$3)-YEAR(S2814))*14)+MONTH(S2814)+2,FALSE)))</f>
        <v>0</v>
      </c>
      <c r="W2814" s="178">
        <f t="shared" si="239"/>
        <v>0</v>
      </c>
      <c r="X2814" s="481">
        <f t="shared" si="235"/>
        <v>0</v>
      </c>
      <c r="Y2814" s="179"/>
      <c r="Z2814" s="466">
        <f t="shared" si="236"/>
        <v>0</v>
      </c>
      <c r="AA2814" s="473">
        <f t="shared" si="237"/>
        <v>0</v>
      </c>
      <c r="AB2814" s="339">
        <f t="shared" si="238"/>
        <v>0</v>
      </c>
    </row>
    <row r="2815" spans="2:28" ht="20.100000000000001" customHeight="1">
      <c r="B2815" s="172"/>
      <c r="C2815" s="174"/>
      <c r="D2815" s="181"/>
      <c r="E2815" s="173"/>
      <c r="F2815" s="176"/>
      <c r="G2815" s="175">
        <f t="shared" si="240"/>
        <v>0</v>
      </c>
      <c r="H2815" s="175">
        <f t="shared" si="233"/>
        <v>0</v>
      </c>
      <c r="I2815" s="177">
        <f>IF(G2815=0,0,IF(E2815="MXN",1/HLOOKUP(YEAR(C2815)+(MONTH(C2815)/100),TC!$5:$37,DAY(C2815)+2,FALSE),VLOOKUP(E2815,Equivalencia!$5:$23,((MAX(Equivalencia!$3:$3)-YEAR(C2815))*14)+MONTH(C2815)+2,FALSE)))</f>
        <v>0</v>
      </c>
      <c r="J2815" s="178">
        <f t="shared" si="241"/>
        <v>0</v>
      </c>
      <c r="K2815" s="462">
        <f>IF(C2815=0,0,VLOOKUP(YEAR(C2815),INPC!$B$4:$O$29,MONTH(C2815)+1))</f>
        <v>0</v>
      </c>
      <c r="L2815" s="462">
        <f>IF(S2815=0,0,VLOOKUP(YEAR(S2815),INPC!$B$4:$O$29,MONTH(S2815)+1))</f>
        <v>0</v>
      </c>
      <c r="M2815" s="463">
        <f t="shared" si="234"/>
        <v>0</v>
      </c>
      <c r="N2815" s="465">
        <f t="shared" si="242"/>
        <v>0</v>
      </c>
      <c r="O2815" s="179"/>
      <c r="P2815" s="180"/>
      <c r="Q2815" s="173"/>
      <c r="R2815" s="173"/>
      <c r="S2815" s="174"/>
      <c r="T2815" s="173"/>
      <c r="U2815" s="182"/>
      <c r="V2815" s="177">
        <f>IF(U2815=0,0,IF(T2815="MXN",1/HLOOKUP(YEAR(S2815)+(MONTH(S2815)/100),TC!$5:$37,DAY(S2815)+2,FALSE),VLOOKUP(T2815,Equivalencia!$1:$23,((MAX(Equivalencia!$3:$3)-YEAR(S2815))*14)+MONTH(S2815)+2,FALSE)))</f>
        <v>0</v>
      </c>
      <c r="W2815" s="178">
        <f t="shared" si="239"/>
        <v>0</v>
      </c>
      <c r="X2815" s="481">
        <f t="shared" si="235"/>
        <v>0</v>
      </c>
      <c r="Y2815" s="179"/>
      <c r="Z2815" s="466">
        <f t="shared" si="236"/>
        <v>0</v>
      </c>
      <c r="AA2815" s="473">
        <f t="shared" si="237"/>
        <v>0</v>
      </c>
      <c r="AB2815" s="339">
        <f t="shared" si="238"/>
        <v>0</v>
      </c>
    </row>
    <row r="2816" spans="2:28" ht="20.100000000000001" customHeight="1">
      <c r="B2816" s="172"/>
      <c r="C2816" s="174"/>
      <c r="D2816" s="181"/>
      <c r="E2816" s="173"/>
      <c r="F2816" s="176"/>
      <c r="G2816" s="175">
        <f t="shared" si="240"/>
        <v>0</v>
      </c>
      <c r="H2816" s="175">
        <f t="shared" si="233"/>
        <v>0</v>
      </c>
      <c r="I2816" s="177">
        <f>IF(G2816=0,0,IF(E2816="MXN",1/HLOOKUP(YEAR(C2816)+(MONTH(C2816)/100),TC!$5:$37,DAY(C2816)+2,FALSE),VLOOKUP(E2816,Equivalencia!$5:$23,((MAX(Equivalencia!$3:$3)-YEAR(C2816))*14)+MONTH(C2816)+2,FALSE)))</f>
        <v>0</v>
      </c>
      <c r="J2816" s="178">
        <f t="shared" si="241"/>
        <v>0</v>
      </c>
      <c r="K2816" s="462">
        <f>IF(C2816=0,0,VLOOKUP(YEAR(C2816),INPC!$B$4:$O$29,MONTH(C2816)+1))</f>
        <v>0</v>
      </c>
      <c r="L2816" s="462">
        <f>IF(S2816=0,0,VLOOKUP(YEAR(S2816),INPC!$B$4:$O$29,MONTH(S2816)+1))</f>
        <v>0</v>
      </c>
      <c r="M2816" s="463">
        <f t="shared" si="234"/>
        <v>0</v>
      </c>
      <c r="N2816" s="465">
        <f t="shared" si="242"/>
        <v>0</v>
      </c>
      <c r="O2816" s="179"/>
      <c r="P2816" s="180"/>
      <c r="Q2816" s="173"/>
      <c r="R2816" s="173"/>
      <c r="S2816" s="174"/>
      <c r="T2816" s="173"/>
      <c r="U2816" s="182"/>
      <c r="V2816" s="177">
        <f>IF(U2816=0,0,IF(T2816="MXN",1/HLOOKUP(YEAR(S2816)+(MONTH(S2816)/100),TC!$5:$37,DAY(S2816)+2,FALSE),VLOOKUP(T2816,Equivalencia!$1:$23,((MAX(Equivalencia!$3:$3)-YEAR(S2816))*14)+MONTH(S2816)+2,FALSE)))</f>
        <v>0</v>
      </c>
      <c r="W2816" s="178">
        <f t="shared" si="239"/>
        <v>0</v>
      </c>
      <c r="X2816" s="481">
        <f t="shared" si="235"/>
        <v>0</v>
      </c>
      <c r="Y2816" s="179"/>
      <c r="Z2816" s="466">
        <f t="shared" si="236"/>
        <v>0</v>
      </c>
      <c r="AA2816" s="473">
        <f t="shared" si="237"/>
        <v>0</v>
      </c>
      <c r="AB2816" s="339">
        <f t="shared" si="238"/>
        <v>0</v>
      </c>
    </row>
    <row r="2817" spans="2:28" ht="20.100000000000001" customHeight="1">
      <c r="B2817" s="172"/>
      <c r="C2817" s="174"/>
      <c r="D2817" s="181"/>
      <c r="E2817" s="173"/>
      <c r="F2817" s="176"/>
      <c r="G2817" s="175">
        <f t="shared" si="240"/>
        <v>0</v>
      </c>
      <c r="H2817" s="175">
        <f t="shared" si="233"/>
        <v>0</v>
      </c>
      <c r="I2817" s="177">
        <f>IF(G2817=0,0,IF(E2817="MXN",1/HLOOKUP(YEAR(C2817)+(MONTH(C2817)/100),TC!$5:$37,DAY(C2817)+2,FALSE),VLOOKUP(E2817,Equivalencia!$5:$23,((MAX(Equivalencia!$3:$3)-YEAR(C2817))*14)+MONTH(C2817)+2,FALSE)))</f>
        <v>0</v>
      </c>
      <c r="J2817" s="178">
        <f t="shared" si="241"/>
        <v>0</v>
      </c>
      <c r="K2817" s="462">
        <f>IF(C2817=0,0,VLOOKUP(YEAR(C2817),INPC!$B$4:$O$29,MONTH(C2817)+1))</f>
        <v>0</v>
      </c>
      <c r="L2817" s="462">
        <f>IF(S2817=0,0,VLOOKUP(YEAR(S2817),INPC!$B$4:$O$29,MONTH(S2817)+1))</f>
        <v>0</v>
      </c>
      <c r="M2817" s="463">
        <f t="shared" si="234"/>
        <v>0</v>
      </c>
      <c r="N2817" s="465">
        <f t="shared" si="242"/>
        <v>0</v>
      </c>
      <c r="O2817" s="179"/>
      <c r="P2817" s="180"/>
      <c r="Q2817" s="173"/>
      <c r="R2817" s="173"/>
      <c r="S2817" s="174"/>
      <c r="T2817" s="173"/>
      <c r="U2817" s="182"/>
      <c r="V2817" s="177">
        <f>IF(U2817=0,0,IF(T2817="MXN",1/HLOOKUP(YEAR(S2817)+(MONTH(S2817)/100),TC!$5:$37,DAY(S2817)+2,FALSE),VLOOKUP(T2817,Equivalencia!$1:$23,((MAX(Equivalencia!$3:$3)-YEAR(S2817))*14)+MONTH(S2817)+2,FALSE)))</f>
        <v>0</v>
      </c>
      <c r="W2817" s="178">
        <f t="shared" si="239"/>
        <v>0</v>
      </c>
      <c r="X2817" s="481">
        <f t="shared" si="235"/>
        <v>0</v>
      </c>
      <c r="Y2817" s="179"/>
      <c r="Z2817" s="466">
        <f t="shared" si="236"/>
        <v>0</v>
      </c>
      <c r="AA2817" s="473">
        <f t="shared" si="237"/>
        <v>0</v>
      </c>
      <c r="AB2817" s="339">
        <f t="shared" si="238"/>
        <v>0</v>
      </c>
    </row>
    <row r="2818" spans="2:28" ht="20.100000000000001" customHeight="1">
      <c r="B2818" s="172"/>
      <c r="C2818" s="174"/>
      <c r="D2818" s="181"/>
      <c r="E2818" s="173"/>
      <c r="F2818" s="176"/>
      <c r="G2818" s="175">
        <f t="shared" si="240"/>
        <v>0</v>
      </c>
      <c r="H2818" s="175">
        <f t="shared" si="233"/>
        <v>0</v>
      </c>
      <c r="I2818" s="177">
        <f>IF(G2818=0,0,IF(E2818="MXN",1/HLOOKUP(YEAR(C2818)+(MONTH(C2818)/100),TC!$5:$37,DAY(C2818)+2,FALSE),VLOOKUP(E2818,Equivalencia!$5:$23,((MAX(Equivalencia!$3:$3)-YEAR(C2818))*14)+MONTH(C2818)+2,FALSE)))</f>
        <v>0</v>
      </c>
      <c r="J2818" s="178">
        <f t="shared" si="241"/>
        <v>0</v>
      </c>
      <c r="K2818" s="462">
        <f>IF(C2818=0,0,VLOOKUP(YEAR(C2818),INPC!$B$4:$O$29,MONTH(C2818)+1))</f>
        <v>0</v>
      </c>
      <c r="L2818" s="462">
        <f>IF(S2818=0,0,VLOOKUP(YEAR(S2818),INPC!$B$4:$O$29,MONTH(S2818)+1))</f>
        <v>0</v>
      </c>
      <c r="M2818" s="463">
        <f t="shared" si="234"/>
        <v>0</v>
      </c>
      <c r="N2818" s="465">
        <f t="shared" si="242"/>
        <v>0</v>
      </c>
      <c r="O2818" s="179"/>
      <c r="P2818" s="180"/>
      <c r="Q2818" s="173"/>
      <c r="R2818" s="173"/>
      <c r="S2818" s="174"/>
      <c r="T2818" s="173"/>
      <c r="U2818" s="182"/>
      <c r="V2818" s="177">
        <f>IF(U2818=0,0,IF(T2818="MXN",1/HLOOKUP(YEAR(S2818)+(MONTH(S2818)/100),TC!$5:$37,DAY(S2818)+2,FALSE),VLOOKUP(T2818,Equivalencia!$1:$23,((MAX(Equivalencia!$3:$3)-YEAR(S2818))*14)+MONTH(S2818)+2,FALSE)))</f>
        <v>0</v>
      </c>
      <c r="W2818" s="178">
        <f t="shared" si="239"/>
        <v>0</v>
      </c>
      <c r="X2818" s="481">
        <f t="shared" si="235"/>
        <v>0</v>
      </c>
      <c r="Y2818" s="179"/>
      <c r="Z2818" s="466">
        <f t="shared" si="236"/>
        <v>0</v>
      </c>
      <c r="AA2818" s="473">
        <f t="shared" si="237"/>
        <v>0</v>
      </c>
      <c r="AB2818" s="339">
        <f t="shared" si="238"/>
        <v>0</v>
      </c>
    </row>
    <row r="2819" spans="2:28" ht="20.100000000000001" customHeight="1">
      <c r="B2819" s="172"/>
      <c r="C2819" s="174"/>
      <c r="D2819" s="181"/>
      <c r="E2819" s="173"/>
      <c r="F2819" s="176"/>
      <c r="G2819" s="175">
        <f t="shared" si="240"/>
        <v>0</v>
      </c>
      <c r="H2819" s="175">
        <f t="shared" si="233"/>
        <v>0</v>
      </c>
      <c r="I2819" s="177">
        <f>IF(G2819=0,0,IF(E2819="MXN",1/HLOOKUP(YEAR(C2819)+(MONTH(C2819)/100),TC!$5:$37,DAY(C2819)+2,FALSE),VLOOKUP(E2819,Equivalencia!$5:$23,((MAX(Equivalencia!$3:$3)-YEAR(C2819))*14)+MONTH(C2819)+2,FALSE)))</f>
        <v>0</v>
      </c>
      <c r="J2819" s="178">
        <f t="shared" si="241"/>
        <v>0</v>
      </c>
      <c r="K2819" s="462">
        <f>IF(C2819=0,0,VLOOKUP(YEAR(C2819),INPC!$B$4:$O$29,MONTH(C2819)+1))</f>
        <v>0</v>
      </c>
      <c r="L2819" s="462">
        <f>IF(S2819=0,0,VLOOKUP(YEAR(S2819),INPC!$B$4:$O$29,MONTH(S2819)+1))</f>
        <v>0</v>
      </c>
      <c r="M2819" s="463">
        <f t="shared" si="234"/>
        <v>0</v>
      </c>
      <c r="N2819" s="465">
        <f t="shared" si="242"/>
        <v>0</v>
      </c>
      <c r="O2819" s="179"/>
      <c r="P2819" s="180"/>
      <c r="Q2819" s="173"/>
      <c r="R2819" s="173"/>
      <c r="S2819" s="174"/>
      <c r="T2819" s="173"/>
      <c r="U2819" s="182"/>
      <c r="V2819" s="177">
        <f>IF(U2819=0,0,IF(T2819="MXN",1/HLOOKUP(YEAR(S2819)+(MONTH(S2819)/100),TC!$5:$37,DAY(S2819)+2,FALSE),VLOOKUP(T2819,Equivalencia!$1:$23,((MAX(Equivalencia!$3:$3)-YEAR(S2819))*14)+MONTH(S2819)+2,FALSE)))</f>
        <v>0</v>
      </c>
      <c r="W2819" s="178">
        <f t="shared" si="239"/>
        <v>0</v>
      </c>
      <c r="X2819" s="481">
        <f t="shared" si="235"/>
        <v>0</v>
      </c>
      <c r="Y2819" s="179"/>
      <c r="Z2819" s="466">
        <f t="shared" si="236"/>
        <v>0</v>
      </c>
      <c r="AA2819" s="473">
        <f t="shared" si="237"/>
        <v>0</v>
      </c>
      <c r="AB2819" s="339">
        <f t="shared" si="238"/>
        <v>0</v>
      </c>
    </row>
    <row r="2820" spans="2:28" ht="20.100000000000001" customHeight="1">
      <c r="B2820" s="172"/>
      <c r="C2820" s="174"/>
      <c r="D2820" s="181"/>
      <c r="E2820" s="173"/>
      <c r="F2820" s="176"/>
      <c r="G2820" s="175">
        <f t="shared" si="240"/>
        <v>0</v>
      </c>
      <c r="H2820" s="175">
        <f t="shared" si="233"/>
        <v>0</v>
      </c>
      <c r="I2820" s="177">
        <f>IF(G2820=0,0,IF(E2820="MXN",1/HLOOKUP(YEAR(C2820)+(MONTH(C2820)/100),TC!$5:$37,DAY(C2820)+2,FALSE),VLOOKUP(E2820,Equivalencia!$5:$23,((MAX(Equivalencia!$3:$3)-YEAR(C2820))*14)+MONTH(C2820)+2,FALSE)))</f>
        <v>0</v>
      </c>
      <c r="J2820" s="178">
        <f t="shared" si="241"/>
        <v>0</v>
      </c>
      <c r="K2820" s="462">
        <f>IF(C2820=0,0,VLOOKUP(YEAR(C2820),INPC!$B$4:$O$29,MONTH(C2820)+1))</f>
        <v>0</v>
      </c>
      <c r="L2820" s="462">
        <f>IF(S2820=0,0,VLOOKUP(YEAR(S2820),INPC!$B$4:$O$29,MONTH(S2820)+1))</f>
        <v>0</v>
      </c>
      <c r="M2820" s="463">
        <f t="shared" si="234"/>
        <v>0</v>
      </c>
      <c r="N2820" s="465">
        <f t="shared" si="242"/>
        <v>0</v>
      </c>
      <c r="O2820" s="179"/>
      <c r="P2820" s="180"/>
      <c r="Q2820" s="173"/>
      <c r="R2820" s="173"/>
      <c r="S2820" s="174"/>
      <c r="T2820" s="173"/>
      <c r="U2820" s="182"/>
      <c r="V2820" s="177">
        <f>IF(U2820=0,0,IF(T2820="MXN",1/HLOOKUP(YEAR(S2820)+(MONTH(S2820)/100),TC!$5:$37,DAY(S2820)+2,FALSE),VLOOKUP(T2820,Equivalencia!$1:$23,((MAX(Equivalencia!$3:$3)-YEAR(S2820))*14)+MONTH(S2820)+2,FALSE)))</f>
        <v>0</v>
      </c>
      <c r="W2820" s="178">
        <f t="shared" si="239"/>
        <v>0</v>
      </c>
      <c r="X2820" s="481">
        <f t="shared" si="235"/>
        <v>0</v>
      </c>
      <c r="Y2820" s="179"/>
      <c r="Z2820" s="466">
        <f t="shared" si="236"/>
        <v>0</v>
      </c>
      <c r="AA2820" s="473">
        <f t="shared" si="237"/>
        <v>0</v>
      </c>
      <c r="AB2820" s="339">
        <f t="shared" si="238"/>
        <v>0</v>
      </c>
    </row>
    <row r="2821" spans="2:28" ht="20.100000000000001" customHeight="1">
      <c r="B2821" s="172"/>
      <c r="C2821" s="174"/>
      <c r="D2821" s="181"/>
      <c r="E2821" s="173"/>
      <c r="F2821" s="176"/>
      <c r="G2821" s="175">
        <f t="shared" si="240"/>
        <v>0</v>
      </c>
      <c r="H2821" s="175">
        <f t="shared" si="233"/>
        <v>0</v>
      </c>
      <c r="I2821" s="177">
        <f>IF(G2821=0,0,IF(E2821="MXN",1/HLOOKUP(YEAR(C2821)+(MONTH(C2821)/100),TC!$5:$37,DAY(C2821)+2,FALSE),VLOOKUP(E2821,Equivalencia!$5:$23,((MAX(Equivalencia!$3:$3)-YEAR(C2821))*14)+MONTH(C2821)+2,FALSE)))</f>
        <v>0</v>
      </c>
      <c r="J2821" s="178">
        <f t="shared" si="241"/>
        <v>0</v>
      </c>
      <c r="K2821" s="462">
        <f>IF(C2821=0,0,VLOOKUP(YEAR(C2821),INPC!$B$4:$O$29,MONTH(C2821)+1))</f>
        <v>0</v>
      </c>
      <c r="L2821" s="462">
        <f>IF(S2821=0,0,VLOOKUP(YEAR(S2821),INPC!$B$4:$O$29,MONTH(S2821)+1))</f>
        <v>0</v>
      </c>
      <c r="M2821" s="463">
        <f t="shared" si="234"/>
        <v>0</v>
      </c>
      <c r="N2821" s="465">
        <f t="shared" si="242"/>
        <v>0</v>
      </c>
      <c r="O2821" s="179"/>
      <c r="P2821" s="180"/>
      <c r="Q2821" s="173"/>
      <c r="R2821" s="173"/>
      <c r="S2821" s="174"/>
      <c r="T2821" s="173"/>
      <c r="U2821" s="182"/>
      <c r="V2821" s="177">
        <f>IF(U2821=0,0,IF(T2821="MXN",1/HLOOKUP(YEAR(S2821)+(MONTH(S2821)/100),TC!$5:$37,DAY(S2821)+2,FALSE),VLOOKUP(T2821,Equivalencia!$1:$23,((MAX(Equivalencia!$3:$3)-YEAR(S2821))*14)+MONTH(S2821)+2,FALSE)))</f>
        <v>0</v>
      </c>
      <c r="W2821" s="178">
        <f t="shared" si="239"/>
        <v>0</v>
      </c>
      <c r="X2821" s="481">
        <f t="shared" si="235"/>
        <v>0</v>
      </c>
      <c r="Y2821" s="179"/>
      <c r="Z2821" s="466">
        <f t="shared" si="236"/>
        <v>0</v>
      </c>
      <c r="AA2821" s="473">
        <f t="shared" si="237"/>
        <v>0</v>
      </c>
      <c r="AB2821" s="339">
        <f t="shared" si="238"/>
        <v>0</v>
      </c>
    </row>
    <row r="2822" spans="2:28" ht="20.100000000000001" customHeight="1">
      <c r="B2822" s="172"/>
      <c r="C2822" s="174"/>
      <c r="D2822" s="181"/>
      <c r="E2822" s="173"/>
      <c r="F2822" s="176"/>
      <c r="G2822" s="175">
        <f t="shared" si="240"/>
        <v>0</v>
      </c>
      <c r="H2822" s="175">
        <f t="shared" si="233"/>
        <v>0</v>
      </c>
      <c r="I2822" s="177">
        <f>IF(G2822=0,0,IF(E2822="MXN",1/HLOOKUP(YEAR(C2822)+(MONTH(C2822)/100),TC!$5:$37,DAY(C2822)+2,FALSE),VLOOKUP(E2822,Equivalencia!$5:$23,((MAX(Equivalencia!$3:$3)-YEAR(C2822))*14)+MONTH(C2822)+2,FALSE)))</f>
        <v>0</v>
      </c>
      <c r="J2822" s="178">
        <f t="shared" si="241"/>
        <v>0</v>
      </c>
      <c r="K2822" s="462">
        <f>IF(C2822=0,0,VLOOKUP(YEAR(C2822),INPC!$B$4:$O$29,MONTH(C2822)+1))</f>
        <v>0</v>
      </c>
      <c r="L2822" s="462">
        <f>IF(S2822=0,0,VLOOKUP(YEAR(S2822),INPC!$B$4:$O$29,MONTH(S2822)+1))</f>
        <v>0</v>
      </c>
      <c r="M2822" s="463">
        <f t="shared" si="234"/>
        <v>0</v>
      </c>
      <c r="N2822" s="465">
        <f t="shared" si="242"/>
        <v>0</v>
      </c>
      <c r="O2822" s="179"/>
      <c r="P2822" s="180"/>
      <c r="Q2822" s="173"/>
      <c r="R2822" s="173"/>
      <c r="S2822" s="174"/>
      <c r="T2822" s="173"/>
      <c r="U2822" s="182"/>
      <c r="V2822" s="177">
        <f>IF(U2822=0,0,IF(T2822="MXN",1/HLOOKUP(YEAR(S2822)+(MONTH(S2822)/100),TC!$5:$37,DAY(S2822)+2,FALSE),VLOOKUP(T2822,Equivalencia!$1:$23,((MAX(Equivalencia!$3:$3)-YEAR(S2822))*14)+MONTH(S2822)+2,FALSE)))</f>
        <v>0</v>
      </c>
      <c r="W2822" s="178">
        <f t="shared" si="239"/>
        <v>0</v>
      </c>
      <c r="X2822" s="481">
        <f t="shared" si="235"/>
        <v>0</v>
      </c>
      <c r="Y2822" s="179"/>
      <c r="Z2822" s="466">
        <f t="shared" si="236"/>
        <v>0</v>
      </c>
      <c r="AA2822" s="473">
        <f t="shared" si="237"/>
        <v>0</v>
      </c>
      <c r="AB2822" s="339">
        <f t="shared" si="238"/>
        <v>0</v>
      </c>
    </row>
    <row r="2823" spans="2:28" ht="20.100000000000001" customHeight="1">
      <c r="B2823" s="172"/>
      <c r="C2823" s="174"/>
      <c r="D2823" s="181"/>
      <c r="E2823" s="173"/>
      <c r="F2823" s="176"/>
      <c r="G2823" s="175">
        <f t="shared" si="240"/>
        <v>0</v>
      </c>
      <c r="H2823" s="175">
        <f t="shared" si="233"/>
        <v>0</v>
      </c>
      <c r="I2823" s="177">
        <f>IF(G2823=0,0,IF(E2823="MXN",1/HLOOKUP(YEAR(C2823)+(MONTH(C2823)/100),TC!$5:$37,DAY(C2823)+2,FALSE),VLOOKUP(E2823,Equivalencia!$5:$23,((MAX(Equivalencia!$3:$3)-YEAR(C2823))*14)+MONTH(C2823)+2,FALSE)))</f>
        <v>0</v>
      </c>
      <c r="J2823" s="178">
        <f t="shared" si="241"/>
        <v>0</v>
      </c>
      <c r="K2823" s="462">
        <f>IF(C2823=0,0,VLOOKUP(YEAR(C2823),INPC!$B$4:$O$29,MONTH(C2823)+1))</f>
        <v>0</v>
      </c>
      <c r="L2823" s="462">
        <f>IF(S2823=0,0,VLOOKUP(YEAR(S2823),INPC!$B$4:$O$29,MONTH(S2823)+1))</f>
        <v>0</v>
      </c>
      <c r="M2823" s="463">
        <f t="shared" si="234"/>
        <v>0</v>
      </c>
      <c r="N2823" s="465">
        <f t="shared" si="242"/>
        <v>0</v>
      </c>
      <c r="O2823" s="179"/>
      <c r="P2823" s="180"/>
      <c r="Q2823" s="173"/>
      <c r="R2823" s="173"/>
      <c r="S2823" s="174"/>
      <c r="T2823" s="173"/>
      <c r="U2823" s="182"/>
      <c r="V2823" s="177">
        <f>IF(U2823=0,0,IF(T2823="MXN",1/HLOOKUP(YEAR(S2823)+(MONTH(S2823)/100),TC!$5:$37,DAY(S2823)+2,FALSE),VLOOKUP(T2823,Equivalencia!$1:$23,((MAX(Equivalencia!$3:$3)-YEAR(S2823))*14)+MONTH(S2823)+2,FALSE)))</f>
        <v>0</v>
      </c>
      <c r="W2823" s="178">
        <f t="shared" si="239"/>
        <v>0</v>
      </c>
      <c r="X2823" s="481">
        <f t="shared" si="235"/>
        <v>0</v>
      </c>
      <c r="Y2823" s="179"/>
      <c r="Z2823" s="466">
        <f t="shared" si="236"/>
        <v>0</v>
      </c>
      <c r="AA2823" s="473">
        <f t="shared" si="237"/>
        <v>0</v>
      </c>
      <c r="AB2823" s="339">
        <f t="shared" si="238"/>
        <v>0</v>
      </c>
    </row>
    <row r="2824" spans="2:28" ht="20.100000000000001" customHeight="1">
      <c r="B2824" s="172"/>
      <c r="C2824" s="174"/>
      <c r="D2824" s="181"/>
      <c r="E2824" s="173"/>
      <c r="F2824" s="176"/>
      <c r="G2824" s="175">
        <f t="shared" si="240"/>
        <v>0</v>
      </c>
      <c r="H2824" s="175">
        <f t="shared" si="233"/>
        <v>0</v>
      </c>
      <c r="I2824" s="177">
        <f>IF(G2824=0,0,IF(E2824="MXN",1/HLOOKUP(YEAR(C2824)+(MONTH(C2824)/100),TC!$5:$37,DAY(C2824)+2,FALSE),VLOOKUP(E2824,Equivalencia!$5:$23,((MAX(Equivalencia!$3:$3)-YEAR(C2824))*14)+MONTH(C2824)+2,FALSE)))</f>
        <v>0</v>
      </c>
      <c r="J2824" s="178">
        <f t="shared" si="241"/>
        <v>0</v>
      </c>
      <c r="K2824" s="462">
        <f>IF(C2824=0,0,VLOOKUP(YEAR(C2824),INPC!$B$4:$O$29,MONTH(C2824)+1))</f>
        <v>0</v>
      </c>
      <c r="L2824" s="462">
        <f>IF(S2824=0,0,VLOOKUP(YEAR(S2824),INPC!$B$4:$O$29,MONTH(S2824)+1))</f>
        <v>0</v>
      </c>
      <c r="M2824" s="463">
        <f t="shared" si="234"/>
        <v>0</v>
      </c>
      <c r="N2824" s="465">
        <f t="shared" si="242"/>
        <v>0</v>
      </c>
      <c r="O2824" s="179"/>
      <c r="P2824" s="180"/>
      <c r="Q2824" s="173"/>
      <c r="R2824" s="173"/>
      <c r="S2824" s="174"/>
      <c r="T2824" s="173"/>
      <c r="U2824" s="182"/>
      <c r="V2824" s="177">
        <f>IF(U2824=0,0,IF(T2824="MXN",1/HLOOKUP(YEAR(S2824)+(MONTH(S2824)/100),TC!$5:$37,DAY(S2824)+2,FALSE),VLOOKUP(T2824,Equivalencia!$1:$23,((MAX(Equivalencia!$3:$3)-YEAR(S2824))*14)+MONTH(S2824)+2,FALSE)))</f>
        <v>0</v>
      </c>
      <c r="W2824" s="178">
        <f t="shared" si="239"/>
        <v>0</v>
      </c>
      <c r="X2824" s="481">
        <f t="shared" si="235"/>
        <v>0</v>
      </c>
      <c r="Y2824" s="179"/>
      <c r="Z2824" s="466">
        <f t="shared" si="236"/>
        <v>0</v>
      </c>
      <c r="AA2824" s="473">
        <f t="shared" si="237"/>
        <v>0</v>
      </c>
      <c r="AB2824" s="339">
        <f t="shared" si="238"/>
        <v>0</v>
      </c>
    </row>
    <row r="2825" spans="2:28" ht="20.100000000000001" customHeight="1">
      <c r="B2825" s="172"/>
      <c r="C2825" s="174"/>
      <c r="D2825" s="181"/>
      <c r="E2825" s="173"/>
      <c r="F2825" s="176"/>
      <c r="G2825" s="175">
        <f t="shared" si="240"/>
        <v>0</v>
      </c>
      <c r="H2825" s="175">
        <f t="shared" si="233"/>
        <v>0</v>
      </c>
      <c r="I2825" s="177">
        <f>IF(G2825=0,0,IF(E2825="MXN",1/HLOOKUP(YEAR(C2825)+(MONTH(C2825)/100),TC!$5:$37,DAY(C2825)+2,FALSE),VLOOKUP(E2825,Equivalencia!$5:$23,((MAX(Equivalencia!$3:$3)-YEAR(C2825))*14)+MONTH(C2825)+2,FALSE)))</f>
        <v>0</v>
      </c>
      <c r="J2825" s="178">
        <f t="shared" si="241"/>
        <v>0</v>
      </c>
      <c r="K2825" s="462">
        <f>IF(C2825=0,0,VLOOKUP(YEAR(C2825),INPC!$B$4:$O$29,MONTH(C2825)+1))</f>
        <v>0</v>
      </c>
      <c r="L2825" s="462">
        <f>IF(S2825=0,0,VLOOKUP(YEAR(S2825),INPC!$B$4:$O$29,MONTH(S2825)+1))</f>
        <v>0</v>
      </c>
      <c r="M2825" s="463">
        <f t="shared" si="234"/>
        <v>0</v>
      </c>
      <c r="N2825" s="465">
        <f t="shared" si="242"/>
        <v>0</v>
      </c>
      <c r="O2825" s="179"/>
      <c r="P2825" s="180"/>
      <c r="Q2825" s="173"/>
      <c r="R2825" s="173"/>
      <c r="S2825" s="174"/>
      <c r="T2825" s="173"/>
      <c r="U2825" s="182"/>
      <c r="V2825" s="177">
        <f>IF(U2825=0,0,IF(T2825="MXN",1/HLOOKUP(YEAR(S2825)+(MONTH(S2825)/100),TC!$5:$37,DAY(S2825)+2,FALSE),VLOOKUP(T2825,Equivalencia!$1:$23,((MAX(Equivalencia!$3:$3)-YEAR(S2825))*14)+MONTH(S2825)+2,FALSE)))</f>
        <v>0</v>
      </c>
      <c r="W2825" s="178">
        <f t="shared" si="239"/>
        <v>0</v>
      </c>
      <c r="X2825" s="481">
        <f t="shared" si="235"/>
        <v>0</v>
      </c>
      <c r="Y2825" s="179"/>
      <c r="Z2825" s="466">
        <f t="shared" si="236"/>
        <v>0</v>
      </c>
      <c r="AA2825" s="473">
        <f t="shared" si="237"/>
        <v>0</v>
      </c>
      <c r="AB2825" s="339">
        <f t="shared" si="238"/>
        <v>0</v>
      </c>
    </row>
    <row r="2826" spans="2:28" ht="20.100000000000001" customHeight="1">
      <c r="B2826" s="172"/>
      <c r="C2826" s="174"/>
      <c r="D2826" s="181"/>
      <c r="E2826" s="173"/>
      <c r="F2826" s="176"/>
      <c r="G2826" s="175">
        <f t="shared" si="240"/>
        <v>0</v>
      </c>
      <c r="H2826" s="175">
        <f t="shared" si="233"/>
        <v>0</v>
      </c>
      <c r="I2826" s="177">
        <f>IF(G2826=0,0,IF(E2826="MXN",1/HLOOKUP(YEAR(C2826)+(MONTH(C2826)/100),TC!$5:$37,DAY(C2826)+2,FALSE),VLOOKUP(E2826,Equivalencia!$5:$23,((MAX(Equivalencia!$3:$3)-YEAR(C2826))*14)+MONTH(C2826)+2,FALSE)))</f>
        <v>0</v>
      </c>
      <c r="J2826" s="178">
        <f t="shared" si="241"/>
        <v>0</v>
      </c>
      <c r="K2826" s="462">
        <f>IF(C2826=0,0,VLOOKUP(YEAR(C2826),INPC!$B$4:$O$29,MONTH(C2826)+1))</f>
        <v>0</v>
      </c>
      <c r="L2826" s="462">
        <f>IF(S2826=0,0,VLOOKUP(YEAR(S2826),INPC!$B$4:$O$29,MONTH(S2826)+1))</f>
        <v>0</v>
      </c>
      <c r="M2826" s="463">
        <f t="shared" si="234"/>
        <v>0</v>
      </c>
      <c r="N2826" s="465">
        <f t="shared" si="242"/>
        <v>0</v>
      </c>
      <c r="O2826" s="179"/>
      <c r="P2826" s="180"/>
      <c r="Q2826" s="173"/>
      <c r="R2826" s="173"/>
      <c r="S2826" s="174"/>
      <c r="T2826" s="173"/>
      <c r="U2826" s="182"/>
      <c r="V2826" s="177">
        <f>IF(U2826=0,0,IF(T2826="MXN",1/HLOOKUP(YEAR(S2826)+(MONTH(S2826)/100),TC!$5:$37,DAY(S2826)+2,FALSE),VLOOKUP(T2826,Equivalencia!$1:$23,((MAX(Equivalencia!$3:$3)-YEAR(S2826))*14)+MONTH(S2826)+2,FALSE)))</f>
        <v>0</v>
      </c>
      <c r="W2826" s="178">
        <f t="shared" si="239"/>
        <v>0</v>
      </c>
      <c r="X2826" s="481">
        <f t="shared" si="235"/>
        <v>0</v>
      </c>
      <c r="Y2826" s="179"/>
      <c r="Z2826" s="466">
        <f t="shared" si="236"/>
        <v>0</v>
      </c>
      <c r="AA2826" s="473">
        <f t="shared" si="237"/>
        <v>0</v>
      </c>
      <c r="AB2826" s="339">
        <f t="shared" si="238"/>
        <v>0</v>
      </c>
    </row>
    <row r="2827" spans="2:28" ht="20.100000000000001" customHeight="1">
      <c r="B2827" s="172"/>
      <c r="C2827" s="174"/>
      <c r="D2827" s="181"/>
      <c r="E2827" s="173"/>
      <c r="F2827" s="176"/>
      <c r="G2827" s="175">
        <f t="shared" si="240"/>
        <v>0</v>
      </c>
      <c r="H2827" s="175">
        <f t="shared" si="233"/>
        <v>0</v>
      </c>
      <c r="I2827" s="177">
        <f>IF(G2827=0,0,IF(E2827="MXN",1/HLOOKUP(YEAR(C2827)+(MONTH(C2827)/100),TC!$5:$37,DAY(C2827)+2,FALSE),VLOOKUP(E2827,Equivalencia!$5:$23,((MAX(Equivalencia!$3:$3)-YEAR(C2827))*14)+MONTH(C2827)+2,FALSE)))</f>
        <v>0</v>
      </c>
      <c r="J2827" s="178">
        <f t="shared" si="241"/>
        <v>0</v>
      </c>
      <c r="K2827" s="462">
        <f>IF(C2827=0,0,VLOOKUP(YEAR(C2827),INPC!$B$4:$O$29,MONTH(C2827)+1))</f>
        <v>0</v>
      </c>
      <c r="L2827" s="462">
        <f>IF(S2827=0,0,VLOOKUP(YEAR(S2827),INPC!$B$4:$O$29,MONTH(S2827)+1))</f>
        <v>0</v>
      </c>
      <c r="M2827" s="463">
        <f t="shared" si="234"/>
        <v>0</v>
      </c>
      <c r="N2827" s="465">
        <f t="shared" si="242"/>
        <v>0</v>
      </c>
      <c r="O2827" s="179"/>
      <c r="P2827" s="180"/>
      <c r="Q2827" s="173"/>
      <c r="R2827" s="173"/>
      <c r="S2827" s="174"/>
      <c r="T2827" s="173"/>
      <c r="U2827" s="182"/>
      <c r="V2827" s="177">
        <f>IF(U2827=0,0,IF(T2827="MXN",1/HLOOKUP(YEAR(S2827)+(MONTH(S2827)/100),TC!$5:$37,DAY(S2827)+2,FALSE),VLOOKUP(T2827,Equivalencia!$1:$23,((MAX(Equivalencia!$3:$3)-YEAR(S2827))*14)+MONTH(S2827)+2,FALSE)))</f>
        <v>0</v>
      </c>
      <c r="W2827" s="178">
        <f t="shared" si="239"/>
        <v>0</v>
      </c>
      <c r="X2827" s="481">
        <f t="shared" si="235"/>
        <v>0</v>
      </c>
      <c r="Y2827" s="179"/>
      <c r="Z2827" s="466">
        <f t="shared" si="236"/>
        <v>0</v>
      </c>
      <c r="AA2827" s="473">
        <f t="shared" si="237"/>
        <v>0</v>
      </c>
      <c r="AB2827" s="339">
        <f t="shared" si="238"/>
        <v>0</v>
      </c>
    </row>
    <row r="2828" spans="2:28" ht="20.100000000000001" customHeight="1">
      <c r="B2828" s="172"/>
      <c r="C2828" s="174"/>
      <c r="D2828" s="181"/>
      <c r="E2828" s="173"/>
      <c r="F2828" s="176"/>
      <c r="G2828" s="175">
        <f t="shared" si="240"/>
        <v>0</v>
      </c>
      <c r="H2828" s="175">
        <f t="shared" si="233"/>
        <v>0</v>
      </c>
      <c r="I2828" s="177">
        <f>IF(G2828=0,0,IF(E2828="MXN",1/HLOOKUP(YEAR(C2828)+(MONTH(C2828)/100),TC!$5:$37,DAY(C2828)+2,FALSE),VLOOKUP(E2828,Equivalencia!$5:$23,((MAX(Equivalencia!$3:$3)-YEAR(C2828))*14)+MONTH(C2828)+2,FALSE)))</f>
        <v>0</v>
      </c>
      <c r="J2828" s="178">
        <f t="shared" si="241"/>
        <v>0</v>
      </c>
      <c r="K2828" s="462">
        <f>IF(C2828=0,0,VLOOKUP(YEAR(C2828),INPC!$B$4:$O$29,MONTH(C2828)+1))</f>
        <v>0</v>
      </c>
      <c r="L2828" s="462">
        <f>IF(S2828=0,0,VLOOKUP(YEAR(S2828),INPC!$B$4:$O$29,MONTH(S2828)+1))</f>
        <v>0</v>
      </c>
      <c r="M2828" s="463">
        <f t="shared" si="234"/>
        <v>0</v>
      </c>
      <c r="N2828" s="465">
        <f t="shared" si="242"/>
        <v>0</v>
      </c>
      <c r="O2828" s="179"/>
      <c r="P2828" s="180"/>
      <c r="Q2828" s="173"/>
      <c r="R2828" s="173"/>
      <c r="S2828" s="174"/>
      <c r="T2828" s="173"/>
      <c r="U2828" s="182"/>
      <c r="V2828" s="177">
        <f>IF(U2828=0,0,IF(T2828="MXN",1/HLOOKUP(YEAR(S2828)+(MONTH(S2828)/100),TC!$5:$37,DAY(S2828)+2,FALSE),VLOOKUP(T2828,Equivalencia!$1:$23,((MAX(Equivalencia!$3:$3)-YEAR(S2828))*14)+MONTH(S2828)+2,FALSE)))</f>
        <v>0</v>
      </c>
      <c r="W2828" s="178">
        <f t="shared" si="239"/>
        <v>0</v>
      </c>
      <c r="X2828" s="481">
        <f t="shared" si="235"/>
        <v>0</v>
      </c>
      <c r="Y2828" s="179"/>
      <c r="Z2828" s="466">
        <f t="shared" si="236"/>
        <v>0</v>
      </c>
      <c r="AA2828" s="473">
        <f t="shared" si="237"/>
        <v>0</v>
      </c>
      <c r="AB2828" s="339">
        <f t="shared" si="238"/>
        <v>0</v>
      </c>
    </row>
    <row r="2829" spans="2:28" ht="20.100000000000001" customHeight="1">
      <c r="B2829" s="172"/>
      <c r="C2829" s="174"/>
      <c r="D2829" s="181"/>
      <c r="E2829" s="173"/>
      <c r="F2829" s="176"/>
      <c r="G2829" s="175">
        <f t="shared" si="240"/>
        <v>0</v>
      </c>
      <c r="H2829" s="175">
        <f t="shared" si="233"/>
        <v>0</v>
      </c>
      <c r="I2829" s="177">
        <f>IF(G2829=0,0,IF(E2829="MXN",1/HLOOKUP(YEAR(C2829)+(MONTH(C2829)/100),TC!$5:$37,DAY(C2829)+2,FALSE),VLOOKUP(E2829,Equivalencia!$5:$23,((MAX(Equivalencia!$3:$3)-YEAR(C2829))*14)+MONTH(C2829)+2,FALSE)))</f>
        <v>0</v>
      </c>
      <c r="J2829" s="178">
        <f t="shared" si="241"/>
        <v>0</v>
      </c>
      <c r="K2829" s="462">
        <f>IF(C2829=0,0,VLOOKUP(YEAR(C2829),INPC!$B$4:$O$29,MONTH(C2829)+1))</f>
        <v>0</v>
      </c>
      <c r="L2829" s="462">
        <f>IF(S2829=0,0,VLOOKUP(YEAR(S2829),INPC!$B$4:$O$29,MONTH(S2829)+1))</f>
        <v>0</v>
      </c>
      <c r="M2829" s="463">
        <f t="shared" si="234"/>
        <v>0</v>
      </c>
      <c r="N2829" s="465">
        <f t="shared" si="242"/>
        <v>0</v>
      </c>
      <c r="O2829" s="179"/>
      <c r="P2829" s="180"/>
      <c r="Q2829" s="173"/>
      <c r="R2829" s="173"/>
      <c r="S2829" s="174"/>
      <c r="T2829" s="173"/>
      <c r="U2829" s="182"/>
      <c r="V2829" s="177">
        <f>IF(U2829=0,0,IF(T2829="MXN",1/HLOOKUP(YEAR(S2829)+(MONTH(S2829)/100),TC!$5:$37,DAY(S2829)+2,FALSE),VLOOKUP(T2829,Equivalencia!$1:$23,((MAX(Equivalencia!$3:$3)-YEAR(S2829))*14)+MONTH(S2829)+2,FALSE)))</f>
        <v>0</v>
      </c>
      <c r="W2829" s="178">
        <f t="shared" si="239"/>
        <v>0</v>
      </c>
      <c r="X2829" s="481">
        <f t="shared" si="235"/>
        <v>0</v>
      </c>
      <c r="Y2829" s="179"/>
      <c r="Z2829" s="466">
        <f t="shared" si="236"/>
        <v>0</v>
      </c>
      <c r="AA2829" s="473">
        <f t="shared" si="237"/>
        <v>0</v>
      </c>
      <c r="AB2829" s="339">
        <f t="shared" si="238"/>
        <v>0</v>
      </c>
    </row>
    <row r="2830" spans="2:28" ht="20.100000000000001" customHeight="1">
      <c r="B2830" s="172"/>
      <c r="C2830" s="174"/>
      <c r="D2830" s="181"/>
      <c r="E2830" s="173"/>
      <c r="F2830" s="176"/>
      <c r="G2830" s="175">
        <f t="shared" si="240"/>
        <v>0</v>
      </c>
      <c r="H2830" s="175">
        <f t="shared" si="233"/>
        <v>0</v>
      </c>
      <c r="I2830" s="177">
        <f>IF(G2830=0,0,IF(E2830="MXN",1/HLOOKUP(YEAR(C2830)+(MONTH(C2830)/100),TC!$5:$37,DAY(C2830)+2,FALSE),VLOOKUP(E2830,Equivalencia!$5:$23,((MAX(Equivalencia!$3:$3)-YEAR(C2830))*14)+MONTH(C2830)+2,FALSE)))</f>
        <v>0</v>
      </c>
      <c r="J2830" s="178">
        <f t="shared" si="241"/>
        <v>0</v>
      </c>
      <c r="K2830" s="462">
        <f>IF(C2830=0,0,VLOOKUP(YEAR(C2830),INPC!$B$4:$O$29,MONTH(C2830)+1))</f>
        <v>0</v>
      </c>
      <c r="L2830" s="462">
        <f>IF(S2830=0,0,VLOOKUP(YEAR(S2830),INPC!$B$4:$O$29,MONTH(S2830)+1))</f>
        <v>0</v>
      </c>
      <c r="M2830" s="463">
        <f t="shared" si="234"/>
        <v>0</v>
      </c>
      <c r="N2830" s="465">
        <f t="shared" si="242"/>
        <v>0</v>
      </c>
      <c r="O2830" s="179"/>
      <c r="P2830" s="180"/>
      <c r="Q2830" s="173"/>
      <c r="R2830" s="173"/>
      <c r="S2830" s="174"/>
      <c r="T2830" s="173"/>
      <c r="U2830" s="182"/>
      <c r="V2830" s="177">
        <f>IF(U2830=0,0,IF(T2830="MXN",1/HLOOKUP(YEAR(S2830)+(MONTH(S2830)/100),TC!$5:$37,DAY(S2830)+2,FALSE),VLOOKUP(T2830,Equivalencia!$1:$23,((MAX(Equivalencia!$3:$3)-YEAR(S2830))*14)+MONTH(S2830)+2,FALSE)))</f>
        <v>0</v>
      </c>
      <c r="W2830" s="178">
        <f t="shared" si="239"/>
        <v>0</v>
      </c>
      <c r="X2830" s="481">
        <f t="shared" si="235"/>
        <v>0</v>
      </c>
      <c r="Y2830" s="179"/>
      <c r="Z2830" s="466">
        <f t="shared" si="236"/>
        <v>0</v>
      </c>
      <c r="AA2830" s="473">
        <f t="shared" si="237"/>
        <v>0</v>
      </c>
      <c r="AB2830" s="339">
        <f t="shared" si="238"/>
        <v>0</v>
      </c>
    </row>
    <row r="2831" spans="2:28" ht="20.100000000000001" customHeight="1">
      <c r="B2831" s="172"/>
      <c r="C2831" s="174"/>
      <c r="D2831" s="181"/>
      <c r="E2831" s="173"/>
      <c r="F2831" s="176"/>
      <c r="G2831" s="175">
        <f t="shared" si="240"/>
        <v>0</v>
      </c>
      <c r="H2831" s="175">
        <f t="shared" si="233"/>
        <v>0</v>
      </c>
      <c r="I2831" s="177">
        <f>IF(G2831=0,0,IF(E2831="MXN",1/HLOOKUP(YEAR(C2831)+(MONTH(C2831)/100),TC!$5:$37,DAY(C2831)+2,FALSE),VLOOKUP(E2831,Equivalencia!$5:$23,((MAX(Equivalencia!$3:$3)-YEAR(C2831))*14)+MONTH(C2831)+2,FALSE)))</f>
        <v>0</v>
      </c>
      <c r="J2831" s="178">
        <f t="shared" si="241"/>
        <v>0</v>
      </c>
      <c r="K2831" s="462">
        <f>IF(C2831=0,0,VLOOKUP(YEAR(C2831),INPC!$B$4:$O$29,MONTH(C2831)+1))</f>
        <v>0</v>
      </c>
      <c r="L2831" s="462">
        <f>IF(S2831=0,0,VLOOKUP(YEAR(S2831),INPC!$B$4:$O$29,MONTH(S2831)+1))</f>
        <v>0</v>
      </c>
      <c r="M2831" s="463">
        <f t="shared" si="234"/>
        <v>0</v>
      </c>
      <c r="N2831" s="465">
        <f t="shared" si="242"/>
        <v>0</v>
      </c>
      <c r="O2831" s="179"/>
      <c r="P2831" s="180"/>
      <c r="Q2831" s="173"/>
      <c r="R2831" s="173"/>
      <c r="S2831" s="174"/>
      <c r="T2831" s="173"/>
      <c r="U2831" s="182"/>
      <c r="V2831" s="177">
        <f>IF(U2831=0,0,IF(T2831="MXN",1/HLOOKUP(YEAR(S2831)+(MONTH(S2831)/100),TC!$5:$37,DAY(S2831)+2,FALSE),VLOOKUP(T2831,Equivalencia!$1:$23,((MAX(Equivalencia!$3:$3)-YEAR(S2831))*14)+MONTH(S2831)+2,FALSE)))</f>
        <v>0</v>
      </c>
      <c r="W2831" s="178">
        <f t="shared" si="239"/>
        <v>0</v>
      </c>
      <c r="X2831" s="481">
        <f t="shared" si="235"/>
        <v>0</v>
      </c>
      <c r="Y2831" s="179"/>
      <c r="Z2831" s="466">
        <f t="shared" si="236"/>
        <v>0</v>
      </c>
      <c r="AA2831" s="473">
        <f t="shared" si="237"/>
        <v>0</v>
      </c>
      <c r="AB2831" s="339">
        <f t="shared" si="238"/>
        <v>0</v>
      </c>
    </row>
    <row r="2832" spans="2:28" ht="20.100000000000001" customHeight="1">
      <c r="B2832" s="172"/>
      <c r="C2832" s="174"/>
      <c r="D2832" s="181"/>
      <c r="E2832" s="173"/>
      <c r="F2832" s="176"/>
      <c r="G2832" s="175">
        <f t="shared" si="240"/>
        <v>0</v>
      </c>
      <c r="H2832" s="175">
        <f t="shared" si="233"/>
        <v>0</v>
      </c>
      <c r="I2832" s="177">
        <f>IF(G2832=0,0,IF(E2832="MXN",1/HLOOKUP(YEAR(C2832)+(MONTH(C2832)/100),TC!$5:$37,DAY(C2832)+2,FALSE),VLOOKUP(E2832,Equivalencia!$5:$23,((MAX(Equivalencia!$3:$3)-YEAR(C2832))*14)+MONTH(C2832)+2,FALSE)))</f>
        <v>0</v>
      </c>
      <c r="J2832" s="178">
        <f t="shared" si="241"/>
        <v>0</v>
      </c>
      <c r="K2832" s="462">
        <f>IF(C2832=0,0,VLOOKUP(YEAR(C2832),INPC!$B$4:$O$29,MONTH(C2832)+1))</f>
        <v>0</v>
      </c>
      <c r="L2832" s="462">
        <f>IF(S2832=0,0,VLOOKUP(YEAR(S2832),INPC!$B$4:$O$29,MONTH(S2832)+1))</f>
        <v>0</v>
      </c>
      <c r="M2832" s="463">
        <f t="shared" si="234"/>
        <v>0</v>
      </c>
      <c r="N2832" s="465">
        <f t="shared" si="242"/>
        <v>0</v>
      </c>
      <c r="O2832" s="179"/>
      <c r="P2832" s="180"/>
      <c r="Q2832" s="173"/>
      <c r="R2832" s="173"/>
      <c r="S2832" s="174"/>
      <c r="T2832" s="173"/>
      <c r="U2832" s="182"/>
      <c r="V2832" s="177">
        <f>IF(U2832=0,0,IF(T2832="MXN",1/HLOOKUP(YEAR(S2832)+(MONTH(S2832)/100),TC!$5:$37,DAY(S2832)+2,FALSE),VLOOKUP(T2832,Equivalencia!$1:$23,((MAX(Equivalencia!$3:$3)-YEAR(S2832))*14)+MONTH(S2832)+2,FALSE)))</f>
        <v>0</v>
      </c>
      <c r="W2832" s="178">
        <f t="shared" si="239"/>
        <v>0</v>
      </c>
      <c r="X2832" s="481">
        <f t="shared" si="235"/>
        <v>0</v>
      </c>
      <c r="Y2832" s="179"/>
      <c r="Z2832" s="466">
        <f t="shared" si="236"/>
        <v>0</v>
      </c>
      <c r="AA2832" s="473">
        <f t="shared" si="237"/>
        <v>0</v>
      </c>
      <c r="AB2832" s="339">
        <f t="shared" si="238"/>
        <v>0</v>
      </c>
    </row>
    <row r="2833" spans="2:28" ht="20.100000000000001" customHeight="1">
      <c r="B2833" s="172"/>
      <c r="C2833" s="174"/>
      <c r="D2833" s="181"/>
      <c r="E2833" s="173"/>
      <c r="F2833" s="176"/>
      <c r="G2833" s="175">
        <f t="shared" si="240"/>
        <v>0</v>
      </c>
      <c r="H2833" s="175">
        <f t="shared" si="233"/>
        <v>0</v>
      </c>
      <c r="I2833" s="177">
        <f>IF(G2833=0,0,IF(E2833="MXN",1/HLOOKUP(YEAR(C2833)+(MONTH(C2833)/100),TC!$5:$37,DAY(C2833)+2,FALSE),VLOOKUP(E2833,Equivalencia!$5:$23,((MAX(Equivalencia!$3:$3)-YEAR(C2833))*14)+MONTH(C2833)+2,FALSE)))</f>
        <v>0</v>
      </c>
      <c r="J2833" s="178">
        <f t="shared" si="241"/>
        <v>0</v>
      </c>
      <c r="K2833" s="462">
        <f>IF(C2833=0,0,VLOOKUP(YEAR(C2833),INPC!$B$4:$O$29,MONTH(C2833)+1))</f>
        <v>0</v>
      </c>
      <c r="L2833" s="462">
        <f>IF(S2833=0,0,VLOOKUP(YEAR(S2833),INPC!$B$4:$O$29,MONTH(S2833)+1))</f>
        <v>0</v>
      </c>
      <c r="M2833" s="463">
        <f t="shared" si="234"/>
        <v>0</v>
      </c>
      <c r="N2833" s="465">
        <f t="shared" si="242"/>
        <v>0</v>
      </c>
      <c r="O2833" s="179"/>
      <c r="P2833" s="180"/>
      <c r="Q2833" s="173"/>
      <c r="R2833" s="173"/>
      <c r="S2833" s="174"/>
      <c r="T2833" s="173"/>
      <c r="U2833" s="182"/>
      <c r="V2833" s="177">
        <f>IF(U2833=0,0,IF(T2833="MXN",1/HLOOKUP(YEAR(S2833)+(MONTH(S2833)/100),TC!$5:$37,DAY(S2833)+2,FALSE),VLOOKUP(T2833,Equivalencia!$1:$23,((MAX(Equivalencia!$3:$3)-YEAR(S2833))*14)+MONTH(S2833)+2,FALSE)))</f>
        <v>0</v>
      </c>
      <c r="W2833" s="178">
        <f t="shared" si="239"/>
        <v>0</v>
      </c>
      <c r="X2833" s="481">
        <f t="shared" si="235"/>
        <v>0</v>
      </c>
      <c r="Y2833" s="179"/>
      <c r="Z2833" s="466">
        <f t="shared" si="236"/>
        <v>0</v>
      </c>
      <c r="AA2833" s="473">
        <f t="shared" si="237"/>
        <v>0</v>
      </c>
      <c r="AB2833" s="339">
        <f t="shared" si="238"/>
        <v>0</v>
      </c>
    </row>
    <row r="2834" spans="2:28" ht="20.100000000000001" customHeight="1">
      <c r="B2834" s="172"/>
      <c r="C2834" s="174"/>
      <c r="D2834" s="181"/>
      <c r="E2834" s="173"/>
      <c r="F2834" s="176"/>
      <c r="G2834" s="175">
        <f t="shared" si="240"/>
        <v>0</v>
      </c>
      <c r="H2834" s="175">
        <f t="shared" si="233"/>
        <v>0</v>
      </c>
      <c r="I2834" s="177">
        <f>IF(G2834=0,0,IF(E2834="MXN",1/HLOOKUP(YEAR(C2834)+(MONTH(C2834)/100),TC!$5:$37,DAY(C2834)+2,FALSE),VLOOKUP(E2834,Equivalencia!$5:$23,((MAX(Equivalencia!$3:$3)-YEAR(C2834))*14)+MONTH(C2834)+2,FALSE)))</f>
        <v>0</v>
      </c>
      <c r="J2834" s="178">
        <f t="shared" si="241"/>
        <v>0</v>
      </c>
      <c r="K2834" s="462">
        <f>IF(C2834=0,0,VLOOKUP(YEAR(C2834),INPC!$B$4:$O$29,MONTH(C2834)+1))</f>
        <v>0</v>
      </c>
      <c r="L2834" s="462">
        <f>IF(S2834=0,0,VLOOKUP(YEAR(S2834),INPC!$B$4:$O$29,MONTH(S2834)+1))</f>
        <v>0</v>
      </c>
      <c r="M2834" s="463">
        <f t="shared" si="234"/>
        <v>0</v>
      </c>
      <c r="N2834" s="465">
        <f t="shared" si="242"/>
        <v>0</v>
      </c>
      <c r="O2834" s="179"/>
      <c r="P2834" s="180"/>
      <c r="Q2834" s="173"/>
      <c r="R2834" s="173"/>
      <c r="S2834" s="174"/>
      <c r="T2834" s="173"/>
      <c r="U2834" s="182"/>
      <c r="V2834" s="177">
        <f>IF(U2834=0,0,IF(T2834="MXN",1/HLOOKUP(YEAR(S2834)+(MONTH(S2834)/100),TC!$5:$37,DAY(S2834)+2,FALSE),VLOOKUP(T2834,Equivalencia!$1:$23,((MAX(Equivalencia!$3:$3)-YEAR(S2834))*14)+MONTH(S2834)+2,FALSE)))</f>
        <v>0</v>
      </c>
      <c r="W2834" s="178">
        <f t="shared" si="239"/>
        <v>0</v>
      </c>
      <c r="X2834" s="481">
        <f t="shared" si="235"/>
        <v>0</v>
      </c>
      <c r="Y2834" s="179"/>
      <c r="Z2834" s="466">
        <f t="shared" si="236"/>
        <v>0</v>
      </c>
      <c r="AA2834" s="473">
        <f t="shared" si="237"/>
        <v>0</v>
      </c>
      <c r="AB2834" s="339">
        <f t="shared" si="238"/>
        <v>0</v>
      </c>
    </row>
    <row r="2835" spans="2:28" ht="20.100000000000001" customHeight="1">
      <c r="B2835" s="172"/>
      <c r="C2835" s="174"/>
      <c r="D2835" s="181"/>
      <c r="E2835" s="173"/>
      <c r="F2835" s="176"/>
      <c r="G2835" s="175">
        <f t="shared" si="240"/>
        <v>0</v>
      </c>
      <c r="H2835" s="175">
        <f t="shared" si="233"/>
        <v>0</v>
      </c>
      <c r="I2835" s="177">
        <f>IF(G2835=0,0,IF(E2835="MXN",1/HLOOKUP(YEAR(C2835)+(MONTH(C2835)/100),TC!$5:$37,DAY(C2835)+2,FALSE),VLOOKUP(E2835,Equivalencia!$5:$23,((MAX(Equivalencia!$3:$3)-YEAR(C2835))*14)+MONTH(C2835)+2,FALSE)))</f>
        <v>0</v>
      </c>
      <c r="J2835" s="178">
        <f t="shared" si="241"/>
        <v>0</v>
      </c>
      <c r="K2835" s="462">
        <f>IF(C2835=0,0,VLOOKUP(YEAR(C2835),INPC!$B$4:$O$29,MONTH(C2835)+1))</f>
        <v>0</v>
      </c>
      <c r="L2835" s="462">
        <f>IF(S2835=0,0,VLOOKUP(YEAR(S2835),INPC!$B$4:$O$29,MONTH(S2835)+1))</f>
        <v>0</v>
      </c>
      <c r="M2835" s="463">
        <f t="shared" si="234"/>
        <v>0</v>
      </c>
      <c r="N2835" s="465">
        <f t="shared" si="242"/>
        <v>0</v>
      </c>
      <c r="O2835" s="179"/>
      <c r="P2835" s="180"/>
      <c r="Q2835" s="173"/>
      <c r="R2835" s="173"/>
      <c r="S2835" s="174"/>
      <c r="T2835" s="173"/>
      <c r="U2835" s="182"/>
      <c r="V2835" s="177">
        <f>IF(U2835=0,0,IF(T2835="MXN",1/HLOOKUP(YEAR(S2835)+(MONTH(S2835)/100),TC!$5:$37,DAY(S2835)+2,FALSE),VLOOKUP(T2835,Equivalencia!$1:$23,((MAX(Equivalencia!$3:$3)-YEAR(S2835))*14)+MONTH(S2835)+2,FALSE)))</f>
        <v>0</v>
      </c>
      <c r="W2835" s="178">
        <f t="shared" si="239"/>
        <v>0</v>
      </c>
      <c r="X2835" s="481">
        <f t="shared" si="235"/>
        <v>0</v>
      </c>
      <c r="Y2835" s="179"/>
      <c r="Z2835" s="466">
        <f t="shared" si="236"/>
        <v>0</v>
      </c>
      <c r="AA2835" s="473">
        <f t="shared" si="237"/>
        <v>0</v>
      </c>
      <c r="AB2835" s="339">
        <f t="shared" si="238"/>
        <v>0</v>
      </c>
    </row>
    <row r="2836" spans="2:28" ht="20.100000000000001" customHeight="1">
      <c r="B2836" s="172"/>
      <c r="C2836" s="174"/>
      <c r="D2836" s="181"/>
      <c r="E2836" s="173"/>
      <c r="F2836" s="176"/>
      <c r="G2836" s="175">
        <f t="shared" si="240"/>
        <v>0</v>
      </c>
      <c r="H2836" s="175">
        <f t="shared" si="233"/>
        <v>0</v>
      </c>
      <c r="I2836" s="177">
        <f>IF(G2836=0,0,IF(E2836="MXN",1/HLOOKUP(YEAR(C2836)+(MONTH(C2836)/100),TC!$5:$37,DAY(C2836)+2,FALSE),VLOOKUP(E2836,Equivalencia!$5:$23,((MAX(Equivalencia!$3:$3)-YEAR(C2836))*14)+MONTH(C2836)+2,FALSE)))</f>
        <v>0</v>
      </c>
      <c r="J2836" s="178">
        <f t="shared" si="241"/>
        <v>0</v>
      </c>
      <c r="K2836" s="462">
        <f>IF(C2836=0,0,VLOOKUP(YEAR(C2836),INPC!$B$4:$O$29,MONTH(C2836)+1))</f>
        <v>0</v>
      </c>
      <c r="L2836" s="462">
        <f>IF(S2836=0,0,VLOOKUP(YEAR(S2836),INPC!$B$4:$O$29,MONTH(S2836)+1))</f>
        <v>0</v>
      </c>
      <c r="M2836" s="463">
        <f t="shared" si="234"/>
        <v>0</v>
      </c>
      <c r="N2836" s="465">
        <f t="shared" si="242"/>
        <v>0</v>
      </c>
      <c r="O2836" s="179"/>
      <c r="P2836" s="180"/>
      <c r="Q2836" s="173"/>
      <c r="R2836" s="173"/>
      <c r="S2836" s="174"/>
      <c r="T2836" s="173"/>
      <c r="U2836" s="182"/>
      <c r="V2836" s="177">
        <f>IF(U2836=0,0,IF(T2836="MXN",1/HLOOKUP(YEAR(S2836)+(MONTH(S2836)/100),TC!$5:$37,DAY(S2836)+2,FALSE),VLOOKUP(T2836,Equivalencia!$1:$23,((MAX(Equivalencia!$3:$3)-YEAR(S2836))*14)+MONTH(S2836)+2,FALSE)))</f>
        <v>0</v>
      </c>
      <c r="W2836" s="178">
        <f t="shared" si="239"/>
        <v>0</v>
      </c>
      <c r="X2836" s="481">
        <f t="shared" si="235"/>
        <v>0</v>
      </c>
      <c r="Y2836" s="179"/>
      <c r="Z2836" s="466">
        <f t="shared" si="236"/>
        <v>0</v>
      </c>
      <c r="AA2836" s="473">
        <f t="shared" si="237"/>
        <v>0</v>
      </c>
      <c r="AB2836" s="339">
        <f t="shared" si="238"/>
        <v>0</v>
      </c>
    </row>
    <row r="2837" spans="2:28" ht="20.100000000000001" customHeight="1">
      <c r="B2837" s="172"/>
      <c r="C2837" s="174"/>
      <c r="D2837" s="181"/>
      <c r="E2837" s="173"/>
      <c r="F2837" s="176"/>
      <c r="G2837" s="175">
        <f t="shared" si="240"/>
        <v>0</v>
      </c>
      <c r="H2837" s="175">
        <f t="shared" si="233"/>
        <v>0</v>
      </c>
      <c r="I2837" s="177">
        <f>IF(G2837=0,0,IF(E2837="MXN",1/HLOOKUP(YEAR(C2837)+(MONTH(C2837)/100),TC!$5:$37,DAY(C2837)+2,FALSE),VLOOKUP(E2837,Equivalencia!$5:$23,((MAX(Equivalencia!$3:$3)-YEAR(C2837))*14)+MONTH(C2837)+2,FALSE)))</f>
        <v>0</v>
      </c>
      <c r="J2837" s="178">
        <f t="shared" si="241"/>
        <v>0</v>
      </c>
      <c r="K2837" s="462">
        <f>IF(C2837=0,0,VLOOKUP(YEAR(C2837),INPC!$B$4:$O$29,MONTH(C2837)+1))</f>
        <v>0</v>
      </c>
      <c r="L2837" s="462">
        <f>IF(S2837=0,0,VLOOKUP(YEAR(S2837),INPC!$B$4:$O$29,MONTH(S2837)+1))</f>
        <v>0</v>
      </c>
      <c r="M2837" s="463">
        <f t="shared" si="234"/>
        <v>0</v>
      </c>
      <c r="N2837" s="465">
        <f t="shared" si="242"/>
        <v>0</v>
      </c>
      <c r="O2837" s="179"/>
      <c r="P2837" s="180"/>
      <c r="Q2837" s="173"/>
      <c r="R2837" s="173"/>
      <c r="S2837" s="174"/>
      <c r="T2837" s="173"/>
      <c r="U2837" s="182"/>
      <c r="V2837" s="177">
        <f>IF(U2837=0,0,IF(T2837="MXN",1/HLOOKUP(YEAR(S2837)+(MONTH(S2837)/100),TC!$5:$37,DAY(S2837)+2,FALSE),VLOOKUP(T2837,Equivalencia!$1:$23,((MAX(Equivalencia!$3:$3)-YEAR(S2837))*14)+MONTH(S2837)+2,FALSE)))</f>
        <v>0</v>
      </c>
      <c r="W2837" s="178">
        <f t="shared" si="239"/>
        <v>0</v>
      </c>
      <c r="X2837" s="481">
        <f t="shared" si="235"/>
        <v>0</v>
      </c>
      <c r="Y2837" s="179"/>
      <c r="Z2837" s="466">
        <f t="shared" si="236"/>
        <v>0</v>
      </c>
      <c r="AA2837" s="473">
        <f t="shared" si="237"/>
        <v>0</v>
      </c>
      <c r="AB2837" s="339">
        <f t="shared" si="238"/>
        <v>0</v>
      </c>
    </row>
    <row r="2838" spans="2:28" ht="20.100000000000001" customHeight="1">
      <c r="B2838" s="172"/>
      <c r="C2838" s="174"/>
      <c r="D2838" s="181"/>
      <c r="E2838" s="173"/>
      <c r="F2838" s="176"/>
      <c r="G2838" s="175">
        <f t="shared" si="240"/>
        <v>0</v>
      </c>
      <c r="H2838" s="175">
        <f t="shared" si="233"/>
        <v>0</v>
      </c>
      <c r="I2838" s="177">
        <f>IF(G2838=0,0,IF(E2838="MXN",1/HLOOKUP(YEAR(C2838)+(MONTH(C2838)/100),TC!$5:$37,DAY(C2838)+2,FALSE),VLOOKUP(E2838,Equivalencia!$5:$23,((MAX(Equivalencia!$3:$3)-YEAR(C2838))*14)+MONTH(C2838)+2,FALSE)))</f>
        <v>0</v>
      </c>
      <c r="J2838" s="178">
        <f t="shared" si="241"/>
        <v>0</v>
      </c>
      <c r="K2838" s="462">
        <f>IF(C2838=0,0,VLOOKUP(YEAR(C2838),INPC!$B$4:$O$29,MONTH(C2838)+1))</f>
        <v>0</v>
      </c>
      <c r="L2838" s="462">
        <f>IF(S2838=0,0,VLOOKUP(YEAR(S2838),INPC!$B$4:$O$29,MONTH(S2838)+1))</f>
        <v>0</v>
      </c>
      <c r="M2838" s="463">
        <f t="shared" si="234"/>
        <v>0</v>
      </c>
      <c r="N2838" s="465">
        <f t="shared" si="242"/>
        <v>0</v>
      </c>
      <c r="O2838" s="179"/>
      <c r="P2838" s="180"/>
      <c r="Q2838" s="173"/>
      <c r="R2838" s="173"/>
      <c r="S2838" s="174"/>
      <c r="T2838" s="173"/>
      <c r="U2838" s="182"/>
      <c r="V2838" s="177">
        <f>IF(U2838=0,0,IF(T2838="MXN",1/HLOOKUP(YEAR(S2838)+(MONTH(S2838)/100),TC!$5:$37,DAY(S2838)+2,FALSE),VLOOKUP(T2838,Equivalencia!$1:$23,((MAX(Equivalencia!$3:$3)-YEAR(S2838))*14)+MONTH(S2838)+2,FALSE)))</f>
        <v>0</v>
      </c>
      <c r="W2838" s="178">
        <f t="shared" si="239"/>
        <v>0</v>
      </c>
      <c r="X2838" s="481">
        <f t="shared" si="235"/>
        <v>0</v>
      </c>
      <c r="Y2838" s="179"/>
      <c r="Z2838" s="466">
        <f t="shared" si="236"/>
        <v>0</v>
      </c>
      <c r="AA2838" s="473">
        <f t="shared" si="237"/>
        <v>0</v>
      </c>
      <c r="AB2838" s="339">
        <f t="shared" si="238"/>
        <v>0</v>
      </c>
    </row>
    <row r="2839" spans="2:28" ht="20.100000000000001" customHeight="1">
      <c r="B2839" s="172"/>
      <c r="C2839" s="174"/>
      <c r="D2839" s="181"/>
      <c r="E2839" s="173"/>
      <c r="F2839" s="176"/>
      <c r="G2839" s="175">
        <f t="shared" si="240"/>
        <v>0</v>
      </c>
      <c r="H2839" s="175">
        <f t="shared" si="233"/>
        <v>0</v>
      </c>
      <c r="I2839" s="177">
        <f>IF(G2839=0,0,IF(E2839="MXN",1/HLOOKUP(YEAR(C2839)+(MONTH(C2839)/100),TC!$5:$37,DAY(C2839)+2,FALSE),VLOOKUP(E2839,Equivalencia!$5:$23,((MAX(Equivalencia!$3:$3)-YEAR(C2839))*14)+MONTH(C2839)+2,FALSE)))</f>
        <v>0</v>
      </c>
      <c r="J2839" s="178">
        <f t="shared" si="241"/>
        <v>0</v>
      </c>
      <c r="K2839" s="462">
        <f>IF(C2839=0,0,VLOOKUP(YEAR(C2839),INPC!$B$4:$O$29,MONTH(C2839)+1))</f>
        <v>0</v>
      </c>
      <c r="L2839" s="462">
        <f>IF(S2839=0,0,VLOOKUP(YEAR(S2839),INPC!$B$4:$O$29,MONTH(S2839)+1))</f>
        <v>0</v>
      </c>
      <c r="M2839" s="463">
        <f t="shared" si="234"/>
        <v>0</v>
      </c>
      <c r="N2839" s="465">
        <f t="shared" si="242"/>
        <v>0</v>
      </c>
      <c r="O2839" s="179"/>
      <c r="P2839" s="180"/>
      <c r="Q2839" s="173"/>
      <c r="R2839" s="173"/>
      <c r="S2839" s="174"/>
      <c r="T2839" s="173"/>
      <c r="U2839" s="182"/>
      <c r="V2839" s="177">
        <f>IF(U2839=0,0,IF(T2839="MXN",1/HLOOKUP(YEAR(S2839)+(MONTH(S2839)/100),TC!$5:$37,DAY(S2839)+2,FALSE),VLOOKUP(T2839,Equivalencia!$1:$23,((MAX(Equivalencia!$3:$3)-YEAR(S2839))*14)+MONTH(S2839)+2,FALSE)))</f>
        <v>0</v>
      </c>
      <c r="W2839" s="178">
        <f t="shared" si="239"/>
        <v>0</v>
      </c>
      <c r="X2839" s="481">
        <f t="shared" si="235"/>
        <v>0</v>
      </c>
      <c r="Y2839" s="179"/>
      <c r="Z2839" s="466">
        <f t="shared" si="236"/>
        <v>0</v>
      </c>
      <c r="AA2839" s="473">
        <f t="shared" si="237"/>
        <v>0</v>
      </c>
      <c r="AB2839" s="339">
        <f t="shared" si="238"/>
        <v>0</v>
      </c>
    </row>
    <row r="2840" spans="2:28" ht="20.100000000000001" customHeight="1">
      <c r="B2840" s="172"/>
      <c r="C2840" s="174"/>
      <c r="D2840" s="181"/>
      <c r="E2840" s="173"/>
      <c r="F2840" s="176"/>
      <c r="G2840" s="175">
        <f t="shared" si="240"/>
        <v>0</v>
      </c>
      <c r="H2840" s="175">
        <f t="shared" si="233"/>
        <v>0</v>
      </c>
      <c r="I2840" s="177">
        <f>IF(G2840=0,0,IF(E2840="MXN",1/HLOOKUP(YEAR(C2840)+(MONTH(C2840)/100),TC!$5:$37,DAY(C2840)+2,FALSE),VLOOKUP(E2840,Equivalencia!$5:$23,((MAX(Equivalencia!$3:$3)-YEAR(C2840))*14)+MONTH(C2840)+2,FALSE)))</f>
        <v>0</v>
      </c>
      <c r="J2840" s="178">
        <f t="shared" si="241"/>
        <v>0</v>
      </c>
      <c r="K2840" s="462">
        <f>IF(C2840=0,0,VLOOKUP(YEAR(C2840),INPC!$B$4:$O$29,MONTH(C2840)+1))</f>
        <v>0</v>
      </c>
      <c r="L2840" s="462">
        <f>IF(S2840=0,0,VLOOKUP(YEAR(S2840),INPC!$B$4:$O$29,MONTH(S2840)+1))</f>
        <v>0</v>
      </c>
      <c r="M2840" s="463">
        <f t="shared" si="234"/>
        <v>0</v>
      </c>
      <c r="N2840" s="465">
        <f t="shared" si="242"/>
        <v>0</v>
      </c>
      <c r="O2840" s="179"/>
      <c r="P2840" s="180"/>
      <c r="Q2840" s="173"/>
      <c r="R2840" s="173"/>
      <c r="S2840" s="174"/>
      <c r="T2840" s="173"/>
      <c r="U2840" s="182"/>
      <c r="V2840" s="177">
        <f>IF(U2840=0,0,IF(T2840="MXN",1/HLOOKUP(YEAR(S2840)+(MONTH(S2840)/100),TC!$5:$37,DAY(S2840)+2,FALSE),VLOOKUP(T2840,Equivalencia!$1:$23,((MAX(Equivalencia!$3:$3)-YEAR(S2840))*14)+MONTH(S2840)+2,FALSE)))</f>
        <v>0</v>
      </c>
      <c r="W2840" s="178">
        <f t="shared" si="239"/>
        <v>0</v>
      </c>
      <c r="X2840" s="481">
        <f t="shared" si="235"/>
        <v>0</v>
      </c>
      <c r="Y2840" s="179"/>
      <c r="Z2840" s="466">
        <f t="shared" si="236"/>
        <v>0</v>
      </c>
      <c r="AA2840" s="473">
        <f t="shared" si="237"/>
        <v>0</v>
      </c>
      <c r="AB2840" s="339">
        <f t="shared" si="238"/>
        <v>0</v>
      </c>
    </row>
    <row r="2841" spans="2:28" ht="20.100000000000001" customHeight="1">
      <c r="B2841" s="172"/>
      <c r="C2841" s="174"/>
      <c r="D2841" s="181"/>
      <c r="E2841" s="173"/>
      <c r="F2841" s="176"/>
      <c r="G2841" s="175">
        <f t="shared" si="240"/>
        <v>0</v>
      </c>
      <c r="H2841" s="175">
        <f t="shared" si="233"/>
        <v>0</v>
      </c>
      <c r="I2841" s="177">
        <f>IF(G2841=0,0,IF(E2841="MXN",1/HLOOKUP(YEAR(C2841)+(MONTH(C2841)/100),TC!$5:$37,DAY(C2841)+2,FALSE),VLOOKUP(E2841,Equivalencia!$5:$23,((MAX(Equivalencia!$3:$3)-YEAR(C2841))*14)+MONTH(C2841)+2,FALSE)))</f>
        <v>0</v>
      </c>
      <c r="J2841" s="178">
        <f t="shared" si="241"/>
        <v>0</v>
      </c>
      <c r="K2841" s="462">
        <f>IF(C2841=0,0,VLOOKUP(YEAR(C2841),INPC!$B$4:$O$29,MONTH(C2841)+1))</f>
        <v>0</v>
      </c>
      <c r="L2841" s="462">
        <f>IF(S2841=0,0,VLOOKUP(YEAR(S2841),INPC!$B$4:$O$29,MONTH(S2841)+1))</f>
        <v>0</v>
      </c>
      <c r="M2841" s="463">
        <f t="shared" si="234"/>
        <v>0</v>
      </c>
      <c r="N2841" s="465">
        <f t="shared" si="242"/>
        <v>0</v>
      </c>
      <c r="O2841" s="179"/>
      <c r="P2841" s="180"/>
      <c r="Q2841" s="173"/>
      <c r="R2841" s="173"/>
      <c r="S2841" s="174"/>
      <c r="T2841" s="173"/>
      <c r="U2841" s="182"/>
      <c r="V2841" s="177">
        <f>IF(U2841=0,0,IF(T2841="MXN",1/HLOOKUP(YEAR(S2841)+(MONTH(S2841)/100),TC!$5:$37,DAY(S2841)+2,FALSE),VLOOKUP(T2841,Equivalencia!$1:$23,((MAX(Equivalencia!$3:$3)-YEAR(S2841))*14)+MONTH(S2841)+2,FALSE)))</f>
        <v>0</v>
      </c>
      <c r="W2841" s="178">
        <f t="shared" si="239"/>
        <v>0</v>
      </c>
      <c r="X2841" s="481">
        <f t="shared" si="235"/>
        <v>0</v>
      </c>
      <c r="Y2841" s="179"/>
      <c r="Z2841" s="466">
        <f t="shared" si="236"/>
        <v>0</v>
      </c>
      <c r="AA2841" s="473">
        <f t="shared" si="237"/>
        <v>0</v>
      </c>
      <c r="AB2841" s="339">
        <f t="shared" si="238"/>
        <v>0</v>
      </c>
    </row>
    <row r="2842" spans="2:28" ht="20.100000000000001" customHeight="1">
      <c r="B2842" s="172"/>
      <c r="C2842" s="174"/>
      <c r="D2842" s="181"/>
      <c r="E2842" s="173"/>
      <c r="F2842" s="176"/>
      <c r="G2842" s="175">
        <f t="shared" si="240"/>
        <v>0</v>
      </c>
      <c r="H2842" s="175">
        <f t="shared" si="233"/>
        <v>0</v>
      </c>
      <c r="I2842" s="177">
        <f>IF(G2842=0,0,IF(E2842="MXN",1/HLOOKUP(YEAR(C2842)+(MONTH(C2842)/100),TC!$5:$37,DAY(C2842)+2,FALSE),VLOOKUP(E2842,Equivalencia!$5:$23,((MAX(Equivalencia!$3:$3)-YEAR(C2842))*14)+MONTH(C2842)+2,FALSE)))</f>
        <v>0</v>
      </c>
      <c r="J2842" s="178">
        <f t="shared" si="241"/>
        <v>0</v>
      </c>
      <c r="K2842" s="462">
        <f>IF(C2842=0,0,VLOOKUP(YEAR(C2842),INPC!$B$4:$O$29,MONTH(C2842)+1))</f>
        <v>0</v>
      </c>
      <c r="L2842" s="462">
        <f>IF(S2842=0,0,VLOOKUP(YEAR(S2842),INPC!$B$4:$O$29,MONTH(S2842)+1))</f>
        <v>0</v>
      </c>
      <c r="M2842" s="463">
        <f t="shared" si="234"/>
        <v>0</v>
      </c>
      <c r="N2842" s="465">
        <f t="shared" si="242"/>
        <v>0</v>
      </c>
      <c r="O2842" s="179"/>
      <c r="P2842" s="180"/>
      <c r="Q2842" s="173"/>
      <c r="R2842" s="173"/>
      <c r="S2842" s="174"/>
      <c r="T2842" s="173"/>
      <c r="U2842" s="182"/>
      <c r="V2842" s="177">
        <f>IF(U2842=0,0,IF(T2842="MXN",1/HLOOKUP(YEAR(S2842)+(MONTH(S2842)/100),TC!$5:$37,DAY(S2842)+2,FALSE),VLOOKUP(T2842,Equivalencia!$1:$23,((MAX(Equivalencia!$3:$3)-YEAR(S2842))*14)+MONTH(S2842)+2,FALSE)))</f>
        <v>0</v>
      </c>
      <c r="W2842" s="178">
        <f t="shared" si="239"/>
        <v>0</v>
      </c>
      <c r="X2842" s="481">
        <f t="shared" si="235"/>
        <v>0</v>
      </c>
      <c r="Y2842" s="179"/>
      <c r="Z2842" s="466">
        <f t="shared" si="236"/>
        <v>0</v>
      </c>
      <c r="AA2842" s="473">
        <f t="shared" si="237"/>
        <v>0</v>
      </c>
      <c r="AB2842" s="339">
        <f t="shared" si="238"/>
        <v>0</v>
      </c>
    </row>
    <row r="2843" spans="2:28" ht="20.100000000000001" customHeight="1">
      <c r="B2843" s="172"/>
      <c r="C2843" s="174"/>
      <c r="D2843" s="181"/>
      <c r="E2843" s="173"/>
      <c r="F2843" s="176"/>
      <c r="G2843" s="175">
        <f t="shared" si="240"/>
        <v>0</v>
      </c>
      <c r="H2843" s="175">
        <f t="shared" si="233"/>
        <v>0</v>
      </c>
      <c r="I2843" s="177">
        <f>IF(G2843=0,0,IF(E2843="MXN",1/HLOOKUP(YEAR(C2843)+(MONTH(C2843)/100),TC!$5:$37,DAY(C2843)+2,FALSE),VLOOKUP(E2843,Equivalencia!$5:$23,((MAX(Equivalencia!$3:$3)-YEAR(C2843))*14)+MONTH(C2843)+2,FALSE)))</f>
        <v>0</v>
      </c>
      <c r="J2843" s="178">
        <f t="shared" si="241"/>
        <v>0</v>
      </c>
      <c r="K2843" s="462">
        <f>IF(C2843=0,0,VLOOKUP(YEAR(C2843),INPC!$B$4:$O$29,MONTH(C2843)+1))</f>
        <v>0</v>
      </c>
      <c r="L2843" s="462">
        <f>IF(S2843=0,0,VLOOKUP(YEAR(S2843),INPC!$B$4:$O$29,MONTH(S2843)+1))</f>
        <v>0</v>
      </c>
      <c r="M2843" s="463">
        <f t="shared" si="234"/>
        <v>0</v>
      </c>
      <c r="N2843" s="465">
        <f t="shared" si="242"/>
        <v>0</v>
      </c>
      <c r="O2843" s="179"/>
      <c r="P2843" s="180"/>
      <c r="Q2843" s="173"/>
      <c r="R2843" s="173"/>
      <c r="S2843" s="174"/>
      <c r="T2843" s="173"/>
      <c r="U2843" s="182"/>
      <c r="V2843" s="177">
        <f>IF(U2843=0,0,IF(T2843="MXN",1/HLOOKUP(YEAR(S2843)+(MONTH(S2843)/100),TC!$5:$37,DAY(S2843)+2,FALSE),VLOOKUP(T2843,Equivalencia!$1:$23,((MAX(Equivalencia!$3:$3)-YEAR(S2843))*14)+MONTH(S2843)+2,FALSE)))</f>
        <v>0</v>
      </c>
      <c r="W2843" s="178">
        <f t="shared" si="239"/>
        <v>0</v>
      </c>
      <c r="X2843" s="481">
        <f t="shared" si="235"/>
        <v>0</v>
      </c>
      <c r="Y2843" s="179"/>
      <c r="Z2843" s="466">
        <f t="shared" si="236"/>
        <v>0</v>
      </c>
      <c r="AA2843" s="473">
        <f t="shared" si="237"/>
        <v>0</v>
      </c>
      <c r="AB2843" s="339">
        <f t="shared" si="238"/>
        <v>0</v>
      </c>
    </row>
    <row r="2844" spans="2:28" ht="20.100000000000001" customHeight="1">
      <c r="B2844" s="172"/>
      <c r="C2844" s="174"/>
      <c r="D2844" s="181"/>
      <c r="E2844" s="173"/>
      <c r="F2844" s="176"/>
      <c r="G2844" s="175">
        <f t="shared" si="240"/>
        <v>0</v>
      </c>
      <c r="H2844" s="175">
        <f t="shared" si="233"/>
        <v>0</v>
      </c>
      <c r="I2844" s="177">
        <f>IF(G2844=0,0,IF(E2844="MXN",1/HLOOKUP(YEAR(C2844)+(MONTH(C2844)/100),TC!$5:$37,DAY(C2844)+2,FALSE),VLOOKUP(E2844,Equivalencia!$5:$23,((MAX(Equivalencia!$3:$3)-YEAR(C2844))*14)+MONTH(C2844)+2,FALSE)))</f>
        <v>0</v>
      </c>
      <c r="J2844" s="178">
        <f t="shared" si="241"/>
        <v>0</v>
      </c>
      <c r="K2844" s="462">
        <f>IF(C2844=0,0,VLOOKUP(YEAR(C2844),INPC!$B$4:$O$29,MONTH(C2844)+1))</f>
        <v>0</v>
      </c>
      <c r="L2844" s="462">
        <f>IF(S2844=0,0,VLOOKUP(YEAR(S2844),INPC!$B$4:$O$29,MONTH(S2844)+1))</f>
        <v>0</v>
      </c>
      <c r="M2844" s="463">
        <f t="shared" si="234"/>
        <v>0</v>
      </c>
      <c r="N2844" s="465">
        <f t="shared" si="242"/>
        <v>0</v>
      </c>
      <c r="O2844" s="179"/>
      <c r="P2844" s="180"/>
      <c r="Q2844" s="173"/>
      <c r="R2844" s="173"/>
      <c r="S2844" s="174"/>
      <c r="T2844" s="173"/>
      <c r="U2844" s="182"/>
      <c r="V2844" s="177">
        <f>IF(U2844=0,0,IF(T2844="MXN",1/HLOOKUP(YEAR(S2844)+(MONTH(S2844)/100),TC!$5:$37,DAY(S2844)+2,FALSE),VLOOKUP(T2844,Equivalencia!$1:$23,((MAX(Equivalencia!$3:$3)-YEAR(S2844))*14)+MONTH(S2844)+2,FALSE)))</f>
        <v>0</v>
      </c>
      <c r="W2844" s="178">
        <f t="shared" si="239"/>
        <v>0</v>
      </c>
      <c r="X2844" s="481">
        <f t="shared" si="235"/>
        <v>0</v>
      </c>
      <c r="Y2844" s="179"/>
      <c r="Z2844" s="466">
        <f t="shared" si="236"/>
        <v>0</v>
      </c>
      <c r="AA2844" s="473">
        <f t="shared" si="237"/>
        <v>0</v>
      </c>
      <c r="AB2844" s="339">
        <f t="shared" si="238"/>
        <v>0</v>
      </c>
    </row>
    <row r="2845" spans="2:28" ht="20.100000000000001" customHeight="1">
      <c r="B2845" s="172"/>
      <c r="C2845" s="174"/>
      <c r="D2845" s="181"/>
      <c r="E2845" s="173"/>
      <c r="F2845" s="176"/>
      <c r="G2845" s="175">
        <f t="shared" si="240"/>
        <v>0</v>
      </c>
      <c r="H2845" s="175">
        <f t="shared" si="233"/>
        <v>0</v>
      </c>
      <c r="I2845" s="177">
        <f>IF(G2845=0,0,IF(E2845="MXN",1/HLOOKUP(YEAR(C2845)+(MONTH(C2845)/100),TC!$5:$37,DAY(C2845)+2,FALSE),VLOOKUP(E2845,Equivalencia!$5:$23,((MAX(Equivalencia!$3:$3)-YEAR(C2845))*14)+MONTH(C2845)+2,FALSE)))</f>
        <v>0</v>
      </c>
      <c r="J2845" s="178">
        <f t="shared" si="241"/>
        <v>0</v>
      </c>
      <c r="K2845" s="462">
        <f>IF(C2845=0,0,VLOOKUP(YEAR(C2845),INPC!$B$4:$O$29,MONTH(C2845)+1))</f>
        <v>0</v>
      </c>
      <c r="L2845" s="462">
        <f>IF(S2845=0,0,VLOOKUP(YEAR(S2845),INPC!$B$4:$O$29,MONTH(S2845)+1))</f>
        <v>0</v>
      </c>
      <c r="M2845" s="463">
        <f t="shared" si="234"/>
        <v>0</v>
      </c>
      <c r="N2845" s="465">
        <f t="shared" si="242"/>
        <v>0</v>
      </c>
      <c r="O2845" s="179"/>
      <c r="P2845" s="180"/>
      <c r="Q2845" s="173"/>
      <c r="R2845" s="173"/>
      <c r="S2845" s="174"/>
      <c r="T2845" s="173"/>
      <c r="U2845" s="182"/>
      <c r="V2845" s="177">
        <f>IF(U2845=0,0,IF(T2845="MXN",1/HLOOKUP(YEAR(S2845)+(MONTH(S2845)/100),TC!$5:$37,DAY(S2845)+2,FALSE),VLOOKUP(T2845,Equivalencia!$1:$23,((MAX(Equivalencia!$3:$3)-YEAR(S2845))*14)+MONTH(S2845)+2,FALSE)))</f>
        <v>0</v>
      </c>
      <c r="W2845" s="178">
        <f t="shared" si="239"/>
        <v>0</v>
      </c>
      <c r="X2845" s="481">
        <f t="shared" si="235"/>
        <v>0</v>
      </c>
      <c r="Y2845" s="179"/>
      <c r="Z2845" s="466">
        <f t="shared" si="236"/>
        <v>0</v>
      </c>
      <c r="AA2845" s="473">
        <f t="shared" si="237"/>
        <v>0</v>
      </c>
      <c r="AB2845" s="339">
        <f t="shared" si="238"/>
        <v>0</v>
      </c>
    </row>
    <row r="2846" spans="2:28" ht="20.100000000000001" customHeight="1">
      <c r="B2846" s="172"/>
      <c r="C2846" s="174"/>
      <c r="D2846" s="181"/>
      <c r="E2846" s="173"/>
      <c r="F2846" s="176"/>
      <c r="G2846" s="175">
        <f t="shared" si="240"/>
        <v>0</v>
      </c>
      <c r="H2846" s="175">
        <f t="shared" si="233"/>
        <v>0</v>
      </c>
      <c r="I2846" s="177">
        <f>IF(G2846=0,0,IF(E2846="MXN",1/HLOOKUP(YEAR(C2846)+(MONTH(C2846)/100),TC!$5:$37,DAY(C2846)+2,FALSE),VLOOKUP(E2846,Equivalencia!$5:$23,((MAX(Equivalencia!$3:$3)-YEAR(C2846))*14)+MONTH(C2846)+2,FALSE)))</f>
        <v>0</v>
      </c>
      <c r="J2846" s="178">
        <f t="shared" si="241"/>
        <v>0</v>
      </c>
      <c r="K2846" s="462">
        <f>IF(C2846=0,0,VLOOKUP(YEAR(C2846),INPC!$B$4:$O$29,MONTH(C2846)+1))</f>
        <v>0</v>
      </c>
      <c r="L2846" s="462">
        <f>IF(S2846=0,0,VLOOKUP(YEAR(S2846),INPC!$B$4:$O$29,MONTH(S2846)+1))</f>
        <v>0</v>
      </c>
      <c r="M2846" s="463">
        <f t="shared" si="234"/>
        <v>0</v>
      </c>
      <c r="N2846" s="465">
        <f t="shared" si="242"/>
        <v>0</v>
      </c>
      <c r="O2846" s="179"/>
      <c r="P2846" s="180"/>
      <c r="Q2846" s="173"/>
      <c r="R2846" s="173"/>
      <c r="S2846" s="174"/>
      <c r="T2846" s="173"/>
      <c r="U2846" s="182"/>
      <c r="V2846" s="177">
        <f>IF(U2846=0,0,IF(T2846="MXN",1/HLOOKUP(YEAR(S2846)+(MONTH(S2846)/100),TC!$5:$37,DAY(S2846)+2,FALSE),VLOOKUP(T2846,Equivalencia!$1:$23,((MAX(Equivalencia!$3:$3)-YEAR(S2846))*14)+MONTH(S2846)+2,FALSE)))</f>
        <v>0</v>
      </c>
      <c r="W2846" s="178">
        <f t="shared" si="239"/>
        <v>0</v>
      </c>
      <c r="X2846" s="481">
        <f t="shared" si="235"/>
        <v>0</v>
      </c>
      <c r="Y2846" s="179"/>
      <c r="Z2846" s="466">
        <f t="shared" si="236"/>
        <v>0</v>
      </c>
      <c r="AA2846" s="473">
        <f t="shared" si="237"/>
        <v>0</v>
      </c>
      <c r="AB2846" s="339">
        <f t="shared" si="238"/>
        <v>0</v>
      </c>
    </row>
    <row r="2847" spans="2:28" ht="20.100000000000001" customHeight="1">
      <c r="B2847" s="172"/>
      <c r="C2847" s="174"/>
      <c r="D2847" s="181"/>
      <c r="E2847" s="173"/>
      <c r="F2847" s="176"/>
      <c r="G2847" s="175">
        <f t="shared" si="240"/>
        <v>0</v>
      </c>
      <c r="H2847" s="175">
        <f t="shared" si="233"/>
        <v>0</v>
      </c>
      <c r="I2847" s="177">
        <f>IF(G2847=0,0,IF(E2847="MXN",1/HLOOKUP(YEAR(C2847)+(MONTH(C2847)/100),TC!$5:$37,DAY(C2847)+2,FALSE),VLOOKUP(E2847,Equivalencia!$5:$23,((MAX(Equivalencia!$3:$3)-YEAR(C2847))*14)+MONTH(C2847)+2,FALSE)))</f>
        <v>0</v>
      </c>
      <c r="J2847" s="178">
        <f t="shared" si="241"/>
        <v>0</v>
      </c>
      <c r="K2847" s="462">
        <f>IF(C2847=0,0,VLOOKUP(YEAR(C2847),INPC!$B$4:$O$29,MONTH(C2847)+1))</f>
        <v>0</v>
      </c>
      <c r="L2847" s="462">
        <f>IF(S2847=0,0,VLOOKUP(YEAR(S2847),INPC!$B$4:$O$29,MONTH(S2847)+1))</f>
        <v>0</v>
      </c>
      <c r="M2847" s="463">
        <f t="shared" si="234"/>
        <v>0</v>
      </c>
      <c r="N2847" s="465">
        <f t="shared" si="242"/>
        <v>0</v>
      </c>
      <c r="O2847" s="179"/>
      <c r="P2847" s="180"/>
      <c r="Q2847" s="173"/>
      <c r="R2847" s="173"/>
      <c r="S2847" s="174"/>
      <c r="T2847" s="173"/>
      <c r="U2847" s="182"/>
      <c r="V2847" s="177">
        <f>IF(U2847=0,0,IF(T2847="MXN",1/HLOOKUP(YEAR(S2847)+(MONTH(S2847)/100),TC!$5:$37,DAY(S2847)+2,FALSE),VLOOKUP(T2847,Equivalencia!$1:$23,((MAX(Equivalencia!$3:$3)-YEAR(S2847))*14)+MONTH(S2847)+2,FALSE)))</f>
        <v>0</v>
      </c>
      <c r="W2847" s="178">
        <f t="shared" si="239"/>
        <v>0</v>
      </c>
      <c r="X2847" s="481">
        <f t="shared" si="235"/>
        <v>0</v>
      </c>
      <c r="Y2847" s="179"/>
      <c r="Z2847" s="466">
        <f t="shared" si="236"/>
        <v>0</v>
      </c>
      <c r="AA2847" s="473">
        <f t="shared" si="237"/>
        <v>0</v>
      </c>
      <c r="AB2847" s="339">
        <f t="shared" si="238"/>
        <v>0</v>
      </c>
    </row>
    <row r="2848" spans="2:28" ht="20.100000000000001" customHeight="1">
      <c r="B2848" s="172"/>
      <c r="C2848" s="174"/>
      <c r="D2848" s="181"/>
      <c r="E2848" s="173"/>
      <c r="F2848" s="176"/>
      <c r="G2848" s="175">
        <f t="shared" si="240"/>
        <v>0</v>
      </c>
      <c r="H2848" s="175">
        <f t="shared" si="233"/>
        <v>0</v>
      </c>
      <c r="I2848" s="177">
        <f>IF(G2848=0,0,IF(E2848="MXN",1/HLOOKUP(YEAR(C2848)+(MONTH(C2848)/100),TC!$5:$37,DAY(C2848)+2,FALSE),VLOOKUP(E2848,Equivalencia!$5:$23,((MAX(Equivalencia!$3:$3)-YEAR(C2848))*14)+MONTH(C2848)+2,FALSE)))</f>
        <v>0</v>
      </c>
      <c r="J2848" s="178">
        <f t="shared" si="241"/>
        <v>0</v>
      </c>
      <c r="K2848" s="462">
        <f>IF(C2848=0,0,VLOOKUP(YEAR(C2848),INPC!$B$4:$O$29,MONTH(C2848)+1))</f>
        <v>0</v>
      </c>
      <c r="L2848" s="462">
        <f>IF(S2848=0,0,VLOOKUP(YEAR(S2848),INPC!$B$4:$O$29,MONTH(S2848)+1))</f>
        <v>0</v>
      </c>
      <c r="M2848" s="463">
        <f t="shared" si="234"/>
        <v>0</v>
      </c>
      <c r="N2848" s="465">
        <f t="shared" si="242"/>
        <v>0</v>
      </c>
      <c r="O2848" s="179"/>
      <c r="P2848" s="180"/>
      <c r="Q2848" s="173"/>
      <c r="R2848" s="173"/>
      <c r="S2848" s="174"/>
      <c r="T2848" s="173"/>
      <c r="U2848" s="182"/>
      <c r="V2848" s="177">
        <f>IF(U2848=0,0,IF(T2848="MXN",1/HLOOKUP(YEAR(S2848)+(MONTH(S2848)/100),TC!$5:$37,DAY(S2848)+2,FALSE),VLOOKUP(T2848,Equivalencia!$1:$23,((MAX(Equivalencia!$3:$3)-YEAR(S2848))*14)+MONTH(S2848)+2,FALSE)))</f>
        <v>0</v>
      </c>
      <c r="W2848" s="178">
        <f t="shared" si="239"/>
        <v>0</v>
      </c>
      <c r="X2848" s="481">
        <f t="shared" si="235"/>
        <v>0</v>
      </c>
      <c r="Y2848" s="179"/>
      <c r="Z2848" s="466">
        <f t="shared" si="236"/>
        <v>0</v>
      </c>
      <c r="AA2848" s="473">
        <f t="shared" si="237"/>
        <v>0</v>
      </c>
      <c r="AB2848" s="339">
        <f t="shared" si="238"/>
        <v>0</v>
      </c>
    </row>
    <row r="2849" spans="2:28" ht="20.100000000000001" customHeight="1">
      <c r="B2849" s="172"/>
      <c r="C2849" s="174"/>
      <c r="D2849" s="181"/>
      <c r="E2849" s="173"/>
      <c r="F2849" s="176"/>
      <c r="G2849" s="175">
        <f t="shared" si="240"/>
        <v>0</v>
      </c>
      <c r="H2849" s="175">
        <f t="shared" si="233"/>
        <v>0</v>
      </c>
      <c r="I2849" s="177">
        <f>IF(G2849=0,0,IF(E2849="MXN",1/HLOOKUP(YEAR(C2849)+(MONTH(C2849)/100),TC!$5:$37,DAY(C2849)+2,FALSE),VLOOKUP(E2849,Equivalencia!$5:$23,((MAX(Equivalencia!$3:$3)-YEAR(C2849))*14)+MONTH(C2849)+2,FALSE)))</f>
        <v>0</v>
      </c>
      <c r="J2849" s="178">
        <f t="shared" si="241"/>
        <v>0</v>
      </c>
      <c r="K2849" s="462">
        <f>IF(C2849=0,0,VLOOKUP(YEAR(C2849),INPC!$B$4:$O$29,MONTH(C2849)+1))</f>
        <v>0</v>
      </c>
      <c r="L2849" s="462">
        <f>IF(S2849=0,0,VLOOKUP(YEAR(S2849),INPC!$B$4:$O$29,MONTH(S2849)+1))</f>
        <v>0</v>
      </c>
      <c r="M2849" s="463">
        <f t="shared" si="234"/>
        <v>0</v>
      </c>
      <c r="N2849" s="465">
        <f t="shared" si="242"/>
        <v>0</v>
      </c>
      <c r="O2849" s="179"/>
      <c r="P2849" s="180"/>
      <c r="Q2849" s="173"/>
      <c r="R2849" s="173"/>
      <c r="S2849" s="174"/>
      <c r="T2849" s="173"/>
      <c r="U2849" s="182"/>
      <c r="V2849" s="177">
        <f>IF(U2849=0,0,IF(T2849="MXN",1/HLOOKUP(YEAR(S2849)+(MONTH(S2849)/100),TC!$5:$37,DAY(S2849)+2,FALSE),VLOOKUP(T2849,Equivalencia!$1:$23,((MAX(Equivalencia!$3:$3)-YEAR(S2849))*14)+MONTH(S2849)+2,FALSE)))</f>
        <v>0</v>
      </c>
      <c r="W2849" s="178">
        <f t="shared" si="239"/>
        <v>0</v>
      </c>
      <c r="X2849" s="481">
        <f t="shared" si="235"/>
        <v>0</v>
      </c>
      <c r="Y2849" s="179"/>
      <c r="Z2849" s="466">
        <f t="shared" si="236"/>
        <v>0</v>
      </c>
      <c r="AA2849" s="473">
        <f t="shared" si="237"/>
        <v>0</v>
      </c>
      <c r="AB2849" s="339">
        <f t="shared" si="238"/>
        <v>0</v>
      </c>
    </row>
    <row r="2850" spans="2:28" ht="20.100000000000001" customHeight="1">
      <c r="B2850" s="172"/>
      <c r="C2850" s="174"/>
      <c r="D2850" s="181"/>
      <c r="E2850" s="173"/>
      <c r="F2850" s="176"/>
      <c r="G2850" s="175">
        <f t="shared" si="240"/>
        <v>0</v>
      </c>
      <c r="H2850" s="175">
        <f t="shared" si="233"/>
        <v>0</v>
      </c>
      <c r="I2850" s="177">
        <f>IF(G2850=0,0,IF(E2850="MXN",1/HLOOKUP(YEAR(C2850)+(MONTH(C2850)/100),TC!$5:$37,DAY(C2850)+2,FALSE),VLOOKUP(E2850,Equivalencia!$5:$23,((MAX(Equivalencia!$3:$3)-YEAR(C2850))*14)+MONTH(C2850)+2,FALSE)))</f>
        <v>0</v>
      </c>
      <c r="J2850" s="178">
        <f t="shared" si="241"/>
        <v>0</v>
      </c>
      <c r="K2850" s="462">
        <f>IF(C2850=0,0,VLOOKUP(YEAR(C2850),INPC!$B$4:$O$29,MONTH(C2850)+1))</f>
        <v>0</v>
      </c>
      <c r="L2850" s="462">
        <f>IF(S2850=0,0,VLOOKUP(YEAR(S2850),INPC!$B$4:$O$29,MONTH(S2850)+1))</f>
        <v>0</v>
      </c>
      <c r="M2850" s="463">
        <f t="shared" si="234"/>
        <v>0</v>
      </c>
      <c r="N2850" s="465">
        <f t="shared" si="242"/>
        <v>0</v>
      </c>
      <c r="O2850" s="179"/>
      <c r="P2850" s="180"/>
      <c r="Q2850" s="173"/>
      <c r="R2850" s="173"/>
      <c r="S2850" s="174"/>
      <c r="T2850" s="173"/>
      <c r="U2850" s="182"/>
      <c r="V2850" s="177">
        <f>IF(U2850=0,0,IF(T2850="MXN",1/HLOOKUP(YEAR(S2850)+(MONTH(S2850)/100),TC!$5:$37,DAY(S2850)+2,FALSE),VLOOKUP(T2850,Equivalencia!$1:$23,((MAX(Equivalencia!$3:$3)-YEAR(S2850))*14)+MONTH(S2850)+2,FALSE)))</f>
        <v>0</v>
      </c>
      <c r="W2850" s="178">
        <f t="shared" si="239"/>
        <v>0</v>
      </c>
      <c r="X2850" s="481">
        <f t="shared" si="235"/>
        <v>0</v>
      </c>
      <c r="Y2850" s="179"/>
      <c r="Z2850" s="466">
        <f t="shared" si="236"/>
        <v>0</v>
      </c>
      <c r="AA2850" s="473">
        <f t="shared" si="237"/>
        <v>0</v>
      </c>
      <c r="AB2850" s="339">
        <f t="shared" si="238"/>
        <v>0</v>
      </c>
    </row>
    <row r="2851" spans="2:28" ht="20.100000000000001" customHeight="1">
      <c r="B2851" s="172"/>
      <c r="C2851" s="174"/>
      <c r="D2851" s="181"/>
      <c r="E2851" s="173"/>
      <c r="F2851" s="176"/>
      <c r="G2851" s="175">
        <f t="shared" si="240"/>
        <v>0</v>
      </c>
      <c r="H2851" s="175">
        <f t="shared" si="233"/>
        <v>0</v>
      </c>
      <c r="I2851" s="177">
        <f>IF(G2851=0,0,IF(E2851="MXN",1/HLOOKUP(YEAR(C2851)+(MONTH(C2851)/100),TC!$5:$37,DAY(C2851)+2,FALSE),VLOOKUP(E2851,Equivalencia!$5:$23,((MAX(Equivalencia!$3:$3)-YEAR(C2851))*14)+MONTH(C2851)+2,FALSE)))</f>
        <v>0</v>
      </c>
      <c r="J2851" s="178">
        <f t="shared" si="241"/>
        <v>0</v>
      </c>
      <c r="K2851" s="462">
        <f>IF(C2851=0,0,VLOOKUP(YEAR(C2851),INPC!$B$4:$O$29,MONTH(C2851)+1))</f>
        <v>0</v>
      </c>
      <c r="L2851" s="462">
        <f>IF(S2851=0,0,VLOOKUP(YEAR(S2851),INPC!$B$4:$O$29,MONTH(S2851)+1))</f>
        <v>0</v>
      </c>
      <c r="M2851" s="463">
        <f t="shared" si="234"/>
        <v>0</v>
      </c>
      <c r="N2851" s="465">
        <f t="shared" si="242"/>
        <v>0</v>
      </c>
      <c r="O2851" s="179"/>
      <c r="P2851" s="180"/>
      <c r="Q2851" s="173"/>
      <c r="R2851" s="173"/>
      <c r="S2851" s="174"/>
      <c r="T2851" s="173"/>
      <c r="U2851" s="182"/>
      <c r="V2851" s="177">
        <f>IF(U2851=0,0,IF(T2851="MXN",1/HLOOKUP(YEAR(S2851)+(MONTH(S2851)/100),TC!$5:$37,DAY(S2851)+2,FALSE),VLOOKUP(T2851,Equivalencia!$1:$23,((MAX(Equivalencia!$3:$3)-YEAR(S2851))*14)+MONTH(S2851)+2,FALSE)))</f>
        <v>0</v>
      </c>
      <c r="W2851" s="178">
        <f t="shared" si="239"/>
        <v>0</v>
      </c>
      <c r="X2851" s="481">
        <f t="shared" si="235"/>
        <v>0</v>
      </c>
      <c r="Y2851" s="179"/>
      <c r="Z2851" s="466">
        <f t="shared" si="236"/>
        <v>0</v>
      </c>
      <c r="AA2851" s="473">
        <f t="shared" si="237"/>
        <v>0</v>
      </c>
      <c r="AB2851" s="339">
        <f t="shared" si="238"/>
        <v>0</v>
      </c>
    </row>
    <row r="2852" spans="2:28" ht="20.100000000000001" customHeight="1">
      <c r="B2852" s="172"/>
      <c r="C2852" s="174"/>
      <c r="D2852" s="181"/>
      <c r="E2852" s="173"/>
      <c r="F2852" s="176"/>
      <c r="G2852" s="175">
        <f t="shared" si="240"/>
        <v>0</v>
      </c>
      <c r="H2852" s="175">
        <f t="shared" si="233"/>
        <v>0</v>
      </c>
      <c r="I2852" s="177">
        <f>IF(G2852=0,0,IF(E2852="MXN",1/HLOOKUP(YEAR(C2852)+(MONTH(C2852)/100),TC!$5:$37,DAY(C2852)+2,FALSE),VLOOKUP(E2852,Equivalencia!$5:$23,((MAX(Equivalencia!$3:$3)-YEAR(C2852))*14)+MONTH(C2852)+2,FALSE)))</f>
        <v>0</v>
      </c>
      <c r="J2852" s="178">
        <f t="shared" si="241"/>
        <v>0</v>
      </c>
      <c r="K2852" s="462">
        <f>IF(C2852=0,0,VLOOKUP(YEAR(C2852),INPC!$B$4:$O$29,MONTH(C2852)+1))</f>
        <v>0</v>
      </c>
      <c r="L2852" s="462">
        <f>IF(S2852=0,0,VLOOKUP(YEAR(S2852),INPC!$B$4:$O$29,MONTH(S2852)+1))</f>
        <v>0</v>
      </c>
      <c r="M2852" s="463">
        <f t="shared" si="234"/>
        <v>0</v>
      </c>
      <c r="N2852" s="465">
        <f t="shared" si="242"/>
        <v>0</v>
      </c>
      <c r="O2852" s="179"/>
      <c r="P2852" s="180"/>
      <c r="Q2852" s="173"/>
      <c r="R2852" s="173"/>
      <c r="S2852" s="174"/>
      <c r="T2852" s="173"/>
      <c r="U2852" s="182"/>
      <c r="V2852" s="177">
        <f>IF(U2852=0,0,IF(T2852="MXN",1/HLOOKUP(YEAR(S2852)+(MONTH(S2852)/100),TC!$5:$37,DAY(S2852)+2,FALSE),VLOOKUP(T2852,Equivalencia!$1:$23,((MAX(Equivalencia!$3:$3)-YEAR(S2852))*14)+MONTH(S2852)+2,FALSE)))</f>
        <v>0</v>
      </c>
      <c r="W2852" s="178">
        <f t="shared" si="239"/>
        <v>0</v>
      </c>
      <c r="X2852" s="481">
        <f t="shared" si="235"/>
        <v>0</v>
      </c>
      <c r="Y2852" s="179"/>
      <c r="Z2852" s="466">
        <f t="shared" si="236"/>
        <v>0</v>
      </c>
      <c r="AA2852" s="473">
        <f t="shared" si="237"/>
        <v>0</v>
      </c>
      <c r="AB2852" s="339">
        <f t="shared" si="238"/>
        <v>0</v>
      </c>
    </row>
    <row r="2853" spans="2:28" ht="20.100000000000001" customHeight="1">
      <c r="B2853" s="172"/>
      <c r="C2853" s="174"/>
      <c r="D2853" s="181"/>
      <c r="E2853" s="173"/>
      <c r="F2853" s="176"/>
      <c r="G2853" s="175">
        <f t="shared" si="240"/>
        <v>0</v>
      </c>
      <c r="H2853" s="175">
        <f t="shared" si="233"/>
        <v>0</v>
      </c>
      <c r="I2853" s="177">
        <f>IF(G2853=0,0,IF(E2853="MXN",1/HLOOKUP(YEAR(C2853)+(MONTH(C2853)/100),TC!$5:$37,DAY(C2853)+2,FALSE),VLOOKUP(E2853,Equivalencia!$5:$23,((MAX(Equivalencia!$3:$3)-YEAR(C2853))*14)+MONTH(C2853)+2,FALSE)))</f>
        <v>0</v>
      </c>
      <c r="J2853" s="178">
        <f t="shared" si="241"/>
        <v>0</v>
      </c>
      <c r="K2853" s="462">
        <f>IF(C2853=0,0,VLOOKUP(YEAR(C2853),INPC!$B$4:$O$29,MONTH(C2853)+1))</f>
        <v>0</v>
      </c>
      <c r="L2853" s="462">
        <f>IF(S2853=0,0,VLOOKUP(YEAR(S2853),INPC!$B$4:$O$29,MONTH(S2853)+1))</f>
        <v>0</v>
      </c>
      <c r="M2853" s="463">
        <f t="shared" si="234"/>
        <v>0</v>
      </c>
      <c r="N2853" s="465">
        <f t="shared" si="242"/>
        <v>0</v>
      </c>
      <c r="O2853" s="179"/>
      <c r="P2853" s="180"/>
      <c r="Q2853" s="173"/>
      <c r="R2853" s="173"/>
      <c r="S2853" s="174"/>
      <c r="T2853" s="173"/>
      <c r="U2853" s="182"/>
      <c r="V2853" s="177">
        <f>IF(U2853=0,0,IF(T2853="MXN",1/HLOOKUP(YEAR(S2853)+(MONTH(S2853)/100),TC!$5:$37,DAY(S2853)+2,FALSE),VLOOKUP(T2853,Equivalencia!$1:$23,((MAX(Equivalencia!$3:$3)-YEAR(S2853))*14)+MONTH(S2853)+2,FALSE)))</f>
        <v>0</v>
      </c>
      <c r="W2853" s="178">
        <f t="shared" si="239"/>
        <v>0</v>
      </c>
      <c r="X2853" s="481">
        <f t="shared" si="235"/>
        <v>0</v>
      </c>
      <c r="Y2853" s="179"/>
      <c r="Z2853" s="466">
        <f t="shared" si="236"/>
        <v>0</v>
      </c>
      <c r="AA2853" s="473">
        <f t="shared" si="237"/>
        <v>0</v>
      </c>
      <c r="AB2853" s="339">
        <f t="shared" si="238"/>
        <v>0</v>
      </c>
    </row>
    <row r="2854" spans="2:28" ht="20.100000000000001" customHeight="1">
      <c r="B2854" s="172"/>
      <c r="C2854" s="174"/>
      <c r="D2854" s="181"/>
      <c r="E2854" s="173"/>
      <c r="F2854" s="176"/>
      <c r="G2854" s="175">
        <f t="shared" si="240"/>
        <v>0</v>
      </c>
      <c r="H2854" s="175">
        <f t="shared" si="233"/>
        <v>0</v>
      </c>
      <c r="I2854" s="177">
        <f>IF(G2854=0,0,IF(E2854="MXN",1/HLOOKUP(YEAR(C2854)+(MONTH(C2854)/100),TC!$5:$37,DAY(C2854)+2,FALSE),VLOOKUP(E2854,Equivalencia!$5:$23,((MAX(Equivalencia!$3:$3)-YEAR(C2854))*14)+MONTH(C2854)+2,FALSE)))</f>
        <v>0</v>
      </c>
      <c r="J2854" s="178">
        <f t="shared" si="241"/>
        <v>0</v>
      </c>
      <c r="K2854" s="462">
        <f>IF(C2854=0,0,VLOOKUP(YEAR(C2854),INPC!$B$4:$O$29,MONTH(C2854)+1))</f>
        <v>0</v>
      </c>
      <c r="L2854" s="462">
        <f>IF(S2854=0,0,VLOOKUP(YEAR(S2854),INPC!$B$4:$O$29,MONTH(S2854)+1))</f>
        <v>0</v>
      </c>
      <c r="M2854" s="463">
        <f t="shared" si="234"/>
        <v>0</v>
      </c>
      <c r="N2854" s="465">
        <f t="shared" si="242"/>
        <v>0</v>
      </c>
      <c r="O2854" s="179"/>
      <c r="P2854" s="180"/>
      <c r="Q2854" s="173"/>
      <c r="R2854" s="173"/>
      <c r="S2854" s="174"/>
      <c r="T2854" s="173"/>
      <c r="U2854" s="182"/>
      <c r="V2854" s="177">
        <f>IF(U2854=0,0,IF(T2854="MXN",1/HLOOKUP(YEAR(S2854)+(MONTH(S2854)/100),TC!$5:$37,DAY(S2854)+2,FALSE),VLOOKUP(T2854,Equivalencia!$1:$23,((MAX(Equivalencia!$3:$3)-YEAR(S2854))*14)+MONTH(S2854)+2,FALSE)))</f>
        <v>0</v>
      </c>
      <c r="W2854" s="178">
        <f t="shared" si="239"/>
        <v>0</v>
      </c>
      <c r="X2854" s="481">
        <f t="shared" si="235"/>
        <v>0</v>
      </c>
      <c r="Y2854" s="179"/>
      <c r="Z2854" s="466">
        <f t="shared" si="236"/>
        <v>0</v>
      </c>
      <c r="AA2854" s="473">
        <f t="shared" si="237"/>
        <v>0</v>
      </c>
      <c r="AB2854" s="339">
        <f t="shared" si="238"/>
        <v>0</v>
      </c>
    </row>
    <row r="2855" spans="2:28" ht="20.100000000000001" customHeight="1">
      <c r="B2855" s="172"/>
      <c r="C2855" s="174"/>
      <c r="D2855" s="181"/>
      <c r="E2855" s="173"/>
      <c r="F2855" s="176"/>
      <c r="G2855" s="175">
        <f t="shared" si="240"/>
        <v>0</v>
      </c>
      <c r="H2855" s="175">
        <f t="shared" si="233"/>
        <v>0</v>
      </c>
      <c r="I2855" s="177">
        <f>IF(G2855=0,0,IF(E2855="MXN",1/HLOOKUP(YEAR(C2855)+(MONTH(C2855)/100),TC!$5:$37,DAY(C2855)+2,FALSE),VLOOKUP(E2855,Equivalencia!$5:$23,((MAX(Equivalencia!$3:$3)-YEAR(C2855))*14)+MONTH(C2855)+2,FALSE)))</f>
        <v>0</v>
      </c>
      <c r="J2855" s="178">
        <f t="shared" si="241"/>
        <v>0</v>
      </c>
      <c r="K2855" s="462">
        <f>IF(C2855=0,0,VLOOKUP(YEAR(C2855),INPC!$B$4:$O$29,MONTH(C2855)+1))</f>
        <v>0</v>
      </c>
      <c r="L2855" s="462">
        <f>IF(S2855=0,0,VLOOKUP(YEAR(S2855),INPC!$B$4:$O$29,MONTH(S2855)+1))</f>
        <v>0</v>
      </c>
      <c r="M2855" s="463">
        <f t="shared" si="234"/>
        <v>0</v>
      </c>
      <c r="N2855" s="465">
        <f t="shared" si="242"/>
        <v>0</v>
      </c>
      <c r="O2855" s="179"/>
      <c r="P2855" s="180"/>
      <c r="Q2855" s="173"/>
      <c r="R2855" s="173"/>
      <c r="S2855" s="174"/>
      <c r="T2855" s="173"/>
      <c r="U2855" s="182"/>
      <c r="V2855" s="177">
        <f>IF(U2855=0,0,IF(T2855="MXN",1/HLOOKUP(YEAR(S2855)+(MONTH(S2855)/100),TC!$5:$37,DAY(S2855)+2,FALSE),VLOOKUP(T2855,Equivalencia!$1:$23,((MAX(Equivalencia!$3:$3)-YEAR(S2855))*14)+MONTH(S2855)+2,FALSE)))</f>
        <v>0</v>
      </c>
      <c r="W2855" s="178">
        <f t="shared" si="239"/>
        <v>0</v>
      </c>
      <c r="X2855" s="481">
        <f t="shared" si="235"/>
        <v>0</v>
      </c>
      <c r="Y2855" s="179"/>
      <c r="Z2855" s="466">
        <f t="shared" si="236"/>
        <v>0</v>
      </c>
      <c r="AA2855" s="473">
        <f t="shared" si="237"/>
        <v>0</v>
      </c>
      <c r="AB2855" s="339">
        <f t="shared" si="238"/>
        <v>0</v>
      </c>
    </row>
    <row r="2856" spans="2:28" ht="20.100000000000001" customHeight="1">
      <c r="B2856" s="172"/>
      <c r="C2856" s="174"/>
      <c r="D2856" s="181"/>
      <c r="E2856" s="173"/>
      <c r="F2856" s="176"/>
      <c r="G2856" s="175">
        <f t="shared" si="240"/>
        <v>0</v>
      </c>
      <c r="H2856" s="175">
        <f t="shared" si="233"/>
        <v>0</v>
      </c>
      <c r="I2856" s="177">
        <f>IF(G2856=0,0,IF(E2856="MXN",1/HLOOKUP(YEAR(C2856)+(MONTH(C2856)/100),TC!$5:$37,DAY(C2856)+2,FALSE),VLOOKUP(E2856,Equivalencia!$5:$23,((MAX(Equivalencia!$3:$3)-YEAR(C2856))*14)+MONTH(C2856)+2,FALSE)))</f>
        <v>0</v>
      </c>
      <c r="J2856" s="178">
        <f t="shared" si="241"/>
        <v>0</v>
      </c>
      <c r="K2856" s="462">
        <f>IF(C2856=0,0,VLOOKUP(YEAR(C2856),INPC!$B$4:$O$29,MONTH(C2856)+1))</f>
        <v>0</v>
      </c>
      <c r="L2856" s="462">
        <f>IF(S2856=0,0,VLOOKUP(YEAR(S2856),INPC!$B$4:$O$29,MONTH(S2856)+1))</f>
        <v>0</v>
      </c>
      <c r="M2856" s="463">
        <f t="shared" si="234"/>
        <v>0</v>
      </c>
      <c r="N2856" s="465">
        <f t="shared" si="242"/>
        <v>0</v>
      </c>
      <c r="O2856" s="179"/>
      <c r="P2856" s="180"/>
      <c r="Q2856" s="173"/>
      <c r="R2856" s="173"/>
      <c r="S2856" s="174"/>
      <c r="T2856" s="173"/>
      <c r="U2856" s="182"/>
      <c r="V2856" s="177">
        <f>IF(U2856=0,0,IF(T2856="MXN",1/HLOOKUP(YEAR(S2856)+(MONTH(S2856)/100),TC!$5:$37,DAY(S2856)+2,FALSE),VLOOKUP(T2856,Equivalencia!$1:$23,((MAX(Equivalencia!$3:$3)-YEAR(S2856))*14)+MONTH(S2856)+2,FALSE)))</f>
        <v>0</v>
      </c>
      <c r="W2856" s="178">
        <f t="shared" si="239"/>
        <v>0</v>
      </c>
      <c r="X2856" s="481">
        <f t="shared" si="235"/>
        <v>0</v>
      </c>
      <c r="Y2856" s="179"/>
      <c r="Z2856" s="466">
        <f t="shared" si="236"/>
        <v>0</v>
      </c>
      <c r="AA2856" s="473">
        <f t="shared" si="237"/>
        <v>0</v>
      </c>
      <c r="AB2856" s="339">
        <f t="shared" si="238"/>
        <v>0</v>
      </c>
    </row>
    <row r="2857" spans="2:28" ht="20.100000000000001" customHeight="1">
      <c r="B2857" s="172"/>
      <c r="C2857" s="174"/>
      <c r="D2857" s="181"/>
      <c r="E2857" s="173"/>
      <c r="F2857" s="176"/>
      <c r="G2857" s="175">
        <f t="shared" si="240"/>
        <v>0</v>
      </c>
      <c r="H2857" s="175">
        <f t="shared" si="233"/>
        <v>0</v>
      </c>
      <c r="I2857" s="177">
        <f>IF(G2857=0,0,IF(E2857="MXN",1/HLOOKUP(YEAR(C2857)+(MONTH(C2857)/100),TC!$5:$37,DAY(C2857)+2,FALSE),VLOOKUP(E2857,Equivalencia!$5:$23,((MAX(Equivalencia!$3:$3)-YEAR(C2857))*14)+MONTH(C2857)+2,FALSE)))</f>
        <v>0</v>
      </c>
      <c r="J2857" s="178">
        <f t="shared" si="241"/>
        <v>0</v>
      </c>
      <c r="K2857" s="462">
        <f>IF(C2857=0,0,VLOOKUP(YEAR(C2857),INPC!$B$4:$O$29,MONTH(C2857)+1))</f>
        <v>0</v>
      </c>
      <c r="L2857" s="462">
        <f>IF(S2857=0,0,VLOOKUP(YEAR(S2857),INPC!$B$4:$O$29,MONTH(S2857)+1))</f>
        <v>0</v>
      </c>
      <c r="M2857" s="463">
        <f t="shared" si="234"/>
        <v>0</v>
      </c>
      <c r="N2857" s="465">
        <f t="shared" si="242"/>
        <v>0</v>
      </c>
      <c r="O2857" s="179"/>
      <c r="P2857" s="180"/>
      <c r="Q2857" s="173"/>
      <c r="R2857" s="173"/>
      <c r="S2857" s="174"/>
      <c r="T2857" s="173"/>
      <c r="U2857" s="182"/>
      <c r="V2857" s="177">
        <f>IF(U2857=0,0,IF(T2857="MXN",1/HLOOKUP(YEAR(S2857)+(MONTH(S2857)/100),TC!$5:$37,DAY(S2857)+2,FALSE),VLOOKUP(T2857,Equivalencia!$1:$23,((MAX(Equivalencia!$3:$3)-YEAR(S2857))*14)+MONTH(S2857)+2,FALSE)))</f>
        <v>0</v>
      </c>
      <c r="W2857" s="178">
        <f t="shared" si="239"/>
        <v>0</v>
      </c>
      <c r="X2857" s="481">
        <f t="shared" si="235"/>
        <v>0</v>
      </c>
      <c r="Y2857" s="179"/>
      <c r="Z2857" s="466">
        <f t="shared" si="236"/>
        <v>0</v>
      </c>
      <c r="AA2857" s="473">
        <f t="shared" si="237"/>
        <v>0</v>
      </c>
      <c r="AB2857" s="339">
        <f t="shared" si="238"/>
        <v>0</v>
      </c>
    </row>
    <row r="2858" spans="2:28" ht="20.100000000000001" customHeight="1">
      <c r="B2858" s="172"/>
      <c r="C2858" s="174"/>
      <c r="D2858" s="181"/>
      <c r="E2858" s="173"/>
      <c r="F2858" s="176"/>
      <c r="G2858" s="175">
        <f t="shared" si="240"/>
        <v>0</v>
      </c>
      <c r="H2858" s="175">
        <f t="shared" si="233"/>
        <v>0</v>
      </c>
      <c r="I2858" s="177">
        <f>IF(G2858=0,0,IF(E2858="MXN",1/HLOOKUP(YEAR(C2858)+(MONTH(C2858)/100),TC!$5:$37,DAY(C2858)+2,FALSE),VLOOKUP(E2858,Equivalencia!$5:$23,((MAX(Equivalencia!$3:$3)-YEAR(C2858))*14)+MONTH(C2858)+2,FALSE)))</f>
        <v>0</v>
      </c>
      <c r="J2858" s="178">
        <f t="shared" si="241"/>
        <v>0</v>
      </c>
      <c r="K2858" s="462">
        <f>IF(C2858=0,0,VLOOKUP(YEAR(C2858),INPC!$B$4:$O$29,MONTH(C2858)+1))</f>
        <v>0</v>
      </c>
      <c r="L2858" s="462">
        <f>IF(S2858=0,0,VLOOKUP(YEAR(S2858),INPC!$B$4:$O$29,MONTH(S2858)+1))</f>
        <v>0</v>
      </c>
      <c r="M2858" s="463">
        <f t="shared" si="234"/>
        <v>0</v>
      </c>
      <c r="N2858" s="465">
        <f t="shared" si="242"/>
        <v>0</v>
      </c>
      <c r="O2858" s="179"/>
      <c r="P2858" s="180"/>
      <c r="Q2858" s="173"/>
      <c r="R2858" s="173"/>
      <c r="S2858" s="174"/>
      <c r="T2858" s="173"/>
      <c r="U2858" s="182"/>
      <c r="V2858" s="177">
        <f>IF(U2858=0,0,IF(T2858="MXN",1/HLOOKUP(YEAR(S2858)+(MONTH(S2858)/100),TC!$5:$37,DAY(S2858)+2,FALSE),VLOOKUP(T2858,Equivalencia!$1:$23,((MAX(Equivalencia!$3:$3)-YEAR(S2858))*14)+MONTH(S2858)+2,FALSE)))</f>
        <v>0</v>
      </c>
      <c r="W2858" s="178">
        <f t="shared" si="239"/>
        <v>0</v>
      </c>
      <c r="X2858" s="481">
        <f t="shared" si="235"/>
        <v>0</v>
      </c>
      <c r="Y2858" s="179"/>
      <c r="Z2858" s="466">
        <f t="shared" si="236"/>
        <v>0</v>
      </c>
      <c r="AA2858" s="473">
        <f t="shared" si="237"/>
        <v>0</v>
      </c>
      <c r="AB2858" s="339">
        <f t="shared" si="238"/>
        <v>0</v>
      </c>
    </row>
    <row r="2859" spans="2:28" ht="20.100000000000001" customHeight="1">
      <c r="B2859" s="172"/>
      <c r="C2859" s="174"/>
      <c r="D2859" s="181"/>
      <c r="E2859" s="173"/>
      <c r="F2859" s="176"/>
      <c r="G2859" s="175">
        <f t="shared" si="240"/>
        <v>0</v>
      </c>
      <c r="H2859" s="175">
        <f t="shared" si="233"/>
        <v>0</v>
      </c>
      <c r="I2859" s="177">
        <f>IF(G2859=0,0,IF(E2859="MXN",1/HLOOKUP(YEAR(C2859)+(MONTH(C2859)/100),TC!$5:$37,DAY(C2859)+2,FALSE),VLOOKUP(E2859,Equivalencia!$5:$23,((MAX(Equivalencia!$3:$3)-YEAR(C2859))*14)+MONTH(C2859)+2,FALSE)))</f>
        <v>0</v>
      </c>
      <c r="J2859" s="178">
        <f t="shared" si="241"/>
        <v>0</v>
      </c>
      <c r="K2859" s="462">
        <f>IF(C2859=0,0,VLOOKUP(YEAR(C2859),INPC!$B$4:$O$29,MONTH(C2859)+1))</f>
        <v>0</v>
      </c>
      <c r="L2859" s="462">
        <f>IF(S2859=0,0,VLOOKUP(YEAR(S2859),INPC!$B$4:$O$29,MONTH(S2859)+1))</f>
        <v>0</v>
      </c>
      <c r="M2859" s="463">
        <f t="shared" si="234"/>
        <v>0</v>
      </c>
      <c r="N2859" s="465">
        <f t="shared" si="242"/>
        <v>0</v>
      </c>
      <c r="O2859" s="179"/>
      <c r="P2859" s="180"/>
      <c r="Q2859" s="173"/>
      <c r="R2859" s="173"/>
      <c r="S2859" s="174"/>
      <c r="T2859" s="173"/>
      <c r="U2859" s="182"/>
      <c r="V2859" s="177">
        <f>IF(U2859=0,0,IF(T2859="MXN",1/HLOOKUP(YEAR(S2859)+(MONTH(S2859)/100),TC!$5:$37,DAY(S2859)+2,FALSE),VLOOKUP(T2859,Equivalencia!$1:$23,((MAX(Equivalencia!$3:$3)-YEAR(S2859))*14)+MONTH(S2859)+2,FALSE)))</f>
        <v>0</v>
      </c>
      <c r="W2859" s="178">
        <f t="shared" si="239"/>
        <v>0</v>
      </c>
      <c r="X2859" s="481">
        <f t="shared" si="235"/>
        <v>0</v>
      </c>
      <c r="Y2859" s="179"/>
      <c r="Z2859" s="466">
        <f t="shared" si="236"/>
        <v>0</v>
      </c>
      <c r="AA2859" s="473">
        <f t="shared" si="237"/>
        <v>0</v>
      </c>
      <c r="AB2859" s="339">
        <f t="shared" si="238"/>
        <v>0</v>
      </c>
    </row>
    <row r="2860" spans="2:28" ht="20.100000000000001" customHeight="1">
      <c r="B2860" s="172"/>
      <c r="C2860" s="174"/>
      <c r="D2860" s="181"/>
      <c r="E2860" s="173"/>
      <c r="F2860" s="176"/>
      <c r="G2860" s="175">
        <f t="shared" si="240"/>
        <v>0</v>
      </c>
      <c r="H2860" s="175">
        <f t="shared" si="233"/>
        <v>0</v>
      </c>
      <c r="I2860" s="177">
        <f>IF(G2860=0,0,IF(E2860="MXN",1/HLOOKUP(YEAR(C2860)+(MONTH(C2860)/100),TC!$5:$37,DAY(C2860)+2,FALSE),VLOOKUP(E2860,Equivalencia!$5:$23,((MAX(Equivalencia!$3:$3)-YEAR(C2860))*14)+MONTH(C2860)+2,FALSE)))</f>
        <v>0</v>
      </c>
      <c r="J2860" s="178">
        <f t="shared" si="241"/>
        <v>0</v>
      </c>
      <c r="K2860" s="462">
        <f>IF(C2860=0,0,VLOOKUP(YEAR(C2860),INPC!$B$4:$O$29,MONTH(C2860)+1))</f>
        <v>0</v>
      </c>
      <c r="L2860" s="462">
        <f>IF(S2860=0,0,VLOOKUP(YEAR(S2860),INPC!$B$4:$O$29,MONTH(S2860)+1))</f>
        <v>0</v>
      </c>
      <c r="M2860" s="463">
        <f t="shared" si="234"/>
        <v>0</v>
      </c>
      <c r="N2860" s="465">
        <f t="shared" si="242"/>
        <v>0</v>
      </c>
      <c r="O2860" s="179"/>
      <c r="P2860" s="180"/>
      <c r="Q2860" s="173"/>
      <c r="R2860" s="173"/>
      <c r="S2860" s="174"/>
      <c r="T2860" s="173"/>
      <c r="U2860" s="182"/>
      <c r="V2860" s="177">
        <f>IF(U2860=0,0,IF(T2860="MXN",1/HLOOKUP(YEAR(S2860)+(MONTH(S2860)/100),TC!$5:$37,DAY(S2860)+2,FALSE),VLOOKUP(T2860,Equivalencia!$1:$23,((MAX(Equivalencia!$3:$3)-YEAR(S2860))*14)+MONTH(S2860)+2,FALSE)))</f>
        <v>0</v>
      </c>
      <c r="W2860" s="178">
        <f t="shared" si="239"/>
        <v>0</v>
      </c>
      <c r="X2860" s="481">
        <f t="shared" si="235"/>
        <v>0</v>
      </c>
      <c r="Y2860" s="179"/>
      <c r="Z2860" s="466">
        <f t="shared" si="236"/>
        <v>0</v>
      </c>
      <c r="AA2860" s="473">
        <f t="shared" si="237"/>
        <v>0</v>
      </c>
      <c r="AB2860" s="339">
        <f t="shared" si="238"/>
        <v>0</v>
      </c>
    </row>
    <row r="2861" spans="2:28" ht="20.100000000000001" customHeight="1">
      <c r="B2861" s="172"/>
      <c r="C2861" s="174"/>
      <c r="D2861" s="181"/>
      <c r="E2861" s="173"/>
      <c r="F2861" s="176"/>
      <c r="G2861" s="175">
        <f t="shared" si="240"/>
        <v>0</v>
      </c>
      <c r="H2861" s="175">
        <f t="shared" si="233"/>
        <v>0</v>
      </c>
      <c r="I2861" s="177">
        <f>IF(G2861=0,0,IF(E2861="MXN",1/HLOOKUP(YEAR(C2861)+(MONTH(C2861)/100),TC!$5:$37,DAY(C2861)+2,FALSE),VLOOKUP(E2861,Equivalencia!$5:$23,((MAX(Equivalencia!$3:$3)-YEAR(C2861))*14)+MONTH(C2861)+2,FALSE)))</f>
        <v>0</v>
      </c>
      <c r="J2861" s="178">
        <f t="shared" si="241"/>
        <v>0</v>
      </c>
      <c r="K2861" s="462">
        <f>IF(C2861=0,0,VLOOKUP(YEAR(C2861),INPC!$B$4:$O$29,MONTH(C2861)+1))</f>
        <v>0</v>
      </c>
      <c r="L2861" s="462">
        <f>IF(S2861=0,0,VLOOKUP(YEAR(S2861),INPC!$B$4:$O$29,MONTH(S2861)+1))</f>
        <v>0</v>
      </c>
      <c r="M2861" s="463">
        <f t="shared" si="234"/>
        <v>0</v>
      </c>
      <c r="N2861" s="465">
        <f t="shared" si="242"/>
        <v>0</v>
      </c>
      <c r="O2861" s="179"/>
      <c r="P2861" s="180"/>
      <c r="Q2861" s="173"/>
      <c r="R2861" s="173"/>
      <c r="S2861" s="174"/>
      <c r="T2861" s="173"/>
      <c r="U2861" s="182"/>
      <c r="V2861" s="177">
        <f>IF(U2861=0,0,IF(T2861="MXN",1/HLOOKUP(YEAR(S2861)+(MONTH(S2861)/100),TC!$5:$37,DAY(S2861)+2,FALSE),VLOOKUP(T2861,Equivalencia!$1:$23,((MAX(Equivalencia!$3:$3)-YEAR(S2861))*14)+MONTH(S2861)+2,FALSE)))</f>
        <v>0</v>
      </c>
      <c r="W2861" s="178">
        <f t="shared" si="239"/>
        <v>0</v>
      </c>
      <c r="X2861" s="481">
        <f t="shared" si="235"/>
        <v>0</v>
      </c>
      <c r="Y2861" s="179"/>
      <c r="Z2861" s="466">
        <f t="shared" si="236"/>
        <v>0</v>
      </c>
      <c r="AA2861" s="473">
        <f t="shared" si="237"/>
        <v>0</v>
      </c>
      <c r="AB2861" s="339">
        <f t="shared" si="238"/>
        <v>0</v>
      </c>
    </row>
    <row r="2862" spans="2:28" ht="20.100000000000001" customHeight="1">
      <c r="B2862" s="172"/>
      <c r="C2862" s="174"/>
      <c r="D2862" s="181"/>
      <c r="E2862" s="173"/>
      <c r="F2862" s="176"/>
      <c r="G2862" s="175">
        <f t="shared" si="240"/>
        <v>0</v>
      </c>
      <c r="H2862" s="175">
        <f t="shared" si="233"/>
        <v>0</v>
      </c>
      <c r="I2862" s="177">
        <f>IF(G2862=0,0,IF(E2862="MXN",1/HLOOKUP(YEAR(C2862)+(MONTH(C2862)/100),TC!$5:$37,DAY(C2862)+2,FALSE),VLOOKUP(E2862,Equivalencia!$5:$23,((MAX(Equivalencia!$3:$3)-YEAR(C2862))*14)+MONTH(C2862)+2,FALSE)))</f>
        <v>0</v>
      </c>
      <c r="J2862" s="178">
        <f t="shared" si="241"/>
        <v>0</v>
      </c>
      <c r="K2862" s="462">
        <f>IF(C2862=0,0,VLOOKUP(YEAR(C2862),INPC!$B$4:$O$29,MONTH(C2862)+1))</f>
        <v>0</v>
      </c>
      <c r="L2862" s="462">
        <f>IF(S2862=0,0,VLOOKUP(YEAR(S2862),INPC!$B$4:$O$29,MONTH(S2862)+1))</f>
        <v>0</v>
      </c>
      <c r="M2862" s="463">
        <f t="shared" si="234"/>
        <v>0</v>
      </c>
      <c r="N2862" s="465">
        <f t="shared" si="242"/>
        <v>0</v>
      </c>
      <c r="O2862" s="179"/>
      <c r="P2862" s="180"/>
      <c r="Q2862" s="173"/>
      <c r="R2862" s="173"/>
      <c r="S2862" s="174"/>
      <c r="T2862" s="173"/>
      <c r="U2862" s="182"/>
      <c r="V2862" s="177">
        <f>IF(U2862=0,0,IF(T2862="MXN",1/HLOOKUP(YEAR(S2862)+(MONTH(S2862)/100),TC!$5:$37,DAY(S2862)+2,FALSE),VLOOKUP(T2862,Equivalencia!$1:$23,((MAX(Equivalencia!$3:$3)-YEAR(S2862))*14)+MONTH(S2862)+2,FALSE)))</f>
        <v>0</v>
      </c>
      <c r="W2862" s="178">
        <f t="shared" si="239"/>
        <v>0</v>
      </c>
      <c r="X2862" s="481">
        <f t="shared" si="235"/>
        <v>0</v>
      </c>
      <c r="Y2862" s="179"/>
      <c r="Z2862" s="466">
        <f t="shared" si="236"/>
        <v>0</v>
      </c>
      <c r="AA2862" s="473">
        <f t="shared" si="237"/>
        <v>0</v>
      </c>
      <c r="AB2862" s="339">
        <f t="shared" si="238"/>
        <v>0</v>
      </c>
    </row>
    <row r="2863" spans="2:28" ht="20.100000000000001" customHeight="1">
      <c r="B2863" s="172"/>
      <c r="C2863" s="174"/>
      <c r="D2863" s="181"/>
      <c r="E2863" s="173"/>
      <c r="F2863" s="176"/>
      <c r="G2863" s="175">
        <f t="shared" si="240"/>
        <v>0</v>
      </c>
      <c r="H2863" s="175">
        <f t="shared" si="233"/>
        <v>0</v>
      </c>
      <c r="I2863" s="177">
        <f>IF(G2863=0,0,IF(E2863="MXN",1/HLOOKUP(YEAR(C2863)+(MONTH(C2863)/100),TC!$5:$37,DAY(C2863)+2,FALSE),VLOOKUP(E2863,Equivalencia!$5:$23,((MAX(Equivalencia!$3:$3)-YEAR(C2863))*14)+MONTH(C2863)+2,FALSE)))</f>
        <v>0</v>
      </c>
      <c r="J2863" s="178">
        <f t="shared" si="241"/>
        <v>0</v>
      </c>
      <c r="K2863" s="462">
        <f>IF(C2863=0,0,VLOOKUP(YEAR(C2863),INPC!$B$4:$O$29,MONTH(C2863)+1))</f>
        <v>0</v>
      </c>
      <c r="L2863" s="462">
        <f>IF(S2863=0,0,VLOOKUP(YEAR(S2863),INPC!$B$4:$O$29,MONTH(S2863)+1))</f>
        <v>0</v>
      </c>
      <c r="M2863" s="463">
        <f t="shared" si="234"/>
        <v>0</v>
      </c>
      <c r="N2863" s="465">
        <f t="shared" si="242"/>
        <v>0</v>
      </c>
      <c r="O2863" s="179"/>
      <c r="P2863" s="180"/>
      <c r="Q2863" s="173"/>
      <c r="R2863" s="173"/>
      <c r="S2863" s="174"/>
      <c r="T2863" s="173"/>
      <c r="U2863" s="182"/>
      <c r="V2863" s="177">
        <f>IF(U2863=0,0,IF(T2863="MXN",1/HLOOKUP(YEAR(S2863)+(MONTH(S2863)/100),TC!$5:$37,DAY(S2863)+2,FALSE),VLOOKUP(T2863,Equivalencia!$1:$23,((MAX(Equivalencia!$3:$3)-YEAR(S2863))*14)+MONTH(S2863)+2,FALSE)))</f>
        <v>0</v>
      </c>
      <c r="W2863" s="178">
        <f t="shared" si="239"/>
        <v>0</v>
      </c>
      <c r="X2863" s="481">
        <f t="shared" si="235"/>
        <v>0</v>
      </c>
      <c r="Y2863" s="179"/>
      <c r="Z2863" s="466">
        <f t="shared" si="236"/>
        <v>0</v>
      </c>
      <c r="AA2863" s="473">
        <f t="shared" si="237"/>
        <v>0</v>
      </c>
      <c r="AB2863" s="339">
        <f t="shared" si="238"/>
        <v>0</v>
      </c>
    </row>
    <row r="2864" spans="2:28" ht="20.100000000000001" customHeight="1">
      <c r="B2864" s="172"/>
      <c r="C2864" s="174"/>
      <c r="D2864" s="181"/>
      <c r="E2864" s="173"/>
      <c r="F2864" s="176"/>
      <c r="G2864" s="175">
        <f t="shared" si="240"/>
        <v>0</v>
      </c>
      <c r="H2864" s="175">
        <f t="shared" si="233"/>
        <v>0</v>
      </c>
      <c r="I2864" s="177">
        <f>IF(G2864=0,0,IF(E2864="MXN",1/HLOOKUP(YEAR(C2864)+(MONTH(C2864)/100),TC!$5:$37,DAY(C2864)+2,FALSE),VLOOKUP(E2864,Equivalencia!$5:$23,((MAX(Equivalencia!$3:$3)-YEAR(C2864))*14)+MONTH(C2864)+2,FALSE)))</f>
        <v>0</v>
      </c>
      <c r="J2864" s="178">
        <f t="shared" si="241"/>
        <v>0</v>
      </c>
      <c r="K2864" s="462">
        <f>IF(C2864=0,0,VLOOKUP(YEAR(C2864),INPC!$B$4:$O$29,MONTH(C2864)+1))</f>
        <v>0</v>
      </c>
      <c r="L2864" s="462">
        <f>IF(S2864=0,0,VLOOKUP(YEAR(S2864),INPC!$B$4:$O$29,MONTH(S2864)+1))</f>
        <v>0</v>
      </c>
      <c r="M2864" s="463">
        <f t="shared" si="234"/>
        <v>0</v>
      </c>
      <c r="N2864" s="465">
        <f t="shared" si="242"/>
        <v>0</v>
      </c>
      <c r="O2864" s="179"/>
      <c r="P2864" s="180"/>
      <c r="Q2864" s="173"/>
      <c r="R2864" s="173"/>
      <c r="S2864" s="174"/>
      <c r="T2864" s="173"/>
      <c r="U2864" s="182"/>
      <c r="V2864" s="177">
        <f>IF(U2864=0,0,IF(T2864="MXN",1/HLOOKUP(YEAR(S2864)+(MONTH(S2864)/100),TC!$5:$37,DAY(S2864)+2,FALSE),VLOOKUP(T2864,Equivalencia!$1:$23,((MAX(Equivalencia!$3:$3)-YEAR(S2864))*14)+MONTH(S2864)+2,FALSE)))</f>
        <v>0</v>
      </c>
      <c r="W2864" s="178">
        <f t="shared" si="239"/>
        <v>0</v>
      </c>
      <c r="X2864" s="481">
        <f t="shared" si="235"/>
        <v>0</v>
      </c>
      <c r="Y2864" s="179"/>
      <c r="Z2864" s="466">
        <f t="shared" si="236"/>
        <v>0</v>
      </c>
      <c r="AA2864" s="473">
        <f t="shared" si="237"/>
        <v>0</v>
      </c>
      <c r="AB2864" s="339">
        <f t="shared" si="238"/>
        <v>0</v>
      </c>
    </row>
    <row r="2865" spans="2:28" ht="20.100000000000001" customHeight="1">
      <c r="B2865" s="172"/>
      <c r="C2865" s="174"/>
      <c r="D2865" s="181"/>
      <c r="E2865" s="173"/>
      <c r="F2865" s="176"/>
      <c r="G2865" s="175">
        <f t="shared" si="240"/>
        <v>0</v>
      </c>
      <c r="H2865" s="175">
        <f t="shared" si="233"/>
        <v>0</v>
      </c>
      <c r="I2865" s="177">
        <f>IF(G2865=0,0,IF(E2865="MXN",1/HLOOKUP(YEAR(C2865)+(MONTH(C2865)/100),TC!$5:$37,DAY(C2865)+2,FALSE),VLOOKUP(E2865,Equivalencia!$5:$23,((MAX(Equivalencia!$3:$3)-YEAR(C2865))*14)+MONTH(C2865)+2,FALSE)))</f>
        <v>0</v>
      </c>
      <c r="J2865" s="178">
        <f t="shared" si="241"/>
        <v>0</v>
      </c>
      <c r="K2865" s="462">
        <f>IF(C2865=0,0,VLOOKUP(YEAR(C2865),INPC!$B$4:$O$29,MONTH(C2865)+1))</f>
        <v>0</v>
      </c>
      <c r="L2865" s="462">
        <f>IF(S2865=0,0,VLOOKUP(YEAR(S2865),INPC!$B$4:$O$29,MONTH(S2865)+1))</f>
        <v>0</v>
      </c>
      <c r="M2865" s="463">
        <f t="shared" si="234"/>
        <v>0</v>
      </c>
      <c r="N2865" s="465">
        <f t="shared" si="242"/>
        <v>0</v>
      </c>
      <c r="O2865" s="179"/>
      <c r="P2865" s="180"/>
      <c r="Q2865" s="173"/>
      <c r="R2865" s="173"/>
      <c r="S2865" s="174"/>
      <c r="T2865" s="173"/>
      <c r="U2865" s="182"/>
      <c r="V2865" s="177">
        <f>IF(U2865=0,0,IF(T2865="MXN",1/HLOOKUP(YEAR(S2865)+(MONTH(S2865)/100),TC!$5:$37,DAY(S2865)+2,FALSE),VLOOKUP(T2865,Equivalencia!$1:$23,((MAX(Equivalencia!$3:$3)-YEAR(S2865))*14)+MONTH(S2865)+2,FALSE)))</f>
        <v>0</v>
      </c>
      <c r="W2865" s="178">
        <f t="shared" si="239"/>
        <v>0</v>
      </c>
      <c r="X2865" s="481">
        <f t="shared" si="235"/>
        <v>0</v>
      </c>
      <c r="Y2865" s="179"/>
      <c r="Z2865" s="466">
        <f t="shared" si="236"/>
        <v>0</v>
      </c>
      <c r="AA2865" s="473">
        <f t="shared" si="237"/>
        <v>0</v>
      </c>
      <c r="AB2865" s="339">
        <f t="shared" si="238"/>
        <v>0</v>
      </c>
    </row>
    <row r="2866" spans="2:28" ht="20.100000000000001" customHeight="1">
      <c r="B2866" s="172"/>
      <c r="C2866" s="174"/>
      <c r="D2866" s="181"/>
      <c r="E2866" s="173"/>
      <c r="F2866" s="176"/>
      <c r="G2866" s="175">
        <f t="shared" si="240"/>
        <v>0</v>
      </c>
      <c r="H2866" s="175">
        <f t="shared" si="233"/>
        <v>0</v>
      </c>
      <c r="I2866" s="177">
        <f>IF(G2866=0,0,IF(E2866="MXN",1/HLOOKUP(YEAR(C2866)+(MONTH(C2866)/100),TC!$5:$37,DAY(C2866)+2,FALSE),VLOOKUP(E2866,Equivalencia!$5:$23,((MAX(Equivalencia!$3:$3)-YEAR(C2866))*14)+MONTH(C2866)+2,FALSE)))</f>
        <v>0</v>
      </c>
      <c r="J2866" s="178">
        <f t="shared" si="241"/>
        <v>0</v>
      </c>
      <c r="K2866" s="462">
        <f>IF(C2866=0,0,VLOOKUP(YEAR(C2866),INPC!$B$4:$O$29,MONTH(C2866)+1))</f>
        <v>0</v>
      </c>
      <c r="L2866" s="462">
        <f>IF(S2866=0,0,VLOOKUP(YEAR(S2866),INPC!$B$4:$O$29,MONTH(S2866)+1))</f>
        <v>0</v>
      </c>
      <c r="M2866" s="463">
        <f t="shared" si="234"/>
        <v>0</v>
      </c>
      <c r="N2866" s="465">
        <f t="shared" si="242"/>
        <v>0</v>
      </c>
      <c r="O2866" s="179"/>
      <c r="P2866" s="180"/>
      <c r="Q2866" s="173"/>
      <c r="R2866" s="173"/>
      <c r="S2866" s="174"/>
      <c r="T2866" s="173"/>
      <c r="U2866" s="182"/>
      <c r="V2866" s="177">
        <f>IF(U2866=0,0,IF(T2866="MXN",1/HLOOKUP(YEAR(S2866)+(MONTH(S2866)/100),TC!$5:$37,DAY(S2866)+2,FALSE),VLOOKUP(T2866,Equivalencia!$1:$23,((MAX(Equivalencia!$3:$3)-YEAR(S2866))*14)+MONTH(S2866)+2,FALSE)))</f>
        <v>0</v>
      </c>
      <c r="W2866" s="178">
        <f t="shared" si="239"/>
        <v>0</v>
      </c>
      <c r="X2866" s="481">
        <f t="shared" si="235"/>
        <v>0</v>
      </c>
      <c r="Y2866" s="179"/>
      <c r="Z2866" s="466">
        <f t="shared" si="236"/>
        <v>0</v>
      </c>
      <c r="AA2866" s="473">
        <f t="shared" si="237"/>
        <v>0</v>
      </c>
      <c r="AB2866" s="339">
        <f t="shared" si="238"/>
        <v>0</v>
      </c>
    </row>
    <row r="2867" spans="2:28" ht="20.100000000000001" customHeight="1">
      <c r="B2867" s="172"/>
      <c r="C2867" s="174"/>
      <c r="D2867" s="181"/>
      <c r="E2867" s="173"/>
      <c r="F2867" s="176"/>
      <c r="G2867" s="175">
        <f t="shared" si="240"/>
        <v>0</v>
      </c>
      <c r="H2867" s="175">
        <f t="shared" si="233"/>
        <v>0</v>
      </c>
      <c r="I2867" s="177">
        <f>IF(G2867=0,0,IF(E2867="MXN",1/HLOOKUP(YEAR(C2867)+(MONTH(C2867)/100),TC!$5:$37,DAY(C2867)+2,FALSE),VLOOKUP(E2867,Equivalencia!$5:$23,((MAX(Equivalencia!$3:$3)-YEAR(C2867))*14)+MONTH(C2867)+2,FALSE)))</f>
        <v>0</v>
      </c>
      <c r="J2867" s="178">
        <f t="shared" si="241"/>
        <v>0</v>
      </c>
      <c r="K2867" s="462">
        <f>IF(C2867=0,0,VLOOKUP(YEAR(C2867),INPC!$B$4:$O$29,MONTH(C2867)+1))</f>
        <v>0</v>
      </c>
      <c r="L2867" s="462">
        <f>IF(S2867=0,0,VLOOKUP(YEAR(S2867),INPC!$B$4:$O$29,MONTH(S2867)+1))</f>
        <v>0</v>
      </c>
      <c r="M2867" s="463">
        <f t="shared" si="234"/>
        <v>0</v>
      </c>
      <c r="N2867" s="465">
        <f t="shared" si="242"/>
        <v>0</v>
      </c>
      <c r="O2867" s="179"/>
      <c r="P2867" s="180"/>
      <c r="Q2867" s="173"/>
      <c r="R2867" s="173"/>
      <c r="S2867" s="174"/>
      <c r="T2867" s="173"/>
      <c r="U2867" s="182"/>
      <c r="V2867" s="177">
        <f>IF(U2867=0,0,IF(T2867="MXN",1/HLOOKUP(YEAR(S2867)+(MONTH(S2867)/100),TC!$5:$37,DAY(S2867)+2,FALSE),VLOOKUP(T2867,Equivalencia!$1:$23,((MAX(Equivalencia!$3:$3)-YEAR(S2867))*14)+MONTH(S2867)+2,FALSE)))</f>
        <v>0</v>
      </c>
      <c r="W2867" s="178">
        <f t="shared" si="239"/>
        <v>0</v>
      </c>
      <c r="X2867" s="481">
        <f t="shared" si="235"/>
        <v>0</v>
      </c>
      <c r="Y2867" s="179"/>
      <c r="Z2867" s="466">
        <f t="shared" si="236"/>
        <v>0</v>
      </c>
      <c r="AA2867" s="473">
        <f t="shared" si="237"/>
        <v>0</v>
      </c>
      <c r="AB2867" s="339">
        <f t="shared" si="238"/>
        <v>0</v>
      </c>
    </row>
    <row r="2868" spans="2:28" ht="20.100000000000001" customHeight="1">
      <c r="B2868" s="172"/>
      <c r="C2868" s="174"/>
      <c r="D2868" s="181"/>
      <c r="E2868" s="173"/>
      <c r="F2868" s="176"/>
      <c r="G2868" s="175">
        <f t="shared" si="240"/>
        <v>0</v>
      </c>
      <c r="H2868" s="175">
        <f t="shared" si="233"/>
        <v>0</v>
      </c>
      <c r="I2868" s="177">
        <f>IF(G2868=0,0,IF(E2868="MXN",1/HLOOKUP(YEAR(C2868)+(MONTH(C2868)/100),TC!$5:$37,DAY(C2868)+2,FALSE),VLOOKUP(E2868,Equivalencia!$5:$23,((MAX(Equivalencia!$3:$3)-YEAR(C2868))*14)+MONTH(C2868)+2,FALSE)))</f>
        <v>0</v>
      </c>
      <c r="J2868" s="178">
        <f t="shared" si="241"/>
        <v>0</v>
      </c>
      <c r="K2868" s="462">
        <f>IF(C2868=0,0,VLOOKUP(YEAR(C2868),INPC!$B$4:$O$29,MONTH(C2868)+1))</f>
        <v>0</v>
      </c>
      <c r="L2868" s="462">
        <f>IF(S2868=0,0,VLOOKUP(YEAR(S2868),INPC!$B$4:$O$29,MONTH(S2868)+1))</f>
        <v>0</v>
      </c>
      <c r="M2868" s="463">
        <f t="shared" si="234"/>
        <v>0</v>
      </c>
      <c r="N2868" s="465">
        <f t="shared" si="242"/>
        <v>0</v>
      </c>
      <c r="O2868" s="179"/>
      <c r="P2868" s="180"/>
      <c r="Q2868" s="173"/>
      <c r="R2868" s="173"/>
      <c r="S2868" s="174"/>
      <c r="T2868" s="173"/>
      <c r="U2868" s="182"/>
      <c r="V2868" s="177">
        <f>IF(U2868=0,0,IF(T2868="MXN",1/HLOOKUP(YEAR(S2868)+(MONTH(S2868)/100),TC!$5:$37,DAY(S2868)+2,FALSE),VLOOKUP(T2868,Equivalencia!$1:$23,((MAX(Equivalencia!$3:$3)-YEAR(S2868))*14)+MONTH(S2868)+2,FALSE)))</f>
        <v>0</v>
      </c>
      <c r="W2868" s="178">
        <f t="shared" si="239"/>
        <v>0</v>
      </c>
      <c r="X2868" s="481">
        <f t="shared" si="235"/>
        <v>0</v>
      </c>
      <c r="Y2868" s="179"/>
      <c r="Z2868" s="466">
        <f t="shared" si="236"/>
        <v>0</v>
      </c>
      <c r="AA2868" s="473">
        <f t="shared" si="237"/>
        <v>0</v>
      </c>
      <c r="AB2868" s="339">
        <f t="shared" si="238"/>
        <v>0</v>
      </c>
    </row>
    <row r="2869" spans="2:28" ht="20.100000000000001" customHeight="1">
      <c r="B2869" s="172"/>
      <c r="C2869" s="174"/>
      <c r="D2869" s="181"/>
      <c r="E2869" s="173"/>
      <c r="F2869" s="176"/>
      <c r="G2869" s="175">
        <f t="shared" si="240"/>
        <v>0</v>
      </c>
      <c r="H2869" s="175">
        <f t="shared" si="233"/>
        <v>0</v>
      </c>
      <c r="I2869" s="177">
        <f>IF(G2869=0,0,IF(E2869="MXN",1/HLOOKUP(YEAR(C2869)+(MONTH(C2869)/100),TC!$5:$37,DAY(C2869)+2,FALSE),VLOOKUP(E2869,Equivalencia!$5:$23,((MAX(Equivalencia!$3:$3)-YEAR(C2869))*14)+MONTH(C2869)+2,FALSE)))</f>
        <v>0</v>
      </c>
      <c r="J2869" s="178">
        <f t="shared" si="241"/>
        <v>0</v>
      </c>
      <c r="K2869" s="462">
        <f>IF(C2869=0,0,VLOOKUP(YEAR(C2869),INPC!$B$4:$O$29,MONTH(C2869)+1))</f>
        <v>0</v>
      </c>
      <c r="L2869" s="462">
        <f>IF(S2869=0,0,VLOOKUP(YEAR(S2869),INPC!$B$4:$O$29,MONTH(S2869)+1))</f>
        <v>0</v>
      </c>
      <c r="M2869" s="463">
        <f t="shared" si="234"/>
        <v>0</v>
      </c>
      <c r="N2869" s="465">
        <f t="shared" si="242"/>
        <v>0</v>
      </c>
      <c r="O2869" s="179"/>
      <c r="P2869" s="180"/>
      <c r="Q2869" s="173"/>
      <c r="R2869" s="173"/>
      <c r="S2869" s="174"/>
      <c r="T2869" s="173"/>
      <c r="U2869" s="182"/>
      <c r="V2869" s="177">
        <f>IF(U2869=0,0,IF(T2869="MXN",1/HLOOKUP(YEAR(S2869)+(MONTH(S2869)/100),TC!$5:$37,DAY(S2869)+2,FALSE),VLOOKUP(T2869,Equivalencia!$1:$23,((MAX(Equivalencia!$3:$3)-YEAR(S2869))*14)+MONTH(S2869)+2,FALSE)))</f>
        <v>0</v>
      </c>
      <c r="W2869" s="178">
        <f t="shared" si="239"/>
        <v>0</v>
      </c>
      <c r="X2869" s="481">
        <f t="shared" si="235"/>
        <v>0</v>
      </c>
      <c r="Y2869" s="179"/>
      <c r="Z2869" s="466">
        <f t="shared" si="236"/>
        <v>0</v>
      </c>
      <c r="AA2869" s="473">
        <f t="shared" si="237"/>
        <v>0</v>
      </c>
      <c r="AB2869" s="339">
        <f t="shared" si="238"/>
        <v>0</v>
      </c>
    </row>
    <row r="2870" spans="2:28" ht="20.100000000000001" customHeight="1">
      <c r="B2870" s="172"/>
      <c r="C2870" s="174"/>
      <c r="D2870" s="181"/>
      <c r="E2870" s="173"/>
      <c r="F2870" s="176"/>
      <c r="G2870" s="175">
        <f t="shared" si="240"/>
        <v>0</v>
      </c>
      <c r="H2870" s="175">
        <f t="shared" si="233"/>
        <v>0</v>
      </c>
      <c r="I2870" s="177">
        <f>IF(G2870=0,0,IF(E2870="MXN",1/HLOOKUP(YEAR(C2870)+(MONTH(C2870)/100),TC!$5:$37,DAY(C2870)+2,FALSE),VLOOKUP(E2870,Equivalencia!$5:$23,((MAX(Equivalencia!$3:$3)-YEAR(C2870))*14)+MONTH(C2870)+2,FALSE)))</f>
        <v>0</v>
      </c>
      <c r="J2870" s="178">
        <f t="shared" si="241"/>
        <v>0</v>
      </c>
      <c r="K2870" s="462">
        <f>IF(C2870=0,0,VLOOKUP(YEAR(C2870),INPC!$B$4:$O$29,MONTH(C2870)+1))</f>
        <v>0</v>
      </c>
      <c r="L2870" s="462">
        <f>IF(S2870=0,0,VLOOKUP(YEAR(S2870),INPC!$B$4:$O$29,MONTH(S2870)+1))</f>
        <v>0</v>
      </c>
      <c r="M2870" s="463">
        <f t="shared" si="234"/>
        <v>0</v>
      </c>
      <c r="N2870" s="465">
        <f t="shared" si="242"/>
        <v>0</v>
      </c>
      <c r="O2870" s="179"/>
      <c r="P2870" s="180"/>
      <c r="Q2870" s="173"/>
      <c r="R2870" s="173"/>
      <c r="S2870" s="174"/>
      <c r="T2870" s="173"/>
      <c r="U2870" s="182"/>
      <c r="V2870" s="177">
        <f>IF(U2870=0,0,IF(T2870="MXN",1/HLOOKUP(YEAR(S2870)+(MONTH(S2870)/100),TC!$5:$37,DAY(S2870)+2,FALSE),VLOOKUP(T2870,Equivalencia!$1:$23,((MAX(Equivalencia!$3:$3)-YEAR(S2870))*14)+MONTH(S2870)+2,FALSE)))</f>
        <v>0</v>
      </c>
      <c r="W2870" s="178">
        <f t="shared" si="239"/>
        <v>0</v>
      </c>
      <c r="X2870" s="481">
        <f t="shared" si="235"/>
        <v>0</v>
      </c>
      <c r="Y2870" s="179"/>
      <c r="Z2870" s="466">
        <f t="shared" si="236"/>
        <v>0</v>
      </c>
      <c r="AA2870" s="473">
        <f t="shared" si="237"/>
        <v>0</v>
      </c>
      <c r="AB2870" s="339">
        <f t="shared" si="238"/>
        <v>0</v>
      </c>
    </row>
    <row r="2871" spans="2:28" ht="20.100000000000001" customHeight="1">
      <c r="B2871" s="172"/>
      <c r="C2871" s="174"/>
      <c r="D2871" s="181"/>
      <c r="E2871" s="173"/>
      <c r="F2871" s="176"/>
      <c r="G2871" s="175">
        <f t="shared" si="240"/>
        <v>0</v>
      </c>
      <c r="H2871" s="175">
        <f t="shared" si="233"/>
        <v>0</v>
      </c>
      <c r="I2871" s="177">
        <f>IF(G2871=0,0,IF(E2871="MXN",1/HLOOKUP(YEAR(C2871)+(MONTH(C2871)/100),TC!$5:$37,DAY(C2871)+2,FALSE),VLOOKUP(E2871,Equivalencia!$5:$23,((MAX(Equivalencia!$3:$3)-YEAR(C2871))*14)+MONTH(C2871)+2,FALSE)))</f>
        <v>0</v>
      </c>
      <c r="J2871" s="178">
        <f t="shared" si="241"/>
        <v>0</v>
      </c>
      <c r="K2871" s="462">
        <f>IF(C2871=0,0,VLOOKUP(YEAR(C2871),INPC!$B$4:$O$29,MONTH(C2871)+1))</f>
        <v>0</v>
      </c>
      <c r="L2871" s="462">
        <f>IF(S2871=0,0,VLOOKUP(YEAR(S2871),INPC!$B$4:$O$29,MONTH(S2871)+1))</f>
        <v>0</v>
      </c>
      <c r="M2871" s="463">
        <f t="shared" si="234"/>
        <v>0</v>
      </c>
      <c r="N2871" s="465">
        <f t="shared" si="242"/>
        <v>0</v>
      </c>
      <c r="O2871" s="179"/>
      <c r="P2871" s="180"/>
      <c r="Q2871" s="173"/>
      <c r="R2871" s="173"/>
      <c r="S2871" s="174"/>
      <c r="T2871" s="173"/>
      <c r="U2871" s="182"/>
      <c r="V2871" s="177">
        <f>IF(U2871=0,0,IF(T2871="MXN",1/HLOOKUP(YEAR(S2871)+(MONTH(S2871)/100),TC!$5:$37,DAY(S2871)+2,FALSE),VLOOKUP(T2871,Equivalencia!$1:$23,((MAX(Equivalencia!$3:$3)-YEAR(S2871))*14)+MONTH(S2871)+2,FALSE)))</f>
        <v>0</v>
      </c>
      <c r="W2871" s="178">
        <f t="shared" si="239"/>
        <v>0</v>
      </c>
      <c r="X2871" s="481">
        <f t="shared" si="235"/>
        <v>0</v>
      </c>
      <c r="Y2871" s="179"/>
      <c r="Z2871" s="466">
        <f t="shared" si="236"/>
        <v>0</v>
      </c>
      <c r="AA2871" s="473">
        <f t="shared" si="237"/>
        <v>0</v>
      </c>
      <c r="AB2871" s="339">
        <f t="shared" si="238"/>
        <v>0</v>
      </c>
    </row>
    <row r="2872" spans="2:28" ht="20.100000000000001" customHeight="1">
      <c r="B2872" s="172"/>
      <c r="C2872" s="174"/>
      <c r="D2872" s="181"/>
      <c r="E2872" s="173"/>
      <c r="F2872" s="176"/>
      <c r="G2872" s="175">
        <f t="shared" si="240"/>
        <v>0</v>
      </c>
      <c r="H2872" s="175">
        <f t="shared" si="233"/>
        <v>0</v>
      </c>
      <c r="I2872" s="177">
        <f>IF(G2872=0,0,IF(E2872="MXN",1/HLOOKUP(YEAR(C2872)+(MONTH(C2872)/100),TC!$5:$37,DAY(C2872)+2,FALSE),VLOOKUP(E2872,Equivalencia!$5:$23,((MAX(Equivalencia!$3:$3)-YEAR(C2872))*14)+MONTH(C2872)+2,FALSE)))</f>
        <v>0</v>
      </c>
      <c r="J2872" s="178">
        <f t="shared" si="241"/>
        <v>0</v>
      </c>
      <c r="K2872" s="462">
        <f>IF(C2872=0,0,VLOOKUP(YEAR(C2872),INPC!$B$4:$O$29,MONTH(C2872)+1))</f>
        <v>0</v>
      </c>
      <c r="L2872" s="462">
        <f>IF(S2872=0,0,VLOOKUP(YEAR(S2872),INPC!$B$4:$O$29,MONTH(S2872)+1))</f>
        <v>0</v>
      </c>
      <c r="M2872" s="463">
        <f t="shared" si="234"/>
        <v>0</v>
      </c>
      <c r="N2872" s="465">
        <f t="shared" si="242"/>
        <v>0</v>
      </c>
      <c r="O2872" s="179"/>
      <c r="P2872" s="180"/>
      <c r="Q2872" s="173"/>
      <c r="R2872" s="173"/>
      <c r="S2872" s="174"/>
      <c r="T2872" s="173"/>
      <c r="U2872" s="182"/>
      <c r="V2872" s="177">
        <f>IF(U2872=0,0,IF(T2872="MXN",1/HLOOKUP(YEAR(S2872)+(MONTH(S2872)/100),TC!$5:$37,DAY(S2872)+2,FALSE),VLOOKUP(T2872,Equivalencia!$1:$23,((MAX(Equivalencia!$3:$3)-YEAR(S2872))*14)+MONTH(S2872)+2,FALSE)))</f>
        <v>0</v>
      </c>
      <c r="W2872" s="178">
        <f t="shared" si="239"/>
        <v>0</v>
      </c>
      <c r="X2872" s="481">
        <f t="shared" si="235"/>
        <v>0</v>
      </c>
      <c r="Y2872" s="179"/>
      <c r="Z2872" s="466">
        <f t="shared" si="236"/>
        <v>0</v>
      </c>
      <c r="AA2872" s="473">
        <f t="shared" si="237"/>
        <v>0</v>
      </c>
      <c r="AB2872" s="339">
        <f t="shared" si="238"/>
        <v>0</v>
      </c>
    </row>
    <row r="2873" spans="2:28" ht="20.100000000000001" customHeight="1">
      <c r="B2873" s="172"/>
      <c r="C2873" s="174"/>
      <c r="D2873" s="181"/>
      <c r="E2873" s="173"/>
      <c r="F2873" s="176"/>
      <c r="G2873" s="175">
        <f t="shared" si="240"/>
        <v>0</v>
      </c>
      <c r="H2873" s="175">
        <f t="shared" si="233"/>
        <v>0</v>
      </c>
      <c r="I2873" s="177">
        <f>IF(G2873=0,0,IF(E2873="MXN",1/HLOOKUP(YEAR(C2873)+(MONTH(C2873)/100),TC!$5:$37,DAY(C2873)+2,FALSE),VLOOKUP(E2873,Equivalencia!$5:$23,((MAX(Equivalencia!$3:$3)-YEAR(C2873))*14)+MONTH(C2873)+2,FALSE)))</f>
        <v>0</v>
      </c>
      <c r="J2873" s="178">
        <f t="shared" si="241"/>
        <v>0</v>
      </c>
      <c r="K2873" s="462">
        <f>IF(C2873=0,0,VLOOKUP(YEAR(C2873),INPC!$B$4:$O$29,MONTH(C2873)+1))</f>
        <v>0</v>
      </c>
      <c r="L2873" s="462">
        <f>IF(S2873=0,0,VLOOKUP(YEAR(S2873),INPC!$B$4:$O$29,MONTH(S2873)+1))</f>
        <v>0</v>
      </c>
      <c r="M2873" s="463">
        <f t="shared" si="234"/>
        <v>0</v>
      </c>
      <c r="N2873" s="465">
        <f t="shared" si="242"/>
        <v>0</v>
      </c>
      <c r="O2873" s="179"/>
      <c r="P2873" s="180"/>
      <c r="Q2873" s="173"/>
      <c r="R2873" s="173"/>
      <c r="S2873" s="174"/>
      <c r="T2873" s="173"/>
      <c r="U2873" s="182"/>
      <c r="V2873" s="177">
        <f>IF(U2873=0,0,IF(T2873="MXN",1/HLOOKUP(YEAR(S2873)+(MONTH(S2873)/100),TC!$5:$37,DAY(S2873)+2,FALSE),VLOOKUP(T2873,Equivalencia!$1:$23,((MAX(Equivalencia!$3:$3)-YEAR(S2873))*14)+MONTH(S2873)+2,FALSE)))</f>
        <v>0</v>
      </c>
      <c r="W2873" s="178">
        <f t="shared" si="239"/>
        <v>0</v>
      </c>
      <c r="X2873" s="481">
        <f t="shared" si="235"/>
        <v>0</v>
      </c>
      <c r="Y2873" s="179"/>
      <c r="Z2873" s="466">
        <f t="shared" si="236"/>
        <v>0</v>
      </c>
      <c r="AA2873" s="473">
        <f t="shared" si="237"/>
        <v>0</v>
      </c>
      <c r="AB2873" s="339">
        <f t="shared" si="238"/>
        <v>0</v>
      </c>
    </row>
    <row r="2874" spans="2:28" ht="20.100000000000001" customHeight="1">
      <c r="B2874" s="172"/>
      <c r="C2874" s="174"/>
      <c r="D2874" s="181"/>
      <c r="E2874" s="173"/>
      <c r="F2874" s="176"/>
      <c r="G2874" s="175">
        <f t="shared" si="240"/>
        <v>0</v>
      </c>
      <c r="H2874" s="175">
        <f t="shared" si="233"/>
        <v>0</v>
      </c>
      <c r="I2874" s="177">
        <f>IF(G2874=0,0,IF(E2874="MXN",1/HLOOKUP(YEAR(C2874)+(MONTH(C2874)/100),TC!$5:$37,DAY(C2874)+2,FALSE),VLOOKUP(E2874,Equivalencia!$5:$23,((MAX(Equivalencia!$3:$3)-YEAR(C2874))*14)+MONTH(C2874)+2,FALSE)))</f>
        <v>0</v>
      </c>
      <c r="J2874" s="178">
        <f t="shared" si="241"/>
        <v>0</v>
      </c>
      <c r="K2874" s="462">
        <f>IF(C2874=0,0,VLOOKUP(YEAR(C2874),INPC!$B$4:$O$29,MONTH(C2874)+1))</f>
        <v>0</v>
      </c>
      <c r="L2874" s="462">
        <f>IF(S2874=0,0,VLOOKUP(YEAR(S2874),INPC!$B$4:$O$29,MONTH(S2874)+1))</f>
        <v>0</v>
      </c>
      <c r="M2874" s="463">
        <f t="shared" si="234"/>
        <v>0</v>
      </c>
      <c r="N2874" s="465">
        <f t="shared" si="242"/>
        <v>0</v>
      </c>
      <c r="O2874" s="179"/>
      <c r="P2874" s="180"/>
      <c r="Q2874" s="173"/>
      <c r="R2874" s="173"/>
      <c r="S2874" s="174"/>
      <c r="T2874" s="173"/>
      <c r="U2874" s="182"/>
      <c r="V2874" s="177">
        <f>IF(U2874=0,0,IF(T2874="MXN",1/HLOOKUP(YEAR(S2874)+(MONTH(S2874)/100),TC!$5:$37,DAY(S2874)+2,FALSE),VLOOKUP(T2874,Equivalencia!$1:$23,((MAX(Equivalencia!$3:$3)-YEAR(S2874))*14)+MONTH(S2874)+2,FALSE)))</f>
        <v>0</v>
      </c>
      <c r="W2874" s="178">
        <f t="shared" si="239"/>
        <v>0</v>
      </c>
      <c r="X2874" s="481">
        <f t="shared" si="235"/>
        <v>0</v>
      </c>
      <c r="Y2874" s="179"/>
      <c r="Z2874" s="466">
        <f t="shared" si="236"/>
        <v>0</v>
      </c>
      <c r="AA2874" s="473">
        <f t="shared" si="237"/>
        <v>0</v>
      </c>
      <c r="AB2874" s="339">
        <f t="shared" si="238"/>
        <v>0</v>
      </c>
    </row>
    <row r="2875" spans="2:28" ht="20.100000000000001" customHeight="1">
      <c r="B2875" s="172"/>
      <c r="C2875" s="174"/>
      <c r="D2875" s="181"/>
      <c r="E2875" s="173"/>
      <c r="F2875" s="176"/>
      <c r="G2875" s="175">
        <f t="shared" si="240"/>
        <v>0</v>
      </c>
      <c r="H2875" s="175">
        <f t="shared" si="233"/>
        <v>0</v>
      </c>
      <c r="I2875" s="177">
        <f>IF(G2875=0,0,IF(E2875="MXN",1/HLOOKUP(YEAR(C2875)+(MONTH(C2875)/100),TC!$5:$37,DAY(C2875)+2,FALSE),VLOOKUP(E2875,Equivalencia!$5:$23,((MAX(Equivalencia!$3:$3)-YEAR(C2875))*14)+MONTH(C2875)+2,FALSE)))</f>
        <v>0</v>
      </c>
      <c r="J2875" s="178">
        <f t="shared" si="241"/>
        <v>0</v>
      </c>
      <c r="K2875" s="462">
        <f>IF(C2875=0,0,VLOOKUP(YEAR(C2875),INPC!$B$4:$O$29,MONTH(C2875)+1))</f>
        <v>0</v>
      </c>
      <c r="L2875" s="462">
        <f>IF(S2875=0,0,VLOOKUP(YEAR(S2875),INPC!$B$4:$O$29,MONTH(S2875)+1))</f>
        <v>0</v>
      </c>
      <c r="M2875" s="463">
        <f t="shared" si="234"/>
        <v>0</v>
      </c>
      <c r="N2875" s="465">
        <f t="shared" si="242"/>
        <v>0</v>
      </c>
      <c r="O2875" s="179"/>
      <c r="P2875" s="180"/>
      <c r="Q2875" s="173"/>
      <c r="R2875" s="173"/>
      <c r="S2875" s="174"/>
      <c r="T2875" s="173"/>
      <c r="U2875" s="182"/>
      <c r="V2875" s="177">
        <f>IF(U2875=0,0,IF(T2875="MXN",1/HLOOKUP(YEAR(S2875)+(MONTH(S2875)/100),TC!$5:$37,DAY(S2875)+2,FALSE),VLOOKUP(T2875,Equivalencia!$1:$23,((MAX(Equivalencia!$3:$3)-YEAR(S2875))*14)+MONTH(S2875)+2,FALSE)))</f>
        <v>0</v>
      </c>
      <c r="W2875" s="178">
        <f t="shared" si="239"/>
        <v>0</v>
      </c>
      <c r="X2875" s="481">
        <f t="shared" si="235"/>
        <v>0</v>
      </c>
      <c r="Y2875" s="179"/>
      <c r="Z2875" s="466">
        <f t="shared" si="236"/>
        <v>0</v>
      </c>
      <c r="AA2875" s="473">
        <f t="shared" si="237"/>
        <v>0</v>
      </c>
      <c r="AB2875" s="339">
        <f t="shared" si="238"/>
        <v>0</v>
      </c>
    </row>
    <row r="2876" spans="2:28" ht="20.100000000000001" customHeight="1">
      <c r="B2876" s="172"/>
      <c r="C2876" s="174"/>
      <c r="D2876" s="181"/>
      <c r="E2876" s="173"/>
      <c r="F2876" s="176"/>
      <c r="G2876" s="175">
        <f t="shared" si="240"/>
        <v>0</v>
      </c>
      <c r="H2876" s="175">
        <f t="shared" si="233"/>
        <v>0</v>
      </c>
      <c r="I2876" s="177">
        <f>IF(G2876=0,0,IF(E2876="MXN",1/HLOOKUP(YEAR(C2876)+(MONTH(C2876)/100),TC!$5:$37,DAY(C2876)+2,FALSE),VLOOKUP(E2876,Equivalencia!$5:$23,((MAX(Equivalencia!$3:$3)-YEAR(C2876))*14)+MONTH(C2876)+2,FALSE)))</f>
        <v>0</v>
      </c>
      <c r="J2876" s="178">
        <f t="shared" si="241"/>
        <v>0</v>
      </c>
      <c r="K2876" s="462">
        <f>IF(C2876=0,0,VLOOKUP(YEAR(C2876),INPC!$B$4:$O$29,MONTH(C2876)+1))</f>
        <v>0</v>
      </c>
      <c r="L2876" s="462">
        <f>IF(S2876=0,0,VLOOKUP(YEAR(S2876),INPC!$B$4:$O$29,MONTH(S2876)+1))</f>
        <v>0</v>
      </c>
      <c r="M2876" s="463">
        <f t="shared" si="234"/>
        <v>0</v>
      </c>
      <c r="N2876" s="465">
        <f t="shared" si="242"/>
        <v>0</v>
      </c>
      <c r="O2876" s="179"/>
      <c r="P2876" s="180"/>
      <c r="Q2876" s="173"/>
      <c r="R2876" s="173"/>
      <c r="S2876" s="174"/>
      <c r="T2876" s="173"/>
      <c r="U2876" s="182"/>
      <c r="V2876" s="177">
        <f>IF(U2876=0,0,IF(T2876="MXN",1/HLOOKUP(YEAR(S2876)+(MONTH(S2876)/100),TC!$5:$37,DAY(S2876)+2,FALSE),VLOOKUP(T2876,Equivalencia!$1:$23,((MAX(Equivalencia!$3:$3)-YEAR(S2876))*14)+MONTH(S2876)+2,FALSE)))</f>
        <v>0</v>
      </c>
      <c r="W2876" s="178">
        <f t="shared" si="239"/>
        <v>0</v>
      </c>
      <c r="X2876" s="481">
        <f t="shared" si="235"/>
        <v>0</v>
      </c>
      <c r="Y2876" s="179"/>
      <c r="Z2876" s="466">
        <f t="shared" si="236"/>
        <v>0</v>
      </c>
      <c r="AA2876" s="473">
        <f t="shared" si="237"/>
        <v>0</v>
      </c>
      <c r="AB2876" s="339">
        <f t="shared" si="238"/>
        <v>0</v>
      </c>
    </row>
    <row r="2877" spans="2:28" ht="20.100000000000001" customHeight="1">
      <c r="B2877" s="172"/>
      <c r="C2877" s="174"/>
      <c r="D2877" s="181"/>
      <c r="E2877" s="173"/>
      <c r="F2877" s="176"/>
      <c r="G2877" s="175">
        <f t="shared" si="240"/>
        <v>0</v>
      </c>
      <c r="H2877" s="175">
        <f t="shared" si="233"/>
        <v>0</v>
      </c>
      <c r="I2877" s="177">
        <f>IF(G2877=0,0,IF(E2877="MXN",1/HLOOKUP(YEAR(C2877)+(MONTH(C2877)/100),TC!$5:$37,DAY(C2877)+2,FALSE),VLOOKUP(E2877,Equivalencia!$5:$23,((MAX(Equivalencia!$3:$3)-YEAR(C2877))*14)+MONTH(C2877)+2,FALSE)))</f>
        <v>0</v>
      </c>
      <c r="J2877" s="178">
        <f t="shared" si="241"/>
        <v>0</v>
      </c>
      <c r="K2877" s="462">
        <f>IF(C2877=0,0,VLOOKUP(YEAR(C2877),INPC!$B$4:$O$29,MONTH(C2877)+1))</f>
        <v>0</v>
      </c>
      <c r="L2877" s="462">
        <f>IF(S2877=0,0,VLOOKUP(YEAR(S2877),INPC!$B$4:$O$29,MONTH(S2877)+1))</f>
        <v>0</v>
      </c>
      <c r="M2877" s="463">
        <f t="shared" si="234"/>
        <v>0</v>
      </c>
      <c r="N2877" s="465">
        <f t="shared" si="242"/>
        <v>0</v>
      </c>
      <c r="O2877" s="179"/>
      <c r="P2877" s="180"/>
      <c r="Q2877" s="173"/>
      <c r="R2877" s="173"/>
      <c r="S2877" s="174"/>
      <c r="T2877" s="173"/>
      <c r="U2877" s="182"/>
      <c r="V2877" s="177">
        <f>IF(U2877=0,0,IF(T2877="MXN",1/HLOOKUP(YEAR(S2877)+(MONTH(S2877)/100),TC!$5:$37,DAY(S2877)+2,FALSE),VLOOKUP(T2877,Equivalencia!$1:$23,((MAX(Equivalencia!$3:$3)-YEAR(S2877))*14)+MONTH(S2877)+2,FALSE)))</f>
        <v>0</v>
      </c>
      <c r="W2877" s="178">
        <f t="shared" si="239"/>
        <v>0</v>
      </c>
      <c r="X2877" s="481">
        <f t="shared" si="235"/>
        <v>0</v>
      </c>
      <c r="Y2877" s="179"/>
      <c r="Z2877" s="466">
        <f t="shared" si="236"/>
        <v>0</v>
      </c>
      <c r="AA2877" s="473">
        <f t="shared" si="237"/>
        <v>0</v>
      </c>
      <c r="AB2877" s="339">
        <f t="shared" si="238"/>
        <v>0</v>
      </c>
    </row>
    <row r="2878" spans="2:28" ht="20.100000000000001" customHeight="1">
      <c r="B2878" s="172"/>
      <c r="C2878" s="174"/>
      <c r="D2878" s="181"/>
      <c r="E2878" s="173"/>
      <c r="F2878" s="176"/>
      <c r="G2878" s="175">
        <f t="shared" si="240"/>
        <v>0</v>
      </c>
      <c r="H2878" s="175">
        <f t="shared" si="233"/>
        <v>0</v>
      </c>
      <c r="I2878" s="177">
        <f>IF(G2878=0,0,IF(E2878="MXN",1/HLOOKUP(YEAR(C2878)+(MONTH(C2878)/100),TC!$5:$37,DAY(C2878)+2,FALSE),VLOOKUP(E2878,Equivalencia!$5:$23,((MAX(Equivalencia!$3:$3)-YEAR(C2878))*14)+MONTH(C2878)+2,FALSE)))</f>
        <v>0</v>
      </c>
      <c r="J2878" s="178">
        <f t="shared" si="241"/>
        <v>0</v>
      </c>
      <c r="K2878" s="462">
        <f>IF(C2878=0,0,VLOOKUP(YEAR(C2878),INPC!$B$4:$O$29,MONTH(C2878)+1))</f>
        <v>0</v>
      </c>
      <c r="L2878" s="462">
        <f>IF(S2878=0,0,VLOOKUP(YEAR(S2878),INPC!$B$4:$O$29,MONTH(S2878)+1))</f>
        <v>0</v>
      </c>
      <c r="M2878" s="463">
        <f t="shared" si="234"/>
        <v>0</v>
      </c>
      <c r="N2878" s="465">
        <f t="shared" si="242"/>
        <v>0</v>
      </c>
      <c r="O2878" s="179"/>
      <c r="P2878" s="180"/>
      <c r="Q2878" s="173"/>
      <c r="R2878" s="173"/>
      <c r="S2878" s="174"/>
      <c r="T2878" s="173"/>
      <c r="U2878" s="182"/>
      <c r="V2878" s="177">
        <f>IF(U2878=0,0,IF(T2878="MXN",1/HLOOKUP(YEAR(S2878)+(MONTH(S2878)/100),TC!$5:$37,DAY(S2878)+2,FALSE),VLOOKUP(T2878,Equivalencia!$1:$23,((MAX(Equivalencia!$3:$3)-YEAR(S2878))*14)+MONTH(S2878)+2,FALSE)))</f>
        <v>0</v>
      </c>
      <c r="W2878" s="178">
        <f t="shared" si="239"/>
        <v>0</v>
      </c>
      <c r="X2878" s="481">
        <f t="shared" si="235"/>
        <v>0</v>
      </c>
      <c r="Y2878" s="179"/>
      <c r="Z2878" s="466">
        <f t="shared" si="236"/>
        <v>0</v>
      </c>
      <c r="AA2878" s="473">
        <f t="shared" si="237"/>
        <v>0</v>
      </c>
      <c r="AB2878" s="339">
        <f t="shared" si="238"/>
        <v>0</v>
      </c>
    </row>
    <row r="2879" spans="2:28" ht="20.100000000000001" customHeight="1">
      <c r="B2879" s="172"/>
      <c r="C2879" s="174"/>
      <c r="D2879" s="181"/>
      <c r="E2879" s="173"/>
      <c r="F2879" s="176"/>
      <c r="G2879" s="175">
        <f t="shared" si="240"/>
        <v>0</v>
      </c>
      <c r="H2879" s="175">
        <f t="shared" si="233"/>
        <v>0</v>
      </c>
      <c r="I2879" s="177">
        <f>IF(G2879=0,0,IF(E2879="MXN",1/HLOOKUP(YEAR(C2879)+(MONTH(C2879)/100),TC!$5:$37,DAY(C2879)+2,FALSE),VLOOKUP(E2879,Equivalencia!$5:$23,((MAX(Equivalencia!$3:$3)-YEAR(C2879))*14)+MONTH(C2879)+2,FALSE)))</f>
        <v>0</v>
      </c>
      <c r="J2879" s="178">
        <f t="shared" si="241"/>
        <v>0</v>
      </c>
      <c r="K2879" s="462">
        <f>IF(C2879=0,0,VLOOKUP(YEAR(C2879),INPC!$B$4:$O$29,MONTH(C2879)+1))</f>
        <v>0</v>
      </c>
      <c r="L2879" s="462">
        <f>IF(S2879=0,0,VLOOKUP(YEAR(S2879),INPC!$B$4:$O$29,MONTH(S2879)+1))</f>
        <v>0</v>
      </c>
      <c r="M2879" s="463">
        <f t="shared" si="234"/>
        <v>0</v>
      </c>
      <c r="N2879" s="465">
        <f t="shared" si="242"/>
        <v>0</v>
      </c>
      <c r="O2879" s="179"/>
      <c r="P2879" s="180"/>
      <c r="Q2879" s="173"/>
      <c r="R2879" s="173"/>
      <c r="S2879" s="174"/>
      <c r="T2879" s="173"/>
      <c r="U2879" s="182"/>
      <c r="V2879" s="177">
        <f>IF(U2879=0,0,IF(T2879="MXN",1/HLOOKUP(YEAR(S2879)+(MONTH(S2879)/100),TC!$5:$37,DAY(S2879)+2,FALSE),VLOOKUP(T2879,Equivalencia!$1:$23,((MAX(Equivalencia!$3:$3)-YEAR(S2879))*14)+MONTH(S2879)+2,FALSE)))</f>
        <v>0</v>
      </c>
      <c r="W2879" s="178">
        <f t="shared" si="239"/>
        <v>0</v>
      </c>
      <c r="X2879" s="481">
        <f t="shared" si="235"/>
        <v>0</v>
      </c>
      <c r="Y2879" s="179"/>
      <c r="Z2879" s="466">
        <f t="shared" si="236"/>
        <v>0</v>
      </c>
      <c r="AA2879" s="473">
        <f t="shared" si="237"/>
        <v>0</v>
      </c>
      <c r="AB2879" s="339">
        <f t="shared" si="238"/>
        <v>0</v>
      </c>
    </row>
    <row r="2880" spans="2:28" ht="20.100000000000001" customHeight="1">
      <c r="B2880" s="172"/>
      <c r="C2880" s="174"/>
      <c r="D2880" s="181"/>
      <c r="E2880" s="173"/>
      <c r="F2880" s="176"/>
      <c r="G2880" s="175">
        <f t="shared" si="240"/>
        <v>0</v>
      </c>
      <c r="H2880" s="175">
        <f t="shared" si="233"/>
        <v>0</v>
      </c>
      <c r="I2880" s="177">
        <f>IF(G2880=0,0,IF(E2880="MXN",1/HLOOKUP(YEAR(C2880)+(MONTH(C2880)/100),TC!$5:$37,DAY(C2880)+2,FALSE),VLOOKUP(E2880,Equivalencia!$5:$23,((MAX(Equivalencia!$3:$3)-YEAR(C2880))*14)+MONTH(C2880)+2,FALSE)))</f>
        <v>0</v>
      </c>
      <c r="J2880" s="178">
        <f t="shared" si="241"/>
        <v>0</v>
      </c>
      <c r="K2880" s="462">
        <f>IF(C2880=0,0,VLOOKUP(YEAR(C2880),INPC!$B$4:$O$29,MONTH(C2880)+1))</f>
        <v>0</v>
      </c>
      <c r="L2880" s="462">
        <f>IF(S2880=0,0,VLOOKUP(YEAR(S2880),INPC!$B$4:$O$29,MONTH(S2880)+1))</f>
        <v>0</v>
      </c>
      <c r="M2880" s="463">
        <f t="shared" si="234"/>
        <v>0</v>
      </c>
      <c r="N2880" s="465">
        <f t="shared" si="242"/>
        <v>0</v>
      </c>
      <c r="O2880" s="179"/>
      <c r="P2880" s="180"/>
      <c r="Q2880" s="173"/>
      <c r="R2880" s="173"/>
      <c r="S2880" s="174"/>
      <c r="T2880" s="173"/>
      <c r="U2880" s="182"/>
      <c r="V2880" s="177">
        <f>IF(U2880=0,0,IF(T2880="MXN",1/HLOOKUP(YEAR(S2880)+(MONTH(S2880)/100),TC!$5:$37,DAY(S2880)+2,FALSE),VLOOKUP(T2880,Equivalencia!$1:$23,((MAX(Equivalencia!$3:$3)-YEAR(S2880))*14)+MONTH(S2880)+2,FALSE)))</f>
        <v>0</v>
      </c>
      <c r="W2880" s="178">
        <f t="shared" si="239"/>
        <v>0</v>
      </c>
      <c r="X2880" s="481">
        <f t="shared" si="235"/>
        <v>0</v>
      </c>
      <c r="Y2880" s="179"/>
      <c r="Z2880" s="466">
        <f t="shared" si="236"/>
        <v>0</v>
      </c>
      <c r="AA2880" s="473">
        <f t="shared" si="237"/>
        <v>0</v>
      </c>
      <c r="AB2880" s="339">
        <f t="shared" si="238"/>
        <v>0</v>
      </c>
    </row>
    <row r="2881" spans="2:28" ht="20.100000000000001" customHeight="1">
      <c r="B2881" s="172"/>
      <c r="C2881" s="174"/>
      <c r="D2881" s="181"/>
      <c r="E2881" s="173"/>
      <c r="F2881" s="176"/>
      <c r="G2881" s="175">
        <f t="shared" si="240"/>
        <v>0</v>
      </c>
      <c r="H2881" s="175">
        <f t="shared" si="233"/>
        <v>0</v>
      </c>
      <c r="I2881" s="177">
        <f>IF(G2881=0,0,IF(E2881="MXN",1/HLOOKUP(YEAR(C2881)+(MONTH(C2881)/100),TC!$5:$37,DAY(C2881)+2,FALSE),VLOOKUP(E2881,Equivalencia!$5:$23,((MAX(Equivalencia!$3:$3)-YEAR(C2881))*14)+MONTH(C2881)+2,FALSE)))</f>
        <v>0</v>
      </c>
      <c r="J2881" s="178">
        <f t="shared" si="241"/>
        <v>0</v>
      </c>
      <c r="K2881" s="462">
        <f>IF(C2881=0,0,VLOOKUP(YEAR(C2881),INPC!$B$4:$O$29,MONTH(C2881)+1))</f>
        <v>0</v>
      </c>
      <c r="L2881" s="462">
        <f>IF(S2881=0,0,VLOOKUP(YEAR(S2881),INPC!$B$4:$O$29,MONTH(S2881)+1))</f>
        <v>0</v>
      </c>
      <c r="M2881" s="463">
        <f t="shared" si="234"/>
        <v>0</v>
      </c>
      <c r="N2881" s="465">
        <f t="shared" si="242"/>
        <v>0</v>
      </c>
      <c r="O2881" s="179"/>
      <c r="P2881" s="180"/>
      <c r="Q2881" s="173"/>
      <c r="R2881" s="173"/>
      <c r="S2881" s="174"/>
      <c r="T2881" s="173"/>
      <c r="U2881" s="182"/>
      <c r="V2881" s="177">
        <f>IF(U2881=0,0,IF(T2881="MXN",1/HLOOKUP(YEAR(S2881)+(MONTH(S2881)/100),TC!$5:$37,DAY(S2881)+2,FALSE),VLOOKUP(T2881,Equivalencia!$1:$23,((MAX(Equivalencia!$3:$3)-YEAR(S2881))*14)+MONTH(S2881)+2,FALSE)))</f>
        <v>0</v>
      </c>
      <c r="W2881" s="178">
        <f t="shared" si="239"/>
        <v>0</v>
      </c>
      <c r="X2881" s="481">
        <f t="shared" si="235"/>
        <v>0</v>
      </c>
      <c r="Y2881" s="179"/>
      <c r="Z2881" s="466">
        <f t="shared" si="236"/>
        <v>0</v>
      </c>
      <c r="AA2881" s="473">
        <f t="shared" si="237"/>
        <v>0</v>
      </c>
      <c r="AB2881" s="339">
        <f t="shared" si="238"/>
        <v>0</v>
      </c>
    </row>
    <row r="2882" spans="2:28" ht="20.100000000000001" customHeight="1">
      <c r="B2882" s="172"/>
      <c r="C2882" s="174"/>
      <c r="D2882" s="181"/>
      <c r="E2882" s="173"/>
      <c r="F2882" s="176"/>
      <c r="G2882" s="175">
        <f t="shared" si="240"/>
        <v>0</v>
      </c>
      <c r="H2882" s="175">
        <f t="shared" si="233"/>
        <v>0</v>
      </c>
      <c r="I2882" s="177">
        <f>IF(G2882=0,0,IF(E2882="MXN",1/HLOOKUP(YEAR(C2882)+(MONTH(C2882)/100),TC!$5:$37,DAY(C2882)+2,FALSE),VLOOKUP(E2882,Equivalencia!$5:$23,((MAX(Equivalencia!$3:$3)-YEAR(C2882))*14)+MONTH(C2882)+2,FALSE)))</f>
        <v>0</v>
      </c>
      <c r="J2882" s="178">
        <f t="shared" si="241"/>
        <v>0</v>
      </c>
      <c r="K2882" s="462">
        <f>IF(C2882=0,0,VLOOKUP(YEAR(C2882),INPC!$B$4:$O$29,MONTH(C2882)+1))</f>
        <v>0</v>
      </c>
      <c r="L2882" s="462">
        <f>IF(S2882=0,0,VLOOKUP(YEAR(S2882),INPC!$B$4:$O$29,MONTH(S2882)+1))</f>
        <v>0</v>
      </c>
      <c r="M2882" s="463">
        <f t="shared" si="234"/>
        <v>0</v>
      </c>
      <c r="N2882" s="465">
        <f t="shared" si="242"/>
        <v>0</v>
      </c>
      <c r="O2882" s="179"/>
      <c r="P2882" s="180"/>
      <c r="Q2882" s="173"/>
      <c r="R2882" s="173"/>
      <c r="S2882" s="174"/>
      <c r="T2882" s="173"/>
      <c r="U2882" s="182"/>
      <c r="V2882" s="177">
        <f>IF(U2882=0,0,IF(T2882="MXN",1/HLOOKUP(YEAR(S2882)+(MONTH(S2882)/100),TC!$5:$37,DAY(S2882)+2,FALSE),VLOOKUP(T2882,Equivalencia!$1:$23,((MAX(Equivalencia!$3:$3)-YEAR(S2882))*14)+MONTH(S2882)+2,FALSE)))</f>
        <v>0</v>
      </c>
      <c r="W2882" s="178">
        <f t="shared" si="239"/>
        <v>0</v>
      </c>
      <c r="X2882" s="481">
        <f t="shared" si="235"/>
        <v>0</v>
      </c>
      <c r="Y2882" s="179"/>
      <c r="Z2882" s="466">
        <f t="shared" si="236"/>
        <v>0</v>
      </c>
      <c r="AA2882" s="473">
        <f t="shared" si="237"/>
        <v>0</v>
      </c>
      <c r="AB2882" s="339">
        <f t="shared" si="238"/>
        <v>0</v>
      </c>
    </row>
    <row r="2883" spans="2:28" ht="20.100000000000001" customHeight="1">
      <c r="B2883" s="172"/>
      <c r="C2883" s="174"/>
      <c r="D2883" s="181"/>
      <c r="E2883" s="173"/>
      <c r="F2883" s="176"/>
      <c r="G2883" s="175">
        <f t="shared" si="240"/>
        <v>0</v>
      </c>
      <c r="H2883" s="175">
        <f t="shared" si="233"/>
        <v>0</v>
      </c>
      <c r="I2883" s="177">
        <f>IF(G2883=0,0,IF(E2883="MXN",1/HLOOKUP(YEAR(C2883)+(MONTH(C2883)/100),TC!$5:$37,DAY(C2883)+2,FALSE),VLOOKUP(E2883,Equivalencia!$5:$23,((MAX(Equivalencia!$3:$3)-YEAR(C2883))*14)+MONTH(C2883)+2,FALSE)))</f>
        <v>0</v>
      </c>
      <c r="J2883" s="178">
        <f t="shared" si="241"/>
        <v>0</v>
      </c>
      <c r="K2883" s="462">
        <f>IF(C2883=0,0,VLOOKUP(YEAR(C2883),INPC!$B$4:$O$29,MONTH(C2883)+1))</f>
        <v>0</v>
      </c>
      <c r="L2883" s="462">
        <f>IF(S2883=0,0,VLOOKUP(YEAR(S2883),INPC!$B$4:$O$29,MONTH(S2883)+1))</f>
        <v>0</v>
      </c>
      <c r="M2883" s="463">
        <f t="shared" si="234"/>
        <v>0</v>
      </c>
      <c r="N2883" s="465">
        <f t="shared" si="242"/>
        <v>0</v>
      </c>
      <c r="O2883" s="179"/>
      <c r="P2883" s="180"/>
      <c r="Q2883" s="173"/>
      <c r="R2883" s="173"/>
      <c r="S2883" s="174"/>
      <c r="T2883" s="173"/>
      <c r="U2883" s="182"/>
      <c r="V2883" s="177">
        <f>IF(U2883=0,0,IF(T2883="MXN",1/HLOOKUP(YEAR(S2883)+(MONTH(S2883)/100),TC!$5:$37,DAY(S2883)+2,FALSE),VLOOKUP(T2883,Equivalencia!$1:$23,((MAX(Equivalencia!$3:$3)-YEAR(S2883))*14)+MONTH(S2883)+2,FALSE)))</f>
        <v>0</v>
      </c>
      <c r="W2883" s="178">
        <f t="shared" si="239"/>
        <v>0</v>
      </c>
      <c r="X2883" s="481">
        <f t="shared" si="235"/>
        <v>0</v>
      </c>
      <c r="Y2883" s="179"/>
      <c r="Z2883" s="466">
        <f t="shared" si="236"/>
        <v>0</v>
      </c>
      <c r="AA2883" s="473">
        <f t="shared" si="237"/>
        <v>0</v>
      </c>
      <c r="AB2883" s="339">
        <f t="shared" si="238"/>
        <v>0</v>
      </c>
    </row>
    <row r="2884" spans="2:28" ht="20.100000000000001" customHeight="1">
      <c r="B2884" s="172"/>
      <c r="C2884" s="174"/>
      <c r="D2884" s="181"/>
      <c r="E2884" s="173"/>
      <c r="F2884" s="176"/>
      <c r="G2884" s="175">
        <f t="shared" si="240"/>
        <v>0</v>
      </c>
      <c r="H2884" s="175">
        <f t="shared" si="233"/>
        <v>0</v>
      </c>
      <c r="I2884" s="177">
        <f>IF(G2884=0,0,IF(E2884="MXN",1/HLOOKUP(YEAR(C2884)+(MONTH(C2884)/100),TC!$5:$37,DAY(C2884)+2,FALSE),VLOOKUP(E2884,Equivalencia!$5:$23,((MAX(Equivalencia!$3:$3)-YEAR(C2884))*14)+MONTH(C2884)+2,FALSE)))</f>
        <v>0</v>
      </c>
      <c r="J2884" s="178">
        <f t="shared" si="241"/>
        <v>0</v>
      </c>
      <c r="K2884" s="462">
        <f>IF(C2884=0,0,VLOOKUP(YEAR(C2884),INPC!$B$4:$O$29,MONTH(C2884)+1))</f>
        <v>0</v>
      </c>
      <c r="L2884" s="462">
        <f>IF(S2884=0,0,VLOOKUP(YEAR(S2884),INPC!$B$4:$O$29,MONTH(S2884)+1))</f>
        <v>0</v>
      </c>
      <c r="M2884" s="463">
        <f t="shared" si="234"/>
        <v>0</v>
      </c>
      <c r="N2884" s="465">
        <f t="shared" si="242"/>
        <v>0</v>
      </c>
      <c r="O2884" s="179"/>
      <c r="P2884" s="180"/>
      <c r="Q2884" s="173"/>
      <c r="R2884" s="173"/>
      <c r="S2884" s="174"/>
      <c r="T2884" s="173"/>
      <c r="U2884" s="182"/>
      <c r="V2884" s="177">
        <f>IF(U2884=0,0,IF(T2884="MXN",1/HLOOKUP(YEAR(S2884)+(MONTH(S2884)/100),TC!$5:$37,DAY(S2884)+2,FALSE),VLOOKUP(T2884,Equivalencia!$1:$23,((MAX(Equivalencia!$3:$3)-YEAR(S2884))*14)+MONTH(S2884)+2,FALSE)))</f>
        <v>0</v>
      </c>
      <c r="W2884" s="178">
        <f t="shared" si="239"/>
        <v>0</v>
      </c>
      <c r="X2884" s="481">
        <f t="shared" si="235"/>
        <v>0</v>
      </c>
      <c r="Y2884" s="179"/>
      <c r="Z2884" s="466">
        <f t="shared" si="236"/>
        <v>0</v>
      </c>
      <c r="AA2884" s="473">
        <f t="shared" si="237"/>
        <v>0</v>
      </c>
      <c r="AB2884" s="339">
        <f t="shared" si="238"/>
        <v>0</v>
      </c>
    </row>
    <row r="2885" spans="2:28" ht="20.100000000000001" customHeight="1">
      <c r="B2885" s="172"/>
      <c r="C2885" s="174"/>
      <c r="D2885" s="181"/>
      <c r="E2885" s="173"/>
      <c r="F2885" s="176"/>
      <c r="G2885" s="175">
        <f t="shared" si="240"/>
        <v>0</v>
      </c>
      <c r="H2885" s="175">
        <f t="shared" si="233"/>
        <v>0</v>
      </c>
      <c r="I2885" s="177">
        <f>IF(G2885=0,0,IF(E2885="MXN",1/HLOOKUP(YEAR(C2885)+(MONTH(C2885)/100),TC!$5:$37,DAY(C2885)+2,FALSE),VLOOKUP(E2885,Equivalencia!$5:$23,((MAX(Equivalencia!$3:$3)-YEAR(C2885))*14)+MONTH(C2885)+2,FALSE)))</f>
        <v>0</v>
      </c>
      <c r="J2885" s="178">
        <f t="shared" si="241"/>
        <v>0</v>
      </c>
      <c r="K2885" s="462">
        <f>IF(C2885=0,0,VLOOKUP(YEAR(C2885),INPC!$B$4:$O$29,MONTH(C2885)+1))</f>
        <v>0</v>
      </c>
      <c r="L2885" s="462">
        <f>IF(S2885=0,0,VLOOKUP(YEAR(S2885),INPC!$B$4:$O$29,MONTH(S2885)+1))</f>
        <v>0</v>
      </c>
      <c r="M2885" s="463">
        <f t="shared" si="234"/>
        <v>0</v>
      </c>
      <c r="N2885" s="465">
        <f t="shared" si="242"/>
        <v>0</v>
      </c>
      <c r="O2885" s="179"/>
      <c r="P2885" s="180"/>
      <c r="Q2885" s="173"/>
      <c r="R2885" s="173"/>
      <c r="S2885" s="174"/>
      <c r="T2885" s="173"/>
      <c r="U2885" s="182"/>
      <c r="V2885" s="177">
        <f>IF(U2885=0,0,IF(T2885="MXN",1/HLOOKUP(YEAR(S2885)+(MONTH(S2885)/100),TC!$5:$37,DAY(S2885)+2,FALSE),VLOOKUP(T2885,Equivalencia!$1:$23,((MAX(Equivalencia!$3:$3)-YEAR(S2885))*14)+MONTH(S2885)+2,FALSE)))</f>
        <v>0</v>
      </c>
      <c r="W2885" s="178">
        <f t="shared" si="239"/>
        <v>0</v>
      </c>
      <c r="X2885" s="481">
        <f t="shared" si="235"/>
        <v>0</v>
      </c>
      <c r="Y2885" s="179"/>
      <c r="Z2885" s="466">
        <f t="shared" si="236"/>
        <v>0</v>
      </c>
      <c r="AA2885" s="473">
        <f t="shared" si="237"/>
        <v>0</v>
      </c>
      <c r="AB2885" s="339">
        <f t="shared" si="238"/>
        <v>0</v>
      </c>
    </row>
    <row r="2886" spans="2:28" ht="20.100000000000001" customHeight="1">
      <c r="B2886" s="172"/>
      <c r="C2886" s="174"/>
      <c r="D2886" s="181"/>
      <c r="E2886" s="173"/>
      <c r="F2886" s="176"/>
      <c r="G2886" s="175">
        <f t="shared" si="240"/>
        <v>0</v>
      </c>
      <c r="H2886" s="175">
        <f t="shared" si="233"/>
        <v>0</v>
      </c>
      <c r="I2886" s="177">
        <f>IF(G2886=0,0,IF(E2886="MXN",1/HLOOKUP(YEAR(C2886)+(MONTH(C2886)/100),TC!$5:$37,DAY(C2886)+2,FALSE),VLOOKUP(E2886,Equivalencia!$5:$23,((MAX(Equivalencia!$3:$3)-YEAR(C2886))*14)+MONTH(C2886)+2,FALSE)))</f>
        <v>0</v>
      </c>
      <c r="J2886" s="178">
        <f t="shared" si="241"/>
        <v>0</v>
      </c>
      <c r="K2886" s="462">
        <f>IF(C2886=0,0,VLOOKUP(YEAR(C2886),INPC!$B$4:$O$29,MONTH(C2886)+1))</f>
        <v>0</v>
      </c>
      <c r="L2886" s="462">
        <f>IF(S2886=0,0,VLOOKUP(YEAR(S2886),INPC!$B$4:$O$29,MONTH(S2886)+1))</f>
        <v>0</v>
      </c>
      <c r="M2886" s="463">
        <f t="shared" si="234"/>
        <v>0</v>
      </c>
      <c r="N2886" s="465">
        <f t="shared" si="242"/>
        <v>0</v>
      </c>
      <c r="O2886" s="179"/>
      <c r="P2886" s="180"/>
      <c r="Q2886" s="173"/>
      <c r="R2886" s="173"/>
      <c r="S2886" s="174"/>
      <c r="T2886" s="173"/>
      <c r="U2886" s="182"/>
      <c r="V2886" s="177">
        <f>IF(U2886=0,0,IF(T2886="MXN",1/HLOOKUP(YEAR(S2886)+(MONTH(S2886)/100),TC!$5:$37,DAY(S2886)+2,FALSE),VLOOKUP(T2886,Equivalencia!$1:$23,((MAX(Equivalencia!$3:$3)-YEAR(S2886))*14)+MONTH(S2886)+2,FALSE)))</f>
        <v>0</v>
      </c>
      <c r="W2886" s="178">
        <f t="shared" si="239"/>
        <v>0</v>
      </c>
      <c r="X2886" s="481">
        <f t="shared" si="235"/>
        <v>0</v>
      </c>
      <c r="Y2886" s="179"/>
      <c r="Z2886" s="466">
        <f t="shared" si="236"/>
        <v>0</v>
      </c>
      <c r="AA2886" s="473">
        <f t="shared" si="237"/>
        <v>0</v>
      </c>
      <c r="AB2886" s="339">
        <f t="shared" si="238"/>
        <v>0</v>
      </c>
    </row>
    <row r="2887" spans="2:28" ht="20.100000000000001" customHeight="1">
      <c r="B2887" s="172"/>
      <c r="C2887" s="174"/>
      <c r="D2887" s="181"/>
      <c r="E2887" s="173"/>
      <c r="F2887" s="176"/>
      <c r="G2887" s="175">
        <f t="shared" si="240"/>
        <v>0</v>
      </c>
      <c r="H2887" s="175">
        <f t="shared" si="233"/>
        <v>0</v>
      </c>
      <c r="I2887" s="177">
        <f>IF(G2887=0,0,IF(E2887="MXN",1/HLOOKUP(YEAR(C2887)+(MONTH(C2887)/100),TC!$5:$37,DAY(C2887)+2,FALSE),VLOOKUP(E2887,Equivalencia!$5:$23,((MAX(Equivalencia!$3:$3)-YEAR(C2887))*14)+MONTH(C2887)+2,FALSE)))</f>
        <v>0</v>
      </c>
      <c r="J2887" s="178">
        <f t="shared" si="241"/>
        <v>0</v>
      </c>
      <c r="K2887" s="462">
        <f>IF(C2887=0,0,VLOOKUP(YEAR(C2887),INPC!$B$4:$O$29,MONTH(C2887)+1))</f>
        <v>0</v>
      </c>
      <c r="L2887" s="462">
        <f>IF(S2887=0,0,VLOOKUP(YEAR(S2887),INPC!$B$4:$O$29,MONTH(S2887)+1))</f>
        <v>0</v>
      </c>
      <c r="M2887" s="463">
        <f t="shared" si="234"/>
        <v>0</v>
      </c>
      <c r="N2887" s="465">
        <f t="shared" si="242"/>
        <v>0</v>
      </c>
      <c r="O2887" s="179"/>
      <c r="P2887" s="180"/>
      <c r="Q2887" s="173"/>
      <c r="R2887" s="173"/>
      <c r="S2887" s="174"/>
      <c r="T2887" s="173"/>
      <c r="U2887" s="182"/>
      <c r="V2887" s="177">
        <f>IF(U2887=0,0,IF(T2887="MXN",1/HLOOKUP(YEAR(S2887)+(MONTH(S2887)/100),TC!$5:$37,DAY(S2887)+2,FALSE),VLOOKUP(T2887,Equivalencia!$1:$23,((MAX(Equivalencia!$3:$3)-YEAR(S2887))*14)+MONTH(S2887)+2,FALSE)))</f>
        <v>0</v>
      </c>
      <c r="W2887" s="178">
        <f t="shared" si="239"/>
        <v>0</v>
      </c>
      <c r="X2887" s="481">
        <f t="shared" si="235"/>
        <v>0</v>
      </c>
      <c r="Y2887" s="179"/>
      <c r="Z2887" s="466">
        <f t="shared" si="236"/>
        <v>0</v>
      </c>
      <c r="AA2887" s="473">
        <f t="shared" si="237"/>
        <v>0</v>
      </c>
      <c r="AB2887" s="339">
        <f t="shared" si="238"/>
        <v>0</v>
      </c>
    </row>
    <row r="2888" spans="2:28" ht="20.100000000000001" customHeight="1">
      <c r="B2888" s="172"/>
      <c r="C2888" s="174"/>
      <c r="D2888" s="181"/>
      <c r="E2888" s="173"/>
      <c r="F2888" s="176"/>
      <c r="G2888" s="175">
        <f t="shared" si="240"/>
        <v>0</v>
      </c>
      <c r="H2888" s="175">
        <f t="shared" si="233"/>
        <v>0</v>
      </c>
      <c r="I2888" s="177">
        <f>IF(G2888=0,0,IF(E2888="MXN",1/HLOOKUP(YEAR(C2888)+(MONTH(C2888)/100),TC!$5:$37,DAY(C2888)+2,FALSE),VLOOKUP(E2888,Equivalencia!$5:$23,((MAX(Equivalencia!$3:$3)-YEAR(C2888))*14)+MONTH(C2888)+2,FALSE)))</f>
        <v>0</v>
      </c>
      <c r="J2888" s="178">
        <f t="shared" si="241"/>
        <v>0</v>
      </c>
      <c r="K2888" s="462">
        <f>IF(C2888=0,0,VLOOKUP(YEAR(C2888),INPC!$B$4:$O$29,MONTH(C2888)+1))</f>
        <v>0</v>
      </c>
      <c r="L2888" s="462">
        <f>IF(S2888=0,0,VLOOKUP(YEAR(S2888),INPC!$B$4:$O$29,MONTH(S2888)+1))</f>
        <v>0</v>
      </c>
      <c r="M2888" s="463">
        <f t="shared" si="234"/>
        <v>0</v>
      </c>
      <c r="N2888" s="465">
        <f t="shared" si="242"/>
        <v>0</v>
      </c>
      <c r="O2888" s="179"/>
      <c r="P2888" s="180"/>
      <c r="Q2888" s="173"/>
      <c r="R2888" s="173"/>
      <c r="S2888" s="174"/>
      <c r="T2888" s="173"/>
      <c r="U2888" s="182"/>
      <c r="V2888" s="177">
        <f>IF(U2888=0,0,IF(T2888="MXN",1/HLOOKUP(YEAR(S2888)+(MONTH(S2888)/100),TC!$5:$37,DAY(S2888)+2,FALSE),VLOOKUP(T2888,Equivalencia!$1:$23,((MAX(Equivalencia!$3:$3)-YEAR(S2888))*14)+MONTH(S2888)+2,FALSE)))</f>
        <v>0</v>
      </c>
      <c r="W2888" s="178">
        <f t="shared" si="239"/>
        <v>0</v>
      </c>
      <c r="X2888" s="481">
        <f t="shared" si="235"/>
        <v>0</v>
      </c>
      <c r="Y2888" s="179"/>
      <c r="Z2888" s="466">
        <f t="shared" si="236"/>
        <v>0</v>
      </c>
      <c r="AA2888" s="473">
        <f t="shared" si="237"/>
        <v>0</v>
      </c>
      <c r="AB2888" s="339">
        <f t="shared" si="238"/>
        <v>0</v>
      </c>
    </row>
    <row r="2889" spans="2:28" ht="20.100000000000001" customHeight="1">
      <c r="B2889" s="172"/>
      <c r="C2889" s="174"/>
      <c r="D2889" s="181"/>
      <c r="E2889" s="173"/>
      <c r="F2889" s="176"/>
      <c r="G2889" s="175">
        <f t="shared" si="240"/>
        <v>0</v>
      </c>
      <c r="H2889" s="175">
        <f t="shared" si="233"/>
        <v>0</v>
      </c>
      <c r="I2889" s="177">
        <f>IF(G2889=0,0,IF(E2889="MXN",1/HLOOKUP(YEAR(C2889)+(MONTH(C2889)/100),TC!$5:$37,DAY(C2889)+2,FALSE),VLOOKUP(E2889,Equivalencia!$5:$23,((MAX(Equivalencia!$3:$3)-YEAR(C2889))*14)+MONTH(C2889)+2,FALSE)))</f>
        <v>0</v>
      </c>
      <c r="J2889" s="178">
        <f t="shared" si="241"/>
        <v>0</v>
      </c>
      <c r="K2889" s="462">
        <f>IF(C2889=0,0,VLOOKUP(YEAR(C2889),INPC!$B$4:$O$29,MONTH(C2889)+1))</f>
        <v>0</v>
      </c>
      <c r="L2889" s="462">
        <f>IF(S2889=0,0,VLOOKUP(YEAR(S2889),INPC!$B$4:$O$29,MONTH(S2889)+1))</f>
        <v>0</v>
      </c>
      <c r="M2889" s="463">
        <f t="shared" si="234"/>
        <v>0</v>
      </c>
      <c r="N2889" s="465">
        <f t="shared" si="242"/>
        <v>0</v>
      </c>
      <c r="O2889" s="179"/>
      <c r="P2889" s="180"/>
      <c r="Q2889" s="173"/>
      <c r="R2889" s="173"/>
      <c r="S2889" s="174"/>
      <c r="T2889" s="173"/>
      <c r="U2889" s="182"/>
      <c r="V2889" s="177">
        <f>IF(U2889=0,0,IF(T2889="MXN",1/HLOOKUP(YEAR(S2889)+(MONTH(S2889)/100),TC!$5:$37,DAY(S2889)+2,FALSE),VLOOKUP(T2889,Equivalencia!$1:$23,((MAX(Equivalencia!$3:$3)-YEAR(S2889))*14)+MONTH(S2889)+2,FALSE)))</f>
        <v>0</v>
      </c>
      <c r="W2889" s="178">
        <f t="shared" si="239"/>
        <v>0</v>
      </c>
      <c r="X2889" s="481">
        <f t="shared" si="235"/>
        <v>0</v>
      </c>
      <c r="Y2889" s="179"/>
      <c r="Z2889" s="466">
        <f t="shared" si="236"/>
        <v>0</v>
      </c>
      <c r="AA2889" s="473">
        <f t="shared" si="237"/>
        <v>0</v>
      </c>
      <c r="AB2889" s="339">
        <f t="shared" si="238"/>
        <v>0</v>
      </c>
    </row>
    <row r="2890" spans="2:28" ht="20.100000000000001" customHeight="1">
      <c r="B2890" s="172"/>
      <c r="C2890" s="174"/>
      <c r="D2890" s="181"/>
      <c r="E2890" s="173"/>
      <c r="F2890" s="176"/>
      <c r="G2890" s="175">
        <f t="shared" si="240"/>
        <v>0</v>
      </c>
      <c r="H2890" s="175">
        <f t="shared" si="233"/>
        <v>0</v>
      </c>
      <c r="I2890" s="177">
        <f>IF(G2890=0,0,IF(E2890="MXN",1/HLOOKUP(YEAR(C2890)+(MONTH(C2890)/100),TC!$5:$37,DAY(C2890)+2,FALSE),VLOOKUP(E2890,Equivalencia!$5:$23,((MAX(Equivalencia!$3:$3)-YEAR(C2890))*14)+MONTH(C2890)+2,FALSE)))</f>
        <v>0</v>
      </c>
      <c r="J2890" s="178">
        <f t="shared" si="241"/>
        <v>0</v>
      </c>
      <c r="K2890" s="462">
        <f>IF(C2890=0,0,VLOOKUP(YEAR(C2890),INPC!$B$4:$O$29,MONTH(C2890)+1))</f>
        <v>0</v>
      </c>
      <c r="L2890" s="462">
        <f>IF(S2890=0,0,VLOOKUP(YEAR(S2890),INPC!$B$4:$O$29,MONTH(S2890)+1))</f>
        <v>0</v>
      </c>
      <c r="M2890" s="463">
        <f t="shared" si="234"/>
        <v>0</v>
      </c>
      <c r="N2890" s="465">
        <f t="shared" si="242"/>
        <v>0</v>
      </c>
      <c r="O2890" s="179"/>
      <c r="P2890" s="180"/>
      <c r="Q2890" s="173"/>
      <c r="R2890" s="173"/>
      <c r="S2890" s="174"/>
      <c r="T2890" s="173"/>
      <c r="U2890" s="182"/>
      <c r="V2890" s="177">
        <f>IF(U2890=0,0,IF(T2890="MXN",1/HLOOKUP(YEAR(S2890)+(MONTH(S2890)/100),TC!$5:$37,DAY(S2890)+2,FALSE),VLOOKUP(T2890,Equivalencia!$1:$23,((MAX(Equivalencia!$3:$3)-YEAR(S2890))*14)+MONTH(S2890)+2,FALSE)))</f>
        <v>0</v>
      </c>
      <c r="W2890" s="178">
        <f t="shared" si="239"/>
        <v>0</v>
      </c>
      <c r="X2890" s="481">
        <f t="shared" si="235"/>
        <v>0</v>
      </c>
      <c r="Y2890" s="179"/>
      <c r="Z2890" s="466">
        <f t="shared" si="236"/>
        <v>0</v>
      </c>
      <c r="AA2890" s="473">
        <f t="shared" si="237"/>
        <v>0</v>
      </c>
      <c r="AB2890" s="339">
        <f t="shared" si="238"/>
        <v>0</v>
      </c>
    </row>
    <row r="2891" spans="2:28" ht="20.100000000000001" customHeight="1">
      <c r="B2891" s="172"/>
      <c r="C2891" s="174"/>
      <c r="D2891" s="181"/>
      <c r="E2891" s="173"/>
      <c r="F2891" s="176"/>
      <c r="G2891" s="175">
        <f t="shared" si="240"/>
        <v>0</v>
      </c>
      <c r="H2891" s="175">
        <f t="shared" si="233"/>
        <v>0</v>
      </c>
      <c r="I2891" s="177">
        <f>IF(G2891=0,0,IF(E2891="MXN",1/HLOOKUP(YEAR(C2891)+(MONTH(C2891)/100),TC!$5:$37,DAY(C2891)+2,FALSE),VLOOKUP(E2891,Equivalencia!$5:$23,((MAX(Equivalencia!$3:$3)-YEAR(C2891))*14)+MONTH(C2891)+2,FALSE)))</f>
        <v>0</v>
      </c>
      <c r="J2891" s="178">
        <f t="shared" si="241"/>
        <v>0</v>
      </c>
      <c r="K2891" s="462">
        <f>IF(C2891=0,0,VLOOKUP(YEAR(C2891),INPC!$B$4:$O$29,MONTH(C2891)+1))</f>
        <v>0</v>
      </c>
      <c r="L2891" s="462">
        <f>IF(S2891=0,0,VLOOKUP(YEAR(S2891),INPC!$B$4:$O$29,MONTH(S2891)+1))</f>
        <v>0</v>
      </c>
      <c r="M2891" s="463">
        <f t="shared" si="234"/>
        <v>0</v>
      </c>
      <c r="N2891" s="465">
        <f t="shared" si="242"/>
        <v>0</v>
      </c>
      <c r="O2891" s="179"/>
      <c r="P2891" s="180"/>
      <c r="Q2891" s="173"/>
      <c r="R2891" s="173"/>
      <c r="S2891" s="174"/>
      <c r="T2891" s="173"/>
      <c r="U2891" s="182"/>
      <c r="V2891" s="177">
        <f>IF(U2891=0,0,IF(T2891="MXN",1/HLOOKUP(YEAR(S2891)+(MONTH(S2891)/100),TC!$5:$37,DAY(S2891)+2,FALSE),VLOOKUP(T2891,Equivalencia!$1:$23,((MAX(Equivalencia!$3:$3)-YEAR(S2891))*14)+MONTH(S2891)+2,FALSE)))</f>
        <v>0</v>
      </c>
      <c r="W2891" s="178">
        <f t="shared" si="239"/>
        <v>0</v>
      </c>
      <c r="X2891" s="481">
        <f t="shared" si="235"/>
        <v>0</v>
      </c>
      <c r="Y2891" s="179"/>
      <c r="Z2891" s="466">
        <f t="shared" si="236"/>
        <v>0</v>
      </c>
      <c r="AA2891" s="473">
        <f t="shared" si="237"/>
        <v>0</v>
      </c>
      <c r="AB2891" s="339">
        <f t="shared" si="238"/>
        <v>0</v>
      </c>
    </row>
    <row r="2892" spans="2:28" ht="20.100000000000001" customHeight="1">
      <c r="B2892" s="172"/>
      <c r="C2892" s="174"/>
      <c r="D2892" s="181"/>
      <c r="E2892" s="173"/>
      <c r="F2892" s="176"/>
      <c r="G2892" s="175">
        <f t="shared" si="240"/>
        <v>0</v>
      </c>
      <c r="H2892" s="175">
        <f t="shared" si="233"/>
        <v>0</v>
      </c>
      <c r="I2892" s="177">
        <f>IF(G2892=0,0,IF(E2892="MXN",1/HLOOKUP(YEAR(C2892)+(MONTH(C2892)/100),TC!$5:$37,DAY(C2892)+2,FALSE),VLOOKUP(E2892,Equivalencia!$5:$23,((MAX(Equivalencia!$3:$3)-YEAR(C2892))*14)+MONTH(C2892)+2,FALSE)))</f>
        <v>0</v>
      </c>
      <c r="J2892" s="178">
        <f t="shared" si="241"/>
        <v>0</v>
      </c>
      <c r="K2892" s="462">
        <f>IF(C2892=0,0,VLOOKUP(YEAR(C2892),INPC!$B$4:$O$29,MONTH(C2892)+1))</f>
        <v>0</v>
      </c>
      <c r="L2892" s="462">
        <f>IF(S2892=0,0,VLOOKUP(YEAR(S2892),INPC!$B$4:$O$29,MONTH(S2892)+1))</f>
        <v>0</v>
      </c>
      <c r="M2892" s="463">
        <f t="shared" si="234"/>
        <v>0</v>
      </c>
      <c r="N2892" s="465">
        <f t="shared" si="242"/>
        <v>0</v>
      </c>
      <c r="O2892" s="179"/>
      <c r="P2892" s="180"/>
      <c r="Q2892" s="173"/>
      <c r="R2892" s="173"/>
      <c r="S2892" s="174"/>
      <c r="T2892" s="173"/>
      <c r="U2892" s="182"/>
      <c r="V2892" s="177">
        <f>IF(U2892=0,0,IF(T2892="MXN",1/HLOOKUP(YEAR(S2892)+(MONTH(S2892)/100),TC!$5:$37,DAY(S2892)+2,FALSE),VLOOKUP(T2892,Equivalencia!$1:$23,((MAX(Equivalencia!$3:$3)-YEAR(S2892))*14)+MONTH(S2892)+2,FALSE)))</f>
        <v>0</v>
      </c>
      <c r="W2892" s="178">
        <f t="shared" si="239"/>
        <v>0</v>
      </c>
      <c r="X2892" s="481">
        <f t="shared" si="235"/>
        <v>0</v>
      </c>
      <c r="Y2892" s="179"/>
      <c r="Z2892" s="466">
        <f t="shared" si="236"/>
        <v>0</v>
      </c>
      <c r="AA2892" s="473">
        <f t="shared" si="237"/>
        <v>0</v>
      </c>
      <c r="AB2892" s="339">
        <f t="shared" si="238"/>
        <v>0</v>
      </c>
    </row>
    <row r="2893" spans="2:28" ht="20.100000000000001" customHeight="1">
      <c r="B2893" s="172"/>
      <c r="C2893" s="174"/>
      <c r="D2893" s="181"/>
      <c r="E2893" s="173"/>
      <c r="F2893" s="176"/>
      <c r="G2893" s="175">
        <f t="shared" si="240"/>
        <v>0</v>
      </c>
      <c r="H2893" s="175">
        <f t="shared" si="233"/>
        <v>0</v>
      </c>
      <c r="I2893" s="177">
        <f>IF(G2893=0,0,IF(E2893="MXN",1/HLOOKUP(YEAR(C2893)+(MONTH(C2893)/100),TC!$5:$37,DAY(C2893)+2,FALSE),VLOOKUP(E2893,Equivalencia!$5:$23,((MAX(Equivalencia!$3:$3)-YEAR(C2893))*14)+MONTH(C2893)+2,FALSE)))</f>
        <v>0</v>
      </c>
      <c r="J2893" s="178">
        <f t="shared" si="241"/>
        <v>0</v>
      </c>
      <c r="K2893" s="462">
        <f>IF(C2893=0,0,VLOOKUP(YEAR(C2893),INPC!$B$4:$O$29,MONTH(C2893)+1))</f>
        <v>0</v>
      </c>
      <c r="L2893" s="462">
        <f>IF(S2893=0,0,VLOOKUP(YEAR(S2893),INPC!$B$4:$O$29,MONTH(S2893)+1))</f>
        <v>0</v>
      </c>
      <c r="M2893" s="463">
        <f t="shared" si="234"/>
        <v>0</v>
      </c>
      <c r="N2893" s="465">
        <f t="shared" si="242"/>
        <v>0</v>
      </c>
      <c r="O2893" s="179"/>
      <c r="P2893" s="180"/>
      <c r="Q2893" s="173"/>
      <c r="R2893" s="173"/>
      <c r="S2893" s="174"/>
      <c r="T2893" s="173"/>
      <c r="U2893" s="182"/>
      <c r="V2893" s="177">
        <f>IF(U2893=0,0,IF(T2893="MXN",1/HLOOKUP(YEAR(S2893)+(MONTH(S2893)/100),TC!$5:$37,DAY(S2893)+2,FALSE),VLOOKUP(T2893,Equivalencia!$1:$23,((MAX(Equivalencia!$3:$3)-YEAR(S2893))*14)+MONTH(S2893)+2,FALSE)))</f>
        <v>0</v>
      </c>
      <c r="W2893" s="178">
        <f t="shared" si="239"/>
        <v>0</v>
      </c>
      <c r="X2893" s="481">
        <f t="shared" si="235"/>
        <v>0</v>
      </c>
      <c r="Y2893" s="179"/>
      <c r="Z2893" s="466">
        <f t="shared" si="236"/>
        <v>0</v>
      </c>
      <c r="AA2893" s="473">
        <f t="shared" si="237"/>
        <v>0</v>
      </c>
      <c r="AB2893" s="339">
        <f t="shared" si="238"/>
        <v>0</v>
      </c>
    </row>
    <row r="2894" spans="2:28" ht="20.100000000000001" customHeight="1">
      <c r="B2894" s="172"/>
      <c r="C2894" s="174"/>
      <c r="D2894" s="181"/>
      <c r="E2894" s="173"/>
      <c r="F2894" s="176"/>
      <c r="G2894" s="175">
        <f t="shared" si="240"/>
        <v>0</v>
      </c>
      <c r="H2894" s="175">
        <f t="shared" si="233"/>
        <v>0</v>
      </c>
      <c r="I2894" s="177">
        <f>IF(G2894=0,0,IF(E2894="MXN",1/HLOOKUP(YEAR(C2894)+(MONTH(C2894)/100),TC!$5:$37,DAY(C2894)+2,FALSE),VLOOKUP(E2894,Equivalencia!$5:$23,((MAX(Equivalencia!$3:$3)-YEAR(C2894))*14)+MONTH(C2894)+2,FALSE)))</f>
        <v>0</v>
      </c>
      <c r="J2894" s="178">
        <f t="shared" si="241"/>
        <v>0</v>
      </c>
      <c r="K2894" s="462">
        <f>IF(C2894=0,0,VLOOKUP(YEAR(C2894),INPC!$B$4:$O$29,MONTH(C2894)+1))</f>
        <v>0</v>
      </c>
      <c r="L2894" s="462">
        <f>IF(S2894=0,0,VLOOKUP(YEAR(S2894),INPC!$B$4:$O$29,MONTH(S2894)+1))</f>
        <v>0</v>
      </c>
      <c r="M2894" s="463">
        <f t="shared" si="234"/>
        <v>0</v>
      </c>
      <c r="N2894" s="465">
        <f t="shared" si="242"/>
        <v>0</v>
      </c>
      <c r="O2894" s="179"/>
      <c r="P2894" s="180"/>
      <c r="Q2894" s="173"/>
      <c r="R2894" s="173"/>
      <c r="S2894" s="174"/>
      <c r="T2894" s="173"/>
      <c r="U2894" s="182"/>
      <c r="V2894" s="177">
        <f>IF(U2894=0,0,IF(T2894="MXN",1/HLOOKUP(YEAR(S2894)+(MONTH(S2894)/100),TC!$5:$37,DAY(S2894)+2,FALSE),VLOOKUP(T2894,Equivalencia!$1:$23,((MAX(Equivalencia!$3:$3)-YEAR(S2894))*14)+MONTH(S2894)+2,FALSE)))</f>
        <v>0</v>
      </c>
      <c r="W2894" s="178">
        <f t="shared" si="239"/>
        <v>0</v>
      </c>
      <c r="X2894" s="481">
        <f t="shared" si="235"/>
        <v>0</v>
      </c>
      <c r="Y2894" s="179"/>
      <c r="Z2894" s="466">
        <f t="shared" si="236"/>
        <v>0</v>
      </c>
      <c r="AA2894" s="473">
        <f t="shared" si="237"/>
        <v>0</v>
      </c>
      <c r="AB2894" s="339">
        <f t="shared" si="238"/>
        <v>0</v>
      </c>
    </row>
    <row r="2895" spans="2:28" ht="20.100000000000001" customHeight="1">
      <c r="B2895" s="172"/>
      <c r="C2895" s="174"/>
      <c r="D2895" s="181"/>
      <c r="E2895" s="173"/>
      <c r="F2895" s="176"/>
      <c r="G2895" s="175">
        <f t="shared" si="240"/>
        <v>0</v>
      </c>
      <c r="H2895" s="175">
        <f t="shared" si="233"/>
        <v>0</v>
      </c>
      <c r="I2895" s="177">
        <f>IF(G2895=0,0,IF(E2895="MXN",1/HLOOKUP(YEAR(C2895)+(MONTH(C2895)/100),TC!$5:$37,DAY(C2895)+2,FALSE),VLOOKUP(E2895,Equivalencia!$5:$23,((MAX(Equivalencia!$3:$3)-YEAR(C2895))*14)+MONTH(C2895)+2,FALSE)))</f>
        <v>0</v>
      </c>
      <c r="J2895" s="178">
        <f t="shared" si="241"/>
        <v>0</v>
      </c>
      <c r="K2895" s="462">
        <f>IF(C2895=0,0,VLOOKUP(YEAR(C2895),INPC!$B$4:$O$29,MONTH(C2895)+1))</f>
        <v>0</v>
      </c>
      <c r="L2895" s="462">
        <f>IF(S2895=0,0,VLOOKUP(YEAR(S2895),INPC!$B$4:$O$29,MONTH(S2895)+1))</f>
        <v>0</v>
      </c>
      <c r="M2895" s="463">
        <f t="shared" si="234"/>
        <v>0</v>
      </c>
      <c r="N2895" s="465">
        <f t="shared" si="242"/>
        <v>0</v>
      </c>
      <c r="O2895" s="179"/>
      <c r="P2895" s="180"/>
      <c r="Q2895" s="173"/>
      <c r="R2895" s="173"/>
      <c r="S2895" s="174"/>
      <c r="T2895" s="173"/>
      <c r="U2895" s="182"/>
      <c r="V2895" s="177">
        <f>IF(U2895=0,0,IF(T2895="MXN",1/HLOOKUP(YEAR(S2895)+(MONTH(S2895)/100),TC!$5:$37,DAY(S2895)+2,FALSE),VLOOKUP(T2895,Equivalencia!$1:$23,((MAX(Equivalencia!$3:$3)-YEAR(S2895))*14)+MONTH(S2895)+2,FALSE)))</f>
        <v>0</v>
      </c>
      <c r="W2895" s="178">
        <f t="shared" si="239"/>
        <v>0</v>
      </c>
      <c r="X2895" s="481">
        <f t="shared" si="235"/>
        <v>0</v>
      </c>
      <c r="Y2895" s="179"/>
      <c r="Z2895" s="466">
        <f t="shared" si="236"/>
        <v>0</v>
      </c>
      <c r="AA2895" s="473">
        <f t="shared" si="237"/>
        <v>0</v>
      </c>
      <c r="AB2895" s="339">
        <f t="shared" si="238"/>
        <v>0</v>
      </c>
    </row>
    <row r="2896" spans="2:28" ht="20.100000000000001" customHeight="1">
      <c r="B2896" s="172"/>
      <c r="C2896" s="174"/>
      <c r="D2896" s="181"/>
      <c r="E2896" s="173"/>
      <c r="F2896" s="176"/>
      <c r="G2896" s="175">
        <f t="shared" si="240"/>
        <v>0</v>
      </c>
      <c r="H2896" s="175">
        <f t="shared" si="233"/>
        <v>0</v>
      </c>
      <c r="I2896" s="177">
        <f>IF(G2896=0,0,IF(E2896="MXN",1/HLOOKUP(YEAR(C2896)+(MONTH(C2896)/100),TC!$5:$37,DAY(C2896)+2,FALSE),VLOOKUP(E2896,Equivalencia!$5:$23,((MAX(Equivalencia!$3:$3)-YEAR(C2896))*14)+MONTH(C2896)+2,FALSE)))</f>
        <v>0</v>
      </c>
      <c r="J2896" s="178">
        <f t="shared" si="241"/>
        <v>0</v>
      </c>
      <c r="K2896" s="462">
        <f>IF(C2896=0,0,VLOOKUP(YEAR(C2896),INPC!$B$4:$O$29,MONTH(C2896)+1))</f>
        <v>0</v>
      </c>
      <c r="L2896" s="462">
        <f>IF(S2896=0,0,VLOOKUP(YEAR(S2896),INPC!$B$4:$O$29,MONTH(S2896)+1))</f>
        <v>0</v>
      </c>
      <c r="M2896" s="463">
        <f t="shared" si="234"/>
        <v>0</v>
      </c>
      <c r="N2896" s="465">
        <f t="shared" si="242"/>
        <v>0</v>
      </c>
      <c r="O2896" s="179"/>
      <c r="P2896" s="180"/>
      <c r="Q2896" s="173"/>
      <c r="R2896" s="173"/>
      <c r="S2896" s="174"/>
      <c r="T2896" s="173"/>
      <c r="U2896" s="182"/>
      <c r="V2896" s="177">
        <f>IF(U2896=0,0,IF(T2896="MXN",1/HLOOKUP(YEAR(S2896)+(MONTH(S2896)/100),TC!$5:$37,DAY(S2896)+2,FALSE),VLOOKUP(T2896,Equivalencia!$1:$23,((MAX(Equivalencia!$3:$3)-YEAR(S2896))*14)+MONTH(S2896)+2,FALSE)))</f>
        <v>0</v>
      </c>
      <c r="W2896" s="178">
        <f t="shared" si="239"/>
        <v>0</v>
      </c>
      <c r="X2896" s="481">
        <f t="shared" si="235"/>
        <v>0</v>
      </c>
      <c r="Y2896" s="179"/>
      <c r="Z2896" s="466">
        <f t="shared" si="236"/>
        <v>0</v>
      </c>
      <c r="AA2896" s="473">
        <f t="shared" si="237"/>
        <v>0</v>
      </c>
      <c r="AB2896" s="339">
        <f t="shared" si="238"/>
        <v>0</v>
      </c>
    </row>
    <row r="2897" spans="2:28" ht="20.100000000000001" customHeight="1">
      <c r="B2897" s="172"/>
      <c r="C2897" s="174"/>
      <c r="D2897" s="181"/>
      <c r="E2897" s="173"/>
      <c r="F2897" s="176"/>
      <c r="G2897" s="175">
        <f t="shared" si="240"/>
        <v>0</v>
      </c>
      <c r="H2897" s="175">
        <f t="shared" si="233"/>
        <v>0</v>
      </c>
      <c r="I2897" s="177">
        <f>IF(G2897=0,0,IF(E2897="MXN",1/HLOOKUP(YEAR(C2897)+(MONTH(C2897)/100),TC!$5:$37,DAY(C2897)+2,FALSE),VLOOKUP(E2897,Equivalencia!$5:$23,((MAX(Equivalencia!$3:$3)-YEAR(C2897))*14)+MONTH(C2897)+2,FALSE)))</f>
        <v>0</v>
      </c>
      <c r="J2897" s="178">
        <f t="shared" si="241"/>
        <v>0</v>
      </c>
      <c r="K2897" s="462">
        <f>IF(C2897=0,0,VLOOKUP(YEAR(C2897),INPC!$B$4:$O$29,MONTH(C2897)+1))</f>
        <v>0</v>
      </c>
      <c r="L2897" s="462">
        <f>IF(S2897=0,0,VLOOKUP(YEAR(S2897),INPC!$B$4:$O$29,MONTH(S2897)+1))</f>
        <v>0</v>
      </c>
      <c r="M2897" s="463">
        <f t="shared" si="234"/>
        <v>0</v>
      </c>
      <c r="N2897" s="465">
        <f t="shared" si="242"/>
        <v>0</v>
      </c>
      <c r="O2897" s="179"/>
      <c r="P2897" s="180"/>
      <c r="Q2897" s="173"/>
      <c r="R2897" s="173"/>
      <c r="S2897" s="174"/>
      <c r="T2897" s="173"/>
      <c r="U2897" s="182"/>
      <c r="V2897" s="177">
        <f>IF(U2897=0,0,IF(T2897="MXN",1/HLOOKUP(YEAR(S2897)+(MONTH(S2897)/100),TC!$5:$37,DAY(S2897)+2,FALSE),VLOOKUP(T2897,Equivalencia!$1:$23,((MAX(Equivalencia!$3:$3)-YEAR(S2897))*14)+MONTH(S2897)+2,FALSE)))</f>
        <v>0</v>
      </c>
      <c r="W2897" s="178">
        <f t="shared" si="239"/>
        <v>0</v>
      </c>
      <c r="X2897" s="481">
        <f t="shared" si="235"/>
        <v>0</v>
      </c>
      <c r="Y2897" s="179"/>
      <c r="Z2897" s="466">
        <f t="shared" si="236"/>
        <v>0</v>
      </c>
      <c r="AA2897" s="473">
        <f t="shared" si="237"/>
        <v>0</v>
      </c>
      <c r="AB2897" s="339">
        <f t="shared" si="238"/>
        <v>0</v>
      </c>
    </row>
    <row r="2898" spans="2:28" ht="20.100000000000001" customHeight="1">
      <c r="B2898" s="172"/>
      <c r="C2898" s="174"/>
      <c r="D2898" s="181"/>
      <c r="E2898" s="173"/>
      <c r="F2898" s="176"/>
      <c r="G2898" s="175">
        <f t="shared" si="240"/>
        <v>0</v>
      </c>
      <c r="H2898" s="175">
        <f t="shared" si="233"/>
        <v>0</v>
      </c>
      <c r="I2898" s="177">
        <f>IF(G2898=0,0,IF(E2898="MXN",1/HLOOKUP(YEAR(C2898)+(MONTH(C2898)/100),TC!$5:$37,DAY(C2898)+2,FALSE),VLOOKUP(E2898,Equivalencia!$5:$23,((MAX(Equivalencia!$3:$3)-YEAR(C2898))*14)+MONTH(C2898)+2,FALSE)))</f>
        <v>0</v>
      </c>
      <c r="J2898" s="178">
        <f t="shared" si="241"/>
        <v>0</v>
      </c>
      <c r="K2898" s="462">
        <f>IF(C2898=0,0,VLOOKUP(YEAR(C2898),INPC!$B$4:$O$29,MONTH(C2898)+1))</f>
        <v>0</v>
      </c>
      <c r="L2898" s="462">
        <f>IF(S2898=0,0,VLOOKUP(YEAR(S2898),INPC!$B$4:$O$29,MONTH(S2898)+1))</f>
        <v>0</v>
      </c>
      <c r="M2898" s="463">
        <f t="shared" si="234"/>
        <v>0</v>
      </c>
      <c r="N2898" s="465">
        <f t="shared" si="242"/>
        <v>0</v>
      </c>
      <c r="O2898" s="179"/>
      <c r="P2898" s="180"/>
      <c r="Q2898" s="173"/>
      <c r="R2898" s="173"/>
      <c r="S2898" s="174"/>
      <c r="T2898" s="173"/>
      <c r="U2898" s="182"/>
      <c r="V2898" s="177">
        <f>IF(U2898=0,0,IF(T2898="MXN",1/HLOOKUP(YEAR(S2898)+(MONTH(S2898)/100),TC!$5:$37,DAY(S2898)+2,FALSE),VLOOKUP(T2898,Equivalencia!$1:$23,((MAX(Equivalencia!$3:$3)-YEAR(S2898))*14)+MONTH(S2898)+2,FALSE)))</f>
        <v>0</v>
      </c>
      <c r="W2898" s="178">
        <f t="shared" si="239"/>
        <v>0</v>
      </c>
      <c r="X2898" s="481">
        <f t="shared" si="235"/>
        <v>0</v>
      </c>
      <c r="Y2898" s="179"/>
      <c r="Z2898" s="466">
        <f t="shared" si="236"/>
        <v>0</v>
      </c>
      <c r="AA2898" s="473">
        <f t="shared" si="237"/>
        <v>0</v>
      </c>
      <c r="AB2898" s="339">
        <f t="shared" si="238"/>
        <v>0</v>
      </c>
    </row>
    <row r="2899" spans="2:28" ht="20.100000000000001" customHeight="1">
      <c r="B2899" s="172"/>
      <c r="C2899" s="174"/>
      <c r="D2899" s="181"/>
      <c r="E2899" s="173"/>
      <c r="F2899" s="176"/>
      <c r="G2899" s="175">
        <f t="shared" si="240"/>
        <v>0</v>
      </c>
      <c r="H2899" s="175">
        <f t="shared" si="233"/>
        <v>0</v>
      </c>
      <c r="I2899" s="177">
        <f>IF(G2899=0,0,IF(E2899="MXN",1/HLOOKUP(YEAR(C2899)+(MONTH(C2899)/100),TC!$5:$37,DAY(C2899)+2,FALSE),VLOOKUP(E2899,Equivalencia!$5:$23,((MAX(Equivalencia!$3:$3)-YEAR(C2899))*14)+MONTH(C2899)+2,FALSE)))</f>
        <v>0</v>
      </c>
      <c r="J2899" s="178">
        <f t="shared" si="241"/>
        <v>0</v>
      </c>
      <c r="K2899" s="462">
        <f>IF(C2899=0,0,VLOOKUP(YEAR(C2899),INPC!$B$4:$O$29,MONTH(C2899)+1))</f>
        <v>0</v>
      </c>
      <c r="L2899" s="462">
        <f>IF(S2899=0,0,VLOOKUP(YEAR(S2899),INPC!$B$4:$O$29,MONTH(S2899)+1))</f>
        <v>0</v>
      </c>
      <c r="M2899" s="463">
        <f t="shared" si="234"/>
        <v>0</v>
      </c>
      <c r="N2899" s="465">
        <f t="shared" si="242"/>
        <v>0</v>
      </c>
      <c r="O2899" s="179"/>
      <c r="P2899" s="180"/>
      <c r="Q2899" s="173"/>
      <c r="R2899" s="173"/>
      <c r="S2899" s="174"/>
      <c r="T2899" s="173"/>
      <c r="U2899" s="182"/>
      <c r="V2899" s="177">
        <f>IF(U2899=0,0,IF(T2899="MXN",1/HLOOKUP(YEAR(S2899)+(MONTH(S2899)/100),TC!$5:$37,DAY(S2899)+2,FALSE),VLOOKUP(T2899,Equivalencia!$1:$23,((MAX(Equivalencia!$3:$3)-YEAR(S2899))*14)+MONTH(S2899)+2,FALSE)))</f>
        <v>0</v>
      </c>
      <c r="W2899" s="178">
        <f t="shared" si="239"/>
        <v>0</v>
      </c>
      <c r="X2899" s="481">
        <f t="shared" si="235"/>
        <v>0</v>
      </c>
      <c r="Y2899" s="179"/>
      <c r="Z2899" s="466">
        <f t="shared" si="236"/>
        <v>0</v>
      </c>
      <c r="AA2899" s="473">
        <f t="shared" si="237"/>
        <v>0</v>
      </c>
      <c r="AB2899" s="339">
        <f t="shared" si="238"/>
        <v>0</v>
      </c>
    </row>
    <row r="2900" spans="2:28" ht="20.100000000000001" customHeight="1">
      <c r="B2900" s="172"/>
      <c r="C2900" s="174"/>
      <c r="D2900" s="181"/>
      <c r="E2900" s="173"/>
      <c r="F2900" s="176"/>
      <c r="G2900" s="175">
        <f t="shared" si="240"/>
        <v>0</v>
      </c>
      <c r="H2900" s="175">
        <f t="shared" si="233"/>
        <v>0</v>
      </c>
      <c r="I2900" s="177">
        <f>IF(G2900=0,0,IF(E2900="MXN",1/HLOOKUP(YEAR(C2900)+(MONTH(C2900)/100),TC!$5:$37,DAY(C2900)+2,FALSE),VLOOKUP(E2900,Equivalencia!$5:$23,((MAX(Equivalencia!$3:$3)-YEAR(C2900))*14)+MONTH(C2900)+2,FALSE)))</f>
        <v>0</v>
      </c>
      <c r="J2900" s="178">
        <f t="shared" si="241"/>
        <v>0</v>
      </c>
      <c r="K2900" s="462">
        <f>IF(C2900=0,0,VLOOKUP(YEAR(C2900),INPC!$B$4:$O$29,MONTH(C2900)+1))</f>
        <v>0</v>
      </c>
      <c r="L2900" s="462">
        <f>IF(S2900=0,0,VLOOKUP(YEAR(S2900),INPC!$B$4:$O$29,MONTH(S2900)+1))</f>
        <v>0</v>
      </c>
      <c r="M2900" s="463">
        <f t="shared" si="234"/>
        <v>0</v>
      </c>
      <c r="N2900" s="465">
        <f t="shared" si="242"/>
        <v>0</v>
      </c>
      <c r="O2900" s="179"/>
      <c r="P2900" s="180"/>
      <c r="Q2900" s="173"/>
      <c r="R2900" s="173"/>
      <c r="S2900" s="174"/>
      <c r="T2900" s="173"/>
      <c r="U2900" s="182"/>
      <c r="V2900" s="177">
        <f>IF(U2900=0,0,IF(T2900="MXN",1/HLOOKUP(YEAR(S2900)+(MONTH(S2900)/100),TC!$5:$37,DAY(S2900)+2,FALSE),VLOOKUP(T2900,Equivalencia!$1:$23,((MAX(Equivalencia!$3:$3)-YEAR(S2900))*14)+MONTH(S2900)+2,FALSE)))</f>
        <v>0</v>
      </c>
      <c r="W2900" s="178">
        <f t="shared" si="239"/>
        <v>0</v>
      </c>
      <c r="X2900" s="481">
        <f t="shared" si="235"/>
        <v>0</v>
      </c>
      <c r="Y2900" s="179"/>
      <c r="Z2900" s="466">
        <f t="shared" si="236"/>
        <v>0</v>
      </c>
      <c r="AA2900" s="473">
        <f t="shared" si="237"/>
        <v>0</v>
      </c>
      <c r="AB2900" s="339">
        <f t="shared" si="238"/>
        <v>0</v>
      </c>
    </row>
    <row r="2901" spans="2:28" ht="20.100000000000001" customHeight="1">
      <c r="B2901" s="172"/>
      <c r="C2901" s="174"/>
      <c r="D2901" s="181"/>
      <c r="E2901" s="173"/>
      <c r="F2901" s="176"/>
      <c r="G2901" s="175">
        <f t="shared" si="240"/>
        <v>0</v>
      </c>
      <c r="H2901" s="175">
        <f t="shared" si="233"/>
        <v>0</v>
      </c>
      <c r="I2901" s="177">
        <f>IF(G2901=0,0,IF(E2901="MXN",1/HLOOKUP(YEAR(C2901)+(MONTH(C2901)/100),TC!$5:$37,DAY(C2901)+2,FALSE),VLOOKUP(E2901,Equivalencia!$5:$23,((MAX(Equivalencia!$3:$3)-YEAR(C2901))*14)+MONTH(C2901)+2,FALSE)))</f>
        <v>0</v>
      </c>
      <c r="J2901" s="178">
        <f t="shared" si="241"/>
        <v>0</v>
      </c>
      <c r="K2901" s="462">
        <f>IF(C2901=0,0,VLOOKUP(YEAR(C2901),INPC!$B$4:$O$29,MONTH(C2901)+1))</f>
        <v>0</v>
      </c>
      <c r="L2901" s="462">
        <f>IF(S2901=0,0,VLOOKUP(YEAR(S2901),INPC!$B$4:$O$29,MONTH(S2901)+1))</f>
        <v>0</v>
      </c>
      <c r="M2901" s="463">
        <f t="shared" si="234"/>
        <v>0</v>
      </c>
      <c r="N2901" s="465">
        <f t="shared" si="242"/>
        <v>0</v>
      </c>
      <c r="O2901" s="179"/>
      <c r="P2901" s="180"/>
      <c r="Q2901" s="173"/>
      <c r="R2901" s="173"/>
      <c r="S2901" s="174"/>
      <c r="T2901" s="173"/>
      <c r="U2901" s="182"/>
      <c r="V2901" s="177">
        <f>IF(U2901=0,0,IF(T2901="MXN",1/HLOOKUP(YEAR(S2901)+(MONTH(S2901)/100),TC!$5:$37,DAY(S2901)+2,FALSE),VLOOKUP(T2901,Equivalencia!$1:$23,((MAX(Equivalencia!$3:$3)-YEAR(S2901))*14)+MONTH(S2901)+2,FALSE)))</f>
        <v>0</v>
      </c>
      <c r="W2901" s="178">
        <f t="shared" si="239"/>
        <v>0</v>
      </c>
      <c r="X2901" s="481">
        <f t="shared" si="235"/>
        <v>0</v>
      </c>
      <c r="Y2901" s="179"/>
      <c r="Z2901" s="466">
        <f t="shared" si="236"/>
        <v>0</v>
      </c>
      <c r="AA2901" s="473">
        <f t="shared" si="237"/>
        <v>0</v>
      </c>
      <c r="AB2901" s="339">
        <f t="shared" si="238"/>
        <v>0</v>
      </c>
    </row>
    <row r="2902" spans="2:28" ht="20.100000000000001" customHeight="1">
      <c r="B2902" s="172"/>
      <c r="C2902" s="174"/>
      <c r="D2902" s="181"/>
      <c r="E2902" s="173"/>
      <c r="F2902" s="176"/>
      <c r="G2902" s="175">
        <f t="shared" si="240"/>
        <v>0</v>
      </c>
      <c r="H2902" s="175">
        <f t="shared" si="233"/>
        <v>0</v>
      </c>
      <c r="I2902" s="177">
        <f>IF(G2902=0,0,IF(E2902="MXN",1/HLOOKUP(YEAR(C2902)+(MONTH(C2902)/100),TC!$5:$37,DAY(C2902)+2,FALSE),VLOOKUP(E2902,Equivalencia!$5:$23,((MAX(Equivalencia!$3:$3)-YEAR(C2902))*14)+MONTH(C2902)+2,FALSE)))</f>
        <v>0</v>
      </c>
      <c r="J2902" s="178">
        <f t="shared" si="241"/>
        <v>0</v>
      </c>
      <c r="K2902" s="462">
        <f>IF(C2902=0,0,VLOOKUP(YEAR(C2902),INPC!$B$4:$O$29,MONTH(C2902)+1))</f>
        <v>0</v>
      </c>
      <c r="L2902" s="462">
        <f>IF(S2902=0,0,VLOOKUP(YEAR(S2902),INPC!$B$4:$O$29,MONTH(S2902)+1))</f>
        <v>0</v>
      </c>
      <c r="M2902" s="463">
        <f t="shared" si="234"/>
        <v>0</v>
      </c>
      <c r="N2902" s="465">
        <f t="shared" si="242"/>
        <v>0</v>
      </c>
      <c r="O2902" s="179"/>
      <c r="P2902" s="180"/>
      <c r="Q2902" s="173"/>
      <c r="R2902" s="173"/>
      <c r="S2902" s="174"/>
      <c r="T2902" s="173"/>
      <c r="U2902" s="182"/>
      <c r="V2902" s="177">
        <f>IF(U2902=0,0,IF(T2902="MXN",1/HLOOKUP(YEAR(S2902)+(MONTH(S2902)/100),TC!$5:$37,DAY(S2902)+2,FALSE),VLOOKUP(T2902,Equivalencia!$1:$23,((MAX(Equivalencia!$3:$3)-YEAR(S2902))*14)+MONTH(S2902)+2,FALSE)))</f>
        <v>0</v>
      </c>
      <c r="W2902" s="178">
        <f t="shared" si="239"/>
        <v>0</v>
      </c>
      <c r="X2902" s="481">
        <f t="shared" si="235"/>
        <v>0</v>
      </c>
      <c r="Y2902" s="179"/>
      <c r="Z2902" s="466">
        <f t="shared" si="236"/>
        <v>0</v>
      </c>
      <c r="AA2902" s="473">
        <f t="shared" si="237"/>
        <v>0</v>
      </c>
      <c r="AB2902" s="339">
        <f t="shared" si="238"/>
        <v>0</v>
      </c>
    </row>
    <row r="2903" spans="2:28" ht="20.100000000000001" customHeight="1">
      <c r="B2903" s="172"/>
      <c r="C2903" s="174"/>
      <c r="D2903" s="181"/>
      <c r="E2903" s="173"/>
      <c r="F2903" s="176"/>
      <c r="G2903" s="175">
        <f t="shared" si="240"/>
        <v>0</v>
      </c>
      <c r="H2903" s="175">
        <f t="shared" si="233"/>
        <v>0</v>
      </c>
      <c r="I2903" s="177">
        <f>IF(G2903=0,0,IF(E2903="MXN",1/HLOOKUP(YEAR(C2903)+(MONTH(C2903)/100),TC!$5:$37,DAY(C2903)+2,FALSE),VLOOKUP(E2903,Equivalencia!$5:$23,((MAX(Equivalencia!$3:$3)-YEAR(C2903))*14)+MONTH(C2903)+2,FALSE)))</f>
        <v>0</v>
      </c>
      <c r="J2903" s="178">
        <f t="shared" si="241"/>
        <v>0</v>
      </c>
      <c r="K2903" s="462">
        <f>IF(C2903=0,0,VLOOKUP(YEAR(C2903),INPC!$B$4:$O$29,MONTH(C2903)+1))</f>
        <v>0</v>
      </c>
      <c r="L2903" s="462">
        <f>IF(S2903=0,0,VLOOKUP(YEAR(S2903),INPC!$B$4:$O$29,MONTH(S2903)+1))</f>
        <v>0</v>
      </c>
      <c r="M2903" s="463">
        <f t="shared" si="234"/>
        <v>0</v>
      </c>
      <c r="N2903" s="465">
        <f t="shared" si="242"/>
        <v>0</v>
      </c>
      <c r="O2903" s="179"/>
      <c r="P2903" s="180"/>
      <c r="Q2903" s="173"/>
      <c r="R2903" s="173"/>
      <c r="S2903" s="174"/>
      <c r="T2903" s="173"/>
      <c r="U2903" s="182"/>
      <c r="V2903" s="177">
        <f>IF(U2903=0,0,IF(T2903="MXN",1/HLOOKUP(YEAR(S2903)+(MONTH(S2903)/100),TC!$5:$37,DAY(S2903)+2,FALSE),VLOOKUP(T2903,Equivalencia!$1:$23,((MAX(Equivalencia!$3:$3)-YEAR(S2903))*14)+MONTH(S2903)+2,FALSE)))</f>
        <v>0</v>
      </c>
      <c r="W2903" s="178">
        <f t="shared" si="239"/>
        <v>0</v>
      </c>
      <c r="X2903" s="481">
        <f t="shared" si="235"/>
        <v>0</v>
      </c>
      <c r="Y2903" s="179"/>
      <c r="Z2903" s="466">
        <f t="shared" si="236"/>
        <v>0</v>
      </c>
      <c r="AA2903" s="473">
        <f t="shared" si="237"/>
        <v>0</v>
      </c>
      <c r="AB2903" s="339">
        <f t="shared" si="238"/>
        <v>0</v>
      </c>
    </row>
    <row r="2904" spans="2:28" ht="20.100000000000001" customHeight="1">
      <c r="B2904" s="172"/>
      <c r="C2904" s="174"/>
      <c r="D2904" s="181"/>
      <c r="E2904" s="173"/>
      <c r="F2904" s="176"/>
      <c r="G2904" s="175">
        <f t="shared" si="240"/>
        <v>0</v>
      </c>
      <c r="H2904" s="175">
        <f t="shared" si="233"/>
        <v>0</v>
      </c>
      <c r="I2904" s="177">
        <f>IF(G2904=0,0,IF(E2904="MXN",1/HLOOKUP(YEAR(C2904)+(MONTH(C2904)/100),TC!$5:$37,DAY(C2904)+2,FALSE),VLOOKUP(E2904,Equivalencia!$5:$23,((MAX(Equivalencia!$3:$3)-YEAR(C2904))*14)+MONTH(C2904)+2,FALSE)))</f>
        <v>0</v>
      </c>
      <c r="J2904" s="178">
        <f t="shared" si="241"/>
        <v>0</v>
      </c>
      <c r="K2904" s="462">
        <f>IF(C2904=0,0,VLOOKUP(YEAR(C2904),INPC!$B$4:$O$29,MONTH(C2904)+1))</f>
        <v>0</v>
      </c>
      <c r="L2904" s="462">
        <f>IF(S2904=0,0,VLOOKUP(YEAR(S2904),INPC!$B$4:$O$29,MONTH(S2904)+1))</f>
        <v>0</v>
      </c>
      <c r="M2904" s="463">
        <f t="shared" si="234"/>
        <v>0</v>
      </c>
      <c r="N2904" s="465">
        <f t="shared" si="242"/>
        <v>0</v>
      </c>
      <c r="O2904" s="179"/>
      <c r="P2904" s="180"/>
      <c r="Q2904" s="173"/>
      <c r="R2904" s="173"/>
      <c r="S2904" s="174"/>
      <c r="T2904" s="173"/>
      <c r="U2904" s="182"/>
      <c r="V2904" s="177">
        <f>IF(U2904=0,0,IF(T2904="MXN",1/HLOOKUP(YEAR(S2904)+(MONTH(S2904)/100),TC!$5:$37,DAY(S2904)+2,FALSE),VLOOKUP(T2904,Equivalencia!$1:$23,((MAX(Equivalencia!$3:$3)-YEAR(S2904))*14)+MONTH(S2904)+2,FALSE)))</f>
        <v>0</v>
      </c>
      <c r="W2904" s="178">
        <f t="shared" si="239"/>
        <v>0</v>
      </c>
      <c r="X2904" s="481">
        <f t="shared" si="235"/>
        <v>0</v>
      </c>
      <c r="Y2904" s="179"/>
      <c r="Z2904" s="466">
        <f t="shared" si="236"/>
        <v>0</v>
      </c>
      <c r="AA2904" s="473">
        <f t="shared" si="237"/>
        <v>0</v>
      </c>
      <c r="AB2904" s="339">
        <f t="shared" si="238"/>
        <v>0</v>
      </c>
    </row>
    <row r="2905" spans="2:28" ht="20.100000000000001" customHeight="1">
      <c r="B2905" s="172"/>
      <c r="C2905" s="174"/>
      <c r="D2905" s="181"/>
      <c r="E2905" s="173"/>
      <c r="F2905" s="176"/>
      <c r="G2905" s="175">
        <f t="shared" si="240"/>
        <v>0</v>
      </c>
      <c r="H2905" s="175">
        <f t="shared" si="233"/>
        <v>0</v>
      </c>
      <c r="I2905" s="177">
        <f>IF(G2905=0,0,IF(E2905="MXN",1/HLOOKUP(YEAR(C2905)+(MONTH(C2905)/100),TC!$5:$37,DAY(C2905)+2,FALSE),VLOOKUP(E2905,Equivalencia!$5:$23,((MAX(Equivalencia!$3:$3)-YEAR(C2905))*14)+MONTH(C2905)+2,FALSE)))</f>
        <v>0</v>
      </c>
      <c r="J2905" s="178">
        <f t="shared" si="241"/>
        <v>0</v>
      </c>
      <c r="K2905" s="462">
        <f>IF(C2905=0,0,VLOOKUP(YEAR(C2905),INPC!$B$4:$O$29,MONTH(C2905)+1))</f>
        <v>0</v>
      </c>
      <c r="L2905" s="462">
        <f>IF(S2905=0,0,VLOOKUP(YEAR(S2905),INPC!$B$4:$O$29,MONTH(S2905)+1))</f>
        <v>0</v>
      </c>
      <c r="M2905" s="463">
        <f t="shared" si="234"/>
        <v>0</v>
      </c>
      <c r="N2905" s="465">
        <f t="shared" si="242"/>
        <v>0</v>
      </c>
      <c r="O2905" s="179"/>
      <c r="P2905" s="180"/>
      <c r="Q2905" s="173"/>
      <c r="R2905" s="173"/>
      <c r="S2905" s="174"/>
      <c r="T2905" s="173"/>
      <c r="U2905" s="182"/>
      <c r="V2905" s="177">
        <f>IF(U2905=0,0,IF(T2905="MXN",1/HLOOKUP(YEAR(S2905)+(MONTH(S2905)/100),TC!$5:$37,DAY(S2905)+2,FALSE),VLOOKUP(T2905,Equivalencia!$1:$23,((MAX(Equivalencia!$3:$3)-YEAR(S2905))*14)+MONTH(S2905)+2,FALSE)))</f>
        <v>0</v>
      </c>
      <c r="W2905" s="178">
        <f t="shared" si="239"/>
        <v>0</v>
      </c>
      <c r="X2905" s="481">
        <f t="shared" si="235"/>
        <v>0</v>
      </c>
      <c r="Y2905" s="179"/>
      <c r="Z2905" s="466">
        <f t="shared" si="236"/>
        <v>0</v>
      </c>
      <c r="AA2905" s="473">
        <f t="shared" si="237"/>
        <v>0</v>
      </c>
      <c r="AB2905" s="339">
        <f t="shared" si="238"/>
        <v>0</v>
      </c>
    </row>
    <row r="2906" spans="2:28" ht="20.100000000000001" customHeight="1">
      <c r="B2906" s="172"/>
      <c r="C2906" s="174"/>
      <c r="D2906" s="181"/>
      <c r="E2906" s="173"/>
      <c r="F2906" s="176"/>
      <c r="G2906" s="175">
        <f t="shared" si="240"/>
        <v>0</v>
      </c>
      <c r="H2906" s="175">
        <f t="shared" si="233"/>
        <v>0</v>
      </c>
      <c r="I2906" s="177">
        <f>IF(G2906=0,0,IF(E2906="MXN",1/HLOOKUP(YEAR(C2906)+(MONTH(C2906)/100),TC!$5:$37,DAY(C2906)+2,FALSE),VLOOKUP(E2906,Equivalencia!$5:$23,((MAX(Equivalencia!$3:$3)-YEAR(C2906))*14)+MONTH(C2906)+2,FALSE)))</f>
        <v>0</v>
      </c>
      <c r="J2906" s="178">
        <f t="shared" si="241"/>
        <v>0</v>
      </c>
      <c r="K2906" s="462">
        <f>IF(C2906=0,0,VLOOKUP(YEAR(C2906),INPC!$B$4:$O$29,MONTH(C2906)+1))</f>
        <v>0</v>
      </c>
      <c r="L2906" s="462">
        <f>IF(S2906=0,0,VLOOKUP(YEAR(S2906),INPC!$B$4:$O$29,MONTH(S2906)+1))</f>
        <v>0</v>
      </c>
      <c r="M2906" s="463">
        <f t="shared" si="234"/>
        <v>0</v>
      </c>
      <c r="N2906" s="465">
        <f t="shared" si="242"/>
        <v>0</v>
      </c>
      <c r="O2906" s="179"/>
      <c r="P2906" s="180"/>
      <c r="Q2906" s="173"/>
      <c r="R2906" s="173"/>
      <c r="S2906" s="174"/>
      <c r="T2906" s="173"/>
      <c r="U2906" s="182"/>
      <c r="V2906" s="177">
        <f>IF(U2906=0,0,IF(T2906="MXN",1/HLOOKUP(YEAR(S2906)+(MONTH(S2906)/100),TC!$5:$37,DAY(S2906)+2,FALSE),VLOOKUP(T2906,Equivalencia!$1:$23,((MAX(Equivalencia!$3:$3)-YEAR(S2906))*14)+MONTH(S2906)+2,FALSE)))</f>
        <v>0</v>
      </c>
      <c r="W2906" s="178">
        <f t="shared" si="239"/>
        <v>0</v>
      </c>
      <c r="X2906" s="481">
        <f t="shared" si="235"/>
        <v>0</v>
      </c>
      <c r="Y2906" s="179"/>
      <c r="Z2906" s="466">
        <f t="shared" si="236"/>
        <v>0</v>
      </c>
      <c r="AA2906" s="473">
        <f t="shared" si="237"/>
        <v>0</v>
      </c>
      <c r="AB2906" s="339">
        <f t="shared" si="238"/>
        <v>0</v>
      </c>
    </row>
    <row r="2907" spans="2:28" ht="20.100000000000001" customHeight="1">
      <c r="B2907" s="172"/>
      <c r="C2907" s="174"/>
      <c r="D2907" s="181"/>
      <c r="E2907" s="173"/>
      <c r="F2907" s="176"/>
      <c r="G2907" s="175">
        <f t="shared" si="240"/>
        <v>0</v>
      </c>
      <c r="H2907" s="175">
        <f t="shared" si="233"/>
        <v>0</v>
      </c>
      <c r="I2907" s="177">
        <f>IF(G2907=0,0,IF(E2907="MXN",1/HLOOKUP(YEAR(C2907)+(MONTH(C2907)/100),TC!$5:$37,DAY(C2907)+2,FALSE),VLOOKUP(E2907,Equivalencia!$5:$23,((MAX(Equivalencia!$3:$3)-YEAR(C2907))*14)+MONTH(C2907)+2,FALSE)))</f>
        <v>0</v>
      </c>
      <c r="J2907" s="178">
        <f t="shared" si="241"/>
        <v>0</v>
      </c>
      <c r="K2907" s="462">
        <f>IF(C2907=0,0,VLOOKUP(YEAR(C2907),INPC!$B$4:$O$29,MONTH(C2907)+1))</f>
        <v>0</v>
      </c>
      <c r="L2907" s="462">
        <f>IF(S2907=0,0,VLOOKUP(YEAR(S2907),INPC!$B$4:$O$29,MONTH(S2907)+1))</f>
        <v>0</v>
      </c>
      <c r="M2907" s="463">
        <f t="shared" si="234"/>
        <v>0</v>
      </c>
      <c r="N2907" s="465">
        <f t="shared" si="242"/>
        <v>0</v>
      </c>
      <c r="O2907" s="179"/>
      <c r="P2907" s="180"/>
      <c r="Q2907" s="173"/>
      <c r="R2907" s="173"/>
      <c r="S2907" s="174"/>
      <c r="T2907" s="173"/>
      <c r="U2907" s="182"/>
      <c r="V2907" s="177">
        <f>IF(U2907=0,0,IF(T2907="MXN",1/HLOOKUP(YEAR(S2907)+(MONTH(S2907)/100),TC!$5:$37,DAY(S2907)+2,FALSE),VLOOKUP(T2907,Equivalencia!$1:$23,((MAX(Equivalencia!$3:$3)-YEAR(S2907))*14)+MONTH(S2907)+2,FALSE)))</f>
        <v>0</v>
      </c>
      <c r="W2907" s="178">
        <f t="shared" si="239"/>
        <v>0</v>
      </c>
      <c r="X2907" s="481">
        <f t="shared" si="235"/>
        <v>0</v>
      </c>
      <c r="Y2907" s="179"/>
      <c r="Z2907" s="466">
        <f t="shared" si="236"/>
        <v>0</v>
      </c>
      <c r="AA2907" s="473">
        <f t="shared" si="237"/>
        <v>0</v>
      </c>
      <c r="AB2907" s="339">
        <f t="shared" si="238"/>
        <v>0</v>
      </c>
    </row>
    <row r="2908" spans="2:28" ht="20.100000000000001" customHeight="1">
      <c r="B2908" s="172"/>
      <c r="C2908" s="174"/>
      <c r="D2908" s="181"/>
      <c r="E2908" s="173"/>
      <c r="F2908" s="176"/>
      <c r="G2908" s="175">
        <f t="shared" si="240"/>
        <v>0</v>
      </c>
      <c r="H2908" s="175">
        <f t="shared" si="233"/>
        <v>0</v>
      </c>
      <c r="I2908" s="177">
        <f>IF(G2908=0,0,IF(E2908="MXN",1/HLOOKUP(YEAR(C2908)+(MONTH(C2908)/100),TC!$5:$37,DAY(C2908)+2,FALSE),VLOOKUP(E2908,Equivalencia!$5:$23,((MAX(Equivalencia!$3:$3)-YEAR(C2908))*14)+MONTH(C2908)+2,FALSE)))</f>
        <v>0</v>
      </c>
      <c r="J2908" s="178">
        <f t="shared" si="241"/>
        <v>0</v>
      </c>
      <c r="K2908" s="462">
        <f>IF(C2908=0,0,VLOOKUP(YEAR(C2908),INPC!$B$4:$O$29,MONTH(C2908)+1))</f>
        <v>0</v>
      </c>
      <c r="L2908" s="462">
        <f>IF(S2908=0,0,VLOOKUP(YEAR(S2908),INPC!$B$4:$O$29,MONTH(S2908)+1))</f>
        <v>0</v>
      </c>
      <c r="M2908" s="463">
        <f t="shared" si="234"/>
        <v>0</v>
      </c>
      <c r="N2908" s="465">
        <f t="shared" si="242"/>
        <v>0</v>
      </c>
      <c r="O2908" s="179"/>
      <c r="P2908" s="180"/>
      <c r="Q2908" s="173"/>
      <c r="R2908" s="173"/>
      <c r="S2908" s="174"/>
      <c r="T2908" s="173"/>
      <c r="U2908" s="182"/>
      <c r="V2908" s="177">
        <f>IF(U2908=0,0,IF(T2908="MXN",1/HLOOKUP(YEAR(S2908)+(MONTH(S2908)/100),TC!$5:$37,DAY(S2908)+2,FALSE),VLOOKUP(T2908,Equivalencia!$1:$23,((MAX(Equivalencia!$3:$3)-YEAR(S2908))*14)+MONTH(S2908)+2,FALSE)))</f>
        <v>0</v>
      </c>
      <c r="W2908" s="178">
        <f t="shared" si="239"/>
        <v>0</v>
      </c>
      <c r="X2908" s="481">
        <f t="shared" si="235"/>
        <v>0</v>
      </c>
      <c r="Y2908" s="179"/>
      <c r="Z2908" s="466">
        <f t="shared" si="236"/>
        <v>0</v>
      </c>
      <c r="AA2908" s="473">
        <f t="shared" si="237"/>
        <v>0</v>
      </c>
      <c r="AB2908" s="339">
        <f t="shared" si="238"/>
        <v>0</v>
      </c>
    </row>
    <row r="2909" spans="2:28" ht="20.100000000000001" customHeight="1">
      <c r="B2909" s="172"/>
      <c r="C2909" s="174"/>
      <c r="D2909" s="181"/>
      <c r="E2909" s="173"/>
      <c r="F2909" s="176"/>
      <c r="G2909" s="175">
        <f t="shared" si="240"/>
        <v>0</v>
      </c>
      <c r="H2909" s="175">
        <f t="shared" si="233"/>
        <v>0</v>
      </c>
      <c r="I2909" s="177">
        <f>IF(G2909=0,0,IF(E2909="MXN",1/HLOOKUP(YEAR(C2909)+(MONTH(C2909)/100),TC!$5:$37,DAY(C2909)+2,FALSE),VLOOKUP(E2909,Equivalencia!$5:$23,((MAX(Equivalencia!$3:$3)-YEAR(C2909))*14)+MONTH(C2909)+2,FALSE)))</f>
        <v>0</v>
      </c>
      <c r="J2909" s="178">
        <f t="shared" si="241"/>
        <v>0</v>
      </c>
      <c r="K2909" s="462">
        <f>IF(C2909=0,0,VLOOKUP(YEAR(C2909),INPC!$B$4:$O$29,MONTH(C2909)+1))</f>
        <v>0</v>
      </c>
      <c r="L2909" s="462">
        <f>IF(S2909=0,0,VLOOKUP(YEAR(S2909),INPC!$B$4:$O$29,MONTH(S2909)+1))</f>
        <v>0</v>
      </c>
      <c r="M2909" s="463">
        <f t="shared" si="234"/>
        <v>0</v>
      </c>
      <c r="N2909" s="465">
        <f t="shared" si="242"/>
        <v>0</v>
      </c>
      <c r="O2909" s="179"/>
      <c r="P2909" s="180"/>
      <c r="Q2909" s="173"/>
      <c r="R2909" s="173"/>
      <c r="S2909" s="174"/>
      <c r="T2909" s="173"/>
      <c r="U2909" s="182"/>
      <c r="V2909" s="177">
        <f>IF(U2909=0,0,IF(T2909="MXN",1/HLOOKUP(YEAR(S2909)+(MONTH(S2909)/100),TC!$5:$37,DAY(S2909)+2,FALSE),VLOOKUP(T2909,Equivalencia!$1:$23,((MAX(Equivalencia!$3:$3)-YEAR(S2909))*14)+MONTH(S2909)+2,FALSE)))</f>
        <v>0</v>
      </c>
      <c r="W2909" s="178">
        <f t="shared" si="239"/>
        <v>0</v>
      </c>
      <c r="X2909" s="481">
        <f t="shared" si="235"/>
        <v>0</v>
      </c>
      <c r="Y2909" s="179"/>
      <c r="Z2909" s="466">
        <f t="shared" si="236"/>
        <v>0</v>
      </c>
      <c r="AA2909" s="473">
        <f t="shared" si="237"/>
        <v>0</v>
      </c>
      <c r="AB2909" s="339">
        <f t="shared" si="238"/>
        <v>0</v>
      </c>
    </row>
    <row r="2910" spans="2:28" ht="20.100000000000001" customHeight="1">
      <c r="B2910" s="172"/>
      <c r="C2910" s="174"/>
      <c r="D2910" s="181"/>
      <c r="E2910" s="173"/>
      <c r="F2910" s="176"/>
      <c r="G2910" s="175">
        <f t="shared" si="240"/>
        <v>0</v>
      </c>
      <c r="H2910" s="175">
        <f t="shared" si="233"/>
        <v>0</v>
      </c>
      <c r="I2910" s="177">
        <f>IF(G2910=0,0,IF(E2910="MXN",1/HLOOKUP(YEAR(C2910)+(MONTH(C2910)/100),TC!$5:$37,DAY(C2910)+2,FALSE),VLOOKUP(E2910,Equivalencia!$5:$23,((MAX(Equivalencia!$3:$3)-YEAR(C2910))*14)+MONTH(C2910)+2,FALSE)))</f>
        <v>0</v>
      </c>
      <c r="J2910" s="178">
        <f t="shared" si="241"/>
        <v>0</v>
      </c>
      <c r="K2910" s="462">
        <f>IF(C2910=0,0,VLOOKUP(YEAR(C2910),INPC!$B$4:$O$29,MONTH(C2910)+1))</f>
        <v>0</v>
      </c>
      <c r="L2910" s="462">
        <f>IF(S2910=0,0,VLOOKUP(YEAR(S2910),INPC!$B$4:$O$29,MONTH(S2910)+1))</f>
        <v>0</v>
      </c>
      <c r="M2910" s="463">
        <f t="shared" si="234"/>
        <v>0</v>
      </c>
      <c r="N2910" s="465">
        <f t="shared" si="242"/>
        <v>0</v>
      </c>
      <c r="O2910" s="179"/>
      <c r="P2910" s="180"/>
      <c r="Q2910" s="173"/>
      <c r="R2910" s="173"/>
      <c r="S2910" s="174"/>
      <c r="T2910" s="173"/>
      <c r="U2910" s="182"/>
      <c r="V2910" s="177">
        <f>IF(U2910=0,0,IF(T2910="MXN",1/HLOOKUP(YEAR(S2910)+(MONTH(S2910)/100),TC!$5:$37,DAY(S2910)+2,FALSE),VLOOKUP(T2910,Equivalencia!$1:$23,((MAX(Equivalencia!$3:$3)-YEAR(S2910))*14)+MONTH(S2910)+2,FALSE)))</f>
        <v>0</v>
      </c>
      <c r="W2910" s="178">
        <f t="shared" si="239"/>
        <v>0</v>
      </c>
      <c r="X2910" s="481">
        <f t="shared" si="235"/>
        <v>0</v>
      </c>
      <c r="Y2910" s="179"/>
      <c r="Z2910" s="466">
        <f t="shared" si="236"/>
        <v>0</v>
      </c>
      <c r="AA2910" s="473">
        <f t="shared" si="237"/>
        <v>0</v>
      </c>
      <c r="AB2910" s="339">
        <f t="shared" si="238"/>
        <v>0</v>
      </c>
    </row>
    <row r="2911" spans="2:28" ht="20.100000000000001" customHeight="1">
      <c r="B2911" s="172"/>
      <c r="C2911" s="174"/>
      <c r="D2911" s="181"/>
      <c r="E2911" s="173"/>
      <c r="F2911" s="176"/>
      <c r="G2911" s="175">
        <f t="shared" si="240"/>
        <v>0</v>
      </c>
      <c r="H2911" s="175">
        <f t="shared" si="233"/>
        <v>0</v>
      </c>
      <c r="I2911" s="177">
        <f>IF(G2911=0,0,IF(E2911="MXN",1/HLOOKUP(YEAR(C2911)+(MONTH(C2911)/100),TC!$5:$37,DAY(C2911)+2,FALSE),VLOOKUP(E2911,Equivalencia!$5:$23,((MAX(Equivalencia!$3:$3)-YEAR(C2911))*14)+MONTH(C2911)+2,FALSE)))</f>
        <v>0</v>
      </c>
      <c r="J2911" s="178">
        <f t="shared" si="241"/>
        <v>0</v>
      </c>
      <c r="K2911" s="462">
        <f>IF(C2911=0,0,VLOOKUP(YEAR(C2911),INPC!$B$4:$O$29,MONTH(C2911)+1))</f>
        <v>0</v>
      </c>
      <c r="L2911" s="462">
        <f>IF(S2911=0,0,VLOOKUP(YEAR(S2911),INPC!$B$4:$O$29,MONTH(S2911)+1))</f>
        <v>0</v>
      </c>
      <c r="M2911" s="463">
        <f t="shared" si="234"/>
        <v>0</v>
      </c>
      <c r="N2911" s="465">
        <f t="shared" si="242"/>
        <v>0</v>
      </c>
      <c r="O2911" s="179"/>
      <c r="P2911" s="180"/>
      <c r="Q2911" s="173"/>
      <c r="R2911" s="173"/>
      <c r="S2911" s="174"/>
      <c r="T2911" s="173"/>
      <c r="U2911" s="182"/>
      <c r="V2911" s="177">
        <f>IF(U2911=0,0,IF(T2911="MXN",1/HLOOKUP(YEAR(S2911)+(MONTH(S2911)/100),TC!$5:$37,DAY(S2911)+2,FALSE),VLOOKUP(T2911,Equivalencia!$1:$23,((MAX(Equivalencia!$3:$3)-YEAR(S2911))*14)+MONTH(S2911)+2,FALSE)))</f>
        <v>0</v>
      </c>
      <c r="W2911" s="178">
        <f t="shared" si="239"/>
        <v>0</v>
      </c>
      <c r="X2911" s="481">
        <f t="shared" si="235"/>
        <v>0</v>
      </c>
      <c r="Y2911" s="179"/>
      <c r="Z2911" s="466">
        <f t="shared" si="236"/>
        <v>0</v>
      </c>
      <c r="AA2911" s="473">
        <f t="shared" si="237"/>
        <v>0</v>
      </c>
      <c r="AB2911" s="339">
        <f t="shared" si="238"/>
        <v>0</v>
      </c>
    </row>
    <row r="2912" spans="2:28" ht="20.100000000000001" customHeight="1">
      <c r="B2912" s="172"/>
      <c r="C2912" s="174"/>
      <c r="D2912" s="181"/>
      <c r="E2912" s="173"/>
      <c r="F2912" s="176"/>
      <c r="G2912" s="175">
        <f t="shared" si="240"/>
        <v>0</v>
      </c>
      <c r="H2912" s="175">
        <f t="shared" si="233"/>
        <v>0</v>
      </c>
      <c r="I2912" s="177">
        <f>IF(G2912=0,0,IF(E2912="MXN",1/HLOOKUP(YEAR(C2912)+(MONTH(C2912)/100),TC!$5:$37,DAY(C2912)+2,FALSE),VLOOKUP(E2912,Equivalencia!$5:$23,((MAX(Equivalencia!$3:$3)-YEAR(C2912))*14)+MONTH(C2912)+2,FALSE)))</f>
        <v>0</v>
      </c>
      <c r="J2912" s="178">
        <f t="shared" si="241"/>
        <v>0</v>
      </c>
      <c r="K2912" s="462">
        <f>IF(C2912=0,0,VLOOKUP(YEAR(C2912),INPC!$B$4:$O$29,MONTH(C2912)+1))</f>
        <v>0</v>
      </c>
      <c r="L2912" s="462">
        <f>IF(S2912=0,0,VLOOKUP(YEAR(S2912),INPC!$B$4:$O$29,MONTH(S2912)+1))</f>
        <v>0</v>
      </c>
      <c r="M2912" s="463">
        <f t="shared" si="234"/>
        <v>0</v>
      </c>
      <c r="N2912" s="465">
        <f t="shared" si="242"/>
        <v>0</v>
      </c>
      <c r="O2912" s="179"/>
      <c r="P2912" s="180"/>
      <c r="Q2912" s="173"/>
      <c r="R2912" s="173"/>
      <c r="S2912" s="174"/>
      <c r="T2912" s="173"/>
      <c r="U2912" s="182"/>
      <c r="V2912" s="177">
        <f>IF(U2912=0,0,IF(T2912="MXN",1/HLOOKUP(YEAR(S2912)+(MONTH(S2912)/100),TC!$5:$37,DAY(S2912)+2,FALSE),VLOOKUP(T2912,Equivalencia!$1:$23,((MAX(Equivalencia!$3:$3)-YEAR(S2912))*14)+MONTH(S2912)+2,FALSE)))</f>
        <v>0</v>
      </c>
      <c r="W2912" s="178">
        <f t="shared" si="239"/>
        <v>0</v>
      </c>
      <c r="X2912" s="481">
        <f t="shared" si="235"/>
        <v>0</v>
      </c>
      <c r="Y2912" s="179"/>
      <c r="Z2912" s="466">
        <f t="shared" si="236"/>
        <v>0</v>
      </c>
      <c r="AA2912" s="473">
        <f t="shared" si="237"/>
        <v>0</v>
      </c>
      <c r="AB2912" s="339">
        <f t="shared" si="238"/>
        <v>0</v>
      </c>
    </row>
    <row r="2913" spans="2:28" ht="20.100000000000001" customHeight="1">
      <c r="B2913" s="172"/>
      <c r="C2913" s="174"/>
      <c r="D2913" s="181"/>
      <c r="E2913" s="173"/>
      <c r="F2913" s="176"/>
      <c r="G2913" s="175">
        <f t="shared" si="240"/>
        <v>0</v>
      </c>
      <c r="H2913" s="175">
        <f t="shared" si="233"/>
        <v>0</v>
      </c>
      <c r="I2913" s="177">
        <f>IF(G2913=0,0,IF(E2913="MXN",1/HLOOKUP(YEAR(C2913)+(MONTH(C2913)/100),TC!$5:$37,DAY(C2913)+2,FALSE),VLOOKUP(E2913,Equivalencia!$5:$23,((MAX(Equivalencia!$3:$3)-YEAR(C2913))*14)+MONTH(C2913)+2,FALSE)))</f>
        <v>0</v>
      </c>
      <c r="J2913" s="178">
        <f t="shared" si="241"/>
        <v>0</v>
      </c>
      <c r="K2913" s="462">
        <f>IF(C2913=0,0,VLOOKUP(YEAR(C2913),INPC!$B$4:$O$29,MONTH(C2913)+1))</f>
        <v>0</v>
      </c>
      <c r="L2913" s="462">
        <f>IF(S2913=0,0,VLOOKUP(YEAR(S2913),INPC!$B$4:$O$29,MONTH(S2913)+1))</f>
        <v>0</v>
      </c>
      <c r="M2913" s="463">
        <f t="shared" si="234"/>
        <v>0</v>
      </c>
      <c r="N2913" s="465">
        <f t="shared" si="242"/>
        <v>0</v>
      </c>
      <c r="O2913" s="179"/>
      <c r="P2913" s="180"/>
      <c r="Q2913" s="173"/>
      <c r="R2913" s="173"/>
      <c r="S2913" s="174"/>
      <c r="T2913" s="173"/>
      <c r="U2913" s="182"/>
      <c r="V2913" s="177">
        <f>IF(U2913=0,0,IF(T2913="MXN",1/HLOOKUP(YEAR(S2913)+(MONTH(S2913)/100),TC!$5:$37,DAY(S2913)+2,FALSE),VLOOKUP(T2913,Equivalencia!$1:$23,((MAX(Equivalencia!$3:$3)-YEAR(S2913))*14)+MONTH(S2913)+2,FALSE)))</f>
        <v>0</v>
      </c>
      <c r="W2913" s="178">
        <f t="shared" si="239"/>
        <v>0</v>
      </c>
      <c r="X2913" s="481">
        <f t="shared" si="235"/>
        <v>0</v>
      </c>
      <c r="Y2913" s="179"/>
      <c r="Z2913" s="466">
        <f t="shared" si="236"/>
        <v>0</v>
      </c>
      <c r="AA2913" s="473">
        <f t="shared" si="237"/>
        <v>0</v>
      </c>
      <c r="AB2913" s="339">
        <f t="shared" si="238"/>
        <v>0</v>
      </c>
    </row>
    <row r="2914" spans="2:28" ht="20.100000000000001" customHeight="1">
      <c r="B2914" s="172"/>
      <c r="C2914" s="174"/>
      <c r="D2914" s="181"/>
      <c r="E2914" s="173"/>
      <c r="F2914" s="176"/>
      <c r="G2914" s="175">
        <f t="shared" si="240"/>
        <v>0</v>
      </c>
      <c r="H2914" s="175">
        <f t="shared" si="233"/>
        <v>0</v>
      </c>
      <c r="I2914" s="177">
        <f>IF(G2914=0,0,IF(E2914="MXN",1/HLOOKUP(YEAR(C2914)+(MONTH(C2914)/100),TC!$5:$37,DAY(C2914)+2,FALSE),VLOOKUP(E2914,Equivalencia!$5:$23,((MAX(Equivalencia!$3:$3)-YEAR(C2914))*14)+MONTH(C2914)+2,FALSE)))</f>
        <v>0</v>
      </c>
      <c r="J2914" s="178">
        <f t="shared" si="241"/>
        <v>0</v>
      </c>
      <c r="K2914" s="462">
        <f>IF(C2914=0,0,VLOOKUP(YEAR(C2914),INPC!$B$4:$O$29,MONTH(C2914)+1))</f>
        <v>0</v>
      </c>
      <c r="L2914" s="462">
        <f>IF(S2914=0,0,VLOOKUP(YEAR(S2914),INPC!$B$4:$O$29,MONTH(S2914)+1))</f>
        <v>0</v>
      </c>
      <c r="M2914" s="463">
        <f t="shared" si="234"/>
        <v>0</v>
      </c>
      <c r="N2914" s="465">
        <f t="shared" si="242"/>
        <v>0</v>
      </c>
      <c r="O2914" s="179"/>
      <c r="P2914" s="180"/>
      <c r="Q2914" s="173"/>
      <c r="R2914" s="173"/>
      <c r="S2914" s="174"/>
      <c r="T2914" s="173"/>
      <c r="U2914" s="182"/>
      <c r="V2914" s="177">
        <f>IF(U2914=0,0,IF(T2914="MXN",1/HLOOKUP(YEAR(S2914)+(MONTH(S2914)/100),TC!$5:$37,DAY(S2914)+2,FALSE),VLOOKUP(T2914,Equivalencia!$1:$23,((MAX(Equivalencia!$3:$3)-YEAR(S2914))*14)+MONTH(S2914)+2,FALSE)))</f>
        <v>0</v>
      </c>
      <c r="W2914" s="178">
        <f t="shared" si="239"/>
        <v>0</v>
      </c>
      <c r="X2914" s="481">
        <f t="shared" si="235"/>
        <v>0</v>
      </c>
      <c r="Y2914" s="179"/>
      <c r="Z2914" s="466">
        <f t="shared" si="236"/>
        <v>0</v>
      </c>
      <c r="AA2914" s="473">
        <f t="shared" si="237"/>
        <v>0</v>
      </c>
      <c r="AB2914" s="339">
        <f t="shared" si="238"/>
        <v>0</v>
      </c>
    </row>
    <row r="2915" spans="2:28" ht="20.100000000000001" customHeight="1">
      <c r="B2915" s="172"/>
      <c r="C2915" s="174"/>
      <c r="D2915" s="181"/>
      <c r="E2915" s="173"/>
      <c r="F2915" s="176"/>
      <c r="G2915" s="175">
        <f t="shared" si="240"/>
        <v>0</v>
      </c>
      <c r="H2915" s="175">
        <f t="shared" si="233"/>
        <v>0</v>
      </c>
      <c r="I2915" s="177">
        <f>IF(G2915=0,0,IF(E2915="MXN",1/HLOOKUP(YEAR(C2915)+(MONTH(C2915)/100),TC!$5:$37,DAY(C2915)+2,FALSE),VLOOKUP(E2915,Equivalencia!$5:$23,((MAX(Equivalencia!$3:$3)-YEAR(C2915))*14)+MONTH(C2915)+2,FALSE)))</f>
        <v>0</v>
      </c>
      <c r="J2915" s="178">
        <f t="shared" si="241"/>
        <v>0</v>
      </c>
      <c r="K2915" s="462">
        <f>IF(C2915=0,0,VLOOKUP(YEAR(C2915),INPC!$B$4:$O$29,MONTH(C2915)+1))</f>
        <v>0</v>
      </c>
      <c r="L2915" s="462">
        <f>IF(S2915=0,0,VLOOKUP(YEAR(S2915),INPC!$B$4:$O$29,MONTH(S2915)+1))</f>
        <v>0</v>
      </c>
      <c r="M2915" s="463">
        <f t="shared" si="234"/>
        <v>0</v>
      </c>
      <c r="N2915" s="465">
        <f t="shared" si="242"/>
        <v>0</v>
      </c>
      <c r="O2915" s="179"/>
      <c r="P2915" s="180"/>
      <c r="Q2915" s="173"/>
      <c r="R2915" s="173"/>
      <c r="S2915" s="174"/>
      <c r="T2915" s="173"/>
      <c r="U2915" s="182"/>
      <c r="V2915" s="177">
        <f>IF(U2915=0,0,IF(T2915="MXN",1/HLOOKUP(YEAR(S2915)+(MONTH(S2915)/100),TC!$5:$37,DAY(S2915)+2,FALSE),VLOOKUP(T2915,Equivalencia!$1:$23,((MAX(Equivalencia!$3:$3)-YEAR(S2915))*14)+MONTH(S2915)+2,FALSE)))</f>
        <v>0</v>
      </c>
      <c r="W2915" s="178">
        <f t="shared" si="239"/>
        <v>0</v>
      </c>
      <c r="X2915" s="481">
        <f t="shared" si="235"/>
        <v>0</v>
      </c>
      <c r="Y2915" s="179"/>
      <c r="Z2915" s="466">
        <f t="shared" si="236"/>
        <v>0</v>
      </c>
      <c r="AA2915" s="473">
        <f t="shared" si="237"/>
        <v>0</v>
      </c>
      <c r="AB2915" s="339">
        <f t="shared" si="238"/>
        <v>0</v>
      </c>
    </row>
    <row r="2916" spans="2:28" ht="20.100000000000001" customHeight="1">
      <c r="B2916" s="172"/>
      <c r="C2916" s="174"/>
      <c r="D2916" s="181"/>
      <c r="E2916" s="173"/>
      <c r="F2916" s="176"/>
      <c r="G2916" s="175">
        <f t="shared" si="240"/>
        <v>0</v>
      </c>
      <c r="H2916" s="175">
        <f t="shared" si="233"/>
        <v>0</v>
      </c>
      <c r="I2916" s="177">
        <f>IF(G2916=0,0,IF(E2916="MXN",1/HLOOKUP(YEAR(C2916)+(MONTH(C2916)/100),TC!$5:$37,DAY(C2916)+2,FALSE),VLOOKUP(E2916,Equivalencia!$5:$23,((MAX(Equivalencia!$3:$3)-YEAR(C2916))*14)+MONTH(C2916)+2,FALSE)))</f>
        <v>0</v>
      </c>
      <c r="J2916" s="178">
        <f t="shared" si="241"/>
        <v>0</v>
      </c>
      <c r="K2916" s="462">
        <f>IF(C2916=0,0,VLOOKUP(YEAR(C2916),INPC!$B$4:$O$29,MONTH(C2916)+1))</f>
        <v>0</v>
      </c>
      <c r="L2916" s="462">
        <f>IF(S2916=0,0,VLOOKUP(YEAR(S2916),INPC!$B$4:$O$29,MONTH(S2916)+1))</f>
        <v>0</v>
      </c>
      <c r="M2916" s="463">
        <f t="shared" si="234"/>
        <v>0</v>
      </c>
      <c r="N2916" s="465">
        <f t="shared" si="242"/>
        <v>0</v>
      </c>
      <c r="O2916" s="179"/>
      <c r="P2916" s="180"/>
      <c r="Q2916" s="173"/>
      <c r="R2916" s="173"/>
      <c r="S2916" s="174"/>
      <c r="T2916" s="173"/>
      <c r="U2916" s="182"/>
      <c r="V2916" s="177">
        <f>IF(U2916=0,0,IF(T2916="MXN",1/HLOOKUP(YEAR(S2916)+(MONTH(S2916)/100),TC!$5:$37,DAY(S2916)+2,FALSE),VLOOKUP(T2916,Equivalencia!$1:$23,((MAX(Equivalencia!$3:$3)-YEAR(S2916))*14)+MONTH(S2916)+2,FALSE)))</f>
        <v>0</v>
      </c>
      <c r="W2916" s="178">
        <f t="shared" si="239"/>
        <v>0</v>
      </c>
      <c r="X2916" s="481">
        <f t="shared" si="235"/>
        <v>0</v>
      </c>
      <c r="Y2916" s="179"/>
      <c r="Z2916" s="466">
        <f t="shared" si="236"/>
        <v>0</v>
      </c>
      <c r="AA2916" s="473">
        <f t="shared" si="237"/>
        <v>0</v>
      </c>
      <c r="AB2916" s="339">
        <f t="shared" si="238"/>
        <v>0</v>
      </c>
    </row>
    <row r="2917" spans="2:28" ht="20.100000000000001" customHeight="1">
      <c r="B2917" s="172"/>
      <c r="C2917" s="174"/>
      <c r="D2917" s="181"/>
      <c r="E2917" s="173"/>
      <c r="F2917" s="176"/>
      <c r="G2917" s="175">
        <f t="shared" si="240"/>
        <v>0</v>
      </c>
      <c r="H2917" s="175">
        <f t="shared" si="233"/>
        <v>0</v>
      </c>
      <c r="I2917" s="177">
        <f>IF(G2917=0,0,IF(E2917="MXN",1/HLOOKUP(YEAR(C2917)+(MONTH(C2917)/100),TC!$5:$37,DAY(C2917)+2,FALSE),VLOOKUP(E2917,Equivalencia!$5:$23,((MAX(Equivalencia!$3:$3)-YEAR(C2917))*14)+MONTH(C2917)+2,FALSE)))</f>
        <v>0</v>
      </c>
      <c r="J2917" s="178">
        <f t="shared" si="241"/>
        <v>0</v>
      </c>
      <c r="K2917" s="462">
        <f>IF(C2917=0,0,VLOOKUP(YEAR(C2917),INPC!$B$4:$O$29,MONTH(C2917)+1))</f>
        <v>0</v>
      </c>
      <c r="L2917" s="462">
        <f>IF(S2917=0,0,VLOOKUP(YEAR(S2917),INPC!$B$4:$O$29,MONTH(S2917)+1))</f>
        <v>0</v>
      </c>
      <c r="M2917" s="463">
        <f t="shared" si="234"/>
        <v>0</v>
      </c>
      <c r="N2917" s="465">
        <f t="shared" si="242"/>
        <v>0</v>
      </c>
      <c r="O2917" s="179"/>
      <c r="P2917" s="180"/>
      <c r="Q2917" s="173"/>
      <c r="R2917" s="173"/>
      <c r="S2917" s="174"/>
      <c r="T2917" s="173"/>
      <c r="U2917" s="182"/>
      <c r="V2917" s="177">
        <f>IF(U2917=0,0,IF(T2917="MXN",1/HLOOKUP(YEAR(S2917)+(MONTH(S2917)/100),TC!$5:$37,DAY(S2917)+2,FALSE),VLOOKUP(T2917,Equivalencia!$1:$23,((MAX(Equivalencia!$3:$3)-YEAR(S2917))*14)+MONTH(S2917)+2,FALSE)))</f>
        <v>0</v>
      </c>
      <c r="W2917" s="178">
        <f t="shared" si="239"/>
        <v>0</v>
      </c>
      <c r="X2917" s="481">
        <f t="shared" si="235"/>
        <v>0</v>
      </c>
      <c r="Y2917" s="179"/>
      <c r="Z2917" s="466">
        <f t="shared" si="236"/>
        <v>0</v>
      </c>
      <c r="AA2917" s="473">
        <f t="shared" si="237"/>
        <v>0</v>
      </c>
      <c r="AB2917" s="339">
        <f t="shared" si="238"/>
        <v>0</v>
      </c>
    </row>
    <row r="2918" spans="2:28" ht="20.100000000000001" customHeight="1">
      <c r="B2918" s="172"/>
      <c r="C2918" s="174"/>
      <c r="D2918" s="181"/>
      <c r="E2918" s="173"/>
      <c r="F2918" s="176"/>
      <c r="G2918" s="175">
        <f t="shared" si="240"/>
        <v>0</v>
      </c>
      <c r="H2918" s="175">
        <f t="shared" si="233"/>
        <v>0</v>
      </c>
      <c r="I2918" s="177">
        <f>IF(G2918=0,0,IF(E2918="MXN",1/HLOOKUP(YEAR(C2918)+(MONTH(C2918)/100),TC!$5:$37,DAY(C2918)+2,FALSE),VLOOKUP(E2918,Equivalencia!$5:$23,((MAX(Equivalencia!$3:$3)-YEAR(C2918))*14)+MONTH(C2918)+2,FALSE)))</f>
        <v>0</v>
      </c>
      <c r="J2918" s="178">
        <f t="shared" si="241"/>
        <v>0</v>
      </c>
      <c r="K2918" s="462">
        <f>IF(C2918=0,0,VLOOKUP(YEAR(C2918),INPC!$B$4:$O$29,MONTH(C2918)+1))</f>
        <v>0</v>
      </c>
      <c r="L2918" s="462">
        <f>IF(S2918=0,0,VLOOKUP(YEAR(S2918),INPC!$B$4:$O$29,MONTH(S2918)+1))</f>
        <v>0</v>
      </c>
      <c r="M2918" s="463">
        <f t="shared" si="234"/>
        <v>0</v>
      </c>
      <c r="N2918" s="465">
        <f t="shared" si="242"/>
        <v>0</v>
      </c>
      <c r="O2918" s="179"/>
      <c r="P2918" s="180"/>
      <c r="Q2918" s="173"/>
      <c r="R2918" s="173"/>
      <c r="S2918" s="174"/>
      <c r="T2918" s="173"/>
      <c r="U2918" s="182"/>
      <c r="V2918" s="177">
        <f>IF(U2918=0,0,IF(T2918="MXN",1/HLOOKUP(YEAR(S2918)+(MONTH(S2918)/100),TC!$5:$37,DAY(S2918)+2,FALSE),VLOOKUP(T2918,Equivalencia!$1:$23,((MAX(Equivalencia!$3:$3)-YEAR(S2918))*14)+MONTH(S2918)+2,FALSE)))</f>
        <v>0</v>
      </c>
      <c r="W2918" s="178">
        <f t="shared" si="239"/>
        <v>0</v>
      </c>
      <c r="X2918" s="481">
        <f t="shared" si="235"/>
        <v>0</v>
      </c>
      <c r="Y2918" s="179"/>
      <c r="Z2918" s="466">
        <f t="shared" si="236"/>
        <v>0</v>
      </c>
      <c r="AA2918" s="473">
        <f t="shared" si="237"/>
        <v>0</v>
      </c>
      <c r="AB2918" s="339">
        <f t="shared" si="238"/>
        <v>0</v>
      </c>
    </row>
    <row r="2919" spans="2:28" ht="20.100000000000001" customHeight="1">
      <c r="B2919" s="172"/>
      <c r="C2919" s="174"/>
      <c r="D2919" s="181"/>
      <c r="E2919" s="173"/>
      <c r="F2919" s="176"/>
      <c r="G2919" s="175">
        <f t="shared" si="240"/>
        <v>0</v>
      </c>
      <c r="H2919" s="175">
        <f t="shared" si="233"/>
        <v>0</v>
      </c>
      <c r="I2919" s="177">
        <f>IF(G2919=0,0,IF(E2919="MXN",1/HLOOKUP(YEAR(C2919)+(MONTH(C2919)/100),TC!$5:$37,DAY(C2919)+2,FALSE),VLOOKUP(E2919,Equivalencia!$5:$23,((MAX(Equivalencia!$3:$3)-YEAR(C2919))*14)+MONTH(C2919)+2,FALSE)))</f>
        <v>0</v>
      </c>
      <c r="J2919" s="178">
        <f t="shared" si="241"/>
        <v>0</v>
      </c>
      <c r="K2919" s="462">
        <f>IF(C2919=0,0,VLOOKUP(YEAR(C2919),INPC!$B$4:$O$29,MONTH(C2919)+1))</f>
        <v>0</v>
      </c>
      <c r="L2919" s="462">
        <f>IF(S2919=0,0,VLOOKUP(YEAR(S2919),INPC!$B$4:$O$29,MONTH(S2919)+1))</f>
        <v>0</v>
      </c>
      <c r="M2919" s="463">
        <f t="shared" si="234"/>
        <v>0</v>
      </c>
      <c r="N2919" s="465">
        <f t="shared" si="242"/>
        <v>0</v>
      </c>
      <c r="O2919" s="179"/>
      <c r="P2919" s="180"/>
      <c r="Q2919" s="173"/>
      <c r="R2919" s="173"/>
      <c r="S2919" s="174"/>
      <c r="T2919" s="173"/>
      <c r="U2919" s="182"/>
      <c r="V2919" s="177">
        <f>IF(U2919=0,0,IF(T2919="MXN",1/HLOOKUP(YEAR(S2919)+(MONTH(S2919)/100),TC!$5:$37,DAY(S2919)+2,FALSE),VLOOKUP(T2919,Equivalencia!$1:$23,((MAX(Equivalencia!$3:$3)-YEAR(S2919))*14)+MONTH(S2919)+2,FALSE)))</f>
        <v>0</v>
      </c>
      <c r="W2919" s="178">
        <f t="shared" si="239"/>
        <v>0</v>
      </c>
      <c r="X2919" s="481">
        <f t="shared" si="235"/>
        <v>0</v>
      </c>
      <c r="Y2919" s="179"/>
      <c r="Z2919" s="466">
        <f t="shared" si="236"/>
        <v>0</v>
      </c>
      <c r="AA2919" s="473">
        <f t="shared" si="237"/>
        <v>0</v>
      </c>
      <c r="AB2919" s="339">
        <f t="shared" si="238"/>
        <v>0</v>
      </c>
    </row>
    <row r="2920" spans="2:28" ht="20.100000000000001" customHeight="1">
      <c r="B2920" s="172"/>
      <c r="C2920" s="174"/>
      <c r="D2920" s="181"/>
      <c r="E2920" s="173"/>
      <c r="F2920" s="176"/>
      <c r="G2920" s="175">
        <f t="shared" si="240"/>
        <v>0</v>
      </c>
      <c r="H2920" s="175">
        <f t="shared" si="233"/>
        <v>0</v>
      </c>
      <c r="I2920" s="177">
        <f>IF(G2920=0,0,IF(E2920="MXN",1/HLOOKUP(YEAR(C2920)+(MONTH(C2920)/100),TC!$5:$37,DAY(C2920)+2,FALSE),VLOOKUP(E2920,Equivalencia!$5:$23,((MAX(Equivalencia!$3:$3)-YEAR(C2920))*14)+MONTH(C2920)+2,FALSE)))</f>
        <v>0</v>
      </c>
      <c r="J2920" s="178">
        <f t="shared" si="241"/>
        <v>0</v>
      </c>
      <c r="K2920" s="462">
        <f>IF(C2920=0,0,VLOOKUP(YEAR(C2920),INPC!$B$4:$O$29,MONTH(C2920)+1))</f>
        <v>0</v>
      </c>
      <c r="L2920" s="462">
        <f>IF(S2920=0,0,VLOOKUP(YEAR(S2920),INPC!$B$4:$O$29,MONTH(S2920)+1))</f>
        <v>0</v>
      </c>
      <c r="M2920" s="463">
        <f t="shared" si="234"/>
        <v>0</v>
      </c>
      <c r="N2920" s="465">
        <f t="shared" si="242"/>
        <v>0</v>
      </c>
      <c r="O2920" s="179"/>
      <c r="P2920" s="180"/>
      <c r="Q2920" s="173"/>
      <c r="R2920" s="173"/>
      <c r="S2920" s="174"/>
      <c r="T2920" s="173"/>
      <c r="U2920" s="182"/>
      <c r="V2920" s="177">
        <f>IF(U2920=0,0,IF(T2920="MXN",1/HLOOKUP(YEAR(S2920)+(MONTH(S2920)/100),TC!$5:$37,DAY(S2920)+2,FALSE),VLOOKUP(T2920,Equivalencia!$1:$23,((MAX(Equivalencia!$3:$3)-YEAR(S2920))*14)+MONTH(S2920)+2,FALSE)))</f>
        <v>0</v>
      </c>
      <c r="W2920" s="178">
        <f t="shared" si="239"/>
        <v>0</v>
      </c>
      <c r="X2920" s="481">
        <f t="shared" si="235"/>
        <v>0</v>
      </c>
      <c r="Y2920" s="179"/>
      <c r="Z2920" s="466">
        <f t="shared" si="236"/>
        <v>0</v>
      </c>
      <c r="AA2920" s="473">
        <f t="shared" si="237"/>
        <v>0</v>
      </c>
      <c r="AB2920" s="339">
        <f t="shared" si="238"/>
        <v>0</v>
      </c>
    </row>
    <row r="2921" spans="2:28" ht="20.100000000000001" customHeight="1">
      <c r="B2921" s="172"/>
      <c r="C2921" s="174"/>
      <c r="D2921" s="181"/>
      <c r="E2921" s="173"/>
      <c r="F2921" s="176"/>
      <c r="G2921" s="175">
        <f t="shared" si="240"/>
        <v>0</v>
      </c>
      <c r="H2921" s="175">
        <f t="shared" si="233"/>
        <v>0</v>
      </c>
      <c r="I2921" s="177">
        <f>IF(G2921=0,0,IF(E2921="MXN",1/HLOOKUP(YEAR(C2921)+(MONTH(C2921)/100),TC!$5:$37,DAY(C2921)+2,FALSE),VLOOKUP(E2921,Equivalencia!$5:$23,((MAX(Equivalencia!$3:$3)-YEAR(C2921))*14)+MONTH(C2921)+2,FALSE)))</f>
        <v>0</v>
      </c>
      <c r="J2921" s="178">
        <f t="shared" si="241"/>
        <v>0</v>
      </c>
      <c r="K2921" s="462">
        <f>IF(C2921=0,0,VLOOKUP(YEAR(C2921),INPC!$B$4:$O$29,MONTH(C2921)+1))</f>
        <v>0</v>
      </c>
      <c r="L2921" s="462">
        <f>IF(S2921=0,0,VLOOKUP(YEAR(S2921),INPC!$B$4:$O$29,MONTH(S2921)+1))</f>
        <v>0</v>
      </c>
      <c r="M2921" s="463">
        <f t="shared" si="234"/>
        <v>0</v>
      </c>
      <c r="N2921" s="465">
        <f t="shared" si="242"/>
        <v>0</v>
      </c>
      <c r="O2921" s="179"/>
      <c r="P2921" s="180"/>
      <c r="Q2921" s="173"/>
      <c r="R2921" s="173"/>
      <c r="S2921" s="174"/>
      <c r="T2921" s="173"/>
      <c r="U2921" s="182"/>
      <c r="V2921" s="177">
        <f>IF(U2921=0,0,IF(T2921="MXN",1/HLOOKUP(YEAR(S2921)+(MONTH(S2921)/100),TC!$5:$37,DAY(S2921)+2,FALSE),VLOOKUP(T2921,Equivalencia!$1:$23,((MAX(Equivalencia!$3:$3)-YEAR(S2921))*14)+MONTH(S2921)+2,FALSE)))</f>
        <v>0</v>
      </c>
      <c r="W2921" s="178">
        <f t="shared" si="239"/>
        <v>0</v>
      </c>
      <c r="X2921" s="481">
        <f t="shared" si="235"/>
        <v>0</v>
      </c>
      <c r="Y2921" s="179"/>
      <c r="Z2921" s="466">
        <f t="shared" si="236"/>
        <v>0</v>
      </c>
      <c r="AA2921" s="473">
        <f t="shared" si="237"/>
        <v>0</v>
      </c>
      <c r="AB2921" s="339">
        <f t="shared" si="238"/>
        <v>0</v>
      </c>
    </row>
    <row r="2922" spans="2:28" ht="20.100000000000001" customHeight="1">
      <c r="B2922" s="172"/>
      <c r="C2922" s="174"/>
      <c r="D2922" s="181"/>
      <c r="E2922" s="173"/>
      <c r="F2922" s="176"/>
      <c r="G2922" s="175">
        <f t="shared" si="240"/>
        <v>0</v>
      </c>
      <c r="H2922" s="175">
        <f t="shared" si="233"/>
        <v>0</v>
      </c>
      <c r="I2922" s="177">
        <f>IF(G2922=0,0,IF(E2922="MXN",1/HLOOKUP(YEAR(C2922)+(MONTH(C2922)/100),TC!$5:$37,DAY(C2922)+2,FALSE),VLOOKUP(E2922,Equivalencia!$5:$23,((MAX(Equivalencia!$3:$3)-YEAR(C2922))*14)+MONTH(C2922)+2,FALSE)))</f>
        <v>0</v>
      </c>
      <c r="J2922" s="178">
        <f t="shared" si="241"/>
        <v>0</v>
      </c>
      <c r="K2922" s="462">
        <f>IF(C2922=0,0,VLOOKUP(YEAR(C2922),INPC!$B$4:$O$29,MONTH(C2922)+1))</f>
        <v>0</v>
      </c>
      <c r="L2922" s="462">
        <f>IF(S2922=0,0,VLOOKUP(YEAR(S2922),INPC!$B$4:$O$29,MONTH(S2922)+1))</f>
        <v>0</v>
      </c>
      <c r="M2922" s="463">
        <f t="shared" si="234"/>
        <v>0</v>
      </c>
      <c r="N2922" s="465">
        <f t="shared" si="242"/>
        <v>0</v>
      </c>
      <c r="O2922" s="179"/>
      <c r="P2922" s="180"/>
      <c r="Q2922" s="173"/>
      <c r="R2922" s="173"/>
      <c r="S2922" s="174"/>
      <c r="T2922" s="173"/>
      <c r="U2922" s="182"/>
      <c r="V2922" s="177">
        <f>IF(U2922=0,0,IF(T2922="MXN",1/HLOOKUP(YEAR(S2922)+(MONTH(S2922)/100),TC!$5:$37,DAY(S2922)+2,FALSE),VLOOKUP(T2922,Equivalencia!$1:$23,((MAX(Equivalencia!$3:$3)-YEAR(S2922))*14)+MONTH(S2922)+2,FALSE)))</f>
        <v>0</v>
      </c>
      <c r="W2922" s="178">
        <f t="shared" si="239"/>
        <v>0</v>
      </c>
      <c r="X2922" s="481">
        <f t="shared" si="235"/>
        <v>0</v>
      </c>
      <c r="Y2922" s="179"/>
      <c r="Z2922" s="466">
        <f t="shared" si="236"/>
        <v>0</v>
      </c>
      <c r="AA2922" s="473">
        <f t="shared" si="237"/>
        <v>0</v>
      </c>
      <c r="AB2922" s="339">
        <f t="shared" si="238"/>
        <v>0</v>
      </c>
    </row>
    <row r="2923" spans="2:28" ht="20.100000000000001" customHeight="1">
      <c r="B2923" s="172"/>
      <c r="C2923" s="174"/>
      <c r="D2923" s="181"/>
      <c r="E2923" s="173"/>
      <c r="F2923" s="176"/>
      <c r="G2923" s="175">
        <f t="shared" si="240"/>
        <v>0</v>
      </c>
      <c r="H2923" s="175">
        <f t="shared" si="233"/>
        <v>0</v>
      </c>
      <c r="I2923" s="177">
        <f>IF(G2923=0,0,IF(E2923="MXN",1/HLOOKUP(YEAR(C2923)+(MONTH(C2923)/100),TC!$5:$37,DAY(C2923)+2,FALSE),VLOOKUP(E2923,Equivalencia!$5:$23,((MAX(Equivalencia!$3:$3)-YEAR(C2923))*14)+MONTH(C2923)+2,FALSE)))</f>
        <v>0</v>
      </c>
      <c r="J2923" s="178">
        <f t="shared" si="241"/>
        <v>0</v>
      </c>
      <c r="K2923" s="462">
        <f>IF(C2923=0,0,VLOOKUP(YEAR(C2923),INPC!$B$4:$O$29,MONTH(C2923)+1))</f>
        <v>0</v>
      </c>
      <c r="L2923" s="462">
        <f>IF(S2923=0,0,VLOOKUP(YEAR(S2923),INPC!$B$4:$O$29,MONTH(S2923)+1))</f>
        <v>0</v>
      </c>
      <c r="M2923" s="463">
        <f t="shared" si="234"/>
        <v>0</v>
      </c>
      <c r="N2923" s="465">
        <f t="shared" si="242"/>
        <v>0</v>
      </c>
      <c r="O2923" s="179"/>
      <c r="P2923" s="180"/>
      <c r="Q2923" s="173"/>
      <c r="R2923" s="173"/>
      <c r="S2923" s="174"/>
      <c r="T2923" s="173"/>
      <c r="U2923" s="182"/>
      <c r="V2923" s="177">
        <f>IF(U2923=0,0,IF(T2923="MXN",1/HLOOKUP(YEAR(S2923)+(MONTH(S2923)/100),TC!$5:$37,DAY(S2923)+2,FALSE),VLOOKUP(T2923,Equivalencia!$1:$23,((MAX(Equivalencia!$3:$3)-YEAR(S2923))*14)+MONTH(S2923)+2,FALSE)))</f>
        <v>0</v>
      </c>
      <c r="W2923" s="178">
        <f t="shared" si="239"/>
        <v>0</v>
      </c>
      <c r="X2923" s="481">
        <f t="shared" si="235"/>
        <v>0</v>
      </c>
      <c r="Y2923" s="179"/>
      <c r="Z2923" s="466">
        <f t="shared" si="236"/>
        <v>0</v>
      </c>
      <c r="AA2923" s="473">
        <f t="shared" si="237"/>
        <v>0</v>
      </c>
      <c r="AB2923" s="339">
        <f t="shared" si="238"/>
        <v>0</v>
      </c>
    </row>
    <row r="2924" spans="2:28" ht="20.100000000000001" customHeight="1">
      <c r="B2924" s="172"/>
      <c r="C2924" s="174"/>
      <c r="D2924" s="181"/>
      <c r="E2924" s="173"/>
      <c r="F2924" s="176"/>
      <c r="G2924" s="175">
        <f t="shared" si="240"/>
        <v>0</v>
      </c>
      <c r="H2924" s="175">
        <f t="shared" si="233"/>
        <v>0</v>
      </c>
      <c r="I2924" s="177">
        <f>IF(G2924=0,0,IF(E2924="MXN",1/HLOOKUP(YEAR(C2924)+(MONTH(C2924)/100),TC!$5:$37,DAY(C2924)+2,FALSE),VLOOKUP(E2924,Equivalencia!$5:$23,((MAX(Equivalencia!$3:$3)-YEAR(C2924))*14)+MONTH(C2924)+2,FALSE)))</f>
        <v>0</v>
      </c>
      <c r="J2924" s="178">
        <f t="shared" si="241"/>
        <v>0</v>
      </c>
      <c r="K2924" s="462">
        <f>IF(C2924=0,0,VLOOKUP(YEAR(C2924),INPC!$B$4:$O$29,MONTH(C2924)+1))</f>
        <v>0</v>
      </c>
      <c r="L2924" s="462">
        <f>IF(S2924=0,0,VLOOKUP(YEAR(S2924),INPC!$B$4:$O$29,MONTH(S2924)+1))</f>
        <v>0</v>
      </c>
      <c r="M2924" s="463">
        <f t="shared" si="234"/>
        <v>0</v>
      </c>
      <c r="N2924" s="465">
        <f t="shared" si="242"/>
        <v>0</v>
      </c>
      <c r="O2924" s="179"/>
      <c r="P2924" s="180"/>
      <c r="Q2924" s="173"/>
      <c r="R2924" s="173"/>
      <c r="S2924" s="174"/>
      <c r="T2924" s="173"/>
      <c r="U2924" s="182"/>
      <c r="V2924" s="177">
        <f>IF(U2924=0,0,IF(T2924="MXN",1/HLOOKUP(YEAR(S2924)+(MONTH(S2924)/100),TC!$5:$37,DAY(S2924)+2,FALSE),VLOOKUP(T2924,Equivalencia!$1:$23,((MAX(Equivalencia!$3:$3)-YEAR(S2924))*14)+MONTH(S2924)+2,FALSE)))</f>
        <v>0</v>
      </c>
      <c r="W2924" s="178">
        <f t="shared" si="239"/>
        <v>0</v>
      </c>
      <c r="X2924" s="481">
        <f t="shared" si="235"/>
        <v>0</v>
      </c>
      <c r="Y2924" s="179"/>
      <c r="Z2924" s="466">
        <f t="shared" si="236"/>
        <v>0</v>
      </c>
      <c r="AA2924" s="473">
        <f t="shared" si="237"/>
        <v>0</v>
      </c>
      <c r="AB2924" s="339">
        <f t="shared" si="238"/>
        <v>0</v>
      </c>
    </row>
    <row r="2925" spans="2:28" ht="20.100000000000001" customHeight="1">
      <c r="B2925" s="172"/>
      <c r="C2925" s="174"/>
      <c r="D2925" s="181"/>
      <c r="E2925" s="173"/>
      <c r="F2925" s="176"/>
      <c r="G2925" s="175">
        <f t="shared" si="240"/>
        <v>0</v>
      </c>
      <c r="H2925" s="175">
        <f t="shared" si="233"/>
        <v>0</v>
      </c>
      <c r="I2925" s="177">
        <f>IF(G2925=0,0,IF(E2925="MXN",1/HLOOKUP(YEAR(C2925)+(MONTH(C2925)/100),TC!$5:$37,DAY(C2925)+2,FALSE),VLOOKUP(E2925,Equivalencia!$5:$23,((MAX(Equivalencia!$3:$3)-YEAR(C2925))*14)+MONTH(C2925)+2,FALSE)))</f>
        <v>0</v>
      </c>
      <c r="J2925" s="178">
        <f t="shared" si="241"/>
        <v>0</v>
      </c>
      <c r="K2925" s="462">
        <f>IF(C2925=0,0,VLOOKUP(YEAR(C2925),INPC!$B$4:$O$29,MONTH(C2925)+1))</f>
        <v>0</v>
      </c>
      <c r="L2925" s="462">
        <f>IF(S2925=0,0,VLOOKUP(YEAR(S2925),INPC!$B$4:$O$29,MONTH(S2925)+1))</f>
        <v>0</v>
      </c>
      <c r="M2925" s="463">
        <f t="shared" si="234"/>
        <v>0</v>
      </c>
      <c r="N2925" s="465">
        <f t="shared" si="242"/>
        <v>0</v>
      </c>
      <c r="O2925" s="179"/>
      <c r="P2925" s="180"/>
      <c r="Q2925" s="173"/>
      <c r="R2925" s="173"/>
      <c r="S2925" s="174"/>
      <c r="T2925" s="173"/>
      <c r="U2925" s="182"/>
      <c r="V2925" s="177">
        <f>IF(U2925=0,0,IF(T2925="MXN",1/HLOOKUP(YEAR(S2925)+(MONTH(S2925)/100),TC!$5:$37,DAY(S2925)+2,FALSE),VLOOKUP(T2925,Equivalencia!$1:$23,((MAX(Equivalencia!$3:$3)-YEAR(S2925))*14)+MONTH(S2925)+2,FALSE)))</f>
        <v>0</v>
      </c>
      <c r="W2925" s="178">
        <f t="shared" si="239"/>
        <v>0</v>
      </c>
      <c r="X2925" s="481">
        <f t="shared" si="235"/>
        <v>0</v>
      </c>
      <c r="Y2925" s="179"/>
      <c r="Z2925" s="466">
        <f t="shared" si="236"/>
        <v>0</v>
      </c>
      <c r="AA2925" s="473">
        <f t="shared" si="237"/>
        <v>0</v>
      </c>
      <c r="AB2925" s="339">
        <f t="shared" si="238"/>
        <v>0</v>
      </c>
    </row>
    <row r="2926" spans="2:28" ht="20.100000000000001" customHeight="1">
      <c r="B2926" s="172"/>
      <c r="C2926" s="174"/>
      <c r="D2926" s="181"/>
      <c r="E2926" s="173"/>
      <c r="F2926" s="176"/>
      <c r="G2926" s="175">
        <f t="shared" si="240"/>
        <v>0</v>
      </c>
      <c r="H2926" s="175">
        <f t="shared" si="233"/>
        <v>0</v>
      </c>
      <c r="I2926" s="177">
        <f>IF(G2926=0,0,IF(E2926="MXN",1/HLOOKUP(YEAR(C2926)+(MONTH(C2926)/100),TC!$5:$37,DAY(C2926)+2,FALSE),VLOOKUP(E2926,Equivalencia!$5:$23,((MAX(Equivalencia!$3:$3)-YEAR(C2926))*14)+MONTH(C2926)+2,FALSE)))</f>
        <v>0</v>
      </c>
      <c r="J2926" s="178">
        <f t="shared" si="241"/>
        <v>0</v>
      </c>
      <c r="K2926" s="462">
        <f>IF(C2926=0,0,VLOOKUP(YEAR(C2926),INPC!$B$4:$O$29,MONTH(C2926)+1))</f>
        <v>0</v>
      </c>
      <c r="L2926" s="462">
        <f>IF(S2926=0,0,VLOOKUP(YEAR(S2926),INPC!$B$4:$O$29,MONTH(S2926)+1))</f>
        <v>0</v>
      </c>
      <c r="M2926" s="463">
        <f t="shared" si="234"/>
        <v>0</v>
      </c>
      <c r="N2926" s="465">
        <f t="shared" si="242"/>
        <v>0</v>
      </c>
      <c r="O2926" s="179"/>
      <c r="P2926" s="180"/>
      <c r="Q2926" s="173"/>
      <c r="R2926" s="173"/>
      <c r="S2926" s="174"/>
      <c r="T2926" s="173"/>
      <c r="U2926" s="182"/>
      <c r="V2926" s="177">
        <f>IF(U2926=0,0,IF(T2926="MXN",1/HLOOKUP(YEAR(S2926)+(MONTH(S2926)/100),TC!$5:$37,DAY(S2926)+2,FALSE),VLOOKUP(T2926,Equivalencia!$1:$23,((MAX(Equivalencia!$3:$3)-YEAR(S2926))*14)+MONTH(S2926)+2,FALSE)))</f>
        <v>0</v>
      </c>
      <c r="W2926" s="178">
        <f t="shared" si="239"/>
        <v>0</v>
      </c>
      <c r="X2926" s="481">
        <f t="shared" si="235"/>
        <v>0</v>
      </c>
      <c r="Y2926" s="179"/>
      <c r="Z2926" s="466">
        <f t="shared" si="236"/>
        <v>0</v>
      </c>
      <c r="AA2926" s="473">
        <f t="shared" si="237"/>
        <v>0</v>
      </c>
      <c r="AB2926" s="339">
        <f t="shared" si="238"/>
        <v>0</v>
      </c>
    </row>
    <row r="2927" spans="2:28" ht="20.100000000000001" customHeight="1">
      <c r="B2927" s="172"/>
      <c r="C2927" s="174"/>
      <c r="D2927" s="181"/>
      <c r="E2927" s="173"/>
      <c r="F2927" s="176"/>
      <c r="G2927" s="175">
        <f t="shared" si="240"/>
        <v>0</v>
      </c>
      <c r="H2927" s="175">
        <f t="shared" si="233"/>
        <v>0</v>
      </c>
      <c r="I2927" s="177">
        <f>IF(G2927=0,0,IF(E2927="MXN",1/HLOOKUP(YEAR(C2927)+(MONTH(C2927)/100),TC!$5:$37,DAY(C2927)+2,FALSE),VLOOKUP(E2927,Equivalencia!$5:$23,((MAX(Equivalencia!$3:$3)-YEAR(C2927))*14)+MONTH(C2927)+2,FALSE)))</f>
        <v>0</v>
      </c>
      <c r="J2927" s="178">
        <f t="shared" si="241"/>
        <v>0</v>
      </c>
      <c r="K2927" s="462">
        <f>IF(C2927=0,0,VLOOKUP(YEAR(C2927),INPC!$B$4:$O$29,MONTH(C2927)+1))</f>
        <v>0</v>
      </c>
      <c r="L2927" s="462">
        <f>IF(S2927=0,0,VLOOKUP(YEAR(S2927),INPC!$B$4:$O$29,MONTH(S2927)+1))</f>
        <v>0</v>
      </c>
      <c r="M2927" s="463">
        <f t="shared" si="234"/>
        <v>0</v>
      </c>
      <c r="N2927" s="465">
        <f t="shared" si="242"/>
        <v>0</v>
      </c>
      <c r="O2927" s="179"/>
      <c r="P2927" s="180"/>
      <c r="Q2927" s="173"/>
      <c r="R2927" s="173"/>
      <c r="S2927" s="174"/>
      <c r="T2927" s="173"/>
      <c r="U2927" s="182"/>
      <c r="V2927" s="177">
        <f>IF(U2927=0,0,IF(T2927="MXN",1/HLOOKUP(YEAR(S2927)+(MONTH(S2927)/100),TC!$5:$37,DAY(S2927)+2,FALSE),VLOOKUP(T2927,Equivalencia!$1:$23,((MAX(Equivalencia!$3:$3)-YEAR(S2927))*14)+MONTH(S2927)+2,FALSE)))</f>
        <v>0</v>
      </c>
      <c r="W2927" s="178">
        <f t="shared" si="239"/>
        <v>0</v>
      </c>
      <c r="X2927" s="481">
        <f t="shared" si="235"/>
        <v>0</v>
      </c>
      <c r="Y2927" s="179"/>
      <c r="Z2927" s="466">
        <f t="shared" si="236"/>
        <v>0</v>
      </c>
      <c r="AA2927" s="473">
        <f t="shared" si="237"/>
        <v>0</v>
      </c>
      <c r="AB2927" s="339">
        <f t="shared" si="238"/>
        <v>0</v>
      </c>
    </row>
    <row r="2928" spans="2:28" ht="20.100000000000001" customHeight="1">
      <c r="B2928" s="172"/>
      <c r="C2928" s="174"/>
      <c r="D2928" s="181"/>
      <c r="E2928" s="173"/>
      <c r="F2928" s="176"/>
      <c r="G2928" s="175">
        <f t="shared" si="240"/>
        <v>0</v>
      </c>
      <c r="H2928" s="175">
        <f t="shared" si="233"/>
        <v>0</v>
      </c>
      <c r="I2928" s="177">
        <f>IF(G2928=0,0,IF(E2928="MXN",1/HLOOKUP(YEAR(C2928)+(MONTH(C2928)/100),TC!$5:$37,DAY(C2928)+2,FALSE),VLOOKUP(E2928,Equivalencia!$5:$23,((MAX(Equivalencia!$3:$3)-YEAR(C2928))*14)+MONTH(C2928)+2,FALSE)))</f>
        <v>0</v>
      </c>
      <c r="J2928" s="178">
        <f t="shared" si="241"/>
        <v>0</v>
      </c>
      <c r="K2928" s="462">
        <f>IF(C2928=0,0,VLOOKUP(YEAR(C2928),INPC!$B$4:$O$29,MONTH(C2928)+1))</f>
        <v>0</v>
      </c>
      <c r="L2928" s="462">
        <f>IF(S2928=0,0,VLOOKUP(YEAR(S2928),INPC!$B$4:$O$29,MONTH(S2928)+1))</f>
        <v>0</v>
      </c>
      <c r="M2928" s="463">
        <f t="shared" si="234"/>
        <v>0</v>
      </c>
      <c r="N2928" s="465">
        <f t="shared" si="242"/>
        <v>0</v>
      </c>
      <c r="O2928" s="179"/>
      <c r="P2928" s="180"/>
      <c r="Q2928" s="173"/>
      <c r="R2928" s="173"/>
      <c r="S2928" s="174"/>
      <c r="T2928" s="173"/>
      <c r="U2928" s="182"/>
      <c r="V2928" s="177">
        <f>IF(U2928=0,0,IF(T2928="MXN",1/HLOOKUP(YEAR(S2928)+(MONTH(S2928)/100),TC!$5:$37,DAY(S2928)+2,FALSE),VLOOKUP(T2928,Equivalencia!$1:$23,((MAX(Equivalencia!$3:$3)-YEAR(S2928))*14)+MONTH(S2928)+2,FALSE)))</f>
        <v>0</v>
      </c>
      <c r="W2928" s="178">
        <f t="shared" si="239"/>
        <v>0</v>
      </c>
      <c r="X2928" s="481">
        <f t="shared" si="235"/>
        <v>0</v>
      </c>
      <c r="Y2928" s="179"/>
      <c r="Z2928" s="466">
        <f t="shared" si="236"/>
        <v>0</v>
      </c>
      <c r="AA2928" s="473">
        <f t="shared" si="237"/>
        <v>0</v>
      </c>
      <c r="AB2928" s="339">
        <f t="shared" si="238"/>
        <v>0</v>
      </c>
    </row>
    <row r="2929" spans="2:28" ht="20.100000000000001" customHeight="1">
      <c r="B2929" s="172"/>
      <c r="C2929" s="174"/>
      <c r="D2929" s="181"/>
      <c r="E2929" s="173"/>
      <c r="F2929" s="176"/>
      <c r="G2929" s="175">
        <f t="shared" si="240"/>
        <v>0</v>
      </c>
      <c r="H2929" s="175">
        <f t="shared" si="233"/>
        <v>0</v>
      </c>
      <c r="I2929" s="177">
        <f>IF(G2929=0,0,IF(E2929="MXN",1/HLOOKUP(YEAR(C2929)+(MONTH(C2929)/100),TC!$5:$37,DAY(C2929)+2,FALSE),VLOOKUP(E2929,Equivalencia!$5:$23,((MAX(Equivalencia!$3:$3)-YEAR(C2929))*14)+MONTH(C2929)+2,FALSE)))</f>
        <v>0</v>
      </c>
      <c r="J2929" s="178">
        <f t="shared" si="241"/>
        <v>0</v>
      </c>
      <c r="K2929" s="462">
        <f>IF(C2929=0,0,VLOOKUP(YEAR(C2929),INPC!$B$4:$O$29,MONTH(C2929)+1))</f>
        <v>0</v>
      </c>
      <c r="L2929" s="462">
        <f>IF(S2929=0,0,VLOOKUP(YEAR(S2929),INPC!$B$4:$O$29,MONTH(S2929)+1))</f>
        <v>0</v>
      </c>
      <c r="M2929" s="463">
        <f t="shared" si="234"/>
        <v>0</v>
      </c>
      <c r="N2929" s="465">
        <f t="shared" si="242"/>
        <v>0</v>
      </c>
      <c r="O2929" s="179"/>
      <c r="P2929" s="180"/>
      <c r="Q2929" s="173"/>
      <c r="R2929" s="173"/>
      <c r="S2929" s="174"/>
      <c r="T2929" s="173"/>
      <c r="U2929" s="182"/>
      <c r="V2929" s="177">
        <f>IF(U2929=0,0,IF(T2929="MXN",1/HLOOKUP(YEAR(S2929)+(MONTH(S2929)/100),TC!$5:$37,DAY(S2929)+2,FALSE),VLOOKUP(T2929,Equivalencia!$1:$23,((MAX(Equivalencia!$3:$3)-YEAR(S2929))*14)+MONTH(S2929)+2,FALSE)))</f>
        <v>0</v>
      </c>
      <c r="W2929" s="178">
        <f t="shared" si="239"/>
        <v>0</v>
      </c>
      <c r="X2929" s="481">
        <f t="shared" si="235"/>
        <v>0</v>
      </c>
      <c r="Y2929" s="179"/>
      <c r="Z2929" s="466">
        <f t="shared" si="236"/>
        <v>0</v>
      </c>
      <c r="AA2929" s="473">
        <f t="shared" si="237"/>
        <v>0</v>
      </c>
      <c r="AB2929" s="339">
        <f t="shared" si="238"/>
        <v>0</v>
      </c>
    </row>
    <row r="2930" spans="2:28" ht="20.100000000000001" customHeight="1">
      <c r="B2930" s="172"/>
      <c r="C2930" s="174"/>
      <c r="D2930" s="181"/>
      <c r="E2930" s="173"/>
      <c r="F2930" s="176"/>
      <c r="G2930" s="175">
        <f t="shared" si="240"/>
        <v>0</v>
      </c>
      <c r="H2930" s="175">
        <f t="shared" si="233"/>
        <v>0</v>
      </c>
      <c r="I2930" s="177">
        <f>IF(G2930=0,0,IF(E2930="MXN",1/HLOOKUP(YEAR(C2930)+(MONTH(C2930)/100),TC!$5:$37,DAY(C2930)+2,FALSE),VLOOKUP(E2930,Equivalencia!$5:$23,((MAX(Equivalencia!$3:$3)-YEAR(C2930))*14)+MONTH(C2930)+2,FALSE)))</f>
        <v>0</v>
      </c>
      <c r="J2930" s="178">
        <f t="shared" si="241"/>
        <v>0</v>
      </c>
      <c r="K2930" s="462">
        <f>IF(C2930=0,0,VLOOKUP(YEAR(C2930),INPC!$B$4:$O$29,MONTH(C2930)+1))</f>
        <v>0</v>
      </c>
      <c r="L2930" s="462">
        <f>IF(S2930=0,0,VLOOKUP(YEAR(S2930),INPC!$B$4:$O$29,MONTH(S2930)+1))</f>
        <v>0</v>
      </c>
      <c r="M2930" s="463">
        <f t="shared" si="234"/>
        <v>0</v>
      </c>
      <c r="N2930" s="465">
        <f t="shared" si="242"/>
        <v>0</v>
      </c>
      <c r="O2930" s="179"/>
      <c r="P2930" s="180"/>
      <c r="Q2930" s="173"/>
      <c r="R2930" s="173"/>
      <c r="S2930" s="174"/>
      <c r="T2930" s="173"/>
      <c r="U2930" s="182"/>
      <c r="V2930" s="177">
        <f>IF(U2930=0,0,IF(T2930="MXN",1/HLOOKUP(YEAR(S2930)+(MONTH(S2930)/100),TC!$5:$37,DAY(S2930)+2,FALSE),VLOOKUP(T2930,Equivalencia!$1:$23,((MAX(Equivalencia!$3:$3)-YEAR(S2930))*14)+MONTH(S2930)+2,FALSE)))</f>
        <v>0</v>
      </c>
      <c r="W2930" s="178">
        <f t="shared" si="239"/>
        <v>0</v>
      </c>
      <c r="X2930" s="481">
        <f t="shared" si="235"/>
        <v>0</v>
      </c>
      <c r="Y2930" s="179"/>
      <c r="Z2930" s="466">
        <f t="shared" si="236"/>
        <v>0</v>
      </c>
      <c r="AA2930" s="473">
        <f t="shared" si="237"/>
        <v>0</v>
      </c>
      <c r="AB2930" s="339">
        <f t="shared" si="238"/>
        <v>0</v>
      </c>
    </row>
    <row r="2931" spans="2:28" ht="20.100000000000001" customHeight="1">
      <c r="B2931" s="172"/>
      <c r="C2931" s="174"/>
      <c r="D2931" s="181"/>
      <c r="E2931" s="173"/>
      <c r="F2931" s="176"/>
      <c r="G2931" s="175">
        <f t="shared" si="240"/>
        <v>0</v>
      </c>
      <c r="H2931" s="175">
        <f t="shared" si="233"/>
        <v>0</v>
      </c>
      <c r="I2931" s="177">
        <f>IF(G2931=0,0,IF(E2931="MXN",1/HLOOKUP(YEAR(C2931)+(MONTH(C2931)/100),TC!$5:$37,DAY(C2931)+2,FALSE),VLOOKUP(E2931,Equivalencia!$5:$23,((MAX(Equivalencia!$3:$3)-YEAR(C2931))*14)+MONTH(C2931)+2,FALSE)))</f>
        <v>0</v>
      </c>
      <c r="J2931" s="178">
        <f t="shared" si="241"/>
        <v>0</v>
      </c>
      <c r="K2931" s="462">
        <f>IF(C2931=0,0,VLOOKUP(YEAR(C2931),INPC!$B$4:$O$29,MONTH(C2931)+1))</f>
        <v>0</v>
      </c>
      <c r="L2931" s="462">
        <f>IF(S2931=0,0,VLOOKUP(YEAR(S2931),INPC!$B$4:$O$29,MONTH(S2931)+1))</f>
        <v>0</v>
      </c>
      <c r="M2931" s="463">
        <f t="shared" si="234"/>
        <v>0</v>
      </c>
      <c r="N2931" s="465">
        <f t="shared" si="242"/>
        <v>0</v>
      </c>
      <c r="O2931" s="179"/>
      <c r="P2931" s="180"/>
      <c r="Q2931" s="173"/>
      <c r="R2931" s="173"/>
      <c r="S2931" s="174"/>
      <c r="T2931" s="173"/>
      <c r="U2931" s="182"/>
      <c r="V2931" s="177">
        <f>IF(U2931=0,0,IF(T2931="MXN",1/HLOOKUP(YEAR(S2931)+(MONTH(S2931)/100),TC!$5:$37,DAY(S2931)+2,FALSE),VLOOKUP(T2931,Equivalencia!$1:$23,((MAX(Equivalencia!$3:$3)-YEAR(S2931))*14)+MONTH(S2931)+2,FALSE)))</f>
        <v>0</v>
      </c>
      <c r="W2931" s="178">
        <f t="shared" si="239"/>
        <v>0</v>
      </c>
      <c r="X2931" s="481">
        <f t="shared" si="235"/>
        <v>0</v>
      </c>
      <c r="Y2931" s="179"/>
      <c r="Z2931" s="466">
        <f t="shared" si="236"/>
        <v>0</v>
      </c>
      <c r="AA2931" s="473">
        <f t="shared" si="237"/>
        <v>0</v>
      </c>
      <c r="AB2931" s="339">
        <f t="shared" si="238"/>
        <v>0</v>
      </c>
    </row>
    <row r="2932" spans="2:28" ht="20.100000000000001" customHeight="1">
      <c r="B2932" s="172"/>
      <c r="C2932" s="174"/>
      <c r="D2932" s="181"/>
      <c r="E2932" s="173"/>
      <c r="F2932" s="176"/>
      <c r="G2932" s="175">
        <f t="shared" si="240"/>
        <v>0</v>
      </c>
      <c r="H2932" s="175">
        <f t="shared" si="233"/>
        <v>0</v>
      </c>
      <c r="I2932" s="177">
        <f>IF(G2932=0,0,IF(E2932="MXN",1/HLOOKUP(YEAR(C2932)+(MONTH(C2932)/100),TC!$5:$37,DAY(C2932)+2,FALSE),VLOOKUP(E2932,Equivalencia!$5:$23,((MAX(Equivalencia!$3:$3)-YEAR(C2932))*14)+MONTH(C2932)+2,FALSE)))</f>
        <v>0</v>
      </c>
      <c r="J2932" s="178">
        <f t="shared" si="241"/>
        <v>0</v>
      </c>
      <c r="K2932" s="462">
        <f>IF(C2932=0,0,VLOOKUP(YEAR(C2932),INPC!$B$4:$O$29,MONTH(C2932)+1))</f>
        <v>0</v>
      </c>
      <c r="L2932" s="462">
        <f>IF(S2932=0,0,VLOOKUP(YEAR(S2932),INPC!$B$4:$O$29,MONTH(S2932)+1))</f>
        <v>0</v>
      </c>
      <c r="M2932" s="463">
        <f t="shared" si="234"/>
        <v>0</v>
      </c>
      <c r="N2932" s="465">
        <f t="shared" si="242"/>
        <v>0</v>
      </c>
      <c r="O2932" s="179"/>
      <c r="P2932" s="180"/>
      <c r="Q2932" s="173"/>
      <c r="R2932" s="173"/>
      <c r="S2932" s="174"/>
      <c r="T2932" s="173"/>
      <c r="U2932" s="182"/>
      <c r="V2932" s="177">
        <f>IF(U2932=0,0,IF(T2932="MXN",1/HLOOKUP(YEAR(S2932)+(MONTH(S2932)/100),TC!$5:$37,DAY(S2932)+2,FALSE),VLOOKUP(T2932,Equivalencia!$1:$23,((MAX(Equivalencia!$3:$3)-YEAR(S2932))*14)+MONTH(S2932)+2,FALSE)))</f>
        <v>0</v>
      </c>
      <c r="W2932" s="178">
        <f t="shared" si="239"/>
        <v>0</v>
      </c>
      <c r="X2932" s="481">
        <f t="shared" si="235"/>
        <v>0</v>
      </c>
      <c r="Y2932" s="179"/>
      <c r="Z2932" s="466">
        <f t="shared" si="236"/>
        <v>0</v>
      </c>
      <c r="AA2932" s="473">
        <f t="shared" si="237"/>
        <v>0</v>
      </c>
      <c r="AB2932" s="339">
        <f t="shared" si="238"/>
        <v>0</v>
      </c>
    </row>
    <row r="2933" spans="2:28" ht="20.100000000000001" customHeight="1">
      <c r="B2933" s="172"/>
      <c r="C2933" s="174"/>
      <c r="D2933" s="181"/>
      <c r="E2933" s="173"/>
      <c r="F2933" s="176"/>
      <c r="G2933" s="175">
        <f t="shared" si="240"/>
        <v>0</v>
      </c>
      <c r="H2933" s="175">
        <f t="shared" si="233"/>
        <v>0</v>
      </c>
      <c r="I2933" s="177">
        <f>IF(G2933=0,0,IF(E2933="MXN",1/HLOOKUP(YEAR(C2933)+(MONTH(C2933)/100),TC!$5:$37,DAY(C2933)+2,FALSE),VLOOKUP(E2933,Equivalencia!$5:$23,((MAX(Equivalencia!$3:$3)-YEAR(C2933))*14)+MONTH(C2933)+2,FALSE)))</f>
        <v>0</v>
      </c>
      <c r="J2933" s="178">
        <f t="shared" si="241"/>
        <v>0</v>
      </c>
      <c r="K2933" s="462">
        <f>IF(C2933=0,0,VLOOKUP(YEAR(C2933),INPC!$B$4:$O$29,MONTH(C2933)+1))</f>
        <v>0</v>
      </c>
      <c r="L2933" s="462">
        <f>IF(S2933=0,0,VLOOKUP(YEAR(S2933),INPC!$B$4:$O$29,MONTH(S2933)+1))</f>
        <v>0</v>
      </c>
      <c r="M2933" s="463">
        <f t="shared" si="234"/>
        <v>0</v>
      </c>
      <c r="N2933" s="465">
        <f t="shared" si="242"/>
        <v>0</v>
      </c>
      <c r="O2933" s="179"/>
      <c r="P2933" s="180"/>
      <c r="Q2933" s="173"/>
      <c r="R2933" s="173"/>
      <c r="S2933" s="174"/>
      <c r="T2933" s="173"/>
      <c r="U2933" s="182"/>
      <c r="V2933" s="177">
        <f>IF(U2933=0,0,IF(T2933="MXN",1/HLOOKUP(YEAR(S2933)+(MONTH(S2933)/100),TC!$5:$37,DAY(S2933)+2,FALSE),VLOOKUP(T2933,Equivalencia!$1:$23,((MAX(Equivalencia!$3:$3)-YEAR(S2933))*14)+MONTH(S2933)+2,FALSE)))</f>
        <v>0</v>
      </c>
      <c r="W2933" s="178">
        <f t="shared" si="239"/>
        <v>0</v>
      </c>
      <c r="X2933" s="481">
        <f t="shared" si="235"/>
        <v>0</v>
      </c>
      <c r="Y2933" s="179"/>
      <c r="Z2933" s="466">
        <f t="shared" si="236"/>
        <v>0</v>
      </c>
      <c r="AA2933" s="473">
        <f t="shared" si="237"/>
        <v>0</v>
      </c>
      <c r="AB2933" s="339">
        <f t="shared" si="238"/>
        <v>0</v>
      </c>
    </row>
    <row r="2934" spans="2:28" ht="20.100000000000001" customHeight="1">
      <c r="B2934" s="172"/>
      <c r="C2934" s="174"/>
      <c r="D2934" s="181"/>
      <c r="E2934" s="173"/>
      <c r="F2934" s="176"/>
      <c r="G2934" s="175">
        <f t="shared" si="240"/>
        <v>0</v>
      </c>
      <c r="H2934" s="175">
        <f t="shared" si="233"/>
        <v>0</v>
      </c>
      <c r="I2934" s="177">
        <f>IF(G2934=0,0,IF(E2934="MXN",1/HLOOKUP(YEAR(C2934)+(MONTH(C2934)/100),TC!$5:$37,DAY(C2934)+2,FALSE),VLOOKUP(E2934,Equivalencia!$5:$23,((MAX(Equivalencia!$3:$3)-YEAR(C2934))*14)+MONTH(C2934)+2,FALSE)))</f>
        <v>0</v>
      </c>
      <c r="J2934" s="178">
        <f t="shared" si="241"/>
        <v>0</v>
      </c>
      <c r="K2934" s="462">
        <f>IF(C2934=0,0,VLOOKUP(YEAR(C2934),INPC!$B$4:$O$29,MONTH(C2934)+1))</f>
        <v>0</v>
      </c>
      <c r="L2934" s="462">
        <f>IF(S2934=0,0,VLOOKUP(YEAR(S2934),INPC!$B$4:$O$29,MONTH(S2934)+1))</f>
        <v>0</v>
      </c>
      <c r="M2934" s="463">
        <f t="shared" si="234"/>
        <v>0</v>
      </c>
      <c r="N2934" s="465">
        <f t="shared" si="242"/>
        <v>0</v>
      </c>
      <c r="O2934" s="179"/>
      <c r="P2934" s="180"/>
      <c r="Q2934" s="173"/>
      <c r="R2934" s="173"/>
      <c r="S2934" s="174"/>
      <c r="T2934" s="173"/>
      <c r="U2934" s="182"/>
      <c r="V2934" s="177">
        <f>IF(U2934=0,0,IF(T2934="MXN",1/HLOOKUP(YEAR(S2934)+(MONTH(S2934)/100),TC!$5:$37,DAY(S2934)+2,FALSE),VLOOKUP(T2934,Equivalencia!$1:$23,((MAX(Equivalencia!$3:$3)-YEAR(S2934))*14)+MONTH(S2934)+2,FALSE)))</f>
        <v>0</v>
      </c>
      <c r="W2934" s="178">
        <f t="shared" si="239"/>
        <v>0</v>
      </c>
      <c r="X2934" s="481">
        <f t="shared" si="235"/>
        <v>0</v>
      </c>
      <c r="Y2934" s="179"/>
      <c r="Z2934" s="466">
        <f t="shared" si="236"/>
        <v>0</v>
      </c>
      <c r="AA2934" s="473">
        <f t="shared" si="237"/>
        <v>0</v>
      </c>
      <c r="AB2934" s="339">
        <f t="shared" si="238"/>
        <v>0</v>
      </c>
    </row>
    <row r="2935" spans="2:28" ht="20.100000000000001" customHeight="1">
      <c r="B2935" s="172"/>
      <c r="C2935" s="174"/>
      <c r="D2935" s="181"/>
      <c r="E2935" s="173"/>
      <c r="F2935" s="176"/>
      <c r="G2935" s="175">
        <f t="shared" si="240"/>
        <v>0</v>
      </c>
      <c r="H2935" s="175">
        <f t="shared" si="233"/>
        <v>0</v>
      </c>
      <c r="I2935" s="177">
        <f>IF(G2935=0,0,IF(E2935="MXN",1/HLOOKUP(YEAR(C2935)+(MONTH(C2935)/100),TC!$5:$37,DAY(C2935)+2,FALSE),VLOOKUP(E2935,Equivalencia!$5:$23,((MAX(Equivalencia!$3:$3)-YEAR(C2935))*14)+MONTH(C2935)+2,FALSE)))</f>
        <v>0</v>
      </c>
      <c r="J2935" s="178">
        <f t="shared" si="241"/>
        <v>0</v>
      </c>
      <c r="K2935" s="462">
        <f>IF(C2935=0,0,VLOOKUP(YEAR(C2935),INPC!$B$4:$O$29,MONTH(C2935)+1))</f>
        <v>0</v>
      </c>
      <c r="L2935" s="462">
        <f>IF(S2935=0,0,VLOOKUP(YEAR(S2935),INPC!$B$4:$O$29,MONTH(S2935)+1))</f>
        <v>0</v>
      </c>
      <c r="M2935" s="463">
        <f t="shared" si="234"/>
        <v>0</v>
      </c>
      <c r="N2935" s="465">
        <f t="shared" si="242"/>
        <v>0</v>
      </c>
      <c r="O2935" s="179"/>
      <c r="P2935" s="180"/>
      <c r="Q2935" s="173"/>
      <c r="R2935" s="173"/>
      <c r="S2935" s="174"/>
      <c r="T2935" s="173"/>
      <c r="U2935" s="182"/>
      <c r="V2935" s="177">
        <f>IF(U2935=0,0,IF(T2935="MXN",1/HLOOKUP(YEAR(S2935)+(MONTH(S2935)/100),TC!$5:$37,DAY(S2935)+2,FALSE),VLOOKUP(T2935,Equivalencia!$1:$23,((MAX(Equivalencia!$3:$3)-YEAR(S2935))*14)+MONTH(S2935)+2,FALSE)))</f>
        <v>0</v>
      </c>
      <c r="W2935" s="178">
        <f t="shared" si="239"/>
        <v>0</v>
      </c>
      <c r="X2935" s="481">
        <f t="shared" si="235"/>
        <v>0</v>
      </c>
      <c r="Y2935" s="179"/>
      <c r="Z2935" s="466">
        <f t="shared" si="236"/>
        <v>0</v>
      </c>
      <c r="AA2935" s="473">
        <f t="shared" si="237"/>
        <v>0</v>
      </c>
      <c r="AB2935" s="339">
        <f t="shared" si="238"/>
        <v>0</v>
      </c>
    </row>
    <row r="2936" spans="2:28" ht="20.100000000000001" customHeight="1">
      <c r="B2936" s="172"/>
      <c r="C2936" s="174"/>
      <c r="D2936" s="181"/>
      <c r="E2936" s="173"/>
      <c r="F2936" s="176"/>
      <c r="G2936" s="175">
        <f t="shared" si="240"/>
        <v>0</v>
      </c>
      <c r="H2936" s="175">
        <f t="shared" si="233"/>
        <v>0</v>
      </c>
      <c r="I2936" s="177">
        <f>IF(G2936=0,0,IF(E2936="MXN",1/HLOOKUP(YEAR(C2936)+(MONTH(C2936)/100),TC!$5:$37,DAY(C2936)+2,FALSE),VLOOKUP(E2936,Equivalencia!$5:$23,((MAX(Equivalencia!$3:$3)-YEAR(C2936))*14)+MONTH(C2936)+2,FALSE)))</f>
        <v>0</v>
      </c>
      <c r="J2936" s="178">
        <f t="shared" si="241"/>
        <v>0</v>
      </c>
      <c r="K2936" s="462">
        <f>IF(C2936=0,0,VLOOKUP(YEAR(C2936),INPC!$B$4:$O$29,MONTH(C2936)+1))</f>
        <v>0</v>
      </c>
      <c r="L2936" s="462">
        <f>IF(S2936=0,0,VLOOKUP(YEAR(S2936),INPC!$B$4:$O$29,MONTH(S2936)+1))</f>
        <v>0</v>
      </c>
      <c r="M2936" s="463">
        <f t="shared" si="234"/>
        <v>0</v>
      </c>
      <c r="N2936" s="465">
        <f t="shared" si="242"/>
        <v>0</v>
      </c>
      <c r="O2936" s="179"/>
      <c r="P2936" s="180"/>
      <c r="Q2936" s="173"/>
      <c r="R2936" s="173"/>
      <c r="S2936" s="174"/>
      <c r="T2936" s="173"/>
      <c r="U2936" s="182"/>
      <c r="V2936" s="177">
        <f>IF(U2936=0,0,IF(T2936="MXN",1/HLOOKUP(YEAR(S2936)+(MONTH(S2936)/100),TC!$5:$37,DAY(S2936)+2,FALSE),VLOOKUP(T2936,Equivalencia!$1:$23,((MAX(Equivalencia!$3:$3)-YEAR(S2936))*14)+MONTH(S2936)+2,FALSE)))</f>
        <v>0</v>
      </c>
      <c r="W2936" s="178">
        <f t="shared" si="239"/>
        <v>0</v>
      </c>
      <c r="X2936" s="481">
        <f t="shared" si="235"/>
        <v>0</v>
      </c>
      <c r="Y2936" s="179"/>
      <c r="Z2936" s="466">
        <f t="shared" si="236"/>
        <v>0</v>
      </c>
      <c r="AA2936" s="473">
        <f t="shared" si="237"/>
        <v>0</v>
      </c>
      <c r="AB2936" s="339">
        <f t="shared" si="238"/>
        <v>0</v>
      </c>
    </row>
    <row r="2937" spans="2:28" ht="20.100000000000001" customHeight="1">
      <c r="B2937" s="172"/>
      <c r="C2937" s="174"/>
      <c r="D2937" s="181"/>
      <c r="E2937" s="173"/>
      <c r="F2937" s="176"/>
      <c r="G2937" s="175">
        <f t="shared" si="240"/>
        <v>0</v>
      </c>
      <c r="H2937" s="175">
        <f t="shared" si="233"/>
        <v>0</v>
      </c>
      <c r="I2937" s="177">
        <f>IF(G2937=0,0,IF(E2937="MXN",1/HLOOKUP(YEAR(C2937)+(MONTH(C2937)/100),TC!$5:$37,DAY(C2937)+2,FALSE),VLOOKUP(E2937,Equivalencia!$5:$23,((MAX(Equivalencia!$3:$3)-YEAR(C2937))*14)+MONTH(C2937)+2,FALSE)))</f>
        <v>0</v>
      </c>
      <c r="J2937" s="178">
        <f t="shared" si="241"/>
        <v>0</v>
      </c>
      <c r="K2937" s="462">
        <f>IF(C2937=0,0,VLOOKUP(YEAR(C2937),INPC!$B$4:$O$29,MONTH(C2937)+1))</f>
        <v>0</v>
      </c>
      <c r="L2937" s="462">
        <f>IF(S2937=0,0,VLOOKUP(YEAR(S2937),INPC!$B$4:$O$29,MONTH(S2937)+1))</f>
        <v>0</v>
      </c>
      <c r="M2937" s="463">
        <f t="shared" si="234"/>
        <v>0</v>
      </c>
      <c r="N2937" s="465">
        <f t="shared" si="242"/>
        <v>0</v>
      </c>
      <c r="O2937" s="179"/>
      <c r="P2937" s="180"/>
      <c r="Q2937" s="173"/>
      <c r="R2937" s="173"/>
      <c r="S2937" s="174"/>
      <c r="T2937" s="173"/>
      <c r="U2937" s="182"/>
      <c r="V2937" s="177">
        <f>IF(U2937=0,0,IF(T2937="MXN",1/HLOOKUP(YEAR(S2937)+(MONTH(S2937)/100),TC!$5:$37,DAY(S2937)+2,FALSE),VLOOKUP(T2937,Equivalencia!$1:$23,((MAX(Equivalencia!$3:$3)-YEAR(S2937))*14)+MONTH(S2937)+2,FALSE)))</f>
        <v>0</v>
      </c>
      <c r="W2937" s="178">
        <f t="shared" si="239"/>
        <v>0</v>
      </c>
      <c r="X2937" s="481">
        <f t="shared" si="235"/>
        <v>0</v>
      </c>
      <c r="Y2937" s="179"/>
      <c r="Z2937" s="466">
        <f t="shared" si="236"/>
        <v>0</v>
      </c>
      <c r="AA2937" s="473">
        <f t="shared" si="237"/>
        <v>0</v>
      </c>
      <c r="AB2937" s="339">
        <f t="shared" si="238"/>
        <v>0</v>
      </c>
    </row>
    <row r="2938" spans="2:28" ht="20.100000000000001" customHeight="1">
      <c r="B2938" s="172"/>
      <c r="C2938" s="174"/>
      <c r="D2938" s="181"/>
      <c r="E2938" s="173"/>
      <c r="F2938" s="176"/>
      <c r="G2938" s="175">
        <f t="shared" si="240"/>
        <v>0</v>
      </c>
      <c r="H2938" s="175">
        <f t="shared" si="233"/>
        <v>0</v>
      </c>
      <c r="I2938" s="177">
        <f>IF(G2938=0,0,IF(E2938="MXN",1/HLOOKUP(YEAR(C2938)+(MONTH(C2938)/100),TC!$5:$37,DAY(C2938)+2,FALSE),VLOOKUP(E2938,Equivalencia!$5:$23,((MAX(Equivalencia!$3:$3)-YEAR(C2938))*14)+MONTH(C2938)+2,FALSE)))</f>
        <v>0</v>
      </c>
      <c r="J2938" s="178">
        <f t="shared" si="241"/>
        <v>0</v>
      </c>
      <c r="K2938" s="462">
        <f>IF(C2938=0,0,VLOOKUP(YEAR(C2938),INPC!$B$4:$O$29,MONTH(C2938)+1))</f>
        <v>0</v>
      </c>
      <c r="L2938" s="462">
        <f>IF(S2938=0,0,VLOOKUP(YEAR(S2938),INPC!$B$4:$O$29,MONTH(S2938)+1))</f>
        <v>0</v>
      </c>
      <c r="M2938" s="463">
        <f t="shared" si="234"/>
        <v>0</v>
      </c>
      <c r="N2938" s="465">
        <f t="shared" si="242"/>
        <v>0</v>
      </c>
      <c r="O2938" s="179"/>
      <c r="P2938" s="180"/>
      <c r="Q2938" s="173"/>
      <c r="R2938" s="173"/>
      <c r="S2938" s="174"/>
      <c r="T2938" s="173"/>
      <c r="U2938" s="182"/>
      <c r="V2938" s="177">
        <f>IF(U2938=0,0,IF(T2938="MXN",1/HLOOKUP(YEAR(S2938)+(MONTH(S2938)/100),TC!$5:$37,DAY(S2938)+2,FALSE),VLOOKUP(T2938,Equivalencia!$1:$23,((MAX(Equivalencia!$3:$3)-YEAR(S2938))*14)+MONTH(S2938)+2,FALSE)))</f>
        <v>0</v>
      </c>
      <c r="W2938" s="178">
        <f t="shared" si="239"/>
        <v>0</v>
      </c>
      <c r="X2938" s="481">
        <f t="shared" si="235"/>
        <v>0</v>
      </c>
      <c r="Y2938" s="179"/>
      <c r="Z2938" s="466">
        <f t="shared" si="236"/>
        <v>0</v>
      </c>
      <c r="AA2938" s="473">
        <f t="shared" si="237"/>
        <v>0</v>
      </c>
      <c r="AB2938" s="339">
        <f t="shared" si="238"/>
        <v>0</v>
      </c>
    </row>
    <row r="2939" spans="2:28" ht="20.100000000000001" customHeight="1">
      <c r="B2939" s="172"/>
      <c r="C2939" s="174"/>
      <c r="D2939" s="181"/>
      <c r="E2939" s="173"/>
      <c r="F2939" s="176"/>
      <c r="G2939" s="175">
        <f t="shared" si="240"/>
        <v>0</v>
      </c>
      <c r="H2939" s="175">
        <f t="shared" si="233"/>
        <v>0</v>
      </c>
      <c r="I2939" s="177">
        <f>IF(G2939=0,0,IF(E2939="MXN",1/HLOOKUP(YEAR(C2939)+(MONTH(C2939)/100),TC!$5:$37,DAY(C2939)+2,FALSE),VLOOKUP(E2939,Equivalencia!$5:$23,((MAX(Equivalencia!$3:$3)-YEAR(C2939))*14)+MONTH(C2939)+2,FALSE)))</f>
        <v>0</v>
      </c>
      <c r="J2939" s="178">
        <f t="shared" si="241"/>
        <v>0</v>
      </c>
      <c r="K2939" s="462">
        <f>IF(C2939=0,0,VLOOKUP(YEAR(C2939),INPC!$B$4:$O$29,MONTH(C2939)+1))</f>
        <v>0</v>
      </c>
      <c r="L2939" s="462">
        <f>IF(S2939=0,0,VLOOKUP(YEAR(S2939),INPC!$B$4:$O$29,MONTH(S2939)+1))</f>
        <v>0</v>
      </c>
      <c r="M2939" s="463">
        <f t="shared" si="234"/>
        <v>0</v>
      </c>
      <c r="N2939" s="465">
        <f t="shared" si="242"/>
        <v>0</v>
      </c>
      <c r="O2939" s="179"/>
      <c r="P2939" s="180"/>
      <c r="Q2939" s="173"/>
      <c r="R2939" s="173"/>
      <c r="S2939" s="174"/>
      <c r="T2939" s="173"/>
      <c r="U2939" s="182"/>
      <c r="V2939" s="177">
        <f>IF(U2939=0,0,IF(T2939="MXN",1/HLOOKUP(YEAR(S2939)+(MONTH(S2939)/100),TC!$5:$37,DAY(S2939)+2,FALSE),VLOOKUP(T2939,Equivalencia!$1:$23,((MAX(Equivalencia!$3:$3)-YEAR(S2939))*14)+MONTH(S2939)+2,FALSE)))</f>
        <v>0</v>
      </c>
      <c r="W2939" s="178">
        <f t="shared" si="239"/>
        <v>0</v>
      </c>
      <c r="X2939" s="481">
        <f t="shared" si="235"/>
        <v>0</v>
      </c>
      <c r="Y2939" s="179"/>
      <c r="Z2939" s="466">
        <f t="shared" si="236"/>
        <v>0</v>
      </c>
      <c r="AA2939" s="473">
        <f t="shared" si="237"/>
        <v>0</v>
      </c>
      <c r="AB2939" s="339">
        <f t="shared" si="238"/>
        <v>0</v>
      </c>
    </row>
    <row r="2940" spans="2:28" ht="20.100000000000001" customHeight="1">
      <c r="B2940" s="172"/>
      <c r="C2940" s="174"/>
      <c r="D2940" s="181"/>
      <c r="E2940" s="173"/>
      <c r="F2940" s="176"/>
      <c r="G2940" s="175">
        <f t="shared" si="240"/>
        <v>0</v>
      </c>
      <c r="H2940" s="175">
        <f t="shared" si="233"/>
        <v>0</v>
      </c>
      <c r="I2940" s="177">
        <f>IF(G2940=0,0,IF(E2940="MXN",1/HLOOKUP(YEAR(C2940)+(MONTH(C2940)/100),TC!$5:$37,DAY(C2940)+2,FALSE),VLOOKUP(E2940,Equivalencia!$5:$23,((MAX(Equivalencia!$3:$3)-YEAR(C2940))*14)+MONTH(C2940)+2,FALSE)))</f>
        <v>0</v>
      </c>
      <c r="J2940" s="178">
        <f t="shared" si="241"/>
        <v>0</v>
      </c>
      <c r="K2940" s="462">
        <f>IF(C2940=0,0,VLOOKUP(YEAR(C2940),INPC!$B$4:$O$29,MONTH(C2940)+1))</f>
        <v>0</v>
      </c>
      <c r="L2940" s="462">
        <f>IF(S2940=0,0,VLOOKUP(YEAR(S2940),INPC!$B$4:$O$29,MONTH(S2940)+1))</f>
        <v>0</v>
      </c>
      <c r="M2940" s="463">
        <f t="shared" si="234"/>
        <v>0</v>
      </c>
      <c r="N2940" s="465">
        <f t="shared" si="242"/>
        <v>0</v>
      </c>
      <c r="O2940" s="179"/>
      <c r="P2940" s="180"/>
      <c r="Q2940" s="173"/>
      <c r="R2940" s="173"/>
      <c r="S2940" s="174"/>
      <c r="T2940" s="173"/>
      <c r="U2940" s="182"/>
      <c r="V2940" s="177">
        <f>IF(U2940=0,0,IF(T2940="MXN",1/HLOOKUP(YEAR(S2940)+(MONTH(S2940)/100),TC!$5:$37,DAY(S2940)+2,FALSE),VLOOKUP(T2940,Equivalencia!$1:$23,((MAX(Equivalencia!$3:$3)-YEAR(S2940))*14)+MONTH(S2940)+2,FALSE)))</f>
        <v>0</v>
      </c>
      <c r="W2940" s="178">
        <f t="shared" si="239"/>
        <v>0</v>
      </c>
      <c r="X2940" s="481">
        <f t="shared" si="235"/>
        <v>0</v>
      </c>
      <c r="Y2940" s="179"/>
      <c r="Z2940" s="466">
        <f t="shared" si="236"/>
        <v>0</v>
      </c>
      <c r="AA2940" s="473">
        <f t="shared" si="237"/>
        <v>0</v>
      </c>
      <c r="AB2940" s="339">
        <f t="shared" si="238"/>
        <v>0</v>
      </c>
    </row>
    <row r="2941" spans="2:28" ht="20.100000000000001" customHeight="1">
      <c r="B2941" s="172"/>
      <c r="C2941" s="174"/>
      <c r="D2941" s="181"/>
      <c r="E2941" s="173"/>
      <c r="F2941" s="176"/>
      <c r="G2941" s="175">
        <f t="shared" si="240"/>
        <v>0</v>
      </c>
      <c r="H2941" s="175">
        <f t="shared" si="233"/>
        <v>0</v>
      </c>
      <c r="I2941" s="177">
        <f>IF(G2941=0,0,IF(E2941="MXN",1/HLOOKUP(YEAR(C2941)+(MONTH(C2941)/100),TC!$5:$37,DAY(C2941)+2,FALSE),VLOOKUP(E2941,Equivalencia!$5:$23,((MAX(Equivalencia!$3:$3)-YEAR(C2941))*14)+MONTH(C2941)+2,FALSE)))</f>
        <v>0</v>
      </c>
      <c r="J2941" s="178">
        <f t="shared" si="241"/>
        <v>0</v>
      </c>
      <c r="K2941" s="462">
        <f>IF(C2941=0,0,VLOOKUP(YEAR(C2941),INPC!$B$4:$O$29,MONTH(C2941)+1))</f>
        <v>0</v>
      </c>
      <c r="L2941" s="462">
        <f>IF(S2941=0,0,VLOOKUP(YEAR(S2941),INPC!$B$4:$O$29,MONTH(S2941)+1))</f>
        <v>0</v>
      </c>
      <c r="M2941" s="463">
        <f t="shared" si="234"/>
        <v>0</v>
      </c>
      <c r="N2941" s="465">
        <f t="shared" si="242"/>
        <v>0</v>
      </c>
      <c r="O2941" s="179"/>
      <c r="P2941" s="180"/>
      <c r="Q2941" s="173"/>
      <c r="R2941" s="173"/>
      <c r="S2941" s="174"/>
      <c r="T2941" s="173"/>
      <c r="U2941" s="182"/>
      <c r="V2941" s="177">
        <f>IF(U2941=0,0,IF(T2941="MXN",1/HLOOKUP(YEAR(S2941)+(MONTH(S2941)/100),TC!$5:$37,DAY(S2941)+2,FALSE),VLOOKUP(T2941,Equivalencia!$1:$23,((MAX(Equivalencia!$3:$3)-YEAR(S2941))*14)+MONTH(S2941)+2,FALSE)))</f>
        <v>0</v>
      </c>
      <c r="W2941" s="178">
        <f t="shared" si="239"/>
        <v>0</v>
      </c>
      <c r="X2941" s="481">
        <f t="shared" si="235"/>
        <v>0</v>
      </c>
      <c r="Y2941" s="179"/>
      <c r="Z2941" s="466">
        <f t="shared" si="236"/>
        <v>0</v>
      </c>
      <c r="AA2941" s="473">
        <f t="shared" si="237"/>
        <v>0</v>
      </c>
      <c r="AB2941" s="339">
        <f t="shared" si="238"/>
        <v>0</v>
      </c>
    </row>
    <row r="2942" spans="2:28" ht="20.100000000000001" customHeight="1">
      <c r="B2942" s="172"/>
      <c r="C2942" s="174"/>
      <c r="D2942" s="181"/>
      <c r="E2942" s="173"/>
      <c r="F2942" s="176"/>
      <c r="G2942" s="175">
        <f t="shared" si="240"/>
        <v>0</v>
      </c>
      <c r="H2942" s="175">
        <f t="shared" si="233"/>
        <v>0</v>
      </c>
      <c r="I2942" s="177">
        <f>IF(G2942=0,0,IF(E2942="MXN",1/HLOOKUP(YEAR(C2942)+(MONTH(C2942)/100),TC!$5:$37,DAY(C2942)+2,FALSE),VLOOKUP(E2942,Equivalencia!$5:$23,((MAX(Equivalencia!$3:$3)-YEAR(C2942))*14)+MONTH(C2942)+2,FALSE)))</f>
        <v>0</v>
      </c>
      <c r="J2942" s="178">
        <f t="shared" si="241"/>
        <v>0</v>
      </c>
      <c r="K2942" s="462">
        <f>IF(C2942=0,0,VLOOKUP(YEAR(C2942),INPC!$B$4:$O$29,MONTH(C2942)+1))</f>
        <v>0</v>
      </c>
      <c r="L2942" s="462">
        <f>IF(S2942=0,0,VLOOKUP(YEAR(S2942),INPC!$B$4:$O$29,MONTH(S2942)+1))</f>
        <v>0</v>
      </c>
      <c r="M2942" s="463">
        <f t="shared" si="234"/>
        <v>0</v>
      </c>
      <c r="N2942" s="465">
        <f t="shared" si="242"/>
        <v>0</v>
      </c>
      <c r="O2942" s="179"/>
      <c r="P2942" s="180"/>
      <c r="Q2942" s="173"/>
      <c r="R2942" s="173"/>
      <c r="S2942" s="174"/>
      <c r="T2942" s="173"/>
      <c r="U2942" s="182"/>
      <c r="V2942" s="177">
        <f>IF(U2942=0,0,IF(T2942="MXN",1/HLOOKUP(YEAR(S2942)+(MONTH(S2942)/100),TC!$5:$37,DAY(S2942)+2,FALSE),VLOOKUP(T2942,Equivalencia!$1:$23,((MAX(Equivalencia!$3:$3)-YEAR(S2942))*14)+MONTH(S2942)+2,FALSE)))</f>
        <v>0</v>
      </c>
      <c r="W2942" s="178">
        <f t="shared" si="239"/>
        <v>0</v>
      </c>
      <c r="X2942" s="481">
        <f t="shared" si="235"/>
        <v>0</v>
      </c>
      <c r="Y2942" s="179"/>
      <c r="Z2942" s="466">
        <f t="shared" si="236"/>
        <v>0</v>
      </c>
      <c r="AA2942" s="473">
        <f t="shared" si="237"/>
        <v>0</v>
      </c>
      <c r="AB2942" s="339">
        <f t="shared" si="238"/>
        <v>0</v>
      </c>
    </row>
    <row r="2943" spans="2:28" ht="20.100000000000001" customHeight="1">
      <c r="B2943" s="172"/>
      <c r="C2943" s="174"/>
      <c r="D2943" s="181"/>
      <c r="E2943" s="173"/>
      <c r="F2943" s="176"/>
      <c r="G2943" s="175">
        <f t="shared" si="240"/>
        <v>0</v>
      </c>
      <c r="H2943" s="175">
        <f t="shared" ref="H2943:H3014" si="243">IF(F2943=0,0,(F2943/G2943)*P2943)</f>
        <v>0</v>
      </c>
      <c r="I2943" s="177">
        <f>IF(G2943=0,0,IF(E2943="MXN",1/HLOOKUP(YEAR(C2943)+(MONTH(C2943)/100),TC!$5:$37,DAY(C2943)+2,FALSE),VLOOKUP(E2943,Equivalencia!$5:$23,((MAX(Equivalencia!$3:$3)-YEAR(C2943))*14)+MONTH(C2943)+2,FALSE)))</f>
        <v>0</v>
      </c>
      <c r="J2943" s="178">
        <f t="shared" si="241"/>
        <v>0</v>
      </c>
      <c r="K2943" s="462">
        <f>IF(C2943=0,0,VLOOKUP(YEAR(C2943),INPC!$B$4:$O$29,MONTH(C2943)+1))</f>
        <v>0</v>
      </c>
      <c r="L2943" s="462">
        <f>IF(S2943=0,0,VLOOKUP(YEAR(S2943),INPC!$B$4:$O$29,MONTH(S2943)+1))</f>
        <v>0</v>
      </c>
      <c r="M2943" s="463">
        <f t="shared" ref="M2943:M3014" si="244">IF(H2943=0,0,IF(R2943=$AF$4,1,IF(TRUNC(L2943/K2943,4)&gt;=1,TRUNC(L2943/K2943,4),1)))</f>
        <v>0</v>
      </c>
      <c r="N2943" s="465">
        <f t="shared" si="242"/>
        <v>0</v>
      </c>
      <c r="O2943" s="179"/>
      <c r="P2943" s="180"/>
      <c r="Q2943" s="173"/>
      <c r="R2943" s="173"/>
      <c r="S2943" s="174"/>
      <c r="T2943" s="173"/>
      <c r="U2943" s="182"/>
      <c r="V2943" s="177">
        <f>IF(U2943=0,0,IF(T2943="MXN",1/HLOOKUP(YEAR(S2943)+(MONTH(S2943)/100),TC!$5:$37,DAY(S2943)+2,FALSE),VLOOKUP(T2943,Equivalencia!$1:$23,((MAX(Equivalencia!$3:$3)-YEAR(S2943))*14)+MONTH(S2943)+2,FALSE)))</f>
        <v>0</v>
      </c>
      <c r="W2943" s="178">
        <f t="shared" si="239"/>
        <v>0</v>
      </c>
      <c r="X2943" s="481">
        <f t="shared" ref="X2943:X3014" si="245">+W2943-J2943</f>
        <v>0</v>
      </c>
      <c r="Y2943" s="179"/>
      <c r="Z2943" s="466">
        <f t="shared" ref="Z2943:Z3014" si="246">N2943</f>
        <v>0</v>
      </c>
      <c r="AA2943" s="473">
        <f t="shared" ref="AA2943:AA3014" si="247">+W2943-Z2943</f>
        <v>0</v>
      </c>
      <c r="AB2943" s="339">
        <f t="shared" ref="AB2943:AB3014" si="248">+IF(P2943=0,0,(U2943/F2943)-1)</f>
        <v>0</v>
      </c>
    </row>
    <row r="2944" spans="2:28" ht="20.100000000000001" customHeight="1">
      <c r="B2944" s="172"/>
      <c r="C2944" s="174"/>
      <c r="D2944" s="181"/>
      <c r="E2944" s="173"/>
      <c r="F2944" s="176"/>
      <c r="G2944" s="175">
        <f t="shared" si="240"/>
        <v>0</v>
      </c>
      <c r="H2944" s="175">
        <f t="shared" si="243"/>
        <v>0</v>
      </c>
      <c r="I2944" s="177">
        <f>IF(G2944=0,0,IF(E2944="MXN",1/HLOOKUP(YEAR(C2944)+(MONTH(C2944)/100),TC!$5:$37,DAY(C2944)+2,FALSE),VLOOKUP(E2944,Equivalencia!$5:$23,((MAX(Equivalencia!$3:$3)-YEAR(C2944))*14)+MONTH(C2944)+2,FALSE)))</f>
        <v>0</v>
      </c>
      <c r="J2944" s="178">
        <f t="shared" si="241"/>
        <v>0</v>
      </c>
      <c r="K2944" s="462">
        <f>IF(C2944=0,0,VLOOKUP(YEAR(C2944),INPC!$B$4:$O$29,MONTH(C2944)+1))</f>
        <v>0</v>
      </c>
      <c r="L2944" s="462">
        <f>IF(S2944=0,0,VLOOKUP(YEAR(S2944),INPC!$B$4:$O$29,MONTH(S2944)+1))</f>
        <v>0</v>
      </c>
      <c r="M2944" s="463">
        <f t="shared" si="244"/>
        <v>0</v>
      </c>
      <c r="N2944" s="465">
        <f t="shared" si="242"/>
        <v>0</v>
      </c>
      <c r="O2944" s="179"/>
      <c r="P2944" s="180"/>
      <c r="Q2944" s="173"/>
      <c r="R2944" s="173"/>
      <c r="S2944" s="174"/>
      <c r="T2944" s="173"/>
      <c r="U2944" s="182"/>
      <c r="V2944" s="177">
        <f>IF(U2944=0,0,IF(T2944="MXN",1/HLOOKUP(YEAR(S2944)+(MONTH(S2944)/100),TC!$5:$37,DAY(S2944)+2,FALSE),VLOOKUP(T2944,Equivalencia!$1:$23,((MAX(Equivalencia!$3:$3)-YEAR(S2944))*14)+MONTH(S2944)+2,FALSE)))</f>
        <v>0</v>
      </c>
      <c r="W2944" s="178">
        <f t="shared" ref="W2944:W3014" si="249">+V2944*U2944</f>
        <v>0</v>
      </c>
      <c r="X2944" s="481">
        <f t="shared" si="245"/>
        <v>0</v>
      </c>
      <c r="Y2944" s="179"/>
      <c r="Z2944" s="466">
        <f t="shared" si="246"/>
        <v>0</v>
      </c>
      <c r="AA2944" s="473">
        <f t="shared" si="247"/>
        <v>0</v>
      </c>
      <c r="AB2944" s="339">
        <f t="shared" si="248"/>
        <v>0</v>
      </c>
    </row>
    <row r="2945" spans="2:28" ht="20.100000000000001" customHeight="1">
      <c r="B2945" s="172"/>
      <c r="C2945" s="174"/>
      <c r="D2945" s="181"/>
      <c r="E2945" s="173"/>
      <c r="F2945" s="176"/>
      <c r="G2945" s="175">
        <f t="shared" si="240"/>
        <v>0</v>
      </c>
      <c r="H2945" s="175">
        <f t="shared" si="243"/>
        <v>0</v>
      </c>
      <c r="I2945" s="177">
        <f>IF(G2945=0,0,IF(E2945="MXN",1/HLOOKUP(YEAR(C2945)+(MONTH(C2945)/100),TC!$5:$37,DAY(C2945)+2,FALSE),VLOOKUP(E2945,Equivalencia!$5:$23,((MAX(Equivalencia!$3:$3)-YEAR(C2945))*14)+MONTH(C2945)+2,FALSE)))</f>
        <v>0</v>
      </c>
      <c r="J2945" s="178">
        <f t="shared" si="241"/>
        <v>0</v>
      </c>
      <c r="K2945" s="462">
        <f>IF(C2945=0,0,VLOOKUP(YEAR(C2945),INPC!$B$4:$O$29,MONTH(C2945)+1))</f>
        <v>0</v>
      </c>
      <c r="L2945" s="462">
        <f>IF(S2945=0,0,VLOOKUP(YEAR(S2945),INPC!$B$4:$O$29,MONTH(S2945)+1))</f>
        <v>0</v>
      </c>
      <c r="M2945" s="463">
        <f t="shared" si="244"/>
        <v>0</v>
      </c>
      <c r="N2945" s="465">
        <f t="shared" si="242"/>
        <v>0</v>
      </c>
      <c r="O2945" s="179"/>
      <c r="P2945" s="180"/>
      <c r="Q2945" s="173"/>
      <c r="R2945" s="173"/>
      <c r="S2945" s="174"/>
      <c r="T2945" s="173"/>
      <c r="U2945" s="182"/>
      <c r="V2945" s="177">
        <f>IF(U2945=0,0,IF(T2945="MXN",1/HLOOKUP(YEAR(S2945)+(MONTH(S2945)/100),TC!$5:$37,DAY(S2945)+2,FALSE),VLOOKUP(T2945,Equivalencia!$1:$23,((MAX(Equivalencia!$3:$3)-YEAR(S2945))*14)+MONTH(S2945)+2,FALSE)))</f>
        <v>0</v>
      </c>
      <c r="W2945" s="178">
        <f t="shared" si="249"/>
        <v>0</v>
      </c>
      <c r="X2945" s="481">
        <f t="shared" si="245"/>
        <v>0</v>
      </c>
      <c r="Y2945" s="179"/>
      <c r="Z2945" s="466">
        <f t="shared" si="246"/>
        <v>0</v>
      </c>
      <c r="AA2945" s="473">
        <f t="shared" si="247"/>
        <v>0</v>
      </c>
      <c r="AB2945" s="339">
        <f t="shared" si="248"/>
        <v>0</v>
      </c>
    </row>
    <row r="2946" spans="2:28" ht="20.100000000000001" customHeight="1">
      <c r="B2946" s="172"/>
      <c r="C2946" s="174"/>
      <c r="D2946" s="181"/>
      <c r="E2946" s="173"/>
      <c r="F2946" s="176"/>
      <c r="G2946" s="175">
        <f t="shared" si="240"/>
        <v>0</v>
      </c>
      <c r="H2946" s="175">
        <f t="shared" si="243"/>
        <v>0</v>
      </c>
      <c r="I2946" s="177">
        <f>IF(G2946=0,0,IF(E2946="MXN",1/HLOOKUP(YEAR(C2946)+(MONTH(C2946)/100),TC!$5:$37,DAY(C2946)+2,FALSE),VLOOKUP(E2946,Equivalencia!$5:$23,((MAX(Equivalencia!$3:$3)-YEAR(C2946))*14)+MONTH(C2946)+2,FALSE)))</f>
        <v>0</v>
      </c>
      <c r="J2946" s="178">
        <f t="shared" si="241"/>
        <v>0</v>
      </c>
      <c r="K2946" s="462">
        <f>IF(C2946=0,0,VLOOKUP(YEAR(C2946),INPC!$B$4:$O$29,MONTH(C2946)+1))</f>
        <v>0</v>
      </c>
      <c r="L2946" s="462">
        <f>IF(S2946=0,0,VLOOKUP(YEAR(S2946),INPC!$B$4:$O$29,MONTH(S2946)+1))</f>
        <v>0</v>
      </c>
      <c r="M2946" s="463">
        <f t="shared" si="244"/>
        <v>0</v>
      </c>
      <c r="N2946" s="465">
        <f t="shared" si="242"/>
        <v>0</v>
      </c>
      <c r="O2946" s="179"/>
      <c r="P2946" s="180"/>
      <c r="Q2946" s="173"/>
      <c r="R2946" s="173"/>
      <c r="S2946" s="174"/>
      <c r="T2946" s="173"/>
      <c r="U2946" s="182"/>
      <c r="V2946" s="177">
        <f>IF(U2946=0,0,IF(T2946="MXN",1/HLOOKUP(YEAR(S2946)+(MONTH(S2946)/100),TC!$5:$37,DAY(S2946)+2,FALSE),VLOOKUP(T2946,Equivalencia!$1:$23,((MAX(Equivalencia!$3:$3)-YEAR(S2946))*14)+MONTH(S2946)+2,FALSE)))</f>
        <v>0</v>
      </c>
      <c r="W2946" s="178">
        <f t="shared" si="249"/>
        <v>0</v>
      </c>
      <c r="X2946" s="481">
        <f t="shared" si="245"/>
        <v>0</v>
      </c>
      <c r="Y2946" s="179"/>
      <c r="Z2946" s="466">
        <f t="shared" si="246"/>
        <v>0</v>
      </c>
      <c r="AA2946" s="473">
        <f t="shared" si="247"/>
        <v>0</v>
      </c>
      <c r="AB2946" s="339">
        <f t="shared" si="248"/>
        <v>0</v>
      </c>
    </row>
    <row r="2947" spans="2:28" ht="20.100000000000001" customHeight="1">
      <c r="B2947" s="172"/>
      <c r="C2947" s="174"/>
      <c r="D2947" s="181"/>
      <c r="E2947" s="173"/>
      <c r="F2947" s="176"/>
      <c r="G2947" s="175">
        <f t="shared" ref="G2947:G3014" si="250">+P2947</f>
        <v>0</v>
      </c>
      <c r="H2947" s="175">
        <f t="shared" si="243"/>
        <v>0</v>
      </c>
      <c r="I2947" s="177">
        <f>IF(G2947=0,0,IF(E2947="MXN",1/HLOOKUP(YEAR(C2947)+(MONTH(C2947)/100),TC!$5:$37,DAY(C2947)+2,FALSE),VLOOKUP(E2947,Equivalencia!$5:$23,((MAX(Equivalencia!$3:$3)-YEAR(C2947))*14)+MONTH(C2947)+2,FALSE)))</f>
        <v>0</v>
      </c>
      <c r="J2947" s="178">
        <f t="shared" ref="J2947:J3014" si="251">+H2947*I2947</f>
        <v>0</v>
      </c>
      <c r="K2947" s="462">
        <f>IF(C2947=0,0,VLOOKUP(YEAR(C2947),INPC!$B$4:$O$29,MONTH(C2947)+1))</f>
        <v>0</v>
      </c>
      <c r="L2947" s="462">
        <f>IF(S2947=0,0,VLOOKUP(YEAR(S2947),INPC!$B$4:$O$29,MONTH(S2947)+1))</f>
        <v>0</v>
      </c>
      <c r="M2947" s="463">
        <f t="shared" si="244"/>
        <v>0</v>
      </c>
      <c r="N2947" s="465">
        <f t="shared" ref="N2947:N3014" si="252">+M2947*J2947</f>
        <v>0</v>
      </c>
      <c r="O2947" s="179"/>
      <c r="P2947" s="180"/>
      <c r="Q2947" s="173"/>
      <c r="R2947" s="173"/>
      <c r="S2947" s="174"/>
      <c r="T2947" s="173"/>
      <c r="U2947" s="182"/>
      <c r="V2947" s="177">
        <f>IF(U2947=0,0,IF(T2947="MXN",1/HLOOKUP(YEAR(S2947)+(MONTH(S2947)/100),TC!$5:$37,DAY(S2947)+2,FALSE),VLOOKUP(T2947,Equivalencia!$1:$23,((MAX(Equivalencia!$3:$3)-YEAR(S2947))*14)+MONTH(S2947)+2,FALSE)))</f>
        <v>0</v>
      </c>
      <c r="W2947" s="178">
        <f t="shared" si="249"/>
        <v>0</v>
      </c>
      <c r="X2947" s="481">
        <f t="shared" si="245"/>
        <v>0</v>
      </c>
      <c r="Y2947" s="179"/>
      <c r="Z2947" s="466">
        <f t="shared" si="246"/>
        <v>0</v>
      </c>
      <c r="AA2947" s="473">
        <f t="shared" si="247"/>
        <v>0</v>
      </c>
      <c r="AB2947" s="339">
        <f t="shared" si="248"/>
        <v>0</v>
      </c>
    </row>
    <row r="2948" spans="2:28" ht="20.100000000000001" customHeight="1">
      <c r="B2948" s="172"/>
      <c r="C2948" s="174"/>
      <c r="D2948" s="181"/>
      <c r="E2948" s="173"/>
      <c r="F2948" s="176"/>
      <c r="G2948" s="175">
        <f t="shared" si="250"/>
        <v>0</v>
      </c>
      <c r="H2948" s="175">
        <f t="shared" si="243"/>
        <v>0</v>
      </c>
      <c r="I2948" s="177">
        <f>IF(G2948=0,0,IF(E2948="MXN",1/HLOOKUP(YEAR(C2948)+(MONTH(C2948)/100),TC!$5:$37,DAY(C2948)+2,FALSE),VLOOKUP(E2948,Equivalencia!$5:$23,((MAX(Equivalencia!$3:$3)-YEAR(C2948))*14)+MONTH(C2948)+2,FALSE)))</f>
        <v>0</v>
      </c>
      <c r="J2948" s="178">
        <f t="shared" si="251"/>
        <v>0</v>
      </c>
      <c r="K2948" s="462">
        <f>IF(C2948=0,0,VLOOKUP(YEAR(C2948),INPC!$B$4:$O$29,MONTH(C2948)+1))</f>
        <v>0</v>
      </c>
      <c r="L2948" s="462">
        <f>IF(S2948=0,0,VLOOKUP(YEAR(S2948),INPC!$B$4:$O$29,MONTH(S2948)+1))</f>
        <v>0</v>
      </c>
      <c r="M2948" s="463">
        <f t="shared" si="244"/>
        <v>0</v>
      </c>
      <c r="N2948" s="465">
        <f t="shared" si="252"/>
        <v>0</v>
      </c>
      <c r="O2948" s="179"/>
      <c r="P2948" s="180"/>
      <c r="Q2948" s="173"/>
      <c r="R2948" s="173"/>
      <c r="S2948" s="174"/>
      <c r="T2948" s="173"/>
      <c r="U2948" s="182"/>
      <c r="V2948" s="177">
        <f>IF(U2948=0,0,IF(T2948="MXN",1/HLOOKUP(YEAR(S2948)+(MONTH(S2948)/100),TC!$5:$37,DAY(S2948)+2,FALSE),VLOOKUP(T2948,Equivalencia!$1:$23,((MAX(Equivalencia!$3:$3)-YEAR(S2948))*14)+MONTH(S2948)+2,FALSE)))</f>
        <v>0</v>
      </c>
      <c r="W2948" s="178">
        <f t="shared" si="249"/>
        <v>0</v>
      </c>
      <c r="X2948" s="481">
        <f t="shared" si="245"/>
        <v>0</v>
      </c>
      <c r="Y2948" s="179"/>
      <c r="Z2948" s="466">
        <f t="shared" si="246"/>
        <v>0</v>
      </c>
      <c r="AA2948" s="473">
        <f t="shared" si="247"/>
        <v>0</v>
      </c>
      <c r="AB2948" s="339">
        <f t="shared" si="248"/>
        <v>0</v>
      </c>
    </row>
    <row r="2949" spans="2:28" ht="20.100000000000001" customHeight="1">
      <c r="B2949" s="172"/>
      <c r="C2949" s="174"/>
      <c r="D2949" s="181"/>
      <c r="E2949" s="173"/>
      <c r="F2949" s="176"/>
      <c r="G2949" s="175">
        <f t="shared" si="250"/>
        <v>0</v>
      </c>
      <c r="H2949" s="175">
        <f t="shared" si="243"/>
        <v>0</v>
      </c>
      <c r="I2949" s="177">
        <f>IF(G2949=0,0,IF(E2949="MXN",1/HLOOKUP(YEAR(C2949)+(MONTH(C2949)/100),TC!$5:$37,DAY(C2949)+2,FALSE),VLOOKUP(E2949,Equivalencia!$5:$23,((MAX(Equivalencia!$3:$3)-YEAR(C2949))*14)+MONTH(C2949)+2,FALSE)))</f>
        <v>0</v>
      </c>
      <c r="J2949" s="178">
        <f t="shared" si="251"/>
        <v>0</v>
      </c>
      <c r="K2949" s="462">
        <f>IF(C2949=0,0,VLOOKUP(YEAR(C2949),INPC!$B$4:$O$29,MONTH(C2949)+1))</f>
        <v>0</v>
      </c>
      <c r="L2949" s="462">
        <f>IF(S2949=0,0,VLOOKUP(YEAR(S2949),INPC!$B$4:$O$29,MONTH(S2949)+1))</f>
        <v>0</v>
      </c>
      <c r="M2949" s="463">
        <f t="shared" si="244"/>
        <v>0</v>
      </c>
      <c r="N2949" s="465">
        <f t="shared" si="252"/>
        <v>0</v>
      </c>
      <c r="O2949" s="179"/>
      <c r="P2949" s="180"/>
      <c r="Q2949" s="173"/>
      <c r="R2949" s="173"/>
      <c r="S2949" s="174"/>
      <c r="T2949" s="173"/>
      <c r="U2949" s="182"/>
      <c r="V2949" s="177">
        <f>IF(U2949=0,0,IF(T2949="MXN",1/HLOOKUP(YEAR(S2949)+(MONTH(S2949)/100),TC!$5:$37,DAY(S2949)+2,FALSE),VLOOKUP(T2949,Equivalencia!$1:$23,((MAX(Equivalencia!$3:$3)-YEAR(S2949))*14)+MONTH(S2949)+2,FALSE)))</f>
        <v>0</v>
      </c>
      <c r="W2949" s="178">
        <f t="shared" si="249"/>
        <v>0</v>
      </c>
      <c r="X2949" s="481">
        <f t="shared" si="245"/>
        <v>0</v>
      </c>
      <c r="Y2949" s="179"/>
      <c r="Z2949" s="466">
        <f t="shared" si="246"/>
        <v>0</v>
      </c>
      <c r="AA2949" s="473">
        <f t="shared" si="247"/>
        <v>0</v>
      </c>
      <c r="AB2949" s="339">
        <f t="shared" si="248"/>
        <v>0</v>
      </c>
    </row>
    <row r="2950" spans="2:28" ht="20.100000000000001" customHeight="1">
      <c r="B2950" s="172"/>
      <c r="C2950" s="174"/>
      <c r="D2950" s="181"/>
      <c r="E2950" s="173"/>
      <c r="F2950" s="176"/>
      <c r="G2950" s="175">
        <f t="shared" si="250"/>
        <v>0</v>
      </c>
      <c r="H2950" s="175">
        <f t="shared" si="243"/>
        <v>0</v>
      </c>
      <c r="I2950" s="177">
        <f>IF(G2950=0,0,IF(E2950="MXN",1/HLOOKUP(YEAR(C2950)+(MONTH(C2950)/100),TC!$5:$37,DAY(C2950)+2,FALSE),VLOOKUP(E2950,Equivalencia!$5:$23,((MAX(Equivalencia!$3:$3)-YEAR(C2950))*14)+MONTH(C2950)+2,FALSE)))</f>
        <v>0</v>
      </c>
      <c r="J2950" s="178">
        <f t="shared" si="251"/>
        <v>0</v>
      </c>
      <c r="K2950" s="462">
        <f>IF(C2950=0,0,VLOOKUP(YEAR(C2950),INPC!$B$4:$O$29,MONTH(C2950)+1))</f>
        <v>0</v>
      </c>
      <c r="L2950" s="462">
        <f>IF(S2950=0,0,VLOOKUP(YEAR(S2950),INPC!$B$4:$O$29,MONTH(S2950)+1))</f>
        <v>0</v>
      </c>
      <c r="M2950" s="463">
        <f t="shared" si="244"/>
        <v>0</v>
      </c>
      <c r="N2950" s="465">
        <f t="shared" si="252"/>
        <v>0</v>
      </c>
      <c r="O2950" s="179"/>
      <c r="P2950" s="180"/>
      <c r="Q2950" s="173"/>
      <c r="R2950" s="173"/>
      <c r="S2950" s="174"/>
      <c r="T2950" s="173"/>
      <c r="U2950" s="182"/>
      <c r="V2950" s="177">
        <f>IF(U2950=0,0,IF(T2950="MXN",1/HLOOKUP(YEAR(S2950)+(MONTH(S2950)/100),TC!$5:$37,DAY(S2950)+2,FALSE),VLOOKUP(T2950,Equivalencia!$1:$23,((MAX(Equivalencia!$3:$3)-YEAR(S2950))*14)+MONTH(S2950)+2,FALSE)))</f>
        <v>0</v>
      </c>
      <c r="W2950" s="178">
        <f t="shared" si="249"/>
        <v>0</v>
      </c>
      <c r="X2950" s="481">
        <f t="shared" si="245"/>
        <v>0</v>
      </c>
      <c r="Y2950" s="179"/>
      <c r="Z2950" s="466">
        <f t="shared" si="246"/>
        <v>0</v>
      </c>
      <c r="AA2950" s="473">
        <f t="shared" si="247"/>
        <v>0</v>
      </c>
      <c r="AB2950" s="339">
        <f t="shared" si="248"/>
        <v>0</v>
      </c>
    </row>
    <row r="2951" spans="2:28" ht="20.100000000000001" customHeight="1">
      <c r="B2951" s="172"/>
      <c r="C2951" s="174"/>
      <c r="D2951" s="181"/>
      <c r="E2951" s="173"/>
      <c r="F2951" s="176"/>
      <c r="G2951" s="175">
        <f t="shared" si="250"/>
        <v>0</v>
      </c>
      <c r="H2951" s="175">
        <f t="shared" si="243"/>
        <v>0</v>
      </c>
      <c r="I2951" s="177">
        <f>IF(G2951=0,0,IF(E2951="MXN",1/HLOOKUP(YEAR(C2951)+(MONTH(C2951)/100),TC!$5:$37,DAY(C2951)+2,FALSE),VLOOKUP(E2951,Equivalencia!$5:$23,((MAX(Equivalencia!$3:$3)-YEAR(C2951))*14)+MONTH(C2951)+2,FALSE)))</f>
        <v>0</v>
      </c>
      <c r="J2951" s="178">
        <f t="shared" si="251"/>
        <v>0</v>
      </c>
      <c r="K2951" s="462">
        <f>IF(C2951=0,0,VLOOKUP(YEAR(C2951),INPC!$B$4:$O$29,MONTH(C2951)+1))</f>
        <v>0</v>
      </c>
      <c r="L2951" s="462">
        <f>IF(S2951=0,0,VLOOKUP(YEAR(S2951),INPC!$B$4:$O$29,MONTH(S2951)+1))</f>
        <v>0</v>
      </c>
      <c r="M2951" s="463">
        <f t="shared" si="244"/>
        <v>0</v>
      </c>
      <c r="N2951" s="465">
        <f t="shared" si="252"/>
        <v>0</v>
      </c>
      <c r="O2951" s="179"/>
      <c r="P2951" s="180"/>
      <c r="Q2951" s="173"/>
      <c r="R2951" s="173"/>
      <c r="S2951" s="174"/>
      <c r="T2951" s="173"/>
      <c r="U2951" s="182"/>
      <c r="V2951" s="177">
        <f>IF(U2951=0,0,IF(T2951="MXN",1/HLOOKUP(YEAR(S2951)+(MONTH(S2951)/100),TC!$5:$37,DAY(S2951)+2,FALSE),VLOOKUP(T2951,Equivalencia!$1:$23,((MAX(Equivalencia!$3:$3)-YEAR(S2951))*14)+MONTH(S2951)+2,FALSE)))</f>
        <v>0</v>
      </c>
      <c r="W2951" s="178">
        <f t="shared" si="249"/>
        <v>0</v>
      </c>
      <c r="X2951" s="481">
        <f t="shared" si="245"/>
        <v>0</v>
      </c>
      <c r="Y2951" s="179"/>
      <c r="Z2951" s="466">
        <f t="shared" si="246"/>
        <v>0</v>
      </c>
      <c r="AA2951" s="473">
        <f t="shared" si="247"/>
        <v>0</v>
      </c>
      <c r="AB2951" s="339">
        <f t="shared" si="248"/>
        <v>0</v>
      </c>
    </row>
    <row r="2952" spans="2:28" ht="20.100000000000001" customHeight="1">
      <c r="B2952" s="172"/>
      <c r="C2952" s="174"/>
      <c r="D2952" s="181"/>
      <c r="E2952" s="173"/>
      <c r="F2952" s="176"/>
      <c r="G2952" s="175">
        <f t="shared" si="250"/>
        <v>0</v>
      </c>
      <c r="H2952" s="175">
        <f t="shared" si="243"/>
        <v>0</v>
      </c>
      <c r="I2952" s="177">
        <f>IF(G2952=0,0,IF(E2952="MXN",1/HLOOKUP(YEAR(C2952)+(MONTH(C2952)/100),TC!$5:$37,DAY(C2952)+2,FALSE),VLOOKUP(E2952,Equivalencia!$5:$23,((MAX(Equivalencia!$3:$3)-YEAR(C2952))*14)+MONTH(C2952)+2,FALSE)))</f>
        <v>0</v>
      </c>
      <c r="J2952" s="178">
        <f t="shared" si="251"/>
        <v>0</v>
      </c>
      <c r="K2952" s="462">
        <f>IF(C2952=0,0,VLOOKUP(YEAR(C2952),INPC!$B$4:$O$29,MONTH(C2952)+1))</f>
        <v>0</v>
      </c>
      <c r="L2952" s="462">
        <f>IF(S2952=0,0,VLOOKUP(YEAR(S2952),INPC!$B$4:$O$29,MONTH(S2952)+1))</f>
        <v>0</v>
      </c>
      <c r="M2952" s="463">
        <f t="shared" si="244"/>
        <v>0</v>
      </c>
      <c r="N2952" s="465">
        <f t="shared" si="252"/>
        <v>0</v>
      </c>
      <c r="O2952" s="179"/>
      <c r="P2952" s="180"/>
      <c r="Q2952" s="173"/>
      <c r="R2952" s="173"/>
      <c r="S2952" s="174"/>
      <c r="T2952" s="173"/>
      <c r="U2952" s="182"/>
      <c r="V2952" s="177">
        <f>IF(U2952=0,0,IF(T2952="MXN",1/HLOOKUP(YEAR(S2952)+(MONTH(S2952)/100),TC!$5:$37,DAY(S2952)+2,FALSE),VLOOKUP(T2952,Equivalencia!$1:$23,((MAX(Equivalencia!$3:$3)-YEAR(S2952))*14)+MONTH(S2952)+2,FALSE)))</f>
        <v>0</v>
      </c>
      <c r="W2952" s="178">
        <f t="shared" si="249"/>
        <v>0</v>
      </c>
      <c r="X2952" s="481">
        <f t="shared" si="245"/>
        <v>0</v>
      </c>
      <c r="Y2952" s="179"/>
      <c r="Z2952" s="466">
        <f t="shared" si="246"/>
        <v>0</v>
      </c>
      <c r="AA2952" s="473">
        <f t="shared" si="247"/>
        <v>0</v>
      </c>
      <c r="AB2952" s="339">
        <f t="shared" si="248"/>
        <v>0</v>
      </c>
    </row>
    <row r="2953" spans="2:28" ht="20.100000000000001" customHeight="1">
      <c r="B2953" s="172"/>
      <c r="C2953" s="174"/>
      <c r="D2953" s="181"/>
      <c r="E2953" s="173"/>
      <c r="F2953" s="176"/>
      <c r="G2953" s="175">
        <f t="shared" si="250"/>
        <v>0</v>
      </c>
      <c r="H2953" s="175">
        <f t="shared" si="243"/>
        <v>0</v>
      </c>
      <c r="I2953" s="177">
        <f>IF(G2953=0,0,IF(E2953="MXN",1/HLOOKUP(YEAR(C2953)+(MONTH(C2953)/100),TC!$5:$37,DAY(C2953)+2,FALSE),VLOOKUP(E2953,Equivalencia!$5:$23,((MAX(Equivalencia!$3:$3)-YEAR(C2953))*14)+MONTH(C2953)+2,FALSE)))</f>
        <v>0</v>
      </c>
      <c r="J2953" s="178">
        <f t="shared" si="251"/>
        <v>0</v>
      </c>
      <c r="K2953" s="462">
        <f>IF(C2953=0,0,VLOOKUP(YEAR(C2953),INPC!$B$4:$O$29,MONTH(C2953)+1))</f>
        <v>0</v>
      </c>
      <c r="L2953" s="462">
        <f>IF(S2953=0,0,VLOOKUP(YEAR(S2953),INPC!$B$4:$O$29,MONTH(S2953)+1))</f>
        <v>0</v>
      </c>
      <c r="M2953" s="463">
        <f t="shared" si="244"/>
        <v>0</v>
      </c>
      <c r="N2953" s="465">
        <f t="shared" si="252"/>
        <v>0</v>
      </c>
      <c r="O2953" s="179"/>
      <c r="P2953" s="180"/>
      <c r="Q2953" s="173"/>
      <c r="R2953" s="173"/>
      <c r="S2953" s="174"/>
      <c r="T2953" s="173"/>
      <c r="U2953" s="182"/>
      <c r="V2953" s="177">
        <f>IF(U2953=0,0,IF(T2953="MXN",1/HLOOKUP(YEAR(S2953)+(MONTH(S2953)/100),TC!$5:$37,DAY(S2953)+2,FALSE),VLOOKUP(T2953,Equivalencia!$1:$23,((MAX(Equivalencia!$3:$3)-YEAR(S2953))*14)+MONTH(S2953)+2,FALSE)))</f>
        <v>0</v>
      </c>
      <c r="W2953" s="178">
        <f t="shared" si="249"/>
        <v>0</v>
      </c>
      <c r="X2953" s="481">
        <f t="shared" si="245"/>
        <v>0</v>
      </c>
      <c r="Y2953" s="179"/>
      <c r="Z2953" s="466">
        <f t="shared" si="246"/>
        <v>0</v>
      </c>
      <c r="AA2953" s="473">
        <f t="shared" si="247"/>
        <v>0</v>
      </c>
      <c r="AB2953" s="339">
        <f t="shared" si="248"/>
        <v>0</v>
      </c>
    </row>
    <row r="2954" spans="2:28" ht="20.100000000000001" customHeight="1">
      <c r="B2954" s="172"/>
      <c r="C2954" s="174"/>
      <c r="D2954" s="181"/>
      <c r="E2954" s="173"/>
      <c r="F2954" s="176"/>
      <c r="G2954" s="175">
        <f t="shared" si="250"/>
        <v>0</v>
      </c>
      <c r="H2954" s="175">
        <f t="shared" si="243"/>
        <v>0</v>
      </c>
      <c r="I2954" s="177">
        <f>IF(G2954=0,0,IF(E2954="MXN",1/HLOOKUP(YEAR(C2954)+(MONTH(C2954)/100),TC!$5:$37,DAY(C2954)+2,FALSE),VLOOKUP(E2954,Equivalencia!$5:$23,((MAX(Equivalencia!$3:$3)-YEAR(C2954))*14)+MONTH(C2954)+2,FALSE)))</f>
        <v>0</v>
      </c>
      <c r="J2954" s="178">
        <f t="shared" si="251"/>
        <v>0</v>
      </c>
      <c r="K2954" s="462">
        <f>IF(C2954=0,0,VLOOKUP(YEAR(C2954),INPC!$B$4:$O$29,MONTH(C2954)+1))</f>
        <v>0</v>
      </c>
      <c r="L2954" s="462">
        <f>IF(S2954=0,0,VLOOKUP(YEAR(S2954),INPC!$B$4:$O$29,MONTH(S2954)+1))</f>
        <v>0</v>
      </c>
      <c r="M2954" s="463">
        <f t="shared" si="244"/>
        <v>0</v>
      </c>
      <c r="N2954" s="465">
        <f t="shared" si="252"/>
        <v>0</v>
      </c>
      <c r="O2954" s="179"/>
      <c r="P2954" s="180"/>
      <c r="Q2954" s="173"/>
      <c r="R2954" s="173"/>
      <c r="S2954" s="174"/>
      <c r="T2954" s="173"/>
      <c r="U2954" s="182"/>
      <c r="V2954" s="177">
        <f>IF(U2954=0,0,IF(T2954="MXN",1/HLOOKUP(YEAR(S2954)+(MONTH(S2954)/100),TC!$5:$37,DAY(S2954)+2,FALSE),VLOOKUP(T2954,Equivalencia!$1:$23,((MAX(Equivalencia!$3:$3)-YEAR(S2954))*14)+MONTH(S2954)+2,FALSE)))</f>
        <v>0</v>
      </c>
      <c r="W2954" s="178">
        <f t="shared" si="249"/>
        <v>0</v>
      </c>
      <c r="X2954" s="481">
        <f t="shared" si="245"/>
        <v>0</v>
      </c>
      <c r="Y2954" s="179"/>
      <c r="Z2954" s="466">
        <f t="shared" si="246"/>
        <v>0</v>
      </c>
      <c r="AA2954" s="473">
        <f t="shared" si="247"/>
        <v>0</v>
      </c>
      <c r="AB2954" s="339">
        <f t="shared" si="248"/>
        <v>0</v>
      </c>
    </row>
    <row r="2955" spans="2:28" ht="20.100000000000001" customHeight="1">
      <c r="B2955" s="172"/>
      <c r="C2955" s="174"/>
      <c r="D2955" s="181"/>
      <c r="E2955" s="173"/>
      <c r="F2955" s="176"/>
      <c r="G2955" s="175">
        <f t="shared" si="250"/>
        <v>0</v>
      </c>
      <c r="H2955" s="175">
        <f t="shared" si="243"/>
        <v>0</v>
      </c>
      <c r="I2955" s="177">
        <f>IF(G2955=0,0,IF(E2955="MXN",1/HLOOKUP(YEAR(C2955)+(MONTH(C2955)/100),TC!$5:$37,DAY(C2955)+2,FALSE),VLOOKUP(E2955,Equivalencia!$5:$23,((MAX(Equivalencia!$3:$3)-YEAR(C2955))*14)+MONTH(C2955)+2,FALSE)))</f>
        <v>0</v>
      </c>
      <c r="J2955" s="178">
        <f t="shared" si="251"/>
        <v>0</v>
      </c>
      <c r="K2955" s="462">
        <f>IF(C2955=0,0,VLOOKUP(YEAR(C2955),INPC!$B$4:$O$29,MONTH(C2955)+1))</f>
        <v>0</v>
      </c>
      <c r="L2955" s="462">
        <f>IF(S2955=0,0,VLOOKUP(YEAR(S2955),INPC!$B$4:$O$29,MONTH(S2955)+1))</f>
        <v>0</v>
      </c>
      <c r="M2955" s="463">
        <f t="shared" si="244"/>
        <v>0</v>
      </c>
      <c r="N2955" s="465">
        <f t="shared" si="252"/>
        <v>0</v>
      </c>
      <c r="O2955" s="179"/>
      <c r="P2955" s="180"/>
      <c r="Q2955" s="173"/>
      <c r="R2955" s="173"/>
      <c r="S2955" s="174"/>
      <c r="T2955" s="173"/>
      <c r="U2955" s="182"/>
      <c r="V2955" s="177">
        <f>IF(U2955=0,0,IF(T2955="MXN",1/HLOOKUP(YEAR(S2955)+(MONTH(S2955)/100),TC!$5:$37,DAY(S2955)+2,FALSE),VLOOKUP(T2955,Equivalencia!$1:$23,((MAX(Equivalencia!$3:$3)-YEAR(S2955))*14)+MONTH(S2955)+2,FALSE)))</f>
        <v>0</v>
      </c>
      <c r="W2955" s="178">
        <f t="shared" si="249"/>
        <v>0</v>
      </c>
      <c r="X2955" s="481">
        <f t="shared" si="245"/>
        <v>0</v>
      </c>
      <c r="Y2955" s="179"/>
      <c r="Z2955" s="466">
        <f t="shared" si="246"/>
        <v>0</v>
      </c>
      <c r="AA2955" s="473">
        <f t="shared" si="247"/>
        <v>0</v>
      </c>
      <c r="AB2955" s="339">
        <f t="shared" si="248"/>
        <v>0</v>
      </c>
    </row>
    <row r="2956" spans="2:28" ht="20.100000000000001" customHeight="1">
      <c r="B2956" s="172"/>
      <c r="C2956" s="174"/>
      <c r="D2956" s="181"/>
      <c r="E2956" s="173"/>
      <c r="F2956" s="176"/>
      <c r="G2956" s="175">
        <f t="shared" si="250"/>
        <v>0</v>
      </c>
      <c r="H2956" s="175">
        <f t="shared" si="243"/>
        <v>0</v>
      </c>
      <c r="I2956" s="177">
        <f>IF(G2956=0,0,IF(E2956="MXN",1/HLOOKUP(YEAR(C2956)+(MONTH(C2956)/100),TC!$5:$37,DAY(C2956)+2,FALSE),VLOOKUP(E2956,Equivalencia!$5:$23,((MAX(Equivalencia!$3:$3)-YEAR(C2956))*14)+MONTH(C2956)+2,FALSE)))</f>
        <v>0</v>
      </c>
      <c r="J2956" s="178">
        <f t="shared" si="251"/>
        <v>0</v>
      </c>
      <c r="K2956" s="462">
        <f>IF(C2956=0,0,VLOOKUP(YEAR(C2956),INPC!$B$4:$O$29,MONTH(C2956)+1))</f>
        <v>0</v>
      </c>
      <c r="L2956" s="462">
        <f>IF(S2956=0,0,VLOOKUP(YEAR(S2956),INPC!$B$4:$O$29,MONTH(S2956)+1))</f>
        <v>0</v>
      </c>
      <c r="M2956" s="463">
        <f t="shared" si="244"/>
        <v>0</v>
      </c>
      <c r="N2956" s="465">
        <f t="shared" si="252"/>
        <v>0</v>
      </c>
      <c r="O2956" s="179"/>
      <c r="P2956" s="180"/>
      <c r="Q2956" s="173"/>
      <c r="R2956" s="173"/>
      <c r="S2956" s="174"/>
      <c r="T2956" s="173"/>
      <c r="U2956" s="182"/>
      <c r="V2956" s="177">
        <f>IF(U2956=0,0,IF(T2956="MXN",1/HLOOKUP(YEAR(S2956)+(MONTH(S2956)/100),TC!$5:$37,DAY(S2956)+2,FALSE),VLOOKUP(T2956,Equivalencia!$1:$23,((MAX(Equivalencia!$3:$3)-YEAR(S2956))*14)+MONTH(S2956)+2,FALSE)))</f>
        <v>0</v>
      </c>
      <c r="W2956" s="178">
        <f t="shared" si="249"/>
        <v>0</v>
      </c>
      <c r="X2956" s="481">
        <f t="shared" si="245"/>
        <v>0</v>
      </c>
      <c r="Y2956" s="179"/>
      <c r="Z2956" s="466">
        <f t="shared" si="246"/>
        <v>0</v>
      </c>
      <c r="AA2956" s="473">
        <f t="shared" si="247"/>
        <v>0</v>
      </c>
      <c r="AB2956" s="339">
        <f t="shared" si="248"/>
        <v>0</v>
      </c>
    </row>
    <row r="2957" spans="2:28" ht="20.100000000000001" customHeight="1">
      <c r="B2957" s="172"/>
      <c r="C2957" s="174"/>
      <c r="D2957" s="181"/>
      <c r="E2957" s="173"/>
      <c r="F2957" s="176"/>
      <c r="G2957" s="175">
        <f t="shared" si="250"/>
        <v>0</v>
      </c>
      <c r="H2957" s="175">
        <f t="shared" si="243"/>
        <v>0</v>
      </c>
      <c r="I2957" s="177">
        <f>IF(G2957=0,0,IF(E2957="MXN",1/HLOOKUP(YEAR(C2957)+(MONTH(C2957)/100),TC!$5:$37,DAY(C2957)+2,FALSE),VLOOKUP(E2957,Equivalencia!$5:$23,((MAX(Equivalencia!$3:$3)-YEAR(C2957))*14)+MONTH(C2957)+2,FALSE)))</f>
        <v>0</v>
      </c>
      <c r="J2957" s="178">
        <f t="shared" si="251"/>
        <v>0</v>
      </c>
      <c r="K2957" s="462">
        <f>IF(C2957=0,0,VLOOKUP(YEAR(C2957),INPC!$B$4:$O$29,MONTH(C2957)+1))</f>
        <v>0</v>
      </c>
      <c r="L2957" s="462">
        <f>IF(S2957=0,0,VLOOKUP(YEAR(S2957),INPC!$B$4:$O$29,MONTH(S2957)+1))</f>
        <v>0</v>
      </c>
      <c r="M2957" s="463">
        <f t="shared" si="244"/>
        <v>0</v>
      </c>
      <c r="N2957" s="465">
        <f t="shared" si="252"/>
        <v>0</v>
      </c>
      <c r="O2957" s="179"/>
      <c r="P2957" s="180"/>
      <c r="Q2957" s="173"/>
      <c r="R2957" s="173"/>
      <c r="S2957" s="174"/>
      <c r="T2957" s="173"/>
      <c r="U2957" s="182"/>
      <c r="V2957" s="177">
        <f>IF(U2957=0,0,IF(T2957="MXN",1/HLOOKUP(YEAR(S2957)+(MONTH(S2957)/100),TC!$5:$37,DAY(S2957)+2,FALSE),VLOOKUP(T2957,Equivalencia!$1:$23,((MAX(Equivalencia!$3:$3)-YEAR(S2957))*14)+MONTH(S2957)+2,FALSE)))</f>
        <v>0</v>
      </c>
      <c r="W2957" s="178">
        <f t="shared" si="249"/>
        <v>0</v>
      </c>
      <c r="X2957" s="481">
        <f t="shared" si="245"/>
        <v>0</v>
      </c>
      <c r="Y2957" s="179"/>
      <c r="Z2957" s="466">
        <f t="shared" si="246"/>
        <v>0</v>
      </c>
      <c r="AA2957" s="473">
        <f t="shared" si="247"/>
        <v>0</v>
      </c>
      <c r="AB2957" s="339">
        <f t="shared" si="248"/>
        <v>0</v>
      </c>
    </row>
    <row r="2958" spans="2:28" ht="20.100000000000001" customHeight="1">
      <c r="B2958" s="172"/>
      <c r="C2958" s="174"/>
      <c r="D2958" s="181"/>
      <c r="E2958" s="173"/>
      <c r="F2958" s="176"/>
      <c r="G2958" s="175">
        <f t="shared" si="250"/>
        <v>0</v>
      </c>
      <c r="H2958" s="175">
        <f t="shared" si="243"/>
        <v>0</v>
      </c>
      <c r="I2958" s="177">
        <f>IF(G2958=0,0,IF(E2958="MXN",1/HLOOKUP(YEAR(C2958)+(MONTH(C2958)/100),TC!$5:$37,DAY(C2958)+2,FALSE),VLOOKUP(E2958,Equivalencia!$5:$23,((MAX(Equivalencia!$3:$3)-YEAR(C2958))*14)+MONTH(C2958)+2,FALSE)))</f>
        <v>0</v>
      </c>
      <c r="J2958" s="178">
        <f t="shared" si="251"/>
        <v>0</v>
      </c>
      <c r="K2958" s="462">
        <f>IF(C2958=0,0,VLOOKUP(YEAR(C2958),INPC!$B$4:$O$29,MONTH(C2958)+1))</f>
        <v>0</v>
      </c>
      <c r="L2958" s="462">
        <f>IF(S2958=0,0,VLOOKUP(YEAR(S2958),INPC!$B$4:$O$29,MONTH(S2958)+1))</f>
        <v>0</v>
      </c>
      <c r="M2958" s="463">
        <f t="shared" si="244"/>
        <v>0</v>
      </c>
      <c r="N2958" s="465">
        <f t="shared" si="252"/>
        <v>0</v>
      </c>
      <c r="O2958" s="179"/>
      <c r="P2958" s="180"/>
      <c r="Q2958" s="173"/>
      <c r="R2958" s="173"/>
      <c r="S2958" s="174"/>
      <c r="T2958" s="173"/>
      <c r="U2958" s="182"/>
      <c r="V2958" s="177">
        <f>IF(U2958=0,0,IF(T2958="MXN",1/HLOOKUP(YEAR(S2958)+(MONTH(S2958)/100),TC!$5:$37,DAY(S2958)+2,FALSE),VLOOKUP(T2958,Equivalencia!$1:$23,((MAX(Equivalencia!$3:$3)-YEAR(S2958))*14)+MONTH(S2958)+2,FALSE)))</f>
        <v>0</v>
      </c>
      <c r="W2958" s="178">
        <f t="shared" si="249"/>
        <v>0</v>
      </c>
      <c r="X2958" s="481">
        <f t="shared" si="245"/>
        <v>0</v>
      </c>
      <c r="Y2958" s="179"/>
      <c r="Z2958" s="466">
        <f t="shared" si="246"/>
        <v>0</v>
      </c>
      <c r="AA2958" s="473">
        <f t="shared" si="247"/>
        <v>0</v>
      </c>
      <c r="AB2958" s="339">
        <f t="shared" si="248"/>
        <v>0</v>
      </c>
    </row>
    <row r="2959" spans="2:28" ht="20.100000000000001" customHeight="1">
      <c r="B2959" s="172"/>
      <c r="C2959" s="174"/>
      <c r="D2959" s="181"/>
      <c r="E2959" s="173"/>
      <c r="F2959" s="176"/>
      <c r="G2959" s="175">
        <f t="shared" si="250"/>
        <v>0</v>
      </c>
      <c r="H2959" s="175">
        <f t="shared" si="243"/>
        <v>0</v>
      </c>
      <c r="I2959" s="177">
        <f>IF(G2959=0,0,IF(E2959="MXN",1/HLOOKUP(YEAR(C2959)+(MONTH(C2959)/100),TC!$5:$37,DAY(C2959)+2,FALSE),VLOOKUP(E2959,Equivalencia!$5:$23,((MAX(Equivalencia!$3:$3)-YEAR(C2959))*14)+MONTH(C2959)+2,FALSE)))</f>
        <v>0</v>
      </c>
      <c r="J2959" s="178">
        <f t="shared" si="251"/>
        <v>0</v>
      </c>
      <c r="K2959" s="462">
        <f>IF(C2959=0,0,VLOOKUP(YEAR(C2959),INPC!$B$4:$O$29,MONTH(C2959)+1))</f>
        <v>0</v>
      </c>
      <c r="L2959" s="462">
        <f>IF(S2959=0,0,VLOOKUP(YEAR(S2959),INPC!$B$4:$O$29,MONTH(S2959)+1))</f>
        <v>0</v>
      </c>
      <c r="M2959" s="463">
        <f t="shared" si="244"/>
        <v>0</v>
      </c>
      <c r="N2959" s="465">
        <f t="shared" si="252"/>
        <v>0</v>
      </c>
      <c r="O2959" s="179"/>
      <c r="P2959" s="180"/>
      <c r="Q2959" s="173"/>
      <c r="R2959" s="173"/>
      <c r="S2959" s="174"/>
      <c r="T2959" s="173"/>
      <c r="U2959" s="182"/>
      <c r="V2959" s="177">
        <f>IF(U2959=0,0,IF(T2959="MXN",1/HLOOKUP(YEAR(S2959)+(MONTH(S2959)/100),TC!$5:$37,DAY(S2959)+2,FALSE),VLOOKUP(T2959,Equivalencia!$1:$23,((MAX(Equivalencia!$3:$3)-YEAR(S2959))*14)+MONTH(S2959)+2,FALSE)))</f>
        <v>0</v>
      </c>
      <c r="W2959" s="178">
        <f t="shared" si="249"/>
        <v>0</v>
      </c>
      <c r="X2959" s="481">
        <f t="shared" si="245"/>
        <v>0</v>
      </c>
      <c r="Y2959" s="179"/>
      <c r="Z2959" s="466">
        <f t="shared" si="246"/>
        <v>0</v>
      </c>
      <c r="AA2959" s="473">
        <f t="shared" si="247"/>
        <v>0</v>
      </c>
      <c r="AB2959" s="339">
        <f t="shared" si="248"/>
        <v>0</v>
      </c>
    </row>
    <row r="2960" spans="2:28" ht="20.100000000000001" customHeight="1">
      <c r="B2960" s="172"/>
      <c r="C2960" s="174"/>
      <c r="D2960" s="181"/>
      <c r="E2960" s="173"/>
      <c r="F2960" s="176"/>
      <c r="G2960" s="175">
        <f t="shared" si="250"/>
        <v>0</v>
      </c>
      <c r="H2960" s="175">
        <f t="shared" si="243"/>
        <v>0</v>
      </c>
      <c r="I2960" s="177">
        <f>IF(G2960=0,0,IF(E2960="MXN",1/HLOOKUP(YEAR(C2960)+(MONTH(C2960)/100),TC!$5:$37,DAY(C2960)+2,FALSE),VLOOKUP(E2960,Equivalencia!$5:$23,((MAX(Equivalencia!$3:$3)-YEAR(C2960))*14)+MONTH(C2960)+2,FALSE)))</f>
        <v>0</v>
      </c>
      <c r="J2960" s="178">
        <f t="shared" si="251"/>
        <v>0</v>
      </c>
      <c r="K2960" s="462">
        <f>IF(C2960=0,0,VLOOKUP(YEAR(C2960),INPC!$B$4:$O$29,MONTH(C2960)+1))</f>
        <v>0</v>
      </c>
      <c r="L2960" s="462">
        <f>IF(S2960=0,0,VLOOKUP(YEAR(S2960),INPC!$B$4:$O$29,MONTH(S2960)+1))</f>
        <v>0</v>
      </c>
      <c r="M2960" s="463">
        <f t="shared" si="244"/>
        <v>0</v>
      </c>
      <c r="N2960" s="465">
        <f t="shared" si="252"/>
        <v>0</v>
      </c>
      <c r="O2960" s="179"/>
      <c r="P2960" s="180"/>
      <c r="Q2960" s="173"/>
      <c r="R2960" s="173"/>
      <c r="S2960" s="174"/>
      <c r="T2960" s="173"/>
      <c r="U2960" s="182"/>
      <c r="V2960" s="177">
        <f>IF(U2960=0,0,IF(T2960="MXN",1/HLOOKUP(YEAR(S2960)+(MONTH(S2960)/100),TC!$5:$37,DAY(S2960)+2,FALSE),VLOOKUP(T2960,Equivalencia!$1:$23,((MAX(Equivalencia!$3:$3)-YEAR(S2960))*14)+MONTH(S2960)+2,FALSE)))</f>
        <v>0</v>
      </c>
      <c r="W2960" s="178">
        <f t="shared" si="249"/>
        <v>0</v>
      </c>
      <c r="X2960" s="481">
        <f t="shared" si="245"/>
        <v>0</v>
      </c>
      <c r="Y2960" s="179"/>
      <c r="Z2960" s="466">
        <f t="shared" si="246"/>
        <v>0</v>
      </c>
      <c r="AA2960" s="473">
        <f t="shared" si="247"/>
        <v>0</v>
      </c>
      <c r="AB2960" s="339">
        <f t="shared" si="248"/>
        <v>0</v>
      </c>
    </row>
    <row r="2961" spans="2:28" ht="20.100000000000001" customHeight="1">
      <c r="B2961" s="172"/>
      <c r="C2961" s="174"/>
      <c r="D2961" s="181"/>
      <c r="E2961" s="173"/>
      <c r="F2961" s="176"/>
      <c r="G2961" s="175">
        <f t="shared" si="250"/>
        <v>0</v>
      </c>
      <c r="H2961" s="175">
        <f t="shared" si="243"/>
        <v>0</v>
      </c>
      <c r="I2961" s="177">
        <f>IF(G2961=0,0,IF(E2961="MXN",1/HLOOKUP(YEAR(C2961)+(MONTH(C2961)/100),TC!$5:$37,DAY(C2961)+2,FALSE),VLOOKUP(E2961,Equivalencia!$5:$23,((MAX(Equivalencia!$3:$3)-YEAR(C2961))*14)+MONTH(C2961)+2,FALSE)))</f>
        <v>0</v>
      </c>
      <c r="J2961" s="178">
        <f t="shared" si="251"/>
        <v>0</v>
      </c>
      <c r="K2961" s="462">
        <f>IF(C2961=0,0,VLOOKUP(YEAR(C2961),INPC!$B$4:$O$29,MONTH(C2961)+1))</f>
        <v>0</v>
      </c>
      <c r="L2961" s="462">
        <f>IF(S2961=0,0,VLOOKUP(YEAR(S2961),INPC!$B$4:$O$29,MONTH(S2961)+1))</f>
        <v>0</v>
      </c>
      <c r="M2961" s="463">
        <f t="shared" si="244"/>
        <v>0</v>
      </c>
      <c r="N2961" s="465">
        <f t="shared" si="252"/>
        <v>0</v>
      </c>
      <c r="O2961" s="179"/>
      <c r="P2961" s="180"/>
      <c r="Q2961" s="173"/>
      <c r="R2961" s="173"/>
      <c r="S2961" s="174"/>
      <c r="T2961" s="173"/>
      <c r="U2961" s="182"/>
      <c r="V2961" s="177">
        <f>IF(U2961=0,0,IF(T2961="MXN",1/HLOOKUP(YEAR(S2961)+(MONTH(S2961)/100),TC!$5:$37,DAY(S2961)+2,FALSE),VLOOKUP(T2961,Equivalencia!$1:$23,((MAX(Equivalencia!$3:$3)-YEAR(S2961))*14)+MONTH(S2961)+2,FALSE)))</f>
        <v>0</v>
      </c>
      <c r="W2961" s="178">
        <f t="shared" si="249"/>
        <v>0</v>
      </c>
      <c r="X2961" s="481">
        <f t="shared" si="245"/>
        <v>0</v>
      </c>
      <c r="Y2961" s="179"/>
      <c r="Z2961" s="466">
        <f t="shared" si="246"/>
        <v>0</v>
      </c>
      <c r="AA2961" s="473">
        <f t="shared" si="247"/>
        <v>0</v>
      </c>
      <c r="AB2961" s="339">
        <f t="shared" si="248"/>
        <v>0</v>
      </c>
    </row>
    <row r="2962" spans="2:28" ht="20.100000000000001" customHeight="1">
      <c r="B2962" s="172"/>
      <c r="C2962" s="174"/>
      <c r="D2962" s="181"/>
      <c r="E2962" s="173"/>
      <c r="F2962" s="176"/>
      <c r="G2962" s="175">
        <f t="shared" si="250"/>
        <v>0</v>
      </c>
      <c r="H2962" s="175">
        <f t="shared" si="243"/>
        <v>0</v>
      </c>
      <c r="I2962" s="177">
        <f>IF(G2962=0,0,IF(E2962="MXN",1/HLOOKUP(YEAR(C2962)+(MONTH(C2962)/100),TC!$5:$37,DAY(C2962)+2,FALSE),VLOOKUP(E2962,Equivalencia!$5:$23,((MAX(Equivalencia!$3:$3)-YEAR(C2962))*14)+MONTH(C2962)+2,FALSE)))</f>
        <v>0</v>
      </c>
      <c r="J2962" s="178">
        <f t="shared" si="251"/>
        <v>0</v>
      </c>
      <c r="K2962" s="462">
        <f>IF(C2962=0,0,VLOOKUP(YEAR(C2962),INPC!$B$4:$O$29,MONTH(C2962)+1))</f>
        <v>0</v>
      </c>
      <c r="L2962" s="462">
        <f>IF(S2962=0,0,VLOOKUP(YEAR(S2962),INPC!$B$4:$O$29,MONTH(S2962)+1))</f>
        <v>0</v>
      </c>
      <c r="M2962" s="463">
        <f t="shared" si="244"/>
        <v>0</v>
      </c>
      <c r="N2962" s="465">
        <f t="shared" si="252"/>
        <v>0</v>
      </c>
      <c r="O2962" s="179"/>
      <c r="P2962" s="180"/>
      <c r="Q2962" s="173"/>
      <c r="R2962" s="173"/>
      <c r="S2962" s="174"/>
      <c r="T2962" s="173"/>
      <c r="U2962" s="182"/>
      <c r="V2962" s="177">
        <f>IF(U2962=0,0,IF(T2962="MXN",1/HLOOKUP(YEAR(S2962)+(MONTH(S2962)/100),TC!$5:$37,DAY(S2962)+2,FALSE),VLOOKUP(T2962,Equivalencia!$1:$23,((MAX(Equivalencia!$3:$3)-YEAR(S2962))*14)+MONTH(S2962)+2,FALSE)))</f>
        <v>0</v>
      </c>
      <c r="W2962" s="178">
        <f t="shared" si="249"/>
        <v>0</v>
      </c>
      <c r="X2962" s="481">
        <f t="shared" si="245"/>
        <v>0</v>
      </c>
      <c r="Y2962" s="179"/>
      <c r="Z2962" s="466">
        <f t="shared" si="246"/>
        <v>0</v>
      </c>
      <c r="AA2962" s="473">
        <f t="shared" si="247"/>
        <v>0</v>
      </c>
      <c r="AB2962" s="339">
        <f t="shared" si="248"/>
        <v>0</v>
      </c>
    </row>
    <row r="2963" spans="2:28" ht="20.100000000000001" customHeight="1">
      <c r="B2963" s="172"/>
      <c r="C2963" s="174"/>
      <c r="D2963" s="181"/>
      <c r="E2963" s="173"/>
      <c r="F2963" s="176"/>
      <c r="G2963" s="175">
        <f t="shared" si="250"/>
        <v>0</v>
      </c>
      <c r="H2963" s="175">
        <f t="shared" si="243"/>
        <v>0</v>
      </c>
      <c r="I2963" s="177">
        <f>IF(G2963=0,0,IF(E2963="MXN",1/HLOOKUP(YEAR(C2963)+(MONTH(C2963)/100),TC!$5:$37,DAY(C2963)+2,FALSE),VLOOKUP(E2963,Equivalencia!$5:$23,((MAX(Equivalencia!$3:$3)-YEAR(C2963))*14)+MONTH(C2963)+2,FALSE)))</f>
        <v>0</v>
      </c>
      <c r="J2963" s="178">
        <f t="shared" si="251"/>
        <v>0</v>
      </c>
      <c r="K2963" s="462">
        <f>IF(C2963=0,0,VLOOKUP(YEAR(C2963),INPC!$B$4:$O$29,MONTH(C2963)+1))</f>
        <v>0</v>
      </c>
      <c r="L2963" s="462">
        <f>IF(S2963=0,0,VLOOKUP(YEAR(S2963),INPC!$B$4:$O$29,MONTH(S2963)+1))</f>
        <v>0</v>
      </c>
      <c r="M2963" s="463">
        <f t="shared" si="244"/>
        <v>0</v>
      </c>
      <c r="N2963" s="465">
        <f t="shared" si="252"/>
        <v>0</v>
      </c>
      <c r="O2963" s="179"/>
      <c r="P2963" s="180"/>
      <c r="Q2963" s="173"/>
      <c r="R2963" s="173"/>
      <c r="S2963" s="174"/>
      <c r="T2963" s="173"/>
      <c r="U2963" s="182"/>
      <c r="V2963" s="177">
        <f>IF(U2963=0,0,IF(T2963="MXN",1/HLOOKUP(YEAR(S2963)+(MONTH(S2963)/100),TC!$5:$37,DAY(S2963)+2,FALSE),VLOOKUP(T2963,Equivalencia!$1:$23,((MAX(Equivalencia!$3:$3)-YEAR(S2963))*14)+MONTH(S2963)+2,FALSE)))</f>
        <v>0</v>
      </c>
      <c r="W2963" s="178">
        <f t="shared" si="249"/>
        <v>0</v>
      </c>
      <c r="X2963" s="481">
        <f t="shared" si="245"/>
        <v>0</v>
      </c>
      <c r="Y2963" s="179"/>
      <c r="Z2963" s="466">
        <f t="shared" si="246"/>
        <v>0</v>
      </c>
      <c r="AA2963" s="473">
        <f t="shared" si="247"/>
        <v>0</v>
      </c>
      <c r="AB2963" s="339">
        <f t="shared" si="248"/>
        <v>0</v>
      </c>
    </row>
    <row r="2964" spans="2:28" ht="20.100000000000001" customHeight="1">
      <c r="B2964" s="172"/>
      <c r="C2964" s="174"/>
      <c r="D2964" s="181"/>
      <c r="E2964" s="173"/>
      <c r="F2964" s="176"/>
      <c r="G2964" s="175">
        <f t="shared" si="250"/>
        <v>0</v>
      </c>
      <c r="H2964" s="175">
        <f t="shared" si="243"/>
        <v>0</v>
      </c>
      <c r="I2964" s="177">
        <f>IF(G2964=0,0,IF(E2964="MXN",1/HLOOKUP(YEAR(C2964)+(MONTH(C2964)/100),TC!$5:$37,DAY(C2964)+2,FALSE),VLOOKUP(E2964,Equivalencia!$5:$23,((MAX(Equivalencia!$3:$3)-YEAR(C2964))*14)+MONTH(C2964)+2,FALSE)))</f>
        <v>0</v>
      </c>
      <c r="J2964" s="178">
        <f t="shared" si="251"/>
        <v>0</v>
      </c>
      <c r="K2964" s="462">
        <f>IF(C2964=0,0,VLOOKUP(YEAR(C2964),INPC!$B$4:$O$29,MONTH(C2964)+1))</f>
        <v>0</v>
      </c>
      <c r="L2964" s="462">
        <f>IF(S2964=0,0,VLOOKUP(YEAR(S2964),INPC!$B$4:$O$29,MONTH(S2964)+1))</f>
        <v>0</v>
      </c>
      <c r="M2964" s="463">
        <f t="shared" si="244"/>
        <v>0</v>
      </c>
      <c r="N2964" s="465">
        <f t="shared" si="252"/>
        <v>0</v>
      </c>
      <c r="O2964" s="179"/>
      <c r="P2964" s="180"/>
      <c r="Q2964" s="173"/>
      <c r="R2964" s="173"/>
      <c r="S2964" s="174"/>
      <c r="T2964" s="173"/>
      <c r="U2964" s="182"/>
      <c r="V2964" s="177">
        <f>IF(U2964=0,0,IF(T2964="MXN",1/HLOOKUP(YEAR(S2964)+(MONTH(S2964)/100),TC!$5:$37,DAY(S2964)+2,FALSE),VLOOKUP(T2964,Equivalencia!$1:$23,((MAX(Equivalencia!$3:$3)-YEAR(S2964))*14)+MONTH(S2964)+2,FALSE)))</f>
        <v>0</v>
      </c>
      <c r="W2964" s="178">
        <f t="shared" si="249"/>
        <v>0</v>
      </c>
      <c r="X2964" s="481">
        <f t="shared" si="245"/>
        <v>0</v>
      </c>
      <c r="Y2964" s="179"/>
      <c r="Z2964" s="466">
        <f t="shared" si="246"/>
        <v>0</v>
      </c>
      <c r="AA2964" s="473">
        <f t="shared" si="247"/>
        <v>0</v>
      </c>
      <c r="AB2964" s="339">
        <f t="shared" si="248"/>
        <v>0</v>
      </c>
    </row>
    <row r="2965" spans="2:28" ht="20.100000000000001" customHeight="1">
      <c r="B2965" s="172"/>
      <c r="C2965" s="174"/>
      <c r="D2965" s="181"/>
      <c r="E2965" s="173"/>
      <c r="F2965" s="176"/>
      <c r="G2965" s="175">
        <f t="shared" si="250"/>
        <v>0</v>
      </c>
      <c r="H2965" s="175">
        <f t="shared" si="243"/>
        <v>0</v>
      </c>
      <c r="I2965" s="177">
        <f>IF(G2965=0,0,IF(E2965="MXN",1/HLOOKUP(YEAR(C2965)+(MONTH(C2965)/100),TC!$5:$37,DAY(C2965)+2,FALSE),VLOOKUP(E2965,Equivalencia!$5:$23,((MAX(Equivalencia!$3:$3)-YEAR(C2965))*14)+MONTH(C2965)+2,FALSE)))</f>
        <v>0</v>
      </c>
      <c r="J2965" s="178">
        <f t="shared" si="251"/>
        <v>0</v>
      </c>
      <c r="K2965" s="462">
        <f>IF(C2965=0,0,VLOOKUP(YEAR(C2965),INPC!$B$4:$O$29,MONTH(C2965)+1))</f>
        <v>0</v>
      </c>
      <c r="L2965" s="462">
        <f>IF(S2965=0,0,VLOOKUP(YEAR(S2965),INPC!$B$4:$O$29,MONTH(S2965)+1))</f>
        <v>0</v>
      </c>
      <c r="M2965" s="463">
        <f t="shared" si="244"/>
        <v>0</v>
      </c>
      <c r="N2965" s="465">
        <f t="shared" si="252"/>
        <v>0</v>
      </c>
      <c r="O2965" s="179"/>
      <c r="P2965" s="180"/>
      <c r="Q2965" s="173"/>
      <c r="R2965" s="173"/>
      <c r="S2965" s="174"/>
      <c r="T2965" s="173"/>
      <c r="U2965" s="182"/>
      <c r="V2965" s="177">
        <f>IF(U2965=0,0,IF(T2965="MXN",1/HLOOKUP(YEAR(S2965)+(MONTH(S2965)/100),TC!$5:$37,DAY(S2965)+2,FALSE),VLOOKUP(T2965,Equivalencia!$1:$23,((MAX(Equivalencia!$3:$3)-YEAR(S2965))*14)+MONTH(S2965)+2,FALSE)))</f>
        <v>0</v>
      </c>
      <c r="W2965" s="178">
        <f t="shared" si="249"/>
        <v>0</v>
      </c>
      <c r="X2965" s="481">
        <f t="shared" si="245"/>
        <v>0</v>
      </c>
      <c r="Y2965" s="179"/>
      <c r="Z2965" s="466">
        <f t="shared" si="246"/>
        <v>0</v>
      </c>
      <c r="AA2965" s="473">
        <f t="shared" si="247"/>
        <v>0</v>
      </c>
      <c r="AB2965" s="339">
        <f t="shared" si="248"/>
        <v>0</v>
      </c>
    </row>
    <row r="2966" spans="2:28" ht="20.100000000000001" customHeight="1">
      <c r="B2966" s="172"/>
      <c r="C2966" s="174"/>
      <c r="D2966" s="181"/>
      <c r="E2966" s="173"/>
      <c r="F2966" s="176"/>
      <c r="G2966" s="175">
        <f t="shared" si="250"/>
        <v>0</v>
      </c>
      <c r="H2966" s="175">
        <f t="shared" si="243"/>
        <v>0</v>
      </c>
      <c r="I2966" s="177">
        <f>IF(G2966=0,0,IF(E2966="MXN",1/HLOOKUP(YEAR(C2966)+(MONTH(C2966)/100),TC!$5:$37,DAY(C2966)+2,FALSE),VLOOKUP(E2966,Equivalencia!$5:$23,((MAX(Equivalencia!$3:$3)-YEAR(C2966))*14)+MONTH(C2966)+2,FALSE)))</f>
        <v>0</v>
      </c>
      <c r="J2966" s="178">
        <f t="shared" si="251"/>
        <v>0</v>
      </c>
      <c r="K2966" s="462">
        <f>IF(C2966=0,0,VLOOKUP(YEAR(C2966),INPC!$B$4:$O$29,MONTH(C2966)+1))</f>
        <v>0</v>
      </c>
      <c r="L2966" s="462">
        <f>IF(S2966=0,0,VLOOKUP(YEAR(S2966),INPC!$B$4:$O$29,MONTH(S2966)+1))</f>
        <v>0</v>
      </c>
      <c r="M2966" s="463">
        <f t="shared" si="244"/>
        <v>0</v>
      </c>
      <c r="N2966" s="465">
        <f t="shared" si="252"/>
        <v>0</v>
      </c>
      <c r="O2966" s="179"/>
      <c r="P2966" s="180"/>
      <c r="Q2966" s="173"/>
      <c r="R2966" s="173"/>
      <c r="S2966" s="174"/>
      <c r="T2966" s="173"/>
      <c r="U2966" s="182"/>
      <c r="V2966" s="177">
        <f>IF(U2966=0,0,IF(T2966="MXN",1/HLOOKUP(YEAR(S2966)+(MONTH(S2966)/100),TC!$5:$37,DAY(S2966)+2,FALSE),VLOOKUP(T2966,Equivalencia!$1:$23,((MAX(Equivalencia!$3:$3)-YEAR(S2966))*14)+MONTH(S2966)+2,FALSE)))</f>
        <v>0</v>
      </c>
      <c r="W2966" s="178">
        <f t="shared" si="249"/>
        <v>0</v>
      </c>
      <c r="X2966" s="481">
        <f t="shared" si="245"/>
        <v>0</v>
      </c>
      <c r="Y2966" s="179"/>
      <c r="Z2966" s="466">
        <f t="shared" si="246"/>
        <v>0</v>
      </c>
      <c r="AA2966" s="473">
        <f t="shared" si="247"/>
        <v>0</v>
      </c>
      <c r="AB2966" s="339">
        <f t="shared" si="248"/>
        <v>0</v>
      </c>
    </row>
    <row r="2967" spans="2:28" ht="20.100000000000001" customHeight="1">
      <c r="B2967" s="172"/>
      <c r="C2967" s="174"/>
      <c r="D2967" s="181"/>
      <c r="E2967" s="173"/>
      <c r="F2967" s="176"/>
      <c r="G2967" s="175">
        <f t="shared" si="250"/>
        <v>0</v>
      </c>
      <c r="H2967" s="175">
        <f t="shared" si="243"/>
        <v>0</v>
      </c>
      <c r="I2967" s="177">
        <f>IF(G2967=0,0,IF(E2967="MXN",1/HLOOKUP(YEAR(C2967)+(MONTH(C2967)/100),TC!$5:$37,DAY(C2967)+2,FALSE),VLOOKUP(E2967,Equivalencia!$5:$23,((MAX(Equivalencia!$3:$3)-YEAR(C2967))*14)+MONTH(C2967)+2,FALSE)))</f>
        <v>0</v>
      </c>
      <c r="J2967" s="178">
        <f t="shared" si="251"/>
        <v>0</v>
      </c>
      <c r="K2967" s="462">
        <f>IF(C2967=0,0,VLOOKUP(YEAR(C2967),INPC!$B$4:$O$29,MONTH(C2967)+1))</f>
        <v>0</v>
      </c>
      <c r="L2967" s="462">
        <f>IF(S2967=0,0,VLOOKUP(YEAR(S2967),INPC!$B$4:$O$29,MONTH(S2967)+1))</f>
        <v>0</v>
      </c>
      <c r="M2967" s="463">
        <f t="shared" si="244"/>
        <v>0</v>
      </c>
      <c r="N2967" s="465">
        <f t="shared" si="252"/>
        <v>0</v>
      </c>
      <c r="O2967" s="179"/>
      <c r="P2967" s="180"/>
      <c r="Q2967" s="173"/>
      <c r="R2967" s="173"/>
      <c r="S2967" s="174"/>
      <c r="T2967" s="173"/>
      <c r="U2967" s="182"/>
      <c r="V2967" s="177">
        <f>IF(U2967=0,0,IF(T2967="MXN",1/HLOOKUP(YEAR(S2967)+(MONTH(S2967)/100),TC!$5:$37,DAY(S2967)+2,FALSE),VLOOKUP(T2967,Equivalencia!$1:$23,((MAX(Equivalencia!$3:$3)-YEAR(S2967))*14)+MONTH(S2967)+2,FALSE)))</f>
        <v>0</v>
      </c>
      <c r="W2967" s="178">
        <f t="shared" si="249"/>
        <v>0</v>
      </c>
      <c r="X2967" s="481">
        <f t="shared" si="245"/>
        <v>0</v>
      </c>
      <c r="Y2967" s="179"/>
      <c r="Z2967" s="466">
        <f t="shared" si="246"/>
        <v>0</v>
      </c>
      <c r="AA2967" s="473">
        <f t="shared" si="247"/>
        <v>0</v>
      </c>
      <c r="AB2967" s="339">
        <f t="shared" si="248"/>
        <v>0</v>
      </c>
    </row>
    <row r="2968" spans="2:28" ht="20.100000000000001" customHeight="1">
      <c r="B2968" s="172"/>
      <c r="C2968" s="174"/>
      <c r="D2968" s="181"/>
      <c r="E2968" s="173"/>
      <c r="F2968" s="176"/>
      <c r="G2968" s="175">
        <f t="shared" si="250"/>
        <v>0</v>
      </c>
      <c r="H2968" s="175">
        <f t="shared" si="243"/>
        <v>0</v>
      </c>
      <c r="I2968" s="177">
        <f>IF(G2968=0,0,IF(E2968="MXN",1/HLOOKUP(YEAR(C2968)+(MONTH(C2968)/100),TC!$5:$37,DAY(C2968)+2,FALSE),VLOOKUP(E2968,Equivalencia!$5:$23,((MAX(Equivalencia!$3:$3)-YEAR(C2968))*14)+MONTH(C2968)+2,FALSE)))</f>
        <v>0</v>
      </c>
      <c r="J2968" s="178">
        <f t="shared" si="251"/>
        <v>0</v>
      </c>
      <c r="K2968" s="462">
        <f>IF(C2968=0,0,VLOOKUP(YEAR(C2968),INPC!$B$4:$O$29,MONTH(C2968)+1))</f>
        <v>0</v>
      </c>
      <c r="L2968" s="462">
        <f>IF(S2968=0,0,VLOOKUP(YEAR(S2968),INPC!$B$4:$O$29,MONTH(S2968)+1))</f>
        <v>0</v>
      </c>
      <c r="M2968" s="463">
        <f t="shared" si="244"/>
        <v>0</v>
      </c>
      <c r="N2968" s="465">
        <f t="shared" si="252"/>
        <v>0</v>
      </c>
      <c r="O2968" s="179"/>
      <c r="P2968" s="180"/>
      <c r="Q2968" s="173"/>
      <c r="R2968" s="173"/>
      <c r="S2968" s="174"/>
      <c r="T2968" s="173"/>
      <c r="U2968" s="182"/>
      <c r="V2968" s="177">
        <f>IF(U2968=0,0,IF(T2968="MXN",1/HLOOKUP(YEAR(S2968)+(MONTH(S2968)/100),TC!$5:$37,DAY(S2968)+2,FALSE),VLOOKUP(T2968,Equivalencia!$1:$23,((MAX(Equivalencia!$3:$3)-YEAR(S2968))*14)+MONTH(S2968)+2,FALSE)))</f>
        <v>0</v>
      </c>
      <c r="W2968" s="178">
        <f t="shared" si="249"/>
        <v>0</v>
      </c>
      <c r="X2968" s="481">
        <f t="shared" si="245"/>
        <v>0</v>
      </c>
      <c r="Y2968" s="179"/>
      <c r="Z2968" s="466">
        <f t="shared" si="246"/>
        <v>0</v>
      </c>
      <c r="AA2968" s="473">
        <f t="shared" si="247"/>
        <v>0</v>
      </c>
      <c r="AB2968" s="339">
        <f t="shared" si="248"/>
        <v>0</v>
      </c>
    </row>
    <row r="2969" spans="2:28" ht="20.100000000000001" customHeight="1">
      <c r="B2969" s="172"/>
      <c r="C2969" s="174"/>
      <c r="D2969" s="181"/>
      <c r="E2969" s="173"/>
      <c r="F2969" s="176"/>
      <c r="G2969" s="175">
        <f t="shared" si="250"/>
        <v>0</v>
      </c>
      <c r="H2969" s="175">
        <f t="shared" si="243"/>
        <v>0</v>
      </c>
      <c r="I2969" s="177">
        <f>IF(G2969=0,0,IF(E2969="MXN",1/HLOOKUP(YEAR(C2969)+(MONTH(C2969)/100),TC!$5:$37,DAY(C2969)+2,FALSE),VLOOKUP(E2969,Equivalencia!$5:$23,((MAX(Equivalencia!$3:$3)-YEAR(C2969))*14)+MONTH(C2969)+2,FALSE)))</f>
        <v>0</v>
      </c>
      <c r="J2969" s="178">
        <f t="shared" si="251"/>
        <v>0</v>
      </c>
      <c r="K2969" s="462">
        <f>IF(C2969=0,0,VLOOKUP(YEAR(C2969),INPC!$B$4:$O$29,MONTH(C2969)+1))</f>
        <v>0</v>
      </c>
      <c r="L2969" s="462">
        <f>IF(S2969=0,0,VLOOKUP(YEAR(S2969),INPC!$B$4:$O$29,MONTH(S2969)+1))</f>
        <v>0</v>
      </c>
      <c r="M2969" s="463">
        <f t="shared" si="244"/>
        <v>0</v>
      </c>
      <c r="N2969" s="465">
        <f t="shared" si="252"/>
        <v>0</v>
      </c>
      <c r="O2969" s="179"/>
      <c r="P2969" s="180"/>
      <c r="Q2969" s="173"/>
      <c r="R2969" s="173"/>
      <c r="S2969" s="174"/>
      <c r="T2969" s="173"/>
      <c r="U2969" s="182"/>
      <c r="V2969" s="177">
        <f>IF(U2969=0,0,IF(T2969="MXN",1/HLOOKUP(YEAR(S2969)+(MONTH(S2969)/100),TC!$5:$37,DAY(S2969)+2,FALSE),VLOOKUP(T2969,Equivalencia!$1:$23,((MAX(Equivalencia!$3:$3)-YEAR(S2969))*14)+MONTH(S2969)+2,FALSE)))</f>
        <v>0</v>
      </c>
      <c r="W2969" s="178">
        <f t="shared" si="249"/>
        <v>0</v>
      </c>
      <c r="X2969" s="481">
        <f t="shared" si="245"/>
        <v>0</v>
      </c>
      <c r="Y2969" s="179"/>
      <c r="Z2969" s="466">
        <f t="shared" si="246"/>
        <v>0</v>
      </c>
      <c r="AA2969" s="473">
        <f t="shared" si="247"/>
        <v>0</v>
      </c>
      <c r="AB2969" s="339">
        <f t="shared" si="248"/>
        <v>0</v>
      </c>
    </row>
    <row r="2970" spans="2:28" ht="20.100000000000001" customHeight="1">
      <c r="B2970" s="172"/>
      <c r="C2970" s="174"/>
      <c r="D2970" s="181"/>
      <c r="E2970" s="173"/>
      <c r="F2970" s="176"/>
      <c r="G2970" s="175">
        <f t="shared" si="250"/>
        <v>0</v>
      </c>
      <c r="H2970" s="175">
        <f t="shared" si="243"/>
        <v>0</v>
      </c>
      <c r="I2970" s="177">
        <f>IF(G2970=0,0,IF(E2970="MXN",1/HLOOKUP(YEAR(C2970)+(MONTH(C2970)/100),TC!$5:$37,DAY(C2970)+2,FALSE),VLOOKUP(E2970,Equivalencia!$5:$23,((MAX(Equivalencia!$3:$3)-YEAR(C2970))*14)+MONTH(C2970)+2,FALSE)))</f>
        <v>0</v>
      </c>
      <c r="J2970" s="178">
        <f t="shared" si="251"/>
        <v>0</v>
      </c>
      <c r="K2970" s="462">
        <f>IF(C2970=0,0,VLOOKUP(YEAR(C2970),INPC!$B$4:$O$29,MONTH(C2970)+1))</f>
        <v>0</v>
      </c>
      <c r="L2970" s="462">
        <f>IF(S2970=0,0,VLOOKUP(YEAR(S2970),INPC!$B$4:$O$29,MONTH(S2970)+1))</f>
        <v>0</v>
      </c>
      <c r="M2970" s="463">
        <f t="shared" si="244"/>
        <v>0</v>
      </c>
      <c r="N2970" s="465">
        <f t="shared" si="252"/>
        <v>0</v>
      </c>
      <c r="O2970" s="179"/>
      <c r="P2970" s="180"/>
      <c r="Q2970" s="173"/>
      <c r="R2970" s="173"/>
      <c r="S2970" s="174"/>
      <c r="T2970" s="173"/>
      <c r="U2970" s="182"/>
      <c r="V2970" s="177">
        <f>IF(U2970=0,0,IF(T2970="MXN",1/HLOOKUP(YEAR(S2970)+(MONTH(S2970)/100),TC!$5:$37,DAY(S2970)+2,FALSE),VLOOKUP(T2970,Equivalencia!$1:$23,((MAX(Equivalencia!$3:$3)-YEAR(S2970))*14)+MONTH(S2970)+2,FALSE)))</f>
        <v>0</v>
      </c>
      <c r="W2970" s="178">
        <f t="shared" si="249"/>
        <v>0</v>
      </c>
      <c r="X2970" s="481">
        <f t="shared" si="245"/>
        <v>0</v>
      </c>
      <c r="Y2970" s="179"/>
      <c r="Z2970" s="466">
        <f t="shared" si="246"/>
        <v>0</v>
      </c>
      <c r="AA2970" s="473">
        <f t="shared" si="247"/>
        <v>0</v>
      </c>
      <c r="AB2970" s="339">
        <f t="shared" si="248"/>
        <v>0</v>
      </c>
    </row>
    <row r="2971" spans="2:28" ht="20.100000000000001" customHeight="1">
      <c r="B2971" s="172"/>
      <c r="C2971" s="174"/>
      <c r="D2971" s="181"/>
      <c r="E2971" s="173"/>
      <c r="F2971" s="176"/>
      <c r="G2971" s="175">
        <f t="shared" si="250"/>
        <v>0</v>
      </c>
      <c r="H2971" s="175">
        <f t="shared" si="243"/>
        <v>0</v>
      </c>
      <c r="I2971" s="177">
        <f>IF(G2971=0,0,IF(E2971="MXN",1/HLOOKUP(YEAR(C2971)+(MONTH(C2971)/100),TC!$5:$37,DAY(C2971)+2,FALSE),VLOOKUP(E2971,Equivalencia!$5:$23,((MAX(Equivalencia!$3:$3)-YEAR(C2971))*14)+MONTH(C2971)+2,FALSE)))</f>
        <v>0</v>
      </c>
      <c r="J2971" s="178">
        <f t="shared" si="251"/>
        <v>0</v>
      </c>
      <c r="K2971" s="462">
        <f>IF(C2971=0,0,VLOOKUP(YEAR(C2971),INPC!$B$4:$O$29,MONTH(C2971)+1))</f>
        <v>0</v>
      </c>
      <c r="L2971" s="462">
        <f>IF(S2971=0,0,VLOOKUP(YEAR(S2971),INPC!$B$4:$O$29,MONTH(S2971)+1))</f>
        <v>0</v>
      </c>
      <c r="M2971" s="463">
        <f t="shared" si="244"/>
        <v>0</v>
      </c>
      <c r="N2971" s="465">
        <f t="shared" si="252"/>
        <v>0</v>
      </c>
      <c r="O2971" s="179"/>
      <c r="P2971" s="180"/>
      <c r="Q2971" s="173"/>
      <c r="R2971" s="173"/>
      <c r="S2971" s="174"/>
      <c r="T2971" s="173"/>
      <c r="U2971" s="182"/>
      <c r="V2971" s="177">
        <f>IF(U2971=0,0,IF(T2971="MXN",1/HLOOKUP(YEAR(S2971)+(MONTH(S2971)/100),TC!$5:$37,DAY(S2971)+2,FALSE),VLOOKUP(T2971,Equivalencia!$1:$23,((MAX(Equivalencia!$3:$3)-YEAR(S2971))*14)+MONTH(S2971)+2,FALSE)))</f>
        <v>0</v>
      </c>
      <c r="W2971" s="178">
        <f t="shared" si="249"/>
        <v>0</v>
      </c>
      <c r="X2971" s="481">
        <f t="shared" si="245"/>
        <v>0</v>
      </c>
      <c r="Y2971" s="179"/>
      <c r="Z2971" s="466">
        <f t="shared" si="246"/>
        <v>0</v>
      </c>
      <c r="AA2971" s="473">
        <f t="shared" si="247"/>
        <v>0</v>
      </c>
      <c r="AB2971" s="339">
        <f t="shared" si="248"/>
        <v>0</v>
      </c>
    </row>
    <row r="2972" spans="2:28" ht="20.100000000000001" customHeight="1">
      <c r="B2972" s="172"/>
      <c r="C2972" s="174"/>
      <c r="D2972" s="181"/>
      <c r="E2972" s="173"/>
      <c r="F2972" s="176"/>
      <c r="G2972" s="175">
        <f t="shared" si="250"/>
        <v>0</v>
      </c>
      <c r="H2972" s="175">
        <f t="shared" si="243"/>
        <v>0</v>
      </c>
      <c r="I2972" s="177">
        <f>IF(G2972=0,0,IF(E2972="MXN",1/HLOOKUP(YEAR(C2972)+(MONTH(C2972)/100),TC!$5:$37,DAY(C2972)+2,FALSE),VLOOKUP(E2972,Equivalencia!$5:$23,((MAX(Equivalencia!$3:$3)-YEAR(C2972))*14)+MONTH(C2972)+2,FALSE)))</f>
        <v>0</v>
      </c>
      <c r="J2972" s="178">
        <f t="shared" si="251"/>
        <v>0</v>
      </c>
      <c r="K2972" s="462">
        <f>IF(C2972=0,0,VLOOKUP(YEAR(C2972),INPC!$B$4:$O$29,MONTH(C2972)+1))</f>
        <v>0</v>
      </c>
      <c r="L2972" s="462">
        <f>IF(S2972=0,0,VLOOKUP(YEAR(S2972),INPC!$B$4:$O$29,MONTH(S2972)+1))</f>
        <v>0</v>
      </c>
      <c r="M2972" s="463">
        <f t="shared" si="244"/>
        <v>0</v>
      </c>
      <c r="N2972" s="465">
        <f t="shared" si="252"/>
        <v>0</v>
      </c>
      <c r="O2972" s="179"/>
      <c r="P2972" s="180"/>
      <c r="Q2972" s="173"/>
      <c r="R2972" s="173"/>
      <c r="S2972" s="174"/>
      <c r="T2972" s="173"/>
      <c r="U2972" s="182"/>
      <c r="V2972" s="177">
        <f>IF(U2972=0,0,IF(T2972="MXN",1/HLOOKUP(YEAR(S2972)+(MONTH(S2972)/100),TC!$5:$37,DAY(S2972)+2,FALSE),VLOOKUP(T2972,Equivalencia!$1:$23,((MAX(Equivalencia!$3:$3)-YEAR(S2972))*14)+MONTH(S2972)+2,FALSE)))</f>
        <v>0</v>
      </c>
      <c r="W2972" s="178">
        <f t="shared" si="249"/>
        <v>0</v>
      </c>
      <c r="X2972" s="481">
        <f t="shared" si="245"/>
        <v>0</v>
      </c>
      <c r="Y2972" s="179"/>
      <c r="Z2972" s="466">
        <f t="shared" si="246"/>
        <v>0</v>
      </c>
      <c r="AA2972" s="473">
        <f t="shared" si="247"/>
        <v>0</v>
      </c>
      <c r="AB2972" s="339">
        <f t="shared" si="248"/>
        <v>0</v>
      </c>
    </row>
    <row r="2973" spans="2:28" ht="20.100000000000001" customHeight="1">
      <c r="B2973" s="172"/>
      <c r="C2973" s="174"/>
      <c r="D2973" s="181"/>
      <c r="E2973" s="173"/>
      <c r="F2973" s="176"/>
      <c r="G2973" s="175">
        <f t="shared" si="250"/>
        <v>0</v>
      </c>
      <c r="H2973" s="175">
        <f t="shared" si="243"/>
        <v>0</v>
      </c>
      <c r="I2973" s="177">
        <f>IF(G2973=0,0,IF(E2973="MXN",1/HLOOKUP(YEAR(C2973)+(MONTH(C2973)/100),TC!$5:$37,DAY(C2973)+2,FALSE),VLOOKUP(E2973,Equivalencia!$5:$23,((MAX(Equivalencia!$3:$3)-YEAR(C2973))*14)+MONTH(C2973)+2,FALSE)))</f>
        <v>0</v>
      </c>
      <c r="J2973" s="178">
        <f t="shared" si="251"/>
        <v>0</v>
      </c>
      <c r="K2973" s="462">
        <f>IF(C2973=0,0,VLOOKUP(YEAR(C2973),INPC!$B$4:$O$29,MONTH(C2973)+1))</f>
        <v>0</v>
      </c>
      <c r="L2973" s="462">
        <f>IF(S2973=0,0,VLOOKUP(YEAR(S2973),INPC!$B$4:$O$29,MONTH(S2973)+1))</f>
        <v>0</v>
      </c>
      <c r="M2973" s="463">
        <f t="shared" si="244"/>
        <v>0</v>
      </c>
      <c r="N2973" s="465">
        <f t="shared" si="252"/>
        <v>0</v>
      </c>
      <c r="O2973" s="179"/>
      <c r="P2973" s="180"/>
      <c r="Q2973" s="173"/>
      <c r="R2973" s="173"/>
      <c r="S2973" s="174"/>
      <c r="T2973" s="173"/>
      <c r="U2973" s="182"/>
      <c r="V2973" s="177">
        <f>IF(U2973=0,0,IF(T2973="MXN",1/HLOOKUP(YEAR(S2973)+(MONTH(S2973)/100),TC!$5:$37,DAY(S2973)+2,FALSE),VLOOKUP(T2973,Equivalencia!$1:$23,((MAX(Equivalencia!$3:$3)-YEAR(S2973))*14)+MONTH(S2973)+2,FALSE)))</f>
        <v>0</v>
      </c>
      <c r="W2973" s="178">
        <f t="shared" si="249"/>
        <v>0</v>
      </c>
      <c r="X2973" s="481">
        <f t="shared" si="245"/>
        <v>0</v>
      </c>
      <c r="Y2973" s="179"/>
      <c r="Z2973" s="466">
        <f t="shared" si="246"/>
        <v>0</v>
      </c>
      <c r="AA2973" s="473">
        <f t="shared" si="247"/>
        <v>0</v>
      </c>
      <c r="AB2973" s="339">
        <f t="shared" si="248"/>
        <v>0</v>
      </c>
    </row>
    <row r="2974" spans="2:28" ht="20.100000000000001" customHeight="1">
      <c r="B2974" s="172"/>
      <c r="C2974" s="174"/>
      <c r="D2974" s="181"/>
      <c r="E2974" s="173"/>
      <c r="F2974" s="176"/>
      <c r="G2974" s="175">
        <f t="shared" si="250"/>
        <v>0</v>
      </c>
      <c r="H2974" s="175">
        <f t="shared" si="243"/>
        <v>0</v>
      </c>
      <c r="I2974" s="177">
        <f>IF(G2974=0,0,IF(E2974="MXN",1/HLOOKUP(YEAR(C2974)+(MONTH(C2974)/100),TC!$5:$37,DAY(C2974)+2,FALSE),VLOOKUP(E2974,Equivalencia!$5:$23,((MAX(Equivalencia!$3:$3)-YEAR(C2974))*14)+MONTH(C2974)+2,FALSE)))</f>
        <v>0</v>
      </c>
      <c r="J2974" s="178">
        <f t="shared" si="251"/>
        <v>0</v>
      </c>
      <c r="K2974" s="462">
        <f>IF(C2974=0,0,VLOOKUP(YEAR(C2974),INPC!$B$4:$O$29,MONTH(C2974)+1))</f>
        <v>0</v>
      </c>
      <c r="L2974" s="462">
        <f>IF(S2974=0,0,VLOOKUP(YEAR(S2974),INPC!$B$4:$O$29,MONTH(S2974)+1))</f>
        <v>0</v>
      </c>
      <c r="M2974" s="463">
        <f t="shared" si="244"/>
        <v>0</v>
      </c>
      <c r="N2974" s="465">
        <f t="shared" si="252"/>
        <v>0</v>
      </c>
      <c r="O2974" s="179"/>
      <c r="P2974" s="180"/>
      <c r="Q2974" s="173"/>
      <c r="R2974" s="173"/>
      <c r="S2974" s="174"/>
      <c r="T2974" s="173"/>
      <c r="U2974" s="182"/>
      <c r="V2974" s="177">
        <f>IF(U2974=0,0,IF(T2974="MXN",1/HLOOKUP(YEAR(S2974)+(MONTH(S2974)/100),TC!$5:$37,DAY(S2974)+2,FALSE),VLOOKUP(T2974,Equivalencia!$1:$23,((MAX(Equivalencia!$3:$3)-YEAR(S2974))*14)+MONTH(S2974)+2,FALSE)))</f>
        <v>0</v>
      </c>
      <c r="W2974" s="178">
        <f t="shared" si="249"/>
        <v>0</v>
      </c>
      <c r="X2974" s="481">
        <f t="shared" si="245"/>
        <v>0</v>
      </c>
      <c r="Y2974" s="179"/>
      <c r="Z2974" s="466">
        <f t="shared" si="246"/>
        <v>0</v>
      </c>
      <c r="AA2974" s="473">
        <f t="shared" si="247"/>
        <v>0</v>
      </c>
      <c r="AB2974" s="339">
        <f t="shared" si="248"/>
        <v>0</v>
      </c>
    </row>
    <row r="2975" spans="2:28" ht="20.100000000000001" customHeight="1">
      <c r="B2975" s="172"/>
      <c r="C2975" s="174"/>
      <c r="D2975" s="181"/>
      <c r="E2975" s="173"/>
      <c r="F2975" s="176"/>
      <c r="G2975" s="175">
        <f t="shared" si="250"/>
        <v>0</v>
      </c>
      <c r="H2975" s="175">
        <f t="shared" si="243"/>
        <v>0</v>
      </c>
      <c r="I2975" s="177">
        <f>IF(G2975=0,0,IF(E2975="MXN",1/HLOOKUP(YEAR(C2975)+(MONTH(C2975)/100),TC!$5:$37,DAY(C2975)+2,FALSE),VLOOKUP(E2975,Equivalencia!$5:$23,((MAX(Equivalencia!$3:$3)-YEAR(C2975))*14)+MONTH(C2975)+2,FALSE)))</f>
        <v>0</v>
      </c>
      <c r="J2975" s="178">
        <f t="shared" si="251"/>
        <v>0</v>
      </c>
      <c r="K2975" s="462">
        <f>IF(C2975=0,0,VLOOKUP(YEAR(C2975),INPC!$B$4:$O$29,MONTH(C2975)+1))</f>
        <v>0</v>
      </c>
      <c r="L2975" s="462">
        <f>IF(S2975=0,0,VLOOKUP(YEAR(S2975),INPC!$B$4:$O$29,MONTH(S2975)+1))</f>
        <v>0</v>
      </c>
      <c r="M2975" s="463">
        <f t="shared" si="244"/>
        <v>0</v>
      </c>
      <c r="N2975" s="465">
        <f t="shared" si="252"/>
        <v>0</v>
      </c>
      <c r="O2975" s="179"/>
      <c r="P2975" s="180"/>
      <c r="Q2975" s="173"/>
      <c r="R2975" s="173"/>
      <c r="S2975" s="174"/>
      <c r="T2975" s="173"/>
      <c r="U2975" s="182"/>
      <c r="V2975" s="177">
        <f>IF(U2975=0,0,IF(T2975="MXN",1/HLOOKUP(YEAR(S2975)+(MONTH(S2975)/100),TC!$5:$37,DAY(S2975)+2,FALSE),VLOOKUP(T2975,Equivalencia!$1:$23,((MAX(Equivalencia!$3:$3)-YEAR(S2975))*14)+MONTH(S2975)+2,FALSE)))</f>
        <v>0</v>
      </c>
      <c r="W2975" s="178">
        <f t="shared" si="249"/>
        <v>0</v>
      </c>
      <c r="X2975" s="481">
        <f t="shared" si="245"/>
        <v>0</v>
      </c>
      <c r="Y2975" s="179"/>
      <c r="Z2975" s="466">
        <f t="shared" si="246"/>
        <v>0</v>
      </c>
      <c r="AA2975" s="473">
        <f t="shared" si="247"/>
        <v>0</v>
      </c>
      <c r="AB2975" s="339">
        <f t="shared" si="248"/>
        <v>0</v>
      </c>
    </row>
    <row r="2976" spans="2:28" ht="20.100000000000001" customHeight="1">
      <c r="B2976" s="172"/>
      <c r="C2976" s="174"/>
      <c r="D2976" s="181"/>
      <c r="E2976" s="173"/>
      <c r="F2976" s="176"/>
      <c r="G2976" s="175">
        <f t="shared" si="250"/>
        <v>0</v>
      </c>
      <c r="H2976" s="175">
        <f t="shared" si="243"/>
        <v>0</v>
      </c>
      <c r="I2976" s="177">
        <f>IF(G2976=0,0,IF(E2976="MXN",1/HLOOKUP(YEAR(C2976)+(MONTH(C2976)/100),TC!$5:$37,DAY(C2976)+2,FALSE),VLOOKUP(E2976,Equivalencia!$5:$23,((MAX(Equivalencia!$3:$3)-YEAR(C2976))*14)+MONTH(C2976)+2,FALSE)))</f>
        <v>0</v>
      </c>
      <c r="J2976" s="178">
        <f t="shared" si="251"/>
        <v>0</v>
      </c>
      <c r="K2976" s="462">
        <f>IF(C2976=0,0,VLOOKUP(YEAR(C2976),INPC!$B$4:$O$29,MONTH(C2976)+1))</f>
        <v>0</v>
      </c>
      <c r="L2976" s="462">
        <f>IF(S2976=0,0,VLOOKUP(YEAR(S2976),INPC!$B$4:$O$29,MONTH(S2976)+1))</f>
        <v>0</v>
      </c>
      <c r="M2976" s="463">
        <f t="shared" si="244"/>
        <v>0</v>
      </c>
      <c r="N2976" s="465">
        <f t="shared" si="252"/>
        <v>0</v>
      </c>
      <c r="O2976" s="179"/>
      <c r="P2976" s="180"/>
      <c r="Q2976" s="173"/>
      <c r="R2976" s="173"/>
      <c r="S2976" s="174"/>
      <c r="T2976" s="173"/>
      <c r="U2976" s="182"/>
      <c r="V2976" s="177">
        <f>IF(U2976=0,0,IF(T2976="MXN",1/HLOOKUP(YEAR(S2976)+(MONTH(S2976)/100),TC!$5:$37,DAY(S2976)+2,FALSE),VLOOKUP(T2976,Equivalencia!$1:$23,((MAX(Equivalencia!$3:$3)-YEAR(S2976))*14)+MONTH(S2976)+2,FALSE)))</f>
        <v>0</v>
      </c>
      <c r="W2976" s="178">
        <f t="shared" si="249"/>
        <v>0</v>
      </c>
      <c r="X2976" s="481">
        <f t="shared" si="245"/>
        <v>0</v>
      </c>
      <c r="Y2976" s="179"/>
      <c r="Z2976" s="466">
        <f t="shared" si="246"/>
        <v>0</v>
      </c>
      <c r="AA2976" s="473">
        <f t="shared" si="247"/>
        <v>0</v>
      </c>
      <c r="AB2976" s="339">
        <f t="shared" si="248"/>
        <v>0</v>
      </c>
    </row>
    <row r="2977" spans="2:28" ht="20.100000000000001" customHeight="1">
      <c r="B2977" s="172"/>
      <c r="C2977" s="174"/>
      <c r="D2977" s="181"/>
      <c r="E2977" s="173"/>
      <c r="F2977" s="176"/>
      <c r="G2977" s="175">
        <f t="shared" si="250"/>
        <v>0</v>
      </c>
      <c r="H2977" s="175">
        <f t="shared" si="243"/>
        <v>0</v>
      </c>
      <c r="I2977" s="177">
        <f>IF(G2977=0,0,IF(E2977="MXN",1/HLOOKUP(YEAR(C2977)+(MONTH(C2977)/100),TC!$5:$37,DAY(C2977)+2,FALSE),VLOOKUP(E2977,Equivalencia!$5:$23,((MAX(Equivalencia!$3:$3)-YEAR(C2977))*14)+MONTH(C2977)+2,FALSE)))</f>
        <v>0</v>
      </c>
      <c r="J2977" s="178">
        <f t="shared" si="251"/>
        <v>0</v>
      </c>
      <c r="K2977" s="462">
        <f>IF(C2977=0,0,VLOOKUP(YEAR(C2977),INPC!$B$4:$O$29,MONTH(C2977)+1))</f>
        <v>0</v>
      </c>
      <c r="L2977" s="462">
        <f>IF(S2977=0,0,VLOOKUP(YEAR(S2977),INPC!$B$4:$O$29,MONTH(S2977)+1))</f>
        <v>0</v>
      </c>
      <c r="M2977" s="463">
        <f t="shared" si="244"/>
        <v>0</v>
      </c>
      <c r="N2977" s="465">
        <f t="shared" si="252"/>
        <v>0</v>
      </c>
      <c r="O2977" s="179"/>
      <c r="P2977" s="180"/>
      <c r="Q2977" s="173"/>
      <c r="R2977" s="173"/>
      <c r="S2977" s="174"/>
      <c r="T2977" s="173"/>
      <c r="U2977" s="182"/>
      <c r="V2977" s="177">
        <f>IF(U2977=0,0,IF(T2977="MXN",1/HLOOKUP(YEAR(S2977)+(MONTH(S2977)/100),TC!$5:$37,DAY(S2977)+2,FALSE),VLOOKUP(T2977,Equivalencia!$1:$23,((MAX(Equivalencia!$3:$3)-YEAR(S2977))*14)+MONTH(S2977)+2,FALSE)))</f>
        <v>0</v>
      </c>
      <c r="W2977" s="178">
        <f t="shared" si="249"/>
        <v>0</v>
      </c>
      <c r="X2977" s="481">
        <f t="shared" si="245"/>
        <v>0</v>
      </c>
      <c r="Y2977" s="179"/>
      <c r="Z2977" s="466">
        <f t="shared" si="246"/>
        <v>0</v>
      </c>
      <c r="AA2977" s="473">
        <f t="shared" si="247"/>
        <v>0</v>
      </c>
      <c r="AB2977" s="339">
        <f t="shared" si="248"/>
        <v>0</v>
      </c>
    </row>
    <row r="2978" spans="2:28" ht="20.100000000000001" customHeight="1">
      <c r="B2978" s="172"/>
      <c r="C2978" s="174"/>
      <c r="D2978" s="181"/>
      <c r="E2978" s="173"/>
      <c r="F2978" s="176"/>
      <c r="G2978" s="175">
        <f t="shared" si="250"/>
        <v>0</v>
      </c>
      <c r="H2978" s="175">
        <f t="shared" si="243"/>
        <v>0</v>
      </c>
      <c r="I2978" s="177">
        <f>IF(G2978=0,0,IF(E2978="MXN",1/HLOOKUP(YEAR(C2978)+(MONTH(C2978)/100),TC!$5:$37,DAY(C2978)+2,FALSE),VLOOKUP(E2978,Equivalencia!$5:$23,((MAX(Equivalencia!$3:$3)-YEAR(C2978))*14)+MONTH(C2978)+2,FALSE)))</f>
        <v>0</v>
      </c>
      <c r="J2978" s="178">
        <f t="shared" si="251"/>
        <v>0</v>
      </c>
      <c r="K2978" s="462">
        <f>IF(C2978=0,0,VLOOKUP(YEAR(C2978),INPC!$B$4:$O$29,MONTH(C2978)+1))</f>
        <v>0</v>
      </c>
      <c r="L2978" s="462">
        <f>IF(S2978=0,0,VLOOKUP(YEAR(S2978),INPC!$B$4:$O$29,MONTH(S2978)+1))</f>
        <v>0</v>
      </c>
      <c r="M2978" s="463">
        <f t="shared" si="244"/>
        <v>0</v>
      </c>
      <c r="N2978" s="465">
        <f t="shared" si="252"/>
        <v>0</v>
      </c>
      <c r="O2978" s="179"/>
      <c r="P2978" s="180"/>
      <c r="Q2978" s="173"/>
      <c r="R2978" s="173"/>
      <c r="S2978" s="174"/>
      <c r="T2978" s="173"/>
      <c r="U2978" s="182"/>
      <c r="V2978" s="177">
        <f>IF(U2978=0,0,IF(T2978="MXN",1/HLOOKUP(YEAR(S2978)+(MONTH(S2978)/100),TC!$5:$37,DAY(S2978)+2,FALSE),VLOOKUP(T2978,Equivalencia!$1:$23,((MAX(Equivalencia!$3:$3)-YEAR(S2978))*14)+MONTH(S2978)+2,FALSE)))</f>
        <v>0</v>
      </c>
      <c r="W2978" s="178">
        <f t="shared" si="249"/>
        <v>0</v>
      </c>
      <c r="X2978" s="481">
        <f t="shared" si="245"/>
        <v>0</v>
      </c>
      <c r="Y2978" s="179"/>
      <c r="Z2978" s="466">
        <f t="shared" si="246"/>
        <v>0</v>
      </c>
      <c r="AA2978" s="473">
        <f t="shared" si="247"/>
        <v>0</v>
      </c>
      <c r="AB2978" s="339">
        <f t="shared" si="248"/>
        <v>0</v>
      </c>
    </row>
    <row r="2979" spans="2:28" ht="20.100000000000001" customHeight="1">
      <c r="B2979" s="172"/>
      <c r="C2979" s="174"/>
      <c r="D2979" s="181"/>
      <c r="E2979" s="173"/>
      <c r="F2979" s="176"/>
      <c r="G2979" s="175">
        <f t="shared" si="250"/>
        <v>0</v>
      </c>
      <c r="H2979" s="175">
        <f t="shared" si="243"/>
        <v>0</v>
      </c>
      <c r="I2979" s="177">
        <f>IF(G2979=0,0,IF(E2979="MXN",1/HLOOKUP(YEAR(C2979)+(MONTH(C2979)/100),TC!$5:$37,DAY(C2979)+2,FALSE),VLOOKUP(E2979,Equivalencia!$5:$23,((MAX(Equivalencia!$3:$3)-YEAR(C2979))*14)+MONTH(C2979)+2,FALSE)))</f>
        <v>0</v>
      </c>
      <c r="J2979" s="178">
        <f t="shared" si="251"/>
        <v>0</v>
      </c>
      <c r="K2979" s="462">
        <f>IF(C2979=0,0,VLOOKUP(YEAR(C2979),INPC!$B$4:$O$29,MONTH(C2979)+1))</f>
        <v>0</v>
      </c>
      <c r="L2979" s="462">
        <f>IF(S2979=0,0,VLOOKUP(YEAR(S2979),INPC!$B$4:$O$29,MONTH(S2979)+1))</f>
        <v>0</v>
      </c>
      <c r="M2979" s="463">
        <f t="shared" si="244"/>
        <v>0</v>
      </c>
      <c r="N2979" s="465">
        <f t="shared" si="252"/>
        <v>0</v>
      </c>
      <c r="O2979" s="179"/>
      <c r="P2979" s="180"/>
      <c r="Q2979" s="173"/>
      <c r="R2979" s="173"/>
      <c r="S2979" s="174"/>
      <c r="T2979" s="173"/>
      <c r="U2979" s="182"/>
      <c r="V2979" s="177">
        <f>IF(U2979=0,0,IF(T2979="MXN",1/HLOOKUP(YEAR(S2979)+(MONTH(S2979)/100),TC!$5:$37,DAY(S2979)+2,FALSE),VLOOKUP(T2979,Equivalencia!$1:$23,((MAX(Equivalencia!$3:$3)-YEAR(S2979))*14)+MONTH(S2979)+2,FALSE)))</f>
        <v>0</v>
      </c>
      <c r="W2979" s="178">
        <f t="shared" si="249"/>
        <v>0</v>
      </c>
      <c r="X2979" s="481">
        <f t="shared" si="245"/>
        <v>0</v>
      </c>
      <c r="Y2979" s="179"/>
      <c r="Z2979" s="466">
        <f t="shared" si="246"/>
        <v>0</v>
      </c>
      <c r="AA2979" s="473">
        <f t="shared" si="247"/>
        <v>0</v>
      </c>
      <c r="AB2979" s="339">
        <f t="shared" si="248"/>
        <v>0</v>
      </c>
    </row>
    <row r="2980" spans="2:28" ht="20.100000000000001" customHeight="1">
      <c r="B2980" s="172"/>
      <c r="C2980" s="174"/>
      <c r="D2980" s="181"/>
      <c r="E2980" s="173"/>
      <c r="F2980" s="176"/>
      <c r="G2980" s="175">
        <f t="shared" si="250"/>
        <v>0</v>
      </c>
      <c r="H2980" s="175">
        <f t="shared" si="243"/>
        <v>0</v>
      </c>
      <c r="I2980" s="177">
        <f>IF(G2980=0,0,IF(E2980="MXN",1/HLOOKUP(YEAR(C2980)+(MONTH(C2980)/100),TC!$5:$37,DAY(C2980)+2,FALSE),VLOOKUP(E2980,Equivalencia!$5:$23,((MAX(Equivalencia!$3:$3)-YEAR(C2980))*14)+MONTH(C2980)+2,FALSE)))</f>
        <v>0</v>
      </c>
      <c r="J2980" s="178">
        <f t="shared" si="251"/>
        <v>0</v>
      </c>
      <c r="K2980" s="462">
        <f>IF(C2980=0,0,VLOOKUP(YEAR(C2980),INPC!$B$4:$O$29,MONTH(C2980)+1))</f>
        <v>0</v>
      </c>
      <c r="L2980" s="462">
        <f>IF(S2980=0,0,VLOOKUP(YEAR(S2980),INPC!$B$4:$O$29,MONTH(S2980)+1))</f>
        <v>0</v>
      </c>
      <c r="M2980" s="463">
        <f t="shared" si="244"/>
        <v>0</v>
      </c>
      <c r="N2980" s="465">
        <f t="shared" si="252"/>
        <v>0</v>
      </c>
      <c r="O2980" s="179"/>
      <c r="P2980" s="180"/>
      <c r="Q2980" s="173"/>
      <c r="R2980" s="173"/>
      <c r="S2980" s="174"/>
      <c r="T2980" s="173"/>
      <c r="U2980" s="182"/>
      <c r="V2980" s="177">
        <f>IF(U2980=0,0,IF(T2980="MXN",1/HLOOKUP(YEAR(S2980)+(MONTH(S2980)/100),TC!$5:$37,DAY(S2980)+2,FALSE),VLOOKUP(T2980,Equivalencia!$1:$23,((MAX(Equivalencia!$3:$3)-YEAR(S2980))*14)+MONTH(S2980)+2,FALSE)))</f>
        <v>0</v>
      </c>
      <c r="W2980" s="178">
        <f t="shared" si="249"/>
        <v>0</v>
      </c>
      <c r="X2980" s="481">
        <f t="shared" si="245"/>
        <v>0</v>
      </c>
      <c r="Y2980" s="179"/>
      <c r="Z2980" s="466">
        <f t="shared" si="246"/>
        <v>0</v>
      </c>
      <c r="AA2980" s="473">
        <f t="shared" si="247"/>
        <v>0</v>
      </c>
      <c r="AB2980" s="339">
        <f t="shared" si="248"/>
        <v>0</v>
      </c>
    </row>
    <row r="2981" spans="2:28" ht="20.100000000000001" customHeight="1">
      <c r="B2981" s="172"/>
      <c r="C2981" s="174"/>
      <c r="D2981" s="181"/>
      <c r="E2981" s="173"/>
      <c r="F2981" s="176"/>
      <c r="G2981" s="175">
        <f t="shared" si="250"/>
        <v>0</v>
      </c>
      <c r="H2981" s="175">
        <f t="shared" si="243"/>
        <v>0</v>
      </c>
      <c r="I2981" s="177">
        <f>IF(G2981=0,0,IF(E2981="MXN",1/HLOOKUP(YEAR(C2981)+(MONTH(C2981)/100),TC!$5:$37,DAY(C2981)+2,FALSE),VLOOKUP(E2981,Equivalencia!$5:$23,((MAX(Equivalencia!$3:$3)-YEAR(C2981))*14)+MONTH(C2981)+2,FALSE)))</f>
        <v>0</v>
      </c>
      <c r="J2981" s="178">
        <f t="shared" si="251"/>
        <v>0</v>
      </c>
      <c r="K2981" s="462">
        <f>IF(C2981=0,0,VLOOKUP(YEAR(C2981),INPC!$B$4:$O$29,MONTH(C2981)+1))</f>
        <v>0</v>
      </c>
      <c r="L2981" s="462">
        <f>IF(S2981=0,0,VLOOKUP(YEAR(S2981),INPC!$B$4:$O$29,MONTH(S2981)+1))</f>
        <v>0</v>
      </c>
      <c r="M2981" s="463">
        <f t="shared" si="244"/>
        <v>0</v>
      </c>
      <c r="N2981" s="465">
        <f t="shared" si="252"/>
        <v>0</v>
      </c>
      <c r="O2981" s="179"/>
      <c r="P2981" s="180"/>
      <c r="Q2981" s="173"/>
      <c r="R2981" s="173"/>
      <c r="S2981" s="174"/>
      <c r="T2981" s="173"/>
      <c r="U2981" s="182"/>
      <c r="V2981" s="177">
        <f>IF(U2981=0,0,IF(T2981="MXN",1/HLOOKUP(YEAR(S2981)+(MONTH(S2981)/100),TC!$5:$37,DAY(S2981)+2,FALSE),VLOOKUP(T2981,Equivalencia!$1:$23,((MAX(Equivalencia!$3:$3)-YEAR(S2981))*14)+MONTH(S2981)+2,FALSE)))</f>
        <v>0</v>
      </c>
      <c r="W2981" s="178">
        <f t="shared" si="249"/>
        <v>0</v>
      </c>
      <c r="X2981" s="481">
        <f t="shared" si="245"/>
        <v>0</v>
      </c>
      <c r="Y2981" s="179"/>
      <c r="Z2981" s="466">
        <f t="shared" si="246"/>
        <v>0</v>
      </c>
      <c r="AA2981" s="473">
        <f t="shared" si="247"/>
        <v>0</v>
      </c>
      <c r="AB2981" s="339">
        <f t="shared" si="248"/>
        <v>0</v>
      </c>
    </row>
    <row r="2982" spans="2:28" ht="20.100000000000001" customHeight="1">
      <c r="B2982" s="172"/>
      <c r="C2982" s="174"/>
      <c r="D2982" s="181"/>
      <c r="E2982" s="173"/>
      <c r="F2982" s="176"/>
      <c r="G2982" s="175">
        <f t="shared" si="250"/>
        <v>0</v>
      </c>
      <c r="H2982" s="175">
        <f t="shared" si="243"/>
        <v>0</v>
      </c>
      <c r="I2982" s="177">
        <f>IF(G2982=0,0,IF(E2982="MXN",1/HLOOKUP(YEAR(C2982)+(MONTH(C2982)/100),TC!$5:$37,DAY(C2982)+2,FALSE),VLOOKUP(E2982,Equivalencia!$5:$23,((MAX(Equivalencia!$3:$3)-YEAR(C2982))*14)+MONTH(C2982)+2,FALSE)))</f>
        <v>0</v>
      </c>
      <c r="J2982" s="178">
        <f t="shared" si="251"/>
        <v>0</v>
      </c>
      <c r="K2982" s="462">
        <f>IF(C2982=0,0,VLOOKUP(YEAR(C2982),INPC!$B$4:$O$29,MONTH(C2982)+1))</f>
        <v>0</v>
      </c>
      <c r="L2982" s="462">
        <f>IF(S2982=0,0,VLOOKUP(YEAR(S2982),INPC!$B$4:$O$29,MONTH(S2982)+1))</f>
        <v>0</v>
      </c>
      <c r="M2982" s="463">
        <f t="shared" si="244"/>
        <v>0</v>
      </c>
      <c r="N2982" s="465">
        <f t="shared" si="252"/>
        <v>0</v>
      </c>
      <c r="O2982" s="179"/>
      <c r="P2982" s="180"/>
      <c r="Q2982" s="173"/>
      <c r="R2982" s="173"/>
      <c r="S2982" s="174"/>
      <c r="T2982" s="173"/>
      <c r="U2982" s="182"/>
      <c r="V2982" s="177">
        <f>IF(U2982=0,0,IF(T2982="MXN",1/HLOOKUP(YEAR(S2982)+(MONTH(S2982)/100),TC!$5:$37,DAY(S2982)+2,FALSE),VLOOKUP(T2982,Equivalencia!$1:$23,((MAX(Equivalencia!$3:$3)-YEAR(S2982))*14)+MONTH(S2982)+2,FALSE)))</f>
        <v>0</v>
      </c>
      <c r="W2982" s="178">
        <f t="shared" si="249"/>
        <v>0</v>
      </c>
      <c r="X2982" s="481">
        <f t="shared" si="245"/>
        <v>0</v>
      </c>
      <c r="Y2982" s="179"/>
      <c r="Z2982" s="466">
        <f t="shared" si="246"/>
        <v>0</v>
      </c>
      <c r="AA2982" s="473">
        <f t="shared" si="247"/>
        <v>0</v>
      </c>
      <c r="AB2982" s="339">
        <f t="shared" si="248"/>
        <v>0</v>
      </c>
    </row>
    <row r="2983" spans="2:28" ht="20.100000000000001" customHeight="1">
      <c r="B2983" s="172"/>
      <c r="C2983" s="174"/>
      <c r="D2983" s="181"/>
      <c r="E2983" s="173"/>
      <c r="F2983" s="176"/>
      <c r="G2983" s="175">
        <f t="shared" si="250"/>
        <v>0</v>
      </c>
      <c r="H2983" s="175">
        <f t="shared" si="243"/>
        <v>0</v>
      </c>
      <c r="I2983" s="177">
        <f>IF(G2983=0,0,IF(E2983="MXN",1/HLOOKUP(YEAR(C2983)+(MONTH(C2983)/100),TC!$5:$37,DAY(C2983)+2,FALSE),VLOOKUP(E2983,Equivalencia!$5:$23,((MAX(Equivalencia!$3:$3)-YEAR(C2983))*14)+MONTH(C2983)+2,FALSE)))</f>
        <v>0</v>
      </c>
      <c r="J2983" s="178">
        <f t="shared" si="251"/>
        <v>0</v>
      </c>
      <c r="K2983" s="462">
        <f>IF(C2983=0,0,VLOOKUP(YEAR(C2983),INPC!$B$4:$O$29,MONTH(C2983)+1))</f>
        <v>0</v>
      </c>
      <c r="L2983" s="462">
        <f>IF(S2983=0,0,VLOOKUP(YEAR(S2983),INPC!$B$4:$O$29,MONTH(S2983)+1))</f>
        <v>0</v>
      </c>
      <c r="M2983" s="463">
        <f t="shared" si="244"/>
        <v>0</v>
      </c>
      <c r="N2983" s="465">
        <f t="shared" si="252"/>
        <v>0</v>
      </c>
      <c r="O2983" s="179"/>
      <c r="P2983" s="180"/>
      <c r="Q2983" s="173"/>
      <c r="R2983" s="173"/>
      <c r="S2983" s="174"/>
      <c r="T2983" s="173"/>
      <c r="U2983" s="182"/>
      <c r="V2983" s="177">
        <f>IF(U2983=0,0,IF(T2983="MXN",1/HLOOKUP(YEAR(S2983)+(MONTH(S2983)/100),TC!$5:$37,DAY(S2983)+2,FALSE),VLOOKUP(T2983,Equivalencia!$1:$23,((MAX(Equivalencia!$3:$3)-YEAR(S2983))*14)+MONTH(S2983)+2,FALSE)))</f>
        <v>0</v>
      </c>
      <c r="W2983" s="178">
        <f t="shared" si="249"/>
        <v>0</v>
      </c>
      <c r="X2983" s="481">
        <f t="shared" si="245"/>
        <v>0</v>
      </c>
      <c r="Y2983" s="179"/>
      <c r="Z2983" s="466">
        <f t="shared" si="246"/>
        <v>0</v>
      </c>
      <c r="AA2983" s="473">
        <f t="shared" si="247"/>
        <v>0</v>
      </c>
      <c r="AB2983" s="339">
        <f t="shared" si="248"/>
        <v>0</v>
      </c>
    </row>
    <row r="2984" spans="2:28" ht="20.100000000000001" customHeight="1">
      <c r="B2984" s="172"/>
      <c r="C2984" s="174"/>
      <c r="D2984" s="181"/>
      <c r="E2984" s="173"/>
      <c r="F2984" s="176"/>
      <c r="G2984" s="175">
        <f t="shared" si="250"/>
        <v>0</v>
      </c>
      <c r="H2984" s="175">
        <f t="shared" si="243"/>
        <v>0</v>
      </c>
      <c r="I2984" s="177">
        <f>IF(G2984=0,0,IF(E2984="MXN",1/HLOOKUP(YEAR(C2984)+(MONTH(C2984)/100),TC!$5:$37,DAY(C2984)+2,FALSE),VLOOKUP(E2984,Equivalencia!$5:$23,((MAX(Equivalencia!$3:$3)-YEAR(C2984))*14)+MONTH(C2984)+2,FALSE)))</f>
        <v>0</v>
      </c>
      <c r="J2984" s="178">
        <f t="shared" si="251"/>
        <v>0</v>
      </c>
      <c r="K2984" s="462">
        <f>IF(C2984=0,0,VLOOKUP(YEAR(C2984),INPC!$B$4:$O$29,MONTH(C2984)+1))</f>
        <v>0</v>
      </c>
      <c r="L2984" s="462">
        <f>IF(S2984=0,0,VLOOKUP(YEAR(S2984),INPC!$B$4:$O$29,MONTH(S2984)+1))</f>
        <v>0</v>
      </c>
      <c r="M2984" s="463">
        <f t="shared" si="244"/>
        <v>0</v>
      </c>
      <c r="N2984" s="465">
        <f t="shared" si="252"/>
        <v>0</v>
      </c>
      <c r="O2984" s="179"/>
      <c r="P2984" s="180"/>
      <c r="Q2984" s="173"/>
      <c r="R2984" s="173"/>
      <c r="S2984" s="174"/>
      <c r="T2984" s="173"/>
      <c r="U2984" s="182"/>
      <c r="V2984" s="177">
        <f>IF(U2984=0,0,IF(T2984="MXN",1/HLOOKUP(YEAR(S2984)+(MONTH(S2984)/100),TC!$5:$37,DAY(S2984)+2,FALSE),VLOOKUP(T2984,Equivalencia!$1:$23,((MAX(Equivalencia!$3:$3)-YEAR(S2984))*14)+MONTH(S2984)+2,FALSE)))</f>
        <v>0</v>
      </c>
      <c r="W2984" s="178">
        <f t="shared" si="249"/>
        <v>0</v>
      </c>
      <c r="X2984" s="481">
        <f t="shared" si="245"/>
        <v>0</v>
      </c>
      <c r="Y2984" s="179"/>
      <c r="Z2984" s="466">
        <f t="shared" si="246"/>
        <v>0</v>
      </c>
      <c r="AA2984" s="473">
        <f t="shared" si="247"/>
        <v>0</v>
      </c>
      <c r="AB2984" s="339">
        <f t="shared" si="248"/>
        <v>0</v>
      </c>
    </row>
    <row r="2985" spans="2:28" ht="20.100000000000001" customHeight="1">
      <c r="B2985" s="172"/>
      <c r="C2985" s="174"/>
      <c r="D2985" s="181"/>
      <c r="E2985" s="173"/>
      <c r="F2985" s="176"/>
      <c r="G2985" s="175">
        <f t="shared" si="250"/>
        <v>0</v>
      </c>
      <c r="H2985" s="175">
        <f t="shared" si="243"/>
        <v>0</v>
      </c>
      <c r="I2985" s="177">
        <f>IF(G2985=0,0,IF(E2985="MXN",1/HLOOKUP(YEAR(C2985)+(MONTH(C2985)/100),TC!$5:$37,DAY(C2985)+2,FALSE),VLOOKUP(E2985,Equivalencia!$5:$23,((MAX(Equivalencia!$3:$3)-YEAR(C2985))*14)+MONTH(C2985)+2,FALSE)))</f>
        <v>0</v>
      </c>
      <c r="J2985" s="178">
        <f t="shared" si="251"/>
        <v>0</v>
      </c>
      <c r="K2985" s="462">
        <f>IF(C2985=0,0,VLOOKUP(YEAR(C2985),INPC!$B$4:$O$29,MONTH(C2985)+1))</f>
        <v>0</v>
      </c>
      <c r="L2985" s="462">
        <f>IF(S2985=0,0,VLOOKUP(YEAR(S2985),INPC!$B$4:$O$29,MONTH(S2985)+1))</f>
        <v>0</v>
      </c>
      <c r="M2985" s="463">
        <f t="shared" si="244"/>
        <v>0</v>
      </c>
      <c r="N2985" s="465">
        <f t="shared" si="252"/>
        <v>0</v>
      </c>
      <c r="O2985" s="179"/>
      <c r="P2985" s="180"/>
      <c r="Q2985" s="173"/>
      <c r="R2985" s="173"/>
      <c r="S2985" s="174"/>
      <c r="T2985" s="173"/>
      <c r="U2985" s="182"/>
      <c r="V2985" s="177">
        <f>IF(U2985=0,0,IF(T2985="MXN",1/HLOOKUP(YEAR(S2985)+(MONTH(S2985)/100),TC!$5:$37,DAY(S2985)+2,FALSE),VLOOKUP(T2985,Equivalencia!$1:$23,((MAX(Equivalencia!$3:$3)-YEAR(S2985))*14)+MONTH(S2985)+2,FALSE)))</f>
        <v>0</v>
      </c>
      <c r="W2985" s="178">
        <f t="shared" si="249"/>
        <v>0</v>
      </c>
      <c r="X2985" s="481">
        <f t="shared" si="245"/>
        <v>0</v>
      </c>
      <c r="Y2985" s="179"/>
      <c r="Z2985" s="466">
        <f t="shared" si="246"/>
        <v>0</v>
      </c>
      <c r="AA2985" s="473">
        <f t="shared" si="247"/>
        <v>0</v>
      </c>
      <c r="AB2985" s="339">
        <f t="shared" si="248"/>
        <v>0</v>
      </c>
    </row>
    <row r="2986" spans="2:28" ht="20.100000000000001" customHeight="1">
      <c r="B2986" s="172"/>
      <c r="C2986" s="174"/>
      <c r="D2986" s="181"/>
      <c r="E2986" s="173"/>
      <c r="F2986" s="176"/>
      <c r="G2986" s="175">
        <f t="shared" si="250"/>
        <v>0</v>
      </c>
      <c r="H2986" s="175">
        <f t="shared" si="243"/>
        <v>0</v>
      </c>
      <c r="I2986" s="177">
        <f>IF(G2986=0,0,IF(E2986="MXN",1/HLOOKUP(YEAR(C2986)+(MONTH(C2986)/100),TC!$5:$37,DAY(C2986)+2,FALSE),VLOOKUP(E2986,Equivalencia!$5:$23,((MAX(Equivalencia!$3:$3)-YEAR(C2986))*14)+MONTH(C2986)+2,FALSE)))</f>
        <v>0</v>
      </c>
      <c r="J2986" s="178">
        <f t="shared" si="251"/>
        <v>0</v>
      </c>
      <c r="K2986" s="462">
        <f>IF(C2986=0,0,VLOOKUP(YEAR(C2986),INPC!$B$4:$O$29,MONTH(C2986)+1))</f>
        <v>0</v>
      </c>
      <c r="L2986" s="462">
        <f>IF(S2986=0,0,VLOOKUP(YEAR(S2986),INPC!$B$4:$O$29,MONTH(S2986)+1))</f>
        <v>0</v>
      </c>
      <c r="M2986" s="463">
        <f t="shared" si="244"/>
        <v>0</v>
      </c>
      <c r="N2986" s="465">
        <f t="shared" si="252"/>
        <v>0</v>
      </c>
      <c r="O2986" s="179"/>
      <c r="P2986" s="180"/>
      <c r="Q2986" s="173"/>
      <c r="R2986" s="173"/>
      <c r="S2986" s="174"/>
      <c r="T2986" s="173"/>
      <c r="U2986" s="182"/>
      <c r="V2986" s="177">
        <f>IF(U2986=0,0,IF(T2986="MXN",1/HLOOKUP(YEAR(S2986)+(MONTH(S2986)/100),TC!$5:$37,DAY(S2986)+2,FALSE),VLOOKUP(T2986,Equivalencia!$1:$23,((MAX(Equivalencia!$3:$3)-YEAR(S2986))*14)+MONTH(S2986)+2,FALSE)))</f>
        <v>0</v>
      </c>
      <c r="W2986" s="178">
        <f t="shared" si="249"/>
        <v>0</v>
      </c>
      <c r="X2986" s="481">
        <f t="shared" si="245"/>
        <v>0</v>
      </c>
      <c r="Y2986" s="179"/>
      <c r="Z2986" s="466">
        <f t="shared" si="246"/>
        <v>0</v>
      </c>
      <c r="AA2986" s="473">
        <f t="shared" si="247"/>
        <v>0</v>
      </c>
      <c r="AB2986" s="339">
        <f t="shared" si="248"/>
        <v>0</v>
      </c>
    </row>
    <row r="2987" spans="2:28" ht="20.100000000000001" customHeight="1">
      <c r="B2987" s="172"/>
      <c r="C2987" s="174"/>
      <c r="D2987" s="181"/>
      <c r="E2987" s="173"/>
      <c r="F2987" s="176"/>
      <c r="G2987" s="175">
        <f t="shared" si="250"/>
        <v>0</v>
      </c>
      <c r="H2987" s="175">
        <f t="shared" si="243"/>
        <v>0</v>
      </c>
      <c r="I2987" s="177">
        <f>IF(G2987=0,0,IF(E2987="MXN",1/HLOOKUP(YEAR(C2987)+(MONTH(C2987)/100),TC!$5:$37,DAY(C2987)+2,FALSE),VLOOKUP(E2987,Equivalencia!$5:$23,((MAX(Equivalencia!$3:$3)-YEAR(C2987))*14)+MONTH(C2987)+2,FALSE)))</f>
        <v>0</v>
      </c>
      <c r="J2987" s="178">
        <f t="shared" si="251"/>
        <v>0</v>
      </c>
      <c r="K2987" s="462">
        <f>IF(C2987=0,0,VLOOKUP(YEAR(C2987),INPC!$B$4:$O$29,MONTH(C2987)+1))</f>
        <v>0</v>
      </c>
      <c r="L2987" s="462">
        <f>IF(S2987=0,0,VLOOKUP(YEAR(S2987),INPC!$B$4:$O$29,MONTH(S2987)+1))</f>
        <v>0</v>
      </c>
      <c r="M2987" s="463">
        <f t="shared" si="244"/>
        <v>0</v>
      </c>
      <c r="N2987" s="465">
        <f t="shared" si="252"/>
        <v>0</v>
      </c>
      <c r="O2987" s="179"/>
      <c r="P2987" s="180"/>
      <c r="Q2987" s="173"/>
      <c r="R2987" s="173"/>
      <c r="S2987" s="174"/>
      <c r="T2987" s="173"/>
      <c r="U2987" s="182"/>
      <c r="V2987" s="177">
        <f>IF(U2987=0,0,IF(T2987="MXN",1/HLOOKUP(YEAR(S2987)+(MONTH(S2987)/100),TC!$5:$37,DAY(S2987)+2,FALSE),VLOOKUP(T2987,Equivalencia!$1:$23,((MAX(Equivalencia!$3:$3)-YEAR(S2987))*14)+MONTH(S2987)+2,FALSE)))</f>
        <v>0</v>
      </c>
      <c r="W2987" s="178">
        <f t="shared" si="249"/>
        <v>0</v>
      </c>
      <c r="X2987" s="481">
        <f t="shared" si="245"/>
        <v>0</v>
      </c>
      <c r="Y2987" s="179"/>
      <c r="Z2987" s="466">
        <f t="shared" si="246"/>
        <v>0</v>
      </c>
      <c r="AA2987" s="473">
        <f t="shared" si="247"/>
        <v>0</v>
      </c>
      <c r="AB2987" s="339">
        <f t="shared" si="248"/>
        <v>0</v>
      </c>
    </row>
    <row r="2988" spans="2:28" ht="20.100000000000001" customHeight="1">
      <c r="B2988" s="172"/>
      <c r="C2988" s="174"/>
      <c r="D2988" s="181"/>
      <c r="E2988" s="173"/>
      <c r="F2988" s="176"/>
      <c r="G2988" s="175">
        <f t="shared" si="250"/>
        <v>0</v>
      </c>
      <c r="H2988" s="175">
        <f t="shared" si="243"/>
        <v>0</v>
      </c>
      <c r="I2988" s="177">
        <f>IF(G2988=0,0,IF(E2988="MXN",1/HLOOKUP(YEAR(C2988)+(MONTH(C2988)/100),TC!$5:$37,DAY(C2988)+2,FALSE),VLOOKUP(E2988,Equivalencia!$5:$23,((MAX(Equivalencia!$3:$3)-YEAR(C2988))*14)+MONTH(C2988)+2,FALSE)))</f>
        <v>0</v>
      </c>
      <c r="J2988" s="178">
        <f t="shared" si="251"/>
        <v>0</v>
      </c>
      <c r="K2988" s="462">
        <f>IF(C2988=0,0,VLOOKUP(YEAR(C2988),INPC!$B$4:$O$29,MONTH(C2988)+1))</f>
        <v>0</v>
      </c>
      <c r="L2988" s="462">
        <f>IF(S2988=0,0,VLOOKUP(YEAR(S2988),INPC!$B$4:$O$29,MONTH(S2988)+1))</f>
        <v>0</v>
      </c>
      <c r="M2988" s="463">
        <f t="shared" si="244"/>
        <v>0</v>
      </c>
      <c r="N2988" s="465">
        <f t="shared" si="252"/>
        <v>0</v>
      </c>
      <c r="O2988" s="179"/>
      <c r="P2988" s="180"/>
      <c r="Q2988" s="173"/>
      <c r="R2988" s="173"/>
      <c r="S2988" s="174"/>
      <c r="T2988" s="173"/>
      <c r="U2988" s="182"/>
      <c r="V2988" s="177">
        <f>IF(U2988=0,0,IF(T2988="MXN",1/HLOOKUP(YEAR(S2988)+(MONTH(S2988)/100),TC!$5:$37,DAY(S2988)+2,FALSE),VLOOKUP(T2988,Equivalencia!$1:$23,((MAX(Equivalencia!$3:$3)-YEAR(S2988))*14)+MONTH(S2988)+2,FALSE)))</f>
        <v>0</v>
      </c>
      <c r="W2988" s="178">
        <f t="shared" si="249"/>
        <v>0</v>
      </c>
      <c r="X2988" s="481">
        <f t="shared" si="245"/>
        <v>0</v>
      </c>
      <c r="Y2988" s="179"/>
      <c r="Z2988" s="466">
        <f t="shared" si="246"/>
        <v>0</v>
      </c>
      <c r="AA2988" s="473">
        <f t="shared" si="247"/>
        <v>0</v>
      </c>
      <c r="AB2988" s="339">
        <f t="shared" si="248"/>
        <v>0</v>
      </c>
    </row>
    <row r="2989" spans="2:28" ht="20.100000000000001" customHeight="1">
      <c r="B2989" s="172"/>
      <c r="C2989" s="174"/>
      <c r="D2989" s="181"/>
      <c r="E2989" s="173"/>
      <c r="F2989" s="176"/>
      <c r="G2989" s="175">
        <f t="shared" si="250"/>
        <v>0</v>
      </c>
      <c r="H2989" s="175">
        <f t="shared" si="243"/>
        <v>0</v>
      </c>
      <c r="I2989" s="177">
        <f>IF(G2989=0,0,IF(E2989="MXN",1/HLOOKUP(YEAR(C2989)+(MONTH(C2989)/100),TC!$5:$37,DAY(C2989)+2,FALSE),VLOOKUP(E2989,Equivalencia!$5:$23,((MAX(Equivalencia!$3:$3)-YEAR(C2989))*14)+MONTH(C2989)+2,FALSE)))</f>
        <v>0</v>
      </c>
      <c r="J2989" s="178">
        <f t="shared" si="251"/>
        <v>0</v>
      </c>
      <c r="K2989" s="462">
        <f>IF(C2989=0,0,VLOOKUP(YEAR(C2989),INPC!$B$4:$O$29,MONTH(C2989)+1))</f>
        <v>0</v>
      </c>
      <c r="L2989" s="462">
        <f>IF(S2989=0,0,VLOOKUP(YEAR(S2989),INPC!$B$4:$O$29,MONTH(S2989)+1))</f>
        <v>0</v>
      </c>
      <c r="M2989" s="463">
        <f t="shared" si="244"/>
        <v>0</v>
      </c>
      <c r="N2989" s="465">
        <f t="shared" si="252"/>
        <v>0</v>
      </c>
      <c r="O2989" s="179"/>
      <c r="P2989" s="180"/>
      <c r="Q2989" s="173"/>
      <c r="R2989" s="173"/>
      <c r="S2989" s="174"/>
      <c r="T2989" s="173"/>
      <c r="U2989" s="182"/>
      <c r="V2989" s="177">
        <f>IF(U2989=0,0,IF(T2989="MXN",1/HLOOKUP(YEAR(S2989)+(MONTH(S2989)/100),TC!$5:$37,DAY(S2989)+2,FALSE),VLOOKUP(T2989,Equivalencia!$1:$23,((MAX(Equivalencia!$3:$3)-YEAR(S2989))*14)+MONTH(S2989)+2,FALSE)))</f>
        <v>0</v>
      </c>
      <c r="W2989" s="178">
        <f t="shared" si="249"/>
        <v>0</v>
      </c>
      <c r="X2989" s="481">
        <f t="shared" si="245"/>
        <v>0</v>
      </c>
      <c r="Y2989" s="179"/>
      <c r="Z2989" s="466">
        <f t="shared" si="246"/>
        <v>0</v>
      </c>
      <c r="AA2989" s="473">
        <f t="shared" si="247"/>
        <v>0</v>
      </c>
      <c r="AB2989" s="339">
        <f t="shared" si="248"/>
        <v>0</v>
      </c>
    </row>
    <row r="2990" spans="2:28" ht="20.100000000000001" customHeight="1">
      <c r="B2990" s="172"/>
      <c r="C2990" s="174"/>
      <c r="D2990" s="181"/>
      <c r="E2990" s="173"/>
      <c r="F2990" s="176"/>
      <c r="G2990" s="175">
        <f t="shared" si="250"/>
        <v>0</v>
      </c>
      <c r="H2990" s="175">
        <f t="shared" si="243"/>
        <v>0</v>
      </c>
      <c r="I2990" s="177">
        <f>IF(G2990=0,0,IF(E2990="MXN",1/HLOOKUP(YEAR(C2990)+(MONTH(C2990)/100),TC!$5:$37,DAY(C2990)+2,FALSE),VLOOKUP(E2990,Equivalencia!$5:$23,((MAX(Equivalencia!$3:$3)-YEAR(C2990))*14)+MONTH(C2990)+2,FALSE)))</f>
        <v>0</v>
      </c>
      <c r="J2990" s="178">
        <f t="shared" si="251"/>
        <v>0</v>
      </c>
      <c r="K2990" s="462">
        <f>IF(C2990=0,0,VLOOKUP(YEAR(C2990),INPC!$B$4:$O$29,MONTH(C2990)+1))</f>
        <v>0</v>
      </c>
      <c r="L2990" s="462">
        <f>IF(S2990=0,0,VLOOKUP(YEAR(S2990),INPC!$B$4:$O$29,MONTH(S2990)+1))</f>
        <v>0</v>
      </c>
      <c r="M2990" s="463">
        <f t="shared" si="244"/>
        <v>0</v>
      </c>
      <c r="N2990" s="465">
        <f t="shared" si="252"/>
        <v>0</v>
      </c>
      <c r="O2990" s="179"/>
      <c r="P2990" s="180"/>
      <c r="Q2990" s="173"/>
      <c r="R2990" s="173"/>
      <c r="S2990" s="174"/>
      <c r="T2990" s="173"/>
      <c r="U2990" s="182"/>
      <c r="V2990" s="177">
        <f>IF(U2990=0,0,IF(T2990="MXN",1/HLOOKUP(YEAR(S2990)+(MONTH(S2990)/100),TC!$5:$37,DAY(S2990)+2,FALSE),VLOOKUP(T2990,Equivalencia!$1:$23,((MAX(Equivalencia!$3:$3)-YEAR(S2990))*14)+MONTH(S2990)+2,FALSE)))</f>
        <v>0</v>
      </c>
      <c r="W2990" s="178">
        <f t="shared" si="249"/>
        <v>0</v>
      </c>
      <c r="X2990" s="481">
        <f t="shared" si="245"/>
        <v>0</v>
      </c>
      <c r="Y2990" s="179"/>
      <c r="Z2990" s="466">
        <f t="shared" si="246"/>
        <v>0</v>
      </c>
      <c r="AA2990" s="473">
        <f t="shared" si="247"/>
        <v>0</v>
      </c>
      <c r="AB2990" s="339">
        <f t="shared" si="248"/>
        <v>0</v>
      </c>
    </row>
    <row r="2991" spans="2:28" ht="20.100000000000001" customHeight="1">
      <c r="B2991" s="172"/>
      <c r="C2991" s="174"/>
      <c r="D2991" s="181"/>
      <c r="E2991" s="173"/>
      <c r="F2991" s="176"/>
      <c r="G2991" s="175">
        <f t="shared" si="250"/>
        <v>0</v>
      </c>
      <c r="H2991" s="175">
        <f t="shared" si="243"/>
        <v>0</v>
      </c>
      <c r="I2991" s="177">
        <f>IF(G2991=0,0,IF(E2991="MXN",1/HLOOKUP(YEAR(C2991)+(MONTH(C2991)/100),TC!$5:$37,DAY(C2991)+2,FALSE),VLOOKUP(E2991,Equivalencia!$5:$23,((MAX(Equivalencia!$3:$3)-YEAR(C2991))*14)+MONTH(C2991)+2,FALSE)))</f>
        <v>0</v>
      </c>
      <c r="J2991" s="178">
        <f t="shared" si="251"/>
        <v>0</v>
      </c>
      <c r="K2991" s="462">
        <f>IF(C2991=0,0,VLOOKUP(YEAR(C2991),INPC!$B$4:$O$29,MONTH(C2991)+1))</f>
        <v>0</v>
      </c>
      <c r="L2991" s="462">
        <f>IF(S2991=0,0,VLOOKUP(YEAR(S2991),INPC!$B$4:$O$29,MONTH(S2991)+1))</f>
        <v>0</v>
      </c>
      <c r="M2991" s="463">
        <f t="shared" si="244"/>
        <v>0</v>
      </c>
      <c r="N2991" s="465">
        <f t="shared" si="252"/>
        <v>0</v>
      </c>
      <c r="O2991" s="179"/>
      <c r="P2991" s="180"/>
      <c r="Q2991" s="173"/>
      <c r="R2991" s="173"/>
      <c r="S2991" s="174"/>
      <c r="T2991" s="173"/>
      <c r="U2991" s="182"/>
      <c r="V2991" s="177">
        <f>IF(U2991=0,0,IF(T2991="MXN",1/HLOOKUP(YEAR(S2991)+(MONTH(S2991)/100),TC!$5:$37,DAY(S2991)+2,FALSE),VLOOKUP(T2991,Equivalencia!$1:$23,((MAX(Equivalencia!$3:$3)-YEAR(S2991))*14)+MONTH(S2991)+2,FALSE)))</f>
        <v>0</v>
      </c>
      <c r="W2991" s="178">
        <f t="shared" si="249"/>
        <v>0</v>
      </c>
      <c r="X2991" s="481">
        <f t="shared" si="245"/>
        <v>0</v>
      </c>
      <c r="Y2991" s="179"/>
      <c r="Z2991" s="466">
        <f t="shared" si="246"/>
        <v>0</v>
      </c>
      <c r="AA2991" s="473">
        <f t="shared" si="247"/>
        <v>0</v>
      </c>
      <c r="AB2991" s="339">
        <f t="shared" si="248"/>
        <v>0</v>
      </c>
    </row>
    <row r="2992" spans="2:28" ht="20.100000000000001" customHeight="1">
      <c r="B2992" s="172"/>
      <c r="C2992" s="174"/>
      <c r="D2992" s="181"/>
      <c r="E2992" s="173"/>
      <c r="F2992" s="176"/>
      <c r="G2992" s="175">
        <f t="shared" si="250"/>
        <v>0</v>
      </c>
      <c r="H2992" s="175">
        <f t="shared" si="243"/>
        <v>0</v>
      </c>
      <c r="I2992" s="177">
        <f>IF(G2992=0,0,IF(E2992="MXN",1/HLOOKUP(YEAR(C2992)+(MONTH(C2992)/100),TC!$5:$37,DAY(C2992)+2,FALSE),VLOOKUP(E2992,Equivalencia!$5:$23,((MAX(Equivalencia!$3:$3)-YEAR(C2992))*14)+MONTH(C2992)+2,FALSE)))</f>
        <v>0</v>
      </c>
      <c r="J2992" s="178">
        <f t="shared" si="251"/>
        <v>0</v>
      </c>
      <c r="K2992" s="462">
        <f>IF(C2992=0,0,VLOOKUP(YEAR(C2992),INPC!$B$4:$O$29,MONTH(C2992)+1))</f>
        <v>0</v>
      </c>
      <c r="L2992" s="462">
        <f>IF(S2992=0,0,VLOOKUP(YEAR(S2992),INPC!$B$4:$O$29,MONTH(S2992)+1))</f>
        <v>0</v>
      </c>
      <c r="M2992" s="463">
        <f t="shared" si="244"/>
        <v>0</v>
      </c>
      <c r="N2992" s="465">
        <f t="shared" si="252"/>
        <v>0</v>
      </c>
      <c r="O2992" s="179"/>
      <c r="P2992" s="180"/>
      <c r="Q2992" s="173"/>
      <c r="R2992" s="173"/>
      <c r="S2992" s="174"/>
      <c r="T2992" s="173"/>
      <c r="U2992" s="182"/>
      <c r="V2992" s="177">
        <f>IF(U2992=0,0,IF(T2992="MXN",1/HLOOKUP(YEAR(S2992)+(MONTH(S2992)/100),TC!$5:$37,DAY(S2992)+2,FALSE),VLOOKUP(T2992,Equivalencia!$1:$23,((MAX(Equivalencia!$3:$3)-YEAR(S2992))*14)+MONTH(S2992)+2,FALSE)))</f>
        <v>0</v>
      </c>
      <c r="W2992" s="178">
        <f t="shared" si="249"/>
        <v>0</v>
      </c>
      <c r="X2992" s="481">
        <f t="shared" si="245"/>
        <v>0</v>
      </c>
      <c r="Y2992" s="179"/>
      <c r="Z2992" s="466">
        <f t="shared" si="246"/>
        <v>0</v>
      </c>
      <c r="AA2992" s="473">
        <f t="shared" si="247"/>
        <v>0</v>
      </c>
      <c r="AB2992" s="339">
        <f t="shared" si="248"/>
        <v>0</v>
      </c>
    </row>
    <row r="2993" spans="2:28" ht="20.100000000000001" customHeight="1">
      <c r="B2993" s="172"/>
      <c r="C2993" s="174"/>
      <c r="D2993" s="181"/>
      <c r="E2993" s="173"/>
      <c r="F2993" s="176"/>
      <c r="G2993" s="175">
        <f t="shared" si="250"/>
        <v>0</v>
      </c>
      <c r="H2993" s="175">
        <f t="shared" si="243"/>
        <v>0</v>
      </c>
      <c r="I2993" s="177">
        <f>IF(G2993=0,0,IF(E2993="MXN",1/HLOOKUP(YEAR(C2993)+(MONTH(C2993)/100),TC!$5:$37,DAY(C2993)+2,FALSE),VLOOKUP(E2993,Equivalencia!$5:$23,((MAX(Equivalencia!$3:$3)-YEAR(C2993))*14)+MONTH(C2993)+2,FALSE)))</f>
        <v>0</v>
      </c>
      <c r="J2993" s="178">
        <f t="shared" si="251"/>
        <v>0</v>
      </c>
      <c r="K2993" s="462">
        <f>IF(C2993=0,0,VLOOKUP(YEAR(C2993),INPC!$B$4:$O$29,MONTH(C2993)+1))</f>
        <v>0</v>
      </c>
      <c r="L2993" s="462">
        <f>IF(S2993=0,0,VLOOKUP(YEAR(S2993),INPC!$B$4:$O$29,MONTH(S2993)+1))</f>
        <v>0</v>
      </c>
      <c r="M2993" s="463">
        <f t="shared" si="244"/>
        <v>0</v>
      </c>
      <c r="N2993" s="465">
        <f t="shared" si="252"/>
        <v>0</v>
      </c>
      <c r="O2993" s="179"/>
      <c r="P2993" s="180"/>
      <c r="Q2993" s="173"/>
      <c r="R2993" s="173"/>
      <c r="S2993" s="174"/>
      <c r="T2993" s="173"/>
      <c r="U2993" s="182"/>
      <c r="V2993" s="177">
        <f>IF(U2993=0,0,IF(T2993="MXN",1/HLOOKUP(YEAR(S2993)+(MONTH(S2993)/100),TC!$5:$37,DAY(S2993)+2,FALSE),VLOOKUP(T2993,Equivalencia!$1:$23,((MAX(Equivalencia!$3:$3)-YEAR(S2993))*14)+MONTH(S2993)+2,FALSE)))</f>
        <v>0</v>
      </c>
      <c r="W2993" s="178">
        <f t="shared" si="249"/>
        <v>0</v>
      </c>
      <c r="X2993" s="481">
        <f t="shared" si="245"/>
        <v>0</v>
      </c>
      <c r="Y2993" s="179"/>
      <c r="Z2993" s="466">
        <f t="shared" si="246"/>
        <v>0</v>
      </c>
      <c r="AA2993" s="473">
        <f t="shared" si="247"/>
        <v>0</v>
      </c>
      <c r="AB2993" s="339">
        <f t="shared" si="248"/>
        <v>0</v>
      </c>
    </row>
    <row r="2994" spans="2:28" ht="20.100000000000001" customHeight="1">
      <c r="B2994" s="172"/>
      <c r="C2994" s="174"/>
      <c r="D2994" s="181"/>
      <c r="E2994" s="173"/>
      <c r="F2994" s="176"/>
      <c r="G2994" s="175">
        <f t="shared" si="250"/>
        <v>0</v>
      </c>
      <c r="H2994" s="175">
        <f t="shared" si="243"/>
        <v>0</v>
      </c>
      <c r="I2994" s="177">
        <f>IF(G2994=0,0,IF(E2994="MXN",1/HLOOKUP(YEAR(C2994)+(MONTH(C2994)/100),TC!$5:$37,DAY(C2994)+2,FALSE),VLOOKUP(E2994,Equivalencia!$5:$23,((MAX(Equivalencia!$3:$3)-YEAR(C2994))*14)+MONTH(C2994)+2,FALSE)))</f>
        <v>0</v>
      </c>
      <c r="J2994" s="178">
        <f t="shared" si="251"/>
        <v>0</v>
      </c>
      <c r="K2994" s="462">
        <f>IF(C2994=0,0,VLOOKUP(YEAR(C2994),INPC!$B$4:$O$29,MONTH(C2994)+1))</f>
        <v>0</v>
      </c>
      <c r="L2994" s="462">
        <f>IF(S2994=0,0,VLOOKUP(YEAR(S2994),INPC!$B$4:$O$29,MONTH(S2994)+1))</f>
        <v>0</v>
      </c>
      <c r="M2994" s="463">
        <f t="shared" si="244"/>
        <v>0</v>
      </c>
      <c r="N2994" s="465">
        <f t="shared" si="252"/>
        <v>0</v>
      </c>
      <c r="O2994" s="179"/>
      <c r="P2994" s="180"/>
      <c r="Q2994" s="173"/>
      <c r="R2994" s="173"/>
      <c r="S2994" s="174"/>
      <c r="T2994" s="173"/>
      <c r="U2994" s="182"/>
      <c r="V2994" s="177">
        <f>IF(U2994=0,0,IF(T2994="MXN",1/HLOOKUP(YEAR(S2994)+(MONTH(S2994)/100),TC!$5:$37,DAY(S2994)+2,FALSE),VLOOKUP(T2994,Equivalencia!$1:$23,((MAX(Equivalencia!$3:$3)-YEAR(S2994))*14)+MONTH(S2994)+2,FALSE)))</f>
        <v>0</v>
      </c>
      <c r="W2994" s="178">
        <f t="shared" si="249"/>
        <v>0</v>
      </c>
      <c r="X2994" s="481">
        <f t="shared" si="245"/>
        <v>0</v>
      </c>
      <c r="Y2994" s="179"/>
      <c r="Z2994" s="466">
        <f t="shared" si="246"/>
        <v>0</v>
      </c>
      <c r="AA2994" s="473">
        <f t="shared" si="247"/>
        <v>0</v>
      </c>
      <c r="AB2994" s="339">
        <f t="shared" si="248"/>
        <v>0</v>
      </c>
    </row>
    <row r="2995" spans="2:28" ht="20.100000000000001" customHeight="1">
      <c r="B2995" s="172"/>
      <c r="C2995" s="174"/>
      <c r="D2995" s="181"/>
      <c r="E2995" s="173"/>
      <c r="F2995" s="176"/>
      <c r="G2995" s="175">
        <f t="shared" si="250"/>
        <v>0</v>
      </c>
      <c r="H2995" s="175">
        <f t="shared" si="243"/>
        <v>0</v>
      </c>
      <c r="I2995" s="177">
        <f>IF(G2995=0,0,IF(E2995="MXN",1/HLOOKUP(YEAR(C2995)+(MONTH(C2995)/100),TC!$5:$37,DAY(C2995)+2,FALSE),VLOOKUP(E2995,Equivalencia!$5:$23,((MAX(Equivalencia!$3:$3)-YEAR(C2995))*14)+MONTH(C2995)+2,FALSE)))</f>
        <v>0</v>
      </c>
      <c r="J2995" s="178">
        <f t="shared" si="251"/>
        <v>0</v>
      </c>
      <c r="K2995" s="462">
        <f>IF(C2995=0,0,VLOOKUP(YEAR(C2995),INPC!$B$4:$O$29,MONTH(C2995)+1))</f>
        <v>0</v>
      </c>
      <c r="L2995" s="462">
        <f>IF(S2995=0,0,VLOOKUP(YEAR(S2995),INPC!$B$4:$O$29,MONTH(S2995)+1))</f>
        <v>0</v>
      </c>
      <c r="M2995" s="463">
        <f t="shared" si="244"/>
        <v>0</v>
      </c>
      <c r="N2995" s="465">
        <f t="shared" si="252"/>
        <v>0</v>
      </c>
      <c r="O2995" s="179"/>
      <c r="P2995" s="180"/>
      <c r="Q2995" s="173"/>
      <c r="R2995" s="173"/>
      <c r="S2995" s="174"/>
      <c r="T2995" s="173"/>
      <c r="U2995" s="182"/>
      <c r="V2995" s="177">
        <f>IF(U2995=0,0,IF(T2995="MXN",1/HLOOKUP(YEAR(S2995)+(MONTH(S2995)/100),TC!$5:$37,DAY(S2995)+2,FALSE),VLOOKUP(T2995,Equivalencia!$1:$23,((MAX(Equivalencia!$3:$3)-YEAR(S2995))*14)+MONTH(S2995)+2,FALSE)))</f>
        <v>0</v>
      </c>
      <c r="W2995" s="178">
        <f t="shared" si="249"/>
        <v>0</v>
      </c>
      <c r="X2995" s="481">
        <f t="shared" si="245"/>
        <v>0</v>
      </c>
      <c r="Y2995" s="179"/>
      <c r="Z2995" s="466">
        <f t="shared" si="246"/>
        <v>0</v>
      </c>
      <c r="AA2995" s="473">
        <f t="shared" si="247"/>
        <v>0</v>
      </c>
      <c r="AB2995" s="339">
        <f t="shared" si="248"/>
        <v>0</v>
      </c>
    </row>
    <row r="2996" spans="2:28" ht="20.100000000000001" customHeight="1">
      <c r="B2996" s="172"/>
      <c r="C2996" s="174"/>
      <c r="D2996" s="181"/>
      <c r="E2996" s="173"/>
      <c r="F2996" s="176"/>
      <c r="G2996" s="175">
        <f t="shared" si="250"/>
        <v>0</v>
      </c>
      <c r="H2996" s="175">
        <f t="shared" si="243"/>
        <v>0</v>
      </c>
      <c r="I2996" s="177">
        <f>IF(G2996=0,0,IF(E2996="MXN",1/HLOOKUP(YEAR(C2996)+(MONTH(C2996)/100),TC!$5:$37,DAY(C2996)+2,FALSE),VLOOKUP(E2996,Equivalencia!$5:$23,((MAX(Equivalencia!$3:$3)-YEAR(C2996))*14)+MONTH(C2996)+2,FALSE)))</f>
        <v>0</v>
      </c>
      <c r="J2996" s="178">
        <f t="shared" si="251"/>
        <v>0</v>
      </c>
      <c r="K2996" s="462">
        <f>IF(C2996=0,0,VLOOKUP(YEAR(C2996),INPC!$B$4:$O$29,MONTH(C2996)+1))</f>
        <v>0</v>
      </c>
      <c r="L2996" s="462">
        <f>IF(S2996=0,0,VLOOKUP(YEAR(S2996),INPC!$B$4:$O$29,MONTH(S2996)+1))</f>
        <v>0</v>
      </c>
      <c r="M2996" s="463">
        <f t="shared" si="244"/>
        <v>0</v>
      </c>
      <c r="N2996" s="465">
        <f t="shared" si="252"/>
        <v>0</v>
      </c>
      <c r="O2996" s="179"/>
      <c r="P2996" s="180"/>
      <c r="Q2996" s="173"/>
      <c r="R2996" s="173"/>
      <c r="S2996" s="174"/>
      <c r="T2996" s="173"/>
      <c r="U2996" s="182"/>
      <c r="V2996" s="177">
        <f>IF(U2996=0,0,IF(T2996="MXN",1/HLOOKUP(YEAR(S2996)+(MONTH(S2996)/100),TC!$5:$37,DAY(S2996)+2,FALSE),VLOOKUP(T2996,Equivalencia!$1:$23,((MAX(Equivalencia!$3:$3)-YEAR(S2996))*14)+MONTH(S2996)+2,FALSE)))</f>
        <v>0</v>
      </c>
      <c r="W2996" s="178">
        <f t="shared" si="249"/>
        <v>0</v>
      </c>
      <c r="X2996" s="481">
        <f t="shared" si="245"/>
        <v>0</v>
      </c>
      <c r="Y2996" s="179"/>
      <c r="Z2996" s="466">
        <f t="shared" si="246"/>
        <v>0</v>
      </c>
      <c r="AA2996" s="473">
        <f t="shared" si="247"/>
        <v>0</v>
      </c>
      <c r="AB2996" s="339">
        <f t="shared" si="248"/>
        <v>0</v>
      </c>
    </row>
    <row r="2997" spans="2:28" ht="20.100000000000001" customHeight="1">
      <c r="B2997" s="172"/>
      <c r="C2997" s="174"/>
      <c r="D2997" s="181"/>
      <c r="E2997" s="173"/>
      <c r="F2997" s="176"/>
      <c r="G2997" s="175">
        <f t="shared" si="250"/>
        <v>0</v>
      </c>
      <c r="H2997" s="175">
        <f t="shared" si="243"/>
        <v>0</v>
      </c>
      <c r="I2997" s="177">
        <f>IF(G2997=0,0,IF(E2997="MXN",1/HLOOKUP(YEAR(C2997)+(MONTH(C2997)/100),TC!$5:$37,DAY(C2997)+2,FALSE),VLOOKUP(E2997,Equivalencia!$5:$23,((MAX(Equivalencia!$3:$3)-YEAR(C2997))*14)+MONTH(C2997)+2,FALSE)))</f>
        <v>0</v>
      </c>
      <c r="J2997" s="178">
        <f t="shared" si="251"/>
        <v>0</v>
      </c>
      <c r="K2997" s="462">
        <f>IF(C2997=0,0,VLOOKUP(YEAR(C2997),INPC!$B$4:$O$29,MONTH(C2997)+1))</f>
        <v>0</v>
      </c>
      <c r="L2997" s="462">
        <f>IF(S2997=0,0,VLOOKUP(YEAR(S2997),INPC!$B$4:$O$29,MONTH(S2997)+1))</f>
        <v>0</v>
      </c>
      <c r="M2997" s="463">
        <f t="shared" si="244"/>
        <v>0</v>
      </c>
      <c r="N2997" s="465">
        <f t="shared" si="252"/>
        <v>0</v>
      </c>
      <c r="O2997" s="179"/>
      <c r="P2997" s="180"/>
      <c r="Q2997" s="173"/>
      <c r="R2997" s="173"/>
      <c r="S2997" s="174"/>
      <c r="T2997" s="173"/>
      <c r="U2997" s="182"/>
      <c r="V2997" s="177">
        <f>IF(U2997=0,0,IF(T2997="MXN",1/HLOOKUP(YEAR(S2997)+(MONTH(S2997)/100),TC!$5:$37,DAY(S2997)+2,FALSE),VLOOKUP(T2997,Equivalencia!$1:$23,((MAX(Equivalencia!$3:$3)-YEAR(S2997))*14)+MONTH(S2997)+2,FALSE)))</f>
        <v>0</v>
      </c>
      <c r="W2997" s="178">
        <f t="shared" si="249"/>
        <v>0</v>
      </c>
      <c r="X2997" s="481">
        <f t="shared" si="245"/>
        <v>0</v>
      </c>
      <c r="Y2997" s="179"/>
      <c r="Z2997" s="466">
        <f t="shared" si="246"/>
        <v>0</v>
      </c>
      <c r="AA2997" s="473">
        <f t="shared" si="247"/>
        <v>0</v>
      </c>
      <c r="AB2997" s="339">
        <f t="shared" si="248"/>
        <v>0</v>
      </c>
    </row>
    <row r="2998" spans="2:28" ht="20.100000000000001" customHeight="1">
      <c r="B2998" s="172"/>
      <c r="C2998" s="174"/>
      <c r="D2998" s="181"/>
      <c r="E2998" s="173"/>
      <c r="F2998" s="176"/>
      <c r="G2998" s="175">
        <f t="shared" si="250"/>
        <v>0</v>
      </c>
      <c r="H2998" s="175">
        <f t="shared" si="243"/>
        <v>0</v>
      </c>
      <c r="I2998" s="177">
        <f>IF(G2998=0,0,IF(E2998="MXN",1/HLOOKUP(YEAR(C2998)+(MONTH(C2998)/100),TC!$5:$37,DAY(C2998)+2,FALSE),VLOOKUP(E2998,Equivalencia!$5:$23,((MAX(Equivalencia!$3:$3)-YEAR(C2998))*14)+MONTH(C2998)+2,FALSE)))</f>
        <v>0</v>
      </c>
      <c r="J2998" s="178">
        <f t="shared" si="251"/>
        <v>0</v>
      </c>
      <c r="K2998" s="462">
        <f>IF(C2998=0,0,VLOOKUP(YEAR(C2998),INPC!$B$4:$O$29,MONTH(C2998)+1))</f>
        <v>0</v>
      </c>
      <c r="L2998" s="462">
        <f>IF(S2998=0,0,VLOOKUP(YEAR(S2998),INPC!$B$4:$O$29,MONTH(S2998)+1))</f>
        <v>0</v>
      </c>
      <c r="M2998" s="463">
        <f t="shared" si="244"/>
        <v>0</v>
      </c>
      <c r="N2998" s="465">
        <f t="shared" si="252"/>
        <v>0</v>
      </c>
      <c r="O2998" s="179"/>
      <c r="P2998" s="180"/>
      <c r="Q2998" s="173"/>
      <c r="R2998" s="173"/>
      <c r="S2998" s="174"/>
      <c r="T2998" s="173"/>
      <c r="U2998" s="182"/>
      <c r="V2998" s="177">
        <f>IF(U2998=0,0,IF(T2998="MXN",1/HLOOKUP(YEAR(S2998)+(MONTH(S2998)/100),TC!$5:$37,DAY(S2998)+2,FALSE),VLOOKUP(T2998,Equivalencia!$1:$23,((MAX(Equivalencia!$3:$3)-YEAR(S2998))*14)+MONTH(S2998)+2,FALSE)))</f>
        <v>0</v>
      </c>
      <c r="W2998" s="178">
        <f t="shared" si="249"/>
        <v>0</v>
      </c>
      <c r="X2998" s="481">
        <f t="shared" si="245"/>
        <v>0</v>
      </c>
      <c r="Y2998" s="179"/>
      <c r="Z2998" s="466">
        <f t="shared" si="246"/>
        <v>0</v>
      </c>
      <c r="AA2998" s="473">
        <f t="shared" si="247"/>
        <v>0</v>
      </c>
      <c r="AB2998" s="339">
        <f t="shared" si="248"/>
        <v>0</v>
      </c>
    </row>
    <row r="2999" spans="2:28" ht="20.100000000000001" customHeight="1">
      <c r="B2999" s="172"/>
      <c r="C2999" s="174"/>
      <c r="D2999" s="181"/>
      <c r="E2999" s="173"/>
      <c r="F2999" s="176"/>
      <c r="G2999" s="175">
        <f t="shared" si="250"/>
        <v>0</v>
      </c>
      <c r="H2999" s="175">
        <f t="shared" si="243"/>
        <v>0</v>
      </c>
      <c r="I2999" s="177">
        <f>IF(G2999=0,0,IF(E2999="MXN",1/HLOOKUP(YEAR(C2999)+(MONTH(C2999)/100),TC!$5:$37,DAY(C2999)+2,FALSE),VLOOKUP(E2999,Equivalencia!$5:$23,((MAX(Equivalencia!$3:$3)-YEAR(C2999))*14)+MONTH(C2999)+2,FALSE)))</f>
        <v>0</v>
      </c>
      <c r="J2999" s="178">
        <f t="shared" si="251"/>
        <v>0</v>
      </c>
      <c r="K2999" s="462">
        <f>IF(C2999=0,0,VLOOKUP(YEAR(C2999),INPC!$B$4:$O$29,MONTH(C2999)+1))</f>
        <v>0</v>
      </c>
      <c r="L2999" s="462">
        <f>IF(S2999=0,0,VLOOKUP(YEAR(S2999),INPC!$B$4:$O$29,MONTH(S2999)+1))</f>
        <v>0</v>
      </c>
      <c r="M2999" s="463">
        <f t="shared" si="244"/>
        <v>0</v>
      </c>
      <c r="N2999" s="465">
        <f t="shared" si="252"/>
        <v>0</v>
      </c>
      <c r="O2999" s="179"/>
      <c r="P2999" s="180"/>
      <c r="Q2999" s="173"/>
      <c r="R2999" s="173"/>
      <c r="S2999" s="174"/>
      <c r="T2999" s="173"/>
      <c r="U2999" s="182"/>
      <c r="V2999" s="177">
        <f>IF(U2999=0,0,IF(T2999="MXN",1/HLOOKUP(YEAR(S2999)+(MONTH(S2999)/100),TC!$5:$37,DAY(S2999)+2,FALSE),VLOOKUP(T2999,Equivalencia!$1:$23,((MAX(Equivalencia!$3:$3)-YEAR(S2999))*14)+MONTH(S2999)+2,FALSE)))</f>
        <v>0</v>
      </c>
      <c r="W2999" s="178">
        <f t="shared" si="249"/>
        <v>0</v>
      </c>
      <c r="X2999" s="481">
        <f t="shared" si="245"/>
        <v>0</v>
      </c>
      <c r="Y2999" s="179"/>
      <c r="Z2999" s="466">
        <f t="shared" si="246"/>
        <v>0</v>
      </c>
      <c r="AA2999" s="473">
        <f t="shared" si="247"/>
        <v>0</v>
      </c>
      <c r="AB2999" s="339">
        <f t="shared" si="248"/>
        <v>0</v>
      </c>
    </row>
    <row r="3000" spans="2:28" ht="20.100000000000001" customHeight="1">
      <c r="B3000" s="172"/>
      <c r="C3000" s="174"/>
      <c r="D3000" s="181"/>
      <c r="E3000" s="173"/>
      <c r="F3000" s="176"/>
      <c r="G3000" s="175">
        <f t="shared" si="250"/>
        <v>0</v>
      </c>
      <c r="H3000" s="175">
        <f t="shared" si="243"/>
        <v>0</v>
      </c>
      <c r="I3000" s="177">
        <f>IF(G3000=0,0,IF(E3000="MXN",1/HLOOKUP(YEAR(C3000)+(MONTH(C3000)/100),TC!$5:$37,DAY(C3000)+2,FALSE),VLOOKUP(E3000,Equivalencia!$5:$23,((MAX(Equivalencia!$3:$3)-YEAR(C3000))*14)+MONTH(C3000)+2,FALSE)))</f>
        <v>0</v>
      </c>
      <c r="J3000" s="178">
        <f t="shared" si="251"/>
        <v>0</v>
      </c>
      <c r="K3000" s="462">
        <f>IF(C3000=0,0,VLOOKUP(YEAR(C3000),INPC!$B$4:$O$29,MONTH(C3000)+1))</f>
        <v>0</v>
      </c>
      <c r="L3000" s="462">
        <f>IF(S3000=0,0,VLOOKUP(YEAR(S3000),INPC!$B$4:$O$29,MONTH(S3000)+1))</f>
        <v>0</v>
      </c>
      <c r="M3000" s="463">
        <f t="shared" si="244"/>
        <v>0</v>
      </c>
      <c r="N3000" s="465">
        <f t="shared" si="252"/>
        <v>0</v>
      </c>
      <c r="O3000" s="179"/>
      <c r="P3000" s="180"/>
      <c r="Q3000" s="173"/>
      <c r="R3000" s="173"/>
      <c r="S3000" s="174"/>
      <c r="T3000" s="173"/>
      <c r="U3000" s="182"/>
      <c r="V3000" s="177">
        <f>IF(U3000=0,0,IF(T3000="MXN",1/HLOOKUP(YEAR(S3000)+(MONTH(S3000)/100),TC!$5:$37,DAY(S3000)+2,FALSE),VLOOKUP(T3000,Equivalencia!$1:$23,((MAX(Equivalencia!$3:$3)-YEAR(S3000))*14)+MONTH(S3000)+2,FALSE)))</f>
        <v>0</v>
      </c>
      <c r="W3000" s="178">
        <f t="shared" si="249"/>
        <v>0</v>
      </c>
      <c r="X3000" s="481">
        <f t="shared" si="245"/>
        <v>0</v>
      </c>
      <c r="Y3000" s="179"/>
      <c r="Z3000" s="466">
        <f t="shared" si="246"/>
        <v>0</v>
      </c>
      <c r="AA3000" s="473">
        <f t="shared" si="247"/>
        <v>0</v>
      </c>
      <c r="AB3000" s="339">
        <f t="shared" si="248"/>
        <v>0</v>
      </c>
    </row>
    <row r="3001" spans="2:28" ht="20.100000000000001" customHeight="1">
      <c r="B3001" s="172"/>
      <c r="C3001" s="174"/>
      <c r="D3001" s="181"/>
      <c r="E3001" s="173"/>
      <c r="F3001" s="176"/>
      <c r="G3001" s="175">
        <f t="shared" si="250"/>
        <v>0</v>
      </c>
      <c r="H3001" s="175">
        <f t="shared" si="243"/>
        <v>0</v>
      </c>
      <c r="I3001" s="177">
        <f>IF(G3001=0,0,IF(E3001="MXN",1/HLOOKUP(YEAR(C3001)+(MONTH(C3001)/100),TC!$5:$37,DAY(C3001)+2,FALSE),VLOOKUP(E3001,Equivalencia!$5:$23,((MAX(Equivalencia!$3:$3)-YEAR(C3001))*14)+MONTH(C3001)+2,FALSE)))</f>
        <v>0</v>
      </c>
      <c r="J3001" s="178">
        <f t="shared" si="251"/>
        <v>0</v>
      </c>
      <c r="K3001" s="462">
        <f>IF(C3001=0,0,VLOOKUP(YEAR(C3001),INPC!$B$4:$O$29,MONTH(C3001)+1))</f>
        <v>0</v>
      </c>
      <c r="L3001" s="462">
        <f>IF(S3001=0,0,VLOOKUP(YEAR(S3001),INPC!$B$4:$O$29,MONTH(S3001)+1))</f>
        <v>0</v>
      </c>
      <c r="M3001" s="463">
        <f t="shared" si="244"/>
        <v>0</v>
      </c>
      <c r="N3001" s="465">
        <f t="shared" si="252"/>
        <v>0</v>
      </c>
      <c r="O3001" s="179"/>
      <c r="P3001" s="180"/>
      <c r="Q3001" s="173"/>
      <c r="R3001" s="173"/>
      <c r="S3001" s="174"/>
      <c r="T3001" s="173"/>
      <c r="U3001" s="182"/>
      <c r="V3001" s="177">
        <f>IF(U3001=0,0,IF(T3001="MXN",1/HLOOKUP(YEAR(S3001)+(MONTH(S3001)/100),TC!$5:$37,DAY(S3001)+2,FALSE),VLOOKUP(T3001,Equivalencia!$1:$23,((MAX(Equivalencia!$3:$3)-YEAR(S3001))*14)+MONTH(S3001)+2,FALSE)))</f>
        <v>0</v>
      </c>
      <c r="W3001" s="178">
        <f t="shared" si="249"/>
        <v>0</v>
      </c>
      <c r="X3001" s="481">
        <f t="shared" si="245"/>
        <v>0</v>
      </c>
      <c r="Y3001" s="179"/>
      <c r="Z3001" s="466">
        <f t="shared" si="246"/>
        <v>0</v>
      </c>
      <c r="AA3001" s="473">
        <f t="shared" si="247"/>
        <v>0</v>
      </c>
      <c r="AB3001" s="339">
        <f t="shared" si="248"/>
        <v>0</v>
      </c>
    </row>
    <row r="3002" spans="2:28" ht="20.100000000000001" customHeight="1">
      <c r="B3002" s="172"/>
      <c r="C3002" s="174"/>
      <c r="D3002" s="181"/>
      <c r="E3002" s="173"/>
      <c r="F3002" s="176"/>
      <c r="G3002" s="175">
        <f t="shared" si="250"/>
        <v>0</v>
      </c>
      <c r="H3002" s="175">
        <f t="shared" si="243"/>
        <v>0</v>
      </c>
      <c r="I3002" s="177">
        <f>IF(G3002=0,0,IF(E3002="MXN",1/HLOOKUP(YEAR(C3002)+(MONTH(C3002)/100),TC!$5:$37,DAY(C3002)+2,FALSE),VLOOKUP(E3002,Equivalencia!$5:$23,((MAX(Equivalencia!$3:$3)-YEAR(C3002))*14)+MONTH(C3002)+2,FALSE)))</f>
        <v>0</v>
      </c>
      <c r="J3002" s="178">
        <f t="shared" si="251"/>
        <v>0</v>
      </c>
      <c r="K3002" s="462">
        <f>IF(C3002=0,0,VLOOKUP(YEAR(C3002),INPC!$B$4:$O$29,MONTH(C3002)+1))</f>
        <v>0</v>
      </c>
      <c r="L3002" s="462">
        <f>IF(S3002=0,0,VLOOKUP(YEAR(S3002),INPC!$B$4:$O$29,MONTH(S3002)+1))</f>
        <v>0</v>
      </c>
      <c r="M3002" s="463">
        <f t="shared" si="244"/>
        <v>0</v>
      </c>
      <c r="N3002" s="465">
        <f t="shared" si="252"/>
        <v>0</v>
      </c>
      <c r="O3002" s="179"/>
      <c r="P3002" s="180"/>
      <c r="Q3002" s="173"/>
      <c r="R3002" s="173"/>
      <c r="S3002" s="174"/>
      <c r="T3002" s="173"/>
      <c r="U3002" s="182"/>
      <c r="V3002" s="177">
        <f>IF(U3002=0,0,IF(T3002="MXN",1/HLOOKUP(YEAR(S3002)+(MONTH(S3002)/100),TC!$5:$37,DAY(S3002)+2,FALSE),VLOOKUP(T3002,Equivalencia!$1:$23,((MAX(Equivalencia!$3:$3)-YEAR(S3002))*14)+MONTH(S3002)+2,FALSE)))</f>
        <v>0</v>
      </c>
      <c r="W3002" s="178">
        <f t="shared" si="249"/>
        <v>0</v>
      </c>
      <c r="X3002" s="481">
        <f t="shared" si="245"/>
        <v>0</v>
      </c>
      <c r="Y3002" s="179"/>
      <c r="Z3002" s="466">
        <f t="shared" si="246"/>
        <v>0</v>
      </c>
      <c r="AA3002" s="473">
        <f t="shared" si="247"/>
        <v>0</v>
      </c>
      <c r="AB3002" s="339">
        <f t="shared" si="248"/>
        <v>0</v>
      </c>
    </row>
    <row r="3003" spans="2:28" ht="20.100000000000001" customHeight="1">
      <c r="B3003" s="172"/>
      <c r="C3003" s="174"/>
      <c r="D3003" s="181"/>
      <c r="E3003" s="173"/>
      <c r="F3003" s="176"/>
      <c r="G3003" s="175">
        <f t="shared" si="250"/>
        <v>0</v>
      </c>
      <c r="H3003" s="175">
        <f t="shared" si="243"/>
        <v>0</v>
      </c>
      <c r="I3003" s="177">
        <f>IF(G3003=0,0,IF(E3003="MXN",1/HLOOKUP(YEAR(C3003)+(MONTH(C3003)/100),TC!$5:$37,DAY(C3003)+2,FALSE),VLOOKUP(E3003,Equivalencia!$5:$23,((MAX(Equivalencia!$3:$3)-YEAR(C3003))*14)+MONTH(C3003)+2,FALSE)))</f>
        <v>0</v>
      </c>
      <c r="J3003" s="178">
        <f t="shared" si="251"/>
        <v>0</v>
      </c>
      <c r="K3003" s="462">
        <f>IF(C3003=0,0,VLOOKUP(YEAR(C3003),INPC!$B$4:$O$29,MONTH(C3003)+1))</f>
        <v>0</v>
      </c>
      <c r="L3003" s="462">
        <f>IF(S3003=0,0,VLOOKUP(YEAR(S3003),INPC!$B$4:$O$29,MONTH(S3003)+1))</f>
        <v>0</v>
      </c>
      <c r="M3003" s="463">
        <f t="shared" si="244"/>
        <v>0</v>
      </c>
      <c r="N3003" s="465">
        <f t="shared" si="252"/>
        <v>0</v>
      </c>
      <c r="O3003" s="179"/>
      <c r="P3003" s="180"/>
      <c r="Q3003" s="173"/>
      <c r="R3003" s="173"/>
      <c r="S3003" s="174"/>
      <c r="T3003" s="173"/>
      <c r="U3003" s="182"/>
      <c r="V3003" s="177">
        <f>IF(U3003=0,0,IF(T3003="MXN",1/HLOOKUP(YEAR(S3003)+(MONTH(S3003)/100),TC!$5:$37,DAY(S3003)+2,FALSE),VLOOKUP(T3003,Equivalencia!$1:$23,((MAX(Equivalencia!$3:$3)-YEAR(S3003))*14)+MONTH(S3003)+2,FALSE)))</f>
        <v>0</v>
      </c>
      <c r="W3003" s="178">
        <f t="shared" si="249"/>
        <v>0</v>
      </c>
      <c r="X3003" s="481">
        <f t="shared" si="245"/>
        <v>0</v>
      </c>
      <c r="Y3003" s="179"/>
      <c r="Z3003" s="466">
        <f t="shared" si="246"/>
        <v>0</v>
      </c>
      <c r="AA3003" s="473">
        <f t="shared" si="247"/>
        <v>0</v>
      </c>
      <c r="AB3003" s="339">
        <f t="shared" si="248"/>
        <v>0</v>
      </c>
    </row>
    <row r="3004" spans="2:28" ht="20.100000000000001" customHeight="1">
      <c r="B3004" s="172"/>
      <c r="C3004" s="174"/>
      <c r="D3004" s="181"/>
      <c r="E3004" s="173"/>
      <c r="F3004" s="176"/>
      <c r="G3004" s="175">
        <f t="shared" si="250"/>
        <v>0</v>
      </c>
      <c r="H3004" s="175">
        <f t="shared" si="243"/>
        <v>0</v>
      </c>
      <c r="I3004" s="177">
        <f>IF(G3004=0,0,IF(E3004="MXN",1/HLOOKUP(YEAR(C3004)+(MONTH(C3004)/100),TC!$5:$37,DAY(C3004)+2,FALSE),VLOOKUP(E3004,Equivalencia!$5:$23,((MAX(Equivalencia!$3:$3)-YEAR(C3004))*14)+MONTH(C3004)+2,FALSE)))</f>
        <v>0</v>
      </c>
      <c r="J3004" s="178">
        <f t="shared" si="251"/>
        <v>0</v>
      </c>
      <c r="K3004" s="462">
        <f>IF(C3004=0,0,VLOOKUP(YEAR(C3004),INPC!$B$4:$O$29,MONTH(C3004)+1))</f>
        <v>0</v>
      </c>
      <c r="L3004" s="462">
        <f>IF(S3004=0,0,VLOOKUP(YEAR(S3004),INPC!$B$4:$O$29,MONTH(S3004)+1))</f>
        <v>0</v>
      </c>
      <c r="M3004" s="463">
        <f t="shared" si="244"/>
        <v>0</v>
      </c>
      <c r="N3004" s="465">
        <f t="shared" si="252"/>
        <v>0</v>
      </c>
      <c r="O3004" s="179"/>
      <c r="P3004" s="180"/>
      <c r="Q3004" s="173"/>
      <c r="R3004" s="173"/>
      <c r="S3004" s="174"/>
      <c r="T3004" s="173"/>
      <c r="U3004" s="182"/>
      <c r="V3004" s="177">
        <f>IF(U3004=0,0,IF(T3004="MXN",1/HLOOKUP(YEAR(S3004)+(MONTH(S3004)/100),TC!$5:$37,DAY(S3004)+2,FALSE),VLOOKUP(T3004,Equivalencia!$1:$23,((MAX(Equivalencia!$3:$3)-YEAR(S3004))*14)+MONTH(S3004)+2,FALSE)))</f>
        <v>0</v>
      </c>
      <c r="W3004" s="178">
        <f t="shared" si="249"/>
        <v>0</v>
      </c>
      <c r="X3004" s="481">
        <f t="shared" si="245"/>
        <v>0</v>
      </c>
      <c r="Y3004" s="179"/>
      <c r="Z3004" s="466">
        <f t="shared" si="246"/>
        <v>0</v>
      </c>
      <c r="AA3004" s="473">
        <f t="shared" si="247"/>
        <v>0</v>
      </c>
      <c r="AB3004" s="339">
        <f t="shared" si="248"/>
        <v>0</v>
      </c>
    </row>
    <row r="3005" spans="2:28" ht="20.100000000000001" customHeight="1">
      <c r="B3005" s="172"/>
      <c r="C3005" s="174"/>
      <c r="D3005" s="181"/>
      <c r="E3005" s="173"/>
      <c r="F3005" s="176"/>
      <c r="G3005" s="175">
        <f t="shared" si="250"/>
        <v>0</v>
      </c>
      <c r="H3005" s="175">
        <f t="shared" si="243"/>
        <v>0</v>
      </c>
      <c r="I3005" s="177">
        <f>IF(G3005=0,0,IF(E3005="MXN",1/HLOOKUP(YEAR(C3005)+(MONTH(C3005)/100),TC!$5:$37,DAY(C3005)+2,FALSE),VLOOKUP(E3005,Equivalencia!$5:$23,((MAX(Equivalencia!$3:$3)-YEAR(C3005))*14)+MONTH(C3005)+2,FALSE)))</f>
        <v>0</v>
      </c>
      <c r="J3005" s="178">
        <f t="shared" si="251"/>
        <v>0</v>
      </c>
      <c r="K3005" s="462">
        <f>IF(C3005=0,0,VLOOKUP(YEAR(C3005),INPC!$B$4:$O$29,MONTH(C3005)+1))</f>
        <v>0</v>
      </c>
      <c r="L3005" s="462">
        <f>IF(S3005=0,0,VLOOKUP(YEAR(S3005),INPC!$B$4:$O$29,MONTH(S3005)+1))</f>
        <v>0</v>
      </c>
      <c r="M3005" s="463">
        <f t="shared" si="244"/>
        <v>0</v>
      </c>
      <c r="N3005" s="465">
        <f t="shared" si="252"/>
        <v>0</v>
      </c>
      <c r="O3005" s="179"/>
      <c r="P3005" s="180"/>
      <c r="Q3005" s="173"/>
      <c r="R3005" s="173"/>
      <c r="S3005" s="174"/>
      <c r="T3005" s="173"/>
      <c r="U3005" s="182"/>
      <c r="V3005" s="177">
        <f>IF(U3005=0,0,IF(T3005="MXN",1/HLOOKUP(YEAR(S3005)+(MONTH(S3005)/100),TC!$5:$37,DAY(S3005)+2,FALSE),VLOOKUP(T3005,Equivalencia!$1:$23,((MAX(Equivalencia!$3:$3)-YEAR(S3005))*14)+MONTH(S3005)+2,FALSE)))</f>
        <v>0</v>
      </c>
      <c r="W3005" s="178">
        <f t="shared" si="249"/>
        <v>0</v>
      </c>
      <c r="X3005" s="481">
        <f t="shared" si="245"/>
        <v>0</v>
      </c>
      <c r="Y3005" s="179"/>
      <c r="Z3005" s="466">
        <f t="shared" si="246"/>
        <v>0</v>
      </c>
      <c r="AA3005" s="473">
        <f t="shared" si="247"/>
        <v>0</v>
      </c>
      <c r="AB3005" s="339">
        <f t="shared" si="248"/>
        <v>0</v>
      </c>
    </row>
    <row r="3006" spans="2:28" ht="20.100000000000001" customHeight="1">
      <c r="B3006" s="172"/>
      <c r="C3006" s="174"/>
      <c r="D3006" s="181"/>
      <c r="E3006" s="173"/>
      <c r="F3006" s="176"/>
      <c r="G3006" s="175">
        <f t="shared" si="250"/>
        <v>0</v>
      </c>
      <c r="H3006" s="175">
        <f t="shared" si="243"/>
        <v>0</v>
      </c>
      <c r="I3006" s="177">
        <f>IF(G3006=0,0,IF(E3006="MXN",1/HLOOKUP(YEAR(C3006)+(MONTH(C3006)/100),TC!$5:$37,DAY(C3006)+2,FALSE),VLOOKUP(E3006,Equivalencia!$5:$23,((MAX(Equivalencia!$3:$3)-YEAR(C3006))*14)+MONTH(C3006)+2,FALSE)))</f>
        <v>0</v>
      </c>
      <c r="J3006" s="178">
        <f t="shared" si="251"/>
        <v>0</v>
      </c>
      <c r="K3006" s="462">
        <f>IF(C3006=0,0,VLOOKUP(YEAR(C3006),INPC!$B$4:$O$29,MONTH(C3006)+1))</f>
        <v>0</v>
      </c>
      <c r="L3006" s="462">
        <f>IF(S3006=0,0,VLOOKUP(YEAR(S3006),INPC!$B$4:$O$29,MONTH(S3006)+1))</f>
        <v>0</v>
      </c>
      <c r="M3006" s="463">
        <f t="shared" si="244"/>
        <v>0</v>
      </c>
      <c r="N3006" s="465">
        <f t="shared" si="252"/>
        <v>0</v>
      </c>
      <c r="O3006" s="179"/>
      <c r="P3006" s="180"/>
      <c r="Q3006" s="173"/>
      <c r="R3006" s="173"/>
      <c r="S3006" s="174"/>
      <c r="T3006" s="173"/>
      <c r="U3006" s="182"/>
      <c r="V3006" s="177">
        <f>IF(U3006=0,0,IF(T3006="MXN",1/HLOOKUP(YEAR(S3006)+(MONTH(S3006)/100),TC!$5:$37,DAY(S3006)+2,FALSE),VLOOKUP(T3006,Equivalencia!$1:$23,((MAX(Equivalencia!$3:$3)-YEAR(S3006))*14)+MONTH(S3006)+2,FALSE)))</f>
        <v>0</v>
      </c>
      <c r="W3006" s="178">
        <f t="shared" si="249"/>
        <v>0</v>
      </c>
      <c r="X3006" s="481">
        <f t="shared" si="245"/>
        <v>0</v>
      </c>
      <c r="Y3006" s="179"/>
      <c r="Z3006" s="466">
        <f t="shared" si="246"/>
        <v>0</v>
      </c>
      <c r="AA3006" s="473">
        <f t="shared" si="247"/>
        <v>0</v>
      </c>
      <c r="AB3006" s="339">
        <f t="shared" si="248"/>
        <v>0</v>
      </c>
    </row>
    <row r="3007" spans="2:28" ht="20.100000000000001" customHeight="1">
      <c r="B3007" s="172"/>
      <c r="C3007" s="174"/>
      <c r="D3007" s="181"/>
      <c r="E3007" s="173"/>
      <c r="F3007" s="176"/>
      <c r="G3007" s="175">
        <f t="shared" si="250"/>
        <v>0</v>
      </c>
      <c r="H3007" s="175">
        <f t="shared" si="243"/>
        <v>0</v>
      </c>
      <c r="I3007" s="177">
        <f>IF(G3007=0,0,IF(E3007="MXN",1/HLOOKUP(YEAR(C3007)+(MONTH(C3007)/100),TC!$5:$37,DAY(C3007)+2,FALSE),VLOOKUP(E3007,Equivalencia!$5:$23,((MAX(Equivalencia!$3:$3)-YEAR(C3007))*14)+MONTH(C3007)+2,FALSE)))</f>
        <v>0</v>
      </c>
      <c r="J3007" s="178">
        <f t="shared" si="251"/>
        <v>0</v>
      </c>
      <c r="K3007" s="462">
        <f>IF(C3007=0,0,VLOOKUP(YEAR(C3007),INPC!$B$4:$O$29,MONTH(C3007)+1))</f>
        <v>0</v>
      </c>
      <c r="L3007" s="462">
        <f>IF(S3007=0,0,VLOOKUP(YEAR(S3007),INPC!$B$4:$O$29,MONTH(S3007)+1))</f>
        <v>0</v>
      </c>
      <c r="M3007" s="463">
        <f t="shared" si="244"/>
        <v>0</v>
      </c>
      <c r="N3007" s="465">
        <f t="shared" si="252"/>
        <v>0</v>
      </c>
      <c r="O3007" s="179"/>
      <c r="P3007" s="180"/>
      <c r="Q3007" s="173"/>
      <c r="R3007" s="173"/>
      <c r="S3007" s="174"/>
      <c r="T3007" s="173"/>
      <c r="U3007" s="182"/>
      <c r="V3007" s="177">
        <f>IF(U3007=0,0,IF(T3007="MXN",1/HLOOKUP(YEAR(S3007)+(MONTH(S3007)/100),TC!$5:$37,DAY(S3007)+2,FALSE),VLOOKUP(T3007,Equivalencia!$1:$23,((MAX(Equivalencia!$3:$3)-YEAR(S3007))*14)+MONTH(S3007)+2,FALSE)))</f>
        <v>0</v>
      </c>
      <c r="W3007" s="178">
        <f t="shared" si="249"/>
        <v>0</v>
      </c>
      <c r="X3007" s="481">
        <f t="shared" si="245"/>
        <v>0</v>
      </c>
      <c r="Y3007" s="179"/>
      <c r="Z3007" s="466">
        <f t="shared" si="246"/>
        <v>0</v>
      </c>
      <c r="AA3007" s="473">
        <f t="shared" si="247"/>
        <v>0</v>
      </c>
      <c r="AB3007" s="339">
        <f t="shared" si="248"/>
        <v>0</v>
      </c>
    </row>
    <row r="3008" spans="2:28" ht="20.100000000000001" customHeight="1">
      <c r="B3008" s="172"/>
      <c r="C3008" s="174"/>
      <c r="D3008" s="181"/>
      <c r="E3008" s="173"/>
      <c r="F3008" s="176"/>
      <c r="G3008" s="175">
        <f t="shared" si="250"/>
        <v>0</v>
      </c>
      <c r="H3008" s="175">
        <f t="shared" si="243"/>
        <v>0</v>
      </c>
      <c r="I3008" s="177">
        <f>IF(G3008=0,0,IF(E3008="MXN",1/HLOOKUP(YEAR(C3008)+(MONTH(C3008)/100),TC!$5:$37,DAY(C3008)+2,FALSE),VLOOKUP(E3008,Equivalencia!$5:$23,((MAX(Equivalencia!$3:$3)-YEAR(C3008))*14)+MONTH(C3008)+2,FALSE)))</f>
        <v>0</v>
      </c>
      <c r="J3008" s="178">
        <f t="shared" si="251"/>
        <v>0</v>
      </c>
      <c r="K3008" s="462">
        <f>IF(C3008=0,0,VLOOKUP(YEAR(C3008),INPC!$B$4:$O$29,MONTH(C3008)+1))</f>
        <v>0</v>
      </c>
      <c r="L3008" s="462">
        <f>IF(S3008=0,0,VLOOKUP(YEAR(S3008),INPC!$B$4:$O$29,MONTH(S3008)+1))</f>
        <v>0</v>
      </c>
      <c r="M3008" s="463">
        <f t="shared" si="244"/>
        <v>0</v>
      </c>
      <c r="N3008" s="465">
        <f t="shared" si="252"/>
        <v>0</v>
      </c>
      <c r="O3008" s="179"/>
      <c r="P3008" s="180"/>
      <c r="Q3008" s="173"/>
      <c r="R3008" s="173"/>
      <c r="S3008" s="174"/>
      <c r="T3008" s="173"/>
      <c r="U3008" s="182"/>
      <c r="V3008" s="177">
        <f>IF(U3008=0,0,IF(T3008="MXN",1/HLOOKUP(YEAR(S3008)+(MONTH(S3008)/100),TC!$5:$37,DAY(S3008)+2,FALSE),VLOOKUP(T3008,Equivalencia!$1:$23,((MAX(Equivalencia!$3:$3)-YEAR(S3008))*14)+MONTH(S3008)+2,FALSE)))</f>
        <v>0</v>
      </c>
      <c r="W3008" s="178">
        <f t="shared" si="249"/>
        <v>0</v>
      </c>
      <c r="X3008" s="481">
        <f t="shared" si="245"/>
        <v>0</v>
      </c>
      <c r="Y3008" s="179"/>
      <c r="Z3008" s="466">
        <f t="shared" si="246"/>
        <v>0</v>
      </c>
      <c r="AA3008" s="473">
        <f t="shared" si="247"/>
        <v>0</v>
      </c>
      <c r="AB3008" s="339">
        <f t="shared" si="248"/>
        <v>0</v>
      </c>
    </row>
    <row r="3009" spans="2:28" ht="20.100000000000001" customHeight="1">
      <c r="B3009" s="172"/>
      <c r="C3009" s="174"/>
      <c r="D3009" s="181"/>
      <c r="E3009" s="173"/>
      <c r="F3009" s="176"/>
      <c r="G3009" s="175">
        <f t="shared" si="250"/>
        <v>0</v>
      </c>
      <c r="H3009" s="175">
        <f t="shared" si="243"/>
        <v>0</v>
      </c>
      <c r="I3009" s="177">
        <f>IF(G3009=0,0,IF(E3009="MXN",1/HLOOKUP(YEAR(C3009)+(MONTH(C3009)/100),TC!$5:$37,DAY(C3009)+2,FALSE),VLOOKUP(E3009,Equivalencia!$5:$23,((MAX(Equivalencia!$3:$3)-YEAR(C3009))*14)+MONTH(C3009)+2,FALSE)))</f>
        <v>0</v>
      </c>
      <c r="J3009" s="178">
        <f t="shared" si="251"/>
        <v>0</v>
      </c>
      <c r="K3009" s="462">
        <f>IF(C3009=0,0,VLOOKUP(YEAR(C3009),INPC!$B$4:$O$29,MONTH(C3009)+1))</f>
        <v>0</v>
      </c>
      <c r="L3009" s="462">
        <f>IF(S3009=0,0,VLOOKUP(YEAR(S3009),INPC!$B$4:$O$29,MONTH(S3009)+1))</f>
        <v>0</v>
      </c>
      <c r="M3009" s="463">
        <f t="shared" si="244"/>
        <v>0</v>
      </c>
      <c r="N3009" s="465">
        <f t="shared" si="252"/>
        <v>0</v>
      </c>
      <c r="O3009" s="179"/>
      <c r="P3009" s="180"/>
      <c r="Q3009" s="173"/>
      <c r="R3009" s="173"/>
      <c r="S3009" s="174"/>
      <c r="T3009" s="173"/>
      <c r="U3009" s="182"/>
      <c r="V3009" s="177">
        <f>IF(U3009=0,0,IF(T3009="MXN",1/HLOOKUP(YEAR(S3009)+(MONTH(S3009)/100),TC!$5:$37,DAY(S3009)+2,FALSE),VLOOKUP(T3009,Equivalencia!$1:$23,((MAX(Equivalencia!$3:$3)-YEAR(S3009))*14)+MONTH(S3009)+2,FALSE)))</f>
        <v>0</v>
      </c>
      <c r="W3009" s="178">
        <f t="shared" si="249"/>
        <v>0</v>
      </c>
      <c r="X3009" s="481">
        <f t="shared" si="245"/>
        <v>0</v>
      </c>
      <c r="Y3009" s="179"/>
      <c r="Z3009" s="466">
        <f t="shared" si="246"/>
        <v>0</v>
      </c>
      <c r="AA3009" s="473">
        <f t="shared" si="247"/>
        <v>0</v>
      </c>
      <c r="AB3009" s="339">
        <f t="shared" si="248"/>
        <v>0</v>
      </c>
    </row>
    <row r="3010" spans="2:28" ht="20.100000000000001" customHeight="1">
      <c r="B3010" s="172"/>
      <c r="C3010" s="174"/>
      <c r="D3010" s="181"/>
      <c r="E3010" s="173"/>
      <c r="F3010" s="176"/>
      <c r="G3010" s="175">
        <f t="shared" si="250"/>
        <v>0</v>
      </c>
      <c r="H3010" s="175">
        <f t="shared" si="243"/>
        <v>0</v>
      </c>
      <c r="I3010" s="177">
        <f>IF(G3010=0,0,IF(E3010="MXN",1/HLOOKUP(YEAR(C3010)+(MONTH(C3010)/100),TC!$5:$37,DAY(C3010)+2,FALSE),VLOOKUP(E3010,Equivalencia!$5:$23,((MAX(Equivalencia!$3:$3)-YEAR(C3010))*14)+MONTH(C3010)+2,FALSE)))</f>
        <v>0</v>
      </c>
      <c r="J3010" s="178">
        <f t="shared" si="251"/>
        <v>0</v>
      </c>
      <c r="K3010" s="462">
        <f>IF(C3010=0,0,VLOOKUP(YEAR(C3010),INPC!$B$4:$O$29,MONTH(C3010)+1))</f>
        <v>0</v>
      </c>
      <c r="L3010" s="462">
        <f>IF(S3010=0,0,VLOOKUP(YEAR(S3010),INPC!$B$4:$O$29,MONTH(S3010)+1))</f>
        <v>0</v>
      </c>
      <c r="M3010" s="463">
        <f t="shared" si="244"/>
        <v>0</v>
      </c>
      <c r="N3010" s="465">
        <f t="shared" si="252"/>
        <v>0</v>
      </c>
      <c r="O3010" s="179"/>
      <c r="P3010" s="180"/>
      <c r="Q3010" s="173"/>
      <c r="R3010" s="173"/>
      <c r="S3010" s="174"/>
      <c r="T3010" s="173"/>
      <c r="U3010" s="182"/>
      <c r="V3010" s="177">
        <f>IF(U3010=0,0,IF(T3010="MXN",1/HLOOKUP(YEAR(S3010)+(MONTH(S3010)/100),TC!$5:$37,DAY(S3010)+2,FALSE),VLOOKUP(T3010,Equivalencia!$1:$23,((MAX(Equivalencia!$3:$3)-YEAR(S3010))*14)+MONTH(S3010)+2,FALSE)))</f>
        <v>0</v>
      </c>
      <c r="W3010" s="178">
        <f t="shared" si="249"/>
        <v>0</v>
      </c>
      <c r="X3010" s="481">
        <f t="shared" si="245"/>
        <v>0</v>
      </c>
      <c r="Y3010" s="179"/>
      <c r="Z3010" s="466">
        <f t="shared" si="246"/>
        <v>0</v>
      </c>
      <c r="AA3010" s="473">
        <f t="shared" si="247"/>
        <v>0</v>
      </c>
      <c r="AB3010" s="339">
        <f t="shared" si="248"/>
        <v>0</v>
      </c>
    </row>
    <row r="3011" spans="2:28" ht="20.100000000000001" customHeight="1">
      <c r="B3011" s="172"/>
      <c r="C3011" s="174"/>
      <c r="D3011" s="181"/>
      <c r="E3011" s="173"/>
      <c r="F3011" s="176"/>
      <c r="G3011" s="175">
        <f t="shared" si="250"/>
        <v>0</v>
      </c>
      <c r="H3011" s="175">
        <f t="shared" si="243"/>
        <v>0</v>
      </c>
      <c r="I3011" s="177">
        <f>IF(G3011=0,0,IF(E3011="MXN",1/HLOOKUP(YEAR(C3011)+(MONTH(C3011)/100),TC!$5:$37,DAY(C3011)+2,FALSE),VLOOKUP(E3011,Equivalencia!$5:$23,((MAX(Equivalencia!$3:$3)-YEAR(C3011))*14)+MONTH(C3011)+2,FALSE)))</f>
        <v>0</v>
      </c>
      <c r="J3011" s="178">
        <f t="shared" si="251"/>
        <v>0</v>
      </c>
      <c r="K3011" s="462">
        <f>IF(C3011=0,0,VLOOKUP(YEAR(C3011),INPC!$B$4:$O$29,MONTH(C3011)+1))</f>
        <v>0</v>
      </c>
      <c r="L3011" s="462">
        <f>IF(S3011=0,0,VLOOKUP(YEAR(S3011),INPC!$B$4:$O$29,MONTH(S3011)+1))</f>
        <v>0</v>
      </c>
      <c r="M3011" s="463">
        <f t="shared" si="244"/>
        <v>0</v>
      </c>
      <c r="N3011" s="465">
        <f t="shared" si="252"/>
        <v>0</v>
      </c>
      <c r="O3011" s="179"/>
      <c r="P3011" s="180"/>
      <c r="Q3011" s="173"/>
      <c r="R3011" s="173"/>
      <c r="S3011" s="174"/>
      <c r="T3011" s="173"/>
      <c r="U3011" s="182"/>
      <c r="V3011" s="177">
        <f>IF(U3011=0,0,IF(T3011="MXN",1/HLOOKUP(YEAR(S3011)+(MONTH(S3011)/100),TC!$5:$37,DAY(S3011)+2,FALSE),VLOOKUP(T3011,Equivalencia!$1:$23,((MAX(Equivalencia!$3:$3)-YEAR(S3011))*14)+MONTH(S3011)+2,FALSE)))</f>
        <v>0</v>
      </c>
      <c r="W3011" s="178">
        <f t="shared" si="249"/>
        <v>0</v>
      </c>
      <c r="X3011" s="481">
        <f t="shared" si="245"/>
        <v>0</v>
      </c>
      <c r="Y3011" s="179"/>
      <c r="Z3011" s="466">
        <f t="shared" si="246"/>
        <v>0</v>
      </c>
      <c r="AA3011" s="473">
        <f t="shared" si="247"/>
        <v>0</v>
      </c>
      <c r="AB3011" s="339">
        <f t="shared" si="248"/>
        <v>0</v>
      </c>
    </row>
    <row r="3012" spans="2:28" ht="20.100000000000001" customHeight="1">
      <c r="B3012" s="172"/>
      <c r="C3012" s="174"/>
      <c r="D3012" s="181"/>
      <c r="E3012" s="173"/>
      <c r="F3012" s="176"/>
      <c r="G3012" s="175">
        <f t="shared" si="250"/>
        <v>0</v>
      </c>
      <c r="H3012" s="175">
        <f t="shared" si="243"/>
        <v>0</v>
      </c>
      <c r="I3012" s="177">
        <f>IF(G3012=0,0,IF(E3012="MXN",1/HLOOKUP(YEAR(C3012)+(MONTH(C3012)/100),TC!$5:$37,DAY(C3012)+2,FALSE),VLOOKUP(E3012,Equivalencia!$5:$23,((MAX(Equivalencia!$3:$3)-YEAR(C3012))*14)+MONTH(C3012)+2,FALSE)))</f>
        <v>0</v>
      </c>
      <c r="J3012" s="178">
        <f t="shared" si="251"/>
        <v>0</v>
      </c>
      <c r="K3012" s="462">
        <f>IF(C3012=0,0,VLOOKUP(YEAR(C3012),INPC!$B$4:$O$29,MONTH(C3012)+1))</f>
        <v>0</v>
      </c>
      <c r="L3012" s="462">
        <f>IF(S3012=0,0,VLOOKUP(YEAR(S3012),INPC!$B$4:$O$29,MONTH(S3012)+1))</f>
        <v>0</v>
      </c>
      <c r="M3012" s="463">
        <f t="shared" si="244"/>
        <v>0</v>
      </c>
      <c r="N3012" s="465">
        <f t="shared" si="252"/>
        <v>0</v>
      </c>
      <c r="O3012" s="179"/>
      <c r="P3012" s="180"/>
      <c r="Q3012" s="173"/>
      <c r="R3012" s="173"/>
      <c r="S3012" s="174"/>
      <c r="T3012" s="173"/>
      <c r="U3012" s="182"/>
      <c r="V3012" s="177">
        <f>IF(U3012=0,0,IF(T3012="MXN",1/HLOOKUP(YEAR(S3012)+(MONTH(S3012)/100),TC!$5:$37,DAY(S3012)+2,FALSE),VLOOKUP(T3012,Equivalencia!$1:$23,((MAX(Equivalencia!$3:$3)-YEAR(S3012))*14)+MONTH(S3012)+2,FALSE)))</f>
        <v>0</v>
      </c>
      <c r="W3012" s="178">
        <f t="shared" si="249"/>
        <v>0</v>
      </c>
      <c r="X3012" s="481">
        <f t="shared" si="245"/>
        <v>0</v>
      </c>
      <c r="Y3012" s="179"/>
      <c r="Z3012" s="466">
        <f t="shared" si="246"/>
        <v>0</v>
      </c>
      <c r="AA3012" s="473">
        <f t="shared" si="247"/>
        <v>0</v>
      </c>
      <c r="AB3012" s="339">
        <f t="shared" si="248"/>
        <v>0</v>
      </c>
    </row>
    <row r="3013" spans="2:28" ht="20.100000000000001" customHeight="1">
      <c r="B3013" s="172"/>
      <c r="C3013" s="174"/>
      <c r="D3013" s="181"/>
      <c r="E3013" s="173"/>
      <c r="F3013" s="176"/>
      <c r="G3013" s="175">
        <f t="shared" si="250"/>
        <v>0</v>
      </c>
      <c r="H3013" s="175">
        <f t="shared" si="243"/>
        <v>0</v>
      </c>
      <c r="I3013" s="177">
        <f>IF(G3013=0,0,IF(E3013="MXN",1/HLOOKUP(YEAR(C3013)+(MONTH(C3013)/100),TC!$5:$37,DAY(C3013)+2,FALSE),VLOOKUP(E3013,Equivalencia!$5:$23,((MAX(Equivalencia!$3:$3)-YEAR(C3013))*14)+MONTH(C3013)+2,FALSE)))</f>
        <v>0</v>
      </c>
      <c r="J3013" s="178">
        <f t="shared" si="251"/>
        <v>0</v>
      </c>
      <c r="K3013" s="462">
        <f>IF(C3013=0,0,VLOOKUP(YEAR(C3013),INPC!$B$4:$O$29,MONTH(C3013)+1))</f>
        <v>0</v>
      </c>
      <c r="L3013" s="462">
        <f>IF(S3013=0,0,VLOOKUP(YEAR(S3013),INPC!$B$4:$O$29,MONTH(S3013)+1))</f>
        <v>0</v>
      </c>
      <c r="M3013" s="463">
        <f t="shared" si="244"/>
        <v>0</v>
      </c>
      <c r="N3013" s="465">
        <f t="shared" si="252"/>
        <v>0</v>
      </c>
      <c r="O3013" s="179"/>
      <c r="P3013" s="180"/>
      <c r="Q3013" s="173"/>
      <c r="R3013" s="173"/>
      <c r="S3013" s="174"/>
      <c r="T3013" s="173"/>
      <c r="U3013" s="182"/>
      <c r="V3013" s="177">
        <f>IF(U3013=0,0,IF(T3013="MXN",1/HLOOKUP(YEAR(S3013)+(MONTH(S3013)/100),TC!$5:$37,DAY(S3013)+2,FALSE),VLOOKUP(T3013,Equivalencia!$1:$23,((MAX(Equivalencia!$3:$3)-YEAR(S3013))*14)+MONTH(S3013)+2,FALSE)))</f>
        <v>0</v>
      </c>
      <c r="W3013" s="178">
        <f t="shared" si="249"/>
        <v>0</v>
      </c>
      <c r="X3013" s="481">
        <f t="shared" si="245"/>
        <v>0</v>
      </c>
      <c r="Y3013" s="179"/>
      <c r="Z3013" s="466">
        <f t="shared" si="246"/>
        <v>0</v>
      </c>
      <c r="AA3013" s="473">
        <f t="shared" si="247"/>
        <v>0</v>
      </c>
      <c r="AB3013" s="339">
        <f t="shared" si="248"/>
        <v>0</v>
      </c>
    </row>
    <row r="3014" spans="2:28" ht="20.100000000000001" customHeight="1">
      <c r="B3014" s="172"/>
      <c r="C3014" s="174"/>
      <c r="D3014" s="181"/>
      <c r="E3014" s="173"/>
      <c r="F3014" s="176"/>
      <c r="G3014" s="175">
        <f t="shared" si="250"/>
        <v>0</v>
      </c>
      <c r="H3014" s="175">
        <f t="shared" si="243"/>
        <v>0</v>
      </c>
      <c r="I3014" s="177">
        <f>IF(G3014=0,0,IF(E3014="MXN",1/HLOOKUP(YEAR(C3014)+(MONTH(C3014)/100),TC!$5:$37,DAY(C3014)+2,FALSE),VLOOKUP(E3014,Equivalencia!$5:$23,((MAX(Equivalencia!$3:$3)-YEAR(C3014))*14)+MONTH(C3014)+2,FALSE)))</f>
        <v>0</v>
      </c>
      <c r="J3014" s="178">
        <f t="shared" si="251"/>
        <v>0</v>
      </c>
      <c r="K3014" s="462">
        <f>IF(C3014=0,0,VLOOKUP(YEAR(C3014),INPC!$B$4:$O$29,MONTH(C3014)+1))</f>
        <v>0</v>
      </c>
      <c r="L3014" s="462">
        <f>IF(S3014=0,0,VLOOKUP(YEAR(S3014),INPC!$B$4:$O$29,MONTH(S3014)+1))</f>
        <v>0</v>
      </c>
      <c r="M3014" s="463">
        <f t="shared" si="244"/>
        <v>0</v>
      </c>
      <c r="N3014" s="465">
        <f t="shared" si="252"/>
        <v>0</v>
      </c>
      <c r="O3014" s="179"/>
      <c r="P3014" s="180"/>
      <c r="Q3014" s="173"/>
      <c r="R3014" s="173"/>
      <c r="S3014" s="174"/>
      <c r="T3014" s="173"/>
      <c r="U3014" s="182"/>
      <c r="V3014" s="177">
        <f>IF(U3014=0,0,IF(T3014="MXN",1/HLOOKUP(YEAR(S3014)+(MONTH(S3014)/100),TC!$5:$37,DAY(S3014)+2,FALSE),VLOOKUP(T3014,Equivalencia!$1:$23,((MAX(Equivalencia!$3:$3)-YEAR(S3014))*14)+MONTH(S3014)+2,FALSE)))</f>
        <v>0</v>
      </c>
      <c r="W3014" s="178">
        <f t="shared" si="249"/>
        <v>0</v>
      </c>
      <c r="X3014" s="481">
        <f t="shared" si="245"/>
        <v>0</v>
      </c>
      <c r="Y3014" s="179"/>
      <c r="Z3014" s="466">
        <f t="shared" si="246"/>
        <v>0</v>
      </c>
      <c r="AA3014" s="473">
        <f t="shared" si="247"/>
        <v>0</v>
      </c>
      <c r="AB3014" s="339">
        <f t="shared" si="248"/>
        <v>0</v>
      </c>
    </row>
    <row r="3015" spans="2:28" ht="20.100000000000001" customHeight="1">
      <c r="B3015" s="172"/>
      <c r="C3015" s="174"/>
      <c r="D3015" s="181"/>
      <c r="E3015" s="173"/>
      <c r="F3015" s="176"/>
      <c r="G3015" s="175">
        <f t="shared" ref="G3015:G3770" si="253">+P3015</f>
        <v>0</v>
      </c>
      <c r="H3015" s="175">
        <f t="shared" ref="H3015:H3770" si="254">IF(F3015=0,0,(F3015/G3015)*P3015)</f>
        <v>0</v>
      </c>
      <c r="I3015" s="177">
        <f>IF(G3015=0,0,IF(E3015="MXN",1/HLOOKUP(YEAR(C3015)+(MONTH(C3015)/100),TC!$5:$37,DAY(C3015)+2,FALSE),VLOOKUP(E3015,Equivalencia!$5:$23,((MAX(Equivalencia!$3:$3)-YEAR(C3015))*14)+MONTH(C3015)+2,FALSE)))</f>
        <v>0</v>
      </c>
      <c r="J3015" s="178">
        <f t="shared" ref="J3015:J3770" si="255">+H3015*I3015</f>
        <v>0</v>
      </c>
      <c r="K3015" s="462">
        <f>IF(C3015=0,0,VLOOKUP(YEAR(C3015),INPC!$B$4:$O$29,MONTH(C3015)+1))</f>
        <v>0</v>
      </c>
      <c r="L3015" s="462">
        <f>IF(S3015=0,0,VLOOKUP(YEAR(S3015),INPC!$B$4:$O$29,MONTH(S3015)+1))</f>
        <v>0</v>
      </c>
      <c r="M3015" s="463">
        <f t="shared" ref="M3015:M3770" si="256">IF(H3015=0,0,IF(R3015=$AF$4,1,IF(TRUNC(L3015/K3015,4)&gt;=1,TRUNC(L3015/K3015,4),1)))</f>
        <v>0</v>
      </c>
      <c r="N3015" s="465">
        <f t="shared" ref="N3015:N3770" si="257">+M3015*J3015</f>
        <v>0</v>
      </c>
      <c r="O3015" s="179"/>
      <c r="P3015" s="180"/>
      <c r="Q3015" s="173"/>
      <c r="R3015" s="173"/>
      <c r="S3015" s="174"/>
      <c r="T3015" s="173"/>
      <c r="U3015" s="182"/>
      <c r="V3015" s="177">
        <f>IF(U3015=0,0,IF(T3015="MXN",1/HLOOKUP(YEAR(S3015)+(MONTH(S3015)/100),TC!$5:$37,DAY(S3015)+2,FALSE),VLOOKUP(T3015,Equivalencia!$1:$23,((MAX(Equivalencia!$3:$3)-YEAR(S3015))*14)+MONTH(S3015)+2,FALSE)))</f>
        <v>0</v>
      </c>
      <c r="W3015" s="178">
        <f t="shared" ref="W3015:W3770" si="258">+V3015*U3015</f>
        <v>0</v>
      </c>
      <c r="X3015" s="481">
        <f t="shared" ref="X3015:X3770" si="259">+W3015-J3015</f>
        <v>0</v>
      </c>
      <c r="Y3015" s="179"/>
      <c r="Z3015" s="466">
        <f t="shared" ref="Z3015:Z3770" si="260">N3015</f>
        <v>0</v>
      </c>
      <c r="AA3015" s="473">
        <f t="shared" ref="AA3015:AA3770" si="261">+W3015-Z3015</f>
        <v>0</v>
      </c>
      <c r="AB3015" s="339">
        <f t="shared" ref="AB3015:AB3770" si="262">+IF(P3015=0,0,(U3015/F3015)-1)</f>
        <v>0</v>
      </c>
    </row>
    <row r="3016" spans="2:28" ht="20.100000000000001" customHeight="1">
      <c r="B3016" s="172"/>
      <c r="C3016" s="174"/>
      <c r="D3016" s="181"/>
      <c r="E3016" s="173"/>
      <c r="F3016" s="176"/>
      <c r="G3016" s="175">
        <f t="shared" si="253"/>
        <v>0</v>
      </c>
      <c r="H3016" s="175">
        <f t="shared" si="254"/>
        <v>0</v>
      </c>
      <c r="I3016" s="177">
        <f>IF(G3016=0,0,IF(E3016="MXN",1/HLOOKUP(YEAR(C3016)+(MONTH(C3016)/100),TC!$5:$37,DAY(C3016)+2,FALSE),VLOOKUP(E3016,Equivalencia!$5:$23,((MAX(Equivalencia!$3:$3)-YEAR(C3016))*14)+MONTH(C3016)+2,FALSE)))</f>
        <v>0</v>
      </c>
      <c r="J3016" s="178">
        <f t="shared" si="255"/>
        <v>0</v>
      </c>
      <c r="K3016" s="462">
        <f>IF(C3016=0,0,VLOOKUP(YEAR(C3016),INPC!$B$4:$O$29,MONTH(C3016)+1))</f>
        <v>0</v>
      </c>
      <c r="L3016" s="462">
        <f>IF(S3016=0,0,VLOOKUP(YEAR(S3016),INPC!$B$4:$O$29,MONTH(S3016)+1))</f>
        <v>0</v>
      </c>
      <c r="M3016" s="463">
        <f t="shared" si="256"/>
        <v>0</v>
      </c>
      <c r="N3016" s="465">
        <f t="shared" si="257"/>
        <v>0</v>
      </c>
      <c r="O3016" s="179"/>
      <c r="P3016" s="180"/>
      <c r="Q3016" s="173"/>
      <c r="R3016" s="173"/>
      <c r="S3016" s="174"/>
      <c r="T3016" s="173"/>
      <c r="U3016" s="182"/>
      <c r="V3016" s="177">
        <f>IF(U3016=0,0,IF(T3016="MXN",1/HLOOKUP(YEAR(S3016)+(MONTH(S3016)/100),TC!$5:$37,DAY(S3016)+2,FALSE),VLOOKUP(T3016,Equivalencia!$1:$23,((MAX(Equivalencia!$3:$3)-YEAR(S3016))*14)+MONTH(S3016)+2,FALSE)))</f>
        <v>0</v>
      </c>
      <c r="W3016" s="178">
        <f t="shared" si="258"/>
        <v>0</v>
      </c>
      <c r="X3016" s="481">
        <f t="shared" si="259"/>
        <v>0</v>
      </c>
      <c r="Y3016" s="179"/>
      <c r="Z3016" s="466">
        <f t="shared" si="260"/>
        <v>0</v>
      </c>
      <c r="AA3016" s="473">
        <f t="shared" si="261"/>
        <v>0</v>
      </c>
      <c r="AB3016" s="339">
        <f t="shared" si="262"/>
        <v>0</v>
      </c>
    </row>
    <row r="3017" spans="2:28" ht="20.100000000000001" customHeight="1">
      <c r="B3017" s="172"/>
      <c r="C3017" s="174"/>
      <c r="D3017" s="181"/>
      <c r="E3017" s="173"/>
      <c r="F3017" s="176"/>
      <c r="G3017" s="175">
        <f t="shared" si="253"/>
        <v>0</v>
      </c>
      <c r="H3017" s="175">
        <f t="shared" si="254"/>
        <v>0</v>
      </c>
      <c r="I3017" s="177">
        <f>IF(G3017=0,0,IF(E3017="MXN",1/HLOOKUP(YEAR(C3017)+(MONTH(C3017)/100),TC!$5:$37,DAY(C3017)+2,FALSE),VLOOKUP(E3017,Equivalencia!$5:$23,((MAX(Equivalencia!$3:$3)-YEAR(C3017))*14)+MONTH(C3017)+2,FALSE)))</f>
        <v>0</v>
      </c>
      <c r="J3017" s="178">
        <f t="shared" si="255"/>
        <v>0</v>
      </c>
      <c r="K3017" s="462">
        <f>IF(C3017=0,0,VLOOKUP(YEAR(C3017),INPC!$B$4:$O$29,MONTH(C3017)+1))</f>
        <v>0</v>
      </c>
      <c r="L3017" s="462">
        <f>IF(S3017=0,0,VLOOKUP(YEAR(S3017),INPC!$B$4:$O$29,MONTH(S3017)+1))</f>
        <v>0</v>
      </c>
      <c r="M3017" s="463">
        <f t="shared" si="256"/>
        <v>0</v>
      </c>
      <c r="N3017" s="465">
        <f t="shared" si="257"/>
        <v>0</v>
      </c>
      <c r="O3017" s="179"/>
      <c r="P3017" s="180"/>
      <c r="Q3017" s="173"/>
      <c r="R3017" s="173"/>
      <c r="S3017" s="174"/>
      <c r="T3017" s="173"/>
      <c r="U3017" s="182"/>
      <c r="V3017" s="177">
        <f>IF(U3017=0,0,IF(T3017="MXN",1/HLOOKUP(YEAR(S3017)+(MONTH(S3017)/100),TC!$5:$37,DAY(S3017)+2,FALSE),VLOOKUP(T3017,Equivalencia!$1:$23,((MAX(Equivalencia!$3:$3)-YEAR(S3017))*14)+MONTH(S3017)+2,FALSE)))</f>
        <v>0</v>
      </c>
      <c r="W3017" s="178">
        <f t="shared" si="258"/>
        <v>0</v>
      </c>
      <c r="X3017" s="481">
        <f t="shared" si="259"/>
        <v>0</v>
      </c>
      <c r="Y3017" s="179"/>
      <c r="Z3017" s="466">
        <f t="shared" si="260"/>
        <v>0</v>
      </c>
      <c r="AA3017" s="473">
        <f t="shared" si="261"/>
        <v>0</v>
      </c>
      <c r="AB3017" s="339">
        <f t="shared" si="262"/>
        <v>0</v>
      </c>
    </row>
    <row r="3018" spans="2:28" ht="20.100000000000001" customHeight="1">
      <c r="B3018" s="172"/>
      <c r="C3018" s="174"/>
      <c r="D3018" s="181"/>
      <c r="E3018" s="173"/>
      <c r="F3018" s="176"/>
      <c r="G3018" s="175">
        <f t="shared" si="253"/>
        <v>0</v>
      </c>
      <c r="H3018" s="175">
        <f t="shared" si="254"/>
        <v>0</v>
      </c>
      <c r="I3018" s="177">
        <f>IF(G3018=0,0,IF(E3018="MXN",1/HLOOKUP(YEAR(C3018)+(MONTH(C3018)/100),TC!$5:$37,DAY(C3018)+2,FALSE),VLOOKUP(E3018,Equivalencia!$5:$23,((MAX(Equivalencia!$3:$3)-YEAR(C3018))*14)+MONTH(C3018)+2,FALSE)))</f>
        <v>0</v>
      </c>
      <c r="J3018" s="178">
        <f t="shared" si="255"/>
        <v>0</v>
      </c>
      <c r="K3018" s="462">
        <f>IF(C3018=0,0,VLOOKUP(YEAR(C3018),INPC!$B$4:$O$29,MONTH(C3018)+1))</f>
        <v>0</v>
      </c>
      <c r="L3018" s="462">
        <f>IF(S3018=0,0,VLOOKUP(YEAR(S3018),INPC!$B$4:$O$29,MONTH(S3018)+1))</f>
        <v>0</v>
      </c>
      <c r="M3018" s="463">
        <f t="shared" si="256"/>
        <v>0</v>
      </c>
      <c r="N3018" s="465">
        <f t="shared" si="257"/>
        <v>0</v>
      </c>
      <c r="O3018" s="179"/>
      <c r="P3018" s="180"/>
      <c r="Q3018" s="173"/>
      <c r="R3018" s="173"/>
      <c r="S3018" s="174"/>
      <c r="T3018" s="173"/>
      <c r="U3018" s="182"/>
      <c r="V3018" s="177">
        <f>IF(U3018=0,0,IF(T3018="MXN",1/HLOOKUP(YEAR(S3018)+(MONTH(S3018)/100),TC!$5:$37,DAY(S3018)+2,FALSE),VLOOKUP(T3018,Equivalencia!$1:$23,((MAX(Equivalencia!$3:$3)-YEAR(S3018))*14)+MONTH(S3018)+2,FALSE)))</f>
        <v>0</v>
      </c>
      <c r="W3018" s="178">
        <f t="shared" si="258"/>
        <v>0</v>
      </c>
      <c r="X3018" s="481">
        <f t="shared" si="259"/>
        <v>0</v>
      </c>
      <c r="Y3018" s="179"/>
      <c r="Z3018" s="466">
        <f t="shared" si="260"/>
        <v>0</v>
      </c>
      <c r="AA3018" s="473">
        <f t="shared" si="261"/>
        <v>0</v>
      </c>
      <c r="AB3018" s="339">
        <f t="shared" si="262"/>
        <v>0</v>
      </c>
    </row>
    <row r="3019" spans="2:28" ht="20.100000000000001" customHeight="1">
      <c r="B3019" s="172"/>
      <c r="C3019" s="174"/>
      <c r="D3019" s="181"/>
      <c r="E3019" s="173"/>
      <c r="F3019" s="176"/>
      <c r="G3019" s="175">
        <f t="shared" si="253"/>
        <v>0</v>
      </c>
      <c r="H3019" s="175">
        <f t="shared" si="254"/>
        <v>0</v>
      </c>
      <c r="I3019" s="177">
        <f>IF(G3019=0,0,IF(E3019="MXN",1/HLOOKUP(YEAR(C3019)+(MONTH(C3019)/100),TC!$5:$37,DAY(C3019)+2,FALSE),VLOOKUP(E3019,Equivalencia!$5:$23,((MAX(Equivalencia!$3:$3)-YEAR(C3019))*14)+MONTH(C3019)+2,FALSE)))</f>
        <v>0</v>
      </c>
      <c r="J3019" s="178">
        <f t="shared" si="255"/>
        <v>0</v>
      </c>
      <c r="K3019" s="462">
        <f>IF(C3019=0,0,VLOOKUP(YEAR(C3019),INPC!$B$4:$O$29,MONTH(C3019)+1))</f>
        <v>0</v>
      </c>
      <c r="L3019" s="462">
        <f>IF(S3019=0,0,VLOOKUP(YEAR(S3019),INPC!$B$4:$O$29,MONTH(S3019)+1))</f>
        <v>0</v>
      </c>
      <c r="M3019" s="463">
        <f t="shared" si="256"/>
        <v>0</v>
      </c>
      <c r="N3019" s="465">
        <f t="shared" si="257"/>
        <v>0</v>
      </c>
      <c r="O3019" s="179"/>
      <c r="P3019" s="180"/>
      <c r="Q3019" s="173"/>
      <c r="R3019" s="173"/>
      <c r="S3019" s="174"/>
      <c r="T3019" s="173"/>
      <c r="U3019" s="182"/>
      <c r="V3019" s="177">
        <f>IF(U3019=0,0,IF(T3019="MXN",1/HLOOKUP(YEAR(S3019)+(MONTH(S3019)/100),TC!$5:$37,DAY(S3019)+2,FALSE),VLOOKUP(T3019,Equivalencia!$1:$23,((MAX(Equivalencia!$3:$3)-YEAR(S3019))*14)+MONTH(S3019)+2,FALSE)))</f>
        <v>0</v>
      </c>
      <c r="W3019" s="178">
        <f t="shared" si="258"/>
        <v>0</v>
      </c>
      <c r="X3019" s="481">
        <f t="shared" si="259"/>
        <v>0</v>
      </c>
      <c r="Y3019" s="179"/>
      <c r="Z3019" s="466">
        <f t="shared" si="260"/>
        <v>0</v>
      </c>
      <c r="AA3019" s="473">
        <f t="shared" si="261"/>
        <v>0</v>
      </c>
      <c r="AB3019" s="339">
        <f t="shared" si="262"/>
        <v>0</v>
      </c>
    </row>
    <row r="3020" spans="2:28" ht="20.100000000000001" customHeight="1">
      <c r="B3020" s="172"/>
      <c r="C3020" s="174"/>
      <c r="D3020" s="181"/>
      <c r="E3020" s="173"/>
      <c r="F3020" s="176"/>
      <c r="G3020" s="175">
        <f t="shared" si="253"/>
        <v>0</v>
      </c>
      <c r="H3020" s="175">
        <f t="shared" si="254"/>
        <v>0</v>
      </c>
      <c r="I3020" s="177">
        <f>IF(G3020=0,0,IF(E3020="MXN",1/HLOOKUP(YEAR(C3020)+(MONTH(C3020)/100),TC!$5:$37,DAY(C3020)+2,FALSE),VLOOKUP(E3020,Equivalencia!$5:$23,((MAX(Equivalencia!$3:$3)-YEAR(C3020))*14)+MONTH(C3020)+2,FALSE)))</f>
        <v>0</v>
      </c>
      <c r="J3020" s="178">
        <f t="shared" si="255"/>
        <v>0</v>
      </c>
      <c r="K3020" s="462">
        <f>IF(C3020=0,0,VLOOKUP(YEAR(C3020),INPC!$B$4:$O$29,MONTH(C3020)+1))</f>
        <v>0</v>
      </c>
      <c r="L3020" s="462">
        <f>IF(S3020=0,0,VLOOKUP(YEAR(S3020),INPC!$B$4:$O$29,MONTH(S3020)+1))</f>
        <v>0</v>
      </c>
      <c r="M3020" s="463">
        <f t="shared" si="256"/>
        <v>0</v>
      </c>
      <c r="N3020" s="465">
        <f t="shared" si="257"/>
        <v>0</v>
      </c>
      <c r="O3020" s="179"/>
      <c r="P3020" s="180"/>
      <c r="Q3020" s="173"/>
      <c r="R3020" s="173"/>
      <c r="S3020" s="174"/>
      <c r="T3020" s="173"/>
      <c r="U3020" s="182"/>
      <c r="V3020" s="177">
        <f>IF(U3020=0,0,IF(T3020="MXN",1/HLOOKUP(YEAR(S3020)+(MONTH(S3020)/100),TC!$5:$37,DAY(S3020)+2,FALSE),VLOOKUP(T3020,Equivalencia!$1:$23,((MAX(Equivalencia!$3:$3)-YEAR(S3020))*14)+MONTH(S3020)+2,FALSE)))</f>
        <v>0</v>
      </c>
      <c r="W3020" s="178">
        <f t="shared" si="258"/>
        <v>0</v>
      </c>
      <c r="X3020" s="481">
        <f t="shared" si="259"/>
        <v>0</v>
      </c>
      <c r="Y3020" s="179"/>
      <c r="Z3020" s="466">
        <f t="shared" si="260"/>
        <v>0</v>
      </c>
      <c r="AA3020" s="473">
        <f t="shared" si="261"/>
        <v>0</v>
      </c>
      <c r="AB3020" s="339">
        <f t="shared" si="262"/>
        <v>0</v>
      </c>
    </row>
    <row r="3021" spans="2:28" ht="20.100000000000001" customHeight="1">
      <c r="B3021" s="172"/>
      <c r="C3021" s="174"/>
      <c r="D3021" s="181"/>
      <c r="E3021" s="173"/>
      <c r="F3021" s="176"/>
      <c r="G3021" s="175">
        <f t="shared" si="253"/>
        <v>0</v>
      </c>
      <c r="H3021" s="175">
        <f t="shared" si="254"/>
        <v>0</v>
      </c>
      <c r="I3021" s="177">
        <f>IF(G3021=0,0,IF(E3021="MXN",1/HLOOKUP(YEAR(C3021)+(MONTH(C3021)/100),TC!$5:$37,DAY(C3021)+2,FALSE),VLOOKUP(E3021,Equivalencia!$5:$23,((MAX(Equivalencia!$3:$3)-YEAR(C3021))*14)+MONTH(C3021)+2,FALSE)))</f>
        <v>0</v>
      </c>
      <c r="J3021" s="178">
        <f t="shared" si="255"/>
        <v>0</v>
      </c>
      <c r="K3021" s="462">
        <f>IF(C3021=0,0,VLOOKUP(YEAR(C3021),INPC!$B$4:$O$29,MONTH(C3021)+1))</f>
        <v>0</v>
      </c>
      <c r="L3021" s="462">
        <f>IF(S3021=0,0,VLOOKUP(YEAR(S3021),INPC!$B$4:$O$29,MONTH(S3021)+1))</f>
        <v>0</v>
      </c>
      <c r="M3021" s="463">
        <f t="shared" si="256"/>
        <v>0</v>
      </c>
      <c r="N3021" s="465">
        <f t="shared" si="257"/>
        <v>0</v>
      </c>
      <c r="O3021" s="179"/>
      <c r="P3021" s="180"/>
      <c r="Q3021" s="173"/>
      <c r="R3021" s="173"/>
      <c r="S3021" s="174"/>
      <c r="T3021" s="173"/>
      <c r="U3021" s="182"/>
      <c r="V3021" s="177">
        <f>IF(U3021=0,0,IF(T3021="MXN",1/HLOOKUP(YEAR(S3021)+(MONTH(S3021)/100),TC!$5:$37,DAY(S3021)+2,FALSE),VLOOKUP(T3021,Equivalencia!$1:$23,((MAX(Equivalencia!$3:$3)-YEAR(S3021))*14)+MONTH(S3021)+2,FALSE)))</f>
        <v>0</v>
      </c>
      <c r="W3021" s="178">
        <f t="shared" si="258"/>
        <v>0</v>
      </c>
      <c r="X3021" s="481">
        <f t="shared" si="259"/>
        <v>0</v>
      </c>
      <c r="Y3021" s="179"/>
      <c r="Z3021" s="466">
        <f t="shared" si="260"/>
        <v>0</v>
      </c>
      <c r="AA3021" s="473">
        <f t="shared" si="261"/>
        <v>0</v>
      </c>
      <c r="AB3021" s="339">
        <f t="shared" si="262"/>
        <v>0</v>
      </c>
    </row>
    <row r="3022" spans="2:28" ht="20.100000000000001" customHeight="1">
      <c r="B3022" s="172"/>
      <c r="C3022" s="174"/>
      <c r="D3022" s="181"/>
      <c r="E3022" s="173"/>
      <c r="F3022" s="176"/>
      <c r="G3022" s="175">
        <f t="shared" si="253"/>
        <v>0</v>
      </c>
      <c r="H3022" s="175">
        <f t="shared" si="254"/>
        <v>0</v>
      </c>
      <c r="I3022" s="177">
        <f>IF(G3022=0,0,IF(E3022="MXN",1/HLOOKUP(YEAR(C3022)+(MONTH(C3022)/100),TC!$5:$37,DAY(C3022)+2,FALSE),VLOOKUP(E3022,Equivalencia!$5:$23,((MAX(Equivalencia!$3:$3)-YEAR(C3022))*14)+MONTH(C3022)+2,FALSE)))</f>
        <v>0</v>
      </c>
      <c r="J3022" s="178">
        <f t="shared" si="255"/>
        <v>0</v>
      </c>
      <c r="K3022" s="462">
        <f>IF(C3022=0,0,VLOOKUP(YEAR(C3022),INPC!$B$4:$O$29,MONTH(C3022)+1))</f>
        <v>0</v>
      </c>
      <c r="L3022" s="462">
        <f>IF(S3022=0,0,VLOOKUP(YEAR(S3022),INPC!$B$4:$O$29,MONTH(S3022)+1))</f>
        <v>0</v>
      </c>
      <c r="M3022" s="463">
        <f t="shared" si="256"/>
        <v>0</v>
      </c>
      <c r="N3022" s="465">
        <f t="shared" si="257"/>
        <v>0</v>
      </c>
      <c r="O3022" s="179"/>
      <c r="P3022" s="180"/>
      <c r="Q3022" s="173"/>
      <c r="R3022" s="173"/>
      <c r="S3022" s="174"/>
      <c r="T3022" s="173"/>
      <c r="U3022" s="182"/>
      <c r="V3022" s="177">
        <f>IF(U3022=0,0,IF(T3022="MXN",1/HLOOKUP(YEAR(S3022)+(MONTH(S3022)/100),TC!$5:$37,DAY(S3022)+2,FALSE),VLOOKUP(T3022,Equivalencia!$1:$23,((MAX(Equivalencia!$3:$3)-YEAR(S3022))*14)+MONTH(S3022)+2,FALSE)))</f>
        <v>0</v>
      </c>
      <c r="W3022" s="178">
        <f t="shared" si="258"/>
        <v>0</v>
      </c>
      <c r="X3022" s="481">
        <f t="shared" si="259"/>
        <v>0</v>
      </c>
      <c r="Y3022" s="179"/>
      <c r="Z3022" s="466">
        <f t="shared" si="260"/>
        <v>0</v>
      </c>
      <c r="AA3022" s="473">
        <f t="shared" si="261"/>
        <v>0</v>
      </c>
      <c r="AB3022" s="339">
        <f t="shared" si="262"/>
        <v>0</v>
      </c>
    </row>
    <row r="3023" spans="2:28" ht="20.100000000000001" customHeight="1">
      <c r="B3023" s="172"/>
      <c r="C3023" s="174"/>
      <c r="D3023" s="181"/>
      <c r="E3023" s="173"/>
      <c r="F3023" s="176"/>
      <c r="G3023" s="175">
        <f t="shared" si="253"/>
        <v>0</v>
      </c>
      <c r="H3023" s="175">
        <f t="shared" si="254"/>
        <v>0</v>
      </c>
      <c r="I3023" s="177">
        <f>IF(G3023=0,0,IF(E3023="MXN",1/HLOOKUP(YEAR(C3023)+(MONTH(C3023)/100),TC!$5:$37,DAY(C3023)+2,FALSE),VLOOKUP(E3023,Equivalencia!$5:$23,((MAX(Equivalencia!$3:$3)-YEAR(C3023))*14)+MONTH(C3023)+2,FALSE)))</f>
        <v>0</v>
      </c>
      <c r="J3023" s="178">
        <f t="shared" si="255"/>
        <v>0</v>
      </c>
      <c r="K3023" s="462">
        <f>IF(C3023=0,0,VLOOKUP(YEAR(C3023),INPC!$B$4:$O$29,MONTH(C3023)+1))</f>
        <v>0</v>
      </c>
      <c r="L3023" s="462">
        <f>IF(S3023=0,0,VLOOKUP(YEAR(S3023),INPC!$B$4:$O$29,MONTH(S3023)+1))</f>
        <v>0</v>
      </c>
      <c r="M3023" s="463">
        <f t="shared" si="256"/>
        <v>0</v>
      </c>
      <c r="N3023" s="465">
        <f t="shared" si="257"/>
        <v>0</v>
      </c>
      <c r="O3023" s="179"/>
      <c r="P3023" s="180"/>
      <c r="Q3023" s="173"/>
      <c r="R3023" s="173"/>
      <c r="S3023" s="174"/>
      <c r="T3023" s="173"/>
      <c r="U3023" s="182"/>
      <c r="V3023" s="177">
        <f>IF(U3023=0,0,IF(T3023="MXN",1/HLOOKUP(YEAR(S3023)+(MONTH(S3023)/100),TC!$5:$37,DAY(S3023)+2,FALSE),VLOOKUP(T3023,Equivalencia!$1:$23,((MAX(Equivalencia!$3:$3)-YEAR(S3023))*14)+MONTH(S3023)+2,FALSE)))</f>
        <v>0</v>
      </c>
      <c r="W3023" s="178">
        <f t="shared" si="258"/>
        <v>0</v>
      </c>
      <c r="X3023" s="481">
        <f t="shared" si="259"/>
        <v>0</v>
      </c>
      <c r="Y3023" s="179"/>
      <c r="Z3023" s="466">
        <f t="shared" si="260"/>
        <v>0</v>
      </c>
      <c r="AA3023" s="473">
        <f t="shared" si="261"/>
        <v>0</v>
      </c>
      <c r="AB3023" s="339">
        <f t="shared" si="262"/>
        <v>0</v>
      </c>
    </row>
    <row r="3024" spans="2:28" ht="20.100000000000001" customHeight="1">
      <c r="B3024" s="172"/>
      <c r="C3024" s="174"/>
      <c r="D3024" s="181"/>
      <c r="E3024" s="173"/>
      <c r="F3024" s="176"/>
      <c r="G3024" s="175">
        <f t="shared" si="253"/>
        <v>0</v>
      </c>
      <c r="H3024" s="175">
        <f t="shared" si="254"/>
        <v>0</v>
      </c>
      <c r="I3024" s="177">
        <f>IF(G3024=0,0,IF(E3024="MXN",1/HLOOKUP(YEAR(C3024)+(MONTH(C3024)/100),TC!$5:$37,DAY(C3024)+2,FALSE),VLOOKUP(E3024,Equivalencia!$5:$23,((MAX(Equivalencia!$3:$3)-YEAR(C3024))*14)+MONTH(C3024)+2,FALSE)))</f>
        <v>0</v>
      </c>
      <c r="J3024" s="178">
        <f t="shared" si="255"/>
        <v>0</v>
      </c>
      <c r="K3024" s="462">
        <f>IF(C3024=0,0,VLOOKUP(YEAR(C3024),INPC!$B$4:$O$29,MONTH(C3024)+1))</f>
        <v>0</v>
      </c>
      <c r="L3024" s="462">
        <f>IF(S3024=0,0,VLOOKUP(YEAR(S3024),INPC!$B$4:$O$29,MONTH(S3024)+1))</f>
        <v>0</v>
      </c>
      <c r="M3024" s="463">
        <f t="shared" si="256"/>
        <v>0</v>
      </c>
      <c r="N3024" s="465">
        <f t="shared" si="257"/>
        <v>0</v>
      </c>
      <c r="O3024" s="179"/>
      <c r="P3024" s="180"/>
      <c r="Q3024" s="173"/>
      <c r="R3024" s="173"/>
      <c r="S3024" s="174"/>
      <c r="T3024" s="173"/>
      <c r="U3024" s="182"/>
      <c r="V3024" s="177">
        <f>IF(U3024=0,0,IF(T3024="MXN",1/HLOOKUP(YEAR(S3024)+(MONTH(S3024)/100),TC!$5:$37,DAY(S3024)+2,FALSE),VLOOKUP(T3024,Equivalencia!$1:$23,((MAX(Equivalencia!$3:$3)-YEAR(S3024))*14)+MONTH(S3024)+2,FALSE)))</f>
        <v>0</v>
      </c>
      <c r="W3024" s="178">
        <f t="shared" si="258"/>
        <v>0</v>
      </c>
      <c r="X3024" s="481">
        <f t="shared" si="259"/>
        <v>0</v>
      </c>
      <c r="Y3024" s="179"/>
      <c r="Z3024" s="466">
        <f t="shared" si="260"/>
        <v>0</v>
      </c>
      <c r="AA3024" s="473">
        <f t="shared" si="261"/>
        <v>0</v>
      </c>
      <c r="AB3024" s="339">
        <f t="shared" si="262"/>
        <v>0</v>
      </c>
    </row>
    <row r="3025" spans="2:28" ht="20.100000000000001" customHeight="1">
      <c r="B3025" s="172"/>
      <c r="C3025" s="174"/>
      <c r="D3025" s="181"/>
      <c r="E3025" s="173"/>
      <c r="F3025" s="176"/>
      <c r="G3025" s="175">
        <f t="shared" si="253"/>
        <v>0</v>
      </c>
      <c r="H3025" s="175">
        <f t="shared" si="254"/>
        <v>0</v>
      </c>
      <c r="I3025" s="177">
        <f>IF(G3025=0,0,IF(E3025="MXN",1/HLOOKUP(YEAR(C3025)+(MONTH(C3025)/100),TC!$5:$37,DAY(C3025)+2,FALSE),VLOOKUP(E3025,Equivalencia!$5:$23,((MAX(Equivalencia!$3:$3)-YEAR(C3025))*14)+MONTH(C3025)+2,FALSE)))</f>
        <v>0</v>
      </c>
      <c r="J3025" s="178">
        <f t="shared" si="255"/>
        <v>0</v>
      </c>
      <c r="K3025" s="462">
        <f>IF(C3025=0,0,VLOOKUP(YEAR(C3025),INPC!$B$4:$O$29,MONTH(C3025)+1))</f>
        <v>0</v>
      </c>
      <c r="L3025" s="462">
        <f>IF(S3025=0,0,VLOOKUP(YEAR(S3025),INPC!$B$4:$O$29,MONTH(S3025)+1))</f>
        <v>0</v>
      </c>
      <c r="M3025" s="463">
        <f t="shared" si="256"/>
        <v>0</v>
      </c>
      <c r="N3025" s="465">
        <f t="shared" si="257"/>
        <v>0</v>
      </c>
      <c r="O3025" s="179"/>
      <c r="P3025" s="180"/>
      <c r="Q3025" s="173"/>
      <c r="R3025" s="173"/>
      <c r="S3025" s="174"/>
      <c r="T3025" s="173"/>
      <c r="U3025" s="182"/>
      <c r="V3025" s="177">
        <f>IF(U3025=0,0,IF(T3025="MXN",1/HLOOKUP(YEAR(S3025)+(MONTH(S3025)/100),TC!$5:$37,DAY(S3025)+2,FALSE),VLOOKUP(T3025,Equivalencia!$1:$23,((MAX(Equivalencia!$3:$3)-YEAR(S3025))*14)+MONTH(S3025)+2,FALSE)))</f>
        <v>0</v>
      </c>
      <c r="W3025" s="178">
        <f t="shared" si="258"/>
        <v>0</v>
      </c>
      <c r="X3025" s="481">
        <f t="shared" si="259"/>
        <v>0</v>
      </c>
      <c r="Y3025" s="179"/>
      <c r="Z3025" s="466">
        <f t="shared" si="260"/>
        <v>0</v>
      </c>
      <c r="AA3025" s="473">
        <f t="shared" si="261"/>
        <v>0</v>
      </c>
      <c r="AB3025" s="339">
        <f t="shared" si="262"/>
        <v>0</v>
      </c>
    </row>
    <row r="3026" spans="2:28" ht="20.100000000000001" customHeight="1">
      <c r="B3026" s="172"/>
      <c r="C3026" s="174"/>
      <c r="D3026" s="181"/>
      <c r="E3026" s="173"/>
      <c r="F3026" s="176"/>
      <c r="G3026" s="175">
        <f t="shared" si="253"/>
        <v>0</v>
      </c>
      <c r="H3026" s="175">
        <f t="shared" si="254"/>
        <v>0</v>
      </c>
      <c r="I3026" s="177">
        <f>IF(G3026=0,0,IF(E3026="MXN",1/HLOOKUP(YEAR(C3026)+(MONTH(C3026)/100),TC!$5:$37,DAY(C3026)+2,FALSE),VLOOKUP(E3026,Equivalencia!$5:$23,((MAX(Equivalencia!$3:$3)-YEAR(C3026))*14)+MONTH(C3026)+2,FALSE)))</f>
        <v>0</v>
      </c>
      <c r="J3026" s="178">
        <f t="shared" si="255"/>
        <v>0</v>
      </c>
      <c r="K3026" s="462">
        <f>IF(C3026=0,0,VLOOKUP(YEAR(C3026),INPC!$B$4:$O$29,MONTH(C3026)+1))</f>
        <v>0</v>
      </c>
      <c r="L3026" s="462">
        <f>IF(S3026=0,0,VLOOKUP(YEAR(S3026),INPC!$B$4:$O$29,MONTH(S3026)+1))</f>
        <v>0</v>
      </c>
      <c r="M3026" s="463">
        <f t="shared" si="256"/>
        <v>0</v>
      </c>
      <c r="N3026" s="465">
        <f t="shared" si="257"/>
        <v>0</v>
      </c>
      <c r="O3026" s="179"/>
      <c r="P3026" s="180"/>
      <c r="Q3026" s="173"/>
      <c r="R3026" s="173"/>
      <c r="S3026" s="174"/>
      <c r="T3026" s="173"/>
      <c r="U3026" s="182"/>
      <c r="V3026" s="177">
        <f>IF(U3026=0,0,IF(T3026="MXN",1/HLOOKUP(YEAR(S3026)+(MONTH(S3026)/100),TC!$5:$37,DAY(S3026)+2,FALSE),VLOOKUP(T3026,Equivalencia!$1:$23,((MAX(Equivalencia!$3:$3)-YEAR(S3026))*14)+MONTH(S3026)+2,FALSE)))</f>
        <v>0</v>
      </c>
      <c r="W3026" s="178">
        <f t="shared" si="258"/>
        <v>0</v>
      </c>
      <c r="X3026" s="481">
        <f t="shared" si="259"/>
        <v>0</v>
      </c>
      <c r="Y3026" s="179"/>
      <c r="Z3026" s="466">
        <f t="shared" si="260"/>
        <v>0</v>
      </c>
      <c r="AA3026" s="473">
        <f t="shared" si="261"/>
        <v>0</v>
      </c>
      <c r="AB3026" s="339">
        <f t="shared" si="262"/>
        <v>0</v>
      </c>
    </row>
    <row r="3027" spans="2:28" ht="20.100000000000001" customHeight="1">
      <c r="B3027" s="172"/>
      <c r="C3027" s="174"/>
      <c r="D3027" s="181"/>
      <c r="E3027" s="173"/>
      <c r="F3027" s="176"/>
      <c r="G3027" s="175">
        <f t="shared" si="253"/>
        <v>0</v>
      </c>
      <c r="H3027" s="175">
        <f t="shared" si="254"/>
        <v>0</v>
      </c>
      <c r="I3027" s="177">
        <f>IF(G3027=0,0,IF(E3027="MXN",1/HLOOKUP(YEAR(C3027)+(MONTH(C3027)/100),TC!$5:$37,DAY(C3027)+2,FALSE),VLOOKUP(E3027,Equivalencia!$5:$23,((MAX(Equivalencia!$3:$3)-YEAR(C3027))*14)+MONTH(C3027)+2,FALSE)))</f>
        <v>0</v>
      </c>
      <c r="J3027" s="178">
        <f t="shared" si="255"/>
        <v>0</v>
      </c>
      <c r="K3027" s="462">
        <f>IF(C3027=0,0,VLOOKUP(YEAR(C3027),INPC!$B$4:$O$29,MONTH(C3027)+1))</f>
        <v>0</v>
      </c>
      <c r="L3027" s="462">
        <f>IF(S3027=0,0,VLOOKUP(YEAR(S3027),INPC!$B$4:$O$29,MONTH(S3027)+1))</f>
        <v>0</v>
      </c>
      <c r="M3027" s="463">
        <f t="shared" si="256"/>
        <v>0</v>
      </c>
      <c r="N3027" s="465">
        <f t="shared" si="257"/>
        <v>0</v>
      </c>
      <c r="O3027" s="179"/>
      <c r="P3027" s="180"/>
      <c r="Q3027" s="173"/>
      <c r="R3027" s="173"/>
      <c r="S3027" s="174"/>
      <c r="T3027" s="173"/>
      <c r="U3027" s="182"/>
      <c r="V3027" s="177">
        <f>IF(U3027=0,0,IF(T3027="MXN",1/HLOOKUP(YEAR(S3027)+(MONTH(S3027)/100),TC!$5:$37,DAY(S3027)+2,FALSE),VLOOKUP(T3027,Equivalencia!$1:$23,((MAX(Equivalencia!$3:$3)-YEAR(S3027))*14)+MONTH(S3027)+2,FALSE)))</f>
        <v>0</v>
      </c>
      <c r="W3027" s="178">
        <f t="shared" si="258"/>
        <v>0</v>
      </c>
      <c r="X3027" s="481">
        <f t="shared" si="259"/>
        <v>0</v>
      </c>
      <c r="Y3027" s="179"/>
      <c r="Z3027" s="466">
        <f t="shared" si="260"/>
        <v>0</v>
      </c>
      <c r="AA3027" s="473">
        <f t="shared" si="261"/>
        <v>0</v>
      </c>
      <c r="AB3027" s="339">
        <f t="shared" si="262"/>
        <v>0</v>
      </c>
    </row>
    <row r="3028" spans="2:28" ht="20.100000000000001" customHeight="1">
      <c r="B3028" s="172"/>
      <c r="C3028" s="174"/>
      <c r="D3028" s="181"/>
      <c r="E3028" s="173"/>
      <c r="F3028" s="176"/>
      <c r="G3028" s="175">
        <f t="shared" si="253"/>
        <v>0</v>
      </c>
      <c r="H3028" s="175">
        <f t="shared" si="254"/>
        <v>0</v>
      </c>
      <c r="I3028" s="177">
        <f>IF(G3028=0,0,IF(E3028="MXN",1/HLOOKUP(YEAR(C3028)+(MONTH(C3028)/100),TC!$5:$37,DAY(C3028)+2,FALSE),VLOOKUP(E3028,Equivalencia!$5:$23,((MAX(Equivalencia!$3:$3)-YEAR(C3028))*14)+MONTH(C3028)+2,FALSE)))</f>
        <v>0</v>
      </c>
      <c r="J3028" s="178">
        <f t="shared" si="255"/>
        <v>0</v>
      </c>
      <c r="K3028" s="462">
        <f>IF(C3028=0,0,VLOOKUP(YEAR(C3028),INPC!$B$4:$O$29,MONTH(C3028)+1))</f>
        <v>0</v>
      </c>
      <c r="L3028" s="462">
        <f>IF(S3028=0,0,VLOOKUP(YEAR(S3028),INPC!$B$4:$O$29,MONTH(S3028)+1))</f>
        <v>0</v>
      </c>
      <c r="M3028" s="463">
        <f t="shared" si="256"/>
        <v>0</v>
      </c>
      <c r="N3028" s="465">
        <f t="shared" si="257"/>
        <v>0</v>
      </c>
      <c r="O3028" s="179"/>
      <c r="P3028" s="180"/>
      <c r="Q3028" s="173"/>
      <c r="R3028" s="173"/>
      <c r="S3028" s="174"/>
      <c r="T3028" s="173"/>
      <c r="U3028" s="182"/>
      <c r="V3028" s="177">
        <f>IF(U3028=0,0,IF(T3028="MXN",1/HLOOKUP(YEAR(S3028)+(MONTH(S3028)/100),TC!$5:$37,DAY(S3028)+2,FALSE),VLOOKUP(T3028,Equivalencia!$1:$23,((MAX(Equivalencia!$3:$3)-YEAR(S3028))*14)+MONTH(S3028)+2,FALSE)))</f>
        <v>0</v>
      </c>
      <c r="W3028" s="178">
        <f t="shared" si="258"/>
        <v>0</v>
      </c>
      <c r="X3028" s="481">
        <f t="shared" si="259"/>
        <v>0</v>
      </c>
      <c r="Y3028" s="179"/>
      <c r="Z3028" s="466">
        <f t="shared" si="260"/>
        <v>0</v>
      </c>
      <c r="AA3028" s="473">
        <f t="shared" si="261"/>
        <v>0</v>
      </c>
      <c r="AB3028" s="339">
        <f t="shared" si="262"/>
        <v>0</v>
      </c>
    </row>
    <row r="3029" spans="2:28" ht="20.100000000000001" customHeight="1">
      <c r="B3029" s="172"/>
      <c r="C3029" s="174"/>
      <c r="D3029" s="181"/>
      <c r="E3029" s="173"/>
      <c r="F3029" s="176"/>
      <c r="G3029" s="175">
        <f t="shared" si="253"/>
        <v>0</v>
      </c>
      <c r="H3029" s="175">
        <f t="shared" si="254"/>
        <v>0</v>
      </c>
      <c r="I3029" s="177">
        <f>IF(G3029=0,0,IF(E3029="MXN",1/HLOOKUP(YEAR(C3029)+(MONTH(C3029)/100),TC!$5:$37,DAY(C3029)+2,FALSE),VLOOKUP(E3029,Equivalencia!$5:$23,((MAX(Equivalencia!$3:$3)-YEAR(C3029))*14)+MONTH(C3029)+2,FALSE)))</f>
        <v>0</v>
      </c>
      <c r="J3029" s="178">
        <f t="shared" si="255"/>
        <v>0</v>
      </c>
      <c r="K3029" s="462">
        <f>IF(C3029=0,0,VLOOKUP(YEAR(C3029),INPC!$B$4:$O$29,MONTH(C3029)+1))</f>
        <v>0</v>
      </c>
      <c r="L3029" s="462">
        <f>IF(S3029=0,0,VLOOKUP(YEAR(S3029),INPC!$B$4:$O$29,MONTH(S3029)+1))</f>
        <v>0</v>
      </c>
      <c r="M3029" s="463">
        <f t="shared" si="256"/>
        <v>0</v>
      </c>
      <c r="N3029" s="465">
        <f t="shared" si="257"/>
        <v>0</v>
      </c>
      <c r="O3029" s="179"/>
      <c r="P3029" s="180"/>
      <c r="Q3029" s="173"/>
      <c r="R3029" s="173"/>
      <c r="S3029" s="174"/>
      <c r="T3029" s="173"/>
      <c r="U3029" s="182"/>
      <c r="V3029" s="177">
        <f>IF(U3029=0,0,IF(T3029="MXN",1/HLOOKUP(YEAR(S3029)+(MONTH(S3029)/100),TC!$5:$37,DAY(S3029)+2,FALSE),VLOOKUP(T3029,Equivalencia!$1:$23,((MAX(Equivalencia!$3:$3)-YEAR(S3029))*14)+MONTH(S3029)+2,FALSE)))</f>
        <v>0</v>
      </c>
      <c r="W3029" s="178">
        <f t="shared" si="258"/>
        <v>0</v>
      </c>
      <c r="X3029" s="481">
        <f t="shared" si="259"/>
        <v>0</v>
      </c>
      <c r="Y3029" s="179"/>
      <c r="Z3029" s="466">
        <f t="shared" si="260"/>
        <v>0</v>
      </c>
      <c r="AA3029" s="473">
        <f t="shared" si="261"/>
        <v>0</v>
      </c>
      <c r="AB3029" s="339">
        <f t="shared" si="262"/>
        <v>0</v>
      </c>
    </row>
    <row r="3030" spans="2:28" ht="20.100000000000001" customHeight="1">
      <c r="B3030" s="172"/>
      <c r="C3030" s="174"/>
      <c r="D3030" s="181"/>
      <c r="E3030" s="173"/>
      <c r="F3030" s="176"/>
      <c r="G3030" s="175">
        <f t="shared" si="253"/>
        <v>0</v>
      </c>
      <c r="H3030" s="175">
        <f t="shared" si="254"/>
        <v>0</v>
      </c>
      <c r="I3030" s="177">
        <f>IF(G3030=0,0,IF(E3030="MXN",1/HLOOKUP(YEAR(C3030)+(MONTH(C3030)/100),TC!$5:$37,DAY(C3030)+2,FALSE),VLOOKUP(E3030,Equivalencia!$5:$23,((MAX(Equivalencia!$3:$3)-YEAR(C3030))*14)+MONTH(C3030)+2,FALSE)))</f>
        <v>0</v>
      </c>
      <c r="J3030" s="178">
        <f t="shared" si="255"/>
        <v>0</v>
      </c>
      <c r="K3030" s="462">
        <f>IF(C3030=0,0,VLOOKUP(YEAR(C3030),INPC!$B$4:$O$29,MONTH(C3030)+1))</f>
        <v>0</v>
      </c>
      <c r="L3030" s="462">
        <f>IF(S3030=0,0,VLOOKUP(YEAR(S3030),INPC!$B$4:$O$29,MONTH(S3030)+1))</f>
        <v>0</v>
      </c>
      <c r="M3030" s="463">
        <f t="shared" si="256"/>
        <v>0</v>
      </c>
      <c r="N3030" s="465">
        <f t="shared" si="257"/>
        <v>0</v>
      </c>
      <c r="O3030" s="179"/>
      <c r="P3030" s="180"/>
      <c r="Q3030" s="173"/>
      <c r="R3030" s="173"/>
      <c r="S3030" s="174"/>
      <c r="T3030" s="173"/>
      <c r="U3030" s="182"/>
      <c r="V3030" s="177">
        <f>IF(U3030=0,0,IF(T3030="MXN",1/HLOOKUP(YEAR(S3030)+(MONTH(S3030)/100),TC!$5:$37,DAY(S3030)+2,FALSE),VLOOKUP(T3030,Equivalencia!$1:$23,((MAX(Equivalencia!$3:$3)-YEAR(S3030))*14)+MONTH(S3030)+2,FALSE)))</f>
        <v>0</v>
      </c>
      <c r="W3030" s="178">
        <f t="shared" si="258"/>
        <v>0</v>
      </c>
      <c r="X3030" s="481">
        <f t="shared" si="259"/>
        <v>0</v>
      </c>
      <c r="Y3030" s="179"/>
      <c r="Z3030" s="466">
        <f t="shared" si="260"/>
        <v>0</v>
      </c>
      <c r="AA3030" s="473">
        <f t="shared" si="261"/>
        <v>0</v>
      </c>
      <c r="AB3030" s="339">
        <f t="shared" si="262"/>
        <v>0</v>
      </c>
    </row>
    <row r="3031" spans="2:28" ht="20.100000000000001" customHeight="1">
      <c r="B3031" s="172"/>
      <c r="C3031" s="174"/>
      <c r="D3031" s="181"/>
      <c r="E3031" s="173"/>
      <c r="F3031" s="176"/>
      <c r="G3031" s="175">
        <f t="shared" si="253"/>
        <v>0</v>
      </c>
      <c r="H3031" s="175">
        <f t="shared" si="254"/>
        <v>0</v>
      </c>
      <c r="I3031" s="177">
        <f>IF(G3031=0,0,IF(E3031="MXN",1/HLOOKUP(YEAR(C3031)+(MONTH(C3031)/100),TC!$5:$37,DAY(C3031)+2,FALSE),VLOOKUP(E3031,Equivalencia!$5:$23,((MAX(Equivalencia!$3:$3)-YEAR(C3031))*14)+MONTH(C3031)+2,FALSE)))</f>
        <v>0</v>
      </c>
      <c r="J3031" s="178">
        <f t="shared" si="255"/>
        <v>0</v>
      </c>
      <c r="K3031" s="462">
        <f>IF(C3031=0,0,VLOOKUP(YEAR(C3031),INPC!$B$4:$O$29,MONTH(C3031)+1))</f>
        <v>0</v>
      </c>
      <c r="L3031" s="462">
        <f>IF(S3031=0,0,VLOOKUP(YEAR(S3031),INPC!$B$4:$O$29,MONTH(S3031)+1))</f>
        <v>0</v>
      </c>
      <c r="M3031" s="463">
        <f t="shared" si="256"/>
        <v>0</v>
      </c>
      <c r="N3031" s="465">
        <f t="shared" si="257"/>
        <v>0</v>
      </c>
      <c r="O3031" s="179"/>
      <c r="P3031" s="180"/>
      <c r="Q3031" s="173"/>
      <c r="R3031" s="173"/>
      <c r="S3031" s="174"/>
      <c r="T3031" s="173"/>
      <c r="U3031" s="182"/>
      <c r="V3031" s="177">
        <f>IF(U3031=0,0,IF(T3031="MXN",1/HLOOKUP(YEAR(S3031)+(MONTH(S3031)/100),TC!$5:$37,DAY(S3031)+2,FALSE),VLOOKUP(T3031,Equivalencia!$1:$23,((MAX(Equivalencia!$3:$3)-YEAR(S3031))*14)+MONTH(S3031)+2,FALSE)))</f>
        <v>0</v>
      </c>
      <c r="W3031" s="178">
        <f t="shared" si="258"/>
        <v>0</v>
      </c>
      <c r="X3031" s="481">
        <f t="shared" si="259"/>
        <v>0</v>
      </c>
      <c r="Y3031" s="179"/>
      <c r="Z3031" s="466">
        <f t="shared" si="260"/>
        <v>0</v>
      </c>
      <c r="AA3031" s="473">
        <f t="shared" si="261"/>
        <v>0</v>
      </c>
      <c r="AB3031" s="339">
        <f t="shared" si="262"/>
        <v>0</v>
      </c>
    </row>
    <row r="3032" spans="2:28" ht="20.100000000000001" customHeight="1">
      <c r="B3032" s="172"/>
      <c r="C3032" s="174"/>
      <c r="D3032" s="181"/>
      <c r="E3032" s="173"/>
      <c r="F3032" s="176"/>
      <c r="G3032" s="175">
        <f t="shared" si="253"/>
        <v>0</v>
      </c>
      <c r="H3032" s="175">
        <f t="shared" si="254"/>
        <v>0</v>
      </c>
      <c r="I3032" s="177">
        <f>IF(G3032=0,0,IF(E3032="MXN",1/HLOOKUP(YEAR(C3032)+(MONTH(C3032)/100),TC!$5:$37,DAY(C3032)+2,FALSE),VLOOKUP(E3032,Equivalencia!$5:$23,((MAX(Equivalencia!$3:$3)-YEAR(C3032))*14)+MONTH(C3032)+2,FALSE)))</f>
        <v>0</v>
      </c>
      <c r="J3032" s="178">
        <f t="shared" si="255"/>
        <v>0</v>
      </c>
      <c r="K3032" s="462">
        <f>IF(C3032=0,0,VLOOKUP(YEAR(C3032),INPC!$B$4:$O$29,MONTH(C3032)+1))</f>
        <v>0</v>
      </c>
      <c r="L3032" s="462">
        <f>IF(S3032=0,0,VLOOKUP(YEAR(S3032),INPC!$B$4:$O$29,MONTH(S3032)+1))</f>
        <v>0</v>
      </c>
      <c r="M3032" s="463">
        <f t="shared" si="256"/>
        <v>0</v>
      </c>
      <c r="N3032" s="465">
        <f t="shared" si="257"/>
        <v>0</v>
      </c>
      <c r="O3032" s="179"/>
      <c r="P3032" s="180"/>
      <c r="Q3032" s="173"/>
      <c r="R3032" s="173"/>
      <c r="S3032" s="174"/>
      <c r="T3032" s="173"/>
      <c r="U3032" s="182"/>
      <c r="V3032" s="177">
        <f>IF(U3032=0,0,IF(T3032="MXN",1/HLOOKUP(YEAR(S3032)+(MONTH(S3032)/100),TC!$5:$37,DAY(S3032)+2,FALSE),VLOOKUP(T3032,Equivalencia!$1:$23,((MAX(Equivalencia!$3:$3)-YEAR(S3032))*14)+MONTH(S3032)+2,FALSE)))</f>
        <v>0</v>
      </c>
      <c r="W3032" s="178">
        <f t="shared" si="258"/>
        <v>0</v>
      </c>
      <c r="X3032" s="481">
        <f t="shared" si="259"/>
        <v>0</v>
      </c>
      <c r="Y3032" s="179"/>
      <c r="Z3032" s="466">
        <f t="shared" si="260"/>
        <v>0</v>
      </c>
      <c r="AA3032" s="473">
        <f t="shared" si="261"/>
        <v>0</v>
      </c>
      <c r="AB3032" s="339">
        <f t="shared" si="262"/>
        <v>0</v>
      </c>
    </row>
    <row r="3033" spans="2:28" ht="20.100000000000001" customHeight="1">
      <c r="B3033" s="172"/>
      <c r="C3033" s="174"/>
      <c r="D3033" s="181"/>
      <c r="E3033" s="173"/>
      <c r="F3033" s="176"/>
      <c r="G3033" s="175">
        <f t="shared" si="253"/>
        <v>0</v>
      </c>
      <c r="H3033" s="175">
        <f t="shared" si="254"/>
        <v>0</v>
      </c>
      <c r="I3033" s="177">
        <f>IF(G3033=0,0,IF(E3033="MXN",1/HLOOKUP(YEAR(C3033)+(MONTH(C3033)/100),TC!$5:$37,DAY(C3033)+2,FALSE),VLOOKUP(E3033,Equivalencia!$5:$23,((MAX(Equivalencia!$3:$3)-YEAR(C3033))*14)+MONTH(C3033)+2,FALSE)))</f>
        <v>0</v>
      </c>
      <c r="J3033" s="178">
        <f t="shared" si="255"/>
        <v>0</v>
      </c>
      <c r="K3033" s="462">
        <f>IF(C3033=0,0,VLOOKUP(YEAR(C3033),INPC!$B$4:$O$29,MONTH(C3033)+1))</f>
        <v>0</v>
      </c>
      <c r="L3033" s="462">
        <f>IF(S3033=0,0,VLOOKUP(YEAR(S3033),INPC!$B$4:$O$29,MONTH(S3033)+1))</f>
        <v>0</v>
      </c>
      <c r="M3033" s="463">
        <f t="shared" si="256"/>
        <v>0</v>
      </c>
      <c r="N3033" s="465">
        <f t="shared" si="257"/>
        <v>0</v>
      </c>
      <c r="O3033" s="179"/>
      <c r="P3033" s="180"/>
      <c r="Q3033" s="173"/>
      <c r="R3033" s="173"/>
      <c r="S3033" s="174"/>
      <c r="T3033" s="173"/>
      <c r="U3033" s="182"/>
      <c r="V3033" s="177">
        <f>IF(U3033=0,0,IF(T3033="MXN",1/HLOOKUP(YEAR(S3033)+(MONTH(S3033)/100),TC!$5:$37,DAY(S3033)+2,FALSE),VLOOKUP(T3033,Equivalencia!$1:$23,((MAX(Equivalencia!$3:$3)-YEAR(S3033))*14)+MONTH(S3033)+2,FALSE)))</f>
        <v>0</v>
      </c>
      <c r="W3033" s="178">
        <f t="shared" si="258"/>
        <v>0</v>
      </c>
      <c r="X3033" s="481">
        <f t="shared" si="259"/>
        <v>0</v>
      </c>
      <c r="Y3033" s="179"/>
      <c r="Z3033" s="466">
        <f t="shared" si="260"/>
        <v>0</v>
      </c>
      <c r="AA3033" s="473">
        <f t="shared" si="261"/>
        <v>0</v>
      </c>
      <c r="AB3033" s="339">
        <f t="shared" si="262"/>
        <v>0</v>
      </c>
    </row>
    <row r="3034" spans="2:28" ht="20.100000000000001" customHeight="1">
      <c r="B3034" s="172"/>
      <c r="C3034" s="174"/>
      <c r="D3034" s="181"/>
      <c r="E3034" s="173"/>
      <c r="F3034" s="176"/>
      <c r="G3034" s="175">
        <f t="shared" si="253"/>
        <v>0</v>
      </c>
      <c r="H3034" s="175">
        <f t="shared" si="254"/>
        <v>0</v>
      </c>
      <c r="I3034" s="177">
        <f>IF(G3034=0,0,IF(E3034="MXN",1/HLOOKUP(YEAR(C3034)+(MONTH(C3034)/100),TC!$5:$37,DAY(C3034)+2,FALSE),VLOOKUP(E3034,Equivalencia!$5:$23,((MAX(Equivalencia!$3:$3)-YEAR(C3034))*14)+MONTH(C3034)+2,FALSE)))</f>
        <v>0</v>
      </c>
      <c r="J3034" s="178">
        <f t="shared" si="255"/>
        <v>0</v>
      </c>
      <c r="K3034" s="462">
        <f>IF(C3034=0,0,VLOOKUP(YEAR(C3034),INPC!$B$4:$O$29,MONTH(C3034)+1))</f>
        <v>0</v>
      </c>
      <c r="L3034" s="462">
        <f>IF(S3034=0,0,VLOOKUP(YEAR(S3034),INPC!$B$4:$O$29,MONTH(S3034)+1))</f>
        <v>0</v>
      </c>
      <c r="M3034" s="463">
        <f t="shared" si="256"/>
        <v>0</v>
      </c>
      <c r="N3034" s="465">
        <f t="shared" si="257"/>
        <v>0</v>
      </c>
      <c r="O3034" s="179"/>
      <c r="P3034" s="180"/>
      <c r="Q3034" s="173"/>
      <c r="R3034" s="173"/>
      <c r="S3034" s="174"/>
      <c r="T3034" s="173"/>
      <c r="U3034" s="182"/>
      <c r="V3034" s="177">
        <f>IF(U3034=0,0,IF(T3034="MXN",1/HLOOKUP(YEAR(S3034)+(MONTH(S3034)/100),TC!$5:$37,DAY(S3034)+2,FALSE),VLOOKUP(T3034,Equivalencia!$1:$23,((MAX(Equivalencia!$3:$3)-YEAR(S3034))*14)+MONTH(S3034)+2,FALSE)))</f>
        <v>0</v>
      </c>
      <c r="W3034" s="178">
        <f t="shared" si="258"/>
        <v>0</v>
      </c>
      <c r="X3034" s="481">
        <f t="shared" si="259"/>
        <v>0</v>
      </c>
      <c r="Y3034" s="179"/>
      <c r="Z3034" s="466">
        <f t="shared" si="260"/>
        <v>0</v>
      </c>
      <c r="AA3034" s="473">
        <f t="shared" si="261"/>
        <v>0</v>
      </c>
      <c r="AB3034" s="339">
        <f t="shared" si="262"/>
        <v>0</v>
      </c>
    </row>
    <row r="3035" spans="2:28" ht="20.100000000000001" customHeight="1">
      <c r="B3035" s="172"/>
      <c r="C3035" s="174"/>
      <c r="D3035" s="181"/>
      <c r="E3035" s="173"/>
      <c r="F3035" s="176"/>
      <c r="G3035" s="175">
        <f t="shared" si="253"/>
        <v>0</v>
      </c>
      <c r="H3035" s="175">
        <f t="shared" si="254"/>
        <v>0</v>
      </c>
      <c r="I3035" s="177">
        <f>IF(G3035=0,0,IF(E3035="MXN",1/HLOOKUP(YEAR(C3035)+(MONTH(C3035)/100),TC!$5:$37,DAY(C3035)+2,FALSE),VLOOKUP(E3035,Equivalencia!$5:$23,((MAX(Equivalencia!$3:$3)-YEAR(C3035))*14)+MONTH(C3035)+2,FALSE)))</f>
        <v>0</v>
      </c>
      <c r="J3035" s="178">
        <f t="shared" si="255"/>
        <v>0</v>
      </c>
      <c r="K3035" s="462">
        <f>IF(C3035=0,0,VLOOKUP(YEAR(C3035),INPC!$B$4:$O$29,MONTH(C3035)+1))</f>
        <v>0</v>
      </c>
      <c r="L3035" s="462">
        <f>IF(S3035=0,0,VLOOKUP(YEAR(S3035),INPC!$B$4:$O$29,MONTH(S3035)+1))</f>
        <v>0</v>
      </c>
      <c r="M3035" s="463">
        <f t="shared" si="256"/>
        <v>0</v>
      </c>
      <c r="N3035" s="465">
        <f t="shared" si="257"/>
        <v>0</v>
      </c>
      <c r="O3035" s="179"/>
      <c r="P3035" s="180"/>
      <c r="Q3035" s="173"/>
      <c r="R3035" s="173"/>
      <c r="S3035" s="174"/>
      <c r="T3035" s="173"/>
      <c r="U3035" s="182"/>
      <c r="V3035" s="177">
        <f>IF(U3035=0,0,IF(T3035="MXN",1/HLOOKUP(YEAR(S3035)+(MONTH(S3035)/100),TC!$5:$37,DAY(S3035)+2,FALSE),VLOOKUP(T3035,Equivalencia!$1:$23,((MAX(Equivalencia!$3:$3)-YEAR(S3035))*14)+MONTH(S3035)+2,FALSE)))</f>
        <v>0</v>
      </c>
      <c r="W3035" s="178">
        <f t="shared" si="258"/>
        <v>0</v>
      </c>
      <c r="X3035" s="481">
        <f t="shared" si="259"/>
        <v>0</v>
      </c>
      <c r="Y3035" s="179"/>
      <c r="Z3035" s="466">
        <f t="shared" si="260"/>
        <v>0</v>
      </c>
      <c r="AA3035" s="473">
        <f t="shared" si="261"/>
        <v>0</v>
      </c>
      <c r="AB3035" s="339">
        <f t="shared" si="262"/>
        <v>0</v>
      </c>
    </row>
    <row r="3036" spans="2:28" ht="20.100000000000001" customHeight="1">
      <c r="B3036" s="172"/>
      <c r="C3036" s="174"/>
      <c r="D3036" s="181"/>
      <c r="E3036" s="173"/>
      <c r="F3036" s="176"/>
      <c r="G3036" s="175">
        <f t="shared" si="253"/>
        <v>0</v>
      </c>
      <c r="H3036" s="175">
        <f t="shared" si="254"/>
        <v>0</v>
      </c>
      <c r="I3036" s="177">
        <f>IF(G3036=0,0,IF(E3036="MXN",1/HLOOKUP(YEAR(C3036)+(MONTH(C3036)/100),TC!$5:$37,DAY(C3036)+2,FALSE),VLOOKUP(E3036,Equivalencia!$5:$23,((MAX(Equivalencia!$3:$3)-YEAR(C3036))*14)+MONTH(C3036)+2,FALSE)))</f>
        <v>0</v>
      </c>
      <c r="J3036" s="178">
        <f t="shared" si="255"/>
        <v>0</v>
      </c>
      <c r="K3036" s="462">
        <f>IF(C3036=0,0,VLOOKUP(YEAR(C3036),INPC!$B$4:$O$29,MONTH(C3036)+1))</f>
        <v>0</v>
      </c>
      <c r="L3036" s="462">
        <f>IF(S3036=0,0,VLOOKUP(YEAR(S3036),INPC!$B$4:$O$29,MONTH(S3036)+1))</f>
        <v>0</v>
      </c>
      <c r="M3036" s="463">
        <f t="shared" si="256"/>
        <v>0</v>
      </c>
      <c r="N3036" s="465">
        <f t="shared" si="257"/>
        <v>0</v>
      </c>
      <c r="O3036" s="179"/>
      <c r="P3036" s="180"/>
      <c r="Q3036" s="173"/>
      <c r="R3036" s="173"/>
      <c r="S3036" s="174"/>
      <c r="T3036" s="173"/>
      <c r="U3036" s="182"/>
      <c r="V3036" s="177">
        <f>IF(U3036=0,0,IF(T3036="MXN",1/HLOOKUP(YEAR(S3036)+(MONTH(S3036)/100),TC!$5:$37,DAY(S3036)+2,FALSE),VLOOKUP(T3036,Equivalencia!$1:$23,((MAX(Equivalencia!$3:$3)-YEAR(S3036))*14)+MONTH(S3036)+2,FALSE)))</f>
        <v>0</v>
      </c>
      <c r="W3036" s="178">
        <f t="shared" si="258"/>
        <v>0</v>
      </c>
      <c r="X3036" s="481">
        <f t="shared" si="259"/>
        <v>0</v>
      </c>
      <c r="Y3036" s="179"/>
      <c r="Z3036" s="466">
        <f t="shared" si="260"/>
        <v>0</v>
      </c>
      <c r="AA3036" s="473">
        <f t="shared" si="261"/>
        <v>0</v>
      </c>
      <c r="AB3036" s="339">
        <f t="shared" si="262"/>
        <v>0</v>
      </c>
    </row>
    <row r="3037" spans="2:28" ht="20.100000000000001" customHeight="1">
      <c r="B3037" s="172"/>
      <c r="C3037" s="174"/>
      <c r="D3037" s="181"/>
      <c r="E3037" s="173"/>
      <c r="F3037" s="176"/>
      <c r="G3037" s="175">
        <f t="shared" si="253"/>
        <v>0</v>
      </c>
      <c r="H3037" s="175">
        <f t="shared" si="254"/>
        <v>0</v>
      </c>
      <c r="I3037" s="177">
        <f>IF(G3037=0,0,IF(E3037="MXN",1/HLOOKUP(YEAR(C3037)+(MONTH(C3037)/100),TC!$5:$37,DAY(C3037)+2,FALSE),VLOOKUP(E3037,Equivalencia!$5:$23,((MAX(Equivalencia!$3:$3)-YEAR(C3037))*14)+MONTH(C3037)+2,FALSE)))</f>
        <v>0</v>
      </c>
      <c r="J3037" s="178">
        <f t="shared" si="255"/>
        <v>0</v>
      </c>
      <c r="K3037" s="462">
        <f>IF(C3037=0,0,VLOOKUP(YEAR(C3037),INPC!$B$4:$O$29,MONTH(C3037)+1))</f>
        <v>0</v>
      </c>
      <c r="L3037" s="462">
        <f>IF(S3037=0,0,VLOOKUP(YEAR(S3037),INPC!$B$4:$O$29,MONTH(S3037)+1))</f>
        <v>0</v>
      </c>
      <c r="M3037" s="463">
        <f t="shared" si="256"/>
        <v>0</v>
      </c>
      <c r="N3037" s="465">
        <f t="shared" si="257"/>
        <v>0</v>
      </c>
      <c r="O3037" s="179"/>
      <c r="P3037" s="180"/>
      <c r="Q3037" s="173"/>
      <c r="R3037" s="173"/>
      <c r="S3037" s="174"/>
      <c r="T3037" s="173"/>
      <c r="U3037" s="182"/>
      <c r="V3037" s="177">
        <f>IF(U3037=0,0,IF(T3037="MXN",1/HLOOKUP(YEAR(S3037)+(MONTH(S3037)/100),TC!$5:$37,DAY(S3037)+2,FALSE),VLOOKUP(T3037,Equivalencia!$1:$23,((MAX(Equivalencia!$3:$3)-YEAR(S3037))*14)+MONTH(S3037)+2,FALSE)))</f>
        <v>0</v>
      </c>
      <c r="W3037" s="178">
        <f t="shared" si="258"/>
        <v>0</v>
      </c>
      <c r="X3037" s="481">
        <f t="shared" si="259"/>
        <v>0</v>
      </c>
      <c r="Y3037" s="179"/>
      <c r="Z3037" s="466">
        <f t="shared" si="260"/>
        <v>0</v>
      </c>
      <c r="AA3037" s="473">
        <f t="shared" si="261"/>
        <v>0</v>
      </c>
      <c r="AB3037" s="339">
        <f t="shared" si="262"/>
        <v>0</v>
      </c>
    </row>
    <row r="3038" spans="2:28" ht="20.100000000000001" customHeight="1">
      <c r="B3038" s="172"/>
      <c r="C3038" s="174"/>
      <c r="D3038" s="181"/>
      <c r="E3038" s="173"/>
      <c r="F3038" s="176"/>
      <c r="G3038" s="175">
        <f t="shared" si="253"/>
        <v>0</v>
      </c>
      <c r="H3038" s="175">
        <f t="shared" si="254"/>
        <v>0</v>
      </c>
      <c r="I3038" s="177">
        <f>IF(G3038=0,0,IF(E3038="MXN",1/HLOOKUP(YEAR(C3038)+(MONTH(C3038)/100),TC!$5:$37,DAY(C3038)+2,FALSE),VLOOKUP(E3038,Equivalencia!$5:$23,((MAX(Equivalencia!$3:$3)-YEAR(C3038))*14)+MONTH(C3038)+2,FALSE)))</f>
        <v>0</v>
      </c>
      <c r="J3038" s="178">
        <f t="shared" si="255"/>
        <v>0</v>
      </c>
      <c r="K3038" s="462">
        <f>IF(C3038=0,0,VLOOKUP(YEAR(C3038),INPC!$B$4:$O$29,MONTH(C3038)+1))</f>
        <v>0</v>
      </c>
      <c r="L3038" s="462">
        <f>IF(S3038=0,0,VLOOKUP(YEAR(S3038),INPC!$B$4:$O$29,MONTH(S3038)+1))</f>
        <v>0</v>
      </c>
      <c r="M3038" s="463">
        <f t="shared" si="256"/>
        <v>0</v>
      </c>
      <c r="N3038" s="465">
        <f t="shared" si="257"/>
        <v>0</v>
      </c>
      <c r="O3038" s="179"/>
      <c r="P3038" s="180"/>
      <c r="Q3038" s="173"/>
      <c r="R3038" s="173"/>
      <c r="S3038" s="174"/>
      <c r="T3038" s="173"/>
      <c r="U3038" s="182"/>
      <c r="V3038" s="177">
        <f>IF(U3038=0,0,IF(T3038="MXN",1/HLOOKUP(YEAR(S3038)+(MONTH(S3038)/100),TC!$5:$37,DAY(S3038)+2,FALSE),VLOOKUP(T3038,Equivalencia!$1:$23,((MAX(Equivalencia!$3:$3)-YEAR(S3038))*14)+MONTH(S3038)+2,FALSE)))</f>
        <v>0</v>
      </c>
      <c r="W3038" s="178">
        <f t="shared" si="258"/>
        <v>0</v>
      </c>
      <c r="X3038" s="481">
        <f t="shared" si="259"/>
        <v>0</v>
      </c>
      <c r="Y3038" s="179"/>
      <c r="Z3038" s="466">
        <f t="shared" si="260"/>
        <v>0</v>
      </c>
      <c r="AA3038" s="473">
        <f t="shared" si="261"/>
        <v>0</v>
      </c>
      <c r="AB3038" s="339">
        <f t="shared" si="262"/>
        <v>0</v>
      </c>
    </row>
    <row r="3039" spans="2:28" ht="20.100000000000001" customHeight="1">
      <c r="B3039" s="172"/>
      <c r="C3039" s="174"/>
      <c r="D3039" s="181"/>
      <c r="E3039" s="173"/>
      <c r="F3039" s="176"/>
      <c r="G3039" s="175">
        <f t="shared" si="253"/>
        <v>0</v>
      </c>
      <c r="H3039" s="175">
        <f t="shared" si="254"/>
        <v>0</v>
      </c>
      <c r="I3039" s="177">
        <f>IF(G3039=0,0,IF(E3039="MXN",1/HLOOKUP(YEAR(C3039)+(MONTH(C3039)/100),TC!$5:$37,DAY(C3039)+2,FALSE),VLOOKUP(E3039,Equivalencia!$5:$23,((MAX(Equivalencia!$3:$3)-YEAR(C3039))*14)+MONTH(C3039)+2,FALSE)))</f>
        <v>0</v>
      </c>
      <c r="J3039" s="178">
        <f t="shared" si="255"/>
        <v>0</v>
      </c>
      <c r="K3039" s="462">
        <f>IF(C3039=0,0,VLOOKUP(YEAR(C3039),INPC!$B$4:$O$29,MONTH(C3039)+1))</f>
        <v>0</v>
      </c>
      <c r="L3039" s="462">
        <f>IF(S3039=0,0,VLOOKUP(YEAR(S3039),INPC!$B$4:$O$29,MONTH(S3039)+1))</f>
        <v>0</v>
      </c>
      <c r="M3039" s="463">
        <f t="shared" si="256"/>
        <v>0</v>
      </c>
      <c r="N3039" s="465">
        <f t="shared" si="257"/>
        <v>0</v>
      </c>
      <c r="O3039" s="179"/>
      <c r="P3039" s="180"/>
      <c r="Q3039" s="173"/>
      <c r="R3039" s="173"/>
      <c r="S3039" s="174"/>
      <c r="T3039" s="173"/>
      <c r="U3039" s="182"/>
      <c r="V3039" s="177">
        <f>IF(U3039=0,0,IF(T3039="MXN",1/HLOOKUP(YEAR(S3039)+(MONTH(S3039)/100),TC!$5:$37,DAY(S3039)+2,FALSE),VLOOKUP(T3039,Equivalencia!$1:$23,((MAX(Equivalencia!$3:$3)-YEAR(S3039))*14)+MONTH(S3039)+2,FALSE)))</f>
        <v>0</v>
      </c>
      <c r="W3039" s="178">
        <f t="shared" si="258"/>
        <v>0</v>
      </c>
      <c r="X3039" s="481">
        <f t="shared" si="259"/>
        <v>0</v>
      </c>
      <c r="Y3039" s="179"/>
      <c r="Z3039" s="466">
        <f t="shared" si="260"/>
        <v>0</v>
      </c>
      <c r="AA3039" s="473">
        <f t="shared" si="261"/>
        <v>0</v>
      </c>
      <c r="AB3039" s="339">
        <f t="shared" si="262"/>
        <v>0</v>
      </c>
    </row>
    <row r="3040" spans="2:28" ht="20.100000000000001" customHeight="1">
      <c r="B3040" s="172"/>
      <c r="C3040" s="174"/>
      <c r="D3040" s="181"/>
      <c r="E3040" s="173"/>
      <c r="F3040" s="176"/>
      <c r="G3040" s="175">
        <f t="shared" si="253"/>
        <v>0</v>
      </c>
      <c r="H3040" s="175">
        <f t="shared" si="254"/>
        <v>0</v>
      </c>
      <c r="I3040" s="177">
        <f>IF(G3040=0,0,IF(E3040="MXN",1/HLOOKUP(YEAR(C3040)+(MONTH(C3040)/100),TC!$5:$37,DAY(C3040)+2,FALSE),VLOOKUP(E3040,Equivalencia!$5:$23,((MAX(Equivalencia!$3:$3)-YEAR(C3040))*14)+MONTH(C3040)+2,FALSE)))</f>
        <v>0</v>
      </c>
      <c r="J3040" s="178">
        <f t="shared" si="255"/>
        <v>0</v>
      </c>
      <c r="K3040" s="462">
        <f>IF(C3040=0,0,VLOOKUP(YEAR(C3040),INPC!$B$4:$O$29,MONTH(C3040)+1))</f>
        <v>0</v>
      </c>
      <c r="L3040" s="462">
        <f>IF(S3040=0,0,VLOOKUP(YEAR(S3040),INPC!$B$4:$O$29,MONTH(S3040)+1))</f>
        <v>0</v>
      </c>
      <c r="M3040" s="463">
        <f t="shared" si="256"/>
        <v>0</v>
      </c>
      <c r="N3040" s="465">
        <f t="shared" si="257"/>
        <v>0</v>
      </c>
      <c r="O3040" s="179"/>
      <c r="P3040" s="180"/>
      <c r="Q3040" s="173"/>
      <c r="R3040" s="173"/>
      <c r="S3040" s="174"/>
      <c r="T3040" s="173"/>
      <c r="U3040" s="182"/>
      <c r="V3040" s="177">
        <f>IF(U3040=0,0,IF(T3040="MXN",1/HLOOKUP(YEAR(S3040)+(MONTH(S3040)/100),TC!$5:$37,DAY(S3040)+2,FALSE),VLOOKUP(T3040,Equivalencia!$1:$23,((MAX(Equivalencia!$3:$3)-YEAR(S3040))*14)+MONTH(S3040)+2,FALSE)))</f>
        <v>0</v>
      </c>
      <c r="W3040" s="178">
        <f t="shared" si="258"/>
        <v>0</v>
      </c>
      <c r="X3040" s="481">
        <f t="shared" si="259"/>
        <v>0</v>
      </c>
      <c r="Y3040" s="179"/>
      <c r="Z3040" s="466">
        <f t="shared" si="260"/>
        <v>0</v>
      </c>
      <c r="AA3040" s="473">
        <f t="shared" si="261"/>
        <v>0</v>
      </c>
      <c r="AB3040" s="339">
        <f t="shared" si="262"/>
        <v>0</v>
      </c>
    </row>
    <row r="3041" spans="2:28" ht="20.100000000000001" customHeight="1">
      <c r="B3041" s="172"/>
      <c r="C3041" s="174"/>
      <c r="D3041" s="181"/>
      <c r="E3041" s="173"/>
      <c r="F3041" s="176"/>
      <c r="G3041" s="175">
        <f t="shared" si="253"/>
        <v>0</v>
      </c>
      <c r="H3041" s="175">
        <f t="shared" si="254"/>
        <v>0</v>
      </c>
      <c r="I3041" s="177">
        <f>IF(G3041=0,0,IF(E3041="MXN",1/HLOOKUP(YEAR(C3041)+(MONTH(C3041)/100),TC!$5:$37,DAY(C3041)+2,FALSE),VLOOKUP(E3041,Equivalencia!$5:$23,((MAX(Equivalencia!$3:$3)-YEAR(C3041))*14)+MONTH(C3041)+2,FALSE)))</f>
        <v>0</v>
      </c>
      <c r="J3041" s="178">
        <f t="shared" si="255"/>
        <v>0</v>
      </c>
      <c r="K3041" s="462">
        <f>IF(C3041=0,0,VLOOKUP(YEAR(C3041),INPC!$B$4:$O$29,MONTH(C3041)+1))</f>
        <v>0</v>
      </c>
      <c r="L3041" s="462">
        <f>IF(S3041=0,0,VLOOKUP(YEAR(S3041),INPC!$B$4:$O$29,MONTH(S3041)+1))</f>
        <v>0</v>
      </c>
      <c r="M3041" s="463">
        <f t="shared" si="256"/>
        <v>0</v>
      </c>
      <c r="N3041" s="465">
        <f t="shared" si="257"/>
        <v>0</v>
      </c>
      <c r="O3041" s="179"/>
      <c r="P3041" s="180"/>
      <c r="Q3041" s="173"/>
      <c r="R3041" s="173"/>
      <c r="S3041" s="174"/>
      <c r="T3041" s="173"/>
      <c r="U3041" s="182"/>
      <c r="V3041" s="177">
        <f>IF(U3041=0,0,IF(T3041="MXN",1/HLOOKUP(YEAR(S3041)+(MONTH(S3041)/100),TC!$5:$37,DAY(S3041)+2,FALSE),VLOOKUP(T3041,Equivalencia!$1:$23,((MAX(Equivalencia!$3:$3)-YEAR(S3041))*14)+MONTH(S3041)+2,FALSE)))</f>
        <v>0</v>
      </c>
      <c r="W3041" s="178">
        <f t="shared" si="258"/>
        <v>0</v>
      </c>
      <c r="X3041" s="481">
        <f t="shared" si="259"/>
        <v>0</v>
      </c>
      <c r="Y3041" s="179"/>
      <c r="Z3041" s="466">
        <f t="shared" si="260"/>
        <v>0</v>
      </c>
      <c r="AA3041" s="473">
        <f t="shared" si="261"/>
        <v>0</v>
      </c>
      <c r="AB3041" s="339">
        <f t="shared" si="262"/>
        <v>0</v>
      </c>
    </row>
    <row r="3042" spans="2:28" ht="20.100000000000001" customHeight="1">
      <c r="B3042" s="172"/>
      <c r="C3042" s="174"/>
      <c r="D3042" s="181"/>
      <c r="E3042" s="173"/>
      <c r="F3042" s="176"/>
      <c r="G3042" s="175">
        <f t="shared" si="253"/>
        <v>0</v>
      </c>
      <c r="H3042" s="175">
        <f t="shared" si="254"/>
        <v>0</v>
      </c>
      <c r="I3042" s="177">
        <f>IF(G3042=0,0,IF(E3042="MXN",1/HLOOKUP(YEAR(C3042)+(MONTH(C3042)/100),TC!$5:$37,DAY(C3042)+2,FALSE),VLOOKUP(E3042,Equivalencia!$5:$23,((MAX(Equivalencia!$3:$3)-YEAR(C3042))*14)+MONTH(C3042)+2,FALSE)))</f>
        <v>0</v>
      </c>
      <c r="J3042" s="178">
        <f t="shared" si="255"/>
        <v>0</v>
      </c>
      <c r="K3042" s="462">
        <f>IF(C3042=0,0,VLOOKUP(YEAR(C3042),INPC!$B$4:$O$29,MONTH(C3042)+1))</f>
        <v>0</v>
      </c>
      <c r="L3042" s="462">
        <f>IF(S3042=0,0,VLOOKUP(YEAR(S3042),INPC!$B$4:$O$29,MONTH(S3042)+1))</f>
        <v>0</v>
      </c>
      <c r="M3042" s="463">
        <f t="shared" si="256"/>
        <v>0</v>
      </c>
      <c r="N3042" s="465">
        <f t="shared" si="257"/>
        <v>0</v>
      </c>
      <c r="O3042" s="179"/>
      <c r="P3042" s="180"/>
      <c r="Q3042" s="173"/>
      <c r="R3042" s="173"/>
      <c r="S3042" s="174"/>
      <c r="T3042" s="173"/>
      <c r="U3042" s="182"/>
      <c r="V3042" s="177">
        <f>IF(U3042=0,0,IF(T3042="MXN",1/HLOOKUP(YEAR(S3042)+(MONTH(S3042)/100),TC!$5:$37,DAY(S3042)+2,FALSE),VLOOKUP(T3042,Equivalencia!$1:$23,((MAX(Equivalencia!$3:$3)-YEAR(S3042))*14)+MONTH(S3042)+2,FALSE)))</f>
        <v>0</v>
      </c>
      <c r="W3042" s="178">
        <f t="shared" si="258"/>
        <v>0</v>
      </c>
      <c r="X3042" s="481">
        <f t="shared" si="259"/>
        <v>0</v>
      </c>
      <c r="Y3042" s="179"/>
      <c r="Z3042" s="466">
        <f t="shared" si="260"/>
        <v>0</v>
      </c>
      <c r="AA3042" s="473">
        <f t="shared" si="261"/>
        <v>0</v>
      </c>
      <c r="AB3042" s="339">
        <f t="shared" si="262"/>
        <v>0</v>
      </c>
    </row>
    <row r="3043" spans="2:28" ht="20.100000000000001" customHeight="1">
      <c r="B3043" s="172"/>
      <c r="C3043" s="174"/>
      <c r="D3043" s="181"/>
      <c r="E3043" s="173"/>
      <c r="F3043" s="176"/>
      <c r="G3043" s="175">
        <f t="shared" si="253"/>
        <v>0</v>
      </c>
      <c r="H3043" s="175">
        <f t="shared" si="254"/>
        <v>0</v>
      </c>
      <c r="I3043" s="177">
        <f>IF(G3043=0,0,IF(E3043="MXN",1/HLOOKUP(YEAR(C3043)+(MONTH(C3043)/100),TC!$5:$37,DAY(C3043)+2,FALSE),VLOOKUP(E3043,Equivalencia!$5:$23,((MAX(Equivalencia!$3:$3)-YEAR(C3043))*14)+MONTH(C3043)+2,FALSE)))</f>
        <v>0</v>
      </c>
      <c r="J3043" s="178">
        <f t="shared" si="255"/>
        <v>0</v>
      </c>
      <c r="K3043" s="462">
        <f>IF(C3043=0,0,VLOOKUP(YEAR(C3043),INPC!$B$4:$O$29,MONTH(C3043)+1))</f>
        <v>0</v>
      </c>
      <c r="L3043" s="462">
        <f>IF(S3043=0,0,VLOOKUP(YEAR(S3043),INPC!$B$4:$O$29,MONTH(S3043)+1))</f>
        <v>0</v>
      </c>
      <c r="M3043" s="463">
        <f t="shared" si="256"/>
        <v>0</v>
      </c>
      <c r="N3043" s="465">
        <f t="shared" si="257"/>
        <v>0</v>
      </c>
      <c r="O3043" s="179"/>
      <c r="P3043" s="180"/>
      <c r="Q3043" s="173"/>
      <c r="R3043" s="173"/>
      <c r="S3043" s="174"/>
      <c r="T3043" s="173"/>
      <c r="U3043" s="182"/>
      <c r="V3043" s="177">
        <f>IF(U3043=0,0,IF(T3043="MXN",1/HLOOKUP(YEAR(S3043)+(MONTH(S3043)/100),TC!$5:$37,DAY(S3043)+2,FALSE),VLOOKUP(T3043,Equivalencia!$1:$23,((MAX(Equivalencia!$3:$3)-YEAR(S3043))*14)+MONTH(S3043)+2,FALSE)))</f>
        <v>0</v>
      </c>
      <c r="W3043" s="178">
        <f t="shared" si="258"/>
        <v>0</v>
      </c>
      <c r="X3043" s="481">
        <f t="shared" si="259"/>
        <v>0</v>
      </c>
      <c r="Y3043" s="179"/>
      <c r="Z3043" s="466">
        <f t="shared" si="260"/>
        <v>0</v>
      </c>
      <c r="AA3043" s="473">
        <f t="shared" si="261"/>
        <v>0</v>
      </c>
      <c r="AB3043" s="339">
        <f t="shared" si="262"/>
        <v>0</v>
      </c>
    </row>
    <row r="3044" spans="2:28" ht="20.100000000000001" customHeight="1">
      <c r="B3044" s="172"/>
      <c r="C3044" s="174"/>
      <c r="D3044" s="181"/>
      <c r="E3044" s="173"/>
      <c r="F3044" s="176"/>
      <c r="G3044" s="175">
        <f t="shared" si="253"/>
        <v>0</v>
      </c>
      <c r="H3044" s="175">
        <f t="shared" si="254"/>
        <v>0</v>
      </c>
      <c r="I3044" s="177">
        <f>IF(G3044=0,0,IF(E3044="MXN",1/HLOOKUP(YEAR(C3044)+(MONTH(C3044)/100),TC!$5:$37,DAY(C3044)+2,FALSE),VLOOKUP(E3044,Equivalencia!$5:$23,((MAX(Equivalencia!$3:$3)-YEAR(C3044))*14)+MONTH(C3044)+2,FALSE)))</f>
        <v>0</v>
      </c>
      <c r="J3044" s="178">
        <f t="shared" si="255"/>
        <v>0</v>
      </c>
      <c r="K3044" s="462">
        <f>IF(C3044=0,0,VLOOKUP(YEAR(C3044),INPC!$B$4:$O$29,MONTH(C3044)+1))</f>
        <v>0</v>
      </c>
      <c r="L3044" s="462">
        <f>IF(S3044=0,0,VLOOKUP(YEAR(S3044),INPC!$B$4:$O$29,MONTH(S3044)+1))</f>
        <v>0</v>
      </c>
      <c r="M3044" s="463">
        <f t="shared" si="256"/>
        <v>0</v>
      </c>
      <c r="N3044" s="465">
        <f t="shared" si="257"/>
        <v>0</v>
      </c>
      <c r="O3044" s="179"/>
      <c r="P3044" s="180"/>
      <c r="Q3044" s="173"/>
      <c r="R3044" s="173"/>
      <c r="S3044" s="174"/>
      <c r="T3044" s="173"/>
      <c r="U3044" s="182"/>
      <c r="V3044" s="177">
        <f>IF(U3044=0,0,IF(T3044="MXN",1/HLOOKUP(YEAR(S3044)+(MONTH(S3044)/100),TC!$5:$37,DAY(S3044)+2,FALSE),VLOOKUP(T3044,Equivalencia!$1:$23,((MAX(Equivalencia!$3:$3)-YEAR(S3044))*14)+MONTH(S3044)+2,FALSE)))</f>
        <v>0</v>
      </c>
      <c r="W3044" s="178">
        <f t="shared" si="258"/>
        <v>0</v>
      </c>
      <c r="X3044" s="481">
        <f t="shared" si="259"/>
        <v>0</v>
      </c>
      <c r="Y3044" s="179"/>
      <c r="Z3044" s="466">
        <f t="shared" si="260"/>
        <v>0</v>
      </c>
      <c r="AA3044" s="473">
        <f t="shared" si="261"/>
        <v>0</v>
      </c>
      <c r="AB3044" s="339">
        <f t="shared" si="262"/>
        <v>0</v>
      </c>
    </row>
    <row r="3045" spans="2:28" ht="20.100000000000001" customHeight="1">
      <c r="B3045" s="172"/>
      <c r="C3045" s="174"/>
      <c r="D3045" s="181"/>
      <c r="E3045" s="173"/>
      <c r="F3045" s="176"/>
      <c r="G3045" s="175">
        <f t="shared" si="253"/>
        <v>0</v>
      </c>
      <c r="H3045" s="175">
        <f t="shared" si="254"/>
        <v>0</v>
      </c>
      <c r="I3045" s="177">
        <f>IF(G3045=0,0,IF(E3045="MXN",1/HLOOKUP(YEAR(C3045)+(MONTH(C3045)/100),TC!$5:$37,DAY(C3045)+2,FALSE),VLOOKUP(E3045,Equivalencia!$5:$23,((MAX(Equivalencia!$3:$3)-YEAR(C3045))*14)+MONTH(C3045)+2,FALSE)))</f>
        <v>0</v>
      </c>
      <c r="J3045" s="178">
        <f t="shared" si="255"/>
        <v>0</v>
      </c>
      <c r="K3045" s="462">
        <f>IF(C3045=0,0,VLOOKUP(YEAR(C3045),INPC!$B$4:$O$29,MONTH(C3045)+1))</f>
        <v>0</v>
      </c>
      <c r="L3045" s="462">
        <f>IF(S3045=0,0,VLOOKUP(YEAR(S3045),INPC!$B$4:$O$29,MONTH(S3045)+1))</f>
        <v>0</v>
      </c>
      <c r="M3045" s="463">
        <f t="shared" si="256"/>
        <v>0</v>
      </c>
      <c r="N3045" s="465">
        <f t="shared" si="257"/>
        <v>0</v>
      </c>
      <c r="O3045" s="179"/>
      <c r="P3045" s="180"/>
      <c r="Q3045" s="173"/>
      <c r="R3045" s="173"/>
      <c r="S3045" s="174"/>
      <c r="T3045" s="173"/>
      <c r="U3045" s="182"/>
      <c r="V3045" s="177">
        <f>IF(U3045=0,0,IF(T3045="MXN",1/HLOOKUP(YEAR(S3045)+(MONTH(S3045)/100),TC!$5:$37,DAY(S3045)+2,FALSE),VLOOKUP(T3045,Equivalencia!$1:$23,((MAX(Equivalencia!$3:$3)-YEAR(S3045))*14)+MONTH(S3045)+2,FALSE)))</f>
        <v>0</v>
      </c>
      <c r="W3045" s="178">
        <f t="shared" si="258"/>
        <v>0</v>
      </c>
      <c r="X3045" s="481">
        <f t="shared" si="259"/>
        <v>0</v>
      </c>
      <c r="Y3045" s="179"/>
      <c r="Z3045" s="466">
        <f t="shared" si="260"/>
        <v>0</v>
      </c>
      <c r="AA3045" s="473">
        <f t="shared" si="261"/>
        <v>0</v>
      </c>
      <c r="AB3045" s="339">
        <f t="shared" si="262"/>
        <v>0</v>
      </c>
    </row>
    <row r="3046" spans="2:28" ht="20.100000000000001" customHeight="1">
      <c r="B3046" s="172"/>
      <c r="C3046" s="174"/>
      <c r="D3046" s="181"/>
      <c r="E3046" s="173"/>
      <c r="F3046" s="176"/>
      <c r="G3046" s="175">
        <f t="shared" si="253"/>
        <v>0</v>
      </c>
      <c r="H3046" s="175">
        <f t="shared" si="254"/>
        <v>0</v>
      </c>
      <c r="I3046" s="177">
        <f>IF(G3046=0,0,IF(E3046="MXN",1/HLOOKUP(YEAR(C3046)+(MONTH(C3046)/100),TC!$5:$37,DAY(C3046)+2,FALSE),VLOOKUP(E3046,Equivalencia!$5:$23,((MAX(Equivalencia!$3:$3)-YEAR(C3046))*14)+MONTH(C3046)+2,FALSE)))</f>
        <v>0</v>
      </c>
      <c r="J3046" s="178">
        <f t="shared" si="255"/>
        <v>0</v>
      </c>
      <c r="K3046" s="462">
        <f>IF(C3046=0,0,VLOOKUP(YEAR(C3046),INPC!$B$4:$O$29,MONTH(C3046)+1))</f>
        <v>0</v>
      </c>
      <c r="L3046" s="462">
        <f>IF(S3046=0,0,VLOOKUP(YEAR(S3046),INPC!$B$4:$O$29,MONTH(S3046)+1))</f>
        <v>0</v>
      </c>
      <c r="M3046" s="463">
        <f t="shared" si="256"/>
        <v>0</v>
      </c>
      <c r="N3046" s="465">
        <f t="shared" si="257"/>
        <v>0</v>
      </c>
      <c r="O3046" s="179"/>
      <c r="P3046" s="180"/>
      <c r="Q3046" s="173"/>
      <c r="R3046" s="173"/>
      <c r="S3046" s="174"/>
      <c r="T3046" s="173"/>
      <c r="U3046" s="182"/>
      <c r="V3046" s="177">
        <f>IF(U3046=0,0,IF(T3046="MXN",1/HLOOKUP(YEAR(S3046)+(MONTH(S3046)/100),TC!$5:$37,DAY(S3046)+2,FALSE),VLOOKUP(T3046,Equivalencia!$1:$23,((MAX(Equivalencia!$3:$3)-YEAR(S3046))*14)+MONTH(S3046)+2,FALSE)))</f>
        <v>0</v>
      </c>
      <c r="W3046" s="178">
        <f t="shared" si="258"/>
        <v>0</v>
      </c>
      <c r="X3046" s="481">
        <f t="shared" si="259"/>
        <v>0</v>
      </c>
      <c r="Y3046" s="179"/>
      <c r="Z3046" s="466">
        <f t="shared" si="260"/>
        <v>0</v>
      </c>
      <c r="AA3046" s="473">
        <f t="shared" si="261"/>
        <v>0</v>
      </c>
      <c r="AB3046" s="339">
        <f t="shared" si="262"/>
        <v>0</v>
      </c>
    </row>
    <row r="3047" spans="2:28" ht="20.100000000000001" customHeight="1">
      <c r="B3047" s="172"/>
      <c r="C3047" s="174"/>
      <c r="D3047" s="181"/>
      <c r="E3047" s="173"/>
      <c r="F3047" s="176"/>
      <c r="G3047" s="175">
        <f t="shared" si="253"/>
        <v>0</v>
      </c>
      <c r="H3047" s="175">
        <f t="shared" si="254"/>
        <v>0</v>
      </c>
      <c r="I3047" s="177">
        <f>IF(G3047=0,0,IF(E3047="MXN",1/HLOOKUP(YEAR(C3047)+(MONTH(C3047)/100),TC!$5:$37,DAY(C3047)+2,FALSE),VLOOKUP(E3047,Equivalencia!$5:$23,((MAX(Equivalencia!$3:$3)-YEAR(C3047))*14)+MONTH(C3047)+2,FALSE)))</f>
        <v>0</v>
      </c>
      <c r="J3047" s="178">
        <f t="shared" si="255"/>
        <v>0</v>
      </c>
      <c r="K3047" s="462">
        <f>IF(C3047=0,0,VLOOKUP(YEAR(C3047),INPC!$B$4:$O$29,MONTH(C3047)+1))</f>
        <v>0</v>
      </c>
      <c r="L3047" s="462">
        <f>IF(S3047=0,0,VLOOKUP(YEAR(S3047),INPC!$B$4:$O$29,MONTH(S3047)+1))</f>
        <v>0</v>
      </c>
      <c r="M3047" s="463">
        <f t="shared" si="256"/>
        <v>0</v>
      </c>
      <c r="N3047" s="465">
        <f t="shared" si="257"/>
        <v>0</v>
      </c>
      <c r="O3047" s="179"/>
      <c r="P3047" s="180"/>
      <c r="Q3047" s="173"/>
      <c r="R3047" s="173"/>
      <c r="S3047" s="174"/>
      <c r="T3047" s="173"/>
      <c r="U3047" s="182"/>
      <c r="V3047" s="177">
        <f>IF(U3047=0,0,IF(T3047="MXN",1/HLOOKUP(YEAR(S3047)+(MONTH(S3047)/100),TC!$5:$37,DAY(S3047)+2,FALSE),VLOOKUP(T3047,Equivalencia!$1:$23,((MAX(Equivalencia!$3:$3)-YEAR(S3047))*14)+MONTH(S3047)+2,FALSE)))</f>
        <v>0</v>
      </c>
      <c r="W3047" s="178">
        <f t="shared" si="258"/>
        <v>0</v>
      </c>
      <c r="X3047" s="481">
        <f t="shared" si="259"/>
        <v>0</v>
      </c>
      <c r="Y3047" s="179"/>
      <c r="Z3047" s="466">
        <f t="shared" si="260"/>
        <v>0</v>
      </c>
      <c r="AA3047" s="473">
        <f t="shared" si="261"/>
        <v>0</v>
      </c>
      <c r="AB3047" s="339">
        <f t="shared" si="262"/>
        <v>0</v>
      </c>
    </row>
    <row r="3048" spans="2:28" ht="20.100000000000001" customHeight="1">
      <c r="B3048" s="172"/>
      <c r="C3048" s="174"/>
      <c r="D3048" s="181"/>
      <c r="E3048" s="173"/>
      <c r="F3048" s="176"/>
      <c r="G3048" s="175">
        <f t="shared" si="253"/>
        <v>0</v>
      </c>
      <c r="H3048" s="175">
        <f t="shared" si="254"/>
        <v>0</v>
      </c>
      <c r="I3048" s="177">
        <f>IF(G3048=0,0,IF(E3048="MXN",1/HLOOKUP(YEAR(C3048)+(MONTH(C3048)/100),TC!$5:$37,DAY(C3048)+2,FALSE),VLOOKUP(E3048,Equivalencia!$5:$23,((MAX(Equivalencia!$3:$3)-YEAR(C3048))*14)+MONTH(C3048)+2,FALSE)))</f>
        <v>0</v>
      </c>
      <c r="J3048" s="178">
        <f t="shared" si="255"/>
        <v>0</v>
      </c>
      <c r="K3048" s="462">
        <f>IF(C3048=0,0,VLOOKUP(YEAR(C3048),INPC!$B$4:$O$29,MONTH(C3048)+1))</f>
        <v>0</v>
      </c>
      <c r="L3048" s="462">
        <f>IF(S3048=0,0,VLOOKUP(YEAR(S3048),INPC!$B$4:$O$29,MONTH(S3048)+1))</f>
        <v>0</v>
      </c>
      <c r="M3048" s="463">
        <f t="shared" si="256"/>
        <v>0</v>
      </c>
      <c r="N3048" s="465">
        <f t="shared" si="257"/>
        <v>0</v>
      </c>
      <c r="O3048" s="179"/>
      <c r="P3048" s="180"/>
      <c r="Q3048" s="173"/>
      <c r="R3048" s="173"/>
      <c r="S3048" s="174"/>
      <c r="T3048" s="173"/>
      <c r="U3048" s="182"/>
      <c r="V3048" s="177">
        <f>IF(U3048=0,0,IF(T3048="MXN",1/HLOOKUP(YEAR(S3048)+(MONTH(S3048)/100),TC!$5:$37,DAY(S3048)+2,FALSE),VLOOKUP(T3048,Equivalencia!$1:$23,((MAX(Equivalencia!$3:$3)-YEAR(S3048))*14)+MONTH(S3048)+2,FALSE)))</f>
        <v>0</v>
      </c>
      <c r="W3048" s="178">
        <f t="shared" si="258"/>
        <v>0</v>
      </c>
      <c r="X3048" s="481">
        <f t="shared" si="259"/>
        <v>0</v>
      </c>
      <c r="Y3048" s="179"/>
      <c r="Z3048" s="466">
        <f t="shared" si="260"/>
        <v>0</v>
      </c>
      <c r="AA3048" s="473">
        <f t="shared" si="261"/>
        <v>0</v>
      </c>
      <c r="AB3048" s="339">
        <f t="shared" si="262"/>
        <v>0</v>
      </c>
    </row>
    <row r="3049" spans="2:28" ht="20.100000000000001" customHeight="1">
      <c r="B3049" s="172"/>
      <c r="C3049" s="174"/>
      <c r="D3049" s="181"/>
      <c r="E3049" s="173"/>
      <c r="F3049" s="176"/>
      <c r="G3049" s="175">
        <f t="shared" si="253"/>
        <v>0</v>
      </c>
      <c r="H3049" s="175">
        <f t="shared" si="254"/>
        <v>0</v>
      </c>
      <c r="I3049" s="177">
        <f>IF(G3049=0,0,IF(E3049="MXN",1/HLOOKUP(YEAR(C3049)+(MONTH(C3049)/100),TC!$5:$37,DAY(C3049)+2,FALSE),VLOOKUP(E3049,Equivalencia!$5:$23,((MAX(Equivalencia!$3:$3)-YEAR(C3049))*14)+MONTH(C3049)+2,FALSE)))</f>
        <v>0</v>
      </c>
      <c r="J3049" s="178">
        <f t="shared" si="255"/>
        <v>0</v>
      </c>
      <c r="K3049" s="462">
        <f>IF(C3049=0,0,VLOOKUP(YEAR(C3049),INPC!$B$4:$O$29,MONTH(C3049)+1))</f>
        <v>0</v>
      </c>
      <c r="L3049" s="462">
        <f>IF(S3049=0,0,VLOOKUP(YEAR(S3049),INPC!$B$4:$O$29,MONTH(S3049)+1))</f>
        <v>0</v>
      </c>
      <c r="M3049" s="463">
        <f t="shared" si="256"/>
        <v>0</v>
      </c>
      <c r="N3049" s="465">
        <f t="shared" si="257"/>
        <v>0</v>
      </c>
      <c r="O3049" s="179"/>
      <c r="P3049" s="180"/>
      <c r="Q3049" s="173"/>
      <c r="R3049" s="173"/>
      <c r="S3049" s="174"/>
      <c r="T3049" s="173"/>
      <c r="U3049" s="182"/>
      <c r="V3049" s="177">
        <f>IF(U3049=0,0,IF(T3049="MXN",1/HLOOKUP(YEAR(S3049)+(MONTH(S3049)/100),TC!$5:$37,DAY(S3049)+2,FALSE),VLOOKUP(T3049,Equivalencia!$1:$23,((MAX(Equivalencia!$3:$3)-YEAR(S3049))*14)+MONTH(S3049)+2,FALSE)))</f>
        <v>0</v>
      </c>
      <c r="W3049" s="178">
        <f t="shared" si="258"/>
        <v>0</v>
      </c>
      <c r="X3049" s="481">
        <f t="shared" si="259"/>
        <v>0</v>
      </c>
      <c r="Y3049" s="179"/>
      <c r="Z3049" s="466">
        <f t="shared" si="260"/>
        <v>0</v>
      </c>
      <c r="AA3049" s="473">
        <f t="shared" si="261"/>
        <v>0</v>
      </c>
      <c r="AB3049" s="339">
        <f t="shared" si="262"/>
        <v>0</v>
      </c>
    </row>
    <row r="3050" spans="2:28" ht="20.100000000000001" customHeight="1">
      <c r="B3050" s="172"/>
      <c r="C3050" s="174"/>
      <c r="D3050" s="181"/>
      <c r="E3050" s="173"/>
      <c r="F3050" s="176"/>
      <c r="G3050" s="175">
        <f t="shared" si="253"/>
        <v>0</v>
      </c>
      <c r="H3050" s="175">
        <f t="shared" si="254"/>
        <v>0</v>
      </c>
      <c r="I3050" s="177">
        <f>IF(G3050=0,0,IF(E3050="MXN",1/HLOOKUP(YEAR(C3050)+(MONTH(C3050)/100),TC!$5:$37,DAY(C3050)+2,FALSE),VLOOKUP(E3050,Equivalencia!$5:$23,((MAX(Equivalencia!$3:$3)-YEAR(C3050))*14)+MONTH(C3050)+2,FALSE)))</f>
        <v>0</v>
      </c>
      <c r="J3050" s="178">
        <f t="shared" si="255"/>
        <v>0</v>
      </c>
      <c r="K3050" s="462">
        <f>IF(C3050=0,0,VLOOKUP(YEAR(C3050),INPC!$B$4:$O$29,MONTH(C3050)+1))</f>
        <v>0</v>
      </c>
      <c r="L3050" s="462">
        <f>IF(S3050=0,0,VLOOKUP(YEAR(S3050),INPC!$B$4:$O$29,MONTH(S3050)+1))</f>
        <v>0</v>
      </c>
      <c r="M3050" s="463">
        <f t="shared" si="256"/>
        <v>0</v>
      </c>
      <c r="N3050" s="465">
        <f t="shared" si="257"/>
        <v>0</v>
      </c>
      <c r="O3050" s="179"/>
      <c r="P3050" s="180"/>
      <c r="Q3050" s="173"/>
      <c r="R3050" s="173"/>
      <c r="S3050" s="174"/>
      <c r="T3050" s="173"/>
      <c r="U3050" s="182"/>
      <c r="V3050" s="177">
        <f>IF(U3050=0,0,IF(T3050="MXN",1/HLOOKUP(YEAR(S3050)+(MONTH(S3050)/100),TC!$5:$37,DAY(S3050)+2,FALSE),VLOOKUP(T3050,Equivalencia!$1:$23,((MAX(Equivalencia!$3:$3)-YEAR(S3050))*14)+MONTH(S3050)+2,FALSE)))</f>
        <v>0</v>
      </c>
      <c r="W3050" s="178">
        <f t="shared" si="258"/>
        <v>0</v>
      </c>
      <c r="X3050" s="481">
        <f t="shared" si="259"/>
        <v>0</v>
      </c>
      <c r="Y3050" s="179"/>
      <c r="Z3050" s="466">
        <f t="shared" si="260"/>
        <v>0</v>
      </c>
      <c r="AA3050" s="473">
        <f t="shared" si="261"/>
        <v>0</v>
      </c>
      <c r="AB3050" s="339">
        <f t="shared" si="262"/>
        <v>0</v>
      </c>
    </row>
    <row r="3051" spans="2:28" ht="20.100000000000001" customHeight="1">
      <c r="B3051" s="172"/>
      <c r="C3051" s="174"/>
      <c r="D3051" s="181"/>
      <c r="E3051" s="173"/>
      <c r="F3051" s="176"/>
      <c r="G3051" s="175">
        <f t="shared" si="253"/>
        <v>0</v>
      </c>
      <c r="H3051" s="175">
        <f t="shared" si="254"/>
        <v>0</v>
      </c>
      <c r="I3051" s="177">
        <f>IF(G3051=0,0,IF(E3051="MXN",1/HLOOKUP(YEAR(C3051)+(MONTH(C3051)/100),TC!$5:$37,DAY(C3051)+2,FALSE),VLOOKUP(E3051,Equivalencia!$5:$23,((MAX(Equivalencia!$3:$3)-YEAR(C3051))*14)+MONTH(C3051)+2,FALSE)))</f>
        <v>0</v>
      </c>
      <c r="J3051" s="178">
        <f t="shared" si="255"/>
        <v>0</v>
      </c>
      <c r="K3051" s="462">
        <f>IF(C3051=0,0,VLOOKUP(YEAR(C3051),INPC!$B$4:$O$29,MONTH(C3051)+1))</f>
        <v>0</v>
      </c>
      <c r="L3051" s="462">
        <f>IF(S3051=0,0,VLOOKUP(YEAR(S3051),INPC!$B$4:$O$29,MONTH(S3051)+1))</f>
        <v>0</v>
      </c>
      <c r="M3051" s="463">
        <f t="shared" si="256"/>
        <v>0</v>
      </c>
      <c r="N3051" s="465">
        <f t="shared" si="257"/>
        <v>0</v>
      </c>
      <c r="O3051" s="179"/>
      <c r="P3051" s="180"/>
      <c r="Q3051" s="173"/>
      <c r="R3051" s="173"/>
      <c r="S3051" s="174"/>
      <c r="T3051" s="173"/>
      <c r="U3051" s="182"/>
      <c r="V3051" s="177">
        <f>IF(U3051=0,0,IF(T3051="MXN",1/HLOOKUP(YEAR(S3051)+(MONTH(S3051)/100),TC!$5:$37,DAY(S3051)+2,FALSE),VLOOKUP(T3051,Equivalencia!$1:$23,((MAX(Equivalencia!$3:$3)-YEAR(S3051))*14)+MONTH(S3051)+2,FALSE)))</f>
        <v>0</v>
      </c>
      <c r="W3051" s="178">
        <f t="shared" si="258"/>
        <v>0</v>
      </c>
      <c r="X3051" s="481">
        <f t="shared" si="259"/>
        <v>0</v>
      </c>
      <c r="Y3051" s="179"/>
      <c r="Z3051" s="466">
        <f t="shared" si="260"/>
        <v>0</v>
      </c>
      <c r="AA3051" s="473">
        <f t="shared" si="261"/>
        <v>0</v>
      </c>
      <c r="AB3051" s="339">
        <f t="shared" si="262"/>
        <v>0</v>
      </c>
    </row>
    <row r="3052" spans="2:28" ht="20.100000000000001" customHeight="1">
      <c r="B3052" s="172"/>
      <c r="C3052" s="174"/>
      <c r="D3052" s="181"/>
      <c r="E3052" s="173"/>
      <c r="F3052" s="176"/>
      <c r="G3052" s="175">
        <f t="shared" si="253"/>
        <v>0</v>
      </c>
      <c r="H3052" s="175">
        <f t="shared" si="254"/>
        <v>0</v>
      </c>
      <c r="I3052" s="177">
        <f>IF(G3052=0,0,IF(E3052="MXN",1/HLOOKUP(YEAR(C3052)+(MONTH(C3052)/100),TC!$5:$37,DAY(C3052)+2,FALSE),VLOOKUP(E3052,Equivalencia!$5:$23,((MAX(Equivalencia!$3:$3)-YEAR(C3052))*14)+MONTH(C3052)+2,FALSE)))</f>
        <v>0</v>
      </c>
      <c r="J3052" s="178">
        <f t="shared" si="255"/>
        <v>0</v>
      </c>
      <c r="K3052" s="462">
        <f>IF(C3052=0,0,VLOOKUP(YEAR(C3052),INPC!$B$4:$O$29,MONTH(C3052)+1))</f>
        <v>0</v>
      </c>
      <c r="L3052" s="462">
        <f>IF(S3052=0,0,VLOOKUP(YEAR(S3052),INPC!$B$4:$O$29,MONTH(S3052)+1))</f>
        <v>0</v>
      </c>
      <c r="M3052" s="463">
        <f t="shared" si="256"/>
        <v>0</v>
      </c>
      <c r="N3052" s="465">
        <f t="shared" si="257"/>
        <v>0</v>
      </c>
      <c r="O3052" s="179"/>
      <c r="P3052" s="180"/>
      <c r="Q3052" s="173"/>
      <c r="R3052" s="173"/>
      <c r="S3052" s="174"/>
      <c r="T3052" s="173"/>
      <c r="U3052" s="182"/>
      <c r="V3052" s="177">
        <f>IF(U3052=0,0,IF(T3052="MXN",1/HLOOKUP(YEAR(S3052)+(MONTH(S3052)/100),TC!$5:$37,DAY(S3052)+2,FALSE),VLOOKUP(T3052,Equivalencia!$1:$23,((MAX(Equivalencia!$3:$3)-YEAR(S3052))*14)+MONTH(S3052)+2,FALSE)))</f>
        <v>0</v>
      </c>
      <c r="W3052" s="178">
        <f t="shared" si="258"/>
        <v>0</v>
      </c>
      <c r="X3052" s="481">
        <f t="shared" si="259"/>
        <v>0</v>
      </c>
      <c r="Y3052" s="179"/>
      <c r="Z3052" s="466">
        <f t="shared" si="260"/>
        <v>0</v>
      </c>
      <c r="AA3052" s="473">
        <f t="shared" si="261"/>
        <v>0</v>
      </c>
      <c r="AB3052" s="339">
        <f t="shared" si="262"/>
        <v>0</v>
      </c>
    </row>
    <row r="3053" spans="2:28" ht="20.100000000000001" customHeight="1">
      <c r="B3053" s="172"/>
      <c r="C3053" s="174"/>
      <c r="D3053" s="181"/>
      <c r="E3053" s="173"/>
      <c r="F3053" s="176"/>
      <c r="G3053" s="175">
        <f t="shared" si="253"/>
        <v>0</v>
      </c>
      <c r="H3053" s="175">
        <f t="shared" si="254"/>
        <v>0</v>
      </c>
      <c r="I3053" s="177">
        <f>IF(G3053=0,0,IF(E3053="MXN",1/HLOOKUP(YEAR(C3053)+(MONTH(C3053)/100),TC!$5:$37,DAY(C3053)+2,FALSE),VLOOKUP(E3053,Equivalencia!$5:$23,((MAX(Equivalencia!$3:$3)-YEAR(C3053))*14)+MONTH(C3053)+2,FALSE)))</f>
        <v>0</v>
      </c>
      <c r="J3053" s="178">
        <f t="shared" si="255"/>
        <v>0</v>
      </c>
      <c r="K3053" s="462">
        <f>IF(C3053=0,0,VLOOKUP(YEAR(C3053),INPC!$B$4:$O$29,MONTH(C3053)+1))</f>
        <v>0</v>
      </c>
      <c r="L3053" s="462">
        <f>IF(S3053=0,0,VLOOKUP(YEAR(S3053),INPC!$B$4:$O$29,MONTH(S3053)+1))</f>
        <v>0</v>
      </c>
      <c r="M3053" s="463">
        <f t="shared" si="256"/>
        <v>0</v>
      </c>
      <c r="N3053" s="465">
        <f t="shared" si="257"/>
        <v>0</v>
      </c>
      <c r="O3053" s="179"/>
      <c r="P3053" s="180"/>
      <c r="Q3053" s="173"/>
      <c r="R3053" s="173"/>
      <c r="S3053" s="174"/>
      <c r="T3053" s="173"/>
      <c r="U3053" s="182"/>
      <c r="V3053" s="177">
        <f>IF(U3053=0,0,IF(T3053="MXN",1/HLOOKUP(YEAR(S3053)+(MONTH(S3053)/100),TC!$5:$37,DAY(S3053)+2,FALSE),VLOOKUP(T3053,Equivalencia!$1:$23,((MAX(Equivalencia!$3:$3)-YEAR(S3053))*14)+MONTH(S3053)+2,FALSE)))</f>
        <v>0</v>
      </c>
      <c r="W3053" s="178">
        <f t="shared" si="258"/>
        <v>0</v>
      </c>
      <c r="X3053" s="481">
        <f t="shared" si="259"/>
        <v>0</v>
      </c>
      <c r="Y3053" s="179"/>
      <c r="Z3053" s="466">
        <f t="shared" si="260"/>
        <v>0</v>
      </c>
      <c r="AA3053" s="473">
        <f t="shared" si="261"/>
        <v>0</v>
      </c>
      <c r="AB3053" s="339">
        <f t="shared" si="262"/>
        <v>0</v>
      </c>
    </row>
    <row r="3054" spans="2:28" ht="20.100000000000001" customHeight="1">
      <c r="B3054" s="172"/>
      <c r="C3054" s="174"/>
      <c r="D3054" s="181"/>
      <c r="E3054" s="173"/>
      <c r="F3054" s="176"/>
      <c r="G3054" s="175">
        <f t="shared" si="253"/>
        <v>0</v>
      </c>
      <c r="H3054" s="175">
        <f t="shared" si="254"/>
        <v>0</v>
      </c>
      <c r="I3054" s="177">
        <f>IF(G3054=0,0,IF(E3054="MXN",1/HLOOKUP(YEAR(C3054)+(MONTH(C3054)/100),TC!$5:$37,DAY(C3054)+2,FALSE),VLOOKUP(E3054,Equivalencia!$5:$23,((MAX(Equivalencia!$3:$3)-YEAR(C3054))*14)+MONTH(C3054)+2,FALSE)))</f>
        <v>0</v>
      </c>
      <c r="J3054" s="178">
        <f t="shared" si="255"/>
        <v>0</v>
      </c>
      <c r="K3054" s="462">
        <f>IF(C3054=0,0,VLOOKUP(YEAR(C3054),INPC!$B$4:$O$29,MONTH(C3054)+1))</f>
        <v>0</v>
      </c>
      <c r="L3054" s="462">
        <f>IF(S3054=0,0,VLOOKUP(YEAR(S3054),INPC!$B$4:$O$29,MONTH(S3054)+1))</f>
        <v>0</v>
      </c>
      <c r="M3054" s="463">
        <f t="shared" si="256"/>
        <v>0</v>
      </c>
      <c r="N3054" s="465">
        <f t="shared" si="257"/>
        <v>0</v>
      </c>
      <c r="O3054" s="179"/>
      <c r="P3054" s="180"/>
      <c r="Q3054" s="173"/>
      <c r="R3054" s="173"/>
      <c r="S3054" s="174"/>
      <c r="T3054" s="173"/>
      <c r="U3054" s="182"/>
      <c r="V3054" s="177">
        <f>IF(U3054=0,0,IF(T3054="MXN",1/HLOOKUP(YEAR(S3054)+(MONTH(S3054)/100),TC!$5:$37,DAY(S3054)+2,FALSE),VLOOKUP(T3054,Equivalencia!$1:$23,((MAX(Equivalencia!$3:$3)-YEAR(S3054))*14)+MONTH(S3054)+2,FALSE)))</f>
        <v>0</v>
      </c>
      <c r="W3054" s="178">
        <f t="shared" si="258"/>
        <v>0</v>
      </c>
      <c r="X3054" s="481">
        <f t="shared" si="259"/>
        <v>0</v>
      </c>
      <c r="Y3054" s="179"/>
      <c r="Z3054" s="466">
        <f t="shared" si="260"/>
        <v>0</v>
      </c>
      <c r="AA3054" s="473">
        <f t="shared" si="261"/>
        <v>0</v>
      </c>
      <c r="AB3054" s="339">
        <f t="shared" si="262"/>
        <v>0</v>
      </c>
    </row>
    <row r="3055" spans="2:28" ht="20.100000000000001" customHeight="1">
      <c r="B3055" s="172"/>
      <c r="C3055" s="174"/>
      <c r="D3055" s="181"/>
      <c r="E3055" s="173"/>
      <c r="F3055" s="176"/>
      <c r="G3055" s="175">
        <f t="shared" si="253"/>
        <v>0</v>
      </c>
      <c r="H3055" s="175">
        <f t="shared" si="254"/>
        <v>0</v>
      </c>
      <c r="I3055" s="177">
        <f>IF(G3055=0,0,IF(E3055="MXN",1/HLOOKUP(YEAR(C3055)+(MONTH(C3055)/100),TC!$5:$37,DAY(C3055)+2,FALSE),VLOOKUP(E3055,Equivalencia!$5:$23,((MAX(Equivalencia!$3:$3)-YEAR(C3055))*14)+MONTH(C3055)+2,FALSE)))</f>
        <v>0</v>
      </c>
      <c r="J3055" s="178">
        <f t="shared" si="255"/>
        <v>0</v>
      </c>
      <c r="K3055" s="462">
        <f>IF(C3055=0,0,VLOOKUP(YEAR(C3055),INPC!$B$4:$O$29,MONTH(C3055)+1))</f>
        <v>0</v>
      </c>
      <c r="L3055" s="462">
        <f>IF(S3055=0,0,VLOOKUP(YEAR(S3055),INPC!$B$4:$O$29,MONTH(S3055)+1))</f>
        <v>0</v>
      </c>
      <c r="M3055" s="463">
        <f t="shared" si="256"/>
        <v>0</v>
      </c>
      <c r="N3055" s="465">
        <f t="shared" si="257"/>
        <v>0</v>
      </c>
      <c r="O3055" s="179"/>
      <c r="P3055" s="180"/>
      <c r="Q3055" s="173"/>
      <c r="R3055" s="173"/>
      <c r="S3055" s="174"/>
      <c r="T3055" s="173"/>
      <c r="U3055" s="182"/>
      <c r="V3055" s="177">
        <f>IF(U3055=0,0,IF(T3055="MXN",1/HLOOKUP(YEAR(S3055)+(MONTH(S3055)/100),TC!$5:$37,DAY(S3055)+2,FALSE),VLOOKUP(T3055,Equivalencia!$1:$23,((MAX(Equivalencia!$3:$3)-YEAR(S3055))*14)+MONTH(S3055)+2,FALSE)))</f>
        <v>0</v>
      </c>
      <c r="W3055" s="178">
        <f t="shared" si="258"/>
        <v>0</v>
      </c>
      <c r="X3055" s="481">
        <f t="shared" si="259"/>
        <v>0</v>
      </c>
      <c r="Y3055" s="179"/>
      <c r="Z3055" s="466">
        <f t="shared" si="260"/>
        <v>0</v>
      </c>
      <c r="AA3055" s="473">
        <f t="shared" si="261"/>
        <v>0</v>
      </c>
      <c r="AB3055" s="339">
        <f t="shared" si="262"/>
        <v>0</v>
      </c>
    </row>
    <row r="3056" spans="2:28" ht="20.100000000000001" customHeight="1">
      <c r="B3056" s="172"/>
      <c r="C3056" s="174"/>
      <c r="D3056" s="181"/>
      <c r="E3056" s="173"/>
      <c r="F3056" s="176"/>
      <c r="G3056" s="175">
        <f t="shared" si="253"/>
        <v>0</v>
      </c>
      <c r="H3056" s="175">
        <f t="shared" si="254"/>
        <v>0</v>
      </c>
      <c r="I3056" s="177">
        <f>IF(G3056=0,0,IF(E3056="MXN",1/HLOOKUP(YEAR(C3056)+(MONTH(C3056)/100),TC!$5:$37,DAY(C3056)+2,FALSE),VLOOKUP(E3056,Equivalencia!$5:$23,((MAX(Equivalencia!$3:$3)-YEAR(C3056))*14)+MONTH(C3056)+2,FALSE)))</f>
        <v>0</v>
      </c>
      <c r="J3056" s="178">
        <f t="shared" si="255"/>
        <v>0</v>
      </c>
      <c r="K3056" s="462">
        <f>IF(C3056=0,0,VLOOKUP(YEAR(C3056),INPC!$B$4:$O$29,MONTH(C3056)+1))</f>
        <v>0</v>
      </c>
      <c r="L3056" s="462">
        <f>IF(S3056=0,0,VLOOKUP(YEAR(S3056),INPC!$B$4:$O$29,MONTH(S3056)+1))</f>
        <v>0</v>
      </c>
      <c r="M3056" s="463">
        <f t="shared" si="256"/>
        <v>0</v>
      </c>
      <c r="N3056" s="465">
        <f t="shared" si="257"/>
        <v>0</v>
      </c>
      <c r="O3056" s="179"/>
      <c r="P3056" s="180"/>
      <c r="Q3056" s="173"/>
      <c r="R3056" s="173"/>
      <c r="S3056" s="174"/>
      <c r="T3056" s="173"/>
      <c r="U3056" s="182"/>
      <c r="V3056" s="177">
        <f>IF(U3056=0,0,IF(T3056="MXN",1/HLOOKUP(YEAR(S3056)+(MONTH(S3056)/100),TC!$5:$37,DAY(S3056)+2,FALSE),VLOOKUP(T3056,Equivalencia!$1:$23,((MAX(Equivalencia!$3:$3)-YEAR(S3056))*14)+MONTH(S3056)+2,FALSE)))</f>
        <v>0</v>
      </c>
      <c r="W3056" s="178">
        <f t="shared" si="258"/>
        <v>0</v>
      </c>
      <c r="X3056" s="481">
        <f t="shared" si="259"/>
        <v>0</v>
      </c>
      <c r="Y3056" s="179"/>
      <c r="Z3056" s="466">
        <f t="shared" si="260"/>
        <v>0</v>
      </c>
      <c r="AA3056" s="473">
        <f t="shared" si="261"/>
        <v>0</v>
      </c>
      <c r="AB3056" s="339">
        <f t="shared" si="262"/>
        <v>0</v>
      </c>
    </row>
    <row r="3057" spans="2:28" ht="20.100000000000001" customHeight="1">
      <c r="B3057" s="172"/>
      <c r="C3057" s="174"/>
      <c r="D3057" s="181"/>
      <c r="E3057" s="173"/>
      <c r="F3057" s="176"/>
      <c r="G3057" s="175">
        <f t="shared" si="253"/>
        <v>0</v>
      </c>
      <c r="H3057" s="175">
        <f t="shared" si="254"/>
        <v>0</v>
      </c>
      <c r="I3057" s="177">
        <f>IF(G3057=0,0,IF(E3057="MXN",1/HLOOKUP(YEAR(C3057)+(MONTH(C3057)/100),TC!$5:$37,DAY(C3057)+2,FALSE),VLOOKUP(E3057,Equivalencia!$5:$23,((MAX(Equivalencia!$3:$3)-YEAR(C3057))*14)+MONTH(C3057)+2,FALSE)))</f>
        <v>0</v>
      </c>
      <c r="J3057" s="178">
        <f t="shared" si="255"/>
        <v>0</v>
      </c>
      <c r="K3057" s="462">
        <f>IF(C3057=0,0,VLOOKUP(YEAR(C3057),INPC!$B$4:$O$29,MONTH(C3057)+1))</f>
        <v>0</v>
      </c>
      <c r="L3057" s="462">
        <f>IF(S3057=0,0,VLOOKUP(YEAR(S3057),INPC!$B$4:$O$29,MONTH(S3057)+1))</f>
        <v>0</v>
      </c>
      <c r="M3057" s="463">
        <f t="shared" si="256"/>
        <v>0</v>
      </c>
      <c r="N3057" s="465">
        <f t="shared" si="257"/>
        <v>0</v>
      </c>
      <c r="O3057" s="179"/>
      <c r="P3057" s="180"/>
      <c r="Q3057" s="173"/>
      <c r="R3057" s="173"/>
      <c r="S3057" s="174"/>
      <c r="T3057" s="173"/>
      <c r="U3057" s="182"/>
      <c r="V3057" s="177">
        <f>IF(U3057=0,0,IF(T3057="MXN",1/HLOOKUP(YEAR(S3057)+(MONTH(S3057)/100),TC!$5:$37,DAY(S3057)+2,FALSE),VLOOKUP(T3057,Equivalencia!$1:$23,((MAX(Equivalencia!$3:$3)-YEAR(S3057))*14)+MONTH(S3057)+2,FALSE)))</f>
        <v>0</v>
      </c>
      <c r="W3057" s="178">
        <f t="shared" si="258"/>
        <v>0</v>
      </c>
      <c r="X3057" s="481">
        <f t="shared" si="259"/>
        <v>0</v>
      </c>
      <c r="Y3057" s="179"/>
      <c r="Z3057" s="466">
        <f t="shared" si="260"/>
        <v>0</v>
      </c>
      <c r="AA3057" s="473">
        <f t="shared" si="261"/>
        <v>0</v>
      </c>
      <c r="AB3057" s="339">
        <f t="shared" si="262"/>
        <v>0</v>
      </c>
    </row>
    <row r="3058" spans="2:28" ht="20.100000000000001" customHeight="1">
      <c r="B3058" s="172"/>
      <c r="C3058" s="174"/>
      <c r="D3058" s="181"/>
      <c r="E3058" s="173"/>
      <c r="F3058" s="176"/>
      <c r="G3058" s="175">
        <f t="shared" si="253"/>
        <v>0</v>
      </c>
      <c r="H3058" s="175">
        <f t="shared" si="254"/>
        <v>0</v>
      </c>
      <c r="I3058" s="177">
        <f>IF(G3058=0,0,IF(E3058="MXN",1/HLOOKUP(YEAR(C3058)+(MONTH(C3058)/100),TC!$5:$37,DAY(C3058)+2,FALSE),VLOOKUP(E3058,Equivalencia!$5:$23,((MAX(Equivalencia!$3:$3)-YEAR(C3058))*14)+MONTH(C3058)+2,FALSE)))</f>
        <v>0</v>
      </c>
      <c r="J3058" s="178">
        <f t="shared" si="255"/>
        <v>0</v>
      </c>
      <c r="K3058" s="462">
        <f>IF(C3058=0,0,VLOOKUP(YEAR(C3058),INPC!$B$4:$O$29,MONTH(C3058)+1))</f>
        <v>0</v>
      </c>
      <c r="L3058" s="462">
        <f>IF(S3058=0,0,VLOOKUP(YEAR(S3058),INPC!$B$4:$O$29,MONTH(S3058)+1))</f>
        <v>0</v>
      </c>
      <c r="M3058" s="463">
        <f t="shared" si="256"/>
        <v>0</v>
      </c>
      <c r="N3058" s="465">
        <f t="shared" si="257"/>
        <v>0</v>
      </c>
      <c r="O3058" s="179"/>
      <c r="P3058" s="180"/>
      <c r="Q3058" s="173"/>
      <c r="R3058" s="173"/>
      <c r="S3058" s="174"/>
      <c r="T3058" s="173"/>
      <c r="U3058" s="182"/>
      <c r="V3058" s="177">
        <f>IF(U3058=0,0,IF(T3058="MXN",1/HLOOKUP(YEAR(S3058)+(MONTH(S3058)/100),TC!$5:$37,DAY(S3058)+2,FALSE),VLOOKUP(T3058,Equivalencia!$1:$23,((MAX(Equivalencia!$3:$3)-YEAR(S3058))*14)+MONTH(S3058)+2,FALSE)))</f>
        <v>0</v>
      </c>
      <c r="W3058" s="178">
        <f t="shared" si="258"/>
        <v>0</v>
      </c>
      <c r="X3058" s="481">
        <f t="shared" si="259"/>
        <v>0</v>
      </c>
      <c r="Y3058" s="179"/>
      <c r="Z3058" s="466">
        <f t="shared" si="260"/>
        <v>0</v>
      </c>
      <c r="AA3058" s="473">
        <f t="shared" si="261"/>
        <v>0</v>
      </c>
      <c r="AB3058" s="339">
        <f t="shared" si="262"/>
        <v>0</v>
      </c>
    </row>
    <row r="3059" spans="2:28" ht="20.100000000000001" customHeight="1">
      <c r="B3059" s="172"/>
      <c r="C3059" s="174"/>
      <c r="D3059" s="181"/>
      <c r="E3059" s="173"/>
      <c r="F3059" s="176"/>
      <c r="G3059" s="175">
        <f t="shared" si="253"/>
        <v>0</v>
      </c>
      <c r="H3059" s="175">
        <f t="shared" si="254"/>
        <v>0</v>
      </c>
      <c r="I3059" s="177">
        <f>IF(G3059=0,0,IF(E3059="MXN",1/HLOOKUP(YEAR(C3059)+(MONTH(C3059)/100),TC!$5:$37,DAY(C3059)+2,FALSE),VLOOKUP(E3059,Equivalencia!$5:$23,((MAX(Equivalencia!$3:$3)-YEAR(C3059))*14)+MONTH(C3059)+2,FALSE)))</f>
        <v>0</v>
      </c>
      <c r="J3059" s="178">
        <f t="shared" si="255"/>
        <v>0</v>
      </c>
      <c r="K3059" s="462">
        <f>IF(C3059=0,0,VLOOKUP(YEAR(C3059),INPC!$B$4:$O$29,MONTH(C3059)+1))</f>
        <v>0</v>
      </c>
      <c r="L3059" s="462">
        <f>IF(S3059=0,0,VLOOKUP(YEAR(S3059),INPC!$B$4:$O$29,MONTH(S3059)+1))</f>
        <v>0</v>
      </c>
      <c r="M3059" s="463">
        <f t="shared" si="256"/>
        <v>0</v>
      </c>
      <c r="N3059" s="465">
        <f t="shared" si="257"/>
        <v>0</v>
      </c>
      <c r="O3059" s="179"/>
      <c r="P3059" s="180"/>
      <c r="Q3059" s="173"/>
      <c r="R3059" s="173"/>
      <c r="S3059" s="174"/>
      <c r="T3059" s="173"/>
      <c r="U3059" s="182"/>
      <c r="V3059" s="177">
        <f>IF(U3059=0,0,IF(T3059="MXN",1/HLOOKUP(YEAR(S3059)+(MONTH(S3059)/100),TC!$5:$37,DAY(S3059)+2,FALSE),VLOOKUP(T3059,Equivalencia!$1:$23,((MAX(Equivalencia!$3:$3)-YEAR(S3059))*14)+MONTH(S3059)+2,FALSE)))</f>
        <v>0</v>
      </c>
      <c r="W3059" s="178">
        <f t="shared" si="258"/>
        <v>0</v>
      </c>
      <c r="X3059" s="481">
        <f t="shared" si="259"/>
        <v>0</v>
      </c>
      <c r="Y3059" s="179"/>
      <c r="Z3059" s="466">
        <f t="shared" si="260"/>
        <v>0</v>
      </c>
      <c r="AA3059" s="473">
        <f t="shared" si="261"/>
        <v>0</v>
      </c>
      <c r="AB3059" s="339">
        <f t="shared" si="262"/>
        <v>0</v>
      </c>
    </row>
    <row r="3060" spans="2:28" ht="20.100000000000001" customHeight="1">
      <c r="B3060" s="172"/>
      <c r="C3060" s="174"/>
      <c r="D3060" s="181"/>
      <c r="E3060" s="173"/>
      <c r="F3060" s="176"/>
      <c r="G3060" s="175">
        <f t="shared" si="253"/>
        <v>0</v>
      </c>
      <c r="H3060" s="175">
        <f t="shared" si="254"/>
        <v>0</v>
      </c>
      <c r="I3060" s="177">
        <f>IF(G3060=0,0,IF(E3060="MXN",1/HLOOKUP(YEAR(C3060)+(MONTH(C3060)/100),TC!$5:$37,DAY(C3060)+2,FALSE),VLOOKUP(E3060,Equivalencia!$5:$23,((MAX(Equivalencia!$3:$3)-YEAR(C3060))*14)+MONTH(C3060)+2,FALSE)))</f>
        <v>0</v>
      </c>
      <c r="J3060" s="178">
        <f t="shared" si="255"/>
        <v>0</v>
      </c>
      <c r="K3060" s="462">
        <f>IF(C3060=0,0,VLOOKUP(YEAR(C3060),INPC!$B$4:$O$29,MONTH(C3060)+1))</f>
        <v>0</v>
      </c>
      <c r="L3060" s="462">
        <f>IF(S3060=0,0,VLOOKUP(YEAR(S3060),INPC!$B$4:$O$29,MONTH(S3060)+1))</f>
        <v>0</v>
      </c>
      <c r="M3060" s="463">
        <f t="shared" si="256"/>
        <v>0</v>
      </c>
      <c r="N3060" s="465">
        <f t="shared" si="257"/>
        <v>0</v>
      </c>
      <c r="O3060" s="179"/>
      <c r="P3060" s="180"/>
      <c r="Q3060" s="173"/>
      <c r="R3060" s="173"/>
      <c r="S3060" s="174"/>
      <c r="T3060" s="173"/>
      <c r="U3060" s="182"/>
      <c r="V3060" s="177">
        <f>IF(U3060=0,0,IF(T3060="MXN",1/HLOOKUP(YEAR(S3060)+(MONTH(S3060)/100),TC!$5:$37,DAY(S3060)+2,FALSE),VLOOKUP(T3060,Equivalencia!$1:$23,((MAX(Equivalencia!$3:$3)-YEAR(S3060))*14)+MONTH(S3060)+2,FALSE)))</f>
        <v>0</v>
      </c>
      <c r="W3060" s="178">
        <f t="shared" si="258"/>
        <v>0</v>
      </c>
      <c r="X3060" s="481">
        <f t="shared" si="259"/>
        <v>0</v>
      </c>
      <c r="Y3060" s="179"/>
      <c r="Z3060" s="466">
        <f t="shared" si="260"/>
        <v>0</v>
      </c>
      <c r="AA3060" s="473">
        <f t="shared" si="261"/>
        <v>0</v>
      </c>
      <c r="AB3060" s="339">
        <f t="shared" si="262"/>
        <v>0</v>
      </c>
    </row>
    <row r="3061" spans="2:28" ht="20.100000000000001" customHeight="1">
      <c r="B3061" s="172"/>
      <c r="C3061" s="174"/>
      <c r="D3061" s="181"/>
      <c r="E3061" s="173"/>
      <c r="F3061" s="176"/>
      <c r="G3061" s="175">
        <f t="shared" si="253"/>
        <v>0</v>
      </c>
      <c r="H3061" s="175">
        <f t="shared" si="254"/>
        <v>0</v>
      </c>
      <c r="I3061" s="177">
        <f>IF(G3061=0,0,IF(E3061="MXN",1/HLOOKUP(YEAR(C3061)+(MONTH(C3061)/100),TC!$5:$37,DAY(C3061)+2,FALSE),VLOOKUP(E3061,Equivalencia!$5:$23,((MAX(Equivalencia!$3:$3)-YEAR(C3061))*14)+MONTH(C3061)+2,FALSE)))</f>
        <v>0</v>
      </c>
      <c r="J3061" s="178">
        <f t="shared" si="255"/>
        <v>0</v>
      </c>
      <c r="K3061" s="462">
        <f>IF(C3061=0,0,VLOOKUP(YEAR(C3061),INPC!$B$4:$O$29,MONTH(C3061)+1))</f>
        <v>0</v>
      </c>
      <c r="L3061" s="462">
        <f>IF(S3061=0,0,VLOOKUP(YEAR(S3061),INPC!$B$4:$O$29,MONTH(S3061)+1))</f>
        <v>0</v>
      </c>
      <c r="M3061" s="463">
        <f t="shared" si="256"/>
        <v>0</v>
      </c>
      <c r="N3061" s="465">
        <f t="shared" si="257"/>
        <v>0</v>
      </c>
      <c r="O3061" s="179"/>
      <c r="P3061" s="180"/>
      <c r="Q3061" s="173"/>
      <c r="R3061" s="173"/>
      <c r="S3061" s="174"/>
      <c r="T3061" s="173"/>
      <c r="U3061" s="182"/>
      <c r="V3061" s="177">
        <f>IF(U3061=0,0,IF(T3061="MXN",1/HLOOKUP(YEAR(S3061)+(MONTH(S3061)/100),TC!$5:$37,DAY(S3061)+2,FALSE),VLOOKUP(T3061,Equivalencia!$1:$23,((MAX(Equivalencia!$3:$3)-YEAR(S3061))*14)+MONTH(S3061)+2,FALSE)))</f>
        <v>0</v>
      </c>
      <c r="W3061" s="178">
        <f t="shared" si="258"/>
        <v>0</v>
      </c>
      <c r="X3061" s="481">
        <f t="shared" si="259"/>
        <v>0</v>
      </c>
      <c r="Y3061" s="179"/>
      <c r="Z3061" s="466">
        <f t="shared" si="260"/>
        <v>0</v>
      </c>
      <c r="AA3061" s="473">
        <f t="shared" si="261"/>
        <v>0</v>
      </c>
      <c r="AB3061" s="339">
        <f t="shared" si="262"/>
        <v>0</v>
      </c>
    </row>
    <row r="3062" spans="2:28" ht="20.100000000000001" customHeight="1">
      <c r="B3062" s="172"/>
      <c r="C3062" s="174"/>
      <c r="D3062" s="181"/>
      <c r="E3062" s="173"/>
      <c r="F3062" s="176"/>
      <c r="G3062" s="175">
        <f t="shared" si="253"/>
        <v>0</v>
      </c>
      <c r="H3062" s="175">
        <f t="shared" si="254"/>
        <v>0</v>
      </c>
      <c r="I3062" s="177">
        <f>IF(G3062=0,0,IF(E3062="MXN",1/HLOOKUP(YEAR(C3062)+(MONTH(C3062)/100),TC!$5:$37,DAY(C3062)+2,FALSE),VLOOKUP(E3062,Equivalencia!$5:$23,((MAX(Equivalencia!$3:$3)-YEAR(C3062))*14)+MONTH(C3062)+2,FALSE)))</f>
        <v>0</v>
      </c>
      <c r="J3062" s="178">
        <f t="shared" si="255"/>
        <v>0</v>
      </c>
      <c r="K3062" s="462">
        <f>IF(C3062=0,0,VLOOKUP(YEAR(C3062),INPC!$B$4:$O$29,MONTH(C3062)+1))</f>
        <v>0</v>
      </c>
      <c r="L3062" s="462">
        <f>IF(S3062=0,0,VLOOKUP(YEAR(S3062),INPC!$B$4:$O$29,MONTH(S3062)+1))</f>
        <v>0</v>
      </c>
      <c r="M3062" s="463">
        <f t="shared" si="256"/>
        <v>0</v>
      </c>
      <c r="N3062" s="465">
        <f t="shared" si="257"/>
        <v>0</v>
      </c>
      <c r="O3062" s="179"/>
      <c r="P3062" s="180"/>
      <c r="Q3062" s="173"/>
      <c r="R3062" s="173"/>
      <c r="S3062" s="174"/>
      <c r="T3062" s="173"/>
      <c r="U3062" s="182"/>
      <c r="V3062" s="177">
        <f>IF(U3062=0,0,IF(T3062="MXN",1/HLOOKUP(YEAR(S3062)+(MONTH(S3062)/100),TC!$5:$37,DAY(S3062)+2,FALSE),VLOOKUP(T3062,Equivalencia!$1:$23,((MAX(Equivalencia!$3:$3)-YEAR(S3062))*14)+MONTH(S3062)+2,FALSE)))</f>
        <v>0</v>
      </c>
      <c r="W3062" s="178">
        <f t="shared" si="258"/>
        <v>0</v>
      </c>
      <c r="X3062" s="481">
        <f t="shared" si="259"/>
        <v>0</v>
      </c>
      <c r="Y3062" s="179"/>
      <c r="Z3062" s="466">
        <f t="shared" si="260"/>
        <v>0</v>
      </c>
      <c r="AA3062" s="473">
        <f t="shared" si="261"/>
        <v>0</v>
      </c>
      <c r="AB3062" s="339">
        <f t="shared" si="262"/>
        <v>0</v>
      </c>
    </row>
    <row r="3063" spans="2:28" ht="20.100000000000001" customHeight="1">
      <c r="B3063" s="172"/>
      <c r="C3063" s="174"/>
      <c r="D3063" s="181"/>
      <c r="E3063" s="173"/>
      <c r="F3063" s="176"/>
      <c r="G3063" s="175">
        <f t="shared" si="253"/>
        <v>0</v>
      </c>
      <c r="H3063" s="175">
        <f t="shared" si="254"/>
        <v>0</v>
      </c>
      <c r="I3063" s="177">
        <f>IF(G3063=0,0,IF(E3063="MXN",1/HLOOKUP(YEAR(C3063)+(MONTH(C3063)/100),TC!$5:$37,DAY(C3063)+2,FALSE),VLOOKUP(E3063,Equivalencia!$5:$23,((MAX(Equivalencia!$3:$3)-YEAR(C3063))*14)+MONTH(C3063)+2,FALSE)))</f>
        <v>0</v>
      </c>
      <c r="J3063" s="178">
        <f t="shared" si="255"/>
        <v>0</v>
      </c>
      <c r="K3063" s="462">
        <f>IF(C3063=0,0,VLOOKUP(YEAR(C3063),INPC!$B$4:$O$29,MONTH(C3063)+1))</f>
        <v>0</v>
      </c>
      <c r="L3063" s="462">
        <f>IF(S3063=0,0,VLOOKUP(YEAR(S3063),INPC!$B$4:$O$29,MONTH(S3063)+1))</f>
        <v>0</v>
      </c>
      <c r="M3063" s="463">
        <f t="shared" si="256"/>
        <v>0</v>
      </c>
      <c r="N3063" s="465">
        <f t="shared" si="257"/>
        <v>0</v>
      </c>
      <c r="O3063" s="179"/>
      <c r="P3063" s="180"/>
      <c r="Q3063" s="173"/>
      <c r="R3063" s="173"/>
      <c r="S3063" s="174"/>
      <c r="T3063" s="173"/>
      <c r="U3063" s="182"/>
      <c r="V3063" s="177">
        <f>IF(U3063=0,0,IF(T3063="MXN",1/HLOOKUP(YEAR(S3063)+(MONTH(S3063)/100),TC!$5:$37,DAY(S3063)+2,FALSE),VLOOKUP(T3063,Equivalencia!$1:$23,((MAX(Equivalencia!$3:$3)-YEAR(S3063))*14)+MONTH(S3063)+2,FALSE)))</f>
        <v>0</v>
      </c>
      <c r="W3063" s="178">
        <f t="shared" si="258"/>
        <v>0</v>
      </c>
      <c r="X3063" s="481">
        <f t="shared" si="259"/>
        <v>0</v>
      </c>
      <c r="Y3063" s="179"/>
      <c r="Z3063" s="466">
        <f t="shared" si="260"/>
        <v>0</v>
      </c>
      <c r="AA3063" s="473">
        <f t="shared" si="261"/>
        <v>0</v>
      </c>
      <c r="AB3063" s="339">
        <f t="shared" si="262"/>
        <v>0</v>
      </c>
    </row>
    <row r="3064" spans="2:28" ht="20.100000000000001" customHeight="1">
      <c r="B3064" s="172"/>
      <c r="C3064" s="174"/>
      <c r="D3064" s="181"/>
      <c r="E3064" s="173"/>
      <c r="F3064" s="176"/>
      <c r="G3064" s="175">
        <f t="shared" si="253"/>
        <v>0</v>
      </c>
      <c r="H3064" s="175">
        <f t="shared" si="254"/>
        <v>0</v>
      </c>
      <c r="I3064" s="177">
        <f>IF(G3064=0,0,IF(E3064="MXN",1/HLOOKUP(YEAR(C3064)+(MONTH(C3064)/100),TC!$5:$37,DAY(C3064)+2,FALSE),VLOOKUP(E3064,Equivalencia!$5:$23,((MAX(Equivalencia!$3:$3)-YEAR(C3064))*14)+MONTH(C3064)+2,FALSE)))</f>
        <v>0</v>
      </c>
      <c r="J3064" s="178">
        <f t="shared" si="255"/>
        <v>0</v>
      </c>
      <c r="K3064" s="462">
        <f>IF(C3064=0,0,VLOOKUP(YEAR(C3064),INPC!$B$4:$O$29,MONTH(C3064)+1))</f>
        <v>0</v>
      </c>
      <c r="L3064" s="462">
        <f>IF(S3064=0,0,VLOOKUP(YEAR(S3064),INPC!$B$4:$O$29,MONTH(S3064)+1))</f>
        <v>0</v>
      </c>
      <c r="M3064" s="463">
        <f t="shared" si="256"/>
        <v>0</v>
      </c>
      <c r="N3064" s="465">
        <f t="shared" si="257"/>
        <v>0</v>
      </c>
      <c r="O3064" s="179"/>
      <c r="P3064" s="180"/>
      <c r="Q3064" s="173"/>
      <c r="R3064" s="173"/>
      <c r="S3064" s="174"/>
      <c r="T3064" s="173"/>
      <c r="U3064" s="182"/>
      <c r="V3064" s="177">
        <f>IF(U3064=0,0,IF(T3064="MXN",1/HLOOKUP(YEAR(S3064)+(MONTH(S3064)/100),TC!$5:$37,DAY(S3064)+2,FALSE),VLOOKUP(T3064,Equivalencia!$1:$23,((MAX(Equivalencia!$3:$3)-YEAR(S3064))*14)+MONTH(S3064)+2,FALSE)))</f>
        <v>0</v>
      </c>
      <c r="W3064" s="178">
        <f t="shared" si="258"/>
        <v>0</v>
      </c>
      <c r="X3064" s="481">
        <f t="shared" si="259"/>
        <v>0</v>
      </c>
      <c r="Y3064" s="179"/>
      <c r="Z3064" s="466">
        <f t="shared" si="260"/>
        <v>0</v>
      </c>
      <c r="AA3064" s="473">
        <f t="shared" si="261"/>
        <v>0</v>
      </c>
      <c r="AB3064" s="339">
        <f t="shared" si="262"/>
        <v>0</v>
      </c>
    </row>
    <row r="3065" spans="2:28" ht="20.100000000000001" customHeight="1">
      <c r="B3065" s="172"/>
      <c r="C3065" s="174"/>
      <c r="D3065" s="181"/>
      <c r="E3065" s="173"/>
      <c r="F3065" s="176"/>
      <c r="G3065" s="175">
        <f t="shared" si="253"/>
        <v>0</v>
      </c>
      <c r="H3065" s="175">
        <f t="shared" si="254"/>
        <v>0</v>
      </c>
      <c r="I3065" s="177">
        <f>IF(G3065=0,0,IF(E3065="MXN",1/HLOOKUP(YEAR(C3065)+(MONTH(C3065)/100),TC!$5:$37,DAY(C3065)+2,FALSE),VLOOKUP(E3065,Equivalencia!$5:$23,((MAX(Equivalencia!$3:$3)-YEAR(C3065))*14)+MONTH(C3065)+2,FALSE)))</f>
        <v>0</v>
      </c>
      <c r="J3065" s="178">
        <f t="shared" si="255"/>
        <v>0</v>
      </c>
      <c r="K3065" s="462">
        <f>IF(C3065=0,0,VLOOKUP(YEAR(C3065),INPC!$B$4:$O$29,MONTH(C3065)+1))</f>
        <v>0</v>
      </c>
      <c r="L3065" s="462">
        <f>IF(S3065=0,0,VLOOKUP(YEAR(S3065),INPC!$B$4:$O$29,MONTH(S3065)+1))</f>
        <v>0</v>
      </c>
      <c r="M3065" s="463">
        <f t="shared" si="256"/>
        <v>0</v>
      </c>
      <c r="N3065" s="465">
        <f t="shared" si="257"/>
        <v>0</v>
      </c>
      <c r="O3065" s="179"/>
      <c r="P3065" s="180"/>
      <c r="Q3065" s="173"/>
      <c r="R3065" s="173"/>
      <c r="S3065" s="174"/>
      <c r="T3065" s="173"/>
      <c r="U3065" s="182"/>
      <c r="V3065" s="177">
        <f>IF(U3065=0,0,IF(T3065="MXN",1/HLOOKUP(YEAR(S3065)+(MONTH(S3065)/100),TC!$5:$37,DAY(S3065)+2,FALSE),VLOOKUP(T3065,Equivalencia!$1:$23,((MAX(Equivalencia!$3:$3)-YEAR(S3065))*14)+MONTH(S3065)+2,FALSE)))</f>
        <v>0</v>
      </c>
      <c r="W3065" s="178">
        <f t="shared" si="258"/>
        <v>0</v>
      </c>
      <c r="X3065" s="481">
        <f t="shared" si="259"/>
        <v>0</v>
      </c>
      <c r="Y3065" s="179"/>
      <c r="Z3065" s="466">
        <f t="shared" si="260"/>
        <v>0</v>
      </c>
      <c r="AA3065" s="473">
        <f t="shared" si="261"/>
        <v>0</v>
      </c>
      <c r="AB3065" s="339">
        <f t="shared" si="262"/>
        <v>0</v>
      </c>
    </row>
    <row r="3066" spans="2:28" ht="20.100000000000001" customHeight="1">
      <c r="B3066" s="172"/>
      <c r="C3066" s="174"/>
      <c r="D3066" s="181"/>
      <c r="E3066" s="173"/>
      <c r="F3066" s="176"/>
      <c r="G3066" s="175">
        <f t="shared" si="253"/>
        <v>0</v>
      </c>
      <c r="H3066" s="175">
        <f t="shared" si="254"/>
        <v>0</v>
      </c>
      <c r="I3066" s="177">
        <f>IF(G3066=0,0,IF(E3066="MXN",1/HLOOKUP(YEAR(C3066)+(MONTH(C3066)/100),TC!$5:$37,DAY(C3066)+2,FALSE),VLOOKUP(E3066,Equivalencia!$5:$23,((MAX(Equivalencia!$3:$3)-YEAR(C3066))*14)+MONTH(C3066)+2,FALSE)))</f>
        <v>0</v>
      </c>
      <c r="J3066" s="178">
        <f t="shared" si="255"/>
        <v>0</v>
      </c>
      <c r="K3066" s="462">
        <f>IF(C3066=0,0,VLOOKUP(YEAR(C3066),INPC!$B$4:$O$29,MONTH(C3066)+1))</f>
        <v>0</v>
      </c>
      <c r="L3066" s="462">
        <f>IF(S3066=0,0,VLOOKUP(YEAR(S3066),INPC!$B$4:$O$29,MONTH(S3066)+1))</f>
        <v>0</v>
      </c>
      <c r="M3066" s="463">
        <f t="shared" si="256"/>
        <v>0</v>
      </c>
      <c r="N3066" s="465">
        <f t="shared" si="257"/>
        <v>0</v>
      </c>
      <c r="O3066" s="179"/>
      <c r="P3066" s="180"/>
      <c r="Q3066" s="173"/>
      <c r="R3066" s="173"/>
      <c r="S3066" s="174"/>
      <c r="T3066" s="173"/>
      <c r="U3066" s="182"/>
      <c r="V3066" s="177">
        <f>IF(U3066=0,0,IF(T3066="MXN",1/HLOOKUP(YEAR(S3066)+(MONTH(S3066)/100),TC!$5:$37,DAY(S3066)+2,FALSE),VLOOKUP(T3066,Equivalencia!$1:$23,((MAX(Equivalencia!$3:$3)-YEAR(S3066))*14)+MONTH(S3066)+2,FALSE)))</f>
        <v>0</v>
      </c>
      <c r="W3066" s="178">
        <f t="shared" si="258"/>
        <v>0</v>
      </c>
      <c r="X3066" s="481">
        <f t="shared" si="259"/>
        <v>0</v>
      </c>
      <c r="Y3066" s="179"/>
      <c r="Z3066" s="466">
        <f t="shared" si="260"/>
        <v>0</v>
      </c>
      <c r="AA3066" s="473">
        <f t="shared" si="261"/>
        <v>0</v>
      </c>
      <c r="AB3066" s="339">
        <f t="shared" si="262"/>
        <v>0</v>
      </c>
    </row>
    <row r="3067" spans="2:28" ht="20.100000000000001" customHeight="1">
      <c r="B3067" s="172"/>
      <c r="C3067" s="174"/>
      <c r="D3067" s="181"/>
      <c r="E3067" s="173"/>
      <c r="F3067" s="176"/>
      <c r="G3067" s="175">
        <f t="shared" si="253"/>
        <v>0</v>
      </c>
      <c r="H3067" s="175">
        <f t="shared" si="254"/>
        <v>0</v>
      </c>
      <c r="I3067" s="177">
        <f>IF(G3067=0,0,IF(E3067="MXN",1/HLOOKUP(YEAR(C3067)+(MONTH(C3067)/100),TC!$5:$37,DAY(C3067)+2,FALSE),VLOOKUP(E3067,Equivalencia!$5:$23,((MAX(Equivalencia!$3:$3)-YEAR(C3067))*14)+MONTH(C3067)+2,FALSE)))</f>
        <v>0</v>
      </c>
      <c r="J3067" s="178">
        <f t="shared" si="255"/>
        <v>0</v>
      </c>
      <c r="K3067" s="462">
        <f>IF(C3067=0,0,VLOOKUP(YEAR(C3067),INPC!$B$4:$O$29,MONTH(C3067)+1))</f>
        <v>0</v>
      </c>
      <c r="L3067" s="462">
        <f>IF(S3067=0,0,VLOOKUP(YEAR(S3067),INPC!$B$4:$O$29,MONTH(S3067)+1))</f>
        <v>0</v>
      </c>
      <c r="M3067" s="463">
        <f t="shared" si="256"/>
        <v>0</v>
      </c>
      <c r="N3067" s="465">
        <f t="shared" si="257"/>
        <v>0</v>
      </c>
      <c r="O3067" s="179"/>
      <c r="P3067" s="180"/>
      <c r="Q3067" s="173"/>
      <c r="R3067" s="173"/>
      <c r="S3067" s="174"/>
      <c r="T3067" s="173"/>
      <c r="U3067" s="182"/>
      <c r="V3067" s="177">
        <f>IF(U3067=0,0,IF(T3067="MXN",1/HLOOKUP(YEAR(S3067)+(MONTH(S3067)/100),TC!$5:$37,DAY(S3067)+2,FALSE),VLOOKUP(T3067,Equivalencia!$1:$23,((MAX(Equivalencia!$3:$3)-YEAR(S3067))*14)+MONTH(S3067)+2,FALSE)))</f>
        <v>0</v>
      </c>
      <c r="W3067" s="178">
        <f t="shared" si="258"/>
        <v>0</v>
      </c>
      <c r="X3067" s="481">
        <f t="shared" si="259"/>
        <v>0</v>
      </c>
      <c r="Y3067" s="179"/>
      <c r="Z3067" s="466">
        <f t="shared" si="260"/>
        <v>0</v>
      </c>
      <c r="AA3067" s="473">
        <f t="shared" si="261"/>
        <v>0</v>
      </c>
      <c r="AB3067" s="339">
        <f t="shared" si="262"/>
        <v>0</v>
      </c>
    </row>
    <row r="3068" spans="2:28" ht="20.100000000000001" customHeight="1">
      <c r="B3068" s="172"/>
      <c r="C3068" s="174"/>
      <c r="D3068" s="181"/>
      <c r="E3068" s="173"/>
      <c r="F3068" s="176"/>
      <c r="G3068" s="175">
        <f t="shared" si="253"/>
        <v>0</v>
      </c>
      <c r="H3068" s="175">
        <f t="shared" si="254"/>
        <v>0</v>
      </c>
      <c r="I3068" s="177">
        <f>IF(G3068=0,0,IF(E3068="MXN",1/HLOOKUP(YEAR(C3068)+(MONTH(C3068)/100),TC!$5:$37,DAY(C3068)+2,FALSE),VLOOKUP(E3068,Equivalencia!$5:$23,((MAX(Equivalencia!$3:$3)-YEAR(C3068))*14)+MONTH(C3068)+2,FALSE)))</f>
        <v>0</v>
      </c>
      <c r="J3068" s="178">
        <f t="shared" si="255"/>
        <v>0</v>
      </c>
      <c r="K3068" s="462">
        <f>IF(C3068=0,0,VLOOKUP(YEAR(C3068),INPC!$B$4:$O$29,MONTH(C3068)+1))</f>
        <v>0</v>
      </c>
      <c r="L3068" s="462">
        <f>IF(S3068=0,0,VLOOKUP(YEAR(S3068),INPC!$B$4:$O$29,MONTH(S3068)+1))</f>
        <v>0</v>
      </c>
      <c r="M3068" s="463">
        <f t="shared" si="256"/>
        <v>0</v>
      </c>
      <c r="N3068" s="465">
        <f t="shared" si="257"/>
        <v>0</v>
      </c>
      <c r="O3068" s="179"/>
      <c r="P3068" s="180"/>
      <c r="Q3068" s="173"/>
      <c r="R3068" s="173"/>
      <c r="S3068" s="174"/>
      <c r="T3068" s="173"/>
      <c r="U3068" s="182"/>
      <c r="V3068" s="177">
        <f>IF(U3068=0,0,IF(T3068="MXN",1/HLOOKUP(YEAR(S3068)+(MONTH(S3068)/100),TC!$5:$37,DAY(S3068)+2,FALSE),VLOOKUP(T3068,Equivalencia!$1:$23,((MAX(Equivalencia!$3:$3)-YEAR(S3068))*14)+MONTH(S3068)+2,FALSE)))</f>
        <v>0</v>
      </c>
      <c r="W3068" s="178">
        <f t="shared" si="258"/>
        <v>0</v>
      </c>
      <c r="X3068" s="481">
        <f t="shared" si="259"/>
        <v>0</v>
      </c>
      <c r="Y3068" s="179"/>
      <c r="Z3068" s="466">
        <f t="shared" si="260"/>
        <v>0</v>
      </c>
      <c r="AA3068" s="473">
        <f t="shared" si="261"/>
        <v>0</v>
      </c>
      <c r="AB3068" s="339">
        <f t="shared" si="262"/>
        <v>0</v>
      </c>
    </row>
    <row r="3069" spans="2:28" ht="20.100000000000001" customHeight="1">
      <c r="B3069" s="172"/>
      <c r="C3069" s="174"/>
      <c r="D3069" s="181"/>
      <c r="E3069" s="173"/>
      <c r="F3069" s="176"/>
      <c r="G3069" s="175">
        <f t="shared" si="253"/>
        <v>0</v>
      </c>
      <c r="H3069" s="175">
        <f t="shared" si="254"/>
        <v>0</v>
      </c>
      <c r="I3069" s="177">
        <f>IF(G3069=0,0,IF(E3069="MXN",1/HLOOKUP(YEAR(C3069)+(MONTH(C3069)/100),TC!$5:$37,DAY(C3069)+2,FALSE),VLOOKUP(E3069,Equivalencia!$5:$23,((MAX(Equivalencia!$3:$3)-YEAR(C3069))*14)+MONTH(C3069)+2,FALSE)))</f>
        <v>0</v>
      </c>
      <c r="J3069" s="178">
        <f t="shared" si="255"/>
        <v>0</v>
      </c>
      <c r="K3069" s="462">
        <f>IF(C3069=0,0,VLOOKUP(YEAR(C3069),INPC!$B$4:$O$29,MONTH(C3069)+1))</f>
        <v>0</v>
      </c>
      <c r="L3069" s="462">
        <f>IF(S3069=0,0,VLOOKUP(YEAR(S3069),INPC!$B$4:$O$29,MONTH(S3069)+1))</f>
        <v>0</v>
      </c>
      <c r="M3069" s="463">
        <f t="shared" si="256"/>
        <v>0</v>
      </c>
      <c r="N3069" s="465">
        <f t="shared" si="257"/>
        <v>0</v>
      </c>
      <c r="O3069" s="179"/>
      <c r="P3069" s="180"/>
      <c r="Q3069" s="173"/>
      <c r="R3069" s="173"/>
      <c r="S3069" s="174"/>
      <c r="T3069" s="173"/>
      <c r="U3069" s="182"/>
      <c r="V3069" s="177">
        <f>IF(U3069=0,0,IF(T3069="MXN",1/HLOOKUP(YEAR(S3069)+(MONTH(S3069)/100),TC!$5:$37,DAY(S3069)+2,FALSE),VLOOKUP(T3069,Equivalencia!$1:$23,((MAX(Equivalencia!$3:$3)-YEAR(S3069))*14)+MONTH(S3069)+2,FALSE)))</f>
        <v>0</v>
      </c>
      <c r="W3069" s="178">
        <f t="shared" si="258"/>
        <v>0</v>
      </c>
      <c r="X3069" s="481">
        <f t="shared" si="259"/>
        <v>0</v>
      </c>
      <c r="Y3069" s="179"/>
      <c r="Z3069" s="466">
        <f t="shared" si="260"/>
        <v>0</v>
      </c>
      <c r="AA3069" s="473">
        <f t="shared" si="261"/>
        <v>0</v>
      </c>
      <c r="AB3069" s="339">
        <f t="shared" si="262"/>
        <v>0</v>
      </c>
    </row>
    <row r="3070" spans="2:28" ht="20.100000000000001" customHeight="1">
      <c r="B3070" s="172"/>
      <c r="C3070" s="174"/>
      <c r="D3070" s="181"/>
      <c r="E3070" s="173"/>
      <c r="F3070" s="176"/>
      <c r="G3070" s="175">
        <f t="shared" si="253"/>
        <v>0</v>
      </c>
      <c r="H3070" s="175">
        <f t="shared" si="254"/>
        <v>0</v>
      </c>
      <c r="I3070" s="177">
        <f>IF(G3070=0,0,IF(E3070="MXN",1/HLOOKUP(YEAR(C3070)+(MONTH(C3070)/100),TC!$5:$37,DAY(C3070)+2,FALSE),VLOOKUP(E3070,Equivalencia!$5:$23,((MAX(Equivalencia!$3:$3)-YEAR(C3070))*14)+MONTH(C3070)+2,FALSE)))</f>
        <v>0</v>
      </c>
      <c r="J3070" s="178">
        <f t="shared" si="255"/>
        <v>0</v>
      </c>
      <c r="K3070" s="462">
        <f>IF(C3070=0,0,VLOOKUP(YEAR(C3070),INPC!$B$4:$O$29,MONTH(C3070)+1))</f>
        <v>0</v>
      </c>
      <c r="L3070" s="462">
        <f>IF(S3070=0,0,VLOOKUP(YEAR(S3070),INPC!$B$4:$O$29,MONTH(S3070)+1))</f>
        <v>0</v>
      </c>
      <c r="M3070" s="463">
        <f t="shared" si="256"/>
        <v>0</v>
      </c>
      <c r="N3070" s="465">
        <f t="shared" si="257"/>
        <v>0</v>
      </c>
      <c r="O3070" s="179"/>
      <c r="P3070" s="180"/>
      <c r="Q3070" s="173"/>
      <c r="R3070" s="173"/>
      <c r="S3070" s="174"/>
      <c r="T3070" s="173"/>
      <c r="U3070" s="182"/>
      <c r="V3070" s="177">
        <f>IF(U3070=0,0,IF(T3070="MXN",1/HLOOKUP(YEAR(S3070)+(MONTH(S3070)/100),TC!$5:$37,DAY(S3070)+2,FALSE),VLOOKUP(T3070,Equivalencia!$1:$23,((MAX(Equivalencia!$3:$3)-YEAR(S3070))*14)+MONTH(S3070)+2,FALSE)))</f>
        <v>0</v>
      </c>
      <c r="W3070" s="178">
        <f t="shared" si="258"/>
        <v>0</v>
      </c>
      <c r="X3070" s="481">
        <f t="shared" si="259"/>
        <v>0</v>
      </c>
      <c r="Y3070" s="179"/>
      <c r="Z3070" s="466">
        <f t="shared" si="260"/>
        <v>0</v>
      </c>
      <c r="AA3070" s="473">
        <f t="shared" si="261"/>
        <v>0</v>
      </c>
      <c r="AB3070" s="339">
        <f t="shared" si="262"/>
        <v>0</v>
      </c>
    </row>
    <row r="3071" spans="2:28" ht="20.100000000000001" customHeight="1">
      <c r="B3071" s="172"/>
      <c r="C3071" s="174"/>
      <c r="D3071" s="181"/>
      <c r="E3071" s="173"/>
      <c r="F3071" s="176"/>
      <c r="G3071" s="175">
        <f t="shared" si="253"/>
        <v>0</v>
      </c>
      <c r="H3071" s="175">
        <f t="shared" si="254"/>
        <v>0</v>
      </c>
      <c r="I3071" s="177">
        <f>IF(G3071=0,0,IF(E3071="MXN",1/HLOOKUP(YEAR(C3071)+(MONTH(C3071)/100),TC!$5:$37,DAY(C3071)+2,FALSE),VLOOKUP(E3071,Equivalencia!$5:$23,((MAX(Equivalencia!$3:$3)-YEAR(C3071))*14)+MONTH(C3071)+2,FALSE)))</f>
        <v>0</v>
      </c>
      <c r="J3071" s="178">
        <f t="shared" si="255"/>
        <v>0</v>
      </c>
      <c r="K3071" s="462">
        <f>IF(C3071=0,0,VLOOKUP(YEAR(C3071),INPC!$B$4:$O$29,MONTH(C3071)+1))</f>
        <v>0</v>
      </c>
      <c r="L3071" s="462">
        <f>IF(S3071=0,0,VLOOKUP(YEAR(S3071),INPC!$B$4:$O$29,MONTH(S3071)+1))</f>
        <v>0</v>
      </c>
      <c r="M3071" s="463">
        <f t="shared" si="256"/>
        <v>0</v>
      </c>
      <c r="N3071" s="465">
        <f t="shared" si="257"/>
        <v>0</v>
      </c>
      <c r="O3071" s="179"/>
      <c r="P3071" s="180"/>
      <c r="Q3071" s="173"/>
      <c r="R3071" s="173"/>
      <c r="S3071" s="174"/>
      <c r="T3071" s="173"/>
      <c r="U3071" s="182"/>
      <c r="V3071" s="177">
        <f>IF(U3071=0,0,IF(T3071="MXN",1/HLOOKUP(YEAR(S3071)+(MONTH(S3071)/100),TC!$5:$37,DAY(S3071)+2,FALSE),VLOOKUP(T3071,Equivalencia!$1:$23,((MAX(Equivalencia!$3:$3)-YEAR(S3071))*14)+MONTH(S3071)+2,FALSE)))</f>
        <v>0</v>
      </c>
      <c r="W3071" s="178">
        <f t="shared" si="258"/>
        <v>0</v>
      </c>
      <c r="X3071" s="481">
        <f t="shared" si="259"/>
        <v>0</v>
      </c>
      <c r="Y3071" s="179"/>
      <c r="Z3071" s="466">
        <f t="shared" si="260"/>
        <v>0</v>
      </c>
      <c r="AA3071" s="473">
        <f t="shared" si="261"/>
        <v>0</v>
      </c>
      <c r="AB3071" s="339">
        <f t="shared" si="262"/>
        <v>0</v>
      </c>
    </row>
    <row r="3072" spans="2:28" ht="20.100000000000001" customHeight="1">
      <c r="B3072" s="172"/>
      <c r="C3072" s="174"/>
      <c r="D3072" s="181"/>
      <c r="E3072" s="173"/>
      <c r="F3072" s="176"/>
      <c r="G3072" s="175">
        <f t="shared" si="253"/>
        <v>0</v>
      </c>
      <c r="H3072" s="175">
        <f t="shared" si="254"/>
        <v>0</v>
      </c>
      <c r="I3072" s="177">
        <f>IF(G3072=0,0,IF(E3072="MXN",1/HLOOKUP(YEAR(C3072)+(MONTH(C3072)/100),TC!$5:$37,DAY(C3072)+2,FALSE),VLOOKUP(E3072,Equivalencia!$5:$23,((MAX(Equivalencia!$3:$3)-YEAR(C3072))*14)+MONTH(C3072)+2,FALSE)))</f>
        <v>0</v>
      </c>
      <c r="J3072" s="178">
        <f t="shared" si="255"/>
        <v>0</v>
      </c>
      <c r="K3072" s="462">
        <f>IF(C3072=0,0,VLOOKUP(YEAR(C3072),INPC!$B$4:$O$29,MONTH(C3072)+1))</f>
        <v>0</v>
      </c>
      <c r="L3072" s="462">
        <f>IF(S3072=0,0,VLOOKUP(YEAR(S3072),INPC!$B$4:$O$29,MONTH(S3072)+1))</f>
        <v>0</v>
      </c>
      <c r="M3072" s="463">
        <f t="shared" si="256"/>
        <v>0</v>
      </c>
      <c r="N3072" s="465">
        <f t="shared" si="257"/>
        <v>0</v>
      </c>
      <c r="O3072" s="179"/>
      <c r="P3072" s="180"/>
      <c r="Q3072" s="173"/>
      <c r="R3072" s="173"/>
      <c r="S3072" s="174"/>
      <c r="T3072" s="173"/>
      <c r="U3072" s="182"/>
      <c r="V3072" s="177">
        <f>IF(U3072=0,0,IF(T3072="MXN",1/HLOOKUP(YEAR(S3072)+(MONTH(S3072)/100),TC!$5:$37,DAY(S3072)+2,FALSE),VLOOKUP(T3072,Equivalencia!$1:$23,((MAX(Equivalencia!$3:$3)-YEAR(S3072))*14)+MONTH(S3072)+2,FALSE)))</f>
        <v>0</v>
      </c>
      <c r="W3072" s="178">
        <f t="shared" si="258"/>
        <v>0</v>
      </c>
      <c r="X3072" s="481">
        <f t="shared" si="259"/>
        <v>0</v>
      </c>
      <c r="Y3072" s="179"/>
      <c r="Z3072" s="466">
        <f t="shared" si="260"/>
        <v>0</v>
      </c>
      <c r="AA3072" s="473">
        <f t="shared" si="261"/>
        <v>0</v>
      </c>
      <c r="AB3072" s="339">
        <f t="shared" si="262"/>
        <v>0</v>
      </c>
    </row>
    <row r="3073" spans="2:28" ht="20.100000000000001" customHeight="1">
      <c r="B3073" s="172"/>
      <c r="C3073" s="174"/>
      <c r="D3073" s="181"/>
      <c r="E3073" s="173"/>
      <c r="F3073" s="176"/>
      <c r="G3073" s="175">
        <f t="shared" si="253"/>
        <v>0</v>
      </c>
      <c r="H3073" s="175">
        <f t="shared" si="254"/>
        <v>0</v>
      </c>
      <c r="I3073" s="177">
        <f>IF(G3073=0,0,IF(E3073="MXN",1/HLOOKUP(YEAR(C3073)+(MONTH(C3073)/100),TC!$5:$37,DAY(C3073)+2,FALSE),VLOOKUP(E3073,Equivalencia!$5:$23,((MAX(Equivalencia!$3:$3)-YEAR(C3073))*14)+MONTH(C3073)+2,FALSE)))</f>
        <v>0</v>
      </c>
      <c r="J3073" s="178">
        <f t="shared" si="255"/>
        <v>0</v>
      </c>
      <c r="K3073" s="462">
        <f>IF(C3073=0,0,VLOOKUP(YEAR(C3073),INPC!$B$4:$O$29,MONTH(C3073)+1))</f>
        <v>0</v>
      </c>
      <c r="L3073" s="462">
        <f>IF(S3073=0,0,VLOOKUP(YEAR(S3073),INPC!$B$4:$O$29,MONTH(S3073)+1))</f>
        <v>0</v>
      </c>
      <c r="M3073" s="463">
        <f t="shared" si="256"/>
        <v>0</v>
      </c>
      <c r="N3073" s="465">
        <f t="shared" si="257"/>
        <v>0</v>
      </c>
      <c r="O3073" s="179"/>
      <c r="P3073" s="180"/>
      <c r="Q3073" s="173"/>
      <c r="R3073" s="173"/>
      <c r="S3073" s="174"/>
      <c r="T3073" s="173"/>
      <c r="U3073" s="182"/>
      <c r="V3073" s="177">
        <f>IF(U3073=0,0,IF(T3073="MXN",1/HLOOKUP(YEAR(S3073)+(MONTH(S3073)/100),TC!$5:$37,DAY(S3073)+2,FALSE),VLOOKUP(T3073,Equivalencia!$1:$23,((MAX(Equivalencia!$3:$3)-YEAR(S3073))*14)+MONTH(S3073)+2,FALSE)))</f>
        <v>0</v>
      </c>
      <c r="W3073" s="178">
        <f t="shared" si="258"/>
        <v>0</v>
      </c>
      <c r="X3073" s="481">
        <f t="shared" si="259"/>
        <v>0</v>
      </c>
      <c r="Y3073" s="179"/>
      <c r="Z3073" s="466">
        <f t="shared" si="260"/>
        <v>0</v>
      </c>
      <c r="AA3073" s="473">
        <f t="shared" si="261"/>
        <v>0</v>
      </c>
      <c r="AB3073" s="339">
        <f t="shared" si="262"/>
        <v>0</v>
      </c>
    </row>
    <row r="3074" spans="2:28" ht="20.100000000000001" customHeight="1">
      <c r="B3074" s="172"/>
      <c r="C3074" s="174"/>
      <c r="D3074" s="181"/>
      <c r="E3074" s="173"/>
      <c r="F3074" s="176"/>
      <c r="G3074" s="175">
        <f t="shared" si="253"/>
        <v>0</v>
      </c>
      <c r="H3074" s="175">
        <f t="shared" si="254"/>
        <v>0</v>
      </c>
      <c r="I3074" s="177">
        <f>IF(G3074=0,0,IF(E3074="MXN",1/HLOOKUP(YEAR(C3074)+(MONTH(C3074)/100),TC!$5:$37,DAY(C3074)+2,FALSE),VLOOKUP(E3074,Equivalencia!$5:$23,((MAX(Equivalencia!$3:$3)-YEAR(C3074))*14)+MONTH(C3074)+2,FALSE)))</f>
        <v>0</v>
      </c>
      <c r="J3074" s="178">
        <f t="shared" si="255"/>
        <v>0</v>
      </c>
      <c r="K3074" s="462">
        <f>IF(C3074=0,0,VLOOKUP(YEAR(C3074),INPC!$B$4:$O$29,MONTH(C3074)+1))</f>
        <v>0</v>
      </c>
      <c r="L3074" s="462">
        <f>IF(S3074=0,0,VLOOKUP(YEAR(S3074),INPC!$B$4:$O$29,MONTH(S3074)+1))</f>
        <v>0</v>
      </c>
      <c r="M3074" s="463">
        <f t="shared" si="256"/>
        <v>0</v>
      </c>
      <c r="N3074" s="465">
        <f t="shared" si="257"/>
        <v>0</v>
      </c>
      <c r="O3074" s="179"/>
      <c r="P3074" s="180"/>
      <c r="Q3074" s="173"/>
      <c r="R3074" s="173"/>
      <c r="S3074" s="174"/>
      <c r="T3074" s="173"/>
      <c r="U3074" s="182"/>
      <c r="V3074" s="177">
        <f>IF(U3074=0,0,IF(T3074="MXN",1/HLOOKUP(YEAR(S3074)+(MONTH(S3074)/100),TC!$5:$37,DAY(S3074)+2,FALSE),VLOOKUP(T3074,Equivalencia!$1:$23,((MAX(Equivalencia!$3:$3)-YEAR(S3074))*14)+MONTH(S3074)+2,FALSE)))</f>
        <v>0</v>
      </c>
      <c r="W3074" s="178">
        <f t="shared" si="258"/>
        <v>0</v>
      </c>
      <c r="X3074" s="481">
        <f t="shared" si="259"/>
        <v>0</v>
      </c>
      <c r="Y3074" s="179"/>
      <c r="Z3074" s="466">
        <f t="shared" si="260"/>
        <v>0</v>
      </c>
      <c r="AA3074" s="473">
        <f t="shared" si="261"/>
        <v>0</v>
      </c>
      <c r="AB3074" s="339">
        <f t="shared" si="262"/>
        <v>0</v>
      </c>
    </row>
    <row r="3075" spans="2:28" ht="20.100000000000001" customHeight="1">
      <c r="B3075" s="172"/>
      <c r="C3075" s="174"/>
      <c r="D3075" s="181"/>
      <c r="E3075" s="173"/>
      <c r="F3075" s="176"/>
      <c r="G3075" s="175">
        <f t="shared" si="253"/>
        <v>0</v>
      </c>
      <c r="H3075" s="175">
        <f t="shared" si="254"/>
        <v>0</v>
      </c>
      <c r="I3075" s="177">
        <f>IF(G3075=0,0,IF(E3075="MXN",1/HLOOKUP(YEAR(C3075)+(MONTH(C3075)/100),TC!$5:$37,DAY(C3075)+2,FALSE),VLOOKUP(E3075,Equivalencia!$5:$23,((MAX(Equivalencia!$3:$3)-YEAR(C3075))*14)+MONTH(C3075)+2,FALSE)))</f>
        <v>0</v>
      </c>
      <c r="J3075" s="178">
        <f t="shared" si="255"/>
        <v>0</v>
      </c>
      <c r="K3075" s="462">
        <f>IF(C3075=0,0,VLOOKUP(YEAR(C3075),INPC!$B$4:$O$29,MONTH(C3075)+1))</f>
        <v>0</v>
      </c>
      <c r="L3075" s="462">
        <f>IF(S3075=0,0,VLOOKUP(YEAR(S3075),INPC!$B$4:$O$29,MONTH(S3075)+1))</f>
        <v>0</v>
      </c>
      <c r="M3075" s="463">
        <f t="shared" si="256"/>
        <v>0</v>
      </c>
      <c r="N3075" s="465">
        <f t="shared" si="257"/>
        <v>0</v>
      </c>
      <c r="O3075" s="179"/>
      <c r="P3075" s="180"/>
      <c r="Q3075" s="173"/>
      <c r="R3075" s="173"/>
      <c r="S3075" s="174"/>
      <c r="T3075" s="173"/>
      <c r="U3075" s="182"/>
      <c r="V3075" s="177">
        <f>IF(U3075=0,0,IF(T3075="MXN",1/HLOOKUP(YEAR(S3075)+(MONTH(S3075)/100),TC!$5:$37,DAY(S3075)+2,FALSE),VLOOKUP(T3075,Equivalencia!$1:$23,((MAX(Equivalencia!$3:$3)-YEAR(S3075))*14)+MONTH(S3075)+2,FALSE)))</f>
        <v>0</v>
      </c>
      <c r="W3075" s="178">
        <f t="shared" si="258"/>
        <v>0</v>
      </c>
      <c r="X3075" s="481">
        <f t="shared" si="259"/>
        <v>0</v>
      </c>
      <c r="Y3075" s="179"/>
      <c r="Z3075" s="466">
        <f t="shared" si="260"/>
        <v>0</v>
      </c>
      <c r="AA3075" s="473">
        <f t="shared" si="261"/>
        <v>0</v>
      </c>
      <c r="AB3075" s="339">
        <f t="shared" si="262"/>
        <v>0</v>
      </c>
    </row>
    <row r="3076" spans="2:28" ht="20.100000000000001" customHeight="1">
      <c r="B3076" s="172"/>
      <c r="C3076" s="174"/>
      <c r="D3076" s="181"/>
      <c r="E3076" s="173"/>
      <c r="F3076" s="176"/>
      <c r="G3076" s="175">
        <f t="shared" si="253"/>
        <v>0</v>
      </c>
      <c r="H3076" s="175">
        <f t="shared" si="254"/>
        <v>0</v>
      </c>
      <c r="I3076" s="177">
        <f>IF(G3076=0,0,IF(E3076="MXN",1/HLOOKUP(YEAR(C3076)+(MONTH(C3076)/100),TC!$5:$37,DAY(C3076)+2,FALSE),VLOOKUP(E3076,Equivalencia!$5:$23,((MAX(Equivalencia!$3:$3)-YEAR(C3076))*14)+MONTH(C3076)+2,FALSE)))</f>
        <v>0</v>
      </c>
      <c r="J3076" s="178">
        <f t="shared" si="255"/>
        <v>0</v>
      </c>
      <c r="K3076" s="462">
        <f>IF(C3076=0,0,VLOOKUP(YEAR(C3076),INPC!$B$4:$O$29,MONTH(C3076)+1))</f>
        <v>0</v>
      </c>
      <c r="L3076" s="462">
        <f>IF(S3076=0,0,VLOOKUP(YEAR(S3076),INPC!$B$4:$O$29,MONTH(S3076)+1))</f>
        <v>0</v>
      </c>
      <c r="M3076" s="463">
        <f t="shared" si="256"/>
        <v>0</v>
      </c>
      <c r="N3076" s="465">
        <f t="shared" si="257"/>
        <v>0</v>
      </c>
      <c r="O3076" s="179"/>
      <c r="P3076" s="180"/>
      <c r="Q3076" s="173"/>
      <c r="R3076" s="173"/>
      <c r="S3076" s="174"/>
      <c r="T3076" s="173"/>
      <c r="U3076" s="182"/>
      <c r="V3076" s="177">
        <f>IF(U3076=0,0,IF(T3076="MXN",1/HLOOKUP(YEAR(S3076)+(MONTH(S3076)/100),TC!$5:$37,DAY(S3076)+2,FALSE),VLOOKUP(T3076,Equivalencia!$1:$23,((MAX(Equivalencia!$3:$3)-YEAR(S3076))*14)+MONTH(S3076)+2,FALSE)))</f>
        <v>0</v>
      </c>
      <c r="W3076" s="178">
        <f t="shared" si="258"/>
        <v>0</v>
      </c>
      <c r="X3076" s="481">
        <f t="shared" si="259"/>
        <v>0</v>
      </c>
      <c r="Y3076" s="179"/>
      <c r="Z3076" s="466">
        <f t="shared" si="260"/>
        <v>0</v>
      </c>
      <c r="AA3076" s="473">
        <f t="shared" si="261"/>
        <v>0</v>
      </c>
      <c r="AB3076" s="339">
        <f t="shared" si="262"/>
        <v>0</v>
      </c>
    </row>
    <row r="3077" spans="2:28" ht="20.100000000000001" customHeight="1">
      <c r="B3077" s="172"/>
      <c r="C3077" s="174"/>
      <c r="D3077" s="181"/>
      <c r="E3077" s="173"/>
      <c r="F3077" s="176"/>
      <c r="G3077" s="175">
        <f t="shared" si="253"/>
        <v>0</v>
      </c>
      <c r="H3077" s="175">
        <f t="shared" si="254"/>
        <v>0</v>
      </c>
      <c r="I3077" s="177">
        <f>IF(G3077=0,0,IF(E3077="MXN",1/HLOOKUP(YEAR(C3077)+(MONTH(C3077)/100),TC!$5:$37,DAY(C3077)+2,FALSE),VLOOKUP(E3077,Equivalencia!$5:$23,((MAX(Equivalencia!$3:$3)-YEAR(C3077))*14)+MONTH(C3077)+2,FALSE)))</f>
        <v>0</v>
      </c>
      <c r="J3077" s="178">
        <f t="shared" si="255"/>
        <v>0</v>
      </c>
      <c r="K3077" s="462">
        <f>IF(C3077=0,0,VLOOKUP(YEAR(C3077),INPC!$B$4:$O$29,MONTH(C3077)+1))</f>
        <v>0</v>
      </c>
      <c r="L3077" s="462">
        <f>IF(S3077=0,0,VLOOKUP(YEAR(S3077),INPC!$B$4:$O$29,MONTH(S3077)+1))</f>
        <v>0</v>
      </c>
      <c r="M3077" s="463">
        <f t="shared" si="256"/>
        <v>0</v>
      </c>
      <c r="N3077" s="465">
        <f t="shared" si="257"/>
        <v>0</v>
      </c>
      <c r="O3077" s="179"/>
      <c r="P3077" s="180"/>
      <c r="Q3077" s="173"/>
      <c r="R3077" s="173"/>
      <c r="S3077" s="174"/>
      <c r="T3077" s="173"/>
      <c r="U3077" s="182"/>
      <c r="V3077" s="177">
        <f>IF(U3077=0,0,IF(T3077="MXN",1/HLOOKUP(YEAR(S3077)+(MONTH(S3077)/100),TC!$5:$37,DAY(S3077)+2,FALSE),VLOOKUP(T3077,Equivalencia!$1:$23,((MAX(Equivalencia!$3:$3)-YEAR(S3077))*14)+MONTH(S3077)+2,FALSE)))</f>
        <v>0</v>
      </c>
      <c r="W3077" s="178">
        <f t="shared" si="258"/>
        <v>0</v>
      </c>
      <c r="X3077" s="481">
        <f t="shared" si="259"/>
        <v>0</v>
      </c>
      <c r="Y3077" s="179"/>
      <c r="Z3077" s="466">
        <f t="shared" si="260"/>
        <v>0</v>
      </c>
      <c r="AA3077" s="473">
        <f t="shared" si="261"/>
        <v>0</v>
      </c>
      <c r="AB3077" s="339">
        <f t="shared" si="262"/>
        <v>0</v>
      </c>
    </row>
    <row r="3078" spans="2:28" ht="20.100000000000001" customHeight="1">
      <c r="B3078" s="172"/>
      <c r="C3078" s="174"/>
      <c r="D3078" s="181"/>
      <c r="E3078" s="173"/>
      <c r="F3078" s="176"/>
      <c r="G3078" s="175">
        <f t="shared" si="253"/>
        <v>0</v>
      </c>
      <c r="H3078" s="175">
        <f t="shared" si="254"/>
        <v>0</v>
      </c>
      <c r="I3078" s="177">
        <f>IF(G3078=0,0,IF(E3078="MXN",1/HLOOKUP(YEAR(C3078)+(MONTH(C3078)/100),TC!$5:$37,DAY(C3078)+2,FALSE),VLOOKUP(E3078,Equivalencia!$5:$23,((MAX(Equivalencia!$3:$3)-YEAR(C3078))*14)+MONTH(C3078)+2,FALSE)))</f>
        <v>0</v>
      </c>
      <c r="J3078" s="178">
        <f t="shared" si="255"/>
        <v>0</v>
      </c>
      <c r="K3078" s="462">
        <f>IF(C3078=0,0,VLOOKUP(YEAR(C3078),INPC!$B$4:$O$29,MONTH(C3078)+1))</f>
        <v>0</v>
      </c>
      <c r="L3078" s="462">
        <f>IF(S3078=0,0,VLOOKUP(YEAR(S3078),INPC!$B$4:$O$29,MONTH(S3078)+1))</f>
        <v>0</v>
      </c>
      <c r="M3078" s="463">
        <f t="shared" si="256"/>
        <v>0</v>
      </c>
      <c r="N3078" s="465">
        <f t="shared" si="257"/>
        <v>0</v>
      </c>
      <c r="O3078" s="179"/>
      <c r="P3078" s="180"/>
      <c r="Q3078" s="173"/>
      <c r="R3078" s="173"/>
      <c r="S3078" s="174"/>
      <c r="T3078" s="173"/>
      <c r="U3078" s="182"/>
      <c r="V3078" s="177">
        <f>IF(U3078=0,0,IF(T3078="MXN",1/HLOOKUP(YEAR(S3078)+(MONTH(S3078)/100),TC!$5:$37,DAY(S3078)+2,FALSE),VLOOKUP(T3078,Equivalencia!$1:$23,((MAX(Equivalencia!$3:$3)-YEAR(S3078))*14)+MONTH(S3078)+2,FALSE)))</f>
        <v>0</v>
      </c>
      <c r="W3078" s="178">
        <f t="shared" si="258"/>
        <v>0</v>
      </c>
      <c r="X3078" s="481">
        <f t="shared" si="259"/>
        <v>0</v>
      </c>
      <c r="Y3078" s="179"/>
      <c r="Z3078" s="466">
        <f t="shared" si="260"/>
        <v>0</v>
      </c>
      <c r="AA3078" s="473">
        <f t="shared" si="261"/>
        <v>0</v>
      </c>
      <c r="AB3078" s="339">
        <f t="shared" si="262"/>
        <v>0</v>
      </c>
    </row>
    <row r="3079" spans="2:28" ht="20.100000000000001" customHeight="1">
      <c r="B3079" s="172"/>
      <c r="C3079" s="174"/>
      <c r="D3079" s="181"/>
      <c r="E3079" s="173"/>
      <c r="F3079" s="176"/>
      <c r="G3079" s="175">
        <f t="shared" si="253"/>
        <v>0</v>
      </c>
      <c r="H3079" s="175">
        <f t="shared" si="254"/>
        <v>0</v>
      </c>
      <c r="I3079" s="177">
        <f>IF(G3079=0,0,IF(E3079="MXN",1/HLOOKUP(YEAR(C3079)+(MONTH(C3079)/100),TC!$5:$37,DAY(C3079)+2,FALSE),VLOOKUP(E3079,Equivalencia!$5:$23,((MAX(Equivalencia!$3:$3)-YEAR(C3079))*14)+MONTH(C3079)+2,FALSE)))</f>
        <v>0</v>
      </c>
      <c r="J3079" s="178">
        <f t="shared" si="255"/>
        <v>0</v>
      </c>
      <c r="K3079" s="462">
        <f>IF(C3079=0,0,VLOOKUP(YEAR(C3079),INPC!$B$4:$O$29,MONTH(C3079)+1))</f>
        <v>0</v>
      </c>
      <c r="L3079" s="462">
        <f>IF(S3079=0,0,VLOOKUP(YEAR(S3079),INPC!$B$4:$O$29,MONTH(S3079)+1))</f>
        <v>0</v>
      </c>
      <c r="M3079" s="463">
        <f t="shared" si="256"/>
        <v>0</v>
      </c>
      <c r="N3079" s="465">
        <f t="shared" si="257"/>
        <v>0</v>
      </c>
      <c r="O3079" s="179"/>
      <c r="P3079" s="180"/>
      <c r="Q3079" s="173"/>
      <c r="R3079" s="173"/>
      <c r="S3079" s="174"/>
      <c r="T3079" s="173"/>
      <c r="U3079" s="182"/>
      <c r="V3079" s="177">
        <f>IF(U3079=0,0,IF(T3079="MXN",1/HLOOKUP(YEAR(S3079)+(MONTH(S3079)/100),TC!$5:$37,DAY(S3079)+2,FALSE),VLOOKUP(T3079,Equivalencia!$1:$23,((MAX(Equivalencia!$3:$3)-YEAR(S3079))*14)+MONTH(S3079)+2,FALSE)))</f>
        <v>0</v>
      </c>
      <c r="W3079" s="178">
        <f t="shared" si="258"/>
        <v>0</v>
      </c>
      <c r="X3079" s="481">
        <f t="shared" si="259"/>
        <v>0</v>
      </c>
      <c r="Y3079" s="179"/>
      <c r="Z3079" s="466">
        <f t="shared" si="260"/>
        <v>0</v>
      </c>
      <c r="AA3079" s="473">
        <f t="shared" si="261"/>
        <v>0</v>
      </c>
      <c r="AB3079" s="339">
        <f t="shared" si="262"/>
        <v>0</v>
      </c>
    </row>
    <row r="3080" spans="2:28" ht="20.100000000000001" customHeight="1">
      <c r="B3080" s="172"/>
      <c r="C3080" s="174"/>
      <c r="D3080" s="181"/>
      <c r="E3080" s="173"/>
      <c r="F3080" s="176"/>
      <c r="G3080" s="175">
        <f t="shared" si="253"/>
        <v>0</v>
      </c>
      <c r="H3080" s="175">
        <f t="shared" si="254"/>
        <v>0</v>
      </c>
      <c r="I3080" s="177">
        <f>IF(G3080=0,0,IF(E3080="MXN",1/HLOOKUP(YEAR(C3080)+(MONTH(C3080)/100),TC!$5:$37,DAY(C3080)+2,FALSE),VLOOKUP(E3080,Equivalencia!$5:$23,((MAX(Equivalencia!$3:$3)-YEAR(C3080))*14)+MONTH(C3080)+2,FALSE)))</f>
        <v>0</v>
      </c>
      <c r="J3080" s="178">
        <f t="shared" si="255"/>
        <v>0</v>
      </c>
      <c r="K3080" s="462">
        <f>IF(C3080=0,0,VLOOKUP(YEAR(C3080),INPC!$B$4:$O$29,MONTH(C3080)+1))</f>
        <v>0</v>
      </c>
      <c r="L3080" s="462">
        <f>IF(S3080=0,0,VLOOKUP(YEAR(S3080),INPC!$B$4:$O$29,MONTH(S3080)+1))</f>
        <v>0</v>
      </c>
      <c r="M3080" s="463">
        <f t="shared" si="256"/>
        <v>0</v>
      </c>
      <c r="N3080" s="465">
        <f t="shared" si="257"/>
        <v>0</v>
      </c>
      <c r="O3080" s="179"/>
      <c r="P3080" s="180"/>
      <c r="Q3080" s="173"/>
      <c r="R3080" s="173"/>
      <c r="S3080" s="174"/>
      <c r="T3080" s="173"/>
      <c r="U3080" s="182"/>
      <c r="V3080" s="177">
        <f>IF(U3080=0,0,IF(T3080="MXN",1/HLOOKUP(YEAR(S3080)+(MONTH(S3080)/100),TC!$5:$37,DAY(S3080)+2,FALSE),VLOOKUP(T3080,Equivalencia!$1:$23,((MAX(Equivalencia!$3:$3)-YEAR(S3080))*14)+MONTH(S3080)+2,FALSE)))</f>
        <v>0</v>
      </c>
      <c r="W3080" s="178">
        <f t="shared" si="258"/>
        <v>0</v>
      </c>
      <c r="X3080" s="481">
        <f t="shared" si="259"/>
        <v>0</v>
      </c>
      <c r="Y3080" s="179"/>
      <c r="Z3080" s="466">
        <f t="shared" si="260"/>
        <v>0</v>
      </c>
      <c r="AA3080" s="473">
        <f t="shared" si="261"/>
        <v>0</v>
      </c>
      <c r="AB3080" s="339">
        <f t="shared" si="262"/>
        <v>0</v>
      </c>
    </row>
    <row r="3081" spans="2:28" ht="20.100000000000001" customHeight="1">
      <c r="B3081" s="172"/>
      <c r="C3081" s="174"/>
      <c r="D3081" s="181"/>
      <c r="E3081" s="173"/>
      <c r="F3081" s="176"/>
      <c r="G3081" s="175">
        <f t="shared" si="253"/>
        <v>0</v>
      </c>
      <c r="H3081" s="175">
        <f t="shared" si="254"/>
        <v>0</v>
      </c>
      <c r="I3081" s="177">
        <f>IF(G3081=0,0,IF(E3081="MXN",1/HLOOKUP(YEAR(C3081)+(MONTH(C3081)/100),TC!$5:$37,DAY(C3081)+2,FALSE),VLOOKUP(E3081,Equivalencia!$5:$23,((MAX(Equivalencia!$3:$3)-YEAR(C3081))*14)+MONTH(C3081)+2,FALSE)))</f>
        <v>0</v>
      </c>
      <c r="J3081" s="178">
        <f t="shared" si="255"/>
        <v>0</v>
      </c>
      <c r="K3081" s="462">
        <f>IF(C3081=0,0,VLOOKUP(YEAR(C3081),INPC!$B$4:$O$29,MONTH(C3081)+1))</f>
        <v>0</v>
      </c>
      <c r="L3081" s="462">
        <f>IF(S3081=0,0,VLOOKUP(YEAR(S3081),INPC!$B$4:$O$29,MONTH(S3081)+1))</f>
        <v>0</v>
      </c>
      <c r="M3081" s="463">
        <f t="shared" si="256"/>
        <v>0</v>
      </c>
      <c r="N3081" s="465">
        <f t="shared" si="257"/>
        <v>0</v>
      </c>
      <c r="O3081" s="179"/>
      <c r="P3081" s="180"/>
      <c r="Q3081" s="173"/>
      <c r="R3081" s="173"/>
      <c r="S3081" s="174"/>
      <c r="T3081" s="173"/>
      <c r="U3081" s="182"/>
      <c r="V3081" s="177">
        <f>IF(U3081=0,0,IF(T3081="MXN",1/HLOOKUP(YEAR(S3081)+(MONTH(S3081)/100),TC!$5:$37,DAY(S3081)+2,FALSE),VLOOKUP(T3081,Equivalencia!$1:$23,((MAX(Equivalencia!$3:$3)-YEAR(S3081))*14)+MONTH(S3081)+2,FALSE)))</f>
        <v>0</v>
      </c>
      <c r="W3081" s="178">
        <f t="shared" si="258"/>
        <v>0</v>
      </c>
      <c r="X3081" s="481">
        <f t="shared" si="259"/>
        <v>0</v>
      </c>
      <c r="Y3081" s="179"/>
      <c r="Z3081" s="466">
        <f t="shared" si="260"/>
        <v>0</v>
      </c>
      <c r="AA3081" s="473">
        <f t="shared" si="261"/>
        <v>0</v>
      </c>
      <c r="AB3081" s="339">
        <f t="shared" si="262"/>
        <v>0</v>
      </c>
    </row>
    <row r="3082" spans="2:28" ht="20.100000000000001" customHeight="1">
      <c r="B3082" s="172"/>
      <c r="C3082" s="174"/>
      <c r="D3082" s="181"/>
      <c r="E3082" s="173"/>
      <c r="F3082" s="176"/>
      <c r="G3082" s="175">
        <f t="shared" si="253"/>
        <v>0</v>
      </c>
      <c r="H3082" s="175">
        <f t="shared" si="254"/>
        <v>0</v>
      </c>
      <c r="I3082" s="177">
        <f>IF(G3082=0,0,IF(E3082="MXN",1/HLOOKUP(YEAR(C3082)+(MONTH(C3082)/100),TC!$5:$37,DAY(C3082)+2,FALSE),VLOOKUP(E3082,Equivalencia!$5:$23,((MAX(Equivalencia!$3:$3)-YEAR(C3082))*14)+MONTH(C3082)+2,FALSE)))</f>
        <v>0</v>
      </c>
      <c r="J3082" s="178">
        <f t="shared" si="255"/>
        <v>0</v>
      </c>
      <c r="K3082" s="462">
        <f>IF(C3082=0,0,VLOOKUP(YEAR(C3082),INPC!$B$4:$O$29,MONTH(C3082)+1))</f>
        <v>0</v>
      </c>
      <c r="L3082" s="462">
        <f>IF(S3082=0,0,VLOOKUP(YEAR(S3082),INPC!$B$4:$O$29,MONTH(S3082)+1))</f>
        <v>0</v>
      </c>
      <c r="M3082" s="463">
        <f t="shared" si="256"/>
        <v>0</v>
      </c>
      <c r="N3082" s="465">
        <f t="shared" si="257"/>
        <v>0</v>
      </c>
      <c r="O3082" s="179"/>
      <c r="P3082" s="180"/>
      <c r="Q3082" s="173"/>
      <c r="R3082" s="173"/>
      <c r="S3082" s="174"/>
      <c r="T3082" s="173"/>
      <c r="U3082" s="182"/>
      <c r="V3082" s="177">
        <f>IF(U3082=0,0,IF(T3082="MXN",1/HLOOKUP(YEAR(S3082)+(MONTH(S3082)/100),TC!$5:$37,DAY(S3082)+2,FALSE),VLOOKUP(T3082,Equivalencia!$1:$23,((MAX(Equivalencia!$3:$3)-YEAR(S3082))*14)+MONTH(S3082)+2,FALSE)))</f>
        <v>0</v>
      </c>
      <c r="W3082" s="178">
        <f t="shared" si="258"/>
        <v>0</v>
      </c>
      <c r="X3082" s="481">
        <f t="shared" si="259"/>
        <v>0</v>
      </c>
      <c r="Y3082" s="179"/>
      <c r="Z3082" s="466">
        <f t="shared" si="260"/>
        <v>0</v>
      </c>
      <c r="AA3082" s="473">
        <f t="shared" si="261"/>
        <v>0</v>
      </c>
      <c r="AB3082" s="339">
        <f t="shared" si="262"/>
        <v>0</v>
      </c>
    </row>
    <row r="3083" spans="2:28" ht="20.100000000000001" customHeight="1">
      <c r="B3083" s="172"/>
      <c r="C3083" s="174"/>
      <c r="D3083" s="181"/>
      <c r="E3083" s="173"/>
      <c r="F3083" s="176"/>
      <c r="G3083" s="175">
        <f t="shared" si="253"/>
        <v>0</v>
      </c>
      <c r="H3083" s="175">
        <f t="shared" si="254"/>
        <v>0</v>
      </c>
      <c r="I3083" s="177">
        <f>IF(G3083=0,0,IF(E3083="MXN",1/HLOOKUP(YEAR(C3083)+(MONTH(C3083)/100),TC!$5:$37,DAY(C3083)+2,FALSE),VLOOKUP(E3083,Equivalencia!$5:$23,((MAX(Equivalencia!$3:$3)-YEAR(C3083))*14)+MONTH(C3083)+2,FALSE)))</f>
        <v>0</v>
      </c>
      <c r="J3083" s="178">
        <f t="shared" si="255"/>
        <v>0</v>
      </c>
      <c r="K3083" s="462">
        <f>IF(C3083=0,0,VLOOKUP(YEAR(C3083),INPC!$B$4:$O$29,MONTH(C3083)+1))</f>
        <v>0</v>
      </c>
      <c r="L3083" s="462">
        <f>IF(S3083=0,0,VLOOKUP(YEAR(S3083),INPC!$B$4:$O$29,MONTH(S3083)+1))</f>
        <v>0</v>
      </c>
      <c r="M3083" s="463">
        <f t="shared" si="256"/>
        <v>0</v>
      </c>
      <c r="N3083" s="465">
        <f t="shared" si="257"/>
        <v>0</v>
      </c>
      <c r="O3083" s="179"/>
      <c r="P3083" s="180"/>
      <c r="Q3083" s="173"/>
      <c r="R3083" s="173"/>
      <c r="S3083" s="174"/>
      <c r="T3083" s="173"/>
      <c r="U3083" s="182"/>
      <c r="V3083" s="177">
        <f>IF(U3083=0,0,IF(T3083="MXN",1/HLOOKUP(YEAR(S3083)+(MONTH(S3083)/100),TC!$5:$37,DAY(S3083)+2,FALSE),VLOOKUP(T3083,Equivalencia!$1:$23,((MAX(Equivalencia!$3:$3)-YEAR(S3083))*14)+MONTH(S3083)+2,FALSE)))</f>
        <v>0</v>
      </c>
      <c r="W3083" s="178">
        <f t="shared" si="258"/>
        <v>0</v>
      </c>
      <c r="X3083" s="481">
        <f t="shared" si="259"/>
        <v>0</v>
      </c>
      <c r="Y3083" s="179"/>
      <c r="Z3083" s="466">
        <f t="shared" si="260"/>
        <v>0</v>
      </c>
      <c r="AA3083" s="473">
        <f t="shared" si="261"/>
        <v>0</v>
      </c>
      <c r="AB3083" s="339">
        <f t="shared" si="262"/>
        <v>0</v>
      </c>
    </row>
    <row r="3084" spans="2:28" ht="20.100000000000001" customHeight="1">
      <c r="B3084" s="172"/>
      <c r="C3084" s="174"/>
      <c r="D3084" s="181"/>
      <c r="E3084" s="173"/>
      <c r="F3084" s="176"/>
      <c r="G3084" s="175">
        <f t="shared" si="253"/>
        <v>0</v>
      </c>
      <c r="H3084" s="175">
        <f t="shared" si="254"/>
        <v>0</v>
      </c>
      <c r="I3084" s="177">
        <f>IF(G3084=0,0,IF(E3084="MXN",1/HLOOKUP(YEAR(C3084)+(MONTH(C3084)/100),TC!$5:$37,DAY(C3084)+2,FALSE),VLOOKUP(E3084,Equivalencia!$5:$23,((MAX(Equivalencia!$3:$3)-YEAR(C3084))*14)+MONTH(C3084)+2,FALSE)))</f>
        <v>0</v>
      </c>
      <c r="J3084" s="178">
        <f t="shared" si="255"/>
        <v>0</v>
      </c>
      <c r="K3084" s="462">
        <f>IF(C3084=0,0,VLOOKUP(YEAR(C3084),INPC!$B$4:$O$29,MONTH(C3084)+1))</f>
        <v>0</v>
      </c>
      <c r="L3084" s="462">
        <f>IF(S3084=0,0,VLOOKUP(YEAR(S3084),INPC!$B$4:$O$29,MONTH(S3084)+1))</f>
        <v>0</v>
      </c>
      <c r="M3084" s="463">
        <f t="shared" si="256"/>
        <v>0</v>
      </c>
      <c r="N3084" s="465">
        <f t="shared" si="257"/>
        <v>0</v>
      </c>
      <c r="O3084" s="179"/>
      <c r="P3084" s="180"/>
      <c r="Q3084" s="173"/>
      <c r="R3084" s="173"/>
      <c r="S3084" s="174"/>
      <c r="T3084" s="173"/>
      <c r="U3084" s="182"/>
      <c r="V3084" s="177">
        <f>IF(U3084=0,0,IF(T3084="MXN",1/HLOOKUP(YEAR(S3084)+(MONTH(S3084)/100),TC!$5:$37,DAY(S3084)+2,FALSE),VLOOKUP(T3084,Equivalencia!$1:$23,((MAX(Equivalencia!$3:$3)-YEAR(S3084))*14)+MONTH(S3084)+2,FALSE)))</f>
        <v>0</v>
      </c>
      <c r="W3084" s="178">
        <f t="shared" si="258"/>
        <v>0</v>
      </c>
      <c r="X3084" s="481">
        <f t="shared" si="259"/>
        <v>0</v>
      </c>
      <c r="Y3084" s="179"/>
      <c r="Z3084" s="466">
        <f t="shared" si="260"/>
        <v>0</v>
      </c>
      <c r="AA3084" s="473">
        <f t="shared" si="261"/>
        <v>0</v>
      </c>
      <c r="AB3084" s="339">
        <f t="shared" si="262"/>
        <v>0</v>
      </c>
    </row>
    <row r="3085" spans="2:28" ht="20.100000000000001" customHeight="1">
      <c r="B3085" s="172"/>
      <c r="C3085" s="174"/>
      <c r="D3085" s="181"/>
      <c r="E3085" s="173"/>
      <c r="F3085" s="176"/>
      <c r="G3085" s="175">
        <f t="shared" si="253"/>
        <v>0</v>
      </c>
      <c r="H3085" s="175">
        <f t="shared" si="254"/>
        <v>0</v>
      </c>
      <c r="I3085" s="177">
        <f>IF(G3085=0,0,IF(E3085="MXN",1/HLOOKUP(YEAR(C3085)+(MONTH(C3085)/100),TC!$5:$37,DAY(C3085)+2,FALSE),VLOOKUP(E3085,Equivalencia!$5:$23,((MAX(Equivalencia!$3:$3)-YEAR(C3085))*14)+MONTH(C3085)+2,FALSE)))</f>
        <v>0</v>
      </c>
      <c r="J3085" s="178">
        <f t="shared" si="255"/>
        <v>0</v>
      </c>
      <c r="K3085" s="462">
        <f>IF(C3085=0,0,VLOOKUP(YEAR(C3085),INPC!$B$4:$O$29,MONTH(C3085)+1))</f>
        <v>0</v>
      </c>
      <c r="L3085" s="462">
        <f>IF(S3085=0,0,VLOOKUP(YEAR(S3085),INPC!$B$4:$O$29,MONTH(S3085)+1))</f>
        <v>0</v>
      </c>
      <c r="M3085" s="463">
        <f t="shared" si="256"/>
        <v>0</v>
      </c>
      <c r="N3085" s="465">
        <f t="shared" si="257"/>
        <v>0</v>
      </c>
      <c r="O3085" s="179"/>
      <c r="P3085" s="180"/>
      <c r="Q3085" s="173"/>
      <c r="R3085" s="173"/>
      <c r="S3085" s="174"/>
      <c r="T3085" s="173"/>
      <c r="U3085" s="182"/>
      <c r="V3085" s="177">
        <f>IF(U3085=0,0,IF(T3085="MXN",1/HLOOKUP(YEAR(S3085)+(MONTH(S3085)/100),TC!$5:$37,DAY(S3085)+2,FALSE),VLOOKUP(T3085,Equivalencia!$1:$23,((MAX(Equivalencia!$3:$3)-YEAR(S3085))*14)+MONTH(S3085)+2,FALSE)))</f>
        <v>0</v>
      </c>
      <c r="W3085" s="178">
        <f t="shared" si="258"/>
        <v>0</v>
      </c>
      <c r="X3085" s="481">
        <f t="shared" si="259"/>
        <v>0</v>
      </c>
      <c r="Y3085" s="179"/>
      <c r="Z3085" s="466">
        <f t="shared" si="260"/>
        <v>0</v>
      </c>
      <c r="AA3085" s="473">
        <f t="shared" si="261"/>
        <v>0</v>
      </c>
      <c r="AB3085" s="339">
        <f t="shared" si="262"/>
        <v>0</v>
      </c>
    </row>
    <row r="3086" spans="2:28" ht="20.100000000000001" customHeight="1">
      <c r="B3086" s="172"/>
      <c r="C3086" s="174"/>
      <c r="D3086" s="181"/>
      <c r="E3086" s="173"/>
      <c r="F3086" s="176"/>
      <c r="G3086" s="175">
        <f t="shared" si="253"/>
        <v>0</v>
      </c>
      <c r="H3086" s="175">
        <f t="shared" si="254"/>
        <v>0</v>
      </c>
      <c r="I3086" s="177">
        <f>IF(G3086=0,0,IF(E3086="MXN",1/HLOOKUP(YEAR(C3086)+(MONTH(C3086)/100),TC!$5:$37,DAY(C3086)+2,FALSE),VLOOKUP(E3086,Equivalencia!$5:$23,((MAX(Equivalencia!$3:$3)-YEAR(C3086))*14)+MONTH(C3086)+2,FALSE)))</f>
        <v>0</v>
      </c>
      <c r="J3086" s="178">
        <f t="shared" si="255"/>
        <v>0</v>
      </c>
      <c r="K3086" s="462">
        <f>IF(C3086=0,0,VLOOKUP(YEAR(C3086),INPC!$B$4:$O$29,MONTH(C3086)+1))</f>
        <v>0</v>
      </c>
      <c r="L3086" s="462">
        <f>IF(S3086=0,0,VLOOKUP(YEAR(S3086),INPC!$B$4:$O$29,MONTH(S3086)+1))</f>
        <v>0</v>
      </c>
      <c r="M3086" s="463">
        <f t="shared" si="256"/>
        <v>0</v>
      </c>
      <c r="N3086" s="465">
        <f t="shared" si="257"/>
        <v>0</v>
      </c>
      <c r="O3086" s="179"/>
      <c r="P3086" s="180"/>
      <c r="Q3086" s="173"/>
      <c r="R3086" s="173"/>
      <c r="S3086" s="174"/>
      <c r="T3086" s="173"/>
      <c r="U3086" s="182"/>
      <c r="V3086" s="177">
        <f>IF(U3086=0,0,IF(T3086="MXN",1/HLOOKUP(YEAR(S3086)+(MONTH(S3086)/100),TC!$5:$37,DAY(S3086)+2,FALSE),VLOOKUP(T3086,Equivalencia!$1:$23,((MAX(Equivalencia!$3:$3)-YEAR(S3086))*14)+MONTH(S3086)+2,FALSE)))</f>
        <v>0</v>
      </c>
      <c r="W3086" s="178">
        <f t="shared" si="258"/>
        <v>0</v>
      </c>
      <c r="X3086" s="481">
        <f t="shared" si="259"/>
        <v>0</v>
      </c>
      <c r="Y3086" s="179"/>
      <c r="Z3086" s="466">
        <f t="shared" si="260"/>
        <v>0</v>
      </c>
      <c r="AA3086" s="473">
        <f t="shared" si="261"/>
        <v>0</v>
      </c>
      <c r="AB3086" s="339">
        <f t="shared" si="262"/>
        <v>0</v>
      </c>
    </row>
    <row r="3087" spans="2:28" ht="20.100000000000001" customHeight="1">
      <c r="B3087" s="172"/>
      <c r="C3087" s="174"/>
      <c r="D3087" s="181"/>
      <c r="E3087" s="173"/>
      <c r="F3087" s="176"/>
      <c r="G3087" s="175">
        <f t="shared" si="253"/>
        <v>0</v>
      </c>
      <c r="H3087" s="175">
        <f t="shared" si="254"/>
        <v>0</v>
      </c>
      <c r="I3087" s="177">
        <f>IF(G3087=0,0,IF(E3087="MXN",1/HLOOKUP(YEAR(C3087)+(MONTH(C3087)/100),TC!$5:$37,DAY(C3087)+2,FALSE),VLOOKUP(E3087,Equivalencia!$5:$23,((MAX(Equivalencia!$3:$3)-YEAR(C3087))*14)+MONTH(C3087)+2,FALSE)))</f>
        <v>0</v>
      </c>
      <c r="J3087" s="178">
        <f t="shared" si="255"/>
        <v>0</v>
      </c>
      <c r="K3087" s="462">
        <f>IF(C3087=0,0,VLOOKUP(YEAR(C3087),INPC!$B$4:$O$29,MONTH(C3087)+1))</f>
        <v>0</v>
      </c>
      <c r="L3087" s="462">
        <f>IF(S3087=0,0,VLOOKUP(YEAR(S3087),INPC!$B$4:$O$29,MONTH(S3087)+1))</f>
        <v>0</v>
      </c>
      <c r="M3087" s="463">
        <f t="shared" si="256"/>
        <v>0</v>
      </c>
      <c r="N3087" s="465">
        <f t="shared" si="257"/>
        <v>0</v>
      </c>
      <c r="O3087" s="179"/>
      <c r="P3087" s="180"/>
      <c r="Q3087" s="173"/>
      <c r="R3087" s="173"/>
      <c r="S3087" s="174"/>
      <c r="T3087" s="173"/>
      <c r="U3087" s="182"/>
      <c r="V3087" s="177">
        <f>IF(U3087=0,0,IF(T3087="MXN",1/HLOOKUP(YEAR(S3087)+(MONTH(S3087)/100),TC!$5:$37,DAY(S3087)+2,FALSE),VLOOKUP(T3087,Equivalencia!$1:$23,((MAX(Equivalencia!$3:$3)-YEAR(S3087))*14)+MONTH(S3087)+2,FALSE)))</f>
        <v>0</v>
      </c>
      <c r="W3087" s="178">
        <f t="shared" si="258"/>
        <v>0</v>
      </c>
      <c r="X3087" s="481">
        <f t="shared" si="259"/>
        <v>0</v>
      </c>
      <c r="Y3087" s="179"/>
      <c r="Z3087" s="466">
        <f t="shared" si="260"/>
        <v>0</v>
      </c>
      <c r="AA3087" s="473">
        <f t="shared" si="261"/>
        <v>0</v>
      </c>
      <c r="AB3087" s="339">
        <f t="shared" si="262"/>
        <v>0</v>
      </c>
    </row>
    <row r="3088" spans="2:28" ht="20.100000000000001" customHeight="1">
      <c r="B3088" s="172"/>
      <c r="C3088" s="174"/>
      <c r="D3088" s="181"/>
      <c r="E3088" s="173"/>
      <c r="F3088" s="176"/>
      <c r="G3088" s="175">
        <f t="shared" si="253"/>
        <v>0</v>
      </c>
      <c r="H3088" s="175">
        <f t="shared" si="254"/>
        <v>0</v>
      </c>
      <c r="I3088" s="177">
        <f>IF(G3088=0,0,IF(E3088="MXN",1/HLOOKUP(YEAR(C3088)+(MONTH(C3088)/100),TC!$5:$37,DAY(C3088)+2,FALSE),VLOOKUP(E3088,Equivalencia!$5:$23,((MAX(Equivalencia!$3:$3)-YEAR(C3088))*14)+MONTH(C3088)+2,FALSE)))</f>
        <v>0</v>
      </c>
      <c r="J3088" s="178">
        <f t="shared" si="255"/>
        <v>0</v>
      </c>
      <c r="K3088" s="462">
        <f>IF(C3088=0,0,VLOOKUP(YEAR(C3088),INPC!$B$4:$O$29,MONTH(C3088)+1))</f>
        <v>0</v>
      </c>
      <c r="L3088" s="462">
        <f>IF(S3088=0,0,VLOOKUP(YEAR(S3088),INPC!$B$4:$O$29,MONTH(S3088)+1))</f>
        <v>0</v>
      </c>
      <c r="M3088" s="463">
        <f t="shared" si="256"/>
        <v>0</v>
      </c>
      <c r="N3088" s="465">
        <f t="shared" si="257"/>
        <v>0</v>
      </c>
      <c r="O3088" s="179"/>
      <c r="P3088" s="180"/>
      <c r="Q3088" s="173"/>
      <c r="R3088" s="173"/>
      <c r="S3088" s="174"/>
      <c r="T3088" s="173"/>
      <c r="U3088" s="182"/>
      <c r="V3088" s="177">
        <f>IF(U3088=0,0,IF(T3088="MXN",1/HLOOKUP(YEAR(S3088)+(MONTH(S3088)/100),TC!$5:$37,DAY(S3088)+2,FALSE),VLOOKUP(T3088,Equivalencia!$1:$23,((MAX(Equivalencia!$3:$3)-YEAR(S3088))*14)+MONTH(S3088)+2,FALSE)))</f>
        <v>0</v>
      </c>
      <c r="W3088" s="178">
        <f t="shared" si="258"/>
        <v>0</v>
      </c>
      <c r="X3088" s="481">
        <f t="shared" si="259"/>
        <v>0</v>
      </c>
      <c r="Y3088" s="179"/>
      <c r="Z3088" s="466">
        <f t="shared" si="260"/>
        <v>0</v>
      </c>
      <c r="AA3088" s="473">
        <f t="shared" si="261"/>
        <v>0</v>
      </c>
      <c r="AB3088" s="339">
        <f t="shared" si="262"/>
        <v>0</v>
      </c>
    </row>
    <row r="3089" spans="2:28" ht="20.100000000000001" customHeight="1">
      <c r="B3089" s="172"/>
      <c r="C3089" s="174"/>
      <c r="D3089" s="181"/>
      <c r="E3089" s="173"/>
      <c r="F3089" s="176"/>
      <c r="G3089" s="175">
        <f t="shared" si="253"/>
        <v>0</v>
      </c>
      <c r="H3089" s="175">
        <f t="shared" si="254"/>
        <v>0</v>
      </c>
      <c r="I3089" s="177">
        <f>IF(G3089=0,0,IF(E3089="MXN",1/HLOOKUP(YEAR(C3089)+(MONTH(C3089)/100),TC!$5:$37,DAY(C3089)+2,FALSE),VLOOKUP(E3089,Equivalencia!$5:$23,((MAX(Equivalencia!$3:$3)-YEAR(C3089))*14)+MONTH(C3089)+2,FALSE)))</f>
        <v>0</v>
      </c>
      <c r="J3089" s="178">
        <f t="shared" si="255"/>
        <v>0</v>
      </c>
      <c r="K3089" s="462">
        <f>IF(C3089=0,0,VLOOKUP(YEAR(C3089),INPC!$B$4:$O$29,MONTH(C3089)+1))</f>
        <v>0</v>
      </c>
      <c r="L3089" s="462">
        <f>IF(S3089=0,0,VLOOKUP(YEAR(S3089),INPC!$B$4:$O$29,MONTH(S3089)+1))</f>
        <v>0</v>
      </c>
      <c r="M3089" s="463">
        <f t="shared" si="256"/>
        <v>0</v>
      </c>
      <c r="N3089" s="465">
        <f t="shared" si="257"/>
        <v>0</v>
      </c>
      <c r="O3089" s="179"/>
      <c r="P3089" s="180"/>
      <c r="Q3089" s="173"/>
      <c r="R3089" s="173"/>
      <c r="S3089" s="174"/>
      <c r="T3089" s="173"/>
      <c r="U3089" s="182"/>
      <c r="V3089" s="177">
        <f>IF(U3089=0,0,IF(T3089="MXN",1/HLOOKUP(YEAR(S3089)+(MONTH(S3089)/100),TC!$5:$37,DAY(S3089)+2,FALSE),VLOOKUP(T3089,Equivalencia!$1:$23,((MAX(Equivalencia!$3:$3)-YEAR(S3089))*14)+MONTH(S3089)+2,FALSE)))</f>
        <v>0</v>
      </c>
      <c r="W3089" s="178">
        <f t="shared" si="258"/>
        <v>0</v>
      </c>
      <c r="X3089" s="481">
        <f t="shared" si="259"/>
        <v>0</v>
      </c>
      <c r="Y3089" s="179"/>
      <c r="Z3089" s="466">
        <f t="shared" si="260"/>
        <v>0</v>
      </c>
      <c r="AA3089" s="473">
        <f t="shared" si="261"/>
        <v>0</v>
      </c>
      <c r="AB3089" s="339">
        <f t="shared" si="262"/>
        <v>0</v>
      </c>
    </row>
    <row r="3090" spans="2:28" ht="20.100000000000001" customHeight="1">
      <c r="B3090" s="172"/>
      <c r="C3090" s="174"/>
      <c r="D3090" s="181"/>
      <c r="E3090" s="173"/>
      <c r="F3090" s="176"/>
      <c r="G3090" s="175">
        <f t="shared" si="253"/>
        <v>0</v>
      </c>
      <c r="H3090" s="175">
        <f t="shared" si="254"/>
        <v>0</v>
      </c>
      <c r="I3090" s="177">
        <f>IF(G3090=0,0,IF(E3090="MXN",1/HLOOKUP(YEAR(C3090)+(MONTH(C3090)/100),TC!$5:$37,DAY(C3090)+2,FALSE),VLOOKUP(E3090,Equivalencia!$5:$23,((MAX(Equivalencia!$3:$3)-YEAR(C3090))*14)+MONTH(C3090)+2,FALSE)))</f>
        <v>0</v>
      </c>
      <c r="J3090" s="178">
        <f t="shared" si="255"/>
        <v>0</v>
      </c>
      <c r="K3090" s="462">
        <f>IF(C3090=0,0,VLOOKUP(YEAR(C3090),INPC!$B$4:$O$29,MONTH(C3090)+1))</f>
        <v>0</v>
      </c>
      <c r="L3090" s="462">
        <f>IF(S3090=0,0,VLOOKUP(YEAR(S3090),INPC!$B$4:$O$29,MONTH(S3090)+1))</f>
        <v>0</v>
      </c>
      <c r="M3090" s="463">
        <f t="shared" si="256"/>
        <v>0</v>
      </c>
      <c r="N3090" s="465">
        <f t="shared" si="257"/>
        <v>0</v>
      </c>
      <c r="O3090" s="179"/>
      <c r="P3090" s="180"/>
      <c r="Q3090" s="173"/>
      <c r="R3090" s="173"/>
      <c r="S3090" s="174"/>
      <c r="T3090" s="173"/>
      <c r="U3090" s="182"/>
      <c r="V3090" s="177">
        <f>IF(U3090=0,0,IF(T3090="MXN",1/HLOOKUP(YEAR(S3090)+(MONTH(S3090)/100),TC!$5:$37,DAY(S3090)+2,FALSE),VLOOKUP(T3090,Equivalencia!$1:$23,((MAX(Equivalencia!$3:$3)-YEAR(S3090))*14)+MONTH(S3090)+2,FALSE)))</f>
        <v>0</v>
      </c>
      <c r="W3090" s="178">
        <f t="shared" si="258"/>
        <v>0</v>
      </c>
      <c r="X3090" s="481">
        <f t="shared" si="259"/>
        <v>0</v>
      </c>
      <c r="Y3090" s="179"/>
      <c r="Z3090" s="466">
        <f t="shared" si="260"/>
        <v>0</v>
      </c>
      <c r="AA3090" s="473">
        <f t="shared" si="261"/>
        <v>0</v>
      </c>
      <c r="AB3090" s="339">
        <f t="shared" si="262"/>
        <v>0</v>
      </c>
    </row>
    <row r="3091" spans="2:28" ht="20.100000000000001" customHeight="1">
      <c r="B3091" s="172"/>
      <c r="C3091" s="174"/>
      <c r="D3091" s="181"/>
      <c r="E3091" s="173"/>
      <c r="F3091" s="176"/>
      <c r="G3091" s="175">
        <f t="shared" si="253"/>
        <v>0</v>
      </c>
      <c r="H3091" s="175">
        <f t="shared" si="254"/>
        <v>0</v>
      </c>
      <c r="I3091" s="177">
        <f>IF(G3091=0,0,IF(E3091="MXN",1/HLOOKUP(YEAR(C3091)+(MONTH(C3091)/100),TC!$5:$37,DAY(C3091)+2,FALSE),VLOOKUP(E3091,Equivalencia!$5:$23,((MAX(Equivalencia!$3:$3)-YEAR(C3091))*14)+MONTH(C3091)+2,FALSE)))</f>
        <v>0</v>
      </c>
      <c r="J3091" s="178">
        <f t="shared" si="255"/>
        <v>0</v>
      </c>
      <c r="K3091" s="462">
        <f>IF(C3091=0,0,VLOOKUP(YEAR(C3091),INPC!$B$4:$O$29,MONTH(C3091)+1))</f>
        <v>0</v>
      </c>
      <c r="L3091" s="462">
        <f>IF(S3091=0,0,VLOOKUP(YEAR(S3091),INPC!$B$4:$O$29,MONTH(S3091)+1))</f>
        <v>0</v>
      </c>
      <c r="M3091" s="463">
        <f t="shared" si="256"/>
        <v>0</v>
      </c>
      <c r="N3091" s="465">
        <f t="shared" si="257"/>
        <v>0</v>
      </c>
      <c r="O3091" s="179"/>
      <c r="P3091" s="180"/>
      <c r="Q3091" s="173"/>
      <c r="R3091" s="173"/>
      <c r="S3091" s="174"/>
      <c r="T3091" s="173"/>
      <c r="U3091" s="182"/>
      <c r="V3091" s="177">
        <f>IF(U3091=0,0,IF(T3091="MXN",1/HLOOKUP(YEAR(S3091)+(MONTH(S3091)/100),TC!$5:$37,DAY(S3091)+2,FALSE),VLOOKUP(T3091,Equivalencia!$1:$23,((MAX(Equivalencia!$3:$3)-YEAR(S3091))*14)+MONTH(S3091)+2,FALSE)))</f>
        <v>0</v>
      </c>
      <c r="W3091" s="178">
        <f t="shared" si="258"/>
        <v>0</v>
      </c>
      <c r="X3091" s="481">
        <f t="shared" si="259"/>
        <v>0</v>
      </c>
      <c r="Y3091" s="179"/>
      <c r="Z3091" s="466">
        <f t="shared" si="260"/>
        <v>0</v>
      </c>
      <c r="AA3091" s="473">
        <f t="shared" si="261"/>
        <v>0</v>
      </c>
      <c r="AB3091" s="339">
        <f t="shared" si="262"/>
        <v>0</v>
      </c>
    </row>
    <row r="3092" spans="2:28" ht="20.100000000000001" customHeight="1">
      <c r="B3092" s="172"/>
      <c r="C3092" s="174"/>
      <c r="D3092" s="181"/>
      <c r="E3092" s="173"/>
      <c r="F3092" s="176"/>
      <c r="G3092" s="175">
        <f t="shared" si="253"/>
        <v>0</v>
      </c>
      <c r="H3092" s="175">
        <f t="shared" si="254"/>
        <v>0</v>
      </c>
      <c r="I3092" s="177">
        <f>IF(G3092=0,0,IF(E3092="MXN",1/HLOOKUP(YEAR(C3092)+(MONTH(C3092)/100),TC!$5:$37,DAY(C3092)+2,FALSE),VLOOKUP(E3092,Equivalencia!$5:$23,((MAX(Equivalencia!$3:$3)-YEAR(C3092))*14)+MONTH(C3092)+2,FALSE)))</f>
        <v>0</v>
      </c>
      <c r="J3092" s="178">
        <f t="shared" si="255"/>
        <v>0</v>
      </c>
      <c r="K3092" s="462">
        <f>IF(C3092=0,0,VLOOKUP(YEAR(C3092),INPC!$B$4:$O$29,MONTH(C3092)+1))</f>
        <v>0</v>
      </c>
      <c r="L3092" s="462">
        <f>IF(S3092=0,0,VLOOKUP(YEAR(S3092),INPC!$B$4:$O$29,MONTH(S3092)+1))</f>
        <v>0</v>
      </c>
      <c r="M3092" s="463">
        <f t="shared" si="256"/>
        <v>0</v>
      </c>
      <c r="N3092" s="465">
        <f t="shared" si="257"/>
        <v>0</v>
      </c>
      <c r="O3092" s="179"/>
      <c r="P3092" s="180"/>
      <c r="Q3092" s="173"/>
      <c r="R3092" s="173"/>
      <c r="S3092" s="174"/>
      <c r="T3092" s="173"/>
      <c r="U3092" s="182"/>
      <c r="V3092" s="177">
        <f>IF(U3092=0,0,IF(T3092="MXN",1/HLOOKUP(YEAR(S3092)+(MONTH(S3092)/100),TC!$5:$37,DAY(S3092)+2,FALSE),VLOOKUP(T3092,Equivalencia!$1:$23,((MAX(Equivalencia!$3:$3)-YEAR(S3092))*14)+MONTH(S3092)+2,FALSE)))</f>
        <v>0</v>
      </c>
      <c r="W3092" s="178">
        <f t="shared" si="258"/>
        <v>0</v>
      </c>
      <c r="X3092" s="481">
        <f t="shared" si="259"/>
        <v>0</v>
      </c>
      <c r="Y3092" s="179"/>
      <c r="Z3092" s="466">
        <f t="shared" si="260"/>
        <v>0</v>
      </c>
      <c r="AA3092" s="473">
        <f t="shared" si="261"/>
        <v>0</v>
      </c>
      <c r="AB3092" s="339">
        <f t="shared" si="262"/>
        <v>0</v>
      </c>
    </row>
    <row r="3093" spans="2:28" ht="20.100000000000001" customHeight="1">
      <c r="B3093" s="172"/>
      <c r="C3093" s="174"/>
      <c r="D3093" s="181"/>
      <c r="E3093" s="173"/>
      <c r="F3093" s="176"/>
      <c r="G3093" s="175">
        <f t="shared" si="253"/>
        <v>0</v>
      </c>
      <c r="H3093" s="175">
        <f t="shared" si="254"/>
        <v>0</v>
      </c>
      <c r="I3093" s="177">
        <f>IF(G3093=0,0,IF(E3093="MXN",1/HLOOKUP(YEAR(C3093)+(MONTH(C3093)/100),TC!$5:$37,DAY(C3093)+2,FALSE),VLOOKUP(E3093,Equivalencia!$5:$23,((MAX(Equivalencia!$3:$3)-YEAR(C3093))*14)+MONTH(C3093)+2,FALSE)))</f>
        <v>0</v>
      </c>
      <c r="J3093" s="178">
        <f t="shared" si="255"/>
        <v>0</v>
      </c>
      <c r="K3093" s="462">
        <f>IF(C3093=0,0,VLOOKUP(YEAR(C3093),INPC!$B$4:$O$29,MONTH(C3093)+1))</f>
        <v>0</v>
      </c>
      <c r="L3093" s="462">
        <f>IF(S3093=0,0,VLOOKUP(YEAR(S3093),INPC!$B$4:$O$29,MONTH(S3093)+1))</f>
        <v>0</v>
      </c>
      <c r="M3093" s="463">
        <f t="shared" si="256"/>
        <v>0</v>
      </c>
      <c r="N3093" s="465">
        <f t="shared" si="257"/>
        <v>0</v>
      </c>
      <c r="O3093" s="179"/>
      <c r="P3093" s="180"/>
      <c r="Q3093" s="173"/>
      <c r="R3093" s="173"/>
      <c r="S3093" s="174"/>
      <c r="T3093" s="173"/>
      <c r="U3093" s="182"/>
      <c r="V3093" s="177">
        <f>IF(U3093=0,0,IF(T3093="MXN",1/HLOOKUP(YEAR(S3093)+(MONTH(S3093)/100),TC!$5:$37,DAY(S3093)+2,FALSE),VLOOKUP(T3093,Equivalencia!$1:$23,((MAX(Equivalencia!$3:$3)-YEAR(S3093))*14)+MONTH(S3093)+2,FALSE)))</f>
        <v>0</v>
      </c>
      <c r="W3093" s="178">
        <f t="shared" si="258"/>
        <v>0</v>
      </c>
      <c r="X3093" s="481">
        <f t="shared" si="259"/>
        <v>0</v>
      </c>
      <c r="Y3093" s="179"/>
      <c r="Z3093" s="466">
        <f t="shared" si="260"/>
        <v>0</v>
      </c>
      <c r="AA3093" s="473">
        <f t="shared" si="261"/>
        <v>0</v>
      </c>
      <c r="AB3093" s="339">
        <f t="shared" si="262"/>
        <v>0</v>
      </c>
    </row>
    <row r="3094" spans="2:28" ht="20.100000000000001" customHeight="1">
      <c r="B3094" s="172"/>
      <c r="C3094" s="174"/>
      <c r="D3094" s="181"/>
      <c r="E3094" s="173"/>
      <c r="F3094" s="176"/>
      <c r="G3094" s="175">
        <f t="shared" si="253"/>
        <v>0</v>
      </c>
      <c r="H3094" s="175">
        <f t="shared" si="254"/>
        <v>0</v>
      </c>
      <c r="I3094" s="177">
        <f>IF(G3094=0,0,IF(E3094="MXN",1/HLOOKUP(YEAR(C3094)+(MONTH(C3094)/100),TC!$5:$37,DAY(C3094)+2,FALSE),VLOOKUP(E3094,Equivalencia!$5:$23,((MAX(Equivalencia!$3:$3)-YEAR(C3094))*14)+MONTH(C3094)+2,FALSE)))</f>
        <v>0</v>
      </c>
      <c r="J3094" s="178">
        <f t="shared" si="255"/>
        <v>0</v>
      </c>
      <c r="K3094" s="462">
        <f>IF(C3094=0,0,VLOOKUP(YEAR(C3094),INPC!$B$4:$O$29,MONTH(C3094)+1))</f>
        <v>0</v>
      </c>
      <c r="L3094" s="462">
        <f>IF(S3094=0,0,VLOOKUP(YEAR(S3094),INPC!$B$4:$O$29,MONTH(S3094)+1))</f>
        <v>0</v>
      </c>
      <c r="M3094" s="463">
        <f t="shared" si="256"/>
        <v>0</v>
      </c>
      <c r="N3094" s="465">
        <f t="shared" si="257"/>
        <v>0</v>
      </c>
      <c r="O3094" s="179"/>
      <c r="P3094" s="180"/>
      <c r="Q3094" s="173"/>
      <c r="R3094" s="173"/>
      <c r="S3094" s="174"/>
      <c r="T3094" s="173"/>
      <c r="U3094" s="182"/>
      <c r="V3094" s="177">
        <f>IF(U3094=0,0,IF(T3094="MXN",1/HLOOKUP(YEAR(S3094)+(MONTH(S3094)/100),TC!$5:$37,DAY(S3094)+2,FALSE),VLOOKUP(T3094,Equivalencia!$1:$23,((MAX(Equivalencia!$3:$3)-YEAR(S3094))*14)+MONTH(S3094)+2,FALSE)))</f>
        <v>0</v>
      </c>
      <c r="W3094" s="178">
        <f t="shared" si="258"/>
        <v>0</v>
      </c>
      <c r="X3094" s="481">
        <f t="shared" si="259"/>
        <v>0</v>
      </c>
      <c r="Y3094" s="179"/>
      <c r="Z3094" s="466">
        <f t="shared" si="260"/>
        <v>0</v>
      </c>
      <c r="AA3094" s="473">
        <f t="shared" si="261"/>
        <v>0</v>
      </c>
      <c r="AB3094" s="339">
        <f t="shared" si="262"/>
        <v>0</v>
      </c>
    </row>
    <row r="3095" spans="2:28" ht="20.100000000000001" customHeight="1">
      <c r="B3095" s="172"/>
      <c r="C3095" s="174"/>
      <c r="D3095" s="181"/>
      <c r="E3095" s="173"/>
      <c r="F3095" s="176"/>
      <c r="G3095" s="175">
        <f t="shared" si="253"/>
        <v>0</v>
      </c>
      <c r="H3095" s="175">
        <f t="shared" si="254"/>
        <v>0</v>
      </c>
      <c r="I3095" s="177">
        <f>IF(G3095=0,0,IF(E3095="MXN",1/HLOOKUP(YEAR(C3095)+(MONTH(C3095)/100),TC!$5:$37,DAY(C3095)+2,FALSE),VLOOKUP(E3095,Equivalencia!$5:$23,((MAX(Equivalencia!$3:$3)-YEAR(C3095))*14)+MONTH(C3095)+2,FALSE)))</f>
        <v>0</v>
      </c>
      <c r="J3095" s="178">
        <f t="shared" si="255"/>
        <v>0</v>
      </c>
      <c r="K3095" s="462">
        <f>IF(C3095=0,0,VLOOKUP(YEAR(C3095),INPC!$B$4:$O$29,MONTH(C3095)+1))</f>
        <v>0</v>
      </c>
      <c r="L3095" s="462">
        <f>IF(S3095=0,0,VLOOKUP(YEAR(S3095),INPC!$B$4:$O$29,MONTH(S3095)+1))</f>
        <v>0</v>
      </c>
      <c r="M3095" s="463">
        <f t="shared" si="256"/>
        <v>0</v>
      </c>
      <c r="N3095" s="465">
        <f t="shared" si="257"/>
        <v>0</v>
      </c>
      <c r="O3095" s="179"/>
      <c r="P3095" s="180"/>
      <c r="Q3095" s="173"/>
      <c r="R3095" s="173"/>
      <c r="S3095" s="174"/>
      <c r="T3095" s="173"/>
      <c r="U3095" s="182"/>
      <c r="V3095" s="177">
        <f>IF(U3095=0,0,IF(T3095="MXN",1/HLOOKUP(YEAR(S3095)+(MONTH(S3095)/100),TC!$5:$37,DAY(S3095)+2,FALSE),VLOOKUP(T3095,Equivalencia!$1:$23,((MAX(Equivalencia!$3:$3)-YEAR(S3095))*14)+MONTH(S3095)+2,FALSE)))</f>
        <v>0</v>
      </c>
      <c r="W3095" s="178">
        <f t="shared" si="258"/>
        <v>0</v>
      </c>
      <c r="X3095" s="481">
        <f t="shared" si="259"/>
        <v>0</v>
      </c>
      <c r="Y3095" s="179"/>
      <c r="Z3095" s="466">
        <f t="shared" si="260"/>
        <v>0</v>
      </c>
      <c r="AA3095" s="473">
        <f t="shared" si="261"/>
        <v>0</v>
      </c>
      <c r="AB3095" s="339">
        <f t="shared" si="262"/>
        <v>0</v>
      </c>
    </row>
    <row r="3096" spans="2:28" ht="20.100000000000001" customHeight="1">
      <c r="B3096" s="172"/>
      <c r="C3096" s="174"/>
      <c r="D3096" s="181"/>
      <c r="E3096" s="173"/>
      <c r="F3096" s="176"/>
      <c r="G3096" s="175">
        <f t="shared" si="253"/>
        <v>0</v>
      </c>
      <c r="H3096" s="175">
        <f t="shared" si="254"/>
        <v>0</v>
      </c>
      <c r="I3096" s="177">
        <f>IF(G3096=0,0,IF(E3096="MXN",1/HLOOKUP(YEAR(C3096)+(MONTH(C3096)/100),TC!$5:$37,DAY(C3096)+2,FALSE),VLOOKUP(E3096,Equivalencia!$5:$23,((MAX(Equivalencia!$3:$3)-YEAR(C3096))*14)+MONTH(C3096)+2,FALSE)))</f>
        <v>0</v>
      </c>
      <c r="J3096" s="178">
        <f t="shared" si="255"/>
        <v>0</v>
      </c>
      <c r="K3096" s="462">
        <f>IF(C3096=0,0,VLOOKUP(YEAR(C3096),INPC!$B$4:$O$29,MONTH(C3096)+1))</f>
        <v>0</v>
      </c>
      <c r="L3096" s="462">
        <f>IF(S3096=0,0,VLOOKUP(YEAR(S3096),INPC!$B$4:$O$29,MONTH(S3096)+1))</f>
        <v>0</v>
      </c>
      <c r="M3096" s="463">
        <f t="shared" si="256"/>
        <v>0</v>
      </c>
      <c r="N3096" s="465">
        <f t="shared" si="257"/>
        <v>0</v>
      </c>
      <c r="O3096" s="179"/>
      <c r="P3096" s="180"/>
      <c r="Q3096" s="173"/>
      <c r="R3096" s="173"/>
      <c r="S3096" s="174"/>
      <c r="T3096" s="173"/>
      <c r="U3096" s="182"/>
      <c r="V3096" s="177">
        <f>IF(U3096=0,0,IF(T3096="MXN",1/HLOOKUP(YEAR(S3096)+(MONTH(S3096)/100),TC!$5:$37,DAY(S3096)+2,FALSE),VLOOKUP(T3096,Equivalencia!$1:$23,((MAX(Equivalencia!$3:$3)-YEAR(S3096))*14)+MONTH(S3096)+2,FALSE)))</f>
        <v>0</v>
      </c>
      <c r="W3096" s="178">
        <f t="shared" si="258"/>
        <v>0</v>
      </c>
      <c r="X3096" s="481">
        <f t="shared" si="259"/>
        <v>0</v>
      </c>
      <c r="Y3096" s="179"/>
      <c r="Z3096" s="466">
        <f t="shared" si="260"/>
        <v>0</v>
      </c>
      <c r="AA3096" s="473">
        <f t="shared" si="261"/>
        <v>0</v>
      </c>
      <c r="AB3096" s="339">
        <f t="shared" si="262"/>
        <v>0</v>
      </c>
    </row>
    <row r="3097" spans="2:28" ht="20.100000000000001" customHeight="1">
      <c r="B3097" s="172"/>
      <c r="C3097" s="174"/>
      <c r="D3097" s="181"/>
      <c r="E3097" s="173"/>
      <c r="F3097" s="176"/>
      <c r="G3097" s="175">
        <f t="shared" si="253"/>
        <v>0</v>
      </c>
      <c r="H3097" s="175">
        <f t="shared" si="254"/>
        <v>0</v>
      </c>
      <c r="I3097" s="177">
        <f>IF(G3097=0,0,IF(E3097="MXN",1/HLOOKUP(YEAR(C3097)+(MONTH(C3097)/100),TC!$5:$37,DAY(C3097)+2,FALSE),VLOOKUP(E3097,Equivalencia!$5:$23,((MAX(Equivalencia!$3:$3)-YEAR(C3097))*14)+MONTH(C3097)+2,FALSE)))</f>
        <v>0</v>
      </c>
      <c r="J3097" s="178">
        <f t="shared" si="255"/>
        <v>0</v>
      </c>
      <c r="K3097" s="462">
        <f>IF(C3097=0,0,VLOOKUP(YEAR(C3097),INPC!$B$4:$O$29,MONTH(C3097)+1))</f>
        <v>0</v>
      </c>
      <c r="L3097" s="462">
        <f>IF(S3097=0,0,VLOOKUP(YEAR(S3097),INPC!$B$4:$O$29,MONTH(S3097)+1))</f>
        <v>0</v>
      </c>
      <c r="M3097" s="463">
        <f t="shared" si="256"/>
        <v>0</v>
      </c>
      <c r="N3097" s="465">
        <f t="shared" si="257"/>
        <v>0</v>
      </c>
      <c r="O3097" s="179"/>
      <c r="P3097" s="180"/>
      <c r="Q3097" s="173"/>
      <c r="R3097" s="173"/>
      <c r="S3097" s="174"/>
      <c r="T3097" s="173"/>
      <c r="U3097" s="182"/>
      <c r="V3097" s="177">
        <f>IF(U3097=0,0,IF(T3097="MXN",1/HLOOKUP(YEAR(S3097)+(MONTH(S3097)/100),TC!$5:$37,DAY(S3097)+2,FALSE),VLOOKUP(T3097,Equivalencia!$1:$23,((MAX(Equivalencia!$3:$3)-YEAR(S3097))*14)+MONTH(S3097)+2,FALSE)))</f>
        <v>0</v>
      </c>
      <c r="W3097" s="178">
        <f t="shared" si="258"/>
        <v>0</v>
      </c>
      <c r="X3097" s="481">
        <f t="shared" si="259"/>
        <v>0</v>
      </c>
      <c r="Y3097" s="179"/>
      <c r="Z3097" s="466">
        <f t="shared" si="260"/>
        <v>0</v>
      </c>
      <c r="AA3097" s="473">
        <f t="shared" si="261"/>
        <v>0</v>
      </c>
      <c r="AB3097" s="339">
        <f t="shared" si="262"/>
        <v>0</v>
      </c>
    </row>
    <row r="3098" spans="2:28" ht="20.100000000000001" customHeight="1">
      <c r="B3098" s="172"/>
      <c r="C3098" s="174"/>
      <c r="D3098" s="181"/>
      <c r="E3098" s="173"/>
      <c r="F3098" s="176"/>
      <c r="G3098" s="175">
        <f t="shared" si="253"/>
        <v>0</v>
      </c>
      <c r="H3098" s="175">
        <f t="shared" si="254"/>
        <v>0</v>
      </c>
      <c r="I3098" s="177">
        <f>IF(G3098=0,0,IF(E3098="MXN",1/HLOOKUP(YEAR(C3098)+(MONTH(C3098)/100),TC!$5:$37,DAY(C3098)+2,FALSE),VLOOKUP(E3098,Equivalencia!$5:$23,((MAX(Equivalencia!$3:$3)-YEAR(C3098))*14)+MONTH(C3098)+2,FALSE)))</f>
        <v>0</v>
      </c>
      <c r="J3098" s="178">
        <f t="shared" si="255"/>
        <v>0</v>
      </c>
      <c r="K3098" s="462">
        <f>IF(C3098=0,0,VLOOKUP(YEAR(C3098),INPC!$B$4:$O$29,MONTH(C3098)+1))</f>
        <v>0</v>
      </c>
      <c r="L3098" s="462">
        <f>IF(S3098=0,0,VLOOKUP(YEAR(S3098),INPC!$B$4:$O$29,MONTH(S3098)+1))</f>
        <v>0</v>
      </c>
      <c r="M3098" s="463">
        <f t="shared" si="256"/>
        <v>0</v>
      </c>
      <c r="N3098" s="465">
        <f t="shared" si="257"/>
        <v>0</v>
      </c>
      <c r="O3098" s="179"/>
      <c r="P3098" s="180"/>
      <c r="Q3098" s="173"/>
      <c r="R3098" s="173"/>
      <c r="S3098" s="174"/>
      <c r="T3098" s="173"/>
      <c r="U3098" s="182"/>
      <c r="V3098" s="177">
        <f>IF(U3098=0,0,IF(T3098="MXN",1/HLOOKUP(YEAR(S3098)+(MONTH(S3098)/100),TC!$5:$37,DAY(S3098)+2,FALSE),VLOOKUP(T3098,Equivalencia!$1:$23,((MAX(Equivalencia!$3:$3)-YEAR(S3098))*14)+MONTH(S3098)+2,FALSE)))</f>
        <v>0</v>
      </c>
      <c r="W3098" s="178">
        <f t="shared" si="258"/>
        <v>0</v>
      </c>
      <c r="X3098" s="481">
        <f t="shared" si="259"/>
        <v>0</v>
      </c>
      <c r="Y3098" s="179"/>
      <c r="Z3098" s="466">
        <f t="shared" si="260"/>
        <v>0</v>
      </c>
      <c r="AA3098" s="473">
        <f t="shared" si="261"/>
        <v>0</v>
      </c>
      <c r="AB3098" s="339">
        <f t="shared" si="262"/>
        <v>0</v>
      </c>
    </row>
    <row r="3099" spans="2:28" ht="20.100000000000001" customHeight="1">
      <c r="B3099" s="172"/>
      <c r="C3099" s="174"/>
      <c r="D3099" s="181"/>
      <c r="E3099" s="173"/>
      <c r="F3099" s="176"/>
      <c r="G3099" s="175">
        <f t="shared" si="253"/>
        <v>0</v>
      </c>
      <c r="H3099" s="175">
        <f t="shared" si="254"/>
        <v>0</v>
      </c>
      <c r="I3099" s="177">
        <f>IF(G3099=0,0,IF(E3099="MXN",1/HLOOKUP(YEAR(C3099)+(MONTH(C3099)/100),TC!$5:$37,DAY(C3099)+2,FALSE),VLOOKUP(E3099,Equivalencia!$5:$23,((MAX(Equivalencia!$3:$3)-YEAR(C3099))*14)+MONTH(C3099)+2,FALSE)))</f>
        <v>0</v>
      </c>
      <c r="J3099" s="178">
        <f t="shared" si="255"/>
        <v>0</v>
      </c>
      <c r="K3099" s="462">
        <f>IF(C3099=0,0,VLOOKUP(YEAR(C3099),INPC!$B$4:$O$29,MONTH(C3099)+1))</f>
        <v>0</v>
      </c>
      <c r="L3099" s="462">
        <f>IF(S3099=0,0,VLOOKUP(YEAR(S3099),INPC!$B$4:$O$29,MONTH(S3099)+1))</f>
        <v>0</v>
      </c>
      <c r="M3099" s="463">
        <f t="shared" si="256"/>
        <v>0</v>
      </c>
      <c r="N3099" s="465">
        <f t="shared" si="257"/>
        <v>0</v>
      </c>
      <c r="O3099" s="179"/>
      <c r="P3099" s="180"/>
      <c r="Q3099" s="173"/>
      <c r="R3099" s="173"/>
      <c r="S3099" s="174"/>
      <c r="T3099" s="173"/>
      <c r="U3099" s="182"/>
      <c r="V3099" s="177">
        <f>IF(U3099=0,0,IF(T3099="MXN",1/HLOOKUP(YEAR(S3099)+(MONTH(S3099)/100),TC!$5:$37,DAY(S3099)+2,FALSE),VLOOKUP(T3099,Equivalencia!$1:$23,((MAX(Equivalencia!$3:$3)-YEAR(S3099))*14)+MONTH(S3099)+2,FALSE)))</f>
        <v>0</v>
      </c>
      <c r="W3099" s="178">
        <f t="shared" si="258"/>
        <v>0</v>
      </c>
      <c r="X3099" s="481">
        <f t="shared" si="259"/>
        <v>0</v>
      </c>
      <c r="Y3099" s="179"/>
      <c r="Z3099" s="466">
        <f t="shared" si="260"/>
        <v>0</v>
      </c>
      <c r="AA3099" s="473">
        <f t="shared" si="261"/>
        <v>0</v>
      </c>
      <c r="AB3099" s="339">
        <f t="shared" si="262"/>
        <v>0</v>
      </c>
    </row>
    <row r="3100" spans="2:28" ht="20.100000000000001" customHeight="1">
      <c r="B3100" s="172"/>
      <c r="C3100" s="174"/>
      <c r="D3100" s="181"/>
      <c r="E3100" s="173"/>
      <c r="F3100" s="176"/>
      <c r="G3100" s="175">
        <f t="shared" si="253"/>
        <v>0</v>
      </c>
      <c r="H3100" s="175">
        <f t="shared" si="254"/>
        <v>0</v>
      </c>
      <c r="I3100" s="177">
        <f>IF(G3100=0,0,IF(E3100="MXN",1/HLOOKUP(YEAR(C3100)+(MONTH(C3100)/100),TC!$5:$37,DAY(C3100)+2,FALSE),VLOOKUP(E3100,Equivalencia!$5:$23,((MAX(Equivalencia!$3:$3)-YEAR(C3100))*14)+MONTH(C3100)+2,FALSE)))</f>
        <v>0</v>
      </c>
      <c r="J3100" s="178">
        <f t="shared" si="255"/>
        <v>0</v>
      </c>
      <c r="K3100" s="462">
        <f>IF(C3100=0,0,VLOOKUP(YEAR(C3100),INPC!$B$4:$O$29,MONTH(C3100)+1))</f>
        <v>0</v>
      </c>
      <c r="L3100" s="462">
        <f>IF(S3100=0,0,VLOOKUP(YEAR(S3100),INPC!$B$4:$O$29,MONTH(S3100)+1))</f>
        <v>0</v>
      </c>
      <c r="M3100" s="463">
        <f t="shared" si="256"/>
        <v>0</v>
      </c>
      <c r="N3100" s="465">
        <f t="shared" si="257"/>
        <v>0</v>
      </c>
      <c r="O3100" s="179"/>
      <c r="P3100" s="180"/>
      <c r="Q3100" s="173"/>
      <c r="R3100" s="173"/>
      <c r="S3100" s="174"/>
      <c r="T3100" s="173"/>
      <c r="U3100" s="182"/>
      <c r="V3100" s="177">
        <f>IF(U3100=0,0,IF(T3100="MXN",1/HLOOKUP(YEAR(S3100)+(MONTH(S3100)/100),TC!$5:$37,DAY(S3100)+2,FALSE),VLOOKUP(T3100,Equivalencia!$1:$23,((MAX(Equivalencia!$3:$3)-YEAR(S3100))*14)+MONTH(S3100)+2,FALSE)))</f>
        <v>0</v>
      </c>
      <c r="W3100" s="178">
        <f t="shared" si="258"/>
        <v>0</v>
      </c>
      <c r="X3100" s="481">
        <f t="shared" si="259"/>
        <v>0</v>
      </c>
      <c r="Y3100" s="179"/>
      <c r="Z3100" s="466">
        <f t="shared" si="260"/>
        <v>0</v>
      </c>
      <c r="AA3100" s="473">
        <f t="shared" si="261"/>
        <v>0</v>
      </c>
      <c r="AB3100" s="339">
        <f t="shared" si="262"/>
        <v>0</v>
      </c>
    </row>
    <row r="3101" spans="2:28" ht="20.100000000000001" customHeight="1">
      <c r="B3101" s="172"/>
      <c r="C3101" s="174"/>
      <c r="D3101" s="181"/>
      <c r="E3101" s="173"/>
      <c r="F3101" s="176"/>
      <c r="G3101" s="175">
        <f t="shared" si="253"/>
        <v>0</v>
      </c>
      <c r="H3101" s="175">
        <f t="shared" si="254"/>
        <v>0</v>
      </c>
      <c r="I3101" s="177">
        <f>IF(G3101=0,0,IF(E3101="MXN",1/HLOOKUP(YEAR(C3101)+(MONTH(C3101)/100),TC!$5:$37,DAY(C3101)+2,FALSE),VLOOKUP(E3101,Equivalencia!$5:$23,((MAX(Equivalencia!$3:$3)-YEAR(C3101))*14)+MONTH(C3101)+2,FALSE)))</f>
        <v>0</v>
      </c>
      <c r="J3101" s="178">
        <f t="shared" si="255"/>
        <v>0</v>
      </c>
      <c r="K3101" s="462">
        <f>IF(C3101=0,0,VLOOKUP(YEAR(C3101),INPC!$B$4:$O$29,MONTH(C3101)+1))</f>
        <v>0</v>
      </c>
      <c r="L3101" s="462">
        <f>IF(S3101=0,0,VLOOKUP(YEAR(S3101),INPC!$B$4:$O$29,MONTH(S3101)+1))</f>
        <v>0</v>
      </c>
      <c r="M3101" s="463">
        <f t="shared" si="256"/>
        <v>0</v>
      </c>
      <c r="N3101" s="465">
        <f t="shared" si="257"/>
        <v>0</v>
      </c>
      <c r="O3101" s="179"/>
      <c r="P3101" s="180"/>
      <c r="Q3101" s="173"/>
      <c r="R3101" s="173"/>
      <c r="S3101" s="174"/>
      <c r="T3101" s="173"/>
      <c r="U3101" s="182"/>
      <c r="V3101" s="177">
        <f>IF(U3101=0,0,IF(T3101="MXN",1/HLOOKUP(YEAR(S3101)+(MONTH(S3101)/100),TC!$5:$37,DAY(S3101)+2,FALSE),VLOOKUP(T3101,Equivalencia!$1:$23,((MAX(Equivalencia!$3:$3)-YEAR(S3101))*14)+MONTH(S3101)+2,FALSE)))</f>
        <v>0</v>
      </c>
      <c r="W3101" s="178">
        <f t="shared" si="258"/>
        <v>0</v>
      </c>
      <c r="X3101" s="481">
        <f t="shared" si="259"/>
        <v>0</v>
      </c>
      <c r="Y3101" s="179"/>
      <c r="Z3101" s="466">
        <f t="shared" si="260"/>
        <v>0</v>
      </c>
      <c r="AA3101" s="473">
        <f t="shared" si="261"/>
        <v>0</v>
      </c>
      <c r="AB3101" s="339">
        <f t="shared" si="262"/>
        <v>0</v>
      </c>
    </row>
    <row r="3102" spans="2:28" ht="20.100000000000001" customHeight="1">
      <c r="B3102" s="172"/>
      <c r="C3102" s="174"/>
      <c r="D3102" s="181"/>
      <c r="E3102" s="173"/>
      <c r="F3102" s="176"/>
      <c r="G3102" s="175">
        <f t="shared" si="253"/>
        <v>0</v>
      </c>
      <c r="H3102" s="175">
        <f t="shared" si="254"/>
        <v>0</v>
      </c>
      <c r="I3102" s="177">
        <f>IF(G3102=0,0,IF(E3102="MXN",1/HLOOKUP(YEAR(C3102)+(MONTH(C3102)/100),TC!$5:$37,DAY(C3102)+2,FALSE),VLOOKUP(E3102,Equivalencia!$5:$23,((MAX(Equivalencia!$3:$3)-YEAR(C3102))*14)+MONTH(C3102)+2,FALSE)))</f>
        <v>0</v>
      </c>
      <c r="J3102" s="178">
        <f t="shared" si="255"/>
        <v>0</v>
      </c>
      <c r="K3102" s="462">
        <f>IF(C3102=0,0,VLOOKUP(YEAR(C3102),INPC!$B$4:$O$29,MONTH(C3102)+1))</f>
        <v>0</v>
      </c>
      <c r="L3102" s="462">
        <f>IF(S3102=0,0,VLOOKUP(YEAR(S3102),INPC!$B$4:$O$29,MONTH(S3102)+1))</f>
        <v>0</v>
      </c>
      <c r="M3102" s="463">
        <f t="shared" si="256"/>
        <v>0</v>
      </c>
      <c r="N3102" s="465">
        <f t="shared" si="257"/>
        <v>0</v>
      </c>
      <c r="O3102" s="179"/>
      <c r="P3102" s="180"/>
      <c r="Q3102" s="173"/>
      <c r="R3102" s="173"/>
      <c r="S3102" s="174"/>
      <c r="T3102" s="173"/>
      <c r="U3102" s="182"/>
      <c r="V3102" s="177">
        <f>IF(U3102=0,0,IF(T3102="MXN",1/HLOOKUP(YEAR(S3102)+(MONTH(S3102)/100),TC!$5:$37,DAY(S3102)+2,FALSE),VLOOKUP(T3102,Equivalencia!$1:$23,((MAX(Equivalencia!$3:$3)-YEAR(S3102))*14)+MONTH(S3102)+2,FALSE)))</f>
        <v>0</v>
      </c>
      <c r="W3102" s="178">
        <f t="shared" si="258"/>
        <v>0</v>
      </c>
      <c r="X3102" s="481">
        <f t="shared" si="259"/>
        <v>0</v>
      </c>
      <c r="Y3102" s="179"/>
      <c r="Z3102" s="466">
        <f t="shared" si="260"/>
        <v>0</v>
      </c>
      <c r="AA3102" s="473">
        <f t="shared" si="261"/>
        <v>0</v>
      </c>
      <c r="AB3102" s="339">
        <f t="shared" si="262"/>
        <v>0</v>
      </c>
    </row>
    <row r="3103" spans="2:28" ht="20.100000000000001" customHeight="1">
      <c r="B3103" s="172"/>
      <c r="C3103" s="174"/>
      <c r="D3103" s="181"/>
      <c r="E3103" s="173"/>
      <c r="F3103" s="176"/>
      <c r="G3103" s="175">
        <f t="shared" si="253"/>
        <v>0</v>
      </c>
      <c r="H3103" s="175">
        <f t="shared" si="254"/>
        <v>0</v>
      </c>
      <c r="I3103" s="177">
        <f>IF(G3103=0,0,IF(E3103="MXN",1/HLOOKUP(YEAR(C3103)+(MONTH(C3103)/100),TC!$5:$37,DAY(C3103)+2,FALSE),VLOOKUP(E3103,Equivalencia!$5:$23,((MAX(Equivalencia!$3:$3)-YEAR(C3103))*14)+MONTH(C3103)+2,FALSE)))</f>
        <v>0</v>
      </c>
      <c r="J3103" s="178">
        <f t="shared" si="255"/>
        <v>0</v>
      </c>
      <c r="K3103" s="462">
        <f>IF(C3103=0,0,VLOOKUP(YEAR(C3103),INPC!$B$4:$O$29,MONTH(C3103)+1))</f>
        <v>0</v>
      </c>
      <c r="L3103" s="462">
        <f>IF(S3103=0,0,VLOOKUP(YEAR(S3103),INPC!$B$4:$O$29,MONTH(S3103)+1))</f>
        <v>0</v>
      </c>
      <c r="M3103" s="463">
        <f t="shared" si="256"/>
        <v>0</v>
      </c>
      <c r="N3103" s="465">
        <f t="shared" si="257"/>
        <v>0</v>
      </c>
      <c r="O3103" s="179"/>
      <c r="P3103" s="180"/>
      <c r="Q3103" s="173"/>
      <c r="R3103" s="173"/>
      <c r="S3103" s="174"/>
      <c r="T3103" s="173"/>
      <c r="U3103" s="182"/>
      <c r="V3103" s="177">
        <f>IF(U3103=0,0,IF(T3103="MXN",1/HLOOKUP(YEAR(S3103)+(MONTH(S3103)/100),TC!$5:$37,DAY(S3103)+2,FALSE),VLOOKUP(T3103,Equivalencia!$1:$23,((MAX(Equivalencia!$3:$3)-YEAR(S3103))*14)+MONTH(S3103)+2,FALSE)))</f>
        <v>0</v>
      </c>
      <c r="W3103" s="178">
        <f t="shared" si="258"/>
        <v>0</v>
      </c>
      <c r="X3103" s="481">
        <f t="shared" si="259"/>
        <v>0</v>
      </c>
      <c r="Y3103" s="179"/>
      <c r="Z3103" s="466">
        <f t="shared" si="260"/>
        <v>0</v>
      </c>
      <c r="AA3103" s="473">
        <f t="shared" si="261"/>
        <v>0</v>
      </c>
      <c r="AB3103" s="339">
        <f t="shared" si="262"/>
        <v>0</v>
      </c>
    </row>
    <row r="3104" spans="2:28" ht="20.100000000000001" customHeight="1">
      <c r="B3104" s="172"/>
      <c r="C3104" s="174"/>
      <c r="D3104" s="181"/>
      <c r="E3104" s="173"/>
      <c r="F3104" s="176"/>
      <c r="G3104" s="175">
        <f t="shared" si="253"/>
        <v>0</v>
      </c>
      <c r="H3104" s="175">
        <f t="shared" si="254"/>
        <v>0</v>
      </c>
      <c r="I3104" s="177">
        <f>IF(G3104=0,0,IF(E3104="MXN",1/HLOOKUP(YEAR(C3104)+(MONTH(C3104)/100),TC!$5:$37,DAY(C3104)+2,FALSE),VLOOKUP(E3104,Equivalencia!$5:$23,((MAX(Equivalencia!$3:$3)-YEAR(C3104))*14)+MONTH(C3104)+2,FALSE)))</f>
        <v>0</v>
      </c>
      <c r="J3104" s="178">
        <f t="shared" si="255"/>
        <v>0</v>
      </c>
      <c r="K3104" s="462">
        <f>IF(C3104=0,0,VLOOKUP(YEAR(C3104),INPC!$B$4:$O$29,MONTH(C3104)+1))</f>
        <v>0</v>
      </c>
      <c r="L3104" s="462">
        <f>IF(S3104=0,0,VLOOKUP(YEAR(S3104),INPC!$B$4:$O$29,MONTH(S3104)+1))</f>
        <v>0</v>
      </c>
      <c r="M3104" s="463">
        <f t="shared" si="256"/>
        <v>0</v>
      </c>
      <c r="N3104" s="465">
        <f t="shared" si="257"/>
        <v>0</v>
      </c>
      <c r="O3104" s="179"/>
      <c r="P3104" s="180"/>
      <c r="Q3104" s="173"/>
      <c r="R3104" s="173"/>
      <c r="S3104" s="174"/>
      <c r="T3104" s="173"/>
      <c r="U3104" s="182"/>
      <c r="V3104" s="177">
        <f>IF(U3104=0,0,IF(T3104="MXN",1/HLOOKUP(YEAR(S3104)+(MONTH(S3104)/100),TC!$5:$37,DAY(S3104)+2,FALSE),VLOOKUP(T3104,Equivalencia!$1:$23,((MAX(Equivalencia!$3:$3)-YEAR(S3104))*14)+MONTH(S3104)+2,FALSE)))</f>
        <v>0</v>
      </c>
      <c r="W3104" s="178">
        <f t="shared" si="258"/>
        <v>0</v>
      </c>
      <c r="X3104" s="481">
        <f t="shared" si="259"/>
        <v>0</v>
      </c>
      <c r="Y3104" s="179"/>
      <c r="Z3104" s="466">
        <f t="shared" si="260"/>
        <v>0</v>
      </c>
      <c r="AA3104" s="473">
        <f t="shared" si="261"/>
        <v>0</v>
      </c>
      <c r="AB3104" s="339">
        <f t="shared" si="262"/>
        <v>0</v>
      </c>
    </row>
    <row r="3105" spans="2:28" ht="20.100000000000001" customHeight="1">
      <c r="B3105" s="172"/>
      <c r="C3105" s="174"/>
      <c r="D3105" s="181"/>
      <c r="E3105" s="173"/>
      <c r="F3105" s="176"/>
      <c r="G3105" s="175">
        <f t="shared" si="253"/>
        <v>0</v>
      </c>
      <c r="H3105" s="175">
        <f t="shared" si="254"/>
        <v>0</v>
      </c>
      <c r="I3105" s="177">
        <f>IF(G3105=0,0,IF(E3105="MXN",1/HLOOKUP(YEAR(C3105)+(MONTH(C3105)/100),TC!$5:$37,DAY(C3105)+2,FALSE),VLOOKUP(E3105,Equivalencia!$5:$23,((MAX(Equivalencia!$3:$3)-YEAR(C3105))*14)+MONTH(C3105)+2,FALSE)))</f>
        <v>0</v>
      </c>
      <c r="J3105" s="178">
        <f t="shared" si="255"/>
        <v>0</v>
      </c>
      <c r="K3105" s="462">
        <f>IF(C3105=0,0,VLOOKUP(YEAR(C3105),INPC!$B$4:$O$29,MONTH(C3105)+1))</f>
        <v>0</v>
      </c>
      <c r="L3105" s="462">
        <f>IF(S3105=0,0,VLOOKUP(YEAR(S3105),INPC!$B$4:$O$29,MONTH(S3105)+1))</f>
        <v>0</v>
      </c>
      <c r="M3105" s="463">
        <f t="shared" si="256"/>
        <v>0</v>
      </c>
      <c r="N3105" s="465">
        <f t="shared" si="257"/>
        <v>0</v>
      </c>
      <c r="O3105" s="179"/>
      <c r="P3105" s="180"/>
      <c r="Q3105" s="173"/>
      <c r="R3105" s="173"/>
      <c r="S3105" s="174"/>
      <c r="T3105" s="173"/>
      <c r="U3105" s="182"/>
      <c r="V3105" s="177">
        <f>IF(U3105=0,0,IF(T3105="MXN",1/HLOOKUP(YEAR(S3105)+(MONTH(S3105)/100),TC!$5:$37,DAY(S3105)+2,FALSE),VLOOKUP(T3105,Equivalencia!$1:$23,((MAX(Equivalencia!$3:$3)-YEAR(S3105))*14)+MONTH(S3105)+2,FALSE)))</f>
        <v>0</v>
      </c>
      <c r="W3105" s="178">
        <f t="shared" si="258"/>
        <v>0</v>
      </c>
      <c r="X3105" s="481">
        <f t="shared" si="259"/>
        <v>0</v>
      </c>
      <c r="Y3105" s="179"/>
      <c r="Z3105" s="466">
        <f t="shared" si="260"/>
        <v>0</v>
      </c>
      <c r="AA3105" s="473">
        <f t="shared" si="261"/>
        <v>0</v>
      </c>
      <c r="AB3105" s="339">
        <f t="shared" si="262"/>
        <v>0</v>
      </c>
    </row>
    <row r="3106" spans="2:28" ht="20.100000000000001" customHeight="1">
      <c r="B3106" s="172"/>
      <c r="C3106" s="174"/>
      <c r="D3106" s="181"/>
      <c r="E3106" s="173"/>
      <c r="F3106" s="176"/>
      <c r="G3106" s="175">
        <f t="shared" si="253"/>
        <v>0</v>
      </c>
      <c r="H3106" s="175">
        <f t="shared" si="254"/>
        <v>0</v>
      </c>
      <c r="I3106" s="177">
        <f>IF(G3106=0,0,IF(E3106="MXN",1/HLOOKUP(YEAR(C3106)+(MONTH(C3106)/100),TC!$5:$37,DAY(C3106)+2,FALSE),VLOOKUP(E3106,Equivalencia!$5:$23,((MAX(Equivalencia!$3:$3)-YEAR(C3106))*14)+MONTH(C3106)+2,FALSE)))</f>
        <v>0</v>
      </c>
      <c r="J3106" s="178">
        <f t="shared" si="255"/>
        <v>0</v>
      </c>
      <c r="K3106" s="462">
        <f>IF(C3106=0,0,VLOOKUP(YEAR(C3106),INPC!$B$4:$O$29,MONTH(C3106)+1))</f>
        <v>0</v>
      </c>
      <c r="L3106" s="462">
        <f>IF(S3106=0,0,VLOOKUP(YEAR(S3106),INPC!$B$4:$O$29,MONTH(S3106)+1))</f>
        <v>0</v>
      </c>
      <c r="M3106" s="463">
        <f t="shared" si="256"/>
        <v>0</v>
      </c>
      <c r="N3106" s="465">
        <f t="shared" si="257"/>
        <v>0</v>
      </c>
      <c r="O3106" s="179"/>
      <c r="P3106" s="180"/>
      <c r="Q3106" s="173"/>
      <c r="R3106" s="173"/>
      <c r="S3106" s="174"/>
      <c r="T3106" s="173"/>
      <c r="U3106" s="182"/>
      <c r="V3106" s="177">
        <f>IF(U3106=0,0,IF(T3106="MXN",1/HLOOKUP(YEAR(S3106)+(MONTH(S3106)/100),TC!$5:$37,DAY(S3106)+2,FALSE),VLOOKUP(T3106,Equivalencia!$1:$23,((MAX(Equivalencia!$3:$3)-YEAR(S3106))*14)+MONTH(S3106)+2,FALSE)))</f>
        <v>0</v>
      </c>
      <c r="W3106" s="178">
        <f t="shared" si="258"/>
        <v>0</v>
      </c>
      <c r="X3106" s="481">
        <f t="shared" si="259"/>
        <v>0</v>
      </c>
      <c r="Y3106" s="179"/>
      <c r="Z3106" s="466">
        <f t="shared" si="260"/>
        <v>0</v>
      </c>
      <c r="AA3106" s="473">
        <f t="shared" si="261"/>
        <v>0</v>
      </c>
      <c r="AB3106" s="339">
        <f t="shared" si="262"/>
        <v>0</v>
      </c>
    </row>
    <row r="3107" spans="2:28" ht="20.100000000000001" customHeight="1">
      <c r="B3107" s="172"/>
      <c r="C3107" s="174"/>
      <c r="D3107" s="181"/>
      <c r="E3107" s="173"/>
      <c r="F3107" s="176"/>
      <c r="G3107" s="175">
        <f t="shared" si="253"/>
        <v>0</v>
      </c>
      <c r="H3107" s="175">
        <f t="shared" si="254"/>
        <v>0</v>
      </c>
      <c r="I3107" s="177">
        <f>IF(G3107=0,0,IF(E3107="MXN",1/HLOOKUP(YEAR(C3107)+(MONTH(C3107)/100),TC!$5:$37,DAY(C3107)+2,FALSE),VLOOKUP(E3107,Equivalencia!$5:$23,((MAX(Equivalencia!$3:$3)-YEAR(C3107))*14)+MONTH(C3107)+2,FALSE)))</f>
        <v>0</v>
      </c>
      <c r="J3107" s="178">
        <f t="shared" si="255"/>
        <v>0</v>
      </c>
      <c r="K3107" s="462">
        <f>IF(C3107=0,0,VLOOKUP(YEAR(C3107),INPC!$B$4:$O$29,MONTH(C3107)+1))</f>
        <v>0</v>
      </c>
      <c r="L3107" s="462">
        <f>IF(S3107=0,0,VLOOKUP(YEAR(S3107),INPC!$B$4:$O$29,MONTH(S3107)+1))</f>
        <v>0</v>
      </c>
      <c r="M3107" s="463">
        <f t="shared" si="256"/>
        <v>0</v>
      </c>
      <c r="N3107" s="465">
        <f t="shared" si="257"/>
        <v>0</v>
      </c>
      <c r="O3107" s="179"/>
      <c r="P3107" s="180"/>
      <c r="Q3107" s="173"/>
      <c r="R3107" s="173"/>
      <c r="S3107" s="174"/>
      <c r="T3107" s="173"/>
      <c r="U3107" s="182"/>
      <c r="V3107" s="177">
        <f>IF(U3107=0,0,IF(T3107="MXN",1/HLOOKUP(YEAR(S3107)+(MONTH(S3107)/100),TC!$5:$37,DAY(S3107)+2,FALSE),VLOOKUP(T3107,Equivalencia!$1:$23,((MAX(Equivalencia!$3:$3)-YEAR(S3107))*14)+MONTH(S3107)+2,FALSE)))</f>
        <v>0</v>
      </c>
      <c r="W3107" s="178">
        <f t="shared" si="258"/>
        <v>0</v>
      </c>
      <c r="X3107" s="481">
        <f t="shared" si="259"/>
        <v>0</v>
      </c>
      <c r="Y3107" s="179"/>
      <c r="Z3107" s="466">
        <f t="shared" si="260"/>
        <v>0</v>
      </c>
      <c r="AA3107" s="473">
        <f t="shared" si="261"/>
        <v>0</v>
      </c>
      <c r="AB3107" s="339">
        <f t="shared" si="262"/>
        <v>0</v>
      </c>
    </row>
    <row r="3108" spans="2:28" ht="20.100000000000001" customHeight="1">
      <c r="B3108" s="172"/>
      <c r="C3108" s="174"/>
      <c r="D3108" s="181"/>
      <c r="E3108" s="173"/>
      <c r="F3108" s="176"/>
      <c r="G3108" s="175">
        <f t="shared" si="253"/>
        <v>0</v>
      </c>
      <c r="H3108" s="175">
        <f t="shared" si="254"/>
        <v>0</v>
      </c>
      <c r="I3108" s="177">
        <f>IF(G3108=0,0,IF(E3108="MXN",1/HLOOKUP(YEAR(C3108)+(MONTH(C3108)/100),TC!$5:$37,DAY(C3108)+2,FALSE),VLOOKUP(E3108,Equivalencia!$5:$23,((MAX(Equivalencia!$3:$3)-YEAR(C3108))*14)+MONTH(C3108)+2,FALSE)))</f>
        <v>0</v>
      </c>
      <c r="J3108" s="178">
        <f t="shared" si="255"/>
        <v>0</v>
      </c>
      <c r="K3108" s="462">
        <f>IF(C3108=0,0,VLOOKUP(YEAR(C3108),INPC!$B$4:$O$29,MONTH(C3108)+1))</f>
        <v>0</v>
      </c>
      <c r="L3108" s="462">
        <f>IF(S3108=0,0,VLOOKUP(YEAR(S3108),INPC!$B$4:$O$29,MONTH(S3108)+1))</f>
        <v>0</v>
      </c>
      <c r="M3108" s="463">
        <f t="shared" si="256"/>
        <v>0</v>
      </c>
      <c r="N3108" s="465">
        <f t="shared" si="257"/>
        <v>0</v>
      </c>
      <c r="O3108" s="179"/>
      <c r="P3108" s="180"/>
      <c r="Q3108" s="173"/>
      <c r="R3108" s="173"/>
      <c r="S3108" s="174"/>
      <c r="T3108" s="173"/>
      <c r="U3108" s="182"/>
      <c r="V3108" s="177">
        <f>IF(U3108=0,0,IF(T3108="MXN",1/HLOOKUP(YEAR(S3108)+(MONTH(S3108)/100),TC!$5:$37,DAY(S3108)+2,FALSE),VLOOKUP(T3108,Equivalencia!$1:$23,((MAX(Equivalencia!$3:$3)-YEAR(S3108))*14)+MONTH(S3108)+2,FALSE)))</f>
        <v>0</v>
      </c>
      <c r="W3108" s="178">
        <f t="shared" si="258"/>
        <v>0</v>
      </c>
      <c r="X3108" s="481">
        <f t="shared" si="259"/>
        <v>0</v>
      </c>
      <c r="Y3108" s="179"/>
      <c r="Z3108" s="466">
        <f t="shared" si="260"/>
        <v>0</v>
      </c>
      <c r="AA3108" s="473">
        <f t="shared" si="261"/>
        <v>0</v>
      </c>
      <c r="AB3108" s="339">
        <f t="shared" si="262"/>
        <v>0</v>
      </c>
    </row>
    <row r="3109" spans="2:28" ht="20.100000000000001" customHeight="1">
      <c r="B3109" s="172"/>
      <c r="C3109" s="174"/>
      <c r="D3109" s="181"/>
      <c r="E3109" s="173"/>
      <c r="F3109" s="176"/>
      <c r="G3109" s="175">
        <f t="shared" si="253"/>
        <v>0</v>
      </c>
      <c r="H3109" s="175">
        <f t="shared" si="254"/>
        <v>0</v>
      </c>
      <c r="I3109" s="177">
        <f>IF(G3109=0,0,IF(E3109="MXN",1/HLOOKUP(YEAR(C3109)+(MONTH(C3109)/100),TC!$5:$37,DAY(C3109)+2,FALSE),VLOOKUP(E3109,Equivalencia!$5:$23,((MAX(Equivalencia!$3:$3)-YEAR(C3109))*14)+MONTH(C3109)+2,FALSE)))</f>
        <v>0</v>
      </c>
      <c r="J3109" s="178">
        <f t="shared" si="255"/>
        <v>0</v>
      </c>
      <c r="K3109" s="462">
        <f>IF(C3109=0,0,VLOOKUP(YEAR(C3109),INPC!$B$4:$O$29,MONTH(C3109)+1))</f>
        <v>0</v>
      </c>
      <c r="L3109" s="462">
        <f>IF(S3109=0,0,VLOOKUP(YEAR(S3109),INPC!$B$4:$O$29,MONTH(S3109)+1))</f>
        <v>0</v>
      </c>
      <c r="M3109" s="463">
        <f t="shared" si="256"/>
        <v>0</v>
      </c>
      <c r="N3109" s="465">
        <f t="shared" si="257"/>
        <v>0</v>
      </c>
      <c r="O3109" s="179"/>
      <c r="P3109" s="180"/>
      <c r="Q3109" s="173"/>
      <c r="R3109" s="173"/>
      <c r="S3109" s="174"/>
      <c r="T3109" s="173"/>
      <c r="U3109" s="182"/>
      <c r="V3109" s="177">
        <f>IF(U3109=0,0,IF(T3109="MXN",1/HLOOKUP(YEAR(S3109)+(MONTH(S3109)/100),TC!$5:$37,DAY(S3109)+2,FALSE),VLOOKUP(T3109,Equivalencia!$1:$23,((MAX(Equivalencia!$3:$3)-YEAR(S3109))*14)+MONTH(S3109)+2,FALSE)))</f>
        <v>0</v>
      </c>
      <c r="W3109" s="178">
        <f t="shared" si="258"/>
        <v>0</v>
      </c>
      <c r="X3109" s="481">
        <f t="shared" si="259"/>
        <v>0</v>
      </c>
      <c r="Y3109" s="179"/>
      <c r="Z3109" s="466">
        <f t="shared" si="260"/>
        <v>0</v>
      </c>
      <c r="AA3109" s="473">
        <f t="shared" si="261"/>
        <v>0</v>
      </c>
      <c r="AB3109" s="339">
        <f t="shared" si="262"/>
        <v>0</v>
      </c>
    </row>
    <row r="3110" spans="2:28" ht="20.100000000000001" customHeight="1">
      <c r="B3110" s="172"/>
      <c r="C3110" s="174"/>
      <c r="D3110" s="181"/>
      <c r="E3110" s="173"/>
      <c r="F3110" s="176"/>
      <c r="G3110" s="175">
        <f t="shared" si="253"/>
        <v>0</v>
      </c>
      <c r="H3110" s="175">
        <f t="shared" si="254"/>
        <v>0</v>
      </c>
      <c r="I3110" s="177">
        <f>IF(G3110=0,0,IF(E3110="MXN",1/HLOOKUP(YEAR(C3110)+(MONTH(C3110)/100),TC!$5:$37,DAY(C3110)+2,FALSE),VLOOKUP(E3110,Equivalencia!$5:$23,((MAX(Equivalencia!$3:$3)-YEAR(C3110))*14)+MONTH(C3110)+2,FALSE)))</f>
        <v>0</v>
      </c>
      <c r="J3110" s="178">
        <f t="shared" si="255"/>
        <v>0</v>
      </c>
      <c r="K3110" s="462">
        <f>IF(C3110=0,0,VLOOKUP(YEAR(C3110),INPC!$B$4:$O$29,MONTH(C3110)+1))</f>
        <v>0</v>
      </c>
      <c r="L3110" s="462">
        <f>IF(S3110=0,0,VLOOKUP(YEAR(S3110),INPC!$B$4:$O$29,MONTH(S3110)+1))</f>
        <v>0</v>
      </c>
      <c r="M3110" s="463">
        <f t="shared" si="256"/>
        <v>0</v>
      </c>
      <c r="N3110" s="465">
        <f t="shared" si="257"/>
        <v>0</v>
      </c>
      <c r="O3110" s="179"/>
      <c r="P3110" s="180"/>
      <c r="Q3110" s="173"/>
      <c r="R3110" s="173"/>
      <c r="S3110" s="174"/>
      <c r="T3110" s="173"/>
      <c r="U3110" s="182"/>
      <c r="V3110" s="177">
        <f>IF(U3110=0,0,IF(T3110="MXN",1/HLOOKUP(YEAR(S3110)+(MONTH(S3110)/100),TC!$5:$37,DAY(S3110)+2,FALSE),VLOOKUP(T3110,Equivalencia!$1:$23,((MAX(Equivalencia!$3:$3)-YEAR(S3110))*14)+MONTH(S3110)+2,FALSE)))</f>
        <v>0</v>
      </c>
      <c r="W3110" s="178">
        <f t="shared" si="258"/>
        <v>0</v>
      </c>
      <c r="X3110" s="481">
        <f t="shared" si="259"/>
        <v>0</v>
      </c>
      <c r="Y3110" s="179"/>
      <c r="Z3110" s="466">
        <f t="shared" si="260"/>
        <v>0</v>
      </c>
      <c r="AA3110" s="473">
        <f t="shared" si="261"/>
        <v>0</v>
      </c>
      <c r="AB3110" s="339">
        <f t="shared" si="262"/>
        <v>0</v>
      </c>
    </row>
    <row r="3111" spans="2:28" ht="20.100000000000001" customHeight="1">
      <c r="B3111" s="172"/>
      <c r="C3111" s="174"/>
      <c r="D3111" s="181"/>
      <c r="E3111" s="173"/>
      <c r="F3111" s="176"/>
      <c r="G3111" s="175">
        <f t="shared" si="253"/>
        <v>0</v>
      </c>
      <c r="H3111" s="175">
        <f t="shared" si="254"/>
        <v>0</v>
      </c>
      <c r="I3111" s="177">
        <f>IF(G3111=0,0,IF(E3111="MXN",1/HLOOKUP(YEAR(C3111)+(MONTH(C3111)/100),TC!$5:$37,DAY(C3111)+2,FALSE),VLOOKUP(E3111,Equivalencia!$5:$23,((MAX(Equivalencia!$3:$3)-YEAR(C3111))*14)+MONTH(C3111)+2,FALSE)))</f>
        <v>0</v>
      </c>
      <c r="J3111" s="178">
        <f t="shared" si="255"/>
        <v>0</v>
      </c>
      <c r="K3111" s="462">
        <f>IF(C3111=0,0,VLOOKUP(YEAR(C3111),INPC!$B$4:$O$29,MONTH(C3111)+1))</f>
        <v>0</v>
      </c>
      <c r="L3111" s="462">
        <f>IF(S3111=0,0,VLOOKUP(YEAR(S3111),INPC!$B$4:$O$29,MONTH(S3111)+1))</f>
        <v>0</v>
      </c>
      <c r="M3111" s="463">
        <f t="shared" si="256"/>
        <v>0</v>
      </c>
      <c r="N3111" s="465">
        <f t="shared" si="257"/>
        <v>0</v>
      </c>
      <c r="O3111" s="179"/>
      <c r="P3111" s="180"/>
      <c r="Q3111" s="173"/>
      <c r="R3111" s="173"/>
      <c r="S3111" s="174"/>
      <c r="T3111" s="173"/>
      <c r="U3111" s="182"/>
      <c r="V3111" s="177">
        <f>IF(U3111=0,0,IF(T3111="MXN",1/HLOOKUP(YEAR(S3111)+(MONTH(S3111)/100),TC!$5:$37,DAY(S3111)+2,FALSE),VLOOKUP(T3111,Equivalencia!$1:$23,((MAX(Equivalencia!$3:$3)-YEAR(S3111))*14)+MONTH(S3111)+2,FALSE)))</f>
        <v>0</v>
      </c>
      <c r="W3111" s="178">
        <f t="shared" si="258"/>
        <v>0</v>
      </c>
      <c r="X3111" s="481">
        <f t="shared" si="259"/>
        <v>0</v>
      </c>
      <c r="Y3111" s="179"/>
      <c r="Z3111" s="466">
        <f t="shared" si="260"/>
        <v>0</v>
      </c>
      <c r="AA3111" s="473">
        <f t="shared" si="261"/>
        <v>0</v>
      </c>
      <c r="AB3111" s="339">
        <f t="shared" si="262"/>
        <v>0</v>
      </c>
    </row>
    <row r="3112" spans="2:28" ht="20.100000000000001" customHeight="1">
      <c r="B3112" s="172"/>
      <c r="C3112" s="174"/>
      <c r="D3112" s="181"/>
      <c r="E3112" s="173"/>
      <c r="F3112" s="176"/>
      <c r="G3112" s="175">
        <f t="shared" si="253"/>
        <v>0</v>
      </c>
      <c r="H3112" s="175">
        <f t="shared" si="254"/>
        <v>0</v>
      </c>
      <c r="I3112" s="177">
        <f>IF(G3112=0,0,IF(E3112="MXN",1/HLOOKUP(YEAR(C3112)+(MONTH(C3112)/100),TC!$5:$37,DAY(C3112)+2,FALSE),VLOOKUP(E3112,Equivalencia!$5:$23,((MAX(Equivalencia!$3:$3)-YEAR(C3112))*14)+MONTH(C3112)+2,FALSE)))</f>
        <v>0</v>
      </c>
      <c r="J3112" s="178">
        <f t="shared" si="255"/>
        <v>0</v>
      </c>
      <c r="K3112" s="462">
        <f>IF(C3112=0,0,VLOOKUP(YEAR(C3112),INPC!$B$4:$O$29,MONTH(C3112)+1))</f>
        <v>0</v>
      </c>
      <c r="L3112" s="462">
        <f>IF(S3112=0,0,VLOOKUP(YEAR(S3112),INPC!$B$4:$O$29,MONTH(S3112)+1))</f>
        <v>0</v>
      </c>
      <c r="M3112" s="463">
        <f t="shared" si="256"/>
        <v>0</v>
      </c>
      <c r="N3112" s="465">
        <f t="shared" si="257"/>
        <v>0</v>
      </c>
      <c r="O3112" s="179"/>
      <c r="P3112" s="180"/>
      <c r="Q3112" s="173"/>
      <c r="R3112" s="173"/>
      <c r="S3112" s="174"/>
      <c r="T3112" s="173"/>
      <c r="U3112" s="182"/>
      <c r="V3112" s="177">
        <f>IF(U3112=0,0,IF(T3112="MXN",1/HLOOKUP(YEAR(S3112)+(MONTH(S3112)/100),TC!$5:$37,DAY(S3112)+2,FALSE),VLOOKUP(T3112,Equivalencia!$1:$23,((MAX(Equivalencia!$3:$3)-YEAR(S3112))*14)+MONTH(S3112)+2,FALSE)))</f>
        <v>0</v>
      </c>
      <c r="W3112" s="178">
        <f t="shared" si="258"/>
        <v>0</v>
      </c>
      <c r="X3112" s="481">
        <f t="shared" si="259"/>
        <v>0</v>
      </c>
      <c r="Y3112" s="179"/>
      <c r="Z3112" s="466">
        <f t="shared" si="260"/>
        <v>0</v>
      </c>
      <c r="AA3112" s="473">
        <f t="shared" si="261"/>
        <v>0</v>
      </c>
      <c r="AB3112" s="339">
        <f t="shared" si="262"/>
        <v>0</v>
      </c>
    </row>
    <row r="3113" spans="2:28" ht="20.100000000000001" customHeight="1">
      <c r="B3113" s="172"/>
      <c r="C3113" s="174"/>
      <c r="D3113" s="181"/>
      <c r="E3113" s="173"/>
      <c r="F3113" s="176"/>
      <c r="G3113" s="175">
        <f t="shared" si="253"/>
        <v>0</v>
      </c>
      <c r="H3113" s="175">
        <f t="shared" si="254"/>
        <v>0</v>
      </c>
      <c r="I3113" s="177">
        <f>IF(G3113=0,0,IF(E3113="MXN",1/HLOOKUP(YEAR(C3113)+(MONTH(C3113)/100),TC!$5:$37,DAY(C3113)+2,FALSE),VLOOKUP(E3113,Equivalencia!$5:$23,((MAX(Equivalencia!$3:$3)-YEAR(C3113))*14)+MONTH(C3113)+2,FALSE)))</f>
        <v>0</v>
      </c>
      <c r="J3113" s="178">
        <f t="shared" si="255"/>
        <v>0</v>
      </c>
      <c r="K3113" s="462">
        <f>IF(C3113=0,0,VLOOKUP(YEAR(C3113),INPC!$B$4:$O$29,MONTH(C3113)+1))</f>
        <v>0</v>
      </c>
      <c r="L3113" s="462">
        <f>IF(S3113=0,0,VLOOKUP(YEAR(S3113),INPC!$B$4:$O$29,MONTH(S3113)+1))</f>
        <v>0</v>
      </c>
      <c r="M3113" s="463">
        <f t="shared" si="256"/>
        <v>0</v>
      </c>
      <c r="N3113" s="465">
        <f t="shared" si="257"/>
        <v>0</v>
      </c>
      <c r="O3113" s="179"/>
      <c r="P3113" s="180"/>
      <c r="Q3113" s="173"/>
      <c r="R3113" s="173"/>
      <c r="S3113" s="174"/>
      <c r="T3113" s="173"/>
      <c r="U3113" s="182"/>
      <c r="V3113" s="177">
        <f>IF(U3113=0,0,IF(T3113="MXN",1/HLOOKUP(YEAR(S3113)+(MONTH(S3113)/100),TC!$5:$37,DAY(S3113)+2,FALSE),VLOOKUP(T3113,Equivalencia!$1:$23,((MAX(Equivalencia!$3:$3)-YEAR(S3113))*14)+MONTH(S3113)+2,FALSE)))</f>
        <v>0</v>
      </c>
      <c r="W3113" s="178">
        <f t="shared" si="258"/>
        <v>0</v>
      </c>
      <c r="X3113" s="481">
        <f t="shared" si="259"/>
        <v>0</v>
      </c>
      <c r="Y3113" s="179"/>
      <c r="Z3113" s="466">
        <f t="shared" si="260"/>
        <v>0</v>
      </c>
      <c r="AA3113" s="473">
        <f t="shared" si="261"/>
        <v>0</v>
      </c>
      <c r="AB3113" s="339">
        <f t="shared" si="262"/>
        <v>0</v>
      </c>
    </row>
    <row r="3114" spans="2:28" ht="20.100000000000001" customHeight="1">
      <c r="B3114" s="172"/>
      <c r="C3114" s="174"/>
      <c r="D3114" s="181"/>
      <c r="E3114" s="173"/>
      <c r="F3114" s="176"/>
      <c r="G3114" s="175">
        <f t="shared" si="253"/>
        <v>0</v>
      </c>
      <c r="H3114" s="175">
        <f t="shared" si="254"/>
        <v>0</v>
      </c>
      <c r="I3114" s="177">
        <f>IF(G3114=0,0,IF(E3114="MXN",1/HLOOKUP(YEAR(C3114)+(MONTH(C3114)/100),TC!$5:$37,DAY(C3114)+2,FALSE),VLOOKUP(E3114,Equivalencia!$5:$23,((MAX(Equivalencia!$3:$3)-YEAR(C3114))*14)+MONTH(C3114)+2,FALSE)))</f>
        <v>0</v>
      </c>
      <c r="J3114" s="178">
        <f t="shared" si="255"/>
        <v>0</v>
      </c>
      <c r="K3114" s="462">
        <f>IF(C3114=0,0,VLOOKUP(YEAR(C3114),INPC!$B$4:$O$29,MONTH(C3114)+1))</f>
        <v>0</v>
      </c>
      <c r="L3114" s="462">
        <f>IF(S3114=0,0,VLOOKUP(YEAR(S3114),INPC!$B$4:$O$29,MONTH(S3114)+1))</f>
        <v>0</v>
      </c>
      <c r="M3114" s="463">
        <f t="shared" si="256"/>
        <v>0</v>
      </c>
      <c r="N3114" s="465">
        <f t="shared" si="257"/>
        <v>0</v>
      </c>
      <c r="O3114" s="179"/>
      <c r="P3114" s="180"/>
      <c r="Q3114" s="173"/>
      <c r="R3114" s="173"/>
      <c r="S3114" s="174"/>
      <c r="T3114" s="173"/>
      <c r="U3114" s="182"/>
      <c r="V3114" s="177">
        <f>IF(U3114=0,0,IF(T3114="MXN",1/HLOOKUP(YEAR(S3114)+(MONTH(S3114)/100),TC!$5:$37,DAY(S3114)+2,FALSE),VLOOKUP(T3114,Equivalencia!$1:$23,((MAX(Equivalencia!$3:$3)-YEAR(S3114))*14)+MONTH(S3114)+2,FALSE)))</f>
        <v>0</v>
      </c>
      <c r="W3114" s="178">
        <f t="shared" si="258"/>
        <v>0</v>
      </c>
      <c r="X3114" s="481">
        <f t="shared" si="259"/>
        <v>0</v>
      </c>
      <c r="Y3114" s="179"/>
      <c r="Z3114" s="466">
        <f t="shared" si="260"/>
        <v>0</v>
      </c>
      <c r="AA3114" s="473">
        <f t="shared" si="261"/>
        <v>0</v>
      </c>
      <c r="AB3114" s="339">
        <f t="shared" si="262"/>
        <v>0</v>
      </c>
    </row>
    <row r="3115" spans="2:28" ht="20.100000000000001" customHeight="1">
      <c r="B3115" s="172"/>
      <c r="C3115" s="174"/>
      <c r="D3115" s="181"/>
      <c r="E3115" s="173"/>
      <c r="F3115" s="176"/>
      <c r="G3115" s="175">
        <f t="shared" si="253"/>
        <v>0</v>
      </c>
      <c r="H3115" s="175">
        <f t="shared" si="254"/>
        <v>0</v>
      </c>
      <c r="I3115" s="177">
        <f>IF(G3115=0,0,IF(E3115="MXN",1/HLOOKUP(YEAR(C3115)+(MONTH(C3115)/100),TC!$5:$37,DAY(C3115)+2,FALSE),VLOOKUP(E3115,Equivalencia!$5:$23,((MAX(Equivalencia!$3:$3)-YEAR(C3115))*14)+MONTH(C3115)+2,FALSE)))</f>
        <v>0</v>
      </c>
      <c r="J3115" s="178">
        <f t="shared" si="255"/>
        <v>0</v>
      </c>
      <c r="K3115" s="462">
        <f>IF(C3115=0,0,VLOOKUP(YEAR(C3115),INPC!$B$4:$O$29,MONTH(C3115)+1))</f>
        <v>0</v>
      </c>
      <c r="L3115" s="462">
        <f>IF(S3115=0,0,VLOOKUP(YEAR(S3115),INPC!$B$4:$O$29,MONTH(S3115)+1))</f>
        <v>0</v>
      </c>
      <c r="M3115" s="463">
        <f t="shared" si="256"/>
        <v>0</v>
      </c>
      <c r="N3115" s="465">
        <f t="shared" si="257"/>
        <v>0</v>
      </c>
      <c r="O3115" s="179"/>
      <c r="P3115" s="180"/>
      <c r="Q3115" s="173"/>
      <c r="R3115" s="173"/>
      <c r="S3115" s="174"/>
      <c r="T3115" s="173"/>
      <c r="U3115" s="182"/>
      <c r="V3115" s="177">
        <f>IF(U3115=0,0,IF(T3115="MXN",1/HLOOKUP(YEAR(S3115)+(MONTH(S3115)/100),TC!$5:$37,DAY(S3115)+2,FALSE),VLOOKUP(T3115,Equivalencia!$1:$23,((MAX(Equivalencia!$3:$3)-YEAR(S3115))*14)+MONTH(S3115)+2,FALSE)))</f>
        <v>0</v>
      </c>
      <c r="W3115" s="178">
        <f t="shared" si="258"/>
        <v>0</v>
      </c>
      <c r="X3115" s="481">
        <f t="shared" si="259"/>
        <v>0</v>
      </c>
      <c r="Y3115" s="179"/>
      <c r="Z3115" s="466">
        <f t="shared" si="260"/>
        <v>0</v>
      </c>
      <c r="AA3115" s="473">
        <f t="shared" si="261"/>
        <v>0</v>
      </c>
      <c r="AB3115" s="339">
        <f t="shared" si="262"/>
        <v>0</v>
      </c>
    </row>
    <row r="3116" spans="2:28" ht="20.100000000000001" customHeight="1">
      <c r="B3116" s="172"/>
      <c r="C3116" s="174"/>
      <c r="D3116" s="181"/>
      <c r="E3116" s="173"/>
      <c r="F3116" s="176"/>
      <c r="G3116" s="175">
        <f t="shared" si="253"/>
        <v>0</v>
      </c>
      <c r="H3116" s="175">
        <f t="shared" si="254"/>
        <v>0</v>
      </c>
      <c r="I3116" s="177">
        <f>IF(G3116=0,0,IF(E3116="MXN",1/HLOOKUP(YEAR(C3116)+(MONTH(C3116)/100),TC!$5:$37,DAY(C3116)+2,FALSE),VLOOKUP(E3116,Equivalencia!$5:$23,((MAX(Equivalencia!$3:$3)-YEAR(C3116))*14)+MONTH(C3116)+2,FALSE)))</f>
        <v>0</v>
      </c>
      <c r="J3116" s="178">
        <f t="shared" si="255"/>
        <v>0</v>
      </c>
      <c r="K3116" s="462">
        <f>IF(C3116=0,0,VLOOKUP(YEAR(C3116),INPC!$B$4:$O$29,MONTH(C3116)+1))</f>
        <v>0</v>
      </c>
      <c r="L3116" s="462">
        <f>IF(S3116=0,0,VLOOKUP(YEAR(S3116),INPC!$B$4:$O$29,MONTH(S3116)+1))</f>
        <v>0</v>
      </c>
      <c r="M3116" s="463">
        <f t="shared" si="256"/>
        <v>0</v>
      </c>
      <c r="N3116" s="465">
        <f t="shared" si="257"/>
        <v>0</v>
      </c>
      <c r="O3116" s="179"/>
      <c r="P3116" s="180"/>
      <c r="Q3116" s="173"/>
      <c r="R3116" s="173"/>
      <c r="S3116" s="174"/>
      <c r="T3116" s="173"/>
      <c r="U3116" s="182"/>
      <c r="V3116" s="177">
        <f>IF(U3116=0,0,IF(T3116="MXN",1/HLOOKUP(YEAR(S3116)+(MONTH(S3116)/100),TC!$5:$37,DAY(S3116)+2,FALSE),VLOOKUP(T3116,Equivalencia!$1:$23,((MAX(Equivalencia!$3:$3)-YEAR(S3116))*14)+MONTH(S3116)+2,FALSE)))</f>
        <v>0</v>
      </c>
      <c r="W3116" s="178">
        <f t="shared" si="258"/>
        <v>0</v>
      </c>
      <c r="X3116" s="481">
        <f t="shared" si="259"/>
        <v>0</v>
      </c>
      <c r="Y3116" s="179"/>
      <c r="Z3116" s="466">
        <f t="shared" si="260"/>
        <v>0</v>
      </c>
      <c r="AA3116" s="473">
        <f t="shared" si="261"/>
        <v>0</v>
      </c>
      <c r="AB3116" s="339">
        <f t="shared" si="262"/>
        <v>0</v>
      </c>
    </row>
    <row r="3117" spans="2:28" ht="20.100000000000001" customHeight="1">
      <c r="B3117" s="172"/>
      <c r="C3117" s="174"/>
      <c r="D3117" s="181"/>
      <c r="E3117" s="173"/>
      <c r="F3117" s="176"/>
      <c r="G3117" s="175">
        <f t="shared" si="253"/>
        <v>0</v>
      </c>
      <c r="H3117" s="175">
        <f t="shared" si="254"/>
        <v>0</v>
      </c>
      <c r="I3117" s="177">
        <f>IF(G3117=0,0,IF(E3117="MXN",1/HLOOKUP(YEAR(C3117)+(MONTH(C3117)/100),TC!$5:$37,DAY(C3117)+2,FALSE),VLOOKUP(E3117,Equivalencia!$5:$23,((MAX(Equivalencia!$3:$3)-YEAR(C3117))*14)+MONTH(C3117)+2,FALSE)))</f>
        <v>0</v>
      </c>
      <c r="J3117" s="178">
        <f t="shared" si="255"/>
        <v>0</v>
      </c>
      <c r="K3117" s="462">
        <f>IF(C3117=0,0,VLOOKUP(YEAR(C3117),INPC!$B$4:$O$29,MONTH(C3117)+1))</f>
        <v>0</v>
      </c>
      <c r="L3117" s="462">
        <f>IF(S3117=0,0,VLOOKUP(YEAR(S3117),INPC!$B$4:$O$29,MONTH(S3117)+1))</f>
        <v>0</v>
      </c>
      <c r="M3117" s="463">
        <f t="shared" si="256"/>
        <v>0</v>
      </c>
      <c r="N3117" s="465">
        <f t="shared" si="257"/>
        <v>0</v>
      </c>
      <c r="O3117" s="179"/>
      <c r="P3117" s="180"/>
      <c r="Q3117" s="173"/>
      <c r="R3117" s="173"/>
      <c r="S3117" s="174"/>
      <c r="T3117" s="173"/>
      <c r="U3117" s="182"/>
      <c r="V3117" s="177">
        <f>IF(U3117=0,0,IF(T3117="MXN",1/HLOOKUP(YEAR(S3117)+(MONTH(S3117)/100),TC!$5:$37,DAY(S3117)+2,FALSE),VLOOKUP(T3117,Equivalencia!$1:$23,((MAX(Equivalencia!$3:$3)-YEAR(S3117))*14)+MONTH(S3117)+2,FALSE)))</f>
        <v>0</v>
      </c>
      <c r="W3117" s="178">
        <f t="shared" si="258"/>
        <v>0</v>
      </c>
      <c r="X3117" s="481">
        <f t="shared" si="259"/>
        <v>0</v>
      </c>
      <c r="Y3117" s="179"/>
      <c r="Z3117" s="466">
        <f t="shared" si="260"/>
        <v>0</v>
      </c>
      <c r="AA3117" s="473">
        <f t="shared" si="261"/>
        <v>0</v>
      </c>
      <c r="AB3117" s="339">
        <f t="shared" si="262"/>
        <v>0</v>
      </c>
    </row>
    <row r="3118" spans="2:28" ht="20.100000000000001" customHeight="1">
      <c r="B3118" s="172"/>
      <c r="C3118" s="174"/>
      <c r="D3118" s="181"/>
      <c r="E3118" s="173"/>
      <c r="F3118" s="176"/>
      <c r="G3118" s="175">
        <f t="shared" si="253"/>
        <v>0</v>
      </c>
      <c r="H3118" s="175">
        <f t="shared" si="254"/>
        <v>0</v>
      </c>
      <c r="I3118" s="177">
        <f>IF(G3118=0,0,IF(E3118="MXN",1/HLOOKUP(YEAR(C3118)+(MONTH(C3118)/100),TC!$5:$37,DAY(C3118)+2,FALSE),VLOOKUP(E3118,Equivalencia!$5:$23,((MAX(Equivalencia!$3:$3)-YEAR(C3118))*14)+MONTH(C3118)+2,FALSE)))</f>
        <v>0</v>
      </c>
      <c r="J3118" s="178">
        <f t="shared" si="255"/>
        <v>0</v>
      </c>
      <c r="K3118" s="462">
        <f>IF(C3118=0,0,VLOOKUP(YEAR(C3118),INPC!$B$4:$O$29,MONTH(C3118)+1))</f>
        <v>0</v>
      </c>
      <c r="L3118" s="462">
        <f>IF(S3118=0,0,VLOOKUP(YEAR(S3118),INPC!$B$4:$O$29,MONTH(S3118)+1))</f>
        <v>0</v>
      </c>
      <c r="M3118" s="463">
        <f t="shared" si="256"/>
        <v>0</v>
      </c>
      <c r="N3118" s="465">
        <f t="shared" si="257"/>
        <v>0</v>
      </c>
      <c r="O3118" s="179"/>
      <c r="P3118" s="180"/>
      <c r="Q3118" s="173"/>
      <c r="R3118" s="173"/>
      <c r="S3118" s="174"/>
      <c r="T3118" s="173"/>
      <c r="U3118" s="182"/>
      <c r="V3118" s="177">
        <f>IF(U3118=0,0,IF(T3118="MXN",1/HLOOKUP(YEAR(S3118)+(MONTH(S3118)/100),TC!$5:$37,DAY(S3118)+2,FALSE),VLOOKUP(T3118,Equivalencia!$1:$23,((MAX(Equivalencia!$3:$3)-YEAR(S3118))*14)+MONTH(S3118)+2,FALSE)))</f>
        <v>0</v>
      </c>
      <c r="W3118" s="178">
        <f t="shared" si="258"/>
        <v>0</v>
      </c>
      <c r="X3118" s="481">
        <f t="shared" si="259"/>
        <v>0</v>
      </c>
      <c r="Y3118" s="179"/>
      <c r="Z3118" s="466">
        <f t="shared" si="260"/>
        <v>0</v>
      </c>
      <c r="AA3118" s="473">
        <f t="shared" si="261"/>
        <v>0</v>
      </c>
      <c r="AB3118" s="339">
        <f t="shared" si="262"/>
        <v>0</v>
      </c>
    </row>
    <row r="3119" spans="2:28" ht="20.100000000000001" customHeight="1">
      <c r="B3119" s="172"/>
      <c r="C3119" s="174"/>
      <c r="D3119" s="181"/>
      <c r="E3119" s="173"/>
      <c r="F3119" s="176"/>
      <c r="G3119" s="175">
        <f t="shared" si="253"/>
        <v>0</v>
      </c>
      <c r="H3119" s="175">
        <f t="shared" si="254"/>
        <v>0</v>
      </c>
      <c r="I3119" s="177">
        <f>IF(G3119=0,0,IF(E3119="MXN",1/HLOOKUP(YEAR(C3119)+(MONTH(C3119)/100),TC!$5:$37,DAY(C3119)+2,FALSE),VLOOKUP(E3119,Equivalencia!$5:$23,((MAX(Equivalencia!$3:$3)-YEAR(C3119))*14)+MONTH(C3119)+2,FALSE)))</f>
        <v>0</v>
      </c>
      <c r="J3119" s="178">
        <f t="shared" si="255"/>
        <v>0</v>
      </c>
      <c r="K3119" s="462">
        <f>IF(C3119=0,0,VLOOKUP(YEAR(C3119),INPC!$B$4:$O$29,MONTH(C3119)+1))</f>
        <v>0</v>
      </c>
      <c r="L3119" s="462">
        <f>IF(S3119=0,0,VLOOKUP(YEAR(S3119),INPC!$B$4:$O$29,MONTH(S3119)+1))</f>
        <v>0</v>
      </c>
      <c r="M3119" s="463">
        <f t="shared" si="256"/>
        <v>0</v>
      </c>
      <c r="N3119" s="465">
        <f t="shared" si="257"/>
        <v>0</v>
      </c>
      <c r="O3119" s="179"/>
      <c r="P3119" s="180"/>
      <c r="Q3119" s="173"/>
      <c r="R3119" s="173"/>
      <c r="S3119" s="174"/>
      <c r="T3119" s="173"/>
      <c r="U3119" s="182"/>
      <c r="V3119" s="177">
        <f>IF(U3119=0,0,IF(T3119="MXN",1/HLOOKUP(YEAR(S3119)+(MONTH(S3119)/100),TC!$5:$37,DAY(S3119)+2,FALSE),VLOOKUP(T3119,Equivalencia!$1:$23,((MAX(Equivalencia!$3:$3)-YEAR(S3119))*14)+MONTH(S3119)+2,FALSE)))</f>
        <v>0</v>
      </c>
      <c r="W3119" s="178">
        <f t="shared" si="258"/>
        <v>0</v>
      </c>
      <c r="X3119" s="481">
        <f t="shared" si="259"/>
        <v>0</v>
      </c>
      <c r="Y3119" s="179"/>
      <c r="Z3119" s="466">
        <f t="shared" si="260"/>
        <v>0</v>
      </c>
      <c r="AA3119" s="473">
        <f t="shared" si="261"/>
        <v>0</v>
      </c>
      <c r="AB3119" s="339">
        <f t="shared" si="262"/>
        <v>0</v>
      </c>
    </row>
    <row r="3120" spans="2:28" ht="20.100000000000001" customHeight="1">
      <c r="B3120" s="172"/>
      <c r="C3120" s="174"/>
      <c r="D3120" s="181"/>
      <c r="E3120" s="173"/>
      <c r="F3120" s="176"/>
      <c r="G3120" s="175">
        <f t="shared" si="253"/>
        <v>0</v>
      </c>
      <c r="H3120" s="175">
        <f t="shared" si="254"/>
        <v>0</v>
      </c>
      <c r="I3120" s="177">
        <f>IF(G3120=0,0,IF(E3120="MXN",1/HLOOKUP(YEAR(C3120)+(MONTH(C3120)/100),TC!$5:$37,DAY(C3120)+2,FALSE),VLOOKUP(E3120,Equivalencia!$5:$23,((MAX(Equivalencia!$3:$3)-YEAR(C3120))*14)+MONTH(C3120)+2,FALSE)))</f>
        <v>0</v>
      </c>
      <c r="J3120" s="178">
        <f t="shared" si="255"/>
        <v>0</v>
      </c>
      <c r="K3120" s="462">
        <f>IF(C3120=0,0,VLOOKUP(YEAR(C3120),INPC!$B$4:$O$29,MONTH(C3120)+1))</f>
        <v>0</v>
      </c>
      <c r="L3120" s="462">
        <f>IF(S3120=0,0,VLOOKUP(YEAR(S3120),INPC!$B$4:$O$29,MONTH(S3120)+1))</f>
        <v>0</v>
      </c>
      <c r="M3120" s="463">
        <f t="shared" si="256"/>
        <v>0</v>
      </c>
      <c r="N3120" s="465">
        <f t="shared" si="257"/>
        <v>0</v>
      </c>
      <c r="O3120" s="179"/>
      <c r="P3120" s="180"/>
      <c r="Q3120" s="173"/>
      <c r="R3120" s="173"/>
      <c r="S3120" s="174"/>
      <c r="T3120" s="173"/>
      <c r="U3120" s="182"/>
      <c r="V3120" s="177">
        <f>IF(U3120=0,0,IF(T3120="MXN",1/HLOOKUP(YEAR(S3120)+(MONTH(S3120)/100),TC!$5:$37,DAY(S3120)+2,FALSE),VLOOKUP(T3120,Equivalencia!$1:$23,((MAX(Equivalencia!$3:$3)-YEAR(S3120))*14)+MONTH(S3120)+2,FALSE)))</f>
        <v>0</v>
      </c>
      <c r="W3120" s="178">
        <f t="shared" si="258"/>
        <v>0</v>
      </c>
      <c r="X3120" s="481">
        <f t="shared" si="259"/>
        <v>0</v>
      </c>
      <c r="Y3120" s="179"/>
      <c r="Z3120" s="466">
        <f t="shared" si="260"/>
        <v>0</v>
      </c>
      <c r="AA3120" s="473">
        <f t="shared" si="261"/>
        <v>0</v>
      </c>
      <c r="AB3120" s="339">
        <f t="shared" si="262"/>
        <v>0</v>
      </c>
    </row>
    <row r="3121" spans="2:28" ht="20.100000000000001" customHeight="1">
      <c r="B3121" s="172"/>
      <c r="C3121" s="174"/>
      <c r="D3121" s="181"/>
      <c r="E3121" s="173"/>
      <c r="F3121" s="176"/>
      <c r="G3121" s="175">
        <f t="shared" si="253"/>
        <v>0</v>
      </c>
      <c r="H3121" s="175">
        <f t="shared" si="254"/>
        <v>0</v>
      </c>
      <c r="I3121" s="177">
        <f>IF(G3121=0,0,IF(E3121="MXN",1/HLOOKUP(YEAR(C3121)+(MONTH(C3121)/100),TC!$5:$37,DAY(C3121)+2,FALSE),VLOOKUP(E3121,Equivalencia!$5:$23,((MAX(Equivalencia!$3:$3)-YEAR(C3121))*14)+MONTH(C3121)+2,FALSE)))</f>
        <v>0</v>
      </c>
      <c r="J3121" s="178">
        <f t="shared" si="255"/>
        <v>0</v>
      </c>
      <c r="K3121" s="462">
        <f>IF(C3121=0,0,VLOOKUP(YEAR(C3121),INPC!$B$4:$O$29,MONTH(C3121)+1))</f>
        <v>0</v>
      </c>
      <c r="L3121" s="462">
        <f>IF(S3121=0,0,VLOOKUP(YEAR(S3121),INPC!$B$4:$O$29,MONTH(S3121)+1))</f>
        <v>0</v>
      </c>
      <c r="M3121" s="463">
        <f t="shared" si="256"/>
        <v>0</v>
      </c>
      <c r="N3121" s="465">
        <f t="shared" si="257"/>
        <v>0</v>
      </c>
      <c r="O3121" s="179"/>
      <c r="P3121" s="180"/>
      <c r="Q3121" s="173"/>
      <c r="R3121" s="173"/>
      <c r="S3121" s="174"/>
      <c r="T3121" s="173"/>
      <c r="U3121" s="182"/>
      <c r="V3121" s="177">
        <f>IF(U3121=0,0,IF(T3121="MXN",1/HLOOKUP(YEAR(S3121)+(MONTH(S3121)/100),TC!$5:$37,DAY(S3121)+2,FALSE),VLOOKUP(T3121,Equivalencia!$1:$23,((MAX(Equivalencia!$3:$3)-YEAR(S3121))*14)+MONTH(S3121)+2,FALSE)))</f>
        <v>0</v>
      </c>
      <c r="W3121" s="178">
        <f t="shared" si="258"/>
        <v>0</v>
      </c>
      <c r="X3121" s="481">
        <f t="shared" si="259"/>
        <v>0</v>
      </c>
      <c r="Y3121" s="179"/>
      <c r="Z3121" s="466">
        <f t="shared" si="260"/>
        <v>0</v>
      </c>
      <c r="AA3121" s="473">
        <f t="shared" si="261"/>
        <v>0</v>
      </c>
      <c r="AB3121" s="339">
        <f t="shared" si="262"/>
        <v>0</v>
      </c>
    </row>
    <row r="3122" spans="2:28" ht="20.100000000000001" customHeight="1">
      <c r="B3122" s="172"/>
      <c r="C3122" s="174"/>
      <c r="D3122" s="181"/>
      <c r="E3122" s="173"/>
      <c r="F3122" s="176"/>
      <c r="G3122" s="175">
        <f t="shared" si="253"/>
        <v>0</v>
      </c>
      <c r="H3122" s="175">
        <f t="shared" si="254"/>
        <v>0</v>
      </c>
      <c r="I3122" s="177">
        <f>IF(G3122=0,0,IF(E3122="MXN",1/HLOOKUP(YEAR(C3122)+(MONTH(C3122)/100),TC!$5:$37,DAY(C3122)+2,FALSE),VLOOKUP(E3122,Equivalencia!$5:$23,((MAX(Equivalencia!$3:$3)-YEAR(C3122))*14)+MONTH(C3122)+2,FALSE)))</f>
        <v>0</v>
      </c>
      <c r="J3122" s="178">
        <f t="shared" si="255"/>
        <v>0</v>
      </c>
      <c r="K3122" s="462">
        <f>IF(C3122=0,0,VLOOKUP(YEAR(C3122),INPC!$B$4:$O$29,MONTH(C3122)+1))</f>
        <v>0</v>
      </c>
      <c r="L3122" s="462">
        <f>IF(S3122=0,0,VLOOKUP(YEAR(S3122),INPC!$B$4:$O$29,MONTH(S3122)+1))</f>
        <v>0</v>
      </c>
      <c r="M3122" s="463">
        <f t="shared" si="256"/>
        <v>0</v>
      </c>
      <c r="N3122" s="465">
        <f t="shared" si="257"/>
        <v>0</v>
      </c>
      <c r="O3122" s="179"/>
      <c r="P3122" s="180"/>
      <c r="Q3122" s="173"/>
      <c r="R3122" s="173"/>
      <c r="S3122" s="174"/>
      <c r="T3122" s="173"/>
      <c r="U3122" s="182"/>
      <c r="V3122" s="177">
        <f>IF(U3122=0,0,IF(T3122="MXN",1/HLOOKUP(YEAR(S3122)+(MONTH(S3122)/100),TC!$5:$37,DAY(S3122)+2,FALSE),VLOOKUP(T3122,Equivalencia!$1:$23,((MAX(Equivalencia!$3:$3)-YEAR(S3122))*14)+MONTH(S3122)+2,FALSE)))</f>
        <v>0</v>
      </c>
      <c r="W3122" s="178">
        <f t="shared" si="258"/>
        <v>0</v>
      </c>
      <c r="X3122" s="481">
        <f t="shared" si="259"/>
        <v>0</v>
      </c>
      <c r="Y3122" s="179"/>
      <c r="Z3122" s="466">
        <f t="shared" si="260"/>
        <v>0</v>
      </c>
      <c r="AA3122" s="473">
        <f t="shared" si="261"/>
        <v>0</v>
      </c>
      <c r="AB3122" s="339">
        <f t="shared" si="262"/>
        <v>0</v>
      </c>
    </row>
    <row r="3123" spans="2:28" ht="20.100000000000001" customHeight="1">
      <c r="B3123" s="172"/>
      <c r="C3123" s="174"/>
      <c r="D3123" s="181"/>
      <c r="E3123" s="173"/>
      <c r="F3123" s="176"/>
      <c r="G3123" s="175">
        <f t="shared" si="253"/>
        <v>0</v>
      </c>
      <c r="H3123" s="175">
        <f t="shared" si="254"/>
        <v>0</v>
      </c>
      <c r="I3123" s="177">
        <f>IF(G3123=0,0,IF(E3123="MXN",1/HLOOKUP(YEAR(C3123)+(MONTH(C3123)/100),TC!$5:$37,DAY(C3123)+2,FALSE),VLOOKUP(E3123,Equivalencia!$5:$23,((MAX(Equivalencia!$3:$3)-YEAR(C3123))*14)+MONTH(C3123)+2,FALSE)))</f>
        <v>0</v>
      </c>
      <c r="J3123" s="178">
        <f t="shared" si="255"/>
        <v>0</v>
      </c>
      <c r="K3123" s="462">
        <f>IF(C3123=0,0,VLOOKUP(YEAR(C3123),INPC!$B$4:$O$29,MONTH(C3123)+1))</f>
        <v>0</v>
      </c>
      <c r="L3123" s="462">
        <f>IF(S3123=0,0,VLOOKUP(YEAR(S3123),INPC!$B$4:$O$29,MONTH(S3123)+1))</f>
        <v>0</v>
      </c>
      <c r="M3123" s="463">
        <f t="shared" si="256"/>
        <v>0</v>
      </c>
      <c r="N3123" s="465">
        <f t="shared" si="257"/>
        <v>0</v>
      </c>
      <c r="O3123" s="179"/>
      <c r="P3123" s="180"/>
      <c r="Q3123" s="173"/>
      <c r="R3123" s="173"/>
      <c r="S3123" s="174"/>
      <c r="T3123" s="173"/>
      <c r="U3123" s="182"/>
      <c r="V3123" s="177">
        <f>IF(U3123=0,0,IF(T3123="MXN",1/HLOOKUP(YEAR(S3123)+(MONTH(S3123)/100),TC!$5:$37,DAY(S3123)+2,FALSE),VLOOKUP(T3123,Equivalencia!$1:$23,((MAX(Equivalencia!$3:$3)-YEAR(S3123))*14)+MONTH(S3123)+2,FALSE)))</f>
        <v>0</v>
      </c>
      <c r="W3123" s="178">
        <f t="shared" si="258"/>
        <v>0</v>
      </c>
      <c r="X3123" s="481">
        <f t="shared" si="259"/>
        <v>0</v>
      </c>
      <c r="Y3123" s="179"/>
      <c r="Z3123" s="466">
        <f t="shared" si="260"/>
        <v>0</v>
      </c>
      <c r="AA3123" s="473">
        <f t="shared" si="261"/>
        <v>0</v>
      </c>
      <c r="AB3123" s="339">
        <f t="shared" si="262"/>
        <v>0</v>
      </c>
    </row>
    <row r="3124" spans="2:28" ht="20.100000000000001" customHeight="1">
      <c r="B3124" s="172"/>
      <c r="C3124" s="174"/>
      <c r="D3124" s="181"/>
      <c r="E3124" s="173"/>
      <c r="F3124" s="176"/>
      <c r="G3124" s="175">
        <f t="shared" si="253"/>
        <v>0</v>
      </c>
      <c r="H3124" s="175">
        <f t="shared" si="254"/>
        <v>0</v>
      </c>
      <c r="I3124" s="177">
        <f>IF(G3124=0,0,IF(E3124="MXN",1/HLOOKUP(YEAR(C3124)+(MONTH(C3124)/100),TC!$5:$37,DAY(C3124)+2,FALSE),VLOOKUP(E3124,Equivalencia!$5:$23,((MAX(Equivalencia!$3:$3)-YEAR(C3124))*14)+MONTH(C3124)+2,FALSE)))</f>
        <v>0</v>
      </c>
      <c r="J3124" s="178">
        <f t="shared" si="255"/>
        <v>0</v>
      </c>
      <c r="K3124" s="462">
        <f>IF(C3124=0,0,VLOOKUP(YEAR(C3124),INPC!$B$4:$O$29,MONTH(C3124)+1))</f>
        <v>0</v>
      </c>
      <c r="L3124" s="462">
        <f>IF(S3124=0,0,VLOOKUP(YEAR(S3124),INPC!$B$4:$O$29,MONTH(S3124)+1))</f>
        <v>0</v>
      </c>
      <c r="M3124" s="463">
        <f t="shared" si="256"/>
        <v>0</v>
      </c>
      <c r="N3124" s="465">
        <f t="shared" si="257"/>
        <v>0</v>
      </c>
      <c r="O3124" s="179"/>
      <c r="P3124" s="180"/>
      <c r="Q3124" s="173"/>
      <c r="R3124" s="173"/>
      <c r="S3124" s="174"/>
      <c r="T3124" s="173"/>
      <c r="U3124" s="182"/>
      <c r="V3124" s="177">
        <f>IF(U3124=0,0,IF(T3124="MXN",1/HLOOKUP(YEAR(S3124)+(MONTH(S3124)/100),TC!$5:$37,DAY(S3124)+2,FALSE),VLOOKUP(T3124,Equivalencia!$1:$23,((MAX(Equivalencia!$3:$3)-YEAR(S3124))*14)+MONTH(S3124)+2,FALSE)))</f>
        <v>0</v>
      </c>
      <c r="W3124" s="178">
        <f t="shared" si="258"/>
        <v>0</v>
      </c>
      <c r="X3124" s="481">
        <f t="shared" si="259"/>
        <v>0</v>
      </c>
      <c r="Y3124" s="179"/>
      <c r="Z3124" s="466">
        <f t="shared" si="260"/>
        <v>0</v>
      </c>
      <c r="AA3124" s="473">
        <f t="shared" si="261"/>
        <v>0</v>
      </c>
      <c r="AB3124" s="339">
        <f t="shared" si="262"/>
        <v>0</v>
      </c>
    </row>
    <row r="3125" spans="2:28" ht="20.100000000000001" customHeight="1">
      <c r="B3125" s="172"/>
      <c r="C3125" s="174"/>
      <c r="D3125" s="181"/>
      <c r="E3125" s="173"/>
      <c r="F3125" s="176"/>
      <c r="G3125" s="175">
        <f t="shared" si="253"/>
        <v>0</v>
      </c>
      <c r="H3125" s="175">
        <f t="shared" si="254"/>
        <v>0</v>
      </c>
      <c r="I3125" s="177">
        <f>IF(G3125=0,0,IF(E3125="MXN",1/HLOOKUP(YEAR(C3125)+(MONTH(C3125)/100),TC!$5:$37,DAY(C3125)+2,FALSE),VLOOKUP(E3125,Equivalencia!$5:$23,((MAX(Equivalencia!$3:$3)-YEAR(C3125))*14)+MONTH(C3125)+2,FALSE)))</f>
        <v>0</v>
      </c>
      <c r="J3125" s="178">
        <f t="shared" si="255"/>
        <v>0</v>
      </c>
      <c r="K3125" s="462">
        <f>IF(C3125=0,0,VLOOKUP(YEAR(C3125),INPC!$B$4:$O$29,MONTH(C3125)+1))</f>
        <v>0</v>
      </c>
      <c r="L3125" s="462">
        <f>IF(S3125=0,0,VLOOKUP(YEAR(S3125),INPC!$B$4:$O$29,MONTH(S3125)+1))</f>
        <v>0</v>
      </c>
      <c r="M3125" s="463">
        <f t="shared" si="256"/>
        <v>0</v>
      </c>
      <c r="N3125" s="465">
        <f t="shared" si="257"/>
        <v>0</v>
      </c>
      <c r="O3125" s="179"/>
      <c r="P3125" s="180"/>
      <c r="Q3125" s="173"/>
      <c r="R3125" s="173"/>
      <c r="S3125" s="174"/>
      <c r="T3125" s="173"/>
      <c r="U3125" s="182"/>
      <c r="V3125" s="177">
        <f>IF(U3125=0,0,IF(T3125="MXN",1/HLOOKUP(YEAR(S3125)+(MONTH(S3125)/100),TC!$5:$37,DAY(S3125)+2,FALSE),VLOOKUP(T3125,Equivalencia!$1:$23,((MAX(Equivalencia!$3:$3)-YEAR(S3125))*14)+MONTH(S3125)+2,FALSE)))</f>
        <v>0</v>
      </c>
      <c r="W3125" s="178">
        <f t="shared" si="258"/>
        <v>0</v>
      </c>
      <c r="X3125" s="481">
        <f t="shared" si="259"/>
        <v>0</v>
      </c>
      <c r="Y3125" s="179"/>
      <c r="Z3125" s="466">
        <f t="shared" si="260"/>
        <v>0</v>
      </c>
      <c r="AA3125" s="473">
        <f t="shared" si="261"/>
        <v>0</v>
      </c>
      <c r="AB3125" s="339">
        <f t="shared" si="262"/>
        <v>0</v>
      </c>
    </row>
    <row r="3126" spans="2:28" ht="20.100000000000001" customHeight="1">
      <c r="B3126" s="172"/>
      <c r="C3126" s="174"/>
      <c r="D3126" s="181"/>
      <c r="E3126" s="173"/>
      <c r="F3126" s="176"/>
      <c r="G3126" s="175">
        <f t="shared" si="253"/>
        <v>0</v>
      </c>
      <c r="H3126" s="175">
        <f t="shared" si="254"/>
        <v>0</v>
      </c>
      <c r="I3126" s="177">
        <f>IF(G3126=0,0,IF(E3126="MXN",1/HLOOKUP(YEAR(C3126)+(MONTH(C3126)/100),TC!$5:$37,DAY(C3126)+2,FALSE),VLOOKUP(E3126,Equivalencia!$5:$23,((MAX(Equivalencia!$3:$3)-YEAR(C3126))*14)+MONTH(C3126)+2,FALSE)))</f>
        <v>0</v>
      </c>
      <c r="J3126" s="178">
        <f t="shared" si="255"/>
        <v>0</v>
      </c>
      <c r="K3126" s="462">
        <f>IF(C3126=0,0,VLOOKUP(YEAR(C3126),INPC!$B$4:$O$29,MONTH(C3126)+1))</f>
        <v>0</v>
      </c>
      <c r="L3126" s="462">
        <f>IF(S3126=0,0,VLOOKUP(YEAR(S3126),INPC!$B$4:$O$29,MONTH(S3126)+1))</f>
        <v>0</v>
      </c>
      <c r="M3126" s="463">
        <f t="shared" si="256"/>
        <v>0</v>
      </c>
      <c r="N3126" s="465">
        <f t="shared" si="257"/>
        <v>0</v>
      </c>
      <c r="O3126" s="179"/>
      <c r="P3126" s="180"/>
      <c r="Q3126" s="173"/>
      <c r="R3126" s="173"/>
      <c r="S3126" s="174"/>
      <c r="T3126" s="173"/>
      <c r="U3126" s="182"/>
      <c r="V3126" s="177">
        <f>IF(U3126=0,0,IF(T3126="MXN",1/HLOOKUP(YEAR(S3126)+(MONTH(S3126)/100),TC!$5:$37,DAY(S3126)+2,FALSE),VLOOKUP(T3126,Equivalencia!$1:$23,((MAX(Equivalencia!$3:$3)-YEAR(S3126))*14)+MONTH(S3126)+2,FALSE)))</f>
        <v>0</v>
      </c>
      <c r="W3126" s="178">
        <f t="shared" si="258"/>
        <v>0</v>
      </c>
      <c r="X3126" s="481">
        <f t="shared" si="259"/>
        <v>0</v>
      </c>
      <c r="Y3126" s="179"/>
      <c r="Z3126" s="466">
        <f t="shared" si="260"/>
        <v>0</v>
      </c>
      <c r="AA3126" s="473">
        <f t="shared" si="261"/>
        <v>0</v>
      </c>
      <c r="AB3126" s="339">
        <f t="shared" si="262"/>
        <v>0</v>
      </c>
    </row>
    <row r="3127" spans="2:28" ht="20.100000000000001" customHeight="1">
      <c r="B3127" s="172"/>
      <c r="C3127" s="174"/>
      <c r="D3127" s="181"/>
      <c r="E3127" s="173"/>
      <c r="F3127" s="176"/>
      <c r="G3127" s="175">
        <f t="shared" si="253"/>
        <v>0</v>
      </c>
      <c r="H3127" s="175">
        <f t="shared" si="254"/>
        <v>0</v>
      </c>
      <c r="I3127" s="177">
        <f>IF(G3127=0,0,IF(E3127="MXN",1/HLOOKUP(YEAR(C3127)+(MONTH(C3127)/100),TC!$5:$37,DAY(C3127)+2,FALSE),VLOOKUP(E3127,Equivalencia!$5:$23,((MAX(Equivalencia!$3:$3)-YEAR(C3127))*14)+MONTH(C3127)+2,FALSE)))</f>
        <v>0</v>
      </c>
      <c r="J3127" s="178">
        <f t="shared" si="255"/>
        <v>0</v>
      </c>
      <c r="K3127" s="462">
        <f>IF(C3127=0,0,VLOOKUP(YEAR(C3127),INPC!$B$4:$O$29,MONTH(C3127)+1))</f>
        <v>0</v>
      </c>
      <c r="L3127" s="462">
        <f>IF(S3127=0,0,VLOOKUP(YEAR(S3127),INPC!$B$4:$O$29,MONTH(S3127)+1))</f>
        <v>0</v>
      </c>
      <c r="M3127" s="463">
        <f t="shared" si="256"/>
        <v>0</v>
      </c>
      <c r="N3127" s="465">
        <f t="shared" si="257"/>
        <v>0</v>
      </c>
      <c r="O3127" s="179"/>
      <c r="P3127" s="180"/>
      <c r="Q3127" s="173"/>
      <c r="R3127" s="173"/>
      <c r="S3127" s="174"/>
      <c r="T3127" s="173"/>
      <c r="U3127" s="182"/>
      <c r="V3127" s="177">
        <f>IF(U3127=0,0,IF(T3127="MXN",1/HLOOKUP(YEAR(S3127)+(MONTH(S3127)/100),TC!$5:$37,DAY(S3127)+2,FALSE),VLOOKUP(T3127,Equivalencia!$1:$23,((MAX(Equivalencia!$3:$3)-YEAR(S3127))*14)+MONTH(S3127)+2,FALSE)))</f>
        <v>0</v>
      </c>
      <c r="W3127" s="178">
        <f t="shared" si="258"/>
        <v>0</v>
      </c>
      <c r="X3127" s="481">
        <f t="shared" si="259"/>
        <v>0</v>
      </c>
      <c r="Y3127" s="179"/>
      <c r="Z3127" s="466">
        <f t="shared" si="260"/>
        <v>0</v>
      </c>
      <c r="AA3127" s="473">
        <f t="shared" si="261"/>
        <v>0</v>
      </c>
      <c r="AB3127" s="339">
        <f t="shared" si="262"/>
        <v>0</v>
      </c>
    </row>
    <row r="3128" spans="2:28" ht="20.100000000000001" customHeight="1">
      <c r="B3128" s="172"/>
      <c r="C3128" s="174"/>
      <c r="D3128" s="181"/>
      <c r="E3128" s="173"/>
      <c r="F3128" s="176"/>
      <c r="G3128" s="175">
        <f t="shared" si="253"/>
        <v>0</v>
      </c>
      <c r="H3128" s="175">
        <f t="shared" si="254"/>
        <v>0</v>
      </c>
      <c r="I3128" s="177">
        <f>IF(G3128=0,0,IF(E3128="MXN",1/HLOOKUP(YEAR(C3128)+(MONTH(C3128)/100),TC!$5:$37,DAY(C3128)+2,FALSE),VLOOKUP(E3128,Equivalencia!$5:$23,((MAX(Equivalencia!$3:$3)-YEAR(C3128))*14)+MONTH(C3128)+2,FALSE)))</f>
        <v>0</v>
      </c>
      <c r="J3128" s="178">
        <f t="shared" si="255"/>
        <v>0</v>
      </c>
      <c r="K3128" s="462">
        <f>IF(C3128=0,0,VLOOKUP(YEAR(C3128),INPC!$B$4:$O$29,MONTH(C3128)+1))</f>
        <v>0</v>
      </c>
      <c r="L3128" s="462">
        <f>IF(S3128=0,0,VLOOKUP(YEAR(S3128),INPC!$B$4:$O$29,MONTH(S3128)+1))</f>
        <v>0</v>
      </c>
      <c r="M3128" s="463">
        <f t="shared" si="256"/>
        <v>0</v>
      </c>
      <c r="N3128" s="465">
        <f t="shared" si="257"/>
        <v>0</v>
      </c>
      <c r="O3128" s="179"/>
      <c r="P3128" s="180"/>
      <c r="Q3128" s="173"/>
      <c r="R3128" s="173"/>
      <c r="S3128" s="174"/>
      <c r="T3128" s="173"/>
      <c r="U3128" s="182"/>
      <c r="V3128" s="177">
        <f>IF(U3128=0,0,IF(T3128="MXN",1/HLOOKUP(YEAR(S3128)+(MONTH(S3128)/100),TC!$5:$37,DAY(S3128)+2,FALSE),VLOOKUP(T3128,Equivalencia!$1:$23,((MAX(Equivalencia!$3:$3)-YEAR(S3128))*14)+MONTH(S3128)+2,FALSE)))</f>
        <v>0</v>
      </c>
      <c r="W3128" s="178">
        <f t="shared" si="258"/>
        <v>0</v>
      </c>
      <c r="X3128" s="481">
        <f t="shared" si="259"/>
        <v>0</v>
      </c>
      <c r="Y3128" s="179"/>
      <c r="Z3128" s="466">
        <f t="shared" si="260"/>
        <v>0</v>
      </c>
      <c r="AA3128" s="473">
        <f t="shared" si="261"/>
        <v>0</v>
      </c>
      <c r="AB3128" s="339">
        <f t="shared" si="262"/>
        <v>0</v>
      </c>
    </row>
    <row r="3129" spans="2:28" ht="20.100000000000001" customHeight="1">
      <c r="B3129" s="172"/>
      <c r="C3129" s="174"/>
      <c r="D3129" s="181"/>
      <c r="E3129" s="173"/>
      <c r="F3129" s="176"/>
      <c r="G3129" s="175">
        <f t="shared" si="253"/>
        <v>0</v>
      </c>
      <c r="H3129" s="175">
        <f t="shared" si="254"/>
        <v>0</v>
      </c>
      <c r="I3129" s="177">
        <f>IF(G3129=0,0,IF(E3129="MXN",1/HLOOKUP(YEAR(C3129)+(MONTH(C3129)/100),TC!$5:$37,DAY(C3129)+2,FALSE),VLOOKUP(E3129,Equivalencia!$5:$23,((MAX(Equivalencia!$3:$3)-YEAR(C3129))*14)+MONTH(C3129)+2,FALSE)))</f>
        <v>0</v>
      </c>
      <c r="J3129" s="178">
        <f t="shared" si="255"/>
        <v>0</v>
      </c>
      <c r="K3129" s="462">
        <f>IF(C3129=0,0,VLOOKUP(YEAR(C3129),INPC!$B$4:$O$29,MONTH(C3129)+1))</f>
        <v>0</v>
      </c>
      <c r="L3129" s="462">
        <f>IF(S3129=0,0,VLOOKUP(YEAR(S3129),INPC!$B$4:$O$29,MONTH(S3129)+1))</f>
        <v>0</v>
      </c>
      <c r="M3129" s="463">
        <f t="shared" si="256"/>
        <v>0</v>
      </c>
      <c r="N3129" s="465">
        <f t="shared" si="257"/>
        <v>0</v>
      </c>
      <c r="O3129" s="179"/>
      <c r="P3129" s="180"/>
      <c r="Q3129" s="173"/>
      <c r="R3129" s="173"/>
      <c r="S3129" s="174"/>
      <c r="T3129" s="173"/>
      <c r="U3129" s="182"/>
      <c r="V3129" s="177">
        <f>IF(U3129=0,0,IF(T3129="MXN",1/HLOOKUP(YEAR(S3129)+(MONTH(S3129)/100),TC!$5:$37,DAY(S3129)+2,FALSE),VLOOKUP(T3129,Equivalencia!$1:$23,((MAX(Equivalencia!$3:$3)-YEAR(S3129))*14)+MONTH(S3129)+2,FALSE)))</f>
        <v>0</v>
      </c>
      <c r="W3129" s="178">
        <f t="shared" si="258"/>
        <v>0</v>
      </c>
      <c r="X3129" s="481">
        <f t="shared" si="259"/>
        <v>0</v>
      </c>
      <c r="Y3129" s="179"/>
      <c r="Z3129" s="466">
        <f t="shared" si="260"/>
        <v>0</v>
      </c>
      <c r="AA3129" s="473">
        <f t="shared" si="261"/>
        <v>0</v>
      </c>
      <c r="AB3129" s="339">
        <f t="shared" si="262"/>
        <v>0</v>
      </c>
    </row>
    <row r="3130" spans="2:28" ht="20.100000000000001" customHeight="1">
      <c r="B3130" s="172"/>
      <c r="C3130" s="174"/>
      <c r="D3130" s="181"/>
      <c r="E3130" s="173"/>
      <c r="F3130" s="176"/>
      <c r="G3130" s="175">
        <f t="shared" si="253"/>
        <v>0</v>
      </c>
      <c r="H3130" s="175">
        <f t="shared" si="254"/>
        <v>0</v>
      </c>
      <c r="I3130" s="177">
        <f>IF(G3130=0,0,IF(E3130="MXN",1/HLOOKUP(YEAR(C3130)+(MONTH(C3130)/100),TC!$5:$37,DAY(C3130)+2,FALSE),VLOOKUP(E3130,Equivalencia!$5:$23,((MAX(Equivalencia!$3:$3)-YEAR(C3130))*14)+MONTH(C3130)+2,FALSE)))</f>
        <v>0</v>
      </c>
      <c r="J3130" s="178">
        <f t="shared" si="255"/>
        <v>0</v>
      </c>
      <c r="K3130" s="462">
        <f>IF(C3130=0,0,VLOOKUP(YEAR(C3130),INPC!$B$4:$O$29,MONTH(C3130)+1))</f>
        <v>0</v>
      </c>
      <c r="L3130" s="462">
        <f>IF(S3130=0,0,VLOOKUP(YEAR(S3130),INPC!$B$4:$O$29,MONTH(S3130)+1))</f>
        <v>0</v>
      </c>
      <c r="M3130" s="463">
        <f t="shared" si="256"/>
        <v>0</v>
      </c>
      <c r="N3130" s="465">
        <f t="shared" si="257"/>
        <v>0</v>
      </c>
      <c r="O3130" s="179"/>
      <c r="P3130" s="180"/>
      <c r="Q3130" s="173"/>
      <c r="R3130" s="173"/>
      <c r="S3130" s="174"/>
      <c r="T3130" s="173"/>
      <c r="U3130" s="182"/>
      <c r="V3130" s="177">
        <f>IF(U3130=0,0,IF(T3130="MXN",1/HLOOKUP(YEAR(S3130)+(MONTH(S3130)/100),TC!$5:$37,DAY(S3130)+2,FALSE),VLOOKUP(T3130,Equivalencia!$1:$23,((MAX(Equivalencia!$3:$3)-YEAR(S3130))*14)+MONTH(S3130)+2,FALSE)))</f>
        <v>0</v>
      </c>
      <c r="W3130" s="178">
        <f t="shared" si="258"/>
        <v>0</v>
      </c>
      <c r="X3130" s="481">
        <f t="shared" si="259"/>
        <v>0</v>
      </c>
      <c r="Y3130" s="179"/>
      <c r="Z3130" s="466">
        <f t="shared" si="260"/>
        <v>0</v>
      </c>
      <c r="AA3130" s="473">
        <f t="shared" si="261"/>
        <v>0</v>
      </c>
      <c r="AB3130" s="339">
        <f t="shared" si="262"/>
        <v>0</v>
      </c>
    </row>
    <row r="3131" spans="2:28" ht="20.100000000000001" customHeight="1">
      <c r="B3131" s="172"/>
      <c r="C3131" s="174"/>
      <c r="D3131" s="181"/>
      <c r="E3131" s="173"/>
      <c r="F3131" s="176"/>
      <c r="G3131" s="175">
        <f t="shared" si="253"/>
        <v>0</v>
      </c>
      <c r="H3131" s="175">
        <f t="shared" si="254"/>
        <v>0</v>
      </c>
      <c r="I3131" s="177">
        <f>IF(G3131=0,0,IF(E3131="MXN",1/HLOOKUP(YEAR(C3131)+(MONTH(C3131)/100),TC!$5:$37,DAY(C3131)+2,FALSE),VLOOKUP(E3131,Equivalencia!$5:$23,((MAX(Equivalencia!$3:$3)-YEAR(C3131))*14)+MONTH(C3131)+2,FALSE)))</f>
        <v>0</v>
      </c>
      <c r="J3131" s="178">
        <f t="shared" si="255"/>
        <v>0</v>
      </c>
      <c r="K3131" s="462">
        <f>IF(C3131=0,0,VLOOKUP(YEAR(C3131),INPC!$B$4:$O$29,MONTH(C3131)+1))</f>
        <v>0</v>
      </c>
      <c r="L3131" s="462">
        <f>IF(S3131=0,0,VLOOKUP(YEAR(S3131),INPC!$B$4:$O$29,MONTH(S3131)+1))</f>
        <v>0</v>
      </c>
      <c r="M3131" s="463">
        <f t="shared" si="256"/>
        <v>0</v>
      </c>
      <c r="N3131" s="465">
        <f t="shared" si="257"/>
        <v>0</v>
      </c>
      <c r="O3131" s="179"/>
      <c r="P3131" s="180"/>
      <c r="Q3131" s="173"/>
      <c r="R3131" s="173"/>
      <c r="S3131" s="174"/>
      <c r="T3131" s="173"/>
      <c r="U3131" s="182"/>
      <c r="V3131" s="177">
        <f>IF(U3131=0,0,IF(T3131="MXN",1/HLOOKUP(YEAR(S3131)+(MONTH(S3131)/100),TC!$5:$37,DAY(S3131)+2,FALSE),VLOOKUP(T3131,Equivalencia!$1:$23,((MAX(Equivalencia!$3:$3)-YEAR(S3131))*14)+MONTH(S3131)+2,FALSE)))</f>
        <v>0</v>
      </c>
      <c r="W3131" s="178">
        <f t="shared" si="258"/>
        <v>0</v>
      </c>
      <c r="X3131" s="481">
        <f t="shared" si="259"/>
        <v>0</v>
      </c>
      <c r="Y3131" s="179"/>
      <c r="Z3131" s="466">
        <f t="shared" si="260"/>
        <v>0</v>
      </c>
      <c r="AA3131" s="473">
        <f t="shared" si="261"/>
        <v>0</v>
      </c>
      <c r="AB3131" s="339">
        <f t="shared" si="262"/>
        <v>0</v>
      </c>
    </row>
    <row r="3132" spans="2:28" ht="20.100000000000001" customHeight="1">
      <c r="B3132" s="172"/>
      <c r="C3132" s="174"/>
      <c r="D3132" s="181"/>
      <c r="E3132" s="173"/>
      <c r="F3132" s="176"/>
      <c r="G3132" s="175">
        <f t="shared" si="253"/>
        <v>0</v>
      </c>
      <c r="H3132" s="175">
        <f t="shared" si="254"/>
        <v>0</v>
      </c>
      <c r="I3132" s="177">
        <f>IF(G3132=0,0,IF(E3132="MXN",1/HLOOKUP(YEAR(C3132)+(MONTH(C3132)/100),TC!$5:$37,DAY(C3132)+2,FALSE),VLOOKUP(E3132,Equivalencia!$5:$23,((MAX(Equivalencia!$3:$3)-YEAR(C3132))*14)+MONTH(C3132)+2,FALSE)))</f>
        <v>0</v>
      </c>
      <c r="J3132" s="178">
        <f t="shared" si="255"/>
        <v>0</v>
      </c>
      <c r="K3132" s="462">
        <f>IF(C3132=0,0,VLOOKUP(YEAR(C3132),INPC!$B$4:$O$29,MONTH(C3132)+1))</f>
        <v>0</v>
      </c>
      <c r="L3132" s="462">
        <f>IF(S3132=0,0,VLOOKUP(YEAR(S3132),INPC!$B$4:$O$29,MONTH(S3132)+1))</f>
        <v>0</v>
      </c>
      <c r="M3132" s="463">
        <f t="shared" si="256"/>
        <v>0</v>
      </c>
      <c r="N3132" s="465">
        <f t="shared" si="257"/>
        <v>0</v>
      </c>
      <c r="O3132" s="179"/>
      <c r="P3132" s="180"/>
      <c r="Q3132" s="173"/>
      <c r="R3132" s="173"/>
      <c r="S3132" s="174"/>
      <c r="T3132" s="173"/>
      <c r="U3132" s="182"/>
      <c r="V3132" s="177">
        <f>IF(U3132=0,0,IF(T3132="MXN",1/HLOOKUP(YEAR(S3132)+(MONTH(S3132)/100),TC!$5:$37,DAY(S3132)+2,FALSE),VLOOKUP(T3132,Equivalencia!$1:$23,((MAX(Equivalencia!$3:$3)-YEAR(S3132))*14)+MONTH(S3132)+2,FALSE)))</f>
        <v>0</v>
      </c>
      <c r="W3132" s="178">
        <f t="shared" si="258"/>
        <v>0</v>
      </c>
      <c r="X3132" s="481">
        <f t="shared" si="259"/>
        <v>0</v>
      </c>
      <c r="Y3132" s="179"/>
      <c r="Z3132" s="466">
        <f t="shared" si="260"/>
        <v>0</v>
      </c>
      <c r="AA3132" s="473">
        <f t="shared" si="261"/>
        <v>0</v>
      </c>
      <c r="AB3132" s="339">
        <f t="shared" si="262"/>
        <v>0</v>
      </c>
    </row>
    <row r="3133" spans="2:28" ht="20.100000000000001" customHeight="1">
      <c r="B3133" s="172"/>
      <c r="C3133" s="174"/>
      <c r="D3133" s="181"/>
      <c r="E3133" s="173"/>
      <c r="F3133" s="176"/>
      <c r="G3133" s="175">
        <f t="shared" si="253"/>
        <v>0</v>
      </c>
      <c r="H3133" s="175">
        <f t="shared" si="254"/>
        <v>0</v>
      </c>
      <c r="I3133" s="177">
        <f>IF(G3133=0,0,IF(E3133="MXN",1/HLOOKUP(YEAR(C3133)+(MONTH(C3133)/100),TC!$5:$37,DAY(C3133)+2,FALSE),VLOOKUP(E3133,Equivalencia!$5:$23,((MAX(Equivalencia!$3:$3)-YEAR(C3133))*14)+MONTH(C3133)+2,FALSE)))</f>
        <v>0</v>
      </c>
      <c r="J3133" s="178">
        <f t="shared" si="255"/>
        <v>0</v>
      </c>
      <c r="K3133" s="462">
        <f>IF(C3133=0,0,VLOOKUP(YEAR(C3133),INPC!$B$4:$O$29,MONTH(C3133)+1))</f>
        <v>0</v>
      </c>
      <c r="L3133" s="462">
        <f>IF(S3133=0,0,VLOOKUP(YEAR(S3133),INPC!$B$4:$O$29,MONTH(S3133)+1))</f>
        <v>0</v>
      </c>
      <c r="M3133" s="463">
        <f t="shared" si="256"/>
        <v>0</v>
      </c>
      <c r="N3133" s="465">
        <f t="shared" si="257"/>
        <v>0</v>
      </c>
      <c r="O3133" s="179"/>
      <c r="P3133" s="180"/>
      <c r="Q3133" s="173"/>
      <c r="R3133" s="173"/>
      <c r="S3133" s="174"/>
      <c r="T3133" s="173"/>
      <c r="U3133" s="182"/>
      <c r="V3133" s="177">
        <f>IF(U3133=0,0,IF(T3133="MXN",1/HLOOKUP(YEAR(S3133)+(MONTH(S3133)/100),TC!$5:$37,DAY(S3133)+2,FALSE),VLOOKUP(T3133,Equivalencia!$1:$23,((MAX(Equivalencia!$3:$3)-YEAR(S3133))*14)+MONTH(S3133)+2,FALSE)))</f>
        <v>0</v>
      </c>
      <c r="W3133" s="178">
        <f t="shared" si="258"/>
        <v>0</v>
      </c>
      <c r="X3133" s="481">
        <f t="shared" si="259"/>
        <v>0</v>
      </c>
      <c r="Y3133" s="179"/>
      <c r="Z3133" s="466">
        <f t="shared" si="260"/>
        <v>0</v>
      </c>
      <c r="AA3133" s="473">
        <f t="shared" si="261"/>
        <v>0</v>
      </c>
      <c r="AB3133" s="339">
        <f t="shared" si="262"/>
        <v>0</v>
      </c>
    </row>
    <row r="3134" spans="2:28" ht="20.100000000000001" customHeight="1">
      <c r="B3134" s="172"/>
      <c r="C3134" s="174"/>
      <c r="D3134" s="181"/>
      <c r="E3134" s="173"/>
      <c r="F3134" s="176"/>
      <c r="G3134" s="175">
        <f t="shared" si="253"/>
        <v>0</v>
      </c>
      <c r="H3134" s="175">
        <f t="shared" si="254"/>
        <v>0</v>
      </c>
      <c r="I3134" s="177">
        <f>IF(G3134=0,0,IF(E3134="MXN",1/HLOOKUP(YEAR(C3134)+(MONTH(C3134)/100),TC!$5:$37,DAY(C3134)+2,FALSE),VLOOKUP(E3134,Equivalencia!$5:$23,((MAX(Equivalencia!$3:$3)-YEAR(C3134))*14)+MONTH(C3134)+2,FALSE)))</f>
        <v>0</v>
      </c>
      <c r="J3134" s="178">
        <f t="shared" si="255"/>
        <v>0</v>
      </c>
      <c r="K3134" s="462">
        <f>IF(C3134=0,0,VLOOKUP(YEAR(C3134),INPC!$B$4:$O$29,MONTH(C3134)+1))</f>
        <v>0</v>
      </c>
      <c r="L3134" s="462">
        <f>IF(S3134=0,0,VLOOKUP(YEAR(S3134),INPC!$B$4:$O$29,MONTH(S3134)+1))</f>
        <v>0</v>
      </c>
      <c r="M3134" s="463">
        <f t="shared" si="256"/>
        <v>0</v>
      </c>
      <c r="N3134" s="465">
        <f t="shared" si="257"/>
        <v>0</v>
      </c>
      <c r="O3134" s="179"/>
      <c r="P3134" s="180"/>
      <c r="Q3134" s="173"/>
      <c r="R3134" s="173"/>
      <c r="S3134" s="174"/>
      <c r="T3134" s="173"/>
      <c r="U3134" s="182"/>
      <c r="V3134" s="177">
        <f>IF(U3134=0,0,IF(T3134="MXN",1/HLOOKUP(YEAR(S3134)+(MONTH(S3134)/100),TC!$5:$37,DAY(S3134)+2,FALSE),VLOOKUP(T3134,Equivalencia!$1:$23,((MAX(Equivalencia!$3:$3)-YEAR(S3134))*14)+MONTH(S3134)+2,FALSE)))</f>
        <v>0</v>
      </c>
      <c r="W3134" s="178">
        <f t="shared" si="258"/>
        <v>0</v>
      </c>
      <c r="X3134" s="481">
        <f t="shared" si="259"/>
        <v>0</v>
      </c>
      <c r="Y3134" s="179"/>
      <c r="Z3134" s="466">
        <f t="shared" si="260"/>
        <v>0</v>
      </c>
      <c r="AA3134" s="473">
        <f t="shared" si="261"/>
        <v>0</v>
      </c>
      <c r="AB3134" s="339">
        <f t="shared" si="262"/>
        <v>0</v>
      </c>
    </row>
    <row r="3135" spans="2:28" ht="20.100000000000001" customHeight="1">
      <c r="B3135" s="172"/>
      <c r="C3135" s="174"/>
      <c r="D3135" s="181"/>
      <c r="E3135" s="173"/>
      <c r="F3135" s="176"/>
      <c r="G3135" s="175">
        <f t="shared" si="253"/>
        <v>0</v>
      </c>
      <c r="H3135" s="175">
        <f t="shared" si="254"/>
        <v>0</v>
      </c>
      <c r="I3135" s="177">
        <f>IF(G3135=0,0,IF(E3135="MXN",1/HLOOKUP(YEAR(C3135)+(MONTH(C3135)/100),TC!$5:$37,DAY(C3135)+2,FALSE),VLOOKUP(E3135,Equivalencia!$5:$23,((MAX(Equivalencia!$3:$3)-YEAR(C3135))*14)+MONTH(C3135)+2,FALSE)))</f>
        <v>0</v>
      </c>
      <c r="J3135" s="178">
        <f t="shared" si="255"/>
        <v>0</v>
      </c>
      <c r="K3135" s="462">
        <f>IF(C3135=0,0,VLOOKUP(YEAR(C3135),INPC!$B$4:$O$29,MONTH(C3135)+1))</f>
        <v>0</v>
      </c>
      <c r="L3135" s="462">
        <f>IF(S3135=0,0,VLOOKUP(YEAR(S3135),INPC!$B$4:$O$29,MONTH(S3135)+1))</f>
        <v>0</v>
      </c>
      <c r="M3135" s="463">
        <f t="shared" si="256"/>
        <v>0</v>
      </c>
      <c r="N3135" s="465">
        <f t="shared" si="257"/>
        <v>0</v>
      </c>
      <c r="O3135" s="179"/>
      <c r="P3135" s="180"/>
      <c r="Q3135" s="173"/>
      <c r="R3135" s="173"/>
      <c r="S3135" s="174"/>
      <c r="T3135" s="173"/>
      <c r="U3135" s="182"/>
      <c r="V3135" s="177">
        <f>IF(U3135=0,0,IF(T3135="MXN",1/HLOOKUP(YEAR(S3135)+(MONTH(S3135)/100),TC!$5:$37,DAY(S3135)+2,FALSE),VLOOKUP(T3135,Equivalencia!$1:$23,((MAX(Equivalencia!$3:$3)-YEAR(S3135))*14)+MONTH(S3135)+2,FALSE)))</f>
        <v>0</v>
      </c>
      <c r="W3135" s="178">
        <f t="shared" si="258"/>
        <v>0</v>
      </c>
      <c r="X3135" s="481">
        <f t="shared" si="259"/>
        <v>0</v>
      </c>
      <c r="Y3135" s="179"/>
      <c r="Z3135" s="466">
        <f t="shared" si="260"/>
        <v>0</v>
      </c>
      <c r="AA3135" s="473">
        <f t="shared" si="261"/>
        <v>0</v>
      </c>
      <c r="AB3135" s="339">
        <f t="shared" si="262"/>
        <v>0</v>
      </c>
    </row>
    <row r="3136" spans="2:28" ht="20.100000000000001" customHeight="1">
      <c r="B3136" s="172"/>
      <c r="C3136" s="174"/>
      <c r="D3136" s="181"/>
      <c r="E3136" s="173"/>
      <c r="F3136" s="176"/>
      <c r="G3136" s="175">
        <f t="shared" si="253"/>
        <v>0</v>
      </c>
      <c r="H3136" s="175">
        <f t="shared" si="254"/>
        <v>0</v>
      </c>
      <c r="I3136" s="177">
        <f>IF(G3136=0,0,IF(E3136="MXN",1/HLOOKUP(YEAR(C3136)+(MONTH(C3136)/100),TC!$5:$37,DAY(C3136)+2,FALSE),VLOOKUP(E3136,Equivalencia!$5:$23,((MAX(Equivalencia!$3:$3)-YEAR(C3136))*14)+MONTH(C3136)+2,FALSE)))</f>
        <v>0</v>
      </c>
      <c r="J3136" s="178">
        <f t="shared" si="255"/>
        <v>0</v>
      </c>
      <c r="K3136" s="462">
        <f>IF(C3136=0,0,VLOOKUP(YEAR(C3136),INPC!$B$4:$O$29,MONTH(C3136)+1))</f>
        <v>0</v>
      </c>
      <c r="L3136" s="462">
        <f>IF(S3136=0,0,VLOOKUP(YEAR(S3136),INPC!$B$4:$O$29,MONTH(S3136)+1))</f>
        <v>0</v>
      </c>
      <c r="M3136" s="463">
        <f t="shared" si="256"/>
        <v>0</v>
      </c>
      <c r="N3136" s="465">
        <f t="shared" si="257"/>
        <v>0</v>
      </c>
      <c r="O3136" s="179"/>
      <c r="P3136" s="180"/>
      <c r="Q3136" s="173"/>
      <c r="R3136" s="173"/>
      <c r="S3136" s="174"/>
      <c r="T3136" s="173"/>
      <c r="U3136" s="182"/>
      <c r="V3136" s="177">
        <f>IF(U3136=0,0,IF(T3136="MXN",1/HLOOKUP(YEAR(S3136)+(MONTH(S3136)/100),TC!$5:$37,DAY(S3136)+2,FALSE),VLOOKUP(T3136,Equivalencia!$1:$23,((MAX(Equivalencia!$3:$3)-YEAR(S3136))*14)+MONTH(S3136)+2,FALSE)))</f>
        <v>0</v>
      </c>
      <c r="W3136" s="178">
        <f t="shared" si="258"/>
        <v>0</v>
      </c>
      <c r="X3136" s="481">
        <f t="shared" si="259"/>
        <v>0</v>
      </c>
      <c r="Y3136" s="179"/>
      <c r="Z3136" s="466">
        <f t="shared" si="260"/>
        <v>0</v>
      </c>
      <c r="AA3136" s="473">
        <f t="shared" si="261"/>
        <v>0</v>
      </c>
      <c r="AB3136" s="339">
        <f t="shared" si="262"/>
        <v>0</v>
      </c>
    </row>
    <row r="3137" spans="2:28" ht="20.100000000000001" customHeight="1">
      <c r="B3137" s="172"/>
      <c r="C3137" s="174"/>
      <c r="D3137" s="181"/>
      <c r="E3137" s="173"/>
      <c r="F3137" s="176"/>
      <c r="G3137" s="175">
        <f t="shared" si="253"/>
        <v>0</v>
      </c>
      <c r="H3137" s="175">
        <f t="shared" si="254"/>
        <v>0</v>
      </c>
      <c r="I3137" s="177">
        <f>IF(G3137=0,0,IF(E3137="MXN",1/HLOOKUP(YEAR(C3137)+(MONTH(C3137)/100),TC!$5:$37,DAY(C3137)+2,FALSE),VLOOKUP(E3137,Equivalencia!$5:$23,((MAX(Equivalencia!$3:$3)-YEAR(C3137))*14)+MONTH(C3137)+2,FALSE)))</f>
        <v>0</v>
      </c>
      <c r="J3137" s="178">
        <f t="shared" si="255"/>
        <v>0</v>
      </c>
      <c r="K3137" s="462">
        <f>IF(C3137=0,0,VLOOKUP(YEAR(C3137),INPC!$B$4:$O$29,MONTH(C3137)+1))</f>
        <v>0</v>
      </c>
      <c r="L3137" s="462">
        <f>IF(S3137=0,0,VLOOKUP(YEAR(S3137),INPC!$B$4:$O$29,MONTH(S3137)+1))</f>
        <v>0</v>
      </c>
      <c r="M3137" s="463">
        <f t="shared" si="256"/>
        <v>0</v>
      </c>
      <c r="N3137" s="465">
        <f t="shared" si="257"/>
        <v>0</v>
      </c>
      <c r="O3137" s="179"/>
      <c r="P3137" s="180"/>
      <c r="Q3137" s="173"/>
      <c r="R3137" s="173"/>
      <c r="S3137" s="174"/>
      <c r="T3137" s="173"/>
      <c r="U3137" s="182"/>
      <c r="V3137" s="177">
        <f>IF(U3137=0,0,IF(T3137="MXN",1/HLOOKUP(YEAR(S3137)+(MONTH(S3137)/100),TC!$5:$37,DAY(S3137)+2,FALSE),VLOOKUP(T3137,Equivalencia!$1:$23,((MAX(Equivalencia!$3:$3)-YEAR(S3137))*14)+MONTH(S3137)+2,FALSE)))</f>
        <v>0</v>
      </c>
      <c r="W3137" s="178">
        <f t="shared" si="258"/>
        <v>0</v>
      </c>
      <c r="X3137" s="481">
        <f t="shared" si="259"/>
        <v>0</v>
      </c>
      <c r="Y3137" s="179"/>
      <c r="Z3137" s="466">
        <f t="shared" si="260"/>
        <v>0</v>
      </c>
      <c r="AA3137" s="473">
        <f t="shared" si="261"/>
        <v>0</v>
      </c>
      <c r="AB3137" s="339">
        <f t="shared" si="262"/>
        <v>0</v>
      </c>
    </row>
    <row r="3138" spans="2:28" ht="20.100000000000001" customHeight="1">
      <c r="B3138" s="172"/>
      <c r="C3138" s="174"/>
      <c r="D3138" s="181"/>
      <c r="E3138" s="173"/>
      <c r="F3138" s="176"/>
      <c r="G3138" s="175">
        <f t="shared" si="253"/>
        <v>0</v>
      </c>
      <c r="H3138" s="175">
        <f t="shared" si="254"/>
        <v>0</v>
      </c>
      <c r="I3138" s="177">
        <f>IF(G3138=0,0,IF(E3138="MXN",1/HLOOKUP(YEAR(C3138)+(MONTH(C3138)/100),TC!$5:$37,DAY(C3138)+2,FALSE),VLOOKUP(E3138,Equivalencia!$5:$23,((MAX(Equivalencia!$3:$3)-YEAR(C3138))*14)+MONTH(C3138)+2,FALSE)))</f>
        <v>0</v>
      </c>
      <c r="J3138" s="178">
        <f t="shared" si="255"/>
        <v>0</v>
      </c>
      <c r="K3138" s="462">
        <f>IF(C3138=0,0,VLOOKUP(YEAR(C3138),INPC!$B$4:$O$29,MONTH(C3138)+1))</f>
        <v>0</v>
      </c>
      <c r="L3138" s="462">
        <f>IF(S3138=0,0,VLOOKUP(YEAR(S3138),INPC!$B$4:$O$29,MONTH(S3138)+1))</f>
        <v>0</v>
      </c>
      <c r="M3138" s="463">
        <f t="shared" si="256"/>
        <v>0</v>
      </c>
      <c r="N3138" s="465">
        <f t="shared" si="257"/>
        <v>0</v>
      </c>
      <c r="O3138" s="179"/>
      <c r="P3138" s="180"/>
      <c r="Q3138" s="173"/>
      <c r="R3138" s="173"/>
      <c r="S3138" s="174"/>
      <c r="T3138" s="173"/>
      <c r="U3138" s="182"/>
      <c r="V3138" s="177">
        <f>IF(U3138=0,0,IF(T3138="MXN",1/HLOOKUP(YEAR(S3138)+(MONTH(S3138)/100),TC!$5:$37,DAY(S3138)+2,FALSE),VLOOKUP(T3138,Equivalencia!$1:$23,((MAX(Equivalencia!$3:$3)-YEAR(S3138))*14)+MONTH(S3138)+2,FALSE)))</f>
        <v>0</v>
      </c>
      <c r="W3138" s="178">
        <f t="shared" si="258"/>
        <v>0</v>
      </c>
      <c r="X3138" s="481">
        <f t="shared" si="259"/>
        <v>0</v>
      </c>
      <c r="Y3138" s="179"/>
      <c r="Z3138" s="466">
        <f t="shared" si="260"/>
        <v>0</v>
      </c>
      <c r="AA3138" s="473">
        <f t="shared" si="261"/>
        <v>0</v>
      </c>
      <c r="AB3138" s="339">
        <f t="shared" si="262"/>
        <v>0</v>
      </c>
    </row>
    <row r="3139" spans="2:28" ht="20.100000000000001" customHeight="1">
      <c r="B3139" s="172"/>
      <c r="C3139" s="174"/>
      <c r="D3139" s="181"/>
      <c r="E3139" s="173"/>
      <c r="F3139" s="176"/>
      <c r="G3139" s="175">
        <f t="shared" si="253"/>
        <v>0</v>
      </c>
      <c r="H3139" s="175">
        <f t="shared" si="254"/>
        <v>0</v>
      </c>
      <c r="I3139" s="177">
        <f>IF(G3139=0,0,IF(E3139="MXN",1/HLOOKUP(YEAR(C3139)+(MONTH(C3139)/100),TC!$5:$37,DAY(C3139)+2,FALSE),VLOOKUP(E3139,Equivalencia!$5:$23,((MAX(Equivalencia!$3:$3)-YEAR(C3139))*14)+MONTH(C3139)+2,FALSE)))</f>
        <v>0</v>
      </c>
      <c r="J3139" s="178">
        <f t="shared" si="255"/>
        <v>0</v>
      </c>
      <c r="K3139" s="462">
        <f>IF(C3139=0,0,VLOOKUP(YEAR(C3139),INPC!$B$4:$O$29,MONTH(C3139)+1))</f>
        <v>0</v>
      </c>
      <c r="L3139" s="462">
        <f>IF(S3139=0,0,VLOOKUP(YEAR(S3139),INPC!$B$4:$O$29,MONTH(S3139)+1))</f>
        <v>0</v>
      </c>
      <c r="M3139" s="463">
        <f t="shared" si="256"/>
        <v>0</v>
      </c>
      <c r="N3139" s="465">
        <f t="shared" si="257"/>
        <v>0</v>
      </c>
      <c r="O3139" s="179"/>
      <c r="P3139" s="180"/>
      <c r="Q3139" s="173"/>
      <c r="R3139" s="173"/>
      <c r="S3139" s="174"/>
      <c r="T3139" s="173"/>
      <c r="U3139" s="182"/>
      <c r="V3139" s="177">
        <f>IF(U3139=0,0,IF(T3139="MXN",1/HLOOKUP(YEAR(S3139)+(MONTH(S3139)/100),TC!$5:$37,DAY(S3139)+2,FALSE),VLOOKUP(T3139,Equivalencia!$1:$23,((MAX(Equivalencia!$3:$3)-YEAR(S3139))*14)+MONTH(S3139)+2,FALSE)))</f>
        <v>0</v>
      </c>
      <c r="W3139" s="178">
        <f t="shared" si="258"/>
        <v>0</v>
      </c>
      <c r="X3139" s="481">
        <f t="shared" si="259"/>
        <v>0</v>
      </c>
      <c r="Y3139" s="179"/>
      <c r="Z3139" s="466">
        <f t="shared" si="260"/>
        <v>0</v>
      </c>
      <c r="AA3139" s="473">
        <f t="shared" si="261"/>
        <v>0</v>
      </c>
      <c r="AB3139" s="339">
        <f t="shared" si="262"/>
        <v>0</v>
      </c>
    </row>
    <row r="3140" spans="2:28" ht="20.100000000000001" customHeight="1">
      <c r="B3140" s="172"/>
      <c r="C3140" s="174"/>
      <c r="D3140" s="181"/>
      <c r="E3140" s="173"/>
      <c r="F3140" s="176"/>
      <c r="G3140" s="175">
        <f t="shared" si="253"/>
        <v>0</v>
      </c>
      <c r="H3140" s="175">
        <f t="shared" si="254"/>
        <v>0</v>
      </c>
      <c r="I3140" s="177">
        <f>IF(G3140=0,0,IF(E3140="MXN",1/HLOOKUP(YEAR(C3140)+(MONTH(C3140)/100),TC!$5:$37,DAY(C3140)+2,FALSE),VLOOKUP(E3140,Equivalencia!$5:$23,((MAX(Equivalencia!$3:$3)-YEAR(C3140))*14)+MONTH(C3140)+2,FALSE)))</f>
        <v>0</v>
      </c>
      <c r="J3140" s="178">
        <f t="shared" si="255"/>
        <v>0</v>
      </c>
      <c r="K3140" s="462">
        <f>IF(C3140=0,0,VLOOKUP(YEAR(C3140),INPC!$B$4:$O$29,MONTH(C3140)+1))</f>
        <v>0</v>
      </c>
      <c r="L3140" s="462">
        <f>IF(S3140=0,0,VLOOKUP(YEAR(S3140),INPC!$B$4:$O$29,MONTH(S3140)+1))</f>
        <v>0</v>
      </c>
      <c r="M3140" s="463">
        <f t="shared" si="256"/>
        <v>0</v>
      </c>
      <c r="N3140" s="465">
        <f t="shared" si="257"/>
        <v>0</v>
      </c>
      <c r="O3140" s="179"/>
      <c r="P3140" s="180"/>
      <c r="Q3140" s="173"/>
      <c r="R3140" s="173"/>
      <c r="S3140" s="174"/>
      <c r="T3140" s="173"/>
      <c r="U3140" s="182"/>
      <c r="V3140" s="177">
        <f>IF(U3140=0,0,IF(T3140="MXN",1/HLOOKUP(YEAR(S3140)+(MONTH(S3140)/100),TC!$5:$37,DAY(S3140)+2,FALSE),VLOOKUP(T3140,Equivalencia!$1:$23,((MAX(Equivalencia!$3:$3)-YEAR(S3140))*14)+MONTH(S3140)+2,FALSE)))</f>
        <v>0</v>
      </c>
      <c r="W3140" s="178">
        <f t="shared" si="258"/>
        <v>0</v>
      </c>
      <c r="X3140" s="481">
        <f t="shared" si="259"/>
        <v>0</v>
      </c>
      <c r="Y3140" s="179"/>
      <c r="Z3140" s="466">
        <f t="shared" si="260"/>
        <v>0</v>
      </c>
      <c r="AA3140" s="473">
        <f t="shared" si="261"/>
        <v>0</v>
      </c>
      <c r="AB3140" s="339">
        <f t="shared" si="262"/>
        <v>0</v>
      </c>
    </row>
    <row r="3141" spans="2:28" ht="20.100000000000001" customHeight="1">
      <c r="B3141" s="172"/>
      <c r="C3141" s="174"/>
      <c r="D3141" s="181"/>
      <c r="E3141" s="173"/>
      <c r="F3141" s="176"/>
      <c r="G3141" s="175">
        <f t="shared" si="253"/>
        <v>0</v>
      </c>
      <c r="H3141" s="175">
        <f t="shared" si="254"/>
        <v>0</v>
      </c>
      <c r="I3141" s="177">
        <f>IF(G3141=0,0,IF(E3141="MXN",1/HLOOKUP(YEAR(C3141)+(MONTH(C3141)/100),TC!$5:$37,DAY(C3141)+2,FALSE),VLOOKUP(E3141,Equivalencia!$5:$23,((MAX(Equivalencia!$3:$3)-YEAR(C3141))*14)+MONTH(C3141)+2,FALSE)))</f>
        <v>0</v>
      </c>
      <c r="J3141" s="178">
        <f t="shared" si="255"/>
        <v>0</v>
      </c>
      <c r="K3141" s="462">
        <f>IF(C3141=0,0,VLOOKUP(YEAR(C3141),INPC!$B$4:$O$29,MONTH(C3141)+1))</f>
        <v>0</v>
      </c>
      <c r="L3141" s="462">
        <f>IF(S3141=0,0,VLOOKUP(YEAR(S3141),INPC!$B$4:$O$29,MONTH(S3141)+1))</f>
        <v>0</v>
      </c>
      <c r="M3141" s="463">
        <f t="shared" si="256"/>
        <v>0</v>
      </c>
      <c r="N3141" s="465">
        <f t="shared" si="257"/>
        <v>0</v>
      </c>
      <c r="O3141" s="179"/>
      <c r="P3141" s="180"/>
      <c r="Q3141" s="173"/>
      <c r="R3141" s="173"/>
      <c r="S3141" s="174"/>
      <c r="T3141" s="173"/>
      <c r="U3141" s="182"/>
      <c r="V3141" s="177">
        <f>IF(U3141=0,0,IF(T3141="MXN",1/HLOOKUP(YEAR(S3141)+(MONTH(S3141)/100),TC!$5:$37,DAY(S3141)+2,FALSE),VLOOKUP(T3141,Equivalencia!$1:$23,((MAX(Equivalencia!$3:$3)-YEAR(S3141))*14)+MONTH(S3141)+2,FALSE)))</f>
        <v>0</v>
      </c>
      <c r="W3141" s="178">
        <f t="shared" si="258"/>
        <v>0</v>
      </c>
      <c r="X3141" s="481">
        <f t="shared" si="259"/>
        <v>0</v>
      </c>
      <c r="Y3141" s="179"/>
      <c r="Z3141" s="466">
        <f t="shared" si="260"/>
        <v>0</v>
      </c>
      <c r="AA3141" s="473">
        <f t="shared" si="261"/>
        <v>0</v>
      </c>
      <c r="AB3141" s="339">
        <f t="shared" si="262"/>
        <v>0</v>
      </c>
    </row>
    <row r="3142" spans="2:28" ht="20.100000000000001" customHeight="1">
      <c r="B3142" s="172"/>
      <c r="C3142" s="174"/>
      <c r="D3142" s="181"/>
      <c r="E3142" s="173"/>
      <c r="F3142" s="176"/>
      <c r="G3142" s="175">
        <f t="shared" si="253"/>
        <v>0</v>
      </c>
      <c r="H3142" s="175">
        <f t="shared" si="254"/>
        <v>0</v>
      </c>
      <c r="I3142" s="177">
        <f>IF(G3142=0,0,IF(E3142="MXN",1/HLOOKUP(YEAR(C3142)+(MONTH(C3142)/100),TC!$5:$37,DAY(C3142)+2,FALSE),VLOOKUP(E3142,Equivalencia!$5:$23,((MAX(Equivalencia!$3:$3)-YEAR(C3142))*14)+MONTH(C3142)+2,FALSE)))</f>
        <v>0</v>
      </c>
      <c r="J3142" s="178">
        <f t="shared" si="255"/>
        <v>0</v>
      </c>
      <c r="K3142" s="462">
        <f>IF(C3142=0,0,VLOOKUP(YEAR(C3142),INPC!$B$4:$O$29,MONTH(C3142)+1))</f>
        <v>0</v>
      </c>
      <c r="L3142" s="462">
        <f>IF(S3142=0,0,VLOOKUP(YEAR(S3142),INPC!$B$4:$O$29,MONTH(S3142)+1))</f>
        <v>0</v>
      </c>
      <c r="M3142" s="463">
        <f t="shared" si="256"/>
        <v>0</v>
      </c>
      <c r="N3142" s="465">
        <f t="shared" si="257"/>
        <v>0</v>
      </c>
      <c r="O3142" s="179"/>
      <c r="P3142" s="180"/>
      <c r="Q3142" s="173"/>
      <c r="R3142" s="173"/>
      <c r="S3142" s="174"/>
      <c r="T3142" s="173"/>
      <c r="U3142" s="182"/>
      <c r="V3142" s="177">
        <f>IF(U3142=0,0,IF(T3142="MXN",1/HLOOKUP(YEAR(S3142)+(MONTH(S3142)/100),TC!$5:$37,DAY(S3142)+2,FALSE),VLOOKUP(T3142,Equivalencia!$1:$23,((MAX(Equivalencia!$3:$3)-YEAR(S3142))*14)+MONTH(S3142)+2,FALSE)))</f>
        <v>0</v>
      </c>
      <c r="W3142" s="178">
        <f t="shared" si="258"/>
        <v>0</v>
      </c>
      <c r="X3142" s="481">
        <f t="shared" si="259"/>
        <v>0</v>
      </c>
      <c r="Y3142" s="179"/>
      <c r="Z3142" s="466">
        <f t="shared" si="260"/>
        <v>0</v>
      </c>
      <c r="AA3142" s="473">
        <f t="shared" si="261"/>
        <v>0</v>
      </c>
      <c r="AB3142" s="339">
        <f t="shared" si="262"/>
        <v>0</v>
      </c>
    </row>
    <row r="3143" spans="2:28" ht="20.100000000000001" customHeight="1">
      <c r="B3143" s="172"/>
      <c r="C3143" s="174"/>
      <c r="D3143" s="181"/>
      <c r="E3143" s="173"/>
      <c r="F3143" s="176"/>
      <c r="G3143" s="175">
        <f t="shared" si="253"/>
        <v>0</v>
      </c>
      <c r="H3143" s="175">
        <f t="shared" si="254"/>
        <v>0</v>
      </c>
      <c r="I3143" s="177">
        <f>IF(G3143=0,0,IF(E3143="MXN",1/HLOOKUP(YEAR(C3143)+(MONTH(C3143)/100),TC!$5:$37,DAY(C3143)+2,FALSE),VLOOKUP(E3143,Equivalencia!$5:$23,((MAX(Equivalencia!$3:$3)-YEAR(C3143))*14)+MONTH(C3143)+2,FALSE)))</f>
        <v>0</v>
      </c>
      <c r="J3143" s="178">
        <f t="shared" si="255"/>
        <v>0</v>
      </c>
      <c r="K3143" s="462">
        <f>IF(C3143=0,0,VLOOKUP(YEAR(C3143),INPC!$B$4:$O$29,MONTH(C3143)+1))</f>
        <v>0</v>
      </c>
      <c r="L3143" s="462">
        <f>IF(S3143=0,0,VLOOKUP(YEAR(S3143),INPC!$B$4:$O$29,MONTH(S3143)+1))</f>
        <v>0</v>
      </c>
      <c r="M3143" s="463">
        <f t="shared" si="256"/>
        <v>0</v>
      </c>
      <c r="N3143" s="465">
        <f t="shared" si="257"/>
        <v>0</v>
      </c>
      <c r="O3143" s="179"/>
      <c r="P3143" s="180"/>
      <c r="Q3143" s="173"/>
      <c r="R3143" s="173"/>
      <c r="S3143" s="174"/>
      <c r="T3143" s="173"/>
      <c r="U3143" s="182"/>
      <c r="V3143" s="177">
        <f>IF(U3143=0,0,IF(T3143="MXN",1/HLOOKUP(YEAR(S3143)+(MONTH(S3143)/100),TC!$5:$37,DAY(S3143)+2,FALSE),VLOOKUP(T3143,Equivalencia!$1:$23,((MAX(Equivalencia!$3:$3)-YEAR(S3143))*14)+MONTH(S3143)+2,FALSE)))</f>
        <v>0</v>
      </c>
      <c r="W3143" s="178">
        <f t="shared" si="258"/>
        <v>0</v>
      </c>
      <c r="X3143" s="481">
        <f t="shared" si="259"/>
        <v>0</v>
      </c>
      <c r="Y3143" s="179"/>
      <c r="Z3143" s="466">
        <f t="shared" si="260"/>
        <v>0</v>
      </c>
      <c r="AA3143" s="473">
        <f t="shared" si="261"/>
        <v>0</v>
      </c>
      <c r="AB3143" s="339">
        <f t="shared" si="262"/>
        <v>0</v>
      </c>
    </row>
    <row r="3144" spans="2:28" ht="20.100000000000001" customHeight="1">
      <c r="B3144" s="172"/>
      <c r="C3144" s="174"/>
      <c r="D3144" s="181"/>
      <c r="E3144" s="173"/>
      <c r="F3144" s="176"/>
      <c r="G3144" s="175">
        <f t="shared" si="253"/>
        <v>0</v>
      </c>
      <c r="H3144" s="175">
        <f t="shared" si="254"/>
        <v>0</v>
      </c>
      <c r="I3144" s="177">
        <f>IF(G3144=0,0,IF(E3144="MXN",1/HLOOKUP(YEAR(C3144)+(MONTH(C3144)/100),TC!$5:$37,DAY(C3144)+2,FALSE),VLOOKUP(E3144,Equivalencia!$5:$23,((MAX(Equivalencia!$3:$3)-YEAR(C3144))*14)+MONTH(C3144)+2,FALSE)))</f>
        <v>0</v>
      </c>
      <c r="J3144" s="178">
        <f t="shared" si="255"/>
        <v>0</v>
      </c>
      <c r="K3144" s="462">
        <f>IF(C3144=0,0,VLOOKUP(YEAR(C3144),INPC!$B$4:$O$29,MONTH(C3144)+1))</f>
        <v>0</v>
      </c>
      <c r="L3144" s="462">
        <f>IF(S3144=0,0,VLOOKUP(YEAR(S3144),INPC!$B$4:$O$29,MONTH(S3144)+1))</f>
        <v>0</v>
      </c>
      <c r="M3144" s="463">
        <f t="shared" si="256"/>
        <v>0</v>
      </c>
      <c r="N3144" s="465">
        <f t="shared" si="257"/>
        <v>0</v>
      </c>
      <c r="O3144" s="179"/>
      <c r="P3144" s="180"/>
      <c r="Q3144" s="173"/>
      <c r="R3144" s="173"/>
      <c r="S3144" s="174"/>
      <c r="T3144" s="173"/>
      <c r="U3144" s="182"/>
      <c r="V3144" s="177">
        <f>IF(U3144=0,0,IF(T3144="MXN",1/HLOOKUP(YEAR(S3144)+(MONTH(S3144)/100),TC!$5:$37,DAY(S3144)+2,FALSE),VLOOKUP(T3144,Equivalencia!$1:$23,((MAX(Equivalencia!$3:$3)-YEAR(S3144))*14)+MONTH(S3144)+2,FALSE)))</f>
        <v>0</v>
      </c>
      <c r="W3144" s="178">
        <f t="shared" si="258"/>
        <v>0</v>
      </c>
      <c r="X3144" s="481">
        <f t="shared" si="259"/>
        <v>0</v>
      </c>
      <c r="Y3144" s="179"/>
      <c r="Z3144" s="466">
        <f t="shared" si="260"/>
        <v>0</v>
      </c>
      <c r="AA3144" s="473">
        <f t="shared" si="261"/>
        <v>0</v>
      </c>
      <c r="AB3144" s="339">
        <f t="shared" si="262"/>
        <v>0</v>
      </c>
    </row>
    <row r="3145" spans="2:28" ht="20.100000000000001" customHeight="1">
      <c r="B3145" s="172"/>
      <c r="C3145" s="174"/>
      <c r="D3145" s="181"/>
      <c r="E3145" s="173"/>
      <c r="F3145" s="176"/>
      <c r="G3145" s="175">
        <f t="shared" si="253"/>
        <v>0</v>
      </c>
      <c r="H3145" s="175">
        <f t="shared" si="254"/>
        <v>0</v>
      </c>
      <c r="I3145" s="177">
        <f>IF(G3145=0,0,IF(E3145="MXN",1/HLOOKUP(YEAR(C3145)+(MONTH(C3145)/100),TC!$5:$37,DAY(C3145)+2,FALSE),VLOOKUP(E3145,Equivalencia!$5:$23,((MAX(Equivalencia!$3:$3)-YEAR(C3145))*14)+MONTH(C3145)+2,FALSE)))</f>
        <v>0</v>
      </c>
      <c r="J3145" s="178">
        <f t="shared" si="255"/>
        <v>0</v>
      </c>
      <c r="K3145" s="462">
        <f>IF(C3145=0,0,VLOOKUP(YEAR(C3145),INPC!$B$4:$O$29,MONTH(C3145)+1))</f>
        <v>0</v>
      </c>
      <c r="L3145" s="462">
        <f>IF(S3145=0,0,VLOOKUP(YEAR(S3145),INPC!$B$4:$O$29,MONTH(S3145)+1))</f>
        <v>0</v>
      </c>
      <c r="M3145" s="463">
        <f t="shared" si="256"/>
        <v>0</v>
      </c>
      <c r="N3145" s="465">
        <f t="shared" si="257"/>
        <v>0</v>
      </c>
      <c r="O3145" s="179"/>
      <c r="P3145" s="180"/>
      <c r="Q3145" s="173"/>
      <c r="R3145" s="173"/>
      <c r="S3145" s="174"/>
      <c r="T3145" s="173"/>
      <c r="U3145" s="182"/>
      <c r="V3145" s="177">
        <f>IF(U3145=0,0,IF(T3145="MXN",1/HLOOKUP(YEAR(S3145)+(MONTH(S3145)/100),TC!$5:$37,DAY(S3145)+2,FALSE),VLOOKUP(T3145,Equivalencia!$1:$23,((MAX(Equivalencia!$3:$3)-YEAR(S3145))*14)+MONTH(S3145)+2,FALSE)))</f>
        <v>0</v>
      </c>
      <c r="W3145" s="178">
        <f t="shared" si="258"/>
        <v>0</v>
      </c>
      <c r="X3145" s="481">
        <f t="shared" si="259"/>
        <v>0</v>
      </c>
      <c r="Y3145" s="179"/>
      <c r="Z3145" s="466">
        <f t="shared" si="260"/>
        <v>0</v>
      </c>
      <c r="AA3145" s="473">
        <f t="shared" si="261"/>
        <v>0</v>
      </c>
      <c r="AB3145" s="339">
        <f t="shared" si="262"/>
        <v>0</v>
      </c>
    </row>
    <row r="3146" spans="2:28" ht="20.100000000000001" customHeight="1">
      <c r="B3146" s="172"/>
      <c r="C3146" s="174"/>
      <c r="D3146" s="181"/>
      <c r="E3146" s="173"/>
      <c r="F3146" s="176"/>
      <c r="G3146" s="175">
        <f t="shared" si="253"/>
        <v>0</v>
      </c>
      <c r="H3146" s="175">
        <f t="shared" si="254"/>
        <v>0</v>
      </c>
      <c r="I3146" s="177">
        <f>IF(G3146=0,0,IF(E3146="MXN",1/HLOOKUP(YEAR(C3146)+(MONTH(C3146)/100),TC!$5:$37,DAY(C3146)+2,FALSE),VLOOKUP(E3146,Equivalencia!$5:$23,((MAX(Equivalencia!$3:$3)-YEAR(C3146))*14)+MONTH(C3146)+2,FALSE)))</f>
        <v>0</v>
      </c>
      <c r="J3146" s="178">
        <f t="shared" si="255"/>
        <v>0</v>
      </c>
      <c r="K3146" s="462">
        <f>IF(C3146=0,0,VLOOKUP(YEAR(C3146),INPC!$B$4:$O$29,MONTH(C3146)+1))</f>
        <v>0</v>
      </c>
      <c r="L3146" s="462">
        <f>IF(S3146=0,0,VLOOKUP(YEAR(S3146),INPC!$B$4:$O$29,MONTH(S3146)+1))</f>
        <v>0</v>
      </c>
      <c r="M3146" s="463">
        <f t="shared" si="256"/>
        <v>0</v>
      </c>
      <c r="N3146" s="465">
        <f t="shared" si="257"/>
        <v>0</v>
      </c>
      <c r="O3146" s="179"/>
      <c r="P3146" s="180"/>
      <c r="Q3146" s="173"/>
      <c r="R3146" s="173"/>
      <c r="S3146" s="174"/>
      <c r="T3146" s="173"/>
      <c r="U3146" s="182"/>
      <c r="V3146" s="177">
        <f>IF(U3146=0,0,IF(T3146="MXN",1/HLOOKUP(YEAR(S3146)+(MONTH(S3146)/100),TC!$5:$37,DAY(S3146)+2,FALSE),VLOOKUP(T3146,Equivalencia!$1:$23,((MAX(Equivalencia!$3:$3)-YEAR(S3146))*14)+MONTH(S3146)+2,FALSE)))</f>
        <v>0</v>
      </c>
      <c r="W3146" s="178">
        <f t="shared" si="258"/>
        <v>0</v>
      </c>
      <c r="X3146" s="481">
        <f t="shared" si="259"/>
        <v>0</v>
      </c>
      <c r="Y3146" s="179"/>
      <c r="Z3146" s="466">
        <f t="shared" si="260"/>
        <v>0</v>
      </c>
      <c r="AA3146" s="473">
        <f t="shared" si="261"/>
        <v>0</v>
      </c>
      <c r="AB3146" s="339">
        <f t="shared" si="262"/>
        <v>0</v>
      </c>
    </row>
    <row r="3147" spans="2:28" ht="20.100000000000001" customHeight="1">
      <c r="B3147" s="172"/>
      <c r="C3147" s="174"/>
      <c r="D3147" s="181"/>
      <c r="E3147" s="173"/>
      <c r="F3147" s="176"/>
      <c r="G3147" s="175">
        <f t="shared" si="253"/>
        <v>0</v>
      </c>
      <c r="H3147" s="175">
        <f t="shared" si="254"/>
        <v>0</v>
      </c>
      <c r="I3147" s="177">
        <f>IF(G3147=0,0,IF(E3147="MXN",1/HLOOKUP(YEAR(C3147)+(MONTH(C3147)/100),TC!$5:$37,DAY(C3147)+2,FALSE),VLOOKUP(E3147,Equivalencia!$5:$23,((MAX(Equivalencia!$3:$3)-YEAR(C3147))*14)+MONTH(C3147)+2,FALSE)))</f>
        <v>0</v>
      </c>
      <c r="J3147" s="178">
        <f t="shared" si="255"/>
        <v>0</v>
      </c>
      <c r="K3147" s="462">
        <f>IF(C3147=0,0,VLOOKUP(YEAR(C3147),INPC!$B$4:$O$29,MONTH(C3147)+1))</f>
        <v>0</v>
      </c>
      <c r="L3147" s="462">
        <f>IF(S3147=0,0,VLOOKUP(YEAR(S3147),INPC!$B$4:$O$29,MONTH(S3147)+1))</f>
        <v>0</v>
      </c>
      <c r="M3147" s="463">
        <f t="shared" si="256"/>
        <v>0</v>
      </c>
      <c r="N3147" s="465">
        <f t="shared" si="257"/>
        <v>0</v>
      </c>
      <c r="O3147" s="179"/>
      <c r="P3147" s="180"/>
      <c r="Q3147" s="173"/>
      <c r="R3147" s="173"/>
      <c r="S3147" s="174"/>
      <c r="T3147" s="173"/>
      <c r="U3147" s="182"/>
      <c r="V3147" s="177">
        <f>IF(U3147=0,0,IF(T3147="MXN",1/HLOOKUP(YEAR(S3147)+(MONTH(S3147)/100),TC!$5:$37,DAY(S3147)+2,FALSE),VLOOKUP(T3147,Equivalencia!$1:$23,((MAX(Equivalencia!$3:$3)-YEAR(S3147))*14)+MONTH(S3147)+2,FALSE)))</f>
        <v>0</v>
      </c>
      <c r="W3147" s="178">
        <f t="shared" si="258"/>
        <v>0</v>
      </c>
      <c r="X3147" s="481">
        <f t="shared" si="259"/>
        <v>0</v>
      </c>
      <c r="Y3147" s="179"/>
      <c r="Z3147" s="466">
        <f t="shared" si="260"/>
        <v>0</v>
      </c>
      <c r="AA3147" s="473">
        <f t="shared" si="261"/>
        <v>0</v>
      </c>
      <c r="AB3147" s="339">
        <f t="shared" si="262"/>
        <v>0</v>
      </c>
    </row>
    <row r="3148" spans="2:28" ht="20.100000000000001" customHeight="1">
      <c r="B3148" s="172"/>
      <c r="C3148" s="174"/>
      <c r="D3148" s="181"/>
      <c r="E3148" s="173"/>
      <c r="F3148" s="176"/>
      <c r="G3148" s="175">
        <f t="shared" si="253"/>
        <v>0</v>
      </c>
      <c r="H3148" s="175">
        <f t="shared" si="254"/>
        <v>0</v>
      </c>
      <c r="I3148" s="177">
        <f>IF(G3148=0,0,IF(E3148="MXN",1/HLOOKUP(YEAR(C3148)+(MONTH(C3148)/100),TC!$5:$37,DAY(C3148)+2,FALSE),VLOOKUP(E3148,Equivalencia!$5:$23,((MAX(Equivalencia!$3:$3)-YEAR(C3148))*14)+MONTH(C3148)+2,FALSE)))</f>
        <v>0</v>
      </c>
      <c r="J3148" s="178">
        <f t="shared" si="255"/>
        <v>0</v>
      </c>
      <c r="K3148" s="462">
        <f>IF(C3148=0,0,VLOOKUP(YEAR(C3148),INPC!$B$4:$O$29,MONTH(C3148)+1))</f>
        <v>0</v>
      </c>
      <c r="L3148" s="462">
        <f>IF(S3148=0,0,VLOOKUP(YEAR(S3148),INPC!$B$4:$O$29,MONTH(S3148)+1))</f>
        <v>0</v>
      </c>
      <c r="M3148" s="463">
        <f t="shared" si="256"/>
        <v>0</v>
      </c>
      <c r="N3148" s="465">
        <f t="shared" si="257"/>
        <v>0</v>
      </c>
      <c r="O3148" s="179"/>
      <c r="P3148" s="180"/>
      <c r="Q3148" s="173"/>
      <c r="R3148" s="173"/>
      <c r="S3148" s="174"/>
      <c r="T3148" s="173"/>
      <c r="U3148" s="182"/>
      <c r="V3148" s="177">
        <f>IF(U3148=0,0,IF(T3148="MXN",1/HLOOKUP(YEAR(S3148)+(MONTH(S3148)/100),TC!$5:$37,DAY(S3148)+2,FALSE),VLOOKUP(T3148,Equivalencia!$1:$23,((MAX(Equivalencia!$3:$3)-YEAR(S3148))*14)+MONTH(S3148)+2,FALSE)))</f>
        <v>0</v>
      </c>
      <c r="W3148" s="178">
        <f t="shared" si="258"/>
        <v>0</v>
      </c>
      <c r="X3148" s="481">
        <f t="shared" si="259"/>
        <v>0</v>
      </c>
      <c r="Y3148" s="179"/>
      <c r="Z3148" s="466">
        <f t="shared" si="260"/>
        <v>0</v>
      </c>
      <c r="AA3148" s="473">
        <f t="shared" si="261"/>
        <v>0</v>
      </c>
      <c r="AB3148" s="339">
        <f t="shared" si="262"/>
        <v>0</v>
      </c>
    </row>
    <row r="3149" spans="2:28" ht="20.100000000000001" customHeight="1">
      <c r="B3149" s="172"/>
      <c r="C3149" s="174"/>
      <c r="D3149" s="181"/>
      <c r="E3149" s="173"/>
      <c r="F3149" s="176"/>
      <c r="G3149" s="175">
        <f t="shared" si="253"/>
        <v>0</v>
      </c>
      <c r="H3149" s="175">
        <f t="shared" si="254"/>
        <v>0</v>
      </c>
      <c r="I3149" s="177">
        <f>IF(G3149=0,0,IF(E3149="MXN",1/HLOOKUP(YEAR(C3149)+(MONTH(C3149)/100),TC!$5:$37,DAY(C3149)+2,FALSE),VLOOKUP(E3149,Equivalencia!$5:$23,((MAX(Equivalencia!$3:$3)-YEAR(C3149))*14)+MONTH(C3149)+2,FALSE)))</f>
        <v>0</v>
      </c>
      <c r="J3149" s="178">
        <f t="shared" si="255"/>
        <v>0</v>
      </c>
      <c r="K3149" s="462">
        <f>IF(C3149=0,0,VLOOKUP(YEAR(C3149),INPC!$B$4:$O$29,MONTH(C3149)+1))</f>
        <v>0</v>
      </c>
      <c r="L3149" s="462">
        <f>IF(S3149=0,0,VLOOKUP(YEAR(S3149),INPC!$B$4:$O$29,MONTH(S3149)+1))</f>
        <v>0</v>
      </c>
      <c r="M3149" s="463">
        <f t="shared" si="256"/>
        <v>0</v>
      </c>
      <c r="N3149" s="465">
        <f t="shared" si="257"/>
        <v>0</v>
      </c>
      <c r="O3149" s="179"/>
      <c r="P3149" s="180"/>
      <c r="Q3149" s="173"/>
      <c r="R3149" s="173"/>
      <c r="S3149" s="174"/>
      <c r="T3149" s="173"/>
      <c r="U3149" s="182"/>
      <c r="V3149" s="177">
        <f>IF(U3149=0,0,IF(T3149="MXN",1/HLOOKUP(YEAR(S3149)+(MONTH(S3149)/100),TC!$5:$37,DAY(S3149)+2,FALSE),VLOOKUP(T3149,Equivalencia!$1:$23,((MAX(Equivalencia!$3:$3)-YEAR(S3149))*14)+MONTH(S3149)+2,FALSE)))</f>
        <v>0</v>
      </c>
      <c r="W3149" s="178">
        <f t="shared" si="258"/>
        <v>0</v>
      </c>
      <c r="X3149" s="481">
        <f t="shared" si="259"/>
        <v>0</v>
      </c>
      <c r="Y3149" s="179"/>
      <c r="Z3149" s="466">
        <f t="shared" si="260"/>
        <v>0</v>
      </c>
      <c r="AA3149" s="473">
        <f t="shared" si="261"/>
        <v>0</v>
      </c>
      <c r="AB3149" s="339">
        <f t="shared" si="262"/>
        <v>0</v>
      </c>
    </row>
    <row r="3150" spans="2:28" ht="20.100000000000001" customHeight="1">
      <c r="B3150" s="172"/>
      <c r="C3150" s="174"/>
      <c r="D3150" s="181"/>
      <c r="E3150" s="173"/>
      <c r="F3150" s="176"/>
      <c r="G3150" s="175">
        <f t="shared" si="253"/>
        <v>0</v>
      </c>
      <c r="H3150" s="175">
        <f t="shared" si="254"/>
        <v>0</v>
      </c>
      <c r="I3150" s="177">
        <f>IF(G3150=0,0,IF(E3150="MXN",1/HLOOKUP(YEAR(C3150)+(MONTH(C3150)/100),TC!$5:$37,DAY(C3150)+2,FALSE),VLOOKUP(E3150,Equivalencia!$5:$23,((MAX(Equivalencia!$3:$3)-YEAR(C3150))*14)+MONTH(C3150)+2,FALSE)))</f>
        <v>0</v>
      </c>
      <c r="J3150" s="178">
        <f t="shared" si="255"/>
        <v>0</v>
      </c>
      <c r="K3150" s="462">
        <f>IF(C3150=0,0,VLOOKUP(YEAR(C3150),INPC!$B$4:$O$29,MONTH(C3150)+1))</f>
        <v>0</v>
      </c>
      <c r="L3150" s="462">
        <f>IF(S3150=0,0,VLOOKUP(YEAR(S3150),INPC!$B$4:$O$29,MONTH(S3150)+1))</f>
        <v>0</v>
      </c>
      <c r="M3150" s="463">
        <f t="shared" si="256"/>
        <v>0</v>
      </c>
      <c r="N3150" s="465">
        <f t="shared" si="257"/>
        <v>0</v>
      </c>
      <c r="O3150" s="179"/>
      <c r="P3150" s="180"/>
      <c r="Q3150" s="173"/>
      <c r="R3150" s="173"/>
      <c r="S3150" s="174"/>
      <c r="T3150" s="173"/>
      <c r="U3150" s="182"/>
      <c r="V3150" s="177">
        <f>IF(U3150=0,0,IF(T3150="MXN",1/HLOOKUP(YEAR(S3150)+(MONTH(S3150)/100),TC!$5:$37,DAY(S3150)+2,FALSE),VLOOKUP(T3150,Equivalencia!$1:$23,((MAX(Equivalencia!$3:$3)-YEAR(S3150))*14)+MONTH(S3150)+2,FALSE)))</f>
        <v>0</v>
      </c>
      <c r="W3150" s="178">
        <f t="shared" si="258"/>
        <v>0</v>
      </c>
      <c r="X3150" s="481">
        <f t="shared" si="259"/>
        <v>0</v>
      </c>
      <c r="Y3150" s="179"/>
      <c r="Z3150" s="466">
        <f t="shared" si="260"/>
        <v>0</v>
      </c>
      <c r="AA3150" s="473">
        <f t="shared" si="261"/>
        <v>0</v>
      </c>
      <c r="AB3150" s="339">
        <f t="shared" si="262"/>
        <v>0</v>
      </c>
    </row>
    <row r="3151" spans="2:28" ht="20.100000000000001" customHeight="1">
      <c r="B3151" s="172"/>
      <c r="C3151" s="174"/>
      <c r="D3151" s="181"/>
      <c r="E3151" s="173"/>
      <c r="F3151" s="176"/>
      <c r="G3151" s="175">
        <f t="shared" si="253"/>
        <v>0</v>
      </c>
      <c r="H3151" s="175">
        <f t="shared" si="254"/>
        <v>0</v>
      </c>
      <c r="I3151" s="177">
        <f>IF(G3151=0,0,IF(E3151="MXN",1/HLOOKUP(YEAR(C3151)+(MONTH(C3151)/100),TC!$5:$37,DAY(C3151)+2,FALSE),VLOOKUP(E3151,Equivalencia!$5:$23,((MAX(Equivalencia!$3:$3)-YEAR(C3151))*14)+MONTH(C3151)+2,FALSE)))</f>
        <v>0</v>
      </c>
      <c r="J3151" s="178">
        <f t="shared" si="255"/>
        <v>0</v>
      </c>
      <c r="K3151" s="462">
        <f>IF(C3151=0,0,VLOOKUP(YEAR(C3151),INPC!$B$4:$O$29,MONTH(C3151)+1))</f>
        <v>0</v>
      </c>
      <c r="L3151" s="462">
        <f>IF(S3151=0,0,VLOOKUP(YEAR(S3151),INPC!$B$4:$O$29,MONTH(S3151)+1))</f>
        <v>0</v>
      </c>
      <c r="M3151" s="463">
        <f t="shared" si="256"/>
        <v>0</v>
      </c>
      <c r="N3151" s="465">
        <f t="shared" si="257"/>
        <v>0</v>
      </c>
      <c r="O3151" s="179"/>
      <c r="P3151" s="180"/>
      <c r="Q3151" s="173"/>
      <c r="R3151" s="173"/>
      <c r="S3151" s="174"/>
      <c r="T3151" s="173"/>
      <c r="U3151" s="182"/>
      <c r="V3151" s="177">
        <f>IF(U3151=0,0,IF(T3151="MXN",1/HLOOKUP(YEAR(S3151)+(MONTH(S3151)/100),TC!$5:$37,DAY(S3151)+2,FALSE),VLOOKUP(T3151,Equivalencia!$1:$23,((MAX(Equivalencia!$3:$3)-YEAR(S3151))*14)+MONTH(S3151)+2,FALSE)))</f>
        <v>0</v>
      </c>
      <c r="W3151" s="178">
        <f t="shared" si="258"/>
        <v>0</v>
      </c>
      <c r="X3151" s="481">
        <f t="shared" si="259"/>
        <v>0</v>
      </c>
      <c r="Y3151" s="179"/>
      <c r="Z3151" s="466">
        <f t="shared" si="260"/>
        <v>0</v>
      </c>
      <c r="AA3151" s="473">
        <f t="shared" si="261"/>
        <v>0</v>
      </c>
      <c r="AB3151" s="339">
        <f t="shared" si="262"/>
        <v>0</v>
      </c>
    </row>
    <row r="3152" spans="2:28" ht="20.100000000000001" customHeight="1">
      <c r="B3152" s="172"/>
      <c r="C3152" s="174"/>
      <c r="D3152" s="181"/>
      <c r="E3152" s="173"/>
      <c r="F3152" s="176"/>
      <c r="G3152" s="175">
        <f t="shared" si="253"/>
        <v>0</v>
      </c>
      <c r="H3152" s="175">
        <f t="shared" si="254"/>
        <v>0</v>
      </c>
      <c r="I3152" s="177">
        <f>IF(G3152=0,0,IF(E3152="MXN",1/HLOOKUP(YEAR(C3152)+(MONTH(C3152)/100),TC!$5:$37,DAY(C3152)+2,FALSE),VLOOKUP(E3152,Equivalencia!$5:$23,((MAX(Equivalencia!$3:$3)-YEAR(C3152))*14)+MONTH(C3152)+2,FALSE)))</f>
        <v>0</v>
      </c>
      <c r="J3152" s="178">
        <f t="shared" si="255"/>
        <v>0</v>
      </c>
      <c r="K3152" s="462">
        <f>IF(C3152=0,0,VLOOKUP(YEAR(C3152),INPC!$B$4:$O$29,MONTH(C3152)+1))</f>
        <v>0</v>
      </c>
      <c r="L3152" s="462">
        <f>IF(S3152=0,0,VLOOKUP(YEAR(S3152),INPC!$B$4:$O$29,MONTH(S3152)+1))</f>
        <v>0</v>
      </c>
      <c r="M3152" s="463">
        <f t="shared" si="256"/>
        <v>0</v>
      </c>
      <c r="N3152" s="465">
        <f t="shared" si="257"/>
        <v>0</v>
      </c>
      <c r="O3152" s="179"/>
      <c r="P3152" s="180"/>
      <c r="Q3152" s="173"/>
      <c r="R3152" s="173"/>
      <c r="S3152" s="174"/>
      <c r="T3152" s="173"/>
      <c r="U3152" s="182"/>
      <c r="V3152" s="177">
        <f>IF(U3152=0,0,IF(T3152="MXN",1/HLOOKUP(YEAR(S3152)+(MONTH(S3152)/100),TC!$5:$37,DAY(S3152)+2,FALSE),VLOOKUP(T3152,Equivalencia!$1:$23,((MAX(Equivalencia!$3:$3)-YEAR(S3152))*14)+MONTH(S3152)+2,FALSE)))</f>
        <v>0</v>
      </c>
      <c r="W3152" s="178">
        <f t="shared" si="258"/>
        <v>0</v>
      </c>
      <c r="X3152" s="481">
        <f t="shared" si="259"/>
        <v>0</v>
      </c>
      <c r="Y3152" s="179"/>
      <c r="Z3152" s="466">
        <f t="shared" si="260"/>
        <v>0</v>
      </c>
      <c r="AA3152" s="473">
        <f t="shared" si="261"/>
        <v>0</v>
      </c>
      <c r="AB3152" s="339">
        <f t="shared" si="262"/>
        <v>0</v>
      </c>
    </row>
    <row r="3153" spans="2:28" ht="20.100000000000001" customHeight="1">
      <c r="B3153" s="172"/>
      <c r="C3153" s="174"/>
      <c r="D3153" s="181"/>
      <c r="E3153" s="173"/>
      <c r="F3153" s="176"/>
      <c r="G3153" s="175">
        <f t="shared" si="253"/>
        <v>0</v>
      </c>
      <c r="H3153" s="175">
        <f t="shared" si="254"/>
        <v>0</v>
      </c>
      <c r="I3153" s="177">
        <f>IF(G3153=0,0,IF(E3153="MXN",1/HLOOKUP(YEAR(C3153)+(MONTH(C3153)/100),TC!$5:$37,DAY(C3153)+2,FALSE),VLOOKUP(E3153,Equivalencia!$5:$23,((MAX(Equivalencia!$3:$3)-YEAR(C3153))*14)+MONTH(C3153)+2,FALSE)))</f>
        <v>0</v>
      </c>
      <c r="J3153" s="178">
        <f t="shared" si="255"/>
        <v>0</v>
      </c>
      <c r="K3153" s="462">
        <f>IF(C3153=0,0,VLOOKUP(YEAR(C3153),INPC!$B$4:$O$29,MONTH(C3153)+1))</f>
        <v>0</v>
      </c>
      <c r="L3153" s="462">
        <f>IF(S3153=0,0,VLOOKUP(YEAR(S3153),INPC!$B$4:$O$29,MONTH(S3153)+1))</f>
        <v>0</v>
      </c>
      <c r="M3153" s="463">
        <f t="shared" si="256"/>
        <v>0</v>
      </c>
      <c r="N3153" s="465">
        <f t="shared" si="257"/>
        <v>0</v>
      </c>
      <c r="O3153" s="179"/>
      <c r="P3153" s="180"/>
      <c r="Q3153" s="173"/>
      <c r="R3153" s="173"/>
      <c r="S3153" s="174"/>
      <c r="T3153" s="173"/>
      <c r="U3153" s="182"/>
      <c r="V3153" s="177">
        <f>IF(U3153=0,0,IF(T3153="MXN",1/HLOOKUP(YEAR(S3153)+(MONTH(S3153)/100),TC!$5:$37,DAY(S3153)+2,FALSE),VLOOKUP(T3153,Equivalencia!$1:$23,((MAX(Equivalencia!$3:$3)-YEAR(S3153))*14)+MONTH(S3153)+2,FALSE)))</f>
        <v>0</v>
      </c>
      <c r="W3153" s="178">
        <f t="shared" si="258"/>
        <v>0</v>
      </c>
      <c r="X3153" s="481">
        <f t="shared" si="259"/>
        <v>0</v>
      </c>
      <c r="Y3153" s="179"/>
      <c r="Z3153" s="466">
        <f t="shared" si="260"/>
        <v>0</v>
      </c>
      <c r="AA3153" s="473">
        <f t="shared" si="261"/>
        <v>0</v>
      </c>
      <c r="AB3153" s="339">
        <f t="shared" si="262"/>
        <v>0</v>
      </c>
    </row>
    <row r="3154" spans="2:28" ht="20.100000000000001" customHeight="1">
      <c r="B3154" s="172"/>
      <c r="C3154" s="174"/>
      <c r="D3154" s="181"/>
      <c r="E3154" s="173"/>
      <c r="F3154" s="176"/>
      <c r="G3154" s="175">
        <f t="shared" si="253"/>
        <v>0</v>
      </c>
      <c r="H3154" s="175">
        <f t="shared" si="254"/>
        <v>0</v>
      </c>
      <c r="I3154" s="177">
        <f>IF(G3154=0,0,IF(E3154="MXN",1/HLOOKUP(YEAR(C3154)+(MONTH(C3154)/100),TC!$5:$37,DAY(C3154)+2,FALSE),VLOOKUP(E3154,Equivalencia!$5:$23,((MAX(Equivalencia!$3:$3)-YEAR(C3154))*14)+MONTH(C3154)+2,FALSE)))</f>
        <v>0</v>
      </c>
      <c r="J3154" s="178">
        <f t="shared" si="255"/>
        <v>0</v>
      </c>
      <c r="K3154" s="462">
        <f>IF(C3154=0,0,VLOOKUP(YEAR(C3154),INPC!$B$4:$O$29,MONTH(C3154)+1))</f>
        <v>0</v>
      </c>
      <c r="L3154" s="462">
        <f>IF(S3154=0,0,VLOOKUP(YEAR(S3154),INPC!$B$4:$O$29,MONTH(S3154)+1))</f>
        <v>0</v>
      </c>
      <c r="M3154" s="463">
        <f t="shared" si="256"/>
        <v>0</v>
      </c>
      <c r="N3154" s="465">
        <f t="shared" si="257"/>
        <v>0</v>
      </c>
      <c r="O3154" s="179"/>
      <c r="P3154" s="180"/>
      <c r="Q3154" s="173"/>
      <c r="R3154" s="173"/>
      <c r="S3154" s="174"/>
      <c r="T3154" s="173"/>
      <c r="U3154" s="182"/>
      <c r="V3154" s="177">
        <f>IF(U3154=0,0,IF(T3154="MXN",1/HLOOKUP(YEAR(S3154)+(MONTH(S3154)/100),TC!$5:$37,DAY(S3154)+2,FALSE),VLOOKUP(T3154,Equivalencia!$1:$23,((MAX(Equivalencia!$3:$3)-YEAR(S3154))*14)+MONTH(S3154)+2,FALSE)))</f>
        <v>0</v>
      </c>
      <c r="W3154" s="178">
        <f t="shared" si="258"/>
        <v>0</v>
      </c>
      <c r="X3154" s="481">
        <f t="shared" si="259"/>
        <v>0</v>
      </c>
      <c r="Y3154" s="179"/>
      <c r="Z3154" s="466">
        <f t="shared" si="260"/>
        <v>0</v>
      </c>
      <c r="AA3154" s="473">
        <f t="shared" si="261"/>
        <v>0</v>
      </c>
      <c r="AB3154" s="339">
        <f t="shared" si="262"/>
        <v>0</v>
      </c>
    </row>
    <row r="3155" spans="2:28" ht="20.100000000000001" customHeight="1">
      <c r="B3155" s="172"/>
      <c r="C3155" s="174"/>
      <c r="D3155" s="181"/>
      <c r="E3155" s="173"/>
      <c r="F3155" s="176"/>
      <c r="G3155" s="175">
        <f t="shared" si="253"/>
        <v>0</v>
      </c>
      <c r="H3155" s="175">
        <f t="shared" si="254"/>
        <v>0</v>
      </c>
      <c r="I3155" s="177">
        <f>IF(G3155=0,0,IF(E3155="MXN",1/HLOOKUP(YEAR(C3155)+(MONTH(C3155)/100),TC!$5:$37,DAY(C3155)+2,FALSE),VLOOKUP(E3155,Equivalencia!$5:$23,((MAX(Equivalencia!$3:$3)-YEAR(C3155))*14)+MONTH(C3155)+2,FALSE)))</f>
        <v>0</v>
      </c>
      <c r="J3155" s="178">
        <f t="shared" si="255"/>
        <v>0</v>
      </c>
      <c r="K3155" s="462">
        <f>IF(C3155=0,0,VLOOKUP(YEAR(C3155),INPC!$B$4:$O$29,MONTH(C3155)+1))</f>
        <v>0</v>
      </c>
      <c r="L3155" s="462">
        <f>IF(S3155=0,0,VLOOKUP(YEAR(S3155),INPC!$B$4:$O$29,MONTH(S3155)+1))</f>
        <v>0</v>
      </c>
      <c r="M3155" s="463">
        <f t="shared" si="256"/>
        <v>0</v>
      </c>
      <c r="N3155" s="465">
        <f t="shared" si="257"/>
        <v>0</v>
      </c>
      <c r="O3155" s="179"/>
      <c r="P3155" s="180"/>
      <c r="Q3155" s="173"/>
      <c r="R3155" s="173"/>
      <c r="S3155" s="174"/>
      <c r="T3155" s="173"/>
      <c r="U3155" s="182"/>
      <c r="V3155" s="177">
        <f>IF(U3155=0,0,IF(T3155="MXN",1/HLOOKUP(YEAR(S3155)+(MONTH(S3155)/100),TC!$5:$37,DAY(S3155)+2,FALSE),VLOOKUP(T3155,Equivalencia!$1:$23,((MAX(Equivalencia!$3:$3)-YEAR(S3155))*14)+MONTH(S3155)+2,FALSE)))</f>
        <v>0</v>
      </c>
      <c r="W3155" s="178">
        <f t="shared" si="258"/>
        <v>0</v>
      </c>
      <c r="X3155" s="481">
        <f t="shared" si="259"/>
        <v>0</v>
      </c>
      <c r="Y3155" s="179"/>
      <c r="Z3155" s="466">
        <f t="shared" si="260"/>
        <v>0</v>
      </c>
      <c r="AA3155" s="473">
        <f t="shared" si="261"/>
        <v>0</v>
      </c>
      <c r="AB3155" s="339">
        <f t="shared" si="262"/>
        <v>0</v>
      </c>
    </row>
    <row r="3156" spans="2:28" ht="20.100000000000001" customHeight="1">
      <c r="B3156" s="172"/>
      <c r="C3156" s="174"/>
      <c r="D3156" s="181"/>
      <c r="E3156" s="173"/>
      <c r="F3156" s="176"/>
      <c r="G3156" s="175">
        <f t="shared" si="253"/>
        <v>0</v>
      </c>
      <c r="H3156" s="175">
        <f t="shared" si="254"/>
        <v>0</v>
      </c>
      <c r="I3156" s="177">
        <f>IF(G3156=0,0,IF(E3156="MXN",1/HLOOKUP(YEAR(C3156)+(MONTH(C3156)/100),TC!$5:$37,DAY(C3156)+2,FALSE),VLOOKUP(E3156,Equivalencia!$5:$23,((MAX(Equivalencia!$3:$3)-YEAR(C3156))*14)+MONTH(C3156)+2,FALSE)))</f>
        <v>0</v>
      </c>
      <c r="J3156" s="178">
        <f t="shared" si="255"/>
        <v>0</v>
      </c>
      <c r="K3156" s="462">
        <f>IF(C3156=0,0,VLOOKUP(YEAR(C3156),INPC!$B$4:$O$29,MONTH(C3156)+1))</f>
        <v>0</v>
      </c>
      <c r="L3156" s="462">
        <f>IF(S3156=0,0,VLOOKUP(YEAR(S3156),INPC!$B$4:$O$29,MONTH(S3156)+1))</f>
        <v>0</v>
      </c>
      <c r="M3156" s="463">
        <f t="shared" si="256"/>
        <v>0</v>
      </c>
      <c r="N3156" s="465">
        <f t="shared" si="257"/>
        <v>0</v>
      </c>
      <c r="O3156" s="179"/>
      <c r="P3156" s="180"/>
      <c r="Q3156" s="173"/>
      <c r="R3156" s="173"/>
      <c r="S3156" s="174"/>
      <c r="T3156" s="173"/>
      <c r="U3156" s="182"/>
      <c r="V3156" s="177">
        <f>IF(U3156=0,0,IF(T3156="MXN",1/HLOOKUP(YEAR(S3156)+(MONTH(S3156)/100),TC!$5:$37,DAY(S3156)+2,FALSE),VLOOKUP(T3156,Equivalencia!$1:$23,((MAX(Equivalencia!$3:$3)-YEAR(S3156))*14)+MONTH(S3156)+2,FALSE)))</f>
        <v>0</v>
      </c>
      <c r="W3156" s="178">
        <f t="shared" si="258"/>
        <v>0</v>
      </c>
      <c r="X3156" s="481">
        <f t="shared" si="259"/>
        <v>0</v>
      </c>
      <c r="Y3156" s="179"/>
      <c r="Z3156" s="466">
        <f t="shared" si="260"/>
        <v>0</v>
      </c>
      <c r="AA3156" s="473">
        <f t="shared" si="261"/>
        <v>0</v>
      </c>
      <c r="AB3156" s="339">
        <f t="shared" si="262"/>
        <v>0</v>
      </c>
    </row>
    <row r="3157" spans="2:28" ht="20.100000000000001" customHeight="1">
      <c r="B3157" s="172"/>
      <c r="C3157" s="174"/>
      <c r="D3157" s="181"/>
      <c r="E3157" s="173"/>
      <c r="F3157" s="176"/>
      <c r="G3157" s="175">
        <f t="shared" si="253"/>
        <v>0</v>
      </c>
      <c r="H3157" s="175">
        <f t="shared" si="254"/>
        <v>0</v>
      </c>
      <c r="I3157" s="177">
        <f>IF(G3157=0,0,IF(E3157="MXN",1/HLOOKUP(YEAR(C3157)+(MONTH(C3157)/100),TC!$5:$37,DAY(C3157)+2,FALSE),VLOOKUP(E3157,Equivalencia!$5:$23,((MAX(Equivalencia!$3:$3)-YEAR(C3157))*14)+MONTH(C3157)+2,FALSE)))</f>
        <v>0</v>
      </c>
      <c r="J3157" s="178">
        <f t="shared" si="255"/>
        <v>0</v>
      </c>
      <c r="K3157" s="462">
        <f>IF(C3157=0,0,VLOOKUP(YEAR(C3157),INPC!$B$4:$O$29,MONTH(C3157)+1))</f>
        <v>0</v>
      </c>
      <c r="L3157" s="462">
        <f>IF(S3157=0,0,VLOOKUP(YEAR(S3157),INPC!$B$4:$O$29,MONTH(S3157)+1))</f>
        <v>0</v>
      </c>
      <c r="M3157" s="463">
        <f t="shared" si="256"/>
        <v>0</v>
      </c>
      <c r="N3157" s="465">
        <f t="shared" si="257"/>
        <v>0</v>
      </c>
      <c r="O3157" s="179"/>
      <c r="P3157" s="180"/>
      <c r="Q3157" s="173"/>
      <c r="R3157" s="173"/>
      <c r="S3157" s="174"/>
      <c r="T3157" s="173"/>
      <c r="U3157" s="182"/>
      <c r="V3157" s="177">
        <f>IF(U3157=0,0,IF(T3157="MXN",1/HLOOKUP(YEAR(S3157)+(MONTH(S3157)/100),TC!$5:$37,DAY(S3157)+2,FALSE),VLOOKUP(T3157,Equivalencia!$1:$23,((MAX(Equivalencia!$3:$3)-YEAR(S3157))*14)+MONTH(S3157)+2,FALSE)))</f>
        <v>0</v>
      </c>
      <c r="W3157" s="178">
        <f t="shared" si="258"/>
        <v>0</v>
      </c>
      <c r="X3157" s="481">
        <f t="shared" si="259"/>
        <v>0</v>
      </c>
      <c r="Y3157" s="179"/>
      <c r="Z3157" s="466">
        <f t="shared" si="260"/>
        <v>0</v>
      </c>
      <c r="AA3157" s="473">
        <f t="shared" si="261"/>
        <v>0</v>
      </c>
      <c r="AB3157" s="339">
        <f t="shared" si="262"/>
        <v>0</v>
      </c>
    </row>
    <row r="3158" spans="2:28" ht="20.100000000000001" customHeight="1">
      <c r="B3158" s="172"/>
      <c r="C3158" s="174"/>
      <c r="D3158" s="181"/>
      <c r="E3158" s="173"/>
      <c r="F3158" s="176"/>
      <c r="G3158" s="175">
        <f t="shared" si="253"/>
        <v>0</v>
      </c>
      <c r="H3158" s="175">
        <f t="shared" si="254"/>
        <v>0</v>
      </c>
      <c r="I3158" s="177">
        <f>IF(G3158=0,0,IF(E3158="MXN",1/HLOOKUP(YEAR(C3158)+(MONTH(C3158)/100),TC!$5:$37,DAY(C3158)+2,FALSE),VLOOKUP(E3158,Equivalencia!$5:$23,((MAX(Equivalencia!$3:$3)-YEAR(C3158))*14)+MONTH(C3158)+2,FALSE)))</f>
        <v>0</v>
      </c>
      <c r="J3158" s="178">
        <f t="shared" si="255"/>
        <v>0</v>
      </c>
      <c r="K3158" s="462">
        <f>IF(C3158=0,0,VLOOKUP(YEAR(C3158),INPC!$B$4:$O$29,MONTH(C3158)+1))</f>
        <v>0</v>
      </c>
      <c r="L3158" s="462">
        <f>IF(S3158=0,0,VLOOKUP(YEAR(S3158),INPC!$B$4:$O$29,MONTH(S3158)+1))</f>
        <v>0</v>
      </c>
      <c r="M3158" s="463">
        <f t="shared" si="256"/>
        <v>0</v>
      </c>
      <c r="N3158" s="465">
        <f t="shared" si="257"/>
        <v>0</v>
      </c>
      <c r="O3158" s="179"/>
      <c r="P3158" s="180"/>
      <c r="Q3158" s="173"/>
      <c r="R3158" s="173"/>
      <c r="S3158" s="174"/>
      <c r="T3158" s="173"/>
      <c r="U3158" s="182"/>
      <c r="V3158" s="177">
        <f>IF(U3158=0,0,IF(T3158="MXN",1/HLOOKUP(YEAR(S3158)+(MONTH(S3158)/100),TC!$5:$37,DAY(S3158)+2,FALSE),VLOOKUP(T3158,Equivalencia!$1:$23,((MAX(Equivalencia!$3:$3)-YEAR(S3158))*14)+MONTH(S3158)+2,FALSE)))</f>
        <v>0</v>
      </c>
      <c r="W3158" s="178">
        <f t="shared" si="258"/>
        <v>0</v>
      </c>
      <c r="X3158" s="481">
        <f t="shared" si="259"/>
        <v>0</v>
      </c>
      <c r="Y3158" s="179"/>
      <c r="Z3158" s="466">
        <f t="shared" si="260"/>
        <v>0</v>
      </c>
      <c r="AA3158" s="473">
        <f t="shared" si="261"/>
        <v>0</v>
      </c>
      <c r="AB3158" s="339">
        <f t="shared" si="262"/>
        <v>0</v>
      </c>
    </row>
    <row r="3159" spans="2:28" ht="20.100000000000001" customHeight="1">
      <c r="B3159" s="172"/>
      <c r="C3159" s="174"/>
      <c r="D3159" s="181"/>
      <c r="E3159" s="173"/>
      <c r="F3159" s="176"/>
      <c r="G3159" s="175">
        <f t="shared" si="253"/>
        <v>0</v>
      </c>
      <c r="H3159" s="175">
        <f t="shared" si="254"/>
        <v>0</v>
      </c>
      <c r="I3159" s="177">
        <f>IF(G3159=0,0,IF(E3159="MXN",1/HLOOKUP(YEAR(C3159)+(MONTH(C3159)/100),TC!$5:$37,DAY(C3159)+2,FALSE),VLOOKUP(E3159,Equivalencia!$5:$23,((MAX(Equivalencia!$3:$3)-YEAR(C3159))*14)+MONTH(C3159)+2,FALSE)))</f>
        <v>0</v>
      </c>
      <c r="J3159" s="178">
        <f t="shared" si="255"/>
        <v>0</v>
      </c>
      <c r="K3159" s="462">
        <f>IF(C3159=0,0,VLOOKUP(YEAR(C3159),INPC!$B$4:$O$29,MONTH(C3159)+1))</f>
        <v>0</v>
      </c>
      <c r="L3159" s="462">
        <f>IF(S3159=0,0,VLOOKUP(YEAR(S3159),INPC!$B$4:$O$29,MONTH(S3159)+1))</f>
        <v>0</v>
      </c>
      <c r="M3159" s="463">
        <f t="shared" si="256"/>
        <v>0</v>
      </c>
      <c r="N3159" s="465">
        <f t="shared" si="257"/>
        <v>0</v>
      </c>
      <c r="O3159" s="179"/>
      <c r="P3159" s="180"/>
      <c r="Q3159" s="173"/>
      <c r="R3159" s="173"/>
      <c r="S3159" s="174"/>
      <c r="T3159" s="173"/>
      <c r="U3159" s="182"/>
      <c r="V3159" s="177">
        <f>IF(U3159=0,0,IF(T3159="MXN",1/HLOOKUP(YEAR(S3159)+(MONTH(S3159)/100),TC!$5:$37,DAY(S3159)+2,FALSE),VLOOKUP(T3159,Equivalencia!$1:$23,((MAX(Equivalencia!$3:$3)-YEAR(S3159))*14)+MONTH(S3159)+2,FALSE)))</f>
        <v>0</v>
      </c>
      <c r="W3159" s="178">
        <f t="shared" si="258"/>
        <v>0</v>
      </c>
      <c r="X3159" s="481">
        <f t="shared" si="259"/>
        <v>0</v>
      </c>
      <c r="Y3159" s="179"/>
      <c r="Z3159" s="466">
        <f t="shared" si="260"/>
        <v>0</v>
      </c>
      <c r="AA3159" s="473">
        <f t="shared" si="261"/>
        <v>0</v>
      </c>
      <c r="AB3159" s="339">
        <f t="shared" si="262"/>
        <v>0</v>
      </c>
    </row>
    <row r="3160" spans="2:28" ht="20.100000000000001" customHeight="1">
      <c r="B3160" s="172"/>
      <c r="C3160" s="174"/>
      <c r="D3160" s="181"/>
      <c r="E3160" s="173"/>
      <c r="F3160" s="176"/>
      <c r="G3160" s="175">
        <f t="shared" si="253"/>
        <v>0</v>
      </c>
      <c r="H3160" s="175">
        <f t="shared" si="254"/>
        <v>0</v>
      </c>
      <c r="I3160" s="177">
        <f>IF(G3160=0,0,IF(E3160="MXN",1/HLOOKUP(YEAR(C3160)+(MONTH(C3160)/100),TC!$5:$37,DAY(C3160)+2,FALSE),VLOOKUP(E3160,Equivalencia!$5:$23,((MAX(Equivalencia!$3:$3)-YEAR(C3160))*14)+MONTH(C3160)+2,FALSE)))</f>
        <v>0</v>
      </c>
      <c r="J3160" s="178">
        <f t="shared" si="255"/>
        <v>0</v>
      </c>
      <c r="K3160" s="462">
        <f>IF(C3160=0,0,VLOOKUP(YEAR(C3160),INPC!$B$4:$O$29,MONTH(C3160)+1))</f>
        <v>0</v>
      </c>
      <c r="L3160" s="462">
        <f>IF(S3160=0,0,VLOOKUP(YEAR(S3160),INPC!$B$4:$O$29,MONTH(S3160)+1))</f>
        <v>0</v>
      </c>
      <c r="M3160" s="463">
        <f t="shared" si="256"/>
        <v>0</v>
      </c>
      <c r="N3160" s="465">
        <f t="shared" si="257"/>
        <v>0</v>
      </c>
      <c r="O3160" s="179"/>
      <c r="P3160" s="180"/>
      <c r="Q3160" s="173"/>
      <c r="R3160" s="173"/>
      <c r="S3160" s="174"/>
      <c r="T3160" s="173"/>
      <c r="U3160" s="182"/>
      <c r="V3160" s="177">
        <f>IF(U3160=0,0,IF(T3160="MXN",1/HLOOKUP(YEAR(S3160)+(MONTH(S3160)/100),TC!$5:$37,DAY(S3160)+2,FALSE),VLOOKUP(T3160,Equivalencia!$1:$23,((MAX(Equivalencia!$3:$3)-YEAR(S3160))*14)+MONTH(S3160)+2,FALSE)))</f>
        <v>0</v>
      </c>
      <c r="W3160" s="178">
        <f t="shared" si="258"/>
        <v>0</v>
      </c>
      <c r="X3160" s="481">
        <f t="shared" si="259"/>
        <v>0</v>
      </c>
      <c r="Y3160" s="179"/>
      <c r="Z3160" s="466">
        <f t="shared" si="260"/>
        <v>0</v>
      </c>
      <c r="AA3160" s="473">
        <f t="shared" si="261"/>
        <v>0</v>
      </c>
      <c r="AB3160" s="339">
        <f t="shared" si="262"/>
        <v>0</v>
      </c>
    </row>
    <row r="3161" spans="2:28" ht="20.100000000000001" customHeight="1">
      <c r="B3161" s="172"/>
      <c r="C3161" s="174"/>
      <c r="D3161" s="181"/>
      <c r="E3161" s="173"/>
      <c r="F3161" s="176"/>
      <c r="G3161" s="175">
        <f t="shared" si="253"/>
        <v>0</v>
      </c>
      <c r="H3161" s="175">
        <f t="shared" si="254"/>
        <v>0</v>
      </c>
      <c r="I3161" s="177">
        <f>IF(G3161=0,0,IF(E3161="MXN",1/HLOOKUP(YEAR(C3161)+(MONTH(C3161)/100),TC!$5:$37,DAY(C3161)+2,FALSE),VLOOKUP(E3161,Equivalencia!$5:$23,((MAX(Equivalencia!$3:$3)-YEAR(C3161))*14)+MONTH(C3161)+2,FALSE)))</f>
        <v>0</v>
      </c>
      <c r="J3161" s="178">
        <f t="shared" si="255"/>
        <v>0</v>
      </c>
      <c r="K3161" s="462">
        <f>IF(C3161=0,0,VLOOKUP(YEAR(C3161),INPC!$B$4:$O$29,MONTH(C3161)+1))</f>
        <v>0</v>
      </c>
      <c r="L3161" s="462">
        <f>IF(S3161=0,0,VLOOKUP(YEAR(S3161),INPC!$B$4:$O$29,MONTH(S3161)+1))</f>
        <v>0</v>
      </c>
      <c r="M3161" s="463">
        <f t="shared" si="256"/>
        <v>0</v>
      </c>
      <c r="N3161" s="465">
        <f t="shared" si="257"/>
        <v>0</v>
      </c>
      <c r="O3161" s="179"/>
      <c r="P3161" s="180"/>
      <c r="Q3161" s="173"/>
      <c r="R3161" s="173"/>
      <c r="S3161" s="174"/>
      <c r="T3161" s="173"/>
      <c r="U3161" s="182"/>
      <c r="V3161" s="177">
        <f>IF(U3161=0,0,IF(T3161="MXN",1/HLOOKUP(YEAR(S3161)+(MONTH(S3161)/100),TC!$5:$37,DAY(S3161)+2,FALSE),VLOOKUP(T3161,Equivalencia!$1:$23,((MAX(Equivalencia!$3:$3)-YEAR(S3161))*14)+MONTH(S3161)+2,FALSE)))</f>
        <v>0</v>
      </c>
      <c r="W3161" s="178">
        <f t="shared" si="258"/>
        <v>0</v>
      </c>
      <c r="X3161" s="481">
        <f t="shared" si="259"/>
        <v>0</v>
      </c>
      <c r="Y3161" s="179"/>
      <c r="Z3161" s="466">
        <f t="shared" si="260"/>
        <v>0</v>
      </c>
      <c r="AA3161" s="473">
        <f t="shared" si="261"/>
        <v>0</v>
      </c>
      <c r="AB3161" s="339">
        <f t="shared" si="262"/>
        <v>0</v>
      </c>
    </row>
    <row r="3162" spans="2:28" ht="20.100000000000001" customHeight="1">
      <c r="B3162" s="172"/>
      <c r="C3162" s="174"/>
      <c r="D3162" s="181"/>
      <c r="E3162" s="173"/>
      <c r="F3162" s="176"/>
      <c r="G3162" s="175">
        <f t="shared" si="253"/>
        <v>0</v>
      </c>
      <c r="H3162" s="175">
        <f t="shared" si="254"/>
        <v>0</v>
      </c>
      <c r="I3162" s="177">
        <f>IF(G3162=0,0,IF(E3162="MXN",1/HLOOKUP(YEAR(C3162)+(MONTH(C3162)/100),TC!$5:$37,DAY(C3162)+2,FALSE),VLOOKUP(E3162,Equivalencia!$5:$23,((MAX(Equivalencia!$3:$3)-YEAR(C3162))*14)+MONTH(C3162)+2,FALSE)))</f>
        <v>0</v>
      </c>
      <c r="J3162" s="178">
        <f t="shared" si="255"/>
        <v>0</v>
      </c>
      <c r="K3162" s="462">
        <f>IF(C3162=0,0,VLOOKUP(YEAR(C3162),INPC!$B$4:$O$29,MONTH(C3162)+1))</f>
        <v>0</v>
      </c>
      <c r="L3162" s="462">
        <f>IF(S3162=0,0,VLOOKUP(YEAR(S3162),INPC!$B$4:$O$29,MONTH(S3162)+1))</f>
        <v>0</v>
      </c>
      <c r="M3162" s="463">
        <f t="shared" si="256"/>
        <v>0</v>
      </c>
      <c r="N3162" s="465">
        <f t="shared" si="257"/>
        <v>0</v>
      </c>
      <c r="O3162" s="179"/>
      <c r="P3162" s="180"/>
      <c r="Q3162" s="173"/>
      <c r="R3162" s="173"/>
      <c r="S3162" s="174"/>
      <c r="T3162" s="173"/>
      <c r="U3162" s="182"/>
      <c r="V3162" s="177">
        <f>IF(U3162=0,0,IF(T3162="MXN",1/HLOOKUP(YEAR(S3162)+(MONTH(S3162)/100),TC!$5:$37,DAY(S3162)+2,FALSE),VLOOKUP(T3162,Equivalencia!$1:$23,((MAX(Equivalencia!$3:$3)-YEAR(S3162))*14)+MONTH(S3162)+2,FALSE)))</f>
        <v>0</v>
      </c>
      <c r="W3162" s="178">
        <f t="shared" si="258"/>
        <v>0</v>
      </c>
      <c r="X3162" s="481">
        <f t="shared" si="259"/>
        <v>0</v>
      </c>
      <c r="Y3162" s="179"/>
      <c r="Z3162" s="466">
        <f t="shared" si="260"/>
        <v>0</v>
      </c>
      <c r="AA3162" s="473">
        <f t="shared" si="261"/>
        <v>0</v>
      </c>
      <c r="AB3162" s="339">
        <f t="shared" si="262"/>
        <v>0</v>
      </c>
    </row>
    <row r="3163" spans="2:28" ht="20.100000000000001" customHeight="1">
      <c r="B3163" s="172"/>
      <c r="C3163" s="174"/>
      <c r="D3163" s="181"/>
      <c r="E3163" s="173"/>
      <c r="F3163" s="176"/>
      <c r="G3163" s="175">
        <f t="shared" si="253"/>
        <v>0</v>
      </c>
      <c r="H3163" s="175">
        <f t="shared" si="254"/>
        <v>0</v>
      </c>
      <c r="I3163" s="177">
        <f>IF(G3163=0,0,IF(E3163="MXN",1/HLOOKUP(YEAR(C3163)+(MONTH(C3163)/100),TC!$5:$37,DAY(C3163)+2,FALSE),VLOOKUP(E3163,Equivalencia!$5:$23,((MAX(Equivalencia!$3:$3)-YEAR(C3163))*14)+MONTH(C3163)+2,FALSE)))</f>
        <v>0</v>
      </c>
      <c r="J3163" s="178">
        <f t="shared" si="255"/>
        <v>0</v>
      </c>
      <c r="K3163" s="462">
        <f>IF(C3163=0,0,VLOOKUP(YEAR(C3163),INPC!$B$4:$O$29,MONTH(C3163)+1))</f>
        <v>0</v>
      </c>
      <c r="L3163" s="462">
        <f>IF(S3163=0,0,VLOOKUP(YEAR(S3163),INPC!$B$4:$O$29,MONTH(S3163)+1))</f>
        <v>0</v>
      </c>
      <c r="M3163" s="463">
        <f t="shared" si="256"/>
        <v>0</v>
      </c>
      <c r="N3163" s="465">
        <f t="shared" si="257"/>
        <v>0</v>
      </c>
      <c r="O3163" s="179"/>
      <c r="P3163" s="180"/>
      <c r="Q3163" s="173"/>
      <c r="R3163" s="173"/>
      <c r="S3163" s="174"/>
      <c r="T3163" s="173"/>
      <c r="U3163" s="182"/>
      <c r="V3163" s="177">
        <f>IF(U3163=0,0,IF(T3163="MXN",1/HLOOKUP(YEAR(S3163)+(MONTH(S3163)/100),TC!$5:$37,DAY(S3163)+2,FALSE),VLOOKUP(T3163,Equivalencia!$1:$23,((MAX(Equivalencia!$3:$3)-YEAR(S3163))*14)+MONTH(S3163)+2,FALSE)))</f>
        <v>0</v>
      </c>
      <c r="W3163" s="178">
        <f t="shared" si="258"/>
        <v>0</v>
      </c>
      <c r="X3163" s="481">
        <f t="shared" si="259"/>
        <v>0</v>
      </c>
      <c r="Y3163" s="179"/>
      <c r="Z3163" s="466">
        <f t="shared" si="260"/>
        <v>0</v>
      </c>
      <c r="AA3163" s="473">
        <f t="shared" si="261"/>
        <v>0</v>
      </c>
      <c r="AB3163" s="339">
        <f t="shared" si="262"/>
        <v>0</v>
      </c>
    </row>
    <row r="3164" spans="2:28" ht="20.100000000000001" customHeight="1">
      <c r="B3164" s="172"/>
      <c r="C3164" s="174"/>
      <c r="D3164" s="181"/>
      <c r="E3164" s="173"/>
      <c r="F3164" s="176"/>
      <c r="G3164" s="175">
        <f t="shared" si="253"/>
        <v>0</v>
      </c>
      <c r="H3164" s="175">
        <f t="shared" si="254"/>
        <v>0</v>
      </c>
      <c r="I3164" s="177">
        <f>IF(G3164=0,0,IF(E3164="MXN",1/HLOOKUP(YEAR(C3164)+(MONTH(C3164)/100),TC!$5:$37,DAY(C3164)+2,FALSE),VLOOKUP(E3164,Equivalencia!$5:$23,((MAX(Equivalencia!$3:$3)-YEAR(C3164))*14)+MONTH(C3164)+2,FALSE)))</f>
        <v>0</v>
      </c>
      <c r="J3164" s="178">
        <f t="shared" si="255"/>
        <v>0</v>
      </c>
      <c r="K3164" s="462">
        <f>IF(C3164=0,0,VLOOKUP(YEAR(C3164),INPC!$B$4:$O$29,MONTH(C3164)+1))</f>
        <v>0</v>
      </c>
      <c r="L3164" s="462">
        <f>IF(S3164=0,0,VLOOKUP(YEAR(S3164),INPC!$B$4:$O$29,MONTH(S3164)+1))</f>
        <v>0</v>
      </c>
      <c r="M3164" s="463">
        <f t="shared" si="256"/>
        <v>0</v>
      </c>
      <c r="N3164" s="465">
        <f t="shared" si="257"/>
        <v>0</v>
      </c>
      <c r="O3164" s="179"/>
      <c r="P3164" s="180"/>
      <c r="Q3164" s="173"/>
      <c r="R3164" s="173"/>
      <c r="S3164" s="174"/>
      <c r="T3164" s="173"/>
      <c r="U3164" s="182"/>
      <c r="V3164" s="177">
        <f>IF(U3164=0,0,IF(T3164="MXN",1/HLOOKUP(YEAR(S3164)+(MONTH(S3164)/100),TC!$5:$37,DAY(S3164)+2,FALSE),VLOOKUP(T3164,Equivalencia!$1:$23,((MAX(Equivalencia!$3:$3)-YEAR(S3164))*14)+MONTH(S3164)+2,FALSE)))</f>
        <v>0</v>
      </c>
      <c r="W3164" s="178">
        <f t="shared" si="258"/>
        <v>0</v>
      </c>
      <c r="X3164" s="481">
        <f t="shared" si="259"/>
        <v>0</v>
      </c>
      <c r="Y3164" s="179"/>
      <c r="Z3164" s="466">
        <f t="shared" si="260"/>
        <v>0</v>
      </c>
      <c r="AA3164" s="473">
        <f t="shared" si="261"/>
        <v>0</v>
      </c>
      <c r="AB3164" s="339">
        <f t="shared" si="262"/>
        <v>0</v>
      </c>
    </row>
    <row r="3165" spans="2:28" ht="20.100000000000001" customHeight="1">
      <c r="B3165" s="172"/>
      <c r="C3165" s="174"/>
      <c r="D3165" s="181"/>
      <c r="E3165" s="173"/>
      <c r="F3165" s="176"/>
      <c r="G3165" s="175">
        <f t="shared" si="253"/>
        <v>0</v>
      </c>
      <c r="H3165" s="175">
        <f t="shared" si="254"/>
        <v>0</v>
      </c>
      <c r="I3165" s="177">
        <f>IF(G3165=0,0,IF(E3165="MXN",1/HLOOKUP(YEAR(C3165)+(MONTH(C3165)/100),TC!$5:$37,DAY(C3165)+2,FALSE),VLOOKUP(E3165,Equivalencia!$5:$23,((MAX(Equivalencia!$3:$3)-YEAR(C3165))*14)+MONTH(C3165)+2,FALSE)))</f>
        <v>0</v>
      </c>
      <c r="J3165" s="178">
        <f t="shared" si="255"/>
        <v>0</v>
      </c>
      <c r="K3165" s="462">
        <f>IF(C3165=0,0,VLOOKUP(YEAR(C3165),INPC!$B$4:$O$29,MONTH(C3165)+1))</f>
        <v>0</v>
      </c>
      <c r="L3165" s="462">
        <f>IF(S3165=0,0,VLOOKUP(YEAR(S3165),INPC!$B$4:$O$29,MONTH(S3165)+1))</f>
        <v>0</v>
      </c>
      <c r="M3165" s="463">
        <f t="shared" si="256"/>
        <v>0</v>
      </c>
      <c r="N3165" s="465">
        <f t="shared" si="257"/>
        <v>0</v>
      </c>
      <c r="O3165" s="179"/>
      <c r="P3165" s="180"/>
      <c r="Q3165" s="173"/>
      <c r="R3165" s="173"/>
      <c r="S3165" s="174"/>
      <c r="T3165" s="173"/>
      <c r="U3165" s="182"/>
      <c r="V3165" s="177">
        <f>IF(U3165=0,0,IF(T3165="MXN",1/HLOOKUP(YEAR(S3165)+(MONTH(S3165)/100),TC!$5:$37,DAY(S3165)+2,FALSE),VLOOKUP(T3165,Equivalencia!$1:$23,((MAX(Equivalencia!$3:$3)-YEAR(S3165))*14)+MONTH(S3165)+2,FALSE)))</f>
        <v>0</v>
      </c>
      <c r="W3165" s="178">
        <f t="shared" si="258"/>
        <v>0</v>
      </c>
      <c r="X3165" s="481">
        <f t="shared" si="259"/>
        <v>0</v>
      </c>
      <c r="Y3165" s="179"/>
      <c r="Z3165" s="466">
        <f t="shared" si="260"/>
        <v>0</v>
      </c>
      <c r="AA3165" s="473">
        <f t="shared" si="261"/>
        <v>0</v>
      </c>
      <c r="AB3165" s="339">
        <f t="shared" si="262"/>
        <v>0</v>
      </c>
    </row>
    <row r="3166" spans="2:28" ht="20.100000000000001" customHeight="1">
      <c r="B3166" s="172"/>
      <c r="C3166" s="174"/>
      <c r="D3166" s="181"/>
      <c r="E3166" s="173"/>
      <c r="F3166" s="176"/>
      <c r="G3166" s="175">
        <f t="shared" si="253"/>
        <v>0</v>
      </c>
      <c r="H3166" s="175">
        <f t="shared" si="254"/>
        <v>0</v>
      </c>
      <c r="I3166" s="177">
        <f>IF(G3166=0,0,IF(E3166="MXN",1/HLOOKUP(YEAR(C3166)+(MONTH(C3166)/100),TC!$5:$37,DAY(C3166)+2,FALSE),VLOOKUP(E3166,Equivalencia!$5:$23,((MAX(Equivalencia!$3:$3)-YEAR(C3166))*14)+MONTH(C3166)+2,FALSE)))</f>
        <v>0</v>
      </c>
      <c r="J3166" s="178">
        <f t="shared" si="255"/>
        <v>0</v>
      </c>
      <c r="K3166" s="462">
        <f>IF(C3166=0,0,VLOOKUP(YEAR(C3166),INPC!$B$4:$O$29,MONTH(C3166)+1))</f>
        <v>0</v>
      </c>
      <c r="L3166" s="462">
        <f>IF(S3166=0,0,VLOOKUP(YEAR(S3166),INPC!$B$4:$O$29,MONTH(S3166)+1))</f>
        <v>0</v>
      </c>
      <c r="M3166" s="463">
        <f t="shared" si="256"/>
        <v>0</v>
      </c>
      <c r="N3166" s="465">
        <f t="shared" si="257"/>
        <v>0</v>
      </c>
      <c r="O3166" s="179"/>
      <c r="P3166" s="180"/>
      <c r="Q3166" s="173"/>
      <c r="R3166" s="173"/>
      <c r="S3166" s="174"/>
      <c r="T3166" s="173"/>
      <c r="U3166" s="182"/>
      <c r="V3166" s="177">
        <f>IF(U3166=0,0,IF(T3166="MXN",1/HLOOKUP(YEAR(S3166)+(MONTH(S3166)/100),TC!$5:$37,DAY(S3166)+2,FALSE),VLOOKUP(T3166,Equivalencia!$1:$23,((MAX(Equivalencia!$3:$3)-YEAR(S3166))*14)+MONTH(S3166)+2,FALSE)))</f>
        <v>0</v>
      </c>
      <c r="W3166" s="178">
        <f t="shared" si="258"/>
        <v>0</v>
      </c>
      <c r="X3166" s="481">
        <f t="shared" si="259"/>
        <v>0</v>
      </c>
      <c r="Y3166" s="179"/>
      <c r="Z3166" s="466">
        <f t="shared" si="260"/>
        <v>0</v>
      </c>
      <c r="AA3166" s="473">
        <f t="shared" si="261"/>
        <v>0</v>
      </c>
      <c r="AB3166" s="339">
        <f t="shared" si="262"/>
        <v>0</v>
      </c>
    </row>
    <row r="3167" spans="2:28" ht="20.100000000000001" customHeight="1">
      <c r="B3167" s="172"/>
      <c r="C3167" s="174"/>
      <c r="D3167" s="181"/>
      <c r="E3167" s="173"/>
      <c r="F3167" s="176"/>
      <c r="G3167" s="175">
        <f t="shared" si="253"/>
        <v>0</v>
      </c>
      <c r="H3167" s="175">
        <f t="shared" si="254"/>
        <v>0</v>
      </c>
      <c r="I3167" s="177">
        <f>IF(G3167=0,0,IF(E3167="MXN",1/HLOOKUP(YEAR(C3167)+(MONTH(C3167)/100),TC!$5:$37,DAY(C3167)+2,FALSE),VLOOKUP(E3167,Equivalencia!$5:$23,((MAX(Equivalencia!$3:$3)-YEAR(C3167))*14)+MONTH(C3167)+2,FALSE)))</f>
        <v>0</v>
      </c>
      <c r="J3167" s="178">
        <f t="shared" si="255"/>
        <v>0</v>
      </c>
      <c r="K3167" s="462">
        <f>IF(C3167=0,0,VLOOKUP(YEAR(C3167),INPC!$B$4:$O$29,MONTH(C3167)+1))</f>
        <v>0</v>
      </c>
      <c r="L3167" s="462">
        <f>IF(S3167=0,0,VLOOKUP(YEAR(S3167),INPC!$B$4:$O$29,MONTH(S3167)+1))</f>
        <v>0</v>
      </c>
      <c r="M3167" s="463">
        <f t="shared" si="256"/>
        <v>0</v>
      </c>
      <c r="N3167" s="465">
        <f t="shared" si="257"/>
        <v>0</v>
      </c>
      <c r="O3167" s="179"/>
      <c r="P3167" s="180"/>
      <c r="Q3167" s="173"/>
      <c r="R3167" s="173"/>
      <c r="S3167" s="174"/>
      <c r="T3167" s="173"/>
      <c r="U3167" s="182"/>
      <c r="V3167" s="177">
        <f>IF(U3167=0,0,IF(T3167="MXN",1/HLOOKUP(YEAR(S3167)+(MONTH(S3167)/100),TC!$5:$37,DAY(S3167)+2,FALSE),VLOOKUP(T3167,Equivalencia!$1:$23,((MAX(Equivalencia!$3:$3)-YEAR(S3167))*14)+MONTH(S3167)+2,FALSE)))</f>
        <v>0</v>
      </c>
      <c r="W3167" s="178">
        <f t="shared" si="258"/>
        <v>0</v>
      </c>
      <c r="X3167" s="481">
        <f t="shared" si="259"/>
        <v>0</v>
      </c>
      <c r="Y3167" s="179"/>
      <c r="Z3167" s="466">
        <f t="shared" si="260"/>
        <v>0</v>
      </c>
      <c r="AA3167" s="473">
        <f t="shared" si="261"/>
        <v>0</v>
      </c>
      <c r="AB3167" s="339">
        <f t="shared" si="262"/>
        <v>0</v>
      </c>
    </row>
    <row r="3168" spans="2:28" ht="20.100000000000001" customHeight="1">
      <c r="B3168" s="172"/>
      <c r="C3168" s="174"/>
      <c r="D3168" s="181"/>
      <c r="E3168" s="173"/>
      <c r="F3168" s="176"/>
      <c r="G3168" s="175">
        <f t="shared" si="253"/>
        <v>0</v>
      </c>
      <c r="H3168" s="175">
        <f t="shared" si="254"/>
        <v>0</v>
      </c>
      <c r="I3168" s="177">
        <f>IF(G3168=0,0,IF(E3168="MXN",1/HLOOKUP(YEAR(C3168)+(MONTH(C3168)/100),TC!$5:$37,DAY(C3168)+2,FALSE),VLOOKUP(E3168,Equivalencia!$5:$23,((MAX(Equivalencia!$3:$3)-YEAR(C3168))*14)+MONTH(C3168)+2,FALSE)))</f>
        <v>0</v>
      </c>
      <c r="J3168" s="178">
        <f t="shared" si="255"/>
        <v>0</v>
      </c>
      <c r="K3168" s="462">
        <f>IF(C3168=0,0,VLOOKUP(YEAR(C3168),INPC!$B$4:$O$29,MONTH(C3168)+1))</f>
        <v>0</v>
      </c>
      <c r="L3168" s="462">
        <f>IF(S3168=0,0,VLOOKUP(YEAR(S3168),INPC!$B$4:$O$29,MONTH(S3168)+1))</f>
        <v>0</v>
      </c>
      <c r="M3168" s="463">
        <f t="shared" si="256"/>
        <v>0</v>
      </c>
      <c r="N3168" s="465">
        <f t="shared" si="257"/>
        <v>0</v>
      </c>
      <c r="O3168" s="179"/>
      <c r="P3168" s="180"/>
      <c r="Q3168" s="173"/>
      <c r="R3168" s="173"/>
      <c r="S3168" s="174"/>
      <c r="T3168" s="173"/>
      <c r="U3168" s="182"/>
      <c r="V3168" s="177">
        <f>IF(U3168=0,0,IF(T3168="MXN",1/HLOOKUP(YEAR(S3168)+(MONTH(S3168)/100),TC!$5:$37,DAY(S3168)+2,FALSE),VLOOKUP(T3168,Equivalencia!$1:$23,((MAX(Equivalencia!$3:$3)-YEAR(S3168))*14)+MONTH(S3168)+2,FALSE)))</f>
        <v>0</v>
      </c>
      <c r="W3168" s="178">
        <f t="shared" si="258"/>
        <v>0</v>
      </c>
      <c r="X3168" s="481">
        <f t="shared" si="259"/>
        <v>0</v>
      </c>
      <c r="Y3168" s="179"/>
      <c r="Z3168" s="466">
        <f t="shared" si="260"/>
        <v>0</v>
      </c>
      <c r="AA3168" s="473">
        <f t="shared" si="261"/>
        <v>0</v>
      </c>
      <c r="AB3168" s="339">
        <f t="shared" si="262"/>
        <v>0</v>
      </c>
    </row>
    <row r="3169" spans="2:28" ht="20.100000000000001" customHeight="1">
      <c r="B3169" s="172"/>
      <c r="C3169" s="174"/>
      <c r="D3169" s="181"/>
      <c r="E3169" s="173"/>
      <c r="F3169" s="176"/>
      <c r="G3169" s="175">
        <f t="shared" si="253"/>
        <v>0</v>
      </c>
      <c r="H3169" s="175">
        <f t="shared" si="254"/>
        <v>0</v>
      </c>
      <c r="I3169" s="177">
        <f>IF(G3169=0,0,IF(E3169="MXN",1/HLOOKUP(YEAR(C3169)+(MONTH(C3169)/100),TC!$5:$37,DAY(C3169)+2,FALSE),VLOOKUP(E3169,Equivalencia!$5:$23,((MAX(Equivalencia!$3:$3)-YEAR(C3169))*14)+MONTH(C3169)+2,FALSE)))</f>
        <v>0</v>
      </c>
      <c r="J3169" s="178">
        <f t="shared" si="255"/>
        <v>0</v>
      </c>
      <c r="K3169" s="462">
        <f>IF(C3169=0,0,VLOOKUP(YEAR(C3169),INPC!$B$4:$O$29,MONTH(C3169)+1))</f>
        <v>0</v>
      </c>
      <c r="L3169" s="462">
        <f>IF(S3169=0,0,VLOOKUP(YEAR(S3169),INPC!$B$4:$O$29,MONTH(S3169)+1))</f>
        <v>0</v>
      </c>
      <c r="M3169" s="463">
        <f t="shared" si="256"/>
        <v>0</v>
      </c>
      <c r="N3169" s="465">
        <f t="shared" si="257"/>
        <v>0</v>
      </c>
      <c r="O3169" s="179"/>
      <c r="P3169" s="180"/>
      <c r="Q3169" s="173"/>
      <c r="R3169" s="173"/>
      <c r="S3169" s="174"/>
      <c r="T3169" s="173"/>
      <c r="U3169" s="182"/>
      <c r="V3169" s="177">
        <f>IF(U3169=0,0,IF(T3169="MXN",1/HLOOKUP(YEAR(S3169)+(MONTH(S3169)/100),TC!$5:$37,DAY(S3169)+2,FALSE),VLOOKUP(T3169,Equivalencia!$1:$23,((MAX(Equivalencia!$3:$3)-YEAR(S3169))*14)+MONTH(S3169)+2,FALSE)))</f>
        <v>0</v>
      </c>
      <c r="W3169" s="178">
        <f t="shared" si="258"/>
        <v>0</v>
      </c>
      <c r="X3169" s="481">
        <f t="shared" si="259"/>
        <v>0</v>
      </c>
      <c r="Y3169" s="179"/>
      <c r="Z3169" s="466">
        <f t="shared" si="260"/>
        <v>0</v>
      </c>
      <c r="AA3169" s="473">
        <f t="shared" si="261"/>
        <v>0</v>
      </c>
      <c r="AB3169" s="339">
        <f t="shared" si="262"/>
        <v>0</v>
      </c>
    </row>
    <row r="3170" spans="2:28" ht="20.100000000000001" customHeight="1">
      <c r="B3170" s="172"/>
      <c r="C3170" s="174"/>
      <c r="D3170" s="181"/>
      <c r="E3170" s="173"/>
      <c r="F3170" s="176"/>
      <c r="G3170" s="175">
        <f t="shared" si="253"/>
        <v>0</v>
      </c>
      <c r="H3170" s="175">
        <f t="shared" si="254"/>
        <v>0</v>
      </c>
      <c r="I3170" s="177">
        <f>IF(G3170=0,0,IF(E3170="MXN",1/HLOOKUP(YEAR(C3170)+(MONTH(C3170)/100),TC!$5:$37,DAY(C3170)+2,FALSE),VLOOKUP(E3170,Equivalencia!$5:$23,((MAX(Equivalencia!$3:$3)-YEAR(C3170))*14)+MONTH(C3170)+2,FALSE)))</f>
        <v>0</v>
      </c>
      <c r="J3170" s="178">
        <f t="shared" si="255"/>
        <v>0</v>
      </c>
      <c r="K3170" s="462">
        <f>IF(C3170=0,0,VLOOKUP(YEAR(C3170),INPC!$B$4:$O$29,MONTH(C3170)+1))</f>
        <v>0</v>
      </c>
      <c r="L3170" s="462">
        <f>IF(S3170=0,0,VLOOKUP(YEAR(S3170),INPC!$B$4:$O$29,MONTH(S3170)+1))</f>
        <v>0</v>
      </c>
      <c r="M3170" s="463">
        <f t="shared" si="256"/>
        <v>0</v>
      </c>
      <c r="N3170" s="465">
        <f t="shared" si="257"/>
        <v>0</v>
      </c>
      <c r="O3170" s="179"/>
      <c r="P3170" s="180"/>
      <c r="Q3170" s="173"/>
      <c r="R3170" s="173"/>
      <c r="S3170" s="174"/>
      <c r="T3170" s="173"/>
      <c r="U3170" s="182"/>
      <c r="V3170" s="177">
        <f>IF(U3170=0,0,IF(T3170="MXN",1/HLOOKUP(YEAR(S3170)+(MONTH(S3170)/100),TC!$5:$37,DAY(S3170)+2,FALSE),VLOOKUP(T3170,Equivalencia!$1:$23,((MAX(Equivalencia!$3:$3)-YEAR(S3170))*14)+MONTH(S3170)+2,FALSE)))</f>
        <v>0</v>
      </c>
      <c r="W3170" s="178">
        <f t="shared" si="258"/>
        <v>0</v>
      </c>
      <c r="X3170" s="481">
        <f t="shared" si="259"/>
        <v>0</v>
      </c>
      <c r="Y3170" s="179"/>
      <c r="Z3170" s="466">
        <f t="shared" si="260"/>
        <v>0</v>
      </c>
      <c r="AA3170" s="473">
        <f t="shared" si="261"/>
        <v>0</v>
      </c>
      <c r="AB3170" s="339">
        <f t="shared" si="262"/>
        <v>0</v>
      </c>
    </row>
    <row r="3171" spans="2:28" ht="20.100000000000001" customHeight="1">
      <c r="B3171" s="172"/>
      <c r="C3171" s="174"/>
      <c r="D3171" s="181"/>
      <c r="E3171" s="173"/>
      <c r="F3171" s="176"/>
      <c r="G3171" s="175">
        <f t="shared" si="253"/>
        <v>0</v>
      </c>
      <c r="H3171" s="175">
        <f t="shared" si="254"/>
        <v>0</v>
      </c>
      <c r="I3171" s="177">
        <f>IF(G3171=0,0,IF(E3171="MXN",1/HLOOKUP(YEAR(C3171)+(MONTH(C3171)/100),TC!$5:$37,DAY(C3171)+2,FALSE),VLOOKUP(E3171,Equivalencia!$5:$23,((MAX(Equivalencia!$3:$3)-YEAR(C3171))*14)+MONTH(C3171)+2,FALSE)))</f>
        <v>0</v>
      </c>
      <c r="J3171" s="178">
        <f t="shared" si="255"/>
        <v>0</v>
      </c>
      <c r="K3171" s="462">
        <f>IF(C3171=0,0,VLOOKUP(YEAR(C3171),INPC!$B$4:$O$29,MONTH(C3171)+1))</f>
        <v>0</v>
      </c>
      <c r="L3171" s="462">
        <f>IF(S3171=0,0,VLOOKUP(YEAR(S3171),INPC!$B$4:$O$29,MONTH(S3171)+1))</f>
        <v>0</v>
      </c>
      <c r="M3171" s="463">
        <f t="shared" si="256"/>
        <v>0</v>
      </c>
      <c r="N3171" s="465">
        <f t="shared" si="257"/>
        <v>0</v>
      </c>
      <c r="O3171" s="179"/>
      <c r="P3171" s="180"/>
      <c r="Q3171" s="173"/>
      <c r="R3171" s="173"/>
      <c r="S3171" s="174"/>
      <c r="T3171" s="173"/>
      <c r="U3171" s="182"/>
      <c r="V3171" s="177">
        <f>IF(U3171=0,0,IF(T3171="MXN",1/HLOOKUP(YEAR(S3171)+(MONTH(S3171)/100),TC!$5:$37,DAY(S3171)+2,FALSE),VLOOKUP(T3171,Equivalencia!$1:$23,((MAX(Equivalencia!$3:$3)-YEAR(S3171))*14)+MONTH(S3171)+2,FALSE)))</f>
        <v>0</v>
      </c>
      <c r="W3171" s="178">
        <f t="shared" si="258"/>
        <v>0</v>
      </c>
      <c r="X3171" s="481">
        <f t="shared" si="259"/>
        <v>0</v>
      </c>
      <c r="Y3171" s="179"/>
      <c r="Z3171" s="466">
        <f t="shared" si="260"/>
        <v>0</v>
      </c>
      <c r="AA3171" s="473">
        <f t="shared" si="261"/>
        <v>0</v>
      </c>
      <c r="AB3171" s="339">
        <f t="shared" si="262"/>
        <v>0</v>
      </c>
    </row>
    <row r="3172" spans="2:28" ht="20.100000000000001" customHeight="1">
      <c r="B3172" s="172"/>
      <c r="C3172" s="174"/>
      <c r="D3172" s="181"/>
      <c r="E3172" s="173"/>
      <c r="F3172" s="176"/>
      <c r="G3172" s="175">
        <f t="shared" si="253"/>
        <v>0</v>
      </c>
      <c r="H3172" s="175">
        <f t="shared" si="254"/>
        <v>0</v>
      </c>
      <c r="I3172" s="177">
        <f>IF(G3172=0,0,IF(E3172="MXN",1/HLOOKUP(YEAR(C3172)+(MONTH(C3172)/100),TC!$5:$37,DAY(C3172)+2,FALSE),VLOOKUP(E3172,Equivalencia!$5:$23,((MAX(Equivalencia!$3:$3)-YEAR(C3172))*14)+MONTH(C3172)+2,FALSE)))</f>
        <v>0</v>
      </c>
      <c r="J3172" s="178">
        <f t="shared" si="255"/>
        <v>0</v>
      </c>
      <c r="K3172" s="462">
        <f>IF(C3172=0,0,VLOOKUP(YEAR(C3172),INPC!$B$4:$O$29,MONTH(C3172)+1))</f>
        <v>0</v>
      </c>
      <c r="L3172" s="462">
        <f>IF(S3172=0,0,VLOOKUP(YEAR(S3172),INPC!$B$4:$O$29,MONTH(S3172)+1))</f>
        <v>0</v>
      </c>
      <c r="M3172" s="463">
        <f t="shared" si="256"/>
        <v>0</v>
      </c>
      <c r="N3172" s="465">
        <f t="shared" si="257"/>
        <v>0</v>
      </c>
      <c r="O3172" s="179"/>
      <c r="P3172" s="180"/>
      <c r="Q3172" s="173"/>
      <c r="R3172" s="173"/>
      <c r="S3172" s="174"/>
      <c r="T3172" s="173"/>
      <c r="U3172" s="182"/>
      <c r="V3172" s="177">
        <f>IF(U3172=0,0,IF(T3172="MXN",1/HLOOKUP(YEAR(S3172)+(MONTH(S3172)/100),TC!$5:$37,DAY(S3172)+2,FALSE),VLOOKUP(T3172,Equivalencia!$1:$23,((MAX(Equivalencia!$3:$3)-YEAR(S3172))*14)+MONTH(S3172)+2,FALSE)))</f>
        <v>0</v>
      </c>
      <c r="W3172" s="178">
        <f t="shared" si="258"/>
        <v>0</v>
      </c>
      <c r="X3172" s="481">
        <f t="shared" si="259"/>
        <v>0</v>
      </c>
      <c r="Y3172" s="179"/>
      <c r="Z3172" s="466">
        <f t="shared" si="260"/>
        <v>0</v>
      </c>
      <c r="AA3172" s="473">
        <f t="shared" si="261"/>
        <v>0</v>
      </c>
      <c r="AB3172" s="339">
        <f t="shared" si="262"/>
        <v>0</v>
      </c>
    </row>
    <row r="3173" spans="2:28" ht="20.100000000000001" customHeight="1">
      <c r="B3173" s="172"/>
      <c r="C3173" s="174"/>
      <c r="D3173" s="181"/>
      <c r="E3173" s="173"/>
      <c r="F3173" s="176"/>
      <c r="G3173" s="175">
        <f t="shared" si="253"/>
        <v>0</v>
      </c>
      <c r="H3173" s="175">
        <f t="shared" si="254"/>
        <v>0</v>
      </c>
      <c r="I3173" s="177">
        <f>IF(G3173=0,0,IF(E3173="MXN",1/HLOOKUP(YEAR(C3173)+(MONTH(C3173)/100),TC!$5:$37,DAY(C3173)+2,FALSE),VLOOKUP(E3173,Equivalencia!$5:$23,((MAX(Equivalencia!$3:$3)-YEAR(C3173))*14)+MONTH(C3173)+2,FALSE)))</f>
        <v>0</v>
      </c>
      <c r="J3173" s="178">
        <f t="shared" si="255"/>
        <v>0</v>
      </c>
      <c r="K3173" s="462">
        <f>IF(C3173=0,0,VLOOKUP(YEAR(C3173),INPC!$B$4:$O$29,MONTH(C3173)+1))</f>
        <v>0</v>
      </c>
      <c r="L3173" s="462">
        <f>IF(S3173=0,0,VLOOKUP(YEAR(S3173),INPC!$B$4:$O$29,MONTH(S3173)+1))</f>
        <v>0</v>
      </c>
      <c r="M3173" s="463">
        <f t="shared" si="256"/>
        <v>0</v>
      </c>
      <c r="N3173" s="465">
        <f t="shared" si="257"/>
        <v>0</v>
      </c>
      <c r="O3173" s="179"/>
      <c r="P3173" s="180"/>
      <c r="Q3173" s="173"/>
      <c r="R3173" s="173"/>
      <c r="S3173" s="174"/>
      <c r="T3173" s="173"/>
      <c r="U3173" s="182"/>
      <c r="V3173" s="177">
        <f>IF(U3173=0,0,IF(T3173="MXN",1/HLOOKUP(YEAR(S3173)+(MONTH(S3173)/100),TC!$5:$37,DAY(S3173)+2,FALSE),VLOOKUP(T3173,Equivalencia!$1:$23,((MAX(Equivalencia!$3:$3)-YEAR(S3173))*14)+MONTH(S3173)+2,FALSE)))</f>
        <v>0</v>
      </c>
      <c r="W3173" s="178">
        <f t="shared" si="258"/>
        <v>0</v>
      </c>
      <c r="X3173" s="481">
        <f t="shared" si="259"/>
        <v>0</v>
      </c>
      <c r="Y3173" s="179"/>
      <c r="Z3173" s="466">
        <f t="shared" si="260"/>
        <v>0</v>
      </c>
      <c r="AA3173" s="473">
        <f t="shared" si="261"/>
        <v>0</v>
      </c>
      <c r="AB3173" s="339">
        <f t="shared" si="262"/>
        <v>0</v>
      </c>
    </row>
    <row r="3174" spans="2:28" ht="20.100000000000001" customHeight="1">
      <c r="B3174" s="172"/>
      <c r="C3174" s="174"/>
      <c r="D3174" s="181"/>
      <c r="E3174" s="173"/>
      <c r="F3174" s="176"/>
      <c r="G3174" s="175">
        <f t="shared" si="253"/>
        <v>0</v>
      </c>
      <c r="H3174" s="175">
        <f t="shared" si="254"/>
        <v>0</v>
      </c>
      <c r="I3174" s="177">
        <f>IF(G3174=0,0,IF(E3174="MXN",1/HLOOKUP(YEAR(C3174)+(MONTH(C3174)/100),TC!$5:$37,DAY(C3174)+2,FALSE),VLOOKUP(E3174,Equivalencia!$5:$23,((MAX(Equivalencia!$3:$3)-YEAR(C3174))*14)+MONTH(C3174)+2,FALSE)))</f>
        <v>0</v>
      </c>
      <c r="J3174" s="178">
        <f t="shared" si="255"/>
        <v>0</v>
      </c>
      <c r="K3174" s="462">
        <f>IF(C3174=0,0,VLOOKUP(YEAR(C3174),INPC!$B$4:$O$29,MONTH(C3174)+1))</f>
        <v>0</v>
      </c>
      <c r="L3174" s="462">
        <f>IF(S3174=0,0,VLOOKUP(YEAR(S3174),INPC!$B$4:$O$29,MONTH(S3174)+1))</f>
        <v>0</v>
      </c>
      <c r="M3174" s="463">
        <f t="shared" si="256"/>
        <v>0</v>
      </c>
      <c r="N3174" s="465">
        <f t="shared" si="257"/>
        <v>0</v>
      </c>
      <c r="O3174" s="179"/>
      <c r="P3174" s="180"/>
      <c r="Q3174" s="173"/>
      <c r="R3174" s="173"/>
      <c r="S3174" s="174"/>
      <c r="T3174" s="173"/>
      <c r="U3174" s="182"/>
      <c r="V3174" s="177">
        <f>IF(U3174=0,0,IF(T3174="MXN",1/HLOOKUP(YEAR(S3174)+(MONTH(S3174)/100),TC!$5:$37,DAY(S3174)+2,FALSE),VLOOKUP(T3174,Equivalencia!$1:$23,((MAX(Equivalencia!$3:$3)-YEAR(S3174))*14)+MONTH(S3174)+2,FALSE)))</f>
        <v>0</v>
      </c>
      <c r="W3174" s="178">
        <f t="shared" si="258"/>
        <v>0</v>
      </c>
      <c r="X3174" s="481">
        <f t="shared" si="259"/>
        <v>0</v>
      </c>
      <c r="Y3174" s="179"/>
      <c r="Z3174" s="466">
        <f t="shared" si="260"/>
        <v>0</v>
      </c>
      <c r="AA3174" s="473">
        <f t="shared" si="261"/>
        <v>0</v>
      </c>
      <c r="AB3174" s="339">
        <f t="shared" si="262"/>
        <v>0</v>
      </c>
    </row>
    <row r="3175" spans="2:28" ht="20.100000000000001" customHeight="1">
      <c r="B3175" s="172"/>
      <c r="C3175" s="174"/>
      <c r="D3175" s="181"/>
      <c r="E3175" s="173"/>
      <c r="F3175" s="176"/>
      <c r="G3175" s="175">
        <f t="shared" si="253"/>
        <v>0</v>
      </c>
      <c r="H3175" s="175">
        <f t="shared" si="254"/>
        <v>0</v>
      </c>
      <c r="I3175" s="177">
        <f>IF(G3175=0,0,IF(E3175="MXN",1/HLOOKUP(YEAR(C3175)+(MONTH(C3175)/100),TC!$5:$37,DAY(C3175)+2,FALSE),VLOOKUP(E3175,Equivalencia!$5:$23,((MAX(Equivalencia!$3:$3)-YEAR(C3175))*14)+MONTH(C3175)+2,FALSE)))</f>
        <v>0</v>
      </c>
      <c r="J3175" s="178">
        <f t="shared" si="255"/>
        <v>0</v>
      </c>
      <c r="K3175" s="462">
        <f>IF(C3175=0,0,VLOOKUP(YEAR(C3175),INPC!$B$4:$O$29,MONTH(C3175)+1))</f>
        <v>0</v>
      </c>
      <c r="L3175" s="462">
        <f>IF(S3175=0,0,VLOOKUP(YEAR(S3175),INPC!$B$4:$O$29,MONTH(S3175)+1))</f>
        <v>0</v>
      </c>
      <c r="M3175" s="463">
        <f t="shared" si="256"/>
        <v>0</v>
      </c>
      <c r="N3175" s="465">
        <f t="shared" si="257"/>
        <v>0</v>
      </c>
      <c r="O3175" s="179"/>
      <c r="P3175" s="180"/>
      <c r="Q3175" s="173"/>
      <c r="R3175" s="173"/>
      <c r="S3175" s="174"/>
      <c r="T3175" s="173"/>
      <c r="U3175" s="182"/>
      <c r="V3175" s="177">
        <f>IF(U3175=0,0,IF(T3175="MXN",1/HLOOKUP(YEAR(S3175)+(MONTH(S3175)/100),TC!$5:$37,DAY(S3175)+2,FALSE),VLOOKUP(T3175,Equivalencia!$1:$23,((MAX(Equivalencia!$3:$3)-YEAR(S3175))*14)+MONTH(S3175)+2,FALSE)))</f>
        <v>0</v>
      </c>
      <c r="W3175" s="178">
        <f t="shared" si="258"/>
        <v>0</v>
      </c>
      <c r="X3175" s="481">
        <f t="shared" si="259"/>
        <v>0</v>
      </c>
      <c r="Y3175" s="179"/>
      <c r="Z3175" s="466">
        <f t="shared" si="260"/>
        <v>0</v>
      </c>
      <c r="AA3175" s="473">
        <f t="shared" si="261"/>
        <v>0</v>
      </c>
      <c r="AB3175" s="339">
        <f t="shared" si="262"/>
        <v>0</v>
      </c>
    </row>
    <row r="3176" spans="2:28" ht="20.100000000000001" customHeight="1">
      <c r="B3176" s="172"/>
      <c r="C3176" s="174"/>
      <c r="D3176" s="181"/>
      <c r="E3176" s="173"/>
      <c r="F3176" s="176"/>
      <c r="G3176" s="175">
        <f t="shared" si="253"/>
        <v>0</v>
      </c>
      <c r="H3176" s="175">
        <f t="shared" si="254"/>
        <v>0</v>
      </c>
      <c r="I3176" s="177">
        <f>IF(G3176=0,0,IF(E3176="MXN",1/HLOOKUP(YEAR(C3176)+(MONTH(C3176)/100),TC!$5:$37,DAY(C3176)+2,FALSE),VLOOKUP(E3176,Equivalencia!$5:$23,((MAX(Equivalencia!$3:$3)-YEAR(C3176))*14)+MONTH(C3176)+2,FALSE)))</f>
        <v>0</v>
      </c>
      <c r="J3176" s="178">
        <f t="shared" si="255"/>
        <v>0</v>
      </c>
      <c r="K3176" s="462">
        <f>IF(C3176=0,0,VLOOKUP(YEAR(C3176),INPC!$B$4:$O$29,MONTH(C3176)+1))</f>
        <v>0</v>
      </c>
      <c r="L3176" s="462">
        <f>IF(S3176=0,0,VLOOKUP(YEAR(S3176),INPC!$B$4:$O$29,MONTH(S3176)+1))</f>
        <v>0</v>
      </c>
      <c r="M3176" s="463">
        <f t="shared" si="256"/>
        <v>0</v>
      </c>
      <c r="N3176" s="465">
        <f t="shared" si="257"/>
        <v>0</v>
      </c>
      <c r="O3176" s="179"/>
      <c r="P3176" s="180"/>
      <c r="Q3176" s="173"/>
      <c r="R3176" s="173"/>
      <c r="S3176" s="174"/>
      <c r="T3176" s="173"/>
      <c r="U3176" s="182"/>
      <c r="V3176" s="177">
        <f>IF(U3176=0,0,IF(T3176="MXN",1/HLOOKUP(YEAR(S3176)+(MONTH(S3176)/100),TC!$5:$37,DAY(S3176)+2,FALSE),VLOOKUP(T3176,Equivalencia!$1:$23,((MAX(Equivalencia!$3:$3)-YEAR(S3176))*14)+MONTH(S3176)+2,FALSE)))</f>
        <v>0</v>
      </c>
      <c r="W3176" s="178">
        <f t="shared" si="258"/>
        <v>0</v>
      </c>
      <c r="X3176" s="481">
        <f t="shared" si="259"/>
        <v>0</v>
      </c>
      <c r="Y3176" s="179"/>
      <c r="Z3176" s="466">
        <f t="shared" si="260"/>
        <v>0</v>
      </c>
      <c r="AA3176" s="473">
        <f t="shared" si="261"/>
        <v>0</v>
      </c>
      <c r="AB3176" s="339">
        <f t="shared" si="262"/>
        <v>0</v>
      </c>
    </row>
    <row r="3177" spans="2:28" ht="20.100000000000001" customHeight="1">
      <c r="B3177" s="172"/>
      <c r="C3177" s="174"/>
      <c r="D3177" s="181"/>
      <c r="E3177" s="173"/>
      <c r="F3177" s="176"/>
      <c r="G3177" s="175">
        <f t="shared" si="253"/>
        <v>0</v>
      </c>
      <c r="H3177" s="175">
        <f t="shared" si="254"/>
        <v>0</v>
      </c>
      <c r="I3177" s="177">
        <f>IF(G3177=0,0,IF(E3177="MXN",1/HLOOKUP(YEAR(C3177)+(MONTH(C3177)/100),TC!$5:$37,DAY(C3177)+2,FALSE),VLOOKUP(E3177,Equivalencia!$5:$23,((MAX(Equivalencia!$3:$3)-YEAR(C3177))*14)+MONTH(C3177)+2,FALSE)))</f>
        <v>0</v>
      </c>
      <c r="J3177" s="178">
        <f t="shared" si="255"/>
        <v>0</v>
      </c>
      <c r="K3177" s="462">
        <f>IF(C3177=0,0,VLOOKUP(YEAR(C3177),INPC!$B$4:$O$29,MONTH(C3177)+1))</f>
        <v>0</v>
      </c>
      <c r="L3177" s="462">
        <f>IF(S3177=0,0,VLOOKUP(YEAR(S3177),INPC!$B$4:$O$29,MONTH(S3177)+1))</f>
        <v>0</v>
      </c>
      <c r="M3177" s="463">
        <f t="shared" si="256"/>
        <v>0</v>
      </c>
      <c r="N3177" s="465">
        <f t="shared" si="257"/>
        <v>0</v>
      </c>
      <c r="O3177" s="179"/>
      <c r="P3177" s="180"/>
      <c r="Q3177" s="173"/>
      <c r="R3177" s="173"/>
      <c r="S3177" s="174"/>
      <c r="T3177" s="173"/>
      <c r="U3177" s="182"/>
      <c r="V3177" s="177">
        <f>IF(U3177=0,0,IF(T3177="MXN",1/HLOOKUP(YEAR(S3177)+(MONTH(S3177)/100),TC!$5:$37,DAY(S3177)+2,FALSE),VLOOKUP(T3177,Equivalencia!$1:$23,((MAX(Equivalencia!$3:$3)-YEAR(S3177))*14)+MONTH(S3177)+2,FALSE)))</f>
        <v>0</v>
      </c>
      <c r="W3177" s="178">
        <f t="shared" si="258"/>
        <v>0</v>
      </c>
      <c r="X3177" s="481">
        <f t="shared" si="259"/>
        <v>0</v>
      </c>
      <c r="Y3177" s="179"/>
      <c r="Z3177" s="466">
        <f t="shared" si="260"/>
        <v>0</v>
      </c>
      <c r="AA3177" s="473">
        <f t="shared" si="261"/>
        <v>0</v>
      </c>
      <c r="AB3177" s="339">
        <f t="shared" si="262"/>
        <v>0</v>
      </c>
    </row>
    <row r="3178" spans="2:28" ht="20.100000000000001" customHeight="1">
      <c r="B3178" s="172"/>
      <c r="C3178" s="174"/>
      <c r="D3178" s="181"/>
      <c r="E3178" s="173"/>
      <c r="F3178" s="176"/>
      <c r="G3178" s="175">
        <f t="shared" si="253"/>
        <v>0</v>
      </c>
      <c r="H3178" s="175">
        <f t="shared" si="254"/>
        <v>0</v>
      </c>
      <c r="I3178" s="177">
        <f>IF(G3178=0,0,IF(E3178="MXN",1/HLOOKUP(YEAR(C3178)+(MONTH(C3178)/100),TC!$5:$37,DAY(C3178)+2,FALSE),VLOOKUP(E3178,Equivalencia!$5:$23,((MAX(Equivalencia!$3:$3)-YEAR(C3178))*14)+MONTH(C3178)+2,FALSE)))</f>
        <v>0</v>
      </c>
      <c r="J3178" s="178">
        <f t="shared" si="255"/>
        <v>0</v>
      </c>
      <c r="K3178" s="462">
        <f>IF(C3178=0,0,VLOOKUP(YEAR(C3178),INPC!$B$4:$O$29,MONTH(C3178)+1))</f>
        <v>0</v>
      </c>
      <c r="L3178" s="462">
        <f>IF(S3178=0,0,VLOOKUP(YEAR(S3178),INPC!$B$4:$O$29,MONTH(S3178)+1))</f>
        <v>0</v>
      </c>
      <c r="M3178" s="463">
        <f t="shared" si="256"/>
        <v>0</v>
      </c>
      <c r="N3178" s="465">
        <f t="shared" si="257"/>
        <v>0</v>
      </c>
      <c r="O3178" s="179"/>
      <c r="P3178" s="180"/>
      <c r="Q3178" s="173"/>
      <c r="R3178" s="173"/>
      <c r="S3178" s="174"/>
      <c r="T3178" s="173"/>
      <c r="U3178" s="182"/>
      <c r="V3178" s="177">
        <f>IF(U3178=0,0,IF(T3178="MXN",1/HLOOKUP(YEAR(S3178)+(MONTH(S3178)/100),TC!$5:$37,DAY(S3178)+2,FALSE),VLOOKUP(T3178,Equivalencia!$1:$23,((MAX(Equivalencia!$3:$3)-YEAR(S3178))*14)+MONTH(S3178)+2,FALSE)))</f>
        <v>0</v>
      </c>
      <c r="W3178" s="178">
        <f t="shared" si="258"/>
        <v>0</v>
      </c>
      <c r="X3178" s="481">
        <f t="shared" si="259"/>
        <v>0</v>
      </c>
      <c r="Y3178" s="179"/>
      <c r="Z3178" s="466">
        <f t="shared" si="260"/>
        <v>0</v>
      </c>
      <c r="AA3178" s="473">
        <f t="shared" si="261"/>
        <v>0</v>
      </c>
      <c r="AB3178" s="339">
        <f t="shared" si="262"/>
        <v>0</v>
      </c>
    </row>
    <row r="3179" spans="2:28" ht="20.100000000000001" customHeight="1">
      <c r="B3179" s="172"/>
      <c r="C3179" s="174"/>
      <c r="D3179" s="181"/>
      <c r="E3179" s="173"/>
      <c r="F3179" s="176"/>
      <c r="G3179" s="175">
        <f t="shared" si="253"/>
        <v>0</v>
      </c>
      <c r="H3179" s="175">
        <f t="shared" si="254"/>
        <v>0</v>
      </c>
      <c r="I3179" s="177">
        <f>IF(G3179=0,0,IF(E3179="MXN",1/HLOOKUP(YEAR(C3179)+(MONTH(C3179)/100),TC!$5:$37,DAY(C3179)+2,FALSE),VLOOKUP(E3179,Equivalencia!$5:$23,((MAX(Equivalencia!$3:$3)-YEAR(C3179))*14)+MONTH(C3179)+2,FALSE)))</f>
        <v>0</v>
      </c>
      <c r="J3179" s="178">
        <f t="shared" si="255"/>
        <v>0</v>
      </c>
      <c r="K3179" s="462">
        <f>IF(C3179=0,0,VLOOKUP(YEAR(C3179),INPC!$B$4:$O$29,MONTH(C3179)+1))</f>
        <v>0</v>
      </c>
      <c r="L3179" s="462">
        <f>IF(S3179=0,0,VLOOKUP(YEAR(S3179),INPC!$B$4:$O$29,MONTH(S3179)+1))</f>
        <v>0</v>
      </c>
      <c r="M3179" s="463">
        <f t="shared" si="256"/>
        <v>0</v>
      </c>
      <c r="N3179" s="465">
        <f t="shared" si="257"/>
        <v>0</v>
      </c>
      <c r="O3179" s="179"/>
      <c r="P3179" s="180"/>
      <c r="Q3179" s="173"/>
      <c r="R3179" s="173"/>
      <c r="S3179" s="174"/>
      <c r="T3179" s="173"/>
      <c r="U3179" s="182"/>
      <c r="V3179" s="177">
        <f>IF(U3179=0,0,IF(T3179="MXN",1/HLOOKUP(YEAR(S3179)+(MONTH(S3179)/100),TC!$5:$37,DAY(S3179)+2,FALSE),VLOOKUP(T3179,Equivalencia!$1:$23,((MAX(Equivalencia!$3:$3)-YEAR(S3179))*14)+MONTH(S3179)+2,FALSE)))</f>
        <v>0</v>
      </c>
      <c r="W3179" s="178">
        <f t="shared" si="258"/>
        <v>0</v>
      </c>
      <c r="X3179" s="481">
        <f t="shared" si="259"/>
        <v>0</v>
      </c>
      <c r="Y3179" s="179"/>
      <c r="Z3179" s="466">
        <f t="shared" si="260"/>
        <v>0</v>
      </c>
      <c r="AA3179" s="473">
        <f t="shared" si="261"/>
        <v>0</v>
      </c>
      <c r="AB3179" s="339">
        <f t="shared" si="262"/>
        <v>0</v>
      </c>
    </row>
    <row r="3180" spans="2:28" ht="20.100000000000001" customHeight="1">
      <c r="B3180" s="172"/>
      <c r="C3180" s="174"/>
      <c r="D3180" s="181"/>
      <c r="E3180" s="173"/>
      <c r="F3180" s="176"/>
      <c r="G3180" s="175">
        <f t="shared" si="253"/>
        <v>0</v>
      </c>
      <c r="H3180" s="175">
        <f t="shared" si="254"/>
        <v>0</v>
      </c>
      <c r="I3180" s="177">
        <f>IF(G3180=0,0,IF(E3180="MXN",1/HLOOKUP(YEAR(C3180)+(MONTH(C3180)/100),TC!$5:$37,DAY(C3180)+2,FALSE),VLOOKUP(E3180,Equivalencia!$5:$23,((MAX(Equivalencia!$3:$3)-YEAR(C3180))*14)+MONTH(C3180)+2,FALSE)))</f>
        <v>0</v>
      </c>
      <c r="J3180" s="178">
        <f t="shared" si="255"/>
        <v>0</v>
      </c>
      <c r="K3180" s="462">
        <f>IF(C3180=0,0,VLOOKUP(YEAR(C3180),INPC!$B$4:$O$29,MONTH(C3180)+1))</f>
        <v>0</v>
      </c>
      <c r="L3180" s="462">
        <f>IF(S3180=0,0,VLOOKUP(YEAR(S3180),INPC!$B$4:$O$29,MONTH(S3180)+1))</f>
        <v>0</v>
      </c>
      <c r="M3180" s="463">
        <f t="shared" si="256"/>
        <v>0</v>
      </c>
      <c r="N3180" s="465">
        <f t="shared" si="257"/>
        <v>0</v>
      </c>
      <c r="O3180" s="179"/>
      <c r="P3180" s="180"/>
      <c r="Q3180" s="173"/>
      <c r="R3180" s="173"/>
      <c r="S3180" s="174"/>
      <c r="T3180" s="173"/>
      <c r="U3180" s="182"/>
      <c r="V3180" s="177">
        <f>IF(U3180=0,0,IF(T3180="MXN",1/HLOOKUP(YEAR(S3180)+(MONTH(S3180)/100),TC!$5:$37,DAY(S3180)+2,FALSE),VLOOKUP(T3180,Equivalencia!$1:$23,((MAX(Equivalencia!$3:$3)-YEAR(S3180))*14)+MONTH(S3180)+2,FALSE)))</f>
        <v>0</v>
      </c>
      <c r="W3180" s="178">
        <f t="shared" si="258"/>
        <v>0</v>
      </c>
      <c r="X3180" s="481">
        <f t="shared" si="259"/>
        <v>0</v>
      </c>
      <c r="Y3180" s="179"/>
      <c r="Z3180" s="466">
        <f t="shared" si="260"/>
        <v>0</v>
      </c>
      <c r="AA3180" s="473">
        <f t="shared" si="261"/>
        <v>0</v>
      </c>
      <c r="AB3180" s="339">
        <f t="shared" si="262"/>
        <v>0</v>
      </c>
    </row>
    <row r="3181" spans="2:28" ht="20.100000000000001" customHeight="1">
      <c r="B3181" s="172"/>
      <c r="C3181" s="174"/>
      <c r="D3181" s="181"/>
      <c r="E3181" s="173"/>
      <c r="F3181" s="176"/>
      <c r="G3181" s="175">
        <f t="shared" si="253"/>
        <v>0</v>
      </c>
      <c r="H3181" s="175">
        <f t="shared" si="254"/>
        <v>0</v>
      </c>
      <c r="I3181" s="177">
        <f>IF(G3181=0,0,IF(E3181="MXN",1/HLOOKUP(YEAR(C3181)+(MONTH(C3181)/100),TC!$5:$37,DAY(C3181)+2,FALSE),VLOOKUP(E3181,Equivalencia!$5:$23,((MAX(Equivalencia!$3:$3)-YEAR(C3181))*14)+MONTH(C3181)+2,FALSE)))</f>
        <v>0</v>
      </c>
      <c r="J3181" s="178">
        <f t="shared" si="255"/>
        <v>0</v>
      </c>
      <c r="K3181" s="462">
        <f>IF(C3181=0,0,VLOOKUP(YEAR(C3181),INPC!$B$4:$O$29,MONTH(C3181)+1))</f>
        <v>0</v>
      </c>
      <c r="L3181" s="462">
        <f>IF(S3181=0,0,VLOOKUP(YEAR(S3181),INPC!$B$4:$O$29,MONTH(S3181)+1))</f>
        <v>0</v>
      </c>
      <c r="M3181" s="463">
        <f t="shared" si="256"/>
        <v>0</v>
      </c>
      <c r="N3181" s="465">
        <f t="shared" si="257"/>
        <v>0</v>
      </c>
      <c r="O3181" s="179"/>
      <c r="P3181" s="180"/>
      <c r="Q3181" s="173"/>
      <c r="R3181" s="173"/>
      <c r="S3181" s="174"/>
      <c r="T3181" s="173"/>
      <c r="U3181" s="182"/>
      <c r="V3181" s="177">
        <f>IF(U3181=0,0,IF(T3181="MXN",1/HLOOKUP(YEAR(S3181)+(MONTH(S3181)/100),TC!$5:$37,DAY(S3181)+2,FALSE),VLOOKUP(T3181,Equivalencia!$1:$23,((MAX(Equivalencia!$3:$3)-YEAR(S3181))*14)+MONTH(S3181)+2,FALSE)))</f>
        <v>0</v>
      </c>
      <c r="W3181" s="178">
        <f t="shared" si="258"/>
        <v>0</v>
      </c>
      <c r="X3181" s="481">
        <f t="shared" si="259"/>
        <v>0</v>
      </c>
      <c r="Y3181" s="179"/>
      <c r="Z3181" s="466">
        <f t="shared" si="260"/>
        <v>0</v>
      </c>
      <c r="AA3181" s="473">
        <f t="shared" si="261"/>
        <v>0</v>
      </c>
      <c r="AB3181" s="339">
        <f t="shared" si="262"/>
        <v>0</v>
      </c>
    </row>
    <row r="3182" spans="2:28" ht="20.100000000000001" customHeight="1">
      <c r="B3182" s="172"/>
      <c r="C3182" s="174"/>
      <c r="D3182" s="181"/>
      <c r="E3182" s="173"/>
      <c r="F3182" s="176"/>
      <c r="G3182" s="175">
        <f t="shared" si="253"/>
        <v>0</v>
      </c>
      <c r="H3182" s="175">
        <f t="shared" si="254"/>
        <v>0</v>
      </c>
      <c r="I3182" s="177">
        <f>IF(G3182=0,0,IF(E3182="MXN",1/HLOOKUP(YEAR(C3182)+(MONTH(C3182)/100),TC!$5:$37,DAY(C3182)+2,FALSE),VLOOKUP(E3182,Equivalencia!$5:$23,((MAX(Equivalencia!$3:$3)-YEAR(C3182))*14)+MONTH(C3182)+2,FALSE)))</f>
        <v>0</v>
      </c>
      <c r="J3182" s="178">
        <f t="shared" si="255"/>
        <v>0</v>
      </c>
      <c r="K3182" s="462">
        <f>IF(C3182=0,0,VLOOKUP(YEAR(C3182),INPC!$B$4:$O$29,MONTH(C3182)+1))</f>
        <v>0</v>
      </c>
      <c r="L3182" s="462">
        <f>IF(S3182=0,0,VLOOKUP(YEAR(S3182),INPC!$B$4:$O$29,MONTH(S3182)+1))</f>
        <v>0</v>
      </c>
      <c r="M3182" s="463">
        <f t="shared" si="256"/>
        <v>0</v>
      </c>
      <c r="N3182" s="465">
        <f t="shared" si="257"/>
        <v>0</v>
      </c>
      <c r="O3182" s="179"/>
      <c r="P3182" s="180"/>
      <c r="Q3182" s="173"/>
      <c r="R3182" s="173"/>
      <c r="S3182" s="174"/>
      <c r="T3182" s="173"/>
      <c r="U3182" s="182"/>
      <c r="V3182" s="177">
        <f>IF(U3182=0,0,IF(T3182="MXN",1/HLOOKUP(YEAR(S3182)+(MONTH(S3182)/100),TC!$5:$37,DAY(S3182)+2,FALSE),VLOOKUP(T3182,Equivalencia!$1:$23,((MAX(Equivalencia!$3:$3)-YEAR(S3182))*14)+MONTH(S3182)+2,FALSE)))</f>
        <v>0</v>
      </c>
      <c r="W3182" s="178">
        <f t="shared" si="258"/>
        <v>0</v>
      </c>
      <c r="X3182" s="481">
        <f t="shared" si="259"/>
        <v>0</v>
      </c>
      <c r="Y3182" s="179"/>
      <c r="Z3182" s="466">
        <f t="shared" si="260"/>
        <v>0</v>
      </c>
      <c r="AA3182" s="473">
        <f t="shared" si="261"/>
        <v>0</v>
      </c>
      <c r="AB3182" s="339">
        <f t="shared" si="262"/>
        <v>0</v>
      </c>
    </row>
    <row r="3183" spans="2:28" ht="20.100000000000001" customHeight="1">
      <c r="B3183" s="172"/>
      <c r="C3183" s="174"/>
      <c r="D3183" s="181"/>
      <c r="E3183" s="173"/>
      <c r="F3183" s="176"/>
      <c r="G3183" s="175">
        <f t="shared" si="253"/>
        <v>0</v>
      </c>
      <c r="H3183" s="175">
        <f t="shared" si="254"/>
        <v>0</v>
      </c>
      <c r="I3183" s="177">
        <f>IF(G3183=0,0,IF(E3183="MXN",1/HLOOKUP(YEAR(C3183)+(MONTH(C3183)/100),TC!$5:$37,DAY(C3183)+2,FALSE),VLOOKUP(E3183,Equivalencia!$5:$23,((MAX(Equivalencia!$3:$3)-YEAR(C3183))*14)+MONTH(C3183)+2,FALSE)))</f>
        <v>0</v>
      </c>
      <c r="J3183" s="178">
        <f t="shared" si="255"/>
        <v>0</v>
      </c>
      <c r="K3183" s="462">
        <f>IF(C3183=0,0,VLOOKUP(YEAR(C3183),INPC!$B$4:$O$29,MONTH(C3183)+1))</f>
        <v>0</v>
      </c>
      <c r="L3183" s="462">
        <f>IF(S3183=0,0,VLOOKUP(YEAR(S3183),INPC!$B$4:$O$29,MONTH(S3183)+1))</f>
        <v>0</v>
      </c>
      <c r="M3183" s="463">
        <f t="shared" si="256"/>
        <v>0</v>
      </c>
      <c r="N3183" s="465">
        <f t="shared" si="257"/>
        <v>0</v>
      </c>
      <c r="O3183" s="179"/>
      <c r="P3183" s="180"/>
      <c r="Q3183" s="173"/>
      <c r="R3183" s="173"/>
      <c r="S3183" s="174"/>
      <c r="T3183" s="173"/>
      <c r="U3183" s="182"/>
      <c r="V3183" s="177">
        <f>IF(U3183=0,0,IF(T3183="MXN",1/HLOOKUP(YEAR(S3183)+(MONTH(S3183)/100),TC!$5:$37,DAY(S3183)+2,FALSE),VLOOKUP(T3183,Equivalencia!$1:$23,((MAX(Equivalencia!$3:$3)-YEAR(S3183))*14)+MONTH(S3183)+2,FALSE)))</f>
        <v>0</v>
      </c>
      <c r="W3183" s="178">
        <f t="shared" si="258"/>
        <v>0</v>
      </c>
      <c r="X3183" s="481">
        <f t="shared" si="259"/>
        <v>0</v>
      </c>
      <c r="Y3183" s="179"/>
      <c r="Z3183" s="466">
        <f t="shared" si="260"/>
        <v>0</v>
      </c>
      <c r="AA3183" s="473">
        <f t="shared" si="261"/>
        <v>0</v>
      </c>
      <c r="AB3183" s="339">
        <f t="shared" si="262"/>
        <v>0</v>
      </c>
    </row>
    <row r="3184" spans="2:28" ht="20.100000000000001" customHeight="1">
      <c r="B3184" s="172"/>
      <c r="C3184" s="174"/>
      <c r="D3184" s="181"/>
      <c r="E3184" s="173"/>
      <c r="F3184" s="176"/>
      <c r="G3184" s="175">
        <f t="shared" si="253"/>
        <v>0</v>
      </c>
      <c r="H3184" s="175">
        <f t="shared" si="254"/>
        <v>0</v>
      </c>
      <c r="I3184" s="177">
        <f>IF(G3184=0,0,IF(E3184="MXN",1/HLOOKUP(YEAR(C3184)+(MONTH(C3184)/100),TC!$5:$37,DAY(C3184)+2,FALSE),VLOOKUP(E3184,Equivalencia!$5:$23,((MAX(Equivalencia!$3:$3)-YEAR(C3184))*14)+MONTH(C3184)+2,FALSE)))</f>
        <v>0</v>
      </c>
      <c r="J3184" s="178">
        <f t="shared" si="255"/>
        <v>0</v>
      </c>
      <c r="K3184" s="462">
        <f>IF(C3184=0,0,VLOOKUP(YEAR(C3184),INPC!$B$4:$O$29,MONTH(C3184)+1))</f>
        <v>0</v>
      </c>
      <c r="L3184" s="462">
        <f>IF(S3184=0,0,VLOOKUP(YEAR(S3184),INPC!$B$4:$O$29,MONTH(S3184)+1))</f>
        <v>0</v>
      </c>
      <c r="M3184" s="463">
        <f t="shared" si="256"/>
        <v>0</v>
      </c>
      <c r="N3184" s="465">
        <f t="shared" si="257"/>
        <v>0</v>
      </c>
      <c r="O3184" s="179"/>
      <c r="P3184" s="180"/>
      <c r="Q3184" s="173"/>
      <c r="R3184" s="173"/>
      <c r="S3184" s="174"/>
      <c r="T3184" s="173"/>
      <c r="U3184" s="182"/>
      <c r="V3184" s="177">
        <f>IF(U3184=0,0,IF(T3184="MXN",1/HLOOKUP(YEAR(S3184)+(MONTH(S3184)/100),TC!$5:$37,DAY(S3184)+2,FALSE),VLOOKUP(T3184,Equivalencia!$1:$23,((MAX(Equivalencia!$3:$3)-YEAR(S3184))*14)+MONTH(S3184)+2,FALSE)))</f>
        <v>0</v>
      </c>
      <c r="W3184" s="178">
        <f t="shared" si="258"/>
        <v>0</v>
      </c>
      <c r="X3184" s="481">
        <f t="shared" si="259"/>
        <v>0</v>
      </c>
      <c r="Y3184" s="179"/>
      <c r="Z3184" s="466">
        <f t="shared" si="260"/>
        <v>0</v>
      </c>
      <c r="AA3184" s="473">
        <f t="shared" si="261"/>
        <v>0</v>
      </c>
      <c r="AB3184" s="339">
        <f t="shared" si="262"/>
        <v>0</v>
      </c>
    </row>
    <row r="3185" spans="2:28" ht="20.100000000000001" customHeight="1">
      <c r="B3185" s="172"/>
      <c r="C3185" s="174"/>
      <c r="D3185" s="181"/>
      <c r="E3185" s="173"/>
      <c r="F3185" s="176"/>
      <c r="G3185" s="175">
        <f t="shared" si="253"/>
        <v>0</v>
      </c>
      <c r="H3185" s="175">
        <f t="shared" si="254"/>
        <v>0</v>
      </c>
      <c r="I3185" s="177">
        <f>IF(G3185=0,0,IF(E3185="MXN",1/HLOOKUP(YEAR(C3185)+(MONTH(C3185)/100),TC!$5:$37,DAY(C3185)+2,FALSE),VLOOKUP(E3185,Equivalencia!$5:$23,((MAX(Equivalencia!$3:$3)-YEAR(C3185))*14)+MONTH(C3185)+2,FALSE)))</f>
        <v>0</v>
      </c>
      <c r="J3185" s="178">
        <f t="shared" si="255"/>
        <v>0</v>
      </c>
      <c r="K3185" s="462">
        <f>IF(C3185=0,0,VLOOKUP(YEAR(C3185),INPC!$B$4:$O$29,MONTH(C3185)+1))</f>
        <v>0</v>
      </c>
      <c r="L3185" s="462">
        <f>IF(S3185=0,0,VLOOKUP(YEAR(S3185),INPC!$B$4:$O$29,MONTH(S3185)+1))</f>
        <v>0</v>
      </c>
      <c r="M3185" s="463">
        <f t="shared" si="256"/>
        <v>0</v>
      </c>
      <c r="N3185" s="465">
        <f t="shared" si="257"/>
        <v>0</v>
      </c>
      <c r="O3185" s="179"/>
      <c r="P3185" s="180"/>
      <c r="Q3185" s="173"/>
      <c r="R3185" s="173"/>
      <c r="S3185" s="174"/>
      <c r="T3185" s="173"/>
      <c r="U3185" s="182"/>
      <c r="V3185" s="177">
        <f>IF(U3185=0,0,IF(T3185="MXN",1/HLOOKUP(YEAR(S3185)+(MONTH(S3185)/100),TC!$5:$37,DAY(S3185)+2,FALSE),VLOOKUP(T3185,Equivalencia!$1:$23,((MAX(Equivalencia!$3:$3)-YEAR(S3185))*14)+MONTH(S3185)+2,FALSE)))</f>
        <v>0</v>
      </c>
      <c r="W3185" s="178">
        <f t="shared" si="258"/>
        <v>0</v>
      </c>
      <c r="X3185" s="481">
        <f t="shared" si="259"/>
        <v>0</v>
      </c>
      <c r="Y3185" s="179"/>
      <c r="Z3185" s="466">
        <f t="shared" si="260"/>
        <v>0</v>
      </c>
      <c r="AA3185" s="473">
        <f t="shared" si="261"/>
        <v>0</v>
      </c>
      <c r="AB3185" s="339">
        <f t="shared" si="262"/>
        <v>0</v>
      </c>
    </row>
    <row r="3186" spans="2:28" ht="20.100000000000001" customHeight="1">
      <c r="B3186" s="172"/>
      <c r="C3186" s="174"/>
      <c r="D3186" s="181"/>
      <c r="E3186" s="173"/>
      <c r="F3186" s="176"/>
      <c r="G3186" s="175">
        <f t="shared" si="253"/>
        <v>0</v>
      </c>
      <c r="H3186" s="175">
        <f t="shared" si="254"/>
        <v>0</v>
      </c>
      <c r="I3186" s="177">
        <f>IF(G3186=0,0,IF(E3186="MXN",1/HLOOKUP(YEAR(C3186)+(MONTH(C3186)/100),TC!$5:$37,DAY(C3186)+2,FALSE),VLOOKUP(E3186,Equivalencia!$5:$23,((MAX(Equivalencia!$3:$3)-YEAR(C3186))*14)+MONTH(C3186)+2,FALSE)))</f>
        <v>0</v>
      </c>
      <c r="J3186" s="178">
        <f t="shared" si="255"/>
        <v>0</v>
      </c>
      <c r="K3186" s="462">
        <f>IF(C3186=0,0,VLOOKUP(YEAR(C3186),INPC!$B$4:$O$29,MONTH(C3186)+1))</f>
        <v>0</v>
      </c>
      <c r="L3186" s="462">
        <f>IF(S3186=0,0,VLOOKUP(YEAR(S3186),INPC!$B$4:$O$29,MONTH(S3186)+1))</f>
        <v>0</v>
      </c>
      <c r="M3186" s="463">
        <f t="shared" si="256"/>
        <v>0</v>
      </c>
      <c r="N3186" s="465">
        <f t="shared" si="257"/>
        <v>0</v>
      </c>
      <c r="O3186" s="179"/>
      <c r="P3186" s="180"/>
      <c r="Q3186" s="173"/>
      <c r="R3186" s="173"/>
      <c r="S3186" s="174"/>
      <c r="T3186" s="173"/>
      <c r="U3186" s="182"/>
      <c r="V3186" s="177">
        <f>IF(U3186=0,0,IF(T3186="MXN",1/HLOOKUP(YEAR(S3186)+(MONTH(S3186)/100),TC!$5:$37,DAY(S3186)+2,FALSE),VLOOKUP(T3186,Equivalencia!$1:$23,((MAX(Equivalencia!$3:$3)-YEAR(S3186))*14)+MONTH(S3186)+2,FALSE)))</f>
        <v>0</v>
      </c>
      <c r="W3186" s="178">
        <f t="shared" si="258"/>
        <v>0</v>
      </c>
      <c r="X3186" s="481">
        <f t="shared" si="259"/>
        <v>0</v>
      </c>
      <c r="Y3186" s="179"/>
      <c r="Z3186" s="466">
        <f t="shared" si="260"/>
        <v>0</v>
      </c>
      <c r="AA3186" s="473">
        <f t="shared" si="261"/>
        <v>0</v>
      </c>
      <c r="AB3186" s="339">
        <f t="shared" si="262"/>
        <v>0</v>
      </c>
    </row>
    <row r="3187" spans="2:28" ht="20.100000000000001" customHeight="1">
      <c r="B3187" s="172"/>
      <c r="C3187" s="174"/>
      <c r="D3187" s="181"/>
      <c r="E3187" s="173"/>
      <c r="F3187" s="176"/>
      <c r="G3187" s="175">
        <f t="shared" ref="G3187:G3351" si="263">+P3187</f>
        <v>0</v>
      </c>
      <c r="H3187" s="175">
        <f t="shared" ref="H3187:H3351" si="264">IF(F3187=0,0,(F3187/G3187)*P3187)</f>
        <v>0</v>
      </c>
      <c r="I3187" s="177">
        <f>IF(G3187=0,0,IF(E3187="MXN",1/HLOOKUP(YEAR(C3187)+(MONTH(C3187)/100),TC!$5:$37,DAY(C3187)+2,FALSE),VLOOKUP(E3187,Equivalencia!$5:$23,((MAX(Equivalencia!$3:$3)-YEAR(C3187))*14)+MONTH(C3187)+2,FALSE)))</f>
        <v>0</v>
      </c>
      <c r="J3187" s="178">
        <f t="shared" ref="J3187:J3351" si="265">+H3187*I3187</f>
        <v>0</v>
      </c>
      <c r="K3187" s="462">
        <f>IF(C3187=0,0,VLOOKUP(YEAR(C3187),INPC!$B$4:$O$29,MONTH(C3187)+1))</f>
        <v>0</v>
      </c>
      <c r="L3187" s="462">
        <f>IF(S3187=0,0,VLOOKUP(YEAR(S3187),INPC!$B$4:$O$29,MONTH(S3187)+1))</f>
        <v>0</v>
      </c>
      <c r="M3187" s="463">
        <f t="shared" ref="M3187:M3351" si="266">IF(H3187=0,0,IF(R3187=$AF$4,1,IF(TRUNC(L3187/K3187,4)&gt;=1,TRUNC(L3187/K3187,4),1)))</f>
        <v>0</v>
      </c>
      <c r="N3187" s="465">
        <f t="shared" ref="N3187:N3351" si="267">+M3187*J3187</f>
        <v>0</v>
      </c>
      <c r="O3187" s="179"/>
      <c r="P3187" s="180"/>
      <c r="Q3187" s="173"/>
      <c r="R3187" s="173"/>
      <c r="S3187" s="174"/>
      <c r="T3187" s="173"/>
      <c r="U3187" s="182"/>
      <c r="V3187" s="177">
        <f>IF(U3187=0,0,IF(T3187="MXN",1/HLOOKUP(YEAR(S3187)+(MONTH(S3187)/100),TC!$5:$37,DAY(S3187)+2,FALSE),VLOOKUP(T3187,Equivalencia!$1:$23,((MAX(Equivalencia!$3:$3)-YEAR(S3187))*14)+MONTH(S3187)+2,FALSE)))</f>
        <v>0</v>
      </c>
      <c r="W3187" s="178">
        <f t="shared" ref="W3187:W3351" si="268">+V3187*U3187</f>
        <v>0</v>
      </c>
      <c r="X3187" s="481">
        <f t="shared" ref="X3187:X3351" si="269">+W3187-J3187</f>
        <v>0</v>
      </c>
      <c r="Y3187" s="179"/>
      <c r="Z3187" s="466">
        <f t="shared" ref="Z3187:Z3351" si="270">N3187</f>
        <v>0</v>
      </c>
      <c r="AA3187" s="473">
        <f t="shared" ref="AA3187:AA3351" si="271">+W3187-Z3187</f>
        <v>0</v>
      </c>
      <c r="AB3187" s="339">
        <f t="shared" ref="AB3187:AB3351" si="272">+IF(P3187=0,0,(U3187/F3187)-1)</f>
        <v>0</v>
      </c>
    </row>
    <row r="3188" spans="2:28" ht="20.100000000000001" customHeight="1">
      <c r="B3188" s="172"/>
      <c r="C3188" s="174"/>
      <c r="D3188" s="181"/>
      <c r="E3188" s="173"/>
      <c r="F3188" s="176"/>
      <c r="G3188" s="175">
        <f t="shared" si="263"/>
        <v>0</v>
      </c>
      <c r="H3188" s="175">
        <f t="shared" si="264"/>
        <v>0</v>
      </c>
      <c r="I3188" s="177">
        <f>IF(G3188=0,0,IF(E3188="MXN",1/HLOOKUP(YEAR(C3188)+(MONTH(C3188)/100),TC!$5:$37,DAY(C3188)+2,FALSE),VLOOKUP(E3188,Equivalencia!$5:$23,((MAX(Equivalencia!$3:$3)-YEAR(C3188))*14)+MONTH(C3188)+2,FALSE)))</f>
        <v>0</v>
      </c>
      <c r="J3188" s="178">
        <f t="shared" si="265"/>
        <v>0</v>
      </c>
      <c r="K3188" s="462">
        <f>IF(C3188=0,0,VLOOKUP(YEAR(C3188),INPC!$B$4:$O$29,MONTH(C3188)+1))</f>
        <v>0</v>
      </c>
      <c r="L3188" s="462">
        <f>IF(S3188=0,0,VLOOKUP(YEAR(S3188),INPC!$B$4:$O$29,MONTH(S3188)+1))</f>
        <v>0</v>
      </c>
      <c r="M3188" s="463">
        <f t="shared" si="266"/>
        <v>0</v>
      </c>
      <c r="N3188" s="465">
        <f t="shared" si="267"/>
        <v>0</v>
      </c>
      <c r="O3188" s="179"/>
      <c r="P3188" s="180"/>
      <c r="Q3188" s="173"/>
      <c r="R3188" s="173"/>
      <c r="S3188" s="174"/>
      <c r="T3188" s="173"/>
      <c r="U3188" s="182"/>
      <c r="V3188" s="177">
        <f>IF(U3188=0,0,IF(T3188="MXN",1/HLOOKUP(YEAR(S3188)+(MONTH(S3188)/100),TC!$5:$37,DAY(S3188)+2,FALSE),VLOOKUP(T3188,Equivalencia!$1:$23,((MAX(Equivalencia!$3:$3)-YEAR(S3188))*14)+MONTH(S3188)+2,FALSE)))</f>
        <v>0</v>
      </c>
      <c r="W3188" s="178">
        <f t="shared" si="268"/>
        <v>0</v>
      </c>
      <c r="X3188" s="481">
        <f t="shared" si="269"/>
        <v>0</v>
      </c>
      <c r="Y3188" s="179"/>
      <c r="Z3188" s="466">
        <f t="shared" si="270"/>
        <v>0</v>
      </c>
      <c r="AA3188" s="473">
        <f t="shared" si="271"/>
        <v>0</v>
      </c>
      <c r="AB3188" s="339">
        <f t="shared" si="272"/>
        <v>0</v>
      </c>
    </row>
    <row r="3189" spans="2:28" ht="20.100000000000001" customHeight="1">
      <c r="B3189" s="172"/>
      <c r="C3189" s="174"/>
      <c r="D3189" s="181"/>
      <c r="E3189" s="173"/>
      <c r="F3189" s="176"/>
      <c r="G3189" s="175">
        <f t="shared" si="263"/>
        <v>0</v>
      </c>
      <c r="H3189" s="175">
        <f t="shared" si="264"/>
        <v>0</v>
      </c>
      <c r="I3189" s="177">
        <f>IF(G3189=0,0,IF(E3189="MXN",1/HLOOKUP(YEAR(C3189)+(MONTH(C3189)/100),TC!$5:$37,DAY(C3189)+2,FALSE),VLOOKUP(E3189,Equivalencia!$5:$23,((MAX(Equivalencia!$3:$3)-YEAR(C3189))*14)+MONTH(C3189)+2,FALSE)))</f>
        <v>0</v>
      </c>
      <c r="J3189" s="178">
        <f t="shared" si="265"/>
        <v>0</v>
      </c>
      <c r="K3189" s="462">
        <f>IF(C3189=0,0,VLOOKUP(YEAR(C3189),INPC!$B$4:$O$29,MONTH(C3189)+1))</f>
        <v>0</v>
      </c>
      <c r="L3189" s="462">
        <f>IF(S3189=0,0,VLOOKUP(YEAR(S3189),INPC!$B$4:$O$29,MONTH(S3189)+1))</f>
        <v>0</v>
      </c>
      <c r="M3189" s="463">
        <f t="shared" si="266"/>
        <v>0</v>
      </c>
      <c r="N3189" s="465">
        <f t="shared" si="267"/>
        <v>0</v>
      </c>
      <c r="O3189" s="179"/>
      <c r="P3189" s="180"/>
      <c r="Q3189" s="173"/>
      <c r="R3189" s="173"/>
      <c r="S3189" s="174"/>
      <c r="T3189" s="173"/>
      <c r="U3189" s="182"/>
      <c r="V3189" s="177">
        <f>IF(U3189=0,0,IF(T3189="MXN",1/HLOOKUP(YEAR(S3189)+(MONTH(S3189)/100),TC!$5:$37,DAY(S3189)+2,FALSE),VLOOKUP(T3189,Equivalencia!$1:$23,((MAX(Equivalencia!$3:$3)-YEAR(S3189))*14)+MONTH(S3189)+2,FALSE)))</f>
        <v>0</v>
      </c>
      <c r="W3189" s="178">
        <f t="shared" si="268"/>
        <v>0</v>
      </c>
      <c r="X3189" s="481">
        <f t="shared" si="269"/>
        <v>0</v>
      </c>
      <c r="Y3189" s="179"/>
      <c r="Z3189" s="466">
        <f t="shared" si="270"/>
        <v>0</v>
      </c>
      <c r="AA3189" s="473">
        <f t="shared" si="271"/>
        <v>0</v>
      </c>
      <c r="AB3189" s="339">
        <f t="shared" si="272"/>
        <v>0</v>
      </c>
    </row>
    <row r="3190" spans="2:28" ht="20.100000000000001" customHeight="1">
      <c r="B3190" s="172"/>
      <c r="C3190" s="174"/>
      <c r="D3190" s="181"/>
      <c r="E3190" s="173"/>
      <c r="F3190" s="176"/>
      <c r="G3190" s="175">
        <f t="shared" si="263"/>
        <v>0</v>
      </c>
      <c r="H3190" s="175">
        <f t="shared" si="264"/>
        <v>0</v>
      </c>
      <c r="I3190" s="177">
        <f>IF(G3190=0,0,IF(E3190="MXN",1/HLOOKUP(YEAR(C3190)+(MONTH(C3190)/100),TC!$5:$37,DAY(C3190)+2,FALSE),VLOOKUP(E3190,Equivalencia!$5:$23,((MAX(Equivalencia!$3:$3)-YEAR(C3190))*14)+MONTH(C3190)+2,FALSE)))</f>
        <v>0</v>
      </c>
      <c r="J3190" s="178">
        <f t="shared" si="265"/>
        <v>0</v>
      </c>
      <c r="K3190" s="462">
        <f>IF(C3190=0,0,VLOOKUP(YEAR(C3190),INPC!$B$4:$O$29,MONTH(C3190)+1))</f>
        <v>0</v>
      </c>
      <c r="L3190" s="462">
        <f>IF(S3190=0,0,VLOOKUP(YEAR(S3190),INPC!$B$4:$O$29,MONTH(S3190)+1))</f>
        <v>0</v>
      </c>
      <c r="M3190" s="463">
        <f t="shared" si="266"/>
        <v>0</v>
      </c>
      <c r="N3190" s="465">
        <f t="shared" si="267"/>
        <v>0</v>
      </c>
      <c r="O3190" s="179"/>
      <c r="P3190" s="180"/>
      <c r="Q3190" s="173"/>
      <c r="R3190" s="173"/>
      <c r="S3190" s="174"/>
      <c r="T3190" s="173"/>
      <c r="U3190" s="182"/>
      <c r="V3190" s="177">
        <f>IF(U3190=0,0,IF(T3190="MXN",1/HLOOKUP(YEAR(S3190)+(MONTH(S3190)/100),TC!$5:$37,DAY(S3190)+2,FALSE),VLOOKUP(T3190,Equivalencia!$1:$23,((MAX(Equivalencia!$3:$3)-YEAR(S3190))*14)+MONTH(S3190)+2,FALSE)))</f>
        <v>0</v>
      </c>
      <c r="W3190" s="178">
        <f t="shared" si="268"/>
        <v>0</v>
      </c>
      <c r="X3190" s="481">
        <f t="shared" si="269"/>
        <v>0</v>
      </c>
      <c r="Y3190" s="179"/>
      <c r="Z3190" s="466">
        <f t="shared" si="270"/>
        <v>0</v>
      </c>
      <c r="AA3190" s="473">
        <f t="shared" si="271"/>
        <v>0</v>
      </c>
      <c r="AB3190" s="339">
        <f t="shared" si="272"/>
        <v>0</v>
      </c>
    </row>
    <row r="3191" spans="2:28" ht="20.100000000000001" customHeight="1">
      <c r="B3191" s="172"/>
      <c r="C3191" s="174"/>
      <c r="D3191" s="181"/>
      <c r="E3191" s="173"/>
      <c r="F3191" s="176"/>
      <c r="G3191" s="175">
        <f t="shared" si="263"/>
        <v>0</v>
      </c>
      <c r="H3191" s="175">
        <f t="shared" si="264"/>
        <v>0</v>
      </c>
      <c r="I3191" s="177">
        <f>IF(G3191=0,0,IF(E3191="MXN",1/HLOOKUP(YEAR(C3191)+(MONTH(C3191)/100),TC!$5:$37,DAY(C3191)+2,FALSE),VLOOKUP(E3191,Equivalencia!$5:$23,((MAX(Equivalencia!$3:$3)-YEAR(C3191))*14)+MONTH(C3191)+2,FALSE)))</f>
        <v>0</v>
      </c>
      <c r="J3191" s="178">
        <f t="shared" si="265"/>
        <v>0</v>
      </c>
      <c r="K3191" s="462">
        <f>IF(C3191=0,0,VLOOKUP(YEAR(C3191),INPC!$B$4:$O$29,MONTH(C3191)+1))</f>
        <v>0</v>
      </c>
      <c r="L3191" s="462">
        <f>IF(S3191=0,0,VLOOKUP(YEAR(S3191),INPC!$B$4:$O$29,MONTH(S3191)+1))</f>
        <v>0</v>
      </c>
      <c r="M3191" s="463">
        <f t="shared" si="266"/>
        <v>0</v>
      </c>
      <c r="N3191" s="465">
        <f t="shared" si="267"/>
        <v>0</v>
      </c>
      <c r="O3191" s="179"/>
      <c r="P3191" s="180"/>
      <c r="Q3191" s="173"/>
      <c r="R3191" s="173"/>
      <c r="S3191" s="174"/>
      <c r="T3191" s="173"/>
      <c r="U3191" s="182"/>
      <c r="V3191" s="177">
        <f>IF(U3191=0,0,IF(T3191="MXN",1/HLOOKUP(YEAR(S3191)+(MONTH(S3191)/100),TC!$5:$37,DAY(S3191)+2,FALSE),VLOOKUP(T3191,Equivalencia!$1:$23,((MAX(Equivalencia!$3:$3)-YEAR(S3191))*14)+MONTH(S3191)+2,FALSE)))</f>
        <v>0</v>
      </c>
      <c r="W3191" s="178">
        <f t="shared" si="268"/>
        <v>0</v>
      </c>
      <c r="X3191" s="481">
        <f t="shared" si="269"/>
        <v>0</v>
      </c>
      <c r="Y3191" s="179"/>
      <c r="Z3191" s="466">
        <f t="shared" si="270"/>
        <v>0</v>
      </c>
      <c r="AA3191" s="473">
        <f t="shared" si="271"/>
        <v>0</v>
      </c>
      <c r="AB3191" s="339">
        <f t="shared" si="272"/>
        <v>0</v>
      </c>
    </row>
    <row r="3192" spans="2:28" ht="20.100000000000001" customHeight="1">
      <c r="B3192" s="172"/>
      <c r="C3192" s="174"/>
      <c r="D3192" s="181"/>
      <c r="E3192" s="173"/>
      <c r="F3192" s="176"/>
      <c r="G3192" s="175">
        <f t="shared" si="263"/>
        <v>0</v>
      </c>
      <c r="H3192" s="175">
        <f t="shared" si="264"/>
        <v>0</v>
      </c>
      <c r="I3192" s="177">
        <f>IF(G3192=0,0,IF(E3192="MXN",1/HLOOKUP(YEAR(C3192)+(MONTH(C3192)/100),TC!$5:$37,DAY(C3192)+2,FALSE),VLOOKUP(E3192,Equivalencia!$5:$23,((MAX(Equivalencia!$3:$3)-YEAR(C3192))*14)+MONTH(C3192)+2,FALSE)))</f>
        <v>0</v>
      </c>
      <c r="J3192" s="178">
        <f t="shared" si="265"/>
        <v>0</v>
      </c>
      <c r="K3192" s="462">
        <f>IF(C3192=0,0,VLOOKUP(YEAR(C3192),INPC!$B$4:$O$29,MONTH(C3192)+1))</f>
        <v>0</v>
      </c>
      <c r="L3192" s="462">
        <f>IF(S3192=0,0,VLOOKUP(YEAR(S3192),INPC!$B$4:$O$29,MONTH(S3192)+1))</f>
        <v>0</v>
      </c>
      <c r="M3192" s="463">
        <f t="shared" si="266"/>
        <v>0</v>
      </c>
      <c r="N3192" s="465">
        <f t="shared" si="267"/>
        <v>0</v>
      </c>
      <c r="O3192" s="179"/>
      <c r="P3192" s="180"/>
      <c r="Q3192" s="173"/>
      <c r="R3192" s="173"/>
      <c r="S3192" s="174"/>
      <c r="T3192" s="173"/>
      <c r="U3192" s="182"/>
      <c r="V3192" s="177">
        <f>IF(U3192=0,0,IF(T3192="MXN",1/HLOOKUP(YEAR(S3192)+(MONTH(S3192)/100),TC!$5:$37,DAY(S3192)+2,FALSE),VLOOKUP(T3192,Equivalencia!$1:$23,((MAX(Equivalencia!$3:$3)-YEAR(S3192))*14)+MONTH(S3192)+2,FALSE)))</f>
        <v>0</v>
      </c>
      <c r="W3192" s="178">
        <f t="shared" si="268"/>
        <v>0</v>
      </c>
      <c r="X3192" s="481">
        <f t="shared" si="269"/>
        <v>0</v>
      </c>
      <c r="Y3192" s="179"/>
      <c r="Z3192" s="466">
        <f t="shared" si="270"/>
        <v>0</v>
      </c>
      <c r="AA3192" s="473">
        <f t="shared" si="271"/>
        <v>0</v>
      </c>
      <c r="AB3192" s="339">
        <f t="shared" si="272"/>
        <v>0</v>
      </c>
    </row>
    <row r="3193" spans="2:28" ht="20.100000000000001" customHeight="1">
      <c r="B3193" s="172"/>
      <c r="C3193" s="174"/>
      <c r="D3193" s="181"/>
      <c r="E3193" s="173"/>
      <c r="F3193" s="176"/>
      <c r="G3193" s="175">
        <f t="shared" si="263"/>
        <v>0</v>
      </c>
      <c r="H3193" s="175">
        <f t="shared" si="264"/>
        <v>0</v>
      </c>
      <c r="I3193" s="177">
        <f>IF(G3193=0,0,IF(E3193="MXN",1/HLOOKUP(YEAR(C3193)+(MONTH(C3193)/100),TC!$5:$37,DAY(C3193)+2,FALSE),VLOOKUP(E3193,Equivalencia!$5:$23,((MAX(Equivalencia!$3:$3)-YEAR(C3193))*14)+MONTH(C3193)+2,FALSE)))</f>
        <v>0</v>
      </c>
      <c r="J3193" s="178">
        <f t="shared" si="265"/>
        <v>0</v>
      </c>
      <c r="K3193" s="462">
        <f>IF(C3193=0,0,VLOOKUP(YEAR(C3193),INPC!$B$4:$O$29,MONTH(C3193)+1))</f>
        <v>0</v>
      </c>
      <c r="L3193" s="462">
        <f>IF(S3193=0,0,VLOOKUP(YEAR(S3193),INPC!$B$4:$O$29,MONTH(S3193)+1))</f>
        <v>0</v>
      </c>
      <c r="M3193" s="463">
        <f t="shared" si="266"/>
        <v>0</v>
      </c>
      <c r="N3193" s="465">
        <f t="shared" si="267"/>
        <v>0</v>
      </c>
      <c r="O3193" s="179"/>
      <c r="P3193" s="180"/>
      <c r="Q3193" s="173"/>
      <c r="R3193" s="173"/>
      <c r="S3193" s="174"/>
      <c r="T3193" s="173"/>
      <c r="U3193" s="182"/>
      <c r="V3193" s="177">
        <f>IF(U3193=0,0,IF(T3193="MXN",1/HLOOKUP(YEAR(S3193)+(MONTH(S3193)/100),TC!$5:$37,DAY(S3193)+2,FALSE),VLOOKUP(T3193,Equivalencia!$1:$23,((MAX(Equivalencia!$3:$3)-YEAR(S3193))*14)+MONTH(S3193)+2,FALSE)))</f>
        <v>0</v>
      </c>
      <c r="W3193" s="178">
        <f t="shared" si="268"/>
        <v>0</v>
      </c>
      <c r="X3193" s="481">
        <f t="shared" si="269"/>
        <v>0</v>
      </c>
      <c r="Y3193" s="179"/>
      <c r="Z3193" s="466">
        <f t="shared" si="270"/>
        <v>0</v>
      </c>
      <c r="AA3193" s="473">
        <f t="shared" si="271"/>
        <v>0</v>
      </c>
      <c r="AB3193" s="339">
        <f t="shared" si="272"/>
        <v>0</v>
      </c>
    </row>
    <row r="3194" spans="2:28" ht="20.100000000000001" customHeight="1">
      <c r="B3194" s="172"/>
      <c r="C3194" s="174"/>
      <c r="D3194" s="181"/>
      <c r="E3194" s="173"/>
      <c r="F3194" s="176"/>
      <c r="G3194" s="175">
        <f t="shared" si="263"/>
        <v>0</v>
      </c>
      <c r="H3194" s="175">
        <f t="shared" si="264"/>
        <v>0</v>
      </c>
      <c r="I3194" s="177">
        <f>IF(G3194=0,0,IF(E3194="MXN",1/HLOOKUP(YEAR(C3194)+(MONTH(C3194)/100),TC!$5:$37,DAY(C3194)+2,FALSE),VLOOKUP(E3194,Equivalencia!$5:$23,((MAX(Equivalencia!$3:$3)-YEAR(C3194))*14)+MONTH(C3194)+2,FALSE)))</f>
        <v>0</v>
      </c>
      <c r="J3194" s="178">
        <f t="shared" si="265"/>
        <v>0</v>
      </c>
      <c r="K3194" s="462">
        <f>IF(C3194=0,0,VLOOKUP(YEAR(C3194),INPC!$B$4:$O$29,MONTH(C3194)+1))</f>
        <v>0</v>
      </c>
      <c r="L3194" s="462">
        <f>IF(S3194=0,0,VLOOKUP(YEAR(S3194),INPC!$B$4:$O$29,MONTH(S3194)+1))</f>
        <v>0</v>
      </c>
      <c r="M3194" s="463">
        <f t="shared" si="266"/>
        <v>0</v>
      </c>
      <c r="N3194" s="465">
        <f t="shared" si="267"/>
        <v>0</v>
      </c>
      <c r="O3194" s="179"/>
      <c r="P3194" s="180"/>
      <c r="Q3194" s="173"/>
      <c r="R3194" s="173"/>
      <c r="S3194" s="174"/>
      <c r="T3194" s="173"/>
      <c r="U3194" s="182"/>
      <c r="V3194" s="177">
        <f>IF(U3194=0,0,IF(T3194="MXN",1/HLOOKUP(YEAR(S3194)+(MONTH(S3194)/100),TC!$5:$37,DAY(S3194)+2,FALSE),VLOOKUP(T3194,Equivalencia!$1:$23,((MAX(Equivalencia!$3:$3)-YEAR(S3194))*14)+MONTH(S3194)+2,FALSE)))</f>
        <v>0</v>
      </c>
      <c r="W3194" s="178">
        <f t="shared" si="268"/>
        <v>0</v>
      </c>
      <c r="X3194" s="481">
        <f t="shared" si="269"/>
        <v>0</v>
      </c>
      <c r="Y3194" s="179"/>
      <c r="Z3194" s="466">
        <f t="shared" si="270"/>
        <v>0</v>
      </c>
      <c r="AA3194" s="473">
        <f t="shared" si="271"/>
        <v>0</v>
      </c>
      <c r="AB3194" s="339">
        <f t="shared" si="272"/>
        <v>0</v>
      </c>
    </row>
    <row r="3195" spans="2:28" ht="20.100000000000001" customHeight="1">
      <c r="B3195" s="172"/>
      <c r="C3195" s="174"/>
      <c r="D3195" s="181"/>
      <c r="E3195" s="173"/>
      <c r="F3195" s="176"/>
      <c r="G3195" s="175">
        <f t="shared" si="263"/>
        <v>0</v>
      </c>
      <c r="H3195" s="175">
        <f t="shared" si="264"/>
        <v>0</v>
      </c>
      <c r="I3195" s="177">
        <f>IF(G3195=0,0,IF(E3195="MXN",1/HLOOKUP(YEAR(C3195)+(MONTH(C3195)/100),TC!$5:$37,DAY(C3195)+2,FALSE),VLOOKUP(E3195,Equivalencia!$5:$23,((MAX(Equivalencia!$3:$3)-YEAR(C3195))*14)+MONTH(C3195)+2,FALSE)))</f>
        <v>0</v>
      </c>
      <c r="J3195" s="178">
        <f t="shared" si="265"/>
        <v>0</v>
      </c>
      <c r="K3195" s="462">
        <f>IF(C3195=0,0,VLOOKUP(YEAR(C3195),INPC!$B$4:$O$29,MONTH(C3195)+1))</f>
        <v>0</v>
      </c>
      <c r="L3195" s="462">
        <f>IF(S3195=0,0,VLOOKUP(YEAR(S3195),INPC!$B$4:$O$29,MONTH(S3195)+1))</f>
        <v>0</v>
      </c>
      <c r="M3195" s="463">
        <f t="shared" si="266"/>
        <v>0</v>
      </c>
      <c r="N3195" s="465">
        <f t="shared" si="267"/>
        <v>0</v>
      </c>
      <c r="O3195" s="179"/>
      <c r="P3195" s="180"/>
      <c r="Q3195" s="173"/>
      <c r="R3195" s="173"/>
      <c r="S3195" s="174"/>
      <c r="T3195" s="173"/>
      <c r="U3195" s="182"/>
      <c r="V3195" s="177">
        <f>IF(U3195=0,0,IF(T3195="MXN",1/HLOOKUP(YEAR(S3195)+(MONTH(S3195)/100),TC!$5:$37,DAY(S3195)+2,FALSE),VLOOKUP(T3195,Equivalencia!$1:$23,((MAX(Equivalencia!$3:$3)-YEAR(S3195))*14)+MONTH(S3195)+2,FALSE)))</f>
        <v>0</v>
      </c>
      <c r="W3195" s="178">
        <f t="shared" si="268"/>
        <v>0</v>
      </c>
      <c r="X3195" s="481">
        <f t="shared" si="269"/>
        <v>0</v>
      </c>
      <c r="Y3195" s="179"/>
      <c r="Z3195" s="466">
        <f t="shared" si="270"/>
        <v>0</v>
      </c>
      <c r="AA3195" s="473">
        <f t="shared" si="271"/>
        <v>0</v>
      </c>
      <c r="AB3195" s="339">
        <f t="shared" si="272"/>
        <v>0</v>
      </c>
    </row>
    <row r="3196" spans="2:28" ht="20.100000000000001" customHeight="1">
      <c r="B3196" s="172"/>
      <c r="C3196" s="174"/>
      <c r="D3196" s="181"/>
      <c r="E3196" s="173"/>
      <c r="F3196" s="176"/>
      <c r="G3196" s="175">
        <f t="shared" si="263"/>
        <v>0</v>
      </c>
      <c r="H3196" s="175">
        <f t="shared" si="264"/>
        <v>0</v>
      </c>
      <c r="I3196" s="177">
        <f>IF(G3196=0,0,IF(E3196="MXN",1/HLOOKUP(YEAR(C3196)+(MONTH(C3196)/100),TC!$5:$37,DAY(C3196)+2,FALSE),VLOOKUP(E3196,Equivalencia!$5:$23,((MAX(Equivalencia!$3:$3)-YEAR(C3196))*14)+MONTH(C3196)+2,FALSE)))</f>
        <v>0</v>
      </c>
      <c r="J3196" s="178">
        <f t="shared" si="265"/>
        <v>0</v>
      </c>
      <c r="K3196" s="462">
        <f>IF(C3196=0,0,VLOOKUP(YEAR(C3196),INPC!$B$4:$O$29,MONTH(C3196)+1))</f>
        <v>0</v>
      </c>
      <c r="L3196" s="462">
        <f>IF(S3196=0,0,VLOOKUP(YEAR(S3196),INPC!$B$4:$O$29,MONTH(S3196)+1))</f>
        <v>0</v>
      </c>
      <c r="M3196" s="463">
        <f t="shared" si="266"/>
        <v>0</v>
      </c>
      <c r="N3196" s="465">
        <f t="shared" si="267"/>
        <v>0</v>
      </c>
      <c r="O3196" s="179"/>
      <c r="P3196" s="180"/>
      <c r="Q3196" s="173"/>
      <c r="R3196" s="173"/>
      <c r="S3196" s="174"/>
      <c r="T3196" s="173"/>
      <c r="U3196" s="182"/>
      <c r="V3196" s="177">
        <f>IF(U3196=0,0,IF(T3196="MXN",1/HLOOKUP(YEAR(S3196)+(MONTH(S3196)/100),TC!$5:$37,DAY(S3196)+2,FALSE),VLOOKUP(T3196,Equivalencia!$1:$23,((MAX(Equivalencia!$3:$3)-YEAR(S3196))*14)+MONTH(S3196)+2,FALSE)))</f>
        <v>0</v>
      </c>
      <c r="W3196" s="178">
        <f t="shared" si="268"/>
        <v>0</v>
      </c>
      <c r="X3196" s="481">
        <f t="shared" si="269"/>
        <v>0</v>
      </c>
      <c r="Y3196" s="179"/>
      <c r="Z3196" s="466">
        <f t="shared" si="270"/>
        <v>0</v>
      </c>
      <c r="AA3196" s="473">
        <f t="shared" si="271"/>
        <v>0</v>
      </c>
      <c r="AB3196" s="339">
        <f t="shared" si="272"/>
        <v>0</v>
      </c>
    </row>
    <row r="3197" spans="2:28" ht="20.100000000000001" customHeight="1">
      <c r="B3197" s="172"/>
      <c r="C3197" s="174"/>
      <c r="D3197" s="181"/>
      <c r="E3197" s="173"/>
      <c r="F3197" s="176"/>
      <c r="G3197" s="175">
        <f t="shared" si="263"/>
        <v>0</v>
      </c>
      <c r="H3197" s="175">
        <f t="shared" si="264"/>
        <v>0</v>
      </c>
      <c r="I3197" s="177">
        <f>IF(G3197=0,0,IF(E3197="MXN",1/HLOOKUP(YEAR(C3197)+(MONTH(C3197)/100),TC!$5:$37,DAY(C3197)+2,FALSE),VLOOKUP(E3197,Equivalencia!$5:$23,((MAX(Equivalencia!$3:$3)-YEAR(C3197))*14)+MONTH(C3197)+2,FALSE)))</f>
        <v>0</v>
      </c>
      <c r="J3197" s="178">
        <f t="shared" si="265"/>
        <v>0</v>
      </c>
      <c r="K3197" s="462">
        <f>IF(C3197=0,0,VLOOKUP(YEAR(C3197),INPC!$B$4:$O$29,MONTH(C3197)+1))</f>
        <v>0</v>
      </c>
      <c r="L3197" s="462">
        <f>IF(S3197=0,0,VLOOKUP(YEAR(S3197),INPC!$B$4:$O$29,MONTH(S3197)+1))</f>
        <v>0</v>
      </c>
      <c r="M3197" s="463">
        <f t="shared" si="266"/>
        <v>0</v>
      </c>
      <c r="N3197" s="465">
        <f t="shared" si="267"/>
        <v>0</v>
      </c>
      <c r="O3197" s="179"/>
      <c r="P3197" s="180"/>
      <c r="Q3197" s="173"/>
      <c r="R3197" s="173"/>
      <c r="S3197" s="174"/>
      <c r="T3197" s="173"/>
      <c r="U3197" s="182"/>
      <c r="V3197" s="177">
        <f>IF(U3197=0,0,IF(T3197="MXN",1/HLOOKUP(YEAR(S3197)+(MONTH(S3197)/100),TC!$5:$37,DAY(S3197)+2,FALSE),VLOOKUP(T3197,Equivalencia!$1:$23,((MAX(Equivalencia!$3:$3)-YEAR(S3197))*14)+MONTH(S3197)+2,FALSE)))</f>
        <v>0</v>
      </c>
      <c r="W3197" s="178">
        <f t="shared" si="268"/>
        <v>0</v>
      </c>
      <c r="X3197" s="481">
        <f t="shared" si="269"/>
        <v>0</v>
      </c>
      <c r="Y3197" s="179"/>
      <c r="Z3197" s="466">
        <f t="shared" si="270"/>
        <v>0</v>
      </c>
      <c r="AA3197" s="473">
        <f t="shared" si="271"/>
        <v>0</v>
      </c>
      <c r="AB3197" s="339">
        <f t="shared" si="272"/>
        <v>0</v>
      </c>
    </row>
    <row r="3198" spans="2:28" ht="20.100000000000001" customHeight="1">
      <c r="B3198" s="172"/>
      <c r="C3198" s="174"/>
      <c r="D3198" s="181"/>
      <c r="E3198" s="173"/>
      <c r="F3198" s="176"/>
      <c r="G3198" s="175">
        <f t="shared" si="263"/>
        <v>0</v>
      </c>
      <c r="H3198" s="175">
        <f t="shared" si="264"/>
        <v>0</v>
      </c>
      <c r="I3198" s="177">
        <f>IF(G3198=0,0,IF(E3198="MXN",1/HLOOKUP(YEAR(C3198)+(MONTH(C3198)/100),TC!$5:$37,DAY(C3198)+2,FALSE),VLOOKUP(E3198,Equivalencia!$5:$23,((MAX(Equivalencia!$3:$3)-YEAR(C3198))*14)+MONTH(C3198)+2,FALSE)))</f>
        <v>0</v>
      </c>
      <c r="J3198" s="178">
        <f t="shared" si="265"/>
        <v>0</v>
      </c>
      <c r="K3198" s="462">
        <f>IF(C3198=0,0,VLOOKUP(YEAR(C3198),INPC!$B$4:$O$29,MONTH(C3198)+1))</f>
        <v>0</v>
      </c>
      <c r="L3198" s="462">
        <f>IF(S3198=0,0,VLOOKUP(YEAR(S3198),INPC!$B$4:$O$29,MONTH(S3198)+1))</f>
        <v>0</v>
      </c>
      <c r="M3198" s="463">
        <f t="shared" si="266"/>
        <v>0</v>
      </c>
      <c r="N3198" s="465">
        <f t="shared" si="267"/>
        <v>0</v>
      </c>
      <c r="O3198" s="179"/>
      <c r="P3198" s="180"/>
      <c r="Q3198" s="173"/>
      <c r="R3198" s="173"/>
      <c r="S3198" s="174"/>
      <c r="T3198" s="173"/>
      <c r="U3198" s="182"/>
      <c r="V3198" s="177">
        <f>IF(U3198=0,0,IF(T3198="MXN",1/HLOOKUP(YEAR(S3198)+(MONTH(S3198)/100),TC!$5:$37,DAY(S3198)+2,FALSE),VLOOKUP(T3198,Equivalencia!$1:$23,((MAX(Equivalencia!$3:$3)-YEAR(S3198))*14)+MONTH(S3198)+2,FALSE)))</f>
        <v>0</v>
      </c>
      <c r="W3198" s="178">
        <f t="shared" si="268"/>
        <v>0</v>
      </c>
      <c r="X3198" s="481">
        <f t="shared" si="269"/>
        <v>0</v>
      </c>
      <c r="Y3198" s="179"/>
      <c r="Z3198" s="466">
        <f t="shared" si="270"/>
        <v>0</v>
      </c>
      <c r="AA3198" s="473">
        <f t="shared" si="271"/>
        <v>0</v>
      </c>
      <c r="AB3198" s="339">
        <f t="shared" si="272"/>
        <v>0</v>
      </c>
    </row>
    <row r="3199" spans="2:28" ht="20.100000000000001" customHeight="1">
      <c r="B3199" s="172"/>
      <c r="C3199" s="174"/>
      <c r="D3199" s="181"/>
      <c r="E3199" s="173"/>
      <c r="F3199" s="176"/>
      <c r="G3199" s="175">
        <f t="shared" si="263"/>
        <v>0</v>
      </c>
      <c r="H3199" s="175">
        <f t="shared" si="264"/>
        <v>0</v>
      </c>
      <c r="I3199" s="177">
        <f>IF(G3199=0,0,IF(E3199="MXN",1/HLOOKUP(YEAR(C3199)+(MONTH(C3199)/100),TC!$5:$37,DAY(C3199)+2,FALSE),VLOOKUP(E3199,Equivalencia!$5:$23,((MAX(Equivalencia!$3:$3)-YEAR(C3199))*14)+MONTH(C3199)+2,FALSE)))</f>
        <v>0</v>
      </c>
      <c r="J3199" s="178">
        <f t="shared" si="265"/>
        <v>0</v>
      </c>
      <c r="K3199" s="462">
        <f>IF(C3199=0,0,VLOOKUP(YEAR(C3199),INPC!$B$4:$O$29,MONTH(C3199)+1))</f>
        <v>0</v>
      </c>
      <c r="L3199" s="462">
        <f>IF(S3199=0,0,VLOOKUP(YEAR(S3199),INPC!$B$4:$O$29,MONTH(S3199)+1))</f>
        <v>0</v>
      </c>
      <c r="M3199" s="463">
        <f t="shared" si="266"/>
        <v>0</v>
      </c>
      <c r="N3199" s="465">
        <f t="shared" si="267"/>
        <v>0</v>
      </c>
      <c r="O3199" s="179"/>
      <c r="P3199" s="180"/>
      <c r="Q3199" s="173"/>
      <c r="R3199" s="173"/>
      <c r="S3199" s="174"/>
      <c r="T3199" s="173"/>
      <c r="U3199" s="182"/>
      <c r="V3199" s="177">
        <f>IF(U3199=0,0,IF(T3199="MXN",1/HLOOKUP(YEAR(S3199)+(MONTH(S3199)/100),TC!$5:$37,DAY(S3199)+2,FALSE),VLOOKUP(T3199,Equivalencia!$1:$23,((MAX(Equivalencia!$3:$3)-YEAR(S3199))*14)+MONTH(S3199)+2,FALSE)))</f>
        <v>0</v>
      </c>
      <c r="W3199" s="178">
        <f t="shared" si="268"/>
        <v>0</v>
      </c>
      <c r="X3199" s="481">
        <f t="shared" si="269"/>
        <v>0</v>
      </c>
      <c r="Y3199" s="179"/>
      <c r="Z3199" s="466">
        <f t="shared" si="270"/>
        <v>0</v>
      </c>
      <c r="AA3199" s="473">
        <f t="shared" si="271"/>
        <v>0</v>
      </c>
      <c r="AB3199" s="339">
        <f t="shared" si="272"/>
        <v>0</v>
      </c>
    </row>
    <row r="3200" spans="2:28" ht="20.100000000000001" customHeight="1">
      <c r="B3200" s="172"/>
      <c r="C3200" s="174"/>
      <c r="D3200" s="181"/>
      <c r="E3200" s="173"/>
      <c r="F3200" s="176"/>
      <c r="G3200" s="175">
        <f t="shared" si="263"/>
        <v>0</v>
      </c>
      <c r="H3200" s="175">
        <f t="shared" si="264"/>
        <v>0</v>
      </c>
      <c r="I3200" s="177">
        <f>IF(G3200=0,0,IF(E3200="MXN",1/HLOOKUP(YEAR(C3200)+(MONTH(C3200)/100),TC!$5:$37,DAY(C3200)+2,FALSE),VLOOKUP(E3200,Equivalencia!$5:$23,((MAX(Equivalencia!$3:$3)-YEAR(C3200))*14)+MONTH(C3200)+2,FALSE)))</f>
        <v>0</v>
      </c>
      <c r="J3200" s="178">
        <f t="shared" si="265"/>
        <v>0</v>
      </c>
      <c r="K3200" s="462">
        <f>IF(C3200=0,0,VLOOKUP(YEAR(C3200),INPC!$B$4:$O$29,MONTH(C3200)+1))</f>
        <v>0</v>
      </c>
      <c r="L3200" s="462">
        <f>IF(S3200=0,0,VLOOKUP(YEAR(S3200),INPC!$B$4:$O$29,MONTH(S3200)+1))</f>
        <v>0</v>
      </c>
      <c r="M3200" s="463">
        <f t="shared" si="266"/>
        <v>0</v>
      </c>
      <c r="N3200" s="465">
        <f t="shared" si="267"/>
        <v>0</v>
      </c>
      <c r="O3200" s="179"/>
      <c r="P3200" s="180"/>
      <c r="Q3200" s="173"/>
      <c r="R3200" s="173"/>
      <c r="S3200" s="174"/>
      <c r="T3200" s="173"/>
      <c r="U3200" s="182"/>
      <c r="V3200" s="177">
        <f>IF(U3200=0,0,IF(T3200="MXN",1/HLOOKUP(YEAR(S3200)+(MONTH(S3200)/100),TC!$5:$37,DAY(S3200)+2,FALSE),VLOOKUP(T3200,Equivalencia!$1:$23,((MAX(Equivalencia!$3:$3)-YEAR(S3200))*14)+MONTH(S3200)+2,FALSE)))</f>
        <v>0</v>
      </c>
      <c r="W3200" s="178">
        <f t="shared" si="268"/>
        <v>0</v>
      </c>
      <c r="X3200" s="481">
        <f t="shared" si="269"/>
        <v>0</v>
      </c>
      <c r="Y3200" s="179"/>
      <c r="Z3200" s="466">
        <f t="shared" si="270"/>
        <v>0</v>
      </c>
      <c r="AA3200" s="473">
        <f t="shared" si="271"/>
        <v>0</v>
      </c>
      <c r="AB3200" s="339">
        <f t="shared" si="272"/>
        <v>0</v>
      </c>
    </row>
    <row r="3201" spans="2:28" ht="20.100000000000001" customHeight="1">
      <c r="B3201" s="172"/>
      <c r="C3201" s="174"/>
      <c r="D3201" s="181"/>
      <c r="E3201" s="173"/>
      <c r="F3201" s="176"/>
      <c r="G3201" s="175">
        <f t="shared" si="263"/>
        <v>0</v>
      </c>
      <c r="H3201" s="175">
        <f t="shared" si="264"/>
        <v>0</v>
      </c>
      <c r="I3201" s="177">
        <f>IF(G3201=0,0,IF(E3201="MXN",1/HLOOKUP(YEAR(C3201)+(MONTH(C3201)/100),TC!$5:$37,DAY(C3201)+2,FALSE),VLOOKUP(E3201,Equivalencia!$5:$23,((MAX(Equivalencia!$3:$3)-YEAR(C3201))*14)+MONTH(C3201)+2,FALSE)))</f>
        <v>0</v>
      </c>
      <c r="J3201" s="178">
        <f t="shared" si="265"/>
        <v>0</v>
      </c>
      <c r="K3201" s="462">
        <f>IF(C3201=0,0,VLOOKUP(YEAR(C3201),INPC!$B$4:$O$29,MONTH(C3201)+1))</f>
        <v>0</v>
      </c>
      <c r="L3201" s="462">
        <f>IF(S3201=0,0,VLOOKUP(YEAR(S3201),INPC!$B$4:$O$29,MONTH(S3201)+1))</f>
        <v>0</v>
      </c>
      <c r="M3201" s="463">
        <f t="shared" si="266"/>
        <v>0</v>
      </c>
      <c r="N3201" s="465">
        <f t="shared" si="267"/>
        <v>0</v>
      </c>
      <c r="O3201" s="179"/>
      <c r="P3201" s="180"/>
      <c r="Q3201" s="173"/>
      <c r="R3201" s="173"/>
      <c r="S3201" s="174"/>
      <c r="T3201" s="173"/>
      <c r="U3201" s="182"/>
      <c r="V3201" s="177">
        <f>IF(U3201=0,0,IF(T3201="MXN",1/HLOOKUP(YEAR(S3201)+(MONTH(S3201)/100),TC!$5:$37,DAY(S3201)+2,FALSE),VLOOKUP(T3201,Equivalencia!$1:$23,((MAX(Equivalencia!$3:$3)-YEAR(S3201))*14)+MONTH(S3201)+2,FALSE)))</f>
        <v>0</v>
      </c>
      <c r="W3201" s="178">
        <f t="shared" si="268"/>
        <v>0</v>
      </c>
      <c r="X3201" s="481">
        <f t="shared" si="269"/>
        <v>0</v>
      </c>
      <c r="Y3201" s="179"/>
      <c r="Z3201" s="466">
        <f t="shared" si="270"/>
        <v>0</v>
      </c>
      <c r="AA3201" s="473">
        <f t="shared" si="271"/>
        <v>0</v>
      </c>
      <c r="AB3201" s="339">
        <f t="shared" si="272"/>
        <v>0</v>
      </c>
    </row>
    <row r="3202" spans="2:28" ht="20.100000000000001" customHeight="1">
      <c r="B3202" s="172"/>
      <c r="C3202" s="174"/>
      <c r="D3202" s="181"/>
      <c r="E3202" s="173"/>
      <c r="F3202" s="176"/>
      <c r="G3202" s="175">
        <f t="shared" si="263"/>
        <v>0</v>
      </c>
      <c r="H3202" s="175">
        <f t="shared" si="264"/>
        <v>0</v>
      </c>
      <c r="I3202" s="177">
        <f>IF(G3202=0,0,IF(E3202="MXN",1/HLOOKUP(YEAR(C3202)+(MONTH(C3202)/100),TC!$5:$37,DAY(C3202)+2,FALSE),VLOOKUP(E3202,Equivalencia!$5:$23,((MAX(Equivalencia!$3:$3)-YEAR(C3202))*14)+MONTH(C3202)+2,FALSE)))</f>
        <v>0</v>
      </c>
      <c r="J3202" s="178">
        <f t="shared" si="265"/>
        <v>0</v>
      </c>
      <c r="K3202" s="462">
        <f>IF(C3202=0,0,VLOOKUP(YEAR(C3202),INPC!$B$4:$O$29,MONTH(C3202)+1))</f>
        <v>0</v>
      </c>
      <c r="L3202" s="462">
        <f>IF(S3202=0,0,VLOOKUP(YEAR(S3202),INPC!$B$4:$O$29,MONTH(S3202)+1))</f>
        <v>0</v>
      </c>
      <c r="M3202" s="463">
        <f t="shared" si="266"/>
        <v>0</v>
      </c>
      <c r="N3202" s="465">
        <f t="shared" si="267"/>
        <v>0</v>
      </c>
      <c r="O3202" s="179"/>
      <c r="P3202" s="180"/>
      <c r="Q3202" s="173"/>
      <c r="R3202" s="173"/>
      <c r="S3202" s="174"/>
      <c r="T3202" s="173"/>
      <c r="U3202" s="182"/>
      <c r="V3202" s="177">
        <f>IF(U3202=0,0,IF(T3202="MXN",1/HLOOKUP(YEAR(S3202)+(MONTH(S3202)/100),TC!$5:$37,DAY(S3202)+2,FALSE),VLOOKUP(T3202,Equivalencia!$1:$23,((MAX(Equivalencia!$3:$3)-YEAR(S3202))*14)+MONTH(S3202)+2,FALSE)))</f>
        <v>0</v>
      </c>
      <c r="W3202" s="178">
        <f t="shared" si="268"/>
        <v>0</v>
      </c>
      <c r="X3202" s="481">
        <f t="shared" si="269"/>
        <v>0</v>
      </c>
      <c r="Y3202" s="179"/>
      <c r="Z3202" s="466">
        <f t="shared" si="270"/>
        <v>0</v>
      </c>
      <c r="AA3202" s="473">
        <f t="shared" si="271"/>
        <v>0</v>
      </c>
      <c r="AB3202" s="339">
        <f t="shared" si="272"/>
        <v>0</v>
      </c>
    </row>
    <row r="3203" spans="2:28" ht="20.100000000000001" customHeight="1">
      <c r="B3203" s="172"/>
      <c r="C3203" s="174"/>
      <c r="D3203" s="181"/>
      <c r="E3203" s="173"/>
      <c r="F3203" s="176"/>
      <c r="G3203" s="175">
        <f t="shared" si="263"/>
        <v>0</v>
      </c>
      <c r="H3203" s="175">
        <f t="shared" si="264"/>
        <v>0</v>
      </c>
      <c r="I3203" s="177">
        <f>IF(G3203=0,0,IF(E3203="MXN",1/HLOOKUP(YEAR(C3203)+(MONTH(C3203)/100),TC!$5:$37,DAY(C3203)+2,FALSE),VLOOKUP(E3203,Equivalencia!$5:$23,((MAX(Equivalencia!$3:$3)-YEAR(C3203))*14)+MONTH(C3203)+2,FALSE)))</f>
        <v>0</v>
      </c>
      <c r="J3203" s="178">
        <f t="shared" si="265"/>
        <v>0</v>
      </c>
      <c r="K3203" s="462">
        <f>IF(C3203=0,0,VLOOKUP(YEAR(C3203),INPC!$B$4:$O$29,MONTH(C3203)+1))</f>
        <v>0</v>
      </c>
      <c r="L3203" s="462">
        <f>IF(S3203=0,0,VLOOKUP(YEAR(S3203),INPC!$B$4:$O$29,MONTH(S3203)+1))</f>
        <v>0</v>
      </c>
      <c r="M3203" s="463">
        <f t="shared" si="266"/>
        <v>0</v>
      </c>
      <c r="N3203" s="465">
        <f t="shared" si="267"/>
        <v>0</v>
      </c>
      <c r="O3203" s="179"/>
      <c r="P3203" s="180"/>
      <c r="Q3203" s="173"/>
      <c r="R3203" s="173"/>
      <c r="S3203" s="174"/>
      <c r="T3203" s="173"/>
      <c r="U3203" s="182"/>
      <c r="V3203" s="177">
        <f>IF(U3203=0,0,IF(T3203="MXN",1/HLOOKUP(YEAR(S3203)+(MONTH(S3203)/100),TC!$5:$37,DAY(S3203)+2,FALSE),VLOOKUP(T3203,Equivalencia!$1:$23,((MAX(Equivalencia!$3:$3)-YEAR(S3203))*14)+MONTH(S3203)+2,FALSE)))</f>
        <v>0</v>
      </c>
      <c r="W3203" s="178">
        <f t="shared" si="268"/>
        <v>0</v>
      </c>
      <c r="X3203" s="481">
        <f t="shared" si="269"/>
        <v>0</v>
      </c>
      <c r="Y3203" s="179"/>
      <c r="Z3203" s="466">
        <f t="shared" si="270"/>
        <v>0</v>
      </c>
      <c r="AA3203" s="473">
        <f t="shared" si="271"/>
        <v>0</v>
      </c>
      <c r="AB3203" s="339">
        <f t="shared" si="272"/>
        <v>0</v>
      </c>
    </row>
    <row r="3204" spans="2:28" ht="20.100000000000001" customHeight="1">
      <c r="B3204" s="172"/>
      <c r="C3204" s="174"/>
      <c r="D3204" s="181"/>
      <c r="E3204" s="173"/>
      <c r="F3204" s="176"/>
      <c r="G3204" s="175">
        <f t="shared" si="263"/>
        <v>0</v>
      </c>
      <c r="H3204" s="175">
        <f t="shared" si="264"/>
        <v>0</v>
      </c>
      <c r="I3204" s="177">
        <f>IF(G3204=0,0,IF(E3204="MXN",1/HLOOKUP(YEAR(C3204)+(MONTH(C3204)/100),TC!$5:$37,DAY(C3204)+2,FALSE),VLOOKUP(E3204,Equivalencia!$5:$23,((MAX(Equivalencia!$3:$3)-YEAR(C3204))*14)+MONTH(C3204)+2,FALSE)))</f>
        <v>0</v>
      </c>
      <c r="J3204" s="178">
        <f t="shared" si="265"/>
        <v>0</v>
      </c>
      <c r="K3204" s="462">
        <f>IF(C3204=0,0,VLOOKUP(YEAR(C3204),INPC!$B$4:$O$29,MONTH(C3204)+1))</f>
        <v>0</v>
      </c>
      <c r="L3204" s="462">
        <f>IF(S3204=0,0,VLOOKUP(YEAR(S3204),INPC!$B$4:$O$29,MONTH(S3204)+1))</f>
        <v>0</v>
      </c>
      <c r="M3204" s="463">
        <f t="shared" si="266"/>
        <v>0</v>
      </c>
      <c r="N3204" s="465">
        <f t="shared" si="267"/>
        <v>0</v>
      </c>
      <c r="O3204" s="179"/>
      <c r="P3204" s="180"/>
      <c r="Q3204" s="173"/>
      <c r="R3204" s="173"/>
      <c r="S3204" s="174"/>
      <c r="T3204" s="173"/>
      <c r="U3204" s="182"/>
      <c r="V3204" s="177">
        <f>IF(U3204=0,0,IF(T3204="MXN",1/HLOOKUP(YEAR(S3204)+(MONTH(S3204)/100),TC!$5:$37,DAY(S3204)+2,FALSE),VLOOKUP(T3204,Equivalencia!$1:$23,((MAX(Equivalencia!$3:$3)-YEAR(S3204))*14)+MONTH(S3204)+2,FALSE)))</f>
        <v>0</v>
      </c>
      <c r="W3204" s="178">
        <f t="shared" si="268"/>
        <v>0</v>
      </c>
      <c r="X3204" s="481">
        <f t="shared" si="269"/>
        <v>0</v>
      </c>
      <c r="Y3204" s="179"/>
      <c r="Z3204" s="466">
        <f t="shared" si="270"/>
        <v>0</v>
      </c>
      <c r="AA3204" s="473">
        <f t="shared" si="271"/>
        <v>0</v>
      </c>
      <c r="AB3204" s="339">
        <f t="shared" si="272"/>
        <v>0</v>
      </c>
    </row>
    <row r="3205" spans="2:28" ht="20.100000000000001" customHeight="1">
      <c r="B3205" s="172"/>
      <c r="C3205" s="174"/>
      <c r="D3205" s="181"/>
      <c r="E3205" s="173"/>
      <c r="F3205" s="176"/>
      <c r="G3205" s="175">
        <f t="shared" si="263"/>
        <v>0</v>
      </c>
      <c r="H3205" s="175">
        <f t="shared" si="264"/>
        <v>0</v>
      </c>
      <c r="I3205" s="177">
        <f>IF(G3205=0,0,IF(E3205="MXN",1/HLOOKUP(YEAR(C3205)+(MONTH(C3205)/100),TC!$5:$37,DAY(C3205)+2,FALSE),VLOOKUP(E3205,Equivalencia!$5:$23,((MAX(Equivalencia!$3:$3)-YEAR(C3205))*14)+MONTH(C3205)+2,FALSE)))</f>
        <v>0</v>
      </c>
      <c r="J3205" s="178">
        <f t="shared" si="265"/>
        <v>0</v>
      </c>
      <c r="K3205" s="462">
        <f>IF(C3205=0,0,VLOOKUP(YEAR(C3205),INPC!$B$4:$O$29,MONTH(C3205)+1))</f>
        <v>0</v>
      </c>
      <c r="L3205" s="462">
        <f>IF(S3205=0,0,VLOOKUP(YEAR(S3205),INPC!$B$4:$O$29,MONTH(S3205)+1))</f>
        <v>0</v>
      </c>
      <c r="M3205" s="463">
        <f t="shared" si="266"/>
        <v>0</v>
      </c>
      <c r="N3205" s="465">
        <f t="shared" si="267"/>
        <v>0</v>
      </c>
      <c r="O3205" s="179"/>
      <c r="P3205" s="180"/>
      <c r="Q3205" s="173"/>
      <c r="R3205" s="173"/>
      <c r="S3205" s="174"/>
      <c r="T3205" s="173"/>
      <c r="U3205" s="182"/>
      <c r="V3205" s="177">
        <f>IF(U3205=0,0,IF(T3205="MXN",1/HLOOKUP(YEAR(S3205)+(MONTH(S3205)/100),TC!$5:$37,DAY(S3205)+2,FALSE),VLOOKUP(T3205,Equivalencia!$1:$23,((MAX(Equivalencia!$3:$3)-YEAR(S3205))*14)+MONTH(S3205)+2,FALSE)))</f>
        <v>0</v>
      </c>
      <c r="W3205" s="178">
        <f t="shared" si="268"/>
        <v>0</v>
      </c>
      <c r="X3205" s="481">
        <f t="shared" si="269"/>
        <v>0</v>
      </c>
      <c r="Y3205" s="179"/>
      <c r="Z3205" s="466">
        <f t="shared" si="270"/>
        <v>0</v>
      </c>
      <c r="AA3205" s="473">
        <f t="shared" si="271"/>
        <v>0</v>
      </c>
      <c r="AB3205" s="339">
        <f t="shared" si="272"/>
        <v>0</v>
      </c>
    </row>
    <row r="3206" spans="2:28" ht="20.100000000000001" customHeight="1">
      <c r="B3206" s="172"/>
      <c r="C3206" s="174"/>
      <c r="D3206" s="181"/>
      <c r="E3206" s="173"/>
      <c r="F3206" s="176"/>
      <c r="G3206" s="175">
        <f t="shared" si="263"/>
        <v>0</v>
      </c>
      <c r="H3206" s="175">
        <f t="shared" si="264"/>
        <v>0</v>
      </c>
      <c r="I3206" s="177">
        <f>IF(G3206=0,0,IF(E3206="MXN",1/HLOOKUP(YEAR(C3206)+(MONTH(C3206)/100),TC!$5:$37,DAY(C3206)+2,FALSE),VLOOKUP(E3206,Equivalencia!$5:$23,((MAX(Equivalencia!$3:$3)-YEAR(C3206))*14)+MONTH(C3206)+2,FALSE)))</f>
        <v>0</v>
      </c>
      <c r="J3206" s="178">
        <f t="shared" si="265"/>
        <v>0</v>
      </c>
      <c r="K3206" s="462">
        <f>IF(C3206=0,0,VLOOKUP(YEAR(C3206),INPC!$B$4:$O$29,MONTH(C3206)+1))</f>
        <v>0</v>
      </c>
      <c r="L3206" s="462">
        <f>IF(S3206=0,0,VLOOKUP(YEAR(S3206),INPC!$B$4:$O$29,MONTH(S3206)+1))</f>
        <v>0</v>
      </c>
      <c r="M3206" s="463">
        <f t="shared" si="266"/>
        <v>0</v>
      </c>
      <c r="N3206" s="465">
        <f t="shared" si="267"/>
        <v>0</v>
      </c>
      <c r="O3206" s="179"/>
      <c r="P3206" s="180"/>
      <c r="Q3206" s="173"/>
      <c r="R3206" s="173"/>
      <c r="S3206" s="174"/>
      <c r="T3206" s="173"/>
      <c r="U3206" s="182"/>
      <c r="V3206" s="177">
        <f>IF(U3206=0,0,IF(T3206="MXN",1/HLOOKUP(YEAR(S3206)+(MONTH(S3206)/100),TC!$5:$37,DAY(S3206)+2,FALSE),VLOOKUP(T3206,Equivalencia!$1:$23,((MAX(Equivalencia!$3:$3)-YEAR(S3206))*14)+MONTH(S3206)+2,FALSE)))</f>
        <v>0</v>
      </c>
      <c r="W3206" s="178">
        <f t="shared" si="268"/>
        <v>0</v>
      </c>
      <c r="X3206" s="481">
        <f t="shared" si="269"/>
        <v>0</v>
      </c>
      <c r="Y3206" s="179"/>
      <c r="Z3206" s="466">
        <f t="shared" si="270"/>
        <v>0</v>
      </c>
      <c r="AA3206" s="473">
        <f t="shared" si="271"/>
        <v>0</v>
      </c>
      <c r="AB3206" s="339">
        <f t="shared" si="272"/>
        <v>0</v>
      </c>
    </row>
    <row r="3207" spans="2:28" ht="20.100000000000001" customHeight="1">
      <c r="B3207" s="172"/>
      <c r="C3207" s="174"/>
      <c r="D3207" s="181"/>
      <c r="E3207" s="173"/>
      <c r="F3207" s="176"/>
      <c r="G3207" s="175">
        <f t="shared" si="263"/>
        <v>0</v>
      </c>
      <c r="H3207" s="175">
        <f t="shared" si="264"/>
        <v>0</v>
      </c>
      <c r="I3207" s="177">
        <f>IF(G3207=0,0,IF(E3207="MXN",1/HLOOKUP(YEAR(C3207)+(MONTH(C3207)/100),TC!$5:$37,DAY(C3207)+2,FALSE),VLOOKUP(E3207,Equivalencia!$5:$23,((MAX(Equivalencia!$3:$3)-YEAR(C3207))*14)+MONTH(C3207)+2,FALSE)))</f>
        <v>0</v>
      </c>
      <c r="J3207" s="178">
        <f t="shared" si="265"/>
        <v>0</v>
      </c>
      <c r="K3207" s="462">
        <f>IF(C3207=0,0,VLOOKUP(YEAR(C3207),INPC!$B$4:$O$29,MONTH(C3207)+1))</f>
        <v>0</v>
      </c>
      <c r="L3207" s="462">
        <f>IF(S3207=0,0,VLOOKUP(YEAR(S3207),INPC!$B$4:$O$29,MONTH(S3207)+1))</f>
        <v>0</v>
      </c>
      <c r="M3207" s="463">
        <f t="shared" si="266"/>
        <v>0</v>
      </c>
      <c r="N3207" s="465">
        <f t="shared" si="267"/>
        <v>0</v>
      </c>
      <c r="O3207" s="179"/>
      <c r="P3207" s="180"/>
      <c r="Q3207" s="173"/>
      <c r="R3207" s="173"/>
      <c r="S3207" s="174"/>
      <c r="T3207" s="173"/>
      <c r="U3207" s="182"/>
      <c r="V3207" s="177">
        <f>IF(U3207=0,0,IF(T3207="MXN",1/HLOOKUP(YEAR(S3207)+(MONTH(S3207)/100),TC!$5:$37,DAY(S3207)+2,FALSE),VLOOKUP(T3207,Equivalencia!$1:$23,((MAX(Equivalencia!$3:$3)-YEAR(S3207))*14)+MONTH(S3207)+2,FALSE)))</f>
        <v>0</v>
      </c>
      <c r="W3207" s="178">
        <f t="shared" si="268"/>
        <v>0</v>
      </c>
      <c r="X3207" s="481">
        <f t="shared" si="269"/>
        <v>0</v>
      </c>
      <c r="Y3207" s="179"/>
      <c r="Z3207" s="466">
        <f t="shared" si="270"/>
        <v>0</v>
      </c>
      <c r="AA3207" s="473">
        <f t="shared" si="271"/>
        <v>0</v>
      </c>
      <c r="AB3207" s="339">
        <f t="shared" si="272"/>
        <v>0</v>
      </c>
    </row>
    <row r="3208" spans="2:28" ht="20.100000000000001" customHeight="1">
      <c r="B3208" s="172"/>
      <c r="C3208" s="174"/>
      <c r="D3208" s="181"/>
      <c r="E3208" s="173"/>
      <c r="F3208" s="176"/>
      <c r="G3208" s="175">
        <f t="shared" si="263"/>
        <v>0</v>
      </c>
      <c r="H3208" s="175">
        <f t="shared" si="264"/>
        <v>0</v>
      </c>
      <c r="I3208" s="177">
        <f>IF(G3208=0,0,IF(E3208="MXN",1/HLOOKUP(YEAR(C3208)+(MONTH(C3208)/100),TC!$5:$37,DAY(C3208)+2,FALSE),VLOOKUP(E3208,Equivalencia!$5:$23,((MAX(Equivalencia!$3:$3)-YEAR(C3208))*14)+MONTH(C3208)+2,FALSE)))</f>
        <v>0</v>
      </c>
      <c r="J3208" s="178">
        <f t="shared" si="265"/>
        <v>0</v>
      </c>
      <c r="K3208" s="462">
        <f>IF(C3208=0,0,VLOOKUP(YEAR(C3208),INPC!$B$4:$O$29,MONTH(C3208)+1))</f>
        <v>0</v>
      </c>
      <c r="L3208" s="462">
        <f>IF(S3208=0,0,VLOOKUP(YEAR(S3208),INPC!$B$4:$O$29,MONTH(S3208)+1))</f>
        <v>0</v>
      </c>
      <c r="M3208" s="463">
        <f t="shared" si="266"/>
        <v>0</v>
      </c>
      <c r="N3208" s="465">
        <f t="shared" si="267"/>
        <v>0</v>
      </c>
      <c r="O3208" s="179"/>
      <c r="P3208" s="180"/>
      <c r="Q3208" s="173"/>
      <c r="R3208" s="173"/>
      <c r="S3208" s="174"/>
      <c r="T3208" s="173"/>
      <c r="U3208" s="182"/>
      <c r="V3208" s="177">
        <f>IF(U3208=0,0,IF(T3208="MXN",1/HLOOKUP(YEAR(S3208)+(MONTH(S3208)/100),TC!$5:$37,DAY(S3208)+2,FALSE),VLOOKUP(T3208,Equivalencia!$1:$23,((MAX(Equivalencia!$3:$3)-YEAR(S3208))*14)+MONTH(S3208)+2,FALSE)))</f>
        <v>0</v>
      </c>
      <c r="W3208" s="178">
        <f t="shared" si="268"/>
        <v>0</v>
      </c>
      <c r="X3208" s="481">
        <f t="shared" si="269"/>
        <v>0</v>
      </c>
      <c r="Y3208" s="179"/>
      <c r="Z3208" s="466">
        <f t="shared" si="270"/>
        <v>0</v>
      </c>
      <c r="AA3208" s="473">
        <f t="shared" si="271"/>
        <v>0</v>
      </c>
      <c r="AB3208" s="339">
        <f t="shared" si="272"/>
        <v>0</v>
      </c>
    </row>
    <row r="3209" spans="2:28" ht="20.100000000000001" customHeight="1">
      <c r="B3209" s="172"/>
      <c r="C3209" s="174"/>
      <c r="D3209" s="181"/>
      <c r="E3209" s="173"/>
      <c r="F3209" s="176"/>
      <c r="G3209" s="175">
        <f t="shared" si="263"/>
        <v>0</v>
      </c>
      <c r="H3209" s="175">
        <f t="shared" si="264"/>
        <v>0</v>
      </c>
      <c r="I3209" s="177">
        <f>IF(G3209=0,0,IF(E3209="MXN",1/HLOOKUP(YEAR(C3209)+(MONTH(C3209)/100),TC!$5:$37,DAY(C3209)+2,FALSE),VLOOKUP(E3209,Equivalencia!$5:$23,((MAX(Equivalencia!$3:$3)-YEAR(C3209))*14)+MONTH(C3209)+2,FALSE)))</f>
        <v>0</v>
      </c>
      <c r="J3209" s="178">
        <f t="shared" si="265"/>
        <v>0</v>
      </c>
      <c r="K3209" s="462">
        <f>IF(C3209=0,0,VLOOKUP(YEAR(C3209),INPC!$B$4:$O$29,MONTH(C3209)+1))</f>
        <v>0</v>
      </c>
      <c r="L3209" s="462">
        <f>IF(S3209=0,0,VLOOKUP(YEAR(S3209),INPC!$B$4:$O$29,MONTH(S3209)+1))</f>
        <v>0</v>
      </c>
      <c r="M3209" s="463">
        <f t="shared" si="266"/>
        <v>0</v>
      </c>
      <c r="N3209" s="465">
        <f t="shared" si="267"/>
        <v>0</v>
      </c>
      <c r="O3209" s="179"/>
      <c r="P3209" s="180"/>
      <c r="Q3209" s="173"/>
      <c r="R3209" s="173"/>
      <c r="S3209" s="174"/>
      <c r="T3209" s="173"/>
      <c r="U3209" s="182"/>
      <c r="V3209" s="177">
        <f>IF(U3209=0,0,IF(T3209="MXN",1/HLOOKUP(YEAR(S3209)+(MONTH(S3209)/100),TC!$5:$37,DAY(S3209)+2,FALSE),VLOOKUP(T3209,Equivalencia!$1:$23,((MAX(Equivalencia!$3:$3)-YEAR(S3209))*14)+MONTH(S3209)+2,FALSE)))</f>
        <v>0</v>
      </c>
      <c r="W3209" s="178">
        <f t="shared" si="268"/>
        <v>0</v>
      </c>
      <c r="X3209" s="481">
        <f t="shared" si="269"/>
        <v>0</v>
      </c>
      <c r="Y3209" s="179"/>
      <c r="Z3209" s="466">
        <f t="shared" si="270"/>
        <v>0</v>
      </c>
      <c r="AA3209" s="473">
        <f t="shared" si="271"/>
        <v>0</v>
      </c>
      <c r="AB3209" s="339">
        <f t="shared" si="272"/>
        <v>0</v>
      </c>
    </row>
    <row r="3210" spans="2:28" ht="20.100000000000001" customHeight="1">
      <c r="B3210" s="172"/>
      <c r="C3210" s="174"/>
      <c r="D3210" s="181"/>
      <c r="E3210" s="173"/>
      <c r="F3210" s="176"/>
      <c r="G3210" s="175">
        <f t="shared" si="263"/>
        <v>0</v>
      </c>
      <c r="H3210" s="175">
        <f t="shared" si="264"/>
        <v>0</v>
      </c>
      <c r="I3210" s="177">
        <f>IF(G3210=0,0,IF(E3210="MXN",1/HLOOKUP(YEAR(C3210)+(MONTH(C3210)/100),TC!$5:$37,DAY(C3210)+2,FALSE),VLOOKUP(E3210,Equivalencia!$5:$23,((MAX(Equivalencia!$3:$3)-YEAR(C3210))*14)+MONTH(C3210)+2,FALSE)))</f>
        <v>0</v>
      </c>
      <c r="J3210" s="178">
        <f t="shared" si="265"/>
        <v>0</v>
      </c>
      <c r="K3210" s="462">
        <f>IF(C3210=0,0,VLOOKUP(YEAR(C3210),INPC!$B$4:$O$29,MONTH(C3210)+1))</f>
        <v>0</v>
      </c>
      <c r="L3210" s="462">
        <f>IF(S3210=0,0,VLOOKUP(YEAR(S3210),INPC!$B$4:$O$29,MONTH(S3210)+1))</f>
        <v>0</v>
      </c>
      <c r="M3210" s="463">
        <f t="shared" si="266"/>
        <v>0</v>
      </c>
      <c r="N3210" s="465">
        <f t="shared" si="267"/>
        <v>0</v>
      </c>
      <c r="O3210" s="179"/>
      <c r="P3210" s="180"/>
      <c r="Q3210" s="173"/>
      <c r="R3210" s="173"/>
      <c r="S3210" s="174"/>
      <c r="T3210" s="173"/>
      <c r="U3210" s="182"/>
      <c r="V3210" s="177">
        <f>IF(U3210=0,0,IF(T3210="MXN",1/HLOOKUP(YEAR(S3210)+(MONTH(S3210)/100),TC!$5:$37,DAY(S3210)+2,FALSE),VLOOKUP(T3210,Equivalencia!$1:$23,((MAX(Equivalencia!$3:$3)-YEAR(S3210))*14)+MONTH(S3210)+2,FALSE)))</f>
        <v>0</v>
      </c>
      <c r="W3210" s="178">
        <f t="shared" si="268"/>
        <v>0</v>
      </c>
      <c r="X3210" s="481">
        <f t="shared" si="269"/>
        <v>0</v>
      </c>
      <c r="Y3210" s="179"/>
      <c r="Z3210" s="466">
        <f t="shared" si="270"/>
        <v>0</v>
      </c>
      <c r="AA3210" s="473">
        <f t="shared" si="271"/>
        <v>0</v>
      </c>
      <c r="AB3210" s="339">
        <f t="shared" si="272"/>
        <v>0</v>
      </c>
    </row>
    <row r="3211" spans="2:28" ht="20.100000000000001" customHeight="1">
      <c r="B3211" s="172"/>
      <c r="C3211" s="174"/>
      <c r="D3211" s="181"/>
      <c r="E3211" s="173"/>
      <c r="F3211" s="176"/>
      <c r="G3211" s="175">
        <f t="shared" si="263"/>
        <v>0</v>
      </c>
      <c r="H3211" s="175">
        <f t="shared" si="264"/>
        <v>0</v>
      </c>
      <c r="I3211" s="177">
        <f>IF(G3211=0,0,IF(E3211="MXN",1/HLOOKUP(YEAR(C3211)+(MONTH(C3211)/100),TC!$5:$37,DAY(C3211)+2,FALSE),VLOOKUP(E3211,Equivalencia!$5:$23,((MAX(Equivalencia!$3:$3)-YEAR(C3211))*14)+MONTH(C3211)+2,FALSE)))</f>
        <v>0</v>
      </c>
      <c r="J3211" s="178">
        <f t="shared" si="265"/>
        <v>0</v>
      </c>
      <c r="K3211" s="462">
        <f>IF(C3211=0,0,VLOOKUP(YEAR(C3211),INPC!$B$4:$O$29,MONTH(C3211)+1))</f>
        <v>0</v>
      </c>
      <c r="L3211" s="462">
        <f>IF(S3211=0,0,VLOOKUP(YEAR(S3211),INPC!$B$4:$O$29,MONTH(S3211)+1))</f>
        <v>0</v>
      </c>
      <c r="M3211" s="463">
        <f t="shared" si="266"/>
        <v>0</v>
      </c>
      <c r="N3211" s="465">
        <f t="shared" si="267"/>
        <v>0</v>
      </c>
      <c r="O3211" s="179"/>
      <c r="P3211" s="180"/>
      <c r="Q3211" s="173"/>
      <c r="R3211" s="173"/>
      <c r="S3211" s="174"/>
      <c r="T3211" s="173"/>
      <c r="U3211" s="182"/>
      <c r="V3211" s="177">
        <f>IF(U3211=0,0,IF(T3211="MXN",1/HLOOKUP(YEAR(S3211)+(MONTH(S3211)/100),TC!$5:$37,DAY(S3211)+2,FALSE),VLOOKUP(T3211,Equivalencia!$1:$23,((MAX(Equivalencia!$3:$3)-YEAR(S3211))*14)+MONTH(S3211)+2,FALSE)))</f>
        <v>0</v>
      </c>
      <c r="W3211" s="178">
        <f t="shared" si="268"/>
        <v>0</v>
      </c>
      <c r="X3211" s="481">
        <f t="shared" si="269"/>
        <v>0</v>
      </c>
      <c r="Y3211" s="179"/>
      <c r="Z3211" s="466">
        <f t="shared" si="270"/>
        <v>0</v>
      </c>
      <c r="AA3211" s="473">
        <f t="shared" si="271"/>
        <v>0</v>
      </c>
      <c r="AB3211" s="339">
        <f t="shared" si="272"/>
        <v>0</v>
      </c>
    </row>
    <row r="3212" spans="2:28" ht="20.100000000000001" customHeight="1">
      <c r="B3212" s="172"/>
      <c r="C3212" s="174"/>
      <c r="D3212" s="181"/>
      <c r="E3212" s="173"/>
      <c r="F3212" s="176"/>
      <c r="G3212" s="175">
        <f t="shared" si="263"/>
        <v>0</v>
      </c>
      <c r="H3212" s="175">
        <f t="shared" si="264"/>
        <v>0</v>
      </c>
      <c r="I3212" s="177">
        <f>IF(G3212=0,0,IF(E3212="MXN",1/HLOOKUP(YEAR(C3212)+(MONTH(C3212)/100),TC!$5:$37,DAY(C3212)+2,FALSE),VLOOKUP(E3212,Equivalencia!$5:$23,((MAX(Equivalencia!$3:$3)-YEAR(C3212))*14)+MONTH(C3212)+2,FALSE)))</f>
        <v>0</v>
      </c>
      <c r="J3212" s="178">
        <f t="shared" si="265"/>
        <v>0</v>
      </c>
      <c r="K3212" s="462">
        <f>IF(C3212=0,0,VLOOKUP(YEAR(C3212),INPC!$B$4:$O$29,MONTH(C3212)+1))</f>
        <v>0</v>
      </c>
      <c r="L3212" s="462">
        <f>IF(S3212=0,0,VLOOKUP(YEAR(S3212),INPC!$B$4:$O$29,MONTH(S3212)+1))</f>
        <v>0</v>
      </c>
      <c r="M3212" s="463">
        <f t="shared" si="266"/>
        <v>0</v>
      </c>
      <c r="N3212" s="465">
        <f t="shared" si="267"/>
        <v>0</v>
      </c>
      <c r="O3212" s="179"/>
      <c r="P3212" s="180"/>
      <c r="Q3212" s="173"/>
      <c r="R3212" s="173"/>
      <c r="S3212" s="174"/>
      <c r="T3212" s="173"/>
      <c r="U3212" s="182"/>
      <c r="V3212" s="177">
        <f>IF(U3212=0,0,IF(T3212="MXN",1/HLOOKUP(YEAR(S3212)+(MONTH(S3212)/100),TC!$5:$37,DAY(S3212)+2,FALSE),VLOOKUP(T3212,Equivalencia!$1:$23,((MAX(Equivalencia!$3:$3)-YEAR(S3212))*14)+MONTH(S3212)+2,FALSE)))</f>
        <v>0</v>
      </c>
      <c r="W3212" s="178">
        <f t="shared" si="268"/>
        <v>0</v>
      </c>
      <c r="X3212" s="481">
        <f t="shared" si="269"/>
        <v>0</v>
      </c>
      <c r="Y3212" s="179"/>
      <c r="Z3212" s="466">
        <f t="shared" si="270"/>
        <v>0</v>
      </c>
      <c r="AA3212" s="473">
        <f t="shared" si="271"/>
        <v>0</v>
      </c>
      <c r="AB3212" s="339">
        <f t="shared" si="272"/>
        <v>0</v>
      </c>
    </row>
    <row r="3213" spans="2:28" ht="20.100000000000001" customHeight="1">
      <c r="B3213" s="172"/>
      <c r="C3213" s="174"/>
      <c r="D3213" s="181"/>
      <c r="E3213" s="173"/>
      <c r="F3213" s="176"/>
      <c r="G3213" s="175">
        <f t="shared" si="263"/>
        <v>0</v>
      </c>
      <c r="H3213" s="175">
        <f t="shared" si="264"/>
        <v>0</v>
      </c>
      <c r="I3213" s="177">
        <f>IF(G3213=0,0,IF(E3213="MXN",1/HLOOKUP(YEAR(C3213)+(MONTH(C3213)/100),TC!$5:$37,DAY(C3213)+2,FALSE),VLOOKUP(E3213,Equivalencia!$5:$23,((MAX(Equivalencia!$3:$3)-YEAR(C3213))*14)+MONTH(C3213)+2,FALSE)))</f>
        <v>0</v>
      </c>
      <c r="J3213" s="178">
        <f t="shared" si="265"/>
        <v>0</v>
      </c>
      <c r="K3213" s="462">
        <f>IF(C3213=0,0,VLOOKUP(YEAR(C3213),INPC!$B$4:$O$29,MONTH(C3213)+1))</f>
        <v>0</v>
      </c>
      <c r="L3213" s="462">
        <f>IF(S3213=0,0,VLOOKUP(YEAR(S3213),INPC!$B$4:$O$29,MONTH(S3213)+1))</f>
        <v>0</v>
      </c>
      <c r="M3213" s="463">
        <f t="shared" si="266"/>
        <v>0</v>
      </c>
      <c r="N3213" s="465">
        <f t="shared" si="267"/>
        <v>0</v>
      </c>
      <c r="O3213" s="179"/>
      <c r="P3213" s="180"/>
      <c r="Q3213" s="173"/>
      <c r="R3213" s="173"/>
      <c r="S3213" s="174"/>
      <c r="T3213" s="173"/>
      <c r="U3213" s="182"/>
      <c r="V3213" s="177">
        <f>IF(U3213=0,0,IF(T3213="MXN",1/HLOOKUP(YEAR(S3213)+(MONTH(S3213)/100),TC!$5:$37,DAY(S3213)+2,FALSE),VLOOKUP(T3213,Equivalencia!$1:$23,((MAX(Equivalencia!$3:$3)-YEAR(S3213))*14)+MONTH(S3213)+2,FALSE)))</f>
        <v>0</v>
      </c>
      <c r="W3213" s="178">
        <f t="shared" si="268"/>
        <v>0</v>
      </c>
      <c r="X3213" s="481">
        <f t="shared" si="269"/>
        <v>0</v>
      </c>
      <c r="Y3213" s="179"/>
      <c r="Z3213" s="466">
        <f t="shared" si="270"/>
        <v>0</v>
      </c>
      <c r="AA3213" s="473">
        <f t="shared" si="271"/>
        <v>0</v>
      </c>
      <c r="AB3213" s="339">
        <f t="shared" si="272"/>
        <v>0</v>
      </c>
    </row>
    <row r="3214" spans="2:28" ht="20.100000000000001" customHeight="1">
      <c r="B3214" s="172"/>
      <c r="C3214" s="174"/>
      <c r="D3214" s="181"/>
      <c r="E3214" s="173"/>
      <c r="F3214" s="176"/>
      <c r="G3214" s="175">
        <f t="shared" si="263"/>
        <v>0</v>
      </c>
      <c r="H3214" s="175">
        <f t="shared" si="264"/>
        <v>0</v>
      </c>
      <c r="I3214" s="177">
        <f>IF(G3214=0,0,IF(E3214="MXN",1/HLOOKUP(YEAR(C3214)+(MONTH(C3214)/100),TC!$5:$37,DAY(C3214)+2,FALSE),VLOOKUP(E3214,Equivalencia!$5:$23,((MAX(Equivalencia!$3:$3)-YEAR(C3214))*14)+MONTH(C3214)+2,FALSE)))</f>
        <v>0</v>
      </c>
      <c r="J3214" s="178">
        <f t="shared" si="265"/>
        <v>0</v>
      </c>
      <c r="K3214" s="462">
        <f>IF(C3214=0,0,VLOOKUP(YEAR(C3214),INPC!$B$4:$O$29,MONTH(C3214)+1))</f>
        <v>0</v>
      </c>
      <c r="L3214" s="462">
        <f>IF(S3214=0,0,VLOOKUP(YEAR(S3214),INPC!$B$4:$O$29,MONTH(S3214)+1))</f>
        <v>0</v>
      </c>
      <c r="M3214" s="463">
        <f t="shared" si="266"/>
        <v>0</v>
      </c>
      <c r="N3214" s="465">
        <f t="shared" si="267"/>
        <v>0</v>
      </c>
      <c r="O3214" s="179"/>
      <c r="P3214" s="180"/>
      <c r="Q3214" s="173"/>
      <c r="R3214" s="173"/>
      <c r="S3214" s="174"/>
      <c r="T3214" s="173"/>
      <c r="U3214" s="182"/>
      <c r="V3214" s="177">
        <f>IF(U3214=0,0,IF(T3214="MXN",1/HLOOKUP(YEAR(S3214)+(MONTH(S3214)/100),TC!$5:$37,DAY(S3214)+2,FALSE),VLOOKUP(T3214,Equivalencia!$1:$23,((MAX(Equivalencia!$3:$3)-YEAR(S3214))*14)+MONTH(S3214)+2,FALSE)))</f>
        <v>0</v>
      </c>
      <c r="W3214" s="178">
        <f t="shared" si="268"/>
        <v>0</v>
      </c>
      <c r="X3214" s="481">
        <f t="shared" si="269"/>
        <v>0</v>
      </c>
      <c r="Y3214" s="179"/>
      <c r="Z3214" s="466">
        <f t="shared" si="270"/>
        <v>0</v>
      </c>
      <c r="AA3214" s="473">
        <f t="shared" si="271"/>
        <v>0</v>
      </c>
      <c r="AB3214" s="339">
        <f t="shared" si="272"/>
        <v>0</v>
      </c>
    </row>
    <row r="3215" spans="2:28" ht="20.100000000000001" customHeight="1">
      <c r="B3215" s="172"/>
      <c r="C3215" s="174"/>
      <c r="D3215" s="181"/>
      <c r="E3215" s="173"/>
      <c r="F3215" s="176"/>
      <c r="G3215" s="175">
        <f t="shared" si="263"/>
        <v>0</v>
      </c>
      <c r="H3215" s="175">
        <f t="shared" si="264"/>
        <v>0</v>
      </c>
      <c r="I3215" s="177">
        <f>IF(G3215=0,0,IF(E3215="MXN",1/HLOOKUP(YEAR(C3215)+(MONTH(C3215)/100),TC!$5:$37,DAY(C3215)+2,FALSE),VLOOKUP(E3215,Equivalencia!$5:$23,((MAX(Equivalencia!$3:$3)-YEAR(C3215))*14)+MONTH(C3215)+2,FALSE)))</f>
        <v>0</v>
      </c>
      <c r="J3215" s="178">
        <f t="shared" si="265"/>
        <v>0</v>
      </c>
      <c r="K3215" s="462">
        <f>IF(C3215=0,0,VLOOKUP(YEAR(C3215),INPC!$B$4:$O$29,MONTH(C3215)+1))</f>
        <v>0</v>
      </c>
      <c r="L3215" s="462">
        <f>IF(S3215=0,0,VLOOKUP(YEAR(S3215),INPC!$B$4:$O$29,MONTH(S3215)+1))</f>
        <v>0</v>
      </c>
      <c r="M3215" s="463">
        <f t="shared" si="266"/>
        <v>0</v>
      </c>
      <c r="N3215" s="465">
        <f t="shared" si="267"/>
        <v>0</v>
      </c>
      <c r="O3215" s="179"/>
      <c r="P3215" s="180"/>
      <c r="Q3215" s="173"/>
      <c r="R3215" s="173"/>
      <c r="S3215" s="174"/>
      <c r="T3215" s="173"/>
      <c r="U3215" s="182"/>
      <c r="V3215" s="177">
        <f>IF(U3215=0,0,IF(T3215="MXN",1/HLOOKUP(YEAR(S3215)+(MONTH(S3215)/100),TC!$5:$37,DAY(S3215)+2,FALSE),VLOOKUP(T3215,Equivalencia!$1:$23,((MAX(Equivalencia!$3:$3)-YEAR(S3215))*14)+MONTH(S3215)+2,FALSE)))</f>
        <v>0</v>
      </c>
      <c r="W3215" s="178">
        <f t="shared" si="268"/>
        <v>0</v>
      </c>
      <c r="X3215" s="481">
        <f t="shared" si="269"/>
        <v>0</v>
      </c>
      <c r="Y3215" s="179"/>
      <c r="Z3215" s="466">
        <f t="shared" si="270"/>
        <v>0</v>
      </c>
      <c r="AA3215" s="473">
        <f t="shared" si="271"/>
        <v>0</v>
      </c>
      <c r="AB3215" s="339">
        <f t="shared" si="272"/>
        <v>0</v>
      </c>
    </row>
    <row r="3216" spans="2:28" ht="20.100000000000001" customHeight="1">
      <c r="B3216" s="172"/>
      <c r="C3216" s="174"/>
      <c r="D3216" s="181"/>
      <c r="E3216" s="173"/>
      <c r="F3216" s="176"/>
      <c r="G3216" s="175">
        <f t="shared" si="263"/>
        <v>0</v>
      </c>
      <c r="H3216" s="175">
        <f t="shared" si="264"/>
        <v>0</v>
      </c>
      <c r="I3216" s="177">
        <f>IF(G3216=0,0,IF(E3216="MXN",1/HLOOKUP(YEAR(C3216)+(MONTH(C3216)/100),TC!$5:$37,DAY(C3216)+2,FALSE),VLOOKUP(E3216,Equivalencia!$5:$23,((MAX(Equivalencia!$3:$3)-YEAR(C3216))*14)+MONTH(C3216)+2,FALSE)))</f>
        <v>0</v>
      </c>
      <c r="J3216" s="178">
        <f t="shared" si="265"/>
        <v>0</v>
      </c>
      <c r="K3216" s="462">
        <f>IF(C3216=0,0,VLOOKUP(YEAR(C3216),INPC!$B$4:$O$29,MONTH(C3216)+1))</f>
        <v>0</v>
      </c>
      <c r="L3216" s="462">
        <f>IF(S3216=0,0,VLOOKUP(YEAR(S3216),INPC!$B$4:$O$29,MONTH(S3216)+1))</f>
        <v>0</v>
      </c>
      <c r="M3216" s="463">
        <f t="shared" si="266"/>
        <v>0</v>
      </c>
      <c r="N3216" s="465">
        <f t="shared" si="267"/>
        <v>0</v>
      </c>
      <c r="O3216" s="179"/>
      <c r="P3216" s="180"/>
      <c r="Q3216" s="173"/>
      <c r="R3216" s="173"/>
      <c r="S3216" s="174"/>
      <c r="T3216" s="173"/>
      <c r="U3216" s="182"/>
      <c r="V3216" s="177">
        <f>IF(U3216=0,0,IF(T3216="MXN",1/HLOOKUP(YEAR(S3216)+(MONTH(S3216)/100),TC!$5:$37,DAY(S3216)+2,FALSE),VLOOKUP(T3216,Equivalencia!$1:$23,((MAX(Equivalencia!$3:$3)-YEAR(S3216))*14)+MONTH(S3216)+2,FALSE)))</f>
        <v>0</v>
      </c>
      <c r="W3216" s="178">
        <f t="shared" si="268"/>
        <v>0</v>
      </c>
      <c r="X3216" s="481">
        <f t="shared" si="269"/>
        <v>0</v>
      </c>
      <c r="Y3216" s="179"/>
      <c r="Z3216" s="466">
        <f t="shared" si="270"/>
        <v>0</v>
      </c>
      <c r="AA3216" s="473">
        <f t="shared" si="271"/>
        <v>0</v>
      </c>
      <c r="AB3216" s="339">
        <f t="shared" si="272"/>
        <v>0</v>
      </c>
    </row>
    <row r="3217" spans="2:28" ht="20.100000000000001" customHeight="1">
      <c r="B3217" s="172"/>
      <c r="C3217" s="174"/>
      <c r="D3217" s="181"/>
      <c r="E3217" s="173"/>
      <c r="F3217" s="176"/>
      <c r="G3217" s="175">
        <f t="shared" si="263"/>
        <v>0</v>
      </c>
      <c r="H3217" s="175">
        <f t="shared" si="264"/>
        <v>0</v>
      </c>
      <c r="I3217" s="177">
        <f>IF(G3217=0,0,IF(E3217="MXN",1/HLOOKUP(YEAR(C3217)+(MONTH(C3217)/100),TC!$5:$37,DAY(C3217)+2,FALSE),VLOOKUP(E3217,Equivalencia!$5:$23,((MAX(Equivalencia!$3:$3)-YEAR(C3217))*14)+MONTH(C3217)+2,FALSE)))</f>
        <v>0</v>
      </c>
      <c r="J3217" s="178">
        <f t="shared" si="265"/>
        <v>0</v>
      </c>
      <c r="K3217" s="462">
        <f>IF(C3217=0,0,VLOOKUP(YEAR(C3217),INPC!$B$4:$O$29,MONTH(C3217)+1))</f>
        <v>0</v>
      </c>
      <c r="L3217" s="462">
        <f>IF(S3217=0,0,VLOOKUP(YEAR(S3217),INPC!$B$4:$O$29,MONTH(S3217)+1))</f>
        <v>0</v>
      </c>
      <c r="M3217" s="463">
        <f t="shared" si="266"/>
        <v>0</v>
      </c>
      <c r="N3217" s="465">
        <f t="shared" si="267"/>
        <v>0</v>
      </c>
      <c r="O3217" s="179"/>
      <c r="P3217" s="180"/>
      <c r="Q3217" s="173"/>
      <c r="R3217" s="173"/>
      <c r="S3217" s="174"/>
      <c r="T3217" s="173"/>
      <c r="U3217" s="182"/>
      <c r="V3217" s="177">
        <f>IF(U3217=0,0,IF(T3217="MXN",1/HLOOKUP(YEAR(S3217)+(MONTH(S3217)/100),TC!$5:$37,DAY(S3217)+2,FALSE),VLOOKUP(T3217,Equivalencia!$1:$23,((MAX(Equivalencia!$3:$3)-YEAR(S3217))*14)+MONTH(S3217)+2,FALSE)))</f>
        <v>0</v>
      </c>
      <c r="W3217" s="178">
        <f t="shared" si="268"/>
        <v>0</v>
      </c>
      <c r="X3217" s="481">
        <f t="shared" si="269"/>
        <v>0</v>
      </c>
      <c r="Y3217" s="179"/>
      <c r="Z3217" s="466">
        <f t="shared" si="270"/>
        <v>0</v>
      </c>
      <c r="AA3217" s="473">
        <f t="shared" si="271"/>
        <v>0</v>
      </c>
      <c r="AB3217" s="339">
        <f t="shared" si="272"/>
        <v>0</v>
      </c>
    </row>
    <row r="3218" spans="2:28" ht="20.100000000000001" customHeight="1">
      <c r="B3218" s="172"/>
      <c r="C3218" s="174"/>
      <c r="D3218" s="181"/>
      <c r="E3218" s="173"/>
      <c r="F3218" s="176"/>
      <c r="G3218" s="175">
        <f t="shared" si="263"/>
        <v>0</v>
      </c>
      <c r="H3218" s="175">
        <f t="shared" si="264"/>
        <v>0</v>
      </c>
      <c r="I3218" s="177">
        <f>IF(G3218=0,0,IF(E3218="MXN",1/HLOOKUP(YEAR(C3218)+(MONTH(C3218)/100),TC!$5:$37,DAY(C3218)+2,FALSE),VLOOKUP(E3218,Equivalencia!$5:$23,((MAX(Equivalencia!$3:$3)-YEAR(C3218))*14)+MONTH(C3218)+2,FALSE)))</f>
        <v>0</v>
      </c>
      <c r="J3218" s="178">
        <f t="shared" si="265"/>
        <v>0</v>
      </c>
      <c r="K3218" s="462">
        <f>IF(C3218=0,0,VLOOKUP(YEAR(C3218),INPC!$B$4:$O$29,MONTH(C3218)+1))</f>
        <v>0</v>
      </c>
      <c r="L3218" s="462">
        <f>IF(S3218=0,0,VLOOKUP(YEAR(S3218),INPC!$B$4:$O$29,MONTH(S3218)+1))</f>
        <v>0</v>
      </c>
      <c r="M3218" s="463">
        <f t="shared" si="266"/>
        <v>0</v>
      </c>
      <c r="N3218" s="465">
        <f t="shared" si="267"/>
        <v>0</v>
      </c>
      <c r="O3218" s="179"/>
      <c r="P3218" s="180"/>
      <c r="Q3218" s="173"/>
      <c r="R3218" s="173"/>
      <c r="S3218" s="174"/>
      <c r="T3218" s="173"/>
      <c r="U3218" s="182"/>
      <c r="V3218" s="177">
        <f>IF(U3218=0,0,IF(T3218="MXN",1/HLOOKUP(YEAR(S3218)+(MONTH(S3218)/100),TC!$5:$37,DAY(S3218)+2,FALSE),VLOOKUP(T3218,Equivalencia!$1:$23,((MAX(Equivalencia!$3:$3)-YEAR(S3218))*14)+MONTH(S3218)+2,FALSE)))</f>
        <v>0</v>
      </c>
      <c r="W3218" s="178">
        <f t="shared" si="268"/>
        <v>0</v>
      </c>
      <c r="X3218" s="481">
        <f t="shared" si="269"/>
        <v>0</v>
      </c>
      <c r="Y3218" s="179"/>
      <c r="Z3218" s="466">
        <f t="shared" si="270"/>
        <v>0</v>
      </c>
      <c r="AA3218" s="473">
        <f t="shared" si="271"/>
        <v>0</v>
      </c>
      <c r="AB3218" s="339">
        <f t="shared" si="272"/>
        <v>0</v>
      </c>
    </row>
    <row r="3219" spans="2:28" ht="20.100000000000001" customHeight="1">
      <c r="B3219" s="172"/>
      <c r="C3219" s="174"/>
      <c r="D3219" s="181"/>
      <c r="E3219" s="173"/>
      <c r="F3219" s="176"/>
      <c r="G3219" s="175">
        <f t="shared" si="263"/>
        <v>0</v>
      </c>
      <c r="H3219" s="175">
        <f t="shared" si="264"/>
        <v>0</v>
      </c>
      <c r="I3219" s="177">
        <f>IF(G3219=0,0,IF(E3219="MXN",1/HLOOKUP(YEAR(C3219)+(MONTH(C3219)/100),TC!$5:$37,DAY(C3219)+2,FALSE),VLOOKUP(E3219,Equivalencia!$5:$23,((MAX(Equivalencia!$3:$3)-YEAR(C3219))*14)+MONTH(C3219)+2,FALSE)))</f>
        <v>0</v>
      </c>
      <c r="J3219" s="178">
        <f t="shared" si="265"/>
        <v>0</v>
      </c>
      <c r="K3219" s="462">
        <f>IF(C3219=0,0,VLOOKUP(YEAR(C3219),INPC!$B$4:$O$29,MONTH(C3219)+1))</f>
        <v>0</v>
      </c>
      <c r="L3219" s="462">
        <f>IF(S3219=0,0,VLOOKUP(YEAR(S3219),INPC!$B$4:$O$29,MONTH(S3219)+1))</f>
        <v>0</v>
      </c>
      <c r="M3219" s="463">
        <f t="shared" si="266"/>
        <v>0</v>
      </c>
      <c r="N3219" s="465">
        <f t="shared" si="267"/>
        <v>0</v>
      </c>
      <c r="O3219" s="179"/>
      <c r="P3219" s="180"/>
      <c r="Q3219" s="173"/>
      <c r="R3219" s="173"/>
      <c r="S3219" s="174"/>
      <c r="T3219" s="173"/>
      <c r="U3219" s="182"/>
      <c r="V3219" s="177">
        <f>IF(U3219=0,0,IF(T3219="MXN",1/HLOOKUP(YEAR(S3219)+(MONTH(S3219)/100),TC!$5:$37,DAY(S3219)+2,FALSE),VLOOKUP(T3219,Equivalencia!$1:$23,((MAX(Equivalencia!$3:$3)-YEAR(S3219))*14)+MONTH(S3219)+2,FALSE)))</f>
        <v>0</v>
      </c>
      <c r="W3219" s="178">
        <f t="shared" si="268"/>
        <v>0</v>
      </c>
      <c r="X3219" s="481">
        <f t="shared" si="269"/>
        <v>0</v>
      </c>
      <c r="Y3219" s="179"/>
      <c r="Z3219" s="466">
        <f t="shared" si="270"/>
        <v>0</v>
      </c>
      <c r="AA3219" s="473">
        <f t="shared" si="271"/>
        <v>0</v>
      </c>
      <c r="AB3219" s="339">
        <f t="shared" si="272"/>
        <v>0</v>
      </c>
    </row>
    <row r="3220" spans="2:28" ht="20.100000000000001" customHeight="1">
      <c r="B3220" s="172"/>
      <c r="C3220" s="174"/>
      <c r="D3220" s="181"/>
      <c r="E3220" s="173"/>
      <c r="F3220" s="176"/>
      <c r="G3220" s="175">
        <f t="shared" si="263"/>
        <v>0</v>
      </c>
      <c r="H3220" s="175">
        <f t="shared" si="264"/>
        <v>0</v>
      </c>
      <c r="I3220" s="177">
        <f>IF(G3220=0,0,IF(E3220="MXN",1/HLOOKUP(YEAR(C3220)+(MONTH(C3220)/100),TC!$5:$37,DAY(C3220)+2,FALSE),VLOOKUP(E3220,Equivalencia!$5:$23,((MAX(Equivalencia!$3:$3)-YEAR(C3220))*14)+MONTH(C3220)+2,FALSE)))</f>
        <v>0</v>
      </c>
      <c r="J3220" s="178">
        <f t="shared" si="265"/>
        <v>0</v>
      </c>
      <c r="K3220" s="462">
        <f>IF(C3220=0,0,VLOOKUP(YEAR(C3220),INPC!$B$4:$O$29,MONTH(C3220)+1))</f>
        <v>0</v>
      </c>
      <c r="L3220" s="462">
        <f>IF(S3220=0,0,VLOOKUP(YEAR(S3220),INPC!$B$4:$O$29,MONTH(S3220)+1))</f>
        <v>0</v>
      </c>
      <c r="M3220" s="463">
        <f t="shared" si="266"/>
        <v>0</v>
      </c>
      <c r="N3220" s="465">
        <f t="shared" si="267"/>
        <v>0</v>
      </c>
      <c r="O3220" s="179"/>
      <c r="P3220" s="180"/>
      <c r="Q3220" s="173"/>
      <c r="R3220" s="173"/>
      <c r="S3220" s="174"/>
      <c r="T3220" s="173"/>
      <c r="U3220" s="182"/>
      <c r="V3220" s="177">
        <f>IF(U3220=0,0,IF(T3220="MXN",1/HLOOKUP(YEAR(S3220)+(MONTH(S3220)/100),TC!$5:$37,DAY(S3220)+2,FALSE),VLOOKUP(T3220,Equivalencia!$1:$23,((MAX(Equivalencia!$3:$3)-YEAR(S3220))*14)+MONTH(S3220)+2,FALSE)))</f>
        <v>0</v>
      </c>
      <c r="W3220" s="178">
        <f t="shared" si="268"/>
        <v>0</v>
      </c>
      <c r="X3220" s="481">
        <f t="shared" si="269"/>
        <v>0</v>
      </c>
      <c r="Y3220" s="179"/>
      <c r="Z3220" s="466">
        <f t="shared" si="270"/>
        <v>0</v>
      </c>
      <c r="AA3220" s="473">
        <f t="shared" si="271"/>
        <v>0</v>
      </c>
      <c r="AB3220" s="339">
        <f t="shared" si="272"/>
        <v>0</v>
      </c>
    </row>
    <row r="3221" spans="2:28" ht="20.100000000000001" customHeight="1">
      <c r="B3221" s="172"/>
      <c r="C3221" s="174"/>
      <c r="D3221" s="181"/>
      <c r="E3221" s="173"/>
      <c r="F3221" s="176"/>
      <c r="G3221" s="175">
        <f t="shared" si="263"/>
        <v>0</v>
      </c>
      <c r="H3221" s="175">
        <f t="shared" si="264"/>
        <v>0</v>
      </c>
      <c r="I3221" s="177">
        <f>IF(G3221=0,0,IF(E3221="MXN",1/HLOOKUP(YEAR(C3221)+(MONTH(C3221)/100),TC!$5:$37,DAY(C3221)+2,FALSE),VLOOKUP(E3221,Equivalencia!$5:$23,((MAX(Equivalencia!$3:$3)-YEAR(C3221))*14)+MONTH(C3221)+2,FALSE)))</f>
        <v>0</v>
      </c>
      <c r="J3221" s="178">
        <f t="shared" si="265"/>
        <v>0</v>
      </c>
      <c r="K3221" s="462">
        <f>IF(C3221=0,0,VLOOKUP(YEAR(C3221),INPC!$B$4:$O$29,MONTH(C3221)+1))</f>
        <v>0</v>
      </c>
      <c r="L3221" s="462">
        <f>IF(S3221=0,0,VLOOKUP(YEAR(S3221),INPC!$B$4:$O$29,MONTH(S3221)+1))</f>
        <v>0</v>
      </c>
      <c r="M3221" s="463">
        <f t="shared" si="266"/>
        <v>0</v>
      </c>
      <c r="N3221" s="465">
        <f t="shared" si="267"/>
        <v>0</v>
      </c>
      <c r="O3221" s="179"/>
      <c r="P3221" s="180"/>
      <c r="Q3221" s="173"/>
      <c r="R3221" s="173"/>
      <c r="S3221" s="174"/>
      <c r="T3221" s="173"/>
      <c r="U3221" s="182"/>
      <c r="V3221" s="177">
        <f>IF(U3221=0,0,IF(T3221="MXN",1/HLOOKUP(YEAR(S3221)+(MONTH(S3221)/100),TC!$5:$37,DAY(S3221)+2,FALSE),VLOOKUP(T3221,Equivalencia!$1:$23,((MAX(Equivalencia!$3:$3)-YEAR(S3221))*14)+MONTH(S3221)+2,FALSE)))</f>
        <v>0</v>
      </c>
      <c r="W3221" s="178">
        <f t="shared" si="268"/>
        <v>0</v>
      </c>
      <c r="X3221" s="481">
        <f t="shared" si="269"/>
        <v>0</v>
      </c>
      <c r="Y3221" s="179"/>
      <c r="Z3221" s="466">
        <f t="shared" si="270"/>
        <v>0</v>
      </c>
      <c r="AA3221" s="473">
        <f t="shared" si="271"/>
        <v>0</v>
      </c>
      <c r="AB3221" s="339">
        <f t="shared" si="272"/>
        <v>0</v>
      </c>
    </row>
    <row r="3222" spans="2:28" ht="20.100000000000001" customHeight="1">
      <c r="B3222" s="172"/>
      <c r="C3222" s="174"/>
      <c r="D3222" s="181"/>
      <c r="E3222" s="173"/>
      <c r="F3222" s="176"/>
      <c r="G3222" s="175">
        <f t="shared" si="263"/>
        <v>0</v>
      </c>
      <c r="H3222" s="175">
        <f t="shared" si="264"/>
        <v>0</v>
      </c>
      <c r="I3222" s="177">
        <f>IF(G3222=0,0,IF(E3222="MXN",1/HLOOKUP(YEAR(C3222)+(MONTH(C3222)/100),TC!$5:$37,DAY(C3222)+2,FALSE),VLOOKUP(E3222,Equivalencia!$5:$23,((MAX(Equivalencia!$3:$3)-YEAR(C3222))*14)+MONTH(C3222)+2,FALSE)))</f>
        <v>0</v>
      </c>
      <c r="J3222" s="178">
        <f t="shared" si="265"/>
        <v>0</v>
      </c>
      <c r="K3222" s="462">
        <f>IF(C3222=0,0,VLOOKUP(YEAR(C3222),INPC!$B$4:$O$29,MONTH(C3222)+1))</f>
        <v>0</v>
      </c>
      <c r="L3222" s="462">
        <f>IF(S3222=0,0,VLOOKUP(YEAR(S3222),INPC!$B$4:$O$29,MONTH(S3222)+1))</f>
        <v>0</v>
      </c>
      <c r="M3222" s="463">
        <f t="shared" si="266"/>
        <v>0</v>
      </c>
      <c r="N3222" s="465">
        <f t="shared" si="267"/>
        <v>0</v>
      </c>
      <c r="O3222" s="179"/>
      <c r="P3222" s="180"/>
      <c r="Q3222" s="173"/>
      <c r="R3222" s="173"/>
      <c r="S3222" s="174"/>
      <c r="T3222" s="173"/>
      <c r="U3222" s="182"/>
      <c r="V3222" s="177">
        <f>IF(U3222=0,0,IF(T3222="MXN",1/HLOOKUP(YEAR(S3222)+(MONTH(S3222)/100),TC!$5:$37,DAY(S3222)+2,FALSE),VLOOKUP(T3222,Equivalencia!$1:$23,((MAX(Equivalencia!$3:$3)-YEAR(S3222))*14)+MONTH(S3222)+2,FALSE)))</f>
        <v>0</v>
      </c>
      <c r="W3222" s="178">
        <f t="shared" si="268"/>
        <v>0</v>
      </c>
      <c r="X3222" s="481">
        <f t="shared" si="269"/>
        <v>0</v>
      </c>
      <c r="Y3222" s="179"/>
      <c r="Z3222" s="466">
        <f t="shared" si="270"/>
        <v>0</v>
      </c>
      <c r="AA3222" s="473">
        <f t="shared" si="271"/>
        <v>0</v>
      </c>
      <c r="AB3222" s="339">
        <f t="shared" si="272"/>
        <v>0</v>
      </c>
    </row>
    <row r="3223" spans="2:28" ht="20.100000000000001" customHeight="1">
      <c r="B3223" s="172"/>
      <c r="C3223" s="174"/>
      <c r="D3223" s="181"/>
      <c r="E3223" s="173"/>
      <c r="F3223" s="176"/>
      <c r="G3223" s="175">
        <f t="shared" si="263"/>
        <v>0</v>
      </c>
      <c r="H3223" s="175">
        <f t="shared" si="264"/>
        <v>0</v>
      </c>
      <c r="I3223" s="177">
        <f>IF(G3223=0,0,IF(E3223="MXN",1/HLOOKUP(YEAR(C3223)+(MONTH(C3223)/100),TC!$5:$37,DAY(C3223)+2,FALSE),VLOOKUP(E3223,Equivalencia!$5:$23,((MAX(Equivalencia!$3:$3)-YEAR(C3223))*14)+MONTH(C3223)+2,FALSE)))</f>
        <v>0</v>
      </c>
      <c r="J3223" s="178">
        <f t="shared" si="265"/>
        <v>0</v>
      </c>
      <c r="K3223" s="462">
        <f>IF(C3223=0,0,VLOOKUP(YEAR(C3223),INPC!$B$4:$O$29,MONTH(C3223)+1))</f>
        <v>0</v>
      </c>
      <c r="L3223" s="462">
        <f>IF(S3223=0,0,VLOOKUP(YEAR(S3223),INPC!$B$4:$O$29,MONTH(S3223)+1))</f>
        <v>0</v>
      </c>
      <c r="M3223" s="463">
        <f t="shared" si="266"/>
        <v>0</v>
      </c>
      <c r="N3223" s="465">
        <f t="shared" si="267"/>
        <v>0</v>
      </c>
      <c r="O3223" s="179"/>
      <c r="P3223" s="180"/>
      <c r="Q3223" s="173"/>
      <c r="R3223" s="173"/>
      <c r="S3223" s="174"/>
      <c r="T3223" s="173"/>
      <c r="U3223" s="182"/>
      <c r="V3223" s="177">
        <f>IF(U3223=0,0,IF(T3223="MXN",1/HLOOKUP(YEAR(S3223)+(MONTH(S3223)/100),TC!$5:$37,DAY(S3223)+2,FALSE),VLOOKUP(T3223,Equivalencia!$1:$23,((MAX(Equivalencia!$3:$3)-YEAR(S3223))*14)+MONTH(S3223)+2,FALSE)))</f>
        <v>0</v>
      </c>
      <c r="W3223" s="178">
        <f t="shared" si="268"/>
        <v>0</v>
      </c>
      <c r="X3223" s="481">
        <f t="shared" si="269"/>
        <v>0</v>
      </c>
      <c r="Y3223" s="179"/>
      <c r="Z3223" s="466">
        <f t="shared" si="270"/>
        <v>0</v>
      </c>
      <c r="AA3223" s="473">
        <f t="shared" si="271"/>
        <v>0</v>
      </c>
      <c r="AB3223" s="339">
        <f t="shared" si="272"/>
        <v>0</v>
      </c>
    </row>
    <row r="3224" spans="2:28" ht="20.100000000000001" customHeight="1">
      <c r="B3224" s="172"/>
      <c r="C3224" s="174"/>
      <c r="D3224" s="181"/>
      <c r="E3224" s="173"/>
      <c r="F3224" s="176"/>
      <c r="G3224" s="175">
        <f t="shared" si="263"/>
        <v>0</v>
      </c>
      <c r="H3224" s="175">
        <f t="shared" si="264"/>
        <v>0</v>
      </c>
      <c r="I3224" s="177">
        <f>IF(G3224=0,0,IF(E3224="MXN",1/HLOOKUP(YEAR(C3224)+(MONTH(C3224)/100),TC!$5:$37,DAY(C3224)+2,FALSE),VLOOKUP(E3224,Equivalencia!$5:$23,((MAX(Equivalencia!$3:$3)-YEAR(C3224))*14)+MONTH(C3224)+2,FALSE)))</f>
        <v>0</v>
      </c>
      <c r="J3224" s="178">
        <f t="shared" si="265"/>
        <v>0</v>
      </c>
      <c r="K3224" s="462">
        <f>IF(C3224=0,0,VLOOKUP(YEAR(C3224),INPC!$B$4:$O$29,MONTH(C3224)+1))</f>
        <v>0</v>
      </c>
      <c r="L3224" s="462">
        <f>IF(S3224=0,0,VLOOKUP(YEAR(S3224),INPC!$B$4:$O$29,MONTH(S3224)+1))</f>
        <v>0</v>
      </c>
      <c r="M3224" s="463">
        <f t="shared" si="266"/>
        <v>0</v>
      </c>
      <c r="N3224" s="465">
        <f t="shared" si="267"/>
        <v>0</v>
      </c>
      <c r="O3224" s="179"/>
      <c r="P3224" s="180"/>
      <c r="Q3224" s="173"/>
      <c r="R3224" s="173"/>
      <c r="S3224" s="174"/>
      <c r="T3224" s="173"/>
      <c r="U3224" s="182"/>
      <c r="V3224" s="177">
        <f>IF(U3224=0,0,IF(T3224="MXN",1/HLOOKUP(YEAR(S3224)+(MONTH(S3224)/100),TC!$5:$37,DAY(S3224)+2,FALSE),VLOOKUP(T3224,Equivalencia!$1:$23,((MAX(Equivalencia!$3:$3)-YEAR(S3224))*14)+MONTH(S3224)+2,FALSE)))</f>
        <v>0</v>
      </c>
      <c r="W3224" s="178">
        <f t="shared" si="268"/>
        <v>0</v>
      </c>
      <c r="X3224" s="481">
        <f t="shared" si="269"/>
        <v>0</v>
      </c>
      <c r="Y3224" s="179"/>
      <c r="Z3224" s="466">
        <f t="shared" si="270"/>
        <v>0</v>
      </c>
      <c r="AA3224" s="473">
        <f t="shared" si="271"/>
        <v>0</v>
      </c>
      <c r="AB3224" s="339">
        <f t="shared" si="272"/>
        <v>0</v>
      </c>
    </row>
    <row r="3225" spans="2:28" ht="20.100000000000001" customHeight="1">
      <c r="B3225" s="172"/>
      <c r="C3225" s="174"/>
      <c r="D3225" s="181"/>
      <c r="E3225" s="173"/>
      <c r="F3225" s="176"/>
      <c r="G3225" s="175">
        <f t="shared" si="263"/>
        <v>0</v>
      </c>
      <c r="H3225" s="175">
        <f t="shared" si="264"/>
        <v>0</v>
      </c>
      <c r="I3225" s="177">
        <f>IF(G3225=0,0,IF(E3225="MXN",1/HLOOKUP(YEAR(C3225)+(MONTH(C3225)/100),TC!$5:$37,DAY(C3225)+2,FALSE),VLOOKUP(E3225,Equivalencia!$5:$23,((MAX(Equivalencia!$3:$3)-YEAR(C3225))*14)+MONTH(C3225)+2,FALSE)))</f>
        <v>0</v>
      </c>
      <c r="J3225" s="178">
        <f t="shared" si="265"/>
        <v>0</v>
      </c>
      <c r="K3225" s="462">
        <f>IF(C3225=0,0,VLOOKUP(YEAR(C3225),INPC!$B$4:$O$29,MONTH(C3225)+1))</f>
        <v>0</v>
      </c>
      <c r="L3225" s="462">
        <f>IF(S3225=0,0,VLOOKUP(YEAR(S3225),INPC!$B$4:$O$29,MONTH(S3225)+1))</f>
        <v>0</v>
      </c>
      <c r="M3225" s="463">
        <f t="shared" si="266"/>
        <v>0</v>
      </c>
      <c r="N3225" s="465">
        <f t="shared" si="267"/>
        <v>0</v>
      </c>
      <c r="O3225" s="179"/>
      <c r="P3225" s="180"/>
      <c r="Q3225" s="173"/>
      <c r="R3225" s="173"/>
      <c r="S3225" s="174"/>
      <c r="T3225" s="173"/>
      <c r="U3225" s="182"/>
      <c r="V3225" s="177">
        <f>IF(U3225=0,0,IF(T3225="MXN",1/HLOOKUP(YEAR(S3225)+(MONTH(S3225)/100),TC!$5:$37,DAY(S3225)+2,FALSE),VLOOKUP(T3225,Equivalencia!$1:$23,((MAX(Equivalencia!$3:$3)-YEAR(S3225))*14)+MONTH(S3225)+2,FALSE)))</f>
        <v>0</v>
      </c>
      <c r="W3225" s="178">
        <f t="shared" si="268"/>
        <v>0</v>
      </c>
      <c r="X3225" s="481">
        <f t="shared" si="269"/>
        <v>0</v>
      </c>
      <c r="Y3225" s="179"/>
      <c r="Z3225" s="466">
        <f t="shared" si="270"/>
        <v>0</v>
      </c>
      <c r="AA3225" s="473">
        <f t="shared" si="271"/>
        <v>0</v>
      </c>
      <c r="AB3225" s="339">
        <f t="shared" si="272"/>
        <v>0</v>
      </c>
    </row>
    <row r="3226" spans="2:28" ht="20.100000000000001" customHeight="1">
      <c r="B3226" s="172"/>
      <c r="C3226" s="174"/>
      <c r="D3226" s="181"/>
      <c r="E3226" s="173"/>
      <c r="F3226" s="176"/>
      <c r="G3226" s="175">
        <f t="shared" si="263"/>
        <v>0</v>
      </c>
      <c r="H3226" s="175">
        <f t="shared" si="264"/>
        <v>0</v>
      </c>
      <c r="I3226" s="177">
        <f>IF(G3226=0,0,IF(E3226="MXN",1/HLOOKUP(YEAR(C3226)+(MONTH(C3226)/100),TC!$5:$37,DAY(C3226)+2,FALSE),VLOOKUP(E3226,Equivalencia!$5:$23,((MAX(Equivalencia!$3:$3)-YEAR(C3226))*14)+MONTH(C3226)+2,FALSE)))</f>
        <v>0</v>
      </c>
      <c r="J3226" s="178">
        <f t="shared" si="265"/>
        <v>0</v>
      </c>
      <c r="K3226" s="462">
        <f>IF(C3226=0,0,VLOOKUP(YEAR(C3226),INPC!$B$4:$O$29,MONTH(C3226)+1))</f>
        <v>0</v>
      </c>
      <c r="L3226" s="462">
        <f>IF(S3226=0,0,VLOOKUP(YEAR(S3226),INPC!$B$4:$O$29,MONTH(S3226)+1))</f>
        <v>0</v>
      </c>
      <c r="M3226" s="463">
        <f t="shared" si="266"/>
        <v>0</v>
      </c>
      <c r="N3226" s="465">
        <f t="shared" si="267"/>
        <v>0</v>
      </c>
      <c r="O3226" s="179"/>
      <c r="P3226" s="180"/>
      <c r="Q3226" s="173"/>
      <c r="R3226" s="173"/>
      <c r="S3226" s="174"/>
      <c r="T3226" s="173"/>
      <c r="U3226" s="182"/>
      <c r="V3226" s="177">
        <f>IF(U3226=0,0,IF(T3226="MXN",1/HLOOKUP(YEAR(S3226)+(MONTH(S3226)/100),TC!$5:$37,DAY(S3226)+2,FALSE),VLOOKUP(T3226,Equivalencia!$1:$23,((MAX(Equivalencia!$3:$3)-YEAR(S3226))*14)+MONTH(S3226)+2,FALSE)))</f>
        <v>0</v>
      </c>
      <c r="W3226" s="178">
        <f t="shared" si="268"/>
        <v>0</v>
      </c>
      <c r="X3226" s="481">
        <f t="shared" si="269"/>
        <v>0</v>
      </c>
      <c r="Y3226" s="179"/>
      <c r="Z3226" s="466">
        <f t="shared" si="270"/>
        <v>0</v>
      </c>
      <c r="AA3226" s="473">
        <f t="shared" si="271"/>
        <v>0</v>
      </c>
      <c r="AB3226" s="339">
        <f t="shared" si="272"/>
        <v>0</v>
      </c>
    </row>
    <row r="3227" spans="2:28" ht="20.100000000000001" customHeight="1">
      <c r="B3227" s="172"/>
      <c r="C3227" s="174"/>
      <c r="D3227" s="181"/>
      <c r="E3227" s="173"/>
      <c r="F3227" s="176"/>
      <c r="G3227" s="175">
        <f t="shared" si="263"/>
        <v>0</v>
      </c>
      <c r="H3227" s="175">
        <f t="shared" si="264"/>
        <v>0</v>
      </c>
      <c r="I3227" s="177">
        <f>IF(G3227=0,0,IF(E3227="MXN",1/HLOOKUP(YEAR(C3227)+(MONTH(C3227)/100),TC!$5:$37,DAY(C3227)+2,FALSE),VLOOKUP(E3227,Equivalencia!$5:$23,((MAX(Equivalencia!$3:$3)-YEAR(C3227))*14)+MONTH(C3227)+2,FALSE)))</f>
        <v>0</v>
      </c>
      <c r="J3227" s="178">
        <f t="shared" si="265"/>
        <v>0</v>
      </c>
      <c r="K3227" s="462">
        <f>IF(C3227=0,0,VLOOKUP(YEAR(C3227),INPC!$B$4:$O$29,MONTH(C3227)+1))</f>
        <v>0</v>
      </c>
      <c r="L3227" s="462">
        <f>IF(S3227=0,0,VLOOKUP(YEAR(S3227),INPC!$B$4:$O$29,MONTH(S3227)+1))</f>
        <v>0</v>
      </c>
      <c r="M3227" s="463">
        <f t="shared" si="266"/>
        <v>0</v>
      </c>
      <c r="N3227" s="465">
        <f t="shared" si="267"/>
        <v>0</v>
      </c>
      <c r="O3227" s="179"/>
      <c r="P3227" s="180"/>
      <c r="Q3227" s="173"/>
      <c r="R3227" s="173"/>
      <c r="S3227" s="174"/>
      <c r="T3227" s="173"/>
      <c r="U3227" s="182"/>
      <c r="V3227" s="177">
        <f>IF(U3227=0,0,IF(T3227="MXN",1/HLOOKUP(YEAR(S3227)+(MONTH(S3227)/100),TC!$5:$37,DAY(S3227)+2,FALSE),VLOOKUP(T3227,Equivalencia!$1:$23,((MAX(Equivalencia!$3:$3)-YEAR(S3227))*14)+MONTH(S3227)+2,FALSE)))</f>
        <v>0</v>
      </c>
      <c r="W3227" s="178">
        <f t="shared" si="268"/>
        <v>0</v>
      </c>
      <c r="X3227" s="481">
        <f t="shared" si="269"/>
        <v>0</v>
      </c>
      <c r="Y3227" s="179"/>
      <c r="Z3227" s="466">
        <f t="shared" si="270"/>
        <v>0</v>
      </c>
      <c r="AA3227" s="473">
        <f t="shared" si="271"/>
        <v>0</v>
      </c>
      <c r="AB3227" s="339">
        <f t="shared" si="272"/>
        <v>0</v>
      </c>
    </row>
    <row r="3228" spans="2:28" ht="20.100000000000001" customHeight="1">
      <c r="B3228" s="172"/>
      <c r="C3228" s="174"/>
      <c r="D3228" s="181"/>
      <c r="E3228" s="173"/>
      <c r="F3228" s="176"/>
      <c r="G3228" s="175">
        <f t="shared" si="263"/>
        <v>0</v>
      </c>
      <c r="H3228" s="175">
        <f t="shared" si="264"/>
        <v>0</v>
      </c>
      <c r="I3228" s="177">
        <f>IF(G3228=0,0,IF(E3228="MXN",1/HLOOKUP(YEAR(C3228)+(MONTH(C3228)/100),TC!$5:$37,DAY(C3228)+2,FALSE),VLOOKUP(E3228,Equivalencia!$5:$23,((MAX(Equivalencia!$3:$3)-YEAR(C3228))*14)+MONTH(C3228)+2,FALSE)))</f>
        <v>0</v>
      </c>
      <c r="J3228" s="178">
        <f t="shared" si="265"/>
        <v>0</v>
      </c>
      <c r="K3228" s="462">
        <f>IF(C3228=0,0,VLOOKUP(YEAR(C3228),INPC!$B$4:$O$29,MONTH(C3228)+1))</f>
        <v>0</v>
      </c>
      <c r="L3228" s="462">
        <f>IF(S3228=0,0,VLOOKUP(YEAR(S3228),INPC!$B$4:$O$29,MONTH(S3228)+1))</f>
        <v>0</v>
      </c>
      <c r="M3228" s="463">
        <f t="shared" si="266"/>
        <v>0</v>
      </c>
      <c r="N3228" s="465">
        <f t="shared" si="267"/>
        <v>0</v>
      </c>
      <c r="O3228" s="179"/>
      <c r="P3228" s="180"/>
      <c r="Q3228" s="173"/>
      <c r="R3228" s="173"/>
      <c r="S3228" s="174"/>
      <c r="T3228" s="173"/>
      <c r="U3228" s="182"/>
      <c r="V3228" s="177">
        <f>IF(U3228=0,0,IF(T3228="MXN",1/HLOOKUP(YEAR(S3228)+(MONTH(S3228)/100),TC!$5:$37,DAY(S3228)+2,FALSE),VLOOKUP(T3228,Equivalencia!$1:$23,((MAX(Equivalencia!$3:$3)-YEAR(S3228))*14)+MONTH(S3228)+2,FALSE)))</f>
        <v>0</v>
      </c>
      <c r="W3228" s="178">
        <f t="shared" si="268"/>
        <v>0</v>
      </c>
      <c r="X3228" s="481">
        <f t="shared" si="269"/>
        <v>0</v>
      </c>
      <c r="Y3228" s="179"/>
      <c r="Z3228" s="466">
        <f t="shared" si="270"/>
        <v>0</v>
      </c>
      <c r="AA3228" s="473">
        <f t="shared" si="271"/>
        <v>0</v>
      </c>
      <c r="AB3228" s="339">
        <f t="shared" si="272"/>
        <v>0</v>
      </c>
    </row>
    <row r="3229" spans="2:28" ht="20.100000000000001" customHeight="1">
      <c r="B3229" s="172"/>
      <c r="C3229" s="174"/>
      <c r="D3229" s="181"/>
      <c r="E3229" s="173"/>
      <c r="F3229" s="176"/>
      <c r="G3229" s="175">
        <f t="shared" si="263"/>
        <v>0</v>
      </c>
      <c r="H3229" s="175">
        <f t="shared" si="264"/>
        <v>0</v>
      </c>
      <c r="I3229" s="177">
        <f>IF(G3229=0,0,IF(E3229="MXN",1/HLOOKUP(YEAR(C3229)+(MONTH(C3229)/100),TC!$5:$37,DAY(C3229)+2,FALSE),VLOOKUP(E3229,Equivalencia!$5:$23,((MAX(Equivalencia!$3:$3)-YEAR(C3229))*14)+MONTH(C3229)+2,FALSE)))</f>
        <v>0</v>
      </c>
      <c r="J3229" s="178">
        <f t="shared" si="265"/>
        <v>0</v>
      </c>
      <c r="K3229" s="462">
        <f>IF(C3229=0,0,VLOOKUP(YEAR(C3229),INPC!$B$4:$O$29,MONTH(C3229)+1))</f>
        <v>0</v>
      </c>
      <c r="L3229" s="462">
        <f>IF(S3229=0,0,VLOOKUP(YEAR(S3229),INPC!$B$4:$O$29,MONTH(S3229)+1))</f>
        <v>0</v>
      </c>
      <c r="M3229" s="463">
        <f t="shared" si="266"/>
        <v>0</v>
      </c>
      <c r="N3229" s="465">
        <f t="shared" si="267"/>
        <v>0</v>
      </c>
      <c r="O3229" s="179"/>
      <c r="P3229" s="180"/>
      <c r="Q3229" s="173"/>
      <c r="R3229" s="173"/>
      <c r="S3229" s="174"/>
      <c r="T3229" s="173"/>
      <c r="U3229" s="182"/>
      <c r="V3229" s="177">
        <f>IF(U3229=0,0,IF(T3229="MXN",1/HLOOKUP(YEAR(S3229)+(MONTH(S3229)/100),TC!$5:$37,DAY(S3229)+2,FALSE),VLOOKUP(T3229,Equivalencia!$1:$23,((MAX(Equivalencia!$3:$3)-YEAR(S3229))*14)+MONTH(S3229)+2,FALSE)))</f>
        <v>0</v>
      </c>
      <c r="W3229" s="178">
        <f t="shared" si="268"/>
        <v>0</v>
      </c>
      <c r="X3229" s="481">
        <f t="shared" si="269"/>
        <v>0</v>
      </c>
      <c r="Y3229" s="179"/>
      <c r="Z3229" s="466">
        <f t="shared" si="270"/>
        <v>0</v>
      </c>
      <c r="AA3229" s="473">
        <f t="shared" si="271"/>
        <v>0</v>
      </c>
      <c r="AB3229" s="339">
        <f t="shared" si="272"/>
        <v>0</v>
      </c>
    </row>
    <row r="3230" spans="2:28" ht="20.100000000000001" customHeight="1">
      <c r="B3230" s="172"/>
      <c r="C3230" s="174"/>
      <c r="D3230" s="181"/>
      <c r="E3230" s="173"/>
      <c r="F3230" s="176"/>
      <c r="G3230" s="175">
        <f t="shared" si="263"/>
        <v>0</v>
      </c>
      <c r="H3230" s="175">
        <f t="shared" si="264"/>
        <v>0</v>
      </c>
      <c r="I3230" s="177">
        <f>IF(G3230=0,0,IF(E3230="MXN",1/HLOOKUP(YEAR(C3230)+(MONTH(C3230)/100),TC!$5:$37,DAY(C3230)+2,FALSE),VLOOKUP(E3230,Equivalencia!$5:$23,((MAX(Equivalencia!$3:$3)-YEAR(C3230))*14)+MONTH(C3230)+2,FALSE)))</f>
        <v>0</v>
      </c>
      <c r="J3230" s="178">
        <f t="shared" si="265"/>
        <v>0</v>
      </c>
      <c r="K3230" s="462">
        <f>IF(C3230=0,0,VLOOKUP(YEAR(C3230),INPC!$B$4:$O$29,MONTH(C3230)+1))</f>
        <v>0</v>
      </c>
      <c r="L3230" s="462">
        <f>IF(S3230=0,0,VLOOKUP(YEAR(S3230),INPC!$B$4:$O$29,MONTH(S3230)+1))</f>
        <v>0</v>
      </c>
      <c r="M3230" s="463">
        <f t="shared" si="266"/>
        <v>0</v>
      </c>
      <c r="N3230" s="465">
        <f t="shared" si="267"/>
        <v>0</v>
      </c>
      <c r="O3230" s="179"/>
      <c r="P3230" s="180"/>
      <c r="Q3230" s="173"/>
      <c r="R3230" s="173"/>
      <c r="S3230" s="174"/>
      <c r="T3230" s="173"/>
      <c r="U3230" s="182"/>
      <c r="V3230" s="177">
        <f>IF(U3230=0,0,IF(T3230="MXN",1/HLOOKUP(YEAR(S3230)+(MONTH(S3230)/100),TC!$5:$37,DAY(S3230)+2,FALSE),VLOOKUP(T3230,Equivalencia!$1:$23,((MAX(Equivalencia!$3:$3)-YEAR(S3230))*14)+MONTH(S3230)+2,FALSE)))</f>
        <v>0</v>
      </c>
      <c r="W3230" s="178">
        <f t="shared" si="268"/>
        <v>0</v>
      </c>
      <c r="X3230" s="481">
        <f t="shared" si="269"/>
        <v>0</v>
      </c>
      <c r="Y3230" s="179"/>
      <c r="Z3230" s="466">
        <f t="shared" si="270"/>
        <v>0</v>
      </c>
      <c r="AA3230" s="473">
        <f t="shared" si="271"/>
        <v>0</v>
      </c>
      <c r="AB3230" s="339">
        <f t="shared" si="272"/>
        <v>0</v>
      </c>
    </row>
    <row r="3231" spans="2:28" ht="20.100000000000001" customHeight="1">
      <c r="B3231" s="172"/>
      <c r="C3231" s="174"/>
      <c r="D3231" s="181"/>
      <c r="E3231" s="173"/>
      <c r="F3231" s="176"/>
      <c r="G3231" s="175">
        <f t="shared" si="263"/>
        <v>0</v>
      </c>
      <c r="H3231" s="175">
        <f t="shared" si="264"/>
        <v>0</v>
      </c>
      <c r="I3231" s="177">
        <f>IF(G3231=0,0,IF(E3231="MXN",1/HLOOKUP(YEAR(C3231)+(MONTH(C3231)/100),TC!$5:$37,DAY(C3231)+2,FALSE),VLOOKUP(E3231,Equivalencia!$5:$23,((MAX(Equivalencia!$3:$3)-YEAR(C3231))*14)+MONTH(C3231)+2,FALSE)))</f>
        <v>0</v>
      </c>
      <c r="J3231" s="178">
        <f t="shared" si="265"/>
        <v>0</v>
      </c>
      <c r="K3231" s="462">
        <f>IF(C3231=0,0,VLOOKUP(YEAR(C3231),INPC!$B$4:$O$29,MONTH(C3231)+1))</f>
        <v>0</v>
      </c>
      <c r="L3231" s="462">
        <f>IF(S3231=0,0,VLOOKUP(YEAR(S3231),INPC!$B$4:$O$29,MONTH(S3231)+1))</f>
        <v>0</v>
      </c>
      <c r="M3231" s="463">
        <f t="shared" si="266"/>
        <v>0</v>
      </c>
      <c r="N3231" s="465">
        <f t="shared" si="267"/>
        <v>0</v>
      </c>
      <c r="O3231" s="179"/>
      <c r="P3231" s="180"/>
      <c r="Q3231" s="173"/>
      <c r="R3231" s="173"/>
      <c r="S3231" s="174"/>
      <c r="T3231" s="173"/>
      <c r="U3231" s="182"/>
      <c r="V3231" s="177">
        <f>IF(U3231=0,0,IF(T3231="MXN",1/HLOOKUP(YEAR(S3231)+(MONTH(S3231)/100),TC!$5:$37,DAY(S3231)+2,FALSE),VLOOKUP(T3231,Equivalencia!$1:$23,((MAX(Equivalencia!$3:$3)-YEAR(S3231))*14)+MONTH(S3231)+2,FALSE)))</f>
        <v>0</v>
      </c>
      <c r="W3231" s="178">
        <f t="shared" si="268"/>
        <v>0</v>
      </c>
      <c r="X3231" s="481">
        <f t="shared" si="269"/>
        <v>0</v>
      </c>
      <c r="Y3231" s="179"/>
      <c r="Z3231" s="466">
        <f t="shared" si="270"/>
        <v>0</v>
      </c>
      <c r="AA3231" s="473">
        <f t="shared" si="271"/>
        <v>0</v>
      </c>
      <c r="AB3231" s="339">
        <f t="shared" si="272"/>
        <v>0</v>
      </c>
    </row>
    <row r="3232" spans="2:28" ht="20.100000000000001" customHeight="1">
      <c r="B3232" s="172"/>
      <c r="C3232" s="174"/>
      <c r="D3232" s="181"/>
      <c r="E3232" s="173"/>
      <c r="F3232" s="176"/>
      <c r="G3232" s="175">
        <f t="shared" si="263"/>
        <v>0</v>
      </c>
      <c r="H3232" s="175">
        <f t="shared" si="264"/>
        <v>0</v>
      </c>
      <c r="I3232" s="177">
        <f>IF(G3232=0,0,IF(E3232="MXN",1/HLOOKUP(YEAR(C3232)+(MONTH(C3232)/100),TC!$5:$37,DAY(C3232)+2,FALSE),VLOOKUP(E3232,Equivalencia!$5:$23,((MAX(Equivalencia!$3:$3)-YEAR(C3232))*14)+MONTH(C3232)+2,FALSE)))</f>
        <v>0</v>
      </c>
      <c r="J3232" s="178">
        <f t="shared" si="265"/>
        <v>0</v>
      </c>
      <c r="K3232" s="462">
        <f>IF(C3232=0,0,VLOOKUP(YEAR(C3232),INPC!$B$4:$O$29,MONTH(C3232)+1))</f>
        <v>0</v>
      </c>
      <c r="L3232" s="462">
        <f>IF(S3232=0,0,VLOOKUP(YEAR(S3232),INPC!$B$4:$O$29,MONTH(S3232)+1))</f>
        <v>0</v>
      </c>
      <c r="M3232" s="463">
        <f t="shared" si="266"/>
        <v>0</v>
      </c>
      <c r="N3232" s="465">
        <f t="shared" si="267"/>
        <v>0</v>
      </c>
      <c r="O3232" s="179"/>
      <c r="P3232" s="180"/>
      <c r="Q3232" s="173"/>
      <c r="R3232" s="173"/>
      <c r="S3232" s="174"/>
      <c r="T3232" s="173"/>
      <c r="U3232" s="182"/>
      <c r="V3232" s="177">
        <f>IF(U3232=0,0,IF(T3232="MXN",1/HLOOKUP(YEAR(S3232)+(MONTH(S3232)/100),TC!$5:$37,DAY(S3232)+2,FALSE),VLOOKUP(T3232,Equivalencia!$1:$23,((MAX(Equivalencia!$3:$3)-YEAR(S3232))*14)+MONTH(S3232)+2,FALSE)))</f>
        <v>0</v>
      </c>
      <c r="W3232" s="178">
        <f t="shared" si="268"/>
        <v>0</v>
      </c>
      <c r="X3232" s="481">
        <f t="shared" si="269"/>
        <v>0</v>
      </c>
      <c r="Y3232" s="179"/>
      <c r="Z3232" s="466">
        <f t="shared" si="270"/>
        <v>0</v>
      </c>
      <c r="AA3232" s="473">
        <f t="shared" si="271"/>
        <v>0</v>
      </c>
      <c r="AB3232" s="339">
        <f t="shared" si="272"/>
        <v>0</v>
      </c>
    </row>
    <row r="3233" spans="2:28" ht="20.100000000000001" customHeight="1">
      <c r="B3233" s="172"/>
      <c r="C3233" s="174"/>
      <c r="D3233" s="181"/>
      <c r="E3233" s="173"/>
      <c r="F3233" s="176"/>
      <c r="G3233" s="175">
        <f t="shared" si="263"/>
        <v>0</v>
      </c>
      <c r="H3233" s="175">
        <f t="shared" si="264"/>
        <v>0</v>
      </c>
      <c r="I3233" s="177">
        <f>IF(G3233=0,0,IF(E3233="MXN",1/HLOOKUP(YEAR(C3233)+(MONTH(C3233)/100),TC!$5:$37,DAY(C3233)+2,FALSE),VLOOKUP(E3233,Equivalencia!$5:$23,((MAX(Equivalencia!$3:$3)-YEAR(C3233))*14)+MONTH(C3233)+2,FALSE)))</f>
        <v>0</v>
      </c>
      <c r="J3233" s="178">
        <f t="shared" si="265"/>
        <v>0</v>
      </c>
      <c r="K3233" s="462">
        <f>IF(C3233=0,0,VLOOKUP(YEAR(C3233),INPC!$B$4:$O$29,MONTH(C3233)+1))</f>
        <v>0</v>
      </c>
      <c r="L3233" s="462">
        <f>IF(S3233=0,0,VLOOKUP(YEAR(S3233),INPC!$B$4:$O$29,MONTH(S3233)+1))</f>
        <v>0</v>
      </c>
      <c r="M3233" s="463">
        <f t="shared" si="266"/>
        <v>0</v>
      </c>
      <c r="N3233" s="465">
        <f t="shared" si="267"/>
        <v>0</v>
      </c>
      <c r="O3233" s="179"/>
      <c r="P3233" s="180"/>
      <c r="Q3233" s="173"/>
      <c r="R3233" s="173"/>
      <c r="S3233" s="174"/>
      <c r="T3233" s="173"/>
      <c r="U3233" s="182"/>
      <c r="V3233" s="177">
        <f>IF(U3233=0,0,IF(T3233="MXN",1/HLOOKUP(YEAR(S3233)+(MONTH(S3233)/100),TC!$5:$37,DAY(S3233)+2,FALSE),VLOOKUP(T3233,Equivalencia!$1:$23,((MAX(Equivalencia!$3:$3)-YEAR(S3233))*14)+MONTH(S3233)+2,FALSE)))</f>
        <v>0</v>
      </c>
      <c r="W3233" s="178">
        <f t="shared" si="268"/>
        <v>0</v>
      </c>
      <c r="X3233" s="481">
        <f t="shared" si="269"/>
        <v>0</v>
      </c>
      <c r="Y3233" s="179"/>
      <c r="Z3233" s="466">
        <f t="shared" si="270"/>
        <v>0</v>
      </c>
      <c r="AA3233" s="473">
        <f t="shared" si="271"/>
        <v>0</v>
      </c>
      <c r="AB3233" s="339">
        <f t="shared" si="272"/>
        <v>0</v>
      </c>
    </row>
    <row r="3234" spans="2:28" ht="20.100000000000001" customHeight="1">
      <c r="B3234" s="172"/>
      <c r="C3234" s="174"/>
      <c r="D3234" s="181"/>
      <c r="E3234" s="173"/>
      <c r="F3234" s="176"/>
      <c r="G3234" s="175">
        <f t="shared" si="263"/>
        <v>0</v>
      </c>
      <c r="H3234" s="175">
        <f t="shared" si="264"/>
        <v>0</v>
      </c>
      <c r="I3234" s="177">
        <f>IF(G3234=0,0,IF(E3234="MXN",1/HLOOKUP(YEAR(C3234)+(MONTH(C3234)/100),TC!$5:$37,DAY(C3234)+2,FALSE),VLOOKUP(E3234,Equivalencia!$5:$23,((MAX(Equivalencia!$3:$3)-YEAR(C3234))*14)+MONTH(C3234)+2,FALSE)))</f>
        <v>0</v>
      </c>
      <c r="J3234" s="178">
        <f t="shared" si="265"/>
        <v>0</v>
      </c>
      <c r="K3234" s="462">
        <f>IF(C3234=0,0,VLOOKUP(YEAR(C3234),INPC!$B$4:$O$29,MONTH(C3234)+1))</f>
        <v>0</v>
      </c>
      <c r="L3234" s="462">
        <f>IF(S3234=0,0,VLOOKUP(YEAR(S3234),INPC!$B$4:$O$29,MONTH(S3234)+1))</f>
        <v>0</v>
      </c>
      <c r="M3234" s="463">
        <f t="shared" si="266"/>
        <v>0</v>
      </c>
      <c r="N3234" s="465">
        <f t="shared" si="267"/>
        <v>0</v>
      </c>
      <c r="O3234" s="179"/>
      <c r="P3234" s="180"/>
      <c r="Q3234" s="173"/>
      <c r="R3234" s="173"/>
      <c r="S3234" s="174"/>
      <c r="T3234" s="173"/>
      <c r="U3234" s="182"/>
      <c r="V3234" s="177">
        <f>IF(U3234=0,0,IF(T3234="MXN",1/HLOOKUP(YEAR(S3234)+(MONTH(S3234)/100),TC!$5:$37,DAY(S3234)+2,FALSE),VLOOKUP(T3234,Equivalencia!$1:$23,((MAX(Equivalencia!$3:$3)-YEAR(S3234))*14)+MONTH(S3234)+2,FALSE)))</f>
        <v>0</v>
      </c>
      <c r="W3234" s="178">
        <f t="shared" si="268"/>
        <v>0</v>
      </c>
      <c r="X3234" s="481">
        <f t="shared" si="269"/>
        <v>0</v>
      </c>
      <c r="Y3234" s="179"/>
      <c r="Z3234" s="466">
        <f t="shared" si="270"/>
        <v>0</v>
      </c>
      <c r="AA3234" s="473">
        <f t="shared" si="271"/>
        <v>0</v>
      </c>
      <c r="AB3234" s="339">
        <f t="shared" si="272"/>
        <v>0</v>
      </c>
    </row>
    <row r="3235" spans="2:28" ht="20.100000000000001" customHeight="1">
      <c r="B3235" s="172"/>
      <c r="C3235" s="174"/>
      <c r="D3235" s="181"/>
      <c r="E3235" s="173"/>
      <c r="F3235" s="176"/>
      <c r="G3235" s="175">
        <f t="shared" si="263"/>
        <v>0</v>
      </c>
      <c r="H3235" s="175">
        <f t="shared" si="264"/>
        <v>0</v>
      </c>
      <c r="I3235" s="177">
        <f>IF(G3235=0,0,IF(E3235="MXN",1/HLOOKUP(YEAR(C3235)+(MONTH(C3235)/100),TC!$5:$37,DAY(C3235)+2,FALSE),VLOOKUP(E3235,Equivalencia!$5:$23,((MAX(Equivalencia!$3:$3)-YEAR(C3235))*14)+MONTH(C3235)+2,FALSE)))</f>
        <v>0</v>
      </c>
      <c r="J3235" s="178">
        <f t="shared" si="265"/>
        <v>0</v>
      </c>
      <c r="K3235" s="462">
        <f>IF(C3235=0,0,VLOOKUP(YEAR(C3235),INPC!$B$4:$O$29,MONTH(C3235)+1))</f>
        <v>0</v>
      </c>
      <c r="L3235" s="462">
        <f>IF(S3235=0,0,VLOOKUP(YEAR(S3235),INPC!$B$4:$O$29,MONTH(S3235)+1))</f>
        <v>0</v>
      </c>
      <c r="M3235" s="463">
        <f t="shared" si="266"/>
        <v>0</v>
      </c>
      <c r="N3235" s="465">
        <f t="shared" si="267"/>
        <v>0</v>
      </c>
      <c r="O3235" s="179"/>
      <c r="P3235" s="180"/>
      <c r="Q3235" s="173"/>
      <c r="R3235" s="173"/>
      <c r="S3235" s="174"/>
      <c r="T3235" s="173"/>
      <c r="U3235" s="182"/>
      <c r="V3235" s="177">
        <f>IF(U3235=0,0,IF(T3235="MXN",1/HLOOKUP(YEAR(S3235)+(MONTH(S3235)/100),TC!$5:$37,DAY(S3235)+2,FALSE),VLOOKUP(T3235,Equivalencia!$1:$23,((MAX(Equivalencia!$3:$3)-YEAR(S3235))*14)+MONTH(S3235)+2,FALSE)))</f>
        <v>0</v>
      </c>
      <c r="W3235" s="178">
        <f t="shared" si="268"/>
        <v>0</v>
      </c>
      <c r="X3235" s="481">
        <f t="shared" si="269"/>
        <v>0</v>
      </c>
      <c r="Y3235" s="179"/>
      <c r="Z3235" s="466">
        <f t="shared" si="270"/>
        <v>0</v>
      </c>
      <c r="AA3235" s="473">
        <f t="shared" si="271"/>
        <v>0</v>
      </c>
      <c r="AB3235" s="339">
        <f t="shared" si="272"/>
        <v>0</v>
      </c>
    </row>
    <row r="3236" spans="2:28" ht="20.100000000000001" customHeight="1">
      <c r="B3236" s="172"/>
      <c r="C3236" s="174"/>
      <c r="D3236" s="181"/>
      <c r="E3236" s="173"/>
      <c r="F3236" s="176"/>
      <c r="G3236" s="175">
        <f t="shared" si="263"/>
        <v>0</v>
      </c>
      <c r="H3236" s="175">
        <f t="shared" si="264"/>
        <v>0</v>
      </c>
      <c r="I3236" s="177">
        <f>IF(G3236=0,0,IF(E3236="MXN",1/HLOOKUP(YEAR(C3236)+(MONTH(C3236)/100),TC!$5:$37,DAY(C3236)+2,FALSE),VLOOKUP(E3236,Equivalencia!$5:$23,((MAX(Equivalencia!$3:$3)-YEAR(C3236))*14)+MONTH(C3236)+2,FALSE)))</f>
        <v>0</v>
      </c>
      <c r="J3236" s="178">
        <f t="shared" si="265"/>
        <v>0</v>
      </c>
      <c r="K3236" s="462">
        <f>IF(C3236=0,0,VLOOKUP(YEAR(C3236),INPC!$B$4:$O$29,MONTH(C3236)+1))</f>
        <v>0</v>
      </c>
      <c r="L3236" s="462">
        <f>IF(S3236=0,0,VLOOKUP(YEAR(S3236),INPC!$B$4:$O$29,MONTH(S3236)+1))</f>
        <v>0</v>
      </c>
      <c r="M3236" s="463">
        <f t="shared" si="266"/>
        <v>0</v>
      </c>
      <c r="N3236" s="465">
        <f t="shared" si="267"/>
        <v>0</v>
      </c>
      <c r="O3236" s="179"/>
      <c r="P3236" s="180"/>
      <c r="Q3236" s="173"/>
      <c r="R3236" s="173"/>
      <c r="S3236" s="174"/>
      <c r="T3236" s="173"/>
      <c r="U3236" s="182"/>
      <c r="V3236" s="177">
        <f>IF(U3236=0,0,IF(T3236="MXN",1/HLOOKUP(YEAR(S3236)+(MONTH(S3236)/100),TC!$5:$37,DAY(S3236)+2,FALSE),VLOOKUP(T3236,Equivalencia!$1:$23,((MAX(Equivalencia!$3:$3)-YEAR(S3236))*14)+MONTH(S3236)+2,FALSE)))</f>
        <v>0</v>
      </c>
      <c r="W3236" s="178">
        <f t="shared" si="268"/>
        <v>0</v>
      </c>
      <c r="X3236" s="481">
        <f t="shared" si="269"/>
        <v>0</v>
      </c>
      <c r="Y3236" s="179"/>
      <c r="Z3236" s="466">
        <f t="shared" si="270"/>
        <v>0</v>
      </c>
      <c r="AA3236" s="473">
        <f t="shared" si="271"/>
        <v>0</v>
      </c>
      <c r="AB3236" s="339">
        <f t="shared" si="272"/>
        <v>0</v>
      </c>
    </row>
    <row r="3237" spans="2:28" ht="20.100000000000001" customHeight="1">
      <c r="B3237" s="172"/>
      <c r="C3237" s="174"/>
      <c r="D3237" s="181"/>
      <c r="E3237" s="173"/>
      <c r="F3237" s="176"/>
      <c r="G3237" s="175">
        <f t="shared" si="263"/>
        <v>0</v>
      </c>
      <c r="H3237" s="175">
        <f t="shared" si="264"/>
        <v>0</v>
      </c>
      <c r="I3237" s="177">
        <f>IF(G3237=0,0,IF(E3237="MXN",1/HLOOKUP(YEAR(C3237)+(MONTH(C3237)/100),TC!$5:$37,DAY(C3237)+2,FALSE),VLOOKUP(E3237,Equivalencia!$5:$23,((MAX(Equivalencia!$3:$3)-YEAR(C3237))*14)+MONTH(C3237)+2,FALSE)))</f>
        <v>0</v>
      </c>
      <c r="J3237" s="178">
        <f t="shared" si="265"/>
        <v>0</v>
      </c>
      <c r="K3237" s="462">
        <f>IF(C3237=0,0,VLOOKUP(YEAR(C3237),INPC!$B$4:$O$29,MONTH(C3237)+1))</f>
        <v>0</v>
      </c>
      <c r="L3237" s="462">
        <f>IF(S3237=0,0,VLOOKUP(YEAR(S3237),INPC!$B$4:$O$29,MONTH(S3237)+1))</f>
        <v>0</v>
      </c>
      <c r="M3237" s="463">
        <f t="shared" si="266"/>
        <v>0</v>
      </c>
      <c r="N3237" s="465">
        <f t="shared" si="267"/>
        <v>0</v>
      </c>
      <c r="O3237" s="179"/>
      <c r="P3237" s="180"/>
      <c r="Q3237" s="173"/>
      <c r="R3237" s="173"/>
      <c r="S3237" s="174"/>
      <c r="T3237" s="173"/>
      <c r="U3237" s="182"/>
      <c r="V3237" s="177">
        <f>IF(U3237=0,0,IF(T3237="MXN",1/HLOOKUP(YEAR(S3237)+(MONTH(S3237)/100),TC!$5:$37,DAY(S3237)+2,FALSE),VLOOKUP(T3237,Equivalencia!$1:$23,((MAX(Equivalencia!$3:$3)-YEAR(S3237))*14)+MONTH(S3237)+2,FALSE)))</f>
        <v>0</v>
      </c>
      <c r="W3237" s="178">
        <f t="shared" si="268"/>
        <v>0</v>
      </c>
      <c r="X3237" s="481">
        <f t="shared" si="269"/>
        <v>0</v>
      </c>
      <c r="Y3237" s="179"/>
      <c r="Z3237" s="466">
        <f t="shared" si="270"/>
        <v>0</v>
      </c>
      <c r="AA3237" s="473">
        <f t="shared" si="271"/>
        <v>0</v>
      </c>
      <c r="AB3237" s="339">
        <f t="shared" si="272"/>
        <v>0</v>
      </c>
    </row>
    <row r="3238" spans="2:28" ht="20.100000000000001" customHeight="1">
      <c r="B3238" s="172"/>
      <c r="C3238" s="174"/>
      <c r="D3238" s="181"/>
      <c r="E3238" s="173"/>
      <c r="F3238" s="176"/>
      <c r="G3238" s="175">
        <f t="shared" si="263"/>
        <v>0</v>
      </c>
      <c r="H3238" s="175">
        <f t="shared" si="264"/>
        <v>0</v>
      </c>
      <c r="I3238" s="177">
        <f>IF(G3238=0,0,IF(E3238="MXN",1/HLOOKUP(YEAR(C3238)+(MONTH(C3238)/100),TC!$5:$37,DAY(C3238)+2,FALSE),VLOOKUP(E3238,Equivalencia!$5:$23,((MAX(Equivalencia!$3:$3)-YEAR(C3238))*14)+MONTH(C3238)+2,FALSE)))</f>
        <v>0</v>
      </c>
      <c r="J3238" s="178">
        <f t="shared" si="265"/>
        <v>0</v>
      </c>
      <c r="K3238" s="462">
        <f>IF(C3238=0,0,VLOOKUP(YEAR(C3238),INPC!$B$4:$O$29,MONTH(C3238)+1))</f>
        <v>0</v>
      </c>
      <c r="L3238" s="462">
        <f>IF(S3238=0,0,VLOOKUP(YEAR(S3238),INPC!$B$4:$O$29,MONTH(S3238)+1))</f>
        <v>0</v>
      </c>
      <c r="M3238" s="463">
        <f t="shared" si="266"/>
        <v>0</v>
      </c>
      <c r="N3238" s="465">
        <f t="shared" si="267"/>
        <v>0</v>
      </c>
      <c r="O3238" s="179"/>
      <c r="P3238" s="180"/>
      <c r="Q3238" s="173"/>
      <c r="R3238" s="173"/>
      <c r="S3238" s="174"/>
      <c r="T3238" s="173"/>
      <c r="U3238" s="182"/>
      <c r="V3238" s="177">
        <f>IF(U3238=0,0,IF(T3238="MXN",1/HLOOKUP(YEAR(S3238)+(MONTH(S3238)/100),TC!$5:$37,DAY(S3238)+2,FALSE),VLOOKUP(T3238,Equivalencia!$1:$23,((MAX(Equivalencia!$3:$3)-YEAR(S3238))*14)+MONTH(S3238)+2,FALSE)))</f>
        <v>0</v>
      </c>
      <c r="W3238" s="178">
        <f t="shared" si="268"/>
        <v>0</v>
      </c>
      <c r="X3238" s="481">
        <f t="shared" si="269"/>
        <v>0</v>
      </c>
      <c r="Y3238" s="179"/>
      <c r="Z3238" s="466">
        <f t="shared" si="270"/>
        <v>0</v>
      </c>
      <c r="AA3238" s="473">
        <f t="shared" si="271"/>
        <v>0</v>
      </c>
      <c r="AB3238" s="339">
        <f t="shared" si="272"/>
        <v>0</v>
      </c>
    </row>
    <row r="3239" spans="2:28" ht="20.100000000000001" customHeight="1">
      <c r="B3239" s="172"/>
      <c r="C3239" s="174"/>
      <c r="D3239" s="181"/>
      <c r="E3239" s="173"/>
      <c r="F3239" s="176"/>
      <c r="G3239" s="175">
        <f t="shared" si="263"/>
        <v>0</v>
      </c>
      <c r="H3239" s="175">
        <f t="shared" si="264"/>
        <v>0</v>
      </c>
      <c r="I3239" s="177">
        <f>IF(G3239=0,0,IF(E3239="MXN",1/HLOOKUP(YEAR(C3239)+(MONTH(C3239)/100),TC!$5:$37,DAY(C3239)+2,FALSE),VLOOKUP(E3239,Equivalencia!$5:$23,((MAX(Equivalencia!$3:$3)-YEAR(C3239))*14)+MONTH(C3239)+2,FALSE)))</f>
        <v>0</v>
      </c>
      <c r="J3239" s="178">
        <f t="shared" si="265"/>
        <v>0</v>
      </c>
      <c r="K3239" s="462">
        <f>IF(C3239=0,0,VLOOKUP(YEAR(C3239),INPC!$B$4:$O$29,MONTH(C3239)+1))</f>
        <v>0</v>
      </c>
      <c r="L3239" s="462">
        <f>IF(S3239=0,0,VLOOKUP(YEAR(S3239),INPC!$B$4:$O$29,MONTH(S3239)+1))</f>
        <v>0</v>
      </c>
      <c r="M3239" s="463">
        <f t="shared" si="266"/>
        <v>0</v>
      </c>
      <c r="N3239" s="465">
        <f t="shared" si="267"/>
        <v>0</v>
      </c>
      <c r="O3239" s="179"/>
      <c r="P3239" s="180"/>
      <c r="Q3239" s="173"/>
      <c r="R3239" s="173"/>
      <c r="S3239" s="174"/>
      <c r="T3239" s="173"/>
      <c r="U3239" s="182"/>
      <c r="V3239" s="177">
        <f>IF(U3239=0,0,IF(T3239="MXN",1/HLOOKUP(YEAR(S3239)+(MONTH(S3239)/100),TC!$5:$37,DAY(S3239)+2,FALSE),VLOOKUP(T3239,Equivalencia!$1:$23,((MAX(Equivalencia!$3:$3)-YEAR(S3239))*14)+MONTH(S3239)+2,FALSE)))</f>
        <v>0</v>
      </c>
      <c r="W3239" s="178">
        <f t="shared" si="268"/>
        <v>0</v>
      </c>
      <c r="X3239" s="481">
        <f t="shared" si="269"/>
        <v>0</v>
      </c>
      <c r="Y3239" s="179"/>
      <c r="Z3239" s="466">
        <f t="shared" si="270"/>
        <v>0</v>
      </c>
      <c r="AA3239" s="473">
        <f t="shared" si="271"/>
        <v>0</v>
      </c>
      <c r="AB3239" s="339">
        <f t="shared" si="272"/>
        <v>0</v>
      </c>
    </row>
    <row r="3240" spans="2:28" ht="20.100000000000001" customHeight="1">
      <c r="B3240" s="172"/>
      <c r="C3240" s="174"/>
      <c r="D3240" s="181"/>
      <c r="E3240" s="173"/>
      <c r="F3240" s="176"/>
      <c r="G3240" s="175">
        <f t="shared" si="263"/>
        <v>0</v>
      </c>
      <c r="H3240" s="175">
        <f t="shared" si="264"/>
        <v>0</v>
      </c>
      <c r="I3240" s="177">
        <f>IF(G3240=0,0,IF(E3240="MXN",1/HLOOKUP(YEAR(C3240)+(MONTH(C3240)/100),TC!$5:$37,DAY(C3240)+2,FALSE),VLOOKUP(E3240,Equivalencia!$5:$23,((MAX(Equivalencia!$3:$3)-YEAR(C3240))*14)+MONTH(C3240)+2,FALSE)))</f>
        <v>0</v>
      </c>
      <c r="J3240" s="178">
        <f t="shared" si="265"/>
        <v>0</v>
      </c>
      <c r="K3240" s="462">
        <f>IF(C3240=0,0,VLOOKUP(YEAR(C3240),INPC!$B$4:$O$29,MONTH(C3240)+1))</f>
        <v>0</v>
      </c>
      <c r="L3240" s="462">
        <f>IF(S3240=0,0,VLOOKUP(YEAR(S3240),INPC!$B$4:$O$29,MONTH(S3240)+1))</f>
        <v>0</v>
      </c>
      <c r="M3240" s="463">
        <f t="shared" si="266"/>
        <v>0</v>
      </c>
      <c r="N3240" s="465">
        <f t="shared" si="267"/>
        <v>0</v>
      </c>
      <c r="O3240" s="179"/>
      <c r="P3240" s="180"/>
      <c r="Q3240" s="173"/>
      <c r="R3240" s="173"/>
      <c r="S3240" s="174"/>
      <c r="T3240" s="173"/>
      <c r="U3240" s="182"/>
      <c r="V3240" s="177">
        <f>IF(U3240=0,0,IF(T3240="MXN",1/HLOOKUP(YEAR(S3240)+(MONTH(S3240)/100),TC!$5:$37,DAY(S3240)+2,FALSE),VLOOKUP(T3240,Equivalencia!$1:$23,((MAX(Equivalencia!$3:$3)-YEAR(S3240))*14)+MONTH(S3240)+2,FALSE)))</f>
        <v>0</v>
      </c>
      <c r="W3240" s="178">
        <f t="shared" si="268"/>
        <v>0</v>
      </c>
      <c r="X3240" s="481">
        <f t="shared" si="269"/>
        <v>0</v>
      </c>
      <c r="Y3240" s="179"/>
      <c r="Z3240" s="466">
        <f t="shared" si="270"/>
        <v>0</v>
      </c>
      <c r="AA3240" s="473">
        <f t="shared" si="271"/>
        <v>0</v>
      </c>
      <c r="AB3240" s="339">
        <f t="shared" si="272"/>
        <v>0</v>
      </c>
    </row>
    <row r="3241" spans="2:28" ht="20.100000000000001" customHeight="1">
      <c r="B3241" s="172"/>
      <c r="C3241" s="174"/>
      <c r="D3241" s="181"/>
      <c r="E3241" s="173"/>
      <c r="F3241" s="176"/>
      <c r="G3241" s="175">
        <f t="shared" si="263"/>
        <v>0</v>
      </c>
      <c r="H3241" s="175">
        <f t="shared" si="264"/>
        <v>0</v>
      </c>
      <c r="I3241" s="177">
        <f>IF(G3241=0,0,IF(E3241="MXN",1/HLOOKUP(YEAR(C3241)+(MONTH(C3241)/100),TC!$5:$37,DAY(C3241)+2,FALSE),VLOOKUP(E3241,Equivalencia!$5:$23,((MAX(Equivalencia!$3:$3)-YEAR(C3241))*14)+MONTH(C3241)+2,FALSE)))</f>
        <v>0</v>
      </c>
      <c r="J3241" s="178">
        <f t="shared" si="265"/>
        <v>0</v>
      </c>
      <c r="K3241" s="462">
        <f>IF(C3241=0,0,VLOOKUP(YEAR(C3241),INPC!$B$4:$O$29,MONTH(C3241)+1))</f>
        <v>0</v>
      </c>
      <c r="L3241" s="462">
        <f>IF(S3241=0,0,VLOOKUP(YEAR(S3241),INPC!$B$4:$O$29,MONTH(S3241)+1))</f>
        <v>0</v>
      </c>
      <c r="M3241" s="463">
        <f t="shared" si="266"/>
        <v>0</v>
      </c>
      <c r="N3241" s="465">
        <f t="shared" si="267"/>
        <v>0</v>
      </c>
      <c r="O3241" s="179"/>
      <c r="P3241" s="180"/>
      <c r="Q3241" s="173"/>
      <c r="R3241" s="173"/>
      <c r="S3241" s="174"/>
      <c r="T3241" s="173"/>
      <c r="U3241" s="182"/>
      <c r="V3241" s="177">
        <f>IF(U3241=0,0,IF(T3241="MXN",1/HLOOKUP(YEAR(S3241)+(MONTH(S3241)/100),TC!$5:$37,DAY(S3241)+2,FALSE),VLOOKUP(T3241,Equivalencia!$1:$23,((MAX(Equivalencia!$3:$3)-YEAR(S3241))*14)+MONTH(S3241)+2,FALSE)))</f>
        <v>0</v>
      </c>
      <c r="W3241" s="178">
        <f t="shared" si="268"/>
        <v>0</v>
      </c>
      <c r="X3241" s="481">
        <f t="shared" si="269"/>
        <v>0</v>
      </c>
      <c r="Y3241" s="179"/>
      <c r="Z3241" s="466">
        <f t="shared" si="270"/>
        <v>0</v>
      </c>
      <c r="AA3241" s="473">
        <f t="shared" si="271"/>
        <v>0</v>
      </c>
      <c r="AB3241" s="339">
        <f t="shared" si="272"/>
        <v>0</v>
      </c>
    </row>
    <row r="3242" spans="2:28" ht="20.100000000000001" customHeight="1">
      <c r="B3242" s="172"/>
      <c r="C3242" s="174"/>
      <c r="D3242" s="181"/>
      <c r="E3242" s="173"/>
      <c r="F3242" s="176"/>
      <c r="G3242" s="175">
        <f t="shared" si="263"/>
        <v>0</v>
      </c>
      <c r="H3242" s="175">
        <f t="shared" si="264"/>
        <v>0</v>
      </c>
      <c r="I3242" s="177">
        <f>IF(G3242=0,0,IF(E3242="MXN",1/HLOOKUP(YEAR(C3242)+(MONTH(C3242)/100),TC!$5:$37,DAY(C3242)+2,FALSE),VLOOKUP(E3242,Equivalencia!$5:$23,((MAX(Equivalencia!$3:$3)-YEAR(C3242))*14)+MONTH(C3242)+2,FALSE)))</f>
        <v>0</v>
      </c>
      <c r="J3242" s="178">
        <f t="shared" si="265"/>
        <v>0</v>
      </c>
      <c r="K3242" s="462">
        <f>IF(C3242=0,0,VLOOKUP(YEAR(C3242),INPC!$B$4:$O$29,MONTH(C3242)+1))</f>
        <v>0</v>
      </c>
      <c r="L3242" s="462">
        <f>IF(S3242=0,0,VLOOKUP(YEAR(S3242),INPC!$B$4:$O$29,MONTH(S3242)+1))</f>
        <v>0</v>
      </c>
      <c r="M3242" s="463">
        <f t="shared" si="266"/>
        <v>0</v>
      </c>
      <c r="N3242" s="465">
        <f t="shared" si="267"/>
        <v>0</v>
      </c>
      <c r="O3242" s="179"/>
      <c r="P3242" s="180"/>
      <c r="Q3242" s="173"/>
      <c r="R3242" s="173"/>
      <c r="S3242" s="174"/>
      <c r="T3242" s="173"/>
      <c r="U3242" s="182"/>
      <c r="V3242" s="177">
        <f>IF(U3242=0,0,IF(T3242="MXN",1/HLOOKUP(YEAR(S3242)+(MONTH(S3242)/100),TC!$5:$37,DAY(S3242)+2,FALSE),VLOOKUP(T3242,Equivalencia!$1:$23,((MAX(Equivalencia!$3:$3)-YEAR(S3242))*14)+MONTH(S3242)+2,FALSE)))</f>
        <v>0</v>
      </c>
      <c r="W3242" s="178">
        <f t="shared" si="268"/>
        <v>0</v>
      </c>
      <c r="X3242" s="481">
        <f t="shared" si="269"/>
        <v>0</v>
      </c>
      <c r="Y3242" s="179"/>
      <c r="Z3242" s="466">
        <f t="shared" si="270"/>
        <v>0</v>
      </c>
      <c r="AA3242" s="473">
        <f t="shared" si="271"/>
        <v>0</v>
      </c>
      <c r="AB3242" s="339">
        <f t="shared" si="272"/>
        <v>0</v>
      </c>
    </row>
    <row r="3243" spans="2:28" ht="20.100000000000001" customHeight="1">
      <c r="B3243" s="172"/>
      <c r="C3243" s="174"/>
      <c r="D3243" s="181"/>
      <c r="E3243" s="173"/>
      <c r="F3243" s="176"/>
      <c r="G3243" s="175">
        <f t="shared" si="263"/>
        <v>0</v>
      </c>
      <c r="H3243" s="175">
        <f t="shared" si="264"/>
        <v>0</v>
      </c>
      <c r="I3243" s="177">
        <f>IF(G3243=0,0,IF(E3243="MXN",1/HLOOKUP(YEAR(C3243)+(MONTH(C3243)/100),TC!$5:$37,DAY(C3243)+2,FALSE),VLOOKUP(E3243,Equivalencia!$5:$23,((MAX(Equivalencia!$3:$3)-YEAR(C3243))*14)+MONTH(C3243)+2,FALSE)))</f>
        <v>0</v>
      </c>
      <c r="J3243" s="178">
        <f t="shared" si="265"/>
        <v>0</v>
      </c>
      <c r="K3243" s="462">
        <f>IF(C3243=0,0,VLOOKUP(YEAR(C3243),INPC!$B$4:$O$29,MONTH(C3243)+1))</f>
        <v>0</v>
      </c>
      <c r="L3243" s="462">
        <f>IF(S3243=0,0,VLOOKUP(YEAR(S3243),INPC!$B$4:$O$29,MONTH(S3243)+1))</f>
        <v>0</v>
      </c>
      <c r="M3243" s="463">
        <f t="shared" si="266"/>
        <v>0</v>
      </c>
      <c r="N3243" s="465">
        <f t="shared" si="267"/>
        <v>0</v>
      </c>
      <c r="O3243" s="179"/>
      <c r="P3243" s="180"/>
      <c r="Q3243" s="173"/>
      <c r="R3243" s="173"/>
      <c r="S3243" s="174"/>
      <c r="T3243" s="173"/>
      <c r="U3243" s="182"/>
      <c r="V3243" s="177">
        <f>IF(U3243=0,0,IF(T3243="MXN",1/HLOOKUP(YEAR(S3243)+(MONTH(S3243)/100),TC!$5:$37,DAY(S3243)+2,FALSE),VLOOKUP(T3243,Equivalencia!$1:$23,((MAX(Equivalencia!$3:$3)-YEAR(S3243))*14)+MONTH(S3243)+2,FALSE)))</f>
        <v>0</v>
      </c>
      <c r="W3243" s="178">
        <f t="shared" si="268"/>
        <v>0</v>
      </c>
      <c r="X3243" s="481">
        <f t="shared" si="269"/>
        <v>0</v>
      </c>
      <c r="Y3243" s="179"/>
      <c r="Z3243" s="466">
        <f t="shared" si="270"/>
        <v>0</v>
      </c>
      <c r="AA3243" s="473">
        <f t="shared" si="271"/>
        <v>0</v>
      </c>
      <c r="AB3243" s="339">
        <f t="shared" si="272"/>
        <v>0</v>
      </c>
    </row>
    <row r="3244" spans="2:28" ht="20.100000000000001" customHeight="1">
      <c r="B3244" s="172"/>
      <c r="C3244" s="174"/>
      <c r="D3244" s="181"/>
      <c r="E3244" s="173"/>
      <c r="F3244" s="176"/>
      <c r="G3244" s="175">
        <f t="shared" si="263"/>
        <v>0</v>
      </c>
      <c r="H3244" s="175">
        <f t="shared" si="264"/>
        <v>0</v>
      </c>
      <c r="I3244" s="177">
        <f>IF(G3244=0,0,IF(E3244="MXN",1/HLOOKUP(YEAR(C3244)+(MONTH(C3244)/100),TC!$5:$37,DAY(C3244)+2,FALSE),VLOOKUP(E3244,Equivalencia!$5:$23,((MAX(Equivalencia!$3:$3)-YEAR(C3244))*14)+MONTH(C3244)+2,FALSE)))</f>
        <v>0</v>
      </c>
      <c r="J3244" s="178">
        <f t="shared" si="265"/>
        <v>0</v>
      </c>
      <c r="K3244" s="462">
        <f>IF(C3244=0,0,VLOOKUP(YEAR(C3244),INPC!$B$4:$O$29,MONTH(C3244)+1))</f>
        <v>0</v>
      </c>
      <c r="L3244" s="462">
        <f>IF(S3244=0,0,VLOOKUP(YEAR(S3244),INPC!$B$4:$O$29,MONTH(S3244)+1))</f>
        <v>0</v>
      </c>
      <c r="M3244" s="463">
        <f t="shared" si="266"/>
        <v>0</v>
      </c>
      <c r="N3244" s="465">
        <f t="shared" si="267"/>
        <v>0</v>
      </c>
      <c r="O3244" s="179"/>
      <c r="P3244" s="180"/>
      <c r="Q3244" s="173"/>
      <c r="R3244" s="173"/>
      <c r="S3244" s="174"/>
      <c r="T3244" s="173"/>
      <c r="U3244" s="182"/>
      <c r="V3244" s="177">
        <f>IF(U3244=0,0,IF(T3244="MXN",1/HLOOKUP(YEAR(S3244)+(MONTH(S3244)/100),TC!$5:$37,DAY(S3244)+2,FALSE),VLOOKUP(T3244,Equivalencia!$1:$23,((MAX(Equivalencia!$3:$3)-YEAR(S3244))*14)+MONTH(S3244)+2,FALSE)))</f>
        <v>0</v>
      </c>
      <c r="W3244" s="178">
        <f t="shared" si="268"/>
        <v>0</v>
      </c>
      <c r="X3244" s="481">
        <f t="shared" si="269"/>
        <v>0</v>
      </c>
      <c r="Y3244" s="179"/>
      <c r="Z3244" s="466">
        <f t="shared" si="270"/>
        <v>0</v>
      </c>
      <c r="AA3244" s="473">
        <f t="shared" si="271"/>
        <v>0</v>
      </c>
      <c r="AB3244" s="339">
        <f t="shared" si="272"/>
        <v>0</v>
      </c>
    </row>
    <row r="3245" spans="2:28" ht="20.100000000000001" customHeight="1">
      <c r="B3245" s="172"/>
      <c r="C3245" s="174"/>
      <c r="D3245" s="181"/>
      <c r="E3245" s="173"/>
      <c r="F3245" s="176"/>
      <c r="G3245" s="175">
        <f t="shared" si="263"/>
        <v>0</v>
      </c>
      <c r="H3245" s="175">
        <f t="shared" si="264"/>
        <v>0</v>
      </c>
      <c r="I3245" s="177">
        <f>IF(G3245=0,0,IF(E3245="MXN",1/HLOOKUP(YEAR(C3245)+(MONTH(C3245)/100),TC!$5:$37,DAY(C3245)+2,FALSE),VLOOKUP(E3245,Equivalencia!$5:$23,((MAX(Equivalencia!$3:$3)-YEAR(C3245))*14)+MONTH(C3245)+2,FALSE)))</f>
        <v>0</v>
      </c>
      <c r="J3245" s="178">
        <f t="shared" si="265"/>
        <v>0</v>
      </c>
      <c r="K3245" s="462">
        <f>IF(C3245=0,0,VLOOKUP(YEAR(C3245),INPC!$B$4:$O$29,MONTH(C3245)+1))</f>
        <v>0</v>
      </c>
      <c r="L3245" s="462">
        <f>IF(S3245=0,0,VLOOKUP(YEAR(S3245),INPC!$B$4:$O$29,MONTH(S3245)+1))</f>
        <v>0</v>
      </c>
      <c r="M3245" s="463">
        <f t="shared" si="266"/>
        <v>0</v>
      </c>
      <c r="N3245" s="465">
        <f t="shared" si="267"/>
        <v>0</v>
      </c>
      <c r="O3245" s="179"/>
      <c r="P3245" s="180"/>
      <c r="Q3245" s="173"/>
      <c r="R3245" s="173"/>
      <c r="S3245" s="174"/>
      <c r="T3245" s="173"/>
      <c r="U3245" s="182"/>
      <c r="V3245" s="177">
        <f>IF(U3245=0,0,IF(T3245="MXN",1/HLOOKUP(YEAR(S3245)+(MONTH(S3245)/100),TC!$5:$37,DAY(S3245)+2,FALSE),VLOOKUP(T3245,Equivalencia!$1:$23,((MAX(Equivalencia!$3:$3)-YEAR(S3245))*14)+MONTH(S3245)+2,FALSE)))</f>
        <v>0</v>
      </c>
      <c r="W3245" s="178">
        <f t="shared" si="268"/>
        <v>0</v>
      </c>
      <c r="X3245" s="481">
        <f t="shared" si="269"/>
        <v>0</v>
      </c>
      <c r="Y3245" s="179"/>
      <c r="Z3245" s="466">
        <f t="shared" si="270"/>
        <v>0</v>
      </c>
      <c r="AA3245" s="473">
        <f t="shared" si="271"/>
        <v>0</v>
      </c>
      <c r="AB3245" s="339">
        <f t="shared" si="272"/>
        <v>0</v>
      </c>
    </row>
    <row r="3246" spans="2:28" ht="20.100000000000001" customHeight="1">
      <c r="B3246" s="172"/>
      <c r="C3246" s="174"/>
      <c r="D3246" s="181"/>
      <c r="E3246" s="173"/>
      <c r="F3246" s="176"/>
      <c r="G3246" s="175">
        <f t="shared" si="263"/>
        <v>0</v>
      </c>
      <c r="H3246" s="175">
        <f t="shared" si="264"/>
        <v>0</v>
      </c>
      <c r="I3246" s="177">
        <f>IF(G3246=0,0,IF(E3246="MXN",1/HLOOKUP(YEAR(C3246)+(MONTH(C3246)/100),TC!$5:$37,DAY(C3246)+2,FALSE),VLOOKUP(E3246,Equivalencia!$5:$23,((MAX(Equivalencia!$3:$3)-YEAR(C3246))*14)+MONTH(C3246)+2,FALSE)))</f>
        <v>0</v>
      </c>
      <c r="J3246" s="178">
        <f t="shared" si="265"/>
        <v>0</v>
      </c>
      <c r="K3246" s="462">
        <f>IF(C3246=0,0,VLOOKUP(YEAR(C3246),INPC!$B$4:$O$29,MONTH(C3246)+1))</f>
        <v>0</v>
      </c>
      <c r="L3246" s="462">
        <f>IF(S3246=0,0,VLOOKUP(YEAR(S3246),INPC!$B$4:$O$29,MONTH(S3246)+1))</f>
        <v>0</v>
      </c>
      <c r="M3246" s="463">
        <f t="shared" si="266"/>
        <v>0</v>
      </c>
      <c r="N3246" s="465">
        <f t="shared" si="267"/>
        <v>0</v>
      </c>
      <c r="O3246" s="179"/>
      <c r="P3246" s="180"/>
      <c r="Q3246" s="173"/>
      <c r="R3246" s="173"/>
      <c r="S3246" s="174"/>
      <c r="T3246" s="173"/>
      <c r="U3246" s="182"/>
      <c r="V3246" s="177">
        <f>IF(U3246=0,0,IF(T3246="MXN",1/HLOOKUP(YEAR(S3246)+(MONTH(S3246)/100),TC!$5:$37,DAY(S3246)+2,FALSE),VLOOKUP(T3246,Equivalencia!$1:$23,((MAX(Equivalencia!$3:$3)-YEAR(S3246))*14)+MONTH(S3246)+2,FALSE)))</f>
        <v>0</v>
      </c>
      <c r="W3246" s="178">
        <f t="shared" si="268"/>
        <v>0</v>
      </c>
      <c r="X3246" s="481">
        <f t="shared" si="269"/>
        <v>0</v>
      </c>
      <c r="Y3246" s="179"/>
      <c r="Z3246" s="466">
        <f t="shared" si="270"/>
        <v>0</v>
      </c>
      <c r="AA3246" s="473">
        <f t="shared" si="271"/>
        <v>0</v>
      </c>
      <c r="AB3246" s="339">
        <f t="shared" si="272"/>
        <v>0</v>
      </c>
    </row>
    <row r="3247" spans="2:28" ht="20.100000000000001" customHeight="1">
      <c r="B3247" s="172"/>
      <c r="C3247" s="174"/>
      <c r="D3247" s="181"/>
      <c r="E3247" s="173"/>
      <c r="F3247" s="176"/>
      <c r="G3247" s="175">
        <f t="shared" si="263"/>
        <v>0</v>
      </c>
      <c r="H3247" s="175">
        <f t="shared" si="264"/>
        <v>0</v>
      </c>
      <c r="I3247" s="177">
        <f>IF(G3247=0,0,IF(E3247="MXN",1/HLOOKUP(YEAR(C3247)+(MONTH(C3247)/100),TC!$5:$37,DAY(C3247)+2,FALSE),VLOOKUP(E3247,Equivalencia!$5:$23,((MAX(Equivalencia!$3:$3)-YEAR(C3247))*14)+MONTH(C3247)+2,FALSE)))</f>
        <v>0</v>
      </c>
      <c r="J3247" s="178">
        <f t="shared" si="265"/>
        <v>0</v>
      </c>
      <c r="K3247" s="462">
        <f>IF(C3247=0,0,VLOOKUP(YEAR(C3247),INPC!$B$4:$O$29,MONTH(C3247)+1))</f>
        <v>0</v>
      </c>
      <c r="L3247" s="462">
        <f>IF(S3247=0,0,VLOOKUP(YEAR(S3247),INPC!$B$4:$O$29,MONTH(S3247)+1))</f>
        <v>0</v>
      </c>
      <c r="M3247" s="463">
        <f t="shared" si="266"/>
        <v>0</v>
      </c>
      <c r="N3247" s="465">
        <f t="shared" si="267"/>
        <v>0</v>
      </c>
      <c r="O3247" s="179"/>
      <c r="P3247" s="180"/>
      <c r="Q3247" s="173"/>
      <c r="R3247" s="173"/>
      <c r="S3247" s="174"/>
      <c r="T3247" s="173"/>
      <c r="U3247" s="182"/>
      <c r="V3247" s="177">
        <f>IF(U3247=0,0,IF(T3247="MXN",1/HLOOKUP(YEAR(S3247)+(MONTH(S3247)/100),TC!$5:$37,DAY(S3247)+2,FALSE),VLOOKUP(T3247,Equivalencia!$1:$23,((MAX(Equivalencia!$3:$3)-YEAR(S3247))*14)+MONTH(S3247)+2,FALSE)))</f>
        <v>0</v>
      </c>
      <c r="W3247" s="178">
        <f t="shared" si="268"/>
        <v>0</v>
      </c>
      <c r="X3247" s="481">
        <f t="shared" si="269"/>
        <v>0</v>
      </c>
      <c r="Y3247" s="179"/>
      <c r="Z3247" s="466">
        <f t="shared" si="270"/>
        <v>0</v>
      </c>
      <c r="AA3247" s="473">
        <f t="shared" si="271"/>
        <v>0</v>
      </c>
      <c r="AB3247" s="339">
        <f t="shared" si="272"/>
        <v>0</v>
      </c>
    </row>
    <row r="3248" spans="2:28" ht="20.100000000000001" customHeight="1">
      <c r="B3248" s="172"/>
      <c r="C3248" s="174"/>
      <c r="D3248" s="181"/>
      <c r="E3248" s="173"/>
      <c r="F3248" s="176"/>
      <c r="G3248" s="175">
        <f t="shared" si="263"/>
        <v>0</v>
      </c>
      <c r="H3248" s="175">
        <f t="shared" si="264"/>
        <v>0</v>
      </c>
      <c r="I3248" s="177">
        <f>IF(G3248=0,0,IF(E3248="MXN",1/HLOOKUP(YEAR(C3248)+(MONTH(C3248)/100),TC!$5:$37,DAY(C3248)+2,FALSE),VLOOKUP(E3248,Equivalencia!$5:$23,((MAX(Equivalencia!$3:$3)-YEAR(C3248))*14)+MONTH(C3248)+2,FALSE)))</f>
        <v>0</v>
      </c>
      <c r="J3248" s="178">
        <f t="shared" si="265"/>
        <v>0</v>
      </c>
      <c r="K3248" s="462">
        <f>IF(C3248=0,0,VLOOKUP(YEAR(C3248),INPC!$B$4:$O$29,MONTH(C3248)+1))</f>
        <v>0</v>
      </c>
      <c r="L3248" s="462">
        <f>IF(S3248=0,0,VLOOKUP(YEAR(S3248),INPC!$B$4:$O$29,MONTH(S3248)+1))</f>
        <v>0</v>
      </c>
      <c r="M3248" s="463">
        <f t="shared" si="266"/>
        <v>0</v>
      </c>
      <c r="N3248" s="465">
        <f t="shared" si="267"/>
        <v>0</v>
      </c>
      <c r="O3248" s="179"/>
      <c r="P3248" s="180"/>
      <c r="Q3248" s="173"/>
      <c r="R3248" s="173"/>
      <c r="S3248" s="174"/>
      <c r="T3248" s="173"/>
      <c r="U3248" s="182"/>
      <c r="V3248" s="177">
        <f>IF(U3248=0,0,IF(T3248="MXN",1/HLOOKUP(YEAR(S3248)+(MONTH(S3248)/100),TC!$5:$37,DAY(S3248)+2,FALSE),VLOOKUP(T3248,Equivalencia!$1:$23,((MAX(Equivalencia!$3:$3)-YEAR(S3248))*14)+MONTH(S3248)+2,FALSE)))</f>
        <v>0</v>
      </c>
      <c r="W3248" s="178">
        <f t="shared" si="268"/>
        <v>0</v>
      </c>
      <c r="X3248" s="481">
        <f t="shared" si="269"/>
        <v>0</v>
      </c>
      <c r="Y3248" s="179"/>
      <c r="Z3248" s="466">
        <f t="shared" si="270"/>
        <v>0</v>
      </c>
      <c r="AA3248" s="473">
        <f t="shared" si="271"/>
        <v>0</v>
      </c>
      <c r="AB3248" s="339">
        <f t="shared" si="272"/>
        <v>0</v>
      </c>
    </row>
    <row r="3249" spans="2:28" ht="20.100000000000001" customHeight="1">
      <c r="B3249" s="172"/>
      <c r="C3249" s="174"/>
      <c r="D3249" s="181"/>
      <c r="E3249" s="173"/>
      <c r="F3249" s="176"/>
      <c r="G3249" s="175">
        <f t="shared" si="263"/>
        <v>0</v>
      </c>
      <c r="H3249" s="175">
        <f t="shared" si="264"/>
        <v>0</v>
      </c>
      <c r="I3249" s="177">
        <f>IF(G3249=0,0,IF(E3249="MXN",1/HLOOKUP(YEAR(C3249)+(MONTH(C3249)/100),TC!$5:$37,DAY(C3249)+2,FALSE),VLOOKUP(E3249,Equivalencia!$5:$23,((MAX(Equivalencia!$3:$3)-YEAR(C3249))*14)+MONTH(C3249)+2,FALSE)))</f>
        <v>0</v>
      </c>
      <c r="J3249" s="178">
        <f t="shared" si="265"/>
        <v>0</v>
      </c>
      <c r="K3249" s="462">
        <f>IF(C3249=0,0,VLOOKUP(YEAR(C3249),INPC!$B$4:$O$29,MONTH(C3249)+1))</f>
        <v>0</v>
      </c>
      <c r="L3249" s="462">
        <f>IF(S3249=0,0,VLOOKUP(YEAR(S3249),INPC!$B$4:$O$29,MONTH(S3249)+1))</f>
        <v>0</v>
      </c>
      <c r="M3249" s="463">
        <f t="shared" si="266"/>
        <v>0</v>
      </c>
      <c r="N3249" s="465">
        <f t="shared" si="267"/>
        <v>0</v>
      </c>
      <c r="O3249" s="179"/>
      <c r="P3249" s="180"/>
      <c r="Q3249" s="173"/>
      <c r="R3249" s="173"/>
      <c r="S3249" s="174"/>
      <c r="T3249" s="173"/>
      <c r="U3249" s="182"/>
      <c r="V3249" s="177">
        <f>IF(U3249=0,0,IF(T3249="MXN",1/HLOOKUP(YEAR(S3249)+(MONTH(S3249)/100),TC!$5:$37,DAY(S3249)+2,FALSE),VLOOKUP(T3249,Equivalencia!$1:$23,((MAX(Equivalencia!$3:$3)-YEAR(S3249))*14)+MONTH(S3249)+2,FALSE)))</f>
        <v>0</v>
      </c>
      <c r="W3249" s="178">
        <f t="shared" si="268"/>
        <v>0</v>
      </c>
      <c r="X3249" s="481">
        <f t="shared" si="269"/>
        <v>0</v>
      </c>
      <c r="Y3249" s="179"/>
      <c r="Z3249" s="466">
        <f t="shared" si="270"/>
        <v>0</v>
      </c>
      <c r="AA3249" s="473">
        <f t="shared" si="271"/>
        <v>0</v>
      </c>
      <c r="AB3249" s="339">
        <f t="shared" si="272"/>
        <v>0</v>
      </c>
    </row>
    <row r="3250" spans="2:28" ht="20.100000000000001" customHeight="1">
      <c r="B3250" s="172"/>
      <c r="C3250" s="174"/>
      <c r="D3250" s="181"/>
      <c r="E3250" s="173"/>
      <c r="F3250" s="176"/>
      <c r="G3250" s="175">
        <f t="shared" si="263"/>
        <v>0</v>
      </c>
      <c r="H3250" s="175">
        <f t="shared" si="264"/>
        <v>0</v>
      </c>
      <c r="I3250" s="177">
        <f>IF(G3250=0,0,IF(E3250="MXN",1/HLOOKUP(YEAR(C3250)+(MONTH(C3250)/100),TC!$5:$37,DAY(C3250)+2,FALSE),VLOOKUP(E3250,Equivalencia!$5:$23,((MAX(Equivalencia!$3:$3)-YEAR(C3250))*14)+MONTH(C3250)+2,FALSE)))</f>
        <v>0</v>
      </c>
      <c r="J3250" s="178">
        <f t="shared" si="265"/>
        <v>0</v>
      </c>
      <c r="K3250" s="462">
        <f>IF(C3250=0,0,VLOOKUP(YEAR(C3250),INPC!$B$4:$O$29,MONTH(C3250)+1))</f>
        <v>0</v>
      </c>
      <c r="L3250" s="462">
        <f>IF(S3250=0,0,VLOOKUP(YEAR(S3250),INPC!$B$4:$O$29,MONTH(S3250)+1))</f>
        <v>0</v>
      </c>
      <c r="M3250" s="463">
        <f t="shared" si="266"/>
        <v>0</v>
      </c>
      <c r="N3250" s="465">
        <f t="shared" si="267"/>
        <v>0</v>
      </c>
      <c r="O3250" s="179"/>
      <c r="P3250" s="180"/>
      <c r="Q3250" s="173"/>
      <c r="R3250" s="173"/>
      <c r="S3250" s="174"/>
      <c r="T3250" s="173"/>
      <c r="U3250" s="182"/>
      <c r="V3250" s="177">
        <f>IF(U3250=0,0,IF(T3250="MXN",1/HLOOKUP(YEAR(S3250)+(MONTH(S3250)/100),TC!$5:$37,DAY(S3250)+2,FALSE),VLOOKUP(T3250,Equivalencia!$1:$23,((MAX(Equivalencia!$3:$3)-YEAR(S3250))*14)+MONTH(S3250)+2,FALSE)))</f>
        <v>0</v>
      </c>
      <c r="W3250" s="178">
        <f t="shared" si="268"/>
        <v>0</v>
      </c>
      <c r="X3250" s="481">
        <f t="shared" si="269"/>
        <v>0</v>
      </c>
      <c r="Y3250" s="179"/>
      <c r="Z3250" s="466">
        <f t="shared" si="270"/>
        <v>0</v>
      </c>
      <c r="AA3250" s="473">
        <f t="shared" si="271"/>
        <v>0</v>
      </c>
      <c r="AB3250" s="339">
        <f t="shared" si="272"/>
        <v>0</v>
      </c>
    </row>
    <row r="3251" spans="2:28" ht="20.100000000000001" customHeight="1">
      <c r="B3251" s="172"/>
      <c r="C3251" s="174"/>
      <c r="D3251" s="181"/>
      <c r="E3251" s="173"/>
      <c r="F3251" s="176"/>
      <c r="G3251" s="175">
        <f t="shared" si="263"/>
        <v>0</v>
      </c>
      <c r="H3251" s="175">
        <f t="shared" si="264"/>
        <v>0</v>
      </c>
      <c r="I3251" s="177">
        <f>IF(G3251=0,0,IF(E3251="MXN",1/HLOOKUP(YEAR(C3251)+(MONTH(C3251)/100),TC!$5:$37,DAY(C3251)+2,FALSE),VLOOKUP(E3251,Equivalencia!$5:$23,((MAX(Equivalencia!$3:$3)-YEAR(C3251))*14)+MONTH(C3251)+2,FALSE)))</f>
        <v>0</v>
      </c>
      <c r="J3251" s="178">
        <f t="shared" si="265"/>
        <v>0</v>
      </c>
      <c r="K3251" s="462">
        <f>IF(C3251=0,0,VLOOKUP(YEAR(C3251),INPC!$B$4:$O$29,MONTH(C3251)+1))</f>
        <v>0</v>
      </c>
      <c r="L3251" s="462">
        <f>IF(S3251=0,0,VLOOKUP(YEAR(S3251),INPC!$B$4:$O$29,MONTH(S3251)+1))</f>
        <v>0</v>
      </c>
      <c r="M3251" s="463">
        <f t="shared" si="266"/>
        <v>0</v>
      </c>
      <c r="N3251" s="465">
        <f t="shared" si="267"/>
        <v>0</v>
      </c>
      <c r="O3251" s="179"/>
      <c r="P3251" s="180"/>
      <c r="Q3251" s="173"/>
      <c r="R3251" s="173"/>
      <c r="S3251" s="174"/>
      <c r="T3251" s="173"/>
      <c r="U3251" s="182"/>
      <c r="V3251" s="177">
        <f>IF(U3251=0,0,IF(T3251="MXN",1/HLOOKUP(YEAR(S3251)+(MONTH(S3251)/100),TC!$5:$37,DAY(S3251)+2,FALSE),VLOOKUP(T3251,Equivalencia!$1:$23,((MAX(Equivalencia!$3:$3)-YEAR(S3251))*14)+MONTH(S3251)+2,FALSE)))</f>
        <v>0</v>
      </c>
      <c r="W3251" s="178">
        <f t="shared" si="268"/>
        <v>0</v>
      </c>
      <c r="X3251" s="481">
        <f t="shared" si="269"/>
        <v>0</v>
      </c>
      <c r="Y3251" s="179"/>
      <c r="Z3251" s="466">
        <f t="shared" si="270"/>
        <v>0</v>
      </c>
      <c r="AA3251" s="473">
        <f t="shared" si="271"/>
        <v>0</v>
      </c>
      <c r="AB3251" s="339">
        <f t="shared" si="272"/>
        <v>0</v>
      </c>
    </row>
    <row r="3252" spans="2:28" ht="20.100000000000001" customHeight="1">
      <c r="B3252" s="172"/>
      <c r="C3252" s="174"/>
      <c r="D3252" s="181"/>
      <c r="E3252" s="173"/>
      <c r="F3252" s="176"/>
      <c r="G3252" s="175">
        <f t="shared" si="263"/>
        <v>0</v>
      </c>
      <c r="H3252" s="175">
        <f t="shared" si="264"/>
        <v>0</v>
      </c>
      <c r="I3252" s="177">
        <f>IF(G3252=0,0,IF(E3252="MXN",1/HLOOKUP(YEAR(C3252)+(MONTH(C3252)/100),TC!$5:$37,DAY(C3252)+2,FALSE),VLOOKUP(E3252,Equivalencia!$5:$23,((MAX(Equivalencia!$3:$3)-YEAR(C3252))*14)+MONTH(C3252)+2,FALSE)))</f>
        <v>0</v>
      </c>
      <c r="J3252" s="178">
        <f t="shared" si="265"/>
        <v>0</v>
      </c>
      <c r="K3252" s="462">
        <f>IF(C3252=0,0,VLOOKUP(YEAR(C3252),INPC!$B$4:$O$29,MONTH(C3252)+1))</f>
        <v>0</v>
      </c>
      <c r="L3252" s="462">
        <f>IF(S3252=0,0,VLOOKUP(YEAR(S3252),INPC!$B$4:$O$29,MONTH(S3252)+1))</f>
        <v>0</v>
      </c>
      <c r="M3252" s="463">
        <f t="shared" si="266"/>
        <v>0</v>
      </c>
      <c r="N3252" s="465">
        <f t="shared" si="267"/>
        <v>0</v>
      </c>
      <c r="O3252" s="179"/>
      <c r="P3252" s="180"/>
      <c r="Q3252" s="173"/>
      <c r="R3252" s="173"/>
      <c r="S3252" s="174"/>
      <c r="T3252" s="173"/>
      <c r="U3252" s="182"/>
      <c r="V3252" s="177">
        <f>IF(U3252=0,0,IF(T3252="MXN",1/HLOOKUP(YEAR(S3252)+(MONTH(S3252)/100),TC!$5:$37,DAY(S3252)+2,FALSE),VLOOKUP(T3252,Equivalencia!$1:$23,((MAX(Equivalencia!$3:$3)-YEAR(S3252))*14)+MONTH(S3252)+2,FALSE)))</f>
        <v>0</v>
      </c>
      <c r="W3252" s="178">
        <f t="shared" si="268"/>
        <v>0</v>
      </c>
      <c r="X3252" s="481">
        <f t="shared" si="269"/>
        <v>0</v>
      </c>
      <c r="Y3252" s="179"/>
      <c r="Z3252" s="466">
        <f t="shared" si="270"/>
        <v>0</v>
      </c>
      <c r="AA3252" s="473">
        <f t="shared" si="271"/>
        <v>0</v>
      </c>
      <c r="AB3252" s="339">
        <f t="shared" si="272"/>
        <v>0</v>
      </c>
    </row>
    <row r="3253" spans="2:28" ht="20.100000000000001" customHeight="1">
      <c r="B3253" s="172"/>
      <c r="C3253" s="174"/>
      <c r="D3253" s="181"/>
      <c r="E3253" s="173"/>
      <c r="F3253" s="176"/>
      <c r="G3253" s="175">
        <f t="shared" si="263"/>
        <v>0</v>
      </c>
      <c r="H3253" s="175">
        <f t="shared" si="264"/>
        <v>0</v>
      </c>
      <c r="I3253" s="177">
        <f>IF(G3253=0,0,IF(E3253="MXN",1/HLOOKUP(YEAR(C3253)+(MONTH(C3253)/100),TC!$5:$37,DAY(C3253)+2,FALSE),VLOOKUP(E3253,Equivalencia!$5:$23,((MAX(Equivalencia!$3:$3)-YEAR(C3253))*14)+MONTH(C3253)+2,FALSE)))</f>
        <v>0</v>
      </c>
      <c r="J3253" s="178">
        <f t="shared" si="265"/>
        <v>0</v>
      </c>
      <c r="K3253" s="462">
        <f>IF(C3253=0,0,VLOOKUP(YEAR(C3253),INPC!$B$4:$O$29,MONTH(C3253)+1))</f>
        <v>0</v>
      </c>
      <c r="L3253" s="462">
        <f>IF(S3253=0,0,VLOOKUP(YEAR(S3253),INPC!$B$4:$O$29,MONTH(S3253)+1))</f>
        <v>0</v>
      </c>
      <c r="M3253" s="463">
        <f t="shared" si="266"/>
        <v>0</v>
      </c>
      <c r="N3253" s="465">
        <f t="shared" si="267"/>
        <v>0</v>
      </c>
      <c r="O3253" s="179"/>
      <c r="P3253" s="180"/>
      <c r="Q3253" s="173"/>
      <c r="R3253" s="173"/>
      <c r="S3253" s="174"/>
      <c r="T3253" s="173"/>
      <c r="U3253" s="182"/>
      <c r="V3253" s="177">
        <f>IF(U3253=0,0,IF(T3253="MXN",1/HLOOKUP(YEAR(S3253)+(MONTH(S3253)/100),TC!$5:$37,DAY(S3253)+2,FALSE),VLOOKUP(T3253,Equivalencia!$1:$23,((MAX(Equivalencia!$3:$3)-YEAR(S3253))*14)+MONTH(S3253)+2,FALSE)))</f>
        <v>0</v>
      </c>
      <c r="W3253" s="178">
        <f t="shared" si="268"/>
        <v>0</v>
      </c>
      <c r="X3253" s="481">
        <f t="shared" si="269"/>
        <v>0</v>
      </c>
      <c r="Y3253" s="179"/>
      <c r="Z3253" s="466">
        <f t="shared" si="270"/>
        <v>0</v>
      </c>
      <c r="AA3253" s="473">
        <f t="shared" si="271"/>
        <v>0</v>
      </c>
      <c r="AB3253" s="339">
        <f t="shared" si="272"/>
        <v>0</v>
      </c>
    </row>
    <row r="3254" spans="2:28" ht="20.100000000000001" customHeight="1">
      <c r="B3254" s="172"/>
      <c r="C3254" s="174"/>
      <c r="D3254" s="181"/>
      <c r="E3254" s="173"/>
      <c r="F3254" s="176"/>
      <c r="G3254" s="175">
        <f t="shared" si="263"/>
        <v>0</v>
      </c>
      <c r="H3254" s="175">
        <f t="shared" si="264"/>
        <v>0</v>
      </c>
      <c r="I3254" s="177">
        <f>IF(G3254=0,0,IF(E3254="MXN",1/HLOOKUP(YEAR(C3254)+(MONTH(C3254)/100),TC!$5:$37,DAY(C3254)+2,FALSE),VLOOKUP(E3254,Equivalencia!$5:$23,((MAX(Equivalencia!$3:$3)-YEAR(C3254))*14)+MONTH(C3254)+2,FALSE)))</f>
        <v>0</v>
      </c>
      <c r="J3254" s="178">
        <f t="shared" si="265"/>
        <v>0</v>
      </c>
      <c r="K3254" s="462">
        <f>IF(C3254=0,0,VLOOKUP(YEAR(C3254),INPC!$B$4:$O$29,MONTH(C3254)+1))</f>
        <v>0</v>
      </c>
      <c r="L3254" s="462">
        <f>IF(S3254=0,0,VLOOKUP(YEAR(S3254),INPC!$B$4:$O$29,MONTH(S3254)+1))</f>
        <v>0</v>
      </c>
      <c r="M3254" s="463">
        <f t="shared" si="266"/>
        <v>0</v>
      </c>
      <c r="N3254" s="465">
        <f t="shared" si="267"/>
        <v>0</v>
      </c>
      <c r="O3254" s="179"/>
      <c r="P3254" s="180"/>
      <c r="Q3254" s="173"/>
      <c r="R3254" s="173"/>
      <c r="S3254" s="174"/>
      <c r="T3254" s="173"/>
      <c r="U3254" s="182"/>
      <c r="V3254" s="177">
        <f>IF(U3254=0,0,IF(T3254="MXN",1/HLOOKUP(YEAR(S3254)+(MONTH(S3254)/100),TC!$5:$37,DAY(S3254)+2,FALSE),VLOOKUP(T3254,Equivalencia!$1:$23,((MAX(Equivalencia!$3:$3)-YEAR(S3254))*14)+MONTH(S3254)+2,FALSE)))</f>
        <v>0</v>
      </c>
      <c r="W3254" s="178">
        <f t="shared" si="268"/>
        <v>0</v>
      </c>
      <c r="X3254" s="481">
        <f t="shared" si="269"/>
        <v>0</v>
      </c>
      <c r="Y3254" s="179"/>
      <c r="Z3254" s="466">
        <f t="shared" si="270"/>
        <v>0</v>
      </c>
      <c r="AA3254" s="473">
        <f t="shared" si="271"/>
        <v>0</v>
      </c>
      <c r="AB3254" s="339">
        <f t="shared" si="272"/>
        <v>0</v>
      </c>
    </row>
    <row r="3255" spans="2:28" ht="20.100000000000001" customHeight="1">
      <c r="B3255" s="172"/>
      <c r="C3255" s="174"/>
      <c r="D3255" s="181"/>
      <c r="E3255" s="173"/>
      <c r="F3255" s="176"/>
      <c r="G3255" s="175">
        <f t="shared" si="263"/>
        <v>0</v>
      </c>
      <c r="H3255" s="175">
        <f t="shared" si="264"/>
        <v>0</v>
      </c>
      <c r="I3255" s="177">
        <f>IF(G3255=0,0,IF(E3255="MXN",1/HLOOKUP(YEAR(C3255)+(MONTH(C3255)/100),TC!$5:$37,DAY(C3255)+2,FALSE),VLOOKUP(E3255,Equivalencia!$5:$23,((MAX(Equivalencia!$3:$3)-YEAR(C3255))*14)+MONTH(C3255)+2,FALSE)))</f>
        <v>0</v>
      </c>
      <c r="J3255" s="178">
        <f t="shared" si="265"/>
        <v>0</v>
      </c>
      <c r="K3255" s="462">
        <f>IF(C3255=0,0,VLOOKUP(YEAR(C3255),INPC!$B$4:$O$29,MONTH(C3255)+1))</f>
        <v>0</v>
      </c>
      <c r="L3255" s="462">
        <f>IF(S3255=0,0,VLOOKUP(YEAR(S3255),INPC!$B$4:$O$29,MONTH(S3255)+1))</f>
        <v>0</v>
      </c>
      <c r="M3255" s="463">
        <f t="shared" si="266"/>
        <v>0</v>
      </c>
      <c r="N3255" s="465">
        <f t="shared" si="267"/>
        <v>0</v>
      </c>
      <c r="O3255" s="179"/>
      <c r="P3255" s="180"/>
      <c r="Q3255" s="173"/>
      <c r="R3255" s="173"/>
      <c r="S3255" s="174"/>
      <c r="T3255" s="173"/>
      <c r="U3255" s="182"/>
      <c r="V3255" s="177">
        <f>IF(U3255=0,0,IF(T3255="MXN",1/HLOOKUP(YEAR(S3255)+(MONTH(S3255)/100),TC!$5:$37,DAY(S3255)+2,FALSE),VLOOKUP(T3255,Equivalencia!$1:$23,((MAX(Equivalencia!$3:$3)-YEAR(S3255))*14)+MONTH(S3255)+2,FALSE)))</f>
        <v>0</v>
      </c>
      <c r="W3255" s="178">
        <f t="shared" si="268"/>
        <v>0</v>
      </c>
      <c r="X3255" s="481">
        <f t="shared" si="269"/>
        <v>0</v>
      </c>
      <c r="Y3255" s="179"/>
      <c r="Z3255" s="466">
        <f t="shared" si="270"/>
        <v>0</v>
      </c>
      <c r="AA3255" s="473">
        <f t="shared" si="271"/>
        <v>0</v>
      </c>
      <c r="AB3255" s="339">
        <f t="shared" si="272"/>
        <v>0</v>
      </c>
    </row>
    <row r="3256" spans="2:28" ht="20.100000000000001" customHeight="1">
      <c r="B3256" s="172"/>
      <c r="C3256" s="174"/>
      <c r="D3256" s="181"/>
      <c r="E3256" s="173"/>
      <c r="F3256" s="176"/>
      <c r="G3256" s="175">
        <f t="shared" si="263"/>
        <v>0</v>
      </c>
      <c r="H3256" s="175">
        <f t="shared" si="264"/>
        <v>0</v>
      </c>
      <c r="I3256" s="177">
        <f>IF(G3256=0,0,IF(E3256="MXN",1/HLOOKUP(YEAR(C3256)+(MONTH(C3256)/100),TC!$5:$37,DAY(C3256)+2,FALSE),VLOOKUP(E3256,Equivalencia!$5:$23,((MAX(Equivalencia!$3:$3)-YEAR(C3256))*14)+MONTH(C3256)+2,FALSE)))</f>
        <v>0</v>
      </c>
      <c r="J3256" s="178">
        <f t="shared" si="265"/>
        <v>0</v>
      </c>
      <c r="K3256" s="462">
        <f>IF(C3256=0,0,VLOOKUP(YEAR(C3256),INPC!$B$4:$O$29,MONTH(C3256)+1))</f>
        <v>0</v>
      </c>
      <c r="L3256" s="462">
        <f>IF(S3256=0,0,VLOOKUP(YEAR(S3256),INPC!$B$4:$O$29,MONTH(S3256)+1))</f>
        <v>0</v>
      </c>
      <c r="M3256" s="463">
        <f t="shared" si="266"/>
        <v>0</v>
      </c>
      <c r="N3256" s="465">
        <f t="shared" si="267"/>
        <v>0</v>
      </c>
      <c r="O3256" s="179"/>
      <c r="P3256" s="180"/>
      <c r="Q3256" s="173"/>
      <c r="R3256" s="173"/>
      <c r="S3256" s="174"/>
      <c r="T3256" s="173"/>
      <c r="U3256" s="182"/>
      <c r="V3256" s="177">
        <f>IF(U3256=0,0,IF(T3256="MXN",1/HLOOKUP(YEAR(S3256)+(MONTH(S3256)/100),TC!$5:$37,DAY(S3256)+2,FALSE),VLOOKUP(T3256,Equivalencia!$1:$23,((MAX(Equivalencia!$3:$3)-YEAR(S3256))*14)+MONTH(S3256)+2,FALSE)))</f>
        <v>0</v>
      </c>
      <c r="W3256" s="178">
        <f t="shared" si="268"/>
        <v>0</v>
      </c>
      <c r="X3256" s="481">
        <f t="shared" si="269"/>
        <v>0</v>
      </c>
      <c r="Y3256" s="179"/>
      <c r="Z3256" s="466">
        <f t="shared" si="270"/>
        <v>0</v>
      </c>
      <c r="AA3256" s="473">
        <f t="shared" si="271"/>
        <v>0</v>
      </c>
      <c r="AB3256" s="339">
        <f t="shared" si="272"/>
        <v>0</v>
      </c>
    </row>
    <row r="3257" spans="2:28" ht="20.100000000000001" customHeight="1">
      <c r="B3257" s="172"/>
      <c r="C3257" s="174"/>
      <c r="D3257" s="181"/>
      <c r="E3257" s="173"/>
      <c r="F3257" s="176"/>
      <c r="G3257" s="175">
        <f t="shared" si="263"/>
        <v>0</v>
      </c>
      <c r="H3257" s="175">
        <f t="shared" si="264"/>
        <v>0</v>
      </c>
      <c r="I3257" s="177">
        <f>IF(G3257=0,0,IF(E3257="MXN",1/HLOOKUP(YEAR(C3257)+(MONTH(C3257)/100),TC!$5:$37,DAY(C3257)+2,FALSE),VLOOKUP(E3257,Equivalencia!$5:$23,((MAX(Equivalencia!$3:$3)-YEAR(C3257))*14)+MONTH(C3257)+2,FALSE)))</f>
        <v>0</v>
      </c>
      <c r="J3257" s="178">
        <f t="shared" si="265"/>
        <v>0</v>
      </c>
      <c r="K3257" s="462">
        <f>IF(C3257=0,0,VLOOKUP(YEAR(C3257),INPC!$B$4:$O$29,MONTH(C3257)+1))</f>
        <v>0</v>
      </c>
      <c r="L3257" s="462">
        <f>IF(S3257=0,0,VLOOKUP(YEAR(S3257),INPC!$B$4:$O$29,MONTH(S3257)+1))</f>
        <v>0</v>
      </c>
      <c r="M3257" s="463">
        <f t="shared" si="266"/>
        <v>0</v>
      </c>
      <c r="N3257" s="465">
        <f t="shared" si="267"/>
        <v>0</v>
      </c>
      <c r="O3257" s="179"/>
      <c r="P3257" s="180"/>
      <c r="Q3257" s="173"/>
      <c r="R3257" s="173"/>
      <c r="S3257" s="174"/>
      <c r="T3257" s="173"/>
      <c r="U3257" s="182"/>
      <c r="V3257" s="177">
        <f>IF(U3257=0,0,IF(T3257="MXN",1/HLOOKUP(YEAR(S3257)+(MONTH(S3257)/100),TC!$5:$37,DAY(S3257)+2,FALSE),VLOOKUP(T3257,Equivalencia!$1:$23,((MAX(Equivalencia!$3:$3)-YEAR(S3257))*14)+MONTH(S3257)+2,FALSE)))</f>
        <v>0</v>
      </c>
      <c r="W3257" s="178">
        <f t="shared" si="268"/>
        <v>0</v>
      </c>
      <c r="X3257" s="481">
        <f t="shared" si="269"/>
        <v>0</v>
      </c>
      <c r="Y3257" s="179"/>
      <c r="Z3257" s="466">
        <f t="shared" si="270"/>
        <v>0</v>
      </c>
      <c r="AA3257" s="473">
        <f t="shared" si="271"/>
        <v>0</v>
      </c>
      <c r="AB3257" s="339">
        <f t="shared" si="272"/>
        <v>0</v>
      </c>
    </row>
    <row r="3258" spans="2:28" ht="20.100000000000001" customHeight="1">
      <c r="B3258" s="172"/>
      <c r="C3258" s="174"/>
      <c r="D3258" s="181"/>
      <c r="E3258" s="173"/>
      <c r="F3258" s="176"/>
      <c r="G3258" s="175">
        <f t="shared" si="263"/>
        <v>0</v>
      </c>
      <c r="H3258" s="175">
        <f t="shared" si="264"/>
        <v>0</v>
      </c>
      <c r="I3258" s="177">
        <f>IF(G3258=0,0,IF(E3258="MXN",1/HLOOKUP(YEAR(C3258)+(MONTH(C3258)/100),TC!$5:$37,DAY(C3258)+2,FALSE),VLOOKUP(E3258,Equivalencia!$5:$23,((MAX(Equivalencia!$3:$3)-YEAR(C3258))*14)+MONTH(C3258)+2,FALSE)))</f>
        <v>0</v>
      </c>
      <c r="J3258" s="178">
        <f t="shared" si="265"/>
        <v>0</v>
      </c>
      <c r="K3258" s="462">
        <f>IF(C3258=0,0,VLOOKUP(YEAR(C3258),INPC!$B$4:$O$29,MONTH(C3258)+1))</f>
        <v>0</v>
      </c>
      <c r="L3258" s="462">
        <f>IF(S3258=0,0,VLOOKUP(YEAR(S3258),INPC!$B$4:$O$29,MONTH(S3258)+1))</f>
        <v>0</v>
      </c>
      <c r="M3258" s="463">
        <f t="shared" si="266"/>
        <v>0</v>
      </c>
      <c r="N3258" s="465">
        <f t="shared" si="267"/>
        <v>0</v>
      </c>
      <c r="O3258" s="179"/>
      <c r="P3258" s="180"/>
      <c r="Q3258" s="173"/>
      <c r="R3258" s="173"/>
      <c r="S3258" s="174"/>
      <c r="T3258" s="173"/>
      <c r="U3258" s="182"/>
      <c r="V3258" s="177">
        <f>IF(U3258=0,0,IF(T3258="MXN",1/HLOOKUP(YEAR(S3258)+(MONTH(S3258)/100),TC!$5:$37,DAY(S3258)+2,FALSE),VLOOKUP(T3258,Equivalencia!$1:$23,((MAX(Equivalencia!$3:$3)-YEAR(S3258))*14)+MONTH(S3258)+2,FALSE)))</f>
        <v>0</v>
      </c>
      <c r="W3258" s="178">
        <f t="shared" si="268"/>
        <v>0</v>
      </c>
      <c r="X3258" s="481">
        <f t="shared" si="269"/>
        <v>0</v>
      </c>
      <c r="Y3258" s="179"/>
      <c r="Z3258" s="466">
        <f t="shared" si="270"/>
        <v>0</v>
      </c>
      <c r="AA3258" s="473">
        <f t="shared" si="271"/>
        <v>0</v>
      </c>
      <c r="AB3258" s="339">
        <f t="shared" si="272"/>
        <v>0</v>
      </c>
    </row>
    <row r="3259" spans="2:28" ht="20.100000000000001" customHeight="1">
      <c r="B3259" s="172"/>
      <c r="C3259" s="174"/>
      <c r="D3259" s="181"/>
      <c r="E3259" s="173"/>
      <c r="F3259" s="176"/>
      <c r="G3259" s="175">
        <f t="shared" si="263"/>
        <v>0</v>
      </c>
      <c r="H3259" s="175">
        <f t="shared" si="264"/>
        <v>0</v>
      </c>
      <c r="I3259" s="177">
        <f>IF(G3259=0,0,IF(E3259="MXN",1/HLOOKUP(YEAR(C3259)+(MONTH(C3259)/100),TC!$5:$37,DAY(C3259)+2,FALSE),VLOOKUP(E3259,Equivalencia!$5:$23,((MAX(Equivalencia!$3:$3)-YEAR(C3259))*14)+MONTH(C3259)+2,FALSE)))</f>
        <v>0</v>
      </c>
      <c r="J3259" s="178">
        <f t="shared" si="265"/>
        <v>0</v>
      </c>
      <c r="K3259" s="462">
        <f>IF(C3259=0,0,VLOOKUP(YEAR(C3259),INPC!$B$4:$O$29,MONTH(C3259)+1))</f>
        <v>0</v>
      </c>
      <c r="L3259" s="462">
        <f>IF(S3259=0,0,VLOOKUP(YEAR(S3259),INPC!$B$4:$O$29,MONTH(S3259)+1))</f>
        <v>0</v>
      </c>
      <c r="M3259" s="463">
        <f t="shared" si="266"/>
        <v>0</v>
      </c>
      <c r="N3259" s="465">
        <f t="shared" si="267"/>
        <v>0</v>
      </c>
      <c r="O3259" s="179"/>
      <c r="P3259" s="180"/>
      <c r="Q3259" s="173"/>
      <c r="R3259" s="173"/>
      <c r="S3259" s="174"/>
      <c r="T3259" s="173"/>
      <c r="U3259" s="182"/>
      <c r="V3259" s="177">
        <f>IF(U3259=0,0,IF(T3259="MXN",1/HLOOKUP(YEAR(S3259)+(MONTH(S3259)/100),TC!$5:$37,DAY(S3259)+2,FALSE),VLOOKUP(T3259,Equivalencia!$1:$23,((MAX(Equivalencia!$3:$3)-YEAR(S3259))*14)+MONTH(S3259)+2,FALSE)))</f>
        <v>0</v>
      </c>
      <c r="W3259" s="178">
        <f t="shared" si="268"/>
        <v>0</v>
      </c>
      <c r="X3259" s="481">
        <f t="shared" si="269"/>
        <v>0</v>
      </c>
      <c r="Y3259" s="179"/>
      <c r="Z3259" s="466">
        <f t="shared" si="270"/>
        <v>0</v>
      </c>
      <c r="AA3259" s="473">
        <f t="shared" si="271"/>
        <v>0</v>
      </c>
      <c r="AB3259" s="339">
        <f t="shared" si="272"/>
        <v>0</v>
      </c>
    </row>
    <row r="3260" spans="2:28" ht="20.100000000000001" customHeight="1">
      <c r="B3260" s="172"/>
      <c r="C3260" s="174"/>
      <c r="D3260" s="181"/>
      <c r="E3260" s="173"/>
      <c r="F3260" s="176"/>
      <c r="G3260" s="175">
        <f t="shared" si="263"/>
        <v>0</v>
      </c>
      <c r="H3260" s="175">
        <f t="shared" si="264"/>
        <v>0</v>
      </c>
      <c r="I3260" s="177">
        <f>IF(G3260=0,0,IF(E3260="MXN",1/HLOOKUP(YEAR(C3260)+(MONTH(C3260)/100),TC!$5:$37,DAY(C3260)+2,FALSE),VLOOKUP(E3260,Equivalencia!$5:$23,((MAX(Equivalencia!$3:$3)-YEAR(C3260))*14)+MONTH(C3260)+2,FALSE)))</f>
        <v>0</v>
      </c>
      <c r="J3260" s="178">
        <f t="shared" si="265"/>
        <v>0</v>
      </c>
      <c r="K3260" s="462">
        <f>IF(C3260=0,0,VLOOKUP(YEAR(C3260),INPC!$B$4:$O$29,MONTH(C3260)+1))</f>
        <v>0</v>
      </c>
      <c r="L3260" s="462">
        <f>IF(S3260=0,0,VLOOKUP(YEAR(S3260),INPC!$B$4:$O$29,MONTH(S3260)+1))</f>
        <v>0</v>
      </c>
      <c r="M3260" s="463">
        <f t="shared" si="266"/>
        <v>0</v>
      </c>
      <c r="N3260" s="465">
        <f t="shared" si="267"/>
        <v>0</v>
      </c>
      <c r="O3260" s="179"/>
      <c r="P3260" s="180"/>
      <c r="Q3260" s="173"/>
      <c r="R3260" s="173"/>
      <c r="S3260" s="174"/>
      <c r="T3260" s="173"/>
      <c r="U3260" s="182"/>
      <c r="V3260" s="177">
        <f>IF(U3260=0,0,IF(T3260="MXN",1/HLOOKUP(YEAR(S3260)+(MONTH(S3260)/100),TC!$5:$37,DAY(S3260)+2,FALSE),VLOOKUP(T3260,Equivalencia!$1:$23,((MAX(Equivalencia!$3:$3)-YEAR(S3260))*14)+MONTH(S3260)+2,FALSE)))</f>
        <v>0</v>
      </c>
      <c r="W3260" s="178">
        <f t="shared" si="268"/>
        <v>0</v>
      </c>
      <c r="X3260" s="481">
        <f t="shared" si="269"/>
        <v>0</v>
      </c>
      <c r="Y3260" s="179"/>
      <c r="Z3260" s="466">
        <f t="shared" si="270"/>
        <v>0</v>
      </c>
      <c r="AA3260" s="473">
        <f t="shared" si="271"/>
        <v>0</v>
      </c>
      <c r="AB3260" s="339">
        <f t="shared" si="272"/>
        <v>0</v>
      </c>
    </row>
    <row r="3261" spans="2:28" ht="20.100000000000001" customHeight="1">
      <c r="B3261" s="172"/>
      <c r="C3261" s="174"/>
      <c r="D3261" s="181"/>
      <c r="E3261" s="173"/>
      <c r="F3261" s="176"/>
      <c r="G3261" s="175">
        <f t="shared" si="263"/>
        <v>0</v>
      </c>
      <c r="H3261" s="175">
        <f t="shared" si="264"/>
        <v>0</v>
      </c>
      <c r="I3261" s="177">
        <f>IF(G3261=0,0,IF(E3261="MXN",1/HLOOKUP(YEAR(C3261)+(MONTH(C3261)/100),TC!$5:$37,DAY(C3261)+2,FALSE),VLOOKUP(E3261,Equivalencia!$5:$23,((MAX(Equivalencia!$3:$3)-YEAR(C3261))*14)+MONTH(C3261)+2,FALSE)))</f>
        <v>0</v>
      </c>
      <c r="J3261" s="178">
        <f t="shared" si="265"/>
        <v>0</v>
      </c>
      <c r="K3261" s="462">
        <f>IF(C3261=0,0,VLOOKUP(YEAR(C3261),INPC!$B$4:$O$29,MONTH(C3261)+1))</f>
        <v>0</v>
      </c>
      <c r="L3261" s="462">
        <f>IF(S3261=0,0,VLOOKUP(YEAR(S3261),INPC!$B$4:$O$29,MONTH(S3261)+1))</f>
        <v>0</v>
      </c>
      <c r="M3261" s="463">
        <f t="shared" si="266"/>
        <v>0</v>
      </c>
      <c r="N3261" s="465">
        <f t="shared" si="267"/>
        <v>0</v>
      </c>
      <c r="O3261" s="179"/>
      <c r="P3261" s="180"/>
      <c r="Q3261" s="173"/>
      <c r="R3261" s="173"/>
      <c r="S3261" s="174"/>
      <c r="T3261" s="173"/>
      <c r="U3261" s="182"/>
      <c r="V3261" s="177">
        <f>IF(U3261=0,0,IF(T3261="MXN",1/HLOOKUP(YEAR(S3261)+(MONTH(S3261)/100),TC!$5:$37,DAY(S3261)+2,FALSE),VLOOKUP(T3261,Equivalencia!$1:$23,((MAX(Equivalencia!$3:$3)-YEAR(S3261))*14)+MONTH(S3261)+2,FALSE)))</f>
        <v>0</v>
      </c>
      <c r="W3261" s="178">
        <f t="shared" si="268"/>
        <v>0</v>
      </c>
      <c r="X3261" s="481">
        <f t="shared" si="269"/>
        <v>0</v>
      </c>
      <c r="Y3261" s="179"/>
      <c r="Z3261" s="466">
        <f t="shared" si="270"/>
        <v>0</v>
      </c>
      <c r="AA3261" s="473">
        <f t="shared" si="271"/>
        <v>0</v>
      </c>
      <c r="AB3261" s="339">
        <f t="shared" si="272"/>
        <v>0</v>
      </c>
    </row>
    <row r="3262" spans="2:28" ht="20.100000000000001" customHeight="1">
      <c r="B3262" s="172"/>
      <c r="C3262" s="174"/>
      <c r="D3262" s="181"/>
      <c r="E3262" s="173"/>
      <c r="F3262" s="176"/>
      <c r="G3262" s="175">
        <f t="shared" si="263"/>
        <v>0</v>
      </c>
      <c r="H3262" s="175">
        <f t="shared" si="264"/>
        <v>0</v>
      </c>
      <c r="I3262" s="177">
        <f>IF(G3262=0,0,IF(E3262="MXN",1/HLOOKUP(YEAR(C3262)+(MONTH(C3262)/100),TC!$5:$37,DAY(C3262)+2,FALSE),VLOOKUP(E3262,Equivalencia!$5:$23,((MAX(Equivalencia!$3:$3)-YEAR(C3262))*14)+MONTH(C3262)+2,FALSE)))</f>
        <v>0</v>
      </c>
      <c r="J3262" s="178">
        <f t="shared" si="265"/>
        <v>0</v>
      </c>
      <c r="K3262" s="462">
        <f>IF(C3262=0,0,VLOOKUP(YEAR(C3262),INPC!$B$4:$O$29,MONTH(C3262)+1))</f>
        <v>0</v>
      </c>
      <c r="L3262" s="462">
        <f>IF(S3262=0,0,VLOOKUP(YEAR(S3262),INPC!$B$4:$O$29,MONTH(S3262)+1))</f>
        <v>0</v>
      </c>
      <c r="M3262" s="463">
        <f t="shared" si="266"/>
        <v>0</v>
      </c>
      <c r="N3262" s="465">
        <f t="shared" si="267"/>
        <v>0</v>
      </c>
      <c r="O3262" s="179"/>
      <c r="P3262" s="180"/>
      <c r="Q3262" s="173"/>
      <c r="R3262" s="173"/>
      <c r="S3262" s="174"/>
      <c r="T3262" s="173"/>
      <c r="U3262" s="182"/>
      <c r="V3262" s="177">
        <f>IF(U3262=0,0,IF(T3262="MXN",1/HLOOKUP(YEAR(S3262)+(MONTH(S3262)/100),TC!$5:$37,DAY(S3262)+2,FALSE),VLOOKUP(T3262,Equivalencia!$1:$23,((MAX(Equivalencia!$3:$3)-YEAR(S3262))*14)+MONTH(S3262)+2,FALSE)))</f>
        <v>0</v>
      </c>
      <c r="W3262" s="178">
        <f t="shared" si="268"/>
        <v>0</v>
      </c>
      <c r="X3262" s="481">
        <f t="shared" si="269"/>
        <v>0</v>
      </c>
      <c r="Y3262" s="179"/>
      <c r="Z3262" s="466">
        <f t="shared" si="270"/>
        <v>0</v>
      </c>
      <c r="AA3262" s="473">
        <f t="shared" si="271"/>
        <v>0</v>
      </c>
      <c r="AB3262" s="339">
        <f t="shared" si="272"/>
        <v>0</v>
      </c>
    </row>
    <row r="3263" spans="2:28" ht="20.100000000000001" customHeight="1">
      <c r="B3263" s="172"/>
      <c r="C3263" s="174"/>
      <c r="D3263" s="181"/>
      <c r="E3263" s="173"/>
      <c r="F3263" s="176"/>
      <c r="G3263" s="175">
        <f t="shared" si="263"/>
        <v>0</v>
      </c>
      <c r="H3263" s="175">
        <f t="shared" si="264"/>
        <v>0</v>
      </c>
      <c r="I3263" s="177">
        <f>IF(G3263=0,0,IF(E3263="MXN",1/HLOOKUP(YEAR(C3263)+(MONTH(C3263)/100),TC!$5:$37,DAY(C3263)+2,FALSE),VLOOKUP(E3263,Equivalencia!$5:$23,((MAX(Equivalencia!$3:$3)-YEAR(C3263))*14)+MONTH(C3263)+2,FALSE)))</f>
        <v>0</v>
      </c>
      <c r="J3263" s="178">
        <f t="shared" si="265"/>
        <v>0</v>
      </c>
      <c r="K3263" s="462">
        <f>IF(C3263=0,0,VLOOKUP(YEAR(C3263),INPC!$B$4:$O$29,MONTH(C3263)+1))</f>
        <v>0</v>
      </c>
      <c r="L3263" s="462">
        <f>IF(S3263=0,0,VLOOKUP(YEAR(S3263),INPC!$B$4:$O$29,MONTH(S3263)+1))</f>
        <v>0</v>
      </c>
      <c r="M3263" s="463">
        <f t="shared" si="266"/>
        <v>0</v>
      </c>
      <c r="N3263" s="465">
        <f t="shared" si="267"/>
        <v>0</v>
      </c>
      <c r="O3263" s="179"/>
      <c r="P3263" s="180"/>
      <c r="Q3263" s="173"/>
      <c r="R3263" s="173"/>
      <c r="S3263" s="174"/>
      <c r="T3263" s="173"/>
      <c r="U3263" s="182"/>
      <c r="V3263" s="177">
        <f>IF(U3263=0,0,IF(T3263="MXN",1/HLOOKUP(YEAR(S3263)+(MONTH(S3263)/100),TC!$5:$37,DAY(S3263)+2,FALSE),VLOOKUP(T3263,Equivalencia!$1:$23,((MAX(Equivalencia!$3:$3)-YEAR(S3263))*14)+MONTH(S3263)+2,FALSE)))</f>
        <v>0</v>
      </c>
      <c r="W3263" s="178">
        <f t="shared" si="268"/>
        <v>0</v>
      </c>
      <c r="X3263" s="481">
        <f t="shared" si="269"/>
        <v>0</v>
      </c>
      <c r="Y3263" s="179"/>
      <c r="Z3263" s="466">
        <f t="shared" si="270"/>
        <v>0</v>
      </c>
      <c r="AA3263" s="473">
        <f t="shared" si="271"/>
        <v>0</v>
      </c>
      <c r="AB3263" s="339">
        <f t="shared" si="272"/>
        <v>0</v>
      </c>
    </row>
    <row r="3264" spans="2:28" ht="20.100000000000001" customHeight="1">
      <c r="B3264" s="172"/>
      <c r="C3264" s="174"/>
      <c r="D3264" s="181"/>
      <c r="E3264" s="173"/>
      <c r="F3264" s="176"/>
      <c r="G3264" s="175">
        <f t="shared" si="263"/>
        <v>0</v>
      </c>
      <c r="H3264" s="175">
        <f t="shared" si="264"/>
        <v>0</v>
      </c>
      <c r="I3264" s="177">
        <f>IF(G3264=0,0,IF(E3264="MXN",1/HLOOKUP(YEAR(C3264)+(MONTH(C3264)/100),TC!$5:$37,DAY(C3264)+2,FALSE),VLOOKUP(E3264,Equivalencia!$5:$23,((MAX(Equivalencia!$3:$3)-YEAR(C3264))*14)+MONTH(C3264)+2,FALSE)))</f>
        <v>0</v>
      </c>
      <c r="J3264" s="178">
        <f t="shared" si="265"/>
        <v>0</v>
      </c>
      <c r="K3264" s="462">
        <f>IF(C3264=0,0,VLOOKUP(YEAR(C3264),INPC!$B$4:$O$29,MONTH(C3264)+1))</f>
        <v>0</v>
      </c>
      <c r="L3264" s="462">
        <f>IF(S3264=0,0,VLOOKUP(YEAR(S3264),INPC!$B$4:$O$29,MONTH(S3264)+1))</f>
        <v>0</v>
      </c>
      <c r="M3264" s="463">
        <f t="shared" si="266"/>
        <v>0</v>
      </c>
      <c r="N3264" s="465">
        <f t="shared" si="267"/>
        <v>0</v>
      </c>
      <c r="O3264" s="179"/>
      <c r="P3264" s="180"/>
      <c r="Q3264" s="173"/>
      <c r="R3264" s="173"/>
      <c r="S3264" s="174"/>
      <c r="T3264" s="173"/>
      <c r="U3264" s="182"/>
      <c r="V3264" s="177">
        <f>IF(U3264=0,0,IF(T3264="MXN",1/HLOOKUP(YEAR(S3264)+(MONTH(S3264)/100),TC!$5:$37,DAY(S3264)+2,FALSE),VLOOKUP(T3264,Equivalencia!$1:$23,((MAX(Equivalencia!$3:$3)-YEAR(S3264))*14)+MONTH(S3264)+2,FALSE)))</f>
        <v>0</v>
      </c>
      <c r="W3264" s="178">
        <f t="shared" si="268"/>
        <v>0</v>
      </c>
      <c r="X3264" s="481">
        <f t="shared" si="269"/>
        <v>0</v>
      </c>
      <c r="Y3264" s="179"/>
      <c r="Z3264" s="466">
        <f t="shared" si="270"/>
        <v>0</v>
      </c>
      <c r="AA3264" s="473">
        <f t="shared" si="271"/>
        <v>0</v>
      </c>
      <c r="AB3264" s="339">
        <f t="shared" si="272"/>
        <v>0</v>
      </c>
    </row>
    <row r="3265" spans="2:28" ht="20.100000000000001" customHeight="1">
      <c r="B3265" s="172"/>
      <c r="C3265" s="174"/>
      <c r="D3265" s="181"/>
      <c r="E3265" s="173"/>
      <c r="F3265" s="176"/>
      <c r="G3265" s="175">
        <f t="shared" si="263"/>
        <v>0</v>
      </c>
      <c r="H3265" s="175">
        <f t="shared" si="264"/>
        <v>0</v>
      </c>
      <c r="I3265" s="177">
        <f>IF(G3265=0,0,IF(E3265="MXN",1/HLOOKUP(YEAR(C3265)+(MONTH(C3265)/100),TC!$5:$37,DAY(C3265)+2,FALSE),VLOOKUP(E3265,Equivalencia!$5:$23,((MAX(Equivalencia!$3:$3)-YEAR(C3265))*14)+MONTH(C3265)+2,FALSE)))</f>
        <v>0</v>
      </c>
      <c r="J3265" s="178">
        <f t="shared" si="265"/>
        <v>0</v>
      </c>
      <c r="K3265" s="462">
        <f>IF(C3265=0,0,VLOOKUP(YEAR(C3265),INPC!$B$4:$O$29,MONTH(C3265)+1))</f>
        <v>0</v>
      </c>
      <c r="L3265" s="462">
        <f>IF(S3265=0,0,VLOOKUP(YEAR(S3265),INPC!$B$4:$O$29,MONTH(S3265)+1))</f>
        <v>0</v>
      </c>
      <c r="M3265" s="463">
        <f t="shared" si="266"/>
        <v>0</v>
      </c>
      <c r="N3265" s="465">
        <f t="shared" si="267"/>
        <v>0</v>
      </c>
      <c r="O3265" s="179"/>
      <c r="P3265" s="180"/>
      <c r="Q3265" s="173"/>
      <c r="R3265" s="173"/>
      <c r="S3265" s="174"/>
      <c r="T3265" s="173"/>
      <c r="U3265" s="182"/>
      <c r="V3265" s="177">
        <f>IF(U3265=0,0,IF(T3265="MXN",1/HLOOKUP(YEAR(S3265)+(MONTH(S3265)/100),TC!$5:$37,DAY(S3265)+2,FALSE),VLOOKUP(T3265,Equivalencia!$1:$23,((MAX(Equivalencia!$3:$3)-YEAR(S3265))*14)+MONTH(S3265)+2,FALSE)))</f>
        <v>0</v>
      </c>
      <c r="W3265" s="178">
        <f t="shared" si="268"/>
        <v>0</v>
      </c>
      <c r="X3265" s="481">
        <f t="shared" si="269"/>
        <v>0</v>
      </c>
      <c r="Y3265" s="179"/>
      <c r="Z3265" s="466">
        <f t="shared" si="270"/>
        <v>0</v>
      </c>
      <c r="AA3265" s="473">
        <f t="shared" si="271"/>
        <v>0</v>
      </c>
      <c r="AB3265" s="339">
        <f t="shared" si="272"/>
        <v>0</v>
      </c>
    </row>
    <row r="3266" spans="2:28" ht="20.100000000000001" customHeight="1">
      <c r="B3266" s="172"/>
      <c r="C3266" s="174"/>
      <c r="D3266" s="181"/>
      <c r="E3266" s="173"/>
      <c r="F3266" s="176"/>
      <c r="G3266" s="175">
        <f t="shared" si="263"/>
        <v>0</v>
      </c>
      <c r="H3266" s="175">
        <f t="shared" si="264"/>
        <v>0</v>
      </c>
      <c r="I3266" s="177">
        <f>IF(G3266=0,0,IF(E3266="MXN",1/HLOOKUP(YEAR(C3266)+(MONTH(C3266)/100),TC!$5:$37,DAY(C3266)+2,FALSE),VLOOKUP(E3266,Equivalencia!$5:$23,((MAX(Equivalencia!$3:$3)-YEAR(C3266))*14)+MONTH(C3266)+2,FALSE)))</f>
        <v>0</v>
      </c>
      <c r="J3266" s="178">
        <f t="shared" si="265"/>
        <v>0</v>
      </c>
      <c r="K3266" s="462">
        <f>IF(C3266=0,0,VLOOKUP(YEAR(C3266),INPC!$B$4:$O$29,MONTH(C3266)+1))</f>
        <v>0</v>
      </c>
      <c r="L3266" s="462">
        <f>IF(S3266=0,0,VLOOKUP(YEAR(S3266),INPC!$B$4:$O$29,MONTH(S3266)+1))</f>
        <v>0</v>
      </c>
      <c r="M3266" s="463">
        <f t="shared" si="266"/>
        <v>0</v>
      </c>
      <c r="N3266" s="465">
        <f t="shared" si="267"/>
        <v>0</v>
      </c>
      <c r="O3266" s="179"/>
      <c r="P3266" s="180"/>
      <c r="Q3266" s="173"/>
      <c r="R3266" s="173"/>
      <c r="S3266" s="174"/>
      <c r="T3266" s="173"/>
      <c r="U3266" s="182"/>
      <c r="V3266" s="177">
        <f>IF(U3266=0,0,IF(T3266="MXN",1/HLOOKUP(YEAR(S3266)+(MONTH(S3266)/100),TC!$5:$37,DAY(S3266)+2,FALSE),VLOOKUP(T3266,Equivalencia!$1:$23,((MAX(Equivalencia!$3:$3)-YEAR(S3266))*14)+MONTH(S3266)+2,FALSE)))</f>
        <v>0</v>
      </c>
      <c r="W3266" s="178">
        <f t="shared" si="268"/>
        <v>0</v>
      </c>
      <c r="X3266" s="481">
        <f t="shared" si="269"/>
        <v>0</v>
      </c>
      <c r="Y3266" s="179"/>
      <c r="Z3266" s="466">
        <f t="shared" si="270"/>
        <v>0</v>
      </c>
      <c r="AA3266" s="473">
        <f t="shared" si="271"/>
        <v>0</v>
      </c>
      <c r="AB3266" s="339">
        <f t="shared" si="272"/>
        <v>0</v>
      </c>
    </row>
    <row r="3267" spans="2:28" ht="20.100000000000001" customHeight="1">
      <c r="B3267" s="172"/>
      <c r="C3267" s="174"/>
      <c r="D3267" s="181"/>
      <c r="E3267" s="173"/>
      <c r="F3267" s="176"/>
      <c r="G3267" s="175">
        <f t="shared" si="263"/>
        <v>0</v>
      </c>
      <c r="H3267" s="175">
        <f t="shared" si="264"/>
        <v>0</v>
      </c>
      <c r="I3267" s="177">
        <f>IF(G3267=0,0,IF(E3267="MXN",1/HLOOKUP(YEAR(C3267)+(MONTH(C3267)/100),TC!$5:$37,DAY(C3267)+2,FALSE),VLOOKUP(E3267,Equivalencia!$5:$23,((MAX(Equivalencia!$3:$3)-YEAR(C3267))*14)+MONTH(C3267)+2,FALSE)))</f>
        <v>0</v>
      </c>
      <c r="J3267" s="178">
        <f t="shared" si="265"/>
        <v>0</v>
      </c>
      <c r="K3267" s="462">
        <f>IF(C3267=0,0,VLOOKUP(YEAR(C3267),INPC!$B$4:$O$29,MONTH(C3267)+1))</f>
        <v>0</v>
      </c>
      <c r="L3267" s="462">
        <f>IF(S3267=0,0,VLOOKUP(YEAR(S3267),INPC!$B$4:$O$29,MONTH(S3267)+1))</f>
        <v>0</v>
      </c>
      <c r="M3267" s="463">
        <f t="shared" si="266"/>
        <v>0</v>
      </c>
      <c r="N3267" s="465">
        <f t="shared" si="267"/>
        <v>0</v>
      </c>
      <c r="O3267" s="179"/>
      <c r="P3267" s="180"/>
      <c r="Q3267" s="173"/>
      <c r="R3267" s="173"/>
      <c r="S3267" s="174"/>
      <c r="T3267" s="173"/>
      <c r="U3267" s="182"/>
      <c r="V3267" s="177">
        <f>IF(U3267=0,0,IF(T3267="MXN",1/HLOOKUP(YEAR(S3267)+(MONTH(S3267)/100),TC!$5:$37,DAY(S3267)+2,FALSE),VLOOKUP(T3267,Equivalencia!$1:$23,((MAX(Equivalencia!$3:$3)-YEAR(S3267))*14)+MONTH(S3267)+2,FALSE)))</f>
        <v>0</v>
      </c>
      <c r="W3267" s="178">
        <f t="shared" si="268"/>
        <v>0</v>
      </c>
      <c r="X3267" s="481">
        <f t="shared" si="269"/>
        <v>0</v>
      </c>
      <c r="Y3267" s="179"/>
      <c r="Z3267" s="466">
        <f t="shared" si="270"/>
        <v>0</v>
      </c>
      <c r="AA3267" s="473">
        <f t="shared" si="271"/>
        <v>0</v>
      </c>
      <c r="AB3267" s="339">
        <f t="shared" si="272"/>
        <v>0</v>
      </c>
    </row>
    <row r="3268" spans="2:28" ht="20.100000000000001" customHeight="1">
      <c r="B3268" s="172"/>
      <c r="C3268" s="174"/>
      <c r="D3268" s="181"/>
      <c r="E3268" s="173"/>
      <c r="F3268" s="176"/>
      <c r="G3268" s="175">
        <f t="shared" si="263"/>
        <v>0</v>
      </c>
      <c r="H3268" s="175">
        <f t="shared" si="264"/>
        <v>0</v>
      </c>
      <c r="I3268" s="177">
        <f>IF(G3268=0,0,IF(E3268="MXN",1/HLOOKUP(YEAR(C3268)+(MONTH(C3268)/100),TC!$5:$37,DAY(C3268)+2,FALSE),VLOOKUP(E3268,Equivalencia!$5:$23,((MAX(Equivalencia!$3:$3)-YEAR(C3268))*14)+MONTH(C3268)+2,FALSE)))</f>
        <v>0</v>
      </c>
      <c r="J3268" s="178">
        <f t="shared" si="265"/>
        <v>0</v>
      </c>
      <c r="K3268" s="462">
        <f>IF(C3268=0,0,VLOOKUP(YEAR(C3268),INPC!$B$4:$O$29,MONTH(C3268)+1))</f>
        <v>0</v>
      </c>
      <c r="L3268" s="462">
        <f>IF(S3268=0,0,VLOOKUP(YEAR(S3268),INPC!$B$4:$O$29,MONTH(S3268)+1))</f>
        <v>0</v>
      </c>
      <c r="M3268" s="463">
        <f t="shared" si="266"/>
        <v>0</v>
      </c>
      <c r="N3268" s="465">
        <f t="shared" si="267"/>
        <v>0</v>
      </c>
      <c r="O3268" s="179"/>
      <c r="P3268" s="180"/>
      <c r="Q3268" s="173"/>
      <c r="R3268" s="173"/>
      <c r="S3268" s="174"/>
      <c r="T3268" s="173"/>
      <c r="U3268" s="182"/>
      <c r="V3268" s="177">
        <f>IF(U3268=0,0,IF(T3268="MXN",1/HLOOKUP(YEAR(S3268)+(MONTH(S3268)/100),TC!$5:$37,DAY(S3268)+2,FALSE),VLOOKUP(T3268,Equivalencia!$1:$23,((MAX(Equivalencia!$3:$3)-YEAR(S3268))*14)+MONTH(S3268)+2,FALSE)))</f>
        <v>0</v>
      </c>
      <c r="W3268" s="178">
        <f t="shared" si="268"/>
        <v>0</v>
      </c>
      <c r="X3268" s="481">
        <f t="shared" si="269"/>
        <v>0</v>
      </c>
      <c r="Y3268" s="179"/>
      <c r="Z3268" s="466">
        <f t="shared" si="270"/>
        <v>0</v>
      </c>
      <c r="AA3268" s="473">
        <f t="shared" si="271"/>
        <v>0</v>
      </c>
      <c r="AB3268" s="339">
        <f t="shared" si="272"/>
        <v>0</v>
      </c>
    </row>
    <row r="3269" spans="2:28" ht="20.100000000000001" customHeight="1">
      <c r="B3269" s="172"/>
      <c r="C3269" s="174"/>
      <c r="D3269" s="181"/>
      <c r="E3269" s="173"/>
      <c r="F3269" s="176"/>
      <c r="G3269" s="175">
        <f t="shared" si="263"/>
        <v>0</v>
      </c>
      <c r="H3269" s="175">
        <f t="shared" si="264"/>
        <v>0</v>
      </c>
      <c r="I3269" s="177">
        <f>IF(G3269=0,0,IF(E3269="MXN",1/HLOOKUP(YEAR(C3269)+(MONTH(C3269)/100),TC!$5:$37,DAY(C3269)+2,FALSE),VLOOKUP(E3269,Equivalencia!$5:$23,((MAX(Equivalencia!$3:$3)-YEAR(C3269))*14)+MONTH(C3269)+2,FALSE)))</f>
        <v>0</v>
      </c>
      <c r="J3269" s="178">
        <f t="shared" si="265"/>
        <v>0</v>
      </c>
      <c r="K3269" s="462">
        <f>IF(C3269=0,0,VLOOKUP(YEAR(C3269),INPC!$B$4:$O$29,MONTH(C3269)+1))</f>
        <v>0</v>
      </c>
      <c r="L3269" s="462">
        <f>IF(S3269=0,0,VLOOKUP(YEAR(S3269),INPC!$B$4:$O$29,MONTH(S3269)+1))</f>
        <v>0</v>
      </c>
      <c r="M3269" s="463">
        <f t="shared" si="266"/>
        <v>0</v>
      </c>
      <c r="N3269" s="465">
        <f t="shared" si="267"/>
        <v>0</v>
      </c>
      <c r="O3269" s="179"/>
      <c r="P3269" s="180"/>
      <c r="Q3269" s="173"/>
      <c r="R3269" s="173"/>
      <c r="S3269" s="174"/>
      <c r="T3269" s="173"/>
      <c r="U3269" s="182"/>
      <c r="V3269" s="177">
        <f>IF(U3269=0,0,IF(T3269="MXN",1/HLOOKUP(YEAR(S3269)+(MONTH(S3269)/100),TC!$5:$37,DAY(S3269)+2,FALSE),VLOOKUP(T3269,Equivalencia!$1:$23,((MAX(Equivalencia!$3:$3)-YEAR(S3269))*14)+MONTH(S3269)+2,FALSE)))</f>
        <v>0</v>
      </c>
      <c r="W3269" s="178">
        <f t="shared" si="268"/>
        <v>0</v>
      </c>
      <c r="X3269" s="481">
        <f t="shared" si="269"/>
        <v>0</v>
      </c>
      <c r="Y3269" s="179"/>
      <c r="Z3269" s="466">
        <f t="shared" si="270"/>
        <v>0</v>
      </c>
      <c r="AA3269" s="473">
        <f t="shared" si="271"/>
        <v>0</v>
      </c>
      <c r="AB3269" s="339">
        <f t="shared" si="272"/>
        <v>0</v>
      </c>
    </row>
    <row r="3270" spans="2:28" ht="20.100000000000001" customHeight="1">
      <c r="B3270" s="172"/>
      <c r="C3270" s="174"/>
      <c r="D3270" s="181"/>
      <c r="E3270" s="173"/>
      <c r="F3270" s="176"/>
      <c r="G3270" s="175">
        <f t="shared" si="263"/>
        <v>0</v>
      </c>
      <c r="H3270" s="175">
        <f t="shared" si="264"/>
        <v>0</v>
      </c>
      <c r="I3270" s="177">
        <f>IF(G3270=0,0,IF(E3270="MXN",1/HLOOKUP(YEAR(C3270)+(MONTH(C3270)/100),TC!$5:$37,DAY(C3270)+2,FALSE),VLOOKUP(E3270,Equivalencia!$5:$23,((MAX(Equivalencia!$3:$3)-YEAR(C3270))*14)+MONTH(C3270)+2,FALSE)))</f>
        <v>0</v>
      </c>
      <c r="J3270" s="178">
        <f t="shared" si="265"/>
        <v>0</v>
      </c>
      <c r="K3270" s="462">
        <f>IF(C3270=0,0,VLOOKUP(YEAR(C3270),INPC!$B$4:$O$29,MONTH(C3270)+1))</f>
        <v>0</v>
      </c>
      <c r="L3270" s="462">
        <f>IF(S3270=0,0,VLOOKUP(YEAR(S3270),INPC!$B$4:$O$29,MONTH(S3270)+1))</f>
        <v>0</v>
      </c>
      <c r="M3270" s="463">
        <f t="shared" si="266"/>
        <v>0</v>
      </c>
      <c r="N3270" s="465">
        <f t="shared" si="267"/>
        <v>0</v>
      </c>
      <c r="O3270" s="179"/>
      <c r="P3270" s="180"/>
      <c r="Q3270" s="173"/>
      <c r="R3270" s="173"/>
      <c r="S3270" s="174"/>
      <c r="T3270" s="173"/>
      <c r="U3270" s="182"/>
      <c r="V3270" s="177">
        <f>IF(U3270=0,0,IF(T3270="MXN",1/HLOOKUP(YEAR(S3270)+(MONTH(S3270)/100),TC!$5:$37,DAY(S3270)+2,FALSE),VLOOKUP(T3270,Equivalencia!$1:$23,((MAX(Equivalencia!$3:$3)-YEAR(S3270))*14)+MONTH(S3270)+2,FALSE)))</f>
        <v>0</v>
      </c>
      <c r="W3270" s="178">
        <f t="shared" si="268"/>
        <v>0</v>
      </c>
      <c r="X3270" s="481">
        <f t="shared" si="269"/>
        <v>0</v>
      </c>
      <c r="Y3270" s="179"/>
      <c r="Z3270" s="466">
        <f t="shared" si="270"/>
        <v>0</v>
      </c>
      <c r="AA3270" s="473">
        <f t="shared" si="271"/>
        <v>0</v>
      </c>
      <c r="AB3270" s="339">
        <f t="shared" si="272"/>
        <v>0</v>
      </c>
    </row>
    <row r="3271" spans="2:28" ht="20.100000000000001" customHeight="1">
      <c r="B3271" s="172"/>
      <c r="C3271" s="174"/>
      <c r="D3271" s="181"/>
      <c r="E3271" s="173"/>
      <c r="F3271" s="176"/>
      <c r="G3271" s="175">
        <f t="shared" si="263"/>
        <v>0</v>
      </c>
      <c r="H3271" s="175">
        <f t="shared" si="264"/>
        <v>0</v>
      </c>
      <c r="I3271" s="177">
        <f>IF(G3271=0,0,IF(E3271="MXN",1/HLOOKUP(YEAR(C3271)+(MONTH(C3271)/100),TC!$5:$37,DAY(C3271)+2,FALSE),VLOOKUP(E3271,Equivalencia!$5:$23,((MAX(Equivalencia!$3:$3)-YEAR(C3271))*14)+MONTH(C3271)+2,FALSE)))</f>
        <v>0</v>
      </c>
      <c r="J3271" s="178">
        <f t="shared" si="265"/>
        <v>0</v>
      </c>
      <c r="K3271" s="462">
        <f>IF(C3271=0,0,VLOOKUP(YEAR(C3271),INPC!$B$4:$O$29,MONTH(C3271)+1))</f>
        <v>0</v>
      </c>
      <c r="L3271" s="462">
        <f>IF(S3271=0,0,VLOOKUP(YEAR(S3271),INPC!$B$4:$O$29,MONTH(S3271)+1))</f>
        <v>0</v>
      </c>
      <c r="M3271" s="463">
        <f t="shared" si="266"/>
        <v>0</v>
      </c>
      <c r="N3271" s="465">
        <f t="shared" si="267"/>
        <v>0</v>
      </c>
      <c r="O3271" s="179"/>
      <c r="P3271" s="180"/>
      <c r="Q3271" s="173"/>
      <c r="R3271" s="173"/>
      <c r="S3271" s="174"/>
      <c r="T3271" s="173"/>
      <c r="U3271" s="182"/>
      <c r="V3271" s="177">
        <f>IF(U3271=0,0,IF(T3271="MXN",1/HLOOKUP(YEAR(S3271)+(MONTH(S3271)/100),TC!$5:$37,DAY(S3271)+2,FALSE),VLOOKUP(T3271,Equivalencia!$1:$23,((MAX(Equivalencia!$3:$3)-YEAR(S3271))*14)+MONTH(S3271)+2,FALSE)))</f>
        <v>0</v>
      </c>
      <c r="W3271" s="178">
        <f t="shared" si="268"/>
        <v>0</v>
      </c>
      <c r="X3271" s="481">
        <f t="shared" si="269"/>
        <v>0</v>
      </c>
      <c r="Y3271" s="179"/>
      <c r="Z3271" s="466">
        <f t="shared" si="270"/>
        <v>0</v>
      </c>
      <c r="AA3271" s="473">
        <f t="shared" si="271"/>
        <v>0</v>
      </c>
      <c r="AB3271" s="339">
        <f t="shared" si="272"/>
        <v>0</v>
      </c>
    </row>
    <row r="3272" spans="2:28" ht="20.100000000000001" customHeight="1">
      <c r="B3272" s="172"/>
      <c r="C3272" s="174"/>
      <c r="D3272" s="181"/>
      <c r="E3272" s="173"/>
      <c r="F3272" s="176"/>
      <c r="G3272" s="175">
        <f t="shared" si="263"/>
        <v>0</v>
      </c>
      <c r="H3272" s="175">
        <f t="shared" si="264"/>
        <v>0</v>
      </c>
      <c r="I3272" s="177">
        <f>IF(G3272=0,0,IF(E3272="MXN",1/HLOOKUP(YEAR(C3272)+(MONTH(C3272)/100),TC!$5:$37,DAY(C3272)+2,FALSE),VLOOKUP(E3272,Equivalencia!$5:$23,((MAX(Equivalencia!$3:$3)-YEAR(C3272))*14)+MONTH(C3272)+2,FALSE)))</f>
        <v>0</v>
      </c>
      <c r="J3272" s="178">
        <f t="shared" si="265"/>
        <v>0</v>
      </c>
      <c r="K3272" s="462">
        <f>IF(C3272=0,0,VLOOKUP(YEAR(C3272),INPC!$B$4:$O$29,MONTH(C3272)+1))</f>
        <v>0</v>
      </c>
      <c r="L3272" s="462">
        <f>IF(S3272=0,0,VLOOKUP(YEAR(S3272),INPC!$B$4:$O$29,MONTH(S3272)+1))</f>
        <v>0</v>
      </c>
      <c r="M3272" s="463">
        <f t="shared" si="266"/>
        <v>0</v>
      </c>
      <c r="N3272" s="465">
        <f t="shared" si="267"/>
        <v>0</v>
      </c>
      <c r="O3272" s="179"/>
      <c r="P3272" s="180"/>
      <c r="Q3272" s="173"/>
      <c r="R3272" s="173"/>
      <c r="S3272" s="174"/>
      <c r="T3272" s="173"/>
      <c r="U3272" s="182"/>
      <c r="V3272" s="177">
        <f>IF(U3272=0,0,IF(T3272="MXN",1/HLOOKUP(YEAR(S3272)+(MONTH(S3272)/100),TC!$5:$37,DAY(S3272)+2,FALSE),VLOOKUP(T3272,Equivalencia!$1:$23,((MAX(Equivalencia!$3:$3)-YEAR(S3272))*14)+MONTH(S3272)+2,FALSE)))</f>
        <v>0</v>
      </c>
      <c r="W3272" s="178">
        <f t="shared" si="268"/>
        <v>0</v>
      </c>
      <c r="X3272" s="481">
        <f t="shared" si="269"/>
        <v>0</v>
      </c>
      <c r="Y3272" s="179"/>
      <c r="Z3272" s="466">
        <f t="shared" si="270"/>
        <v>0</v>
      </c>
      <c r="AA3272" s="473">
        <f t="shared" si="271"/>
        <v>0</v>
      </c>
      <c r="AB3272" s="339">
        <f t="shared" si="272"/>
        <v>0</v>
      </c>
    </row>
    <row r="3273" spans="2:28" ht="20.100000000000001" customHeight="1">
      <c r="B3273" s="172"/>
      <c r="C3273" s="174"/>
      <c r="D3273" s="181"/>
      <c r="E3273" s="173"/>
      <c r="F3273" s="176"/>
      <c r="G3273" s="175">
        <f t="shared" si="263"/>
        <v>0</v>
      </c>
      <c r="H3273" s="175">
        <f t="shared" si="264"/>
        <v>0</v>
      </c>
      <c r="I3273" s="177">
        <f>IF(G3273=0,0,IF(E3273="MXN",1/HLOOKUP(YEAR(C3273)+(MONTH(C3273)/100),TC!$5:$37,DAY(C3273)+2,FALSE),VLOOKUP(E3273,Equivalencia!$5:$23,((MAX(Equivalencia!$3:$3)-YEAR(C3273))*14)+MONTH(C3273)+2,FALSE)))</f>
        <v>0</v>
      </c>
      <c r="J3273" s="178">
        <f t="shared" si="265"/>
        <v>0</v>
      </c>
      <c r="K3273" s="462">
        <f>IF(C3273=0,0,VLOOKUP(YEAR(C3273),INPC!$B$4:$O$29,MONTH(C3273)+1))</f>
        <v>0</v>
      </c>
      <c r="L3273" s="462">
        <f>IF(S3273=0,0,VLOOKUP(YEAR(S3273),INPC!$B$4:$O$29,MONTH(S3273)+1))</f>
        <v>0</v>
      </c>
      <c r="M3273" s="463">
        <f t="shared" si="266"/>
        <v>0</v>
      </c>
      <c r="N3273" s="465">
        <f t="shared" si="267"/>
        <v>0</v>
      </c>
      <c r="O3273" s="179"/>
      <c r="P3273" s="180"/>
      <c r="Q3273" s="173"/>
      <c r="R3273" s="173"/>
      <c r="S3273" s="174"/>
      <c r="T3273" s="173"/>
      <c r="U3273" s="182"/>
      <c r="V3273" s="177">
        <f>IF(U3273=0,0,IF(T3273="MXN",1/HLOOKUP(YEAR(S3273)+(MONTH(S3273)/100),TC!$5:$37,DAY(S3273)+2,FALSE),VLOOKUP(T3273,Equivalencia!$1:$23,((MAX(Equivalencia!$3:$3)-YEAR(S3273))*14)+MONTH(S3273)+2,FALSE)))</f>
        <v>0</v>
      </c>
      <c r="W3273" s="178">
        <f t="shared" si="268"/>
        <v>0</v>
      </c>
      <c r="X3273" s="481">
        <f t="shared" si="269"/>
        <v>0</v>
      </c>
      <c r="Y3273" s="179"/>
      <c r="Z3273" s="466">
        <f t="shared" si="270"/>
        <v>0</v>
      </c>
      <c r="AA3273" s="473">
        <f t="shared" si="271"/>
        <v>0</v>
      </c>
      <c r="AB3273" s="339">
        <f t="shared" si="272"/>
        <v>0</v>
      </c>
    </row>
    <row r="3274" spans="2:28" ht="20.100000000000001" customHeight="1">
      <c r="B3274" s="172"/>
      <c r="C3274" s="174"/>
      <c r="D3274" s="181"/>
      <c r="E3274" s="173"/>
      <c r="F3274" s="176"/>
      <c r="G3274" s="175">
        <f t="shared" si="263"/>
        <v>0</v>
      </c>
      <c r="H3274" s="175">
        <f t="shared" si="264"/>
        <v>0</v>
      </c>
      <c r="I3274" s="177">
        <f>IF(G3274=0,0,IF(E3274="MXN",1/HLOOKUP(YEAR(C3274)+(MONTH(C3274)/100),TC!$5:$37,DAY(C3274)+2,FALSE),VLOOKUP(E3274,Equivalencia!$5:$23,((MAX(Equivalencia!$3:$3)-YEAR(C3274))*14)+MONTH(C3274)+2,FALSE)))</f>
        <v>0</v>
      </c>
      <c r="J3274" s="178">
        <f t="shared" si="265"/>
        <v>0</v>
      </c>
      <c r="K3274" s="462">
        <f>IF(C3274=0,0,VLOOKUP(YEAR(C3274),INPC!$B$4:$O$29,MONTH(C3274)+1))</f>
        <v>0</v>
      </c>
      <c r="L3274" s="462">
        <f>IF(S3274=0,0,VLOOKUP(YEAR(S3274),INPC!$B$4:$O$29,MONTH(S3274)+1))</f>
        <v>0</v>
      </c>
      <c r="M3274" s="463">
        <f t="shared" si="266"/>
        <v>0</v>
      </c>
      <c r="N3274" s="465">
        <f t="shared" si="267"/>
        <v>0</v>
      </c>
      <c r="O3274" s="179"/>
      <c r="P3274" s="180"/>
      <c r="Q3274" s="173"/>
      <c r="R3274" s="173"/>
      <c r="S3274" s="174"/>
      <c r="T3274" s="173"/>
      <c r="U3274" s="182"/>
      <c r="V3274" s="177">
        <f>IF(U3274=0,0,IF(T3274="MXN",1/HLOOKUP(YEAR(S3274)+(MONTH(S3274)/100),TC!$5:$37,DAY(S3274)+2,FALSE),VLOOKUP(T3274,Equivalencia!$1:$23,((MAX(Equivalencia!$3:$3)-YEAR(S3274))*14)+MONTH(S3274)+2,FALSE)))</f>
        <v>0</v>
      </c>
      <c r="W3274" s="178">
        <f t="shared" si="268"/>
        <v>0</v>
      </c>
      <c r="X3274" s="481">
        <f t="shared" si="269"/>
        <v>0</v>
      </c>
      <c r="Y3274" s="179"/>
      <c r="Z3274" s="466">
        <f t="shared" si="270"/>
        <v>0</v>
      </c>
      <c r="AA3274" s="473">
        <f t="shared" si="271"/>
        <v>0</v>
      </c>
      <c r="AB3274" s="339">
        <f t="shared" si="272"/>
        <v>0</v>
      </c>
    </row>
    <row r="3275" spans="2:28" ht="20.100000000000001" customHeight="1">
      <c r="B3275" s="172"/>
      <c r="C3275" s="174"/>
      <c r="D3275" s="181"/>
      <c r="E3275" s="173"/>
      <c r="F3275" s="176"/>
      <c r="G3275" s="175">
        <f t="shared" si="263"/>
        <v>0</v>
      </c>
      <c r="H3275" s="175">
        <f t="shared" si="264"/>
        <v>0</v>
      </c>
      <c r="I3275" s="177">
        <f>IF(G3275=0,0,IF(E3275="MXN",1/HLOOKUP(YEAR(C3275)+(MONTH(C3275)/100),TC!$5:$37,DAY(C3275)+2,FALSE),VLOOKUP(E3275,Equivalencia!$5:$23,((MAX(Equivalencia!$3:$3)-YEAR(C3275))*14)+MONTH(C3275)+2,FALSE)))</f>
        <v>0</v>
      </c>
      <c r="J3275" s="178">
        <f t="shared" si="265"/>
        <v>0</v>
      </c>
      <c r="K3275" s="462">
        <f>IF(C3275=0,0,VLOOKUP(YEAR(C3275),INPC!$B$4:$O$29,MONTH(C3275)+1))</f>
        <v>0</v>
      </c>
      <c r="L3275" s="462">
        <f>IF(S3275=0,0,VLOOKUP(YEAR(S3275),INPC!$B$4:$O$29,MONTH(S3275)+1))</f>
        <v>0</v>
      </c>
      <c r="M3275" s="463">
        <f t="shared" si="266"/>
        <v>0</v>
      </c>
      <c r="N3275" s="465">
        <f t="shared" si="267"/>
        <v>0</v>
      </c>
      <c r="O3275" s="179"/>
      <c r="P3275" s="180"/>
      <c r="Q3275" s="173"/>
      <c r="R3275" s="173"/>
      <c r="S3275" s="174"/>
      <c r="T3275" s="173"/>
      <c r="U3275" s="182"/>
      <c r="V3275" s="177">
        <f>IF(U3275=0,0,IF(T3275="MXN",1/HLOOKUP(YEAR(S3275)+(MONTH(S3275)/100),TC!$5:$37,DAY(S3275)+2,FALSE),VLOOKUP(T3275,Equivalencia!$1:$23,((MAX(Equivalencia!$3:$3)-YEAR(S3275))*14)+MONTH(S3275)+2,FALSE)))</f>
        <v>0</v>
      </c>
      <c r="W3275" s="178">
        <f t="shared" si="268"/>
        <v>0</v>
      </c>
      <c r="X3275" s="481">
        <f t="shared" si="269"/>
        <v>0</v>
      </c>
      <c r="Y3275" s="179"/>
      <c r="Z3275" s="466">
        <f t="shared" si="270"/>
        <v>0</v>
      </c>
      <c r="AA3275" s="473">
        <f t="shared" si="271"/>
        <v>0</v>
      </c>
      <c r="AB3275" s="339">
        <f t="shared" si="272"/>
        <v>0</v>
      </c>
    </row>
    <row r="3276" spans="2:28" ht="20.100000000000001" customHeight="1">
      <c r="B3276" s="172"/>
      <c r="C3276" s="174"/>
      <c r="D3276" s="181"/>
      <c r="E3276" s="173"/>
      <c r="F3276" s="176"/>
      <c r="G3276" s="175">
        <f t="shared" si="263"/>
        <v>0</v>
      </c>
      <c r="H3276" s="175">
        <f t="shared" si="264"/>
        <v>0</v>
      </c>
      <c r="I3276" s="177">
        <f>IF(G3276=0,0,IF(E3276="MXN",1/HLOOKUP(YEAR(C3276)+(MONTH(C3276)/100),TC!$5:$37,DAY(C3276)+2,FALSE),VLOOKUP(E3276,Equivalencia!$5:$23,((MAX(Equivalencia!$3:$3)-YEAR(C3276))*14)+MONTH(C3276)+2,FALSE)))</f>
        <v>0</v>
      </c>
      <c r="J3276" s="178">
        <f t="shared" si="265"/>
        <v>0</v>
      </c>
      <c r="K3276" s="462">
        <f>IF(C3276=0,0,VLOOKUP(YEAR(C3276),INPC!$B$4:$O$29,MONTH(C3276)+1))</f>
        <v>0</v>
      </c>
      <c r="L3276" s="462">
        <f>IF(S3276=0,0,VLOOKUP(YEAR(S3276),INPC!$B$4:$O$29,MONTH(S3276)+1))</f>
        <v>0</v>
      </c>
      <c r="M3276" s="463">
        <f t="shared" si="266"/>
        <v>0</v>
      </c>
      <c r="N3276" s="465">
        <f t="shared" si="267"/>
        <v>0</v>
      </c>
      <c r="O3276" s="179"/>
      <c r="P3276" s="180"/>
      <c r="Q3276" s="173"/>
      <c r="R3276" s="173"/>
      <c r="S3276" s="174"/>
      <c r="T3276" s="173"/>
      <c r="U3276" s="182"/>
      <c r="V3276" s="177">
        <f>IF(U3276=0,0,IF(T3276="MXN",1/HLOOKUP(YEAR(S3276)+(MONTH(S3276)/100),TC!$5:$37,DAY(S3276)+2,FALSE),VLOOKUP(T3276,Equivalencia!$1:$23,((MAX(Equivalencia!$3:$3)-YEAR(S3276))*14)+MONTH(S3276)+2,FALSE)))</f>
        <v>0</v>
      </c>
      <c r="W3276" s="178">
        <f t="shared" si="268"/>
        <v>0</v>
      </c>
      <c r="X3276" s="481">
        <f t="shared" si="269"/>
        <v>0</v>
      </c>
      <c r="Y3276" s="179"/>
      <c r="Z3276" s="466">
        <f t="shared" si="270"/>
        <v>0</v>
      </c>
      <c r="AA3276" s="473">
        <f t="shared" si="271"/>
        <v>0</v>
      </c>
      <c r="AB3276" s="339">
        <f t="shared" si="272"/>
        <v>0</v>
      </c>
    </row>
    <row r="3277" spans="2:28" ht="20.100000000000001" customHeight="1">
      <c r="B3277" s="172"/>
      <c r="C3277" s="174"/>
      <c r="D3277" s="181"/>
      <c r="E3277" s="173"/>
      <c r="F3277" s="176"/>
      <c r="G3277" s="175">
        <f t="shared" si="263"/>
        <v>0</v>
      </c>
      <c r="H3277" s="175">
        <f t="shared" si="264"/>
        <v>0</v>
      </c>
      <c r="I3277" s="177">
        <f>IF(G3277=0,0,IF(E3277="MXN",1/HLOOKUP(YEAR(C3277)+(MONTH(C3277)/100),TC!$5:$37,DAY(C3277)+2,FALSE),VLOOKUP(E3277,Equivalencia!$5:$23,((MAX(Equivalencia!$3:$3)-YEAR(C3277))*14)+MONTH(C3277)+2,FALSE)))</f>
        <v>0</v>
      </c>
      <c r="J3277" s="178">
        <f t="shared" si="265"/>
        <v>0</v>
      </c>
      <c r="K3277" s="462">
        <f>IF(C3277=0,0,VLOOKUP(YEAR(C3277),INPC!$B$4:$O$29,MONTH(C3277)+1))</f>
        <v>0</v>
      </c>
      <c r="L3277" s="462">
        <f>IF(S3277=0,0,VLOOKUP(YEAR(S3277),INPC!$B$4:$O$29,MONTH(S3277)+1))</f>
        <v>0</v>
      </c>
      <c r="M3277" s="463">
        <f t="shared" si="266"/>
        <v>0</v>
      </c>
      <c r="N3277" s="465">
        <f t="shared" si="267"/>
        <v>0</v>
      </c>
      <c r="O3277" s="179"/>
      <c r="P3277" s="180"/>
      <c r="Q3277" s="173"/>
      <c r="R3277" s="173"/>
      <c r="S3277" s="174"/>
      <c r="T3277" s="173"/>
      <c r="U3277" s="182"/>
      <c r="V3277" s="177">
        <f>IF(U3277=0,0,IF(T3277="MXN",1/HLOOKUP(YEAR(S3277)+(MONTH(S3277)/100),TC!$5:$37,DAY(S3277)+2,FALSE),VLOOKUP(T3277,Equivalencia!$1:$23,((MAX(Equivalencia!$3:$3)-YEAR(S3277))*14)+MONTH(S3277)+2,FALSE)))</f>
        <v>0</v>
      </c>
      <c r="W3277" s="178">
        <f t="shared" si="268"/>
        <v>0</v>
      </c>
      <c r="X3277" s="481">
        <f t="shared" si="269"/>
        <v>0</v>
      </c>
      <c r="Y3277" s="179"/>
      <c r="Z3277" s="466">
        <f t="shared" si="270"/>
        <v>0</v>
      </c>
      <c r="AA3277" s="473">
        <f t="shared" si="271"/>
        <v>0</v>
      </c>
      <c r="AB3277" s="339">
        <f t="shared" si="272"/>
        <v>0</v>
      </c>
    </row>
    <row r="3278" spans="2:28" ht="20.100000000000001" customHeight="1">
      <c r="B3278" s="172"/>
      <c r="C3278" s="174"/>
      <c r="D3278" s="181"/>
      <c r="E3278" s="173"/>
      <c r="F3278" s="176"/>
      <c r="G3278" s="175">
        <f t="shared" si="263"/>
        <v>0</v>
      </c>
      <c r="H3278" s="175">
        <f t="shared" si="264"/>
        <v>0</v>
      </c>
      <c r="I3278" s="177">
        <f>IF(G3278=0,0,IF(E3278="MXN",1/HLOOKUP(YEAR(C3278)+(MONTH(C3278)/100),TC!$5:$37,DAY(C3278)+2,FALSE),VLOOKUP(E3278,Equivalencia!$5:$23,((MAX(Equivalencia!$3:$3)-YEAR(C3278))*14)+MONTH(C3278)+2,FALSE)))</f>
        <v>0</v>
      </c>
      <c r="J3278" s="178">
        <f t="shared" si="265"/>
        <v>0</v>
      </c>
      <c r="K3278" s="462">
        <f>IF(C3278=0,0,VLOOKUP(YEAR(C3278),INPC!$B$4:$O$29,MONTH(C3278)+1))</f>
        <v>0</v>
      </c>
      <c r="L3278" s="462">
        <f>IF(S3278=0,0,VLOOKUP(YEAR(S3278),INPC!$B$4:$O$29,MONTH(S3278)+1))</f>
        <v>0</v>
      </c>
      <c r="M3278" s="463">
        <f t="shared" si="266"/>
        <v>0</v>
      </c>
      <c r="N3278" s="465">
        <f t="shared" si="267"/>
        <v>0</v>
      </c>
      <c r="O3278" s="179"/>
      <c r="P3278" s="180"/>
      <c r="Q3278" s="173"/>
      <c r="R3278" s="173"/>
      <c r="S3278" s="174"/>
      <c r="T3278" s="173"/>
      <c r="U3278" s="182"/>
      <c r="V3278" s="177">
        <f>IF(U3278=0,0,IF(T3278="MXN",1/HLOOKUP(YEAR(S3278)+(MONTH(S3278)/100),TC!$5:$37,DAY(S3278)+2,FALSE),VLOOKUP(T3278,Equivalencia!$1:$23,((MAX(Equivalencia!$3:$3)-YEAR(S3278))*14)+MONTH(S3278)+2,FALSE)))</f>
        <v>0</v>
      </c>
      <c r="W3278" s="178">
        <f t="shared" si="268"/>
        <v>0</v>
      </c>
      <c r="X3278" s="481">
        <f t="shared" si="269"/>
        <v>0</v>
      </c>
      <c r="Y3278" s="179"/>
      <c r="Z3278" s="466">
        <f t="shared" si="270"/>
        <v>0</v>
      </c>
      <c r="AA3278" s="473">
        <f t="shared" si="271"/>
        <v>0</v>
      </c>
      <c r="AB3278" s="339">
        <f t="shared" si="272"/>
        <v>0</v>
      </c>
    </row>
    <row r="3279" spans="2:28" ht="20.100000000000001" customHeight="1">
      <c r="B3279" s="172"/>
      <c r="C3279" s="174"/>
      <c r="D3279" s="181"/>
      <c r="E3279" s="173"/>
      <c r="F3279" s="176"/>
      <c r="G3279" s="175">
        <f t="shared" si="263"/>
        <v>0</v>
      </c>
      <c r="H3279" s="175">
        <f t="shared" si="264"/>
        <v>0</v>
      </c>
      <c r="I3279" s="177">
        <f>IF(G3279=0,0,IF(E3279="MXN",1/HLOOKUP(YEAR(C3279)+(MONTH(C3279)/100),TC!$5:$37,DAY(C3279)+2,FALSE),VLOOKUP(E3279,Equivalencia!$5:$23,((MAX(Equivalencia!$3:$3)-YEAR(C3279))*14)+MONTH(C3279)+2,FALSE)))</f>
        <v>0</v>
      </c>
      <c r="J3279" s="178">
        <f t="shared" si="265"/>
        <v>0</v>
      </c>
      <c r="K3279" s="462">
        <f>IF(C3279=0,0,VLOOKUP(YEAR(C3279),INPC!$B$4:$O$29,MONTH(C3279)+1))</f>
        <v>0</v>
      </c>
      <c r="L3279" s="462">
        <f>IF(S3279=0,0,VLOOKUP(YEAR(S3279),INPC!$B$4:$O$29,MONTH(S3279)+1))</f>
        <v>0</v>
      </c>
      <c r="M3279" s="463">
        <f t="shared" si="266"/>
        <v>0</v>
      </c>
      <c r="N3279" s="465">
        <f t="shared" si="267"/>
        <v>0</v>
      </c>
      <c r="O3279" s="179"/>
      <c r="P3279" s="180"/>
      <c r="Q3279" s="173"/>
      <c r="R3279" s="173"/>
      <c r="S3279" s="174"/>
      <c r="T3279" s="173"/>
      <c r="U3279" s="182"/>
      <c r="V3279" s="177">
        <f>IF(U3279=0,0,IF(T3279="MXN",1/HLOOKUP(YEAR(S3279)+(MONTH(S3279)/100),TC!$5:$37,DAY(S3279)+2,FALSE),VLOOKUP(T3279,Equivalencia!$1:$23,((MAX(Equivalencia!$3:$3)-YEAR(S3279))*14)+MONTH(S3279)+2,FALSE)))</f>
        <v>0</v>
      </c>
      <c r="W3279" s="178">
        <f t="shared" si="268"/>
        <v>0</v>
      </c>
      <c r="X3279" s="481">
        <f t="shared" si="269"/>
        <v>0</v>
      </c>
      <c r="Y3279" s="179"/>
      <c r="Z3279" s="466">
        <f t="shared" si="270"/>
        <v>0</v>
      </c>
      <c r="AA3279" s="473">
        <f t="shared" si="271"/>
        <v>0</v>
      </c>
      <c r="AB3279" s="339">
        <f t="shared" si="272"/>
        <v>0</v>
      </c>
    </row>
    <row r="3280" spans="2:28" ht="20.100000000000001" customHeight="1">
      <c r="B3280" s="172"/>
      <c r="C3280" s="174"/>
      <c r="D3280" s="181"/>
      <c r="E3280" s="173"/>
      <c r="F3280" s="176"/>
      <c r="G3280" s="175">
        <f t="shared" si="263"/>
        <v>0</v>
      </c>
      <c r="H3280" s="175">
        <f t="shared" si="264"/>
        <v>0</v>
      </c>
      <c r="I3280" s="177">
        <f>IF(G3280=0,0,IF(E3280="MXN",1/HLOOKUP(YEAR(C3280)+(MONTH(C3280)/100),TC!$5:$37,DAY(C3280)+2,FALSE),VLOOKUP(E3280,Equivalencia!$5:$23,((MAX(Equivalencia!$3:$3)-YEAR(C3280))*14)+MONTH(C3280)+2,FALSE)))</f>
        <v>0</v>
      </c>
      <c r="J3280" s="178">
        <f t="shared" si="265"/>
        <v>0</v>
      </c>
      <c r="K3280" s="462">
        <f>IF(C3280=0,0,VLOOKUP(YEAR(C3280),INPC!$B$4:$O$29,MONTH(C3280)+1))</f>
        <v>0</v>
      </c>
      <c r="L3280" s="462">
        <f>IF(S3280=0,0,VLOOKUP(YEAR(S3280),INPC!$B$4:$O$29,MONTH(S3280)+1))</f>
        <v>0</v>
      </c>
      <c r="M3280" s="463">
        <f t="shared" si="266"/>
        <v>0</v>
      </c>
      <c r="N3280" s="465">
        <f t="shared" si="267"/>
        <v>0</v>
      </c>
      <c r="O3280" s="179"/>
      <c r="P3280" s="180"/>
      <c r="Q3280" s="173"/>
      <c r="R3280" s="173"/>
      <c r="S3280" s="174"/>
      <c r="T3280" s="173"/>
      <c r="U3280" s="182"/>
      <c r="V3280" s="177">
        <f>IF(U3280=0,0,IF(T3280="MXN",1/HLOOKUP(YEAR(S3280)+(MONTH(S3280)/100),TC!$5:$37,DAY(S3280)+2,FALSE),VLOOKUP(T3280,Equivalencia!$1:$23,((MAX(Equivalencia!$3:$3)-YEAR(S3280))*14)+MONTH(S3280)+2,FALSE)))</f>
        <v>0</v>
      </c>
      <c r="W3280" s="178">
        <f t="shared" si="268"/>
        <v>0</v>
      </c>
      <c r="X3280" s="481">
        <f t="shared" si="269"/>
        <v>0</v>
      </c>
      <c r="Y3280" s="179"/>
      <c r="Z3280" s="466">
        <f t="shared" si="270"/>
        <v>0</v>
      </c>
      <c r="AA3280" s="473">
        <f t="shared" si="271"/>
        <v>0</v>
      </c>
      <c r="AB3280" s="339">
        <f t="shared" si="272"/>
        <v>0</v>
      </c>
    </row>
    <row r="3281" spans="2:28" ht="20.100000000000001" customHeight="1">
      <c r="B3281" s="172"/>
      <c r="C3281" s="174"/>
      <c r="D3281" s="181"/>
      <c r="E3281" s="173"/>
      <c r="F3281" s="176"/>
      <c r="G3281" s="175">
        <f t="shared" si="263"/>
        <v>0</v>
      </c>
      <c r="H3281" s="175">
        <f t="shared" si="264"/>
        <v>0</v>
      </c>
      <c r="I3281" s="177">
        <f>IF(G3281=0,0,IF(E3281="MXN",1/HLOOKUP(YEAR(C3281)+(MONTH(C3281)/100),TC!$5:$37,DAY(C3281)+2,FALSE),VLOOKUP(E3281,Equivalencia!$5:$23,((MAX(Equivalencia!$3:$3)-YEAR(C3281))*14)+MONTH(C3281)+2,FALSE)))</f>
        <v>0</v>
      </c>
      <c r="J3281" s="178">
        <f t="shared" si="265"/>
        <v>0</v>
      </c>
      <c r="K3281" s="462">
        <f>IF(C3281=0,0,VLOOKUP(YEAR(C3281),INPC!$B$4:$O$29,MONTH(C3281)+1))</f>
        <v>0</v>
      </c>
      <c r="L3281" s="462">
        <f>IF(S3281=0,0,VLOOKUP(YEAR(S3281),INPC!$B$4:$O$29,MONTH(S3281)+1))</f>
        <v>0</v>
      </c>
      <c r="M3281" s="463">
        <f t="shared" si="266"/>
        <v>0</v>
      </c>
      <c r="N3281" s="465">
        <f t="shared" si="267"/>
        <v>0</v>
      </c>
      <c r="O3281" s="179"/>
      <c r="P3281" s="180"/>
      <c r="Q3281" s="173"/>
      <c r="R3281" s="173"/>
      <c r="S3281" s="174"/>
      <c r="T3281" s="173"/>
      <c r="U3281" s="182"/>
      <c r="V3281" s="177">
        <f>IF(U3281=0,0,IF(T3281="MXN",1/HLOOKUP(YEAR(S3281)+(MONTH(S3281)/100),TC!$5:$37,DAY(S3281)+2,FALSE),VLOOKUP(T3281,Equivalencia!$1:$23,((MAX(Equivalencia!$3:$3)-YEAR(S3281))*14)+MONTH(S3281)+2,FALSE)))</f>
        <v>0</v>
      </c>
      <c r="W3281" s="178">
        <f t="shared" si="268"/>
        <v>0</v>
      </c>
      <c r="X3281" s="481">
        <f t="shared" si="269"/>
        <v>0</v>
      </c>
      <c r="Y3281" s="179"/>
      <c r="Z3281" s="466">
        <f t="shared" si="270"/>
        <v>0</v>
      </c>
      <c r="AA3281" s="473">
        <f t="shared" si="271"/>
        <v>0</v>
      </c>
      <c r="AB3281" s="339">
        <f t="shared" si="272"/>
        <v>0</v>
      </c>
    </row>
    <row r="3282" spans="2:28" ht="20.100000000000001" customHeight="1">
      <c r="B3282" s="172"/>
      <c r="C3282" s="174"/>
      <c r="D3282" s="181"/>
      <c r="E3282" s="173"/>
      <c r="F3282" s="176"/>
      <c r="G3282" s="175">
        <f t="shared" si="263"/>
        <v>0</v>
      </c>
      <c r="H3282" s="175">
        <f t="shared" si="264"/>
        <v>0</v>
      </c>
      <c r="I3282" s="177">
        <f>IF(G3282=0,0,IF(E3282="MXN",1/HLOOKUP(YEAR(C3282)+(MONTH(C3282)/100),TC!$5:$37,DAY(C3282)+2,FALSE),VLOOKUP(E3282,Equivalencia!$5:$23,((MAX(Equivalencia!$3:$3)-YEAR(C3282))*14)+MONTH(C3282)+2,FALSE)))</f>
        <v>0</v>
      </c>
      <c r="J3282" s="178">
        <f t="shared" si="265"/>
        <v>0</v>
      </c>
      <c r="K3282" s="462">
        <f>IF(C3282=0,0,VLOOKUP(YEAR(C3282),INPC!$B$4:$O$29,MONTH(C3282)+1))</f>
        <v>0</v>
      </c>
      <c r="L3282" s="462">
        <f>IF(S3282=0,0,VLOOKUP(YEAR(S3282),INPC!$B$4:$O$29,MONTH(S3282)+1))</f>
        <v>0</v>
      </c>
      <c r="M3282" s="463">
        <f t="shared" si="266"/>
        <v>0</v>
      </c>
      <c r="N3282" s="465">
        <f t="shared" si="267"/>
        <v>0</v>
      </c>
      <c r="O3282" s="179"/>
      <c r="P3282" s="180"/>
      <c r="Q3282" s="173"/>
      <c r="R3282" s="173"/>
      <c r="S3282" s="174"/>
      <c r="T3282" s="173"/>
      <c r="U3282" s="182"/>
      <c r="V3282" s="177">
        <f>IF(U3282=0,0,IF(T3282="MXN",1/HLOOKUP(YEAR(S3282)+(MONTH(S3282)/100),TC!$5:$37,DAY(S3282)+2,FALSE),VLOOKUP(T3282,Equivalencia!$1:$23,((MAX(Equivalencia!$3:$3)-YEAR(S3282))*14)+MONTH(S3282)+2,FALSE)))</f>
        <v>0</v>
      </c>
      <c r="W3282" s="178">
        <f t="shared" si="268"/>
        <v>0</v>
      </c>
      <c r="X3282" s="481">
        <f t="shared" si="269"/>
        <v>0</v>
      </c>
      <c r="Y3282" s="179"/>
      <c r="Z3282" s="466">
        <f t="shared" si="270"/>
        <v>0</v>
      </c>
      <c r="AA3282" s="473">
        <f t="shared" si="271"/>
        <v>0</v>
      </c>
      <c r="AB3282" s="339">
        <f t="shared" si="272"/>
        <v>0</v>
      </c>
    </row>
    <row r="3283" spans="2:28" ht="20.100000000000001" customHeight="1">
      <c r="B3283" s="172"/>
      <c r="C3283" s="174"/>
      <c r="D3283" s="181"/>
      <c r="E3283" s="173"/>
      <c r="F3283" s="176"/>
      <c r="G3283" s="175">
        <f t="shared" si="263"/>
        <v>0</v>
      </c>
      <c r="H3283" s="175">
        <f t="shared" si="264"/>
        <v>0</v>
      </c>
      <c r="I3283" s="177">
        <f>IF(G3283=0,0,IF(E3283="MXN",1/HLOOKUP(YEAR(C3283)+(MONTH(C3283)/100),TC!$5:$37,DAY(C3283)+2,FALSE),VLOOKUP(E3283,Equivalencia!$5:$23,((MAX(Equivalencia!$3:$3)-YEAR(C3283))*14)+MONTH(C3283)+2,FALSE)))</f>
        <v>0</v>
      </c>
      <c r="J3283" s="178">
        <f t="shared" si="265"/>
        <v>0</v>
      </c>
      <c r="K3283" s="462">
        <f>IF(C3283=0,0,VLOOKUP(YEAR(C3283),INPC!$B$4:$O$29,MONTH(C3283)+1))</f>
        <v>0</v>
      </c>
      <c r="L3283" s="462">
        <f>IF(S3283=0,0,VLOOKUP(YEAR(S3283),INPC!$B$4:$O$29,MONTH(S3283)+1))</f>
        <v>0</v>
      </c>
      <c r="M3283" s="463">
        <f t="shared" si="266"/>
        <v>0</v>
      </c>
      <c r="N3283" s="465">
        <f t="shared" si="267"/>
        <v>0</v>
      </c>
      <c r="O3283" s="179"/>
      <c r="P3283" s="180"/>
      <c r="Q3283" s="173"/>
      <c r="R3283" s="173"/>
      <c r="S3283" s="174"/>
      <c r="T3283" s="173"/>
      <c r="U3283" s="182"/>
      <c r="V3283" s="177">
        <f>IF(U3283=0,0,IF(T3283="MXN",1/HLOOKUP(YEAR(S3283)+(MONTH(S3283)/100),TC!$5:$37,DAY(S3283)+2,FALSE),VLOOKUP(T3283,Equivalencia!$1:$23,((MAX(Equivalencia!$3:$3)-YEAR(S3283))*14)+MONTH(S3283)+2,FALSE)))</f>
        <v>0</v>
      </c>
      <c r="W3283" s="178">
        <f t="shared" si="268"/>
        <v>0</v>
      </c>
      <c r="X3283" s="481">
        <f t="shared" si="269"/>
        <v>0</v>
      </c>
      <c r="Y3283" s="179"/>
      <c r="Z3283" s="466">
        <f t="shared" si="270"/>
        <v>0</v>
      </c>
      <c r="AA3283" s="473">
        <f t="shared" si="271"/>
        <v>0</v>
      </c>
      <c r="AB3283" s="339">
        <f t="shared" si="272"/>
        <v>0</v>
      </c>
    </row>
    <row r="3284" spans="2:28" ht="20.100000000000001" customHeight="1">
      <c r="B3284" s="172"/>
      <c r="C3284" s="174"/>
      <c r="D3284" s="181"/>
      <c r="E3284" s="173"/>
      <c r="F3284" s="176"/>
      <c r="G3284" s="175">
        <f t="shared" si="263"/>
        <v>0</v>
      </c>
      <c r="H3284" s="175">
        <f t="shared" si="264"/>
        <v>0</v>
      </c>
      <c r="I3284" s="177">
        <f>IF(G3284=0,0,IF(E3284="MXN",1/HLOOKUP(YEAR(C3284)+(MONTH(C3284)/100),TC!$5:$37,DAY(C3284)+2,FALSE),VLOOKUP(E3284,Equivalencia!$5:$23,((MAX(Equivalencia!$3:$3)-YEAR(C3284))*14)+MONTH(C3284)+2,FALSE)))</f>
        <v>0</v>
      </c>
      <c r="J3284" s="178">
        <f t="shared" si="265"/>
        <v>0</v>
      </c>
      <c r="K3284" s="462">
        <f>IF(C3284=0,0,VLOOKUP(YEAR(C3284),INPC!$B$4:$O$29,MONTH(C3284)+1))</f>
        <v>0</v>
      </c>
      <c r="L3284" s="462">
        <f>IF(S3284=0,0,VLOOKUP(YEAR(S3284),INPC!$B$4:$O$29,MONTH(S3284)+1))</f>
        <v>0</v>
      </c>
      <c r="M3284" s="463">
        <f t="shared" si="266"/>
        <v>0</v>
      </c>
      <c r="N3284" s="465">
        <f t="shared" si="267"/>
        <v>0</v>
      </c>
      <c r="O3284" s="179"/>
      <c r="P3284" s="180"/>
      <c r="Q3284" s="173"/>
      <c r="R3284" s="173"/>
      <c r="S3284" s="174"/>
      <c r="T3284" s="173"/>
      <c r="U3284" s="182"/>
      <c r="V3284" s="177">
        <f>IF(U3284=0,0,IF(T3284="MXN",1/HLOOKUP(YEAR(S3284)+(MONTH(S3284)/100),TC!$5:$37,DAY(S3284)+2,FALSE),VLOOKUP(T3284,Equivalencia!$1:$23,((MAX(Equivalencia!$3:$3)-YEAR(S3284))*14)+MONTH(S3284)+2,FALSE)))</f>
        <v>0</v>
      </c>
      <c r="W3284" s="178">
        <f t="shared" si="268"/>
        <v>0</v>
      </c>
      <c r="X3284" s="481">
        <f t="shared" si="269"/>
        <v>0</v>
      </c>
      <c r="Y3284" s="179"/>
      <c r="Z3284" s="466">
        <f t="shared" si="270"/>
        <v>0</v>
      </c>
      <c r="AA3284" s="473">
        <f t="shared" si="271"/>
        <v>0</v>
      </c>
      <c r="AB3284" s="339">
        <f t="shared" si="272"/>
        <v>0</v>
      </c>
    </row>
    <row r="3285" spans="2:28" ht="20.100000000000001" customHeight="1">
      <c r="B3285" s="172"/>
      <c r="C3285" s="174"/>
      <c r="D3285" s="181"/>
      <c r="E3285" s="173"/>
      <c r="F3285" s="176"/>
      <c r="G3285" s="175">
        <f t="shared" si="263"/>
        <v>0</v>
      </c>
      <c r="H3285" s="175">
        <f t="shared" si="264"/>
        <v>0</v>
      </c>
      <c r="I3285" s="177">
        <f>IF(G3285=0,0,IF(E3285="MXN",1/HLOOKUP(YEAR(C3285)+(MONTH(C3285)/100),TC!$5:$37,DAY(C3285)+2,FALSE),VLOOKUP(E3285,Equivalencia!$5:$23,((MAX(Equivalencia!$3:$3)-YEAR(C3285))*14)+MONTH(C3285)+2,FALSE)))</f>
        <v>0</v>
      </c>
      <c r="J3285" s="178">
        <f t="shared" si="265"/>
        <v>0</v>
      </c>
      <c r="K3285" s="462">
        <f>IF(C3285=0,0,VLOOKUP(YEAR(C3285),INPC!$B$4:$O$29,MONTH(C3285)+1))</f>
        <v>0</v>
      </c>
      <c r="L3285" s="462">
        <f>IF(S3285=0,0,VLOOKUP(YEAR(S3285),INPC!$B$4:$O$29,MONTH(S3285)+1))</f>
        <v>0</v>
      </c>
      <c r="M3285" s="463">
        <f t="shared" si="266"/>
        <v>0</v>
      </c>
      <c r="N3285" s="465">
        <f t="shared" si="267"/>
        <v>0</v>
      </c>
      <c r="O3285" s="179"/>
      <c r="P3285" s="180"/>
      <c r="Q3285" s="173"/>
      <c r="R3285" s="173"/>
      <c r="S3285" s="174"/>
      <c r="T3285" s="173"/>
      <c r="U3285" s="182"/>
      <c r="V3285" s="177">
        <f>IF(U3285=0,0,IF(T3285="MXN",1/HLOOKUP(YEAR(S3285)+(MONTH(S3285)/100),TC!$5:$37,DAY(S3285)+2,FALSE),VLOOKUP(T3285,Equivalencia!$1:$23,((MAX(Equivalencia!$3:$3)-YEAR(S3285))*14)+MONTH(S3285)+2,FALSE)))</f>
        <v>0</v>
      </c>
      <c r="W3285" s="178">
        <f t="shared" si="268"/>
        <v>0</v>
      </c>
      <c r="X3285" s="481">
        <f t="shared" si="269"/>
        <v>0</v>
      </c>
      <c r="Y3285" s="179"/>
      <c r="Z3285" s="466">
        <f t="shared" si="270"/>
        <v>0</v>
      </c>
      <c r="AA3285" s="473">
        <f t="shared" si="271"/>
        <v>0</v>
      </c>
      <c r="AB3285" s="339">
        <f t="shared" si="272"/>
        <v>0</v>
      </c>
    </row>
    <row r="3286" spans="2:28" ht="20.100000000000001" customHeight="1">
      <c r="B3286" s="172"/>
      <c r="C3286" s="174"/>
      <c r="D3286" s="181"/>
      <c r="E3286" s="173"/>
      <c r="F3286" s="176"/>
      <c r="G3286" s="175">
        <f t="shared" si="263"/>
        <v>0</v>
      </c>
      <c r="H3286" s="175">
        <f t="shared" si="264"/>
        <v>0</v>
      </c>
      <c r="I3286" s="177">
        <f>IF(G3286=0,0,IF(E3286="MXN",1/HLOOKUP(YEAR(C3286)+(MONTH(C3286)/100),TC!$5:$37,DAY(C3286)+2,FALSE),VLOOKUP(E3286,Equivalencia!$5:$23,((MAX(Equivalencia!$3:$3)-YEAR(C3286))*14)+MONTH(C3286)+2,FALSE)))</f>
        <v>0</v>
      </c>
      <c r="J3286" s="178">
        <f t="shared" si="265"/>
        <v>0</v>
      </c>
      <c r="K3286" s="462">
        <f>IF(C3286=0,0,VLOOKUP(YEAR(C3286),INPC!$B$4:$O$29,MONTH(C3286)+1))</f>
        <v>0</v>
      </c>
      <c r="L3286" s="462">
        <f>IF(S3286=0,0,VLOOKUP(YEAR(S3286),INPC!$B$4:$O$29,MONTH(S3286)+1))</f>
        <v>0</v>
      </c>
      <c r="M3286" s="463">
        <f t="shared" si="266"/>
        <v>0</v>
      </c>
      <c r="N3286" s="465">
        <f t="shared" si="267"/>
        <v>0</v>
      </c>
      <c r="O3286" s="179"/>
      <c r="P3286" s="180"/>
      <c r="Q3286" s="173"/>
      <c r="R3286" s="173"/>
      <c r="S3286" s="174"/>
      <c r="T3286" s="173"/>
      <c r="U3286" s="182"/>
      <c r="V3286" s="177">
        <f>IF(U3286=0,0,IF(T3286="MXN",1/HLOOKUP(YEAR(S3286)+(MONTH(S3286)/100),TC!$5:$37,DAY(S3286)+2,FALSE),VLOOKUP(T3286,Equivalencia!$1:$23,((MAX(Equivalencia!$3:$3)-YEAR(S3286))*14)+MONTH(S3286)+2,FALSE)))</f>
        <v>0</v>
      </c>
      <c r="W3286" s="178">
        <f t="shared" si="268"/>
        <v>0</v>
      </c>
      <c r="X3286" s="481">
        <f t="shared" si="269"/>
        <v>0</v>
      </c>
      <c r="Y3286" s="179"/>
      <c r="Z3286" s="466">
        <f t="shared" si="270"/>
        <v>0</v>
      </c>
      <c r="AA3286" s="473">
        <f t="shared" si="271"/>
        <v>0</v>
      </c>
      <c r="AB3286" s="339">
        <f t="shared" si="272"/>
        <v>0</v>
      </c>
    </row>
    <row r="3287" spans="2:28" ht="20.100000000000001" customHeight="1">
      <c r="B3287" s="172"/>
      <c r="C3287" s="174"/>
      <c r="D3287" s="181"/>
      <c r="E3287" s="173"/>
      <c r="F3287" s="176"/>
      <c r="G3287" s="175">
        <f t="shared" si="263"/>
        <v>0</v>
      </c>
      <c r="H3287" s="175">
        <f t="shared" si="264"/>
        <v>0</v>
      </c>
      <c r="I3287" s="177">
        <f>IF(G3287=0,0,IF(E3287="MXN",1/HLOOKUP(YEAR(C3287)+(MONTH(C3287)/100),TC!$5:$37,DAY(C3287)+2,FALSE),VLOOKUP(E3287,Equivalencia!$5:$23,((MAX(Equivalencia!$3:$3)-YEAR(C3287))*14)+MONTH(C3287)+2,FALSE)))</f>
        <v>0</v>
      </c>
      <c r="J3287" s="178">
        <f t="shared" si="265"/>
        <v>0</v>
      </c>
      <c r="K3287" s="462">
        <f>IF(C3287=0,0,VLOOKUP(YEAR(C3287),INPC!$B$4:$O$29,MONTH(C3287)+1))</f>
        <v>0</v>
      </c>
      <c r="L3287" s="462">
        <f>IF(S3287=0,0,VLOOKUP(YEAR(S3287),INPC!$B$4:$O$29,MONTH(S3287)+1))</f>
        <v>0</v>
      </c>
      <c r="M3287" s="463">
        <f t="shared" si="266"/>
        <v>0</v>
      </c>
      <c r="N3287" s="465">
        <f t="shared" si="267"/>
        <v>0</v>
      </c>
      <c r="O3287" s="179"/>
      <c r="P3287" s="180"/>
      <c r="Q3287" s="173"/>
      <c r="R3287" s="173"/>
      <c r="S3287" s="174"/>
      <c r="T3287" s="173"/>
      <c r="U3287" s="182"/>
      <c r="V3287" s="177">
        <f>IF(U3287=0,0,IF(T3287="MXN",1/HLOOKUP(YEAR(S3287)+(MONTH(S3287)/100),TC!$5:$37,DAY(S3287)+2,FALSE),VLOOKUP(T3287,Equivalencia!$1:$23,((MAX(Equivalencia!$3:$3)-YEAR(S3287))*14)+MONTH(S3287)+2,FALSE)))</f>
        <v>0</v>
      </c>
      <c r="W3287" s="178">
        <f t="shared" si="268"/>
        <v>0</v>
      </c>
      <c r="X3287" s="481">
        <f t="shared" si="269"/>
        <v>0</v>
      </c>
      <c r="Y3287" s="179"/>
      <c r="Z3287" s="466">
        <f t="shared" si="270"/>
        <v>0</v>
      </c>
      <c r="AA3287" s="473">
        <f t="shared" si="271"/>
        <v>0</v>
      </c>
      <c r="AB3287" s="339">
        <f t="shared" si="272"/>
        <v>0</v>
      </c>
    </row>
    <row r="3288" spans="2:28" ht="20.100000000000001" customHeight="1">
      <c r="B3288" s="172"/>
      <c r="C3288" s="174"/>
      <c r="D3288" s="181"/>
      <c r="E3288" s="173"/>
      <c r="F3288" s="176"/>
      <c r="G3288" s="175">
        <f t="shared" si="263"/>
        <v>0</v>
      </c>
      <c r="H3288" s="175">
        <f t="shared" si="264"/>
        <v>0</v>
      </c>
      <c r="I3288" s="177">
        <f>IF(G3288=0,0,IF(E3288="MXN",1/HLOOKUP(YEAR(C3288)+(MONTH(C3288)/100),TC!$5:$37,DAY(C3288)+2,FALSE),VLOOKUP(E3288,Equivalencia!$5:$23,((MAX(Equivalencia!$3:$3)-YEAR(C3288))*14)+MONTH(C3288)+2,FALSE)))</f>
        <v>0</v>
      </c>
      <c r="J3288" s="178">
        <f t="shared" si="265"/>
        <v>0</v>
      </c>
      <c r="K3288" s="462">
        <f>IF(C3288=0,0,VLOOKUP(YEAR(C3288),INPC!$B$4:$O$29,MONTH(C3288)+1))</f>
        <v>0</v>
      </c>
      <c r="L3288" s="462">
        <f>IF(S3288=0,0,VLOOKUP(YEAR(S3288),INPC!$B$4:$O$29,MONTH(S3288)+1))</f>
        <v>0</v>
      </c>
      <c r="M3288" s="463">
        <f t="shared" si="266"/>
        <v>0</v>
      </c>
      <c r="N3288" s="465">
        <f t="shared" si="267"/>
        <v>0</v>
      </c>
      <c r="O3288" s="179"/>
      <c r="P3288" s="180"/>
      <c r="Q3288" s="173"/>
      <c r="R3288" s="173"/>
      <c r="S3288" s="174"/>
      <c r="T3288" s="173"/>
      <c r="U3288" s="182"/>
      <c r="V3288" s="177">
        <f>IF(U3288=0,0,IF(T3288="MXN",1/HLOOKUP(YEAR(S3288)+(MONTH(S3288)/100),TC!$5:$37,DAY(S3288)+2,FALSE),VLOOKUP(T3288,Equivalencia!$1:$23,((MAX(Equivalencia!$3:$3)-YEAR(S3288))*14)+MONTH(S3288)+2,FALSE)))</f>
        <v>0</v>
      </c>
      <c r="W3288" s="178">
        <f t="shared" si="268"/>
        <v>0</v>
      </c>
      <c r="X3288" s="481">
        <f t="shared" si="269"/>
        <v>0</v>
      </c>
      <c r="Y3288" s="179"/>
      <c r="Z3288" s="466">
        <f t="shared" si="270"/>
        <v>0</v>
      </c>
      <c r="AA3288" s="473">
        <f t="shared" si="271"/>
        <v>0</v>
      </c>
      <c r="AB3288" s="339">
        <f t="shared" si="272"/>
        <v>0</v>
      </c>
    </row>
    <row r="3289" spans="2:28" ht="20.100000000000001" customHeight="1">
      <c r="B3289" s="172"/>
      <c r="C3289" s="174"/>
      <c r="D3289" s="181"/>
      <c r="E3289" s="173"/>
      <c r="F3289" s="176"/>
      <c r="G3289" s="175">
        <f t="shared" si="263"/>
        <v>0</v>
      </c>
      <c r="H3289" s="175">
        <f t="shared" si="264"/>
        <v>0</v>
      </c>
      <c r="I3289" s="177">
        <f>IF(G3289=0,0,IF(E3289="MXN",1/HLOOKUP(YEAR(C3289)+(MONTH(C3289)/100),TC!$5:$37,DAY(C3289)+2,FALSE),VLOOKUP(E3289,Equivalencia!$5:$23,((MAX(Equivalencia!$3:$3)-YEAR(C3289))*14)+MONTH(C3289)+2,FALSE)))</f>
        <v>0</v>
      </c>
      <c r="J3289" s="178">
        <f t="shared" si="265"/>
        <v>0</v>
      </c>
      <c r="K3289" s="462">
        <f>IF(C3289=0,0,VLOOKUP(YEAR(C3289),INPC!$B$4:$O$29,MONTH(C3289)+1))</f>
        <v>0</v>
      </c>
      <c r="L3289" s="462">
        <f>IF(S3289=0,0,VLOOKUP(YEAR(S3289),INPC!$B$4:$O$29,MONTH(S3289)+1))</f>
        <v>0</v>
      </c>
      <c r="M3289" s="463">
        <f t="shared" si="266"/>
        <v>0</v>
      </c>
      <c r="N3289" s="465">
        <f t="shared" si="267"/>
        <v>0</v>
      </c>
      <c r="O3289" s="179"/>
      <c r="P3289" s="180"/>
      <c r="Q3289" s="173"/>
      <c r="R3289" s="173"/>
      <c r="S3289" s="174"/>
      <c r="T3289" s="173"/>
      <c r="U3289" s="182"/>
      <c r="V3289" s="177">
        <f>IF(U3289=0,0,IF(T3289="MXN",1/HLOOKUP(YEAR(S3289)+(MONTH(S3289)/100),TC!$5:$37,DAY(S3289)+2,FALSE),VLOOKUP(T3289,Equivalencia!$1:$23,((MAX(Equivalencia!$3:$3)-YEAR(S3289))*14)+MONTH(S3289)+2,FALSE)))</f>
        <v>0</v>
      </c>
      <c r="W3289" s="178">
        <f t="shared" si="268"/>
        <v>0</v>
      </c>
      <c r="X3289" s="481">
        <f t="shared" si="269"/>
        <v>0</v>
      </c>
      <c r="Y3289" s="179"/>
      <c r="Z3289" s="466">
        <f t="shared" si="270"/>
        <v>0</v>
      </c>
      <c r="AA3289" s="473">
        <f t="shared" si="271"/>
        <v>0</v>
      </c>
      <c r="AB3289" s="339">
        <f t="shared" si="272"/>
        <v>0</v>
      </c>
    </row>
    <row r="3290" spans="2:28" ht="20.100000000000001" customHeight="1">
      <c r="B3290" s="172"/>
      <c r="C3290" s="174"/>
      <c r="D3290" s="181"/>
      <c r="E3290" s="173"/>
      <c r="F3290" s="176"/>
      <c r="G3290" s="175">
        <f t="shared" si="263"/>
        <v>0</v>
      </c>
      <c r="H3290" s="175">
        <f t="shared" si="264"/>
        <v>0</v>
      </c>
      <c r="I3290" s="177">
        <f>IF(G3290=0,0,IF(E3290="MXN",1/HLOOKUP(YEAR(C3290)+(MONTH(C3290)/100),TC!$5:$37,DAY(C3290)+2,FALSE),VLOOKUP(E3290,Equivalencia!$5:$23,((MAX(Equivalencia!$3:$3)-YEAR(C3290))*14)+MONTH(C3290)+2,FALSE)))</f>
        <v>0</v>
      </c>
      <c r="J3290" s="178">
        <f t="shared" si="265"/>
        <v>0</v>
      </c>
      <c r="K3290" s="462">
        <f>IF(C3290=0,0,VLOOKUP(YEAR(C3290),INPC!$B$4:$O$29,MONTH(C3290)+1))</f>
        <v>0</v>
      </c>
      <c r="L3290" s="462">
        <f>IF(S3290=0,0,VLOOKUP(YEAR(S3290),INPC!$B$4:$O$29,MONTH(S3290)+1))</f>
        <v>0</v>
      </c>
      <c r="M3290" s="463">
        <f t="shared" si="266"/>
        <v>0</v>
      </c>
      <c r="N3290" s="465">
        <f t="shared" si="267"/>
        <v>0</v>
      </c>
      <c r="O3290" s="179"/>
      <c r="P3290" s="180"/>
      <c r="Q3290" s="173"/>
      <c r="R3290" s="173"/>
      <c r="S3290" s="174"/>
      <c r="T3290" s="173"/>
      <c r="U3290" s="182"/>
      <c r="V3290" s="177">
        <f>IF(U3290=0,0,IF(T3290="MXN",1/HLOOKUP(YEAR(S3290)+(MONTH(S3290)/100),TC!$5:$37,DAY(S3290)+2,FALSE),VLOOKUP(T3290,Equivalencia!$1:$23,((MAX(Equivalencia!$3:$3)-YEAR(S3290))*14)+MONTH(S3290)+2,FALSE)))</f>
        <v>0</v>
      </c>
      <c r="W3290" s="178">
        <f t="shared" si="268"/>
        <v>0</v>
      </c>
      <c r="X3290" s="481">
        <f t="shared" si="269"/>
        <v>0</v>
      </c>
      <c r="Y3290" s="179"/>
      <c r="Z3290" s="466">
        <f t="shared" si="270"/>
        <v>0</v>
      </c>
      <c r="AA3290" s="473">
        <f t="shared" si="271"/>
        <v>0</v>
      </c>
      <c r="AB3290" s="339">
        <f t="shared" si="272"/>
        <v>0</v>
      </c>
    </row>
    <row r="3291" spans="2:28" ht="20.100000000000001" customHeight="1">
      <c r="B3291" s="172"/>
      <c r="C3291" s="174"/>
      <c r="D3291" s="181"/>
      <c r="E3291" s="173"/>
      <c r="F3291" s="176"/>
      <c r="G3291" s="175">
        <f t="shared" si="263"/>
        <v>0</v>
      </c>
      <c r="H3291" s="175">
        <f t="shared" si="264"/>
        <v>0</v>
      </c>
      <c r="I3291" s="177">
        <f>IF(G3291=0,0,IF(E3291="MXN",1/HLOOKUP(YEAR(C3291)+(MONTH(C3291)/100),TC!$5:$37,DAY(C3291)+2,FALSE),VLOOKUP(E3291,Equivalencia!$5:$23,((MAX(Equivalencia!$3:$3)-YEAR(C3291))*14)+MONTH(C3291)+2,FALSE)))</f>
        <v>0</v>
      </c>
      <c r="J3291" s="178">
        <f t="shared" si="265"/>
        <v>0</v>
      </c>
      <c r="K3291" s="462">
        <f>IF(C3291=0,0,VLOOKUP(YEAR(C3291),INPC!$B$4:$O$29,MONTH(C3291)+1))</f>
        <v>0</v>
      </c>
      <c r="L3291" s="462">
        <f>IF(S3291=0,0,VLOOKUP(YEAR(S3291),INPC!$B$4:$O$29,MONTH(S3291)+1))</f>
        <v>0</v>
      </c>
      <c r="M3291" s="463">
        <f t="shared" si="266"/>
        <v>0</v>
      </c>
      <c r="N3291" s="465">
        <f t="shared" si="267"/>
        <v>0</v>
      </c>
      <c r="O3291" s="179"/>
      <c r="P3291" s="180"/>
      <c r="Q3291" s="173"/>
      <c r="R3291" s="173"/>
      <c r="S3291" s="174"/>
      <c r="T3291" s="173"/>
      <c r="U3291" s="182"/>
      <c r="V3291" s="177">
        <f>IF(U3291=0,0,IF(T3291="MXN",1/HLOOKUP(YEAR(S3291)+(MONTH(S3291)/100),TC!$5:$37,DAY(S3291)+2,FALSE),VLOOKUP(T3291,Equivalencia!$1:$23,((MAX(Equivalencia!$3:$3)-YEAR(S3291))*14)+MONTH(S3291)+2,FALSE)))</f>
        <v>0</v>
      </c>
      <c r="W3291" s="178">
        <f t="shared" si="268"/>
        <v>0</v>
      </c>
      <c r="X3291" s="481">
        <f t="shared" si="269"/>
        <v>0</v>
      </c>
      <c r="Y3291" s="179"/>
      <c r="Z3291" s="466">
        <f t="shared" si="270"/>
        <v>0</v>
      </c>
      <c r="AA3291" s="473">
        <f t="shared" si="271"/>
        <v>0</v>
      </c>
      <c r="AB3291" s="339">
        <f t="shared" si="272"/>
        <v>0</v>
      </c>
    </row>
    <row r="3292" spans="2:28" ht="20.100000000000001" customHeight="1">
      <c r="B3292" s="172"/>
      <c r="C3292" s="174"/>
      <c r="D3292" s="181"/>
      <c r="E3292" s="173"/>
      <c r="F3292" s="176"/>
      <c r="G3292" s="175">
        <f t="shared" si="263"/>
        <v>0</v>
      </c>
      <c r="H3292" s="175">
        <f t="shared" si="264"/>
        <v>0</v>
      </c>
      <c r="I3292" s="177">
        <f>IF(G3292=0,0,IF(E3292="MXN",1/HLOOKUP(YEAR(C3292)+(MONTH(C3292)/100),TC!$5:$37,DAY(C3292)+2,FALSE),VLOOKUP(E3292,Equivalencia!$5:$23,((MAX(Equivalencia!$3:$3)-YEAR(C3292))*14)+MONTH(C3292)+2,FALSE)))</f>
        <v>0</v>
      </c>
      <c r="J3292" s="178">
        <f t="shared" si="265"/>
        <v>0</v>
      </c>
      <c r="K3292" s="462">
        <f>IF(C3292=0,0,VLOOKUP(YEAR(C3292),INPC!$B$4:$O$29,MONTH(C3292)+1))</f>
        <v>0</v>
      </c>
      <c r="L3292" s="462">
        <f>IF(S3292=0,0,VLOOKUP(YEAR(S3292),INPC!$B$4:$O$29,MONTH(S3292)+1))</f>
        <v>0</v>
      </c>
      <c r="M3292" s="463">
        <f t="shared" si="266"/>
        <v>0</v>
      </c>
      <c r="N3292" s="465">
        <f t="shared" si="267"/>
        <v>0</v>
      </c>
      <c r="O3292" s="179"/>
      <c r="P3292" s="180"/>
      <c r="Q3292" s="173"/>
      <c r="R3292" s="173"/>
      <c r="S3292" s="174"/>
      <c r="T3292" s="173"/>
      <c r="U3292" s="182"/>
      <c r="V3292" s="177">
        <f>IF(U3292=0,0,IF(T3292="MXN",1/HLOOKUP(YEAR(S3292)+(MONTH(S3292)/100),TC!$5:$37,DAY(S3292)+2,FALSE),VLOOKUP(T3292,Equivalencia!$1:$23,((MAX(Equivalencia!$3:$3)-YEAR(S3292))*14)+MONTH(S3292)+2,FALSE)))</f>
        <v>0</v>
      </c>
      <c r="W3292" s="178">
        <f t="shared" si="268"/>
        <v>0</v>
      </c>
      <c r="X3292" s="481">
        <f t="shared" si="269"/>
        <v>0</v>
      </c>
      <c r="Y3292" s="179"/>
      <c r="Z3292" s="466">
        <f t="shared" si="270"/>
        <v>0</v>
      </c>
      <c r="AA3292" s="473">
        <f t="shared" si="271"/>
        <v>0</v>
      </c>
      <c r="AB3292" s="339">
        <f t="shared" si="272"/>
        <v>0</v>
      </c>
    </row>
    <row r="3293" spans="2:28" ht="20.100000000000001" customHeight="1">
      <c r="B3293" s="172"/>
      <c r="C3293" s="174"/>
      <c r="D3293" s="181"/>
      <c r="E3293" s="173"/>
      <c r="F3293" s="176"/>
      <c r="G3293" s="175">
        <f t="shared" si="263"/>
        <v>0</v>
      </c>
      <c r="H3293" s="175">
        <f t="shared" si="264"/>
        <v>0</v>
      </c>
      <c r="I3293" s="177">
        <f>IF(G3293=0,0,IF(E3293="MXN",1/HLOOKUP(YEAR(C3293)+(MONTH(C3293)/100),TC!$5:$37,DAY(C3293)+2,FALSE),VLOOKUP(E3293,Equivalencia!$5:$23,((MAX(Equivalencia!$3:$3)-YEAR(C3293))*14)+MONTH(C3293)+2,FALSE)))</f>
        <v>0</v>
      </c>
      <c r="J3293" s="178">
        <f t="shared" si="265"/>
        <v>0</v>
      </c>
      <c r="K3293" s="462">
        <f>IF(C3293=0,0,VLOOKUP(YEAR(C3293),INPC!$B$4:$O$29,MONTH(C3293)+1))</f>
        <v>0</v>
      </c>
      <c r="L3293" s="462">
        <f>IF(S3293=0,0,VLOOKUP(YEAR(S3293),INPC!$B$4:$O$29,MONTH(S3293)+1))</f>
        <v>0</v>
      </c>
      <c r="M3293" s="463">
        <f t="shared" si="266"/>
        <v>0</v>
      </c>
      <c r="N3293" s="465">
        <f t="shared" si="267"/>
        <v>0</v>
      </c>
      <c r="O3293" s="179"/>
      <c r="P3293" s="180"/>
      <c r="Q3293" s="173"/>
      <c r="R3293" s="173"/>
      <c r="S3293" s="174"/>
      <c r="T3293" s="173"/>
      <c r="U3293" s="182"/>
      <c r="V3293" s="177">
        <f>IF(U3293=0,0,IF(T3293="MXN",1/HLOOKUP(YEAR(S3293)+(MONTH(S3293)/100),TC!$5:$37,DAY(S3293)+2,FALSE),VLOOKUP(T3293,Equivalencia!$1:$23,((MAX(Equivalencia!$3:$3)-YEAR(S3293))*14)+MONTH(S3293)+2,FALSE)))</f>
        <v>0</v>
      </c>
      <c r="W3293" s="178">
        <f t="shared" si="268"/>
        <v>0</v>
      </c>
      <c r="X3293" s="481">
        <f t="shared" si="269"/>
        <v>0</v>
      </c>
      <c r="Y3293" s="179"/>
      <c r="Z3293" s="466">
        <f t="shared" si="270"/>
        <v>0</v>
      </c>
      <c r="AA3293" s="473">
        <f t="shared" si="271"/>
        <v>0</v>
      </c>
      <c r="AB3293" s="339">
        <f t="shared" si="272"/>
        <v>0</v>
      </c>
    </row>
    <row r="3294" spans="2:28" ht="20.100000000000001" customHeight="1">
      <c r="B3294" s="172"/>
      <c r="C3294" s="174"/>
      <c r="D3294" s="181"/>
      <c r="E3294" s="173"/>
      <c r="F3294" s="176"/>
      <c r="G3294" s="175">
        <f t="shared" si="263"/>
        <v>0</v>
      </c>
      <c r="H3294" s="175">
        <f t="shared" si="264"/>
        <v>0</v>
      </c>
      <c r="I3294" s="177">
        <f>IF(G3294=0,0,IF(E3294="MXN",1/HLOOKUP(YEAR(C3294)+(MONTH(C3294)/100),TC!$5:$37,DAY(C3294)+2,FALSE),VLOOKUP(E3294,Equivalencia!$5:$23,((MAX(Equivalencia!$3:$3)-YEAR(C3294))*14)+MONTH(C3294)+2,FALSE)))</f>
        <v>0</v>
      </c>
      <c r="J3294" s="178">
        <f t="shared" si="265"/>
        <v>0</v>
      </c>
      <c r="K3294" s="462">
        <f>IF(C3294=0,0,VLOOKUP(YEAR(C3294),INPC!$B$4:$O$29,MONTH(C3294)+1))</f>
        <v>0</v>
      </c>
      <c r="L3294" s="462">
        <f>IF(S3294=0,0,VLOOKUP(YEAR(S3294),INPC!$B$4:$O$29,MONTH(S3294)+1))</f>
        <v>0</v>
      </c>
      <c r="M3294" s="463">
        <f t="shared" si="266"/>
        <v>0</v>
      </c>
      <c r="N3294" s="465">
        <f t="shared" si="267"/>
        <v>0</v>
      </c>
      <c r="O3294" s="179"/>
      <c r="P3294" s="180"/>
      <c r="Q3294" s="173"/>
      <c r="R3294" s="173"/>
      <c r="S3294" s="174"/>
      <c r="T3294" s="173"/>
      <c r="U3294" s="182"/>
      <c r="V3294" s="177">
        <f>IF(U3294=0,0,IF(T3294="MXN",1/HLOOKUP(YEAR(S3294)+(MONTH(S3294)/100),TC!$5:$37,DAY(S3294)+2,FALSE),VLOOKUP(T3294,Equivalencia!$1:$23,((MAX(Equivalencia!$3:$3)-YEAR(S3294))*14)+MONTH(S3294)+2,FALSE)))</f>
        <v>0</v>
      </c>
      <c r="W3294" s="178">
        <f t="shared" si="268"/>
        <v>0</v>
      </c>
      <c r="X3294" s="481">
        <f t="shared" si="269"/>
        <v>0</v>
      </c>
      <c r="Y3294" s="179"/>
      <c r="Z3294" s="466">
        <f t="shared" si="270"/>
        <v>0</v>
      </c>
      <c r="AA3294" s="473">
        <f t="shared" si="271"/>
        <v>0</v>
      </c>
      <c r="AB3294" s="339">
        <f t="shared" si="272"/>
        <v>0</v>
      </c>
    </row>
    <row r="3295" spans="2:28" ht="20.100000000000001" customHeight="1">
      <c r="B3295" s="172"/>
      <c r="C3295" s="174"/>
      <c r="D3295" s="181"/>
      <c r="E3295" s="173"/>
      <c r="F3295" s="176"/>
      <c r="G3295" s="175">
        <f t="shared" si="263"/>
        <v>0</v>
      </c>
      <c r="H3295" s="175">
        <f t="shared" si="264"/>
        <v>0</v>
      </c>
      <c r="I3295" s="177">
        <f>IF(G3295=0,0,IF(E3295="MXN",1/HLOOKUP(YEAR(C3295)+(MONTH(C3295)/100),TC!$5:$37,DAY(C3295)+2,FALSE),VLOOKUP(E3295,Equivalencia!$5:$23,((MAX(Equivalencia!$3:$3)-YEAR(C3295))*14)+MONTH(C3295)+2,FALSE)))</f>
        <v>0</v>
      </c>
      <c r="J3295" s="178">
        <f t="shared" si="265"/>
        <v>0</v>
      </c>
      <c r="K3295" s="462">
        <f>IF(C3295=0,0,VLOOKUP(YEAR(C3295),INPC!$B$4:$O$29,MONTH(C3295)+1))</f>
        <v>0</v>
      </c>
      <c r="L3295" s="462">
        <f>IF(S3295=0,0,VLOOKUP(YEAR(S3295),INPC!$B$4:$O$29,MONTH(S3295)+1))</f>
        <v>0</v>
      </c>
      <c r="M3295" s="463">
        <f t="shared" si="266"/>
        <v>0</v>
      </c>
      <c r="N3295" s="465">
        <f t="shared" si="267"/>
        <v>0</v>
      </c>
      <c r="O3295" s="179"/>
      <c r="P3295" s="180"/>
      <c r="Q3295" s="173"/>
      <c r="R3295" s="173"/>
      <c r="S3295" s="174"/>
      <c r="T3295" s="173"/>
      <c r="U3295" s="182"/>
      <c r="V3295" s="177">
        <f>IF(U3295=0,0,IF(T3295="MXN",1/HLOOKUP(YEAR(S3295)+(MONTH(S3295)/100),TC!$5:$37,DAY(S3295)+2,FALSE),VLOOKUP(T3295,Equivalencia!$1:$23,((MAX(Equivalencia!$3:$3)-YEAR(S3295))*14)+MONTH(S3295)+2,FALSE)))</f>
        <v>0</v>
      </c>
      <c r="W3295" s="178">
        <f t="shared" si="268"/>
        <v>0</v>
      </c>
      <c r="X3295" s="481">
        <f t="shared" si="269"/>
        <v>0</v>
      </c>
      <c r="Y3295" s="179"/>
      <c r="Z3295" s="466">
        <f t="shared" si="270"/>
        <v>0</v>
      </c>
      <c r="AA3295" s="473">
        <f t="shared" si="271"/>
        <v>0</v>
      </c>
      <c r="AB3295" s="339">
        <f t="shared" si="272"/>
        <v>0</v>
      </c>
    </row>
    <row r="3296" spans="2:28" ht="20.100000000000001" customHeight="1">
      <c r="B3296" s="172"/>
      <c r="C3296" s="174"/>
      <c r="D3296" s="181"/>
      <c r="E3296" s="173"/>
      <c r="F3296" s="176"/>
      <c r="G3296" s="175">
        <f t="shared" si="263"/>
        <v>0</v>
      </c>
      <c r="H3296" s="175">
        <f t="shared" si="264"/>
        <v>0</v>
      </c>
      <c r="I3296" s="177">
        <f>IF(G3296=0,0,IF(E3296="MXN",1/HLOOKUP(YEAR(C3296)+(MONTH(C3296)/100),TC!$5:$37,DAY(C3296)+2,FALSE),VLOOKUP(E3296,Equivalencia!$5:$23,((MAX(Equivalencia!$3:$3)-YEAR(C3296))*14)+MONTH(C3296)+2,FALSE)))</f>
        <v>0</v>
      </c>
      <c r="J3296" s="178">
        <f t="shared" si="265"/>
        <v>0</v>
      </c>
      <c r="K3296" s="462">
        <f>IF(C3296=0,0,VLOOKUP(YEAR(C3296),INPC!$B$4:$O$29,MONTH(C3296)+1))</f>
        <v>0</v>
      </c>
      <c r="L3296" s="462">
        <f>IF(S3296=0,0,VLOOKUP(YEAR(S3296),INPC!$B$4:$O$29,MONTH(S3296)+1))</f>
        <v>0</v>
      </c>
      <c r="M3296" s="463">
        <f t="shared" si="266"/>
        <v>0</v>
      </c>
      <c r="N3296" s="465">
        <f t="shared" si="267"/>
        <v>0</v>
      </c>
      <c r="O3296" s="179"/>
      <c r="P3296" s="180"/>
      <c r="Q3296" s="173"/>
      <c r="R3296" s="173"/>
      <c r="S3296" s="174"/>
      <c r="T3296" s="173"/>
      <c r="U3296" s="182"/>
      <c r="V3296" s="177">
        <f>IF(U3296=0,0,IF(T3296="MXN",1/HLOOKUP(YEAR(S3296)+(MONTH(S3296)/100),TC!$5:$37,DAY(S3296)+2,FALSE),VLOOKUP(T3296,Equivalencia!$1:$23,((MAX(Equivalencia!$3:$3)-YEAR(S3296))*14)+MONTH(S3296)+2,FALSE)))</f>
        <v>0</v>
      </c>
      <c r="W3296" s="178">
        <f t="shared" si="268"/>
        <v>0</v>
      </c>
      <c r="X3296" s="481">
        <f t="shared" si="269"/>
        <v>0</v>
      </c>
      <c r="Y3296" s="179"/>
      <c r="Z3296" s="466">
        <f t="shared" si="270"/>
        <v>0</v>
      </c>
      <c r="AA3296" s="473">
        <f t="shared" si="271"/>
        <v>0</v>
      </c>
      <c r="AB3296" s="339">
        <f t="shared" si="272"/>
        <v>0</v>
      </c>
    </row>
    <row r="3297" spans="2:28" ht="20.100000000000001" customHeight="1">
      <c r="B3297" s="172"/>
      <c r="C3297" s="174"/>
      <c r="D3297" s="181"/>
      <c r="E3297" s="173"/>
      <c r="F3297" s="176"/>
      <c r="G3297" s="175">
        <f t="shared" si="263"/>
        <v>0</v>
      </c>
      <c r="H3297" s="175">
        <f t="shared" si="264"/>
        <v>0</v>
      </c>
      <c r="I3297" s="177">
        <f>IF(G3297=0,0,IF(E3297="MXN",1/HLOOKUP(YEAR(C3297)+(MONTH(C3297)/100),TC!$5:$37,DAY(C3297)+2,FALSE),VLOOKUP(E3297,Equivalencia!$5:$23,((MAX(Equivalencia!$3:$3)-YEAR(C3297))*14)+MONTH(C3297)+2,FALSE)))</f>
        <v>0</v>
      </c>
      <c r="J3297" s="178">
        <f t="shared" si="265"/>
        <v>0</v>
      </c>
      <c r="K3297" s="462">
        <f>IF(C3297=0,0,VLOOKUP(YEAR(C3297),INPC!$B$4:$O$29,MONTH(C3297)+1))</f>
        <v>0</v>
      </c>
      <c r="L3297" s="462">
        <f>IF(S3297=0,0,VLOOKUP(YEAR(S3297),INPC!$B$4:$O$29,MONTH(S3297)+1))</f>
        <v>0</v>
      </c>
      <c r="M3297" s="463">
        <f t="shared" si="266"/>
        <v>0</v>
      </c>
      <c r="N3297" s="465">
        <f t="shared" si="267"/>
        <v>0</v>
      </c>
      <c r="O3297" s="179"/>
      <c r="P3297" s="180"/>
      <c r="Q3297" s="173"/>
      <c r="R3297" s="173"/>
      <c r="S3297" s="174"/>
      <c r="T3297" s="173"/>
      <c r="U3297" s="182"/>
      <c r="V3297" s="177">
        <f>IF(U3297=0,0,IF(T3297="MXN",1/HLOOKUP(YEAR(S3297)+(MONTH(S3297)/100),TC!$5:$37,DAY(S3297)+2,FALSE),VLOOKUP(T3297,Equivalencia!$1:$23,((MAX(Equivalencia!$3:$3)-YEAR(S3297))*14)+MONTH(S3297)+2,FALSE)))</f>
        <v>0</v>
      </c>
      <c r="W3297" s="178">
        <f t="shared" si="268"/>
        <v>0</v>
      </c>
      <c r="X3297" s="481">
        <f t="shared" si="269"/>
        <v>0</v>
      </c>
      <c r="Y3297" s="179"/>
      <c r="Z3297" s="466">
        <f t="shared" si="270"/>
        <v>0</v>
      </c>
      <c r="AA3297" s="473">
        <f t="shared" si="271"/>
        <v>0</v>
      </c>
      <c r="AB3297" s="339">
        <f t="shared" si="272"/>
        <v>0</v>
      </c>
    </row>
    <row r="3298" spans="2:28" ht="20.100000000000001" customHeight="1">
      <c r="B3298" s="172"/>
      <c r="C3298" s="174"/>
      <c r="D3298" s="181"/>
      <c r="E3298" s="173"/>
      <c r="F3298" s="176"/>
      <c r="G3298" s="175">
        <f t="shared" si="263"/>
        <v>0</v>
      </c>
      <c r="H3298" s="175">
        <f t="shared" si="264"/>
        <v>0</v>
      </c>
      <c r="I3298" s="177">
        <f>IF(G3298=0,0,IF(E3298="MXN",1/HLOOKUP(YEAR(C3298)+(MONTH(C3298)/100),TC!$5:$37,DAY(C3298)+2,FALSE),VLOOKUP(E3298,Equivalencia!$5:$23,((MAX(Equivalencia!$3:$3)-YEAR(C3298))*14)+MONTH(C3298)+2,FALSE)))</f>
        <v>0</v>
      </c>
      <c r="J3298" s="178">
        <f t="shared" si="265"/>
        <v>0</v>
      </c>
      <c r="K3298" s="462">
        <f>IF(C3298=0,0,VLOOKUP(YEAR(C3298),INPC!$B$4:$O$29,MONTH(C3298)+1))</f>
        <v>0</v>
      </c>
      <c r="L3298" s="462">
        <f>IF(S3298=0,0,VLOOKUP(YEAR(S3298),INPC!$B$4:$O$29,MONTH(S3298)+1))</f>
        <v>0</v>
      </c>
      <c r="M3298" s="463">
        <f t="shared" si="266"/>
        <v>0</v>
      </c>
      <c r="N3298" s="465">
        <f t="shared" si="267"/>
        <v>0</v>
      </c>
      <c r="O3298" s="179"/>
      <c r="P3298" s="180"/>
      <c r="Q3298" s="173"/>
      <c r="R3298" s="173"/>
      <c r="S3298" s="174"/>
      <c r="T3298" s="173"/>
      <c r="U3298" s="182"/>
      <c r="V3298" s="177">
        <f>IF(U3298=0,0,IF(T3298="MXN",1/HLOOKUP(YEAR(S3298)+(MONTH(S3298)/100),TC!$5:$37,DAY(S3298)+2,FALSE),VLOOKUP(T3298,Equivalencia!$1:$23,((MAX(Equivalencia!$3:$3)-YEAR(S3298))*14)+MONTH(S3298)+2,FALSE)))</f>
        <v>0</v>
      </c>
      <c r="W3298" s="178">
        <f t="shared" si="268"/>
        <v>0</v>
      </c>
      <c r="X3298" s="481">
        <f t="shared" si="269"/>
        <v>0</v>
      </c>
      <c r="Y3298" s="179"/>
      <c r="Z3298" s="466">
        <f t="shared" si="270"/>
        <v>0</v>
      </c>
      <c r="AA3298" s="473">
        <f t="shared" si="271"/>
        <v>0</v>
      </c>
      <c r="AB3298" s="339">
        <f t="shared" si="272"/>
        <v>0</v>
      </c>
    </row>
    <row r="3299" spans="2:28" ht="20.100000000000001" customHeight="1">
      <c r="B3299" s="172"/>
      <c r="C3299" s="174"/>
      <c r="D3299" s="181"/>
      <c r="E3299" s="173"/>
      <c r="F3299" s="176"/>
      <c r="G3299" s="175">
        <f t="shared" si="263"/>
        <v>0</v>
      </c>
      <c r="H3299" s="175">
        <f t="shared" si="264"/>
        <v>0</v>
      </c>
      <c r="I3299" s="177">
        <f>IF(G3299=0,0,IF(E3299="MXN",1/HLOOKUP(YEAR(C3299)+(MONTH(C3299)/100),TC!$5:$37,DAY(C3299)+2,FALSE),VLOOKUP(E3299,Equivalencia!$5:$23,((MAX(Equivalencia!$3:$3)-YEAR(C3299))*14)+MONTH(C3299)+2,FALSE)))</f>
        <v>0</v>
      </c>
      <c r="J3299" s="178">
        <f t="shared" si="265"/>
        <v>0</v>
      </c>
      <c r="K3299" s="462">
        <f>IF(C3299=0,0,VLOOKUP(YEAR(C3299),INPC!$B$4:$O$29,MONTH(C3299)+1))</f>
        <v>0</v>
      </c>
      <c r="L3299" s="462">
        <f>IF(S3299=0,0,VLOOKUP(YEAR(S3299),INPC!$B$4:$O$29,MONTH(S3299)+1))</f>
        <v>0</v>
      </c>
      <c r="M3299" s="463">
        <f t="shared" si="266"/>
        <v>0</v>
      </c>
      <c r="N3299" s="465">
        <f t="shared" si="267"/>
        <v>0</v>
      </c>
      <c r="O3299" s="179"/>
      <c r="P3299" s="180"/>
      <c r="Q3299" s="173"/>
      <c r="R3299" s="173"/>
      <c r="S3299" s="174"/>
      <c r="T3299" s="173"/>
      <c r="U3299" s="182"/>
      <c r="V3299" s="177">
        <f>IF(U3299=0,0,IF(T3299="MXN",1/HLOOKUP(YEAR(S3299)+(MONTH(S3299)/100),TC!$5:$37,DAY(S3299)+2,FALSE),VLOOKUP(T3299,Equivalencia!$1:$23,((MAX(Equivalencia!$3:$3)-YEAR(S3299))*14)+MONTH(S3299)+2,FALSE)))</f>
        <v>0</v>
      </c>
      <c r="W3299" s="178">
        <f t="shared" si="268"/>
        <v>0</v>
      </c>
      <c r="X3299" s="481">
        <f t="shared" si="269"/>
        <v>0</v>
      </c>
      <c r="Y3299" s="179"/>
      <c r="Z3299" s="466">
        <f t="shared" si="270"/>
        <v>0</v>
      </c>
      <c r="AA3299" s="473">
        <f t="shared" si="271"/>
        <v>0</v>
      </c>
      <c r="AB3299" s="339">
        <f t="shared" si="272"/>
        <v>0</v>
      </c>
    </row>
    <row r="3300" spans="2:28" ht="20.100000000000001" customHeight="1">
      <c r="B3300" s="172"/>
      <c r="C3300" s="174"/>
      <c r="D3300" s="181"/>
      <c r="E3300" s="173"/>
      <c r="F3300" s="176"/>
      <c r="G3300" s="175">
        <f t="shared" si="263"/>
        <v>0</v>
      </c>
      <c r="H3300" s="175">
        <f t="shared" si="264"/>
        <v>0</v>
      </c>
      <c r="I3300" s="177">
        <f>IF(G3300=0,0,IF(E3300="MXN",1/HLOOKUP(YEAR(C3300)+(MONTH(C3300)/100),TC!$5:$37,DAY(C3300)+2,FALSE),VLOOKUP(E3300,Equivalencia!$5:$23,((MAX(Equivalencia!$3:$3)-YEAR(C3300))*14)+MONTH(C3300)+2,FALSE)))</f>
        <v>0</v>
      </c>
      <c r="J3300" s="178">
        <f t="shared" si="265"/>
        <v>0</v>
      </c>
      <c r="K3300" s="462">
        <f>IF(C3300=0,0,VLOOKUP(YEAR(C3300),INPC!$B$4:$O$29,MONTH(C3300)+1))</f>
        <v>0</v>
      </c>
      <c r="L3300" s="462">
        <f>IF(S3300=0,0,VLOOKUP(YEAR(S3300),INPC!$B$4:$O$29,MONTH(S3300)+1))</f>
        <v>0</v>
      </c>
      <c r="M3300" s="463">
        <f t="shared" si="266"/>
        <v>0</v>
      </c>
      <c r="N3300" s="465">
        <f t="shared" si="267"/>
        <v>0</v>
      </c>
      <c r="O3300" s="179"/>
      <c r="P3300" s="180"/>
      <c r="Q3300" s="173"/>
      <c r="R3300" s="173"/>
      <c r="S3300" s="174"/>
      <c r="T3300" s="173"/>
      <c r="U3300" s="182"/>
      <c r="V3300" s="177">
        <f>IF(U3300=0,0,IF(T3300="MXN",1/HLOOKUP(YEAR(S3300)+(MONTH(S3300)/100),TC!$5:$37,DAY(S3300)+2,FALSE),VLOOKUP(T3300,Equivalencia!$1:$23,((MAX(Equivalencia!$3:$3)-YEAR(S3300))*14)+MONTH(S3300)+2,FALSE)))</f>
        <v>0</v>
      </c>
      <c r="W3300" s="178">
        <f t="shared" si="268"/>
        <v>0</v>
      </c>
      <c r="X3300" s="481">
        <f t="shared" si="269"/>
        <v>0</v>
      </c>
      <c r="Y3300" s="179"/>
      <c r="Z3300" s="466">
        <f t="shared" si="270"/>
        <v>0</v>
      </c>
      <c r="AA3300" s="473">
        <f t="shared" si="271"/>
        <v>0</v>
      </c>
      <c r="AB3300" s="339">
        <f t="shared" si="272"/>
        <v>0</v>
      </c>
    </row>
    <row r="3301" spans="2:28" ht="20.100000000000001" customHeight="1">
      <c r="B3301" s="172"/>
      <c r="C3301" s="174"/>
      <c r="D3301" s="181"/>
      <c r="E3301" s="173"/>
      <c r="F3301" s="176"/>
      <c r="G3301" s="175">
        <f t="shared" si="263"/>
        <v>0</v>
      </c>
      <c r="H3301" s="175">
        <f t="shared" si="264"/>
        <v>0</v>
      </c>
      <c r="I3301" s="177">
        <f>IF(G3301=0,0,IF(E3301="MXN",1/HLOOKUP(YEAR(C3301)+(MONTH(C3301)/100),TC!$5:$37,DAY(C3301)+2,FALSE),VLOOKUP(E3301,Equivalencia!$5:$23,((MAX(Equivalencia!$3:$3)-YEAR(C3301))*14)+MONTH(C3301)+2,FALSE)))</f>
        <v>0</v>
      </c>
      <c r="J3301" s="178">
        <f t="shared" si="265"/>
        <v>0</v>
      </c>
      <c r="K3301" s="462">
        <f>IF(C3301=0,0,VLOOKUP(YEAR(C3301),INPC!$B$4:$O$29,MONTH(C3301)+1))</f>
        <v>0</v>
      </c>
      <c r="L3301" s="462">
        <f>IF(S3301=0,0,VLOOKUP(YEAR(S3301),INPC!$B$4:$O$29,MONTH(S3301)+1))</f>
        <v>0</v>
      </c>
      <c r="M3301" s="463">
        <f t="shared" si="266"/>
        <v>0</v>
      </c>
      <c r="N3301" s="465">
        <f t="shared" si="267"/>
        <v>0</v>
      </c>
      <c r="O3301" s="179"/>
      <c r="P3301" s="180"/>
      <c r="Q3301" s="173"/>
      <c r="R3301" s="173"/>
      <c r="S3301" s="174"/>
      <c r="T3301" s="173"/>
      <c r="U3301" s="182"/>
      <c r="V3301" s="177">
        <f>IF(U3301=0,0,IF(T3301="MXN",1/HLOOKUP(YEAR(S3301)+(MONTH(S3301)/100),TC!$5:$37,DAY(S3301)+2,FALSE),VLOOKUP(T3301,Equivalencia!$1:$23,((MAX(Equivalencia!$3:$3)-YEAR(S3301))*14)+MONTH(S3301)+2,FALSE)))</f>
        <v>0</v>
      </c>
      <c r="W3301" s="178">
        <f t="shared" si="268"/>
        <v>0</v>
      </c>
      <c r="X3301" s="481">
        <f t="shared" si="269"/>
        <v>0</v>
      </c>
      <c r="Y3301" s="179"/>
      <c r="Z3301" s="466">
        <f t="shared" si="270"/>
        <v>0</v>
      </c>
      <c r="AA3301" s="473">
        <f t="shared" si="271"/>
        <v>0</v>
      </c>
      <c r="AB3301" s="339">
        <f t="shared" si="272"/>
        <v>0</v>
      </c>
    </row>
    <row r="3302" spans="2:28" ht="20.100000000000001" customHeight="1">
      <c r="B3302" s="172"/>
      <c r="C3302" s="174"/>
      <c r="D3302" s="181"/>
      <c r="E3302" s="173"/>
      <c r="F3302" s="176"/>
      <c r="G3302" s="175">
        <f t="shared" si="263"/>
        <v>0</v>
      </c>
      <c r="H3302" s="175">
        <f t="shared" si="264"/>
        <v>0</v>
      </c>
      <c r="I3302" s="177">
        <f>IF(G3302=0,0,IF(E3302="MXN",1/HLOOKUP(YEAR(C3302)+(MONTH(C3302)/100),TC!$5:$37,DAY(C3302)+2,FALSE),VLOOKUP(E3302,Equivalencia!$5:$23,((MAX(Equivalencia!$3:$3)-YEAR(C3302))*14)+MONTH(C3302)+2,FALSE)))</f>
        <v>0</v>
      </c>
      <c r="J3302" s="178">
        <f t="shared" si="265"/>
        <v>0</v>
      </c>
      <c r="K3302" s="462">
        <f>IF(C3302=0,0,VLOOKUP(YEAR(C3302),INPC!$B$4:$O$29,MONTH(C3302)+1))</f>
        <v>0</v>
      </c>
      <c r="L3302" s="462">
        <f>IF(S3302=0,0,VLOOKUP(YEAR(S3302),INPC!$B$4:$O$29,MONTH(S3302)+1))</f>
        <v>0</v>
      </c>
      <c r="M3302" s="463">
        <f t="shared" si="266"/>
        <v>0</v>
      </c>
      <c r="N3302" s="465">
        <f t="shared" si="267"/>
        <v>0</v>
      </c>
      <c r="O3302" s="179"/>
      <c r="P3302" s="180"/>
      <c r="Q3302" s="173"/>
      <c r="R3302" s="173"/>
      <c r="S3302" s="174"/>
      <c r="T3302" s="173"/>
      <c r="U3302" s="182"/>
      <c r="V3302" s="177">
        <f>IF(U3302=0,0,IF(T3302="MXN",1/HLOOKUP(YEAR(S3302)+(MONTH(S3302)/100),TC!$5:$37,DAY(S3302)+2,FALSE),VLOOKUP(T3302,Equivalencia!$1:$23,((MAX(Equivalencia!$3:$3)-YEAR(S3302))*14)+MONTH(S3302)+2,FALSE)))</f>
        <v>0</v>
      </c>
      <c r="W3302" s="178">
        <f t="shared" si="268"/>
        <v>0</v>
      </c>
      <c r="X3302" s="481">
        <f t="shared" si="269"/>
        <v>0</v>
      </c>
      <c r="Y3302" s="179"/>
      <c r="Z3302" s="466">
        <f t="shared" si="270"/>
        <v>0</v>
      </c>
      <c r="AA3302" s="473">
        <f t="shared" si="271"/>
        <v>0</v>
      </c>
      <c r="AB3302" s="339">
        <f t="shared" si="272"/>
        <v>0</v>
      </c>
    </row>
    <row r="3303" spans="2:28" ht="20.100000000000001" customHeight="1">
      <c r="B3303" s="172"/>
      <c r="C3303" s="174"/>
      <c r="D3303" s="181"/>
      <c r="E3303" s="173"/>
      <c r="F3303" s="176"/>
      <c r="G3303" s="175">
        <f t="shared" si="263"/>
        <v>0</v>
      </c>
      <c r="H3303" s="175">
        <f t="shared" si="264"/>
        <v>0</v>
      </c>
      <c r="I3303" s="177">
        <f>IF(G3303=0,0,IF(E3303="MXN",1/HLOOKUP(YEAR(C3303)+(MONTH(C3303)/100),TC!$5:$37,DAY(C3303)+2,FALSE),VLOOKUP(E3303,Equivalencia!$5:$23,((MAX(Equivalencia!$3:$3)-YEAR(C3303))*14)+MONTH(C3303)+2,FALSE)))</f>
        <v>0</v>
      </c>
      <c r="J3303" s="178">
        <f t="shared" si="265"/>
        <v>0</v>
      </c>
      <c r="K3303" s="462">
        <f>IF(C3303=0,0,VLOOKUP(YEAR(C3303),INPC!$B$4:$O$29,MONTH(C3303)+1))</f>
        <v>0</v>
      </c>
      <c r="L3303" s="462">
        <f>IF(S3303=0,0,VLOOKUP(YEAR(S3303),INPC!$B$4:$O$29,MONTH(S3303)+1))</f>
        <v>0</v>
      </c>
      <c r="M3303" s="463">
        <f t="shared" si="266"/>
        <v>0</v>
      </c>
      <c r="N3303" s="465">
        <f t="shared" si="267"/>
        <v>0</v>
      </c>
      <c r="O3303" s="179"/>
      <c r="P3303" s="180"/>
      <c r="Q3303" s="173"/>
      <c r="R3303" s="173"/>
      <c r="S3303" s="174"/>
      <c r="T3303" s="173"/>
      <c r="U3303" s="182"/>
      <c r="V3303" s="177">
        <f>IF(U3303=0,0,IF(T3303="MXN",1/HLOOKUP(YEAR(S3303)+(MONTH(S3303)/100),TC!$5:$37,DAY(S3303)+2,FALSE),VLOOKUP(T3303,Equivalencia!$1:$23,((MAX(Equivalencia!$3:$3)-YEAR(S3303))*14)+MONTH(S3303)+2,FALSE)))</f>
        <v>0</v>
      </c>
      <c r="W3303" s="178">
        <f t="shared" si="268"/>
        <v>0</v>
      </c>
      <c r="X3303" s="481">
        <f t="shared" si="269"/>
        <v>0</v>
      </c>
      <c r="Y3303" s="179"/>
      <c r="Z3303" s="466">
        <f t="shared" si="270"/>
        <v>0</v>
      </c>
      <c r="AA3303" s="473">
        <f t="shared" si="271"/>
        <v>0</v>
      </c>
      <c r="AB3303" s="339">
        <f t="shared" si="272"/>
        <v>0</v>
      </c>
    </row>
    <row r="3304" spans="2:28" ht="20.100000000000001" customHeight="1">
      <c r="B3304" s="172"/>
      <c r="C3304" s="174"/>
      <c r="D3304" s="181"/>
      <c r="E3304" s="173"/>
      <c r="F3304" s="176"/>
      <c r="G3304" s="175">
        <f t="shared" si="263"/>
        <v>0</v>
      </c>
      <c r="H3304" s="175">
        <f t="shared" si="264"/>
        <v>0</v>
      </c>
      <c r="I3304" s="177">
        <f>IF(G3304=0,0,IF(E3304="MXN",1/HLOOKUP(YEAR(C3304)+(MONTH(C3304)/100),TC!$5:$37,DAY(C3304)+2,FALSE),VLOOKUP(E3304,Equivalencia!$5:$23,((MAX(Equivalencia!$3:$3)-YEAR(C3304))*14)+MONTH(C3304)+2,FALSE)))</f>
        <v>0</v>
      </c>
      <c r="J3304" s="178">
        <f t="shared" si="265"/>
        <v>0</v>
      </c>
      <c r="K3304" s="462">
        <f>IF(C3304=0,0,VLOOKUP(YEAR(C3304),INPC!$B$4:$O$29,MONTH(C3304)+1))</f>
        <v>0</v>
      </c>
      <c r="L3304" s="462">
        <f>IF(S3304=0,0,VLOOKUP(YEAR(S3304),INPC!$B$4:$O$29,MONTH(S3304)+1))</f>
        <v>0</v>
      </c>
      <c r="M3304" s="463">
        <f t="shared" si="266"/>
        <v>0</v>
      </c>
      <c r="N3304" s="465">
        <f t="shared" si="267"/>
        <v>0</v>
      </c>
      <c r="O3304" s="179"/>
      <c r="P3304" s="180"/>
      <c r="Q3304" s="173"/>
      <c r="R3304" s="173"/>
      <c r="S3304" s="174"/>
      <c r="T3304" s="173"/>
      <c r="U3304" s="182"/>
      <c r="V3304" s="177">
        <f>IF(U3304=0,0,IF(T3304="MXN",1/HLOOKUP(YEAR(S3304)+(MONTH(S3304)/100),TC!$5:$37,DAY(S3304)+2,FALSE),VLOOKUP(T3304,Equivalencia!$1:$23,((MAX(Equivalencia!$3:$3)-YEAR(S3304))*14)+MONTH(S3304)+2,FALSE)))</f>
        <v>0</v>
      </c>
      <c r="W3304" s="178">
        <f t="shared" si="268"/>
        <v>0</v>
      </c>
      <c r="X3304" s="481">
        <f t="shared" si="269"/>
        <v>0</v>
      </c>
      <c r="Y3304" s="179"/>
      <c r="Z3304" s="466">
        <f t="shared" si="270"/>
        <v>0</v>
      </c>
      <c r="AA3304" s="473">
        <f t="shared" si="271"/>
        <v>0</v>
      </c>
      <c r="AB3304" s="339">
        <f t="shared" si="272"/>
        <v>0</v>
      </c>
    </row>
    <row r="3305" spans="2:28" ht="20.100000000000001" customHeight="1">
      <c r="B3305" s="172"/>
      <c r="C3305" s="174"/>
      <c r="D3305" s="181"/>
      <c r="E3305" s="173"/>
      <c r="F3305" s="176"/>
      <c r="G3305" s="175">
        <f t="shared" si="263"/>
        <v>0</v>
      </c>
      <c r="H3305" s="175">
        <f t="shared" si="264"/>
        <v>0</v>
      </c>
      <c r="I3305" s="177">
        <f>IF(G3305=0,0,IF(E3305="MXN",1/HLOOKUP(YEAR(C3305)+(MONTH(C3305)/100),TC!$5:$37,DAY(C3305)+2,FALSE),VLOOKUP(E3305,Equivalencia!$5:$23,((MAX(Equivalencia!$3:$3)-YEAR(C3305))*14)+MONTH(C3305)+2,FALSE)))</f>
        <v>0</v>
      </c>
      <c r="J3305" s="178">
        <f t="shared" si="265"/>
        <v>0</v>
      </c>
      <c r="K3305" s="462">
        <f>IF(C3305=0,0,VLOOKUP(YEAR(C3305),INPC!$B$4:$O$29,MONTH(C3305)+1))</f>
        <v>0</v>
      </c>
      <c r="L3305" s="462">
        <f>IF(S3305=0,0,VLOOKUP(YEAR(S3305),INPC!$B$4:$O$29,MONTH(S3305)+1))</f>
        <v>0</v>
      </c>
      <c r="M3305" s="463">
        <f t="shared" si="266"/>
        <v>0</v>
      </c>
      <c r="N3305" s="465">
        <f t="shared" si="267"/>
        <v>0</v>
      </c>
      <c r="O3305" s="179"/>
      <c r="P3305" s="180"/>
      <c r="Q3305" s="173"/>
      <c r="R3305" s="173"/>
      <c r="S3305" s="174"/>
      <c r="T3305" s="173"/>
      <c r="U3305" s="182"/>
      <c r="V3305" s="177">
        <f>IF(U3305=0,0,IF(T3305="MXN",1/HLOOKUP(YEAR(S3305)+(MONTH(S3305)/100),TC!$5:$37,DAY(S3305)+2,FALSE),VLOOKUP(T3305,Equivalencia!$1:$23,((MAX(Equivalencia!$3:$3)-YEAR(S3305))*14)+MONTH(S3305)+2,FALSE)))</f>
        <v>0</v>
      </c>
      <c r="W3305" s="178">
        <f t="shared" si="268"/>
        <v>0</v>
      </c>
      <c r="X3305" s="481">
        <f t="shared" si="269"/>
        <v>0</v>
      </c>
      <c r="Y3305" s="179"/>
      <c r="Z3305" s="466">
        <f t="shared" si="270"/>
        <v>0</v>
      </c>
      <c r="AA3305" s="473">
        <f t="shared" si="271"/>
        <v>0</v>
      </c>
      <c r="AB3305" s="339">
        <f t="shared" si="272"/>
        <v>0</v>
      </c>
    </row>
    <row r="3306" spans="2:28" ht="20.100000000000001" customHeight="1">
      <c r="B3306" s="172"/>
      <c r="C3306" s="174"/>
      <c r="D3306" s="181"/>
      <c r="E3306" s="173"/>
      <c r="F3306" s="176"/>
      <c r="G3306" s="175">
        <f t="shared" si="263"/>
        <v>0</v>
      </c>
      <c r="H3306" s="175">
        <f t="shared" si="264"/>
        <v>0</v>
      </c>
      <c r="I3306" s="177">
        <f>IF(G3306=0,0,IF(E3306="MXN",1/HLOOKUP(YEAR(C3306)+(MONTH(C3306)/100),TC!$5:$37,DAY(C3306)+2,FALSE),VLOOKUP(E3306,Equivalencia!$5:$23,((MAX(Equivalencia!$3:$3)-YEAR(C3306))*14)+MONTH(C3306)+2,FALSE)))</f>
        <v>0</v>
      </c>
      <c r="J3306" s="178">
        <f t="shared" si="265"/>
        <v>0</v>
      </c>
      <c r="K3306" s="462">
        <f>IF(C3306=0,0,VLOOKUP(YEAR(C3306),INPC!$B$4:$O$29,MONTH(C3306)+1))</f>
        <v>0</v>
      </c>
      <c r="L3306" s="462">
        <f>IF(S3306=0,0,VLOOKUP(YEAR(S3306),INPC!$B$4:$O$29,MONTH(S3306)+1))</f>
        <v>0</v>
      </c>
      <c r="M3306" s="463">
        <f t="shared" si="266"/>
        <v>0</v>
      </c>
      <c r="N3306" s="465">
        <f t="shared" si="267"/>
        <v>0</v>
      </c>
      <c r="O3306" s="179"/>
      <c r="P3306" s="180"/>
      <c r="Q3306" s="173"/>
      <c r="R3306" s="173"/>
      <c r="S3306" s="174"/>
      <c r="T3306" s="173"/>
      <c r="U3306" s="182"/>
      <c r="V3306" s="177">
        <f>IF(U3306=0,0,IF(T3306="MXN",1/HLOOKUP(YEAR(S3306)+(MONTH(S3306)/100),TC!$5:$37,DAY(S3306)+2,FALSE),VLOOKUP(T3306,Equivalencia!$1:$23,((MAX(Equivalencia!$3:$3)-YEAR(S3306))*14)+MONTH(S3306)+2,FALSE)))</f>
        <v>0</v>
      </c>
      <c r="W3306" s="178">
        <f t="shared" si="268"/>
        <v>0</v>
      </c>
      <c r="X3306" s="481">
        <f t="shared" si="269"/>
        <v>0</v>
      </c>
      <c r="Y3306" s="179"/>
      <c r="Z3306" s="466">
        <f t="shared" si="270"/>
        <v>0</v>
      </c>
      <c r="AA3306" s="473">
        <f t="shared" si="271"/>
        <v>0</v>
      </c>
      <c r="AB3306" s="339">
        <f t="shared" si="272"/>
        <v>0</v>
      </c>
    </row>
    <row r="3307" spans="2:28" ht="20.100000000000001" customHeight="1">
      <c r="B3307" s="172"/>
      <c r="C3307" s="174"/>
      <c r="D3307" s="181"/>
      <c r="E3307" s="173"/>
      <c r="F3307" s="176"/>
      <c r="G3307" s="175">
        <f t="shared" si="263"/>
        <v>0</v>
      </c>
      <c r="H3307" s="175">
        <f t="shared" si="264"/>
        <v>0</v>
      </c>
      <c r="I3307" s="177">
        <f>IF(G3307=0,0,IF(E3307="MXN",1/HLOOKUP(YEAR(C3307)+(MONTH(C3307)/100),TC!$5:$37,DAY(C3307)+2,FALSE),VLOOKUP(E3307,Equivalencia!$5:$23,((MAX(Equivalencia!$3:$3)-YEAR(C3307))*14)+MONTH(C3307)+2,FALSE)))</f>
        <v>0</v>
      </c>
      <c r="J3307" s="178">
        <f t="shared" si="265"/>
        <v>0</v>
      </c>
      <c r="K3307" s="462">
        <f>IF(C3307=0,0,VLOOKUP(YEAR(C3307),INPC!$B$4:$O$29,MONTH(C3307)+1))</f>
        <v>0</v>
      </c>
      <c r="L3307" s="462">
        <f>IF(S3307=0,0,VLOOKUP(YEAR(S3307),INPC!$B$4:$O$29,MONTH(S3307)+1))</f>
        <v>0</v>
      </c>
      <c r="M3307" s="463">
        <f t="shared" si="266"/>
        <v>0</v>
      </c>
      <c r="N3307" s="465">
        <f t="shared" si="267"/>
        <v>0</v>
      </c>
      <c r="O3307" s="179"/>
      <c r="P3307" s="180"/>
      <c r="Q3307" s="173"/>
      <c r="R3307" s="173"/>
      <c r="S3307" s="174"/>
      <c r="T3307" s="173"/>
      <c r="U3307" s="182"/>
      <c r="V3307" s="177">
        <f>IF(U3307=0,0,IF(T3307="MXN",1/HLOOKUP(YEAR(S3307)+(MONTH(S3307)/100),TC!$5:$37,DAY(S3307)+2,FALSE),VLOOKUP(T3307,Equivalencia!$1:$23,((MAX(Equivalencia!$3:$3)-YEAR(S3307))*14)+MONTH(S3307)+2,FALSE)))</f>
        <v>0</v>
      </c>
      <c r="W3307" s="178">
        <f t="shared" si="268"/>
        <v>0</v>
      </c>
      <c r="X3307" s="481">
        <f t="shared" si="269"/>
        <v>0</v>
      </c>
      <c r="Y3307" s="179"/>
      <c r="Z3307" s="466">
        <f t="shared" si="270"/>
        <v>0</v>
      </c>
      <c r="AA3307" s="473">
        <f t="shared" si="271"/>
        <v>0</v>
      </c>
      <c r="AB3307" s="339">
        <f t="shared" si="272"/>
        <v>0</v>
      </c>
    </row>
    <row r="3308" spans="2:28" ht="20.100000000000001" customHeight="1">
      <c r="B3308" s="172"/>
      <c r="C3308" s="174"/>
      <c r="D3308" s="181"/>
      <c r="E3308" s="173"/>
      <c r="F3308" s="176"/>
      <c r="G3308" s="175">
        <f t="shared" si="263"/>
        <v>0</v>
      </c>
      <c r="H3308" s="175">
        <f t="shared" si="264"/>
        <v>0</v>
      </c>
      <c r="I3308" s="177">
        <f>IF(G3308=0,0,IF(E3308="MXN",1/HLOOKUP(YEAR(C3308)+(MONTH(C3308)/100),TC!$5:$37,DAY(C3308)+2,FALSE),VLOOKUP(E3308,Equivalencia!$5:$23,((MAX(Equivalencia!$3:$3)-YEAR(C3308))*14)+MONTH(C3308)+2,FALSE)))</f>
        <v>0</v>
      </c>
      <c r="J3308" s="178">
        <f t="shared" si="265"/>
        <v>0</v>
      </c>
      <c r="K3308" s="462">
        <f>IF(C3308=0,0,VLOOKUP(YEAR(C3308),INPC!$B$4:$O$29,MONTH(C3308)+1))</f>
        <v>0</v>
      </c>
      <c r="L3308" s="462">
        <f>IF(S3308=0,0,VLOOKUP(YEAR(S3308),INPC!$B$4:$O$29,MONTH(S3308)+1))</f>
        <v>0</v>
      </c>
      <c r="M3308" s="463">
        <f t="shared" si="266"/>
        <v>0</v>
      </c>
      <c r="N3308" s="465">
        <f t="shared" si="267"/>
        <v>0</v>
      </c>
      <c r="O3308" s="179"/>
      <c r="P3308" s="180"/>
      <c r="Q3308" s="173"/>
      <c r="R3308" s="173"/>
      <c r="S3308" s="174"/>
      <c r="T3308" s="173"/>
      <c r="U3308" s="182"/>
      <c r="V3308" s="177">
        <f>IF(U3308=0,0,IF(T3308="MXN",1/HLOOKUP(YEAR(S3308)+(MONTH(S3308)/100),TC!$5:$37,DAY(S3308)+2,FALSE),VLOOKUP(T3308,Equivalencia!$1:$23,((MAX(Equivalencia!$3:$3)-YEAR(S3308))*14)+MONTH(S3308)+2,FALSE)))</f>
        <v>0</v>
      </c>
      <c r="W3308" s="178">
        <f t="shared" si="268"/>
        <v>0</v>
      </c>
      <c r="X3308" s="481">
        <f t="shared" si="269"/>
        <v>0</v>
      </c>
      <c r="Y3308" s="179"/>
      <c r="Z3308" s="466">
        <f t="shared" si="270"/>
        <v>0</v>
      </c>
      <c r="AA3308" s="473">
        <f t="shared" si="271"/>
        <v>0</v>
      </c>
      <c r="AB3308" s="339">
        <f t="shared" si="272"/>
        <v>0</v>
      </c>
    </row>
    <row r="3309" spans="2:28" ht="20.100000000000001" customHeight="1">
      <c r="B3309" s="172"/>
      <c r="C3309" s="174"/>
      <c r="D3309" s="181"/>
      <c r="E3309" s="173"/>
      <c r="F3309" s="176"/>
      <c r="G3309" s="175">
        <f t="shared" si="263"/>
        <v>0</v>
      </c>
      <c r="H3309" s="175">
        <f t="shared" si="264"/>
        <v>0</v>
      </c>
      <c r="I3309" s="177">
        <f>IF(G3309=0,0,IF(E3309="MXN",1/HLOOKUP(YEAR(C3309)+(MONTH(C3309)/100),TC!$5:$37,DAY(C3309)+2,FALSE),VLOOKUP(E3309,Equivalencia!$5:$23,((MAX(Equivalencia!$3:$3)-YEAR(C3309))*14)+MONTH(C3309)+2,FALSE)))</f>
        <v>0</v>
      </c>
      <c r="J3309" s="178">
        <f t="shared" si="265"/>
        <v>0</v>
      </c>
      <c r="K3309" s="462">
        <f>IF(C3309=0,0,VLOOKUP(YEAR(C3309),INPC!$B$4:$O$29,MONTH(C3309)+1))</f>
        <v>0</v>
      </c>
      <c r="L3309" s="462">
        <f>IF(S3309=0,0,VLOOKUP(YEAR(S3309),INPC!$B$4:$O$29,MONTH(S3309)+1))</f>
        <v>0</v>
      </c>
      <c r="M3309" s="463">
        <f t="shared" si="266"/>
        <v>0</v>
      </c>
      <c r="N3309" s="465">
        <f t="shared" si="267"/>
        <v>0</v>
      </c>
      <c r="O3309" s="179"/>
      <c r="P3309" s="180"/>
      <c r="Q3309" s="173"/>
      <c r="R3309" s="173"/>
      <c r="S3309" s="174"/>
      <c r="T3309" s="173"/>
      <c r="U3309" s="182"/>
      <c r="V3309" s="177">
        <f>IF(U3309=0,0,IF(T3309="MXN",1/HLOOKUP(YEAR(S3309)+(MONTH(S3309)/100),TC!$5:$37,DAY(S3309)+2,FALSE),VLOOKUP(T3309,Equivalencia!$1:$23,((MAX(Equivalencia!$3:$3)-YEAR(S3309))*14)+MONTH(S3309)+2,FALSE)))</f>
        <v>0</v>
      </c>
      <c r="W3309" s="178">
        <f t="shared" si="268"/>
        <v>0</v>
      </c>
      <c r="X3309" s="481">
        <f t="shared" si="269"/>
        <v>0</v>
      </c>
      <c r="Y3309" s="179"/>
      <c r="Z3309" s="466">
        <f t="shared" si="270"/>
        <v>0</v>
      </c>
      <c r="AA3309" s="473">
        <f t="shared" si="271"/>
        <v>0</v>
      </c>
      <c r="AB3309" s="339">
        <f t="shared" si="272"/>
        <v>0</v>
      </c>
    </row>
    <row r="3310" spans="2:28" ht="20.100000000000001" customHeight="1">
      <c r="B3310" s="172"/>
      <c r="C3310" s="174"/>
      <c r="D3310" s="181"/>
      <c r="E3310" s="173"/>
      <c r="F3310" s="176"/>
      <c r="G3310" s="175">
        <f t="shared" si="263"/>
        <v>0</v>
      </c>
      <c r="H3310" s="175">
        <f t="shared" si="264"/>
        <v>0</v>
      </c>
      <c r="I3310" s="177">
        <f>IF(G3310=0,0,IF(E3310="MXN",1/HLOOKUP(YEAR(C3310)+(MONTH(C3310)/100),TC!$5:$37,DAY(C3310)+2,FALSE),VLOOKUP(E3310,Equivalencia!$5:$23,((MAX(Equivalencia!$3:$3)-YEAR(C3310))*14)+MONTH(C3310)+2,FALSE)))</f>
        <v>0</v>
      </c>
      <c r="J3310" s="178">
        <f t="shared" si="265"/>
        <v>0</v>
      </c>
      <c r="K3310" s="462">
        <f>IF(C3310=0,0,VLOOKUP(YEAR(C3310),INPC!$B$4:$O$29,MONTH(C3310)+1))</f>
        <v>0</v>
      </c>
      <c r="L3310" s="462">
        <f>IF(S3310=0,0,VLOOKUP(YEAR(S3310),INPC!$B$4:$O$29,MONTH(S3310)+1))</f>
        <v>0</v>
      </c>
      <c r="M3310" s="463">
        <f t="shared" si="266"/>
        <v>0</v>
      </c>
      <c r="N3310" s="465">
        <f t="shared" si="267"/>
        <v>0</v>
      </c>
      <c r="O3310" s="179"/>
      <c r="P3310" s="180"/>
      <c r="Q3310" s="173"/>
      <c r="R3310" s="173"/>
      <c r="S3310" s="174"/>
      <c r="T3310" s="173"/>
      <c r="U3310" s="182"/>
      <c r="V3310" s="177">
        <f>IF(U3310=0,0,IF(T3310="MXN",1/HLOOKUP(YEAR(S3310)+(MONTH(S3310)/100),TC!$5:$37,DAY(S3310)+2,FALSE),VLOOKUP(T3310,Equivalencia!$1:$23,((MAX(Equivalencia!$3:$3)-YEAR(S3310))*14)+MONTH(S3310)+2,FALSE)))</f>
        <v>0</v>
      </c>
      <c r="W3310" s="178">
        <f t="shared" si="268"/>
        <v>0</v>
      </c>
      <c r="X3310" s="481">
        <f t="shared" si="269"/>
        <v>0</v>
      </c>
      <c r="Y3310" s="179"/>
      <c r="Z3310" s="466">
        <f t="shared" si="270"/>
        <v>0</v>
      </c>
      <c r="AA3310" s="473">
        <f t="shared" si="271"/>
        <v>0</v>
      </c>
      <c r="AB3310" s="339">
        <f t="shared" si="272"/>
        <v>0</v>
      </c>
    </row>
    <row r="3311" spans="2:28" ht="20.100000000000001" customHeight="1">
      <c r="B3311" s="172"/>
      <c r="C3311" s="174"/>
      <c r="D3311" s="181"/>
      <c r="E3311" s="173"/>
      <c r="F3311" s="176"/>
      <c r="G3311" s="175">
        <f t="shared" si="263"/>
        <v>0</v>
      </c>
      <c r="H3311" s="175">
        <f t="shared" si="264"/>
        <v>0</v>
      </c>
      <c r="I3311" s="177">
        <f>IF(G3311=0,0,IF(E3311="MXN",1/HLOOKUP(YEAR(C3311)+(MONTH(C3311)/100),TC!$5:$37,DAY(C3311)+2,FALSE),VLOOKUP(E3311,Equivalencia!$5:$23,((MAX(Equivalencia!$3:$3)-YEAR(C3311))*14)+MONTH(C3311)+2,FALSE)))</f>
        <v>0</v>
      </c>
      <c r="J3311" s="178">
        <f t="shared" si="265"/>
        <v>0</v>
      </c>
      <c r="K3311" s="462">
        <f>IF(C3311=0,0,VLOOKUP(YEAR(C3311),INPC!$B$4:$O$29,MONTH(C3311)+1))</f>
        <v>0</v>
      </c>
      <c r="L3311" s="462">
        <f>IF(S3311=0,0,VLOOKUP(YEAR(S3311),INPC!$B$4:$O$29,MONTH(S3311)+1))</f>
        <v>0</v>
      </c>
      <c r="M3311" s="463">
        <f t="shared" si="266"/>
        <v>0</v>
      </c>
      <c r="N3311" s="465">
        <f t="shared" si="267"/>
        <v>0</v>
      </c>
      <c r="O3311" s="179"/>
      <c r="P3311" s="180"/>
      <c r="Q3311" s="173"/>
      <c r="R3311" s="173"/>
      <c r="S3311" s="174"/>
      <c r="T3311" s="173"/>
      <c r="U3311" s="182"/>
      <c r="V3311" s="177">
        <f>IF(U3311=0,0,IF(T3311="MXN",1/HLOOKUP(YEAR(S3311)+(MONTH(S3311)/100),TC!$5:$37,DAY(S3311)+2,FALSE),VLOOKUP(T3311,Equivalencia!$1:$23,((MAX(Equivalencia!$3:$3)-YEAR(S3311))*14)+MONTH(S3311)+2,FALSE)))</f>
        <v>0</v>
      </c>
      <c r="W3311" s="178">
        <f t="shared" si="268"/>
        <v>0</v>
      </c>
      <c r="X3311" s="481">
        <f t="shared" si="269"/>
        <v>0</v>
      </c>
      <c r="Y3311" s="179"/>
      <c r="Z3311" s="466">
        <f t="shared" si="270"/>
        <v>0</v>
      </c>
      <c r="AA3311" s="473">
        <f t="shared" si="271"/>
        <v>0</v>
      </c>
      <c r="AB3311" s="339">
        <f t="shared" si="272"/>
        <v>0</v>
      </c>
    </row>
    <row r="3312" spans="2:28" ht="20.100000000000001" customHeight="1">
      <c r="B3312" s="172"/>
      <c r="C3312" s="174"/>
      <c r="D3312" s="181"/>
      <c r="E3312" s="173"/>
      <c r="F3312" s="176"/>
      <c r="G3312" s="175">
        <f t="shared" si="263"/>
        <v>0</v>
      </c>
      <c r="H3312" s="175">
        <f t="shared" si="264"/>
        <v>0</v>
      </c>
      <c r="I3312" s="177">
        <f>IF(G3312=0,0,IF(E3312="MXN",1/HLOOKUP(YEAR(C3312)+(MONTH(C3312)/100),TC!$5:$37,DAY(C3312)+2,FALSE),VLOOKUP(E3312,Equivalencia!$5:$23,((MAX(Equivalencia!$3:$3)-YEAR(C3312))*14)+MONTH(C3312)+2,FALSE)))</f>
        <v>0</v>
      </c>
      <c r="J3312" s="178">
        <f t="shared" si="265"/>
        <v>0</v>
      </c>
      <c r="K3312" s="462">
        <f>IF(C3312=0,0,VLOOKUP(YEAR(C3312),INPC!$B$4:$O$29,MONTH(C3312)+1))</f>
        <v>0</v>
      </c>
      <c r="L3312" s="462">
        <f>IF(S3312=0,0,VLOOKUP(YEAR(S3312),INPC!$B$4:$O$29,MONTH(S3312)+1))</f>
        <v>0</v>
      </c>
      <c r="M3312" s="463">
        <f t="shared" si="266"/>
        <v>0</v>
      </c>
      <c r="N3312" s="465">
        <f t="shared" si="267"/>
        <v>0</v>
      </c>
      <c r="O3312" s="179"/>
      <c r="P3312" s="180"/>
      <c r="Q3312" s="173"/>
      <c r="R3312" s="173"/>
      <c r="S3312" s="174"/>
      <c r="T3312" s="173"/>
      <c r="U3312" s="182"/>
      <c r="V3312" s="177">
        <f>IF(U3312=0,0,IF(T3312="MXN",1/HLOOKUP(YEAR(S3312)+(MONTH(S3312)/100),TC!$5:$37,DAY(S3312)+2,FALSE),VLOOKUP(T3312,Equivalencia!$1:$23,((MAX(Equivalencia!$3:$3)-YEAR(S3312))*14)+MONTH(S3312)+2,FALSE)))</f>
        <v>0</v>
      </c>
      <c r="W3312" s="178">
        <f t="shared" si="268"/>
        <v>0</v>
      </c>
      <c r="X3312" s="481">
        <f t="shared" si="269"/>
        <v>0</v>
      </c>
      <c r="Y3312" s="179"/>
      <c r="Z3312" s="466">
        <f t="shared" si="270"/>
        <v>0</v>
      </c>
      <c r="AA3312" s="473">
        <f t="shared" si="271"/>
        <v>0</v>
      </c>
      <c r="AB3312" s="339">
        <f t="shared" si="272"/>
        <v>0</v>
      </c>
    </row>
    <row r="3313" spans="2:28" ht="20.100000000000001" customHeight="1">
      <c r="B3313" s="172"/>
      <c r="C3313" s="174"/>
      <c r="D3313" s="181"/>
      <c r="E3313" s="173"/>
      <c r="F3313" s="176"/>
      <c r="G3313" s="175">
        <f t="shared" si="263"/>
        <v>0</v>
      </c>
      <c r="H3313" s="175">
        <f t="shared" si="264"/>
        <v>0</v>
      </c>
      <c r="I3313" s="177">
        <f>IF(G3313=0,0,IF(E3313="MXN",1/HLOOKUP(YEAR(C3313)+(MONTH(C3313)/100),TC!$5:$37,DAY(C3313)+2,FALSE),VLOOKUP(E3313,Equivalencia!$5:$23,((MAX(Equivalencia!$3:$3)-YEAR(C3313))*14)+MONTH(C3313)+2,FALSE)))</f>
        <v>0</v>
      </c>
      <c r="J3313" s="178">
        <f t="shared" si="265"/>
        <v>0</v>
      </c>
      <c r="K3313" s="462">
        <f>IF(C3313=0,0,VLOOKUP(YEAR(C3313),INPC!$B$4:$O$29,MONTH(C3313)+1))</f>
        <v>0</v>
      </c>
      <c r="L3313" s="462">
        <f>IF(S3313=0,0,VLOOKUP(YEAR(S3313),INPC!$B$4:$O$29,MONTH(S3313)+1))</f>
        <v>0</v>
      </c>
      <c r="M3313" s="463">
        <f t="shared" si="266"/>
        <v>0</v>
      </c>
      <c r="N3313" s="465">
        <f t="shared" si="267"/>
        <v>0</v>
      </c>
      <c r="O3313" s="179"/>
      <c r="P3313" s="180"/>
      <c r="Q3313" s="173"/>
      <c r="R3313" s="173"/>
      <c r="S3313" s="174"/>
      <c r="T3313" s="173"/>
      <c r="U3313" s="182"/>
      <c r="V3313" s="177">
        <f>IF(U3313=0,0,IF(T3313="MXN",1/HLOOKUP(YEAR(S3313)+(MONTH(S3313)/100),TC!$5:$37,DAY(S3313)+2,FALSE),VLOOKUP(T3313,Equivalencia!$1:$23,((MAX(Equivalencia!$3:$3)-YEAR(S3313))*14)+MONTH(S3313)+2,FALSE)))</f>
        <v>0</v>
      </c>
      <c r="W3313" s="178">
        <f t="shared" si="268"/>
        <v>0</v>
      </c>
      <c r="X3313" s="481">
        <f t="shared" si="269"/>
        <v>0</v>
      </c>
      <c r="Y3313" s="179"/>
      <c r="Z3313" s="466">
        <f t="shared" si="270"/>
        <v>0</v>
      </c>
      <c r="AA3313" s="473">
        <f t="shared" si="271"/>
        <v>0</v>
      </c>
      <c r="AB3313" s="339">
        <f t="shared" si="272"/>
        <v>0</v>
      </c>
    </row>
    <row r="3314" spans="2:28" ht="20.100000000000001" customHeight="1">
      <c r="B3314" s="172"/>
      <c r="C3314" s="174"/>
      <c r="D3314" s="181"/>
      <c r="E3314" s="173"/>
      <c r="F3314" s="176"/>
      <c r="G3314" s="175">
        <f t="shared" si="263"/>
        <v>0</v>
      </c>
      <c r="H3314" s="175">
        <f t="shared" si="264"/>
        <v>0</v>
      </c>
      <c r="I3314" s="177">
        <f>IF(G3314=0,0,IF(E3314="MXN",1/HLOOKUP(YEAR(C3314)+(MONTH(C3314)/100),TC!$5:$37,DAY(C3314)+2,FALSE),VLOOKUP(E3314,Equivalencia!$5:$23,((MAX(Equivalencia!$3:$3)-YEAR(C3314))*14)+MONTH(C3314)+2,FALSE)))</f>
        <v>0</v>
      </c>
      <c r="J3314" s="178">
        <f t="shared" si="265"/>
        <v>0</v>
      </c>
      <c r="K3314" s="462">
        <f>IF(C3314=0,0,VLOOKUP(YEAR(C3314),INPC!$B$4:$O$29,MONTH(C3314)+1))</f>
        <v>0</v>
      </c>
      <c r="L3314" s="462">
        <f>IF(S3314=0,0,VLOOKUP(YEAR(S3314),INPC!$B$4:$O$29,MONTH(S3314)+1))</f>
        <v>0</v>
      </c>
      <c r="M3314" s="463">
        <f t="shared" si="266"/>
        <v>0</v>
      </c>
      <c r="N3314" s="465">
        <f t="shared" si="267"/>
        <v>0</v>
      </c>
      <c r="O3314" s="179"/>
      <c r="P3314" s="180"/>
      <c r="Q3314" s="173"/>
      <c r="R3314" s="173"/>
      <c r="S3314" s="174"/>
      <c r="T3314" s="173"/>
      <c r="U3314" s="182"/>
      <c r="V3314" s="177">
        <f>IF(U3314=0,0,IF(T3314="MXN",1/HLOOKUP(YEAR(S3314)+(MONTH(S3314)/100),TC!$5:$37,DAY(S3314)+2,FALSE),VLOOKUP(T3314,Equivalencia!$1:$23,((MAX(Equivalencia!$3:$3)-YEAR(S3314))*14)+MONTH(S3314)+2,FALSE)))</f>
        <v>0</v>
      </c>
      <c r="W3314" s="178">
        <f t="shared" si="268"/>
        <v>0</v>
      </c>
      <c r="X3314" s="481">
        <f t="shared" si="269"/>
        <v>0</v>
      </c>
      <c r="Y3314" s="179"/>
      <c r="Z3314" s="466">
        <f t="shared" si="270"/>
        <v>0</v>
      </c>
      <c r="AA3314" s="473">
        <f t="shared" si="271"/>
        <v>0</v>
      </c>
      <c r="AB3314" s="339">
        <f t="shared" si="272"/>
        <v>0</v>
      </c>
    </row>
    <row r="3315" spans="2:28" ht="20.100000000000001" customHeight="1">
      <c r="B3315" s="172"/>
      <c r="C3315" s="174"/>
      <c r="D3315" s="181"/>
      <c r="E3315" s="173"/>
      <c r="F3315" s="176"/>
      <c r="G3315" s="175">
        <f t="shared" si="263"/>
        <v>0</v>
      </c>
      <c r="H3315" s="175">
        <f t="shared" si="264"/>
        <v>0</v>
      </c>
      <c r="I3315" s="177">
        <f>IF(G3315=0,0,IF(E3315="MXN",1/HLOOKUP(YEAR(C3315)+(MONTH(C3315)/100),TC!$5:$37,DAY(C3315)+2,FALSE),VLOOKUP(E3315,Equivalencia!$5:$23,((MAX(Equivalencia!$3:$3)-YEAR(C3315))*14)+MONTH(C3315)+2,FALSE)))</f>
        <v>0</v>
      </c>
      <c r="J3315" s="178">
        <f t="shared" si="265"/>
        <v>0</v>
      </c>
      <c r="K3315" s="462">
        <f>IF(C3315=0,0,VLOOKUP(YEAR(C3315),INPC!$B$4:$O$29,MONTH(C3315)+1))</f>
        <v>0</v>
      </c>
      <c r="L3315" s="462">
        <f>IF(S3315=0,0,VLOOKUP(YEAR(S3315),INPC!$B$4:$O$29,MONTH(S3315)+1))</f>
        <v>0</v>
      </c>
      <c r="M3315" s="463">
        <f t="shared" si="266"/>
        <v>0</v>
      </c>
      <c r="N3315" s="465">
        <f t="shared" si="267"/>
        <v>0</v>
      </c>
      <c r="O3315" s="179"/>
      <c r="P3315" s="180"/>
      <c r="Q3315" s="173"/>
      <c r="R3315" s="173"/>
      <c r="S3315" s="174"/>
      <c r="T3315" s="173"/>
      <c r="U3315" s="182"/>
      <c r="V3315" s="177">
        <f>IF(U3315=0,0,IF(T3315="MXN",1/HLOOKUP(YEAR(S3315)+(MONTH(S3315)/100),TC!$5:$37,DAY(S3315)+2,FALSE),VLOOKUP(T3315,Equivalencia!$1:$23,((MAX(Equivalencia!$3:$3)-YEAR(S3315))*14)+MONTH(S3315)+2,FALSE)))</f>
        <v>0</v>
      </c>
      <c r="W3315" s="178">
        <f t="shared" si="268"/>
        <v>0</v>
      </c>
      <c r="X3315" s="481">
        <f t="shared" si="269"/>
        <v>0</v>
      </c>
      <c r="Y3315" s="179"/>
      <c r="Z3315" s="466">
        <f t="shared" si="270"/>
        <v>0</v>
      </c>
      <c r="AA3315" s="473">
        <f t="shared" si="271"/>
        <v>0</v>
      </c>
      <c r="AB3315" s="339">
        <f t="shared" si="272"/>
        <v>0</v>
      </c>
    </row>
    <row r="3316" spans="2:28" ht="20.100000000000001" customHeight="1">
      <c r="B3316" s="172"/>
      <c r="C3316" s="174"/>
      <c r="D3316" s="181"/>
      <c r="E3316" s="173"/>
      <c r="F3316" s="176"/>
      <c r="G3316" s="175">
        <f t="shared" si="263"/>
        <v>0</v>
      </c>
      <c r="H3316" s="175">
        <f t="shared" si="264"/>
        <v>0</v>
      </c>
      <c r="I3316" s="177">
        <f>IF(G3316=0,0,IF(E3316="MXN",1/HLOOKUP(YEAR(C3316)+(MONTH(C3316)/100),TC!$5:$37,DAY(C3316)+2,FALSE),VLOOKUP(E3316,Equivalencia!$5:$23,((MAX(Equivalencia!$3:$3)-YEAR(C3316))*14)+MONTH(C3316)+2,FALSE)))</f>
        <v>0</v>
      </c>
      <c r="J3316" s="178">
        <f t="shared" si="265"/>
        <v>0</v>
      </c>
      <c r="K3316" s="462">
        <f>IF(C3316=0,0,VLOOKUP(YEAR(C3316),INPC!$B$4:$O$29,MONTH(C3316)+1))</f>
        <v>0</v>
      </c>
      <c r="L3316" s="462">
        <f>IF(S3316=0,0,VLOOKUP(YEAR(S3316),INPC!$B$4:$O$29,MONTH(S3316)+1))</f>
        <v>0</v>
      </c>
      <c r="M3316" s="463">
        <f t="shared" si="266"/>
        <v>0</v>
      </c>
      <c r="N3316" s="465">
        <f t="shared" si="267"/>
        <v>0</v>
      </c>
      <c r="O3316" s="179"/>
      <c r="P3316" s="180"/>
      <c r="Q3316" s="173"/>
      <c r="R3316" s="173"/>
      <c r="S3316" s="174"/>
      <c r="T3316" s="173"/>
      <c r="U3316" s="182"/>
      <c r="V3316" s="177">
        <f>IF(U3316=0,0,IF(T3316="MXN",1/HLOOKUP(YEAR(S3316)+(MONTH(S3316)/100),TC!$5:$37,DAY(S3316)+2,FALSE),VLOOKUP(T3316,Equivalencia!$1:$23,((MAX(Equivalencia!$3:$3)-YEAR(S3316))*14)+MONTH(S3316)+2,FALSE)))</f>
        <v>0</v>
      </c>
      <c r="W3316" s="178">
        <f t="shared" si="268"/>
        <v>0</v>
      </c>
      <c r="X3316" s="481">
        <f t="shared" si="269"/>
        <v>0</v>
      </c>
      <c r="Y3316" s="179"/>
      <c r="Z3316" s="466">
        <f t="shared" si="270"/>
        <v>0</v>
      </c>
      <c r="AA3316" s="473">
        <f t="shared" si="271"/>
        <v>0</v>
      </c>
      <c r="AB3316" s="339">
        <f t="shared" si="272"/>
        <v>0</v>
      </c>
    </row>
    <row r="3317" spans="2:28" ht="20.100000000000001" customHeight="1">
      <c r="B3317" s="172"/>
      <c r="C3317" s="174"/>
      <c r="D3317" s="181"/>
      <c r="E3317" s="173"/>
      <c r="F3317" s="176"/>
      <c r="G3317" s="175">
        <f t="shared" si="263"/>
        <v>0</v>
      </c>
      <c r="H3317" s="175">
        <f t="shared" si="264"/>
        <v>0</v>
      </c>
      <c r="I3317" s="177">
        <f>IF(G3317=0,0,IF(E3317="MXN",1/HLOOKUP(YEAR(C3317)+(MONTH(C3317)/100),TC!$5:$37,DAY(C3317)+2,FALSE),VLOOKUP(E3317,Equivalencia!$5:$23,((MAX(Equivalencia!$3:$3)-YEAR(C3317))*14)+MONTH(C3317)+2,FALSE)))</f>
        <v>0</v>
      </c>
      <c r="J3317" s="178">
        <f t="shared" si="265"/>
        <v>0</v>
      </c>
      <c r="K3317" s="462">
        <f>IF(C3317=0,0,VLOOKUP(YEAR(C3317),INPC!$B$4:$O$29,MONTH(C3317)+1))</f>
        <v>0</v>
      </c>
      <c r="L3317" s="462">
        <f>IF(S3317=0,0,VLOOKUP(YEAR(S3317),INPC!$B$4:$O$29,MONTH(S3317)+1))</f>
        <v>0</v>
      </c>
      <c r="M3317" s="463">
        <f t="shared" si="266"/>
        <v>0</v>
      </c>
      <c r="N3317" s="465">
        <f t="shared" si="267"/>
        <v>0</v>
      </c>
      <c r="O3317" s="179"/>
      <c r="P3317" s="180"/>
      <c r="Q3317" s="173"/>
      <c r="R3317" s="173"/>
      <c r="S3317" s="174"/>
      <c r="T3317" s="173"/>
      <c r="U3317" s="182"/>
      <c r="V3317" s="177">
        <f>IF(U3317=0,0,IF(T3317="MXN",1/HLOOKUP(YEAR(S3317)+(MONTH(S3317)/100),TC!$5:$37,DAY(S3317)+2,FALSE),VLOOKUP(T3317,Equivalencia!$1:$23,((MAX(Equivalencia!$3:$3)-YEAR(S3317))*14)+MONTH(S3317)+2,FALSE)))</f>
        <v>0</v>
      </c>
      <c r="W3317" s="178">
        <f t="shared" si="268"/>
        <v>0</v>
      </c>
      <c r="X3317" s="481">
        <f t="shared" si="269"/>
        <v>0</v>
      </c>
      <c r="Y3317" s="179"/>
      <c r="Z3317" s="466">
        <f t="shared" si="270"/>
        <v>0</v>
      </c>
      <c r="AA3317" s="473">
        <f t="shared" si="271"/>
        <v>0</v>
      </c>
      <c r="AB3317" s="339">
        <f t="shared" si="272"/>
        <v>0</v>
      </c>
    </row>
    <row r="3318" spans="2:28" ht="20.100000000000001" customHeight="1">
      <c r="B3318" s="172"/>
      <c r="C3318" s="174"/>
      <c r="D3318" s="181"/>
      <c r="E3318" s="173"/>
      <c r="F3318" s="176"/>
      <c r="G3318" s="175">
        <f t="shared" si="263"/>
        <v>0</v>
      </c>
      <c r="H3318" s="175">
        <f t="shared" si="264"/>
        <v>0</v>
      </c>
      <c r="I3318" s="177">
        <f>IF(G3318=0,0,IF(E3318="MXN",1/HLOOKUP(YEAR(C3318)+(MONTH(C3318)/100),TC!$5:$37,DAY(C3318)+2,FALSE),VLOOKUP(E3318,Equivalencia!$5:$23,((MAX(Equivalencia!$3:$3)-YEAR(C3318))*14)+MONTH(C3318)+2,FALSE)))</f>
        <v>0</v>
      </c>
      <c r="J3318" s="178">
        <f t="shared" si="265"/>
        <v>0</v>
      </c>
      <c r="K3318" s="462">
        <f>IF(C3318=0,0,VLOOKUP(YEAR(C3318),INPC!$B$4:$O$29,MONTH(C3318)+1))</f>
        <v>0</v>
      </c>
      <c r="L3318" s="462">
        <f>IF(S3318=0,0,VLOOKUP(YEAR(S3318),INPC!$B$4:$O$29,MONTH(S3318)+1))</f>
        <v>0</v>
      </c>
      <c r="M3318" s="463">
        <f t="shared" si="266"/>
        <v>0</v>
      </c>
      <c r="N3318" s="465">
        <f t="shared" si="267"/>
        <v>0</v>
      </c>
      <c r="O3318" s="179"/>
      <c r="P3318" s="180"/>
      <c r="Q3318" s="173"/>
      <c r="R3318" s="173"/>
      <c r="S3318" s="174"/>
      <c r="T3318" s="173"/>
      <c r="U3318" s="182"/>
      <c r="V3318" s="177">
        <f>IF(U3318=0,0,IF(T3318="MXN",1/HLOOKUP(YEAR(S3318)+(MONTH(S3318)/100),TC!$5:$37,DAY(S3318)+2,FALSE),VLOOKUP(T3318,Equivalencia!$1:$23,((MAX(Equivalencia!$3:$3)-YEAR(S3318))*14)+MONTH(S3318)+2,FALSE)))</f>
        <v>0</v>
      </c>
      <c r="W3318" s="178">
        <f t="shared" si="268"/>
        <v>0</v>
      </c>
      <c r="X3318" s="481">
        <f t="shared" si="269"/>
        <v>0</v>
      </c>
      <c r="Y3318" s="179"/>
      <c r="Z3318" s="466">
        <f t="shared" si="270"/>
        <v>0</v>
      </c>
      <c r="AA3318" s="473">
        <f t="shared" si="271"/>
        <v>0</v>
      </c>
      <c r="AB3318" s="339">
        <f t="shared" si="272"/>
        <v>0</v>
      </c>
    </row>
    <row r="3319" spans="2:28" ht="20.100000000000001" customHeight="1">
      <c r="B3319" s="172"/>
      <c r="C3319" s="174"/>
      <c r="D3319" s="181"/>
      <c r="E3319" s="173"/>
      <c r="F3319" s="176"/>
      <c r="G3319" s="175">
        <f t="shared" si="263"/>
        <v>0</v>
      </c>
      <c r="H3319" s="175">
        <f t="shared" si="264"/>
        <v>0</v>
      </c>
      <c r="I3319" s="177">
        <f>IF(G3319=0,0,IF(E3319="MXN",1/HLOOKUP(YEAR(C3319)+(MONTH(C3319)/100),TC!$5:$37,DAY(C3319)+2,FALSE),VLOOKUP(E3319,Equivalencia!$5:$23,((MAX(Equivalencia!$3:$3)-YEAR(C3319))*14)+MONTH(C3319)+2,FALSE)))</f>
        <v>0</v>
      </c>
      <c r="J3319" s="178">
        <f t="shared" si="265"/>
        <v>0</v>
      </c>
      <c r="K3319" s="462">
        <f>IF(C3319=0,0,VLOOKUP(YEAR(C3319),INPC!$B$4:$O$29,MONTH(C3319)+1))</f>
        <v>0</v>
      </c>
      <c r="L3319" s="462">
        <f>IF(S3319=0,0,VLOOKUP(YEAR(S3319),INPC!$B$4:$O$29,MONTH(S3319)+1))</f>
        <v>0</v>
      </c>
      <c r="M3319" s="463">
        <f t="shared" si="266"/>
        <v>0</v>
      </c>
      <c r="N3319" s="465">
        <f t="shared" si="267"/>
        <v>0</v>
      </c>
      <c r="O3319" s="179"/>
      <c r="P3319" s="180"/>
      <c r="Q3319" s="173"/>
      <c r="R3319" s="173"/>
      <c r="S3319" s="174"/>
      <c r="T3319" s="173"/>
      <c r="U3319" s="182"/>
      <c r="V3319" s="177">
        <f>IF(U3319=0,0,IF(T3319="MXN",1/HLOOKUP(YEAR(S3319)+(MONTH(S3319)/100),TC!$5:$37,DAY(S3319)+2,FALSE),VLOOKUP(T3319,Equivalencia!$1:$23,((MAX(Equivalencia!$3:$3)-YEAR(S3319))*14)+MONTH(S3319)+2,FALSE)))</f>
        <v>0</v>
      </c>
      <c r="W3319" s="178">
        <f t="shared" si="268"/>
        <v>0</v>
      </c>
      <c r="X3319" s="481">
        <f t="shared" si="269"/>
        <v>0</v>
      </c>
      <c r="Y3319" s="179"/>
      <c r="Z3319" s="466">
        <f t="shared" si="270"/>
        <v>0</v>
      </c>
      <c r="AA3319" s="473">
        <f t="shared" si="271"/>
        <v>0</v>
      </c>
      <c r="AB3319" s="339">
        <f t="shared" si="272"/>
        <v>0</v>
      </c>
    </row>
    <row r="3320" spans="2:28" ht="20.100000000000001" customHeight="1">
      <c r="B3320" s="172"/>
      <c r="C3320" s="174"/>
      <c r="D3320" s="181"/>
      <c r="E3320" s="173"/>
      <c r="F3320" s="176"/>
      <c r="G3320" s="175">
        <f t="shared" si="263"/>
        <v>0</v>
      </c>
      <c r="H3320" s="175">
        <f t="shared" si="264"/>
        <v>0</v>
      </c>
      <c r="I3320" s="177">
        <f>IF(G3320=0,0,IF(E3320="MXN",1/HLOOKUP(YEAR(C3320)+(MONTH(C3320)/100),TC!$5:$37,DAY(C3320)+2,FALSE),VLOOKUP(E3320,Equivalencia!$5:$23,((MAX(Equivalencia!$3:$3)-YEAR(C3320))*14)+MONTH(C3320)+2,FALSE)))</f>
        <v>0</v>
      </c>
      <c r="J3320" s="178">
        <f t="shared" si="265"/>
        <v>0</v>
      </c>
      <c r="K3320" s="462">
        <f>IF(C3320=0,0,VLOOKUP(YEAR(C3320),INPC!$B$4:$O$29,MONTH(C3320)+1))</f>
        <v>0</v>
      </c>
      <c r="L3320" s="462">
        <f>IF(S3320=0,0,VLOOKUP(YEAR(S3320),INPC!$B$4:$O$29,MONTH(S3320)+1))</f>
        <v>0</v>
      </c>
      <c r="M3320" s="463">
        <f t="shared" si="266"/>
        <v>0</v>
      </c>
      <c r="N3320" s="465">
        <f t="shared" si="267"/>
        <v>0</v>
      </c>
      <c r="O3320" s="179"/>
      <c r="P3320" s="180"/>
      <c r="Q3320" s="173"/>
      <c r="R3320" s="173"/>
      <c r="S3320" s="174"/>
      <c r="T3320" s="173"/>
      <c r="U3320" s="182"/>
      <c r="V3320" s="177">
        <f>IF(U3320=0,0,IF(T3320="MXN",1/HLOOKUP(YEAR(S3320)+(MONTH(S3320)/100),TC!$5:$37,DAY(S3320)+2,FALSE),VLOOKUP(T3320,Equivalencia!$1:$23,((MAX(Equivalencia!$3:$3)-YEAR(S3320))*14)+MONTH(S3320)+2,FALSE)))</f>
        <v>0</v>
      </c>
      <c r="W3320" s="178">
        <f t="shared" si="268"/>
        <v>0</v>
      </c>
      <c r="X3320" s="481">
        <f t="shared" si="269"/>
        <v>0</v>
      </c>
      <c r="Y3320" s="179"/>
      <c r="Z3320" s="466">
        <f t="shared" si="270"/>
        <v>0</v>
      </c>
      <c r="AA3320" s="473">
        <f t="shared" si="271"/>
        <v>0</v>
      </c>
      <c r="AB3320" s="339">
        <f t="shared" si="272"/>
        <v>0</v>
      </c>
    </row>
    <row r="3321" spans="2:28" ht="20.100000000000001" customHeight="1">
      <c r="B3321" s="172"/>
      <c r="C3321" s="174"/>
      <c r="D3321" s="181"/>
      <c r="E3321" s="173"/>
      <c r="F3321" s="176"/>
      <c r="G3321" s="175">
        <f t="shared" si="263"/>
        <v>0</v>
      </c>
      <c r="H3321" s="175">
        <f t="shared" si="264"/>
        <v>0</v>
      </c>
      <c r="I3321" s="177">
        <f>IF(G3321=0,0,IF(E3321="MXN",1/HLOOKUP(YEAR(C3321)+(MONTH(C3321)/100),TC!$5:$37,DAY(C3321)+2,FALSE),VLOOKUP(E3321,Equivalencia!$5:$23,((MAX(Equivalencia!$3:$3)-YEAR(C3321))*14)+MONTH(C3321)+2,FALSE)))</f>
        <v>0</v>
      </c>
      <c r="J3321" s="178">
        <f t="shared" si="265"/>
        <v>0</v>
      </c>
      <c r="K3321" s="462">
        <f>IF(C3321=0,0,VLOOKUP(YEAR(C3321),INPC!$B$4:$O$29,MONTH(C3321)+1))</f>
        <v>0</v>
      </c>
      <c r="L3321" s="462">
        <f>IF(S3321=0,0,VLOOKUP(YEAR(S3321),INPC!$B$4:$O$29,MONTH(S3321)+1))</f>
        <v>0</v>
      </c>
      <c r="M3321" s="463">
        <f t="shared" si="266"/>
        <v>0</v>
      </c>
      <c r="N3321" s="465">
        <f t="shared" si="267"/>
        <v>0</v>
      </c>
      <c r="O3321" s="179"/>
      <c r="P3321" s="180"/>
      <c r="Q3321" s="173"/>
      <c r="R3321" s="173"/>
      <c r="S3321" s="174"/>
      <c r="T3321" s="173"/>
      <c r="U3321" s="182"/>
      <c r="V3321" s="177">
        <f>IF(U3321=0,0,IF(T3321="MXN",1/HLOOKUP(YEAR(S3321)+(MONTH(S3321)/100),TC!$5:$37,DAY(S3321)+2,FALSE),VLOOKUP(T3321,Equivalencia!$1:$23,((MAX(Equivalencia!$3:$3)-YEAR(S3321))*14)+MONTH(S3321)+2,FALSE)))</f>
        <v>0</v>
      </c>
      <c r="W3321" s="178">
        <f t="shared" si="268"/>
        <v>0</v>
      </c>
      <c r="X3321" s="481">
        <f t="shared" si="269"/>
        <v>0</v>
      </c>
      <c r="Y3321" s="179"/>
      <c r="Z3321" s="466">
        <f t="shared" si="270"/>
        <v>0</v>
      </c>
      <c r="AA3321" s="473">
        <f t="shared" si="271"/>
        <v>0</v>
      </c>
      <c r="AB3321" s="339">
        <f t="shared" si="272"/>
        <v>0</v>
      </c>
    </row>
    <row r="3322" spans="2:28" ht="20.100000000000001" customHeight="1">
      <c r="B3322" s="172"/>
      <c r="C3322" s="174"/>
      <c r="D3322" s="181"/>
      <c r="E3322" s="173"/>
      <c r="F3322" s="176"/>
      <c r="G3322" s="175">
        <f t="shared" si="263"/>
        <v>0</v>
      </c>
      <c r="H3322" s="175">
        <f t="shared" si="264"/>
        <v>0</v>
      </c>
      <c r="I3322" s="177">
        <f>IF(G3322=0,0,IF(E3322="MXN",1/HLOOKUP(YEAR(C3322)+(MONTH(C3322)/100),TC!$5:$37,DAY(C3322)+2,FALSE),VLOOKUP(E3322,Equivalencia!$5:$23,((MAX(Equivalencia!$3:$3)-YEAR(C3322))*14)+MONTH(C3322)+2,FALSE)))</f>
        <v>0</v>
      </c>
      <c r="J3322" s="178">
        <f t="shared" si="265"/>
        <v>0</v>
      </c>
      <c r="K3322" s="462">
        <f>IF(C3322=0,0,VLOOKUP(YEAR(C3322),INPC!$B$4:$O$29,MONTH(C3322)+1))</f>
        <v>0</v>
      </c>
      <c r="L3322" s="462">
        <f>IF(S3322=0,0,VLOOKUP(YEAR(S3322),INPC!$B$4:$O$29,MONTH(S3322)+1))</f>
        <v>0</v>
      </c>
      <c r="M3322" s="463">
        <f t="shared" si="266"/>
        <v>0</v>
      </c>
      <c r="N3322" s="465">
        <f t="shared" si="267"/>
        <v>0</v>
      </c>
      <c r="O3322" s="179"/>
      <c r="P3322" s="180"/>
      <c r="Q3322" s="173"/>
      <c r="R3322" s="173"/>
      <c r="S3322" s="174"/>
      <c r="T3322" s="173"/>
      <c r="U3322" s="182"/>
      <c r="V3322" s="177">
        <f>IF(U3322=0,0,IF(T3322="MXN",1/HLOOKUP(YEAR(S3322)+(MONTH(S3322)/100),TC!$5:$37,DAY(S3322)+2,FALSE),VLOOKUP(T3322,Equivalencia!$1:$23,((MAX(Equivalencia!$3:$3)-YEAR(S3322))*14)+MONTH(S3322)+2,FALSE)))</f>
        <v>0</v>
      </c>
      <c r="W3322" s="178">
        <f t="shared" si="268"/>
        <v>0</v>
      </c>
      <c r="X3322" s="481">
        <f t="shared" si="269"/>
        <v>0</v>
      </c>
      <c r="Y3322" s="179"/>
      <c r="Z3322" s="466">
        <f t="shared" si="270"/>
        <v>0</v>
      </c>
      <c r="AA3322" s="473">
        <f t="shared" si="271"/>
        <v>0</v>
      </c>
      <c r="AB3322" s="339">
        <f t="shared" si="272"/>
        <v>0</v>
      </c>
    </row>
    <row r="3323" spans="2:28" ht="20.100000000000001" customHeight="1">
      <c r="B3323" s="172"/>
      <c r="C3323" s="174"/>
      <c r="D3323" s="181"/>
      <c r="E3323" s="173"/>
      <c r="F3323" s="176"/>
      <c r="G3323" s="175">
        <f t="shared" si="263"/>
        <v>0</v>
      </c>
      <c r="H3323" s="175">
        <f t="shared" si="264"/>
        <v>0</v>
      </c>
      <c r="I3323" s="177">
        <f>IF(G3323=0,0,IF(E3323="MXN",1/HLOOKUP(YEAR(C3323)+(MONTH(C3323)/100),TC!$5:$37,DAY(C3323)+2,FALSE),VLOOKUP(E3323,Equivalencia!$5:$23,((MAX(Equivalencia!$3:$3)-YEAR(C3323))*14)+MONTH(C3323)+2,FALSE)))</f>
        <v>0</v>
      </c>
      <c r="J3323" s="178">
        <f t="shared" si="265"/>
        <v>0</v>
      </c>
      <c r="K3323" s="462">
        <f>IF(C3323=0,0,VLOOKUP(YEAR(C3323),INPC!$B$4:$O$29,MONTH(C3323)+1))</f>
        <v>0</v>
      </c>
      <c r="L3323" s="462">
        <f>IF(S3323=0,0,VLOOKUP(YEAR(S3323),INPC!$B$4:$O$29,MONTH(S3323)+1))</f>
        <v>0</v>
      </c>
      <c r="M3323" s="463">
        <f t="shared" si="266"/>
        <v>0</v>
      </c>
      <c r="N3323" s="465">
        <f t="shared" si="267"/>
        <v>0</v>
      </c>
      <c r="O3323" s="179"/>
      <c r="P3323" s="180"/>
      <c r="Q3323" s="173"/>
      <c r="R3323" s="173"/>
      <c r="S3323" s="174"/>
      <c r="T3323" s="173"/>
      <c r="U3323" s="182"/>
      <c r="V3323" s="177">
        <f>IF(U3323=0,0,IF(T3323="MXN",1/HLOOKUP(YEAR(S3323)+(MONTH(S3323)/100),TC!$5:$37,DAY(S3323)+2,FALSE),VLOOKUP(T3323,Equivalencia!$1:$23,((MAX(Equivalencia!$3:$3)-YEAR(S3323))*14)+MONTH(S3323)+2,FALSE)))</f>
        <v>0</v>
      </c>
      <c r="W3323" s="178">
        <f t="shared" si="268"/>
        <v>0</v>
      </c>
      <c r="X3323" s="481">
        <f t="shared" si="269"/>
        <v>0</v>
      </c>
      <c r="Y3323" s="179"/>
      <c r="Z3323" s="466">
        <f t="shared" si="270"/>
        <v>0</v>
      </c>
      <c r="AA3323" s="473">
        <f t="shared" si="271"/>
        <v>0</v>
      </c>
      <c r="AB3323" s="339">
        <f t="shared" si="272"/>
        <v>0</v>
      </c>
    </row>
    <row r="3324" spans="2:28" ht="20.100000000000001" customHeight="1">
      <c r="B3324" s="172"/>
      <c r="C3324" s="174"/>
      <c r="D3324" s="181"/>
      <c r="E3324" s="173"/>
      <c r="F3324" s="176"/>
      <c r="G3324" s="175">
        <f t="shared" si="263"/>
        <v>0</v>
      </c>
      <c r="H3324" s="175">
        <f t="shared" si="264"/>
        <v>0</v>
      </c>
      <c r="I3324" s="177">
        <f>IF(G3324=0,0,IF(E3324="MXN",1/HLOOKUP(YEAR(C3324)+(MONTH(C3324)/100),TC!$5:$37,DAY(C3324)+2,FALSE),VLOOKUP(E3324,Equivalencia!$5:$23,((MAX(Equivalencia!$3:$3)-YEAR(C3324))*14)+MONTH(C3324)+2,FALSE)))</f>
        <v>0</v>
      </c>
      <c r="J3324" s="178">
        <f t="shared" si="265"/>
        <v>0</v>
      </c>
      <c r="K3324" s="462">
        <f>IF(C3324=0,0,VLOOKUP(YEAR(C3324),INPC!$B$4:$O$29,MONTH(C3324)+1))</f>
        <v>0</v>
      </c>
      <c r="L3324" s="462">
        <f>IF(S3324=0,0,VLOOKUP(YEAR(S3324),INPC!$B$4:$O$29,MONTH(S3324)+1))</f>
        <v>0</v>
      </c>
      <c r="M3324" s="463">
        <f t="shared" si="266"/>
        <v>0</v>
      </c>
      <c r="N3324" s="465">
        <f t="shared" si="267"/>
        <v>0</v>
      </c>
      <c r="O3324" s="179"/>
      <c r="P3324" s="180"/>
      <c r="Q3324" s="173"/>
      <c r="R3324" s="173"/>
      <c r="S3324" s="174"/>
      <c r="T3324" s="173"/>
      <c r="U3324" s="182"/>
      <c r="V3324" s="177">
        <f>IF(U3324=0,0,IF(T3324="MXN",1/HLOOKUP(YEAR(S3324)+(MONTH(S3324)/100),TC!$5:$37,DAY(S3324)+2,FALSE),VLOOKUP(T3324,Equivalencia!$1:$23,((MAX(Equivalencia!$3:$3)-YEAR(S3324))*14)+MONTH(S3324)+2,FALSE)))</f>
        <v>0</v>
      </c>
      <c r="W3324" s="178">
        <f t="shared" si="268"/>
        <v>0</v>
      </c>
      <c r="X3324" s="481">
        <f t="shared" si="269"/>
        <v>0</v>
      </c>
      <c r="Y3324" s="179"/>
      <c r="Z3324" s="466">
        <f t="shared" si="270"/>
        <v>0</v>
      </c>
      <c r="AA3324" s="473">
        <f t="shared" si="271"/>
        <v>0</v>
      </c>
      <c r="AB3324" s="339">
        <f t="shared" si="272"/>
        <v>0</v>
      </c>
    </row>
    <row r="3325" spans="2:28" ht="20.100000000000001" customHeight="1">
      <c r="B3325" s="172"/>
      <c r="C3325" s="174"/>
      <c r="D3325" s="181"/>
      <c r="E3325" s="173"/>
      <c r="F3325" s="176"/>
      <c r="G3325" s="175">
        <f t="shared" si="263"/>
        <v>0</v>
      </c>
      <c r="H3325" s="175">
        <f t="shared" si="264"/>
        <v>0</v>
      </c>
      <c r="I3325" s="177">
        <f>IF(G3325=0,0,IF(E3325="MXN",1/HLOOKUP(YEAR(C3325)+(MONTH(C3325)/100),TC!$5:$37,DAY(C3325)+2,FALSE),VLOOKUP(E3325,Equivalencia!$5:$23,((MAX(Equivalencia!$3:$3)-YEAR(C3325))*14)+MONTH(C3325)+2,FALSE)))</f>
        <v>0</v>
      </c>
      <c r="J3325" s="178">
        <f t="shared" si="265"/>
        <v>0</v>
      </c>
      <c r="K3325" s="462">
        <f>IF(C3325=0,0,VLOOKUP(YEAR(C3325),INPC!$B$4:$O$29,MONTH(C3325)+1))</f>
        <v>0</v>
      </c>
      <c r="L3325" s="462">
        <f>IF(S3325=0,0,VLOOKUP(YEAR(S3325),INPC!$B$4:$O$29,MONTH(S3325)+1))</f>
        <v>0</v>
      </c>
      <c r="M3325" s="463">
        <f t="shared" si="266"/>
        <v>0</v>
      </c>
      <c r="N3325" s="465">
        <f t="shared" si="267"/>
        <v>0</v>
      </c>
      <c r="O3325" s="179"/>
      <c r="P3325" s="180"/>
      <c r="Q3325" s="173"/>
      <c r="R3325" s="173"/>
      <c r="S3325" s="174"/>
      <c r="T3325" s="173"/>
      <c r="U3325" s="182"/>
      <c r="V3325" s="177">
        <f>IF(U3325=0,0,IF(T3325="MXN",1/HLOOKUP(YEAR(S3325)+(MONTH(S3325)/100),TC!$5:$37,DAY(S3325)+2,FALSE),VLOOKUP(T3325,Equivalencia!$1:$23,((MAX(Equivalencia!$3:$3)-YEAR(S3325))*14)+MONTH(S3325)+2,FALSE)))</f>
        <v>0</v>
      </c>
      <c r="W3325" s="178">
        <f t="shared" si="268"/>
        <v>0</v>
      </c>
      <c r="X3325" s="481">
        <f t="shared" si="269"/>
        <v>0</v>
      </c>
      <c r="Y3325" s="179"/>
      <c r="Z3325" s="466">
        <f t="shared" si="270"/>
        <v>0</v>
      </c>
      <c r="AA3325" s="473">
        <f t="shared" si="271"/>
        <v>0</v>
      </c>
      <c r="AB3325" s="339">
        <f t="shared" si="272"/>
        <v>0</v>
      </c>
    </row>
    <row r="3326" spans="2:28" ht="20.100000000000001" customHeight="1">
      <c r="B3326" s="172"/>
      <c r="C3326" s="174"/>
      <c r="D3326" s="181"/>
      <c r="E3326" s="173"/>
      <c r="F3326" s="176"/>
      <c r="G3326" s="175">
        <f t="shared" si="263"/>
        <v>0</v>
      </c>
      <c r="H3326" s="175">
        <f t="shared" si="264"/>
        <v>0</v>
      </c>
      <c r="I3326" s="177">
        <f>IF(G3326=0,0,IF(E3326="MXN",1/HLOOKUP(YEAR(C3326)+(MONTH(C3326)/100),TC!$5:$37,DAY(C3326)+2,FALSE),VLOOKUP(E3326,Equivalencia!$5:$23,((MAX(Equivalencia!$3:$3)-YEAR(C3326))*14)+MONTH(C3326)+2,FALSE)))</f>
        <v>0</v>
      </c>
      <c r="J3326" s="178">
        <f t="shared" si="265"/>
        <v>0</v>
      </c>
      <c r="K3326" s="462">
        <f>IF(C3326=0,0,VLOOKUP(YEAR(C3326),INPC!$B$4:$O$29,MONTH(C3326)+1))</f>
        <v>0</v>
      </c>
      <c r="L3326" s="462">
        <f>IF(S3326=0,0,VLOOKUP(YEAR(S3326),INPC!$B$4:$O$29,MONTH(S3326)+1))</f>
        <v>0</v>
      </c>
      <c r="M3326" s="463">
        <f t="shared" si="266"/>
        <v>0</v>
      </c>
      <c r="N3326" s="465">
        <f t="shared" si="267"/>
        <v>0</v>
      </c>
      <c r="O3326" s="179"/>
      <c r="P3326" s="180"/>
      <c r="Q3326" s="173"/>
      <c r="R3326" s="173"/>
      <c r="S3326" s="174"/>
      <c r="T3326" s="173"/>
      <c r="U3326" s="182"/>
      <c r="V3326" s="177">
        <f>IF(U3326=0,0,IF(T3326="MXN",1/HLOOKUP(YEAR(S3326)+(MONTH(S3326)/100),TC!$5:$37,DAY(S3326)+2,FALSE),VLOOKUP(T3326,Equivalencia!$1:$23,((MAX(Equivalencia!$3:$3)-YEAR(S3326))*14)+MONTH(S3326)+2,FALSE)))</f>
        <v>0</v>
      </c>
      <c r="W3326" s="178">
        <f t="shared" si="268"/>
        <v>0</v>
      </c>
      <c r="X3326" s="481">
        <f t="shared" si="269"/>
        <v>0</v>
      </c>
      <c r="Y3326" s="179"/>
      <c r="Z3326" s="466">
        <f t="shared" si="270"/>
        <v>0</v>
      </c>
      <c r="AA3326" s="473">
        <f t="shared" si="271"/>
        <v>0</v>
      </c>
      <c r="AB3326" s="339">
        <f t="shared" si="272"/>
        <v>0</v>
      </c>
    </row>
    <row r="3327" spans="2:28" ht="20.100000000000001" customHeight="1">
      <c r="B3327" s="172"/>
      <c r="C3327" s="174"/>
      <c r="D3327" s="181"/>
      <c r="E3327" s="173"/>
      <c r="F3327" s="176"/>
      <c r="G3327" s="175">
        <f t="shared" si="263"/>
        <v>0</v>
      </c>
      <c r="H3327" s="175">
        <f t="shared" si="264"/>
        <v>0</v>
      </c>
      <c r="I3327" s="177">
        <f>IF(G3327=0,0,IF(E3327="MXN",1/HLOOKUP(YEAR(C3327)+(MONTH(C3327)/100),TC!$5:$37,DAY(C3327)+2,FALSE),VLOOKUP(E3327,Equivalencia!$5:$23,((MAX(Equivalencia!$3:$3)-YEAR(C3327))*14)+MONTH(C3327)+2,FALSE)))</f>
        <v>0</v>
      </c>
      <c r="J3327" s="178">
        <f t="shared" si="265"/>
        <v>0</v>
      </c>
      <c r="K3327" s="462">
        <f>IF(C3327=0,0,VLOOKUP(YEAR(C3327),INPC!$B$4:$O$29,MONTH(C3327)+1))</f>
        <v>0</v>
      </c>
      <c r="L3327" s="462">
        <f>IF(S3327=0,0,VLOOKUP(YEAR(S3327),INPC!$B$4:$O$29,MONTH(S3327)+1))</f>
        <v>0</v>
      </c>
      <c r="M3327" s="463">
        <f t="shared" si="266"/>
        <v>0</v>
      </c>
      <c r="N3327" s="465">
        <f t="shared" si="267"/>
        <v>0</v>
      </c>
      <c r="O3327" s="179"/>
      <c r="P3327" s="180"/>
      <c r="Q3327" s="173"/>
      <c r="R3327" s="173"/>
      <c r="S3327" s="174"/>
      <c r="T3327" s="173"/>
      <c r="U3327" s="182"/>
      <c r="V3327" s="177">
        <f>IF(U3327=0,0,IF(T3327="MXN",1/HLOOKUP(YEAR(S3327)+(MONTH(S3327)/100),TC!$5:$37,DAY(S3327)+2,FALSE),VLOOKUP(T3327,Equivalencia!$1:$23,((MAX(Equivalencia!$3:$3)-YEAR(S3327))*14)+MONTH(S3327)+2,FALSE)))</f>
        <v>0</v>
      </c>
      <c r="W3327" s="178">
        <f t="shared" si="268"/>
        <v>0</v>
      </c>
      <c r="X3327" s="481">
        <f t="shared" si="269"/>
        <v>0</v>
      </c>
      <c r="Y3327" s="179"/>
      <c r="Z3327" s="466">
        <f t="shared" si="270"/>
        <v>0</v>
      </c>
      <c r="AA3327" s="473">
        <f t="shared" si="271"/>
        <v>0</v>
      </c>
      <c r="AB3327" s="339">
        <f t="shared" si="272"/>
        <v>0</v>
      </c>
    </row>
    <row r="3328" spans="2:28" ht="20.100000000000001" customHeight="1">
      <c r="B3328" s="172"/>
      <c r="C3328" s="174"/>
      <c r="D3328" s="181"/>
      <c r="E3328" s="173"/>
      <c r="F3328" s="176"/>
      <c r="G3328" s="175">
        <f t="shared" si="263"/>
        <v>0</v>
      </c>
      <c r="H3328" s="175">
        <f t="shared" si="264"/>
        <v>0</v>
      </c>
      <c r="I3328" s="177">
        <f>IF(G3328=0,0,IF(E3328="MXN",1/HLOOKUP(YEAR(C3328)+(MONTH(C3328)/100),TC!$5:$37,DAY(C3328)+2,FALSE),VLOOKUP(E3328,Equivalencia!$5:$23,((MAX(Equivalencia!$3:$3)-YEAR(C3328))*14)+MONTH(C3328)+2,FALSE)))</f>
        <v>0</v>
      </c>
      <c r="J3328" s="178">
        <f t="shared" si="265"/>
        <v>0</v>
      </c>
      <c r="K3328" s="462">
        <f>IF(C3328=0,0,VLOOKUP(YEAR(C3328),INPC!$B$4:$O$29,MONTH(C3328)+1))</f>
        <v>0</v>
      </c>
      <c r="L3328" s="462">
        <f>IF(S3328=0,0,VLOOKUP(YEAR(S3328),INPC!$B$4:$O$29,MONTH(S3328)+1))</f>
        <v>0</v>
      </c>
      <c r="M3328" s="463">
        <f t="shared" si="266"/>
        <v>0</v>
      </c>
      <c r="N3328" s="465">
        <f t="shared" si="267"/>
        <v>0</v>
      </c>
      <c r="O3328" s="179"/>
      <c r="P3328" s="180"/>
      <c r="Q3328" s="173"/>
      <c r="R3328" s="173"/>
      <c r="S3328" s="174"/>
      <c r="T3328" s="173"/>
      <c r="U3328" s="182"/>
      <c r="V3328" s="177">
        <f>IF(U3328=0,0,IF(T3328="MXN",1/HLOOKUP(YEAR(S3328)+(MONTH(S3328)/100),TC!$5:$37,DAY(S3328)+2,FALSE),VLOOKUP(T3328,Equivalencia!$1:$23,((MAX(Equivalencia!$3:$3)-YEAR(S3328))*14)+MONTH(S3328)+2,FALSE)))</f>
        <v>0</v>
      </c>
      <c r="W3328" s="178">
        <f t="shared" si="268"/>
        <v>0</v>
      </c>
      <c r="X3328" s="481">
        <f t="shared" si="269"/>
        <v>0</v>
      </c>
      <c r="Y3328" s="179"/>
      <c r="Z3328" s="466">
        <f t="shared" si="270"/>
        <v>0</v>
      </c>
      <c r="AA3328" s="473">
        <f t="shared" si="271"/>
        <v>0</v>
      </c>
      <c r="AB3328" s="339">
        <f t="shared" si="272"/>
        <v>0</v>
      </c>
    </row>
    <row r="3329" spans="2:28" ht="20.100000000000001" customHeight="1">
      <c r="B3329" s="172"/>
      <c r="C3329" s="174"/>
      <c r="D3329" s="181"/>
      <c r="E3329" s="173"/>
      <c r="F3329" s="176"/>
      <c r="G3329" s="175">
        <f t="shared" si="263"/>
        <v>0</v>
      </c>
      <c r="H3329" s="175">
        <f t="shared" si="264"/>
        <v>0</v>
      </c>
      <c r="I3329" s="177">
        <f>IF(G3329=0,0,IF(E3329="MXN",1/HLOOKUP(YEAR(C3329)+(MONTH(C3329)/100),TC!$5:$37,DAY(C3329)+2,FALSE),VLOOKUP(E3329,Equivalencia!$5:$23,((MAX(Equivalencia!$3:$3)-YEAR(C3329))*14)+MONTH(C3329)+2,FALSE)))</f>
        <v>0</v>
      </c>
      <c r="J3329" s="178">
        <f t="shared" si="265"/>
        <v>0</v>
      </c>
      <c r="K3329" s="462">
        <f>IF(C3329=0,0,VLOOKUP(YEAR(C3329),INPC!$B$4:$O$29,MONTH(C3329)+1))</f>
        <v>0</v>
      </c>
      <c r="L3329" s="462">
        <f>IF(S3329=0,0,VLOOKUP(YEAR(S3329),INPC!$B$4:$O$29,MONTH(S3329)+1))</f>
        <v>0</v>
      </c>
      <c r="M3329" s="463">
        <f t="shared" si="266"/>
        <v>0</v>
      </c>
      <c r="N3329" s="465">
        <f t="shared" si="267"/>
        <v>0</v>
      </c>
      <c r="O3329" s="179"/>
      <c r="P3329" s="180"/>
      <c r="Q3329" s="173"/>
      <c r="R3329" s="173"/>
      <c r="S3329" s="174"/>
      <c r="T3329" s="173"/>
      <c r="U3329" s="182"/>
      <c r="V3329" s="177">
        <f>IF(U3329=0,0,IF(T3329="MXN",1/HLOOKUP(YEAR(S3329)+(MONTH(S3329)/100),TC!$5:$37,DAY(S3329)+2,FALSE),VLOOKUP(T3329,Equivalencia!$1:$23,((MAX(Equivalencia!$3:$3)-YEAR(S3329))*14)+MONTH(S3329)+2,FALSE)))</f>
        <v>0</v>
      </c>
      <c r="W3329" s="178">
        <f t="shared" si="268"/>
        <v>0</v>
      </c>
      <c r="X3329" s="481">
        <f t="shared" si="269"/>
        <v>0</v>
      </c>
      <c r="Y3329" s="179"/>
      <c r="Z3329" s="466">
        <f t="shared" si="270"/>
        <v>0</v>
      </c>
      <c r="AA3329" s="473">
        <f t="shared" si="271"/>
        <v>0</v>
      </c>
      <c r="AB3329" s="339">
        <f t="shared" si="272"/>
        <v>0</v>
      </c>
    </row>
    <row r="3330" spans="2:28" ht="20.100000000000001" customHeight="1">
      <c r="B3330" s="172"/>
      <c r="C3330" s="174"/>
      <c r="D3330" s="181"/>
      <c r="E3330" s="173"/>
      <c r="F3330" s="176"/>
      <c r="G3330" s="175">
        <f t="shared" si="263"/>
        <v>0</v>
      </c>
      <c r="H3330" s="175">
        <f t="shared" si="264"/>
        <v>0</v>
      </c>
      <c r="I3330" s="177">
        <f>IF(G3330=0,0,IF(E3330="MXN",1/HLOOKUP(YEAR(C3330)+(MONTH(C3330)/100),TC!$5:$37,DAY(C3330)+2,FALSE),VLOOKUP(E3330,Equivalencia!$5:$23,((MAX(Equivalencia!$3:$3)-YEAR(C3330))*14)+MONTH(C3330)+2,FALSE)))</f>
        <v>0</v>
      </c>
      <c r="J3330" s="178">
        <f t="shared" si="265"/>
        <v>0</v>
      </c>
      <c r="K3330" s="462">
        <f>IF(C3330=0,0,VLOOKUP(YEAR(C3330),INPC!$B$4:$O$29,MONTH(C3330)+1))</f>
        <v>0</v>
      </c>
      <c r="L3330" s="462">
        <f>IF(S3330=0,0,VLOOKUP(YEAR(S3330),INPC!$B$4:$O$29,MONTH(S3330)+1))</f>
        <v>0</v>
      </c>
      <c r="M3330" s="463">
        <f t="shared" si="266"/>
        <v>0</v>
      </c>
      <c r="N3330" s="465">
        <f t="shared" si="267"/>
        <v>0</v>
      </c>
      <c r="O3330" s="179"/>
      <c r="P3330" s="180"/>
      <c r="Q3330" s="173"/>
      <c r="R3330" s="173"/>
      <c r="S3330" s="174"/>
      <c r="T3330" s="173"/>
      <c r="U3330" s="182"/>
      <c r="V3330" s="177">
        <f>IF(U3330=0,0,IF(T3330="MXN",1/HLOOKUP(YEAR(S3330)+(MONTH(S3330)/100),TC!$5:$37,DAY(S3330)+2,FALSE),VLOOKUP(T3330,Equivalencia!$1:$23,((MAX(Equivalencia!$3:$3)-YEAR(S3330))*14)+MONTH(S3330)+2,FALSE)))</f>
        <v>0</v>
      </c>
      <c r="W3330" s="178">
        <f t="shared" si="268"/>
        <v>0</v>
      </c>
      <c r="X3330" s="481">
        <f t="shared" si="269"/>
        <v>0</v>
      </c>
      <c r="Y3330" s="179"/>
      <c r="Z3330" s="466">
        <f t="shared" si="270"/>
        <v>0</v>
      </c>
      <c r="AA3330" s="473">
        <f t="shared" si="271"/>
        <v>0</v>
      </c>
      <c r="AB3330" s="339">
        <f t="shared" si="272"/>
        <v>0</v>
      </c>
    </row>
    <row r="3331" spans="2:28" ht="20.100000000000001" customHeight="1">
      <c r="B3331" s="172"/>
      <c r="C3331" s="174"/>
      <c r="D3331" s="181"/>
      <c r="E3331" s="173"/>
      <c r="F3331" s="176"/>
      <c r="G3331" s="175">
        <f t="shared" si="263"/>
        <v>0</v>
      </c>
      <c r="H3331" s="175">
        <f t="shared" si="264"/>
        <v>0</v>
      </c>
      <c r="I3331" s="177">
        <f>IF(G3331=0,0,IF(E3331="MXN",1/HLOOKUP(YEAR(C3331)+(MONTH(C3331)/100),TC!$5:$37,DAY(C3331)+2,FALSE),VLOOKUP(E3331,Equivalencia!$5:$23,((MAX(Equivalencia!$3:$3)-YEAR(C3331))*14)+MONTH(C3331)+2,FALSE)))</f>
        <v>0</v>
      </c>
      <c r="J3331" s="178">
        <f t="shared" si="265"/>
        <v>0</v>
      </c>
      <c r="K3331" s="462">
        <f>IF(C3331=0,0,VLOOKUP(YEAR(C3331),INPC!$B$4:$O$29,MONTH(C3331)+1))</f>
        <v>0</v>
      </c>
      <c r="L3331" s="462">
        <f>IF(S3331=0,0,VLOOKUP(YEAR(S3331),INPC!$B$4:$O$29,MONTH(S3331)+1))</f>
        <v>0</v>
      </c>
      <c r="M3331" s="463">
        <f t="shared" si="266"/>
        <v>0</v>
      </c>
      <c r="N3331" s="465">
        <f t="shared" si="267"/>
        <v>0</v>
      </c>
      <c r="O3331" s="179"/>
      <c r="P3331" s="180"/>
      <c r="Q3331" s="173"/>
      <c r="R3331" s="173"/>
      <c r="S3331" s="174"/>
      <c r="T3331" s="173"/>
      <c r="U3331" s="182"/>
      <c r="V3331" s="177">
        <f>IF(U3331=0,0,IF(T3331="MXN",1/HLOOKUP(YEAR(S3331)+(MONTH(S3331)/100),TC!$5:$37,DAY(S3331)+2,FALSE),VLOOKUP(T3331,Equivalencia!$1:$23,((MAX(Equivalencia!$3:$3)-YEAR(S3331))*14)+MONTH(S3331)+2,FALSE)))</f>
        <v>0</v>
      </c>
      <c r="W3331" s="178">
        <f t="shared" si="268"/>
        <v>0</v>
      </c>
      <c r="X3331" s="481">
        <f t="shared" si="269"/>
        <v>0</v>
      </c>
      <c r="Y3331" s="179"/>
      <c r="Z3331" s="466">
        <f t="shared" si="270"/>
        <v>0</v>
      </c>
      <c r="AA3331" s="473">
        <f t="shared" si="271"/>
        <v>0</v>
      </c>
      <c r="AB3331" s="339">
        <f t="shared" si="272"/>
        <v>0</v>
      </c>
    </row>
    <row r="3332" spans="2:28" ht="20.100000000000001" customHeight="1">
      <c r="B3332" s="172"/>
      <c r="C3332" s="174"/>
      <c r="D3332" s="181"/>
      <c r="E3332" s="173"/>
      <c r="F3332" s="176"/>
      <c r="G3332" s="175">
        <f t="shared" si="263"/>
        <v>0</v>
      </c>
      <c r="H3332" s="175">
        <f t="shared" si="264"/>
        <v>0</v>
      </c>
      <c r="I3332" s="177">
        <f>IF(G3332=0,0,IF(E3332="MXN",1/HLOOKUP(YEAR(C3332)+(MONTH(C3332)/100),TC!$5:$37,DAY(C3332)+2,FALSE),VLOOKUP(E3332,Equivalencia!$5:$23,((MAX(Equivalencia!$3:$3)-YEAR(C3332))*14)+MONTH(C3332)+2,FALSE)))</f>
        <v>0</v>
      </c>
      <c r="J3332" s="178">
        <f t="shared" si="265"/>
        <v>0</v>
      </c>
      <c r="K3332" s="462">
        <f>IF(C3332=0,0,VLOOKUP(YEAR(C3332),INPC!$B$4:$O$29,MONTH(C3332)+1))</f>
        <v>0</v>
      </c>
      <c r="L3332" s="462">
        <f>IF(S3332=0,0,VLOOKUP(YEAR(S3332),INPC!$B$4:$O$29,MONTH(S3332)+1))</f>
        <v>0</v>
      </c>
      <c r="M3332" s="463">
        <f t="shared" si="266"/>
        <v>0</v>
      </c>
      <c r="N3332" s="465">
        <f t="shared" si="267"/>
        <v>0</v>
      </c>
      <c r="O3332" s="179"/>
      <c r="P3332" s="180"/>
      <c r="Q3332" s="173"/>
      <c r="R3332" s="173"/>
      <c r="S3332" s="174"/>
      <c r="T3332" s="173"/>
      <c r="U3332" s="182"/>
      <c r="V3332" s="177">
        <f>IF(U3332=0,0,IF(T3332="MXN",1/HLOOKUP(YEAR(S3332)+(MONTH(S3332)/100),TC!$5:$37,DAY(S3332)+2,FALSE),VLOOKUP(T3332,Equivalencia!$1:$23,((MAX(Equivalencia!$3:$3)-YEAR(S3332))*14)+MONTH(S3332)+2,FALSE)))</f>
        <v>0</v>
      </c>
      <c r="W3332" s="178">
        <f t="shared" si="268"/>
        <v>0</v>
      </c>
      <c r="X3332" s="481">
        <f t="shared" si="269"/>
        <v>0</v>
      </c>
      <c r="Y3332" s="179"/>
      <c r="Z3332" s="466">
        <f t="shared" si="270"/>
        <v>0</v>
      </c>
      <c r="AA3332" s="473">
        <f t="shared" si="271"/>
        <v>0</v>
      </c>
      <c r="AB3332" s="339">
        <f t="shared" si="272"/>
        <v>0</v>
      </c>
    </row>
    <row r="3333" spans="2:28" ht="20.100000000000001" customHeight="1">
      <c r="B3333" s="172"/>
      <c r="C3333" s="174"/>
      <c r="D3333" s="181"/>
      <c r="E3333" s="173"/>
      <c r="F3333" s="176"/>
      <c r="G3333" s="175">
        <f t="shared" si="263"/>
        <v>0</v>
      </c>
      <c r="H3333" s="175">
        <f t="shared" si="264"/>
        <v>0</v>
      </c>
      <c r="I3333" s="177">
        <f>IF(G3333=0,0,IF(E3333="MXN",1/HLOOKUP(YEAR(C3333)+(MONTH(C3333)/100),TC!$5:$37,DAY(C3333)+2,FALSE),VLOOKUP(E3333,Equivalencia!$5:$23,((MAX(Equivalencia!$3:$3)-YEAR(C3333))*14)+MONTH(C3333)+2,FALSE)))</f>
        <v>0</v>
      </c>
      <c r="J3333" s="178">
        <f t="shared" si="265"/>
        <v>0</v>
      </c>
      <c r="K3333" s="462">
        <f>IF(C3333=0,0,VLOOKUP(YEAR(C3333),INPC!$B$4:$O$29,MONTH(C3333)+1))</f>
        <v>0</v>
      </c>
      <c r="L3333" s="462">
        <f>IF(S3333=0,0,VLOOKUP(YEAR(S3333),INPC!$B$4:$O$29,MONTH(S3333)+1))</f>
        <v>0</v>
      </c>
      <c r="M3333" s="463">
        <f t="shared" si="266"/>
        <v>0</v>
      </c>
      <c r="N3333" s="465">
        <f t="shared" si="267"/>
        <v>0</v>
      </c>
      <c r="O3333" s="179"/>
      <c r="P3333" s="180"/>
      <c r="Q3333" s="173"/>
      <c r="R3333" s="173"/>
      <c r="S3333" s="174"/>
      <c r="T3333" s="173"/>
      <c r="U3333" s="182"/>
      <c r="V3333" s="177">
        <f>IF(U3333=0,0,IF(T3333="MXN",1/HLOOKUP(YEAR(S3333)+(MONTH(S3333)/100),TC!$5:$37,DAY(S3333)+2,FALSE),VLOOKUP(T3333,Equivalencia!$1:$23,((MAX(Equivalencia!$3:$3)-YEAR(S3333))*14)+MONTH(S3333)+2,FALSE)))</f>
        <v>0</v>
      </c>
      <c r="W3333" s="178">
        <f t="shared" si="268"/>
        <v>0</v>
      </c>
      <c r="X3333" s="481">
        <f t="shared" si="269"/>
        <v>0</v>
      </c>
      <c r="Y3333" s="179"/>
      <c r="Z3333" s="466">
        <f t="shared" si="270"/>
        <v>0</v>
      </c>
      <c r="AA3333" s="473">
        <f t="shared" si="271"/>
        <v>0</v>
      </c>
      <c r="AB3333" s="339">
        <f t="shared" si="272"/>
        <v>0</v>
      </c>
    </row>
    <row r="3334" spans="2:28" ht="20.100000000000001" customHeight="1">
      <c r="B3334" s="172"/>
      <c r="C3334" s="174"/>
      <c r="D3334" s="181"/>
      <c r="E3334" s="173"/>
      <c r="F3334" s="176"/>
      <c r="G3334" s="175">
        <f t="shared" si="263"/>
        <v>0</v>
      </c>
      <c r="H3334" s="175">
        <f t="shared" si="264"/>
        <v>0</v>
      </c>
      <c r="I3334" s="177">
        <f>IF(G3334=0,0,IF(E3334="MXN",1/HLOOKUP(YEAR(C3334)+(MONTH(C3334)/100),TC!$5:$37,DAY(C3334)+2,FALSE),VLOOKUP(E3334,Equivalencia!$5:$23,((MAX(Equivalencia!$3:$3)-YEAR(C3334))*14)+MONTH(C3334)+2,FALSE)))</f>
        <v>0</v>
      </c>
      <c r="J3334" s="178">
        <f t="shared" si="265"/>
        <v>0</v>
      </c>
      <c r="K3334" s="462">
        <f>IF(C3334=0,0,VLOOKUP(YEAR(C3334),INPC!$B$4:$O$29,MONTH(C3334)+1))</f>
        <v>0</v>
      </c>
      <c r="L3334" s="462">
        <f>IF(S3334=0,0,VLOOKUP(YEAR(S3334),INPC!$B$4:$O$29,MONTH(S3334)+1))</f>
        <v>0</v>
      </c>
      <c r="M3334" s="463">
        <f t="shared" si="266"/>
        <v>0</v>
      </c>
      <c r="N3334" s="465">
        <f t="shared" si="267"/>
        <v>0</v>
      </c>
      <c r="O3334" s="179"/>
      <c r="P3334" s="180"/>
      <c r="Q3334" s="173"/>
      <c r="R3334" s="173"/>
      <c r="S3334" s="174"/>
      <c r="T3334" s="173"/>
      <c r="U3334" s="182"/>
      <c r="V3334" s="177">
        <f>IF(U3334=0,0,IF(T3334="MXN",1/HLOOKUP(YEAR(S3334)+(MONTH(S3334)/100),TC!$5:$37,DAY(S3334)+2,FALSE),VLOOKUP(T3334,Equivalencia!$1:$23,((MAX(Equivalencia!$3:$3)-YEAR(S3334))*14)+MONTH(S3334)+2,FALSE)))</f>
        <v>0</v>
      </c>
      <c r="W3334" s="178">
        <f t="shared" si="268"/>
        <v>0</v>
      </c>
      <c r="X3334" s="481">
        <f t="shared" si="269"/>
        <v>0</v>
      </c>
      <c r="Y3334" s="179"/>
      <c r="Z3334" s="466">
        <f t="shared" si="270"/>
        <v>0</v>
      </c>
      <c r="AA3334" s="473">
        <f t="shared" si="271"/>
        <v>0</v>
      </c>
      <c r="AB3334" s="339">
        <f t="shared" si="272"/>
        <v>0</v>
      </c>
    </row>
    <row r="3335" spans="2:28" ht="20.100000000000001" customHeight="1">
      <c r="B3335" s="172"/>
      <c r="C3335" s="174"/>
      <c r="D3335" s="181"/>
      <c r="E3335" s="173"/>
      <c r="F3335" s="176"/>
      <c r="G3335" s="175">
        <f t="shared" si="263"/>
        <v>0</v>
      </c>
      <c r="H3335" s="175">
        <f t="shared" si="264"/>
        <v>0</v>
      </c>
      <c r="I3335" s="177">
        <f>IF(G3335=0,0,IF(E3335="MXN",1/HLOOKUP(YEAR(C3335)+(MONTH(C3335)/100),TC!$5:$37,DAY(C3335)+2,FALSE),VLOOKUP(E3335,Equivalencia!$5:$23,((MAX(Equivalencia!$3:$3)-YEAR(C3335))*14)+MONTH(C3335)+2,FALSE)))</f>
        <v>0</v>
      </c>
      <c r="J3335" s="178">
        <f t="shared" si="265"/>
        <v>0</v>
      </c>
      <c r="K3335" s="462">
        <f>IF(C3335=0,0,VLOOKUP(YEAR(C3335),INPC!$B$4:$O$29,MONTH(C3335)+1))</f>
        <v>0</v>
      </c>
      <c r="L3335" s="462">
        <f>IF(S3335=0,0,VLOOKUP(YEAR(S3335),INPC!$B$4:$O$29,MONTH(S3335)+1))</f>
        <v>0</v>
      </c>
      <c r="M3335" s="463">
        <f t="shared" si="266"/>
        <v>0</v>
      </c>
      <c r="N3335" s="465">
        <f t="shared" si="267"/>
        <v>0</v>
      </c>
      <c r="O3335" s="179"/>
      <c r="P3335" s="180"/>
      <c r="Q3335" s="173"/>
      <c r="R3335" s="173"/>
      <c r="S3335" s="174"/>
      <c r="T3335" s="173"/>
      <c r="U3335" s="182"/>
      <c r="V3335" s="177">
        <f>IF(U3335=0,0,IF(T3335="MXN",1/HLOOKUP(YEAR(S3335)+(MONTH(S3335)/100),TC!$5:$37,DAY(S3335)+2,FALSE),VLOOKUP(T3335,Equivalencia!$1:$23,((MAX(Equivalencia!$3:$3)-YEAR(S3335))*14)+MONTH(S3335)+2,FALSE)))</f>
        <v>0</v>
      </c>
      <c r="W3335" s="178">
        <f t="shared" si="268"/>
        <v>0</v>
      </c>
      <c r="X3335" s="481">
        <f t="shared" si="269"/>
        <v>0</v>
      </c>
      <c r="Y3335" s="179"/>
      <c r="Z3335" s="466">
        <f t="shared" si="270"/>
        <v>0</v>
      </c>
      <c r="AA3335" s="473">
        <f t="shared" si="271"/>
        <v>0</v>
      </c>
      <c r="AB3335" s="339">
        <f t="shared" si="272"/>
        <v>0</v>
      </c>
    </row>
    <row r="3336" spans="2:28" ht="20.100000000000001" customHeight="1">
      <c r="B3336" s="172"/>
      <c r="C3336" s="174"/>
      <c r="D3336" s="181"/>
      <c r="E3336" s="173"/>
      <c r="F3336" s="176"/>
      <c r="G3336" s="175">
        <f t="shared" si="263"/>
        <v>0</v>
      </c>
      <c r="H3336" s="175">
        <f t="shared" si="264"/>
        <v>0</v>
      </c>
      <c r="I3336" s="177">
        <f>IF(G3336=0,0,IF(E3336="MXN",1/HLOOKUP(YEAR(C3336)+(MONTH(C3336)/100),TC!$5:$37,DAY(C3336)+2,FALSE),VLOOKUP(E3336,Equivalencia!$5:$23,((MAX(Equivalencia!$3:$3)-YEAR(C3336))*14)+MONTH(C3336)+2,FALSE)))</f>
        <v>0</v>
      </c>
      <c r="J3336" s="178">
        <f t="shared" si="265"/>
        <v>0</v>
      </c>
      <c r="K3336" s="462">
        <f>IF(C3336=0,0,VLOOKUP(YEAR(C3336),INPC!$B$4:$O$29,MONTH(C3336)+1))</f>
        <v>0</v>
      </c>
      <c r="L3336" s="462">
        <f>IF(S3336=0,0,VLOOKUP(YEAR(S3336),INPC!$B$4:$O$29,MONTH(S3336)+1))</f>
        <v>0</v>
      </c>
      <c r="M3336" s="463">
        <f t="shared" si="266"/>
        <v>0</v>
      </c>
      <c r="N3336" s="465">
        <f t="shared" si="267"/>
        <v>0</v>
      </c>
      <c r="O3336" s="179"/>
      <c r="P3336" s="180"/>
      <c r="Q3336" s="173"/>
      <c r="R3336" s="173"/>
      <c r="S3336" s="174"/>
      <c r="T3336" s="173"/>
      <c r="U3336" s="182"/>
      <c r="V3336" s="177">
        <f>IF(U3336=0,0,IF(T3336="MXN",1/HLOOKUP(YEAR(S3336)+(MONTH(S3336)/100),TC!$5:$37,DAY(S3336)+2,FALSE),VLOOKUP(T3336,Equivalencia!$1:$23,((MAX(Equivalencia!$3:$3)-YEAR(S3336))*14)+MONTH(S3336)+2,FALSE)))</f>
        <v>0</v>
      </c>
      <c r="W3336" s="178">
        <f t="shared" si="268"/>
        <v>0</v>
      </c>
      <c r="X3336" s="481">
        <f t="shared" si="269"/>
        <v>0</v>
      </c>
      <c r="Y3336" s="179"/>
      <c r="Z3336" s="466">
        <f t="shared" si="270"/>
        <v>0</v>
      </c>
      <c r="AA3336" s="473">
        <f t="shared" si="271"/>
        <v>0</v>
      </c>
      <c r="AB3336" s="339">
        <f t="shared" si="272"/>
        <v>0</v>
      </c>
    </row>
    <row r="3337" spans="2:28" ht="20.100000000000001" customHeight="1">
      <c r="B3337" s="172"/>
      <c r="C3337" s="174"/>
      <c r="D3337" s="181"/>
      <c r="E3337" s="173"/>
      <c r="F3337" s="176"/>
      <c r="G3337" s="175">
        <f t="shared" si="263"/>
        <v>0</v>
      </c>
      <c r="H3337" s="175">
        <f t="shared" si="264"/>
        <v>0</v>
      </c>
      <c r="I3337" s="177">
        <f>IF(G3337=0,0,IF(E3337="MXN",1/HLOOKUP(YEAR(C3337)+(MONTH(C3337)/100),TC!$5:$37,DAY(C3337)+2,FALSE),VLOOKUP(E3337,Equivalencia!$5:$23,((MAX(Equivalencia!$3:$3)-YEAR(C3337))*14)+MONTH(C3337)+2,FALSE)))</f>
        <v>0</v>
      </c>
      <c r="J3337" s="178">
        <f t="shared" si="265"/>
        <v>0</v>
      </c>
      <c r="K3337" s="462">
        <f>IF(C3337=0,0,VLOOKUP(YEAR(C3337),INPC!$B$4:$O$29,MONTH(C3337)+1))</f>
        <v>0</v>
      </c>
      <c r="L3337" s="462">
        <f>IF(S3337=0,0,VLOOKUP(YEAR(S3337),INPC!$B$4:$O$29,MONTH(S3337)+1))</f>
        <v>0</v>
      </c>
      <c r="M3337" s="463">
        <f t="shared" si="266"/>
        <v>0</v>
      </c>
      <c r="N3337" s="465">
        <f t="shared" si="267"/>
        <v>0</v>
      </c>
      <c r="O3337" s="179"/>
      <c r="P3337" s="180"/>
      <c r="Q3337" s="173"/>
      <c r="R3337" s="173"/>
      <c r="S3337" s="174"/>
      <c r="T3337" s="173"/>
      <c r="U3337" s="182"/>
      <c r="V3337" s="177">
        <f>IF(U3337=0,0,IF(T3337="MXN",1/HLOOKUP(YEAR(S3337)+(MONTH(S3337)/100),TC!$5:$37,DAY(S3337)+2,FALSE),VLOOKUP(T3337,Equivalencia!$1:$23,((MAX(Equivalencia!$3:$3)-YEAR(S3337))*14)+MONTH(S3337)+2,FALSE)))</f>
        <v>0</v>
      </c>
      <c r="W3337" s="178">
        <f t="shared" si="268"/>
        <v>0</v>
      </c>
      <c r="X3337" s="481">
        <f t="shared" si="269"/>
        <v>0</v>
      </c>
      <c r="Y3337" s="179"/>
      <c r="Z3337" s="466">
        <f t="shared" si="270"/>
        <v>0</v>
      </c>
      <c r="AA3337" s="473">
        <f t="shared" si="271"/>
        <v>0</v>
      </c>
      <c r="AB3337" s="339">
        <f t="shared" si="272"/>
        <v>0</v>
      </c>
    </row>
    <row r="3338" spans="2:28" ht="20.100000000000001" customHeight="1">
      <c r="B3338" s="172"/>
      <c r="C3338" s="174"/>
      <c r="D3338" s="181"/>
      <c r="E3338" s="173"/>
      <c r="F3338" s="176"/>
      <c r="G3338" s="175">
        <f t="shared" si="263"/>
        <v>0</v>
      </c>
      <c r="H3338" s="175">
        <f t="shared" si="264"/>
        <v>0</v>
      </c>
      <c r="I3338" s="177">
        <f>IF(G3338=0,0,IF(E3338="MXN",1/HLOOKUP(YEAR(C3338)+(MONTH(C3338)/100),TC!$5:$37,DAY(C3338)+2,FALSE),VLOOKUP(E3338,Equivalencia!$5:$23,((MAX(Equivalencia!$3:$3)-YEAR(C3338))*14)+MONTH(C3338)+2,FALSE)))</f>
        <v>0</v>
      </c>
      <c r="J3338" s="178">
        <f t="shared" si="265"/>
        <v>0</v>
      </c>
      <c r="K3338" s="462">
        <f>IF(C3338=0,0,VLOOKUP(YEAR(C3338),INPC!$B$4:$O$29,MONTH(C3338)+1))</f>
        <v>0</v>
      </c>
      <c r="L3338" s="462">
        <f>IF(S3338=0,0,VLOOKUP(YEAR(S3338),INPC!$B$4:$O$29,MONTH(S3338)+1))</f>
        <v>0</v>
      </c>
      <c r="M3338" s="463">
        <f t="shared" si="266"/>
        <v>0</v>
      </c>
      <c r="N3338" s="465">
        <f t="shared" si="267"/>
        <v>0</v>
      </c>
      <c r="O3338" s="179"/>
      <c r="P3338" s="180"/>
      <c r="Q3338" s="173"/>
      <c r="R3338" s="173"/>
      <c r="S3338" s="174"/>
      <c r="T3338" s="173"/>
      <c r="U3338" s="182"/>
      <c r="V3338" s="177">
        <f>IF(U3338=0,0,IF(T3338="MXN",1/HLOOKUP(YEAR(S3338)+(MONTH(S3338)/100),TC!$5:$37,DAY(S3338)+2,FALSE),VLOOKUP(T3338,Equivalencia!$1:$23,((MAX(Equivalencia!$3:$3)-YEAR(S3338))*14)+MONTH(S3338)+2,FALSE)))</f>
        <v>0</v>
      </c>
      <c r="W3338" s="178">
        <f t="shared" si="268"/>
        <v>0</v>
      </c>
      <c r="X3338" s="481">
        <f t="shared" si="269"/>
        <v>0</v>
      </c>
      <c r="Y3338" s="179"/>
      <c r="Z3338" s="466">
        <f t="shared" si="270"/>
        <v>0</v>
      </c>
      <c r="AA3338" s="473">
        <f t="shared" si="271"/>
        <v>0</v>
      </c>
      <c r="AB3338" s="339">
        <f t="shared" si="272"/>
        <v>0</v>
      </c>
    </row>
    <row r="3339" spans="2:28" ht="20.100000000000001" customHeight="1">
      <c r="B3339" s="172"/>
      <c r="C3339" s="174"/>
      <c r="D3339" s="181"/>
      <c r="E3339" s="173"/>
      <c r="F3339" s="176"/>
      <c r="G3339" s="175">
        <f t="shared" si="263"/>
        <v>0</v>
      </c>
      <c r="H3339" s="175">
        <f t="shared" si="264"/>
        <v>0</v>
      </c>
      <c r="I3339" s="177">
        <f>IF(G3339=0,0,IF(E3339="MXN",1/HLOOKUP(YEAR(C3339)+(MONTH(C3339)/100),TC!$5:$37,DAY(C3339)+2,FALSE),VLOOKUP(E3339,Equivalencia!$5:$23,((MAX(Equivalencia!$3:$3)-YEAR(C3339))*14)+MONTH(C3339)+2,FALSE)))</f>
        <v>0</v>
      </c>
      <c r="J3339" s="178">
        <f t="shared" si="265"/>
        <v>0</v>
      </c>
      <c r="K3339" s="462">
        <f>IF(C3339=0,0,VLOOKUP(YEAR(C3339),INPC!$B$4:$O$29,MONTH(C3339)+1))</f>
        <v>0</v>
      </c>
      <c r="L3339" s="462">
        <f>IF(S3339=0,0,VLOOKUP(YEAR(S3339),INPC!$B$4:$O$29,MONTH(S3339)+1))</f>
        <v>0</v>
      </c>
      <c r="M3339" s="463">
        <f t="shared" si="266"/>
        <v>0</v>
      </c>
      <c r="N3339" s="465">
        <f t="shared" si="267"/>
        <v>0</v>
      </c>
      <c r="O3339" s="179"/>
      <c r="P3339" s="180"/>
      <c r="Q3339" s="173"/>
      <c r="R3339" s="173"/>
      <c r="S3339" s="174"/>
      <c r="T3339" s="173"/>
      <c r="U3339" s="182"/>
      <c r="V3339" s="177">
        <f>IF(U3339=0,0,IF(T3339="MXN",1/HLOOKUP(YEAR(S3339)+(MONTH(S3339)/100),TC!$5:$37,DAY(S3339)+2,FALSE),VLOOKUP(T3339,Equivalencia!$1:$23,((MAX(Equivalencia!$3:$3)-YEAR(S3339))*14)+MONTH(S3339)+2,FALSE)))</f>
        <v>0</v>
      </c>
      <c r="W3339" s="178">
        <f t="shared" si="268"/>
        <v>0</v>
      </c>
      <c r="X3339" s="481">
        <f t="shared" si="269"/>
        <v>0</v>
      </c>
      <c r="Y3339" s="179"/>
      <c r="Z3339" s="466">
        <f t="shared" si="270"/>
        <v>0</v>
      </c>
      <c r="AA3339" s="473">
        <f t="shared" si="271"/>
        <v>0</v>
      </c>
      <c r="AB3339" s="339">
        <f t="shared" si="272"/>
        <v>0</v>
      </c>
    </row>
    <row r="3340" spans="2:28" ht="20.100000000000001" customHeight="1">
      <c r="B3340" s="172"/>
      <c r="C3340" s="174"/>
      <c r="D3340" s="181"/>
      <c r="E3340" s="173"/>
      <c r="F3340" s="176"/>
      <c r="G3340" s="175">
        <f t="shared" si="263"/>
        <v>0</v>
      </c>
      <c r="H3340" s="175">
        <f t="shared" si="264"/>
        <v>0</v>
      </c>
      <c r="I3340" s="177">
        <f>IF(G3340=0,0,IF(E3340="MXN",1/HLOOKUP(YEAR(C3340)+(MONTH(C3340)/100),TC!$5:$37,DAY(C3340)+2,FALSE),VLOOKUP(E3340,Equivalencia!$5:$23,((MAX(Equivalencia!$3:$3)-YEAR(C3340))*14)+MONTH(C3340)+2,FALSE)))</f>
        <v>0</v>
      </c>
      <c r="J3340" s="178">
        <f t="shared" si="265"/>
        <v>0</v>
      </c>
      <c r="K3340" s="462">
        <f>IF(C3340=0,0,VLOOKUP(YEAR(C3340),INPC!$B$4:$O$29,MONTH(C3340)+1))</f>
        <v>0</v>
      </c>
      <c r="L3340" s="462">
        <f>IF(S3340=0,0,VLOOKUP(YEAR(S3340),INPC!$B$4:$O$29,MONTH(S3340)+1))</f>
        <v>0</v>
      </c>
      <c r="M3340" s="463">
        <f t="shared" si="266"/>
        <v>0</v>
      </c>
      <c r="N3340" s="465">
        <f t="shared" si="267"/>
        <v>0</v>
      </c>
      <c r="O3340" s="179"/>
      <c r="P3340" s="180"/>
      <c r="Q3340" s="173"/>
      <c r="R3340" s="173"/>
      <c r="S3340" s="174"/>
      <c r="T3340" s="173"/>
      <c r="U3340" s="182"/>
      <c r="V3340" s="177">
        <f>IF(U3340=0,0,IF(T3340="MXN",1/HLOOKUP(YEAR(S3340)+(MONTH(S3340)/100),TC!$5:$37,DAY(S3340)+2,FALSE),VLOOKUP(T3340,Equivalencia!$1:$23,((MAX(Equivalencia!$3:$3)-YEAR(S3340))*14)+MONTH(S3340)+2,FALSE)))</f>
        <v>0</v>
      </c>
      <c r="W3340" s="178">
        <f t="shared" si="268"/>
        <v>0</v>
      </c>
      <c r="X3340" s="481">
        <f t="shared" si="269"/>
        <v>0</v>
      </c>
      <c r="Y3340" s="179"/>
      <c r="Z3340" s="466">
        <f t="shared" si="270"/>
        <v>0</v>
      </c>
      <c r="AA3340" s="473">
        <f t="shared" si="271"/>
        <v>0</v>
      </c>
      <c r="AB3340" s="339">
        <f t="shared" si="272"/>
        <v>0</v>
      </c>
    </row>
    <row r="3341" spans="2:28" ht="20.100000000000001" customHeight="1">
      <c r="B3341" s="172"/>
      <c r="C3341" s="174"/>
      <c r="D3341" s="181"/>
      <c r="E3341" s="173"/>
      <c r="F3341" s="176"/>
      <c r="G3341" s="175">
        <f t="shared" si="263"/>
        <v>0</v>
      </c>
      <c r="H3341" s="175">
        <f t="shared" si="264"/>
        <v>0</v>
      </c>
      <c r="I3341" s="177">
        <f>IF(G3341=0,0,IF(E3341="MXN",1/HLOOKUP(YEAR(C3341)+(MONTH(C3341)/100),TC!$5:$37,DAY(C3341)+2,FALSE),VLOOKUP(E3341,Equivalencia!$5:$23,((MAX(Equivalencia!$3:$3)-YEAR(C3341))*14)+MONTH(C3341)+2,FALSE)))</f>
        <v>0</v>
      </c>
      <c r="J3341" s="178">
        <f t="shared" si="265"/>
        <v>0</v>
      </c>
      <c r="K3341" s="462">
        <f>IF(C3341=0,0,VLOOKUP(YEAR(C3341),INPC!$B$4:$O$29,MONTH(C3341)+1))</f>
        <v>0</v>
      </c>
      <c r="L3341" s="462">
        <f>IF(S3341=0,0,VLOOKUP(YEAR(S3341),INPC!$B$4:$O$29,MONTH(S3341)+1))</f>
        <v>0</v>
      </c>
      <c r="M3341" s="463">
        <f t="shared" si="266"/>
        <v>0</v>
      </c>
      <c r="N3341" s="465">
        <f t="shared" si="267"/>
        <v>0</v>
      </c>
      <c r="O3341" s="179"/>
      <c r="P3341" s="180"/>
      <c r="Q3341" s="173"/>
      <c r="R3341" s="173"/>
      <c r="S3341" s="174"/>
      <c r="T3341" s="173"/>
      <c r="U3341" s="182"/>
      <c r="V3341" s="177">
        <f>IF(U3341=0,0,IF(T3341="MXN",1/HLOOKUP(YEAR(S3341)+(MONTH(S3341)/100),TC!$5:$37,DAY(S3341)+2,FALSE),VLOOKUP(T3341,Equivalencia!$1:$23,((MAX(Equivalencia!$3:$3)-YEAR(S3341))*14)+MONTH(S3341)+2,FALSE)))</f>
        <v>0</v>
      </c>
      <c r="W3341" s="178">
        <f t="shared" si="268"/>
        <v>0</v>
      </c>
      <c r="X3341" s="481">
        <f t="shared" si="269"/>
        <v>0</v>
      </c>
      <c r="Y3341" s="179"/>
      <c r="Z3341" s="466">
        <f t="shared" si="270"/>
        <v>0</v>
      </c>
      <c r="AA3341" s="473">
        <f t="shared" si="271"/>
        <v>0</v>
      </c>
      <c r="AB3341" s="339">
        <f t="shared" si="272"/>
        <v>0</v>
      </c>
    </row>
    <row r="3342" spans="2:28" ht="20.100000000000001" customHeight="1">
      <c r="B3342" s="172"/>
      <c r="C3342" s="174"/>
      <c r="D3342" s="181"/>
      <c r="E3342" s="173"/>
      <c r="F3342" s="176"/>
      <c r="G3342" s="175">
        <f t="shared" si="263"/>
        <v>0</v>
      </c>
      <c r="H3342" s="175">
        <f t="shared" si="264"/>
        <v>0</v>
      </c>
      <c r="I3342" s="177">
        <f>IF(G3342=0,0,IF(E3342="MXN",1/HLOOKUP(YEAR(C3342)+(MONTH(C3342)/100),TC!$5:$37,DAY(C3342)+2,FALSE),VLOOKUP(E3342,Equivalencia!$5:$23,((MAX(Equivalencia!$3:$3)-YEAR(C3342))*14)+MONTH(C3342)+2,FALSE)))</f>
        <v>0</v>
      </c>
      <c r="J3342" s="178">
        <f t="shared" si="265"/>
        <v>0</v>
      </c>
      <c r="K3342" s="462">
        <f>IF(C3342=0,0,VLOOKUP(YEAR(C3342),INPC!$B$4:$O$29,MONTH(C3342)+1))</f>
        <v>0</v>
      </c>
      <c r="L3342" s="462">
        <f>IF(S3342=0,0,VLOOKUP(YEAR(S3342),INPC!$B$4:$O$29,MONTH(S3342)+1))</f>
        <v>0</v>
      </c>
      <c r="M3342" s="463">
        <f t="shared" si="266"/>
        <v>0</v>
      </c>
      <c r="N3342" s="465">
        <f t="shared" si="267"/>
        <v>0</v>
      </c>
      <c r="O3342" s="179"/>
      <c r="P3342" s="180"/>
      <c r="Q3342" s="173"/>
      <c r="R3342" s="173"/>
      <c r="S3342" s="174"/>
      <c r="T3342" s="173"/>
      <c r="U3342" s="182"/>
      <c r="V3342" s="177">
        <f>IF(U3342=0,0,IF(T3342="MXN",1/HLOOKUP(YEAR(S3342)+(MONTH(S3342)/100),TC!$5:$37,DAY(S3342)+2,FALSE),VLOOKUP(T3342,Equivalencia!$1:$23,((MAX(Equivalencia!$3:$3)-YEAR(S3342))*14)+MONTH(S3342)+2,FALSE)))</f>
        <v>0</v>
      </c>
      <c r="W3342" s="178">
        <f t="shared" si="268"/>
        <v>0</v>
      </c>
      <c r="X3342" s="481">
        <f t="shared" si="269"/>
        <v>0</v>
      </c>
      <c r="Y3342" s="179"/>
      <c r="Z3342" s="466">
        <f t="shared" si="270"/>
        <v>0</v>
      </c>
      <c r="AA3342" s="473">
        <f t="shared" si="271"/>
        <v>0</v>
      </c>
      <c r="AB3342" s="339">
        <f t="shared" si="272"/>
        <v>0</v>
      </c>
    </row>
    <row r="3343" spans="2:28" ht="20.100000000000001" customHeight="1">
      <c r="B3343" s="172"/>
      <c r="C3343" s="174"/>
      <c r="D3343" s="181"/>
      <c r="E3343" s="173"/>
      <c r="F3343" s="176"/>
      <c r="G3343" s="175">
        <f t="shared" si="263"/>
        <v>0</v>
      </c>
      <c r="H3343" s="175">
        <f t="shared" si="264"/>
        <v>0</v>
      </c>
      <c r="I3343" s="177">
        <f>IF(G3343=0,0,IF(E3343="MXN",1/HLOOKUP(YEAR(C3343)+(MONTH(C3343)/100),TC!$5:$37,DAY(C3343)+2,FALSE),VLOOKUP(E3343,Equivalencia!$5:$23,((MAX(Equivalencia!$3:$3)-YEAR(C3343))*14)+MONTH(C3343)+2,FALSE)))</f>
        <v>0</v>
      </c>
      <c r="J3343" s="178">
        <f t="shared" si="265"/>
        <v>0</v>
      </c>
      <c r="K3343" s="462">
        <f>IF(C3343=0,0,VLOOKUP(YEAR(C3343),INPC!$B$4:$O$29,MONTH(C3343)+1))</f>
        <v>0</v>
      </c>
      <c r="L3343" s="462">
        <f>IF(S3343=0,0,VLOOKUP(YEAR(S3343),INPC!$B$4:$O$29,MONTH(S3343)+1))</f>
        <v>0</v>
      </c>
      <c r="M3343" s="463">
        <f t="shared" si="266"/>
        <v>0</v>
      </c>
      <c r="N3343" s="465">
        <f t="shared" si="267"/>
        <v>0</v>
      </c>
      <c r="O3343" s="179"/>
      <c r="P3343" s="180"/>
      <c r="Q3343" s="173"/>
      <c r="R3343" s="173"/>
      <c r="S3343" s="174"/>
      <c r="T3343" s="173"/>
      <c r="U3343" s="182"/>
      <c r="V3343" s="177">
        <f>IF(U3343=0,0,IF(T3343="MXN",1/HLOOKUP(YEAR(S3343)+(MONTH(S3343)/100),TC!$5:$37,DAY(S3343)+2,FALSE),VLOOKUP(T3343,Equivalencia!$1:$23,((MAX(Equivalencia!$3:$3)-YEAR(S3343))*14)+MONTH(S3343)+2,FALSE)))</f>
        <v>0</v>
      </c>
      <c r="W3343" s="178">
        <f t="shared" si="268"/>
        <v>0</v>
      </c>
      <c r="X3343" s="481">
        <f t="shared" si="269"/>
        <v>0</v>
      </c>
      <c r="Y3343" s="179"/>
      <c r="Z3343" s="466">
        <f t="shared" si="270"/>
        <v>0</v>
      </c>
      <c r="AA3343" s="473">
        <f t="shared" si="271"/>
        <v>0</v>
      </c>
      <c r="AB3343" s="339">
        <f t="shared" si="272"/>
        <v>0</v>
      </c>
    </row>
    <row r="3344" spans="2:28" ht="20.100000000000001" customHeight="1">
      <c r="B3344" s="172"/>
      <c r="C3344" s="174"/>
      <c r="D3344" s="181"/>
      <c r="E3344" s="173"/>
      <c r="F3344" s="176"/>
      <c r="G3344" s="175">
        <f t="shared" si="263"/>
        <v>0</v>
      </c>
      <c r="H3344" s="175">
        <f t="shared" si="264"/>
        <v>0</v>
      </c>
      <c r="I3344" s="177">
        <f>IF(G3344=0,0,IF(E3344="MXN",1/HLOOKUP(YEAR(C3344)+(MONTH(C3344)/100),TC!$5:$37,DAY(C3344)+2,FALSE),VLOOKUP(E3344,Equivalencia!$5:$23,((MAX(Equivalencia!$3:$3)-YEAR(C3344))*14)+MONTH(C3344)+2,FALSE)))</f>
        <v>0</v>
      </c>
      <c r="J3344" s="178">
        <f t="shared" si="265"/>
        <v>0</v>
      </c>
      <c r="K3344" s="462">
        <f>IF(C3344=0,0,VLOOKUP(YEAR(C3344),INPC!$B$4:$O$29,MONTH(C3344)+1))</f>
        <v>0</v>
      </c>
      <c r="L3344" s="462">
        <f>IF(S3344=0,0,VLOOKUP(YEAR(S3344),INPC!$B$4:$O$29,MONTH(S3344)+1))</f>
        <v>0</v>
      </c>
      <c r="M3344" s="463">
        <f t="shared" si="266"/>
        <v>0</v>
      </c>
      <c r="N3344" s="465">
        <f t="shared" si="267"/>
        <v>0</v>
      </c>
      <c r="O3344" s="179"/>
      <c r="P3344" s="180"/>
      <c r="Q3344" s="173"/>
      <c r="R3344" s="173"/>
      <c r="S3344" s="174"/>
      <c r="T3344" s="173"/>
      <c r="U3344" s="182"/>
      <c r="V3344" s="177">
        <f>IF(U3344=0,0,IF(T3344="MXN",1/HLOOKUP(YEAR(S3344)+(MONTH(S3344)/100),TC!$5:$37,DAY(S3344)+2,FALSE),VLOOKUP(T3344,Equivalencia!$1:$23,((MAX(Equivalencia!$3:$3)-YEAR(S3344))*14)+MONTH(S3344)+2,FALSE)))</f>
        <v>0</v>
      </c>
      <c r="W3344" s="178">
        <f t="shared" si="268"/>
        <v>0</v>
      </c>
      <c r="X3344" s="481">
        <f t="shared" si="269"/>
        <v>0</v>
      </c>
      <c r="Y3344" s="179"/>
      <c r="Z3344" s="466">
        <f t="shared" si="270"/>
        <v>0</v>
      </c>
      <c r="AA3344" s="473">
        <f t="shared" si="271"/>
        <v>0</v>
      </c>
      <c r="AB3344" s="339">
        <f t="shared" si="272"/>
        <v>0</v>
      </c>
    </row>
    <row r="3345" spans="2:28" ht="20.100000000000001" customHeight="1">
      <c r="B3345" s="172"/>
      <c r="C3345" s="174"/>
      <c r="D3345" s="181"/>
      <c r="E3345" s="173"/>
      <c r="F3345" s="176"/>
      <c r="G3345" s="175">
        <f t="shared" si="263"/>
        <v>0</v>
      </c>
      <c r="H3345" s="175">
        <f t="shared" si="264"/>
        <v>0</v>
      </c>
      <c r="I3345" s="177">
        <f>IF(G3345=0,0,IF(E3345="MXN",1/HLOOKUP(YEAR(C3345)+(MONTH(C3345)/100),TC!$5:$37,DAY(C3345)+2,FALSE),VLOOKUP(E3345,Equivalencia!$5:$23,((MAX(Equivalencia!$3:$3)-YEAR(C3345))*14)+MONTH(C3345)+2,FALSE)))</f>
        <v>0</v>
      </c>
      <c r="J3345" s="178">
        <f t="shared" si="265"/>
        <v>0</v>
      </c>
      <c r="K3345" s="462">
        <f>IF(C3345=0,0,VLOOKUP(YEAR(C3345),INPC!$B$4:$O$29,MONTH(C3345)+1))</f>
        <v>0</v>
      </c>
      <c r="L3345" s="462">
        <f>IF(S3345=0,0,VLOOKUP(YEAR(S3345),INPC!$B$4:$O$29,MONTH(S3345)+1))</f>
        <v>0</v>
      </c>
      <c r="M3345" s="463">
        <f t="shared" si="266"/>
        <v>0</v>
      </c>
      <c r="N3345" s="465">
        <f t="shared" si="267"/>
        <v>0</v>
      </c>
      <c r="O3345" s="179"/>
      <c r="P3345" s="180"/>
      <c r="Q3345" s="173"/>
      <c r="R3345" s="173"/>
      <c r="S3345" s="174"/>
      <c r="T3345" s="173"/>
      <c r="U3345" s="182"/>
      <c r="V3345" s="177">
        <f>IF(U3345=0,0,IF(T3345="MXN",1/HLOOKUP(YEAR(S3345)+(MONTH(S3345)/100),TC!$5:$37,DAY(S3345)+2,FALSE),VLOOKUP(T3345,Equivalencia!$1:$23,((MAX(Equivalencia!$3:$3)-YEAR(S3345))*14)+MONTH(S3345)+2,FALSE)))</f>
        <v>0</v>
      </c>
      <c r="W3345" s="178">
        <f t="shared" si="268"/>
        <v>0</v>
      </c>
      <c r="X3345" s="481">
        <f t="shared" si="269"/>
        <v>0</v>
      </c>
      <c r="Y3345" s="179"/>
      <c r="Z3345" s="466">
        <f t="shared" si="270"/>
        <v>0</v>
      </c>
      <c r="AA3345" s="473">
        <f t="shared" si="271"/>
        <v>0</v>
      </c>
      <c r="AB3345" s="339">
        <f t="shared" si="272"/>
        <v>0</v>
      </c>
    </row>
    <row r="3346" spans="2:28" ht="20.100000000000001" customHeight="1">
      <c r="B3346" s="172"/>
      <c r="C3346" s="174"/>
      <c r="D3346" s="181"/>
      <c r="E3346" s="173"/>
      <c r="F3346" s="176"/>
      <c r="G3346" s="175">
        <f t="shared" si="263"/>
        <v>0</v>
      </c>
      <c r="H3346" s="175">
        <f t="shared" si="264"/>
        <v>0</v>
      </c>
      <c r="I3346" s="177">
        <f>IF(G3346=0,0,IF(E3346="MXN",1/HLOOKUP(YEAR(C3346)+(MONTH(C3346)/100),TC!$5:$37,DAY(C3346)+2,FALSE),VLOOKUP(E3346,Equivalencia!$5:$23,((MAX(Equivalencia!$3:$3)-YEAR(C3346))*14)+MONTH(C3346)+2,FALSE)))</f>
        <v>0</v>
      </c>
      <c r="J3346" s="178">
        <f t="shared" si="265"/>
        <v>0</v>
      </c>
      <c r="K3346" s="462">
        <f>IF(C3346=0,0,VLOOKUP(YEAR(C3346),INPC!$B$4:$O$29,MONTH(C3346)+1))</f>
        <v>0</v>
      </c>
      <c r="L3346" s="462">
        <f>IF(S3346=0,0,VLOOKUP(YEAR(S3346),INPC!$B$4:$O$29,MONTH(S3346)+1))</f>
        <v>0</v>
      </c>
      <c r="M3346" s="463">
        <f t="shared" si="266"/>
        <v>0</v>
      </c>
      <c r="N3346" s="465">
        <f t="shared" si="267"/>
        <v>0</v>
      </c>
      <c r="O3346" s="179"/>
      <c r="P3346" s="180"/>
      <c r="Q3346" s="173"/>
      <c r="R3346" s="173"/>
      <c r="S3346" s="174"/>
      <c r="T3346" s="173"/>
      <c r="U3346" s="182"/>
      <c r="V3346" s="177">
        <f>IF(U3346=0,0,IF(T3346="MXN",1/HLOOKUP(YEAR(S3346)+(MONTH(S3346)/100),TC!$5:$37,DAY(S3346)+2,FALSE),VLOOKUP(T3346,Equivalencia!$1:$23,((MAX(Equivalencia!$3:$3)-YEAR(S3346))*14)+MONTH(S3346)+2,FALSE)))</f>
        <v>0</v>
      </c>
      <c r="W3346" s="178">
        <f t="shared" si="268"/>
        <v>0</v>
      </c>
      <c r="X3346" s="481">
        <f t="shared" si="269"/>
        <v>0</v>
      </c>
      <c r="Y3346" s="179"/>
      <c r="Z3346" s="466">
        <f t="shared" si="270"/>
        <v>0</v>
      </c>
      <c r="AA3346" s="473">
        <f t="shared" si="271"/>
        <v>0</v>
      </c>
      <c r="AB3346" s="339">
        <f t="shared" si="272"/>
        <v>0</v>
      </c>
    </row>
    <row r="3347" spans="2:28" ht="20.100000000000001" customHeight="1">
      <c r="B3347" s="172"/>
      <c r="C3347" s="174"/>
      <c r="D3347" s="181"/>
      <c r="E3347" s="173"/>
      <c r="F3347" s="176"/>
      <c r="G3347" s="175">
        <f t="shared" si="263"/>
        <v>0</v>
      </c>
      <c r="H3347" s="175">
        <f t="shared" si="264"/>
        <v>0</v>
      </c>
      <c r="I3347" s="177">
        <f>IF(G3347=0,0,IF(E3347="MXN",1/HLOOKUP(YEAR(C3347)+(MONTH(C3347)/100),TC!$5:$37,DAY(C3347)+2,FALSE),VLOOKUP(E3347,Equivalencia!$5:$23,((MAX(Equivalencia!$3:$3)-YEAR(C3347))*14)+MONTH(C3347)+2,FALSE)))</f>
        <v>0</v>
      </c>
      <c r="J3347" s="178">
        <f t="shared" si="265"/>
        <v>0</v>
      </c>
      <c r="K3347" s="462">
        <f>IF(C3347=0,0,VLOOKUP(YEAR(C3347),INPC!$B$4:$O$29,MONTH(C3347)+1))</f>
        <v>0</v>
      </c>
      <c r="L3347" s="462">
        <f>IF(S3347=0,0,VLOOKUP(YEAR(S3347),INPC!$B$4:$O$29,MONTH(S3347)+1))</f>
        <v>0</v>
      </c>
      <c r="M3347" s="463">
        <f t="shared" si="266"/>
        <v>0</v>
      </c>
      <c r="N3347" s="465">
        <f t="shared" si="267"/>
        <v>0</v>
      </c>
      <c r="O3347" s="179"/>
      <c r="P3347" s="180"/>
      <c r="Q3347" s="173"/>
      <c r="R3347" s="173"/>
      <c r="S3347" s="174"/>
      <c r="T3347" s="173"/>
      <c r="U3347" s="182"/>
      <c r="V3347" s="177">
        <f>IF(U3347=0,0,IF(T3347="MXN",1/HLOOKUP(YEAR(S3347)+(MONTH(S3347)/100),TC!$5:$37,DAY(S3347)+2,FALSE),VLOOKUP(T3347,Equivalencia!$1:$23,((MAX(Equivalencia!$3:$3)-YEAR(S3347))*14)+MONTH(S3347)+2,FALSE)))</f>
        <v>0</v>
      </c>
      <c r="W3347" s="178">
        <f t="shared" si="268"/>
        <v>0</v>
      </c>
      <c r="X3347" s="481">
        <f t="shared" si="269"/>
        <v>0</v>
      </c>
      <c r="Y3347" s="179"/>
      <c r="Z3347" s="466">
        <f t="shared" si="270"/>
        <v>0</v>
      </c>
      <c r="AA3347" s="473">
        <f t="shared" si="271"/>
        <v>0</v>
      </c>
      <c r="AB3347" s="339">
        <f t="shared" si="272"/>
        <v>0</v>
      </c>
    </row>
    <row r="3348" spans="2:28" ht="20.100000000000001" customHeight="1">
      <c r="B3348" s="172"/>
      <c r="C3348" s="174"/>
      <c r="D3348" s="181"/>
      <c r="E3348" s="173"/>
      <c r="F3348" s="176"/>
      <c r="G3348" s="175">
        <f t="shared" si="263"/>
        <v>0</v>
      </c>
      <c r="H3348" s="175">
        <f t="shared" si="264"/>
        <v>0</v>
      </c>
      <c r="I3348" s="177">
        <f>IF(G3348=0,0,IF(E3348="MXN",1/HLOOKUP(YEAR(C3348)+(MONTH(C3348)/100),TC!$5:$37,DAY(C3348)+2,FALSE),VLOOKUP(E3348,Equivalencia!$5:$23,((MAX(Equivalencia!$3:$3)-YEAR(C3348))*14)+MONTH(C3348)+2,FALSE)))</f>
        <v>0</v>
      </c>
      <c r="J3348" s="178">
        <f t="shared" si="265"/>
        <v>0</v>
      </c>
      <c r="K3348" s="462">
        <f>IF(C3348=0,0,VLOOKUP(YEAR(C3348),INPC!$B$4:$O$29,MONTH(C3348)+1))</f>
        <v>0</v>
      </c>
      <c r="L3348" s="462">
        <f>IF(S3348=0,0,VLOOKUP(YEAR(S3348),INPC!$B$4:$O$29,MONTH(S3348)+1))</f>
        <v>0</v>
      </c>
      <c r="M3348" s="463">
        <f t="shared" si="266"/>
        <v>0</v>
      </c>
      <c r="N3348" s="465">
        <f t="shared" si="267"/>
        <v>0</v>
      </c>
      <c r="O3348" s="179"/>
      <c r="P3348" s="180"/>
      <c r="Q3348" s="173"/>
      <c r="R3348" s="173"/>
      <c r="S3348" s="174"/>
      <c r="T3348" s="173"/>
      <c r="U3348" s="182"/>
      <c r="V3348" s="177">
        <f>IF(U3348=0,0,IF(T3348="MXN",1/HLOOKUP(YEAR(S3348)+(MONTH(S3348)/100),TC!$5:$37,DAY(S3348)+2,FALSE),VLOOKUP(T3348,Equivalencia!$1:$23,((MAX(Equivalencia!$3:$3)-YEAR(S3348))*14)+MONTH(S3348)+2,FALSE)))</f>
        <v>0</v>
      </c>
      <c r="W3348" s="178">
        <f t="shared" si="268"/>
        <v>0</v>
      </c>
      <c r="X3348" s="481">
        <f t="shared" si="269"/>
        <v>0</v>
      </c>
      <c r="Y3348" s="179"/>
      <c r="Z3348" s="466">
        <f t="shared" si="270"/>
        <v>0</v>
      </c>
      <c r="AA3348" s="473">
        <f t="shared" si="271"/>
        <v>0</v>
      </c>
      <c r="AB3348" s="339">
        <f t="shared" si="272"/>
        <v>0</v>
      </c>
    </row>
    <row r="3349" spans="2:28" ht="20.100000000000001" customHeight="1">
      <c r="B3349" s="172"/>
      <c r="C3349" s="174"/>
      <c r="D3349" s="181"/>
      <c r="E3349" s="173"/>
      <c r="F3349" s="176"/>
      <c r="G3349" s="175">
        <f t="shared" si="263"/>
        <v>0</v>
      </c>
      <c r="H3349" s="175">
        <f t="shared" si="264"/>
        <v>0</v>
      </c>
      <c r="I3349" s="177">
        <f>IF(G3349=0,0,IF(E3349="MXN",1/HLOOKUP(YEAR(C3349)+(MONTH(C3349)/100),TC!$5:$37,DAY(C3349)+2,FALSE),VLOOKUP(E3349,Equivalencia!$5:$23,((MAX(Equivalencia!$3:$3)-YEAR(C3349))*14)+MONTH(C3349)+2,FALSE)))</f>
        <v>0</v>
      </c>
      <c r="J3349" s="178">
        <f t="shared" si="265"/>
        <v>0</v>
      </c>
      <c r="K3349" s="462">
        <f>IF(C3349=0,0,VLOOKUP(YEAR(C3349),INPC!$B$4:$O$29,MONTH(C3349)+1))</f>
        <v>0</v>
      </c>
      <c r="L3349" s="462">
        <f>IF(S3349=0,0,VLOOKUP(YEAR(S3349),INPC!$B$4:$O$29,MONTH(S3349)+1))</f>
        <v>0</v>
      </c>
      <c r="M3349" s="463">
        <f t="shared" si="266"/>
        <v>0</v>
      </c>
      <c r="N3349" s="465">
        <f t="shared" si="267"/>
        <v>0</v>
      </c>
      <c r="O3349" s="179"/>
      <c r="P3349" s="180"/>
      <c r="Q3349" s="173"/>
      <c r="R3349" s="173"/>
      <c r="S3349" s="174"/>
      <c r="T3349" s="173"/>
      <c r="U3349" s="182"/>
      <c r="V3349" s="177">
        <f>IF(U3349=0,0,IF(T3349="MXN",1/HLOOKUP(YEAR(S3349)+(MONTH(S3349)/100),TC!$5:$37,DAY(S3349)+2,FALSE),VLOOKUP(T3349,Equivalencia!$1:$23,((MAX(Equivalencia!$3:$3)-YEAR(S3349))*14)+MONTH(S3349)+2,FALSE)))</f>
        <v>0</v>
      </c>
      <c r="W3349" s="178">
        <f t="shared" si="268"/>
        <v>0</v>
      </c>
      <c r="X3349" s="481">
        <f t="shared" si="269"/>
        <v>0</v>
      </c>
      <c r="Y3349" s="179"/>
      <c r="Z3349" s="466">
        <f t="shared" si="270"/>
        <v>0</v>
      </c>
      <c r="AA3349" s="473">
        <f t="shared" si="271"/>
        <v>0</v>
      </c>
      <c r="AB3349" s="339">
        <f t="shared" si="272"/>
        <v>0</v>
      </c>
    </row>
    <row r="3350" spans="2:28" ht="20.100000000000001" customHeight="1">
      <c r="B3350" s="172"/>
      <c r="C3350" s="174"/>
      <c r="D3350" s="181"/>
      <c r="E3350" s="173"/>
      <c r="F3350" s="176"/>
      <c r="G3350" s="175">
        <f t="shared" si="263"/>
        <v>0</v>
      </c>
      <c r="H3350" s="175">
        <f t="shared" si="264"/>
        <v>0</v>
      </c>
      <c r="I3350" s="177">
        <f>IF(G3350=0,0,IF(E3350="MXN",1/HLOOKUP(YEAR(C3350)+(MONTH(C3350)/100),TC!$5:$37,DAY(C3350)+2,FALSE),VLOOKUP(E3350,Equivalencia!$5:$23,((MAX(Equivalencia!$3:$3)-YEAR(C3350))*14)+MONTH(C3350)+2,FALSE)))</f>
        <v>0</v>
      </c>
      <c r="J3350" s="178">
        <f t="shared" si="265"/>
        <v>0</v>
      </c>
      <c r="K3350" s="462">
        <f>IF(C3350=0,0,VLOOKUP(YEAR(C3350),INPC!$B$4:$O$29,MONTH(C3350)+1))</f>
        <v>0</v>
      </c>
      <c r="L3350" s="462">
        <f>IF(S3350=0,0,VLOOKUP(YEAR(S3350),INPC!$B$4:$O$29,MONTH(S3350)+1))</f>
        <v>0</v>
      </c>
      <c r="M3350" s="463">
        <f t="shared" si="266"/>
        <v>0</v>
      </c>
      <c r="N3350" s="465">
        <f t="shared" si="267"/>
        <v>0</v>
      </c>
      <c r="O3350" s="179"/>
      <c r="P3350" s="180"/>
      <c r="Q3350" s="173"/>
      <c r="R3350" s="173"/>
      <c r="S3350" s="174"/>
      <c r="T3350" s="173"/>
      <c r="U3350" s="182"/>
      <c r="V3350" s="177">
        <f>IF(U3350=0,0,IF(T3350="MXN",1/HLOOKUP(YEAR(S3350)+(MONTH(S3350)/100),TC!$5:$37,DAY(S3350)+2,FALSE),VLOOKUP(T3350,Equivalencia!$1:$23,((MAX(Equivalencia!$3:$3)-YEAR(S3350))*14)+MONTH(S3350)+2,FALSE)))</f>
        <v>0</v>
      </c>
      <c r="W3350" s="178">
        <f t="shared" si="268"/>
        <v>0</v>
      </c>
      <c r="X3350" s="481">
        <f t="shared" si="269"/>
        <v>0</v>
      </c>
      <c r="Y3350" s="179"/>
      <c r="Z3350" s="466">
        <f t="shared" si="270"/>
        <v>0</v>
      </c>
      <c r="AA3350" s="473">
        <f t="shared" si="271"/>
        <v>0</v>
      </c>
      <c r="AB3350" s="339">
        <f t="shared" si="272"/>
        <v>0</v>
      </c>
    </row>
    <row r="3351" spans="2:28" ht="20.100000000000001" customHeight="1">
      <c r="B3351" s="172"/>
      <c r="C3351" s="174"/>
      <c r="D3351" s="181"/>
      <c r="E3351" s="173"/>
      <c r="F3351" s="176"/>
      <c r="G3351" s="175">
        <f t="shared" si="263"/>
        <v>0</v>
      </c>
      <c r="H3351" s="175">
        <f t="shared" si="264"/>
        <v>0</v>
      </c>
      <c r="I3351" s="177">
        <f>IF(G3351=0,0,IF(E3351="MXN",1/HLOOKUP(YEAR(C3351)+(MONTH(C3351)/100),TC!$5:$37,DAY(C3351)+2,FALSE),VLOOKUP(E3351,Equivalencia!$5:$23,((MAX(Equivalencia!$3:$3)-YEAR(C3351))*14)+MONTH(C3351)+2,FALSE)))</f>
        <v>0</v>
      </c>
      <c r="J3351" s="178">
        <f t="shared" si="265"/>
        <v>0</v>
      </c>
      <c r="K3351" s="462">
        <f>IF(C3351=0,0,VLOOKUP(YEAR(C3351),INPC!$B$4:$O$29,MONTH(C3351)+1))</f>
        <v>0</v>
      </c>
      <c r="L3351" s="462">
        <f>IF(S3351=0,0,VLOOKUP(YEAR(S3351),INPC!$B$4:$O$29,MONTH(S3351)+1))</f>
        <v>0</v>
      </c>
      <c r="M3351" s="463">
        <f t="shared" si="266"/>
        <v>0</v>
      </c>
      <c r="N3351" s="465">
        <f t="shared" si="267"/>
        <v>0</v>
      </c>
      <c r="O3351" s="179"/>
      <c r="P3351" s="180"/>
      <c r="Q3351" s="173"/>
      <c r="R3351" s="173"/>
      <c r="S3351" s="174"/>
      <c r="T3351" s="173"/>
      <c r="U3351" s="182"/>
      <c r="V3351" s="177">
        <f>IF(U3351=0,0,IF(T3351="MXN",1/HLOOKUP(YEAR(S3351)+(MONTH(S3351)/100),TC!$5:$37,DAY(S3351)+2,FALSE),VLOOKUP(T3351,Equivalencia!$1:$23,((MAX(Equivalencia!$3:$3)-YEAR(S3351))*14)+MONTH(S3351)+2,FALSE)))</f>
        <v>0</v>
      </c>
      <c r="W3351" s="178">
        <f t="shared" si="268"/>
        <v>0</v>
      </c>
      <c r="X3351" s="481">
        <f t="shared" si="269"/>
        <v>0</v>
      </c>
      <c r="Y3351" s="179"/>
      <c r="Z3351" s="466">
        <f t="shared" si="270"/>
        <v>0</v>
      </c>
      <c r="AA3351" s="473">
        <f t="shared" si="271"/>
        <v>0</v>
      </c>
      <c r="AB3351" s="339">
        <f t="shared" si="272"/>
        <v>0</v>
      </c>
    </row>
    <row r="3352" spans="2:28" ht="20.100000000000001" customHeight="1">
      <c r="B3352" s="172"/>
      <c r="C3352" s="174"/>
      <c r="D3352" s="181"/>
      <c r="E3352" s="173"/>
      <c r="F3352" s="176"/>
      <c r="G3352" s="175">
        <f t="shared" ref="G3352:G3606" si="273">+P3352</f>
        <v>0</v>
      </c>
      <c r="H3352" s="175">
        <f t="shared" ref="H3352:H3606" si="274">IF(F3352=0,0,(F3352/G3352)*P3352)</f>
        <v>0</v>
      </c>
      <c r="I3352" s="177">
        <f>IF(G3352=0,0,IF(E3352="MXN",1/HLOOKUP(YEAR(C3352)+(MONTH(C3352)/100),TC!$5:$37,DAY(C3352)+2,FALSE),VLOOKUP(E3352,Equivalencia!$5:$23,((MAX(Equivalencia!$3:$3)-YEAR(C3352))*14)+MONTH(C3352)+2,FALSE)))</f>
        <v>0</v>
      </c>
      <c r="J3352" s="178">
        <f t="shared" ref="J3352:J3606" si="275">+H3352*I3352</f>
        <v>0</v>
      </c>
      <c r="K3352" s="462">
        <f>IF(C3352=0,0,VLOOKUP(YEAR(C3352),INPC!$B$4:$O$29,MONTH(C3352)+1))</f>
        <v>0</v>
      </c>
      <c r="L3352" s="462">
        <f>IF(S3352=0,0,VLOOKUP(YEAR(S3352),INPC!$B$4:$O$29,MONTH(S3352)+1))</f>
        <v>0</v>
      </c>
      <c r="M3352" s="463">
        <f t="shared" ref="M3352:M3606" si="276">IF(H3352=0,0,IF(R3352=$AF$4,1,IF(TRUNC(L3352/K3352,4)&gt;=1,TRUNC(L3352/K3352,4),1)))</f>
        <v>0</v>
      </c>
      <c r="N3352" s="465">
        <f t="shared" ref="N3352:N3606" si="277">+M3352*J3352</f>
        <v>0</v>
      </c>
      <c r="O3352" s="179"/>
      <c r="P3352" s="180"/>
      <c r="Q3352" s="173"/>
      <c r="R3352" s="173"/>
      <c r="S3352" s="174"/>
      <c r="T3352" s="173"/>
      <c r="U3352" s="182"/>
      <c r="V3352" s="177">
        <f>IF(U3352=0,0,IF(T3352="MXN",1/HLOOKUP(YEAR(S3352)+(MONTH(S3352)/100),TC!$5:$37,DAY(S3352)+2,FALSE),VLOOKUP(T3352,Equivalencia!$1:$23,((MAX(Equivalencia!$3:$3)-YEAR(S3352))*14)+MONTH(S3352)+2,FALSE)))</f>
        <v>0</v>
      </c>
      <c r="W3352" s="178">
        <f t="shared" ref="W3352:W3606" si="278">+V3352*U3352</f>
        <v>0</v>
      </c>
      <c r="X3352" s="481">
        <f t="shared" ref="X3352:X3606" si="279">+W3352-J3352</f>
        <v>0</v>
      </c>
      <c r="Y3352" s="179"/>
      <c r="Z3352" s="466">
        <f t="shared" ref="Z3352:Z3606" si="280">N3352</f>
        <v>0</v>
      </c>
      <c r="AA3352" s="473">
        <f t="shared" ref="AA3352:AA3606" si="281">+W3352-Z3352</f>
        <v>0</v>
      </c>
      <c r="AB3352" s="339">
        <f t="shared" ref="AB3352:AB3606" si="282">+IF(P3352=0,0,(U3352/F3352)-1)</f>
        <v>0</v>
      </c>
    </row>
    <row r="3353" spans="2:28" ht="20.100000000000001" customHeight="1">
      <c r="B3353" s="172"/>
      <c r="C3353" s="174"/>
      <c r="D3353" s="181"/>
      <c r="E3353" s="173"/>
      <c r="F3353" s="176"/>
      <c r="G3353" s="175">
        <f t="shared" si="273"/>
        <v>0</v>
      </c>
      <c r="H3353" s="175">
        <f t="shared" si="274"/>
        <v>0</v>
      </c>
      <c r="I3353" s="177">
        <f>IF(G3353=0,0,IF(E3353="MXN",1/HLOOKUP(YEAR(C3353)+(MONTH(C3353)/100),TC!$5:$37,DAY(C3353)+2,FALSE),VLOOKUP(E3353,Equivalencia!$5:$23,((MAX(Equivalencia!$3:$3)-YEAR(C3353))*14)+MONTH(C3353)+2,FALSE)))</f>
        <v>0</v>
      </c>
      <c r="J3353" s="178">
        <f t="shared" si="275"/>
        <v>0</v>
      </c>
      <c r="K3353" s="462">
        <f>IF(C3353=0,0,VLOOKUP(YEAR(C3353),INPC!$B$4:$O$29,MONTH(C3353)+1))</f>
        <v>0</v>
      </c>
      <c r="L3353" s="462">
        <f>IF(S3353=0,0,VLOOKUP(YEAR(S3353),INPC!$B$4:$O$29,MONTH(S3353)+1))</f>
        <v>0</v>
      </c>
      <c r="M3353" s="463">
        <f t="shared" si="276"/>
        <v>0</v>
      </c>
      <c r="N3353" s="465">
        <f t="shared" si="277"/>
        <v>0</v>
      </c>
      <c r="O3353" s="179"/>
      <c r="P3353" s="180"/>
      <c r="Q3353" s="173"/>
      <c r="R3353" s="173"/>
      <c r="S3353" s="174"/>
      <c r="T3353" s="173"/>
      <c r="U3353" s="182"/>
      <c r="V3353" s="177">
        <f>IF(U3353=0,0,IF(T3353="MXN",1/HLOOKUP(YEAR(S3353)+(MONTH(S3353)/100),TC!$5:$37,DAY(S3353)+2,FALSE),VLOOKUP(T3353,Equivalencia!$1:$23,((MAX(Equivalencia!$3:$3)-YEAR(S3353))*14)+MONTH(S3353)+2,FALSE)))</f>
        <v>0</v>
      </c>
      <c r="W3353" s="178">
        <f t="shared" si="278"/>
        <v>0</v>
      </c>
      <c r="X3353" s="481">
        <f t="shared" si="279"/>
        <v>0</v>
      </c>
      <c r="Y3353" s="179"/>
      <c r="Z3353" s="466">
        <f t="shared" si="280"/>
        <v>0</v>
      </c>
      <c r="AA3353" s="473">
        <f t="shared" si="281"/>
        <v>0</v>
      </c>
      <c r="AB3353" s="339">
        <f t="shared" si="282"/>
        <v>0</v>
      </c>
    </row>
    <row r="3354" spans="2:28" ht="20.100000000000001" customHeight="1">
      <c r="B3354" s="172"/>
      <c r="C3354" s="174"/>
      <c r="D3354" s="181"/>
      <c r="E3354" s="173"/>
      <c r="F3354" s="176"/>
      <c r="G3354" s="175">
        <f t="shared" si="273"/>
        <v>0</v>
      </c>
      <c r="H3354" s="175">
        <f t="shared" si="274"/>
        <v>0</v>
      </c>
      <c r="I3354" s="177">
        <f>IF(G3354=0,0,IF(E3354="MXN",1/HLOOKUP(YEAR(C3354)+(MONTH(C3354)/100),TC!$5:$37,DAY(C3354)+2,FALSE),VLOOKUP(E3354,Equivalencia!$5:$23,((MAX(Equivalencia!$3:$3)-YEAR(C3354))*14)+MONTH(C3354)+2,FALSE)))</f>
        <v>0</v>
      </c>
      <c r="J3354" s="178">
        <f t="shared" si="275"/>
        <v>0</v>
      </c>
      <c r="K3354" s="462">
        <f>IF(C3354=0,0,VLOOKUP(YEAR(C3354),INPC!$B$4:$O$29,MONTH(C3354)+1))</f>
        <v>0</v>
      </c>
      <c r="L3354" s="462">
        <f>IF(S3354=0,0,VLOOKUP(YEAR(S3354),INPC!$B$4:$O$29,MONTH(S3354)+1))</f>
        <v>0</v>
      </c>
      <c r="M3354" s="463">
        <f t="shared" si="276"/>
        <v>0</v>
      </c>
      <c r="N3354" s="465">
        <f t="shared" si="277"/>
        <v>0</v>
      </c>
      <c r="O3354" s="179"/>
      <c r="P3354" s="180"/>
      <c r="Q3354" s="173"/>
      <c r="R3354" s="173"/>
      <c r="S3354" s="174"/>
      <c r="T3354" s="173"/>
      <c r="U3354" s="182"/>
      <c r="V3354" s="177">
        <f>IF(U3354=0,0,IF(T3354="MXN",1/HLOOKUP(YEAR(S3354)+(MONTH(S3354)/100),TC!$5:$37,DAY(S3354)+2,FALSE),VLOOKUP(T3354,Equivalencia!$1:$23,((MAX(Equivalencia!$3:$3)-YEAR(S3354))*14)+MONTH(S3354)+2,FALSE)))</f>
        <v>0</v>
      </c>
      <c r="W3354" s="178">
        <f t="shared" si="278"/>
        <v>0</v>
      </c>
      <c r="X3354" s="481">
        <f t="shared" si="279"/>
        <v>0</v>
      </c>
      <c r="Y3354" s="179"/>
      <c r="Z3354" s="466">
        <f t="shared" si="280"/>
        <v>0</v>
      </c>
      <c r="AA3354" s="473">
        <f t="shared" si="281"/>
        <v>0</v>
      </c>
      <c r="AB3354" s="339">
        <f t="shared" si="282"/>
        <v>0</v>
      </c>
    </row>
    <row r="3355" spans="2:28" ht="20.100000000000001" customHeight="1">
      <c r="B3355" s="172"/>
      <c r="C3355" s="174"/>
      <c r="D3355" s="181"/>
      <c r="E3355" s="173"/>
      <c r="F3355" s="176"/>
      <c r="G3355" s="175">
        <f t="shared" si="273"/>
        <v>0</v>
      </c>
      <c r="H3355" s="175">
        <f t="shared" si="274"/>
        <v>0</v>
      </c>
      <c r="I3355" s="177">
        <f>IF(G3355=0,0,IF(E3355="MXN",1/HLOOKUP(YEAR(C3355)+(MONTH(C3355)/100),TC!$5:$37,DAY(C3355)+2,FALSE),VLOOKUP(E3355,Equivalencia!$5:$23,((MAX(Equivalencia!$3:$3)-YEAR(C3355))*14)+MONTH(C3355)+2,FALSE)))</f>
        <v>0</v>
      </c>
      <c r="J3355" s="178">
        <f t="shared" si="275"/>
        <v>0</v>
      </c>
      <c r="K3355" s="462">
        <f>IF(C3355=0,0,VLOOKUP(YEAR(C3355),INPC!$B$4:$O$29,MONTH(C3355)+1))</f>
        <v>0</v>
      </c>
      <c r="L3355" s="462">
        <f>IF(S3355=0,0,VLOOKUP(YEAR(S3355),INPC!$B$4:$O$29,MONTH(S3355)+1))</f>
        <v>0</v>
      </c>
      <c r="M3355" s="463">
        <f t="shared" si="276"/>
        <v>0</v>
      </c>
      <c r="N3355" s="465">
        <f t="shared" si="277"/>
        <v>0</v>
      </c>
      <c r="O3355" s="179"/>
      <c r="P3355" s="180"/>
      <c r="Q3355" s="173"/>
      <c r="R3355" s="173"/>
      <c r="S3355" s="174"/>
      <c r="T3355" s="173"/>
      <c r="U3355" s="182"/>
      <c r="V3355" s="177">
        <f>IF(U3355=0,0,IF(T3355="MXN",1/HLOOKUP(YEAR(S3355)+(MONTH(S3355)/100),TC!$5:$37,DAY(S3355)+2,FALSE),VLOOKUP(T3355,Equivalencia!$1:$23,((MAX(Equivalencia!$3:$3)-YEAR(S3355))*14)+MONTH(S3355)+2,FALSE)))</f>
        <v>0</v>
      </c>
      <c r="W3355" s="178">
        <f t="shared" si="278"/>
        <v>0</v>
      </c>
      <c r="X3355" s="481">
        <f t="shared" si="279"/>
        <v>0</v>
      </c>
      <c r="Y3355" s="179"/>
      <c r="Z3355" s="466">
        <f t="shared" si="280"/>
        <v>0</v>
      </c>
      <c r="AA3355" s="473">
        <f t="shared" si="281"/>
        <v>0</v>
      </c>
      <c r="AB3355" s="339">
        <f t="shared" si="282"/>
        <v>0</v>
      </c>
    </row>
    <row r="3356" spans="2:28" ht="20.100000000000001" customHeight="1">
      <c r="B3356" s="172"/>
      <c r="C3356" s="174"/>
      <c r="D3356" s="181"/>
      <c r="E3356" s="173"/>
      <c r="F3356" s="176"/>
      <c r="G3356" s="175">
        <f t="shared" si="273"/>
        <v>0</v>
      </c>
      <c r="H3356" s="175">
        <f t="shared" si="274"/>
        <v>0</v>
      </c>
      <c r="I3356" s="177">
        <f>IF(G3356=0,0,IF(E3356="MXN",1/HLOOKUP(YEAR(C3356)+(MONTH(C3356)/100),TC!$5:$37,DAY(C3356)+2,FALSE),VLOOKUP(E3356,Equivalencia!$5:$23,((MAX(Equivalencia!$3:$3)-YEAR(C3356))*14)+MONTH(C3356)+2,FALSE)))</f>
        <v>0</v>
      </c>
      <c r="J3356" s="178">
        <f t="shared" si="275"/>
        <v>0</v>
      </c>
      <c r="K3356" s="462">
        <f>IF(C3356=0,0,VLOOKUP(YEAR(C3356),INPC!$B$4:$O$29,MONTH(C3356)+1))</f>
        <v>0</v>
      </c>
      <c r="L3356" s="462">
        <f>IF(S3356=0,0,VLOOKUP(YEAR(S3356),INPC!$B$4:$O$29,MONTH(S3356)+1))</f>
        <v>0</v>
      </c>
      <c r="M3356" s="463">
        <f t="shared" si="276"/>
        <v>0</v>
      </c>
      <c r="N3356" s="465">
        <f t="shared" si="277"/>
        <v>0</v>
      </c>
      <c r="O3356" s="179"/>
      <c r="P3356" s="180"/>
      <c r="Q3356" s="173"/>
      <c r="R3356" s="173"/>
      <c r="S3356" s="174"/>
      <c r="T3356" s="173"/>
      <c r="U3356" s="182"/>
      <c r="V3356" s="177">
        <f>IF(U3356=0,0,IF(T3356="MXN",1/HLOOKUP(YEAR(S3356)+(MONTH(S3356)/100),TC!$5:$37,DAY(S3356)+2,FALSE),VLOOKUP(T3356,Equivalencia!$1:$23,((MAX(Equivalencia!$3:$3)-YEAR(S3356))*14)+MONTH(S3356)+2,FALSE)))</f>
        <v>0</v>
      </c>
      <c r="W3356" s="178">
        <f t="shared" si="278"/>
        <v>0</v>
      </c>
      <c r="X3356" s="481">
        <f t="shared" si="279"/>
        <v>0</v>
      </c>
      <c r="Y3356" s="179"/>
      <c r="Z3356" s="466">
        <f t="shared" si="280"/>
        <v>0</v>
      </c>
      <c r="AA3356" s="473">
        <f t="shared" si="281"/>
        <v>0</v>
      </c>
      <c r="AB3356" s="339">
        <f t="shared" si="282"/>
        <v>0</v>
      </c>
    </row>
    <row r="3357" spans="2:28" ht="20.100000000000001" customHeight="1">
      <c r="B3357" s="172"/>
      <c r="C3357" s="174"/>
      <c r="D3357" s="181"/>
      <c r="E3357" s="173"/>
      <c r="F3357" s="176"/>
      <c r="G3357" s="175">
        <f t="shared" si="273"/>
        <v>0</v>
      </c>
      <c r="H3357" s="175">
        <f t="shared" si="274"/>
        <v>0</v>
      </c>
      <c r="I3357" s="177">
        <f>IF(G3357=0,0,IF(E3357="MXN",1/HLOOKUP(YEAR(C3357)+(MONTH(C3357)/100),TC!$5:$37,DAY(C3357)+2,FALSE),VLOOKUP(E3357,Equivalencia!$5:$23,((MAX(Equivalencia!$3:$3)-YEAR(C3357))*14)+MONTH(C3357)+2,FALSE)))</f>
        <v>0</v>
      </c>
      <c r="J3357" s="178">
        <f t="shared" si="275"/>
        <v>0</v>
      </c>
      <c r="K3357" s="462">
        <f>IF(C3357=0,0,VLOOKUP(YEAR(C3357),INPC!$B$4:$O$29,MONTH(C3357)+1))</f>
        <v>0</v>
      </c>
      <c r="L3357" s="462">
        <f>IF(S3357=0,0,VLOOKUP(YEAR(S3357),INPC!$B$4:$O$29,MONTH(S3357)+1))</f>
        <v>0</v>
      </c>
      <c r="M3357" s="463">
        <f t="shared" si="276"/>
        <v>0</v>
      </c>
      <c r="N3357" s="465">
        <f t="shared" si="277"/>
        <v>0</v>
      </c>
      <c r="O3357" s="179"/>
      <c r="P3357" s="180"/>
      <c r="Q3357" s="173"/>
      <c r="R3357" s="173"/>
      <c r="S3357" s="174"/>
      <c r="T3357" s="173"/>
      <c r="U3357" s="182"/>
      <c r="V3357" s="177">
        <f>IF(U3357=0,0,IF(T3357="MXN",1/HLOOKUP(YEAR(S3357)+(MONTH(S3357)/100),TC!$5:$37,DAY(S3357)+2,FALSE),VLOOKUP(T3357,Equivalencia!$1:$23,((MAX(Equivalencia!$3:$3)-YEAR(S3357))*14)+MONTH(S3357)+2,FALSE)))</f>
        <v>0</v>
      </c>
      <c r="W3357" s="178">
        <f t="shared" si="278"/>
        <v>0</v>
      </c>
      <c r="X3357" s="481">
        <f t="shared" si="279"/>
        <v>0</v>
      </c>
      <c r="Y3357" s="179"/>
      <c r="Z3357" s="466">
        <f t="shared" si="280"/>
        <v>0</v>
      </c>
      <c r="AA3357" s="473">
        <f t="shared" si="281"/>
        <v>0</v>
      </c>
      <c r="AB3357" s="339">
        <f t="shared" si="282"/>
        <v>0</v>
      </c>
    </row>
    <row r="3358" spans="2:28" ht="20.100000000000001" customHeight="1">
      <c r="B3358" s="172"/>
      <c r="C3358" s="174"/>
      <c r="D3358" s="181"/>
      <c r="E3358" s="173"/>
      <c r="F3358" s="176"/>
      <c r="G3358" s="175">
        <f t="shared" si="273"/>
        <v>0</v>
      </c>
      <c r="H3358" s="175">
        <f t="shared" si="274"/>
        <v>0</v>
      </c>
      <c r="I3358" s="177">
        <f>IF(G3358=0,0,IF(E3358="MXN",1/HLOOKUP(YEAR(C3358)+(MONTH(C3358)/100),TC!$5:$37,DAY(C3358)+2,FALSE),VLOOKUP(E3358,Equivalencia!$5:$23,((MAX(Equivalencia!$3:$3)-YEAR(C3358))*14)+MONTH(C3358)+2,FALSE)))</f>
        <v>0</v>
      </c>
      <c r="J3358" s="178">
        <f t="shared" si="275"/>
        <v>0</v>
      </c>
      <c r="K3358" s="462">
        <f>IF(C3358=0,0,VLOOKUP(YEAR(C3358),INPC!$B$4:$O$29,MONTH(C3358)+1))</f>
        <v>0</v>
      </c>
      <c r="L3358" s="462">
        <f>IF(S3358=0,0,VLOOKUP(YEAR(S3358),INPC!$B$4:$O$29,MONTH(S3358)+1))</f>
        <v>0</v>
      </c>
      <c r="M3358" s="463">
        <f t="shared" si="276"/>
        <v>0</v>
      </c>
      <c r="N3358" s="465">
        <f t="shared" si="277"/>
        <v>0</v>
      </c>
      <c r="O3358" s="179"/>
      <c r="P3358" s="180"/>
      <c r="Q3358" s="173"/>
      <c r="R3358" s="173"/>
      <c r="S3358" s="174"/>
      <c r="T3358" s="173"/>
      <c r="U3358" s="182"/>
      <c r="V3358" s="177">
        <f>IF(U3358=0,0,IF(T3358="MXN",1/HLOOKUP(YEAR(S3358)+(MONTH(S3358)/100),TC!$5:$37,DAY(S3358)+2,FALSE),VLOOKUP(T3358,Equivalencia!$1:$23,((MAX(Equivalencia!$3:$3)-YEAR(S3358))*14)+MONTH(S3358)+2,FALSE)))</f>
        <v>0</v>
      </c>
      <c r="W3358" s="178">
        <f t="shared" si="278"/>
        <v>0</v>
      </c>
      <c r="X3358" s="481">
        <f t="shared" si="279"/>
        <v>0</v>
      </c>
      <c r="Y3358" s="179"/>
      <c r="Z3358" s="466">
        <f t="shared" si="280"/>
        <v>0</v>
      </c>
      <c r="AA3358" s="473">
        <f t="shared" si="281"/>
        <v>0</v>
      </c>
      <c r="AB3358" s="339">
        <f t="shared" si="282"/>
        <v>0</v>
      </c>
    </row>
    <row r="3359" spans="2:28" ht="20.100000000000001" customHeight="1">
      <c r="B3359" s="172"/>
      <c r="C3359" s="174"/>
      <c r="D3359" s="181"/>
      <c r="E3359" s="173"/>
      <c r="F3359" s="176"/>
      <c r="G3359" s="175">
        <f t="shared" si="273"/>
        <v>0</v>
      </c>
      <c r="H3359" s="175">
        <f t="shared" si="274"/>
        <v>0</v>
      </c>
      <c r="I3359" s="177">
        <f>IF(G3359=0,0,IF(E3359="MXN",1/HLOOKUP(YEAR(C3359)+(MONTH(C3359)/100),TC!$5:$37,DAY(C3359)+2,FALSE),VLOOKUP(E3359,Equivalencia!$5:$23,((MAX(Equivalencia!$3:$3)-YEAR(C3359))*14)+MONTH(C3359)+2,FALSE)))</f>
        <v>0</v>
      </c>
      <c r="J3359" s="178">
        <f t="shared" si="275"/>
        <v>0</v>
      </c>
      <c r="K3359" s="462">
        <f>IF(C3359=0,0,VLOOKUP(YEAR(C3359),INPC!$B$4:$O$29,MONTH(C3359)+1))</f>
        <v>0</v>
      </c>
      <c r="L3359" s="462">
        <f>IF(S3359=0,0,VLOOKUP(YEAR(S3359),INPC!$B$4:$O$29,MONTH(S3359)+1))</f>
        <v>0</v>
      </c>
      <c r="M3359" s="463">
        <f t="shared" si="276"/>
        <v>0</v>
      </c>
      <c r="N3359" s="465">
        <f t="shared" si="277"/>
        <v>0</v>
      </c>
      <c r="O3359" s="179"/>
      <c r="P3359" s="180"/>
      <c r="Q3359" s="173"/>
      <c r="R3359" s="173"/>
      <c r="S3359" s="174"/>
      <c r="T3359" s="173"/>
      <c r="U3359" s="182"/>
      <c r="V3359" s="177">
        <f>IF(U3359=0,0,IF(T3359="MXN",1/HLOOKUP(YEAR(S3359)+(MONTH(S3359)/100),TC!$5:$37,DAY(S3359)+2,FALSE),VLOOKUP(T3359,Equivalencia!$1:$23,((MAX(Equivalencia!$3:$3)-YEAR(S3359))*14)+MONTH(S3359)+2,FALSE)))</f>
        <v>0</v>
      </c>
      <c r="W3359" s="178">
        <f t="shared" si="278"/>
        <v>0</v>
      </c>
      <c r="X3359" s="481">
        <f t="shared" si="279"/>
        <v>0</v>
      </c>
      <c r="Y3359" s="179"/>
      <c r="Z3359" s="466">
        <f t="shared" si="280"/>
        <v>0</v>
      </c>
      <c r="AA3359" s="473">
        <f t="shared" si="281"/>
        <v>0</v>
      </c>
      <c r="AB3359" s="339">
        <f t="shared" si="282"/>
        <v>0</v>
      </c>
    </row>
    <row r="3360" spans="2:28" ht="20.100000000000001" customHeight="1">
      <c r="B3360" s="172"/>
      <c r="C3360" s="174"/>
      <c r="D3360" s="181"/>
      <c r="E3360" s="173"/>
      <c r="F3360" s="176"/>
      <c r="G3360" s="175">
        <f t="shared" si="273"/>
        <v>0</v>
      </c>
      <c r="H3360" s="175">
        <f t="shared" si="274"/>
        <v>0</v>
      </c>
      <c r="I3360" s="177">
        <f>IF(G3360=0,0,IF(E3360="MXN",1/HLOOKUP(YEAR(C3360)+(MONTH(C3360)/100),TC!$5:$37,DAY(C3360)+2,FALSE),VLOOKUP(E3360,Equivalencia!$5:$23,((MAX(Equivalencia!$3:$3)-YEAR(C3360))*14)+MONTH(C3360)+2,FALSE)))</f>
        <v>0</v>
      </c>
      <c r="J3360" s="178">
        <f t="shared" si="275"/>
        <v>0</v>
      </c>
      <c r="K3360" s="462">
        <f>IF(C3360=0,0,VLOOKUP(YEAR(C3360),INPC!$B$4:$O$29,MONTH(C3360)+1))</f>
        <v>0</v>
      </c>
      <c r="L3360" s="462">
        <f>IF(S3360=0,0,VLOOKUP(YEAR(S3360),INPC!$B$4:$O$29,MONTH(S3360)+1))</f>
        <v>0</v>
      </c>
      <c r="M3360" s="463">
        <f t="shared" si="276"/>
        <v>0</v>
      </c>
      <c r="N3360" s="465">
        <f t="shared" si="277"/>
        <v>0</v>
      </c>
      <c r="O3360" s="179"/>
      <c r="P3360" s="180"/>
      <c r="Q3360" s="173"/>
      <c r="R3360" s="173"/>
      <c r="S3360" s="174"/>
      <c r="T3360" s="173"/>
      <c r="U3360" s="182"/>
      <c r="V3360" s="177">
        <f>IF(U3360=0,0,IF(T3360="MXN",1/HLOOKUP(YEAR(S3360)+(MONTH(S3360)/100),TC!$5:$37,DAY(S3360)+2,FALSE),VLOOKUP(T3360,Equivalencia!$1:$23,((MAX(Equivalencia!$3:$3)-YEAR(S3360))*14)+MONTH(S3360)+2,FALSE)))</f>
        <v>0</v>
      </c>
      <c r="W3360" s="178">
        <f t="shared" si="278"/>
        <v>0</v>
      </c>
      <c r="X3360" s="481">
        <f t="shared" si="279"/>
        <v>0</v>
      </c>
      <c r="Y3360" s="179"/>
      <c r="Z3360" s="466">
        <f t="shared" si="280"/>
        <v>0</v>
      </c>
      <c r="AA3360" s="473">
        <f t="shared" si="281"/>
        <v>0</v>
      </c>
      <c r="AB3360" s="339">
        <f t="shared" si="282"/>
        <v>0</v>
      </c>
    </row>
    <row r="3361" spans="2:28" ht="20.100000000000001" customHeight="1">
      <c r="B3361" s="172"/>
      <c r="C3361" s="174"/>
      <c r="D3361" s="181"/>
      <c r="E3361" s="173"/>
      <c r="F3361" s="176"/>
      <c r="G3361" s="175">
        <f t="shared" si="273"/>
        <v>0</v>
      </c>
      <c r="H3361" s="175">
        <f t="shared" si="274"/>
        <v>0</v>
      </c>
      <c r="I3361" s="177">
        <f>IF(G3361=0,0,IF(E3361="MXN",1/HLOOKUP(YEAR(C3361)+(MONTH(C3361)/100),TC!$5:$37,DAY(C3361)+2,FALSE),VLOOKUP(E3361,Equivalencia!$5:$23,((MAX(Equivalencia!$3:$3)-YEAR(C3361))*14)+MONTH(C3361)+2,FALSE)))</f>
        <v>0</v>
      </c>
      <c r="J3361" s="178">
        <f t="shared" si="275"/>
        <v>0</v>
      </c>
      <c r="K3361" s="462">
        <f>IF(C3361=0,0,VLOOKUP(YEAR(C3361),INPC!$B$4:$O$29,MONTH(C3361)+1))</f>
        <v>0</v>
      </c>
      <c r="L3361" s="462">
        <f>IF(S3361=0,0,VLOOKUP(YEAR(S3361),INPC!$B$4:$O$29,MONTH(S3361)+1))</f>
        <v>0</v>
      </c>
      <c r="M3361" s="463">
        <f t="shared" si="276"/>
        <v>0</v>
      </c>
      <c r="N3361" s="465">
        <f t="shared" si="277"/>
        <v>0</v>
      </c>
      <c r="O3361" s="179"/>
      <c r="P3361" s="180"/>
      <c r="Q3361" s="173"/>
      <c r="R3361" s="173"/>
      <c r="S3361" s="174"/>
      <c r="T3361" s="173"/>
      <c r="U3361" s="182"/>
      <c r="V3361" s="177">
        <f>IF(U3361=0,0,IF(T3361="MXN",1/HLOOKUP(YEAR(S3361)+(MONTH(S3361)/100),TC!$5:$37,DAY(S3361)+2,FALSE),VLOOKUP(T3361,Equivalencia!$1:$23,((MAX(Equivalencia!$3:$3)-YEAR(S3361))*14)+MONTH(S3361)+2,FALSE)))</f>
        <v>0</v>
      </c>
      <c r="W3361" s="178">
        <f t="shared" si="278"/>
        <v>0</v>
      </c>
      <c r="X3361" s="481">
        <f t="shared" si="279"/>
        <v>0</v>
      </c>
      <c r="Y3361" s="179"/>
      <c r="Z3361" s="466">
        <f t="shared" si="280"/>
        <v>0</v>
      </c>
      <c r="AA3361" s="473">
        <f t="shared" si="281"/>
        <v>0</v>
      </c>
      <c r="AB3361" s="339">
        <f t="shared" si="282"/>
        <v>0</v>
      </c>
    </row>
    <row r="3362" spans="2:28" ht="20.100000000000001" customHeight="1">
      <c r="B3362" s="172"/>
      <c r="C3362" s="174"/>
      <c r="D3362" s="181"/>
      <c r="E3362" s="173"/>
      <c r="F3362" s="176"/>
      <c r="G3362" s="175">
        <f t="shared" si="273"/>
        <v>0</v>
      </c>
      <c r="H3362" s="175">
        <f t="shared" si="274"/>
        <v>0</v>
      </c>
      <c r="I3362" s="177">
        <f>IF(G3362=0,0,IF(E3362="MXN",1/HLOOKUP(YEAR(C3362)+(MONTH(C3362)/100),TC!$5:$37,DAY(C3362)+2,FALSE),VLOOKUP(E3362,Equivalencia!$5:$23,((MAX(Equivalencia!$3:$3)-YEAR(C3362))*14)+MONTH(C3362)+2,FALSE)))</f>
        <v>0</v>
      </c>
      <c r="J3362" s="178">
        <f t="shared" si="275"/>
        <v>0</v>
      </c>
      <c r="K3362" s="462">
        <f>IF(C3362=0,0,VLOOKUP(YEAR(C3362),INPC!$B$4:$O$29,MONTH(C3362)+1))</f>
        <v>0</v>
      </c>
      <c r="L3362" s="462">
        <f>IF(S3362=0,0,VLOOKUP(YEAR(S3362),INPC!$B$4:$O$29,MONTH(S3362)+1))</f>
        <v>0</v>
      </c>
      <c r="M3362" s="463">
        <f t="shared" si="276"/>
        <v>0</v>
      </c>
      <c r="N3362" s="465">
        <f t="shared" si="277"/>
        <v>0</v>
      </c>
      <c r="O3362" s="179"/>
      <c r="P3362" s="180"/>
      <c r="Q3362" s="173"/>
      <c r="R3362" s="173"/>
      <c r="S3362" s="174"/>
      <c r="T3362" s="173"/>
      <c r="U3362" s="182"/>
      <c r="V3362" s="177">
        <f>IF(U3362=0,0,IF(T3362="MXN",1/HLOOKUP(YEAR(S3362)+(MONTH(S3362)/100),TC!$5:$37,DAY(S3362)+2,FALSE),VLOOKUP(T3362,Equivalencia!$1:$23,((MAX(Equivalencia!$3:$3)-YEAR(S3362))*14)+MONTH(S3362)+2,FALSE)))</f>
        <v>0</v>
      </c>
      <c r="W3362" s="178">
        <f t="shared" si="278"/>
        <v>0</v>
      </c>
      <c r="X3362" s="481">
        <f t="shared" si="279"/>
        <v>0</v>
      </c>
      <c r="Y3362" s="179"/>
      <c r="Z3362" s="466">
        <f t="shared" si="280"/>
        <v>0</v>
      </c>
      <c r="AA3362" s="473">
        <f t="shared" si="281"/>
        <v>0</v>
      </c>
      <c r="AB3362" s="339">
        <f t="shared" si="282"/>
        <v>0</v>
      </c>
    </row>
    <row r="3363" spans="2:28" ht="20.100000000000001" customHeight="1">
      <c r="B3363" s="172"/>
      <c r="C3363" s="174"/>
      <c r="D3363" s="181"/>
      <c r="E3363" s="173"/>
      <c r="F3363" s="176"/>
      <c r="G3363" s="175">
        <f t="shared" si="273"/>
        <v>0</v>
      </c>
      <c r="H3363" s="175">
        <f t="shared" si="274"/>
        <v>0</v>
      </c>
      <c r="I3363" s="177">
        <f>IF(G3363=0,0,IF(E3363="MXN",1/HLOOKUP(YEAR(C3363)+(MONTH(C3363)/100),TC!$5:$37,DAY(C3363)+2,FALSE),VLOOKUP(E3363,Equivalencia!$5:$23,((MAX(Equivalencia!$3:$3)-YEAR(C3363))*14)+MONTH(C3363)+2,FALSE)))</f>
        <v>0</v>
      </c>
      <c r="J3363" s="178">
        <f t="shared" si="275"/>
        <v>0</v>
      </c>
      <c r="K3363" s="462">
        <f>IF(C3363=0,0,VLOOKUP(YEAR(C3363),INPC!$B$4:$O$29,MONTH(C3363)+1))</f>
        <v>0</v>
      </c>
      <c r="L3363" s="462">
        <f>IF(S3363=0,0,VLOOKUP(YEAR(S3363),INPC!$B$4:$O$29,MONTH(S3363)+1))</f>
        <v>0</v>
      </c>
      <c r="M3363" s="463">
        <f t="shared" si="276"/>
        <v>0</v>
      </c>
      <c r="N3363" s="465">
        <f t="shared" si="277"/>
        <v>0</v>
      </c>
      <c r="O3363" s="179"/>
      <c r="P3363" s="180"/>
      <c r="Q3363" s="173"/>
      <c r="R3363" s="173"/>
      <c r="S3363" s="174"/>
      <c r="T3363" s="173"/>
      <c r="U3363" s="182"/>
      <c r="V3363" s="177">
        <f>IF(U3363=0,0,IF(T3363="MXN",1/HLOOKUP(YEAR(S3363)+(MONTH(S3363)/100),TC!$5:$37,DAY(S3363)+2,FALSE),VLOOKUP(T3363,Equivalencia!$1:$23,((MAX(Equivalencia!$3:$3)-YEAR(S3363))*14)+MONTH(S3363)+2,FALSE)))</f>
        <v>0</v>
      </c>
      <c r="W3363" s="178">
        <f t="shared" si="278"/>
        <v>0</v>
      </c>
      <c r="X3363" s="481">
        <f t="shared" si="279"/>
        <v>0</v>
      </c>
      <c r="Y3363" s="179"/>
      <c r="Z3363" s="466">
        <f t="shared" si="280"/>
        <v>0</v>
      </c>
      <c r="AA3363" s="473">
        <f t="shared" si="281"/>
        <v>0</v>
      </c>
      <c r="AB3363" s="339">
        <f t="shared" si="282"/>
        <v>0</v>
      </c>
    </row>
    <row r="3364" spans="2:28" ht="20.100000000000001" customHeight="1">
      <c r="B3364" s="172"/>
      <c r="C3364" s="174"/>
      <c r="D3364" s="181"/>
      <c r="E3364" s="173"/>
      <c r="F3364" s="176"/>
      <c r="G3364" s="175">
        <f t="shared" si="273"/>
        <v>0</v>
      </c>
      <c r="H3364" s="175">
        <f t="shared" si="274"/>
        <v>0</v>
      </c>
      <c r="I3364" s="177">
        <f>IF(G3364=0,0,IF(E3364="MXN",1/HLOOKUP(YEAR(C3364)+(MONTH(C3364)/100),TC!$5:$37,DAY(C3364)+2,FALSE),VLOOKUP(E3364,Equivalencia!$5:$23,((MAX(Equivalencia!$3:$3)-YEAR(C3364))*14)+MONTH(C3364)+2,FALSE)))</f>
        <v>0</v>
      </c>
      <c r="J3364" s="178">
        <f t="shared" si="275"/>
        <v>0</v>
      </c>
      <c r="K3364" s="462">
        <f>IF(C3364=0,0,VLOOKUP(YEAR(C3364),INPC!$B$4:$O$29,MONTH(C3364)+1))</f>
        <v>0</v>
      </c>
      <c r="L3364" s="462">
        <f>IF(S3364=0,0,VLOOKUP(YEAR(S3364),INPC!$B$4:$O$29,MONTH(S3364)+1))</f>
        <v>0</v>
      </c>
      <c r="M3364" s="463">
        <f t="shared" si="276"/>
        <v>0</v>
      </c>
      <c r="N3364" s="465">
        <f t="shared" si="277"/>
        <v>0</v>
      </c>
      <c r="O3364" s="179"/>
      <c r="P3364" s="180"/>
      <c r="Q3364" s="173"/>
      <c r="R3364" s="173"/>
      <c r="S3364" s="174"/>
      <c r="T3364" s="173"/>
      <c r="U3364" s="182"/>
      <c r="V3364" s="177">
        <f>IF(U3364=0,0,IF(T3364="MXN",1/HLOOKUP(YEAR(S3364)+(MONTH(S3364)/100),TC!$5:$37,DAY(S3364)+2,FALSE),VLOOKUP(T3364,Equivalencia!$1:$23,((MAX(Equivalencia!$3:$3)-YEAR(S3364))*14)+MONTH(S3364)+2,FALSE)))</f>
        <v>0</v>
      </c>
      <c r="W3364" s="178">
        <f t="shared" si="278"/>
        <v>0</v>
      </c>
      <c r="X3364" s="481">
        <f t="shared" si="279"/>
        <v>0</v>
      </c>
      <c r="Y3364" s="179"/>
      <c r="Z3364" s="466">
        <f t="shared" si="280"/>
        <v>0</v>
      </c>
      <c r="AA3364" s="473">
        <f t="shared" si="281"/>
        <v>0</v>
      </c>
      <c r="AB3364" s="339">
        <f t="shared" si="282"/>
        <v>0</v>
      </c>
    </row>
    <row r="3365" spans="2:28" ht="20.100000000000001" customHeight="1">
      <c r="B3365" s="172"/>
      <c r="C3365" s="174"/>
      <c r="D3365" s="181"/>
      <c r="E3365" s="173"/>
      <c r="F3365" s="176"/>
      <c r="G3365" s="175">
        <f t="shared" si="273"/>
        <v>0</v>
      </c>
      <c r="H3365" s="175">
        <f t="shared" si="274"/>
        <v>0</v>
      </c>
      <c r="I3365" s="177">
        <f>IF(G3365=0,0,IF(E3365="MXN",1/HLOOKUP(YEAR(C3365)+(MONTH(C3365)/100),TC!$5:$37,DAY(C3365)+2,FALSE),VLOOKUP(E3365,Equivalencia!$5:$23,((MAX(Equivalencia!$3:$3)-YEAR(C3365))*14)+MONTH(C3365)+2,FALSE)))</f>
        <v>0</v>
      </c>
      <c r="J3365" s="178">
        <f t="shared" si="275"/>
        <v>0</v>
      </c>
      <c r="K3365" s="462">
        <f>IF(C3365=0,0,VLOOKUP(YEAR(C3365),INPC!$B$4:$O$29,MONTH(C3365)+1))</f>
        <v>0</v>
      </c>
      <c r="L3365" s="462">
        <f>IF(S3365=0,0,VLOOKUP(YEAR(S3365),INPC!$B$4:$O$29,MONTH(S3365)+1))</f>
        <v>0</v>
      </c>
      <c r="M3365" s="463">
        <f t="shared" si="276"/>
        <v>0</v>
      </c>
      <c r="N3365" s="465">
        <f t="shared" si="277"/>
        <v>0</v>
      </c>
      <c r="O3365" s="179"/>
      <c r="P3365" s="180"/>
      <c r="Q3365" s="173"/>
      <c r="R3365" s="173"/>
      <c r="S3365" s="174"/>
      <c r="T3365" s="173"/>
      <c r="U3365" s="182"/>
      <c r="V3365" s="177">
        <f>IF(U3365=0,0,IF(T3365="MXN",1/HLOOKUP(YEAR(S3365)+(MONTH(S3365)/100),TC!$5:$37,DAY(S3365)+2,FALSE),VLOOKUP(T3365,Equivalencia!$1:$23,((MAX(Equivalencia!$3:$3)-YEAR(S3365))*14)+MONTH(S3365)+2,FALSE)))</f>
        <v>0</v>
      </c>
      <c r="W3365" s="178">
        <f t="shared" si="278"/>
        <v>0</v>
      </c>
      <c r="X3365" s="481">
        <f t="shared" si="279"/>
        <v>0</v>
      </c>
      <c r="Y3365" s="179"/>
      <c r="Z3365" s="466">
        <f t="shared" si="280"/>
        <v>0</v>
      </c>
      <c r="AA3365" s="473">
        <f t="shared" si="281"/>
        <v>0</v>
      </c>
      <c r="AB3365" s="339">
        <f t="shared" si="282"/>
        <v>0</v>
      </c>
    </row>
    <row r="3366" spans="2:28" ht="20.100000000000001" customHeight="1">
      <c r="B3366" s="172"/>
      <c r="C3366" s="174"/>
      <c r="D3366" s="181"/>
      <c r="E3366" s="173"/>
      <c r="F3366" s="176"/>
      <c r="G3366" s="175">
        <f t="shared" si="273"/>
        <v>0</v>
      </c>
      <c r="H3366" s="175">
        <f t="shared" si="274"/>
        <v>0</v>
      </c>
      <c r="I3366" s="177">
        <f>IF(G3366=0,0,IF(E3366="MXN",1/HLOOKUP(YEAR(C3366)+(MONTH(C3366)/100),TC!$5:$37,DAY(C3366)+2,FALSE),VLOOKUP(E3366,Equivalencia!$5:$23,((MAX(Equivalencia!$3:$3)-YEAR(C3366))*14)+MONTH(C3366)+2,FALSE)))</f>
        <v>0</v>
      </c>
      <c r="J3366" s="178">
        <f t="shared" si="275"/>
        <v>0</v>
      </c>
      <c r="K3366" s="462">
        <f>IF(C3366=0,0,VLOOKUP(YEAR(C3366),INPC!$B$4:$O$29,MONTH(C3366)+1))</f>
        <v>0</v>
      </c>
      <c r="L3366" s="462">
        <f>IF(S3366=0,0,VLOOKUP(YEAR(S3366),INPC!$B$4:$O$29,MONTH(S3366)+1))</f>
        <v>0</v>
      </c>
      <c r="M3366" s="463">
        <f t="shared" si="276"/>
        <v>0</v>
      </c>
      <c r="N3366" s="465">
        <f t="shared" si="277"/>
        <v>0</v>
      </c>
      <c r="O3366" s="179"/>
      <c r="P3366" s="180"/>
      <c r="Q3366" s="173"/>
      <c r="R3366" s="173"/>
      <c r="S3366" s="174"/>
      <c r="T3366" s="173"/>
      <c r="U3366" s="182"/>
      <c r="V3366" s="177">
        <f>IF(U3366=0,0,IF(T3366="MXN",1/HLOOKUP(YEAR(S3366)+(MONTH(S3366)/100),TC!$5:$37,DAY(S3366)+2,FALSE),VLOOKUP(T3366,Equivalencia!$1:$23,((MAX(Equivalencia!$3:$3)-YEAR(S3366))*14)+MONTH(S3366)+2,FALSE)))</f>
        <v>0</v>
      </c>
      <c r="W3366" s="178">
        <f t="shared" si="278"/>
        <v>0</v>
      </c>
      <c r="X3366" s="481">
        <f t="shared" si="279"/>
        <v>0</v>
      </c>
      <c r="Y3366" s="179"/>
      <c r="Z3366" s="466">
        <f t="shared" si="280"/>
        <v>0</v>
      </c>
      <c r="AA3366" s="473">
        <f t="shared" si="281"/>
        <v>0</v>
      </c>
      <c r="AB3366" s="339">
        <f t="shared" si="282"/>
        <v>0</v>
      </c>
    </row>
    <row r="3367" spans="2:28" ht="20.100000000000001" customHeight="1">
      <c r="B3367" s="172"/>
      <c r="C3367" s="174"/>
      <c r="D3367" s="181"/>
      <c r="E3367" s="173"/>
      <c r="F3367" s="176"/>
      <c r="G3367" s="175">
        <f t="shared" si="273"/>
        <v>0</v>
      </c>
      <c r="H3367" s="175">
        <f t="shared" si="274"/>
        <v>0</v>
      </c>
      <c r="I3367" s="177">
        <f>IF(G3367=0,0,IF(E3367="MXN",1/HLOOKUP(YEAR(C3367)+(MONTH(C3367)/100),TC!$5:$37,DAY(C3367)+2,FALSE),VLOOKUP(E3367,Equivalencia!$5:$23,((MAX(Equivalencia!$3:$3)-YEAR(C3367))*14)+MONTH(C3367)+2,FALSE)))</f>
        <v>0</v>
      </c>
      <c r="J3367" s="178">
        <f t="shared" si="275"/>
        <v>0</v>
      </c>
      <c r="K3367" s="462">
        <f>IF(C3367=0,0,VLOOKUP(YEAR(C3367),INPC!$B$4:$O$29,MONTH(C3367)+1))</f>
        <v>0</v>
      </c>
      <c r="L3367" s="462">
        <f>IF(S3367=0,0,VLOOKUP(YEAR(S3367),INPC!$B$4:$O$29,MONTH(S3367)+1))</f>
        <v>0</v>
      </c>
      <c r="M3367" s="463">
        <f t="shared" si="276"/>
        <v>0</v>
      </c>
      <c r="N3367" s="465">
        <f t="shared" si="277"/>
        <v>0</v>
      </c>
      <c r="O3367" s="179"/>
      <c r="P3367" s="180"/>
      <c r="Q3367" s="173"/>
      <c r="R3367" s="173"/>
      <c r="S3367" s="174"/>
      <c r="T3367" s="173"/>
      <c r="U3367" s="182"/>
      <c r="V3367" s="177">
        <f>IF(U3367=0,0,IF(T3367="MXN",1/HLOOKUP(YEAR(S3367)+(MONTH(S3367)/100),TC!$5:$37,DAY(S3367)+2,FALSE),VLOOKUP(T3367,Equivalencia!$1:$23,((MAX(Equivalencia!$3:$3)-YEAR(S3367))*14)+MONTH(S3367)+2,FALSE)))</f>
        <v>0</v>
      </c>
      <c r="W3367" s="178">
        <f t="shared" si="278"/>
        <v>0</v>
      </c>
      <c r="X3367" s="481">
        <f t="shared" si="279"/>
        <v>0</v>
      </c>
      <c r="Y3367" s="179"/>
      <c r="Z3367" s="466">
        <f t="shared" si="280"/>
        <v>0</v>
      </c>
      <c r="AA3367" s="473">
        <f t="shared" si="281"/>
        <v>0</v>
      </c>
      <c r="AB3367" s="339">
        <f t="shared" si="282"/>
        <v>0</v>
      </c>
    </row>
    <row r="3368" spans="2:28" ht="20.100000000000001" customHeight="1">
      <c r="B3368" s="172"/>
      <c r="C3368" s="174"/>
      <c r="D3368" s="181"/>
      <c r="E3368" s="173"/>
      <c r="F3368" s="176"/>
      <c r="G3368" s="175">
        <f t="shared" si="273"/>
        <v>0</v>
      </c>
      <c r="H3368" s="175">
        <f t="shared" si="274"/>
        <v>0</v>
      </c>
      <c r="I3368" s="177">
        <f>IF(G3368=0,0,IF(E3368="MXN",1/HLOOKUP(YEAR(C3368)+(MONTH(C3368)/100),TC!$5:$37,DAY(C3368)+2,FALSE),VLOOKUP(E3368,Equivalencia!$5:$23,((MAX(Equivalencia!$3:$3)-YEAR(C3368))*14)+MONTH(C3368)+2,FALSE)))</f>
        <v>0</v>
      </c>
      <c r="J3368" s="178">
        <f t="shared" si="275"/>
        <v>0</v>
      </c>
      <c r="K3368" s="462">
        <f>IF(C3368=0,0,VLOOKUP(YEAR(C3368),INPC!$B$4:$O$29,MONTH(C3368)+1))</f>
        <v>0</v>
      </c>
      <c r="L3368" s="462">
        <f>IF(S3368=0,0,VLOOKUP(YEAR(S3368),INPC!$B$4:$O$29,MONTH(S3368)+1))</f>
        <v>0</v>
      </c>
      <c r="M3368" s="463">
        <f t="shared" si="276"/>
        <v>0</v>
      </c>
      <c r="N3368" s="465">
        <f t="shared" si="277"/>
        <v>0</v>
      </c>
      <c r="O3368" s="179"/>
      <c r="P3368" s="180"/>
      <c r="Q3368" s="173"/>
      <c r="R3368" s="173"/>
      <c r="S3368" s="174"/>
      <c r="T3368" s="173"/>
      <c r="U3368" s="182"/>
      <c r="V3368" s="177">
        <f>IF(U3368=0,0,IF(T3368="MXN",1/HLOOKUP(YEAR(S3368)+(MONTH(S3368)/100),TC!$5:$37,DAY(S3368)+2,FALSE),VLOOKUP(T3368,Equivalencia!$1:$23,((MAX(Equivalencia!$3:$3)-YEAR(S3368))*14)+MONTH(S3368)+2,FALSE)))</f>
        <v>0</v>
      </c>
      <c r="W3368" s="178">
        <f t="shared" si="278"/>
        <v>0</v>
      </c>
      <c r="X3368" s="481">
        <f t="shared" si="279"/>
        <v>0</v>
      </c>
      <c r="Y3368" s="179"/>
      <c r="Z3368" s="466">
        <f t="shared" si="280"/>
        <v>0</v>
      </c>
      <c r="AA3368" s="473">
        <f t="shared" si="281"/>
        <v>0</v>
      </c>
      <c r="AB3368" s="339">
        <f t="shared" si="282"/>
        <v>0</v>
      </c>
    </row>
    <row r="3369" spans="2:28" ht="20.100000000000001" customHeight="1">
      <c r="B3369" s="172"/>
      <c r="C3369" s="174"/>
      <c r="D3369" s="181"/>
      <c r="E3369" s="173"/>
      <c r="F3369" s="176"/>
      <c r="G3369" s="175">
        <f t="shared" si="273"/>
        <v>0</v>
      </c>
      <c r="H3369" s="175">
        <f t="shared" si="274"/>
        <v>0</v>
      </c>
      <c r="I3369" s="177">
        <f>IF(G3369=0,0,IF(E3369="MXN",1/HLOOKUP(YEAR(C3369)+(MONTH(C3369)/100),TC!$5:$37,DAY(C3369)+2,FALSE),VLOOKUP(E3369,Equivalencia!$5:$23,((MAX(Equivalencia!$3:$3)-YEAR(C3369))*14)+MONTH(C3369)+2,FALSE)))</f>
        <v>0</v>
      </c>
      <c r="J3369" s="178">
        <f t="shared" si="275"/>
        <v>0</v>
      </c>
      <c r="K3369" s="462">
        <f>IF(C3369=0,0,VLOOKUP(YEAR(C3369),INPC!$B$4:$O$29,MONTH(C3369)+1))</f>
        <v>0</v>
      </c>
      <c r="L3369" s="462">
        <f>IF(S3369=0,0,VLOOKUP(YEAR(S3369),INPC!$B$4:$O$29,MONTH(S3369)+1))</f>
        <v>0</v>
      </c>
      <c r="M3369" s="463">
        <f t="shared" si="276"/>
        <v>0</v>
      </c>
      <c r="N3369" s="465">
        <f t="shared" si="277"/>
        <v>0</v>
      </c>
      <c r="O3369" s="179"/>
      <c r="P3369" s="180"/>
      <c r="Q3369" s="173"/>
      <c r="R3369" s="173"/>
      <c r="S3369" s="174"/>
      <c r="T3369" s="173"/>
      <c r="U3369" s="182"/>
      <c r="V3369" s="177">
        <f>IF(U3369=0,0,IF(T3369="MXN",1/HLOOKUP(YEAR(S3369)+(MONTH(S3369)/100),TC!$5:$37,DAY(S3369)+2,FALSE),VLOOKUP(T3369,Equivalencia!$1:$23,((MAX(Equivalencia!$3:$3)-YEAR(S3369))*14)+MONTH(S3369)+2,FALSE)))</f>
        <v>0</v>
      </c>
      <c r="W3369" s="178">
        <f t="shared" si="278"/>
        <v>0</v>
      </c>
      <c r="X3369" s="481">
        <f t="shared" si="279"/>
        <v>0</v>
      </c>
      <c r="Y3369" s="179"/>
      <c r="Z3369" s="466">
        <f t="shared" si="280"/>
        <v>0</v>
      </c>
      <c r="AA3369" s="473">
        <f t="shared" si="281"/>
        <v>0</v>
      </c>
      <c r="AB3369" s="339">
        <f t="shared" si="282"/>
        <v>0</v>
      </c>
    </row>
    <row r="3370" spans="2:28" ht="20.100000000000001" customHeight="1">
      <c r="B3370" s="172"/>
      <c r="C3370" s="174"/>
      <c r="D3370" s="181"/>
      <c r="E3370" s="173"/>
      <c r="F3370" s="176"/>
      <c r="G3370" s="175">
        <f t="shared" si="273"/>
        <v>0</v>
      </c>
      <c r="H3370" s="175">
        <f t="shared" si="274"/>
        <v>0</v>
      </c>
      <c r="I3370" s="177">
        <f>IF(G3370=0,0,IF(E3370="MXN",1/HLOOKUP(YEAR(C3370)+(MONTH(C3370)/100),TC!$5:$37,DAY(C3370)+2,FALSE),VLOOKUP(E3370,Equivalencia!$5:$23,((MAX(Equivalencia!$3:$3)-YEAR(C3370))*14)+MONTH(C3370)+2,FALSE)))</f>
        <v>0</v>
      </c>
      <c r="J3370" s="178">
        <f t="shared" si="275"/>
        <v>0</v>
      </c>
      <c r="K3370" s="462">
        <f>IF(C3370=0,0,VLOOKUP(YEAR(C3370),INPC!$B$4:$O$29,MONTH(C3370)+1))</f>
        <v>0</v>
      </c>
      <c r="L3370" s="462">
        <f>IF(S3370=0,0,VLOOKUP(YEAR(S3370),INPC!$B$4:$O$29,MONTH(S3370)+1))</f>
        <v>0</v>
      </c>
      <c r="M3370" s="463">
        <f t="shared" si="276"/>
        <v>0</v>
      </c>
      <c r="N3370" s="465">
        <f t="shared" si="277"/>
        <v>0</v>
      </c>
      <c r="O3370" s="179"/>
      <c r="P3370" s="180"/>
      <c r="Q3370" s="173"/>
      <c r="R3370" s="173"/>
      <c r="S3370" s="174"/>
      <c r="T3370" s="173"/>
      <c r="U3370" s="182"/>
      <c r="V3370" s="177">
        <f>IF(U3370=0,0,IF(T3370="MXN",1/HLOOKUP(YEAR(S3370)+(MONTH(S3370)/100),TC!$5:$37,DAY(S3370)+2,FALSE),VLOOKUP(T3370,Equivalencia!$1:$23,((MAX(Equivalencia!$3:$3)-YEAR(S3370))*14)+MONTH(S3370)+2,FALSE)))</f>
        <v>0</v>
      </c>
      <c r="W3370" s="178">
        <f t="shared" si="278"/>
        <v>0</v>
      </c>
      <c r="X3370" s="481">
        <f t="shared" si="279"/>
        <v>0</v>
      </c>
      <c r="Y3370" s="179"/>
      <c r="Z3370" s="466">
        <f t="shared" si="280"/>
        <v>0</v>
      </c>
      <c r="AA3370" s="473">
        <f t="shared" si="281"/>
        <v>0</v>
      </c>
      <c r="AB3370" s="339">
        <f t="shared" si="282"/>
        <v>0</v>
      </c>
    </row>
    <row r="3371" spans="2:28" ht="20.100000000000001" customHeight="1">
      <c r="B3371" s="172"/>
      <c r="C3371" s="174"/>
      <c r="D3371" s="181"/>
      <c r="E3371" s="173"/>
      <c r="F3371" s="176"/>
      <c r="G3371" s="175">
        <f t="shared" si="273"/>
        <v>0</v>
      </c>
      <c r="H3371" s="175">
        <f t="shared" si="274"/>
        <v>0</v>
      </c>
      <c r="I3371" s="177">
        <f>IF(G3371=0,0,IF(E3371="MXN",1/HLOOKUP(YEAR(C3371)+(MONTH(C3371)/100),TC!$5:$37,DAY(C3371)+2,FALSE),VLOOKUP(E3371,Equivalencia!$5:$23,((MAX(Equivalencia!$3:$3)-YEAR(C3371))*14)+MONTH(C3371)+2,FALSE)))</f>
        <v>0</v>
      </c>
      <c r="J3371" s="178">
        <f t="shared" si="275"/>
        <v>0</v>
      </c>
      <c r="K3371" s="462">
        <f>IF(C3371=0,0,VLOOKUP(YEAR(C3371),INPC!$B$4:$O$29,MONTH(C3371)+1))</f>
        <v>0</v>
      </c>
      <c r="L3371" s="462">
        <f>IF(S3371=0,0,VLOOKUP(YEAR(S3371),INPC!$B$4:$O$29,MONTH(S3371)+1))</f>
        <v>0</v>
      </c>
      <c r="M3371" s="463">
        <f t="shared" si="276"/>
        <v>0</v>
      </c>
      <c r="N3371" s="465">
        <f t="shared" si="277"/>
        <v>0</v>
      </c>
      <c r="O3371" s="179"/>
      <c r="P3371" s="180"/>
      <c r="Q3371" s="173"/>
      <c r="R3371" s="173"/>
      <c r="S3371" s="174"/>
      <c r="T3371" s="173"/>
      <c r="U3371" s="182"/>
      <c r="V3371" s="177">
        <f>IF(U3371=0,0,IF(T3371="MXN",1/HLOOKUP(YEAR(S3371)+(MONTH(S3371)/100),TC!$5:$37,DAY(S3371)+2,FALSE),VLOOKUP(T3371,Equivalencia!$1:$23,((MAX(Equivalencia!$3:$3)-YEAR(S3371))*14)+MONTH(S3371)+2,FALSE)))</f>
        <v>0</v>
      </c>
      <c r="W3371" s="178">
        <f t="shared" si="278"/>
        <v>0</v>
      </c>
      <c r="X3371" s="481">
        <f t="shared" si="279"/>
        <v>0</v>
      </c>
      <c r="Y3371" s="179"/>
      <c r="Z3371" s="466">
        <f t="shared" si="280"/>
        <v>0</v>
      </c>
      <c r="AA3371" s="473">
        <f t="shared" si="281"/>
        <v>0</v>
      </c>
      <c r="AB3371" s="339">
        <f t="shared" si="282"/>
        <v>0</v>
      </c>
    </row>
    <row r="3372" spans="2:28" ht="20.100000000000001" customHeight="1">
      <c r="B3372" s="172"/>
      <c r="C3372" s="174"/>
      <c r="D3372" s="181"/>
      <c r="E3372" s="173"/>
      <c r="F3372" s="176"/>
      <c r="G3372" s="175">
        <f t="shared" si="273"/>
        <v>0</v>
      </c>
      <c r="H3372" s="175">
        <f t="shared" si="274"/>
        <v>0</v>
      </c>
      <c r="I3372" s="177">
        <f>IF(G3372=0,0,IF(E3372="MXN",1/HLOOKUP(YEAR(C3372)+(MONTH(C3372)/100),TC!$5:$37,DAY(C3372)+2,FALSE),VLOOKUP(E3372,Equivalencia!$5:$23,((MAX(Equivalencia!$3:$3)-YEAR(C3372))*14)+MONTH(C3372)+2,FALSE)))</f>
        <v>0</v>
      </c>
      <c r="J3372" s="178">
        <f t="shared" si="275"/>
        <v>0</v>
      </c>
      <c r="K3372" s="462">
        <f>IF(C3372=0,0,VLOOKUP(YEAR(C3372),INPC!$B$4:$O$29,MONTH(C3372)+1))</f>
        <v>0</v>
      </c>
      <c r="L3372" s="462">
        <f>IF(S3372=0,0,VLOOKUP(YEAR(S3372),INPC!$B$4:$O$29,MONTH(S3372)+1))</f>
        <v>0</v>
      </c>
      <c r="M3372" s="463">
        <f t="shared" si="276"/>
        <v>0</v>
      </c>
      <c r="N3372" s="465">
        <f t="shared" si="277"/>
        <v>0</v>
      </c>
      <c r="O3372" s="179"/>
      <c r="P3372" s="180"/>
      <c r="Q3372" s="173"/>
      <c r="R3372" s="173"/>
      <c r="S3372" s="174"/>
      <c r="T3372" s="173"/>
      <c r="U3372" s="182"/>
      <c r="V3372" s="177">
        <f>IF(U3372=0,0,IF(T3372="MXN",1/HLOOKUP(YEAR(S3372)+(MONTH(S3372)/100),TC!$5:$37,DAY(S3372)+2,FALSE),VLOOKUP(T3372,Equivalencia!$1:$23,((MAX(Equivalencia!$3:$3)-YEAR(S3372))*14)+MONTH(S3372)+2,FALSE)))</f>
        <v>0</v>
      </c>
      <c r="W3372" s="178">
        <f t="shared" si="278"/>
        <v>0</v>
      </c>
      <c r="X3372" s="481">
        <f t="shared" si="279"/>
        <v>0</v>
      </c>
      <c r="Y3372" s="179"/>
      <c r="Z3372" s="466">
        <f t="shared" si="280"/>
        <v>0</v>
      </c>
      <c r="AA3372" s="473">
        <f t="shared" si="281"/>
        <v>0</v>
      </c>
      <c r="AB3372" s="339">
        <f t="shared" si="282"/>
        <v>0</v>
      </c>
    </row>
    <row r="3373" spans="2:28" ht="20.100000000000001" customHeight="1">
      <c r="B3373" s="172"/>
      <c r="C3373" s="174"/>
      <c r="D3373" s="181"/>
      <c r="E3373" s="173"/>
      <c r="F3373" s="176"/>
      <c r="G3373" s="175">
        <f t="shared" si="273"/>
        <v>0</v>
      </c>
      <c r="H3373" s="175">
        <f t="shared" si="274"/>
        <v>0</v>
      </c>
      <c r="I3373" s="177">
        <f>IF(G3373=0,0,IF(E3373="MXN",1/HLOOKUP(YEAR(C3373)+(MONTH(C3373)/100),TC!$5:$37,DAY(C3373)+2,FALSE),VLOOKUP(E3373,Equivalencia!$5:$23,((MAX(Equivalencia!$3:$3)-YEAR(C3373))*14)+MONTH(C3373)+2,FALSE)))</f>
        <v>0</v>
      </c>
      <c r="J3373" s="178">
        <f t="shared" si="275"/>
        <v>0</v>
      </c>
      <c r="K3373" s="462">
        <f>IF(C3373=0,0,VLOOKUP(YEAR(C3373),INPC!$B$4:$O$29,MONTH(C3373)+1))</f>
        <v>0</v>
      </c>
      <c r="L3373" s="462">
        <f>IF(S3373=0,0,VLOOKUP(YEAR(S3373),INPC!$B$4:$O$29,MONTH(S3373)+1))</f>
        <v>0</v>
      </c>
      <c r="M3373" s="463">
        <f t="shared" si="276"/>
        <v>0</v>
      </c>
      <c r="N3373" s="465">
        <f t="shared" si="277"/>
        <v>0</v>
      </c>
      <c r="O3373" s="179"/>
      <c r="P3373" s="180"/>
      <c r="Q3373" s="173"/>
      <c r="R3373" s="173"/>
      <c r="S3373" s="174"/>
      <c r="T3373" s="173"/>
      <c r="U3373" s="182"/>
      <c r="V3373" s="177">
        <f>IF(U3373=0,0,IF(T3373="MXN",1/HLOOKUP(YEAR(S3373)+(MONTH(S3373)/100),TC!$5:$37,DAY(S3373)+2,FALSE),VLOOKUP(T3373,Equivalencia!$1:$23,((MAX(Equivalencia!$3:$3)-YEAR(S3373))*14)+MONTH(S3373)+2,FALSE)))</f>
        <v>0</v>
      </c>
      <c r="W3373" s="178">
        <f t="shared" si="278"/>
        <v>0</v>
      </c>
      <c r="X3373" s="481">
        <f t="shared" si="279"/>
        <v>0</v>
      </c>
      <c r="Y3373" s="179"/>
      <c r="Z3373" s="466">
        <f t="shared" si="280"/>
        <v>0</v>
      </c>
      <c r="AA3373" s="473">
        <f t="shared" si="281"/>
        <v>0</v>
      </c>
      <c r="AB3373" s="339">
        <f t="shared" si="282"/>
        <v>0</v>
      </c>
    </row>
    <row r="3374" spans="2:28" ht="20.100000000000001" customHeight="1">
      <c r="B3374" s="172"/>
      <c r="C3374" s="174"/>
      <c r="D3374" s="181"/>
      <c r="E3374" s="173"/>
      <c r="F3374" s="176"/>
      <c r="G3374" s="175">
        <f t="shared" si="273"/>
        <v>0</v>
      </c>
      <c r="H3374" s="175">
        <f t="shared" si="274"/>
        <v>0</v>
      </c>
      <c r="I3374" s="177">
        <f>IF(G3374=0,0,IF(E3374="MXN",1/HLOOKUP(YEAR(C3374)+(MONTH(C3374)/100),TC!$5:$37,DAY(C3374)+2,FALSE),VLOOKUP(E3374,Equivalencia!$5:$23,((MAX(Equivalencia!$3:$3)-YEAR(C3374))*14)+MONTH(C3374)+2,FALSE)))</f>
        <v>0</v>
      </c>
      <c r="J3374" s="178">
        <f t="shared" si="275"/>
        <v>0</v>
      </c>
      <c r="K3374" s="462">
        <f>IF(C3374=0,0,VLOOKUP(YEAR(C3374),INPC!$B$4:$O$29,MONTH(C3374)+1))</f>
        <v>0</v>
      </c>
      <c r="L3374" s="462">
        <f>IF(S3374=0,0,VLOOKUP(YEAR(S3374),INPC!$B$4:$O$29,MONTH(S3374)+1))</f>
        <v>0</v>
      </c>
      <c r="M3374" s="463">
        <f t="shared" si="276"/>
        <v>0</v>
      </c>
      <c r="N3374" s="465">
        <f t="shared" si="277"/>
        <v>0</v>
      </c>
      <c r="O3374" s="179"/>
      <c r="P3374" s="180"/>
      <c r="Q3374" s="173"/>
      <c r="R3374" s="173"/>
      <c r="S3374" s="174"/>
      <c r="T3374" s="173"/>
      <c r="U3374" s="182"/>
      <c r="V3374" s="177">
        <f>IF(U3374=0,0,IF(T3374="MXN",1/HLOOKUP(YEAR(S3374)+(MONTH(S3374)/100),TC!$5:$37,DAY(S3374)+2,FALSE),VLOOKUP(T3374,Equivalencia!$1:$23,((MAX(Equivalencia!$3:$3)-YEAR(S3374))*14)+MONTH(S3374)+2,FALSE)))</f>
        <v>0</v>
      </c>
      <c r="W3374" s="178">
        <f t="shared" si="278"/>
        <v>0</v>
      </c>
      <c r="X3374" s="481">
        <f t="shared" si="279"/>
        <v>0</v>
      </c>
      <c r="Y3374" s="179"/>
      <c r="Z3374" s="466">
        <f t="shared" si="280"/>
        <v>0</v>
      </c>
      <c r="AA3374" s="473">
        <f t="shared" si="281"/>
        <v>0</v>
      </c>
      <c r="AB3374" s="339">
        <f t="shared" si="282"/>
        <v>0</v>
      </c>
    </row>
    <row r="3375" spans="2:28" ht="20.100000000000001" customHeight="1">
      <c r="B3375" s="172"/>
      <c r="C3375" s="174"/>
      <c r="D3375" s="181"/>
      <c r="E3375" s="173"/>
      <c r="F3375" s="176"/>
      <c r="G3375" s="175">
        <f t="shared" si="273"/>
        <v>0</v>
      </c>
      <c r="H3375" s="175">
        <f t="shared" si="274"/>
        <v>0</v>
      </c>
      <c r="I3375" s="177">
        <f>IF(G3375=0,0,IF(E3375="MXN",1/HLOOKUP(YEAR(C3375)+(MONTH(C3375)/100),TC!$5:$37,DAY(C3375)+2,FALSE),VLOOKUP(E3375,Equivalencia!$5:$23,((MAX(Equivalencia!$3:$3)-YEAR(C3375))*14)+MONTH(C3375)+2,FALSE)))</f>
        <v>0</v>
      </c>
      <c r="J3375" s="178">
        <f t="shared" si="275"/>
        <v>0</v>
      </c>
      <c r="K3375" s="462">
        <f>IF(C3375=0,0,VLOOKUP(YEAR(C3375),INPC!$B$4:$O$29,MONTH(C3375)+1))</f>
        <v>0</v>
      </c>
      <c r="L3375" s="462">
        <f>IF(S3375=0,0,VLOOKUP(YEAR(S3375),INPC!$B$4:$O$29,MONTH(S3375)+1))</f>
        <v>0</v>
      </c>
      <c r="M3375" s="463">
        <f t="shared" si="276"/>
        <v>0</v>
      </c>
      <c r="N3375" s="465">
        <f t="shared" si="277"/>
        <v>0</v>
      </c>
      <c r="O3375" s="179"/>
      <c r="P3375" s="180"/>
      <c r="Q3375" s="173"/>
      <c r="R3375" s="173"/>
      <c r="S3375" s="174"/>
      <c r="T3375" s="173"/>
      <c r="U3375" s="182"/>
      <c r="V3375" s="177">
        <f>IF(U3375=0,0,IF(T3375="MXN",1/HLOOKUP(YEAR(S3375)+(MONTH(S3375)/100),TC!$5:$37,DAY(S3375)+2,FALSE),VLOOKUP(T3375,Equivalencia!$1:$23,((MAX(Equivalencia!$3:$3)-YEAR(S3375))*14)+MONTH(S3375)+2,FALSE)))</f>
        <v>0</v>
      </c>
      <c r="W3375" s="178">
        <f t="shared" si="278"/>
        <v>0</v>
      </c>
      <c r="X3375" s="481">
        <f t="shared" si="279"/>
        <v>0</v>
      </c>
      <c r="Y3375" s="179"/>
      <c r="Z3375" s="466">
        <f t="shared" si="280"/>
        <v>0</v>
      </c>
      <c r="AA3375" s="473">
        <f t="shared" si="281"/>
        <v>0</v>
      </c>
      <c r="AB3375" s="339">
        <f t="shared" si="282"/>
        <v>0</v>
      </c>
    </row>
    <row r="3376" spans="2:28" ht="20.100000000000001" customHeight="1">
      <c r="B3376" s="172"/>
      <c r="C3376" s="174"/>
      <c r="D3376" s="181"/>
      <c r="E3376" s="173"/>
      <c r="F3376" s="176"/>
      <c r="G3376" s="175">
        <f t="shared" si="273"/>
        <v>0</v>
      </c>
      <c r="H3376" s="175">
        <f t="shared" si="274"/>
        <v>0</v>
      </c>
      <c r="I3376" s="177">
        <f>IF(G3376=0,0,IF(E3376="MXN",1/HLOOKUP(YEAR(C3376)+(MONTH(C3376)/100),TC!$5:$37,DAY(C3376)+2,FALSE),VLOOKUP(E3376,Equivalencia!$5:$23,((MAX(Equivalencia!$3:$3)-YEAR(C3376))*14)+MONTH(C3376)+2,FALSE)))</f>
        <v>0</v>
      </c>
      <c r="J3376" s="178">
        <f t="shared" si="275"/>
        <v>0</v>
      </c>
      <c r="K3376" s="462">
        <f>IF(C3376=0,0,VLOOKUP(YEAR(C3376),INPC!$B$4:$O$29,MONTH(C3376)+1))</f>
        <v>0</v>
      </c>
      <c r="L3376" s="462">
        <f>IF(S3376=0,0,VLOOKUP(YEAR(S3376),INPC!$B$4:$O$29,MONTH(S3376)+1))</f>
        <v>0</v>
      </c>
      <c r="M3376" s="463">
        <f t="shared" si="276"/>
        <v>0</v>
      </c>
      <c r="N3376" s="465">
        <f t="shared" si="277"/>
        <v>0</v>
      </c>
      <c r="O3376" s="179"/>
      <c r="P3376" s="180"/>
      <c r="Q3376" s="173"/>
      <c r="R3376" s="173"/>
      <c r="S3376" s="174"/>
      <c r="T3376" s="173"/>
      <c r="U3376" s="182"/>
      <c r="V3376" s="177">
        <f>IF(U3376=0,0,IF(T3376="MXN",1/HLOOKUP(YEAR(S3376)+(MONTH(S3376)/100),TC!$5:$37,DAY(S3376)+2,FALSE),VLOOKUP(T3376,Equivalencia!$1:$23,((MAX(Equivalencia!$3:$3)-YEAR(S3376))*14)+MONTH(S3376)+2,FALSE)))</f>
        <v>0</v>
      </c>
      <c r="W3376" s="178">
        <f t="shared" si="278"/>
        <v>0</v>
      </c>
      <c r="X3376" s="481">
        <f t="shared" si="279"/>
        <v>0</v>
      </c>
      <c r="Y3376" s="179"/>
      <c r="Z3376" s="466">
        <f t="shared" si="280"/>
        <v>0</v>
      </c>
      <c r="AA3376" s="473">
        <f t="shared" si="281"/>
        <v>0</v>
      </c>
      <c r="AB3376" s="339">
        <f t="shared" si="282"/>
        <v>0</v>
      </c>
    </row>
    <row r="3377" spans="2:28" ht="20.100000000000001" customHeight="1">
      <c r="B3377" s="172"/>
      <c r="C3377" s="174"/>
      <c r="D3377" s="181"/>
      <c r="E3377" s="173"/>
      <c r="F3377" s="176"/>
      <c r="G3377" s="175">
        <f t="shared" si="273"/>
        <v>0</v>
      </c>
      <c r="H3377" s="175">
        <f t="shared" si="274"/>
        <v>0</v>
      </c>
      <c r="I3377" s="177">
        <f>IF(G3377=0,0,IF(E3377="MXN",1/HLOOKUP(YEAR(C3377)+(MONTH(C3377)/100),TC!$5:$37,DAY(C3377)+2,FALSE),VLOOKUP(E3377,Equivalencia!$5:$23,((MAX(Equivalencia!$3:$3)-YEAR(C3377))*14)+MONTH(C3377)+2,FALSE)))</f>
        <v>0</v>
      </c>
      <c r="J3377" s="178">
        <f t="shared" si="275"/>
        <v>0</v>
      </c>
      <c r="K3377" s="462">
        <f>IF(C3377=0,0,VLOOKUP(YEAR(C3377),INPC!$B$4:$O$29,MONTH(C3377)+1))</f>
        <v>0</v>
      </c>
      <c r="L3377" s="462">
        <f>IF(S3377=0,0,VLOOKUP(YEAR(S3377),INPC!$B$4:$O$29,MONTH(S3377)+1))</f>
        <v>0</v>
      </c>
      <c r="M3377" s="463">
        <f t="shared" si="276"/>
        <v>0</v>
      </c>
      <c r="N3377" s="465">
        <f t="shared" si="277"/>
        <v>0</v>
      </c>
      <c r="O3377" s="179"/>
      <c r="P3377" s="180"/>
      <c r="Q3377" s="173"/>
      <c r="R3377" s="173"/>
      <c r="S3377" s="174"/>
      <c r="T3377" s="173"/>
      <c r="U3377" s="182"/>
      <c r="V3377" s="177">
        <f>IF(U3377=0,0,IF(T3377="MXN",1/HLOOKUP(YEAR(S3377)+(MONTH(S3377)/100),TC!$5:$37,DAY(S3377)+2,FALSE),VLOOKUP(T3377,Equivalencia!$1:$23,((MAX(Equivalencia!$3:$3)-YEAR(S3377))*14)+MONTH(S3377)+2,FALSE)))</f>
        <v>0</v>
      </c>
      <c r="W3377" s="178">
        <f t="shared" si="278"/>
        <v>0</v>
      </c>
      <c r="X3377" s="481">
        <f t="shared" si="279"/>
        <v>0</v>
      </c>
      <c r="Y3377" s="179"/>
      <c r="Z3377" s="466">
        <f t="shared" si="280"/>
        <v>0</v>
      </c>
      <c r="AA3377" s="473">
        <f t="shared" si="281"/>
        <v>0</v>
      </c>
      <c r="AB3377" s="339">
        <f t="shared" si="282"/>
        <v>0</v>
      </c>
    </row>
    <row r="3378" spans="2:28" ht="20.100000000000001" customHeight="1">
      <c r="B3378" s="172"/>
      <c r="C3378" s="174"/>
      <c r="D3378" s="181"/>
      <c r="E3378" s="173"/>
      <c r="F3378" s="176"/>
      <c r="G3378" s="175">
        <f t="shared" si="273"/>
        <v>0</v>
      </c>
      <c r="H3378" s="175">
        <f t="shared" si="274"/>
        <v>0</v>
      </c>
      <c r="I3378" s="177">
        <f>IF(G3378=0,0,IF(E3378="MXN",1/HLOOKUP(YEAR(C3378)+(MONTH(C3378)/100),TC!$5:$37,DAY(C3378)+2,FALSE),VLOOKUP(E3378,Equivalencia!$5:$23,((MAX(Equivalencia!$3:$3)-YEAR(C3378))*14)+MONTH(C3378)+2,FALSE)))</f>
        <v>0</v>
      </c>
      <c r="J3378" s="178">
        <f t="shared" si="275"/>
        <v>0</v>
      </c>
      <c r="K3378" s="462">
        <f>IF(C3378=0,0,VLOOKUP(YEAR(C3378),INPC!$B$4:$O$29,MONTH(C3378)+1))</f>
        <v>0</v>
      </c>
      <c r="L3378" s="462">
        <f>IF(S3378=0,0,VLOOKUP(YEAR(S3378),INPC!$B$4:$O$29,MONTH(S3378)+1))</f>
        <v>0</v>
      </c>
      <c r="M3378" s="463">
        <f t="shared" si="276"/>
        <v>0</v>
      </c>
      <c r="N3378" s="465">
        <f t="shared" si="277"/>
        <v>0</v>
      </c>
      <c r="O3378" s="179"/>
      <c r="P3378" s="180"/>
      <c r="Q3378" s="173"/>
      <c r="R3378" s="173"/>
      <c r="S3378" s="174"/>
      <c r="T3378" s="173"/>
      <c r="U3378" s="182"/>
      <c r="V3378" s="177">
        <f>IF(U3378=0,0,IF(T3378="MXN",1/HLOOKUP(YEAR(S3378)+(MONTH(S3378)/100),TC!$5:$37,DAY(S3378)+2,FALSE),VLOOKUP(T3378,Equivalencia!$1:$23,((MAX(Equivalencia!$3:$3)-YEAR(S3378))*14)+MONTH(S3378)+2,FALSE)))</f>
        <v>0</v>
      </c>
      <c r="W3378" s="178">
        <f t="shared" si="278"/>
        <v>0</v>
      </c>
      <c r="X3378" s="481">
        <f t="shared" si="279"/>
        <v>0</v>
      </c>
      <c r="Y3378" s="179"/>
      <c r="Z3378" s="466">
        <f t="shared" si="280"/>
        <v>0</v>
      </c>
      <c r="AA3378" s="473">
        <f t="shared" si="281"/>
        <v>0</v>
      </c>
      <c r="AB3378" s="339">
        <f t="shared" si="282"/>
        <v>0</v>
      </c>
    </row>
    <row r="3379" spans="2:28" ht="20.100000000000001" customHeight="1">
      <c r="B3379" s="172"/>
      <c r="C3379" s="174"/>
      <c r="D3379" s="181"/>
      <c r="E3379" s="173"/>
      <c r="F3379" s="176"/>
      <c r="G3379" s="175">
        <f t="shared" si="273"/>
        <v>0</v>
      </c>
      <c r="H3379" s="175">
        <f t="shared" si="274"/>
        <v>0</v>
      </c>
      <c r="I3379" s="177">
        <f>IF(G3379=0,0,IF(E3379="MXN",1/HLOOKUP(YEAR(C3379)+(MONTH(C3379)/100),TC!$5:$37,DAY(C3379)+2,FALSE),VLOOKUP(E3379,Equivalencia!$5:$23,((MAX(Equivalencia!$3:$3)-YEAR(C3379))*14)+MONTH(C3379)+2,FALSE)))</f>
        <v>0</v>
      </c>
      <c r="J3379" s="178">
        <f t="shared" si="275"/>
        <v>0</v>
      </c>
      <c r="K3379" s="462">
        <f>IF(C3379=0,0,VLOOKUP(YEAR(C3379),INPC!$B$4:$O$29,MONTH(C3379)+1))</f>
        <v>0</v>
      </c>
      <c r="L3379" s="462">
        <f>IF(S3379=0,0,VLOOKUP(YEAR(S3379),INPC!$B$4:$O$29,MONTH(S3379)+1))</f>
        <v>0</v>
      </c>
      <c r="M3379" s="463">
        <f t="shared" si="276"/>
        <v>0</v>
      </c>
      <c r="N3379" s="465">
        <f t="shared" si="277"/>
        <v>0</v>
      </c>
      <c r="O3379" s="179"/>
      <c r="P3379" s="180"/>
      <c r="Q3379" s="173"/>
      <c r="R3379" s="173"/>
      <c r="S3379" s="174"/>
      <c r="T3379" s="173"/>
      <c r="U3379" s="182"/>
      <c r="V3379" s="177">
        <f>IF(U3379=0,0,IF(T3379="MXN",1/HLOOKUP(YEAR(S3379)+(MONTH(S3379)/100),TC!$5:$37,DAY(S3379)+2,FALSE),VLOOKUP(T3379,Equivalencia!$1:$23,((MAX(Equivalencia!$3:$3)-YEAR(S3379))*14)+MONTH(S3379)+2,FALSE)))</f>
        <v>0</v>
      </c>
      <c r="W3379" s="178">
        <f t="shared" si="278"/>
        <v>0</v>
      </c>
      <c r="X3379" s="481">
        <f t="shared" si="279"/>
        <v>0</v>
      </c>
      <c r="Y3379" s="179"/>
      <c r="Z3379" s="466">
        <f t="shared" si="280"/>
        <v>0</v>
      </c>
      <c r="AA3379" s="473">
        <f t="shared" si="281"/>
        <v>0</v>
      </c>
      <c r="AB3379" s="339">
        <f t="shared" si="282"/>
        <v>0</v>
      </c>
    </row>
    <row r="3380" spans="2:28" ht="20.100000000000001" customHeight="1">
      <c r="B3380" s="172"/>
      <c r="C3380" s="174"/>
      <c r="D3380" s="181"/>
      <c r="E3380" s="173"/>
      <c r="F3380" s="176"/>
      <c r="G3380" s="175">
        <f t="shared" si="273"/>
        <v>0</v>
      </c>
      <c r="H3380" s="175">
        <f t="shared" si="274"/>
        <v>0</v>
      </c>
      <c r="I3380" s="177">
        <f>IF(G3380=0,0,IF(E3380="MXN",1/HLOOKUP(YEAR(C3380)+(MONTH(C3380)/100),TC!$5:$37,DAY(C3380)+2,FALSE),VLOOKUP(E3380,Equivalencia!$5:$23,((MAX(Equivalencia!$3:$3)-YEAR(C3380))*14)+MONTH(C3380)+2,FALSE)))</f>
        <v>0</v>
      </c>
      <c r="J3380" s="178">
        <f t="shared" si="275"/>
        <v>0</v>
      </c>
      <c r="K3380" s="462">
        <f>IF(C3380=0,0,VLOOKUP(YEAR(C3380),INPC!$B$4:$O$29,MONTH(C3380)+1))</f>
        <v>0</v>
      </c>
      <c r="L3380" s="462">
        <f>IF(S3380=0,0,VLOOKUP(YEAR(S3380),INPC!$B$4:$O$29,MONTH(S3380)+1))</f>
        <v>0</v>
      </c>
      <c r="M3380" s="463">
        <f t="shared" si="276"/>
        <v>0</v>
      </c>
      <c r="N3380" s="465">
        <f t="shared" si="277"/>
        <v>0</v>
      </c>
      <c r="O3380" s="179"/>
      <c r="P3380" s="180"/>
      <c r="Q3380" s="173"/>
      <c r="R3380" s="173"/>
      <c r="S3380" s="174"/>
      <c r="T3380" s="173"/>
      <c r="U3380" s="182"/>
      <c r="V3380" s="177">
        <f>IF(U3380=0,0,IF(T3380="MXN",1/HLOOKUP(YEAR(S3380)+(MONTH(S3380)/100),TC!$5:$37,DAY(S3380)+2,FALSE),VLOOKUP(T3380,Equivalencia!$1:$23,((MAX(Equivalencia!$3:$3)-YEAR(S3380))*14)+MONTH(S3380)+2,FALSE)))</f>
        <v>0</v>
      </c>
      <c r="W3380" s="178">
        <f t="shared" si="278"/>
        <v>0</v>
      </c>
      <c r="X3380" s="481">
        <f t="shared" si="279"/>
        <v>0</v>
      </c>
      <c r="Y3380" s="179"/>
      <c r="Z3380" s="466">
        <f t="shared" si="280"/>
        <v>0</v>
      </c>
      <c r="AA3380" s="473">
        <f t="shared" si="281"/>
        <v>0</v>
      </c>
      <c r="AB3380" s="339">
        <f t="shared" si="282"/>
        <v>0</v>
      </c>
    </row>
    <row r="3381" spans="2:28" ht="20.100000000000001" customHeight="1">
      <c r="B3381" s="172"/>
      <c r="C3381" s="174"/>
      <c r="D3381" s="181"/>
      <c r="E3381" s="173"/>
      <c r="F3381" s="176"/>
      <c r="G3381" s="175">
        <f t="shared" si="273"/>
        <v>0</v>
      </c>
      <c r="H3381" s="175">
        <f t="shared" si="274"/>
        <v>0</v>
      </c>
      <c r="I3381" s="177">
        <f>IF(G3381=0,0,IF(E3381="MXN",1/HLOOKUP(YEAR(C3381)+(MONTH(C3381)/100),TC!$5:$37,DAY(C3381)+2,FALSE),VLOOKUP(E3381,Equivalencia!$5:$23,((MAX(Equivalencia!$3:$3)-YEAR(C3381))*14)+MONTH(C3381)+2,FALSE)))</f>
        <v>0</v>
      </c>
      <c r="J3381" s="178">
        <f t="shared" si="275"/>
        <v>0</v>
      </c>
      <c r="K3381" s="462">
        <f>IF(C3381=0,0,VLOOKUP(YEAR(C3381),INPC!$B$4:$O$29,MONTH(C3381)+1))</f>
        <v>0</v>
      </c>
      <c r="L3381" s="462">
        <f>IF(S3381=0,0,VLOOKUP(YEAR(S3381),INPC!$B$4:$O$29,MONTH(S3381)+1))</f>
        <v>0</v>
      </c>
      <c r="M3381" s="463">
        <f t="shared" si="276"/>
        <v>0</v>
      </c>
      <c r="N3381" s="465">
        <f t="shared" si="277"/>
        <v>0</v>
      </c>
      <c r="O3381" s="179"/>
      <c r="P3381" s="180"/>
      <c r="Q3381" s="173"/>
      <c r="R3381" s="173"/>
      <c r="S3381" s="174"/>
      <c r="T3381" s="173"/>
      <c r="U3381" s="182"/>
      <c r="V3381" s="177">
        <f>IF(U3381=0,0,IF(T3381="MXN",1/HLOOKUP(YEAR(S3381)+(MONTH(S3381)/100),TC!$5:$37,DAY(S3381)+2,FALSE),VLOOKUP(T3381,Equivalencia!$1:$23,((MAX(Equivalencia!$3:$3)-YEAR(S3381))*14)+MONTH(S3381)+2,FALSE)))</f>
        <v>0</v>
      </c>
      <c r="W3381" s="178">
        <f t="shared" si="278"/>
        <v>0</v>
      </c>
      <c r="X3381" s="481">
        <f t="shared" si="279"/>
        <v>0</v>
      </c>
      <c r="Y3381" s="179"/>
      <c r="Z3381" s="466">
        <f t="shared" si="280"/>
        <v>0</v>
      </c>
      <c r="AA3381" s="473">
        <f t="shared" si="281"/>
        <v>0</v>
      </c>
      <c r="AB3381" s="339">
        <f t="shared" si="282"/>
        <v>0</v>
      </c>
    </row>
    <row r="3382" spans="2:28" ht="20.100000000000001" customHeight="1">
      <c r="B3382" s="172"/>
      <c r="C3382" s="174"/>
      <c r="D3382" s="181"/>
      <c r="E3382" s="173"/>
      <c r="F3382" s="176"/>
      <c r="G3382" s="175">
        <f t="shared" si="273"/>
        <v>0</v>
      </c>
      <c r="H3382" s="175">
        <f t="shared" si="274"/>
        <v>0</v>
      </c>
      <c r="I3382" s="177">
        <f>IF(G3382=0,0,IF(E3382="MXN",1/HLOOKUP(YEAR(C3382)+(MONTH(C3382)/100),TC!$5:$37,DAY(C3382)+2,FALSE),VLOOKUP(E3382,Equivalencia!$5:$23,((MAX(Equivalencia!$3:$3)-YEAR(C3382))*14)+MONTH(C3382)+2,FALSE)))</f>
        <v>0</v>
      </c>
      <c r="J3382" s="178">
        <f t="shared" si="275"/>
        <v>0</v>
      </c>
      <c r="K3382" s="462">
        <f>IF(C3382=0,0,VLOOKUP(YEAR(C3382),INPC!$B$4:$O$29,MONTH(C3382)+1))</f>
        <v>0</v>
      </c>
      <c r="L3382" s="462">
        <f>IF(S3382=0,0,VLOOKUP(YEAR(S3382),INPC!$B$4:$O$29,MONTH(S3382)+1))</f>
        <v>0</v>
      </c>
      <c r="M3382" s="463">
        <f t="shared" si="276"/>
        <v>0</v>
      </c>
      <c r="N3382" s="465">
        <f t="shared" si="277"/>
        <v>0</v>
      </c>
      <c r="O3382" s="179"/>
      <c r="P3382" s="180"/>
      <c r="Q3382" s="173"/>
      <c r="R3382" s="173"/>
      <c r="S3382" s="174"/>
      <c r="T3382" s="173"/>
      <c r="U3382" s="182"/>
      <c r="V3382" s="177">
        <f>IF(U3382=0,0,IF(T3382="MXN",1/HLOOKUP(YEAR(S3382)+(MONTH(S3382)/100),TC!$5:$37,DAY(S3382)+2,FALSE),VLOOKUP(T3382,Equivalencia!$1:$23,((MAX(Equivalencia!$3:$3)-YEAR(S3382))*14)+MONTH(S3382)+2,FALSE)))</f>
        <v>0</v>
      </c>
      <c r="W3382" s="178">
        <f t="shared" si="278"/>
        <v>0</v>
      </c>
      <c r="X3382" s="481">
        <f t="shared" si="279"/>
        <v>0</v>
      </c>
      <c r="Y3382" s="179"/>
      <c r="Z3382" s="466">
        <f t="shared" si="280"/>
        <v>0</v>
      </c>
      <c r="AA3382" s="473">
        <f t="shared" si="281"/>
        <v>0</v>
      </c>
      <c r="AB3382" s="339">
        <f t="shared" si="282"/>
        <v>0</v>
      </c>
    </row>
    <row r="3383" spans="2:28" ht="20.100000000000001" customHeight="1">
      <c r="B3383" s="172"/>
      <c r="C3383" s="174"/>
      <c r="D3383" s="181"/>
      <c r="E3383" s="173"/>
      <c r="F3383" s="176"/>
      <c r="G3383" s="175">
        <f t="shared" si="273"/>
        <v>0</v>
      </c>
      <c r="H3383" s="175">
        <f t="shared" si="274"/>
        <v>0</v>
      </c>
      <c r="I3383" s="177">
        <f>IF(G3383=0,0,IF(E3383="MXN",1/HLOOKUP(YEAR(C3383)+(MONTH(C3383)/100),TC!$5:$37,DAY(C3383)+2,FALSE),VLOOKUP(E3383,Equivalencia!$5:$23,((MAX(Equivalencia!$3:$3)-YEAR(C3383))*14)+MONTH(C3383)+2,FALSE)))</f>
        <v>0</v>
      </c>
      <c r="J3383" s="178">
        <f t="shared" si="275"/>
        <v>0</v>
      </c>
      <c r="K3383" s="462">
        <f>IF(C3383=0,0,VLOOKUP(YEAR(C3383),INPC!$B$4:$O$29,MONTH(C3383)+1))</f>
        <v>0</v>
      </c>
      <c r="L3383" s="462">
        <f>IF(S3383=0,0,VLOOKUP(YEAR(S3383),INPC!$B$4:$O$29,MONTH(S3383)+1))</f>
        <v>0</v>
      </c>
      <c r="M3383" s="463">
        <f t="shared" si="276"/>
        <v>0</v>
      </c>
      <c r="N3383" s="465">
        <f t="shared" si="277"/>
        <v>0</v>
      </c>
      <c r="O3383" s="179"/>
      <c r="P3383" s="180"/>
      <c r="Q3383" s="173"/>
      <c r="R3383" s="173"/>
      <c r="S3383" s="174"/>
      <c r="T3383" s="173"/>
      <c r="U3383" s="182"/>
      <c r="V3383" s="177">
        <f>IF(U3383=0,0,IF(T3383="MXN",1/HLOOKUP(YEAR(S3383)+(MONTH(S3383)/100),TC!$5:$37,DAY(S3383)+2,FALSE),VLOOKUP(T3383,Equivalencia!$1:$23,((MAX(Equivalencia!$3:$3)-YEAR(S3383))*14)+MONTH(S3383)+2,FALSE)))</f>
        <v>0</v>
      </c>
      <c r="W3383" s="178">
        <f t="shared" si="278"/>
        <v>0</v>
      </c>
      <c r="X3383" s="481">
        <f t="shared" si="279"/>
        <v>0</v>
      </c>
      <c r="Y3383" s="179"/>
      <c r="Z3383" s="466">
        <f t="shared" si="280"/>
        <v>0</v>
      </c>
      <c r="AA3383" s="473">
        <f t="shared" si="281"/>
        <v>0</v>
      </c>
      <c r="AB3383" s="339">
        <f t="shared" si="282"/>
        <v>0</v>
      </c>
    </row>
    <row r="3384" spans="2:28" ht="20.100000000000001" customHeight="1">
      <c r="B3384" s="172"/>
      <c r="C3384" s="174"/>
      <c r="D3384" s="181"/>
      <c r="E3384" s="173"/>
      <c r="F3384" s="176"/>
      <c r="G3384" s="175">
        <f t="shared" si="273"/>
        <v>0</v>
      </c>
      <c r="H3384" s="175">
        <f t="shared" si="274"/>
        <v>0</v>
      </c>
      <c r="I3384" s="177">
        <f>IF(G3384=0,0,IF(E3384="MXN",1/HLOOKUP(YEAR(C3384)+(MONTH(C3384)/100),TC!$5:$37,DAY(C3384)+2,FALSE),VLOOKUP(E3384,Equivalencia!$5:$23,((MAX(Equivalencia!$3:$3)-YEAR(C3384))*14)+MONTH(C3384)+2,FALSE)))</f>
        <v>0</v>
      </c>
      <c r="J3384" s="178">
        <f t="shared" si="275"/>
        <v>0</v>
      </c>
      <c r="K3384" s="462">
        <f>IF(C3384=0,0,VLOOKUP(YEAR(C3384),INPC!$B$4:$O$29,MONTH(C3384)+1))</f>
        <v>0</v>
      </c>
      <c r="L3384" s="462">
        <f>IF(S3384=0,0,VLOOKUP(YEAR(S3384),INPC!$B$4:$O$29,MONTH(S3384)+1))</f>
        <v>0</v>
      </c>
      <c r="M3384" s="463">
        <f t="shared" si="276"/>
        <v>0</v>
      </c>
      <c r="N3384" s="465">
        <f t="shared" si="277"/>
        <v>0</v>
      </c>
      <c r="O3384" s="179"/>
      <c r="P3384" s="180"/>
      <c r="Q3384" s="173"/>
      <c r="R3384" s="173"/>
      <c r="S3384" s="174"/>
      <c r="T3384" s="173"/>
      <c r="U3384" s="182"/>
      <c r="V3384" s="177">
        <f>IF(U3384=0,0,IF(T3384="MXN",1/HLOOKUP(YEAR(S3384)+(MONTH(S3384)/100),TC!$5:$37,DAY(S3384)+2,FALSE),VLOOKUP(T3384,Equivalencia!$1:$23,((MAX(Equivalencia!$3:$3)-YEAR(S3384))*14)+MONTH(S3384)+2,FALSE)))</f>
        <v>0</v>
      </c>
      <c r="W3384" s="178">
        <f t="shared" si="278"/>
        <v>0</v>
      </c>
      <c r="X3384" s="481">
        <f t="shared" si="279"/>
        <v>0</v>
      </c>
      <c r="Y3384" s="179"/>
      <c r="Z3384" s="466">
        <f t="shared" si="280"/>
        <v>0</v>
      </c>
      <c r="AA3384" s="473">
        <f t="shared" si="281"/>
        <v>0</v>
      </c>
      <c r="AB3384" s="339">
        <f t="shared" si="282"/>
        <v>0</v>
      </c>
    </row>
    <row r="3385" spans="2:28" ht="20.100000000000001" customHeight="1">
      <c r="B3385" s="172"/>
      <c r="C3385" s="174"/>
      <c r="D3385" s="181"/>
      <c r="E3385" s="173"/>
      <c r="F3385" s="176"/>
      <c r="G3385" s="175">
        <f t="shared" si="273"/>
        <v>0</v>
      </c>
      <c r="H3385" s="175">
        <f t="shared" si="274"/>
        <v>0</v>
      </c>
      <c r="I3385" s="177">
        <f>IF(G3385=0,0,IF(E3385="MXN",1/HLOOKUP(YEAR(C3385)+(MONTH(C3385)/100),TC!$5:$37,DAY(C3385)+2,FALSE),VLOOKUP(E3385,Equivalencia!$5:$23,((MAX(Equivalencia!$3:$3)-YEAR(C3385))*14)+MONTH(C3385)+2,FALSE)))</f>
        <v>0</v>
      </c>
      <c r="J3385" s="178">
        <f t="shared" si="275"/>
        <v>0</v>
      </c>
      <c r="K3385" s="462">
        <f>IF(C3385=0,0,VLOOKUP(YEAR(C3385),INPC!$B$4:$O$29,MONTH(C3385)+1))</f>
        <v>0</v>
      </c>
      <c r="L3385" s="462">
        <f>IF(S3385=0,0,VLOOKUP(YEAR(S3385),INPC!$B$4:$O$29,MONTH(S3385)+1))</f>
        <v>0</v>
      </c>
      <c r="M3385" s="463">
        <f t="shared" si="276"/>
        <v>0</v>
      </c>
      <c r="N3385" s="465">
        <f t="shared" si="277"/>
        <v>0</v>
      </c>
      <c r="O3385" s="179"/>
      <c r="P3385" s="180"/>
      <c r="Q3385" s="173"/>
      <c r="R3385" s="173"/>
      <c r="S3385" s="174"/>
      <c r="T3385" s="173"/>
      <c r="U3385" s="182"/>
      <c r="V3385" s="177">
        <f>IF(U3385=0,0,IF(T3385="MXN",1/HLOOKUP(YEAR(S3385)+(MONTH(S3385)/100),TC!$5:$37,DAY(S3385)+2,FALSE),VLOOKUP(T3385,Equivalencia!$1:$23,((MAX(Equivalencia!$3:$3)-YEAR(S3385))*14)+MONTH(S3385)+2,FALSE)))</f>
        <v>0</v>
      </c>
      <c r="W3385" s="178">
        <f t="shared" si="278"/>
        <v>0</v>
      </c>
      <c r="X3385" s="481">
        <f t="shared" si="279"/>
        <v>0</v>
      </c>
      <c r="Y3385" s="179"/>
      <c r="Z3385" s="466">
        <f t="shared" si="280"/>
        <v>0</v>
      </c>
      <c r="AA3385" s="473">
        <f t="shared" si="281"/>
        <v>0</v>
      </c>
      <c r="AB3385" s="339">
        <f t="shared" si="282"/>
        <v>0</v>
      </c>
    </row>
    <row r="3386" spans="2:28" ht="20.100000000000001" customHeight="1">
      <c r="B3386" s="172"/>
      <c r="C3386" s="174"/>
      <c r="D3386" s="181"/>
      <c r="E3386" s="173"/>
      <c r="F3386" s="176"/>
      <c r="G3386" s="175">
        <f t="shared" si="273"/>
        <v>0</v>
      </c>
      <c r="H3386" s="175">
        <f t="shared" si="274"/>
        <v>0</v>
      </c>
      <c r="I3386" s="177">
        <f>IF(G3386=0,0,IF(E3386="MXN",1/HLOOKUP(YEAR(C3386)+(MONTH(C3386)/100),TC!$5:$37,DAY(C3386)+2,FALSE),VLOOKUP(E3386,Equivalencia!$5:$23,((MAX(Equivalencia!$3:$3)-YEAR(C3386))*14)+MONTH(C3386)+2,FALSE)))</f>
        <v>0</v>
      </c>
      <c r="J3386" s="178">
        <f t="shared" si="275"/>
        <v>0</v>
      </c>
      <c r="K3386" s="462">
        <f>IF(C3386=0,0,VLOOKUP(YEAR(C3386),INPC!$B$4:$O$29,MONTH(C3386)+1))</f>
        <v>0</v>
      </c>
      <c r="L3386" s="462">
        <f>IF(S3386=0,0,VLOOKUP(YEAR(S3386),INPC!$B$4:$O$29,MONTH(S3386)+1))</f>
        <v>0</v>
      </c>
      <c r="M3386" s="463">
        <f t="shared" si="276"/>
        <v>0</v>
      </c>
      <c r="N3386" s="465">
        <f t="shared" si="277"/>
        <v>0</v>
      </c>
      <c r="O3386" s="179"/>
      <c r="P3386" s="180"/>
      <c r="Q3386" s="173"/>
      <c r="R3386" s="173"/>
      <c r="S3386" s="174"/>
      <c r="T3386" s="173"/>
      <c r="U3386" s="182"/>
      <c r="V3386" s="177">
        <f>IF(U3386=0,0,IF(T3386="MXN",1/HLOOKUP(YEAR(S3386)+(MONTH(S3386)/100),TC!$5:$37,DAY(S3386)+2,FALSE),VLOOKUP(T3386,Equivalencia!$1:$23,((MAX(Equivalencia!$3:$3)-YEAR(S3386))*14)+MONTH(S3386)+2,FALSE)))</f>
        <v>0</v>
      </c>
      <c r="W3386" s="178">
        <f t="shared" si="278"/>
        <v>0</v>
      </c>
      <c r="X3386" s="481">
        <f t="shared" si="279"/>
        <v>0</v>
      </c>
      <c r="Y3386" s="179"/>
      <c r="Z3386" s="466">
        <f t="shared" si="280"/>
        <v>0</v>
      </c>
      <c r="AA3386" s="473">
        <f t="shared" si="281"/>
        <v>0</v>
      </c>
      <c r="AB3386" s="339">
        <f t="shared" si="282"/>
        <v>0</v>
      </c>
    </row>
    <row r="3387" spans="2:28" ht="20.100000000000001" customHeight="1">
      <c r="B3387" s="172"/>
      <c r="C3387" s="174"/>
      <c r="D3387" s="181"/>
      <c r="E3387" s="173"/>
      <c r="F3387" s="176"/>
      <c r="G3387" s="175">
        <f t="shared" si="273"/>
        <v>0</v>
      </c>
      <c r="H3387" s="175">
        <f t="shared" si="274"/>
        <v>0</v>
      </c>
      <c r="I3387" s="177">
        <f>IF(G3387=0,0,IF(E3387="MXN",1/HLOOKUP(YEAR(C3387)+(MONTH(C3387)/100),TC!$5:$37,DAY(C3387)+2,FALSE),VLOOKUP(E3387,Equivalencia!$5:$23,((MAX(Equivalencia!$3:$3)-YEAR(C3387))*14)+MONTH(C3387)+2,FALSE)))</f>
        <v>0</v>
      </c>
      <c r="J3387" s="178">
        <f t="shared" si="275"/>
        <v>0</v>
      </c>
      <c r="K3387" s="462">
        <f>IF(C3387=0,0,VLOOKUP(YEAR(C3387),INPC!$B$4:$O$29,MONTH(C3387)+1))</f>
        <v>0</v>
      </c>
      <c r="L3387" s="462">
        <f>IF(S3387=0,0,VLOOKUP(YEAR(S3387),INPC!$B$4:$O$29,MONTH(S3387)+1))</f>
        <v>0</v>
      </c>
      <c r="M3387" s="463">
        <f t="shared" si="276"/>
        <v>0</v>
      </c>
      <c r="N3387" s="465">
        <f t="shared" si="277"/>
        <v>0</v>
      </c>
      <c r="O3387" s="179"/>
      <c r="P3387" s="180"/>
      <c r="Q3387" s="173"/>
      <c r="R3387" s="173"/>
      <c r="S3387" s="174"/>
      <c r="T3387" s="173"/>
      <c r="U3387" s="182"/>
      <c r="V3387" s="177">
        <f>IF(U3387=0,0,IF(T3387="MXN",1/HLOOKUP(YEAR(S3387)+(MONTH(S3387)/100),TC!$5:$37,DAY(S3387)+2,FALSE),VLOOKUP(T3387,Equivalencia!$1:$23,((MAX(Equivalencia!$3:$3)-YEAR(S3387))*14)+MONTH(S3387)+2,FALSE)))</f>
        <v>0</v>
      </c>
      <c r="W3387" s="178">
        <f t="shared" si="278"/>
        <v>0</v>
      </c>
      <c r="X3387" s="481">
        <f t="shared" si="279"/>
        <v>0</v>
      </c>
      <c r="Y3387" s="179"/>
      <c r="Z3387" s="466">
        <f t="shared" si="280"/>
        <v>0</v>
      </c>
      <c r="AA3387" s="473">
        <f t="shared" si="281"/>
        <v>0</v>
      </c>
      <c r="AB3387" s="339">
        <f t="shared" si="282"/>
        <v>0</v>
      </c>
    </row>
    <row r="3388" spans="2:28" ht="20.100000000000001" customHeight="1">
      <c r="B3388" s="172"/>
      <c r="C3388" s="174"/>
      <c r="D3388" s="181"/>
      <c r="E3388" s="173"/>
      <c r="F3388" s="176"/>
      <c r="G3388" s="175">
        <f t="shared" si="273"/>
        <v>0</v>
      </c>
      <c r="H3388" s="175">
        <f t="shared" si="274"/>
        <v>0</v>
      </c>
      <c r="I3388" s="177">
        <f>IF(G3388=0,0,IF(E3388="MXN",1/HLOOKUP(YEAR(C3388)+(MONTH(C3388)/100),TC!$5:$37,DAY(C3388)+2,FALSE),VLOOKUP(E3388,Equivalencia!$5:$23,((MAX(Equivalencia!$3:$3)-YEAR(C3388))*14)+MONTH(C3388)+2,FALSE)))</f>
        <v>0</v>
      </c>
      <c r="J3388" s="178">
        <f t="shared" si="275"/>
        <v>0</v>
      </c>
      <c r="K3388" s="462">
        <f>IF(C3388=0,0,VLOOKUP(YEAR(C3388),INPC!$B$4:$O$29,MONTH(C3388)+1))</f>
        <v>0</v>
      </c>
      <c r="L3388" s="462">
        <f>IF(S3388=0,0,VLOOKUP(YEAR(S3388),INPC!$B$4:$O$29,MONTH(S3388)+1))</f>
        <v>0</v>
      </c>
      <c r="M3388" s="463">
        <f t="shared" si="276"/>
        <v>0</v>
      </c>
      <c r="N3388" s="465">
        <f t="shared" si="277"/>
        <v>0</v>
      </c>
      <c r="O3388" s="179"/>
      <c r="P3388" s="180"/>
      <c r="Q3388" s="173"/>
      <c r="R3388" s="173"/>
      <c r="S3388" s="174"/>
      <c r="T3388" s="173"/>
      <c r="U3388" s="182"/>
      <c r="V3388" s="177">
        <f>IF(U3388=0,0,IF(T3388="MXN",1/HLOOKUP(YEAR(S3388)+(MONTH(S3388)/100),TC!$5:$37,DAY(S3388)+2,FALSE),VLOOKUP(T3388,Equivalencia!$1:$23,((MAX(Equivalencia!$3:$3)-YEAR(S3388))*14)+MONTH(S3388)+2,FALSE)))</f>
        <v>0</v>
      </c>
      <c r="W3388" s="178">
        <f t="shared" si="278"/>
        <v>0</v>
      </c>
      <c r="X3388" s="481">
        <f t="shared" si="279"/>
        <v>0</v>
      </c>
      <c r="Y3388" s="179"/>
      <c r="Z3388" s="466">
        <f t="shared" si="280"/>
        <v>0</v>
      </c>
      <c r="AA3388" s="473">
        <f t="shared" si="281"/>
        <v>0</v>
      </c>
      <c r="AB3388" s="339">
        <f t="shared" si="282"/>
        <v>0</v>
      </c>
    </row>
    <row r="3389" spans="2:28" ht="20.100000000000001" customHeight="1">
      <c r="B3389" s="172"/>
      <c r="C3389" s="174"/>
      <c r="D3389" s="181"/>
      <c r="E3389" s="173"/>
      <c r="F3389" s="176"/>
      <c r="G3389" s="175">
        <f t="shared" si="273"/>
        <v>0</v>
      </c>
      <c r="H3389" s="175">
        <f t="shared" si="274"/>
        <v>0</v>
      </c>
      <c r="I3389" s="177">
        <f>IF(G3389=0,0,IF(E3389="MXN",1/HLOOKUP(YEAR(C3389)+(MONTH(C3389)/100),TC!$5:$37,DAY(C3389)+2,FALSE),VLOOKUP(E3389,Equivalencia!$5:$23,((MAX(Equivalencia!$3:$3)-YEAR(C3389))*14)+MONTH(C3389)+2,FALSE)))</f>
        <v>0</v>
      </c>
      <c r="J3389" s="178">
        <f t="shared" si="275"/>
        <v>0</v>
      </c>
      <c r="K3389" s="462">
        <f>IF(C3389=0,0,VLOOKUP(YEAR(C3389),INPC!$B$4:$O$29,MONTH(C3389)+1))</f>
        <v>0</v>
      </c>
      <c r="L3389" s="462">
        <f>IF(S3389=0,0,VLOOKUP(YEAR(S3389),INPC!$B$4:$O$29,MONTH(S3389)+1))</f>
        <v>0</v>
      </c>
      <c r="M3389" s="463">
        <f t="shared" si="276"/>
        <v>0</v>
      </c>
      <c r="N3389" s="465">
        <f t="shared" si="277"/>
        <v>0</v>
      </c>
      <c r="O3389" s="179"/>
      <c r="P3389" s="180"/>
      <c r="Q3389" s="173"/>
      <c r="R3389" s="173"/>
      <c r="S3389" s="174"/>
      <c r="T3389" s="173"/>
      <c r="U3389" s="182"/>
      <c r="V3389" s="177">
        <f>IF(U3389=0,0,IF(T3389="MXN",1/HLOOKUP(YEAR(S3389)+(MONTH(S3389)/100),TC!$5:$37,DAY(S3389)+2,FALSE),VLOOKUP(T3389,Equivalencia!$1:$23,((MAX(Equivalencia!$3:$3)-YEAR(S3389))*14)+MONTH(S3389)+2,FALSE)))</f>
        <v>0</v>
      </c>
      <c r="W3389" s="178">
        <f t="shared" si="278"/>
        <v>0</v>
      </c>
      <c r="X3389" s="481">
        <f t="shared" si="279"/>
        <v>0</v>
      </c>
      <c r="Y3389" s="179"/>
      <c r="Z3389" s="466">
        <f t="shared" si="280"/>
        <v>0</v>
      </c>
      <c r="AA3389" s="473">
        <f t="shared" si="281"/>
        <v>0</v>
      </c>
      <c r="AB3389" s="339">
        <f t="shared" si="282"/>
        <v>0</v>
      </c>
    </row>
    <row r="3390" spans="2:28" ht="20.100000000000001" customHeight="1">
      <c r="B3390" s="172"/>
      <c r="C3390" s="174"/>
      <c r="D3390" s="181"/>
      <c r="E3390" s="173"/>
      <c r="F3390" s="176"/>
      <c r="G3390" s="175">
        <f t="shared" si="273"/>
        <v>0</v>
      </c>
      <c r="H3390" s="175">
        <f t="shared" si="274"/>
        <v>0</v>
      </c>
      <c r="I3390" s="177">
        <f>IF(G3390=0,0,IF(E3390="MXN",1/HLOOKUP(YEAR(C3390)+(MONTH(C3390)/100),TC!$5:$37,DAY(C3390)+2,FALSE),VLOOKUP(E3390,Equivalencia!$5:$23,((MAX(Equivalencia!$3:$3)-YEAR(C3390))*14)+MONTH(C3390)+2,FALSE)))</f>
        <v>0</v>
      </c>
      <c r="J3390" s="178">
        <f t="shared" si="275"/>
        <v>0</v>
      </c>
      <c r="K3390" s="462">
        <f>IF(C3390=0,0,VLOOKUP(YEAR(C3390),INPC!$B$4:$O$29,MONTH(C3390)+1))</f>
        <v>0</v>
      </c>
      <c r="L3390" s="462">
        <f>IF(S3390=0,0,VLOOKUP(YEAR(S3390),INPC!$B$4:$O$29,MONTH(S3390)+1))</f>
        <v>0</v>
      </c>
      <c r="M3390" s="463">
        <f t="shared" si="276"/>
        <v>0</v>
      </c>
      <c r="N3390" s="465">
        <f t="shared" si="277"/>
        <v>0</v>
      </c>
      <c r="O3390" s="179"/>
      <c r="P3390" s="180"/>
      <c r="Q3390" s="173"/>
      <c r="R3390" s="173"/>
      <c r="S3390" s="174"/>
      <c r="T3390" s="173"/>
      <c r="U3390" s="182"/>
      <c r="V3390" s="177">
        <f>IF(U3390=0,0,IF(T3390="MXN",1/HLOOKUP(YEAR(S3390)+(MONTH(S3390)/100),TC!$5:$37,DAY(S3390)+2,FALSE),VLOOKUP(T3390,Equivalencia!$1:$23,((MAX(Equivalencia!$3:$3)-YEAR(S3390))*14)+MONTH(S3390)+2,FALSE)))</f>
        <v>0</v>
      </c>
      <c r="W3390" s="178">
        <f t="shared" si="278"/>
        <v>0</v>
      </c>
      <c r="X3390" s="481">
        <f t="shared" si="279"/>
        <v>0</v>
      </c>
      <c r="Y3390" s="179"/>
      <c r="Z3390" s="466">
        <f t="shared" si="280"/>
        <v>0</v>
      </c>
      <c r="AA3390" s="473">
        <f t="shared" si="281"/>
        <v>0</v>
      </c>
      <c r="AB3390" s="339">
        <f t="shared" si="282"/>
        <v>0</v>
      </c>
    </row>
    <row r="3391" spans="2:28" ht="20.100000000000001" customHeight="1">
      <c r="B3391" s="172"/>
      <c r="C3391" s="174"/>
      <c r="D3391" s="181"/>
      <c r="E3391" s="173"/>
      <c r="F3391" s="176"/>
      <c r="G3391" s="175">
        <f t="shared" si="273"/>
        <v>0</v>
      </c>
      <c r="H3391" s="175">
        <f t="shared" si="274"/>
        <v>0</v>
      </c>
      <c r="I3391" s="177">
        <f>IF(G3391=0,0,IF(E3391="MXN",1/HLOOKUP(YEAR(C3391)+(MONTH(C3391)/100),TC!$5:$37,DAY(C3391)+2,FALSE),VLOOKUP(E3391,Equivalencia!$5:$23,((MAX(Equivalencia!$3:$3)-YEAR(C3391))*14)+MONTH(C3391)+2,FALSE)))</f>
        <v>0</v>
      </c>
      <c r="J3391" s="178">
        <f t="shared" si="275"/>
        <v>0</v>
      </c>
      <c r="K3391" s="462">
        <f>IF(C3391=0,0,VLOOKUP(YEAR(C3391),INPC!$B$4:$O$29,MONTH(C3391)+1))</f>
        <v>0</v>
      </c>
      <c r="L3391" s="462">
        <f>IF(S3391=0,0,VLOOKUP(YEAR(S3391),INPC!$B$4:$O$29,MONTH(S3391)+1))</f>
        <v>0</v>
      </c>
      <c r="M3391" s="463">
        <f t="shared" si="276"/>
        <v>0</v>
      </c>
      <c r="N3391" s="465">
        <f t="shared" si="277"/>
        <v>0</v>
      </c>
      <c r="O3391" s="179"/>
      <c r="P3391" s="180"/>
      <c r="Q3391" s="173"/>
      <c r="R3391" s="173"/>
      <c r="S3391" s="174"/>
      <c r="T3391" s="173"/>
      <c r="U3391" s="182"/>
      <c r="V3391" s="177">
        <f>IF(U3391=0,0,IF(T3391="MXN",1/HLOOKUP(YEAR(S3391)+(MONTH(S3391)/100),TC!$5:$37,DAY(S3391)+2,FALSE),VLOOKUP(T3391,Equivalencia!$1:$23,((MAX(Equivalencia!$3:$3)-YEAR(S3391))*14)+MONTH(S3391)+2,FALSE)))</f>
        <v>0</v>
      </c>
      <c r="W3391" s="178">
        <f t="shared" si="278"/>
        <v>0</v>
      </c>
      <c r="X3391" s="481">
        <f t="shared" si="279"/>
        <v>0</v>
      </c>
      <c r="Y3391" s="179"/>
      <c r="Z3391" s="466">
        <f t="shared" si="280"/>
        <v>0</v>
      </c>
      <c r="AA3391" s="473">
        <f t="shared" si="281"/>
        <v>0</v>
      </c>
      <c r="AB3391" s="339">
        <f t="shared" si="282"/>
        <v>0</v>
      </c>
    </row>
    <row r="3392" spans="2:28" ht="20.100000000000001" customHeight="1">
      <c r="B3392" s="172"/>
      <c r="C3392" s="174"/>
      <c r="D3392" s="181"/>
      <c r="E3392" s="173"/>
      <c r="F3392" s="176"/>
      <c r="G3392" s="175">
        <f t="shared" si="273"/>
        <v>0</v>
      </c>
      <c r="H3392" s="175">
        <f t="shared" si="274"/>
        <v>0</v>
      </c>
      <c r="I3392" s="177">
        <f>IF(G3392=0,0,IF(E3392="MXN",1/HLOOKUP(YEAR(C3392)+(MONTH(C3392)/100),TC!$5:$37,DAY(C3392)+2,FALSE),VLOOKUP(E3392,Equivalencia!$5:$23,((MAX(Equivalencia!$3:$3)-YEAR(C3392))*14)+MONTH(C3392)+2,FALSE)))</f>
        <v>0</v>
      </c>
      <c r="J3392" s="178">
        <f t="shared" si="275"/>
        <v>0</v>
      </c>
      <c r="K3392" s="462">
        <f>IF(C3392=0,0,VLOOKUP(YEAR(C3392),INPC!$B$4:$O$29,MONTH(C3392)+1))</f>
        <v>0</v>
      </c>
      <c r="L3392" s="462">
        <f>IF(S3392=0,0,VLOOKUP(YEAR(S3392),INPC!$B$4:$O$29,MONTH(S3392)+1))</f>
        <v>0</v>
      </c>
      <c r="M3392" s="463">
        <f t="shared" si="276"/>
        <v>0</v>
      </c>
      <c r="N3392" s="465">
        <f t="shared" si="277"/>
        <v>0</v>
      </c>
      <c r="O3392" s="179"/>
      <c r="P3392" s="180"/>
      <c r="Q3392" s="173"/>
      <c r="R3392" s="173"/>
      <c r="S3392" s="174"/>
      <c r="T3392" s="173"/>
      <c r="U3392" s="182"/>
      <c r="V3392" s="177">
        <f>IF(U3392=0,0,IF(T3392="MXN",1/HLOOKUP(YEAR(S3392)+(MONTH(S3392)/100),TC!$5:$37,DAY(S3392)+2,FALSE),VLOOKUP(T3392,Equivalencia!$1:$23,((MAX(Equivalencia!$3:$3)-YEAR(S3392))*14)+MONTH(S3392)+2,FALSE)))</f>
        <v>0</v>
      </c>
      <c r="W3392" s="178">
        <f t="shared" si="278"/>
        <v>0</v>
      </c>
      <c r="X3392" s="481">
        <f t="shared" si="279"/>
        <v>0</v>
      </c>
      <c r="Y3392" s="179"/>
      <c r="Z3392" s="466">
        <f t="shared" si="280"/>
        <v>0</v>
      </c>
      <c r="AA3392" s="473">
        <f t="shared" si="281"/>
        <v>0</v>
      </c>
      <c r="AB3392" s="339">
        <f t="shared" si="282"/>
        <v>0</v>
      </c>
    </row>
    <row r="3393" spans="2:28" ht="20.100000000000001" customHeight="1">
      <c r="B3393" s="172"/>
      <c r="C3393" s="174"/>
      <c r="D3393" s="181"/>
      <c r="E3393" s="173"/>
      <c r="F3393" s="176"/>
      <c r="G3393" s="175">
        <f t="shared" si="273"/>
        <v>0</v>
      </c>
      <c r="H3393" s="175">
        <f t="shared" si="274"/>
        <v>0</v>
      </c>
      <c r="I3393" s="177">
        <f>IF(G3393=0,0,IF(E3393="MXN",1/HLOOKUP(YEAR(C3393)+(MONTH(C3393)/100),TC!$5:$37,DAY(C3393)+2,FALSE),VLOOKUP(E3393,Equivalencia!$5:$23,((MAX(Equivalencia!$3:$3)-YEAR(C3393))*14)+MONTH(C3393)+2,FALSE)))</f>
        <v>0</v>
      </c>
      <c r="J3393" s="178">
        <f t="shared" si="275"/>
        <v>0</v>
      </c>
      <c r="K3393" s="462">
        <f>IF(C3393=0,0,VLOOKUP(YEAR(C3393),INPC!$B$4:$O$29,MONTH(C3393)+1))</f>
        <v>0</v>
      </c>
      <c r="L3393" s="462">
        <f>IF(S3393=0,0,VLOOKUP(YEAR(S3393),INPC!$B$4:$O$29,MONTH(S3393)+1))</f>
        <v>0</v>
      </c>
      <c r="M3393" s="463">
        <f t="shared" si="276"/>
        <v>0</v>
      </c>
      <c r="N3393" s="465">
        <f t="shared" si="277"/>
        <v>0</v>
      </c>
      <c r="O3393" s="179"/>
      <c r="P3393" s="180"/>
      <c r="Q3393" s="173"/>
      <c r="R3393" s="173"/>
      <c r="S3393" s="174"/>
      <c r="T3393" s="173"/>
      <c r="U3393" s="182"/>
      <c r="V3393" s="177">
        <f>IF(U3393=0,0,IF(T3393="MXN",1/HLOOKUP(YEAR(S3393)+(MONTH(S3393)/100),TC!$5:$37,DAY(S3393)+2,FALSE),VLOOKUP(T3393,Equivalencia!$1:$23,((MAX(Equivalencia!$3:$3)-YEAR(S3393))*14)+MONTH(S3393)+2,FALSE)))</f>
        <v>0</v>
      </c>
      <c r="W3393" s="178">
        <f t="shared" si="278"/>
        <v>0</v>
      </c>
      <c r="X3393" s="481">
        <f t="shared" si="279"/>
        <v>0</v>
      </c>
      <c r="Y3393" s="179"/>
      <c r="Z3393" s="466">
        <f t="shared" si="280"/>
        <v>0</v>
      </c>
      <c r="AA3393" s="473">
        <f t="shared" si="281"/>
        <v>0</v>
      </c>
      <c r="AB3393" s="339">
        <f t="shared" si="282"/>
        <v>0</v>
      </c>
    </row>
    <row r="3394" spans="2:28" ht="20.100000000000001" customHeight="1">
      <c r="B3394" s="172"/>
      <c r="C3394" s="174"/>
      <c r="D3394" s="181"/>
      <c r="E3394" s="173"/>
      <c r="F3394" s="176"/>
      <c r="G3394" s="175">
        <f t="shared" si="273"/>
        <v>0</v>
      </c>
      <c r="H3394" s="175">
        <f t="shared" si="274"/>
        <v>0</v>
      </c>
      <c r="I3394" s="177">
        <f>IF(G3394=0,0,IF(E3394="MXN",1/HLOOKUP(YEAR(C3394)+(MONTH(C3394)/100),TC!$5:$37,DAY(C3394)+2,FALSE),VLOOKUP(E3394,Equivalencia!$5:$23,((MAX(Equivalencia!$3:$3)-YEAR(C3394))*14)+MONTH(C3394)+2,FALSE)))</f>
        <v>0</v>
      </c>
      <c r="J3394" s="178">
        <f t="shared" si="275"/>
        <v>0</v>
      </c>
      <c r="K3394" s="462">
        <f>IF(C3394=0,0,VLOOKUP(YEAR(C3394),INPC!$B$4:$O$29,MONTH(C3394)+1))</f>
        <v>0</v>
      </c>
      <c r="L3394" s="462">
        <f>IF(S3394=0,0,VLOOKUP(YEAR(S3394),INPC!$B$4:$O$29,MONTH(S3394)+1))</f>
        <v>0</v>
      </c>
      <c r="M3394" s="463">
        <f t="shared" si="276"/>
        <v>0</v>
      </c>
      <c r="N3394" s="465">
        <f t="shared" si="277"/>
        <v>0</v>
      </c>
      <c r="O3394" s="179"/>
      <c r="P3394" s="180"/>
      <c r="Q3394" s="173"/>
      <c r="R3394" s="173"/>
      <c r="S3394" s="174"/>
      <c r="T3394" s="173"/>
      <c r="U3394" s="182"/>
      <c r="V3394" s="177">
        <f>IF(U3394=0,0,IF(T3394="MXN",1/HLOOKUP(YEAR(S3394)+(MONTH(S3394)/100),TC!$5:$37,DAY(S3394)+2,FALSE),VLOOKUP(T3394,Equivalencia!$1:$23,((MAX(Equivalencia!$3:$3)-YEAR(S3394))*14)+MONTH(S3394)+2,FALSE)))</f>
        <v>0</v>
      </c>
      <c r="W3394" s="178">
        <f t="shared" si="278"/>
        <v>0</v>
      </c>
      <c r="X3394" s="481">
        <f t="shared" si="279"/>
        <v>0</v>
      </c>
      <c r="Y3394" s="179"/>
      <c r="Z3394" s="466">
        <f t="shared" si="280"/>
        <v>0</v>
      </c>
      <c r="AA3394" s="473">
        <f t="shared" si="281"/>
        <v>0</v>
      </c>
      <c r="AB3394" s="339">
        <f t="shared" si="282"/>
        <v>0</v>
      </c>
    </row>
    <row r="3395" spans="2:28" ht="20.100000000000001" customHeight="1">
      <c r="B3395" s="172"/>
      <c r="C3395" s="174"/>
      <c r="D3395" s="181"/>
      <c r="E3395" s="173"/>
      <c r="F3395" s="176"/>
      <c r="G3395" s="175">
        <f t="shared" si="273"/>
        <v>0</v>
      </c>
      <c r="H3395" s="175">
        <f t="shared" si="274"/>
        <v>0</v>
      </c>
      <c r="I3395" s="177">
        <f>IF(G3395=0,0,IF(E3395="MXN",1/HLOOKUP(YEAR(C3395)+(MONTH(C3395)/100),TC!$5:$37,DAY(C3395)+2,FALSE),VLOOKUP(E3395,Equivalencia!$5:$23,((MAX(Equivalencia!$3:$3)-YEAR(C3395))*14)+MONTH(C3395)+2,FALSE)))</f>
        <v>0</v>
      </c>
      <c r="J3395" s="178">
        <f t="shared" si="275"/>
        <v>0</v>
      </c>
      <c r="K3395" s="462">
        <f>IF(C3395=0,0,VLOOKUP(YEAR(C3395),INPC!$B$4:$O$29,MONTH(C3395)+1))</f>
        <v>0</v>
      </c>
      <c r="L3395" s="462">
        <f>IF(S3395=0,0,VLOOKUP(YEAR(S3395),INPC!$B$4:$O$29,MONTH(S3395)+1))</f>
        <v>0</v>
      </c>
      <c r="M3395" s="463">
        <f t="shared" si="276"/>
        <v>0</v>
      </c>
      <c r="N3395" s="465">
        <f t="shared" si="277"/>
        <v>0</v>
      </c>
      <c r="O3395" s="179"/>
      <c r="P3395" s="180"/>
      <c r="Q3395" s="173"/>
      <c r="R3395" s="173"/>
      <c r="S3395" s="174"/>
      <c r="T3395" s="173"/>
      <c r="U3395" s="182"/>
      <c r="V3395" s="177">
        <f>IF(U3395=0,0,IF(T3395="MXN",1/HLOOKUP(YEAR(S3395)+(MONTH(S3395)/100),TC!$5:$37,DAY(S3395)+2,FALSE),VLOOKUP(T3395,Equivalencia!$1:$23,((MAX(Equivalencia!$3:$3)-YEAR(S3395))*14)+MONTH(S3395)+2,FALSE)))</f>
        <v>0</v>
      </c>
      <c r="W3395" s="178">
        <f t="shared" si="278"/>
        <v>0</v>
      </c>
      <c r="X3395" s="481">
        <f t="shared" si="279"/>
        <v>0</v>
      </c>
      <c r="Y3395" s="179"/>
      <c r="Z3395" s="466">
        <f t="shared" si="280"/>
        <v>0</v>
      </c>
      <c r="AA3395" s="473">
        <f t="shared" si="281"/>
        <v>0</v>
      </c>
      <c r="AB3395" s="339">
        <f t="shared" si="282"/>
        <v>0</v>
      </c>
    </row>
    <row r="3396" spans="2:28" ht="20.100000000000001" customHeight="1">
      <c r="B3396" s="172"/>
      <c r="C3396" s="174"/>
      <c r="D3396" s="181"/>
      <c r="E3396" s="173"/>
      <c r="F3396" s="176"/>
      <c r="G3396" s="175">
        <f t="shared" si="273"/>
        <v>0</v>
      </c>
      <c r="H3396" s="175">
        <f t="shared" si="274"/>
        <v>0</v>
      </c>
      <c r="I3396" s="177">
        <f>IF(G3396=0,0,IF(E3396="MXN",1/HLOOKUP(YEAR(C3396)+(MONTH(C3396)/100),TC!$5:$37,DAY(C3396)+2,FALSE),VLOOKUP(E3396,Equivalencia!$5:$23,((MAX(Equivalencia!$3:$3)-YEAR(C3396))*14)+MONTH(C3396)+2,FALSE)))</f>
        <v>0</v>
      </c>
      <c r="J3396" s="178">
        <f t="shared" si="275"/>
        <v>0</v>
      </c>
      <c r="K3396" s="462">
        <f>IF(C3396=0,0,VLOOKUP(YEAR(C3396),INPC!$B$4:$O$29,MONTH(C3396)+1))</f>
        <v>0</v>
      </c>
      <c r="L3396" s="462">
        <f>IF(S3396=0,0,VLOOKUP(YEAR(S3396),INPC!$B$4:$O$29,MONTH(S3396)+1))</f>
        <v>0</v>
      </c>
      <c r="M3396" s="463">
        <f t="shared" si="276"/>
        <v>0</v>
      </c>
      <c r="N3396" s="465">
        <f t="shared" si="277"/>
        <v>0</v>
      </c>
      <c r="O3396" s="179"/>
      <c r="P3396" s="180"/>
      <c r="Q3396" s="173"/>
      <c r="R3396" s="173"/>
      <c r="S3396" s="174"/>
      <c r="T3396" s="173"/>
      <c r="U3396" s="182"/>
      <c r="V3396" s="177">
        <f>IF(U3396=0,0,IF(T3396="MXN",1/HLOOKUP(YEAR(S3396)+(MONTH(S3396)/100),TC!$5:$37,DAY(S3396)+2,FALSE),VLOOKUP(T3396,Equivalencia!$1:$23,((MAX(Equivalencia!$3:$3)-YEAR(S3396))*14)+MONTH(S3396)+2,FALSE)))</f>
        <v>0</v>
      </c>
      <c r="W3396" s="178">
        <f t="shared" si="278"/>
        <v>0</v>
      </c>
      <c r="X3396" s="481">
        <f t="shared" si="279"/>
        <v>0</v>
      </c>
      <c r="Y3396" s="179"/>
      <c r="Z3396" s="466">
        <f t="shared" si="280"/>
        <v>0</v>
      </c>
      <c r="AA3396" s="473">
        <f t="shared" si="281"/>
        <v>0</v>
      </c>
      <c r="AB3396" s="339">
        <f t="shared" si="282"/>
        <v>0</v>
      </c>
    </row>
    <row r="3397" spans="2:28" ht="20.100000000000001" customHeight="1">
      <c r="B3397" s="172"/>
      <c r="C3397" s="174"/>
      <c r="D3397" s="181"/>
      <c r="E3397" s="173"/>
      <c r="F3397" s="176"/>
      <c r="G3397" s="175">
        <f t="shared" si="273"/>
        <v>0</v>
      </c>
      <c r="H3397" s="175">
        <f t="shared" si="274"/>
        <v>0</v>
      </c>
      <c r="I3397" s="177">
        <f>IF(G3397=0,0,IF(E3397="MXN",1/HLOOKUP(YEAR(C3397)+(MONTH(C3397)/100),TC!$5:$37,DAY(C3397)+2,FALSE),VLOOKUP(E3397,Equivalencia!$5:$23,((MAX(Equivalencia!$3:$3)-YEAR(C3397))*14)+MONTH(C3397)+2,FALSE)))</f>
        <v>0</v>
      </c>
      <c r="J3397" s="178">
        <f t="shared" si="275"/>
        <v>0</v>
      </c>
      <c r="K3397" s="462">
        <f>IF(C3397=0,0,VLOOKUP(YEAR(C3397),INPC!$B$4:$O$29,MONTH(C3397)+1))</f>
        <v>0</v>
      </c>
      <c r="L3397" s="462">
        <f>IF(S3397=0,0,VLOOKUP(YEAR(S3397),INPC!$B$4:$O$29,MONTH(S3397)+1))</f>
        <v>0</v>
      </c>
      <c r="M3397" s="463">
        <f t="shared" si="276"/>
        <v>0</v>
      </c>
      <c r="N3397" s="465">
        <f t="shared" si="277"/>
        <v>0</v>
      </c>
      <c r="O3397" s="179"/>
      <c r="P3397" s="180"/>
      <c r="Q3397" s="173"/>
      <c r="R3397" s="173"/>
      <c r="S3397" s="174"/>
      <c r="T3397" s="173"/>
      <c r="U3397" s="182"/>
      <c r="V3397" s="177">
        <f>IF(U3397=0,0,IF(T3397="MXN",1/HLOOKUP(YEAR(S3397)+(MONTH(S3397)/100),TC!$5:$37,DAY(S3397)+2,FALSE),VLOOKUP(T3397,Equivalencia!$1:$23,((MAX(Equivalencia!$3:$3)-YEAR(S3397))*14)+MONTH(S3397)+2,FALSE)))</f>
        <v>0</v>
      </c>
      <c r="W3397" s="178">
        <f t="shared" si="278"/>
        <v>0</v>
      </c>
      <c r="X3397" s="481">
        <f t="shared" si="279"/>
        <v>0</v>
      </c>
      <c r="Y3397" s="179"/>
      <c r="Z3397" s="466">
        <f t="shared" si="280"/>
        <v>0</v>
      </c>
      <c r="AA3397" s="473">
        <f t="shared" si="281"/>
        <v>0</v>
      </c>
      <c r="AB3397" s="339">
        <f t="shared" si="282"/>
        <v>0</v>
      </c>
    </row>
    <row r="3398" spans="2:28" ht="20.100000000000001" customHeight="1">
      <c r="B3398" s="172"/>
      <c r="C3398" s="174"/>
      <c r="D3398" s="181"/>
      <c r="E3398" s="173"/>
      <c r="F3398" s="176"/>
      <c r="G3398" s="175">
        <f t="shared" si="273"/>
        <v>0</v>
      </c>
      <c r="H3398" s="175">
        <f t="shared" si="274"/>
        <v>0</v>
      </c>
      <c r="I3398" s="177">
        <f>IF(G3398=0,0,IF(E3398="MXN",1/HLOOKUP(YEAR(C3398)+(MONTH(C3398)/100),TC!$5:$37,DAY(C3398)+2,FALSE),VLOOKUP(E3398,Equivalencia!$5:$23,((MAX(Equivalencia!$3:$3)-YEAR(C3398))*14)+MONTH(C3398)+2,FALSE)))</f>
        <v>0</v>
      </c>
      <c r="J3398" s="178">
        <f t="shared" si="275"/>
        <v>0</v>
      </c>
      <c r="K3398" s="462">
        <f>IF(C3398=0,0,VLOOKUP(YEAR(C3398),INPC!$B$4:$O$29,MONTH(C3398)+1))</f>
        <v>0</v>
      </c>
      <c r="L3398" s="462">
        <f>IF(S3398=0,0,VLOOKUP(YEAR(S3398),INPC!$B$4:$O$29,MONTH(S3398)+1))</f>
        <v>0</v>
      </c>
      <c r="M3398" s="463">
        <f t="shared" si="276"/>
        <v>0</v>
      </c>
      <c r="N3398" s="465">
        <f t="shared" si="277"/>
        <v>0</v>
      </c>
      <c r="O3398" s="179"/>
      <c r="P3398" s="180"/>
      <c r="Q3398" s="173"/>
      <c r="R3398" s="173"/>
      <c r="S3398" s="174"/>
      <c r="T3398" s="173"/>
      <c r="U3398" s="182"/>
      <c r="V3398" s="177">
        <f>IF(U3398=0,0,IF(T3398="MXN",1/HLOOKUP(YEAR(S3398)+(MONTH(S3398)/100),TC!$5:$37,DAY(S3398)+2,FALSE),VLOOKUP(T3398,Equivalencia!$1:$23,((MAX(Equivalencia!$3:$3)-YEAR(S3398))*14)+MONTH(S3398)+2,FALSE)))</f>
        <v>0</v>
      </c>
      <c r="W3398" s="178">
        <f t="shared" si="278"/>
        <v>0</v>
      </c>
      <c r="X3398" s="481">
        <f t="shared" si="279"/>
        <v>0</v>
      </c>
      <c r="Y3398" s="179"/>
      <c r="Z3398" s="466">
        <f t="shared" si="280"/>
        <v>0</v>
      </c>
      <c r="AA3398" s="473">
        <f t="shared" si="281"/>
        <v>0</v>
      </c>
      <c r="AB3398" s="339">
        <f t="shared" si="282"/>
        <v>0</v>
      </c>
    </row>
    <row r="3399" spans="2:28" ht="20.100000000000001" customHeight="1">
      <c r="B3399" s="172"/>
      <c r="C3399" s="174"/>
      <c r="D3399" s="181"/>
      <c r="E3399" s="173"/>
      <c r="F3399" s="176"/>
      <c r="G3399" s="175">
        <f t="shared" si="273"/>
        <v>0</v>
      </c>
      <c r="H3399" s="175">
        <f t="shared" si="274"/>
        <v>0</v>
      </c>
      <c r="I3399" s="177">
        <f>IF(G3399=0,0,IF(E3399="MXN",1/HLOOKUP(YEAR(C3399)+(MONTH(C3399)/100),TC!$5:$37,DAY(C3399)+2,FALSE),VLOOKUP(E3399,Equivalencia!$5:$23,((MAX(Equivalencia!$3:$3)-YEAR(C3399))*14)+MONTH(C3399)+2,FALSE)))</f>
        <v>0</v>
      </c>
      <c r="J3399" s="178">
        <f t="shared" si="275"/>
        <v>0</v>
      </c>
      <c r="K3399" s="462">
        <f>IF(C3399=0,0,VLOOKUP(YEAR(C3399),INPC!$B$4:$O$29,MONTH(C3399)+1))</f>
        <v>0</v>
      </c>
      <c r="L3399" s="462">
        <f>IF(S3399=0,0,VLOOKUP(YEAR(S3399),INPC!$B$4:$O$29,MONTH(S3399)+1))</f>
        <v>0</v>
      </c>
      <c r="M3399" s="463">
        <f t="shared" si="276"/>
        <v>0</v>
      </c>
      <c r="N3399" s="465">
        <f t="shared" si="277"/>
        <v>0</v>
      </c>
      <c r="O3399" s="179"/>
      <c r="P3399" s="180"/>
      <c r="Q3399" s="173"/>
      <c r="R3399" s="173"/>
      <c r="S3399" s="174"/>
      <c r="T3399" s="173"/>
      <c r="U3399" s="182"/>
      <c r="V3399" s="177">
        <f>IF(U3399=0,0,IF(T3399="MXN",1/HLOOKUP(YEAR(S3399)+(MONTH(S3399)/100),TC!$5:$37,DAY(S3399)+2,FALSE),VLOOKUP(T3399,Equivalencia!$1:$23,((MAX(Equivalencia!$3:$3)-YEAR(S3399))*14)+MONTH(S3399)+2,FALSE)))</f>
        <v>0</v>
      </c>
      <c r="W3399" s="178">
        <f t="shared" si="278"/>
        <v>0</v>
      </c>
      <c r="X3399" s="481">
        <f t="shared" si="279"/>
        <v>0</v>
      </c>
      <c r="Y3399" s="179"/>
      <c r="Z3399" s="466">
        <f t="shared" si="280"/>
        <v>0</v>
      </c>
      <c r="AA3399" s="473">
        <f t="shared" si="281"/>
        <v>0</v>
      </c>
      <c r="AB3399" s="339">
        <f t="shared" si="282"/>
        <v>0</v>
      </c>
    </row>
    <row r="3400" spans="2:28" ht="20.100000000000001" customHeight="1">
      <c r="B3400" s="172"/>
      <c r="C3400" s="174"/>
      <c r="D3400" s="181"/>
      <c r="E3400" s="173"/>
      <c r="F3400" s="176"/>
      <c r="G3400" s="175">
        <f t="shared" si="273"/>
        <v>0</v>
      </c>
      <c r="H3400" s="175">
        <f t="shared" si="274"/>
        <v>0</v>
      </c>
      <c r="I3400" s="177">
        <f>IF(G3400=0,0,IF(E3400="MXN",1/HLOOKUP(YEAR(C3400)+(MONTH(C3400)/100),TC!$5:$37,DAY(C3400)+2,FALSE),VLOOKUP(E3400,Equivalencia!$5:$23,((MAX(Equivalencia!$3:$3)-YEAR(C3400))*14)+MONTH(C3400)+2,FALSE)))</f>
        <v>0</v>
      </c>
      <c r="J3400" s="178">
        <f t="shared" si="275"/>
        <v>0</v>
      </c>
      <c r="K3400" s="462">
        <f>IF(C3400=0,0,VLOOKUP(YEAR(C3400),INPC!$B$4:$O$29,MONTH(C3400)+1))</f>
        <v>0</v>
      </c>
      <c r="L3400" s="462">
        <f>IF(S3400=0,0,VLOOKUP(YEAR(S3400),INPC!$B$4:$O$29,MONTH(S3400)+1))</f>
        <v>0</v>
      </c>
      <c r="M3400" s="463">
        <f t="shared" si="276"/>
        <v>0</v>
      </c>
      <c r="N3400" s="465">
        <f t="shared" si="277"/>
        <v>0</v>
      </c>
      <c r="O3400" s="179"/>
      <c r="P3400" s="180"/>
      <c r="Q3400" s="173"/>
      <c r="R3400" s="173"/>
      <c r="S3400" s="174"/>
      <c r="T3400" s="173"/>
      <c r="U3400" s="182"/>
      <c r="V3400" s="177">
        <f>IF(U3400=0,0,IF(T3400="MXN",1/HLOOKUP(YEAR(S3400)+(MONTH(S3400)/100),TC!$5:$37,DAY(S3400)+2,FALSE),VLOOKUP(T3400,Equivalencia!$1:$23,((MAX(Equivalencia!$3:$3)-YEAR(S3400))*14)+MONTH(S3400)+2,FALSE)))</f>
        <v>0</v>
      </c>
      <c r="W3400" s="178">
        <f t="shared" si="278"/>
        <v>0</v>
      </c>
      <c r="X3400" s="481">
        <f t="shared" si="279"/>
        <v>0</v>
      </c>
      <c r="Y3400" s="179"/>
      <c r="Z3400" s="466">
        <f t="shared" si="280"/>
        <v>0</v>
      </c>
      <c r="AA3400" s="473">
        <f t="shared" si="281"/>
        <v>0</v>
      </c>
      <c r="AB3400" s="339">
        <f t="shared" si="282"/>
        <v>0</v>
      </c>
    </row>
    <row r="3401" spans="2:28" ht="20.100000000000001" customHeight="1">
      <c r="B3401" s="172"/>
      <c r="C3401" s="174"/>
      <c r="D3401" s="181"/>
      <c r="E3401" s="173"/>
      <c r="F3401" s="176"/>
      <c r="G3401" s="175">
        <f t="shared" si="273"/>
        <v>0</v>
      </c>
      <c r="H3401" s="175">
        <f t="shared" si="274"/>
        <v>0</v>
      </c>
      <c r="I3401" s="177">
        <f>IF(G3401=0,0,IF(E3401="MXN",1/HLOOKUP(YEAR(C3401)+(MONTH(C3401)/100),TC!$5:$37,DAY(C3401)+2,FALSE),VLOOKUP(E3401,Equivalencia!$5:$23,((MAX(Equivalencia!$3:$3)-YEAR(C3401))*14)+MONTH(C3401)+2,FALSE)))</f>
        <v>0</v>
      </c>
      <c r="J3401" s="178">
        <f t="shared" si="275"/>
        <v>0</v>
      </c>
      <c r="K3401" s="462">
        <f>IF(C3401=0,0,VLOOKUP(YEAR(C3401),INPC!$B$4:$O$29,MONTH(C3401)+1))</f>
        <v>0</v>
      </c>
      <c r="L3401" s="462">
        <f>IF(S3401=0,0,VLOOKUP(YEAR(S3401),INPC!$B$4:$O$29,MONTH(S3401)+1))</f>
        <v>0</v>
      </c>
      <c r="M3401" s="463">
        <f t="shared" si="276"/>
        <v>0</v>
      </c>
      <c r="N3401" s="465">
        <f t="shared" si="277"/>
        <v>0</v>
      </c>
      <c r="O3401" s="179"/>
      <c r="P3401" s="180"/>
      <c r="Q3401" s="173"/>
      <c r="R3401" s="173"/>
      <c r="S3401" s="174"/>
      <c r="T3401" s="173"/>
      <c r="U3401" s="182"/>
      <c r="V3401" s="177">
        <f>IF(U3401=0,0,IF(T3401="MXN",1/HLOOKUP(YEAR(S3401)+(MONTH(S3401)/100),TC!$5:$37,DAY(S3401)+2,FALSE),VLOOKUP(T3401,Equivalencia!$1:$23,((MAX(Equivalencia!$3:$3)-YEAR(S3401))*14)+MONTH(S3401)+2,FALSE)))</f>
        <v>0</v>
      </c>
      <c r="W3401" s="178">
        <f t="shared" si="278"/>
        <v>0</v>
      </c>
      <c r="X3401" s="481">
        <f t="shared" si="279"/>
        <v>0</v>
      </c>
      <c r="Y3401" s="179"/>
      <c r="Z3401" s="466">
        <f t="shared" si="280"/>
        <v>0</v>
      </c>
      <c r="AA3401" s="473">
        <f t="shared" si="281"/>
        <v>0</v>
      </c>
      <c r="AB3401" s="339">
        <f t="shared" si="282"/>
        <v>0</v>
      </c>
    </row>
    <row r="3402" spans="2:28" ht="20.100000000000001" customHeight="1">
      <c r="B3402" s="172"/>
      <c r="C3402" s="174"/>
      <c r="D3402" s="181"/>
      <c r="E3402" s="173"/>
      <c r="F3402" s="176"/>
      <c r="G3402" s="175">
        <f t="shared" si="273"/>
        <v>0</v>
      </c>
      <c r="H3402" s="175">
        <f t="shared" si="274"/>
        <v>0</v>
      </c>
      <c r="I3402" s="177">
        <f>IF(G3402=0,0,IF(E3402="MXN",1/HLOOKUP(YEAR(C3402)+(MONTH(C3402)/100),TC!$5:$37,DAY(C3402)+2,FALSE),VLOOKUP(E3402,Equivalencia!$5:$23,((MAX(Equivalencia!$3:$3)-YEAR(C3402))*14)+MONTH(C3402)+2,FALSE)))</f>
        <v>0</v>
      </c>
      <c r="J3402" s="178">
        <f t="shared" si="275"/>
        <v>0</v>
      </c>
      <c r="K3402" s="462">
        <f>IF(C3402=0,0,VLOOKUP(YEAR(C3402),INPC!$B$4:$O$29,MONTH(C3402)+1))</f>
        <v>0</v>
      </c>
      <c r="L3402" s="462">
        <f>IF(S3402=0,0,VLOOKUP(YEAR(S3402),INPC!$B$4:$O$29,MONTH(S3402)+1))</f>
        <v>0</v>
      </c>
      <c r="M3402" s="463">
        <f t="shared" si="276"/>
        <v>0</v>
      </c>
      <c r="N3402" s="465">
        <f t="shared" si="277"/>
        <v>0</v>
      </c>
      <c r="O3402" s="179"/>
      <c r="P3402" s="180"/>
      <c r="Q3402" s="173"/>
      <c r="R3402" s="173"/>
      <c r="S3402" s="174"/>
      <c r="T3402" s="173"/>
      <c r="U3402" s="182"/>
      <c r="V3402" s="177">
        <f>IF(U3402=0,0,IF(T3402="MXN",1/HLOOKUP(YEAR(S3402)+(MONTH(S3402)/100),TC!$5:$37,DAY(S3402)+2,FALSE),VLOOKUP(T3402,Equivalencia!$1:$23,((MAX(Equivalencia!$3:$3)-YEAR(S3402))*14)+MONTH(S3402)+2,FALSE)))</f>
        <v>0</v>
      </c>
      <c r="W3402" s="178">
        <f t="shared" si="278"/>
        <v>0</v>
      </c>
      <c r="X3402" s="481">
        <f t="shared" si="279"/>
        <v>0</v>
      </c>
      <c r="Y3402" s="179"/>
      <c r="Z3402" s="466">
        <f t="shared" si="280"/>
        <v>0</v>
      </c>
      <c r="AA3402" s="473">
        <f t="shared" si="281"/>
        <v>0</v>
      </c>
      <c r="AB3402" s="339">
        <f t="shared" si="282"/>
        <v>0</v>
      </c>
    </row>
    <row r="3403" spans="2:28" ht="20.100000000000001" customHeight="1">
      <c r="B3403" s="172"/>
      <c r="C3403" s="174"/>
      <c r="D3403" s="181"/>
      <c r="E3403" s="173"/>
      <c r="F3403" s="176"/>
      <c r="G3403" s="175">
        <f t="shared" si="273"/>
        <v>0</v>
      </c>
      <c r="H3403" s="175">
        <f t="shared" si="274"/>
        <v>0</v>
      </c>
      <c r="I3403" s="177">
        <f>IF(G3403=0,0,IF(E3403="MXN",1/HLOOKUP(YEAR(C3403)+(MONTH(C3403)/100),TC!$5:$37,DAY(C3403)+2,FALSE),VLOOKUP(E3403,Equivalencia!$5:$23,((MAX(Equivalencia!$3:$3)-YEAR(C3403))*14)+MONTH(C3403)+2,FALSE)))</f>
        <v>0</v>
      </c>
      <c r="J3403" s="178">
        <f t="shared" si="275"/>
        <v>0</v>
      </c>
      <c r="K3403" s="462">
        <f>IF(C3403=0,0,VLOOKUP(YEAR(C3403),INPC!$B$4:$O$29,MONTH(C3403)+1))</f>
        <v>0</v>
      </c>
      <c r="L3403" s="462">
        <f>IF(S3403=0,0,VLOOKUP(YEAR(S3403),INPC!$B$4:$O$29,MONTH(S3403)+1))</f>
        <v>0</v>
      </c>
      <c r="M3403" s="463">
        <f t="shared" si="276"/>
        <v>0</v>
      </c>
      <c r="N3403" s="465">
        <f t="shared" si="277"/>
        <v>0</v>
      </c>
      <c r="O3403" s="179"/>
      <c r="P3403" s="180"/>
      <c r="Q3403" s="173"/>
      <c r="R3403" s="173"/>
      <c r="S3403" s="174"/>
      <c r="T3403" s="173"/>
      <c r="U3403" s="182"/>
      <c r="V3403" s="177">
        <f>IF(U3403=0,0,IF(T3403="MXN",1/HLOOKUP(YEAR(S3403)+(MONTH(S3403)/100),TC!$5:$37,DAY(S3403)+2,FALSE),VLOOKUP(T3403,Equivalencia!$1:$23,((MAX(Equivalencia!$3:$3)-YEAR(S3403))*14)+MONTH(S3403)+2,FALSE)))</f>
        <v>0</v>
      </c>
      <c r="W3403" s="178">
        <f t="shared" si="278"/>
        <v>0</v>
      </c>
      <c r="X3403" s="481">
        <f t="shared" si="279"/>
        <v>0</v>
      </c>
      <c r="Y3403" s="179"/>
      <c r="Z3403" s="466">
        <f t="shared" si="280"/>
        <v>0</v>
      </c>
      <c r="AA3403" s="473">
        <f t="shared" si="281"/>
        <v>0</v>
      </c>
      <c r="AB3403" s="339">
        <f t="shared" si="282"/>
        <v>0</v>
      </c>
    </row>
    <row r="3404" spans="2:28" ht="20.100000000000001" customHeight="1">
      <c r="B3404" s="172"/>
      <c r="C3404" s="174"/>
      <c r="D3404" s="181"/>
      <c r="E3404" s="173"/>
      <c r="F3404" s="176"/>
      <c r="G3404" s="175">
        <f t="shared" si="273"/>
        <v>0</v>
      </c>
      <c r="H3404" s="175">
        <f t="shared" si="274"/>
        <v>0</v>
      </c>
      <c r="I3404" s="177">
        <f>IF(G3404=0,0,IF(E3404="MXN",1/HLOOKUP(YEAR(C3404)+(MONTH(C3404)/100),TC!$5:$37,DAY(C3404)+2,FALSE),VLOOKUP(E3404,Equivalencia!$5:$23,((MAX(Equivalencia!$3:$3)-YEAR(C3404))*14)+MONTH(C3404)+2,FALSE)))</f>
        <v>0</v>
      </c>
      <c r="J3404" s="178">
        <f t="shared" si="275"/>
        <v>0</v>
      </c>
      <c r="K3404" s="462">
        <f>IF(C3404=0,0,VLOOKUP(YEAR(C3404),INPC!$B$4:$O$29,MONTH(C3404)+1))</f>
        <v>0</v>
      </c>
      <c r="L3404" s="462">
        <f>IF(S3404=0,0,VLOOKUP(YEAR(S3404),INPC!$B$4:$O$29,MONTH(S3404)+1))</f>
        <v>0</v>
      </c>
      <c r="M3404" s="463">
        <f t="shared" si="276"/>
        <v>0</v>
      </c>
      <c r="N3404" s="465">
        <f t="shared" si="277"/>
        <v>0</v>
      </c>
      <c r="O3404" s="179"/>
      <c r="P3404" s="180"/>
      <c r="Q3404" s="173"/>
      <c r="R3404" s="173"/>
      <c r="S3404" s="174"/>
      <c r="T3404" s="173"/>
      <c r="U3404" s="182"/>
      <c r="V3404" s="177">
        <f>IF(U3404=0,0,IF(T3404="MXN",1/HLOOKUP(YEAR(S3404)+(MONTH(S3404)/100),TC!$5:$37,DAY(S3404)+2,FALSE),VLOOKUP(T3404,Equivalencia!$1:$23,((MAX(Equivalencia!$3:$3)-YEAR(S3404))*14)+MONTH(S3404)+2,FALSE)))</f>
        <v>0</v>
      </c>
      <c r="W3404" s="178">
        <f t="shared" si="278"/>
        <v>0</v>
      </c>
      <c r="X3404" s="481">
        <f t="shared" si="279"/>
        <v>0</v>
      </c>
      <c r="Y3404" s="179"/>
      <c r="Z3404" s="466">
        <f t="shared" si="280"/>
        <v>0</v>
      </c>
      <c r="AA3404" s="473">
        <f t="shared" si="281"/>
        <v>0</v>
      </c>
      <c r="AB3404" s="339">
        <f t="shared" si="282"/>
        <v>0</v>
      </c>
    </row>
    <row r="3405" spans="2:28" ht="20.100000000000001" customHeight="1">
      <c r="B3405" s="172"/>
      <c r="C3405" s="174"/>
      <c r="D3405" s="181"/>
      <c r="E3405" s="173"/>
      <c r="F3405" s="176"/>
      <c r="G3405" s="175">
        <f t="shared" si="273"/>
        <v>0</v>
      </c>
      <c r="H3405" s="175">
        <f t="shared" si="274"/>
        <v>0</v>
      </c>
      <c r="I3405" s="177">
        <f>IF(G3405=0,0,IF(E3405="MXN",1/HLOOKUP(YEAR(C3405)+(MONTH(C3405)/100),TC!$5:$37,DAY(C3405)+2,FALSE),VLOOKUP(E3405,Equivalencia!$5:$23,((MAX(Equivalencia!$3:$3)-YEAR(C3405))*14)+MONTH(C3405)+2,FALSE)))</f>
        <v>0</v>
      </c>
      <c r="J3405" s="178">
        <f t="shared" si="275"/>
        <v>0</v>
      </c>
      <c r="K3405" s="462">
        <f>IF(C3405=0,0,VLOOKUP(YEAR(C3405),INPC!$B$4:$O$29,MONTH(C3405)+1))</f>
        <v>0</v>
      </c>
      <c r="L3405" s="462">
        <f>IF(S3405=0,0,VLOOKUP(YEAR(S3405),INPC!$B$4:$O$29,MONTH(S3405)+1))</f>
        <v>0</v>
      </c>
      <c r="M3405" s="463">
        <f t="shared" si="276"/>
        <v>0</v>
      </c>
      <c r="N3405" s="465">
        <f t="shared" si="277"/>
        <v>0</v>
      </c>
      <c r="O3405" s="179"/>
      <c r="P3405" s="180"/>
      <c r="Q3405" s="173"/>
      <c r="R3405" s="173"/>
      <c r="S3405" s="174"/>
      <c r="T3405" s="173"/>
      <c r="U3405" s="182"/>
      <c r="V3405" s="177">
        <f>IF(U3405=0,0,IF(T3405="MXN",1/HLOOKUP(YEAR(S3405)+(MONTH(S3405)/100),TC!$5:$37,DAY(S3405)+2,FALSE),VLOOKUP(T3405,Equivalencia!$1:$23,((MAX(Equivalencia!$3:$3)-YEAR(S3405))*14)+MONTH(S3405)+2,FALSE)))</f>
        <v>0</v>
      </c>
      <c r="W3405" s="178">
        <f t="shared" si="278"/>
        <v>0</v>
      </c>
      <c r="X3405" s="481">
        <f t="shared" si="279"/>
        <v>0</v>
      </c>
      <c r="Y3405" s="179"/>
      <c r="Z3405" s="466">
        <f t="shared" si="280"/>
        <v>0</v>
      </c>
      <c r="AA3405" s="473">
        <f t="shared" si="281"/>
        <v>0</v>
      </c>
      <c r="AB3405" s="339">
        <f t="shared" si="282"/>
        <v>0</v>
      </c>
    </row>
    <row r="3406" spans="2:28" ht="20.100000000000001" customHeight="1">
      <c r="B3406" s="172"/>
      <c r="C3406" s="174"/>
      <c r="D3406" s="181"/>
      <c r="E3406" s="173"/>
      <c r="F3406" s="176"/>
      <c r="G3406" s="175">
        <f t="shared" si="273"/>
        <v>0</v>
      </c>
      <c r="H3406" s="175">
        <f t="shared" si="274"/>
        <v>0</v>
      </c>
      <c r="I3406" s="177">
        <f>IF(G3406=0,0,IF(E3406="MXN",1/HLOOKUP(YEAR(C3406)+(MONTH(C3406)/100),TC!$5:$37,DAY(C3406)+2,FALSE),VLOOKUP(E3406,Equivalencia!$5:$23,((MAX(Equivalencia!$3:$3)-YEAR(C3406))*14)+MONTH(C3406)+2,FALSE)))</f>
        <v>0</v>
      </c>
      <c r="J3406" s="178">
        <f t="shared" si="275"/>
        <v>0</v>
      </c>
      <c r="K3406" s="462">
        <f>IF(C3406=0,0,VLOOKUP(YEAR(C3406),INPC!$B$4:$O$29,MONTH(C3406)+1))</f>
        <v>0</v>
      </c>
      <c r="L3406" s="462">
        <f>IF(S3406=0,0,VLOOKUP(YEAR(S3406),INPC!$B$4:$O$29,MONTH(S3406)+1))</f>
        <v>0</v>
      </c>
      <c r="M3406" s="463">
        <f t="shared" si="276"/>
        <v>0</v>
      </c>
      <c r="N3406" s="465">
        <f t="shared" si="277"/>
        <v>0</v>
      </c>
      <c r="O3406" s="179"/>
      <c r="P3406" s="180"/>
      <c r="Q3406" s="173"/>
      <c r="R3406" s="173"/>
      <c r="S3406" s="174"/>
      <c r="T3406" s="173"/>
      <c r="U3406" s="182"/>
      <c r="V3406" s="177">
        <f>IF(U3406=0,0,IF(T3406="MXN",1/HLOOKUP(YEAR(S3406)+(MONTH(S3406)/100),TC!$5:$37,DAY(S3406)+2,FALSE),VLOOKUP(T3406,Equivalencia!$1:$23,((MAX(Equivalencia!$3:$3)-YEAR(S3406))*14)+MONTH(S3406)+2,FALSE)))</f>
        <v>0</v>
      </c>
      <c r="W3406" s="178">
        <f t="shared" si="278"/>
        <v>0</v>
      </c>
      <c r="X3406" s="481">
        <f t="shared" si="279"/>
        <v>0</v>
      </c>
      <c r="Y3406" s="179"/>
      <c r="Z3406" s="466">
        <f t="shared" si="280"/>
        <v>0</v>
      </c>
      <c r="AA3406" s="473">
        <f t="shared" si="281"/>
        <v>0</v>
      </c>
      <c r="AB3406" s="339">
        <f t="shared" si="282"/>
        <v>0</v>
      </c>
    </row>
    <row r="3407" spans="2:28" ht="20.100000000000001" customHeight="1">
      <c r="B3407" s="172"/>
      <c r="C3407" s="174"/>
      <c r="D3407" s="181"/>
      <c r="E3407" s="173"/>
      <c r="F3407" s="176"/>
      <c r="G3407" s="175">
        <f t="shared" si="273"/>
        <v>0</v>
      </c>
      <c r="H3407" s="175">
        <f t="shared" si="274"/>
        <v>0</v>
      </c>
      <c r="I3407" s="177">
        <f>IF(G3407=0,0,IF(E3407="MXN",1/HLOOKUP(YEAR(C3407)+(MONTH(C3407)/100),TC!$5:$37,DAY(C3407)+2,FALSE),VLOOKUP(E3407,Equivalencia!$5:$23,((MAX(Equivalencia!$3:$3)-YEAR(C3407))*14)+MONTH(C3407)+2,FALSE)))</f>
        <v>0</v>
      </c>
      <c r="J3407" s="178">
        <f t="shared" si="275"/>
        <v>0</v>
      </c>
      <c r="K3407" s="462">
        <f>IF(C3407=0,0,VLOOKUP(YEAR(C3407),INPC!$B$4:$O$29,MONTH(C3407)+1))</f>
        <v>0</v>
      </c>
      <c r="L3407" s="462">
        <f>IF(S3407=0,0,VLOOKUP(YEAR(S3407),INPC!$B$4:$O$29,MONTH(S3407)+1))</f>
        <v>0</v>
      </c>
      <c r="M3407" s="463">
        <f t="shared" si="276"/>
        <v>0</v>
      </c>
      <c r="N3407" s="465">
        <f t="shared" si="277"/>
        <v>0</v>
      </c>
      <c r="O3407" s="179"/>
      <c r="P3407" s="180"/>
      <c r="Q3407" s="173"/>
      <c r="R3407" s="173"/>
      <c r="S3407" s="174"/>
      <c r="T3407" s="173"/>
      <c r="U3407" s="182"/>
      <c r="V3407" s="177">
        <f>IF(U3407=0,0,IF(T3407="MXN",1/HLOOKUP(YEAR(S3407)+(MONTH(S3407)/100),TC!$5:$37,DAY(S3407)+2,FALSE),VLOOKUP(T3407,Equivalencia!$1:$23,((MAX(Equivalencia!$3:$3)-YEAR(S3407))*14)+MONTH(S3407)+2,FALSE)))</f>
        <v>0</v>
      </c>
      <c r="W3407" s="178">
        <f t="shared" si="278"/>
        <v>0</v>
      </c>
      <c r="X3407" s="481">
        <f t="shared" si="279"/>
        <v>0</v>
      </c>
      <c r="Y3407" s="179"/>
      <c r="Z3407" s="466">
        <f t="shared" si="280"/>
        <v>0</v>
      </c>
      <c r="AA3407" s="473">
        <f t="shared" si="281"/>
        <v>0</v>
      </c>
      <c r="AB3407" s="339">
        <f t="shared" si="282"/>
        <v>0</v>
      </c>
    </row>
    <row r="3408" spans="2:28" ht="20.100000000000001" customHeight="1">
      <c r="B3408" s="172"/>
      <c r="C3408" s="174"/>
      <c r="D3408" s="181"/>
      <c r="E3408" s="173"/>
      <c r="F3408" s="176"/>
      <c r="G3408" s="175">
        <f t="shared" si="273"/>
        <v>0</v>
      </c>
      <c r="H3408" s="175">
        <f t="shared" si="274"/>
        <v>0</v>
      </c>
      <c r="I3408" s="177">
        <f>IF(G3408=0,0,IF(E3408="MXN",1/HLOOKUP(YEAR(C3408)+(MONTH(C3408)/100),TC!$5:$37,DAY(C3408)+2,FALSE),VLOOKUP(E3408,Equivalencia!$5:$23,((MAX(Equivalencia!$3:$3)-YEAR(C3408))*14)+MONTH(C3408)+2,FALSE)))</f>
        <v>0</v>
      </c>
      <c r="J3408" s="178">
        <f t="shared" si="275"/>
        <v>0</v>
      </c>
      <c r="K3408" s="462">
        <f>IF(C3408=0,0,VLOOKUP(YEAR(C3408),INPC!$B$4:$O$29,MONTH(C3408)+1))</f>
        <v>0</v>
      </c>
      <c r="L3408" s="462">
        <f>IF(S3408=0,0,VLOOKUP(YEAR(S3408),INPC!$B$4:$O$29,MONTH(S3408)+1))</f>
        <v>0</v>
      </c>
      <c r="M3408" s="463">
        <f t="shared" si="276"/>
        <v>0</v>
      </c>
      <c r="N3408" s="465">
        <f t="shared" si="277"/>
        <v>0</v>
      </c>
      <c r="O3408" s="179"/>
      <c r="P3408" s="180"/>
      <c r="Q3408" s="173"/>
      <c r="R3408" s="173"/>
      <c r="S3408" s="174"/>
      <c r="T3408" s="173"/>
      <c r="U3408" s="182"/>
      <c r="V3408" s="177">
        <f>IF(U3408=0,0,IF(T3408="MXN",1/HLOOKUP(YEAR(S3408)+(MONTH(S3408)/100),TC!$5:$37,DAY(S3408)+2,FALSE),VLOOKUP(T3408,Equivalencia!$1:$23,((MAX(Equivalencia!$3:$3)-YEAR(S3408))*14)+MONTH(S3408)+2,FALSE)))</f>
        <v>0</v>
      </c>
      <c r="W3408" s="178">
        <f t="shared" si="278"/>
        <v>0</v>
      </c>
      <c r="X3408" s="481">
        <f t="shared" si="279"/>
        <v>0</v>
      </c>
      <c r="Y3408" s="179"/>
      <c r="Z3408" s="466">
        <f t="shared" si="280"/>
        <v>0</v>
      </c>
      <c r="AA3408" s="473">
        <f t="shared" si="281"/>
        <v>0</v>
      </c>
      <c r="AB3408" s="339">
        <f t="shared" si="282"/>
        <v>0</v>
      </c>
    </row>
    <row r="3409" spans="2:28" ht="20.100000000000001" customHeight="1">
      <c r="B3409" s="172"/>
      <c r="C3409" s="174"/>
      <c r="D3409" s="181"/>
      <c r="E3409" s="173"/>
      <c r="F3409" s="176"/>
      <c r="G3409" s="175">
        <f t="shared" si="273"/>
        <v>0</v>
      </c>
      <c r="H3409" s="175">
        <f t="shared" si="274"/>
        <v>0</v>
      </c>
      <c r="I3409" s="177">
        <f>IF(G3409=0,0,IF(E3409="MXN",1/HLOOKUP(YEAR(C3409)+(MONTH(C3409)/100),TC!$5:$37,DAY(C3409)+2,FALSE),VLOOKUP(E3409,Equivalencia!$5:$23,((MAX(Equivalencia!$3:$3)-YEAR(C3409))*14)+MONTH(C3409)+2,FALSE)))</f>
        <v>0</v>
      </c>
      <c r="J3409" s="178">
        <f t="shared" si="275"/>
        <v>0</v>
      </c>
      <c r="K3409" s="462">
        <f>IF(C3409=0,0,VLOOKUP(YEAR(C3409),INPC!$B$4:$O$29,MONTH(C3409)+1))</f>
        <v>0</v>
      </c>
      <c r="L3409" s="462">
        <f>IF(S3409=0,0,VLOOKUP(YEAR(S3409),INPC!$B$4:$O$29,MONTH(S3409)+1))</f>
        <v>0</v>
      </c>
      <c r="M3409" s="463">
        <f t="shared" si="276"/>
        <v>0</v>
      </c>
      <c r="N3409" s="465">
        <f t="shared" si="277"/>
        <v>0</v>
      </c>
      <c r="O3409" s="179"/>
      <c r="P3409" s="180"/>
      <c r="Q3409" s="173"/>
      <c r="R3409" s="173"/>
      <c r="S3409" s="174"/>
      <c r="T3409" s="173"/>
      <c r="U3409" s="182"/>
      <c r="V3409" s="177">
        <f>IF(U3409=0,0,IF(T3409="MXN",1/HLOOKUP(YEAR(S3409)+(MONTH(S3409)/100),TC!$5:$37,DAY(S3409)+2,FALSE),VLOOKUP(T3409,Equivalencia!$1:$23,((MAX(Equivalencia!$3:$3)-YEAR(S3409))*14)+MONTH(S3409)+2,FALSE)))</f>
        <v>0</v>
      </c>
      <c r="W3409" s="178">
        <f t="shared" si="278"/>
        <v>0</v>
      </c>
      <c r="X3409" s="481">
        <f t="shared" si="279"/>
        <v>0</v>
      </c>
      <c r="Y3409" s="179"/>
      <c r="Z3409" s="466">
        <f t="shared" si="280"/>
        <v>0</v>
      </c>
      <c r="AA3409" s="473">
        <f t="shared" si="281"/>
        <v>0</v>
      </c>
      <c r="AB3409" s="339">
        <f t="shared" si="282"/>
        <v>0</v>
      </c>
    </row>
    <row r="3410" spans="2:28" ht="20.100000000000001" customHeight="1">
      <c r="B3410" s="172"/>
      <c r="C3410" s="174"/>
      <c r="D3410" s="181"/>
      <c r="E3410" s="173"/>
      <c r="F3410" s="176"/>
      <c r="G3410" s="175">
        <f t="shared" si="273"/>
        <v>0</v>
      </c>
      <c r="H3410" s="175">
        <f t="shared" si="274"/>
        <v>0</v>
      </c>
      <c r="I3410" s="177">
        <f>IF(G3410=0,0,IF(E3410="MXN",1/HLOOKUP(YEAR(C3410)+(MONTH(C3410)/100),TC!$5:$37,DAY(C3410)+2,FALSE),VLOOKUP(E3410,Equivalencia!$5:$23,((MAX(Equivalencia!$3:$3)-YEAR(C3410))*14)+MONTH(C3410)+2,FALSE)))</f>
        <v>0</v>
      </c>
      <c r="J3410" s="178">
        <f t="shared" si="275"/>
        <v>0</v>
      </c>
      <c r="K3410" s="462">
        <f>IF(C3410=0,0,VLOOKUP(YEAR(C3410),INPC!$B$4:$O$29,MONTH(C3410)+1))</f>
        <v>0</v>
      </c>
      <c r="L3410" s="462">
        <f>IF(S3410=0,0,VLOOKUP(YEAR(S3410),INPC!$B$4:$O$29,MONTH(S3410)+1))</f>
        <v>0</v>
      </c>
      <c r="M3410" s="463">
        <f t="shared" si="276"/>
        <v>0</v>
      </c>
      <c r="N3410" s="465">
        <f t="shared" si="277"/>
        <v>0</v>
      </c>
      <c r="O3410" s="179"/>
      <c r="P3410" s="180"/>
      <c r="Q3410" s="173"/>
      <c r="R3410" s="173"/>
      <c r="S3410" s="174"/>
      <c r="T3410" s="173"/>
      <c r="U3410" s="182"/>
      <c r="V3410" s="177">
        <f>IF(U3410=0,0,IF(T3410="MXN",1/HLOOKUP(YEAR(S3410)+(MONTH(S3410)/100),TC!$5:$37,DAY(S3410)+2,FALSE),VLOOKUP(T3410,Equivalencia!$1:$23,((MAX(Equivalencia!$3:$3)-YEAR(S3410))*14)+MONTH(S3410)+2,FALSE)))</f>
        <v>0</v>
      </c>
      <c r="W3410" s="178">
        <f t="shared" si="278"/>
        <v>0</v>
      </c>
      <c r="X3410" s="481">
        <f t="shared" si="279"/>
        <v>0</v>
      </c>
      <c r="Y3410" s="179"/>
      <c r="Z3410" s="466">
        <f t="shared" si="280"/>
        <v>0</v>
      </c>
      <c r="AA3410" s="473">
        <f t="shared" si="281"/>
        <v>0</v>
      </c>
      <c r="AB3410" s="339">
        <f t="shared" si="282"/>
        <v>0</v>
      </c>
    </row>
    <row r="3411" spans="2:28" ht="20.100000000000001" customHeight="1">
      <c r="B3411" s="172"/>
      <c r="C3411" s="174"/>
      <c r="D3411" s="181"/>
      <c r="E3411" s="173"/>
      <c r="F3411" s="176"/>
      <c r="G3411" s="175">
        <f t="shared" si="273"/>
        <v>0</v>
      </c>
      <c r="H3411" s="175">
        <f t="shared" si="274"/>
        <v>0</v>
      </c>
      <c r="I3411" s="177">
        <f>IF(G3411=0,0,IF(E3411="MXN",1/HLOOKUP(YEAR(C3411)+(MONTH(C3411)/100),TC!$5:$37,DAY(C3411)+2,FALSE),VLOOKUP(E3411,Equivalencia!$5:$23,((MAX(Equivalencia!$3:$3)-YEAR(C3411))*14)+MONTH(C3411)+2,FALSE)))</f>
        <v>0</v>
      </c>
      <c r="J3411" s="178">
        <f t="shared" si="275"/>
        <v>0</v>
      </c>
      <c r="K3411" s="462">
        <f>IF(C3411=0,0,VLOOKUP(YEAR(C3411),INPC!$B$4:$O$29,MONTH(C3411)+1))</f>
        <v>0</v>
      </c>
      <c r="L3411" s="462">
        <f>IF(S3411=0,0,VLOOKUP(YEAR(S3411),INPC!$B$4:$O$29,MONTH(S3411)+1))</f>
        <v>0</v>
      </c>
      <c r="M3411" s="463">
        <f t="shared" si="276"/>
        <v>0</v>
      </c>
      <c r="N3411" s="465">
        <f t="shared" si="277"/>
        <v>0</v>
      </c>
      <c r="O3411" s="179"/>
      <c r="P3411" s="180"/>
      <c r="Q3411" s="173"/>
      <c r="R3411" s="173"/>
      <c r="S3411" s="174"/>
      <c r="T3411" s="173"/>
      <c r="U3411" s="182"/>
      <c r="V3411" s="177">
        <f>IF(U3411=0,0,IF(T3411="MXN",1/HLOOKUP(YEAR(S3411)+(MONTH(S3411)/100),TC!$5:$37,DAY(S3411)+2,FALSE),VLOOKUP(T3411,Equivalencia!$1:$23,((MAX(Equivalencia!$3:$3)-YEAR(S3411))*14)+MONTH(S3411)+2,FALSE)))</f>
        <v>0</v>
      </c>
      <c r="W3411" s="178">
        <f t="shared" si="278"/>
        <v>0</v>
      </c>
      <c r="X3411" s="481">
        <f t="shared" si="279"/>
        <v>0</v>
      </c>
      <c r="Y3411" s="179"/>
      <c r="Z3411" s="466">
        <f t="shared" si="280"/>
        <v>0</v>
      </c>
      <c r="AA3411" s="473">
        <f t="shared" si="281"/>
        <v>0</v>
      </c>
      <c r="AB3411" s="339">
        <f t="shared" si="282"/>
        <v>0</v>
      </c>
    </row>
    <row r="3412" spans="2:28" ht="20.100000000000001" customHeight="1">
      <c r="B3412" s="172"/>
      <c r="C3412" s="174"/>
      <c r="D3412" s="181"/>
      <c r="E3412" s="173"/>
      <c r="F3412" s="176"/>
      <c r="G3412" s="175">
        <f t="shared" si="273"/>
        <v>0</v>
      </c>
      <c r="H3412" s="175">
        <f t="shared" si="274"/>
        <v>0</v>
      </c>
      <c r="I3412" s="177">
        <f>IF(G3412=0,0,IF(E3412="MXN",1/HLOOKUP(YEAR(C3412)+(MONTH(C3412)/100),TC!$5:$37,DAY(C3412)+2,FALSE),VLOOKUP(E3412,Equivalencia!$5:$23,((MAX(Equivalencia!$3:$3)-YEAR(C3412))*14)+MONTH(C3412)+2,FALSE)))</f>
        <v>0</v>
      </c>
      <c r="J3412" s="178">
        <f t="shared" si="275"/>
        <v>0</v>
      </c>
      <c r="K3412" s="462">
        <f>IF(C3412=0,0,VLOOKUP(YEAR(C3412),INPC!$B$4:$O$29,MONTH(C3412)+1))</f>
        <v>0</v>
      </c>
      <c r="L3412" s="462">
        <f>IF(S3412=0,0,VLOOKUP(YEAR(S3412),INPC!$B$4:$O$29,MONTH(S3412)+1))</f>
        <v>0</v>
      </c>
      <c r="M3412" s="463">
        <f t="shared" si="276"/>
        <v>0</v>
      </c>
      <c r="N3412" s="465">
        <f t="shared" si="277"/>
        <v>0</v>
      </c>
      <c r="O3412" s="179"/>
      <c r="P3412" s="180"/>
      <c r="Q3412" s="173"/>
      <c r="R3412" s="173"/>
      <c r="S3412" s="174"/>
      <c r="T3412" s="173"/>
      <c r="U3412" s="182"/>
      <c r="V3412" s="177">
        <f>IF(U3412=0,0,IF(T3412="MXN",1/HLOOKUP(YEAR(S3412)+(MONTH(S3412)/100),TC!$5:$37,DAY(S3412)+2,FALSE),VLOOKUP(T3412,Equivalencia!$1:$23,((MAX(Equivalencia!$3:$3)-YEAR(S3412))*14)+MONTH(S3412)+2,FALSE)))</f>
        <v>0</v>
      </c>
      <c r="W3412" s="178">
        <f t="shared" si="278"/>
        <v>0</v>
      </c>
      <c r="X3412" s="481">
        <f t="shared" si="279"/>
        <v>0</v>
      </c>
      <c r="Y3412" s="179"/>
      <c r="Z3412" s="466">
        <f t="shared" si="280"/>
        <v>0</v>
      </c>
      <c r="AA3412" s="473">
        <f t="shared" si="281"/>
        <v>0</v>
      </c>
      <c r="AB3412" s="339">
        <f t="shared" si="282"/>
        <v>0</v>
      </c>
    </row>
    <row r="3413" spans="2:28" ht="20.100000000000001" customHeight="1">
      <c r="B3413" s="172"/>
      <c r="C3413" s="174"/>
      <c r="D3413" s="181"/>
      <c r="E3413" s="173"/>
      <c r="F3413" s="176"/>
      <c r="G3413" s="175">
        <f t="shared" si="273"/>
        <v>0</v>
      </c>
      <c r="H3413" s="175">
        <f t="shared" si="274"/>
        <v>0</v>
      </c>
      <c r="I3413" s="177">
        <f>IF(G3413=0,0,IF(E3413="MXN",1/HLOOKUP(YEAR(C3413)+(MONTH(C3413)/100),TC!$5:$37,DAY(C3413)+2,FALSE),VLOOKUP(E3413,Equivalencia!$5:$23,((MAX(Equivalencia!$3:$3)-YEAR(C3413))*14)+MONTH(C3413)+2,FALSE)))</f>
        <v>0</v>
      </c>
      <c r="J3413" s="178">
        <f t="shared" si="275"/>
        <v>0</v>
      </c>
      <c r="K3413" s="462">
        <f>IF(C3413=0,0,VLOOKUP(YEAR(C3413),INPC!$B$4:$O$29,MONTH(C3413)+1))</f>
        <v>0</v>
      </c>
      <c r="L3413" s="462">
        <f>IF(S3413=0,0,VLOOKUP(YEAR(S3413),INPC!$B$4:$O$29,MONTH(S3413)+1))</f>
        <v>0</v>
      </c>
      <c r="M3413" s="463">
        <f t="shared" si="276"/>
        <v>0</v>
      </c>
      <c r="N3413" s="465">
        <f t="shared" si="277"/>
        <v>0</v>
      </c>
      <c r="O3413" s="179"/>
      <c r="P3413" s="180"/>
      <c r="Q3413" s="173"/>
      <c r="R3413" s="173"/>
      <c r="S3413" s="174"/>
      <c r="T3413" s="173"/>
      <c r="U3413" s="182"/>
      <c r="V3413" s="177">
        <f>IF(U3413=0,0,IF(T3413="MXN",1/HLOOKUP(YEAR(S3413)+(MONTH(S3413)/100),TC!$5:$37,DAY(S3413)+2,FALSE),VLOOKUP(T3413,Equivalencia!$1:$23,((MAX(Equivalencia!$3:$3)-YEAR(S3413))*14)+MONTH(S3413)+2,FALSE)))</f>
        <v>0</v>
      </c>
      <c r="W3413" s="178">
        <f t="shared" si="278"/>
        <v>0</v>
      </c>
      <c r="X3413" s="481">
        <f t="shared" si="279"/>
        <v>0</v>
      </c>
      <c r="Y3413" s="179"/>
      <c r="Z3413" s="466">
        <f t="shared" si="280"/>
        <v>0</v>
      </c>
      <c r="AA3413" s="473">
        <f t="shared" si="281"/>
        <v>0</v>
      </c>
      <c r="AB3413" s="339">
        <f t="shared" si="282"/>
        <v>0</v>
      </c>
    </row>
    <row r="3414" spans="2:28" ht="20.100000000000001" customHeight="1">
      <c r="B3414" s="172"/>
      <c r="C3414" s="174"/>
      <c r="D3414" s="181"/>
      <c r="E3414" s="173"/>
      <c r="F3414" s="176"/>
      <c r="G3414" s="175">
        <f t="shared" si="273"/>
        <v>0</v>
      </c>
      <c r="H3414" s="175">
        <f t="shared" si="274"/>
        <v>0</v>
      </c>
      <c r="I3414" s="177">
        <f>IF(G3414=0,0,IF(E3414="MXN",1/HLOOKUP(YEAR(C3414)+(MONTH(C3414)/100),TC!$5:$37,DAY(C3414)+2,FALSE),VLOOKUP(E3414,Equivalencia!$5:$23,((MAX(Equivalencia!$3:$3)-YEAR(C3414))*14)+MONTH(C3414)+2,FALSE)))</f>
        <v>0</v>
      </c>
      <c r="J3414" s="178">
        <f t="shared" si="275"/>
        <v>0</v>
      </c>
      <c r="K3414" s="462">
        <f>IF(C3414=0,0,VLOOKUP(YEAR(C3414),INPC!$B$4:$O$29,MONTH(C3414)+1))</f>
        <v>0</v>
      </c>
      <c r="L3414" s="462">
        <f>IF(S3414=0,0,VLOOKUP(YEAR(S3414),INPC!$B$4:$O$29,MONTH(S3414)+1))</f>
        <v>0</v>
      </c>
      <c r="M3414" s="463">
        <f t="shared" si="276"/>
        <v>0</v>
      </c>
      <c r="N3414" s="465">
        <f t="shared" si="277"/>
        <v>0</v>
      </c>
      <c r="O3414" s="179"/>
      <c r="P3414" s="180"/>
      <c r="Q3414" s="173"/>
      <c r="R3414" s="173"/>
      <c r="S3414" s="174"/>
      <c r="T3414" s="173"/>
      <c r="U3414" s="182"/>
      <c r="V3414" s="177">
        <f>IF(U3414=0,0,IF(T3414="MXN",1/HLOOKUP(YEAR(S3414)+(MONTH(S3414)/100),TC!$5:$37,DAY(S3414)+2,FALSE),VLOOKUP(T3414,Equivalencia!$1:$23,((MAX(Equivalencia!$3:$3)-YEAR(S3414))*14)+MONTH(S3414)+2,FALSE)))</f>
        <v>0</v>
      </c>
      <c r="W3414" s="178">
        <f t="shared" si="278"/>
        <v>0</v>
      </c>
      <c r="X3414" s="481">
        <f t="shared" si="279"/>
        <v>0</v>
      </c>
      <c r="Y3414" s="179"/>
      <c r="Z3414" s="466">
        <f t="shared" si="280"/>
        <v>0</v>
      </c>
      <c r="AA3414" s="473">
        <f t="shared" si="281"/>
        <v>0</v>
      </c>
      <c r="AB3414" s="339">
        <f t="shared" si="282"/>
        <v>0</v>
      </c>
    </row>
    <row r="3415" spans="2:28" ht="20.100000000000001" customHeight="1">
      <c r="B3415" s="172"/>
      <c r="C3415" s="174"/>
      <c r="D3415" s="181"/>
      <c r="E3415" s="173"/>
      <c r="F3415" s="176"/>
      <c r="G3415" s="175">
        <f t="shared" si="273"/>
        <v>0</v>
      </c>
      <c r="H3415" s="175">
        <f t="shared" si="274"/>
        <v>0</v>
      </c>
      <c r="I3415" s="177">
        <f>IF(G3415=0,0,IF(E3415="MXN",1/HLOOKUP(YEAR(C3415)+(MONTH(C3415)/100),TC!$5:$37,DAY(C3415)+2,FALSE),VLOOKUP(E3415,Equivalencia!$5:$23,((MAX(Equivalencia!$3:$3)-YEAR(C3415))*14)+MONTH(C3415)+2,FALSE)))</f>
        <v>0</v>
      </c>
      <c r="J3415" s="178">
        <f t="shared" si="275"/>
        <v>0</v>
      </c>
      <c r="K3415" s="462">
        <f>IF(C3415=0,0,VLOOKUP(YEAR(C3415),INPC!$B$4:$O$29,MONTH(C3415)+1))</f>
        <v>0</v>
      </c>
      <c r="L3415" s="462">
        <f>IF(S3415=0,0,VLOOKUP(YEAR(S3415),INPC!$B$4:$O$29,MONTH(S3415)+1))</f>
        <v>0</v>
      </c>
      <c r="M3415" s="463">
        <f t="shared" si="276"/>
        <v>0</v>
      </c>
      <c r="N3415" s="465">
        <f t="shared" si="277"/>
        <v>0</v>
      </c>
      <c r="O3415" s="179"/>
      <c r="P3415" s="180"/>
      <c r="Q3415" s="173"/>
      <c r="R3415" s="173"/>
      <c r="S3415" s="174"/>
      <c r="T3415" s="173"/>
      <c r="U3415" s="182"/>
      <c r="V3415" s="177">
        <f>IF(U3415=0,0,IF(T3415="MXN",1/HLOOKUP(YEAR(S3415)+(MONTH(S3415)/100),TC!$5:$37,DAY(S3415)+2,FALSE),VLOOKUP(T3415,Equivalencia!$1:$23,((MAX(Equivalencia!$3:$3)-YEAR(S3415))*14)+MONTH(S3415)+2,FALSE)))</f>
        <v>0</v>
      </c>
      <c r="W3415" s="178">
        <f t="shared" si="278"/>
        <v>0</v>
      </c>
      <c r="X3415" s="481">
        <f t="shared" si="279"/>
        <v>0</v>
      </c>
      <c r="Y3415" s="179"/>
      <c r="Z3415" s="466">
        <f t="shared" si="280"/>
        <v>0</v>
      </c>
      <c r="AA3415" s="473">
        <f t="shared" si="281"/>
        <v>0</v>
      </c>
      <c r="AB3415" s="339">
        <f t="shared" si="282"/>
        <v>0</v>
      </c>
    </row>
    <row r="3416" spans="2:28" ht="20.100000000000001" customHeight="1">
      <c r="B3416" s="172"/>
      <c r="C3416" s="174"/>
      <c r="D3416" s="181"/>
      <c r="E3416" s="173"/>
      <c r="F3416" s="176"/>
      <c r="G3416" s="175">
        <f t="shared" si="273"/>
        <v>0</v>
      </c>
      <c r="H3416" s="175">
        <f t="shared" si="274"/>
        <v>0</v>
      </c>
      <c r="I3416" s="177">
        <f>IF(G3416=0,0,IF(E3416="MXN",1/HLOOKUP(YEAR(C3416)+(MONTH(C3416)/100),TC!$5:$37,DAY(C3416)+2,FALSE),VLOOKUP(E3416,Equivalencia!$5:$23,((MAX(Equivalencia!$3:$3)-YEAR(C3416))*14)+MONTH(C3416)+2,FALSE)))</f>
        <v>0</v>
      </c>
      <c r="J3416" s="178">
        <f t="shared" si="275"/>
        <v>0</v>
      </c>
      <c r="K3416" s="462">
        <f>IF(C3416=0,0,VLOOKUP(YEAR(C3416),INPC!$B$4:$O$29,MONTH(C3416)+1))</f>
        <v>0</v>
      </c>
      <c r="L3416" s="462">
        <f>IF(S3416=0,0,VLOOKUP(YEAR(S3416),INPC!$B$4:$O$29,MONTH(S3416)+1))</f>
        <v>0</v>
      </c>
      <c r="M3416" s="463">
        <f t="shared" si="276"/>
        <v>0</v>
      </c>
      <c r="N3416" s="465">
        <f t="shared" si="277"/>
        <v>0</v>
      </c>
      <c r="O3416" s="179"/>
      <c r="P3416" s="180"/>
      <c r="Q3416" s="173"/>
      <c r="R3416" s="173"/>
      <c r="S3416" s="174"/>
      <c r="T3416" s="173"/>
      <c r="U3416" s="182"/>
      <c r="V3416" s="177">
        <f>IF(U3416=0,0,IF(T3416="MXN",1/HLOOKUP(YEAR(S3416)+(MONTH(S3416)/100),TC!$5:$37,DAY(S3416)+2,FALSE),VLOOKUP(T3416,Equivalencia!$1:$23,((MAX(Equivalencia!$3:$3)-YEAR(S3416))*14)+MONTH(S3416)+2,FALSE)))</f>
        <v>0</v>
      </c>
      <c r="W3416" s="178">
        <f t="shared" si="278"/>
        <v>0</v>
      </c>
      <c r="X3416" s="481">
        <f t="shared" si="279"/>
        <v>0</v>
      </c>
      <c r="Y3416" s="179"/>
      <c r="Z3416" s="466">
        <f t="shared" si="280"/>
        <v>0</v>
      </c>
      <c r="AA3416" s="473">
        <f t="shared" si="281"/>
        <v>0</v>
      </c>
      <c r="AB3416" s="339">
        <f t="shared" si="282"/>
        <v>0</v>
      </c>
    </row>
    <row r="3417" spans="2:28" ht="20.100000000000001" customHeight="1">
      <c r="B3417" s="172"/>
      <c r="C3417" s="174"/>
      <c r="D3417" s="181"/>
      <c r="E3417" s="173"/>
      <c r="F3417" s="176"/>
      <c r="G3417" s="175">
        <f t="shared" si="273"/>
        <v>0</v>
      </c>
      <c r="H3417" s="175">
        <f t="shared" si="274"/>
        <v>0</v>
      </c>
      <c r="I3417" s="177">
        <f>IF(G3417=0,0,IF(E3417="MXN",1/HLOOKUP(YEAR(C3417)+(MONTH(C3417)/100),TC!$5:$37,DAY(C3417)+2,FALSE),VLOOKUP(E3417,Equivalencia!$5:$23,((MAX(Equivalencia!$3:$3)-YEAR(C3417))*14)+MONTH(C3417)+2,FALSE)))</f>
        <v>0</v>
      </c>
      <c r="J3417" s="178">
        <f t="shared" si="275"/>
        <v>0</v>
      </c>
      <c r="K3417" s="462">
        <f>IF(C3417=0,0,VLOOKUP(YEAR(C3417),INPC!$B$4:$O$29,MONTH(C3417)+1))</f>
        <v>0</v>
      </c>
      <c r="L3417" s="462">
        <f>IF(S3417=0,0,VLOOKUP(YEAR(S3417),INPC!$B$4:$O$29,MONTH(S3417)+1))</f>
        <v>0</v>
      </c>
      <c r="M3417" s="463">
        <f t="shared" si="276"/>
        <v>0</v>
      </c>
      <c r="N3417" s="465">
        <f t="shared" si="277"/>
        <v>0</v>
      </c>
      <c r="O3417" s="179"/>
      <c r="P3417" s="180"/>
      <c r="Q3417" s="173"/>
      <c r="R3417" s="173"/>
      <c r="S3417" s="174"/>
      <c r="T3417" s="173"/>
      <c r="U3417" s="182"/>
      <c r="V3417" s="177">
        <f>IF(U3417=0,0,IF(T3417="MXN",1/HLOOKUP(YEAR(S3417)+(MONTH(S3417)/100),TC!$5:$37,DAY(S3417)+2,FALSE),VLOOKUP(T3417,Equivalencia!$1:$23,((MAX(Equivalencia!$3:$3)-YEAR(S3417))*14)+MONTH(S3417)+2,FALSE)))</f>
        <v>0</v>
      </c>
      <c r="W3417" s="178">
        <f t="shared" si="278"/>
        <v>0</v>
      </c>
      <c r="X3417" s="481">
        <f t="shared" si="279"/>
        <v>0</v>
      </c>
      <c r="Y3417" s="179"/>
      <c r="Z3417" s="466">
        <f t="shared" si="280"/>
        <v>0</v>
      </c>
      <c r="AA3417" s="473">
        <f t="shared" si="281"/>
        <v>0</v>
      </c>
      <c r="AB3417" s="339">
        <f t="shared" si="282"/>
        <v>0</v>
      </c>
    </row>
    <row r="3418" spans="2:28" ht="20.100000000000001" customHeight="1">
      <c r="B3418" s="172"/>
      <c r="C3418" s="174"/>
      <c r="D3418" s="181"/>
      <c r="E3418" s="173"/>
      <c r="F3418" s="176"/>
      <c r="G3418" s="175">
        <f t="shared" si="273"/>
        <v>0</v>
      </c>
      <c r="H3418" s="175">
        <f t="shared" si="274"/>
        <v>0</v>
      </c>
      <c r="I3418" s="177">
        <f>IF(G3418=0,0,IF(E3418="MXN",1/HLOOKUP(YEAR(C3418)+(MONTH(C3418)/100),TC!$5:$37,DAY(C3418)+2,FALSE),VLOOKUP(E3418,Equivalencia!$5:$23,((MAX(Equivalencia!$3:$3)-YEAR(C3418))*14)+MONTH(C3418)+2,FALSE)))</f>
        <v>0</v>
      </c>
      <c r="J3418" s="178">
        <f t="shared" si="275"/>
        <v>0</v>
      </c>
      <c r="K3418" s="462">
        <f>IF(C3418=0,0,VLOOKUP(YEAR(C3418),INPC!$B$4:$O$29,MONTH(C3418)+1))</f>
        <v>0</v>
      </c>
      <c r="L3418" s="462">
        <f>IF(S3418=0,0,VLOOKUP(YEAR(S3418),INPC!$B$4:$O$29,MONTH(S3418)+1))</f>
        <v>0</v>
      </c>
      <c r="M3418" s="463">
        <f t="shared" si="276"/>
        <v>0</v>
      </c>
      <c r="N3418" s="465">
        <f t="shared" si="277"/>
        <v>0</v>
      </c>
      <c r="O3418" s="179"/>
      <c r="P3418" s="180"/>
      <c r="Q3418" s="173"/>
      <c r="R3418" s="173"/>
      <c r="S3418" s="174"/>
      <c r="T3418" s="173"/>
      <c r="U3418" s="182"/>
      <c r="V3418" s="177">
        <f>IF(U3418=0,0,IF(T3418="MXN",1/HLOOKUP(YEAR(S3418)+(MONTH(S3418)/100),TC!$5:$37,DAY(S3418)+2,FALSE),VLOOKUP(T3418,Equivalencia!$1:$23,((MAX(Equivalencia!$3:$3)-YEAR(S3418))*14)+MONTH(S3418)+2,FALSE)))</f>
        <v>0</v>
      </c>
      <c r="W3418" s="178">
        <f t="shared" si="278"/>
        <v>0</v>
      </c>
      <c r="X3418" s="481">
        <f t="shared" si="279"/>
        <v>0</v>
      </c>
      <c r="Y3418" s="179"/>
      <c r="Z3418" s="466">
        <f t="shared" si="280"/>
        <v>0</v>
      </c>
      <c r="AA3418" s="473">
        <f t="shared" si="281"/>
        <v>0</v>
      </c>
      <c r="AB3418" s="339">
        <f t="shared" si="282"/>
        <v>0</v>
      </c>
    </row>
    <row r="3419" spans="2:28" ht="20.100000000000001" customHeight="1">
      <c r="B3419" s="172"/>
      <c r="C3419" s="174"/>
      <c r="D3419" s="181"/>
      <c r="E3419" s="173"/>
      <c r="F3419" s="176"/>
      <c r="G3419" s="175">
        <f t="shared" si="273"/>
        <v>0</v>
      </c>
      <c r="H3419" s="175">
        <f t="shared" si="274"/>
        <v>0</v>
      </c>
      <c r="I3419" s="177">
        <f>IF(G3419=0,0,IF(E3419="MXN",1/HLOOKUP(YEAR(C3419)+(MONTH(C3419)/100),TC!$5:$37,DAY(C3419)+2,FALSE),VLOOKUP(E3419,Equivalencia!$5:$23,((MAX(Equivalencia!$3:$3)-YEAR(C3419))*14)+MONTH(C3419)+2,FALSE)))</f>
        <v>0</v>
      </c>
      <c r="J3419" s="178">
        <f t="shared" si="275"/>
        <v>0</v>
      </c>
      <c r="K3419" s="462">
        <f>IF(C3419=0,0,VLOOKUP(YEAR(C3419),INPC!$B$4:$O$29,MONTH(C3419)+1))</f>
        <v>0</v>
      </c>
      <c r="L3419" s="462">
        <f>IF(S3419=0,0,VLOOKUP(YEAR(S3419),INPC!$B$4:$O$29,MONTH(S3419)+1))</f>
        <v>0</v>
      </c>
      <c r="M3419" s="463">
        <f t="shared" si="276"/>
        <v>0</v>
      </c>
      <c r="N3419" s="465">
        <f t="shared" si="277"/>
        <v>0</v>
      </c>
      <c r="O3419" s="179"/>
      <c r="P3419" s="180"/>
      <c r="Q3419" s="173"/>
      <c r="R3419" s="173"/>
      <c r="S3419" s="174"/>
      <c r="T3419" s="173"/>
      <c r="U3419" s="182"/>
      <c r="V3419" s="177">
        <f>IF(U3419=0,0,IF(T3419="MXN",1/HLOOKUP(YEAR(S3419)+(MONTH(S3419)/100),TC!$5:$37,DAY(S3419)+2,FALSE),VLOOKUP(T3419,Equivalencia!$1:$23,((MAX(Equivalencia!$3:$3)-YEAR(S3419))*14)+MONTH(S3419)+2,FALSE)))</f>
        <v>0</v>
      </c>
      <c r="W3419" s="178">
        <f t="shared" si="278"/>
        <v>0</v>
      </c>
      <c r="X3419" s="481">
        <f t="shared" si="279"/>
        <v>0</v>
      </c>
      <c r="Y3419" s="179"/>
      <c r="Z3419" s="466">
        <f t="shared" si="280"/>
        <v>0</v>
      </c>
      <c r="AA3419" s="473">
        <f t="shared" si="281"/>
        <v>0</v>
      </c>
      <c r="AB3419" s="339">
        <f t="shared" si="282"/>
        <v>0</v>
      </c>
    </row>
    <row r="3420" spans="2:28" ht="20.100000000000001" customHeight="1">
      <c r="B3420" s="172"/>
      <c r="C3420" s="174"/>
      <c r="D3420" s="181"/>
      <c r="E3420" s="173"/>
      <c r="F3420" s="176"/>
      <c r="G3420" s="175">
        <f t="shared" si="273"/>
        <v>0</v>
      </c>
      <c r="H3420" s="175">
        <f t="shared" si="274"/>
        <v>0</v>
      </c>
      <c r="I3420" s="177">
        <f>IF(G3420=0,0,IF(E3420="MXN",1/HLOOKUP(YEAR(C3420)+(MONTH(C3420)/100),TC!$5:$37,DAY(C3420)+2,FALSE),VLOOKUP(E3420,Equivalencia!$5:$23,((MAX(Equivalencia!$3:$3)-YEAR(C3420))*14)+MONTH(C3420)+2,FALSE)))</f>
        <v>0</v>
      </c>
      <c r="J3420" s="178">
        <f t="shared" si="275"/>
        <v>0</v>
      </c>
      <c r="K3420" s="462">
        <f>IF(C3420=0,0,VLOOKUP(YEAR(C3420),INPC!$B$4:$O$29,MONTH(C3420)+1))</f>
        <v>0</v>
      </c>
      <c r="L3420" s="462">
        <f>IF(S3420=0,0,VLOOKUP(YEAR(S3420),INPC!$B$4:$O$29,MONTH(S3420)+1))</f>
        <v>0</v>
      </c>
      <c r="M3420" s="463">
        <f t="shared" si="276"/>
        <v>0</v>
      </c>
      <c r="N3420" s="465">
        <f t="shared" si="277"/>
        <v>0</v>
      </c>
      <c r="O3420" s="179"/>
      <c r="P3420" s="180"/>
      <c r="Q3420" s="173"/>
      <c r="R3420" s="173"/>
      <c r="S3420" s="174"/>
      <c r="T3420" s="173"/>
      <c r="U3420" s="182"/>
      <c r="V3420" s="177">
        <f>IF(U3420=0,0,IF(T3420="MXN",1/HLOOKUP(YEAR(S3420)+(MONTH(S3420)/100),TC!$5:$37,DAY(S3420)+2,FALSE),VLOOKUP(T3420,Equivalencia!$1:$23,((MAX(Equivalencia!$3:$3)-YEAR(S3420))*14)+MONTH(S3420)+2,FALSE)))</f>
        <v>0</v>
      </c>
      <c r="W3420" s="178">
        <f t="shared" si="278"/>
        <v>0</v>
      </c>
      <c r="X3420" s="481">
        <f t="shared" si="279"/>
        <v>0</v>
      </c>
      <c r="Y3420" s="179"/>
      <c r="Z3420" s="466">
        <f t="shared" si="280"/>
        <v>0</v>
      </c>
      <c r="AA3420" s="473">
        <f t="shared" si="281"/>
        <v>0</v>
      </c>
      <c r="AB3420" s="339">
        <f t="shared" si="282"/>
        <v>0</v>
      </c>
    </row>
    <row r="3421" spans="2:28" ht="20.100000000000001" customHeight="1">
      <c r="B3421" s="172"/>
      <c r="C3421" s="174"/>
      <c r="D3421" s="181"/>
      <c r="E3421" s="173"/>
      <c r="F3421" s="176"/>
      <c r="G3421" s="175">
        <f t="shared" si="273"/>
        <v>0</v>
      </c>
      <c r="H3421" s="175">
        <f t="shared" si="274"/>
        <v>0</v>
      </c>
      <c r="I3421" s="177">
        <f>IF(G3421=0,0,IF(E3421="MXN",1/HLOOKUP(YEAR(C3421)+(MONTH(C3421)/100),TC!$5:$37,DAY(C3421)+2,FALSE),VLOOKUP(E3421,Equivalencia!$5:$23,((MAX(Equivalencia!$3:$3)-YEAR(C3421))*14)+MONTH(C3421)+2,FALSE)))</f>
        <v>0</v>
      </c>
      <c r="J3421" s="178">
        <f t="shared" si="275"/>
        <v>0</v>
      </c>
      <c r="K3421" s="462">
        <f>IF(C3421=0,0,VLOOKUP(YEAR(C3421),INPC!$B$4:$O$29,MONTH(C3421)+1))</f>
        <v>0</v>
      </c>
      <c r="L3421" s="462">
        <f>IF(S3421=0,0,VLOOKUP(YEAR(S3421),INPC!$B$4:$O$29,MONTH(S3421)+1))</f>
        <v>0</v>
      </c>
      <c r="M3421" s="463">
        <f t="shared" si="276"/>
        <v>0</v>
      </c>
      <c r="N3421" s="465">
        <f t="shared" si="277"/>
        <v>0</v>
      </c>
      <c r="O3421" s="179"/>
      <c r="P3421" s="180"/>
      <c r="Q3421" s="173"/>
      <c r="R3421" s="173"/>
      <c r="S3421" s="174"/>
      <c r="T3421" s="173"/>
      <c r="U3421" s="182"/>
      <c r="V3421" s="177">
        <f>IF(U3421=0,0,IF(T3421="MXN",1/HLOOKUP(YEAR(S3421)+(MONTH(S3421)/100),TC!$5:$37,DAY(S3421)+2,FALSE),VLOOKUP(T3421,Equivalencia!$1:$23,((MAX(Equivalencia!$3:$3)-YEAR(S3421))*14)+MONTH(S3421)+2,FALSE)))</f>
        <v>0</v>
      </c>
      <c r="W3421" s="178">
        <f t="shared" si="278"/>
        <v>0</v>
      </c>
      <c r="X3421" s="481">
        <f t="shared" si="279"/>
        <v>0</v>
      </c>
      <c r="Y3421" s="179"/>
      <c r="Z3421" s="466">
        <f t="shared" si="280"/>
        <v>0</v>
      </c>
      <c r="AA3421" s="473">
        <f t="shared" si="281"/>
        <v>0</v>
      </c>
      <c r="AB3421" s="339">
        <f t="shared" si="282"/>
        <v>0</v>
      </c>
    </row>
    <row r="3422" spans="2:28" ht="20.100000000000001" customHeight="1">
      <c r="B3422" s="172"/>
      <c r="C3422" s="174"/>
      <c r="D3422" s="181"/>
      <c r="E3422" s="173"/>
      <c r="F3422" s="176"/>
      <c r="G3422" s="175">
        <f t="shared" si="273"/>
        <v>0</v>
      </c>
      <c r="H3422" s="175">
        <f t="shared" si="274"/>
        <v>0</v>
      </c>
      <c r="I3422" s="177">
        <f>IF(G3422=0,0,IF(E3422="MXN",1/HLOOKUP(YEAR(C3422)+(MONTH(C3422)/100),TC!$5:$37,DAY(C3422)+2,FALSE),VLOOKUP(E3422,Equivalencia!$5:$23,((MAX(Equivalencia!$3:$3)-YEAR(C3422))*14)+MONTH(C3422)+2,FALSE)))</f>
        <v>0</v>
      </c>
      <c r="J3422" s="178">
        <f t="shared" si="275"/>
        <v>0</v>
      </c>
      <c r="K3422" s="462">
        <f>IF(C3422=0,0,VLOOKUP(YEAR(C3422),INPC!$B$4:$O$29,MONTH(C3422)+1))</f>
        <v>0</v>
      </c>
      <c r="L3422" s="462">
        <f>IF(S3422=0,0,VLOOKUP(YEAR(S3422),INPC!$B$4:$O$29,MONTH(S3422)+1))</f>
        <v>0</v>
      </c>
      <c r="M3422" s="463">
        <f t="shared" si="276"/>
        <v>0</v>
      </c>
      <c r="N3422" s="465">
        <f t="shared" si="277"/>
        <v>0</v>
      </c>
      <c r="O3422" s="179"/>
      <c r="P3422" s="180"/>
      <c r="Q3422" s="173"/>
      <c r="R3422" s="173"/>
      <c r="S3422" s="174"/>
      <c r="T3422" s="173"/>
      <c r="U3422" s="182"/>
      <c r="V3422" s="177">
        <f>IF(U3422=0,0,IF(T3422="MXN",1/HLOOKUP(YEAR(S3422)+(MONTH(S3422)/100),TC!$5:$37,DAY(S3422)+2,FALSE),VLOOKUP(T3422,Equivalencia!$1:$23,((MAX(Equivalencia!$3:$3)-YEAR(S3422))*14)+MONTH(S3422)+2,FALSE)))</f>
        <v>0</v>
      </c>
      <c r="W3422" s="178">
        <f t="shared" si="278"/>
        <v>0</v>
      </c>
      <c r="X3422" s="481">
        <f t="shared" si="279"/>
        <v>0</v>
      </c>
      <c r="Y3422" s="179"/>
      <c r="Z3422" s="466">
        <f t="shared" si="280"/>
        <v>0</v>
      </c>
      <c r="AA3422" s="473">
        <f t="shared" si="281"/>
        <v>0</v>
      </c>
      <c r="AB3422" s="339">
        <f t="shared" si="282"/>
        <v>0</v>
      </c>
    </row>
    <row r="3423" spans="2:28" ht="20.100000000000001" customHeight="1">
      <c r="B3423" s="172"/>
      <c r="C3423" s="174"/>
      <c r="D3423" s="181"/>
      <c r="E3423" s="173"/>
      <c r="F3423" s="176"/>
      <c r="G3423" s="175">
        <f t="shared" si="273"/>
        <v>0</v>
      </c>
      <c r="H3423" s="175">
        <f t="shared" si="274"/>
        <v>0</v>
      </c>
      <c r="I3423" s="177">
        <f>IF(G3423=0,0,IF(E3423="MXN",1/HLOOKUP(YEAR(C3423)+(MONTH(C3423)/100),TC!$5:$37,DAY(C3423)+2,FALSE),VLOOKUP(E3423,Equivalencia!$5:$23,((MAX(Equivalencia!$3:$3)-YEAR(C3423))*14)+MONTH(C3423)+2,FALSE)))</f>
        <v>0</v>
      </c>
      <c r="J3423" s="178">
        <f t="shared" si="275"/>
        <v>0</v>
      </c>
      <c r="K3423" s="462">
        <f>IF(C3423=0,0,VLOOKUP(YEAR(C3423),INPC!$B$4:$O$29,MONTH(C3423)+1))</f>
        <v>0</v>
      </c>
      <c r="L3423" s="462">
        <f>IF(S3423=0,0,VLOOKUP(YEAR(S3423),INPC!$B$4:$O$29,MONTH(S3423)+1))</f>
        <v>0</v>
      </c>
      <c r="M3423" s="463">
        <f t="shared" si="276"/>
        <v>0</v>
      </c>
      <c r="N3423" s="465">
        <f t="shared" si="277"/>
        <v>0</v>
      </c>
      <c r="O3423" s="179"/>
      <c r="P3423" s="180"/>
      <c r="Q3423" s="173"/>
      <c r="R3423" s="173"/>
      <c r="S3423" s="174"/>
      <c r="T3423" s="173"/>
      <c r="U3423" s="182"/>
      <c r="V3423" s="177">
        <f>IF(U3423=0,0,IF(T3423="MXN",1/HLOOKUP(YEAR(S3423)+(MONTH(S3423)/100),TC!$5:$37,DAY(S3423)+2,FALSE),VLOOKUP(T3423,Equivalencia!$1:$23,((MAX(Equivalencia!$3:$3)-YEAR(S3423))*14)+MONTH(S3423)+2,FALSE)))</f>
        <v>0</v>
      </c>
      <c r="W3423" s="178">
        <f t="shared" si="278"/>
        <v>0</v>
      </c>
      <c r="X3423" s="481">
        <f t="shared" si="279"/>
        <v>0</v>
      </c>
      <c r="Y3423" s="179"/>
      <c r="Z3423" s="466">
        <f t="shared" si="280"/>
        <v>0</v>
      </c>
      <c r="AA3423" s="473">
        <f t="shared" si="281"/>
        <v>0</v>
      </c>
      <c r="AB3423" s="339">
        <f t="shared" si="282"/>
        <v>0</v>
      </c>
    </row>
    <row r="3424" spans="2:28" ht="20.100000000000001" customHeight="1">
      <c r="B3424" s="172"/>
      <c r="C3424" s="174"/>
      <c r="D3424" s="181"/>
      <c r="E3424" s="173"/>
      <c r="F3424" s="176"/>
      <c r="G3424" s="175">
        <f t="shared" si="273"/>
        <v>0</v>
      </c>
      <c r="H3424" s="175">
        <f t="shared" si="274"/>
        <v>0</v>
      </c>
      <c r="I3424" s="177">
        <f>IF(G3424=0,0,IF(E3424="MXN",1/HLOOKUP(YEAR(C3424)+(MONTH(C3424)/100),TC!$5:$37,DAY(C3424)+2,FALSE),VLOOKUP(E3424,Equivalencia!$5:$23,((MAX(Equivalencia!$3:$3)-YEAR(C3424))*14)+MONTH(C3424)+2,FALSE)))</f>
        <v>0</v>
      </c>
      <c r="J3424" s="178">
        <f t="shared" si="275"/>
        <v>0</v>
      </c>
      <c r="K3424" s="462">
        <f>IF(C3424=0,0,VLOOKUP(YEAR(C3424),INPC!$B$4:$O$29,MONTH(C3424)+1))</f>
        <v>0</v>
      </c>
      <c r="L3424" s="462">
        <f>IF(S3424=0,0,VLOOKUP(YEAR(S3424),INPC!$B$4:$O$29,MONTH(S3424)+1))</f>
        <v>0</v>
      </c>
      <c r="M3424" s="463">
        <f t="shared" si="276"/>
        <v>0</v>
      </c>
      <c r="N3424" s="465">
        <f t="shared" si="277"/>
        <v>0</v>
      </c>
      <c r="O3424" s="179"/>
      <c r="P3424" s="180"/>
      <c r="Q3424" s="173"/>
      <c r="R3424" s="173"/>
      <c r="S3424" s="174"/>
      <c r="T3424" s="173"/>
      <c r="U3424" s="182"/>
      <c r="V3424" s="177">
        <f>IF(U3424=0,0,IF(T3424="MXN",1/HLOOKUP(YEAR(S3424)+(MONTH(S3424)/100),TC!$5:$37,DAY(S3424)+2,FALSE),VLOOKUP(T3424,Equivalencia!$1:$23,((MAX(Equivalencia!$3:$3)-YEAR(S3424))*14)+MONTH(S3424)+2,FALSE)))</f>
        <v>0</v>
      </c>
      <c r="W3424" s="178">
        <f t="shared" si="278"/>
        <v>0</v>
      </c>
      <c r="X3424" s="481">
        <f t="shared" si="279"/>
        <v>0</v>
      </c>
      <c r="Y3424" s="179"/>
      <c r="Z3424" s="466">
        <f t="shared" si="280"/>
        <v>0</v>
      </c>
      <c r="AA3424" s="473">
        <f t="shared" si="281"/>
        <v>0</v>
      </c>
      <c r="AB3424" s="339">
        <f t="shared" si="282"/>
        <v>0</v>
      </c>
    </row>
    <row r="3425" spans="2:28" ht="20.100000000000001" customHeight="1">
      <c r="B3425" s="172"/>
      <c r="C3425" s="174"/>
      <c r="D3425" s="181"/>
      <c r="E3425" s="173"/>
      <c r="F3425" s="176"/>
      <c r="G3425" s="175">
        <f t="shared" si="273"/>
        <v>0</v>
      </c>
      <c r="H3425" s="175">
        <f t="shared" si="274"/>
        <v>0</v>
      </c>
      <c r="I3425" s="177">
        <f>IF(G3425=0,0,IF(E3425="MXN",1/HLOOKUP(YEAR(C3425)+(MONTH(C3425)/100),TC!$5:$37,DAY(C3425)+2,FALSE),VLOOKUP(E3425,Equivalencia!$5:$23,((MAX(Equivalencia!$3:$3)-YEAR(C3425))*14)+MONTH(C3425)+2,FALSE)))</f>
        <v>0</v>
      </c>
      <c r="J3425" s="178">
        <f t="shared" si="275"/>
        <v>0</v>
      </c>
      <c r="K3425" s="462">
        <f>IF(C3425=0,0,VLOOKUP(YEAR(C3425),INPC!$B$4:$O$29,MONTH(C3425)+1))</f>
        <v>0</v>
      </c>
      <c r="L3425" s="462">
        <f>IF(S3425=0,0,VLOOKUP(YEAR(S3425),INPC!$B$4:$O$29,MONTH(S3425)+1))</f>
        <v>0</v>
      </c>
      <c r="M3425" s="463">
        <f t="shared" si="276"/>
        <v>0</v>
      </c>
      <c r="N3425" s="465">
        <f t="shared" si="277"/>
        <v>0</v>
      </c>
      <c r="O3425" s="179"/>
      <c r="P3425" s="180"/>
      <c r="Q3425" s="173"/>
      <c r="R3425" s="173"/>
      <c r="S3425" s="174"/>
      <c r="T3425" s="173"/>
      <c r="U3425" s="182"/>
      <c r="V3425" s="177">
        <f>IF(U3425=0,0,IF(T3425="MXN",1/HLOOKUP(YEAR(S3425)+(MONTH(S3425)/100),TC!$5:$37,DAY(S3425)+2,FALSE),VLOOKUP(T3425,Equivalencia!$1:$23,((MAX(Equivalencia!$3:$3)-YEAR(S3425))*14)+MONTH(S3425)+2,FALSE)))</f>
        <v>0</v>
      </c>
      <c r="W3425" s="178">
        <f t="shared" si="278"/>
        <v>0</v>
      </c>
      <c r="X3425" s="481">
        <f t="shared" si="279"/>
        <v>0</v>
      </c>
      <c r="Y3425" s="179"/>
      <c r="Z3425" s="466">
        <f t="shared" si="280"/>
        <v>0</v>
      </c>
      <c r="AA3425" s="473">
        <f t="shared" si="281"/>
        <v>0</v>
      </c>
      <c r="AB3425" s="339">
        <f t="shared" si="282"/>
        <v>0</v>
      </c>
    </row>
    <row r="3426" spans="2:28" ht="20.100000000000001" customHeight="1">
      <c r="B3426" s="172"/>
      <c r="C3426" s="174"/>
      <c r="D3426" s="181"/>
      <c r="E3426" s="173"/>
      <c r="F3426" s="176"/>
      <c r="G3426" s="175">
        <f t="shared" si="273"/>
        <v>0</v>
      </c>
      <c r="H3426" s="175">
        <f t="shared" si="274"/>
        <v>0</v>
      </c>
      <c r="I3426" s="177">
        <f>IF(G3426=0,0,IF(E3426="MXN",1/HLOOKUP(YEAR(C3426)+(MONTH(C3426)/100),TC!$5:$37,DAY(C3426)+2,FALSE),VLOOKUP(E3426,Equivalencia!$5:$23,((MAX(Equivalencia!$3:$3)-YEAR(C3426))*14)+MONTH(C3426)+2,FALSE)))</f>
        <v>0</v>
      </c>
      <c r="J3426" s="178">
        <f t="shared" si="275"/>
        <v>0</v>
      </c>
      <c r="K3426" s="462">
        <f>IF(C3426=0,0,VLOOKUP(YEAR(C3426),INPC!$B$4:$O$29,MONTH(C3426)+1))</f>
        <v>0</v>
      </c>
      <c r="L3426" s="462">
        <f>IF(S3426=0,0,VLOOKUP(YEAR(S3426),INPC!$B$4:$O$29,MONTH(S3426)+1))</f>
        <v>0</v>
      </c>
      <c r="M3426" s="463">
        <f t="shared" si="276"/>
        <v>0</v>
      </c>
      <c r="N3426" s="465">
        <f t="shared" si="277"/>
        <v>0</v>
      </c>
      <c r="O3426" s="179"/>
      <c r="P3426" s="180"/>
      <c r="Q3426" s="173"/>
      <c r="R3426" s="173"/>
      <c r="S3426" s="174"/>
      <c r="T3426" s="173"/>
      <c r="U3426" s="182"/>
      <c r="V3426" s="177">
        <f>IF(U3426=0,0,IF(T3426="MXN",1/HLOOKUP(YEAR(S3426)+(MONTH(S3426)/100),TC!$5:$37,DAY(S3426)+2,FALSE),VLOOKUP(T3426,Equivalencia!$1:$23,((MAX(Equivalencia!$3:$3)-YEAR(S3426))*14)+MONTH(S3426)+2,FALSE)))</f>
        <v>0</v>
      </c>
      <c r="W3426" s="178">
        <f t="shared" si="278"/>
        <v>0</v>
      </c>
      <c r="X3426" s="481">
        <f t="shared" si="279"/>
        <v>0</v>
      </c>
      <c r="Y3426" s="179"/>
      <c r="Z3426" s="466">
        <f t="shared" si="280"/>
        <v>0</v>
      </c>
      <c r="AA3426" s="473">
        <f t="shared" si="281"/>
        <v>0</v>
      </c>
      <c r="AB3426" s="339">
        <f t="shared" si="282"/>
        <v>0</v>
      </c>
    </row>
    <row r="3427" spans="2:28" ht="20.100000000000001" customHeight="1">
      <c r="B3427" s="172"/>
      <c r="C3427" s="174"/>
      <c r="D3427" s="181"/>
      <c r="E3427" s="173"/>
      <c r="F3427" s="176"/>
      <c r="G3427" s="175">
        <f t="shared" si="273"/>
        <v>0</v>
      </c>
      <c r="H3427" s="175">
        <f t="shared" si="274"/>
        <v>0</v>
      </c>
      <c r="I3427" s="177">
        <f>IF(G3427=0,0,IF(E3427="MXN",1/HLOOKUP(YEAR(C3427)+(MONTH(C3427)/100),TC!$5:$37,DAY(C3427)+2,FALSE),VLOOKUP(E3427,Equivalencia!$5:$23,((MAX(Equivalencia!$3:$3)-YEAR(C3427))*14)+MONTH(C3427)+2,FALSE)))</f>
        <v>0</v>
      </c>
      <c r="J3427" s="178">
        <f t="shared" si="275"/>
        <v>0</v>
      </c>
      <c r="K3427" s="462">
        <f>IF(C3427=0,0,VLOOKUP(YEAR(C3427),INPC!$B$4:$O$29,MONTH(C3427)+1))</f>
        <v>0</v>
      </c>
      <c r="L3427" s="462">
        <f>IF(S3427=0,0,VLOOKUP(YEAR(S3427),INPC!$B$4:$O$29,MONTH(S3427)+1))</f>
        <v>0</v>
      </c>
      <c r="M3427" s="463">
        <f t="shared" si="276"/>
        <v>0</v>
      </c>
      <c r="N3427" s="465">
        <f t="shared" si="277"/>
        <v>0</v>
      </c>
      <c r="O3427" s="179"/>
      <c r="P3427" s="180"/>
      <c r="Q3427" s="173"/>
      <c r="R3427" s="173"/>
      <c r="S3427" s="174"/>
      <c r="T3427" s="173"/>
      <c r="U3427" s="182"/>
      <c r="V3427" s="177">
        <f>IF(U3427=0,0,IF(T3427="MXN",1/HLOOKUP(YEAR(S3427)+(MONTH(S3427)/100),TC!$5:$37,DAY(S3427)+2,FALSE),VLOOKUP(T3427,Equivalencia!$1:$23,((MAX(Equivalencia!$3:$3)-YEAR(S3427))*14)+MONTH(S3427)+2,FALSE)))</f>
        <v>0</v>
      </c>
      <c r="W3427" s="178">
        <f t="shared" si="278"/>
        <v>0</v>
      </c>
      <c r="X3427" s="481">
        <f t="shared" si="279"/>
        <v>0</v>
      </c>
      <c r="Y3427" s="179"/>
      <c r="Z3427" s="466">
        <f t="shared" si="280"/>
        <v>0</v>
      </c>
      <c r="AA3427" s="473">
        <f t="shared" si="281"/>
        <v>0</v>
      </c>
      <c r="AB3427" s="339">
        <f t="shared" si="282"/>
        <v>0</v>
      </c>
    </row>
    <row r="3428" spans="2:28" ht="20.100000000000001" customHeight="1">
      <c r="B3428" s="172"/>
      <c r="C3428" s="174"/>
      <c r="D3428" s="181"/>
      <c r="E3428" s="173"/>
      <c r="F3428" s="176"/>
      <c r="G3428" s="175">
        <f t="shared" si="273"/>
        <v>0</v>
      </c>
      <c r="H3428" s="175">
        <f t="shared" si="274"/>
        <v>0</v>
      </c>
      <c r="I3428" s="177">
        <f>IF(G3428=0,0,IF(E3428="MXN",1/HLOOKUP(YEAR(C3428)+(MONTH(C3428)/100),TC!$5:$37,DAY(C3428)+2,FALSE),VLOOKUP(E3428,Equivalencia!$5:$23,((MAX(Equivalencia!$3:$3)-YEAR(C3428))*14)+MONTH(C3428)+2,FALSE)))</f>
        <v>0</v>
      </c>
      <c r="J3428" s="178">
        <f t="shared" si="275"/>
        <v>0</v>
      </c>
      <c r="K3428" s="462">
        <f>IF(C3428=0,0,VLOOKUP(YEAR(C3428),INPC!$B$4:$O$29,MONTH(C3428)+1))</f>
        <v>0</v>
      </c>
      <c r="L3428" s="462">
        <f>IF(S3428=0,0,VLOOKUP(YEAR(S3428),INPC!$B$4:$O$29,MONTH(S3428)+1))</f>
        <v>0</v>
      </c>
      <c r="M3428" s="463">
        <f t="shared" si="276"/>
        <v>0</v>
      </c>
      <c r="N3428" s="465">
        <f t="shared" si="277"/>
        <v>0</v>
      </c>
      <c r="O3428" s="179"/>
      <c r="P3428" s="180"/>
      <c r="Q3428" s="173"/>
      <c r="R3428" s="173"/>
      <c r="S3428" s="174"/>
      <c r="T3428" s="173"/>
      <c r="U3428" s="182"/>
      <c r="V3428" s="177">
        <f>IF(U3428=0,0,IF(T3428="MXN",1/HLOOKUP(YEAR(S3428)+(MONTH(S3428)/100),TC!$5:$37,DAY(S3428)+2,FALSE),VLOOKUP(T3428,Equivalencia!$1:$23,((MAX(Equivalencia!$3:$3)-YEAR(S3428))*14)+MONTH(S3428)+2,FALSE)))</f>
        <v>0</v>
      </c>
      <c r="W3428" s="178">
        <f t="shared" si="278"/>
        <v>0</v>
      </c>
      <c r="X3428" s="481">
        <f t="shared" si="279"/>
        <v>0</v>
      </c>
      <c r="Y3428" s="179"/>
      <c r="Z3428" s="466">
        <f t="shared" si="280"/>
        <v>0</v>
      </c>
      <c r="AA3428" s="473">
        <f t="shared" si="281"/>
        <v>0</v>
      </c>
      <c r="AB3428" s="339">
        <f t="shared" si="282"/>
        <v>0</v>
      </c>
    </row>
    <row r="3429" spans="2:28" ht="20.100000000000001" customHeight="1">
      <c r="B3429" s="172"/>
      <c r="C3429" s="174"/>
      <c r="D3429" s="181"/>
      <c r="E3429" s="173"/>
      <c r="F3429" s="176"/>
      <c r="G3429" s="175">
        <f t="shared" si="273"/>
        <v>0</v>
      </c>
      <c r="H3429" s="175">
        <f t="shared" si="274"/>
        <v>0</v>
      </c>
      <c r="I3429" s="177">
        <f>IF(G3429=0,0,IF(E3429="MXN",1/HLOOKUP(YEAR(C3429)+(MONTH(C3429)/100),TC!$5:$37,DAY(C3429)+2,FALSE),VLOOKUP(E3429,Equivalencia!$5:$23,((MAX(Equivalencia!$3:$3)-YEAR(C3429))*14)+MONTH(C3429)+2,FALSE)))</f>
        <v>0</v>
      </c>
      <c r="J3429" s="178">
        <f t="shared" si="275"/>
        <v>0</v>
      </c>
      <c r="K3429" s="462">
        <f>IF(C3429=0,0,VLOOKUP(YEAR(C3429),INPC!$B$4:$O$29,MONTH(C3429)+1))</f>
        <v>0</v>
      </c>
      <c r="L3429" s="462">
        <f>IF(S3429=0,0,VLOOKUP(YEAR(S3429),INPC!$B$4:$O$29,MONTH(S3429)+1))</f>
        <v>0</v>
      </c>
      <c r="M3429" s="463">
        <f t="shared" si="276"/>
        <v>0</v>
      </c>
      <c r="N3429" s="465">
        <f t="shared" si="277"/>
        <v>0</v>
      </c>
      <c r="O3429" s="179"/>
      <c r="P3429" s="180"/>
      <c r="Q3429" s="173"/>
      <c r="R3429" s="173"/>
      <c r="S3429" s="174"/>
      <c r="T3429" s="173"/>
      <c r="U3429" s="182"/>
      <c r="V3429" s="177">
        <f>IF(U3429=0,0,IF(T3429="MXN",1/HLOOKUP(YEAR(S3429)+(MONTH(S3429)/100),TC!$5:$37,DAY(S3429)+2,FALSE),VLOOKUP(T3429,Equivalencia!$1:$23,((MAX(Equivalencia!$3:$3)-YEAR(S3429))*14)+MONTH(S3429)+2,FALSE)))</f>
        <v>0</v>
      </c>
      <c r="W3429" s="178">
        <f t="shared" si="278"/>
        <v>0</v>
      </c>
      <c r="X3429" s="481">
        <f t="shared" si="279"/>
        <v>0</v>
      </c>
      <c r="Y3429" s="179"/>
      <c r="Z3429" s="466">
        <f t="shared" si="280"/>
        <v>0</v>
      </c>
      <c r="AA3429" s="473">
        <f t="shared" si="281"/>
        <v>0</v>
      </c>
      <c r="AB3429" s="339">
        <f t="shared" si="282"/>
        <v>0</v>
      </c>
    </row>
    <row r="3430" spans="2:28" ht="20.100000000000001" customHeight="1">
      <c r="B3430" s="172"/>
      <c r="C3430" s="174"/>
      <c r="D3430" s="181"/>
      <c r="E3430" s="173"/>
      <c r="F3430" s="176"/>
      <c r="G3430" s="175">
        <f t="shared" si="273"/>
        <v>0</v>
      </c>
      <c r="H3430" s="175">
        <f t="shared" si="274"/>
        <v>0</v>
      </c>
      <c r="I3430" s="177">
        <f>IF(G3430=0,0,IF(E3430="MXN",1/HLOOKUP(YEAR(C3430)+(MONTH(C3430)/100),TC!$5:$37,DAY(C3430)+2,FALSE),VLOOKUP(E3430,Equivalencia!$5:$23,((MAX(Equivalencia!$3:$3)-YEAR(C3430))*14)+MONTH(C3430)+2,FALSE)))</f>
        <v>0</v>
      </c>
      <c r="J3430" s="178">
        <f t="shared" si="275"/>
        <v>0</v>
      </c>
      <c r="K3430" s="462">
        <f>IF(C3430=0,0,VLOOKUP(YEAR(C3430),INPC!$B$4:$O$29,MONTH(C3430)+1))</f>
        <v>0</v>
      </c>
      <c r="L3430" s="462">
        <f>IF(S3430=0,0,VLOOKUP(YEAR(S3430),INPC!$B$4:$O$29,MONTH(S3430)+1))</f>
        <v>0</v>
      </c>
      <c r="M3430" s="463">
        <f t="shared" si="276"/>
        <v>0</v>
      </c>
      <c r="N3430" s="465">
        <f t="shared" si="277"/>
        <v>0</v>
      </c>
      <c r="O3430" s="179"/>
      <c r="P3430" s="180"/>
      <c r="Q3430" s="173"/>
      <c r="R3430" s="173"/>
      <c r="S3430" s="174"/>
      <c r="T3430" s="173"/>
      <c r="U3430" s="182"/>
      <c r="V3430" s="177">
        <f>IF(U3430=0,0,IF(T3430="MXN",1/HLOOKUP(YEAR(S3430)+(MONTH(S3430)/100),TC!$5:$37,DAY(S3430)+2,FALSE),VLOOKUP(T3430,Equivalencia!$1:$23,((MAX(Equivalencia!$3:$3)-YEAR(S3430))*14)+MONTH(S3430)+2,FALSE)))</f>
        <v>0</v>
      </c>
      <c r="W3430" s="178">
        <f t="shared" si="278"/>
        <v>0</v>
      </c>
      <c r="X3430" s="481">
        <f t="shared" si="279"/>
        <v>0</v>
      </c>
      <c r="Y3430" s="179"/>
      <c r="Z3430" s="466">
        <f t="shared" si="280"/>
        <v>0</v>
      </c>
      <c r="AA3430" s="473">
        <f t="shared" si="281"/>
        <v>0</v>
      </c>
      <c r="AB3430" s="339">
        <f t="shared" si="282"/>
        <v>0</v>
      </c>
    </row>
    <row r="3431" spans="2:28" ht="20.100000000000001" customHeight="1">
      <c r="B3431" s="172"/>
      <c r="C3431" s="174"/>
      <c r="D3431" s="181"/>
      <c r="E3431" s="173"/>
      <c r="F3431" s="176"/>
      <c r="G3431" s="175">
        <f t="shared" si="273"/>
        <v>0</v>
      </c>
      <c r="H3431" s="175">
        <f t="shared" si="274"/>
        <v>0</v>
      </c>
      <c r="I3431" s="177">
        <f>IF(G3431=0,0,IF(E3431="MXN",1/HLOOKUP(YEAR(C3431)+(MONTH(C3431)/100),TC!$5:$37,DAY(C3431)+2,FALSE),VLOOKUP(E3431,Equivalencia!$5:$23,((MAX(Equivalencia!$3:$3)-YEAR(C3431))*14)+MONTH(C3431)+2,FALSE)))</f>
        <v>0</v>
      </c>
      <c r="J3431" s="178">
        <f t="shared" si="275"/>
        <v>0</v>
      </c>
      <c r="K3431" s="462">
        <f>IF(C3431=0,0,VLOOKUP(YEAR(C3431),INPC!$B$4:$O$29,MONTH(C3431)+1))</f>
        <v>0</v>
      </c>
      <c r="L3431" s="462">
        <f>IF(S3431=0,0,VLOOKUP(YEAR(S3431),INPC!$B$4:$O$29,MONTH(S3431)+1))</f>
        <v>0</v>
      </c>
      <c r="M3431" s="463">
        <f t="shared" si="276"/>
        <v>0</v>
      </c>
      <c r="N3431" s="465">
        <f t="shared" si="277"/>
        <v>0</v>
      </c>
      <c r="O3431" s="179"/>
      <c r="P3431" s="180"/>
      <c r="Q3431" s="173"/>
      <c r="R3431" s="173"/>
      <c r="S3431" s="174"/>
      <c r="T3431" s="173"/>
      <c r="U3431" s="182"/>
      <c r="V3431" s="177">
        <f>IF(U3431=0,0,IF(T3431="MXN",1/HLOOKUP(YEAR(S3431)+(MONTH(S3431)/100),TC!$5:$37,DAY(S3431)+2,FALSE),VLOOKUP(T3431,Equivalencia!$1:$23,((MAX(Equivalencia!$3:$3)-YEAR(S3431))*14)+MONTH(S3431)+2,FALSE)))</f>
        <v>0</v>
      </c>
      <c r="W3431" s="178">
        <f t="shared" si="278"/>
        <v>0</v>
      </c>
      <c r="X3431" s="481">
        <f t="shared" si="279"/>
        <v>0</v>
      </c>
      <c r="Y3431" s="179"/>
      <c r="Z3431" s="466">
        <f t="shared" si="280"/>
        <v>0</v>
      </c>
      <c r="AA3431" s="473">
        <f t="shared" si="281"/>
        <v>0</v>
      </c>
      <c r="AB3431" s="339">
        <f t="shared" si="282"/>
        <v>0</v>
      </c>
    </row>
    <row r="3432" spans="2:28" ht="20.100000000000001" customHeight="1">
      <c r="B3432" s="172"/>
      <c r="C3432" s="174"/>
      <c r="D3432" s="181"/>
      <c r="E3432" s="173"/>
      <c r="F3432" s="176"/>
      <c r="G3432" s="175">
        <f t="shared" si="273"/>
        <v>0</v>
      </c>
      <c r="H3432" s="175">
        <f t="shared" si="274"/>
        <v>0</v>
      </c>
      <c r="I3432" s="177">
        <f>IF(G3432=0,0,IF(E3432="MXN",1/HLOOKUP(YEAR(C3432)+(MONTH(C3432)/100),TC!$5:$37,DAY(C3432)+2,FALSE),VLOOKUP(E3432,Equivalencia!$5:$23,((MAX(Equivalencia!$3:$3)-YEAR(C3432))*14)+MONTH(C3432)+2,FALSE)))</f>
        <v>0</v>
      </c>
      <c r="J3432" s="178">
        <f t="shared" si="275"/>
        <v>0</v>
      </c>
      <c r="K3432" s="462">
        <f>IF(C3432=0,0,VLOOKUP(YEAR(C3432),INPC!$B$4:$O$29,MONTH(C3432)+1))</f>
        <v>0</v>
      </c>
      <c r="L3432" s="462">
        <f>IF(S3432=0,0,VLOOKUP(YEAR(S3432),INPC!$B$4:$O$29,MONTH(S3432)+1))</f>
        <v>0</v>
      </c>
      <c r="M3432" s="463">
        <f t="shared" si="276"/>
        <v>0</v>
      </c>
      <c r="N3432" s="465">
        <f t="shared" si="277"/>
        <v>0</v>
      </c>
      <c r="O3432" s="179"/>
      <c r="P3432" s="180"/>
      <c r="Q3432" s="173"/>
      <c r="R3432" s="173"/>
      <c r="S3432" s="174"/>
      <c r="T3432" s="173"/>
      <c r="U3432" s="182"/>
      <c r="V3432" s="177">
        <f>IF(U3432=0,0,IF(T3432="MXN",1/HLOOKUP(YEAR(S3432)+(MONTH(S3432)/100),TC!$5:$37,DAY(S3432)+2,FALSE),VLOOKUP(T3432,Equivalencia!$1:$23,((MAX(Equivalencia!$3:$3)-YEAR(S3432))*14)+MONTH(S3432)+2,FALSE)))</f>
        <v>0</v>
      </c>
      <c r="W3432" s="178">
        <f t="shared" si="278"/>
        <v>0</v>
      </c>
      <c r="X3432" s="481">
        <f t="shared" si="279"/>
        <v>0</v>
      </c>
      <c r="Y3432" s="179"/>
      <c r="Z3432" s="466">
        <f t="shared" si="280"/>
        <v>0</v>
      </c>
      <c r="AA3432" s="473">
        <f t="shared" si="281"/>
        <v>0</v>
      </c>
      <c r="AB3432" s="339">
        <f t="shared" si="282"/>
        <v>0</v>
      </c>
    </row>
    <row r="3433" spans="2:28" ht="20.100000000000001" customHeight="1">
      <c r="B3433" s="172"/>
      <c r="C3433" s="174"/>
      <c r="D3433" s="181"/>
      <c r="E3433" s="173"/>
      <c r="F3433" s="176"/>
      <c r="G3433" s="175">
        <f t="shared" si="273"/>
        <v>0</v>
      </c>
      <c r="H3433" s="175">
        <f t="shared" si="274"/>
        <v>0</v>
      </c>
      <c r="I3433" s="177">
        <f>IF(G3433=0,0,IF(E3433="MXN",1/HLOOKUP(YEAR(C3433)+(MONTH(C3433)/100),TC!$5:$37,DAY(C3433)+2,FALSE),VLOOKUP(E3433,Equivalencia!$5:$23,((MAX(Equivalencia!$3:$3)-YEAR(C3433))*14)+MONTH(C3433)+2,FALSE)))</f>
        <v>0</v>
      </c>
      <c r="J3433" s="178">
        <f t="shared" si="275"/>
        <v>0</v>
      </c>
      <c r="K3433" s="462">
        <f>IF(C3433=0,0,VLOOKUP(YEAR(C3433),INPC!$B$4:$O$29,MONTH(C3433)+1))</f>
        <v>0</v>
      </c>
      <c r="L3433" s="462">
        <f>IF(S3433=0,0,VLOOKUP(YEAR(S3433),INPC!$B$4:$O$29,MONTH(S3433)+1))</f>
        <v>0</v>
      </c>
      <c r="M3433" s="463">
        <f t="shared" si="276"/>
        <v>0</v>
      </c>
      <c r="N3433" s="465">
        <f t="shared" si="277"/>
        <v>0</v>
      </c>
      <c r="O3433" s="179"/>
      <c r="P3433" s="180"/>
      <c r="Q3433" s="173"/>
      <c r="R3433" s="173"/>
      <c r="S3433" s="174"/>
      <c r="T3433" s="173"/>
      <c r="U3433" s="182"/>
      <c r="V3433" s="177">
        <f>IF(U3433=0,0,IF(T3433="MXN",1/HLOOKUP(YEAR(S3433)+(MONTH(S3433)/100),TC!$5:$37,DAY(S3433)+2,FALSE),VLOOKUP(T3433,Equivalencia!$1:$23,((MAX(Equivalencia!$3:$3)-YEAR(S3433))*14)+MONTH(S3433)+2,FALSE)))</f>
        <v>0</v>
      </c>
      <c r="W3433" s="178">
        <f t="shared" si="278"/>
        <v>0</v>
      </c>
      <c r="X3433" s="481">
        <f t="shared" si="279"/>
        <v>0</v>
      </c>
      <c r="Y3433" s="179"/>
      <c r="Z3433" s="466">
        <f t="shared" si="280"/>
        <v>0</v>
      </c>
      <c r="AA3433" s="473">
        <f t="shared" si="281"/>
        <v>0</v>
      </c>
      <c r="AB3433" s="339">
        <f t="shared" si="282"/>
        <v>0</v>
      </c>
    </row>
    <row r="3434" spans="2:28" ht="20.100000000000001" customHeight="1">
      <c r="B3434" s="172"/>
      <c r="C3434" s="174"/>
      <c r="D3434" s="181"/>
      <c r="E3434" s="173"/>
      <c r="F3434" s="176"/>
      <c r="G3434" s="175">
        <f t="shared" si="273"/>
        <v>0</v>
      </c>
      <c r="H3434" s="175">
        <f t="shared" si="274"/>
        <v>0</v>
      </c>
      <c r="I3434" s="177">
        <f>IF(G3434=0,0,IF(E3434="MXN",1/HLOOKUP(YEAR(C3434)+(MONTH(C3434)/100),TC!$5:$37,DAY(C3434)+2,FALSE),VLOOKUP(E3434,Equivalencia!$5:$23,((MAX(Equivalencia!$3:$3)-YEAR(C3434))*14)+MONTH(C3434)+2,FALSE)))</f>
        <v>0</v>
      </c>
      <c r="J3434" s="178">
        <f t="shared" si="275"/>
        <v>0</v>
      </c>
      <c r="K3434" s="462">
        <f>IF(C3434=0,0,VLOOKUP(YEAR(C3434),INPC!$B$4:$O$29,MONTH(C3434)+1))</f>
        <v>0</v>
      </c>
      <c r="L3434" s="462">
        <f>IF(S3434=0,0,VLOOKUP(YEAR(S3434),INPC!$B$4:$O$29,MONTH(S3434)+1))</f>
        <v>0</v>
      </c>
      <c r="M3434" s="463">
        <f t="shared" si="276"/>
        <v>0</v>
      </c>
      <c r="N3434" s="465">
        <f t="shared" si="277"/>
        <v>0</v>
      </c>
      <c r="O3434" s="179"/>
      <c r="P3434" s="180"/>
      <c r="Q3434" s="173"/>
      <c r="R3434" s="173"/>
      <c r="S3434" s="174"/>
      <c r="T3434" s="173"/>
      <c r="U3434" s="182"/>
      <c r="V3434" s="177">
        <f>IF(U3434=0,0,IF(T3434="MXN",1/HLOOKUP(YEAR(S3434)+(MONTH(S3434)/100),TC!$5:$37,DAY(S3434)+2,FALSE),VLOOKUP(T3434,Equivalencia!$1:$23,((MAX(Equivalencia!$3:$3)-YEAR(S3434))*14)+MONTH(S3434)+2,FALSE)))</f>
        <v>0</v>
      </c>
      <c r="W3434" s="178">
        <f t="shared" si="278"/>
        <v>0</v>
      </c>
      <c r="X3434" s="481">
        <f t="shared" si="279"/>
        <v>0</v>
      </c>
      <c r="Y3434" s="179"/>
      <c r="Z3434" s="466">
        <f t="shared" si="280"/>
        <v>0</v>
      </c>
      <c r="AA3434" s="473">
        <f t="shared" si="281"/>
        <v>0</v>
      </c>
      <c r="AB3434" s="339">
        <f t="shared" si="282"/>
        <v>0</v>
      </c>
    </row>
    <row r="3435" spans="2:28" ht="20.100000000000001" customHeight="1">
      <c r="B3435" s="172"/>
      <c r="C3435" s="174"/>
      <c r="D3435" s="181"/>
      <c r="E3435" s="173"/>
      <c r="F3435" s="176"/>
      <c r="G3435" s="175">
        <f t="shared" si="273"/>
        <v>0</v>
      </c>
      <c r="H3435" s="175">
        <f t="shared" si="274"/>
        <v>0</v>
      </c>
      <c r="I3435" s="177">
        <f>IF(G3435=0,0,IF(E3435="MXN",1/HLOOKUP(YEAR(C3435)+(MONTH(C3435)/100),TC!$5:$37,DAY(C3435)+2,FALSE),VLOOKUP(E3435,Equivalencia!$5:$23,((MAX(Equivalencia!$3:$3)-YEAR(C3435))*14)+MONTH(C3435)+2,FALSE)))</f>
        <v>0</v>
      </c>
      <c r="J3435" s="178">
        <f t="shared" si="275"/>
        <v>0</v>
      </c>
      <c r="K3435" s="462">
        <f>IF(C3435=0,0,VLOOKUP(YEAR(C3435),INPC!$B$4:$O$29,MONTH(C3435)+1))</f>
        <v>0</v>
      </c>
      <c r="L3435" s="462">
        <f>IF(S3435=0,0,VLOOKUP(YEAR(S3435),INPC!$B$4:$O$29,MONTH(S3435)+1))</f>
        <v>0</v>
      </c>
      <c r="M3435" s="463">
        <f t="shared" si="276"/>
        <v>0</v>
      </c>
      <c r="N3435" s="465">
        <f t="shared" si="277"/>
        <v>0</v>
      </c>
      <c r="O3435" s="179"/>
      <c r="P3435" s="180"/>
      <c r="Q3435" s="173"/>
      <c r="R3435" s="173"/>
      <c r="S3435" s="174"/>
      <c r="T3435" s="173"/>
      <c r="U3435" s="182"/>
      <c r="V3435" s="177">
        <f>IF(U3435=0,0,IF(T3435="MXN",1/HLOOKUP(YEAR(S3435)+(MONTH(S3435)/100),TC!$5:$37,DAY(S3435)+2,FALSE),VLOOKUP(T3435,Equivalencia!$1:$23,((MAX(Equivalencia!$3:$3)-YEAR(S3435))*14)+MONTH(S3435)+2,FALSE)))</f>
        <v>0</v>
      </c>
      <c r="W3435" s="178">
        <f t="shared" si="278"/>
        <v>0</v>
      </c>
      <c r="X3435" s="481">
        <f t="shared" si="279"/>
        <v>0</v>
      </c>
      <c r="Y3435" s="179"/>
      <c r="Z3435" s="466">
        <f t="shared" si="280"/>
        <v>0</v>
      </c>
      <c r="AA3435" s="473">
        <f t="shared" si="281"/>
        <v>0</v>
      </c>
      <c r="AB3435" s="339">
        <f t="shared" si="282"/>
        <v>0</v>
      </c>
    </row>
    <row r="3436" spans="2:28" ht="20.100000000000001" customHeight="1">
      <c r="B3436" s="172"/>
      <c r="C3436" s="174"/>
      <c r="D3436" s="181"/>
      <c r="E3436" s="173"/>
      <c r="F3436" s="176"/>
      <c r="G3436" s="175">
        <f t="shared" si="273"/>
        <v>0</v>
      </c>
      <c r="H3436" s="175">
        <f t="shared" si="274"/>
        <v>0</v>
      </c>
      <c r="I3436" s="177">
        <f>IF(G3436=0,0,IF(E3436="MXN",1/HLOOKUP(YEAR(C3436)+(MONTH(C3436)/100),TC!$5:$37,DAY(C3436)+2,FALSE),VLOOKUP(E3436,Equivalencia!$5:$23,((MAX(Equivalencia!$3:$3)-YEAR(C3436))*14)+MONTH(C3436)+2,FALSE)))</f>
        <v>0</v>
      </c>
      <c r="J3436" s="178">
        <f t="shared" si="275"/>
        <v>0</v>
      </c>
      <c r="K3436" s="462">
        <f>IF(C3436=0,0,VLOOKUP(YEAR(C3436),INPC!$B$4:$O$29,MONTH(C3436)+1))</f>
        <v>0</v>
      </c>
      <c r="L3436" s="462">
        <f>IF(S3436=0,0,VLOOKUP(YEAR(S3436),INPC!$B$4:$O$29,MONTH(S3436)+1))</f>
        <v>0</v>
      </c>
      <c r="M3436" s="463">
        <f t="shared" si="276"/>
        <v>0</v>
      </c>
      <c r="N3436" s="465">
        <f t="shared" si="277"/>
        <v>0</v>
      </c>
      <c r="O3436" s="179"/>
      <c r="P3436" s="180"/>
      <c r="Q3436" s="173"/>
      <c r="R3436" s="173"/>
      <c r="S3436" s="174"/>
      <c r="T3436" s="173"/>
      <c r="U3436" s="182"/>
      <c r="V3436" s="177">
        <f>IF(U3436=0,0,IF(T3436="MXN",1/HLOOKUP(YEAR(S3436)+(MONTH(S3436)/100),TC!$5:$37,DAY(S3436)+2,FALSE),VLOOKUP(T3436,Equivalencia!$1:$23,((MAX(Equivalencia!$3:$3)-YEAR(S3436))*14)+MONTH(S3436)+2,FALSE)))</f>
        <v>0</v>
      </c>
      <c r="W3436" s="178">
        <f t="shared" si="278"/>
        <v>0</v>
      </c>
      <c r="X3436" s="481">
        <f t="shared" si="279"/>
        <v>0</v>
      </c>
      <c r="Y3436" s="179"/>
      <c r="Z3436" s="466">
        <f t="shared" si="280"/>
        <v>0</v>
      </c>
      <c r="AA3436" s="473">
        <f t="shared" si="281"/>
        <v>0</v>
      </c>
      <c r="AB3436" s="339">
        <f t="shared" si="282"/>
        <v>0</v>
      </c>
    </row>
    <row r="3437" spans="2:28" ht="20.100000000000001" customHeight="1">
      <c r="B3437" s="172"/>
      <c r="C3437" s="174"/>
      <c r="D3437" s="181"/>
      <c r="E3437" s="173"/>
      <c r="F3437" s="176"/>
      <c r="G3437" s="175">
        <f t="shared" si="273"/>
        <v>0</v>
      </c>
      <c r="H3437" s="175">
        <f t="shared" si="274"/>
        <v>0</v>
      </c>
      <c r="I3437" s="177">
        <f>IF(G3437=0,0,IF(E3437="MXN",1/HLOOKUP(YEAR(C3437)+(MONTH(C3437)/100),TC!$5:$37,DAY(C3437)+2,FALSE),VLOOKUP(E3437,Equivalencia!$5:$23,((MAX(Equivalencia!$3:$3)-YEAR(C3437))*14)+MONTH(C3437)+2,FALSE)))</f>
        <v>0</v>
      </c>
      <c r="J3437" s="178">
        <f t="shared" si="275"/>
        <v>0</v>
      </c>
      <c r="K3437" s="462">
        <f>IF(C3437=0,0,VLOOKUP(YEAR(C3437),INPC!$B$4:$O$29,MONTH(C3437)+1))</f>
        <v>0</v>
      </c>
      <c r="L3437" s="462">
        <f>IF(S3437=0,0,VLOOKUP(YEAR(S3437),INPC!$B$4:$O$29,MONTH(S3437)+1))</f>
        <v>0</v>
      </c>
      <c r="M3437" s="463">
        <f t="shared" si="276"/>
        <v>0</v>
      </c>
      <c r="N3437" s="465">
        <f t="shared" si="277"/>
        <v>0</v>
      </c>
      <c r="O3437" s="179"/>
      <c r="P3437" s="180"/>
      <c r="Q3437" s="173"/>
      <c r="R3437" s="173"/>
      <c r="S3437" s="174"/>
      <c r="T3437" s="173"/>
      <c r="U3437" s="182"/>
      <c r="V3437" s="177">
        <f>IF(U3437=0,0,IF(T3437="MXN",1/HLOOKUP(YEAR(S3437)+(MONTH(S3437)/100),TC!$5:$37,DAY(S3437)+2,FALSE),VLOOKUP(T3437,Equivalencia!$1:$23,((MAX(Equivalencia!$3:$3)-YEAR(S3437))*14)+MONTH(S3437)+2,FALSE)))</f>
        <v>0</v>
      </c>
      <c r="W3437" s="178">
        <f t="shared" si="278"/>
        <v>0</v>
      </c>
      <c r="X3437" s="481">
        <f t="shared" si="279"/>
        <v>0</v>
      </c>
      <c r="Y3437" s="179"/>
      <c r="Z3437" s="466">
        <f t="shared" si="280"/>
        <v>0</v>
      </c>
      <c r="AA3437" s="473">
        <f t="shared" si="281"/>
        <v>0</v>
      </c>
      <c r="AB3437" s="339">
        <f t="shared" si="282"/>
        <v>0</v>
      </c>
    </row>
    <row r="3438" spans="2:28" ht="20.100000000000001" customHeight="1">
      <c r="B3438" s="172"/>
      <c r="C3438" s="174"/>
      <c r="D3438" s="181"/>
      <c r="E3438" s="173"/>
      <c r="F3438" s="176"/>
      <c r="G3438" s="175">
        <f t="shared" si="273"/>
        <v>0</v>
      </c>
      <c r="H3438" s="175">
        <f t="shared" si="274"/>
        <v>0</v>
      </c>
      <c r="I3438" s="177">
        <f>IF(G3438=0,0,IF(E3438="MXN",1/HLOOKUP(YEAR(C3438)+(MONTH(C3438)/100),TC!$5:$37,DAY(C3438)+2,FALSE),VLOOKUP(E3438,Equivalencia!$5:$23,((MAX(Equivalencia!$3:$3)-YEAR(C3438))*14)+MONTH(C3438)+2,FALSE)))</f>
        <v>0</v>
      </c>
      <c r="J3438" s="178">
        <f t="shared" si="275"/>
        <v>0</v>
      </c>
      <c r="K3438" s="462">
        <f>IF(C3438=0,0,VLOOKUP(YEAR(C3438),INPC!$B$4:$O$29,MONTH(C3438)+1))</f>
        <v>0</v>
      </c>
      <c r="L3438" s="462">
        <f>IF(S3438=0,0,VLOOKUP(YEAR(S3438),INPC!$B$4:$O$29,MONTH(S3438)+1))</f>
        <v>0</v>
      </c>
      <c r="M3438" s="463">
        <f t="shared" si="276"/>
        <v>0</v>
      </c>
      <c r="N3438" s="465">
        <f t="shared" si="277"/>
        <v>0</v>
      </c>
      <c r="O3438" s="179"/>
      <c r="P3438" s="180"/>
      <c r="Q3438" s="173"/>
      <c r="R3438" s="173"/>
      <c r="S3438" s="174"/>
      <c r="T3438" s="173"/>
      <c r="U3438" s="182"/>
      <c r="V3438" s="177">
        <f>IF(U3438=0,0,IF(T3438="MXN",1/HLOOKUP(YEAR(S3438)+(MONTH(S3438)/100),TC!$5:$37,DAY(S3438)+2,FALSE),VLOOKUP(T3438,Equivalencia!$1:$23,((MAX(Equivalencia!$3:$3)-YEAR(S3438))*14)+MONTH(S3438)+2,FALSE)))</f>
        <v>0</v>
      </c>
      <c r="W3438" s="178">
        <f t="shared" si="278"/>
        <v>0</v>
      </c>
      <c r="X3438" s="481">
        <f t="shared" si="279"/>
        <v>0</v>
      </c>
      <c r="Y3438" s="179"/>
      <c r="Z3438" s="466">
        <f t="shared" si="280"/>
        <v>0</v>
      </c>
      <c r="AA3438" s="473">
        <f t="shared" si="281"/>
        <v>0</v>
      </c>
      <c r="AB3438" s="339">
        <f t="shared" si="282"/>
        <v>0</v>
      </c>
    </row>
    <row r="3439" spans="2:28" ht="20.100000000000001" customHeight="1">
      <c r="B3439" s="172"/>
      <c r="C3439" s="174"/>
      <c r="D3439" s="181"/>
      <c r="E3439" s="173"/>
      <c r="F3439" s="176"/>
      <c r="G3439" s="175">
        <f t="shared" si="273"/>
        <v>0</v>
      </c>
      <c r="H3439" s="175">
        <f t="shared" si="274"/>
        <v>0</v>
      </c>
      <c r="I3439" s="177">
        <f>IF(G3439=0,0,IF(E3439="MXN",1/HLOOKUP(YEAR(C3439)+(MONTH(C3439)/100),TC!$5:$37,DAY(C3439)+2,FALSE),VLOOKUP(E3439,Equivalencia!$5:$23,((MAX(Equivalencia!$3:$3)-YEAR(C3439))*14)+MONTH(C3439)+2,FALSE)))</f>
        <v>0</v>
      </c>
      <c r="J3439" s="178">
        <f t="shared" si="275"/>
        <v>0</v>
      </c>
      <c r="K3439" s="462">
        <f>IF(C3439=0,0,VLOOKUP(YEAR(C3439),INPC!$B$4:$O$29,MONTH(C3439)+1))</f>
        <v>0</v>
      </c>
      <c r="L3439" s="462">
        <f>IF(S3439=0,0,VLOOKUP(YEAR(S3439),INPC!$B$4:$O$29,MONTH(S3439)+1))</f>
        <v>0</v>
      </c>
      <c r="M3439" s="463">
        <f t="shared" si="276"/>
        <v>0</v>
      </c>
      <c r="N3439" s="465">
        <f t="shared" si="277"/>
        <v>0</v>
      </c>
      <c r="O3439" s="179"/>
      <c r="P3439" s="180"/>
      <c r="Q3439" s="173"/>
      <c r="R3439" s="173"/>
      <c r="S3439" s="174"/>
      <c r="T3439" s="173"/>
      <c r="U3439" s="182"/>
      <c r="V3439" s="177">
        <f>IF(U3439=0,0,IF(T3439="MXN",1/HLOOKUP(YEAR(S3439)+(MONTH(S3439)/100),TC!$5:$37,DAY(S3439)+2,FALSE),VLOOKUP(T3439,Equivalencia!$1:$23,((MAX(Equivalencia!$3:$3)-YEAR(S3439))*14)+MONTH(S3439)+2,FALSE)))</f>
        <v>0</v>
      </c>
      <c r="W3439" s="178">
        <f t="shared" si="278"/>
        <v>0</v>
      </c>
      <c r="X3439" s="481">
        <f t="shared" si="279"/>
        <v>0</v>
      </c>
      <c r="Y3439" s="179"/>
      <c r="Z3439" s="466">
        <f t="shared" si="280"/>
        <v>0</v>
      </c>
      <c r="AA3439" s="473">
        <f t="shared" si="281"/>
        <v>0</v>
      </c>
      <c r="AB3439" s="339">
        <f t="shared" si="282"/>
        <v>0</v>
      </c>
    </row>
    <row r="3440" spans="2:28" ht="20.100000000000001" customHeight="1">
      <c r="B3440" s="172"/>
      <c r="C3440" s="174"/>
      <c r="D3440" s="181"/>
      <c r="E3440" s="173"/>
      <c r="F3440" s="176"/>
      <c r="G3440" s="175">
        <f t="shared" si="273"/>
        <v>0</v>
      </c>
      <c r="H3440" s="175">
        <f t="shared" si="274"/>
        <v>0</v>
      </c>
      <c r="I3440" s="177">
        <f>IF(G3440=0,0,IF(E3440="MXN",1/HLOOKUP(YEAR(C3440)+(MONTH(C3440)/100),TC!$5:$37,DAY(C3440)+2,FALSE),VLOOKUP(E3440,Equivalencia!$5:$23,((MAX(Equivalencia!$3:$3)-YEAR(C3440))*14)+MONTH(C3440)+2,FALSE)))</f>
        <v>0</v>
      </c>
      <c r="J3440" s="178">
        <f t="shared" si="275"/>
        <v>0</v>
      </c>
      <c r="K3440" s="462">
        <f>IF(C3440=0,0,VLOOKUP(YEAR(C3440),INPC!$B$4:$O$29,MONTH(C3440)+1))</f>
        <v>0</v>
      </c>
      <c r="L3440" s="462">
        <f>IF(S3440=0,0,VLOOKUP(YEAR(S3440),INPC!$B$4:$O$29,MONTH(S3440)+1))</f>
        <v>0</v>
      </c>
      <c r="M3440" s="463">
        <f t="shared" si="276"/>
        <v>0</v>
      </c>
      <c r="N3440" s="465">
        <f t="shared" si="277"/>
        <v>0</v>
      </c>
      <c r="O3440" s="179"/>
      <c r="P3440" s="180"/>
      <c r="Q3440" s="173"/>
      <c r="R3440" s="173"/>
      <c r="S3440" s="174"/>
      <c r="T3440" s="173"/>
      <c r="U3440" s="182"/>
      <c r="V3440" s="177">
        <f>IF(U3440=0,0,IF(T3440="MXN",1/HLOOKUP(YEAR(S3440)+(MONTH(S3440)/100),TC!$5:$37,DAY(S3440)+2,FALSE),VLOOKUP(T3440,Equivalencia!$1:$23,((MAX(Equivalencia!$3:$3)-YEAR(S3440))*14)+MONTH(S3440)+2,FALSE)))</f>
        <v>0</v>
      </c>
      <c r="W3440" s="178">
        <f t="shared" si="278"/>
        <v>0</v>
      </c>
      <c r="X3440" s="481">
        <f t="shared" si="279"/>
        <v>0</v>
      </c>
      <c r="Y3440" s="179"/>
      <c r="Z3440" s="466">
        <f t="shared" si="280"/>
        <v>0</v>
      </c>
      <c r="AA3440" s="473">
        <f t="shared" si="281"/>
        <v>0</v>
      </c>
      <c r="AB3440" s="339">
        <f t="shared" si="282"/>
        <v>0</v>
      </c>
    </row>
    <row r="3441" spans="2:28" ht="20.100000000000001" customHeight="1">
      <c r="B3441" s="172"/>
      <c r="C3441" s="174"/>
      <c r="D3441" s="181"/>
      <c r="E3441" s="173"/>
      <c r="F3441" s="176"/>
      <c r="G3441" s="175">
        <f t="shared" si="273"/>
        <v>0</v>
      </c>
      <c r="H3441" s="175">
        <f t="shared" si="274"/>
        <v>0</v>
      </c>
      <c r="I3441" s="177">
        <f>IF(G3441=0,0,IF(E3441="MXN",1/HLOOKUP(YEAR(C3441)+(MONTH(C3441)/100),TC!$5:$37,DAY(C3441)+2,FALSE),VLOOKUP(E3441,Equivalencia!$5:$23,((MAX(Equivalencia!$3:$3)-YEAR(C3441))*14)+MONTH(C3441)+2,FALSE)))</f>
        <v>0</v>
      </c>
      <c r="J3441" s="178">
        <f t="shared" si="275"/>
        <v>0</v>
      </c>
      <c r="K3441" s="462">
        <f>IF(C3441=0,0,VLOOKUP(YEAR(C3441),INPC!$B$4:$O$29,MONTH(C3441)+1))</f>
        <v>0</v>
      </c>
      <c r="L3441" s="462">
        <f>IF(S3441=0,0,VLOOKUP(YEAR(S3441),INPC!$B$4:$O$29,MONTH(S3441)+1))</f>
        <v>0</v>
      </c>
      <c r="M3441" s="463">
        <f t="shared" si="276"/>
        <v>0</v>
      </c>
      <c r="N3441" s="465">
        <f t="shared" si="277"/>
        <v>0</v>
      </c>
      <c r="O3441" s="179"/>
      <c r="P3441" s="180"/>
      <c r="Q3441" s="173"/>
      <c r="R3441" s="173"/>
      <c r="S3441" s="174"/>
      <c r="T3441" s="173"/>
      <c r="U3441" s="182"/>
      <c r="V3441" s="177">
        <f>IF(U3441=0,0,IF(T3441="MXN",1/HLOOKUP(YEAR(S3441)+(MONTH(S3441)/100),TC!$5:$37,DAY(S3441)+2,FALSE),VLOOKUP(T3441,Equivalencia!$1:$23,((MAX(Equivalencia!$3:$3)-YEAR(S3441))*14)+MONTH(S3441)+2,FALSE)))</f>
        <v>0</v>
      </c>
      <c r="W3441" s="178">
        <f t="shared" si="278"/>
        <v>0</v>
      </c>
      <c r="X3441" s="481">
        <f t="shared" si="279"/>
        <v>0</v>
      </c>
      <c r="Y3441" s="179"/>
      <c r="Z3441" s="466">
        <f t="shared" si="280"/>
        <v>0</v>
      </c>
      <c r="AA3441" s="473">
        <f t="shared" si="281"/>
        <v>0</v>
      </c>
      <c r="AB3441" s="339">
        <f t="shared" si="282"/>
        <v>0</v>
      </c>
    </row>
    <row r="3442" spans="2:28" ht="20.100000000000001" customHeight="1">
      <c r="B3442" s="172"/>
      <c r="C3442" s="174"/>
      <c r="D3442" s="181"/>
      <c r="E3442" s="173"/>
      <c r="F3442" s="176"/>
      <c r="G3442" s="175">
        <f t="shared" si="273"/>
        <v>0</v>
      </c>
      <c r="H3442" s="175">
        <f t="shared" si="274"/>
        <v>0</v>
      </c>
      <c r="I3442" s="177">
        <f>IF(G3442=0,0,IF(E3442="MXN",1/HLOOKUP(YEAR(C3442)+(MONTH(C3442)/100),TC!$5:$37,DAY(C3442)+2,FALSE),VLOOKUP(E3442,Equivalencia!$5:$23,((MAX(Equivalencia!$3:$3)-YEAR(C3442))*14)+MONTH(C3442)+2,FALSE)))</f>
        <v>0</v>
      </c>
      <c r="J3442" s="178">
        <f t="shared" si="275"/>
        <v>0</v>
      </c>
      <c r="K3442" s="462">
        <f>IF(C3442=0,0,VLOOKUP(YEAR(C3442),INPC!$B$4:$O$29,MONTH(C3442)+1))</f>
        <v>0</v>
      </c>
      <c r="L3442" s="462">
        <f>IF(S3442=0,0,VLOOKUP(YEAR(S3442),INPC!$B$4:$O$29,MONTH(S3442)+1))</f>
        <v>0</v>
      </c>
      <c r="M3442" s="463">
        <f t="shared" si="276"/>
        <v>0</v>
      </c>
      <c r="N3442" s="465">
        <f t="shared" si="277"/>
        <v>0</v>
      </c>
      <c r="O3442" s="179"/>
      <c r="P3442" s="180"/>
      <c r="Q3442" s="173"/>
      <c r="R3442" s="173"/>
      <c r="S3442" s="174"/>
      <c r="T3442" s="173"/>
      <c r="U3442" s="182"/>
      <c r="V3442" s="177">
        <f>IF(U3442=0,0,IF(T3442="MXN",1/HLOOKUP(YEAR(S3442)+(MONTH(S3442)/100),TC!$5:$37,DAY(S3442)+2,FALSE),VLOOKUP(T3442,Equivalencia!$1:$23,((MAX(Equivalencia!$3:$3)-YEAR(S3442))*14)+MONTH(S3442)+2,FALSE)))</f>
        <v>0</v>
      </c>
      <c r="W3442" s="178">
        <f t="shared" si="278"/>
        <v>0</v>
      </c>
      <c r="X3442" s="481">
        <f t="shared" si="279"/>
        <v>0</v>
      </c>
      <c r="Y3442" s="179"/>
      <c r="Z3442" s="466">
        <f t="shared" si="280"/>
        <v>0</v>
      </c>
      <c r="AA3442" s="473">
        <f t="shared" si="281"/>
        <v>0</v>
      </c>
      <c r="AB3442" s="339">
        <f t="shared" si="282"/>
        <v>0</v>
      </c>
    </row>
    <row r="3443" spans="2:28" ht="20.100000000000001" customHeight="1">
      <c r="B3443" s="172"/>
      <c r="C3443" s="174"/>
      <c r="D3443" s="181"/>
      <c r="E3443" s="173"/>
      <c r="F3443" s="176"/>
      <c r="G3443" s="175">
        <f t="shared" si="273"/>
        <v>0</v>
      </c>
      <c r="H3443" s="175">
        <f t="shared" si="274"/>
        <v>0</v>
      </c>
      <c r="I3443" s="177">
        <f>IF(G3443=0,0,IF(E3443="MXN",1/HLOOKUP(YEAR(C3443)+(MONTH(C3443)/100),TC!$5:$37,DAY(C3443)+2,FALSE),VLOOKUP(E3443,Equivalencia!$5:$23,((MAX(Equivalencia!$3:$3)-YEAR(C3443))*14)+MONTH(C3443)+2,FALSE)))</f>
        <v>0</v>
      </c>
      <c r="J3443" s="178">
        <f t="shared" si="275"/>
        <v>0</v>
      </c>
      <c r="K3443" s="462">
        <f>IF(C3443=0,0,VLOOKUP(YEAR(C3443),INPC!$B$4:$O$29,MONTH(C3443)+1))</f>
        <v>0</v>
      </c>
      <c r="L3443" s="462">
        <f>IF(S3443=0,0,VLOOKUP(YEAR(S3443),INPC!$B$4:$O$29,MONTH(S3443)+1))</f>
        <v>0</v>
      </c>
      <c r="M3443" s="463">
        <f t="shared" si="276"/>
        <v>0</v>
      </c>
      <c r="N3443" s="465">
        <f t="shared" si="277"/>
        <v>0</v>
      </c>
      <c r="O3443" s="179"/>
      <c r="P3443" s="180"/>
      <c r="Q3443" s="173"/>
      <c r="R3443" s="173"/>
      <c r="S3443" s="174"/>
      <c r="T3443" s="173"/>
      <c r="U3443" s="182"/>
      <c r="V3443" s="177">
        <f>IF(U3443=0,0,IF(T3443="MXN",1/HLOOKUP(YEAR(S3443)+(MONTH(S3443)/100),TC!$5:$37,DAY(S3443)+2,FALSE),VLOOKUP(T3443,Equivalencia!$1:$23,((MAX(Equivalencia!$3:$3)-YEAR(S3443))*14)+MONTH(S3443)+2,FALSE)))</f>
        <v>0</v>
      </c>
      <c r="W3443" s="178">
        <f t="shared" si="278"/>
        <v>0</v>
      </c>
      <c r="X3443" s="481">
        <f t="shared" si="279"/>
        <v>0</v>
      </c>
      <c r="Y3443" s="179"/>
      <c r="Z3443" s="466">
        <f t="shared" si="280"/>
        <v>0</v>
      </c>
      <c r="AA3443" s="473">
        <f t="shared" si="281"/>
        <v>0</v>
      </c>
      <c r="AB3443" s="339">
        <f t="shared" si="282"/>
        <v>0</v>
      </c>
    </row>
    <row r="3444" spans="2:28" ht="20.100000000000001" customHeight="1">
      <c r="B3444" s="172"/>
      <c r="C3444" s="174"/>
      <c r="D3444" s="181"/>
      <c r="E3444" s="173"/>
      <c r="F3444" s="176"/>
      <c r="G3444" s="175">
        <f t="shared" si="273"/>
        <v>0</v>
      </c>
      <c r="H3444" s="175">
        <f t="shared" si="274"/>
        <v>0</v>
      </c>
      <c r="I3444" s="177">
        <f>IF(G3444=0,0,IF(E3444="MXN",1/HLOOKUP(YEAR(C3444)+(MONTH(C3444)/100),TC!$5:$37,DAY(C3444)+2,FALSE),VLOOKUP(E3444,Equivalencia!$5:$23,((MAX(Equivalencia!$3:$3)-YEAR(C3444))*14)+MONTH(C3444)+2,FALSE)))</f>
        <v>0</v>
      </c>
      <c r="J3444" s="178">
        <f t="shared" si="275"/>
        <v>0</v>
      </c>
      <c r="K3444" s="462">
        <f>IF(C3444=0,0,VLOOKUP(YEAR(C3444),INPC!$B$4:$O$29,MONTH(C3444)+1))</f>
        <v>0</v>
      </c>
      <c r="L3444" s="462">
        <f>IF(S3444=0,0,VLOOKUP(YEAR(S3444),INPC!$B$4:$O$29,MONTH(S3444)+1))</f>
        <v>0</v>
      </c>
      <c r="M3444" s="463">
        <f t="shared" si="276"/>
        <v>0</v>
      </c>
      <c r="N3444" s="465">
        <f t="shared" si="277"/>
        <v>0</v>
      </c>
      <c r="O3444" s="179"/>
      <c r="P3444" s="180"/>
      <c r="Q3444" s="173"/>
      <c r="R3444" s="173"/>
      <c r="S3444" s="174"/>
      <c r="T3444" s="173"/>
      <c r="U3444" s="182"/>
      <c r="V3444" s="177">
        <f>IF(U3444=0,0,IF(T3444="MXN",1/HLOOKUP(YEAR(S3444)+(MONTH(S3444)/100),TC!$5:$37,DAY(S3444)+2,FALSE),VLOOKUP(T3444,Equivalencia!$1:$23,((MAX(Equivalencia!$3:$3)-YEAR(S3444))*14)+MONTH(S3444)+2,FALSE)))</f>
        <v>0</v>
      </c>
      <c r="W3444" s="178">
        <f t="shared" si="278"/>
        <v>0</v>
      </c>
      <c r="X3444" s="481">
        <f t="shared" si="279"/>
        <v>0</v>
      </c>
      <c r="Y3444" s="179"/>
      <c r="Z3444" s="466">
        <f t="shared" si="280"/>
        <v>0</v>
      </c>
      <c r="AA3444" s="473">
        <f t="shared" si="281"/>
        <v>0</v>
      </c>
      <c r="AB3444" s="339">
        <f t="shared" si="282"/>
        <v>0</v>
      </c>
    </row>
    <row r="3445" spans="2:28" ht="20.100000000000001" customHeight="1">
      <c r="B3445" s="172"/>
      <c r="C3445" s="174"/>
      <c r="D3445" s="181"/>
      <c r="E3445" s="173"/>
      <c r="F3445" s="176"/>
      <c r="G3445" s="175">
        <f t="shared" si="273"/>
        <v>0</v>
      </c>
      <c r="H3445" s="175">
        <f t="shared" si="274"/>
        <v>0</v>
      </c>
      <c r="I3445" s="177">
        <f>IF(G3445=0,0,IF(E3445="MXN",1/HLOOKUP(YEAR(C3445)+(MONTH(C3445)/100),TC!$5:$37,DAY(C3445)+2,FALSE),VLOOKUP(E3445,Equivalencia!$5:$23,((MAX(Equivalencia!$3:$3)-YEAR(C3445))*14)+MONTH(C3445)+2,FALSE)))</f>
        <v>0</v>
      </c>
      <c r="J3445" s="178">
        <f t="shared" si="275"/>
        <v>0</v>
      </c>
      <c r="K3445" s="462">
        <f>IF(C3445=0,0,VLOOKUP(YEAR(C3445),INPC!$B$4:$O$29,MONTH(C3445)+1))</f>
        <v>0</v>
      </c>
      <c r="L3445" s="462">
        <f>IF(S3445=0,0,VLOOKUP(YEAR(S3445),INPC!$B$4:$O$29,MONTH(S3445)+1))</f>
        <v>0</v>
      </c>
      <c r="M3445" s="463">
        <f t="shared" si="276"/>
        <v>0</v>
      </c>
      <c r="N3445" s="465">
        <f t="shared" si="277"/>
        <v>0</v>
      </c>
      <c r="O3445" s="179"/>
      <c r="P3445" s="180"/>
      <c r="Q3445" s="173"/>
      <c r="R3445" s="173"/>
      <c r="S3445" s="174"/>
      <c r="T3445" s="173"/>
      <c r="U3445" s="182"/>
      <c r="V3445" s="177">
        <f>IF(U3445=0,0,IF(T3445="MXN",1/HLOOKUP(YEAR(S3445)+(MONTH(S3445)/100),TC!$5:$37,DAY(S3445)+2,FALSE),VLOOKUP(T3445,Equivalencia!$1:$23,((MAX(Equivalencia!$3:$3)-YEAR(S3445))*14)+MONTH(S3445)+2,FALSE)))</f>
        <v>0</v>
      </c>
      <c r="W3445" s="178">
        <f t="shared" si="278"/>
        <v>0</v>
      </c>
      <c r="X3445" s="481">
        <f t="shared" si="279"/>
        <v>0</v>
      </c>
      <c r="Y3445" s="179"/>
      <c r="Z3445" s="466">
        <f t="shared" si="280"/>
        <v>0</v>
      </c>
      <c r="AA3445" s="473">
        <f t="shared" si="281"/>
        <v>0</v>
      </c>
      <c r="AB3445" s="339">
        <f t="shared" si="282"/>
        <v>0</v>
      </c>
    </row>
    <row r="3446" spans="2:28" ht="20.100000000000001" customHeight="1">
      <c r="B3446" s="172"/>
      <c r="C3446" s="174"/>
      <c r="D3446" s="181"/>
      <c r="E3446" s="173"/>
      <c r="F3446" s="176"/>
      <c r="G3446" s="175">
        <f t="shared" si="273"/>
        <v>0</v>
      </c>
      <c r="H3446" s="175">
        <f t="shared" si="274"/>
        <v>0</v>
      </c>
      <c r="I3446" s="177">
        <f>IF(G3446=0,0,IF(E3446="MXN",1/HLOOKUP(YEAR(C3446)+(MONTH(C3446)/100),TC!$5:$37,DAY(C3446)+2,FALSE),VLOOKUP(E3446,Equivalencia!$5:$23,((MAX(Equivalencia!$3:$3)-YEAR(C3446))*14)+MONTH(C3446)+2,FALSE)))</f>
        <v>0</v>
      </c>
      <c r="J3446" s="178">
        <f t="shared" si="275"/>
        <v>0</v>
      </c>
      <c r="K3446" s="462">
        <f>IF(C3446=0,0,VLOOKUP(YEAR(C3446),INPC!$B$4:$O$29,MONTH(C3446)+1))</f>
        <v>0</v>
      </c>
      <c r="L3446" s="462">
        <f>IF(S3446=0,0,VLOOKUP(YEAR(S3446),INPC!$B$4:$O$29,MONTH(S3446)+1))</f>
        <v>0</v>
      </c>
      <c r="M3446" s="463">
        <f t="shared" si="276"/>
        <v>0</v>
      </c>
      <c r="N3446" s="465">
        <f t="shared" si="277"/>
        <v>0</v>
      </c>
      <c r="O3446" s="179"/>
      <c r="P3446" s="180"/>
      <c r="Q3446" s="173"/>
      <c r="R3446" s="173"/>
      <c r="S3446" s="174"/>
      <c r="T3446" s="173"/>
      <c r="U3446" s="182"/>
      <c r="V3446" s="177">
        <f>IF(U3446=0,0,IF(T3446="MXN",1/HLOOKUP(YEAR(S3446)+(MONTH(S3446)/100),TC!$5:$37,DAY(S3446)+2,FALSE),VLOOKUP(T3446,Equivalencia!$1:$23,((MAX(Equivalencia!$3:$3)-YEAR(S3446))*14)+MONTH(S3446)+2,FALSE)))</f>
        <v>0</v>
      </c>
      <c r="W3446" s="178">
        <f t="shared" si="278"/>
        <v>0</v>
      </c>
      <c r="X3446" s="481">
        <f t="shared" si="279"/>
        <v>0</v>
      </c>
      <c r="Y3446" s="179"/>
      <c r="Z3446" s="466">
        <f t="shared" si="280"/>
        <v>0</v>
      </c>
      <c r="AA3446" s="473">
        <f t="shared" si="281"/>
        <v>0</v>
      </c>
      <c r="AB3446" s="339">
        <f t="shared" si="282"/>
        <v>0</v>
      </c>
    </row>
    <row r="3447" spans="2:28" ht="20.100000000000001" customHeight="1">
      <c r="B3447" s="172"/>
      <c r="C3447" s="174"/>
      <c r="D3447" s="181"/>
      <c r="E3447" s="173"/>
      <c r="F3447" s="176"/>
      <c r="G3447" s="175">
        <f t="shared" si="273"/>
        <v>0</v>
      </c>
      <c r="H3447" s="175">
        <f t="shared" si="274"/>
        <v>0</v>
      </c>
      <c r="I3447" s="177">
        <f>IF(G3447=0,0,IF(E3447="MXN",1/HLOOKUP(YEAR(C3447)+(MONTH(C3447)/100),TC!$5:$37,DAY(C3447)+2,FALSE),VLOOKUP(E3447,Equivalencia!$5:$23,((MAX(Equivalencia!$3:$3)-YEAR(C3447))*14)+MONTH(C3447)+2,FALSE)))</f>
        <v>0</v>
      </c>
      <c r="J3447" s="178">
        <f t="shared" si="275"/>
        <v>0</v>
      </c>
      <c r="K3447" s="462">
        <f>IF(C3447=0,0,VLOOKUP(YEAR(C3447),INPC!$B$4:$O$29,MONTH(C3447)+1))</f>
        <v>0</v>
      </c>
      <c r="L3447" s="462">
        <f>IF(S3447=0,0,VLOOKUP(YEAR(S3447),INPC!$B$4:$O$29,MONTH(S3447)+1))</f>
        <v>0</v>
      </c>
      <c r="M3447" s="463">
        <f t="shared" si="276"/>
        <v>0</v>
      </c>
      <c r="N3447" s="465">
        <f t="shared" si="277"/>
        <v>0</v>
      </c>
      <c r="O3447" s="179"/>
      <c r="P3447" s="180"/>
      <c r="Q3447" s="173"/>
      <c r="R3447" s="173"/>
      <c r="S3447" s="174"/>
      <c r="T3447" s="173"/>
      <c r="U3447" s="182"/>
      <c r="V3447" s="177">
        <f>IF(U3447=0,0,IF(T3447="MXN",1/HLOOKUP(YEAR(S3447)+(MONTH(S3447)/100),TC!$5:$37,DAY(S3447)+2,FALSE),VLOOKUP(T3447,Equivalencia!$1:$23,((MAX(Equivalencia!$3:$3)-YEAR(S3447))*14)+MONTH(S3447)+2,FALSE)))</f>
        <v>0</v>
      </c>
      <c r="W3447" s="178">
        <f t="shared" si="278"/>
        <v>0</v>
      </c>
      <c r="X3447" s="481">
        <f t="shared" si="279"/>
        <v>0</v>
      </c>
      <c r="Y3447" s="179"/>
      <c r="Z3447" s="466">
        <f t="shared" si="280"/>
        <v>0</v>
      </c>
      <c r="AA3447" s="473">
        <f t="shared" si="281"/>
        <v>0</v>
      </c>
      <c r="AB3447" s="339">
        <f t="shared" si="282"/>
        <v>0</v>
      </c>
    </row>
    <row r="3448" spans="2:28" ht="20.100000000000001" customHeight="1">
      <c r="B3448" s="172"/>
      <c r="C3448" s="174"/>
      <c r="D3448" s="181"/>
      <c r="E3448" s="173"/>
      <c r="F3448" s="176"/>
      <c r="G3448" s="175">
        <f t="shared" si="273"/>
        <v>0</v>
      </c>
      <c r="H3448" s="175">
        <f t="shared" si="274"/>
        <v>0</v>
      </c>
      <c r="I3448" s="177">
        <f>IF(G3448=0,0,IF(E3448="MXN",1/HLOOKUP(YEAR(C3448)+(MONTH(C3448)/100),TC!$5:$37,DAY(C3448)+2,FALSE),VLOOKUP(E3448,Equivalencia!$5:$23,((MAX(Equivalencia!$3:$3)-YEAR(C3448))*14)+MONTH(C3448)+2,FALSE)))</f>
        <v>0</v>
      </c>
      <c r="J3448" s="178">
        <f t="shared" si="275"/>
        <v>0</v>
      </c>
      <c r="K3448" s="462">
        <f>IF(C3448=0,0,VLOOKUP(YEAR(C3448),INPC!$B$4:$O$29,MONTH(C3448)+1))</f>
        <v>0</v>
      </c>
      <c r="L3448" s="462">
        <f>IF(S3448=0,0,VLOOKUP(YEAR(S3448),INPC!$B$4:$O$29,MONTH(S3448)+1))</f>
        <v>0</v>
      </c>
      <c r="M3448" s="463">
        <f t="shared" si="276"/>
        <v>0</v>
      </c>
      <c r="N3448" s="465">
        <f t="shared" si="277"/>
        <v>0</v>
      </c>
      <c r="O3448" s="179"/>
      <c r="P3448" s="180"/>
      <c r="Q3448" s="173"/>
      <c r="R3448" s="173"/>
      <c r="S3448" s="174"/>
      <c r="T3448" s="173"/>
      <c r="U3448" s="182"/>
      <c r="V3448" s="177">
        <f>IF(U3448=0,0,IF(T3448="MXN",1/HLOOKUP(YEAR(S3448)+(MONTH(S3448)/100),TC!$5:$37,DAY(S3448)+2,FALSE),VLOOKUP(T3448,Equivalencia!$1:$23,((MAX(Equivalencia!$3:$3)-YEAR(S3448))*14)+MONTH(S3448)+2,FALSE)))</f>
        <v>0</v>
      </c>
      <c r="W3448" s="178">
        <f t="shared" si="278"/>
        <v>0</v>
      </c>
      <c r="X3448" s="481">
        <f t="shared" si="279"/>
        <v>0</v>
      </c>
      <c r="Y3448" s="179"/>
      <c r="Z3448" s="466">
        <f t="shared" si="280"/>
        <v>0</v>
      </c>
      <c r="AA3448" s="473">
        <f t="shared" si="281"/>
        <v>0</v>
      </c>
      <c r="AB3448" s="339">
        <f t="shared" si="282"/>
        <v>0</v>
      </c>
    </row>
    <row r="3449" spans="2:28" ht="20.100000000000001" customHeight="1">
      <c r="B3449" s="172"/>
      <c r="C3449" s="174"/>
      <c r="D3449" s="181"/>
      <c r="E3449" s="173"/>
      <c r="F3449" s="176"/>
      <c r="G3449" s="175">
        <f t="shared" si="273"/>
        <v>0</v>
      </c>
      <c r="H3449" s="175">
        <f t="shared" si="274"/>
        <v>0</v>
      </c>
      <c r="I3449" s="177">
        <f>IF(G3449=0,0,IF(E3449="MXN",1/HLOOKUP(YEAR(C3449)+(MONTH(C3449)/100),TC!$5:$37,DAY(C3449)+2,FALSE),VLOOKUP(E3449,Equivalencia!$5:$23,((MAX(Equivalencia!$3:$3)-YEAR(C3449))*14)+MONTH(C3449)+2,FALSE)))</f>
        <v>0</v>
      </c>
      <c r="J3449" s="178">
        <f t="shared" si="275"/>
        <v>0</v>
      </c>
      <c r="K3449" s="462">
        <f>IF(C3449=0,0,VLOOKUP(YEAR(C3449),INPC!$B$4:$O$29,MONTH(C3449)+1))</f>
        <v>0</v>
      </c>
      <c r="L3449" s="462">
        <f>IF(S3449=0,0,VLOOKUP(YEAR(S3449),INPC!$B$4:$O$29,MONTH(S3449)+1))</f>
        <v>0</v>
      </c>
      <c r="M3449" s="463">
        <f t="shared" si="276"/>
        <v>0</v>
      </c>
      <c r="N3449" s="465">
        <f t="shared" si="277"/>
        <v>0</v>
      </c>
      <c r="O3449" s="179"/>
      <c r="P3449" s="180"/>
      <c r="Q3449" s="173"/>
      <c r="R3449" s="173"/>
      <c r="S3449" s="174"/>
      <c r="T3449" s="173"/>
      <c r="U3449" s="182"/>
      <c r="V3449" s="177">
        <f>IF(U3449=0,0,IF(T3449="MXN",1/HLOOKUP(YEAR(S3449)+(MONTH(S3449)/100),TC!$5:$37,DAY(S3449)+2,FALSE),VLOOKUP(T3449,Equivalencia!$1:$23,((MAX(Equivalencia!$3:$3)-YEAR(S3449))*14)+MONTH(S3449)+2,FALSE)))</f>
        <v>0</v>
      </c>
      <c r="W3449" s="178">
        <f t="shared" si="278"/>
        <v>0</v>
      </c>
      <c r="X3449" s="481">
        <f t="shared" si="279"/>
        <v>0</v>
      </c>
      <c r="Y3449" s="179"/>
      <c r="Z3449" s="466">
        <f t="shared" si="280"/>
        <v>0</v>
      </c>
      <c r="AA3449" s="473">
        <f t="shared" si="281"/>
        <v>0</v>
      </c>
      <c r="AB3449" s="339">
        <f t="shared" si="282"/>
        <v>0</v>
      </c>
    </row>
    <row r="3450" spans="2:28" ht="20.100000000000001" customHeight="1">
      <c r="B3450" s="172"/>
      <c r="C3450" s="174"/>
      <c r="D3450" s="181"/>
      <c r="E3450" s="173"/>
      <c r="F3450" s="176"/>
      <c r="G3450" s="175">
        <f t="shared" si="273"/>
        <v>0</v>
      </c>
      <c r="H3450" s="175">
        <f t="shared" si="274"/>
        <v>0</v>
      </c>
      <c r="I3450" s="177">
        <f>IF(G3450=0,0,IF(E3450="MXN",1/HLOOKUP(YEAR(C3450)+(MONTH(C3450)/100),TC!$5:$37,DAY(C3450)+2,FALSE),VLOOKUP(E3450,Equivalencia!$5:$23,((MAX(Equivalencia!$3:$3)-YEAR(C3450))*14)+MONTH(C3450)+2,FALSE)))</f>
        <v>0</v>
      </c>
      <c r="J3450" s="178">
        <f t="shared" si="275"/>
        <v>0</v>
      </c>
      <c r="K3450" s="462">
        <f>IF(C3450=0,0,VLOOKUP(YEAR(C3450),INPC!$B$4:$O$29,MONTH(C3450)+1))</f>
        <v>0</v>
      </c>
      <c r="L3450" s="462">
        <f>IF(S3450=0,0,VLOOKUP(YEAR(S3450),INPC!$B$4:$O$29,MONTH(S3450)+1))</f>
        <v>0</v>
      </c>
      <c r="M3450" s="463">
        <f t="shared" si="276"/>
        <v>0</v>
      </c>
      <c r="N3450" s="465">
        <f t="shared" si="277"/>
        <v>0</v>
      </c>
      <c r="O3450" s="179"/>
      <c r="P3450" s="180"/>
      <c r="Q3450" s="173"/>
      <c r="R3450" s="173"/>
      <c r="S3450" s="174"/>
      <c r="T3450" s="173"/>
      <c r="U3450" s="182"/>
      <c r="V3450" s="177">
        <f>IF(U3450=0,0,IF(T3450="MXN",1/HLOOKUP(YEAR(S3450)+(MONTH(S3450)/100),TC!$5:$37,DAY(S3450)+2,FALSE),VLOOKUP(T3450,Equivalencia!$1:$23,((MAX(Equivalencia!$3:$3)-YEAR(S3450))*14)+MONTH(S3450)+2,FALSE)))</f>
        <v>0</v>
      </c>
      <c r="W3450" s="178">
        <f t="shared" si="278"/>
        <v>0</v>
      </c>
      <c r="X3450" s="481">
        <f t="shared" si="279"/>
        <v>0</v>
      </c>
      <c r="Y3450" s="179"/>
      <c r="Z3450" s="466">
        <f t="shared" si="280"/>
        <v>0</v>
      </c>
      <c r="AA3450" s="473">
        <f t="shared" si="281"/>
        <v>0</v>
      </c>
      <c r="AB3450" s="339">
        <f t="shared" si="282"/>
        <v>0</v>
      </c>
    </row>
    <row r="3451" spans="2:28" ht="20.100000000000001" customHeight="1">
      <c r="B3451" s="172"/>
      <c r="C3451" s="174"/>
      <c r="D3451" s="181"/>
      <c r="E3451" s="173"/>
      <c r="F3451" s="176"/>
      <c r="G3451" s="175">
        <f t="shared" si="273"/>
        <v>0</v>
      </c>
      <c r="H3451" s="175">
        <f t="shared" si="274"/>
        <v>0</v>
      </c>
      <c r="I3451" s="177">
        <f>IF(G3451=0,0,IF(E3451="MXN",1/HLOOKUP(YEAR(C3451)+(MONTH(C3451)/100),TC!$5:$37,DAY(C3451)+2,FALSE),VLOOKUP(E3451,Equivalencia!$5:$23,((MAX(Equivalencia!$3:$3)-YEAR(C3451))*14)+MONTH(C3451)+2,FALSE)))</f>
        <v>0</v>
      </c>
      <c r="J3451" s="178">
        <f t="shared" si="275"/>
        <v>0</v>
      </c>
      <c r="K3451" s="462">
        <f>IF(C3451=0,0,VLOOKUP(YEAR(C3451),INPC!$B$4:$O$29,MONTH(C3451)+1))</f>
        <v>0</v>
      </c>
      <c r="L3451" s="462">
        <f>IF(S3451=0,0,VLOOKUP(YEAR(S3451),INPC!$B$4:$O$29,MONTH(S3451)+1))</f>
        <v>0</v>
      </c>
      <c r="M3451" s="463">
        <f t="shared" si="276"/>
        <v>0</v>
      </c>
      <c r="N3451" s="465">
        <f t="shared" si="277"/>
        <v>0</v>
      </c>
      <c r="O3451" s="179"/>
      <c r="P3451" s="180"/>
      <c r="Q3451" s="173"/>
      <c r="R3451" s="173"/>
      <c r="S3451" s="174"/>
      <c r="T3451" s="173"/>
      <c r="U3451" s="182"/>
      <c r="V3451" s="177">
        <f>IF(U3451=0,0,IF(T3451="MXN",1/HLOOKUP(YEAR(S3451)+(MONTH(S3451)/100),TC!$5:$37,DAY(S3451)+2,FALSE),VLOOKUP(T3451,Equivalencia!$1:$23,((MAX(Equivalencia!$3:$3)-YEAR(S3451))*14)+MONTH(S3451)+2,FALSE)))</f>
        <v>0</v>
      </c>
      <c r="W3451" s="178">
        <f t="shared" si="278"/>
        <v>0</v>
      </c>
      <c r="X3451" s="481">
        <f t="shared" si="279"/>
        <v>0</v>
      </c>
      <c r="Y3451" s="179"/>
      <c r="Z3451" s="466">
        <f t="shared" si="280"/>
        <v>0</v>
      </c>
      <c r="AA3451" s="473">
        <f t="shared" si="281"/>
        <v>0</v>
      </c>
      <c r="AB3451" s="339">
        <f t="shared" si="282"/>
        <v>0</v>
      </c>
    </row>
    <row r="3452" spans="2:28" ht="20.100000000000001" customHeight="1">
      <c r="B3452" s="172"/>
      <c r="C3452" s="174"/>
      <c r="D3452" s="181"/>
      <c r="E3452" s="173"/>
      <c r="F3452" s="176"/>
      <c r="G3452" s="175">
        <f t="shared" si="273"/>
        <v>0</v>
      </c>
      <c r="H3452" s="175">
        <f t="shared" si="274"/>
        <v>0</v>
      </c>
      <c r="I3452" s="177">
        <f>IF(G3452=0,0,IF(E3452="MXN",1/HLOOKUP(YEAR(C3452)+(MONTH(C3452)/100),TC!$5:$37,DAY(C3452)+2,FALSE),VLOOKUP(E3452,Equivalencia!$5:$23,((MAX(Equivalencia!$3:$3)-YEAR(C3452))*14)+MONTH(C3452)+2,FALSE)))</f>
        <v>0</v>
      </c>
      <c r="J3452" s="178">
        <f t="shared" si="275"/>
        <v>0</v>
      </c>
      <c r="K3452" s="462">
        <f>IF(C3452=0,0,VLOOKUP(YEAR(C3452),INPC!$B$4:$O$29,MONTH(C3452)+1))</f>
        <v>0</v>
      </c>
      <c r="L3452" s="462">
        <f>IF(S3452=0,0,VLOOKUP(YEAR(S3452),INPC!$B$4:$O$29,MONTH(S3452)+1))</f>
        <v>0</v>
      </c>
      <c r="M3452" s="463">
        <f t="shared" si="276"/>
        <v>0</v>
      </c>
      <c r="N3452" s="465">
        <f t="shared" si="277"/>
        <v>0</v>
      </c>
      <c r="O3452" s="179"/>
      <c r="P3452" s="180"/>
      <c r="Q3452" s="173"/>
      <c r="R3452" s="173"/>
      <c r="S3452" s="174"/>
      <c r="T3452" s="173"/>
      <c r="U3452" s="182"/>
      <c r="V3452" s="177">
        <f>IF(U3452=0,0,IF(T3452="MXN",1/HLOOKUP(YEAR(S3452)+(MONTH(S3452)/100),TC!$5:$37,DAY(S3452)+2,FALSE),VLOOKUP(T3452,Equivalencia!$1:$23,((MAX(Equivalencia!$3:$3)-YEAR(S3452))*14)+MONTH(S3452)+2,FALSE)))</f>
        <v>0</v>
      </c>
      <c r="W3452" s="178">
        <f t="shared" si="278"/>
        <v>0</v>
      </c>
      <c r="X3452" s="481">
        <f t="shared" si="279"/>
        <v>0</v>
      </c>
      <c r="Y3452" s="179"/>
      <c r="Z3452" s="466">
        <f t="shared" si="280"/>
        <v>0</v>
      </c>
      <c r="AA3452" s="473">
        <f t="shared" si="281"/>
        <v>0</v>
      </c>
      <c r="AB3452" s="339">
        <f t="shared" si="282"/>
        <v>0</v>
      </c>
    </row>
    <row r="3453" spans="2:28" ht="20.100000000000001" customHeight="1">
      <c r="B3453" s="172"/>
      <c r="C3453" s="174"/>
      <c r="D3453" s="181"/>
      <c r="E3453" s="173"/>
      <c r="F3453" s="176"/>
      <c r="G3453" s="175">
        <f t="shared" si="273"/>
        <v>0</v>
      </c>
      <c r="H3453" s="175">
        <f t="shared" si="274"/>
        <v>0</v>
      </c>
      <c r="I3453" s="177">
        <f>IF(G3453=0,0,IF(E3453="MXN",1/HLOOKUP(YEAR(C3453)+(MONTH(C3453)/100),TC!$5:$37,DAY(C3453)+2,FALSE),VLOOKUP(E3453,Equivalencia!$5:$23,((MAX(Equivalencia!$3:$3)-YEAR(C3453))*14)+MONTH(C3453)+2,FALSE)))</f>
        <v>0</v>
      </c>
      <c r="J3453" s="178">
        <f t="shared" si="275"/>
        <v>0</v>
      </c>
      <c r="K3453" s="462">
        <f>IF(C3453=0,0,VLOOKUP(YEAR(C3453),INPC!$B$4:$O$29,MONTH(C3453)+1))</f>
        <v>0</v>
      </c>
      <c r="L3453" s="462">
        <f>IF(S3453=0,0,VLOOKUP(YEAR(S3453),INPC!$B$4:$O$29,MONTH(S3453)+1))</f>
        <v>0</v>
      </c>
      <c r="M3453" s="463">
        <f t="shared" si="276"/>
        <v>0</v>
      </c>
      <c r="N3453" s="465">
        <f t="shared" si="277"/>
        <v>0</v>
      </c>
      <c r="O3453" s="179"/>
      <c r="P3453" s="180"/>
      <c r="Q3453" s="173"/>
      <c r="R3453" s="173"/>
      <c r="S3453" s="174"/>
      <c r="T3453" s="173"/>
      <c r="U3453" s="182"/>
      <c r="V3453" s="177">
        <f>IF(U3453=0,0,IF(T3453="MXN",1/HLOOKUP(YEAR(S3453)+(MONTH(S3453)/100),TC!$5:$37,DAY(S3453)+2,FALSE),VLOOKUP(T3453,Equivalencia!$1:$23,((MAX(Equivalencia!$3:$3)-YEAR(S3453))*14)+MONTH(S3453)+2,FALSE)))</f>
        <v>0</v>
      </c>
      <c r="W3453" s="178">
        <f t="shared" si="278"/>
        <v>0</v>
      </c>
      <c r="X3453" s="481">
        <f t="shared" si="279"/>
        <v>0</v>
      </c>
      <c r="Y3453" s="179"/>
      <c r="Z3453" s="466">
        <f t="shared" si="280"/>
        <v>0</v>
      </c>
      <c r="AA3453" s="473">
        <f t="shared" si="281"/>
        <v>0</v>
      </c>
      <c r="AB3453" s="339">
        <f t="shared" si="282"/>
        <v>0</v>
      </c>
    </row>
    <row r="3454" spans="2:28" ht="20.100000000000001" customHeight="1">
      <c r="B3454" s="172"/>
      <c r="C3454" s="174"/>
      <c r="D3454" s="181"/>
      <c r="E3454" s="173"/>
      <c r="F3454" s="176"/>
      <c r="G3454" s="175">
        <f t="shared" si="273"/>
        <v>0</v>
      </c>
      <c r="H3454" s="175">
        <f t="shared" si="274"/>
        <v>0</v>
      </c>
      <c r="I3454" s="177">
        <f>IF(G3454=0,0,IF(E3454="MXN",1/HLOOKUP(YEAR(C3454)+(MONTH(C3454)/100),TC!$5:$37,DAY(C3454)+2,FALSE),VLOOKUP(E3454,Equivalencia!$5:$23,((MAX(Equivalencia!$3:$3)-YEAR(C3454))*14)+MONTH(C3454)+2,FALSE)))</f>
        <v>0</v>
      </c>
      <c r="J3454" s="178">
        <f t="shared" si="275"/>
        <v>0</v>
      </c>
      <c r="K3454" s="462">
        <f>IF(C3454=0,0,VLOOKUP(YEAR(C3454),INPC!$B$4:$O$29,MONTH(C3454)+1))</f>
        <v>0</v>
      </c>
      <c r="L3454" s="462">
        <f>IF(S3454=0,0,VLOOKUP(YEAR(S3454),INPC!$B$4:$O$29,MONTH(S3454)+1))</f>
        <v>0</v>
      </c>
      <c r="M3454" s="463">
        <f t="shared" si="276"/>
        <v>0</v>
      </c>
      <c r="N3454" s="465">
        <f t="shared" si="277"/>
        <v>0</v>
      </c>
      <c r="O3454" s="179"/>
      <c r="P3454" s="180"/>
      <c r="Q3454" s="173"/>
      <c r="R3454" s="173"/>
      <c r="S3454" s="174"/>
      <c r="T3454" s="173"/>
      <c r="U3454" s="182"/>
      <c r="V3454" s="177">
        <f>IF(U3454=0,0,IF(T3454="MXN",1/HLOOKUP(YEAR(S3454)+(MONTH(S3454)/100),TC!$5:$37,DAY(S3454)+2,FALSE),VLOOKUP(T3454,Equivalencia!$1:$23,((MAX(Equivalencia!$3:$3)-YEAR(S3454))*14)+MONTH(S3454)+2,FALSE)))</f>
        <v>0</v>
      </c>
      <c r="W3454" s="178">
        <f t="shared" si="278"/>
        <v>0</v>
      </c>
      <c r="X3454" s="481">
        <f t="shared" si="279"/>
        <v>0</v>
      </c>
      <c r="Y3454" s="179"/>
      <c r="Z3454" s="466">
        <f t="shared" si="280"/>
        <v>0</v>
      </c>
      <c r="AA3454" s="473">
        <f t="shared" si="281"/>
        <v>0</v>
      </c>
      <c r="AB3454" s="339">
        <f t="shared" si="282"/>
        <v>0</v>
      </c>
    </row>
    <row r="3455" spans="2:28" ht="20.100000000000001" customHeight="1">
      <c r="B3455" s="172"/>
      <c r="C3455" s="174"/>
      <c r="D3455" s="181"/>
      <c r="E3455" s="173"/>
      <c r="F3455" s="176"/>
      <c r="G3455" s="175">
        <f t="shared" si="273"/>
        <v>0</v>
      </c>
      <c r="H3455" s="175">
        <f t="shared" si="274"/>
        <v>0</v>
      </c>
      <c r="I3455" s="177">
        <f>IF(G3455=0,0,IF(E3455="MXN",1/HLOOKUP(YEAR(C3455)+(MONTH(C3455)/100),TC!$5:$37,DAY(C3455)+2,FALSE),VLOOKUP(E3455,Equivalencia!$5:$23,((MAX(Equivalencia!$3:$3)-YEAR(C3455))*14)+MONTH(C3455)+2,FALSE)))</f>
        <v>0</v>
      </c>
      <c r="J3455" s="178">
        <f t="shared" si="275"/>
        <v>0</v>
      </c>
      <c r="K3455" s="462">
        <f>IF(C3455=0,0,VLOOKUP(YEAR(C3455),INPC!$B$4:$O$29,MONTH(C3455)+1))</f>
        <v>0</v>
      </c>
      <c r="L3455" s="462">
        <f>IF(S3455=0,0,VLOOKUP(YEAR(S3455),INPC!$B$4:$O$29,MONTH(S3455)+1))</f>
        <v>0</v>
      </c>
      <c r="M3455" s="463">
        <f t="shared" si="276"/>
        <v>0</v>
      </c>
      <c r="N3455" s="465">
        <f t="shared" si="277"/>
        <v>0</v>
      </c>
      <c r="O3455" s="179"/>
      <c r="P3455" s="180"/>
      <c r="Q3455" s="173"/>
      <c r="R3455" s="173"/>
      <c r="S3455" s="174"/>
      <c r="T3455" s="173"/>
      <c r="U3455" s="182"/>
      <c r="V3455" s="177">
        <f>IF(U3455=0,0,IF(T3455="MXN",1/HLOOKUP(YEAR(S3455)+(MONTH(S3455)/100),TC!$5:$37,DAY(S3455)+2,FALSE),VLOOKUP(T3455,Equivalencia!$1:$23,((MAX(Equivalencia!$3:$3)-YEAR(S3455))*14)+MONTH(S3455)+2,FALSE)))</f>
        <v>0</v>
      </c>
      <c r="W3455" s="178">
        <f t="shared" si="278"/>
        <v>0</v>
      </c>
      <c r="X3455" s="481">
        <f t="shared" si="279"/>
        <v>0</v>
      </c>
      <c r="Y3455" s="179"/>
      <c r="Z3455" s="466">
        <f t="shared" si="280"/>
        <v>0</v>
      </c>
      <c r="AA3455" s="473">
        <f t="shared" si="281"/>
        <v>0</v>
      </c>
      <c r="AB3455" s="339">
        <f t="shared" si="282"/>
        <v>0</v>
      </c>
    </row>
    <row r="3456" spans="2:28" ht="20.100000000000001" customHeight="1">
      <c r="B3456" s="172"/>
      <c r="C3456" s="174"/>
      <c r="D3456" s="181"/>
      <c r="E3456" s="173"/>
      <c r="F3456" s="176"/>
      <c r="G3456" s="175">
        <f t="shared" si="273"/>
        <v>0</v>
      </c>
      <c r="H3456" s="175">
        <f t="shared" si="274"/>
        <v>0</v>
      </c>
      <c r="I3456" s="177">
        <f>IF(G3456=0,0,IF(E3456="MXN",1/HLOOKUP(YEAR(C3456)+(MONTH(C3456)/100),TC!$5:$37,DAY(C3456)+2,FALSE),VLOOKUP(E3456,Equivalencia!$5:$23,((MAX(Equivalencia!$3:$3)-YEAR(C3456))*14)+MONTH(C3456)+2,FALSE)))</f>
        <v>0</v>
      </c>
      <c r="J3456" s="178">
        <f t="shared" si="275"/>
        <v>0</v>
      </c>
      <c r="K3456" s="462">
        <f>IF(C3456=0,0,VLOOKUP(YEAR(C3456),INPC!$B$4:$O$29,MONTH(C3456)+1))</f>
        <v>0</v>
      </c>
      <c r="L3456" s="462">
        <f>IF(S3456=0,0,VLOOKUP(YEAR(S3456),INPC!$B$4:$O$29,MONTH(S3456)+1))</f>
        <v>0</v>
      </c>
      <c r="M3456" s="463">
        <f t="shared" si="276"/>
        <v>0</v>
      </c>
      <c r="N3456" s="465">
        <f t="shared" si="277"/>
        <v>0</v>
      </c>
      <c r="O3456" s="179"/>
      <c r="P3456" s="180"/>
      <c r="Q3456" s="173"/>
      <c r="R3456" s="173"/>
      <c r="S3456" s="174"/>
      <c r="T3456" s="173"/>
      <c r="U3456" s="182"/>
      <c r="V3456" s="177">
        <f>IF(U3456=0,0,IF(T3456="MXN",1/HLOOKUP(YEAR(S3456)+(MONTH(S3456)/100),TC!$5:$37,DAY(S3456)+2,FALSE),VLOOKUP(T3456,Equivalencia!$1:$23,((MAX(Equivalencia!$3:$3)-YEAR(S3456))*14)+MONTH(S3456)+2,FALSE)))</f>
        <v>0</v>
      </c>
      <c r="W3456" s="178">
        <f t="shared" si="278"/>
        <v>0</v>
      </c>
      <c r="X3456" s="481">
        <f t="shared" si="279"/>
        <v>0</v>
      </c>
      <c r="Y3456" s="179"/>
      <c r="Z3456" s="466">
        <f t="shared" si="280"/>
        <v>0</v>
      </c>
      <c r="AA3456" s="473">
        <f t="shared" si="281"/>
        <v>0</v>
      </c>
      <c r="AB3456" s="339">
        <f t="shared" si="282"/>
        <v>0</v>
      </c>
    </row>
    <row r="3457" spans="2:28" ht="20.100000000000001" customHeight="1">
      <c r="B3457" s="172"/>
      <c r="C3457" s="174"/>
      <c r="D3457" s="181"/>
      <c r="E3457" s="173"/>
      <c r="F3457" s="176"/>
      <c r="G3457" s="175">
        <f t="shared" si="273"/>
        <v>0</v>
      </c>
      <c r="H3457" s="175">
        <f t="shared" si="274"/>
        <v>0</v>
      </c>
      <c r="I3457" s="177">
        <f>IF(G3457=0,0,IF(E3457="MXN",1/HLOOKUP(YEAR(C3457)+(MONTH(C3457)/100),TC!$5:$37,DAY(C3457)+2,FALSE),VLOOKUP(E3457,Equivalencia!$5:$23,((MAX(Equivalencia!$3:$3)-YEAR(C3457))*14)+MONTH(C3457)+2,FALSE)))</f>
        <v>0</v>
      </c>
      <c r="J3457" s="178">
        <f t="shared" si="275"/>
        <v>0</v>
      </c>
      <c r="K3457" s="462">
        <f>IF(C3457=0,0,VLOOKUP(YEAR(C3457),INPC!$B$4:$O$29,MONTH(C3457)+1))</f>
        <v>0</v>
      </c>
      <c r="L3457" s="462">
        <f>IF(S3457=0,0,VLOOKUP(YEAR(S3457),INPC!$B$4:$O$29,MONTH(S3457)+1))</f>
        <v>0</v>
      </c>
      <c r="M3457" s="463">
        <f t="shared" si="276"/>
        <v>0</v>
      </c>
      <c r="N3457" s="465">
        <f t="shared" si="277"/>
        <v>0</v>
      </c>
      <c r="O3457" s="179"/>
      <c r="P3457" s="180"/>
      <c r="Q3457" s="173"/>
      <c r="R3457" s="173"/>
      <c r="S3457" s="174"/>
      <c r="T3457" s="173"/>
      <c r="U3457" s="182"/>
      <c r="V3457" s="177">
        <f>IF(U3457=0,0,IF(T3457="MXN",1/HLOOKUP(YEAR(S3457)+(MONTH(S3457)/100),TC!$5:$37,DAY(S3457)+2,FALSE),VLOOKUP(T3457,Equivalencia!$1:$23,((MAX(Equivalencia!$3:$3)-YEAR(S3457))*14)+MONTH(S3457)+2,FALSE)))</f>
        <v>0</v>
      </c>
      <c r="W3457" s="178">
        <f t="shared" si="278"/>
        <v>0</v>
      </c>
      <c r="X3457" s="481">
        <f t="shared" si="279"/>
        <v>0</v>
      </c>
      <c r="Y3457" s="179"/>
      <c r="Z3457" s="466">
        <f t="shared" si="280"/>
        <v>0</v>
      </c>
      <c r="AA3457" s="473">
        <f t="shared" si="281"/>
        <v>0</v>
      </c>
      <c r="AB3457" s="339">
        <f t="shared" si="282"/>
        <v>0</v>
      </c>
    </row>
    <row r="3458" spans="2:28" ht="20.100000000000001" customHeight="1">
      <c r="B3458" s="172"/>
      <c r="C3458" s="174"/>
      <c r="D3458" s="181"/>
      <c r="E3458" s="173"/>
      <c r="F3458" s="176"/>
      <c r="G3458" s="175">
        <f t="shared" si="273"/>
        <v>0</v>
      </c>
      <c r="H3458" s="175">
        <f t="shared" si="274"/>
        <v>0</v>
      </c>
      <c r="I3458" s="177">
        <f>IF(G3458=0,0,IF(E3458="MXN",1/HLOOKUP(YEAR(C3458)+(MONTH(C3458)/100),TC!$5:$37,DAY(C3458)+2,FALSE),VLOOKUP(E3458,Equivalencia!$5:$23,((MAX(Equivalencia!$3:$3)-YEAR(C3458))*14)+MONTH(C3458)+2,FALSE)))</f>
        <v>0</v>
      </c>
      <c r="J3458" s="178">
        <f t="shared" si="275"/>
        <v>0</v>
      </c>
      <c r="K3458" s="462">
        <f>IF(C3458=0,0,VLOOKUP(YEAR(C3458),INPC!$B$4:$O$29,MONTH(C3458)+1))</f>
        <v>0</v>
      </c>
      <c r="L3458" s="462">
        <f>IF(S3458=0,0,VLOOKUP(YEAR(S3458),INPC!$B$4:$O$29,MONTH(S3458)+1))</f>
        <v>0</v>
      </c>
      <c r="M3458" s="463">
        <f t="shared" si="276"/>
        <v>0</v>
      </c>
      <c r="N3458" s="465">
        <f t="shared" si="277"/>
        <v>0</v>
      </c>
      <c r="O3458" s="179"/>
      <c r="P3458" s="180"/>
      <c r="Q3458" s="173"/>
      <c r="R3458" s="173"/>
      <c r="S3458" s="174"/>
      <c r="T3458" s="173"/>
      <c r="U3458" s="182"/>
      <c r="V3458" s="177">
        <f>IF(U3458=0,0,IF(T3458="MXN",1/HLOOKUP(YEAR(S3458)+(MONTH(S3458)/100),TC!$5:$37,DAY(S3458)+2,FALSE),VLOOKUP(T3458,Equivalencia!$1:$23,((MAX(Equivalencia!$3:$3)-YEAR(S3458))*14)+MONTH(S3458)+2,FALSE)))</f>
        <v>0</v>
      </c>
      <c r="W3458" s="178">
        <f t="shared" si="278"/>
        <v>0</v>
      </c>
      <c r="X3458" s="481">
        <f t="shared" si="279"/>
        <v>0</v>
      </c>
      <c r="Y3458" s="179"/>
      <c r="Z3458" s="466">
        <f t="shared" si="280"/>
        <v>0</v>
      </c>
      <c r="AA3458" s="473">
        <f t="shared" si="281"/>
        <v>0</v>
      </c>
      <c r="AB3458" s="339">
        <f t="shared" si="282"/>
        <v>0</v>
      </c>
    </row>
    <row r="3459" spans="2:28" ht="20.100000000000001" customHeight="1">
      <c r="B3459" s="172"/>
      <c r="C3459" s="174"/>
      <c r="D3459" s="181"/>
      <c r="E3459" s="173"/>
      <c r="F3459" s="176"/>
      <c r="G3459" s="175">
        <f t="shared" si="273"/>
        <v>0</v>
      </c>
      <c r="H3459" s="175">
        <f t="shared" si="274"/>
        <v>0</v>
      </c>
      <c r="I3459" s="177">
        <f>IF(G3459=0,0,IF(E3459="MXN",1/HLOOKUP(YEAR(C3459)+(MONTH(C3459)/100),TC!$5:$37,DAY(C3459)+2,FALSE),VLOOKUP(E3459,Equivalencia!$5:$23,((MAX(Equivalencia!$3:$3)-YEAR(C3459))*14)+MONTH(C3459)+2,FALSE)))</f>
        <v>0</v>
      </c>
      <c r="J3459" s="178">
        <f t="shared" si="275"/>
        <v>0</v>
      </c>
      <c r="K3459" s="462">
        <f>IF(C3459=0,0,VLOOKUP(YEAR(C3459),INPC!$B$4:$O$29,MONTH(C3459)+1))</f>
        <v>0</v>
      </c>
      <c r="L3459" s="462">
        <f>IF(S3459=0,0,VLOOKUP(YEAR(S3459),INPC!$B$4:$O$29,MONTH(S3459)+1))</f>
        <v>0</v>
      </c>
      <c r="M3459" s="463">
        <f t="shared" si="276"/>
        <v>0</v>
      </c>
      <c r="N3459" s="465">
        <f t="shared" si="277"/>
        <v>0</v>
      </c>
      <c r="O3459" s="179"/>
      <c r="P3459" s="180"/>
      <c r="Q3459" s="173"/>
      <c r="R3459" s="173"/>
      <c r="S3459" s="174"/>
      <c r="T3459" s="173"/>
      <c r="U3459" s="182"/>
      <c r="V3459" s="177">
        <f>IF(U3459=0,0,IF(T3459="MXN",1/HLOOKUP(YEAR(S3459)+(MONTH(S3459)/100),TC!$5:$37,DAY(S3459)+2,FALSE),VLOOKUP(T3459,Equivalencia!$1:$23,((MAX(Equivalencia!$3:$3)-YEAR(S3459))*14)+MONTH(S3459)+2,FALSE)))</f>
        <v>0</v>
      </c>
      <c r="W3459" s="178">
        <f t="shared" si="278"/>
        <v>0</v>
      </c>
      <c r="X3459" s="481">
        <f t="shared" si="279"/>
        <v>0</v>
      </c>
      <c r="Y3459" s="179"/>
      <c r="Z3459" s="466">
        <f t="shared" si="280"/>
        <v>0</v>
      </c>
      <c r="AA3459" s="473">
        <f t="shared" si="281"/>
        <v>0</v>
      </c>
      <c r="AB3459" s="339">
        <f t="shared" si="282"/>
        <v>0</v>
      </c>
    </row>
    <row r="3460" spans="2:28" ht="20.100000000000001" customHeight="1">
      <c r="B3460" s="172"/>
      <c r="C3460" s="174"/>
      <c r="D3460" s="181"/>
      <c r="E3460" s="173"/>
      <c r="F3460" s="176"/>
      <c r="G3460" s="175">
        <f t="shared" si="273"/>
        <v>0</v>
      </c>
      <c r="H3460" s="175">
        <f t="shared" si="274"/>
        <v>0</v>
      </c>
      <c r="I3460" s="177">
        <f>IF(G3460=0,0,IF(E3460="MXN",1/HLOOKUP(YEAR(C3460)+(MONTH(C3460)/100),TC!$5:$37,DAY(C3460)+2,FALSE),VLOOKUP(E3460,Equivalencia!$5:$23,((MAX(Equivalencia!$3:$3)-YEAR(C3460))*14)+MONTH(C3460)+2,FALSE)))</f>
        <v>0</v>
      </c>
      <c r="J3460" s="178">
        <f t="shared" si="275"/>
        <v>0</v>
      </c>
      <c r="K3460" s="462">
        <f>IF(C3460=0,0,VLOOKUP(YEAR(C3460),INPC!$B$4:$O$29,MONTH(C3460)+1))</f>
        <v>0</v>
      </c>
      <c r="L3460" s="462">
        <f>IF(S3460=0,0,VLOOKUP(YEAR(S3460),INPC!$B$4:$O$29,MONTH(S3460)+1))</f>
        <v>0</v>
      </c>
      <c r="M3460" s="463">
        <f t="shared" si="276"/>
        <v>0</v>
      </c>
      <c r="N3460" s="465">
        <f t="shared" si="277"/>
        <v>0</v>
      </c>
      <c r="O3460" s="179"/>
      <c r="P3460" s="180"/>
      <c r="Q3460" s="173"/>
      <c r="R3460" s="173"/>
      <c r="S3460" s="174"/>
      <c r="T3460" s="173"/>
      <c r="U3460" s="182"/>
      <c r="V3460" s="177">
        <f>IF(U3460=0,0,IF(T3460="MXN",1/HLOOKUP(YEAR(S3460)+(MONTH(S3460)/100),TC!$5:$37,DAY(S3460)+2,FALSE),VLOOKUP(T3460,Equivalencia!$1:$23,((MAX(Equivalencia!$3:$3)-YEAR(S3460))*14)+MONTH(S3460)+2,FALSE)))</f>
        <v>0</v>
      </c>
      <c r="W3460" s="178">
        <f t="shared" si="278"/>
        <v>0</v>
      </c>
      <c r="X3460" s="481">
        <f t="shared" si="279"/>
        <v>0</v>
      </c>
      <c r="Y3460" s="179"/>
      <c r="Z3460" s="466">
        <f t="shared" si="280"/>
        <v>0</v>
      </c>
      <c r="AA3460" s="473">
        <f t="shared" si="281"/>
        <v>0</v>
      </c>
      <c r="AB3460" s="339">
        <f t="shared" si="282"/>
        <v>0</v>
      </c>
    </row>
    <row r="3461" spans="2:28" ht="20.100000000000001" customHeight="1">
      <c r="B3461" s="172"/>
      <c r="C3461" s="174"/>
      <c r="D3461" s="181"/>
      <c r="E3461" s="173"/>
      <c r="F3461" s="176"/>
      <c r="G3461" s="175">
        <f t="shared" si="273"/>
        <v>0</v>
      </c>
      <c r="H3461" s="175">
        <f t="shared" si="274"/>
        <v>0</v>
      </c>
      <c r="I3461" s="177">
        <f>IF(G3461=0,0,IF(E3461="MXN",1/HLOOKUP(YEAR(C3461)+(MONTH(C3461)/100),TC!$5:$37,DAY(C3461)+2,FALSE),VLOOKUP(E3461,Equivalencia!$5:$23,((MAX(Equivalencia!$3:$3)-YEAR(C3461))*14)+MONTH(C3461)+2,FALSE)))</f>
        <v>0</v>
      </c>
      <c r="J3461" s="178">
        <f t="shared" si="275"/>
        <v>0</v>
      </c>
      <c r="K3461" s="462">
        <f>IF(C3461=0,0,VLOOKUP(YEAR(C3461),INPC!$B$4:$O$29,MONTH(C3461)+1))</f>
        <v>0</v>
      </c>
      <c r="L3461" s="462">
        <f>IF(S3461=0,0,VLOOKUP(YEAR(S3461),INPC!$B$4:$O$29,MONTH(S3461)+1))</f>
        <v>0</v>
      </c>
      <c r="M3461" s="463">
        <f t="shared" si="276"/>
        <v>0</v>
      </c>
      <c r="N3461" s="465">
        <f t="shared" si="277"/>
        <v>0</v>
      </c>
      <c r="O3461" s="179"/>
      <c r="P3461" s="180"/>
      <c r="Q3461" s="173"/>
      <c r="R3461" s="173"/>
      <c r="S3461" s="174"/>
      <c r="T3461" s="173"/>
      <c r="U3461" s="182"/>
      <c r="V3461" s="177">
        <f>IF(U3461=0,0,IF(T3461="MXN",1/HLOOKUP(YEAR(S3461)+(MONTH(S3461)/100),TC!$5:$37,DAY(S3461)+2,FALSE),VLOOKUP(T3461,Equivalencia!$1:$23,((MAX(Equivalencia!$3:$3)-YEAR(S3461))*14)+MONTH(S3461)+2,FALSE)))</f>
        <v>0</v>
      </c>
      <c r="W3461" s="178">
        <f t="shared" si="278"/>
        <v>0</v>
      </c>
      <c r="X3461" s="481">
        <f t="shared" si="279"/>
        <v>0</v>
      </c>
      <c r="Y3461" s="179"/>
      <c r="Z3461" s="466">
        <f t="shared" si="280"/>
        <v>0</v>
      </c>
      <c r="AA3461" s="473">
        <f t="shared" si="281"/>
        <v>0</v>
      </c>
      <c r="AB3461" s="339">
        <f t="shared" si="282"/>
        <v>0</v>
      </c>
    </row>
    <row r="3462" spans="2:28" ht="20.100000000000001" customHeight="1">
      <c r="B3462" s="172"/>
      <c r="C3462" s="174"/>
      <c r="D3462" s="181"/>
      <c r="E3462" s="173"/>
      <c r="F3462" s="176"/>
      <c r="G3462" s="175">
        <f t="shared" si="273"/>
        <v>0</v>
      </c>
      <c r="H3462" s="175">
        <f t="shared" si="274"/>
        <v>0</v>
      </c>
      <c r="I3462" s="177">
        <f>IF(G3462=0,0,IF(E3462="MXN",1/HLOOKUP(YEAR(C3462)+(MONTH(C3462)/100),TC!$5:$37,DAY(C3462)+2,FALSE),VLOOKUP(E3462,Equivalencia!$5:$23,((MAX(Equivalencia!$3:$3)-YEAR(C3462))*14)+MONTH(C3462)+2,FALSE)))</f>
        <v>0</v>
      </c>
      <c r="J3462" s="178">
        <f t="shared" si="275"/>
        <v>0</v>
      </c>
      <c r="K3462" s="462">
        <f>IF(C3462=0,0,VLOOKUP(YEAR(C3462),INPC!$B$4:$O$29,MONTH(C3462)+1))</f>
        <v>0</v>
      </c>
      <c r="L3462" s="462">
        <f>IF(S3462=0,0,VLOOKUP(YEAR(S3462),INPC!$B$4:$O$29,MONTH(S3462)+1))</f>
        <v>0</v>
      </c>
      <c r="M3462" s="463">
        <f t="shared" si="276"/>
        <v>0</v>
      </c>
      <c r="N3462" s="465">
        <f t="shared" si="277"/>
        <v>0</v>
      </c>
      <c r="O3462" s="179"/>
      <c r="P3462" s="180"/>
      <c r="Q3462" s="173"/>
      <c r="R3462" s="173"/>
      <c r="S3462" s="174"/>
      <c r="T3462" s="173"/>
      <c r="U3462" s="182"/>
      <c r="V3462" s="177">
        <f>IF(U3462=0,0,IF(T3462="MXN",1/HLOOKUP(YEAR(S3462)+(MONTH(S3462)/100),TC!$5:$37,DAY(S3462)+2,FALSE),VLOOKUP(T3462,Equivalencia!$1:$23,((MAX(Equivalencia!$3:$3)-YEAR(S3462))*14)+MONTH(S3462)+2,FALSE)))</f>
        <v>0</v>
      </c>
      <c r="W3462" s="178">
        <f t="shared" si="278"/>
        <v>0</v>
      </c>
      <c r="X3462" s="481">
        <f t="shared" si="279"/>
        <v>0</v>
      </c>
      <c r="Y3462" s="179"/>
      <c r="Z3462" s="466">
        <f t="shared" si="280"/>
        <v>0</v>
      </c>
      <c r="AA3462" s="473">
        <f t="shared" si="281"/>
        <v>0</v>
      </c>
      <c r="AB3462" s="339">
        <f t="shared" si="282"/>
        <v>0</v>
      </c>
    </row>
    <row r="3463" spans="2:28" ht="20.100000000000001" customHeight="1">
      <c r="B3463" s="172"/>
      <c r="C3463" s="174"/>
      <c r="D3463" s="181"/>
      <c r="E3463" s="173"/>
      <c r="F3463" s="176"/>
      <c r="G3463" s="175">
        <f t="shared" si="273"/>
        <v>0</v>
      </c>
      <c r="H3463" s="175">
        <f t="shared" si="274"/>
        <v>0</v>
      </c>
      <c r="I3463" s="177">
        <f>IF(G3463=0,0,IF(E3463="MXN",1/HLOOKUP(YEAR(C3463)+(MONTH(C3463)/100),TC!$5:$37,DAY(C3463)+2,FALSE),VLOOKUP(E3463,Equivalencia!$5:$23,((MAX(Equivalencia!$3:$3)-YEAR(C3463))*14)+MONTH(C3463)+2,FALSE)))</f>
        <v>0</v>
      </c>
      <c r="J3463" s="178">
        <f t="shared" si="275"/>
        <v>0</v>
      </c>
      <c r="K3463" s="462">
        <f>IF(C3463=0,0,VLOOKUP(YEAR(C3463),INPC!$B$4:$O$29,MONTH(C3463)+1))</f>
        <v>0</v>
      </c>
      <c r="L3463" s="462">
        <f>IF(S3463=0,0,VLOOKUP(YEAR(S3463),INPC!$B$4:$O$29,MONTH(S3463)+1))</f>
        <v>0</v>
      </c>
      <c r="M3463" s="463">
        <f t="shared" si="276"/>
        <v>0</v>
      </c>
      <c r="N3463" s="465">
        <f t="shared" si="277"/>
        <v>0</v>
      </c>
      <c r="O3463" s="179"/>
      <c r="P3463" s="180"/>
      <c r="Q3463" s="173"/>
      <c r="R3463" s="173"/>
      <c r="S3463" s="174"/>
      <c r="T3463" s="173"/>
      <c r="U3463" s="182"/>
      <c r="V3463" s="177">
        <f>IF(U3463=0,0,IF(T3463="MXN",1/HLOOKUP(YEAR(S3463)+(MONTH(S3463)/100),TC!$5:$37,DAY(S3463)+2,FALSE),VLOOKUP(T3463,Equivalencia!$1:$23,((MAX(Equivalencia!$3:$3)-YEAR(S3463))*14)+MONTH(S3463)+2,FALSE)))</f>
        <v>0</v>
      </c>
      <c r="W3463" s="178">
        <f t="shared" si="278"/>
        <v>0</v>
      </c>
      <c r="X3463" s="481">
        <f t="shared" si="279"/>
        <v>0</v>
      </c>
      <c r="Y3463" s="179"/>
      <c r="Z3463" s="466">
        <f t="shared" si="280"/>
        <v>0</v>
      </c>
      <c r="AA3463" s="473">
        <f t="shared" si="281"/>
        <v>0</v>
      </c>
      <c r="AB3463" s="339">
        <f t="shared" si="282"/>
        <v>0</v>
      </c>
    </row>
    <row r="3464" spans="2:28" ht="20.100000000000001" customHeight="1">
      <c r="B3464" s="172"/>
      <c r="C3464" s="174"/>
      <c r="D3464" s="181"/>
      <c r="E3464" s="173"/>
      <c r="F3464" s="176"/>
      <c r="G3464" s="175">
        <f t="shared" si="273"/>
        <v>0</v>
      </c>
      <c r="H3464" s="175">
        <f t="shared" si="274"/>
        <v>0</v>
      </c>
      <c r="I3464" s="177">
        <f>IF(G3464=0,0,IF(E3464="MXN",1/HLOOKUP(YEAR(C3464)+(MONTH(C3464)/100),TC!$5:$37,DAY(C3464)+2,FALSE),VLOOKUP(E3464,Equivalencia!$5:$23,((MAX(Equivalencia!$3:$3)-YEAR(C3464))*14)+MONTH(C3464)+2,FALSE)))</f>
        <v>0</v>
      </c>
      <c r="J3464" s="178">
        <f t="shared" si="275"/>
        <v>0</v>
      </c>
      <c r="K3464" s="462">
        <f>IF(C3464=0,0,VLOOKUP(YEAR(C3464),INPC!$B$4:$O$29,MONTH(C3464)+1))</f>
        <v>0</v>
      </c>
      <c r="L3464" s="462">
        <f>IF(S3464=0,0,VLOOKUP(YEAR(S3464),INPC!$B$4:$O$29,MONTH(S3464)+1))</f>
        <v>0</v>
      </c>
      <c r="M3464" s="463">
        <f t="shared" si="276"/>
        <v>0</v>
      </c>
      <c r="N3464" s="465">
        <f t="shared" si="277"/>
        <v>0</v>
      </c>
      <c r="O3464" s="179"/>
      <c r="P3464" s="180"/>
      <c r="Q3464" s="173"/>
      <c r="R3464" s="173"/>
      <c r="S3464" s="174"/>
      <c r="T3464" s="173"/>
      <c r="U3464" s="182"/>
      <c r="V3464" s="177">
        <f>IF(U3464=0,0,IF(T3464="MXN",1/HLOOKUP(YEAR(S3464)+(MONTH(S3464)/100),TC!$5:$37,DAY(S3464)+2,FALSE),VLOOKUP(T3464,Equivalencia!$1:$23,((MAX(Equivalencia!$3:$3)-YEAR(S3464))*14)+MONTH(S3464)+2,FALSE)))</f>
        <v>0</v>
      </c>
      <c r="W3464" s="178">
        <f t="shared" si="278"/>
        <v>0</v>
      </c>
      <c r="X3464" s="481">
        <f t="shared" si="279"/>
        <v>0</v>
      </c>
      <c r="Y3464" s="179"/>
      <c r="Z3464" s="466">
        <f t="shared" si="280"/>
        <v>0</v>
      </c>
      <c r="AA3464" s="473">
        <f t="shared" si="281"/>
        <v>0</v>
      </c>
      <c r="AB3464" s="339">
        <f t="shared" si="282"/>
        <v>0</v>
      </c>
    </row>
    <row r="3465" spans="2:28" ht="20.100000000000001" customHeight="1">
      <c r="B3465" s="172"/>
      <c r="C3465" s="174"/>
      <c r="D3465" s="181"/>
      <c r="E3465" s="173"/>
      <c r="F3465" s="176"/>
      <c r="G3465" s="175">
        <f t="shared" si="273"/>
        <v>0</v>
      </c>
      <c r="H3465" s="175">
        <f t="shared" si="274"/>
        <v>0</v>
      </c>
      <c r="I3465" s="177">
        <f>IF(G3465=0,0,IF(E3465="MXN",1/HLOOKUP(YEAR(C3465)+(MONTH(C3465)/100),TC!$5:$37,DAY(C3465)+2,FALSE),VLOOKUP(E3465,Equivalencia!$5:$23,((MAX(Equivalencia!$3:$3)-YEAR(C3465))*14)+MONTH(C3465)+2,FALSE)))</f>
        <v>0</v>
      </c>
      <c r="J3465" s="178">
        <f t="shared" si="275"/>
        <v>0</v>
      </c>
      <c r="K3465" s="462">
        <f>IF(C3465=0,0,VLOOKUP(YEAR(C3465),INPC!$B$4:$O$29,MONTH(C3465)+1))</f>
        <v>0</v>
      </c>
      <c r="L3465" s="462">
        <f>IF(S3465=0,0,VLOOKUP(YEAR(S3465),INPC!$B$4:$O$29,MONTH(S3465)+1))</f>
        <v>0</v>
      </c>
      <c r="M3465" s="463">
        <f t="shared" si="276"/>
        <v>0</v>
      </c>
      <c r="N3465" s="465">
        <f t="shared" si="277"/>
        <v>0</v>
      </c>
      <c r="O3465" s="179"/>
      <c r="P3465" s="180"/>
      <c r="Q3465" s="173"/>
      <c r="R3465" s="173"/>
      <c r="S3465" s="174"/>
      <c r="T3465" s="173"/>
      <c r="U3465" s="182"/>
      <c r="V3465" s="177">
        <f>IF(U3465=0,0,IF(T3465="MXN",1/HLOOKUP(YEAR(S3465)+(MONTH(S3465)/100),TC!$5:$37,DAY(S3465)+2,FALSE),VLOOKUP(T3465,Equivalencia!$1:$23,((MAX(Equivalencia!$3:$3)-YEAR(S3465))*14)+MONTH(S3465)+2,FALSE)))</f>
        <v>0</v>
      </c>
      <c r="W3465" s="178">
        <f t="shared" si="278"/>
        <v>0</v>
      </c>
      <c r="X3465" s="481">
        <f t="shared" si="279"/>
        <v>0</v>
      </c>
      <c r="Y3465" s="179"/>
      <c r="Z3465" s="466">
        <f t="shared" si="280"/>
        <v>0</v>
      </c>
      <c r="AA3465" s="473">
        <f t="shared" si="281"/>
        <v>0</v>
      </c>
      <c r="AB3465" s="339">
        <f t="shared" si="282"/>
        <v>0</v>
      </c>
    </row>
    <row r="3466" spans="2:28" ht="20.100000000000001" customHeight="1">
      <c r="B3466" s="172"/>
      <c r="C3466" s="174"/>
      <c r="D3466" s="181"/>
      <c r="E3466" s="173"/>
      <c r="F3466" s="176"/>
      <c r="G3466" s="175">
        <f t="shared" si="273"/>
        <v>0</v>
      </c>
      <c r="H3466" s="175">
        <f t="shared" si="274"/>
        <v>0</v>
      </c>
      <c r="I3466" s="177">
        <f>IF(G3466=0,0,IF(E3466="MXN",1/HLOOKUP(YEAR(C3466)+(MONTH(C3466)/100),TC!$5:$37,DAY(C3466)+2,FALSE),VLOOKUP(E3466,Equivalencia!$5:$23,((MAX(Equivalencia!$3:$3)-YEAR(C3466))*14)+MONTH(C3466)+2,FALSE)))</f>
        <v>0</v>
      </c>
      <c r="J3466" s="178">
        <f t="shared" si="275"/>
        <v>0</v>
      </c>
      <c r="K3466" s="462">
        <f>IF(C3466=0,0,VLOOKUP(YEAR(C3466),INPC!$B$4:$O$29,MONTH(C3466)+1))</f>
        <v>0</v>
      </c>
      <c r="L3466" s="462">
        <f>IF(S3466=0,0,VLOOKUP(YEAR(S3466),INPC!$B$4:$O$29,MONTH(S3466)+1))</f>
        <v>0</v>
      </c>
      <c r="M3466" s="463">
        <f t="shared" si="276"/>
        <v>0</v>
      </c>
      <c r="N3466" s="465">
        <f t="shared" si="277"/>
        <v>0</v>
      </c>
      <c r="O3466" s="179"/>
      <c r="P3466" s="180"/>
      <c r="Q3466" s="173"/>
      <c r="R3466" s="173"/>
      <c r="S3466" s="174"/>
      <c r="T3466" s="173"/>
      <c r="U3466" s="182"/>
      <c r="V3466" s="177">
        <f>IF(U3466=0,0,IF(T3466="MXN",1/HLOOKUP(YEAR(S3466)+(MONTH(S3466)/100),TC!$5:$37,DAY(S3466)+2,FALSE),VLOOKUP(T3466,Equivalencia!$1:$23,((MAX(Equivalencia!$3:$3)-YEAR(S3466))*14)+MONTH(S3466)+2,FALSE)))</f>
        <v>0</v>
      </c>
      <c r="W3466" s="178">
        <f t="shared" si="278"/>
        <v>0</v>
      </c>
      <c r="X3466" s="481">
        <f t="shared" si="279"/>
        <v>0</v>
      </c>
      <c r="Y3466" s="179"/>
      <c r="Z3466" s="466">
        <f t="shared" si="280"/>
        <v>0</v>
      </c>
      <c r="AA3466" s="473">
        <f t="shared" si="281"/>
        <v>0</v>
      </c>
      <c r="AB3466" s="339">
        <f t="shared" si="282"/>
        <v>0</v>
      </c>
    </row>
    <row r="3467" spans="2:28" ht="20.100000000000001" customHeight="1">
      <c r="B3467" s="172"/>
      <c r="C3467" s="174"/>
      <c r="D3467" s="181"/>
      <c r="E3467" s="173"/>
      <c r="F3467" s="176"/>
      <c r="G3467" s="175">
        <f t="shared" si="273"/>
        <v>0</v>
      </c>
      <c r="H3467" s="175">
        <f t="shared" si="274"/>
        <v>0</v>
      </c>
      <c r="I3467" s="177">
        <f>IF(G3467=0,0,IF(E3467="MXN",1/HLOOKUP(YEAR(C3467)+(MONTH(C3467)/100),TC!$5:$37,DAY(C3467)+2,FALSE),VLOOKUP(E3467,Equivalencia!$5:$23,((MAX(Equivalencia!$3:$3)-YEAR(C3467))*14)+MONTH(C3467)+2,FALSE)))</f>
        <v>0</v>
      </c>
      <c r="J3467" s="178">
        <f t="shared" si="275"/>
        <v>0</v>
      </c>
      <c r="K3467" s="462">
        <f>IF(C3467=0,0,VLOOKUP(YEAR(C3467),INPC!$B$4:$O$29,MONTH(C3467)+1))</f>
        <v>0</v>
      </c>
      <c r="L3467" s="462">
        <f>IF(S3467=0,0,VLOOKUP(YEAR(S3467),INPC!$B$4:$O$29,MONTH(S3467)+1))</f>
        <v>0</v>
      </c>
      <c r="M3467" s="463">
        <f t="shared" si="276"/>
        <v>0</v>
      </c>
      <c r="N3467" s="465">
        <f t="shared" si="277"/>
        <v>0</v>
      </c>
      <c r="O3467" s="179"/>
      <c r="P3467" s="180"/>
      <c r="Q3467" s="173"/>
      <c r="R3467" s="173"/>
      <c r="S3467" s="174"/>
      <c r="T3467" s="173"/>
      <c r="U3467" s="182"/>
      <c r="V3467" s="177">
        <f>IF(U3467=0,0,IF(T3467="MXN",1/HLOOKUP(YEAR(S3467)+(MONTH(S3467)/100),TC!$5:$37,DAY(S3467)+2,FALSE),VLOOKUP(T3467,Equivalencia!$1:$23,((MAX(Equivalencia!$3:$3)-YEAR(S3467))*14)+MONTH(S3467)+2,FALSE)))</f>
        <v>0</v>
      </c>
      <c r="W3467" s="178">
        <f t="shared" si="278"/>
        <v>0</v>
      </c>
      <c r="X3467" s="481">
        <f t="shared" si="279"/>
        <v>0</v>
      </c>
      <c r="Y3467" s="179"/>
      <c r="Z3467" s="466">
        <f t="shared" si="280"/>
        <v>0</v>
      </c>
      <c r="AA3467" s="473">
        <f t="shared" si="281"/>
        <v>0</v>
      </c>
      <c r="AB3467" s="339">
        <f t="shared" si="282"/>
        <v>0</v>
      </c>
    </row>
    <row r="3468" spans="2:28" ht="20.100000000000001" customHeight="1">
      <c r="B3468" s="172"/>
      <c r="C3468" s="174"/>
      <c r="D3468" s="181"/>
      <c r="E3468" s="173"/>
      <c r="F3468" s="176"/>
      <c r="G3468" s="175">
        <f t="shared" si="273"/>
        <v>0</v>
      </c>
      <c r="H3468" s="175">
        <f t="shared" si="274"/>
        <v>0</v>
      </c>
      <c r="I3468" s="177">
        <f>IF(G3468=0,0,IF(E3468="MXN",1/HLOOKUP(YEAR(C3468)+(MONTH(C3468)/100),TC!$5:$37,DAY(C3468)+2,FALSE),VLOOKUP(E3468,Equivalencia!$5:$23,((MAX(Equivalencia!$3:$3)-YEAR(C3468))*14)+MONTH(C3468)+2,FALSE)))</f>
        <v>0</v>
      </c>
      <c r="J3468" s="178">
        <f t="shared" si="275"/>
        <v>0</v>
      </c>
      <c r="K3468" s="462">
        <f>IF(C3468=0,0,VLOOKUP(YEAR(C3468),INPC!$B$4:$O$29,MONTH(C3468)+1))</f>
        <v>0</v>
      </c>
      <c r="L3468" s="462">
        <f>IF(S3468=0,0,VLOOKUP(YEAR(S3468),INPC!$B$4:$O$29,MONTH(S3468)+1))</f>
        <v>0</v>
      </c>
      <c r="M3468" s="463">
        <f t="shared" si="276"/>
        <v>0</v>
      </c>
      <c r="N3468" s="465">
        <f t="shared" si="277"/>
        <v>0</v>
      </c>
      <c r="O3468" s="179"/>
      <c r="P3468" s="180"/>
      <c r="Q3468" s="173"/>
      <c r="R3468" s="173"/>
      <c r="S3468" s="174"/>
      <c r="T3468" s="173"/>
      <c r="U3468" s="182"/>
      <c r="V3468" s="177">
        <f>IF(U3468=0,0,IF(T3468="MXN",1/HLOOKUP(YEAR(S3468)+(MONTH(S3468)/100),TC!$5:$37,DAY(S3468)+2,FALSE),VLOOKUP(T3468,Equivalencia!$1:$23,((MAX(Equivalencia!$3:$3)-YEAR(S3468))*14)+MONTH(S3468)+2,FALSE)))</f>
        <v>0</v>
      </c>
      <c r="W3468" s="178">
        <f t="shared" si="278"/>
        <v>0</v>
      </c>
      <c r="X3468" s="481">
        <f t="shared" si="279"/>
        <v>0</v>
      </c>
      <c r="Y3468" s="179"/>
      <c r="Z3468" s="466">
        <f t="shared" si="280"/>
        <v>0</v>
      </c>
      <c r="AA3468" s="473">
        <f t="shared" si="281"/>
        <v>0</v>
      </c>
      <c r="AB3468" s="339">
        <f t="shared" si="282"/>
        <v>0</v>
      </c>
    </row>
    <row r="3469" spans="2:28" ht="20.100000000000001" customHeight="1">
      <c r="B3469" s="172"/>
      <c r="C3469" s="174"/>
      <c r="D3469" s="181"/>
      <c r="E3469" s="173"/>
      <c r="F3469" s="176"/>
      <c r="G3469" s="175">
        <f t="shared" si="273"/>
        <v>0</v>
      </c>
      <c r="H3469" s="175">
        <f t="shared" si="274"/>
        <v>0</v>
      </c>
      <c r="I3469" s="177">
        <f>IF(G3469=0,0,IF(E3469="MXN",1/HLOOKUP(YEAR(C3469)+(MONTH(C3469)/100),TC!$5:$37,DAY(C3469)+2,FALSE),VLOOKUP(E3469,Equivalencia!$5:$23,((MAX(Equivalencia!$3:$3)-YEAR(C3469))*14)+MONTH(C3469)+2,FALSE)))</f>
        <v>0</v>
      </c>
      <c r="J3469" s="178">
        <f t="shared" si="275"/>
        <v>0</v>
      </c>
      <c r="K3469" s="462">
        <f>IF(C3469=0,0,VLOOKUP(YEAR(C3469),INPC!$B$4:$O$29,MONTH(C3469)+1))</f>
        <v>0</v>
      </c>
      <c r="L3469" s="462">
        <f>IF(S3469=0,0,VLOOKUP(YEAR(S3469),INPC!$B$4:$O$29,MONTH(S3469)+1))</f>
        <v>0</v>
      </c>
      <c r="M3469" s="463">
        <f t="shared" si="276"/>
        <v>0</v>
      </c>
      <c r="N3469" s="465">
        <f t="shared" si="277"/>
        <v>0</v>
      </c>
      <c r="O3469" s="179"/>
      <c r="P3469" s="180"/>
      <c r="Q3469" s="173"/>
      <c r="R3469" s="173"/>
      <c r="S3469" s="174"/>
      <c r="T3469" s="173"/>
      <c r="U3469" s="182"/>
      <c r="V3469" s="177">
        <f>IF(U3469=0,0,IF(T3469="MXN",1/HLOOKUP(YEAR(S3469)+(MONTH(S3469)/100),TC!$5:$37,DAY(S3469)+2,FALSE),VLOOKUP(T3469,Equivalencia!$1:$23,((MAX(Equivalencia!$3:$3)-YEAR(S3469))*14)+MONTH(S3469)+2,FALSE)))</f>
        <v>0</v>
      </c>
      <c r="W3469" s="178">
        <f t="shared" si="278"/>
        <v>0</v>
      </c>
      <c r="X3469" s="481">
        <f t="shared" si="279"/>
        <v>0</v>
      </c>
      <c r="Y3469" s="179"/>
      <c r="Z3469" s="466">
        <f t="shared" si="280"/>
        <v>0</v>
      </c>
      <c r="AA3469" s="473">
        <f t="shared" si="281"/>
        <v>0</v>
      </c>
      <c r="AB3469" s="339">
        <f t="shared" si="282"/>
        <v>0</v>
      </c>
    </row>
    <row r="3470" spans="2:28" ht="20.100000000000001" customHeight="1">
      <c r="B3470" s="172"/>
      <c r="C3470" s="174"/>
      <c r="D3470" s="181"/>
      <c r="E3470" s="173"/>
      <c r="F3470" s="176"/>
      <c r="G3470" s="175">
        <f t="shared" si="273"/>
        <v>0</v>
      </c>
      <c r="H3470" s="175">
        <f t="shared" si="274"/>
        <v>0</v>
      </c>
      <c r="I3470" s="177">
        <f>IF(G3470=0,0,IF(E3470="MXN",1/HLOOKUP(YEAR(C3470)+(MONTH(C3470)/100),TC!$5:$37,DAY(C3470)+2,FALSE),VLOOKUP(E3470,Equivalencia!$5:$23,((MAX(Equivalencia!$3:$3)-YEAR(C3470))*14)+MONTH(C3470)+2,FALSE)))</f>
        <v>0</v>
      </c>
      <c r="J3470" s="178">
        <f t="shared" si="275"/>
        <v>0</v>
      </c>
      <c r="K3470" s="462">
        <f>IF(C3470=0,0,VLOOKUP(YEAR(C3470),INPC!$B$4:$O$29,MONTH(C3470)+1))</f>
        <v>0</v>
      </c>
      <c r="L3470" s="462">
        <f>IF(S3470=0,0,VLOOKUP(YEAR(S3470),INPC!$B$4:$O$29,MONTH(S3470)+1))</f>
        <v>0</v>
      </c>
      <c r="M3470" s="463">
        <f t="shared" si="276"/>
        <v>0</v>
      </c>
      <c r="N3470" s="465">
        <f t="shared" si="277"/>
        <v>0</v>
      </c>
      <c r="O3470" s="179"/>
      <c r="P3470" s="180"/>
      <c r="Q3470" s="173"/>
      <c r="R3470" s="173"/>
      <c r="S3470" s="174"/>
      <c r="T3470" s="173"/>
      <c r="U3470" s="182"/>
      <c r="V3470" s="177">
        <f>IF(U3470=0,0,IF(T3470="MXN",1/HLOOKUP(YEAR(S3470)+(MONTH(S3470)/100),TC!$5:$37,DAY(S3470)+2,FALSE),VLOOKUP(T3470,Equivalencia!$1:$23,((MAX(Equivalencia!$3:$3)-YEAR(S3470))*14)+MONTH(S3470)+2,FALSE)))</f>
        <v>0</v>
      </c>
      <c r="W3470" s="178">
        <f t="shared" si="278"/>
        <v>0</v>
      </c>
      <c r="X3470" s="481">
        <f t="shared" si="279"/>
        <v>0</v>
      </c>
      <c r="Y3470" s="179"/>
      <c r="Z3470" s="466">
        <f t="shared" si="280"/>
        <v>0</v>
      </c>
      <c r="AA3470" s="473">
        <f t="shared" si="281"/>
        <v>0</v>
      </c>
      <c r="AB3470" s="339">
        <f t="shared" si="282"/>
        <v>0</v>
      </c>
    </row>
    <row r="3471" spans="2:28" ht="20.100000000000001" customHeight="1">
      <c r="B3471" s="172"/>
      <c r="C3471" s="174"/>
      <c r="D3471" s="181"/>
      <c r="E3471" s="173"/>
      <c r="F3471" s="176"/>
      <c r="G3471" s="175">
        <f t="shared" si="273"/>
        <v>0</v>
      </c>
      <c r="H3471" s="175">
        <f t="shared" si="274"/>
        <v>0</v>
      </c>
      <c r="I3471" s="177">
        <f>IF(G3471=0,0,IF(E3471="MXN",1/HLOOKUP(YEAR(C3471)+(MONTH(C3471)/100),TC!$5:$37,DAY(C3471)+2,FALSE),VLOOKUP(E3471,Equivalencia!$5:$23,((MAX(Equivalencia!$3:$3)-YEAR(C3471))*14)+MONTH(C3471)+2,FALSE)))</f>
        <v>0</v>
      </c>
      <c r="J3471" s="178">
        <f t="shared" si="275"/>
        <v>0</v>
      </c>
      <c r="K3471" s="462">
        <f>IF(C3471=0,0,VLOOKUP(YEAR(C3471),INPC!$B$4:$O$29,MONTH(C3471)+1))</f>
        <v>0</v>
      </c>
      <c r="L3471" s="462">
        <f>IF(S3471=0,0,VLOOKUP(YEAR(S3471),INPC!$B$4:$O$29,MONTH(S3471)+1))</f>
        <v>0</v>
      </c>
      <c r="M3471" s="463">
        <f t="shared" si="276"/>
        <v>0</v>
      </c>
      <c r="N3471" s="465">
        <f t="shared" si="277"/>
        <v>0</v>
      </c>
      <c r="O3471" s="179"/>
      <c r="P3471" s="180"/>
      <c r="Q3471" s="173"/>
      <c r="R3471" s="173"/>
      <c r="S3471" s="174"/>
      <c r="T3471" s="173"/>
      <c r="U3471" s="182"/>
      <c r="V3471" s="177">
        <f>IF(U3471=0,0,IF(T3471="MXN",1/HLOOKUP(YEAR(S3471)+(MONTH(S3471)/100),TC!$5:$37,DAY(S3471)+2,FALSE),VLOOKUP(T3471,Equivalencia!$1:$23,((MAX(Equivalencia!$3:$3)-YEAR(S3471))*14)+MONTH(S3471)+2,FALSE)))</f>
        <v>0</v>
      </c>
      <c r="W3471" s="178">
        <f t="shared" si="278"/>
        <v>0</v>
      </c>
      <c r="X3471" s="481">
        <f t="shared" si="279"/>
        <v>0</v>
      </c>
      <c r="Y3471" s="179"/>
      <c r="Z3471" s="466">
        <f t="shared" si="280"/>
        <v>0</v>
      </c>
      <c r="AA3471" s="473">
        <f t="shared" si="281"/>
        <v>0</v>
      </c>
      <c r="AB3471" s="339">
        <f t="shared" si="282"/>
        <v>0</v>
      </c>
    </row>
    <row r="3472" spans="2:28" ht="20.100000000000001" customHeight="1">
      <c r="B3472" s="172"/>
      <c r="C3472" s="174"/>
      <c r="D3472" s="181"/>
      <c r="E3472" s="173"/>
      <c r="F3472" s="176"/>
      <c r="G3472" s="175">
        <f t="shared" si="273"/>
        <v>0</v>
      </c>
      <c r="H3472" s="175">
        <f t="shared" si="274"/>
        <v>0</v>
      </c>
      <c r="I3472" s="177">
        <f>IF(G3472=0,0,IF(E3472="MXN",1/HLOOKUP(YEAR(C3472)+(MONTH(C3472)/100),TC!$5:$37,DAY(C3472)+2,FALSE),VLOOKUP(E3472,Equivalencia!$5:$23,((MAX(Equivalencia!$3:$3)-YEAR(C3472))*14)+MONTH(C3472)+2,FALSE)))</f>
        <v>0</v>
      </c>
      <c r="J3472" s="178">
        <f t="shared" si="275"/>
        <v>0</v>
      </c>
      <c r="K3472" s="462">
        <f>IF(C3472=0,0,VLOOKUP(YEAR(C3472),INPC!$B$4:$O$29,MONTH(C3472)+1))</f>
        <v>0</v>
      </c>
      <c r="L3472" s="462">
        <f>IF(S3472=0,0,VLOOKUP(YEAR(S3472),INPC!$B$4:$O$29,MONTH(S3472)+1))</f>
        <v>0</v>
      </c>
      <c r="M3472" s="463">
        <f t="shared" si="276"/>
        <v>0</v>
      </c>
      <c r="N3472" s="465">
        <f t="shared" si="277"/>
        <v>0</v>
      </c>
      <c r="O3472" s="179"/>
      <c r="P3472" s="180"/>
      <c r="Q3472" s="173"/>
      <c r="R3472" s="173"/>
      <c r="S3472" s="174"/>
      <c r="T3472" s="173"/>
      <c r="U3472" s="182"/>
      <c r="V3472" s="177">
        <f>IF(U3472=0,0,IF(T3472="MXN",1/HLOOKUP(YEAR(S3472)+(MONTH(S3472)/100),TC!$5:$37,DAY(S3472)+2,FALSE),VLOOKUP(T3472,Equivalencia!$1:$23,((MAX(Equivalencia!$3:$3)-YEAR(S3472))*14)+MONTH(S3472)+2,FALSE)))</f>
        <v>0</v>
      </c>
      <c r="W3472" s="178">
        <f t="shared" si="278"/>
        <v>0</v>
      </c>
      <c r="X3472" s="481">
        <f t="shared" si="279"/>
        <v>0</v>
      </c>
      <c r="Y3472" s="179"/>
      <c r="Z3472" s="466">
        <f t="shared" si="280"/>
        <v>0</v>
      </c>
      <c r="AA3472" s="473">
        <f t="shared" si="281"/>
        <v>0</v>
      </c>
      <c r="AB3472" s="339">
        <f t="shared" si="282"/>
        <v>0</v>
      </c>
    </row>
    <row r="3473" spans="2:28" ht="20.100000000000001" customHeight="1">
      <c r="B3473" s="172"/>
      <c r="C3473" s="174"/>
      <c r="D3473" s="181"/>
      <c r="E3473" s="173"/>
      <c r="F3473" s="176"/>
      <c r="G3473" s="175">
        <f t="shared" si="273"/>
        <v>0</v>
      </c>
      <c r="H3473" s="175">
        <f t="shared" si="274"/>
        <v>0</v>
      </c>
      <c r="I3473" s="177">
        <f>IF(G3473=0,0,IF(E3473="MXN",1/HLOOKUP(YEAR(C3473)+(MONTH(C3473)/100),TC!$5:$37,DAY(C3473)+2,FALSE),VLOOKUP(E3473,Equivalencia!$5:$23,((MAX(Equivalencia!$3:$3)-YEAR(C3473))*14)+MONTH(C3473)+2,FALSE)))</f>
        <v>0</v>
      </c>
      <c r="J3473" s="178">
        <f t="shared" si="275"/>
        <v>0</v>
      </c>
      <c r="K3473" s="462">
        <f>IF(C3473=0,0,VLOOKUP(YEAR(C3473),INPC!$B$4:$O$29,MONTH(C3473)+1))</f>
        <v>0</v>
      </c>
      <c r="L3473" s="462">
        <f>IF(S3473=0,0,VLOOKUP(YEAR(S3473),INPC!$B$4:$O$29,MONTH(S3473)+1))</f>
        <v>0</v>
      </c>
      <c r="M3473" s="463">
        <f t="shared" si="276"/>
        <v>0</v>
      </c>
      <c r="N3473" s="465">
        <f t="shared" si="277"/>
        <v>0</v>
      </c>
      <c r="O3473" s="179"/>
      <c r="P3473" s="180"/>
      <c r="Q3473" s="173"/>
      <c r="R3473" s="173"/>
      <c r="S3473" s="174"/>
      <c r="T3473" s="173"/>
      <c r="U3473" s="182"/>
      <c r="V3473" s="177">
        <f>IF(U3473=0,0,IF(T3473="MXN",1/HLOOKUP(YEAR(S3473)+(MONTH(S3473)/100),TC!$5:$37,DAY(S3473)+2,FALSE),VLOOKUP(T3473,Equivalencia!$1:$23,((MAX(Equivalencia!$3:$3)-YEAR(S3473))*14)+MONTH(S3473)+2,FALSE)))</f>
        <v>0</v>
      </c>
      <c r="W3473" s="178">
        <f t="shared" si="278"/>
        <v>0</v>
      </c>
      <c r="X3473" s="481">
        <f t="shared" si="279"/>
        <v>0</v>
      </c>
      <c r="Y3473" s="179"/>
      <c r="Z3473" s="466">
        <f t="shared" si="280"/>
        <v>0</v>
      </c>
      <c r="AA3473" s="473">
        <f t="shared" si="281"/>
        <v>0</v>
      </c>
      <c r="AB3473" s="339">
        <f t="shared" si="282"/>
        <v>0</v>
      </c>
    </row>
    <row r="3474" spans="2:28" ht="20.100000000000001" customHeight="1">
      <c r="B3474" s="172"/>
      <c r="C3474" s="174"/>
      <c r="D3474" s="181"/>
      <c r="E3474" s="173"/>
      <c r="F3474" s="176"/>
      <c r="G3474" s="175">
        <f t="shared" si="273"/>
        <v>0</v>
      </c>
      <c r="H3474" s="175">
        <f t="shared" si="274"/>
        <v>0</v>
      </c>
      <c r="I3474" s="177">
        <f>IF(G3474=0,0,IF(E3474="MXN",1/HLOOKUP(YEAR(C3474)+(MONTH(C3474)/100),TC!$5:$37,DAY(C3474)+2,FALSE),VLOOKUP(E3474,Equivalencia!$5:$23,((MAX(Equivalencia!$3:$3)-YEAR(C3474))*14)+MONTH(C3474)+2,FALSE)))</f>
        <v>0</v>
      </c>
      <c r="J3474" s="178">
        <f t="shared" si="275"/>
        <v>0</v>
      </c>
      <c r="K3474" s="462">
        <f>IF(C3474=0,0,VLOOKUP(YEAR(C3474),INPC!$B$4:$O$29,MONTH(C3474)+1))</f>
        <v>0</v>
      </c>
      <c r="L3474" s="462">
        <f>IF(S3474=0,0,VLOOKUP(YEAR(S3474),INPC!$B$4:$O$29,MONTH(S3474)+1))</f>
        <v>0</v>
      </c>
      <c r="M3474" s="463">
        <f t="shared" si="276"/>
        <v>0</v>
      </c>
      <c r="N3474" s="465">
        <f t="shared" si="277"/>
        <v>0</v>
      </c>
      <c r="O3474" s="179"/>
      <c r="P3474" s="180"/>
      <c r="Q3474" s="173"/>
      <c r="R3474" s="173"/>
      <c r="S3474" s="174"/>
      <c r="T3474" s="173"/>
      <c r="U3474" s="182"/>
      <c r="V3474" s="177">
        <f>IF(U3474=0,0,IF(T3474="MXN",1/HLOOKUP(YEAR(S3474)+(MONTH(S3474)/100),TC!$5:$37,DAY(S3474)+2,FALSE),VLOOKUP(T3474,Equivalencia!$1:$23,((MAX(Equivalencia!$3:$3)-YEAR(S3474))*14)+MONTH(S3474)+2,FALSE)))</f>
        <v>0</v>
      </c>
      <c r="W3474" s="178">
        <f t="shared" si="278"/>
        <v>0</v>
      </c>
      <c r="X3474" s="481">
        <f t="shared" si="279"/>
        <v>0</v>
      </c>
      <c r="Y3474" s="179"/>
      <c r="Z3474" s="466">
        <f t="shared" si="280"/>
        <v>0</v>
      </c>
      <c r="AA3474" s="473">
        <f t="shared" si="281"/>
        <v>0</v>
      </c>
      <c r="AB3474" s="339">
        <f t="shared" si="282"/>
        <v>0</v>
      </c>
    </row>
    <row r="3475" spans="2:28" ht="20.100000000000001" customHeight="1">
      <c r="B3475" s="172"/>
      <c r="C3475" s="174"/>
      <c r="D3475" s="181"/>
      <c r="E3475" s="173"/>
      <c r="F3475" s="176"/>
      <c r="G3475" s="175">
        <f t="shared" si="273"/>
        <v>0</v>
      </c>
      <c r="H3475" s="175">
        <f t="shared" si="274"/>
        <v>0</v>
      </c>
      <c r="I3475" s="177">
        <f>IF(G3475=0,0,IF(E3475="MXN",1/HLOOKUP(YEAR(C3475)+(MONTH(C3475)/100),TC!$5:$37,DAY(C3475)+2,FALSE),VLOOKUP(E3475,Equivalencia!$5:$23,((MAX(Equivalencia!$3:$3)-YEAR(C3475))*14)+MONTH(C3475)+2,FALSE)))</f>
        <v>0</v>
      </c>
      <c r="J3475" s="178">
        <f t="shared" si="275"/>
        <v>0</v>
      </c>
      <c r="K3475" s="462">
        <f>IF(C3475=0,0,VLOOKUP(YEAR(C3475),INPC!$B$4:$O$29,MONTH(C3475)+1))</f>
        <v>0</v>
      </c>
      <c r="L3475" s="462">
        <f>IF(S3475=0,0,VLOOKUP(YEAR(S3475),INPC!$B$4:$O$29,MONTH(S3475)+1))</f>
        <v>0</v>
      </c>
      <c r="M3475" s="463">
        <f t="shared" si="276"/>
        <v>0</v>
      </c>
      <c r="N3475" s="465">
        <f t="shared" si="277"/>
        <v>0</v>
      </c>
      <c r="O3475" s="179"/>
      <c r="P3475" s="180"/>
      <c r="Q3475" s="173"/>
      <c r="R3475" s="173"/>
      <c r="S3475" s="174"/>
      <c r="T3475" s="173"/>
      <c r="U3475" s="182"/>
      <c r="V3475" s="177">
        <f>IF(U3475=0,0,IF(T3475="MXN",1/HLOOKUP(YEAR(S3475)+(MONTH(S3475)/100),TC!$5:$37,DAY(S3475)+2,FALSE),VLOOKUP(T3475,Equivalencia!$1:$23,((MAX(Equivalencia!$3:$3)-YEAR(S3475))*14)+MONTH(S3475)+2,FALSE)))</f>
        <v>0</v>
      </c>
      <c r="W3475" s="178">
        <f t="shared" si="278"/>
        <v>0</v>
      </c>
      <c r="X3475" s="481">
        <f t="shared" si="279"/>
        <v>0</v>
      </c>
      <c r="Y3475" s="179"/>
      <c r="Z3475" s="466">
        <f t="shared" si="280"/>
        <v>0</v>
      </c>
      <c r="AA3475" s="473">
        <f t="shared" si="281"/>
        <v>0</v>
      </c>
      <c r="AB3475" s="339">
        <f t="shared" si="282"/>
        <v>0</v>
      </c>
    </row>
    <row r="3476" spans="2:28" ht="20.100000000000001" customHeight="1">
      <c r="B3476" s="172"/>
      <c r="C3476" s="174"/>
      <c r="D3476" s="181"/>
      <c r="E3476" s="173"/>
      <c r="F3476" s="176"/>
      <c r="G3476" s="175">
        <f t="shared" si="273"/>
        <v>0</v>
      </c>
      <c r="H3476" s="175">
        <f t="shared" si="274"/>
        <v>0</v>
      </c>
      <c r="I3476" s="177">
        <f>IF(G3476=0,0,IF(E3476="MXN",1/HLOOKUP(YEAR(C3476)+(MONTH(C3476)/100),TC!$5:$37,DAY(C3476)+2,FALSE),VLOOKUP(E3476,Equivalencia!$5:$23,((MAX(Equivalencia!$3:$3)-YEAR(C3476))*14)+MONTH(C3476)+2,FALSE)))</f>
        <v>0</v>
      </c>
      <c r="J3476" s="178">
        <f t="shared" si="275"/>
        <v>0</v>
      </c>
      <c r="K3476" s="462">
        <f>IF(C3476=0,0,VLOOKUP(YEAR(C3476),INPC!$B$4:$O$29,MONTH(C3476)+1))</f>
        <v>0</v>
      </c>
      <c r="L3476" s="462">
        <f>IF(S3476=0,0,VLOOKUP(YEAR(S3476),INPC!$B$4:$O$29,MONTH(S3476)+1))</f>
        <v>0</v>
      </c>
      <c r="M3476" s="463">
        <f t="shared" si="276"/>
        <v>0</v>
      </c>
      <c r="N3476" s="465">
        <f t="shared" si="277"/>
        <v>0</v>
      </c>
      <c r="O3476" s="179"/>
      <c r="P3476" s="180"/>
      <c r="Q3476" s="173"/>
      <c r="R3476" s="173"/>
      <c r="S3476" s="174"/>
      <c r="T3476" s="173"/>
      <c r="U3476" s="182"/>
      <c r="V3476" s="177">
        <f>IF(U3476=0,0,IF(T3476="MXN",1/HLOOKUP(YEAR(S3476)+(MONTH(S3476)/100),TC!$5:$37,DAY(S3476)+2,FALSE),VLOOKUP(T3476,Equivalencia!$1:$23,((MAX(Equivalencia!$3:$3)-YEAR(S3476))*14)+MONTH(S3476)+2,FALSE)))</f>
        <v>0</v>
      </c>
      <c r="W3476" s="178">
        <f t="shared" si="278"/>
        <v>0</v>
      </c>
      <c r="X3476" s="481">
        <f t="shared" si="279"/>
        <v>0</v>
      </c>
      <c r="Y3476" s="179"/>
      <c r="Z3476" s="466">
        <f t="shared" si="280"/>
        <v>0</v>
      </c>
      <c r="AA3476" s="473">
        <f t="shared" si="281"/>
        <v>0</v>
      </c>
      <c r="AB3476" s="339">
        <f t="shared" si="282"/>
        <v>0</v>
      </c>
    </row>
    <row r="3477" spans="2:28" ht="20.100000000000001" customHeight="1">
      <c r="B3477" s="172"/>
      <c r="C3477" s="174"/>
      <c r="D3477" s="181"/>
      <c r="E3477" s="173"/>
      <c r="F3477" s="176"/>
      <c r="G3477" s="175">
        <f t="shared" si="273"/>
        <v>0</v>
      </c>
      <c r="H3477" s="175">
        <f t="shared" si="274"/>
        <v>0</v>
      </c>
      <c r="I3477" s="177">
        <f>IF(G3477=0,0,IF(E3477="MXN",1/HLOOKUP(YEAR(C3477)+(MONTH(C3477)/100),TC!$5:$37,DAY(C3477)+2,FALSE),VLOOKUP(E3477,Equivalencia!$5:$23,((MAX(Equivalencia!$3:$3)-YEAR(C3477))*14)+MONTH(C3477)+2,FALSE)))</f>
        <v>0</v>
      </c>
      <c r="J3477" s="178">
        <f t="shared" si="275"/>
        <v>0</v>
      </c>
      <c r="K3477" s="462">
        <f>IF(C3477=0,0,VLOOKUP(YEAR(C3477),INPC!$B$4:$O$29,MONTH(C3477)+1))</f>
        <v>0</v>
      </c>
      <c r="L3477" s="462">
        <f>IF(S3477=0,0,VLOOKUP(YEAR(S3477),INPC!$B$4:$O$29,MONTH(S3477)+1))</f>
        <v>0</v>
      </c>
      <c r="M3477" s="463">
        <f t="shared" si="276"/>
        <v>0</v>
      </c>
      <c r="N3477" s="465">
        <f t="shared" si="277"/>
        <v>0</v>
      </c>
      <c r="O3477" s="179"/>
      <c r="P3477" s="180"/>
      <c r="Q3477" s="173"/>
      <c r="R3477" s="173"/>
      <c r="S3477" s="174"/>
      <c r="T3477" s="173"/>
      <c r="U3477" s="182"/>
      <c r="V3477" s="177">
        <f>IF(U3477=0,0,IF(T3477="MXN",1/HLOOKUP(YEAR(S3477)+(MONTH(S3477)/100),TC!$5:$37,DAY(S3477)+2,FALSE),VLOOKUP(T3477,Equivalencia!$1:$23,((MAX(Equivalencia!$3:$3)-YEAR(S3477))*14)+MONTH(S3477)+2,FALSE)))</f>
        <v>0</v>
      </c>
      <c r="W3477" s="178">
        <f t="shared" si="278"/>
        <v>0</v>
      </c>
      <c r="X3477" s="481">
        <f t="shared" si="279"/>
        <v>0</v>
      </c>
      <c r="Y3477" s="179"/>
      <c r="Z3477" s="466">
        <f t="shared" si="280"/>
        <v>0</v>
      </c>
      <c r="AA3477" s="473">
        <f t="shared" si="281"/>
        <v>0</v>
      </c>
      <c r="AB3477" s="339">
        <f t="shared" si="282"/>
        <v>0</v>
      </c>
    </row>
    <row r="3478" spans="2:28" ht="20.100000000000001" customHeight="1">
      <c r="B3478" s="172"/>
      <c r="C3478" s="174"/>
      <c r="D3478" s="181"/>
      <c r="E3478" s="173"/>
      <c r="F3478" s="176"/>
      <c r="G3478" s="175">
        <f t="shared" si="273"/>
        <v>0</v>
      </c>
      <c r="H3478" s="175">
        <f t="shared" si="274"/>
        <v>0</v>
      </c>
      <c r="I3478" s="177">
        <f>IF(G3478=0,0,IF(E3478="MXN",1/HLOOKUP(YEAR(C3478)+(MONTH(C3478)/100),TC!$5:$37,DAY(C3478)+2,FALSE),VLOOKUP(E3478,Equivalencia!$5:$23,((MAX(Equivalencia!$3:$3)-YEAR(C3478))*14)+MONTH(C3478)+2,FALSE)))</f>
        <v>0</v>
      </c>
      <c r="J3478" s="178">
        <f t="shared" si="275"/>
        <v>0</v>
      </c>
      <c r="K3478" s="462">
        <f>IF(C3478=0,0,VLOOKUP(YEAR(C3478),INPC!$B$4:$O$29,MONTH(C3478)+1))</f>
        <v>0</v>
      </c>
      <c r="L3478" s="462">
        <f>IF(S3478=0,0,VLOOKUP(YEAR(S3478),INPC!$B$4:$O$29,MONTH(S3478)+1))</f>
        <v>0</v>
      </c>
      <c r="M3478" s="463">
        <f t="shared" si="276"/>
        <v>0</v>
      </c>
      <c r="N3478" s="465">
        <f t="shared" si="277"/>
        <v>0</v>
      </c>
      <c r="O3478" s="179"/>
      <c r="P3478" s="180"/>
      <c r="Q3478" s="173"/>
      <c r="R3478" s="173"/>
      <c r="S3478" s="174"/>
      <c r="T3478" s="173"/>
      <c r="U3478" s="182"/>
      <c r="V3478" s="177">
        <f>IF(U3478=0,0,IF(T3478="MXN",1/HLOOKUP(YEAR(S3478)+(MONTH(S3478)/100),TC!$5:$37,DAY(S3478)+2,FALSE),VLOOKUP(T3478,Equivalencia!$1:$23,((MAX(Equivalencia!$3:$3)-YEAR(S3478))*14)+MONTH(S3478)+2,FALSE)))</f>
        <v>0</v>
      </c>
      <c r="W3478" s="178">
        <f t="shared" si="278"/>
        <v>0</v>
      </c>
      <c r="X3478" s="481">
        <f t="shared" si="279"/>
        <v>0</v>
      </c>
      <c r="Y3478" s="179"/>
      <c r="Z3478" s="466">
        <f t="shared" si="280"/>
        <v>0</v>
      </c>
      <c r="AA3478" s="473">
        <f t="shared" si="281"/>
        <v>0</v>
      </c>
      <c r="AB3478" s="339">
        <f t="shared" si="282"/>
        <v>0</v>
      </c>
    </row>
    <row r="3479" spans="2:28" ht="20.100000000000001" customHeight="1">
      <c r="B3479" s="172"/>
      <c r="C3479" s="174"/>
      <c r="D3479" s="181"/>
      <c r="E3479" s="173"/>
      <c r="F3479" s="176"/>
      <c r="G3479" s="175">
        <f t="shared" si="273"/>
        <v>0</v>
      </c>
      <c r="H3479" s="175">
        <f t="shared" si="274"/>
        <v>0</v>
      </c>
      <c r="I3479" s="177">
        <f>IF(G3479=0,0,IF(E3479="MXN",1/HLOOKUP(YEAR(C3479)+(MONTH(C3479)/100),TC!$5:$37,DAY(C3479)+2,FALSE),VLOOKUP(E3479,Equivalencia!$5:$23,((MAX(Equivalencia!$3:$3)-YEAR(C3479))*14)+MONTH(C3479)+2,FALSE)))</f>
        <v>0</v>
      </c>
      <c r="J3479" s="178">
        <f t="shared" si="275"/>
        <v>0</v>
      </c>
      <c r="K3479" s="462">
        <f>IF(C3479=0,0,VLOOKUP(YEAR(C3479),INPC!$B$4:$O$29,MONTH(C3479)+1))</f>
        <v>0</v>
      </c>
      <c r="L3479" s="462">
        <f>IF(S3479=0,0,VLOOKUP(YEAR(S3479),INPC!$B$4:$O$29,MONTH(S3479)+1))</f>
        <v>0</v>
      </c>
      <c r="M3479" s="463">
        <f t="shared" si="276"/>
        <v>0</v>
      </c>
      <c r="N3479" s="465">
        <f t="shared" si="277"/>
        <v>0</v>
      </c>
      <c r="O3479" s="179"/>
      <c r="P3479" s="180"/>
      <c r="Q3479" s="173"/>
      <c r="R3479" s="173"/>
      <c r="S3479" s="174"/>
      <c r="T3479" s="173"/>
      <c r="U3479" s="182"/>
      <c r="V3479" s="177">
        <f>IF(U3479=0,0,IF(T3479="MXN",1/HLOOKUP(YEAR(S3479)+(MONTH(S3479)/100),TC!$5:$37,DAY(S3479)+2,FALSE),VLOOKUP(T3479,Equivalencia!$1:$23,((MAX(Equivalencia!$3:$3)-YEAR(S3479))*14)+MONTH(S3479)+2,FALSE)))</f>
        <v>0</v>
      </c>
      <c r="W3479" s="178">
        <f t="shared" si="278"/>
        <v>0</v>
      </c>
      <c r="X3479" s="481">
        <f t="shared" si="279"/>
        <v>0</v>
      </c>
      <c r="Y3479" s="179"/>
      <c r="Z3479" s="466">
        <f t="shared" si="280"/>
        <v>0</v>
      </c>
      <c r="AA3479" s="473">
        <f t="shared" si="281"/>
        <v>0</v>
      </c>
      <c r="AB3479" s="339">
        <f t="shared" si="282"/>
        <v>0</v>
      </c>
    </row>
    <row r="3480" spans="2:28" ht="20.100000000000001" customHeight="1">
      <c r="B3480" s="172"/>
      <c r="C3480" s="174"/>
      <c r="D3480" s="181"/>
      <c r="E3480" s="173"/>
      <c r="F3480" s="176"/>
      <c r="G3480" s="175">
        <f t="shared" si="273"/>
        <v>0</v>
      </c>
      <c r="H3480" s="175">
        <f t="shared" si="274"/>
        <v>0</v>
      </c>
      <c r="I3480" s="177">
        <f>IF(G3480=0,0,IF(E3480="MXN",1/HLOOKUP(YEAR(C3480)+(MONTH(C3480)/100),TC!$5:$37,DAY(C3480)+2,FALSE),VLOOKUP(E3480,Equivalencia!$5:$23,((MAX(Equivalencia!$3:$3)-YEAR(C3480))*14)+MONTH(C3480)+2,FALSE)))</f>
        <v>0</v>
      </c>
      <c r="J3480" s="178">
        <f t="shared" si="275"/>
        <v>0</v>
      </c>
      <c r="K3480" s="462">
        <f>IF(C3480=0,0,VLOOKUP(YEAR(C3480),INPC!$B$4:$O$29,MONTH(C3480)+1))</f>
        <v>0</v>
      </c>
      <c r="L3480" s="462">
        <f>IF(S3480=0,0,VLOOKUP(YEAR(S3480),INPC!$B$4:$O$29,MONTH(S3480)+1))</f>
        <v>0</v>
      </c>
      <c r="M3480" s="463">
        <f t="shared" si="276"/>
        <v>0</v>
      </c>
      <c r="N3480" s="465">
        <f t="shared" si="277"/>
        <v>0</v>
      </c>
      <c r="O3480" s="179"/>
      <c r="P3480" s="180"/>
      <c r="Q3480" s="173"/>
      <c r="R3480" s="173"/>
      <c r="S3480" s="174"/>
      <c r="T3480" s="173"/>
      <c r="U3480" s="182"/>
      <c r="V3480" s="177">
        <f>IF(U3480=0,0,IF(T3480="MXN",1/HLOOKUP(YEAR(S3480)+(MONTH(S3480)/100),TC!$5:$37,DAY(S3480)+2,FALSE),VLOOKUP(T3480,Equivalencia!$1:$23,((MAX(Equivalencia!$3:$3)-YEAR(S3480))*14)+MONTH(S3480)+2,FALSE)))</f>
        <v>0</v>
      </c>
      <c r="W3480" s="178">
        <f t="shared" si="278"/>
        <v>0</v>
      </c>
      <c r="X3480" s="481">
        <f t="shared" si="279"/>
        <v>0</v>
      </c>
      <c r="Y3480" s="179"/>
      <c r="Z3480" s="466">
        <f t="shared" si="280"/>
        <v>0</v>
      </c>
      <c r="AA3480" s="473">
        <f t="shared" si="281"/>
        <v>0</v>
      </c>
      <c r="AB3480" s="339">
        <f t="shared" si="282"/>
        <v>0</v>
      </c>
    </row>
    <row r="3481" spans="2:28" ht="20.100000000000001" customHeight="1">
      <c r="B3481" s="172"/>
      <c r="C3481" s="174"/>
      <c r="D3481" s="181"/>
      <c r="E3481" s="173"/>
      <c r="F3481" s="176"/>
      <c r="G3481" s="175">
        <f t="shared" si="273"/>
        <v>0</v>
      </c>
      <c r="H3481" s="175">
        <f t="shared" si="274"/>
        <v>0</v>
      </c>
      <c r="I3481" s="177">
        <f>IF(G3481=0,0,IF(E3481="MXN",1/HLOOKUP(YEAR(C3481)+(MONTH(C3481)/100),TC!$5:$37,DAY(C3481)+2,FALSE),VLOOKUP(E3481,Equivalencia!$5:$23,((MAX(Equivalencia!$3:$3)-YEAR(C3481))*14)+MONTH(C3481)+2,FALSE)))</f>
        <v>0</v>
      </c>
      <c r="J3481" s="178">
        <f t="shared" si="275"/>
        <v>0</v>
      </c>
      <c r="K3481" s="462">
        <f>IF(C3481=0,0,VLOOKUP(YEAR(C3481),INPC!$B$4:$O$29,MONTH(C3481)+1))</f>
        <v>0</v>
      </c>
      <c r="L3481" s="462">
        <f>IF(S3481=0,0,VLOOKUP(YEAR(S3481),INPC!$B$4:$O$29,MONTH(S3481)+1))</f>
        <v>0</v>
      </c>
      <c r="M3481" s="463">
        <f t="shared" si="276"/>
        <v>0</v>
      </c>
      <c r="N3481" s="465">
        <f t="shared" si="277"/>
        <v>0</v>
      </c>
      <c r="O3481" s="179"/>
      <c r="P3481" s="180"/>
      <c r="Q3481" s="173"/>
      <c r="R3481" s="173"/>
      <c r="S3481" s="174"/>
      <c r="T3481" s="173"/>
      <c r="U3481" s="182"/>
      <c r="V3481" s="177">
        <f>IF(U3481=0,0,IF(T3481="MXN",1/HLOOKUP(YEAR(S3481)+(MONTH(S3481)/100),TC!$5:$37,DAY(S3481)+2,FALSE),VLOOKUP(T3481,Equivalencia!$1:$23,((MAX(Equivalencia!$3:$3)-YEAR(S3481))*14)+MONTH(S3481)+2,FALSE)))</f>
        <v>0</v>
      </c>
      <c r="W3481" s="178">
        <f t="shared" si="278"/>
        <v>0</v>
      </c>
      <c r="X3481" s="481">
        <f t="shared" si="279"/>
        <v>0</v>
      </c>
      <c r="Y3481" s="179"/>
      <c r="Z3481" s="466">
        <f t="shared" si="280"/>
        <v>0</v>
      </c>
      <c r="AA3481" s="473">
        <f t="shared" si="281"/>
        <v>0</v>
      </c>
      <c r="AB3481" s="339">
        <f t="shared" si="282"/>
        <v>0</v>
      </c>
    </row>
    <row r="3482" spans="2:28" ht="20.100000000000001" customHeight="1">
      <c r="B3482" s="172"/>
      <c r="C3482" s="174"/>
      <c r="D3482" s="181"/>
      <c r="E3482" s="173"/>
      <c r="F3482" s="176"/>
      <c r="G3482" s="175">
        <f t="shared" si="273"/>
        <v>0</v>
      </c>
      <c r="H3482" s="175">
        <f t="shared" si="274"/>
        <v>0</v>
      </c>
      <c r="I3482" s="177">
        <f>IF(G3482=0,0,IF(E3482="MXN",1/HLOOKUP(YEAR(C3482)+(MONTH(C3482)/100),TC!$5:$37,DAY(C3482)+2,FALSE),VLOOKUP(E3482,Equivalencia!$5:$23,((MAX(Equivalencia!$3:$3)-YEAR(C3482))*14)+MONTH(C3482)+2,FALSE)))</f>
        <v>0</v>
      </c>
      <c r="J3482" s="178">
        <f t="shared" si="275"/>
        <v>0</v>
      </c>
      <c r="K3482" s="462">
        <f>IF(C3482=0,0,VLOOKUP(YEAR(C3482),INPC!$B$4:$O$29,MONTH(C3482)+1))</f>
        <v>0</v>
      </c>
      <c r="L3482" s="462">
        <f>IF(S3482=0,0,VLOOKUP(YEAR(S3482),INPC!$B$4:$O$29,MONTH(S3482)+1))</f>
        <v>0</v>
      </c>
      <c r="M3482" s="463">
        <f t="shared" si="276"/>
        <v>0</v>
      </c>
      <c r="N3482" s="465">
        <f t="shared" si="277"/>
        <v>0</v>
      </c>
      <c r="O3482" s="179"/>
      <c r="P3482" s="180"/>
      <c r="Q3482" s="173"/>
      <c r="R3482" s="173"/>
      <c r="S3482" s="174"/>
      <c r="T3482" s="173"/>
      <c r="U3482" s="182"/>
      <c r="V3482" s="177">
        <f>IF(U3482=0,0,IF(T3482="MXN",1/HLOOKUP(YEAR(S3482)+(MONTH(S3482)/100),TC!$5:$37,DAY(S3482)+2,FALSE),VLOOKUP(T3482,Equivalencia!$1:$23,((MAX(Equivalencia!$3:$3)-YEAR(S3482))*14)+MONTH(S3482)+2,FALSE)))</f>
        <v>0</v>
      </c>
      <c r="W3482" s="178">
        <f t="shared" si="278"/>
        <v>0</v>
      </c>
      <c r="X3482" s="481">
        <f t="shared" si="279"/>
        <v>0</v>
      </c>
      <c r="Y3482" s="179"/>
      <c r="Z3482" s="466">
        <f t="shared" si="280"/>
        <v>0</v>
      </c>
      <c r="AA3482" s="473">
        <f t="shared" si="281"/>
        <v>0</v>
      </c>
      <c r="AB3482" s="339">
        <f t="shared" si="282"/>
        <v>0</v>
      </c>
    </row>
    <row r="3483" spans="2:28" ht="20.100000000000001" customHeight="1">
      <c r="B3483" s="172"/>
      <c r="C3483" s="174"/>
      <c r="D3483" s="181"/>
      <c r="E3483" s="173"/>
      <c r="F3483" s="176"/>
      <c r="G3483" s="175">
        <f t="shared" si="273"/>
        <v>0</v>
      </c>
      <c r="H3483" s="175">
        <f t="shared" si="274"/>
        <v>0</v>
      </c>
      <c r="I3483" s="177">
        <f>IF(G3483=0,0,IF(E3483="MXN",1/HLOOKUP(YEAR(C3483)+(MONTH(C3483)/100),TC!$5:$37,DAY(C3483)+2,FALSE),VLOOKUP(E3483,Equivalencia!$5:$23,((MAX(Equivalencia!$3:$3)-YEAR(C3483))*14)+MONTH(C3483)+2,FALSE)))</f>
        <v>0</v>
      </c>
      <c r="J3483" s="178">
        <f t="shared" si="275"/>
        <v>0</v>
      </c>
      <c r="K3483" s="462">
        <f>IF(C3483=0,0,VLOOKUP(YEAR(C3483),INPC!$B$4:$O$29,MONTH(C3483)+1))</f>
        <v>0</v>
      </c>
      <c r="L3483" s="462">
        <f>IF(S3483=0,0,VLOOKUP(YEAR(S3483),INPC!$B$4:$O$29,MONTH(S3483)+1))</f>
        <v>0</v>
      </c>
      <c r="M3483" s="463">
        <f t="shared" si="276"/>
        <v>0</v>
      </c>
      <c r="N3483" s="465">
        <f t="shared" si="277"/>
        <v>0</v>
      </c>
      <c r="O3483" s="179"/>
      <c r="P3483" s="180"/>
      <c r="Q3483" s="173"/>
      <c r="R3483" s="173"/>
      <c r="S3483" s="174"/>
      <c r="T3483" s="173"/>
      <c r="U3483" s="182"/>
      <c r="V3483" s="177">
        <f>IF(U3483=0,0,IF(T3483="MXN",1/HLOOKUP(YEAR(S3483)+(MONTH(S3483)/100),TC!$5:$37,DAY(S3483)+2,FALSE),VLOOKUP(T3483,Equivalencia!$1:$23,((MAX(Equivalencia!$3:$3)-YEAR(S3483))*14)+MONTH(S3483)+2,FALSE)))</f>
        <v>0</v>
      </c>
      <c r="W3483" s="178">
        <f t="shared" si="278"/>
        <v>0</v>
      </c>
      <c r="X3483" s="481">
        <f t="shared" si="279"/>
        <v>0</v>
      </c>
      <c r="Y3483" s="179"/>
      <c r="Z3483" s="466">
        <f t="shared" si="280"/>
        <v>0</v>
      </c>
      <c r="AA3483" s="473">
        <f t="shared" si="281"/>
        <v>0</v>
      </c>
      <c r="AB3483" s="339">
        <f t="shared" si="282"/>
        <v>0</v>
      </c>
    </row>
    <row r="3484" spans="2:28" ht="20.100000000000001" customHeight="1">
      <c r="B3484" s="172"/>
      <c r="C3484" s="174"/>
      <c r="D3484" s="181"/>
      <c r="E3484" s="173"/>
      <c r="F3484" s="176"/>
      <c r="G3484" s="175">
        <f t="shared" si="273"/>
        <v>0</v>
      </c>
      <c r="H3484" s="175">
        <f t="shared" si="274"/>
        <v>0</v>
      </c>
      <c r="I3484" s="177">
        <f>IF(G3484=0,0,IF(E3484="MXN",1/HLOOKUP(YEAR(C3484)+(MONTH(C3484)/100),TC!$5:$37,DAY(C3484)+2,FALSE),VLOOKUP(E3484,Equivalencia!$5:$23,((MAX(Equivalencia!$3:$3)-YEAR(C3484))*14)+MONTH(C3484)+2,FALSE)))</f>
        <v>0</v>
      </c>
      <c r="J3484" s="178">
        <f t="shared" si="275"/>
        <v>0</v>
      </c>
      <c r="K3484" s="462">
        <f>IF(C3484=0,0,VLOOKUP(YEAR(C3484),INPC!$B$4:$O$29,MONTH(C3484)+1))</f>
        <v>0</v>
      </c>
      <c r="L3484" s="462">
        <f>IF(S3484=0,0,VLOOKUP(YEAR(S3484),INPC!$B$4:$O$29,MONTH(S3484)+1))</f>
        <v>0</v>
      </c>
      <c r="M3484" s="463">
        <f t="shared" si="276"/>
        <v>0</v>
      </c>
      <c r="N3484" s="465">
        <f t="shared" si="277"/>
        <v>0</v>
      </c>
      <c r="O3484" s="179"/>
      <c r="P3484" s="180"/>
      <c r="Q3484" s="173"/>
      <c r="R3484" s="173"/>
      <c r="S3484" s="174"/>
      <c r="T3484" s="173"/>
      <c r="U3484" s="182"/>
      <c r="V3484" s="177">
        <f>IF(U3484=0,0,IF(T3484="MXN",1/HLOOKUP(YEAR(S3484)+(MONTH(S3484)/100),TC!$5:$37,DAY(S3484)+2,FALSE),VLOOKUP(T3484,Equivalencia!$1:$23,((MAX(Equivalencia!$3:$3)-YEAR(S3484))*14)+MONTH(S3484)+2,FALSE)))</f>
        <v>0</v>
      </c>
      <c r="W3484" s="178">
        <f t="shared" si="278"/>
        <v>0</v>
      </c>
      <c r="X3484" s="481">
        <f t="shared" si="279"/>
        <v>0</v>
      </c>
      <c r="Y3484" s="179"/>
      <c r="Z3484" s="466">
        <f t="shared" si="280"/>
        <v>0</v>
      </c>
      <c r="AA3484" s="473">
        <f t="shared" si="281"/>
        <v>0</v>
      </c>
      <c r="AB3484" s="339">
        <f t="shared" si="282"/>
        <v>0</v>
      </c>
    </row>
    <row r="3485" spans="2:28" ht="20.100000000000001" customHeight="1">
      <c r="B3485" s="172"/>
      <c r="C3485" s="174"/>
      <c r="D3485" s="181"/>
      <c r="E3485" s="173"/>
      <c r="F3485" s="176"/>
      <c r="G3485" s="175">
        <f t="shared" si="273"/>
        <v>0</v>
      </c>
      <c r="H3485" s="175">
        <f t="shared" si="274"/>
        <v>0</v>
      </c>
      <c r="I3485" s="177">
        <f>IF(G3485=0,0,IF(E3485="MXN",1/HLOOKUP(YEAR(C3485)+(MONTH(C3485)/100),TC!$5:$37,DAY(C3485)+2,FALSE),VLOOKUP(E3485,Equivalencia!$5:$23,((MAX(Equivalencia!$3:$3)-YEAR(C3485))*14)+MONTH(C3485)+2,FALSE)))</f>
        <v>0</v>
      </c>
      <c r="J3485" s="178">
        <f t="shared" si="275"/>
        <v>0</v>
      </c>
      <c r="K3485" s="462">
        <f>IF(C3485=0,0,VLOOKUP(YEAR(C3485),INPC!$B$4:$O$29,MONTH(C3485)+1))</f>
        <v>0</v>
      </c>
      <c r="L3485" s="462">
        <f>IF(S3485=0,0,VLOOKUP(YEAR(S3485),INPC!$B$4:$O$29,MONTH(S3485)+1))</f>
        <v>0</v>
      </c>
      <c r="M3485" s="463">
        <f t="shared" si="276"/>
        <v>0</v>
      </c>
      <c r="N3485" s="465">
        <f t="shared" si="277"/>
        <v>0</v>
      </c>
      <c r="O3485" s="179"/>
      <c r="P3485" s="180"/>
      <c r="Q3485" s="173"/>
      <c r="R3485" s="173"/>
      <c r="S3485" s="174"/>
      <c r="T3485" s="173"/>
      <c r="U3485" s="182"/>
      <c r="V3485" s="177">
        <f>IF(U3485=0,0,IF(T3485="MXN",1/HLOOKUP(YEAR(S3485)+(MONTH(S3485)/100),TC!$5:$37,DAY(S3485)+2,FALSE),VLOOKUP(T3485,Equivalencia!$1:$23,((MAX(Equivalencia!$3:$3)-YEAR(S3485))*14)+MONTH(S3485)+2,FALSE)))</f>
        <v>0</v>
      </c>
      <c r="W3485" s="178">
        <f t="shared" si="278"/>
        <v>0</v>
      </c>
      <c r="X3485" s="481">
        <f t="shared" si="279"/>
        <v>0</v>
      </c>
      <c r="Y3485" s="179"/>
      <c r="Z3485" s="466">
        <f t="shared" si="280"/>
        <v>0</v>
      </c>
      <c r="AA3485" s="473">
        <f t="shared" si="281"/>
        <v>0</v>
      </c>
      <c r="AB3485" s="339">
        <f t="shared" si="282"/>
        <v>0</v>
      </c>
    </row>
    <row r="3486" spans="2:28" ht="20.100000000000001" customHeight="1">
      <c r="B3486" s="172"/>
      <c r="C3486" s="174"/>
      <c r="D3486" s="181"/>
      <c r="E3486" s="173"/>
      <c r="F3486" s="176"/>
      <c r="G3486" s="175">
        <f t="shared" si="273"/>
        <v>0</v>
      </c>
      <c r="H3486" s="175">
        <f t="shared" si="274"/>
        <v>0</v>
      </c>
      <c r="I3486" s="177">
        <f>IF(G3486=0,0,IF(E3486="MXN",1/HLOOKUP(YEAR(C3486)+(MONTH(C3486)/100),TC!$5:$37,DAY(C3486)+2,FALSE),VLOOKUP(E3486,Equivalencia!$5:$23,((MAX(Equivalencia!$3:$3)-YEAR(C3486))*14)+MONTH(C3486)+2,FALSE)))</f>
        <v>0</v>
      </c>
      <c r="J3486" s="178">
        <f t="shared" si="275"/>
        <v>0</v>
      </c>
      <c r="K3486" s="462">
        <f>IF(C3486=0,0,VLOOKUP(YEAR(C3486),INPC!$B$4:$O$29,MONTH(C3486)+1))</f>
        <v>0</v>
      </c>
      <c r="L3486" s="462">
        <f>IF(S3486=0,0,VLOOKUP(YEAR(S3486),INPC!$B$4:$O$29,MONTH(S3486)+1))</f>
        <v>0</v>
      </c>
      <c r="M3486" s="463">
        <f t="shared" si="276"/>
        <v>0</v>
      </c>
      <c r="N3486" s="465">
        <f t="shared" si="277"/>
        <v>0</v>
      </c>
      <c r="O3486" s="179"/>
      <c r="P3486" s="180"/>
      <c r="Q3486" s="173"/>
      <c r="R3486" s="173"/>
      <c r="S3486" s="174"/>
      <c r="T3486" s="173"/>
      <c r="U3486" s="182"/>
      <c r="V3486" s="177">
        <f>IF(U3486=0,0,IF(T3486="MXN",1/HLOOKUP(YEAR(S3486)+(MONTH(S3486)/100),TC!$5:$37,DAY(S3486)+2,FALSE),VLOOKUP(T3486,Equivalencia!$1:$23,((MAX(Equivalencia!$3:$3)-YEAR(S3486))*14)+MONTH(S3486)+2,FALSE)))</f>
        <v>0</v>
      </c>
      <c r="W3486" s="178">
        <f t="shared" si="278"/>
        <v>0</v>
      </c>
      <c r="X3486" s="481">
        <f t="shared" si="279"/>
        <v>0</v>
      </c>
      <c r="Y3486" s="179"/>
      <c r="Z3486" s="466">
        <f t="shared" si="280"/>
        <v>0</v>
      </c>
      <c r="AA3486" s="473">
        <f t="shared" si="281"/>
        <v>0</v>
      </c>
      <c r="AB3486" s="339">
        <f t="shared" si="282"/>
        <v>0</v>
      </c>
    </row>
    <row r="3487" spans="2:28" ht="20.100000000000001" customHeight="1">
      <c r="B3487" s="172"/>
      <c r="C3487" s="174"/>
      <c r="D3487" s="181"/>
      <c r="E3487" s="173"/>
      <c r="F3487" s="176"/>
      <c r="G3487" s="175">
        <f t="shared" si="273"/>
        <v>0</v>
      </c>
      <c r="H3487" s="175">
        <f t="shared" si="274"/>
        <v>0</v>
      </c>
      <c r="I3487" s="177">
        <f>IF(G3487=0,0,IF(E3487="MXN",1/HLOOKUP(YEAR(C3487)+(MONTH(C3487)/100),TC!$5:$37,DAY(C3487)+2,FALSE),VLOOKUP(E3487,Equivalencia!$5:$23,((MAX(Equivalencia!$3:$3)-YEAR(C3487))*14)+MONTH(C3487)+2,FALSE)))</f>
        <v>0</v>
      </c>
      <c r="J3487" s="178">
        <f t="shared" si="275"/>
        <v>0</v>
      </c>
      <c r="K3487" s="462">
        <f>IF(C3487=0,0,VLOOKUP(YEAR(C3487),INPC!$B$4:$O$29,MONTH(C3487)+1))</f>
        <v>0</v>
      </c>
      <c r="L3487" s="462">
        <f>IF(S3487=0,0,VLOOKUP(YEAR(S3487),INPC!$B$4:$O$29,MONTH(S3487)+1))</f>
        <v>0</v>
      </c>
      <c r="M3487" s="463">
        <f t="shared" si="276"/>
        <v>0</v>
      </c>
      <c r="N3487" s="465">
        <f t="shared" si="277"/>
        <v>0</v>
      </c>
      <c r="O3487" s="179"/>
      <c r="P3487" s="180"/>
      <c r="Q3487" s="173"/>
      <c r="R3487" s="173"/>
      <c r="S3487" s="174"/>
      <c r="T3487" s="173"/>
      <c r="U3487" s="182"/>
      <c r="V3487" s="177">
        <f>IF(U3487=0,0,IF(T3487="MXN",1/HLOOKUP(YEAR(S3487)+(MONTH(S3487)/100),TC!$5:$37,DAY(S3487)+2,FALSE),VLOOKUP(T3487,Equivalencia!$1:$23,((MAX(Equivalencia!$3:$3)-YEAR(S3487))*14)+MONTH(S3487)+2,FALSE)))</f>
        <v>0</v>
      </c>
      <c r="W3487" s="178">
        <f t="shared" si="278"/>
        <v>0</v>
      </c>
      <c r="X3487" s="481">
        <f t="shared" si="279"/>
        <v>0</v>
      </c>
      <c r="Y3487" s="179"/>
      <c r="Z3487" s="466">
        <f t="shared" si="280"/>
        <v>0</v>
      </c>
      <c r="AA3487" s="473">
        <f t="shared" si="281"/>
        <v>0</v>
      </c>
      <c r="AB3487" s="339">
        <f t="shared" si="282"/>
        <v>0</v>
      </c>
    </row>
    <row r="3488" spans="2:28" ht="20.100000000000001" customHeight="1">
      <c r="B3488" s="172"/>
      <c r="C3488" s="174"/>
      <c r="D3488" s="181"/>
      <c r="E3488" s="173"/>
      <c r="F3488" s="176"/>
      <c r="G3488" s="175">
        <f t="shared" si="273"/>
        <v>0</v>
      </c>
      <c r="H3488" s="175">
        <f t="shared" si="274"/>
        <v>0</v>
      </c>
      <c r="I3488" s="177">
        <f>IF(G3488=0,0,IF(E3488="MXN",1/HLOOKUP(YEAR(C3488)+(MONTH(C3488)/100),TC!$5:$37,DAY(C3488)+2,FALSE),VLOOKUP(E3488,Equivalencia!$5:$23,((MAX(Equivalencia!$3:$3)-YEAR(C3488))*14)+MONTH(C3488)+2,FALSE)))</f>
        <v>0</v>
      </c>
      <c r="J3488" s="178">
        <f t="shared" si="275"/>
        <v>0</v>
      </c>
      <c r="K3488" s="462">
        <f>IF(C3488=0,0,VLOOKUP(YEAR(C3488),INPC!$B$4:$O$29,MONTH(C3488)+1))</f>
        <v>0</v>
      </c>
      <c r="L3488" s="462">
        <f>IF(S3488=0,0,VLOOKUP(YEAR(S3488),INPC!$B$4:$O$29,MONTH(S3488)+1))</f>
        <v>0</v>
      </c>
      <c r="M3488" s="463">
        <f t="shared" si="276"/>
        <v>0</v>
      </c>
      <c r="N3488" s="465">
        <f t="shared" si="277"/>
        <v>0</v>
      </c>
      <c r="O3488" s="179"/>
      <c r="P3488" s="180"/>
      <c r="Q3488" s="173"/>
      <c r="R3488" s="173"/>
      <c r="S3488" s="174"/>
      <c r="T3488" s="173"/>
      <c r="U3488" s="182"/>
      <c r="V3488" s="177">
        <f>IF(U3488=0,0,IF(T3488="MXN",1/HLOOKUP(YEAR(S3488)+(MONTH(S3488)/100),TC!$5:$37,DAY(S3488)+2,FALSE),VLOOKUP(T3488,Equivalencia!$1:$23,((MAX(Equivalencia!$3:$3)-YEAR(S3488))*14)+MONTH(S3488)+2,FALSE)))</f>
        <v>0</v>
      </c>
      <c r="W3488" s="178">
        <f t="shared" si="278"/>
        <v>0</v>
      </c>
      <c r="X3488" s="481">
        <f t="shared" si="279"/>
        <v>0</v>
      </c>
      <c r="Y3488" s="179"/>
      <c r="Z3488" s="466">
        <f t="shared" si="280"/>
        <v>0</v>
      </c>
      <c r="AA3488" s="473">
        <f t="shared" si="281"/>
        <v>0</v>
      </c>
      <c r="AB3488" s="339">
        <f t="shared" si="282"/>
        <v>0</v>
      </c>
    </row>
    <row r="3489" spans="2:28" ht="20.100000000000001" customHeight="1">
      <c r="B3489" s="172"/>
      <c r="C3489" s="174"/>
      <c r="D3489" s="181"/>
      <c r="E3489" s="173"/>
      <c r="F3489" s="176"/>
      <c r="G3489" s="175">
        <f t="shared" si="273"/>
        <v>0</v>
      </c>
      <c r="H3489" s="175">
        <f t="shared" si="274"/>
        <v>0</v>
      </c>
      <c r="I3489" s="177">
        <f>IF(G3489=0,0,IF(E3489="MXN",1/HLOOKUP(YEAR(C3489)+(MONTH(C3489)/100),TC!$5:$37,DAY(C3489)+2,FALSE),VLOOKUP(E3489,Equivalencia!$5:$23,((MAX(Equivalencia!$3:$3)-YEAR(C3489))*14)+MONTH(C3489)+2,FALSE)))</f>
        <v>0</v>
      </c>
      <c r="J3489" s="178">
        <f t="shared" si="275"/>
        <v>0</v>
      </c>
      <c r="K3489" s="462">
        <f>IF(C3489=0,0,VLOOKUP(YEAR(C3489),INPC!$B$4:$O$29,MONTH(C3489)+1))</f>
        <v>0</v>
      </c>
      <c r="L3489" s="462">
        <f>IF(S3489=0,0,VLOOKUP(YEAR(S3489),INPC!$B$4:$O$29,MONTH(S3489)+1))</f>
        <v>0</v>
      </c>
      <c r="M3489" s="463">
        <f t="shared" si="276"/>
        <v>0</v>
      </c>
      <c r="N3489" s="465">
        <f t="shared" si="277"/>
        <v>0</v>
      </c>
      <c r="O3489" s="179"/>
      <c r="P3489" s="180"/>
      <c r="Q3489" s="173"/>
      <c r="R3489" s="173"/>
      <c r="S3489" s="174"/>
      <c r="T3489" s="173"/>
      <c r="U3489" s="182"/>
      <c r="V3489" s="177">
        <f>IF(U3489=0,0,IF(T3489="MXN",1/HLOOKUP(YEAR(S3489)+(MONTH(S3489)/100),TC!$5:$37,DAY(S3489)+2,FALSE),VLOOKUP(T3489,Equivalencia!$1:$23,((MAX(Equivalencia!$3:$3)-YEAR(S3489))*14)+MONTH(S3489)+2,FALSE)))</f>
        <v>0</v>
      </c>
      <c r="W3489" s="178">
        <f t="shared" si="278"/>
        <v>0</v>
      </c>
      <c r="X3489" s="481">
        <f t="shared" si="279"/>
        <v>0</v>
      </c>
      <c r="Y3489" s="179"/>
      <c r="Z3489" s="466">
        <f t="shared" si="280"/>
        <v>0</v>
      </c>
      <c r="AA3489" s="473">
        <f t="shared" si="281"/>
        <v>0</v>
      </c>
      <c r="AB3489" s="339">
        <f t="shared" si="282"/>
        <v>0</v>
      </c>
    </row>
    <row r="3490" spans="2:28" ht="20.100000000000001" customHeight="1">
      <c r="B3490" s="172"/>
      <c r="C3490" s="174"/>
      <c r="D3490" s="181"/>
      <c r="E3490" s="173"/>
      <c r="F3490" s="176"/>
      <c r="G3490" s="175">
        <f t="shared" si="273"/>
        <v>0</v>
      </c>
      <c r="H3490" s="175">
        <f t="shared" si="274"/>
        <v>0</v>
      </c>
      <c r="I3490" s="177">
        <f>IF(G3490=0,0,IF(E3490="MXN",1/HLOOKUP(YEAR(C3490)+(MONTH(C3490)/100),TC!$5:$37,DAY(C3490)+2,FALSE),VLOOKUP(E3490,Equivalencia!$5:$23,((MAX(Equivalencia!$3:$3)-YEAR(C3490))*14)+MONTH(C3490)+2,FALSE)))</f>
        <v>0</v>
      </c>
      <c r="J3490" s="178">
        <f t="shared" si="275"/>
        <v>0</v>
      </c>
      <c r="K3490" s="462">
        <f>IF(C3490=0,0,VLOOKUP(YEAR(C3490),INPC!$B$4:$O$29,MONTH(C3490)+1))</f>
        <v>0</v>
      </c>
      <c r="L3490" s="462">
        <f>IF(S3490=0,0,VLOOKUP(YEAR(S3490),INPC!$B$4:$O$29,MONTH(S3490)+1))</f>
        <v>0</v>
      </c>
      <c r="M3490" s="463">
        <f t="shared" si="276"/>
        <v>0</v>
      </c>
      <c r="N3490" s="465">
        <f t="shared" si="277"/>
        <v>0</v>
      </c>
      <c r="O3490" s="179"/>
      <c r="P3490" s="180"/>
      <c r="Q3490" s="173"/>
      <c r="R3490" s="173"/>
      <c r="S3490" s="174"/>
      <c r="T3490" s="173"/>
      <c r="U3490" s="182"/>
      <c r="V3490" s="177">
        <f>IF(U3490=0,0,IF(T3490="MXN",1/HLOOKUP(YEAR(S3490)+(MONTH(S3490)/100),TC!$5:$37,DAY(S3490)+2,FALSE),VLOOKUP(T3490,Equivalencia!$1:$23,((MAX(Equivalencia!$3:$3)-YEAR(S3490))*14)+MONTH(S3490)+2,FALSE)))</f>
        <v>0</v>
      </c>
      <c r="W3490" s="178">
        <f t="shared" si="278"/>
        <v>0</v>
      </c>
      <c r="X3490" s="481">
        <f t="shared" si="279"/>
        <v>0</v>
      </c>
      <c r="Y3490" s="179"/>
      <c r="Z3490" s="466">
        <f t="shared" si="280"/>
        <v>0</v>
      </c>
      <c r="AA3490" s="473">
        <f t="shared" si="281"/>
        <v>0</v>
      </c>
      <c r="AB3490" s="339">
        <f t="shared" si="282"/>
        <v>0</v>
      </c>
    </row>
    <row r="3491" spans="2:28" ht="20.100000000000001" customHeight="1">
      <c r="B3491" s="172"/>
      <c r="C3491" s="174"/>
      <c r="D3491" s="181"/>
      <c r="E3491" s="173"/>
      <c r="F3491" s="176"/>
      <c r="G3491" s="175">
        <f t="shared" si="273"/>
        <v>0</v>
      </c>
      <c r="H3491" s="175">
        <f t="shared" si="274"/>
        <v>0</v>
      </c>
      <c r="I3491" s="177">
        <f>IF(G3491=0,0,IF(E3491="MXN",1/HLOOKUP(YEAR(C3491)+(MONTH(C3491)/100),TC!$5:$37,DAY(C3491)+2,FALSE),VLOOKUP(E3491,Equivalencia!$5:$23,((MAX(Equivalencia!$3:$3)-YEAR(C3491))*14)+MONTH(C3491)+2,FALSE)))</f>
        <v>0</v>
      </c>
      <c r="J3491" s="178">
        <f t="shared" si="275"/>
        <v>0</v>
      </c>
      <c r="K3491" s="462">
        <f>IF(C3491=0,0,VLOOKUP(YEAR(C3491),INPC!$B$4:$O$29,MONTH(C3491)+1))</f>
        <v>0</v>
      </c>
      <c r="L3491" s="462">
        <f>IF(S3491=0,0,VLOOKUP(YEAR(S3491),INPC!$B$4:$O$29,MONTH(S3491)+1))</f>
        <v>0</v>
      </c>
      <c r="M3491" s="463">
        <f t="shared" si="276"/>
        <v>0</v>
      </c>
      <c r="N3491" s="465">
        <f t="shared" si="277"/>
        <v>0</v>
      </c>
      <c r="O3491" s="179"/>
      <c r="P3491" s="180"/>
      <c r="Q3491" s="173"/>
      <c r="R3491" s="173"/>
      <c r="S3491" s="174"/>
      <c r="T3491" s="173"/>
      <c r="U3491" s="182"/>
      <c r="V3491" s="177">
        <f>IF(U3491=0,0,IF(T3491="MXN",1/HLOOKUP(YEAR(S3491)+(MONTH(S3491)/100),TC!$5:$37,DAY(S3491)+2,FALSE),VLOOKUP(T3491,Equivalencia!$1:$23,((MAX(Equivalencia!$3:$3)-YEAR(S3491))*14)+MONTH(S3491)+2,FALSE)))</f>
        <v>0</v>
      </c>
      <c r="W3491" s="178">
        <f t="shared" si="278"/>
        <v>0</v>
      </c>
      <c r="X3491" s="481">
        <f t="shared" si="279"/>
        <v>0</v>
      </c>
      <c r="Y3491" s="179"/>
      <c r="Z3491" s="466">
        <f t="shared" si="280"/>
        <v>0</v>
      </c>
      <c r="AA3491" s="473">
        <f t="shared" si="281"/>
        <v>0</v>
      </c>
      <c r="AB3491" s="339">
        <f t="shared" si="282"/>
        <v>0</v>
      </c>
    </row>
    <row r="3492" spans="2:28" ht="20.100000000000001" customHeight="1">
      <c r="B3492" s="172"/>
      <c r="C3492" s="174"/>
      <c r="D3492" s="181"/>
      <c r="E3492" s="173"/>
      <c r="F3492" s="176"/>
      <c r="G3492" s="175">
        <f t="shared" si="273"/>
        <v>0</v>
      </c>
      <c r="H3492" s="175">
        <f t="shared" si="274"/>
        <v>0</v>
      </c>
      <c r="I3492" s="177">
        <f>IF(G3492=0,0,IF(E3492="MXN",1/HLOOKUP(YEAR(C3492)+(MONTH(C3492)/100),TC!$5:$37,DAY(C3492)+2,FALSE),VLOOKUP(E3492,Equivalencia!$5:$23,((MAX(Equivalencia!$3:$3)-YEAR(C3492))*14)+MONTH(C3492)+2,FALSE)))</f>
        <v>0</v>
      </c>
      <c r="J3492" s="178">
        <f t="shared" si="275"/>
        <v>0</v>
      </c>
      <c r="K3492" s="462">
        <f>IF(C3492=0,0,VLOOKUP(YEAR(C3492),INPC!$B$4:$O$29,MONTH(C3492)+1))</f>
        <v>0</v>
      </c>
      <c r="L3492" s="462">
        <f>IF(S3492=0,0,VLOOKUP(YEAR(S3492),INPC!$B$4:$O$29,MONTH(S3492)+1))</f>
        <v>0</v>
      </c>
      <c r="M3492" s="463">
        <f t="shared" si="276"/>
        <v>0</v>
      </c>
      <c r="N3492" s="465">
        <f t="shared" si="277"/>
        <v>0</v>
      </c>
      <c r="O3492" s="179"/>
      <c r="P3492" s="180"/>
      <c r="Q3492" s="173"/>
      <c r="R3492" s="173"/>
      <c r="S3492" s="174"/>
      <c r="T3492" s="173"/>
      <c r="U3492" s="182"/>
      <c r="V3492" s="177">
        <f>IF(U3492=0,0,IF(T3492="MXN",1/HLOOKUP(YEAR(S3492)+(MONTH(S3492)/100),TC!$5:$37,DAY(S3492)+2,FALSE),VLOOKUP(T3492,Equivalencia!$1:$23,((MAX(Equivalencia!$3:$3)-YEAR(S3492))*14)+MONTH(S3492)+2,FALSE)))</f>
        <v>0</v>
      </c>
      <c r="W3492" s="178">
        <f t="shared" si="278"/>
        <v>0</v>
      </c>
      <c r="X3492" s="481">
        <f t="shared" si="279"/>
        <v>0</v>
      </c>
      <c r="Y3492" s="179"/>
      <c r="Z3492" s="466">
        <f t="shared" si="280"/>
        <v>0</v>
      </c>
      <c r="AA3492" s="473">
        <f t="shared" si="281"/>
        <v>0</v>
      </c>
      <c r="AB3492" s="339">
        <f t="shared" si="282"/>
        <v>0</v>
      </c>
    </row>
    <row r="3493" spans="2:28" ht="20.100000000000001" customHeight="1">
      <c r="B3493" s="172"/>
      <c r="C3493" s="174"/>
      <c r="D3493" s="181"/>
      <c r="E3493" s="173"/>
      <c r="F3493" s="176"/>
      <c r="G3493" s="175">
        <f t="shared" si="273"/>
        <v>0</v>
      </c>
      <c r="H3493" s="175">
        <f t="shared" si="274"/>
        <v>0</v>
      </c>
      <c r="I3493" s="177">
        <f>IF(G3493=0,0,IF(E3493="MXN",1/HLOOKUP(YEAR(C3493)+(MONTH(C3493)/100),TC!$5:$37,DAY(C3493)+2,FALSE),VLOOKUP(E3493,Equivalencia!$5:$23,((MAX(Equivalencia!$3:$3)-YEAR(C3493))*14)+MONTH(C3493)+2,FALSE)))</f>
        <v>0</v>
      </c>
      <c r="J3493" s="178">
        <f t="shared" si="275"/>
        <v>0</v>
      </c>
      <c r="K3493" s="462">
        <f>IF(C3493=0,0,VLOOKUP(YEAR(C3493),INPC!$B$4:$O$29,MONTH(C3493)+1))</f>
        <v>0</v>
      </c>
      <c r="L3493" s="462">
        <f>IF(S3493=0,0,VLOOKUP(YEAR(S3493),INPC!$B$4:$O$29,MONTH(S3493)+1))</f>
        <v>0</v>
      </c>
      <c r="M3493" s="463">
        <f t="shared" si="276"/>
        <v>0</v>
      </c>
      <c r="N3493" s="465">
        <f t="shared" si="277"/>
        <v>0</v>
      </c>
      <c r="O3493" s="179"/>
      <c r="P3493" s="180"/>
      <c r="Q3493" s="173"/>
      <c r="R3493" s="173"/>
      <c r="S3493" s="174"/>
      <c r="T3493" s="173"/>
      <c r="U3493" s="182"/>
      <c r="V3493" s="177">
        <f>IF(U3493=0,0,IF(T3493="MXN",1/HLOOKUP(YEAR(S3493)+(MONTH(S3493)/100),TC!$5:$37,DAY(S3493)+2,FALSE),VLOOKUP(T3493,Equivalencia!$1:$23,((MAX(Equivalencia!$3:$3)-YEAR(S3493))*14)+MONTH(S3493)+2,FALSE)))</f>
        <v>0</v>
      </c>
      <c r="W3493" s="178">
        <f t="shared" si="278"/>
        <v>0</v>
      </c>
      <c r="X3493" s="481">
        <f t="shared" si="279"/>
        <v>0</v>
      </c>
      <c r="Y3493" s="179"/>
      <c r="Z3493" s="466">
        <f t="shared" si="280"/>
        <v>0</v>
      </c>
      <c r="AA3493" s="473">
        <f t="shared" si="281"/>
        <v>0</v>
      </c>
      <c r="AB3493" s="339">
        <f t="shared" si="282"/>
        <v>0</v>
      </c>
    </row>
    <row r="3494" spans="2:28" ht="20.100000000000001" customHeight="1">
      <c r="B3494" s="172"/>
      <c r="C3494" s="174"/>
      <c r="D3494" s="181"/>
      <c r="E3494" s="173"/>
      <c r="F3494" s="176"/>
      <c r="G3494" s="175">
        <f t="shared" si="273"/>
        <v>0</v>
      </c>
      <c r="H3494" s="175">
        <f t="shared" si="274"/>
        <v>0</v>
      </c>
      <c r="I3494" s="177">
        <f>IF(G3494=0,0,IF(E3494="MXN",1/HLOOKUP(YEAR(C3494)+(MONTH(C3494)/100),TC!$5:$37,DAY(C3494)+2,FALSE),VLOOKUP(E3494,Equivalencia!$5:$23,((MAX(Equivalencia!$3:$3)-YEAR(C3494))*14)+MONTH(C3494)+2,FALSE)))</f>
        <v>0</v>
      </c>
      <c r="J3494" s="178">
        <f t="shared" si="275"/>
        <v>0</v>
      </c>
      <c r="K3494" s="462">
        <f>IF(C3494=0,0,VLOOKUP(YEAR(C3494),INPC!$B$4:$O$29,MONTH(C3494)+1))</f>
        <v>0</v>
      </c>
      <c r="L3494" s="462">
        <f>IF(S3494=0,0,VLOOKUP(YEAR(S3494),INPC!$B$4:$O$29,MONTH(S3494)+1))</f>
        <v>0</v>
      </c>
      <c r="M3494" s="463">
        <f t="shared" si="276"/>
        <v>0</v>
      </c>
      <c r="N3494" s="465">
        <f t="shared" si="277"/>
        <v>0</v>
      </c>
      <c r="O3494" s="179"/>
      <c r="P3494" s="180"/>
      <c r="Q3494" s="173"/>
      <c r="R3494" s="173"/>
      <c r="S3494" s="174"/>
      <c r="T3494" s="173"/>
      <c r="U3494" s="182"/>
      <c r="V3494" s="177">
        <f>IF(U3494=0,0,IF(T3494="MXN",1/HLOOKUP(YEAR(S3494)+(MONTH(S3494)/100),TC!$5:$37,DAY(S3494)+2,FALSE),VLOOKUP(T3494,Equivalencia!$1:$23,((MAX(Equivalencia!$3:$3)-YEAR(S3494))*14)+MONTH(S3494)+2,FALSE)))</f>
        <v>0</v>
      </c>
      <c r="W3494" s="178">
        <f t="shared" si="278"/>
        <v>0</v>
      </c>
      <c r="X3494" s="481">
        <f t="shared" si="279"/>
        <v>0</v>
      </c>
      <c r="Y3494" s="179"/>
      <c r="Z3494" s="466">
        <f t="shared" si="280"/>
        <v>0</v>
      </c>
      <c r="AA3494" s="473">
        <f t="shared" si="281"/>
        <v>0</v>
      </c>
      <c r="AB3494" s="339">
        <f t="shared" si="282"/>
        <v>0</v>
      </c>
    </row>
    <row r="3495" spans="2:28" ht="20.100000000000001" customHeight="1">
      <c r="B3495" s="172"/>
      <c r="C3495" s="174"/>
      <c r="D3495" s="181"/>
      <c r="E3495" s="173"/>
      <c r="F3495" s="176"/>
      <c r="G3495" s="175">
        <f t="shared" si="273"/>
        <v>0</v>
      </c>
      <c r="H3495" s="175">
        <f t="shared" si="274"/>
        <v>0</v>
      </c>
      <c r="I3495" s="177">
        <f>IF(G3495=0,0,IF(E3495="MXN",1/HLOOKUP(YEAR(C3495)+(MONTH(C3495)/100),TC!$5:$37,DAY(C3495)+2,FALSE),VLOOKUP(E3495,Equivalencia!$5:$23,((MAX(Equivalencia!$3:$3)-YEAR(C3495))*14)+MONTH(C3495)+2,FALSE)))</f>
        <v>0</v>
      </c>
      <c r="J3495" s="178">
        <f t="shared" si="275"/>
        <v>0</v>
      </c>
      <c r="K3495" s="462">
        <f>IF(C3495=0,0,VLOOKUP(YEAR(C3495),INPC!$B$4:$O$29,MONTH(C3495)+1))</f>
        <v>0</v>
      </c>
      <c r="L3495" s="462">
        <f>IF(S3495=0,0,VLOOKUP(YEAR(S3495),INPC!$B$4:$O$29,MONTH(S3495)+1))</f>
        <v>0</v>
      </c>
      <c r="M3495" s="463">
        <f t="shared" si="276"/>
        <v>0</v>
      </c>
      <c r="N3495" s="465">
        <f t="shared" si="277"/>
        <v>0</v>
      </c>
      <c r="O3495" s="179"/>
      <c r="P3495" s="180"/>
      <c r="Q3495" s="173"/>
      <c r="R3495" s="173"/>
      <c r="S3495" s="174"/>
      <c r="T3495" s="173"/>
      <c r="U3495" s="182"/>
      <c r="V3495" s="177">
        <f>IF(U3495=0,0,IF(T3495="MXN",1/HLOOKUP(YEAR(S3495)+(MONTH(S3495)/100),TC!$5:$37,DAY(S3495)+2,FALSE),VLOOKUP(T3495,Equivalencia!$1:$23,((MAX(Equivalencia!$3:$3)-YEAR(S3495))*14)+MONTH(S3495)+2,FALSE)))</f>
        <v>0</v>
      </c>
      <c r="W3495" s="178">
        <f t="shared" si="278"/>
        <v>0</v>
      </c>
      <c r="X3495" s="481">
        <f t="shared" si="279"/>
        <v>0</v>
      </c>
      <c r="Y3495" s="179"/>
      <c r="Z3495" s="466">
        <f t="shared" si="280"/>
        <v>0</v>
      </c>
      <c r="AA3495" s="473">
        <f t="shared" si="281"/>
        <v>0</v>
      </c>
      <c r="AB3495" s="339">
        <f t="shared" si="282"/>
        <v>0</v>
      </c>
    </row>
    <row r="3496" spans="2:28" ht="20.100000000000001" customHeight="1">
      <c r="B3496" s="172"/>
      <c r="C3496" s="174"/>
      <c r="D3496" s="181"/>
      <c r="E3496" s="173"/>
      <c r="F3496" s="176"/>
      <c r="G3496" s="175">
        <f t="shared" si="273"/>
        <v>0</v>
      </c>
      <c r="H3496" s="175">
        <f t="shared" si="274"/>
        <v>0</v>
      </c>
      <c r="I3496" s="177">
        <f>IF(G3496=0,0,IF(E3496="MXN",1/HLOOKUP(YEAR(C3496)+(MONTH(C3496)/100),TC!$5:$37,DAY(C3496)+2,FALSE),VLOOKUP(E3496,Equivalencia!$5:$23,((MAX(Equivalencia!$3:$3)-YEAR(C3496))*14)+MONTH(C3496)+2,FALSE)))</f>
        <v>0</v>
      </c>
      <c r="J3496" s="178">
        <f t="shared" si="275"/>
        <v>0</v>
      </c>
      <c r="K3496" s="462">
        <f>IF(C3496=0,0,VLOOKUP(YEAR(C3496),INPC!$B$4:$O$29,MONTH(C3496)+1))</f>
        <v>0</v>
      </c>
      <c r="L3496" s="462">
        <f>IF(S3496=0,0,VLOOKUP(YEAR(S3496),INPC!$B$4:$O$29,MONTH(S3496)+1))</f>
        <v>0</v>
      </c>
      <c r="M3496" s="463">
        <f t="shared" si="276"/>
        <v>0</v>
      </c>
      <c r="N3496" s="465">
        <f t="shared" si="277"/>
        <v>0</v>
      </c>
      <c r="O3496" s="179"/>
      <c r="P3496" s="180"/>
      <c r="Q3496" s="173"/>
      <c r="R3496" s="173"/>
      <c r="S3496" s="174"/>
      <c r="T3496" s="173"/>
      <c r="U3496" s="182"/>
      <c r="V3496" s="177">
        <f>IF(U3496=0,0,IF(T3496="MXN",1/HLOOKUP(YEAR(S3496)+(MONTH(S3496)/100),TC!$5:$37,DAY(S3496)+2,FALSE),VLOOKUP(T3496,Equivalencia!$1:$23,((MAX(Equivalencia!$3:$3)-YEAR(S3496))*14)+MONTH(S3496)+2,FALSE)))</f>
        <v>0</v>
      </c>
      <c r="W3496" s="178">
        <f t="shared" si="278"/>
        <v>0</v>
      </c>
      <c r="X3496" s="481">
        <f t="shared" si="279"/>
        <v>0</v>
      </c>
      <c r="Y3496" s="179"/>
      <c r="Z3496" s="466">
        <f t="shared" si="280"/>
        <v>0</v>
      </c>
      <c r="AA3496" s="473">
        <f t="shared" si="281"/>
        <v>0</v>
      </c>
      <c r="AB3496" s="339">
        <f t="shared" si="282"/>
        <v>0</v>
      </c>
    </row>
    <row r="3497" spans="2:28" ht="20.100000000000001" customHeight="1">
      <c r="B3497" s="172"/>
      <c r="C3497" s="174"/>
      <c r="D3497" s="181"/>
      <c r="E3497" s="173"/>
      <c r="F3497" s="176"/>
      <c r="G3497" s="175">
        <f t="shared" si="273"/>
        <v>0</v>
      </c>
      <c r="H3497" s="175">
        <f t="shared" si="274"/>
        <v>0</v>
      </c>
      <c r="I3497" s="177">
        <f>IF(G3497=0,0,IF(E3497="MXN",1/HLOOKUP(YEAR(C3497)+(MONTH(C3497)/100),TC!$5:$37,DAY(C3497)+2,FALSE),VLOOKUP(E3497,Equivalencia!$5:$23,((MAX(Equivalencia!$3:$3)-YEAR(C3497))*14)+MONTH(C3497)+2,FALSE)))</f>
        <v>0</v>
      </c>
      <c r="J3497" s="178">
        <f t="shared" si="275"/>
        <v>0</v>
      </c>
      <c r="K3497" s="462">
        <f>IF(C3497=0,0,VLOOKUP(YEAR(C3497),INPC!$B$4:$O$29,MONTH(C3497)+1))</f>
        <v>0</v>
      </c>
      <c r="L3497" s="462">
        <f>IF(S3497=0,0,VLOOKUP(YEAR(S3497),INPC!$B$4:$O$29,MONTH(S3497)+1))</f>
        <v>0</v>
      </c>
      <c r="M3497" s="463">
        <f t="shared" si="276"/>
        <v>0</v>
      </c>
      <c r="N3497" s="465">
        <f t="shared" si="277"/>
        <v>0</v>
      </c>
      <c r="O3497" s="179"/>
      <c r="P3497" s="180"/>
      <c r="Q3497" s="173"/>
      <c r="R3497" s="173"/>
      <c r="S3497" s="174"/>
      <c r="T3497" s="173"/>
      <c r="U3497" s="182"/>
      <c r="V3497" s="177">
        <f>IF(U3497=0,0,IF(T3497="MXN",1/HLOOKUP(YEAR(S3497)+(MONTH(S3497)/100),TC!$5:$37,DAY(S3497)+2,FALSE),VLOOKUP(T3497,Equivalencia!$1:$23,((MAX(Equivalencia!$3:$3)-YEAR(S3497))*14)+MONTH(S3497)+2,FALSE)))</f>
        <v>0</v>
      </c>
      <c r="W3497" s="178">
        <f t="shared" si="278"/>
        <v>0</v>
      </c>
      <c r="X3497" s="481">
        <f t="shared" si="279"/>
        <v>0</v>
      </c>
      <c r="Y3497" s="179"/>
      <c r="Z3497" s="466">
        <f t="shared" si="280"/>
        <v>0</v>
      </c>
      <c r="AA3497" s="473">
        <f t="shared" si="281"/>
        <v>0</v>
      </c>
      <c r="AB3497" s="339">
        <f t="shared" si="282"/>
        <v>0</v>
      </c>
    </row>
    <row r="3498" spans="2:28" ht="20.100000000000001" customHeight="1">
      <c r="B3498" s="172"/>
      <c r="C3498" s="174"/>
      <c r="D3498" s="181"/>
      <c r="E3498" s="173"/>
      <c r="F3498" s="176"/>
      <c r="G3498" s="175">
        <f t="shared" si="273"/>
        <v>0</v>
      </c>
      <c r="H3498" s="175">
        <f t="shared" si="274"/>
        <v>0</v>
      </c>
      <c r="I3498" s="177">
        <f>IF(G3498=0,0,IF(E3498="MXN",1/HLOOKUP(YEAR(C3498)+(MONTH(C3498)/100),TC!$5:$37,DAY(C3498)+2,FALSE),VLOOKUP(E3498,Equivalencia!$5:$23,((MAX(Equivalencia!$3:$3)-YEAR(C3498))*14)+MONTH(C3498)+2,FALSE)))</f>
        <v>0</v>
      </c>
      <c r="J3498" s="178">
        <f t="shared" si="275"/>
        <v>0</v>
      </c>
      <c r="K3498" s="462">
        <f>IF(C3498=0,0,VLOOKUP(YEAR(C3498),INPC!$B$4:$O$29,MONTH(C3498)+1))</f>
        <v>0</v>
      </c>
      <c r="L3498" s="462">
        <f>IF(S3498=0,0,VLOOKUP(YEAR(S3498),INPC!$B$4:$O$29,MONTH(S3498)+1))</f>
        <v>0</v>
      </c>
      <c r="M3498" s="463">
        <f t="shared" si="276"/>
        <v>0</v>
      </c>
      <c r="N3498" s="465">
        <f t="shared" si="277"/>
        <v>0</v>
      </c>
      <c r="O3498" s="179"/>
      <c r="P3498" s="180"/>
      <c r="Q3498" s="173"/>
      <c r="R3498" s="173"/>
      <c r="S3498" s="174"/>
      <c r="T3498" s="173"/>
      <c r="U3498" s="182"/>
      <c r="V3498" s="177">
        <f>IF(U3498=0,0,IF(T3498="MXN",1/HLOOKUP(YEAR(S3498)+(MONTH(S3498)/100),TC!$5:$37,DAY(S3498)+2,FALSE),VLOOKUP(T3498,Equivalencia!$1:$23,((MAX(Equivalencia!$3:$3)-YEAR(S3498))*14)+MONTH(S3498)+2,FALSE)))</f>
        <v>0</v>
      </c>
      <c r="W3498" s="178">
        <f t="shared" si="278"/>
        <v>0</v>
      </c>
      <c r="X3498" s="481">
        <f t="shared" si="279"/>
        <v>0</v>
      </c>
      <c r="Y3498" s="179"/>
      <c r="Z3498" s="466">
        <f t="shared" si="280"/>
        <v>0</v>
      </c>
      <c r="AA3498" s="473">
        <f t="shared" si="281"/>
        <v>0</v>
      </c>
      <c r="AB3498" s="339">
        <f t="shared" si="282"/>
        <v>0</v>
      </c>
    </row>
    <row r="3499" spans="2:28" ht="20.100000000000001" customHeight="1">
      <c r="B3499" s="172"/>
      <c r="C3499" s="174"/>
      <c r="D3499" s="181"/>
      <c r="E3499" s="173"/>
      <c r="F3499" s="176"/>
      <c r="G3499" s="175">
        <f t="shared" si="273"/>
        <v>0</v>
      </c>
      <c r="H3499" s="175">
        <f t="shared" si="274"/>
        <v>0</v>
      </c>
      <c r="I3499" s="177">
        <f>IF(G3499=0,0,IF(E3499="MXN",1/HLOOKUP(YEAR(C3499)+(MONTH(C3499)/100),TC!$5:$37,DAY(C3499)+2,FALSE),VLOOKUP(E3499,Equivalencia!$5:$23,((MAX(Equivalencia!$3:$3)-YEAR(C3499))*14)+MONTH(C3499)+2,FALSE)))</f>
        <v>0</v>
      </c>
      <c r="J3499" s="178">
        <f t="shared" si="275"/>
        <v>0</v>
      </c>
      <c r="K3499" s="462">
        <f>IF(C3499=0,0,VLOOKUP(YEAR(C3499),INPC!$B$4:$O$29,MONTH(C3499)+1))</f>
        <v>0</v>
      </c>
      <c r="L3499" s="462">
        <f>IF(S3499=0,0,VLOOKUP(YEAR(S3499),INPC!$B$4:$O$29,MONTH(S3499)+1))</f>
        <v>0</v>
      </c>
      <c r="M3499" s="463">
        <f t="shared" si="276"/>
        <v>0</v>
      </c>
      <c r="N3499" s="465">
        <f t="shared" si="277"/>
        <v>0</v>
      </c>
      <c r="O3499" s="179"/>
      <c r="P3499" s="180"/>
      <c r="Q3499" s="173"/>
      <c r="R3499" s="173"/>
      <c r="S3499" s="174"/>
      <c r="T3499" s="173"/>
      <c r="U3499" s="182"/>
      <c r="V3499" s="177">
        <f>IF(U3499=0,0,IF(T3499="MXN",1/HLOOKUP(YEAR(S3499)+(MONTH(S3499)/100),TC!$5:$37,DAY(S3499)+2,FALSE),VLOOKUP(T3499,Equivalencia!$1:$23,((MAX(Equivalencia!$3:$3)-YEAR(S3499))*14)+MONTH(S3499)+2,FALSE)))</f>
        <v>0</v>
      </c>
      <c r="W3499" s="178">
        <f t="shared" si="278"/>
        <v>0</v>
      </c>
      <c r="X3499" s="481">
        <f t="shared" si="279"/>
        <v>0</v>
      </c>
      <c r="Y3499" s="179"/>
      <c r="Z3499" s="466">
        <f t="shared" si="280"/>
        <v>0</v>
      </c>
      <c r="AA3499" s="473">
        <f t="shared" si="281"/>
        <v>0</v>
      </c>
      <c r="AB3499" s="339">
        <f t="shared" si="282"/>
        <v>0</v>
      </c>
    </row>
    <row r="3500" spans="2:28" ht="20.100000000000001" customHeight="1">
      <c r="B3500" s="172"/>
      <c r="C3500" s="174"/>
      <c r="D3500" s="181"/>
      <c r="E3500" s="173"/>
      <c r="F3500" s="176"/>
      <c r="G3500" s="175">
        <f t="shared" si="273"/>
        <v>0</v>
      </c>
      <c r="H3500" s="175">
        <f t="shared" si="274"/>
        <v>0</v>
      </c>
      <c r="I3500" s="177">
        <f>IF(G3500=0,0,IF(E3500="MXN",1/HLOOKUP(YEAR(C3500)+(MONTH(C3500)/100),TC!$5:$37,DAY(C3500)+2,FALSE),VLOOKUP(E3500,Equivalencia!$5:$23,((MAX(Equivalencia!$3:$3)-YEAR(C3500))*14)+MONTH(C3500)+2,FALSE)))</f>
        <v>0</v>
      </c>
      <c r="J3500" s="178">
        <f t="shared" si="275"/>
        <v>0</v>
      </c>
      <c r="K3500" s="462">
        <f>IF(C3500=0,0,VLOOKUP(YEAR(C3500),INPC!$B$4:$O$29,MONTH(C3500)+1))</f>
        <v>0</v>
      </c>
      <c r="L3500" s="462">
        <f>IF(S3500=0,0,VLOOKUP(YEAR(S3500),INPC!$B$4:$O$29,MONTH(S3500)+1))</f>
        <v>0</v>
      </c>
      <c r="M3500" s="463">
        <f t="shared" si="276"/>
        <v>0</v>
      </c>
      <c r="N3500" s="465">
        <f t="shared" si="277"/>
        <v>0</v>
      </c>
      <c r="O3500" s="179"/>
      <c r="P3500" s="180"/>
      <c r="Q3500" s="173"/>
      <c r="R3500" s="173"/>
      <c r="S3500" s="174"/>
      <c r="T3500" s="173"/>
      <c r="U3500" s="182"/>
      <c r="V3500" s="177">
        <f>IF(U3500=0,0,IF(T3500="MXN",1/HLOOKUP(YEAR(S3500)+(MONTH(S3500)/100),TC!$5:$37,DAY(S3500)+2,FALSE),VLOOKUP(T3500,Equivalencia!$1:$23,((MAX(Equivalencia!$3:$3)-YEAR(S3500))*14)+MONTH(S3500)+2,FALSE)))</f>
        <v>0</v>
      </c>
      <c r="W3500" s="178">
        <f t="shared" si="278"/>
        <v>0</v>
      </c>
      <c r="X3500" s="481">
        <f t="shared" si="279"/>
        <v>0</v>
      </c>
      <c r="Y3500" s="179"/>
      <c r="Z3500" s="466">
        <f t="shared" si="280"/>
        <v>0</v>
      </c>
      <c r="AA3500" s="473">
        <f t="shared" si="281"/>
        <v>0</v>
      </c>
      <c r="AB3500" s="339">
        <f t="shared" si="282"/>
        <v>0</v>
      </c>
    </row>
    <row r="3501" spans="2:28" ht="20.100000000000001" customHeight="1">
      <c r="B3501" s="172"/>
      <c r="C3501" s="174"/>
      <c r="D3501" s="181"/>
      <c r="E3501" s="173"/>
      <c r="F3501" s="176"/>
      <c r="G3501" s="175">
        <f t="shared" si="273"/>
        <v>0</v>
      </c>
      <c r="H3501" s="175">
        <f t="shared" si="274"/>
        <v>0</v>
      </c>
      <c r="I3501" s="177">
        <f>IF(G3501=0,0,IF(E3501="MXN",1/HLOOKUP(YEAR(C3501)+(MONTH(C3501)/100),TC!$5:$37,DAY(C3501)+2,FALSE),VLOOKUP(E3501,Equivalencia!$5:$23,((MAX(Equivalencia!$3:$3)-YEAR(C3501))*14)+MONTH(C3501)+2,FALSE)))</f>
        <v>0</v>
      </c>
      <c r="J3501" s="178">
        <f t="shared" si="275"/>
        <v>0</v>
      </c>
      <c r="K3501" s="462">
        <f>IF(C3501=0,0,VLOOKUP(YEAR(C3501),INPC!$B$4:$O$29,MONTH(C3501)+1))</f>
        <v>0</v>
      </c>
      <c r="L3501" s="462">
        <f>IF(S3501=0,0,VLOOKUP(YEAR(S3501),INPC!$B$4:$O$29,MONTH(S3501)+1))</f>
        <v>0</v>
      </c>
      <c r="M3501" s="463">
        <f t="shared" si="276"/>
        <v>0</v>
      </c>
      <c r="N3501" s="465">
        <f t="shared" si="277"/>
        <v>0</v>
      </c>
      <c r="O3501" s="179"/>
      <c r="P3501" s="180"/>
      <c r="Q3501" s="173"/>
      <c r="R3501" s="173"/>
      <c r="S3501" s="174"/>
      <c r="T3501" s="173"/>
      <c r="U3501" s="182"/>
      <c r="V3501" s="177">
        <f>IF(U3501=0,0,IF(T3501="MXN",1/HLOOKUP(YEAR(S3501)+(MONTH(S3501)/100),TC!$5:$37,DAY(S3501)+2,FALSE),VLOOKUP(T3501,Equivalencia!$1:$23,((MAX(Equivalencia!$3:$3)-YEAR(S3501))*14)+MONTH(S3501)+2,FALSE)))</f>
        <v>0</v>
      </c>
      <c r="W3501" s="178">
        <f t="shared" si="278"/>
        <v>0</v>
      </c>
      <c r="X3501" s="481">
        <f t="shared" si="279"/>
        <v>0</v>
      </c>
      <c r="Y3501" s="179"/>
      <c r="Z3501" s="466">
        <f t="shared" si="280"/>
        <v>0</v>
      </c>
      <c r="AA3501" s="473">
        <f t="shared" si="281"/>
        <v>0</v>
      </c>
      <c r="AB3501" s="339">
        <f t="shared" si="282"/>
        <v>0</v>
      </c>
    </row>
    <row r="3502" spans="2:28" ht="20.100000000000001" customHeight="1">
      <c r="B3502" s="172"/>
      <c r="C3502" s="174"/>
      <c r="D3502" s="181"/>
      <c r="E3502" s="173"/>
      <c r="F3502" s="176"/>
      <c r="G3502" s="175">
        <f t="shared" si="273"/>
        <v>0</v>
      </c>
      <c r="H3502" s="175">
        <f t="shared" si="274"/>
        <v>0</v>
      </c>
      <c r="I3502" s="177">
        <f>IF(G3502=0,0,IF(E3502="MXN",1/HLOOKUP(YEAR(C3502)+(MONTH(C3502)/100),TC!$5:$37,DAY(C3502)+2,FALSE),VLOOKUP(E3502,Equivalencia!$5:$23,((MAX(Equivalencia!$3:$3)-YEAR(C3502))*14)+MONTH(C3502)+2,FALSE)))</f>
        <v>0</v>
      </c>
      <c r="J3502" s="178">
        <f t="shared" si="275"/>
        <v>0</v>
      </c>
      <c r="K3502" s="462">
        <f>IF(C3502=0,0,VLOOKUP(YEAR(C3502),INPC!$B$4:$O$29,MONTH(C3502)+1))</f>
        <v>0</v>
      </c>
      <c r="L3502" s="462">
        <f>IF(S3502=0,0,VLOOKUP(YEAR(S3502),INPC!$B$4:$O$29,MONTH(S3502)+1))</f>
        <v>0</v>
      </c>
      <c r="M3502" s="463">
        <f t="shared" si="276"/>
        <v>0</v>
      </c>
      <c r="N3502" s="465">
        <f t="shared" si="277"/>
        <v>0</v>
      </c>
      <c r="O3502" s="179"/>
      <c r="P3502" s="180"/>
      <c r="Q3502" s="173"/>
      <c r="R3502" s="173"/>
      <c r="S3502" s="174"/>
      <c r="T3502" s="173"/>
      <c r="U3502" s="182"/>
      <c r="V3502" s="177">
        <f>IF(U3502=0,0,IF(T3502="MXN",1/HLOOKUP(YEAR(S3502)+(MONTH(S3502)/100),TC!$5:$37,DAY(S3502)+2,FALSE),VLOOKUP(T3502,Equivalencia!$1:$23,((MAX(Equivalencia!$3:$3)-YEAR(S3502))*14)+MONTH(S3502)+2,FALSE)))</f>
        <v>0</v>
      </c>
      <c r="W3502" s="178">
        <f t="shared" si="278"/>
        <v>0</v>
      </c>
      <c r="X3502" s="481">
        <f t="shared" si="279"/>
        <v>0</v>
      </c>
      <c r="Y3502" s="179"/>
      <c r="Z3502" s="466">
        <f t="shared" si="280"/>
        <v>0</v>
      </c>
      <c r="AA3502" s="473">
        <f t="shared" si="281"/>
        <v>0</v>
      </c>
      <c r="AB3502" s="339">
        <f t="shared" si="282"/>
        <v>0</v>
      </c>
    </row>
    <row r="3503" spans="2:28" ht="20.100000000000001" customHeight="1">
      <c r="B3503" s="172"/>
      <c r="C3503" s="174"/>
      <c r="D3503" s="181"/>
      <c r="E3503" s="173"/>
      <c r="F3503" s="176"/>
      <c r="G3503" s="175">
        <f t="shared" si="273"/>
        <v>0</v>
      </c>
      <c r="H3503" s="175">
        <f t="shared" si="274"/>
        <v>0</v>
      </c>
      <c r="I3503" s="177">
        <f>IF(G3503=0,0,IF(E3503="MXN",1/HLOOKUP(YEAR(C3503)+(MONTH(C3503)/100),TC!$5:$37,DAY(C3503)+2,FALSE),VLOOKUP(E3503,Equivalencia!$5:$23,((MAX(Equivalencia!$3:$3)-YEAR(C3503))*14)+MONTH(C3503)+2,FALSE)))</f>
        <v>0</v>
      </c>
      <c r="J3503" s="178">
        <f t="shared" si="275"/>
        <v>0</v>
      </c>
      <c r="K3503" s="462">
        <f>IF(C3503=0,0,VLOOKUP(YEAR(C3503),INPC!$B$4:$O$29,MONTH(C3503)+1))</f>
        <v>0</v>
      </c>
      <c r="L3503" s="462">
        <f>IF(S3503=0,0,VLOOKUP(YEAR(S3503),INPC!$B$4:$O$29,MONTH(S3503)+1))</f>
        <v>0</v>
      </c>
      <c r="M3503" s="463">
        <f t="shared" si="276"/>
        <v>0</v>
      </c>
      <c r="N3503" s="465">
        <f t="shared" si="277"/>
        <v>0</v>
      </c>
      <c r="O3503" s="179"/>
      <c r="P3503" s="180"/>
      <c r="Q3503" s="173"/>
      <c r="R3503" s="173"/>
      <c r="S3503" s="174"/>
      <c r="T3503" s="173"/>
      <c r="U3503" s="182"/>
      <c r="V3503" s="177">
        <f>IF(U3503=0,0,IF(T3503="MXN",1/HLOOKUP(YEAR(S3503)+(MONTH(S3503)/100),TC!$5:$37,DAY(S3503)+2,FALSE),VLOOKUP(T3503,Equivalencia!$1:$23,((MAX(Equivalencia!$3:$3)-YEAR(S3503))*14)+MONTH(S3503)+2,FALSE)))</f>
        <v>0</v>
      </c>
      <c r="W3503" s="178">
        <f t="shared" si="278"/>
        <v>0</v>
      </c>
      <c r="X3503" s="481">
        <f t="shared" si="279"/>
        <v>0</v>
      </c>
      <c r="Y3503" s="179"/>
      <c r="Z3503" s="466">
        <f t="shared" si="280"/>
        <v>0</v>
      </c>
      <c r="AA3503" s="473">
        <f t="shared" si="281"/>
        <v>0</v>
      </c>
      <c r="AB3503" s="339">
        <f t="shared" si="282"/>
        <v>0</v>
      </c>
    </row>
    <row r="3504" spans="2:28" ht="20.100000000000001" customHeight="1">
      <c r="B3504" s="172"/>
      <c r="C3504" s="174"/>
      <c r="D3504" s="181"/>
      <c r="E3504" s="173"/>
      <c r="F3504" s="176"/>
      <c r="G3504" s="175">
        <f t="shared" si="273"/>
        <v>0</v>
      </c>
      <c r="H3504" s="175">
        <f t="shared" si="274"/>
        <v>0</v>
      </c>
      <c r="I3504" s="177">
        <f>IF(G3504=0,0,IF(E3504="MXN",1/HLOOKUP(YEAR(C3504)+(MONTH(C3504)/100),TC!$5:$37,DAY(C3504)+2,FALSE),VLOOKUP(E3504,Equivalencia!$5:$23,((MAX(Equivalencia!$3:$3)-YEAR(C3504))*14)+MONTH(C3504)+2,FALSE)))</f>
        <v>0</v>
      </c>
      <c r="J3504" s="178">
        <f t="shared" si="275"/>
        <v>0</v>
      </c>
      <c r="K3504" s="462">
        <f>IF(C3504=0,0,VLOOKUP(YEAR(C3504),INPC!$B$4:$O$29,MONTH(C3504)+1))</f>
        <v>0</v>
      </c>
      <c r="L3504" s="462">
        <f>IF(S3504=0,0,VLOOKUP(YEAR(S3504),INPC!$B$4:$O$29,MONTH(S3504)+1))</f>
        <v>0</v>
      </c>
      <c r="M3504" s="463">
        <f t="shared" si="276"/>
        <v>0</v>
      </c>
      <c r="N3504" s="465">
        <f t="shared" si="277"/>
        <v>0</v>
      </c>
      <c r="O3504" s="179"/>
      <c r="P3504" s="180"/>
      <c r="Q3504" s="173"/>
      <c r="R3504" s="173"/>
      <c r="S3504" s="174"/>
      <c r="T3504" s="173"/>
      <c r="U3504" s="182"/>
      <c r="V3504" s="177">
        <f>IF(U3504=0,0,IF(T3504="MXN",1/HLOOKUP(YEAR(S3504)+(MONTH(S3504)/100),TC!$5:$37,DAY(S3504)+2,FALSE),VLOOKUP(T3504,Equivalencia!$1:$23,((MAX(Equivalencia!$3:$3)-YEAR(S3504))*14)+MONTH(S3504)+2,FALSE)))</f>
        <v>0</v>
      </c>
      <c r="W3504" s="178">
        <f t="shared" si="278"/>
        <v>0</v>
      </c>
      <c r="X3504" s="481">
        <f t="shared" si="279"/>
        <v>0</v>
      </c>
      <c r="Y3504" s="179"/>
      <c r="Z3504" s="466">
        <f t="shared" si="280"/>
        <v>0</v>
      </c>
      <c r="AA3504" s="473">
        <f t="shared" si="281"/>
        <v>0</v>
      </c>
      <c r="AB3504" s="339">
        <f t="shared" si="282"/>
        <v>0</v>
      </c>
    </row>
    <row r="3505" spans="2:28" ht="20.100000000000001" customHeight="1">
      <c r="B3505" s="172"/>
      <c r="C3505" s="174"/>
      <c r="D3505" s="181"/>
      <c r="E3505" s="173"/>
      <c r="F3505" s="176"/>
      <c r="G3505" s="175">
        <f t="shared" si="273"/>
        <v>0</v>
      </c>
      <c r="H3505" s="175">
        <f t="shared" si="274"/>
        <v>0</v>
      </c>
      <c r="I3505" s="177">
        <f>IF(G3505=0,0,IF(E3505="MXN",1/HLOOKUP(YEAR(C3505)+(MONTH(C3505)/100),TC!$5:$37,DAY(C3505)+2,FALSE),VLOOKUP(E3505,Equivalencia!$5:$23,((MAX(Equivalencia!$3:$3)-YEAR(C3505))*14)+MONTH(C3505)+2,FALSE)))</f>
        <v>0</v>
      </c>
      <c r="J3505" s="178">
        <f t="shared" si="275"/>
        <v>0</v>
      </c>
      <c r="K3505" s="462">
        <f>IF(C3505=0,0,VLOOKUP(YEAR(C3505),INPC!$B$4:$O$29,MONTH(C3505)+1))</f>
        <v>0</v>
      </c>
      <c r="L3505" s="462">
        <f>IF(S3505=0,0,VLOOKUP(YEAR(S3505),INPC!$B$4:$O$29,MONTH(S3505)+1))</f>
        <v>0</v>
      </c>
      <c r="M3505" s="463">
        <f t="shared" si="276"/>
        <v>0</v>
      </c>
      <c r="N3505" s="465">
        <f t="shared" si="277"/>
        <v>0</v>
      </c>
      <c r="O3505" s="179"/>
      <c r="P3505" s="180"/>
      <c r="Q3505" s="173"/>
      <c r="R3505" s="173"/>
      <c r="S3505" s="174"/>
      <c r="T3505" s="173"/>
      <c r="U3505" s="182"/>
      <c r="V3505" s="177">
        <f>IF(U3505=0,0,IF(T3505="MXN",1/HLOOKUP(YEAR(S3505)+(MONTH(S3505)/100),TC!$5:$37,DAY(S3505)+2,FALSE),VLOOKUP(T3505,Equivalencia!$1:$23,((MAX(Equivalencia!$3:$3)-YEAR(S3505))*14)+MONTH(S3505)+2,FALSE)))</f>
        <v>0</v>
      </c>
      <c r="W3505" s="178">
        <f t="shared" si="278"/>
        <v>0</v>
      </c>
      <c r="X3505" s="481">
        <f t="shared" si="279"/>
        <v>0</v>
      </c>
      <c r="Y3505" s="179"/>
      <c r="Z3505" s="466">
        <f t="shared" si="280"/>
        <v>0</v>
      </c>
      <c r="AA3505" s="473">
        <f t="shared" si="281"/>
        <v>0</v>
      </c>
      <c r="AB3505" s="339">
        <f t="shared" si="282"/>
        <v>0</v>
      </c>
    </row>
    <row r="3506" spans="2:28" ht="20.100000000000001" customHeight="1">
      <c r="B3506" s="172"/>
      <c r="C3506" s="174"/>
      <c r="D3506" s="181"/>
      <c r="E3506" s="173"/>
      <c r="F3506" s="176"/>
      <c r="G3506" s="175">
        <f t="shared" si="273"/>
        <v>0</v>
      </c>
      <c r="H3506" s="175">
        <f t="shared" si="274"/>
        <v>0</v>
      </c>
      <c r="I3506" s="177">
        <f>IF(G3506=0,0,IF(E3506="MXN",1/HLOOKUP(YEAR(C3506)+(MONTH(C3506)/100),TC!$5:$37,DAY(C3506)+2,FALSE),VLOOKUP(E3506,Equivalencia!$5:$23,((MAX(Equivalencia!$3:$3)-YEAR(C3506))*14)+MONTH(C3506)+2,FALSE)))</f>
        <v>0</v>
      </c>
      <c r="J3506" s="178">
        <f t="shared" si="275"/>
        <v>0</v>
      </c>
      <c r="K3506" s="462">
        <f>IF(C3506=0,0,VLOOKUP(YEAR(C3506),INPC!$B$4:$O$29,MONTH(C3506)+1))</f>
        <v>0</v>
      </c>
      <c r="L3506" s="462">
        <f>IF(S3506=0,0,VLOOKUP(YEAR(S3506),INPC!$B$4:$O$29,MONTH(S3506)+1))</f>
        <v>0</v>
      </c>
      <c r="M3506" s="463">
        <f t="shared" si="276"/>
        <v>0</v>
      </c>
      <c r="N3506" s="465">
        <f t="shared" si="277"/>
        <v>0</v>
      </c>
      <c r="O3506" s="179"/>
      <c r="P3506" s="180"/>
      <c r="Q3506" s="173"/>
      <c r="R3506" s="173"/>
      <c r="S3506" s="174"/>
      <c r="T3506" s="173"/>
      <c r="U3506" s="182"/>
      <c r="V3506" s="177">
        <f>IF(U3506=0,0,IF(T3506="MXN",1/HLOOKUP(YEAR(S3506)+(MONTH(S3506)/100),TC!$5:$37,DAY(S3506)+2,FALSE),VLOOKUP(T3506,Equivalencia!$1:$23,((MAX(Equivalencia!$3:$3)-YEAR(S3506))*14)+MONTH(S3506)+2,FALSE)))</f>
        <v>0</v>
      </c>
      <c r="W3506" s="178">
        <f t="shared" si="278"/>
        <v>0</v>
      </c>
      <c r="X3506" s="481">
        <f t="shared" si="279"/>
        <v>0</v>
      </c>
      <c r="Y3506" s="179"/>
      <c r="Z3506" s="466">
        <f t="shared" si="280"/>
        <v>0</v>
      </c>
      <c r="AA3506" s="473">
        <f t="shared" si="281"/>
        <v>0</v>
      </c>
      <c r="AB3506" s="339">
        <f t="shared" si="282"/>
        <v>0</v>
      </c>
    </row>
    <row r="3507" spans="2:28" ht="20.100000000000001" customHeight="1">
      <c r="B3507" s="172"/>
      <c r="C3507" s="174"/>
      <c r="D3507" s="181"/>
      <c r="E3507" s="173"/>
      <c r="F3507" s="176"/>
      <c r="G3507" s="175">
        <f t="shared" si="273"/>
        <v>0</v>
      </c>
      <c r="H3507" s="175">
        <f t="shared" si="274"/>
        <v>0</v>
      </c>
      <c r="I3507" s="177">
        <f>IF(G3507=0,0,IF(E3507="MXN",1/HLOOKUP(YEAR(C3507)+(MONTH(C3507)/100),TC!$5:$37,DAY(C3507)+2,FALSE),VLOOKUP(E3507,Equivalencia!$5:$23,((MAX(Equivalencia!$3:$3)-YEAR(C3507))*14)+MONTH(C3507)+2,FALSE)))</f>
        <v>0</v>
      </c>
      <c r="J3507" s="178">
        <f t="shared" si="275"/>
        <v>0</v>
      </c>
      <c r="K3507" s="462">
        <f>IF(C3507=0,0,VLOOKUP(YEAR(C3507),INPC!$B$4:$O$29,MONTH(C3507)+1))</f>
        <v>0</v>
      </c>
      <c r="L3507" s="462">
        <f>IF(S3507=0,0,VLOOKUP(YEAR(S3507),INPC!$B$4:$O$29,MONTH(S3507)+1))</f>
        <v>0</v>
      </c>
      <c r="M3507" s="463">
        <f t="shared" si="276"/>
        <v>0</v>
      </c>
      <c r="N3507" s="465">
        <f t="shared" si="277"/>
        <v>0</v>
      </c>
      <c r="O3507" s="179"/>
      <c r="P3507" s="180"/>
      <c r="Q3507" s="173"/>
      <c r="R3507" s="173"/>
      <c r="S3507" s="174"/>
      <c r="T3507" s="173"/>
      <c r="U3507" s="182"/>
      <c r="V3507" s="177">
        <f>IF(U3507=0,0,IF(T3507="MXN",1/HLOOKUP(YEAR(S3507)+(MONTH(S3507)/100),TC!$5:$37,DAY(S3507)+2,FALSE),VLOOKUP(T3507,Equivalencia!$1:$23,((MAX(Equivalencia!$3:$3)-YEAR(S3507))*14)+MONTH(S3507)+2,FALSE)))</f>
        <v>0</v>
      </c>
      <c r="W3507" s="178">
        <f t="shared" si="278"/>
        <v>0</v>
      </c>
      <c r="X3507" s="481">
        <f t="shared" si="279"/>
        <v>0</v>
      </c>
      <c r="Y3507" s="179"/>
      <c r="Z3507" s="466">
        <f t="shared" si="280"/>
        <v>0</v>
      </c>
      <c r="AA3507" s="473">
        <f t="shared" si="281"/>
        <v>0</v>
      </c>
      <c r="AB3507" s="339">
        <f t="shared" si="282"/>
        <v>0</v>
      </c>
    </row>
    <row r="3508" spans="2:28" ht="20.100000000000001" customHeight="1">
      <c r="B3508" s="172"/>
      <c r="C3508" s="174"/>
      <c r="D3508" s="181"/>
      <c r="E3508" s="173"/>
      <c r="F3508" s="176"/>
      <c r="G3508" s="175">
        <f t="shared" si="273"/>
        <v>0</v>
      </c>
      <c r="H3508" s="175">
        <f t="shared" si="274"/>
        <v>0</v>
      </c>
      <c r="I3508" s="177">
        <f>IF(G3508=0,0,IF(E3508="MXN",1/HLOOKUP(YEAR(C3508)+(MONTH(C3508)/100),TC!$5:$37,DAY(C3508)+2,FALSE),VLOOKUP(E3508,Equivalencia!$5:$23,((MAX(Equivalencia!$3:$3)-YEAR(C3508))*14)+MONTH(C3508)+2,FALSE)))</f>
        <v>0</v>
      </c>
      <c r="J3508" s="178">
        <f t="shared" si="275"/>
        <v>0</v>
      </c>
      <c r="K3508" s="462">
        <f>IF(C3508=0,0,VLOOKUP(YEAR(C3508),INPC!$B$4:$O$29,MONTH(C3508)+1))</f>
        <v>0</v>
      </c>
      <c r="L3508" s="462">
        <f>IF(S3508=0,0,VLOOKUP(YEAR(S3508),INPC!$B$4:$O$29,MONTH(S3508)+1))</f>
        <v>0</v>
      </c>
      <c r="M3508" s="463">
        <f t="shared" si="276"/>
        <v>0</v>
      </c>
      <c r="N3508" s="465">
        <f t="shared" si="277"/>
        <v>0</v>
      </c>
      <c r="O3508" s="179"/>
      <c r="P3508" s="180"/>
      <c r="Q3508" s="173"/>
      <c r="R3508" s="173"/>
      <c r="S3508" s="174"/>
      <c r="T3508" s="173"/>
      <c r="U3508" s="182"/>
      <c r="V3508" s="177">
        <f>IF(U3508=0,0,IF(T3508="MXN",1/HLOOKUP(YEAR(S3508)+(MONTH(S3508)/100),TC!$5:$37,DAY(S3508)+2,FALSE),VLOOKUP(T3508,Equivalencia!$1:$23,((MAX(Equivalencia!$3:$3)-YEAR(S3508))*14)+MONTH(S3508)+2,FALSE)))</f>
        <v>0</v>
      </c>
      <c r="W3508" s="178">
        <f t="shared" si="278"/>
        <v>0</v>
      </c>
      <c r="X3508" s="481">
        <f t="shared" si="279"/>
        <v>0</v>
      </c>
      <c r="Y3508" s="179"/>
      <c r="Z3508" s="466">
        <f t="shared" si="280"/>
        <v>0</v>
      </c>
      <c r="AA3508" s="473">
        <f t="shared" si="281"/>
        <v>0</v>
      </c>
      <c r="AB3508" s="339">
        <f t="shared" si="282"/>
        <v>0</v>
      </c>
    </row>
    <row r="3509" spans="2:28" ht="20.100000000000001" customHeight="1">
      <c r="B3509" s="172"/>
      <c r="C3509" s="174"/>
      <c r="D3509" s="181"/>
      <c r="E3509" s="173"/>
      <c r="F3509" s="176"/>
      <c r="G3509" s="175">
        <f t="shared" si="273"/>
        <v>0</v>
      </c>
      <c r="H3509" s="175">
        <f t="shared" si="274"/>
        <v>0</v>
      </c>
      <c r="I3509" s="177">
        <f>IF(G3509=0,0,IF(E3509="MXN",1/HLOOKUP(YEAR(C3509)+(MONTH(C3509)/100),TC!$5:$37,DAY(C3509)+2,FALSE),VLOOKUP(E3509,Equivalencia!$5:$23,((MAX(Equivalencia!$3:$3)-YEAR(C3509))*14)+MONTH(C3509)+2,FALSE)))</f>
        <v>0</v>
      </c>
      <c r="J3509" s="178">
        <f t="shared" si="275"/>
        <v>0</v>
      </c>
      <c r="K3509" s="462">
        <f>IF(C3509=0,0,VLOOKUP(YEAR(C3509),INPC!$B$4:$O$29,MONTH(C3509)+1))</f>
        <v>0</v>
      </c>
      <c r="L3509" s="462">
        <f>IF(S3509=0,0,VLOOKUP(YEAR(S3509),INPC!$B$4:$O$29,MONTH(S3509)+1))</f>
        <v>0</v>
      </c>
      <c r="M3509" s="463">
        <f t="shared" si="276"/>
        <v>0</v>
      </c>
      <c r="N3509" s="465">
        <f t="shared" si="277"/>
        <v>0</v>
      </c>
      <c r="O3509" s="179"/>
      <c r="P3509" s="180"/>
      <c r="Q3509" s="173"/>
      <c r="R3509" s="173"/>
      <c r="S3509" s="174"/>
      <c r="T3509" s="173"/>
      <c r="U3509" s="182"/>
      <c r="V3509" s="177">
        <f>IF(U3509=0,0,IF(T3509="MXN",1/HLOOKUP(YEAR(S3509)+(MONTH(S3509)/100),TC!$5:$37,DAY(S3509)+2,FALSE),VLOOKUP(T3509,Equivalencia!$1:$23,((MAX(Equivalencia!$3:$3)-YEAR(S3509))*14)+MONTH(S3509)+2,FALSE)))</f>
        <v>0</v>
      </c>
      <c r="W3509" s="178">
        <f t="shared" si="278"/>
        <v>0</v>
      </c>
      <c r="X3509" s="481">
        <f t="shared" si="279"/>
        <v>0</v>
      </c>
      <c r="Y3509" s="179"/>
      <c r="Z3509" s="466">
        <f t="shared" si="280"/>
        <v>0</v>
      </c>
      <c r="AA3509" s="473">
        <f t="shared" si="281"/>
        <v>0</v>
      </c>
      <c r="AB3509" s="339">
        <f t="shared" si="282"/>
        <v>0</v>
      </c>
    </row>
    <row r="3510" spans="2:28" ht="20.100000000000001" customHeight="1">
      <c r="B3510" s="172"/>
      <c r="C3510" s="174"/>
      <c r="D3510" s="181"/>
      <c r="E3510" s="173"/>
      <c r="F3510" s="176"/>
      <c r="G3510" s="175">
        <f t="shared" si="273"/>
        <v>0</v>
      </c>
      <c r="H3510" s="175">
        <f t="shared" si="274"/>
        <v>0</v>
      </c>
      <c r="I3510" s="177">
        <f>IF(G3510=0,0,IF(E3510="MXN",1/HLOOKUP(YEAR(C3510)+(MONTH(C3510)/100),TC!$5:$37,DAY(C3510)+2,FALSE),VLOOKUP(E3510,Equivalencia!$5:$23,((MAX(Equivalencia!$3:$3)-YEAR(C3510))*14)+MONTH(C3510)+2,FALSE)))</f>
        <v>0</v>
      </c>
      <c r="J3510" s="178">
        <f t="shared" si="275"/>
        <v>0</v>
      </c>
      <c r="K3510" s="462">
        <f>IF(C3510=0,0,VLOOKUP(YEAR(C3510),INPC!$B$4:$O$29,MONTH(C3510)+1))</f>
        <v>0</v>
      </c>
      <c r="L3510" s="462">
        <f>IF(S3510=0,0,VLOOKUP(YEAR(S3510),INPC!$B$4:$O$29,MONTH(S3510)+1))</f>
        <v>0</v>
      </c>
      <c r="M3510" s="463">
        <f t="shared" si="276"/>
        <v>0</v>
      </c>
      <c r="N3510" s="465">
        <f t="shared" si="277"/>
        <v>0</v>
      </c>
      <c r="O3510" s="179"/>
      <c r="P3510" s="180"/>
      <c r="Q3510" s="173"/>
      <c r="R3510" s="173"/>
      <c r="S3510" s="174"/>
      <c r="T3510" s="173"/>
      <c r="U3510" s="182"/>
      <c r="V3510" s="177">
        <f>IF(U3510=0,0,IF(T3510="MXN",1/HLOOKUP(YEAR(S3510)+(MONTH(S3510)/100),TC!$5:$37,DAY(S3510)+2,FALSE),VLOOKUP(T3510,Equivalencia!$1:$23,((MAX(Equivalencia!$3:$3)-YEAR(S3510))*14)+MONTH(S3510)+2,FALSE)))</f>
        <v>0</v>
      </c>
      <c r="W3510" s="178">
        <f t="shared" si="278"/>
        <v>0</v>
      </c>
      <c r="X3510" s="481">
        <f t="shared" si="279"/>
        <v>0</v>
      </c>
      <c r="Y3510" s="179"/>
      <c r="Z3510" s="466">
        <f t="shared" si="280"/>
        <v>0</v>
      </c>
      <c r="AA3510" s="473">
        <f t="shared" si="281"/>
        <v>0</v>
      </c>
      <c r="AB3510" s="339">
        <f t="shared" si="282"/>
        <v>0</v>
      </c>
    </row>
    <row r="3511" spans="2:28" ht="20.100000000000001" customHeight="1">
      <c r="B3511" s="172"/>
      <c r="C3511" s="174"/>
      <c r="D3511" s="181"/>
      <c r="E3511" s="173"/>
      <c r="F3511" s="176"/>
      <c r="G3511" s="175">
        <f t="shared" si="273"/>
        <v>0</v>
      </c>
      <c r="H3511" s="175">
        <f t="shared" si="274"/>
        <v>0</v>
      </c>
      <c r="I3511" s="177">
        <f>IF(G3511=0,0,IF(E3511="MXN",1/HLOOKUP(YEAR(C3511)+(MONTH(C3511)/100),TC!$5:$37,DAY(C3511)+2,FALSE),VLOOKUP(E3511,Equivalencia!$5:$23,((MAX(Equivalencia!$3:$3)-YEAR(C3511))*14)+MONTH(C3511)+2,FALSE)))</f>
        <v>0</v>
      </c>
      <c r="J3511" s="178">
        <f t="shared" si="275"/>
        <v>0</v>
      </c>
      <c r="K3511" s="462">
        <f>IF(C3511=0,0,VLOOKUP(YEAR(C3511),INPC!$B$4:$O$29,MONTH(C3511)+1))</f>
        <v>0</v>
      </c>
      <c r="L3511" s="462">
        <f>IF(S3511=0,0,VLOOKUP(YEAR(S3511),INPC!$B$4:$O$29,MONTH(S3511)+1))</f>
        <v>0</v>
      </c>
      <c r="M3511" s="463">
        <f t="shared" si="276"/>
        <v>0</v>
      </c>
      <c r="N3511" s="465">
        <f t="shared" si="277"/>
        <v>0</v>
      </c>
      <c r="O3511" s="179"/>
      <c r="P3511" s="180"/>
      <c r="Q3511" s="173"/>
      <c r="R3511" s="173"/>
      <c r="S3511" s="174"/>
      <c r="T3511" s="173"/>
      <c r="U3511" s="182"/>
      <c r="V3511" s="177">
        <f>IF(U3511=0,0,IF(T3511="MXN",1/HLOOKUP(YEAR(S3511)+(MONTH(S3511)/100),TC!$5:$37,DAY(S3511)+2,FALSE),VLOOKUP(T3511,Equivalencia!$1:$23,((MAX(Equivalencia!$3:$3)-YEAR(S3511))*14)+MONTH(S3511)+2,FALSE)))</f>
        <v>0</v>
      </c>
      <c r="W3511" s="178">
        <f t="shared" si="278"/>
        <v>0</v>
      </c>
      <c r="X3511" s="481">
        <f t="shared" si="279"/>
        <v>0</v>
      </c>
      <c r="Y3511" s="179"/>
      <c r="Z3511" s="466">
        <f t="shared" si="280"/>
        <v>0</v>
      </c>
      <c r="AA3511" s="473">
        <f t="shared" si="281"/>
        <v>0</v>
      </c>
      <c r="AB3511" s="339">
        <f t="shared" si="282"/>
        <v>0</v>
      </c>
    </row>
    <row r="3512" spans="2:28" ht="20.100000000000001" customHeight="1">
      <c r="B3512" s="172"/>
      <c r="C3512" s="174"/>
      <c r="D3512" s="181"/>
      <c r="E3512" s="173"/>
      <c r="F3512" s="176"/>
      <c r="G3512" s="175">
        <f t="shared" si="273"/>
        <v>0</v>
      </c>
      <c r="H3512" s="175">
        <f t="shared" si="274"/>
        <v>0</v>
      </c>
      <c r="I3512" s="177">
        <f>IF(G3512=0,0,IF(E3512="MXN",1/HLOOKUP(YEAR(C3512)+(MONTH(C3512)/100),TC!$5:$37,DAY(C3512)+2,FALSE),VLOOKUP(E3512,Equivalencia!$5:$23,((MAX(Equivalencia!$3:$3)-YEAR(C3512))*14)+MONTH(C3512)+2,FALSE)))</f>
        <v>0</v>
      </c>
      <c r="J3512" s="178">
        <f t="shared" si="275"/>
        <v>0</v>
      </c>
      <c r="K3512" s="462">
        <f>IF(C3512=0,0,VLOOKUP(YEAR(C3512),INPC!$B$4:$O$29,MONTH(C3512)+1))</f>
        <v>0</v>
      </c>
      <c r="L3512" s="462">
        <f>IF(S3512=0,0,VLOOKUP(YEAR(S3512),INPC!$B$4:$O$29,MONTH(S3512)+1))</f>
        <v>0</v>
      </c>
      <c r="M3512" s="463">
        <f t="shared" si="276"/>
        <v>0</v>
      </c>
      <c r="N3512" s="465">
        <f t="shared" si="277"/>
        <v>0</v>
      </c>
      <c r="O3512" s="179"/>
      <c r="P3512" s="180"/>
      <c r="Q3512" s="173"/>
      <c r="R3512" s="173"/>
      <c r="S3512" s="174"/>
      <c r="T3512" s="173"/>
      <c r="U3512" s="182"/>
      <c r="V3512" s="177">
        <f>IF(U3512=0,0,IF(T3512="MXN",1/HLOOKUP(YEAR(S3512)+(MONTH(S3512)/100),TC!$5:$37,DAY(S3512)+2,FALSE),VLOOKUP(T3512,Equivalencia!$1:$23,((MAX(Equivalencia!$3:$3)-YEAR(S3512))*14)+MONTH(S3512)+2,FALSE)))</f>
        <v>0</v>
      </c>
      <c r="W3512" s="178">
        <f t="shared" si="278"/>
        <v>0</v>
      </c>
      <c r="X3512" s="481">
        <f t="shared" si="279"/>
        <v>0</v>
      </c>
      <c r="Y3512" s="179"/>
      <c r="Z3512" s="466">
        <f t="shared" si="280"/>
        <v>0</v>
      </c>
      <c r="AA3512" s="473">
        <f t="shared" si="281"/>
        <v>0</v>
      </c>
      <c r="AB3512" s="339">
        <f t="shared" si="282"/>
        <v>0</v>
      </c>
    </row>
    <row r="3513" spans="2:28" ht="20.100000000000001" customHeight="1">
      <c r="B3513" s="172"/>
      <c r="C3513" s="174"/>
      <c r="D3513" s="181"/>
      <c r="E3513" s="173"/>
      <c r="F3513" s="176"/>
      <c r="G3513" s="175">
        <f t="shared" si="273"/>
        <v>0</v>
      </c>
      <c r="H3513" s="175">
        <f t="shared" si="274"/>
        <v>0</v>
      </c>
      <c r="I3513" s="177">
        <f>IF(G3513=0,0,IF(E3513="MXN",1/HLOOKUP(YEAR(C3513)+(MONTH(C3513)/100),TC!$5:$37,DAY(C3513)+2,FALSE),VLOOKUP(E3513,Equivalencia!$5:$23,((MAX(Equivalencia!$3:$3)-YEAR(C3513))*14)+MONTH(C3513)+2,FALSE)))</f>
        <v>0</v>
      </c>
      <c r="J3513" s="178">
        <f t="shared" si="275"/>
        <v>0</v>
      </c>
      <c r="K3513" s="462">
        <f>IF(C3513=0,0,VLOOKUP(YEAR(C3513),INPC!$B$4:$O$29,MONTH(C3513)+1))</f>
        <v>0</v>
      </c>
      <c r="L3513" s="462">
        <f>IF(S3513=0,0,VLOOKUP(YEAR(S3513),INPC!$B$4:$O$29,MONTH(S3513)+1))</f>
        <v>0</v>
      </c>
      <c r="M3513" s="463">
        <f t="shared" si="276"/>
        <v>0</v>
      </c>
      <c r="N3513" s="465">
        <f t="shared" si="277"/>
        <v>0</v>
      </c>
      <c r="O3513" s="179"/>
      <c r="P3513" s="180"/>
      <c r="Q3513" s="173"/>
      <c r="R3513" s="173"/>
      <c r="S3513" s="174"/>
      <c r="T3513" s="173"/>
      <c r="U3513" s="182"/>
      <c r="V3513" s="177">
        <f>IF(U3513=0,0,IF(T3513="MXN",1/HLOOKUP(YEAR(S3513)+(MONTH(S3513)/100),TC!$5:$37,DAY(S3513)+2,FALSE),VLOOKUP(T3513,Equivalencia!$1:$23,((MAX(Equivalencia!$3:$3)-YEAR(S3513))*14)+MONTH(S3513)+2,FALSE)))</f>
        <v>0</v>
      </c>
      <c r="W3513" s="178">
        <f t="shared" si="278"/>
        <v>0</v>
      </c>
      <c r="X3513" s="481">
        <f t="shared" si="279"/>
        <v>0</v>
      </c>
      <c r="Y3513" s="179"/>
      <c r="Z3513" s="466">
        <f t="shared" si="280"/>
        <v>0</v>
      </c>
      <c r="AA3513" s="473">
        <f t="shared" si="281"/>
        <v>0</v>
      </c>
      <c r="AB3513" s="339">
        <f t="shared" si="282"/>
        <v>0</v>
      </c>
    </row>
    <row r="3514" spans="2:28" ht="20.100000000000001" customHeight="1">
      <c r="B3514" s="172"/>
      <c r="C3514" s="174"/>
      <c r="D3514" s="181"/>
      <c r="E3514" s="173"/>
      <c r="F3514" s="176"/>
      <c r="G3514" s="175">
        <f t="shared" si="273"/>
        <v>0</v>
      </c>
      <c r="H3514" s="175">
        <f t="shared" si="274"/>
        <v>0</v>
      </c>
      <c r="I3514" s="177">
        <f>IF(G3514=0,0,IF(E3514="MXN",1/HLOOKUP(YEAR(C3514)+(MONTH(C3514)/100),TC!$5:$37,DAY(C3514)+2,FALSE),VLOOKUP(E3514,Equivalencia!$5:$23,((MAX(Equivalencia!$3:$3)-YEAR(C3514))*14)+MONTH(C3514)+2,FALSE)))</f>
        <v>0</v>
      </c>
      <c r="J3514" s="178">
        <f t="shared" si="275"/>
        <v>0</v>
      </c>
      <c r="K3514" s="462">
        <f>IF(C3514=0,0,VLOOKUP(YEAR(C3514),INPC!$B$4:$O$29,MONTH(C3514)+1))</f>
        <v>0</v>
      </c>
      <c r="L3514" s="462">
        <f>IF(S3514=0,0,VLOOKUP(YEAR(S3514),INPC!$B$4:$O$29,MONTH(S3514)+1))</f>
        <v>0</v>
      </c>
      <c r="M3514" s="463">
        <f t="shared" si="276"/>
        <v>0</v>
      </c>
      <c r="N3514" s="465">
        <f t="shared" si="277"/>
        <v>0</v>
      </c>
      <c r="O3514" s="179"/>
      <c r="P3514" s="180"/>
      <c r="Q3514" s="173"/>
      <c r="R3514" s="173"/>
      <c r="S3514" s="174"/>
      <c r="T3514" s="173"/>
      <c r="U3514" s="182"/>
      <c r="V3514" s="177">
        <f>IF(U3514=0,0,IF(T3514="MXN",1/HLOOKUP(YEAR(S3514)+(MONTH(S3514)/100),TC!$5:$37,DAY(S3514)+2,FALSE),VLOOKUP(T3514,Equivalencia!$1:$23,((MAX(Equivalencia!$3:$3)-YEAR(S3514))*14)+MONTH(S3514)+2,FALSE)))</f>
        <v>0</v>
      </c>
      <c r="W3514" s="178">
        <f t="shared" si="278"/>
        <v>0</v>
      </c>
      <c r="X3514" s="481">
        <f t="shared" si="279"/>
        <v>0</v>
      </c>
      <c r="Y3514" s="179"/>
      <c r="Z3514" s="466">
        <f t="shared" si="280"/>
        <v>0</v>
      </c>
      <c r="AA3514" s="473">
        <f t="shared" si="281"/>
        <v>0</v>
      </c>
      <c r="AB3514" s="339">
        <f t="shared" si="282"/>
        <v>0</v>
      </c>
    </row>
    <row r="3515" spans="2:28" ht="20.100000000000001" customHeight="1">
      <c r="B3515" s="172"/>
      <c r="C3515" s="174"/>
      <c r="D3515" s="181"/>
      <c r="E3515" s="173"/>
      <c r="F3515" s="176"/>
      <c r="G3515" s="175">
        <f t="shared" si="273"/>
        <v>0</v>
      </c>
      <c r="H3515" s="175">
        <f t="shared" si="274"/>
        <v>0</v>
      </c>
      <c r="I3515" s="177">
        <f>IF(G3515=0,0,IF(E3515="MXN",1/HLOOKUP(YEAR(C3515)+(MONTH(C3515)/100),TC!$5:$37,DAY(C3515)+2,FALSE),VLOOKUP(E3515,Equivalencia!$5:$23,((MAX(Equivalencia!$3:$3)-YEAR(C3515))*14)+MONTH(C3515)+2,FALSE)))</f>
        <v>0</v>
      </c>
      <c r="J3515" s="178">
        <f t="shared" si="275"/>
        <v>0</v>
      </c>
      <c r="K3515" s="462">
        <f>IF(C3515=0,0,VLOOKUP(YEAR(C3515),INPC!$B$4:$O$29,MONTH(C3515)+1))</f>
        <v>0</v>
      </c>
      <c r="L3515" s="462">
        <f>IF(S3515=0,0,VLOOKUP(YEAR(S3515),INPC!$B$4:$O$29,MONTH(S3515)+1))</f>
        <v>0</v>
      </c>
      <c r="M3515" s="463">
        <f t="shared" si="276"/>
        <v>0</v>
      </c>
      <c r="N3515" s="465">
        <f t="shared" si="277"/>
        <v>0</v>
      </c>
      <c r="O3515" s="179"/>
      <c r="P3515" s="180"/>
      <c r="Q3515" s="173"/>
      <c r="R3515" s="173"/>
      <c r="S3515" s="174"/>
      <c r="T3515" s="173"/>
      <c r="U3515" s="182"/>
      <c r="V3515" s="177">
        <f>IF(U3515=0,0,IF(T3515="MXN",1/HLOOKUP(YEAR(S3515)+(MONTH(S3515)/100),TC!$5:$37,DAY(S3515)+2,FALSE),VLOOKUP(T3515,Equivalencia!$1:$23,((MAX(Equivalencia!$3:$3)-YEAR(S3515))*14)+MONTH(S3515)+2,FALSE)))</f>
        <v>0</v>
      </c>
      <c r="W3515" s="178">
        <f t="shared" si="278"/>
        <v>0</v>
      </c>
      <c r="X3515" s="481">
        <f t="shared" si="279"/>
        <v>0</v>
      </c>
      <c r="Y3515" s="179"/>
      <c r="Z3515" s="466">
        <f t="shared" si="280"/>
        <v>0</v>
      </c>
      <c r="AA3515" s="473">
        <f t="shared" si="281"/>
        <v>0</v>
      </c>
      <c r="AB3515" s="339">
        <f t="shared" si="282"/>
        <v>0</v>
      </c>
    </row>
    <row r="3516" spans="2:28" ht="20.100000000000001" customHeight="1">
      <c r="B3516" s="172"/>
      <c r="C3516" s="174"/>
      <c r="D3516" s="181"/>
      <c r="E3516" s="173"/>
      <c r="F3516" s="176"/>
      <c r="G3516" s="175">
        <f t="shared" si="273"/>
        <v>0</v>
      </c>
      <c r="H3516" s="175">
        <f t="shared" si="274"/>
        <v>0</v>
      </c>
      <c r="I3516" s="177">
        <f>IF(G3516=0,0,IF(E3516="MXN",1/HLOOKUP(YEAR(C3516)+(MONTH(C3516)/100),TC!$5:$37,DAY(C3516)+2,FALSE),VLOOKUP(E3516,Equivalencia!$5:$23,((MAX(Equivalencia!$3:$3)-YEAR(C3516))*14)+MONTH(C3516)+2,FALSE)))</f>
        <v>0</v>
      </c>
      <c r="J3516" s="178">
        <f t="shared" si="275"/>
        <v>0</v>
      </c>
      <c r="K3516" s="462">
        <f>IF(C3516=0,0,VLOOKUP(YEAR(C3516),INPC!$B$4:$O$29,MONTH(C3516)+1))</f>
        <v>0</v>
      </c>
      <c r="L3516" s="462">
        <f>IF(S3516=0,0,VLOOKUP(YEAR(S3516),INPC!$B$4:$O$29,MONTH(S3516)+1))</f>
        <v>0</v>
      </c>
      <c r="M3516" s="463">
        <f t="shared" si="276"/>
        <v>0</v>
      </c>
      <c r="N3516" s="465">
        <f t="shared" si="277"/>
        <v>0</v>
      </c>
      <c r="O3516" s="179"/>
      <c r="P3516" s="180"/>
      <c r="Q3516" s="173"/>
      <c r="R3516" s="173"/>
      <c r="S3516" s="174"/>
      <c r="T3516" s="173"/>
      <c r="U3516" s="182"/>
      <c r="V3516" s="177">
        <f>IF(U3516=0,0,IF(T3516="MXN",1/HLOOKUP(YEAR(S3516)+(MONTH(S3516)/100),TC!$5:$37,DAY(S3516)+2,FALSE),VLOOKUP(T3516,Equivalencia!$1:$23,((MAX(Equivalencia!$3:$3)-YEAR(S3516))*14)+MONTH(S3516)+2,FALSE)))</f>
        <v>0</v>
      </c>
      <c r="W3516" s="178">
        <f t="shared" si="278"/>
        <v>0</v>
      </c>
      <c r="X3516" s="481">
        <f t="shared" si="279"/>
        <v>0</v>
      </c>
      <c r="Y3516" s="179"/>
      <c r="Z3516" s="466">
        <f t="shared" si="280"/>
        <v>0</v>
      </c>
      <c r="AA3516" s="473">
        <f t="shared" si="281"/>
        <v>0</v>
      </c>
      <c r="AB3516" s="339">
        <f t="shared" si="282"/>
        <v>0</v>
      </c>
    </row>
    <row r="3517" spans="2:28" ht="20.100000000000001" customHeight="1">
      <c r="B3517" s="172"/>
      <c r="C3517" s="174"/>
      <c r="D3517" s="181"/>
      <c r="E3517" s="173"/>
      <c r="F3517" s="176"/>
      <c r="G3517" s="175">
        <f t="shared" si="273"/>
        <v>0</v>
      </c>
      <c r="H3517" s="175">
        <f t="shared" si="274"/>
        <v>0</v>
      </c>
      <c r="I3517" s="177">
        <f>IF(G3517=0,0,IF(E3517="MXN",1/HLOOKUP(YEAR(C3517)+(MONTH(C3517)/100),TC!$5:$37,DAY(C3517)+2,FALSE),VLOOKUP(E3517,Equivalencia!$5:$23,((MAX(Equivalencia!$3:$3)-YEAR(C3517))*14)+MONTH(C3517)+2,FALSE)))</f>
        <v>0</v>
      </c>
      <c r="J3517" s="178">
        <f t="shared" si="275"/>
        <v>0</v>
      </c>
      <c r="K3517" s="462">
        <f>IF(C3517=0,0,VLOOKUP(YEAR(C3517),INPC!$B$4:$O$29,MONTH(C3517)+1))</f>
        <v>0</v>
      </c>
      <c r="L3517" s="462">
        <f>IF(S3517=0,0,VLOOKUP(YEAR(S3517),INPC!$B$4:$O$29,MONTH(S3517)+1))</f>
        <v>0</v>
      </c>
      <c r="M3517" s="463">
        <f t="shared" si="276"/>
        <v>0</v>
      </c>
      <c r="N3517" s="465">
        <f t="shared" si="277"/>
        <v>0</v>
      </c>
      <c r="O3517" s="179"/>
      <c r="P3517" s="180"/>
      <c r="Q3517" s="173"/>
      <c r="R3517" s="173"/>
      <c r="S3517" s="174"/>
      <c r="T3517" s="173"/>
      <c r="U3517" s="182"/>
      <c r="V3517" s="177">
        <f>IF(U3517=0,0,IF(T3517="MXN",1/HLOOKUP(YEAR(S3517)+(MONTH(S3517)/100),TC!$5:$37,DAY(S3517)+2,FALSE),VLOOKUP(T3517,Equivalencia!$1:$23,((MAX(Equivalencia!$3:$3)-YEAR(S3517))*14)+MONTH(S3517)+2,FALSE)))</f>
        <v>0</v>
      </c>
      <c r="W3517" s="178">
        <f t="shared" si="278"/>
        <v>0</v>
      </c>
      <c r="X3517" s="481">
        <f t="shared" si="279"/>
        <v>0</v>
      </c>
      <c r="Y3517" s="179"/>
      <c r="Z3517" s="466">
        <f t="shared" si="280"/>
        <v>0</v>
      </c>
      <c r="AA3517" s="473">
        <f t="shared" si="281"/>
        <v>0</v>
      </c>
      <c r="AB3517" s="339">
        <f t="shared" si="282"/>
        <v>0</v>
      </c>
    </row>
    <row r="3518" spans="2:28" ht="20.100000000000001" customHeight="1">
      <c r="B3518" s="172"/>
      <c r="C3518" s="174"/>
      <c r="D3518" s="181"/>
      <c r="E3518" s="173"/>
      <c r="F3518" s="176"/>
      <c r="G3518" s="175">
        <f t="shared" si="273"/>
        <v>0</v>
      </c>
      <c r="H3518" s="175">
        <f t="shared" si="274"/>
        <v>0</v>
      </c>
      <c r="I3518" s="177">
        <f>IF(G3518=0,0,IF(E3518="MXN",1/HLOOKUP(YEAR(C3518)+(MONTH(C3518)/100),TC!$5:$37,DAY(C3518)+2,FALSE),VLOOKUP(E3518,Equivalencia!$5:$23,((MAX(Equivalencia!$3:$3)-YEAR(C3518))*14)+MONTH(C3518)+2,FALSE)))</f>
        <v>0</v>
      </c>
      <c r="J3518" s="178">
        <f t="shared" si="275"/>
        <v>0</v>
      </c>
      <c r="K3518" s="462">
        <f>IF(C3518=0,0,VLOOKUP(YEAR(C3518),INPC!$B$4:$O$29,MONTH(C3518)+1))</f>
        <v>0</v>
      </c>
      <c r="L3518" s="462">
        <f>IF(S3518=0,0,VLOOKUP(YEAR(S3518),INPC!$B$4:$O$29,MONTH(S3518)+1))</f>
        <v>0</v>
      </c>
      <c r="M3518" s="463">
        <f t="shared" si="276"/>
        <v>0</v>
      </c>
      <c r="N3518" s="465">
        <f t="shared" si="277"/>
        <v>0</v>
      </c>
      <c r="O3518" s="179"/>
      <c r="P3518" s="180"/>
      <c r="Q3518" s="173"/>
      <c r="R3518" s="173"/>
      <c r="S3518" s="174"/>
      <c r="T3518" s="173"/>
      <c r="U3518" s="182"/>
      <c r="V3518" s="177">
        <f>IF(U3518=0,0,IF(T3518="MXN",1/HLOOKUP(YEAR(S3518)+(MONTH(S3518)/100),TC!$5:$37,DAY(S3518)+2,FALSE),VLOOKUP(T3518,Equivalencia!$1:$23,((MAX(Equivalencia!$3:$3)-YEAR(S3518))*14)+MONTH(S3518)+2,FALSE)))</f>
        <v>0</v>
      </c>
      <c r="W3518" s="178">
        <f t="shared" si="278"/>
        <v>0</v>
      </c>
      <c r="X3518" s="481">
        <f t="shared" si="279"/>
        <v>0</v>
      </c>
      <c r="Y3518" s="179"/>
      <c r="Z3518" s="466">
        <f t="shared" si="280"/>
        <v>0</v>
      </c>
      <c r="AA3518" s="473">
        <f t="shared" si="281"/>
        <v>0</v>
      </c>
      <c r="AB3518" s="339">
        <f t="shared" si="282"/>
        <v>0</v>
      </c>
    </row>
    <row r="3519" spans="2:28" ht="20.100000000000001" customHeight="1">
      <c r="B3519" s="172"/>
      <c r="C3519" s="174"/>
      <c r="D3519" s="181"/>
      <c r="E3519" s="173"/>
      <c r="F3519" s="176"/>
      <c r="G3519" s="175">
        <f t="shared" si="273"/>
        <v>0</v>
      </c>
      <c r="H3519" s="175">
        <f t="shared" si="274"/>
        <v>0</v>
      </c>
      <c r="I3519" s="177">
        <f>IF(G3519=0,0,IF(E3519="MXN",1/HLOOKUP(YEAR(C3519)+(MONTH(C3519)/100),TC!$5:$37,DAY(C3519)+2,FALSE),VLOOKUP(E3519,Equivalencia!$5:$23,((MAX(Equivalencia!$3:$3)-YEAR(C3519))*14)+MONTH(C3519)+2,FALSE)))</f>
        <v>0</v>
      </c>
      <c r="J3519" s="178">
        <f t="shared" si="275"/>
        <v>0</v>
      </c>
      <c r="K3519" s="462">
        <f>IF(C3519=0,0,VLOOKUP(YEAR(C3519),INPC!$B$4:$O$29,MONTH(C3519)+1))</f>
        <v>0</v>
      </c>
      <c r="L3519" s="462">
        <f>IF(S3519=0,0,VLOOKUP(YEAR(S3519),INPC!$B$4:$O$29,MONTH(S3519)+1))</f>
        <v>0</v>
      </c>
      <c r="M3519" s="463">
        <f t="shared" si="276"/>
        <v>0</v>
      </c>
      <c r="N3519" s="465">
        <f t="shared" si="277"/>
        <v>0</v>
      </c>
      <c r="O3519" s="179"/>
      <c r="P3519" s="180"/>
      <c r="Q3519" s="173"/>
      <c r="R3519" s="173"/>
      <c r="S3519" s="174"/>
      <c r="T3519" s="173"/>
      <c r="U3519" s="182"/>
      <c r="V3519" s="177">
        <f>IF(U3519=0,0,IF(T3519="MXN",1/HLOOKUP(YEAR(S3519)+(MONTH(S3519)/100),TC!$5:$37,DAY(S3519)+2,FALSE),VLOOKUP(T3519,Equivalencia!$1:$23,((MAX(Equivalencia!$3:$3)-YEAR(S3519))*14)+MONTH(S3519)+2,FALSE)))</f>
        <v>0</v>
      </c>
      <c r="W3519" s="178">
        <f t="shared" si="278"/>
        <v>0</v>
      </c>
      <c r="X3519" s="481">
        <f t="shared" si="279"/>
        <v>0</v>
      </c>
      <c r="Y3519" s="179"/>
      <c r="Z3519" s="466">
        <f t="shared" si="280"/>
        <v>0</v>
      </c>
      <c r="AA3519" s="473">
        <f t="shared" si="281"/>
        <v>0</v>
      </c>
      <c r="AB3519" s="339">
        <f t="shared" si="282"/>
        <v>0</v>
      </c>
    </row>
    <row r="3520" spans="2:28" ht="20.100000000000001" customHeight="1">
      <c r="B3520" s="172"/>
      <c r="C3520" s="174"/>
      <c r="D3520" s="181"/>
      <c r="E3520" s="173"/>
      <c r="F3520" s="176"/>
      <c r="G3520" s="175">
        <f t="shared" si="273"/>
        <v>0</v>
      </c>
      <c r="H3520" s="175">
        <f t="shared" si="274"/>
        <v>0</v>
      </c>
      <c r="I3520" s="177">
        <f>IF(G3520=0,0,IF(E3520="MXN",1/HLOOKUP(YEAR(C3520)+(MONTH(C3520)/100),TC!$5:$37,DAY(C3520)+2,FALSE),VLOOKUP(E3520,Equivalencia!$5:$23,((MAX(Equivalencia!$3:$3)-YEAR(C3520))*14)+MONTH(C3520)+2,FALSE)))</f>
        <v>0</v>
      </c>
      <c r="J3520" s="178">
        <f t="shared" si="275"/>
        <v>0</v>
      </c>
      <c r="K3520" s="462">
        <f>IF(C3520=0,0,VLOOKUP(YEAR(C3520),INPC!$B$4:$O$29,MONTH(C3520)+1))</f>
        <v>0</v>
      </c>
      <c r="L3520" s="462">
        <f>IF(S3520=0,0,VLOOKUP(YEAR(S3520),INPC!$B$4:$O$29,MONTH(S3520)+1))</f>
        <v>0</v>
      </c>
      <c r="M3520" s="463">
        <f t="shared" si="276"/>
        <v>0</v>
      </c>
      <c r="N3520" s="465">
        <f t="shared" si="277"/>
        <v>0</v>
      </c>
      <c r="O3520" s="179"/>
      <c r="P3520" s="180"/>
      <c r="Q3520" s="173"/>
      <c r="R3520" s="173"/>
      <c r="S3520" s="174"/>
      <c r="T3520" s="173"/>
      <c r="U3520" s="182"/>
      <c r="V3520" s="177">
        <f>IF(U3520=0,0,IF(T3520="MXN",1/HLOOKUP(YEAR(S3520)+(MONTH(S3520)/100),TC!$5:$37,DAY(S3520)+2,FALSE),VLOOKUP(T3520,Equivalencia!$1:$23,((MAX(Equivalencia!$3:$3)-YEAR(S3520))*14)+MONTH(S3520)+2,FALSE)))</f>
        <v>0</v>
      </c>
      <c r="W3520" s="178">
        <f t="shared" si="278"/>
        <v>0</v>
      </c>
      <c r="X3520" s="481">
        <f t="shared" si="279"/>
        <v>0</v>
      </c>
      <c r="Y3520" s="179"/>
      <c r="Z3520" s="466">
        <f t="shared" si="280"/>
        <v>0</v>
      </c>
      <c r="AA3520" s="473">
        <f t="shared" si="281"/>
        <v>0</v>
      </c>
      <c r="AB3520" s="339">
        <f t="shared" si="282"/>
        <v>0</v>
      </c>
    </row>
    <row r="3521" spans="2:28" ht="20.100000000000001" customHeight="1">
      <c r="B3521" s="172"/>
      <c r="C3521" s="174"/>
      <c r="D3521" s="181"/>
      <c r="E3521" s="173"/>
      <c r="F3521" s="176"/>
      <c r="G3521" s="175">
        <f t="shared" si="273"/>
        <v>0</v>
      </c>
      <c r="H3521" s="175">
        <f t="shared" si="274"/>
        <v>0</v>
      </c>
      <c r="I3521" s="177">
        <f>IF(G3521=0,0,IF(E3521="MXN",1/HLOOKUP(YEAR(C3521)+(MONTH(C3521)/100),TC!$5:$37,DAY(C3521)+2,FALSE),VLOOKUP(E3521,Equivalencia!$5:$23,((MAX(Equivalencia!$3:$3)-YEAR(C3521))*14)+MONTH(C3521)+2,FALSE)))</f>
        <v>0</v>
      </c>
      <c r="J3521" s="178">
        <f t="shared" si="275"/>
        <v>0</v>
      </c>
      <c r="K3521" s="462">
        <f>IF(C3521=0,0,VLOOKUP(YEAR(C3521),INPC!$B$4:$O$29,MONTH(C3521)+1))</f>
        <v>0</v>
      </c>
      <c r="L3521" s="462">
        <f>IF(S3521=0,0,VLOOKUP(YEAR(S3521),INPC!$B$4:$O$29,MONTH(S3521)+1))</f>
        <v>0</v>
      </c>
      <c r="M3521" s="463">
        <f t="shared" si="276"/>
        <v>0</v>
      </c>
      <c r="N3521" s="465">
        <f t="shared" si="277"/>
        <v>0</v>
      </c>
      <c r="O3521" s="179"/>
      <c r="P3521" s="180"/>
      <c r="Q3521" s="173"/>
      <c r="R3521" s="173"/>
      <c r="S3521" s="174"/>
      <c r="T3521" s="173"/>
      <c r="U3521" s="182"/>
      <c r="V3521" s="177">
        <f>IF(U3521=0,0,IF(T3521="MXN",1/HLOOKUP(YEAR(S3521)+(MONTH(S3521)/100),TC!$5:$37,DAY(S3521)+2,FALSE),VLOOKUP(T3521,Equivalencia!$1:$23,((MAX(Equivalencia!$3:$3)-YEAR(S3521))*14)+MONTH(S3521)+2,FALSE)))</f>
        <v>0</v>
      </c>
      <c r="W3521" s="178">
        <f t="shared" si="278"/>
        <v>0</v>
      </c>
      <c r="X3521" s="481">
        <f t="shared" si="279"/>
        <v>0</v>
      </c>
      <c r="Y3521" s="179"/>
      <c r="Z3521" s="466">
        <f t="shared" si="280"/>
        <v>0</v>
      </c>
      <c r="AA3521" s="473">
        <f t="shared" si="281"/>
        <v>0</v>
      </c>
      <c r="AB3521" s="339">
        <f t="shared" si="282"/>
        <v>0</v>
      </c>
    </row>
    <row r="3522" spans="2:28" ht="20.100000000000001" customHeight="1">
      <c r="B3522" s="172"/>
      <c r="C3522" s="174"/>
      <c r="D3522" s="181"/>
      <c r="E3522" s="173"/>
      <c r="F3522" s="176"/>
      <c r="G3522" s="175">
        <f t="shared" si="273"/>
        <v>0</v>
      </c>
      <c r="H3522" s="175">
        <f t="shared" si="274"/>
        <v>0</v>
      </c>
      <c r="I3522" s="177">
        <f>IF(G3522=0,0,IF(E3522="MXN",1/HLOOKUP(YEAR(C3522)+(MONTH(C3522)/100),TC!$5:$37,DAY(C3522)+2,FALSE),VLOOKUP(E3522,Equivalencia!$5:$23,((MAX(Equivalencia!$3:$3)-YEAR(C3522))*14)+MONTH(C3522)+2,FALSE)))</f>
        <v>0</v>
      </c>
      <c r="J3522" s="178">
        <f t="shared" si="275"/>
        <v>0</v>
      </c>
      <c r="K3522" s="462">
        <f>IF(C3522=0,0,VLOOKUP(YEAR(C3522),INPC!$B$4:$O$29,MONTH(C3522)+1))</f>
        <v>0</v>
      </c>
      <c r="L3522" s="462">
        <f>IF(S3522=0,0,VLOOKUP(YEAR(S3522),INPC!$B$4:$O$29,MONTH(S3522)+1))</f>
        <v>0</v>
      </c>
      <c r="M3522" s="463">
        <f t="shared" si="276"/>
        <v>0</v>
      </c>
      <c r="N3522" s="465">
        <f t="shared" si="277"/>
        <v>0</v>
      </c>
      <c r="O3522" s="179"/>
      <c r="P3522" s="180"/>
      <c r="Q3522" s="173"/>
      <c r="R3522" s="173"/>
      <c r="S3522" s="174"/>
      <c r="T3522" s="173"/>
      <c r="U3522" s="182"/>
      <c r="V3522" s="177">
        <f>IF(U3522=0,0,IF(T3522="MXN",1/HLOOKUP(YEAR(S3522)+(MONTH(S3522)/100),TC!$5:$37,DAY(S3522)+2,FALSE),VLOOKUP(T3522,Equivalencia!$1:$23,((MAX(Equivalencia!$3:$3)-YEAR(S3522))*14)+MONTH(S3522)+2,FALSE)))</f>
        <v>0</v>
      </c>
      <c r="W3522" s="178">
        <f t="shared" si="278"/>
        <v>0</v>
      </c>
      <c r="X3522" s="481">
        <f t="shared" si="279"/>
        <v>0</v>
      </c>
      <c r="Y3522" s="179"/>
      <c r="Z3522" s="466">
        <f t="shared" si="280"/>
        <v>0</v>
      </c>
      <c r="AA3522" s="473">
        <f t="shared" si="281"/>
        <v>0</v>
      </c>
      <c r="AB3522" s="339">
        <f t="shared" si="282"/>
        <v>0</v>
      </c>
    </row>
    <row r="3523" spans="2:28" ht="20.100000000000001" customHeight="1">
      <c r="B3523" s="172"/>
      <c r="C3523" s="174"/>
      <c r="D3523" s="181"/>
      <c r="E3523" s="173"/>
      <c r="F3523" s="176"/>
      <c r="G3523" s="175">
        <f t="shared" si="273"/>
        <v>0</v>
      </c>
      <c r="H3523" s="175">
        <f t="shared" si="274"/>
        <v>0</v>
      </c>
      <c r="I3523" s="177">
        <f>IF(G3523=0,0,IF(E3523="MXN",1/HLOOKUP(YEAR(C3523)+(MONTH(C3523)/100),TC!$5:$37,DAY(C3523)+2,FALSE),VLOOKUP(E3523,Equivalencia!$5:$23,((MAX(Equivalencia!$3:$3)-YEAR(C3523))*14)+MONTH(C3523)+2,FALSE)))</f>
        <v>0</v>
      </c>
      <c r="J3523" s="178">
        <f t="shared" si="275"/>
        <v>0</v>
      </c>
      <c r="K3523" s="462">
        <f>IF(C3523=0,0,VLOOKUP(YEAR(C3523),INPC!$B$4:$O$29,MONTH(C3523)+1))</f>
        <v>0</v>
      </c>
      <c r="L3523" s="462">
        <f>IF(S3523=0,0,VLOOKUP(YEAR(S3523),INPC!$B$4:$O$29,MONTH(S3523)+1))</f>
        <v>0</v>
      </c>
      <c r="M3523" s="463">
        <f t="shared" si="276"/>
        <v>0</v>
      </c>
      <c r="N3523" s="465">
        <f t="shared" si="277"/>
        <v>0</v>
      </c>
      <c r="O3523" s="179"/>
      <c r="P3523" s="180"/>
      <c r="Q3523" s="173"/>
      <c r="R3523" s="173"/>
      <c r="S3523" s="174"/>
      <c r="T3523" s="173"/>
      <c r="U3523" s="182"/>
      <c r="V3523" s="177">
        <f>IF(U3523=0,0,IF(T3523="MXN",1/HLOOKUP(YEAR(S3523)+(MONTH(S3523)/100),TC!$5:$37,DAY(S3523)+2,FALSE),VLOOKUP(T3523,Equivalencia!$1:$23,((MAX(Equivalencia!$3:$3)-YEAR(S3523))*14)+MONTH(S3523)+2,FALSE)))</f>
        <v>0</v>
      </c>
      <c r="W3523" s="178">
        <f t="shared" si="278"/>
        <v>0</v>
      </c>
      <c r="X3523" s="481">
        <f t="shared" si="279"/>
        <v>0</v>
      </c>
      <c r="Y3523" s="179"/>
      <c r="Z3523" s="466">
        <f t="shared" si="280"/>
        <v>0</v>
      </c>
      <c r="AA3523" s="473">
        <f t="shared" si="281"/>
        <v>0</v>
      </c>
      <c r="AB3523" s="339">
        <f t="shared" si="282"/>
        <v>0</v>
      </c>
    </row>
    <row r="3524" spans="2:28" ht="20.100000000000001" customHeight="1">
      <c r="B3524" s="172"/>
      <c r="C3524" s="174"/>
      <c r="D3524" s="181"/>
      <c r="E3524" s="173"/>
      <c r="F3524" s="176"/>
      <c r="G3524" s="175">
        <f t="shared" si="273"/>
        <v>0</v>
      </c>
      <c r="H3524" s="175">
        <f t="shared" si="274"/>
        <v>0</v>
      </c>
      <c r="I3524" s="177">
        <f>IF(G3524=0,0,IF(E3524="MXN",1/HLOOKUP(YEAR(C3524)+(MONTH(C3524)/100),TC!$5:$37,DAY(C3524)+2,FALSE),VLOOKUP(E3524,Equivalencia!$5:$23,((MAX(Equivalencia!$3:$3)-YEAR(C3524))*14)+MONTH(C3524)+2,FALSE)))</f>
        <v>0</v>
      </c>
      <c r="J3524" s="178">
        <f t="shared" si="275"/>
        <v>0</v>
      </c>
      <c r="K3524" s="462">
        <f>IF(C3524=0,0,VLOOKUP(YEAR(C3524),INPC!$B$4:$O$29,MONTH(C3524)+1))</f>
        <v>0</v>
      </c>
      <c r="L3524" s="462">
        <f>IF(S3524=0,0,VLOOKUP(YEAR(S3524),INPC!$B$4:$O$29,MONTH(S3524)+1))</f>
        <v>0</v>
      </c>
      <c r="M3524" s="463">
        <f t="shared" si="276"/>
        <v>0</v>
      </c>
      <c r="N3524" s="465">
        <f t="shared" si="277"/>
        <v>0</v>
      </c>
      <c r="O3524" s="179"/>
      <c r="P3524" s="180"/>
      <c r="Q3524" s="173"/>
      <c r="R3524" s="173"/>
      <c r="S3524" s="174"/>
      <c r="T3524" s="173"/>
      <c r="U3524" s="182"/>
      <c r="V3524" s="177">
        <f>IF(U3524=0,0,IF(T3524="MXN",1/HLOOKUP(YEAR(S3524)+(MONTH(S3524)/100),TC!$5:$37,DAY(S3524)+2,FALSE),VLOOKUP(T3524,Equivalencia!$1:$23,((MAX(Equivalencia!$3:$3)-YEAR(S3524))*14)+MONTH(S3524)+2,FALSE)))</f>
        <v>0</v>
      </c>
      <c r="W3524" s="178">
        <f t="shared" si="278"/>
        <v>0</v>
      </c>
      <c r="X3524" s="481">
        <f t="shared" si="279"/>
        <v>0</v>
      </c>
      <c r="Y3524" s="179"/>
      <c r="Z3524" s="466">
        <f t="shared" si="280"/>
        <v>0</v>
      </c>
      <c r="AA3524" s="473">
        <f t="shared" si="281"/>
        <v>0</v>
      </c>
      <c r="AB3524" s="339">
        <f t="shared" si="282"/>
        <v>0</v>
      </c>
    </row>
    <row r="3525" spans="2:28" ht="20.100000000000001" customHeight="1">
      <c r="B3525" s="172"/>
      <c r="C3525" s="174"/>
      <c r="D3525" s="181"/>
      <c r="E3525" s="173"/>
      <c r="F3525" s="176"/>
      <c r="G3525" s="175">
        <f t="shared" si="273"/>
        <v>0</v>
      </c>
      <c r="H3525" s="175">
        <f t="shared" si="274"/>
        <v>0</v>
      </c>
      <c r="I3525" s="177">
        <f>IF(G3525=0,0,IF(E3525="MXN",1/HLOOKUP(YEAR(C3525)+(MONTH(C3525)/100),TC!$5:$37,DAY(C3525)+2,FALSE),VLOOKUP(E3525,Equivalencia!$5:$23,((MAX(Equivalencia!$3:$3)-YEAR(C3525))*14)+MONTH(C3525)+2,FALSE)))</f>
        <v>0</v>
      </c>
      <c r="J3525" s="178">
        <f t="shared" si="275"/>
        <v>0</v>
      </c>
      <c r="K3525" s="462">
        <f>IF(C3525=0,0,VLOOKUP(YEAR(C3525),INPC!$B$4:$O$29,MONTH(C3525)+1))</f>
        <v>0</v>
      </c>
      <c r="L3525" s="462">
        <f>IF(S3525=0,0,VLOOKUP(YEAR(S3525),INPC!$B$4:$O$29,MONTH(S3525)+1))</f>
        <v>0</v>
      </c>
      <c r="M3525" s="463">
        <f t="shared" si="276"/>
        <v>0</v>
      </c>
      <c r="N3525" s="465">
        <f t="shared" si="277"/>
        <v>0</v>
      </c>
      <c r="O3525" s="179"/>
      <c r="P3525" s="180"/>
      <c r="Q3525" s="173"/>
      <c r="R3525" s="173"/>
      <c r="S3525" s="174"/>
      <c r="T3525" s="173"/>
      <c r="U3525" s="182"/>
      <c r="V3525" s="177">
        <f>IF(U3525=0,0,IF(T3525="MXN",1/HLOOKUP(YEAR(S3525)+(MONTH(S3525)/100),TC!$5:$37,DAY(S3525)+2,FALSE),VLOOKUP(T3525,Equivalencia!$1:$23,((MAX(Equivalencia!$3:$3)-YEAR(S3525))*14)+MONTH(S3525)+2,FALSE)))</f>
        <v>0</v>
      </c>
      <c r="W3525" s="178">
        <f t="shared" si="278"/>
        <v>0</v>
      </c>
      <c r="X3525" s="481">
        <f t="shared" si="279"/>
        <v>0</v>
      </c>
      <c r="Y3525" s="179"/>
      <c r="Z3525" s="466">
        <f t="shared" si="280"/>
        <v>0</v>
      </c>
      <c r="AA3525" s="473">
        <f t="shared" si="281"/>
        <v>0</v>
      </c>
      <c r="AB3525" s="339">
        <f t="shared" si="282"/>
        <v>0</v>
      </c>
    </row>
    <row r="3526" spans="2:28" ht="20.100000000000001" customHeight="1">
      <c r="B3526" s="172"/>
      <c r="C3526" s="174"/>
      <c r="D3526" s="181"/>
      <c r="E3526" s="173"/>
      <c r="F3526" s="176"/>
      <c r="G3526" s="175">
        <f t="shared" si="273"/>
        <v>0</v>
      </c>
      <c r="H3526" s="175">
        <f t="shared" si="274"/>
        <v>0</v>
      </c>
      <c r="I3526" s="177">
        <f>IF(G3526=0,0,IF(E3526="MXN",1/HLOOKUP(YEAR(C3526)+(MONTH(C3526)/100),TC!$5:$37,DAY(C3526)+2,FALSE),VLOOKUP(E3526,Equivalencia!$5:$23,((MAX(Equivalencia!$3:$3)-YEAR(C3526))*14)+MONTH(C3526)+2,FALSE)))</f>
        <v>0</v>
      </c>
      <c r="J3526" s="178">
        <f t="shared" si="275"/>
        <v>0</v>
      </c>
      <c r="K3526" s="462">
        <f>IF(C3526=0,0,VLOOKUP(YEAR(C3526),INPC!$B$4:$O$29,MONTH(C3526)+1))</f>
        <v>0</v>
      </c>
      <c r="L3526" s="462">
        <f>IF(S3526=0,0,VLOOKUP(YEAR(S3526),INPC!$B$4:$O$29,MONTH(S3526)+1))</f>
        <v>0</v>
      </c>
      <c r="M3526" s="463">
        <f t="shared" si="276"/>
        <v>0</v>
      </c>
      <c r="N3526" s="465">
        <f t="shared" si="277"/>
        <v>0</v>
      </c>
      <c r="O3526" s="179"/>
      <c r="P3526" s="180"/>
      <c r="Q3526" s="173"/>
      <c r="R3526" s="173"/>
      <c r="S3526" s="174"/>
      <c r="T3526" s="173"/>
      <c r="U3526" s="182"/>
      <c r="V3526" s="177">
        <f>IF(U3526=0,0,IF(T3526="MXN",1/HLOOKUP(YEAR(S3526)+(MONTH(S3526)/100),TC!$5:$37,DAY(S3526)+2,FALSE),VLOOKUP(T3526,Equivalencia!$1:$23,((MAX(Equivalencia!$3:$3)-YEAR(S3526))*14)+MONTH(S3526)+2,FALSE)))</f>
        <v>0</v>
      </c>
      <c r="W3526" s="178">
        <f t="shared" si="278"/>
        <v>0</v>
      </c>
      <c r="X3526" s="481">
        <f t="shared" si="279"/>
        <v>0</v>
      </c>
      <c r="Y3526" s="179"/>
      <c r="Z3526" s="466">
        <f t="shared" si="280"/>
        <v>0</v>
      </c>
      <c r="AA3526" s="473">
        <f t="shared" si="281"/>
        <v>0</v>
      </c>
      <c r="AB3526" s="339">
        <f t="shared" si="282"/>
        <v>0</v>
      </c>
    </row>
    <row r="3527" spans="2:28" ht="20.100000000000001" customHeight="1">
      <c r="B3527" s="172"/>
      <c r="C3527" s="174"/>
      <c r="D3527" s="181"/>
      <c r="E3527" s="173"/>
      <c r="F3527" s="176"/>
      <c r="G3527" s="175">
        <f t="shared" si="273"/>
        <v>0</v>
      </c>
      <c r="H3527" s="175">
        <f t="shared" si="274"/>
        <v>0</v>
      </c>
      <c r="I3527" s="177">
        <f>IF(G3527=0,0,IF(E3527="MXN",1/HLOOKUP(YEAR(C3527)+(MONTH(C3527)/100),TC!$5:$37,DAY(C3527)+2,FALSE),VLOOKUP(E3527,Equivalencia!$5:$23,((MAX(Equivalencia!$3:$3)-YEAR(C3527))*14)+MONTH(C3527)+2,FALSE)))</f>
        <v>0</v>
      </c>
      <c r="J3527" s="178">
        <f t="shared" si="275"/>
        <v>0</v>
      </c>
      <c r="K3527" s="462">
        <f>IF(C3527=0,0,VLOOKUP(YEAR(C3527),INPC!$B$4:$O$29,MONTH(C3527)+1))</f>
        <v>0</v>
      </c>
      <c r="L3527" s="462">
        <f>IF(S3527=0,0,VLOOKUP(YEAR(S3527),INPC!$B$4:$O$29,MONTH(S3527)+1))</f>
        <v>0</v>
      </c>
      <c r="M3527" s="463">
        <f t="shared" si="276"/>
        <v>0</v>
      </c>
      <c r="N3527" s="465">
        <f t="shared" si="277"/>
        <v>0</v>
      </c>
      <c r="O3527" s="179"/>
      <c r="P3527" s="180"/>
      <c r="Q3527" s="173"/>
      <c r="R3527" s="173"/>
      <c r="S3527" s="174"/>
      <c r="T3527" s="173"/>
      <c r="U3527" s="182"/>
      <c r="V3527" s="177">
        <f>IF(U3527=0,0,IF(T3527="MXN",1/HLOOKUP(YEAR(S3527)+(MONTH(S3527)/100),TC!$5:$37,DAY(S3527)+2,FALSE),VLOOKUP(T3527,Equivalencia!$1:$23,((MAX(Equivalencia!$3:$3)-YEAR(S3527))*14)+MONTH(S3527)+2,FALSE)))</f>
        <v>0</v>
      </c>
      <c r="W3527" s="178">
        <f t="shared" si="278"/>
        <v>0</v>
      </c>
      <c r="X3527" s="481">
        <f t="shared" si="279"/>
        <v>0</v>
      </c>
      <c r="Y3527" s="179"/>
      <c r="Z3527" s="466">
        <f t="shared" si="280"/>
        <v>0</v>
      </c>
      <c r="AA3527" s="473">
        <f t="shared" si="281"/>
        <v>0</v>
      </c>
      <c r="AB3527" s="339">
        <f t="shared" si="282"/>
        <v>0</v>
      </c>
    </row>
    <row r="3528" spans="2:28" ht="20.100000000000001" customHeight="1">
      <c r="B3528" s="172"/>
      <c r="C3528" s="174"/>
      <c r="D3528" s="181"/>
      <c r="E3528" s="173"/>
      <c r="F3528" s="176"/>
      <c r="G3528" s="175">
        <f t="shared" si="273"/>
        <v>0</v>
      </c>
      <c r="H3528" s="175">
        <f t="shared" si="274"/>
        <v>0</v>
      </c>
      <c r="I3528" s="177">
        <f>IF(G3528=0,0,IF(E3528="MXN",1/HLOOKUP(YEAR(C3528)+(MONTH(C3528)/100),TC!$5:$37,DAY(C3528)+2,FALSE),VLOOKUP(E3528,Equivalencia!$5:$23,((MAX(Equivalencia!$3:$3)-YEAR(C3528))*14)+MONTH(C3528)+2,FALSE)))</f>
        <v>0</v>
      </c>
      <c r="J3528" s="178">
        <f t="shared" si="275"/>
        <v>0</v>
      </c>
      <c r="K3528" s="462">
        <f>IF(C3528=0,0,VLOOKUP(YEAR(C3528),INPC!$B$4:$O$29,MONTH(C3528)+1))</f>
        <v>0</v>
      </c>
      <c r="L3528" s="462">
        <f>IF(S3528=0,0,VLOOKUP(YEAR(S3528),INPC!$B$4:$O$29,MONTH(S3528)+1))</f>
        <v>0</v>
      </c>
      <c r="M3528" s="463">
        <f t="shared" si="276"/>
        <v>0</v>
      </c>
      <c r="N3528" s="465">
        <f t="shared" si="277"/>
        <v>0</v>
      </c>
      <c r="O3528" s="179"/>
      <c r="P3528" s="180"/>
      <c r="Q3528" s="173"/>
      <c r="R3528" s="173"/>
      <c r="S3528" s="174"/>
      <c r="T3528" s="173"/>
      <c r="U3528" s="182"/>
      <c r="V3528" s="177">
        <f>IF(U3528=0,0,IF(T3528="MXN",1/HLOOKUP(YEAR(S3528)+(MONTH(S3528)/100),TC!$5:$37,DAY(S3528)+2,FALSE),VLOOKUP(T3528,Equivalencia!$1:$23,((MAX(Equivalencia!$3:$3)-YEAR(S3528))*14)+MONTH(S3528)+2,FALSE)))</f>
        <v>0</v>
      </c>
      <c r="W3528" s="178">
        <f t="shared" si="278"/>
        <v>0</v>
      </c>
      <c r="X3528" s="481">
        <f t="shared" si="279"/>
        <v>0</v>
      </c>
      <c r="Y3528" s="179"/>
      <c r="Z3528" s="466">
        <f t="shared" si="280"/>
        <v>0</v>
      </c>
      <c r="AA3528" s="473">
        <f t="shared" si="281"/>
        <v>0</v>
      </c>
      <c r="AB3528" s="339">
        <f t="shared" si="282"/>
        <v>0</v>
      </c>
    </row>
    <row r="3529" spans="2:28" ht="20.100000000000001" customHeight="1">
      <c r="B3529" s="172"/>
      <c r="C3529" s="174"/>
      <c r="D3529" s="181"/>
      <c r="E3529" s="173"/>
      <c r="F3529" s="176"/>
      <c r="G3529" s="175">
        <f t="shared" si="273"/>
        <v>0</v>
      </c>
      <c r="H3529" s="175">
        <f t="shared" si="274"/>
        <v>0</v>
      </c>
      <c r="I3529" s="177">
        <f>IF(G3529=0,0,IF(E3529="MXN",1/HLOOKUP(YEAR(C3529)+(MONTH(C3529)/100),TC!$5:$37,DAY(C3529)+2,FALSE),VLOOKUP(E3529,Equivalencia!$5:$23,((MAX(Equivalencia!$3:$3)-YEAR(C3529))*14)+MONTH(C3529)+2,FALSE)))</f>
        <v>0</v>
      </c>
      <c r="J3529" s="178">
        <f t="shared" si="275"/>
        <v>0</v>
      </c>
      <c r="K3529" s="462">
        <f>IF(C3529=0,0,VLOOKUP(YEAR(C3529),INPC!$B$4:$O$29,MONTH(C3529)+1))</f>
        <v>0</v>
      </c>
      <c r="L3529" s="462">
        <f>IF(S3529=0,0,VLOOKUP(YEAR(S3529),INPC!$B$4:$O$29,MONTH(S3529)+1))</f>
        <v>0</v>
      </c>
      <c r="M3529" s="463">
        <f t="shared" si="276"/>
        <v>0</v>
      </c>
      <c r="N3529" s="465">
        <f t="shared" si="277"/>
        <v>0</v>
      </c>
      <c r="O3529" s="179"/>
      <c r="P3529" s="180"/>
      <c r="Q3529" s="173"/>
      <c r="R3529" s="173"/>
      <c r="S3529" s="174"/>
      <c r="T3529" s="173"/>
      <c r="U3529" s="182"/>
      <c r="V3529" s="177">
        <f>IF(U3529=0,0,IF(T3529="MXN",1/HLOOKUP(YEAR(S3529)+(MONTH(S3529)/100),TC!$5:$37,DAY(S3529)+2,FALSE),VLOOKUP(T3529,Equivalencia!$1:$23,((MAX(Equivalencia!$3:$3)-YEAR(S3529))*14)+MONTH(S3529)+2,FALSE)))</f>
        <v>0</v>
      </c>
      <c r="W3529" s="178">
        <f t="shared" si="278"/>
        <v>0</v>
      </c>
      <c r="X3529" s="481">
        <f t="shared" si="279"/>
        <v>0</v>
      </c>
      <c r="Y3529" s="179"/>
      <c r="Z3529" s="466">
        <f t="shared" si="280"/>
        <v>0</v>
      </c>
      <c r="AA3529" s="473">
        <f t="shared" si="281"/>
        <v>0</v>
      </c>
      <c r="AB3529" s="339">
        <f t="shared" si="282"/>
        <v>0</v>
      </c>
    </row>
    <row r="3530" spans="2:28" ht="20.100000000000001" customHeight="1">
      <c r="B3530" s="172"/>
      <c r="C3530" s="174"/>
      <c r="D3530" s="181"/>
      <c r="E3530" s="173"/>
      <c r="F3530" s="176"/>
      <c r="G3530" s="175">
        <f t="shared" si="273"/>
        <v>0</v>
      </c>
      <c r="H3530" s="175">
        <f t="shared" si="274"/>
        <v>0</v>
      </c>
      <c r="I3530" s="177">
        <f>IF(G3530=0,0,IF(E3530="MXN",1/HLOOKUP(YEAR(C3530)+(MONTH(C3530)/100),TC!$5:$37,DAY(C3530)+2,FALSE),VLOOKUP(E3530,Equivalencia!$5:$23,((MAX(Equivalencia!$3:$3)-YEAR(C3530))*14)+MONTH(C3530)+2,FALSE)))</f>
        <v>0</v>
      </c>
      <c r="J3530" s="178">
        <f t="shared" si="275"/>
        <v>0</v>
      </c>
      <c r="K3530" s="462">
        <f>IF(C3530=0,0,VLOOKUP(YEAR(C3530),INPC!$B$4:$O$29,MONTH(C3530)+1))</f>
        <v>0</v>
      </c>
      <c r="L3530" s="462">
        <f>IF(S3530=0,0,VLOOKUP(YEAR(S3530),INPC!$B$4:$O$29,MONTH(S3530)+1))</f>
        <v>0</v>
      </c>
      <c r="M3530" s="463">
        <f t="shared" si="276"/>
        <v>0</v>
      </c>
      <c r="N3530" s="465">
        <f t="shared" si="277"/>
        <v>0</v>
      </c>
      <c r="O3530" s="179"/>
      <c r="P3530" s="180"/>
      <c r="Q3530" s="173"/>
      <c r="R3530" s="173"/>
      <c r="S3530" s="174"/>
      <c r="T3530" s="173"/>
      <c r="U3530" s="182"/>
      <c r="V3530" s="177">
        <f>IF(U3530=0,0,IF(T3530="MXN",1/HLOOKUP(YEAR(S3530)+(MONTH(S3530)/100),TC!$5:$37,DAY(S3530)+2,FALSE),VLOOKUP(T3530,Equivalencia!$1:$23,((MAX(Equivalencia!$3:$3)-YEAR(S3530))*14)+MONTH(S3530)+2,FALSE)))</f>
        <v>0</v>
      </c>
      <c r="W3530" s="178">
        <f t="shared" si="278"/>
        <v>0</v>
      </c>
      <c r="X3530" s="481">
        <f t="shared" si="279"/>
        <v>0</v>
      </c>
      <c r="Y3530" s="179"/>
      <c r="Z3530" s="466">
        <f t="shared" si="280"/>
        <v>0</v>
      </c>
      <c r="AA3530" s="473">
        <f t="shared" si="281"/>
        <v>0</v>
      </c>
      <c r="AB3530" s="339">
        <f t="shared" si="282"/>
        <v>0</v>
      </c>
    </row>
    <row r="3531" spans="2:28" ht="20.100000000000001" customHeight="1">
      <c r="B3531" s="172"/>
      <c r="C3531" s="174"/>
      <c r="D3531" s="181"/>
      <c r="E3531" s="173"/>
      <c r="F3531" s="176"/>
      <c r="G3531" s="175">
        <f t="shared" si="273"/>
        <v>0</v>
      </c>
      <c r="H3531" s="175">
        <f t="shared" si="274"/>
        <v>0</v>
      </c>
      <c r="I3531" s="177">
        <f>IF(G3531=0,0,IF(E3531="MXN",1/HLOOKUP(YEAR(C3531)+(MONTH(C3531)/100),TC!$5:$37,DAY(C3531)+2,FALSE),VLOOKUP(E3531,Equivalencia!$5:$23,((MAX(Equivalencia!$3:$3)-YEAR(C3531))*14)+MONTH(C3531)+2,FALSE)))</f>
        <v>0</v>
      </c>
      <c r="J3531" s="178">
        <f t="shared" si="275"/>
        <v>0</v>
      </c>
      <c r="K3531" s="462">
        <f>IF(C3531=0,0,VLOOKUP(YEAR(C3531),INPC!$B$4:$O$29,MONTH(C3531)+1))</f>
        <v>0</v>
      </c>
      <c r="L3531" s="462">
        <f>IF(S3531=0,0,VLOOKUP(YEAR(S3531),INPC!$B$4:$O$29,MONTH(S3531)+1))</f>
        <v>0</v>
      </c>
      <c r="M3531" s="463">
        <f t="shared" si="276"/>
        <v>0</v>
      </c>
      <c r="N3531" s="465">
        <f t="shared" si="277"/>
        <v>0</v>
      </c>
      <c r="O3531" s="179"/>
      <c r="P3531" s="180"/>
      <c r="Q3531" s="173"/>
      <c r="R3531" s="173"/>
      <c r="S3531" s="174"/>
      <c r="T3531" s="173"/>
      <c r="U3531" s="182"/>
      <c r="V3531" s="177">
        <f>IF(U3531=0,0,IF(T3531="MXN",1/HLOOKUP(YEAR(S3531)+(MONTH(S3531)/100),TC!$5:$37,DAY(S3531)+2,FALSE),VLOOKUP(T3531,Equivalencia!$1:$23,((MAX(Equivalencia!$3:$3)-YEAR(S3531))*14)+MONTH(S3531)+2,FALSE)))</f>
        <v>0</v>
      </c>
      <c r="W3531" s="178">
        <f t="shared" si="278"/>
        <v>0</v>
      </c>
      <c r="X3531" s="481">
        <f t="shared" si="279"/>
        <v>0</v>
      </c>
      <c r="Y3531" s="179"/>
      <c r="Z3531" s="466">
        <f t="shared" si="280"/>
        <v>0</v>
      </c>
      <c r="AA3531" s="473">
        <f t="shared" si="281"/>
        <v>0</v>
      </c>
      <c r="AB3531" s="339">
        <f t="shared" si="282"/>
        <v>0</v>
      </c>
    </row>
    <row r="3532" spans="2:28" ht="20.100000000000001" customHeight="1">
      <c r="B3532" s="172"/>
      <c r="C3532" s="174"/>
      <c r="D3532" s="181"/>
      <c r="E3532" s="173"/>
      <c r="F3532" s="176"/>
      <c r="G3532" s="175">
        <f t="shared" si="273"/>
        <v>0</v>
      </c>
      <c r="H3532" s="175">
        <f t="shared" si="274"/>
        <v>0</v>
      </c>
      <c r="I3532" s="177">
        <f>IF(G3532=0,0,IF(E3532="MXN",1/HLOOKUP(YEAR(C3532)+(MONTH(C3532)/100),TC!$5:$37,DAY(C3532)+2,FALSE),VLOOKUP(E3532,Equivalencia!$5:$23,((MAX(Equivalencia!$3:$3)-YEAR(C3532))*14)+MONTH(C3532)+2,FALSE)))</f>
        <v>0</v>
      </c>
      <c r="J3532" s="178">
        <f t="shared" si="275"/>
        <v>0</v>
      </c>
      <c r="K3532" s="462">
        <f>IF(C3532=0,0,VLOOKUP(YEAR(C3532),INPC!$B$4:$O$29,MONTH(C3532)+1))</f>
        <v>0</v>
      </c>
      <c r="L3532" s="462">
        <f>IF(S3532=0,0,VLOOKUP(YEAR(S3532),INPC!$B$4:$O$29,MONTH(S3532)+1))</f>
        <v>0</v>
      </c>
      <c r="M3532" s="463">
        <f t="shared" si="276"/>
        <v>0</v>
      </c>
      <c r="N3532" s="465">
        <f t="shared" si="277"/>
        <v>0</v>
      </c>
      <c r="O3532" s="179"/>
      <c r="P3532" s="180"/>
      <c r="Q3532" s="173"/>
      <c r="R3532" s="173"/>
      <c r="S3532" s="174"/>
      <c r="T3532" s="173"/>
      <c r="U3532" s="182"/>
      <c r="V3532" s="177">
        <f>IF(U3532=0,0,IF(T3532="MXN",1/HLOOKUP(YEAR(S3532)+(MONTH(S3532)/100),TC!$5:$37,DAY(S3532)+2,FALSE),VLOOKUP(T3532,Equivalencia!$1:$23,((MAX(Equivalencia!$3:$3)-YEAR(S3532))*14)+MONTH(S3532)+2,FALSE)))</f>
        <v>0</v>
      </c>
      <c r="W3532" s="178">
        <f t="shared" si="278"/>
        <v>0</v>
      </c>
      <c r="X3532" s="481">
        <f t="shared" si="279"/>
        <v>0</v>
      </c>
      <c r="Y3532" s="179"/>
      <c r="Z3532" s="466">
        <f t="shared" si="280"/>
        <v>0</v>
      </c>
      <c r="AA3532" s="473">
        <f t="shared" si="281"/>
        <v>0</v>
      </c>
      <c r="AB3532" s="339">
        <f t="shared" si="282"/>
        <v>0</v>
      </c>
    </row>
    <row r="3533" spans="2:28" ht="20.100000000000001" customHeight="1">
      <c r="B3533" s="172"/>
      <c r="C3533" s="174"/>
      <c r="D3533" s="181"/>
      <c r="E3533" s="173"/>
      <c r="F3533" s="176"/>
      <c r="G3533" s="175">
        <f t="shared" si="273"/>
        <v>0</v>
      </c>
      <c r="H3533" s="175">
        <f t="shared" si="274"/>
        <v>0</v>
      </c>
      <c r="I3533" s="177">
        <f>IF(G3533=0,0,IF(E3533="MXN",1/HLOOKUP(YEAR(C3533)+(MONTH(C3533)/100),TC!$5:$37,DAY(C3533)+2,FALSE),VLOOKUP(E3533,Equivalencia!$5:$23,((MAX(Equivalencia!$3:$3)-YEAR(C3533))*14)+MONTH(C3533)+2,FALSE)))</f>
        <v>0</v>
      </c>
      <c r="J3533" s="178">
        <f t="shared" si="275"/>
        <v>0</v>
      </c>
      <c r="K3533" s="462">
        <f>IF(C3533=0,0,VLOOKUP(YEAR(C3533),INPC!$B$4:$O$29,MONTH(C3533)+1))</f>
        <v>0</v>
      </c>
      <c r="L3533" s="462">
        <f>IF(S3533=0,0,VLOOKUP(YEAR(S3533),INPC!$B$4:$O$29,MONTH(S3533)+1))</f>
        <v>0</v>
      </c>
      <c r="M3533" s="463">
        <f t="shared" si="276"/>
        <v>0</v>
      </c>
      <c r="N3533" s="465">
        <f t="shared" si="277"/>
        <v>0</v>
      </c>
      <c r="O3533" s="179"/>
      <c r="P3533" s="180"/>
      <c r="Q3533" s="173"/>
      <c r="R3533" s="173"/>
      <c r="S3533" s="174"/>
      <c r="T3533" s="173"/>
      <c r="U3533" s="182"/>
      <c r="V3533" s="177">
        <f>IF(U3533=0,0,IF(T3533="MXN",1/HLOOKUP(YEAR(S3533)+(MONTH(S3533)/100),TC!$5:$37,DAY(S3533)+2,FALSE),VLOOKUP(T3533,Equivalencia!$1:$23,((MAX(Equivalencia!$3:$3)-YEAR(S3533))*14)+MONTH(S3533)+2,FALSE)))</f>
        <v>0</v>
      </c>
      <c r="W3533" s="178">
        <f t="shared" si="278"/>
        <v>0</v>
      </c>
      <c r="X3533" s="481">
        <f t="shared" si="279"/>
        <v>0</v>
      </c>
      <c r="Y3533" s="179"/>
      <c r="Z3533" s="466">
        <f t="shared" si="280"/>
        <v>0</v>
      </c>
      <c r="AA3533" s="473">
        <f t="shared" si="281"/>
        <v>0</v>
      </c>
      <c r="AB3533" s="339">
        <f t="shared" si="282"/>
        <v>0</v>
      </c>
    </row>
    <row r="3534" spans="2:28" ht="20.100000000000001" customHeight="1">
      <c r="B3534" s="172"/>
      <c r="C3534" s="174"/>
      <c r="D3534" s="181"/>
      <c r="E3534" s="173"/>
      <c r="F3534" s="176"/>
      <c r="G3534" s="175">
        <f t="shared" si="273"/>
        <v>0</v>
      </c>
      <c r="H3534" s="175">
        <f t="shared" si="274"/>
        <v>0</v>
      </c>
      <c r="I3534" s="177">
        <f>IF(G3534=0,0,IF(E3534="MXN",1/HLOOKUP(YEAR(C3534)+(MONTH(C3534)/100),TC!$5:$37,DAY(C3534)+2,FALSE),VLOOKUP(E3534,Equivalencia!$5:$23,((MAX(Equivalencia!$3:$3)-YEAR(C3534))*14)+MONTH(C3534)+2,FALSE)))</f>
        <v>0</v>
      </c>
      <c r="J3534" s="178">
        <f t="shared" si="275"/>
        <v>0</v>
      </c>
      <c r="K3534" s="462">
        <f>IF(C3534=0,0,VLOOKUP(YEAR(C3534),INPC!$B$4:$O$29,MONTH(C3534)+1))</f>
        <v>0</v>
      </c>
      <c r="L3534" s="462">
        <f>IF(S3534=0,0,VLOOKUP(YEAR(S3534),INPC!$B$4:$O$29,MONTH(S3534)+1))</f>
        <v>0</v>
      </c>
      <c r="M3534" s="463">
        <f t="shared" si="276"/>
        <v>0</v>
      </c>
      <c r="N3534" s="465">
        <f t="shared" si="277"/>
        <v>0</v>
      </c>
      <c r="O3534" s="179"/>
      <c r="P3534" s="180"/>
      <c r="Q3534" s="173"/>
      <c r="R3534" s="173"/>
      <c r="S3534" s="174"/>
      <c r="T3534" s="173"/>
      <c r="U3534" s="182"/>
      <c r="V3534" s="177">
        <f>IF(U3534=0,0,IF(T3534="MXN",1/HLOOKUP(YEAR(S3534)+(MONTH(S3534)/100),TC!$5:$37,DAY(S3534)+2,FALSE),VLOOKUP(T3534,Equivalencia!$1:$23,((MAX(Equivalencia!$3:$3)-YEAR(S3534))*14)+MONTH(S3534)+2,FALSE)))</f>
        <v>0</v>
      </c>
      <c r="W3534" s="178">
        <f t="shared" si="278"/>
        <v>0</v>
      </c>
      <c r="X3534" s="481">
        <f t="shared" si="279"/>
        <v>0</v>
      </c>
      <c r="Y3534" s="179"/>
      <c r="Z3534" s="466">
        <f t="shared" si="280"/>
        <v>0</v>
      </c>
      <c r="AA3534" s="473">
        <f t="shared" si="281"/>
        <v>0</v>
      </c>
      <c r="AB3534" s="339">
        <f t="shared" si="282"/>
        <v>0</v>
      </c>
    </row>
    <row r="3535" spans="2:28" ht="20.100000000000001" customHeight="1">
      <c r="B3535" s="172"/>
      <c r="C3535" s="174"/>
      <c r="D3535" s="181"/>
      <c r="E3535" s="173"/>
      <c r="F3535" s="176"/>
      <c r="G3535" s="175">
        <f t="shared" si="273"/>
        <v>0</v>
      </c>
      <c r="H3535" s="175">
        <f t="shared" si="274"/>
        <v>0</v>
      </c>
      <c r="I3535" s="177">
        <f>IF(G3535=0,0,IF(E3535="MXN",1/HLOOKUP(YEAR(C3535)+(MONTH(C3535)/100),TC!$5:$37,DAY(C3535)+2,FALSE),VLOOKUP(E3535,Equivalencia!$5:$23,((MAX(Equivalencia!$3:$3)-YEAR(C3535))*14)+MONTH(C3535)+2,FALSE)))</f>
        <v>0</v>
      </c>
      <c r="J3535" s="178">
        <f t="shared" si="275"/>
        <v>0</v>
      </c>
      <c r="K3535" s="462">
        <f>IF(C3535=0,0,VLOOKUP(YEAR(C3535),INPC!$B$4:$O$29,MONTH(C3535)+1))</f>
        <v>0</v>
      </c>
      <c r="L3535" s="462">
        <f>IF(S3535=0,0,VLOOKUP(YEAR(S3535),INPC!$B$4:$O$29,MONTH(S3535)+1))</f>
        <v>0</v>
      </c>
      <c r="M3535" s="463">
        <f t="shared" si="276"/>
        <v>0</v>
      </c>
      <c r="N3535" s="465">
        <f t="shared" si="277"/>
        <v>0</v>
      </c>
      <c r="O3535" s="179"/>
      <c r="P3535" s="180"/>
      <c r="Q3535" s="173"/>
      <c r="R3535" s="173"/>
      <c r="S3535" s="174"/>
      <c r="T3535" s="173"/>
      <c r="U3535" s="182"/>
      <c r="V3535" s="177">
        <f>IF(U3535=0,0,IF(T3535="MXN",1/HLOOKUP(YEAR(S3535)+(MONTH(S3535)/100),TC!$5:$37,DAY(S3535)+2,FALSE),VLOOKUP(T3535,Equivalencia!$1:$23,((MAX(Equivalencia!$3:$3)-YEAR(S3535))*14)+MONTH(S3535)+2,FALSE)))</f>
        <v>0</v>
      </c>
      <c r="W3535" s="178">
        <f t="shared" si="278"/>
        <v>0</v>
      </c>
      <c r="X3535" s="481">
        <f t="shared" si="279"/>
        <v>0</v>
      </c>
      <c r="Y3535" s="179"/>
      <c r="Z3535" s="466">
        <f t="shared" si="280"/>
        <v>0</v>
      </c>
      <c r="AA3535" s="473">
        <f t="shared" si="281"/>
        <v>0</v>
      </c>
      <c r="AB3535" s="339">
        <f t="shared" si="282"/>
        <v>0</v>
      </c>
    </row>
    <row r="3536" spans="2:28" ht="20.100000000000001" customHeight="1">
      <c r="B3536" s="172"/>
      <c r="C3536" s="174"/>
      <c r="D3536" s="181"/>
      <c r="E3536" s="173"/>
      <c r="F3536" s="176"/>
      <c r="G3536" s="175">
        <f t="shared" si="273"/>
        <v>0</v>
      </c>
      <c r="H3536" s="175">
        <f t="shared" si="274"/>
        <v>0</v>
      </c>
      <c r="I3536" s="177">
        <f>IF(G3536=0,0,IF(E3536="MXN",1/HLOOKUP(YEAR(C3536)+(MONTH(C3536)/100),TC!$5:$37,DAY(C3536)+2,FALSE),VLOOKUP(E3536,Equivalencia!$5:$23,((MAX(Equivalencia!$3:$3)-YEAR(C3536))*14)+MONTH(C3536)+2,FALSE)))</f>
        <v>0</v>
      </c>
      <c r="J3536" s="178">
        <f t="shared" si="275"/>
        <v>0</v>
      </c>
      <c r="K3536" s="462">
        <f>IF(C3536=0,0,VLOOKUP(YEAR(C3536),INPC!$B$4:$O$29,MONTH(C3536)+1))</f>
        <v>0</v>
      </c>
      <c r="L3536" s="462">
        <f>IF(S3536=0,0,VLOOKUP(YEAR(S3536),INPC!$B$4:$O$29,MONTH(S3536)+1))</f>
        <v>0</v>
      </c>
      <c r="M3536" s="463">
        <f t="shared" si="276"/>
        <v>0</v>
      </c>
      <c r="N3536" s="465">
        <f t="shared" si="277"/>
        <v>0</v>
      </c>
      <c r="O3536" s="179"/>
      <c r="P3536" s="180"/>
      <c r="Q3536" s="173"/>
      <c r="R3536" s="173"/>
      <c r="S3536" s="174"/>
      <c r="T3536" s="173"/>
      <c r="U3536" s="182"/>
      <c r="V3536" s="177">
        <f>IF(U3536=0,0,IF(T3536="MXN",1/HLOOKUP(YEAR(S3536)+(MONTH(S3536)/100),TC!$5:$37,DAY(S3536)+2,FALSE),VLOOKUP(T3536,Equivalencia!$1:$23,((MAX(Equivalencia!$3:$3)-YEAR(S3536))*14)+MONTH(S3536)+2,FALSE)))</f>
        <v>0</v>
      </c>
      <c r="W3536" s="178">
        <f t="shared" si="278"/>
        <v>0</v>
      </c>
      <c r="X3536" s="481">
        <f t="shared" si="279"/>
        <v>0</v>
      </c>
      <c r="Y3536" s="179"/>
      <c r="Z3536" s="466">
        <f t="shared" si="280"/>
        <v>0</v>
      </c>
      <c r="AA3536" s="473">
        <f t="shared" si="281"/>
        <v>0</v>
      </c>
      <c r="AB3536" s="339">
        <f t="shared" si="282"/>
        <v>0</v>
      </c>
    </row>
    <row r="3537" spans="2:28" ht="20.100000000000001" customHeight="1">
      <c r="B3537" s="172"/>
      <c r="C3537" s="174"/>
      <c r="D3537" s="181"/>
      <c r="E3537" s="173"/>
      <c r="F3537" s="176"/>
      <c r="G3537" s="175">
        <f t="shared" si="273"/>
        <v>0</v>
      </c>
      <c r="H3537" s="175">
        <f t="shared" si="274"/>
        <v>0</v>
      </c>
      <c r="I3537" s="177">
        <f>IF(G3537=0,0,IF(E3537="MXN",1/HLOOKUP(YEAR(C3537)+(MONTH(C3537)/100),TC!$5:$37,DAY(C3537)+2,FALSE),VLOOKUP(E3537,Equivalencia!$5:$23,((MAX(Equivalencia!$3:$3)-YEAR(C3537))*14)+MONTH(C3537)+2,FALSE)))</f>
        <v>0</v>
      </c>
      <c r="J3537" s="178">
        <f t="shared" si="275"/>
        <v>0</v>
      </c>
      <c r="K3537" s="462">
        <f>IF(C3537=0,0,VLOOKUP(YEAR(C3537),INPC!$B$4:$O$29,MONTH(C3537)+1))</f>
        <v>0</v>
      </c>
      <c r="L3537" s="462">
        <f>IF(S3537=0,0,VLOOKUP(YEAR(S3537),INPC!$B$4:$O$29,MONTH(S3537)+1))</f>
        <v>0</v>
      </c>
      <c r="M3537" s="463">
        <f t="shared" si="276"/>
        <v>0</v>
      </c>
      <c r="N3537" s="465">
        <f t="shared" si="277"/>
        <v>0</v>
      </c>
      <c r="O3537" s="179"/>
      <c r="P3537" s="180"/>
      <c r="Q3537" s="173"/>
      <c r="R3537" s="173"/>
      <c r="S3537" s="174"/>
      <c r="T3537" s="173"/>
      <c r="U3537" s="182"/>
      <c r="V3537" s="177">
        <f>IF(U3537=0,0,IF(T3537="MXN",1/HLOOKUP(YEAR(S3537)+(MONTH(S3537)/100),TC!$5:$37,DAY(S3537)+2,FALSE),VLOOKUP(T3537,Equivalencia!$1:$23,((MAX(Equivalencia!$3:$3)-YEAR(S3537))*14)+MONTH(S3537)+2,FALSE)))</f>
        <v>0</v>
      </c>
      <c r="W3537" s="178">
        <f t="shared" si="278"/>
        <v>0</v>
      </c>
      <c r="X3537" s="481">
        <f t="shared" si="279"/>
        <v>0</v>
      </c>
      <c r="Y3537" s="179"/>
      <c r="Z3537" s="466">
        <f t="shared" si="280"/>
        <v>0</v>
      </c>
      <c r="AA3537" s="473">
        <f t="shared" si="281"/>
        <v>0</v>
      </c>
      <c r="AB3537" s="339">
        <f t="shared" si="282"/>
        <v>0</v>
      </c>
    </row>
    <row r="3538" spans="2:28" ht="20.100000000000001" customHeight="1">
      <c r="B3538" s="172"/>
      <c r="C3538" s="174"/>
      <c r="D3538" s="181"/>
      <c r="E3538" s="173"/>
      <c r="F3538" s="176"/>
      <c r="G3538" s="175">
        <f t="shared" si="273"/>
        <v>0</v>
      </c>
      <c r="H3538" s="175">
        <f t="shared" si="274"/>
        <v>0</v>
      </c>
      <c r="I3538" s="177">
        <f>IF(G3538=0,0,IF(E3538="MXN",1/HLOOKUP(YEAR(C3538)+(MONTH(C3538)/100),TC!$5:$37,DAY(C3538)+2,FALSE),VLOOKUP(E3538,Equivalencia!$5:$23,((MAX(Equivalencia!$3:$3)-YEAR(C3538))*14)+MONTH(C3538)+2,FALSE)))</f>
        <v>0</v>
      </c>
      <c r="J3538" s="178">
        <f t="shared" si="275"/>
        <v>0</v>
      </c>
      <c r="K3538" s="462">
        <f>IF(C3538=0,0,VLOOKUP(YEAR(C3538),INPC!$B$4:$O$29,MONTH(C3538)+1))</f>
        <v>0</v>
      </c>
      <c r="L3538" s="462">
        <f>IF(S3538=0,0,VLOOKUP(YEAR(S3538),INPC!$B$4:$O$29,MONTH(S3538)+1))</f>
        <v>0</v>
      </c>
      <c r="M3538" s="463">
        <f t="shared" si="276"/>
        <v>0</v>
      </c>
      <c r="N3538" s="465">
        <f t="shared" si="277"/>
        <v>0</v>
      </c>
      <c r="O3538" s="179"/>
      <c r="P3538" s="180"/>
      <c r="Q3538" s="173"/>
      <c r="R3538" s="173"/>
      <c r="S3538" s="174"/>
      <c r="T3538" s="173"/>
      <c r="U3538" s="182"/>
      <c r="V3538" s="177">
        <f>IF(U3538=0,0,IF(T3538="MXN",1/HLOOKUP(YEAR(S3538)+(MONTH(S3538)/100),TC!$5:$37,DAY(S3538)+2,FALSE),VLOOKUP(T3538,Equivalencia!$1:$23,((MAX(Equivalencia!$3:$3)-YEAR(S3538))*14)+MONTH(S3538)+2,FALSE)))</f>
        <v>0</v>
      </c>
      <c r="W3538" s="178">
        <f t="shared" si="278"/>
        <v>0</v>
      </c>
      <c r="X3538" s="481">
        <f t="shared" si="279"/>
        <v>0</v>
      </c>
      <c r="Y3538" s="179"/>
      <c r="Z3538" s="466">
        <f t="shared" si="280"/>
        <v>0</v>
      </c>
      <c r="AA3538" s="473">
        <f t="shared" si="281"/>
        <v>0</v>
      </c>
      <c r="AB3538" s="339">
        <f t="shared" si="282"/>
        <v>0</v>
      </c>
    </row>
    <row r="3539" spans="2:28" ht="20.100000000000001" customHeight="1">
      <c r="B3539" s="172"/>
      <c r="C3539" s="174"/>
      <c r="D3539" s="181"/>
      <c r="E3539" s="173"/>
      <c r="F3539" s="176"/>
      <c r="G3539" s="175">
        <f t="shared" si="273"/>
        <v>0</v>
      </c>
      <c r="H3539" s="175">
        <f t="shared" si="274"/>
        <v>0</v>
      </c>
      <c r="I3539" s="177">
        <f>IF(G3539=0,0,IF(E3539="MXN",1/HLOOKUP(YEAR(C3539)+(MONTH(C3539)/100),TC!$5:$37,DAY(C3539)+2,FALSE),VLOOKUP(E3539,Equivalencia!$5:$23,((MAX(Equivalencia!$3:$3)-YEAR(C3539))*14)+MONTH(C3539)+2,FALSE)))</f>
        <v>0</v>
      </c>
      <c r="J3539" s="178">
        <f t="shared" si="275"/>
        <v>0</v>
      </c>
      <c r="K3539" s="462">
        <f>IF(C3539=0,0,VLOOKUP(YEAR(C3539),INPC!$B$4:$O$29,MONTH(C3539)+1))</f>
        <v>0</v>
      </c>
      <c r="L3539" s="462">
        <f>IF(S3539=0,0,VLOOKUP(YEAR(S3539),INPC!$B$4:$O$29,MONTH(S3539)+1))</f>
        <v>0</v>
      </c>
      <c r="M3539" s="463">
        <f t="shared" si="276"/>
        <v>0</v>
      </c>
      <c r="N3539" s="465">
        <f t="shared" si="277"/>
        <v>0</v>
      </c>
      <c r="O3539" s="179"/>
      <c r="P3539" s="180"/>
      <c r="Q3539" s="173"/>
      <c r="R3539" s="173"/>
      <c r="S3539" s="174"/>
      <c r="T3539" s="173"/>
      <c r="U3539" s="182"/>
      <c r="V3539" s="177">
        <f>IF(U3539=0,0,IF(T3539="MXN",1/HLOOKUP(YEAR(S3539)+(MONTH(S3539)/100),TC!$5:$37,DAY(S3539)+2,FALSE),VLOOKUP(T3539,Equivalencia!$1:$23,((MAX(Equivalencia!$3:$3)-YEAR(S3539))*14)+MONTH(S3539)+2,FALSE)))</f>
        <v>0</v>
      </c>
      <c r="W3539" s="178">
        <f t="shared" si="278"/>
        <v>0</v>
      </c>
      <c r="X3539" s="481">
        <f t="shared" si="279"/>
        <v>0</v>
      </c>
      <c r="Y3539" s="179"/>
      <c r="Z3539" s="466">
        <f t="shared" si="280"/>
        <v>0</v>
      </c>
      <c r="AA3539" s="473">
        <f t="shared" si="281"/>
        <v>0</v>
      </c>
      <c r="AB3539" s="339">
        <f t="shared" si="282"/>
        <v>0</v>
      </c>
    </row>
    <row r="3540" spans="2:28" ht="20.100000000000001" customHeight="1">
      <c r="B3540" s="172"/>
      <c r="C3540" s="174"/>
      <c r="D3540" s="181"/>
      <c r="E3540" s="173"/>
      <c r="F3540" s="176"/>
      <c r="G3540" s="175">
        <f t="shared" si="273"/>
        <v>0</v>
      </c>
      <c r="H3540" s="175">
        <f t="shared" si="274"/>
        <v>0</v>
      </c>
      <c r="I3540" s="177">
        <f>IF(G3540=0,0,IF(E3540="MXN",1/HLOOKUP(YEAR(C3540)+(MONTH(C3540)/100),TC!$5:$37,DAY(C3540)+2,FALSE),VLOOKUP(E3540,Equivalencia!$5:$23,((MAX(Equivalencia!$3:$3)-YEAR(C3540))*14)+MONTH(C3540)+2,FALSE)))</f>
        <v>0</v>
      </c>
      <c r="J3540" s="178">
        <f t="shared" si="275"/>
        <v>0</v>
      </c>
      <c r="K3540" s="462">
        <f>IF(C3540=0,0,VLOOKUP(YEAR(C3540),INPC!$B$4:$O$29,MONTH(C3540)+1))</f>
        <v>0</v>
      </c>
      <c r="L3540" s="462">
        <f>IF(S3540=0,0,VLOOKUP(YEAR(S3540),INPC!$B$4:$O$29,MONTH(S3540)+1))</f>
        <v>0</v>
      </c>
      <c r="M3540" s="463">
        <f t="shared" si="276"/>
        <v>0</v>
      </c>
      <c r="N3540" s="465">
        <f t="shared" si="277"/>
        <v>0</v>
      </c>
      <c r="O3540" s="179"/>
      <c r="P3540" s="180"/>
      <c r="Q3540" s="173"/>
      <c r="R3540" s="173"/>
      <c r="S3540" s="174"/>
      <c r="T3540" s="173"/>
      <c r="U3540" s="182"/>
      <c r="V3540" s="177">
        <f>IF(U3540=0,0,IF(T3540="MXN",1/HLOOKUP(YEAR(S3540)+(MONTH(S3540)/100),TC!$5:$37,DAY(S3540)+2,FALSE),VLOOKUP(T3540,Equivalencia!$1:$23,((MAX(Equivalencia!$3:$3)-YEAR(S3540))*14)+MONTH(S3540)+2,FALSE)))</f>
        <v>0</v>
      </c>
      <c r="W3540" s="178">
        <f t="shared" si="278"/>
        <v>0</v>
      </c>
      <c r="X3540" s="481">
        <f t="shared" si="279"/>
        <v>0</v>
      </c>
      <c r="Y3540" s="179"/>
      <c r="Z3540" s="466">
        <f t="shared" si="280"/>
        <v>0</v>
      </c>
      <c r="AA3540" s="473">
        <f t="shared" si="281"/>
        <v>0</v>
      </c>
      <c r="AB3540" s="339">
        <f t="shared" si="282"/>
        <v>0</v>
      </c>
    </row>
    <row r="3541" spans="2:28" ht="20.100000000000001" customHeight="1">
      <c r="B3541" s="172"/>
      <c r="C3541" s="174"/>
      <c r="D3541" s="181"/>
      <c r="E3541" s="173"/>
      <c r="F3541" s="176"/>
      <c r="G3541" s="175">
        <f t="shared" si="273"/>
        <v>0</v>
      </c>
      <c r="H3541" s="175">
        <f t="shared" si="274"/>
        <v>0</v>
      </c>
      <c r="I3541" s="177">
        <f>IF(G3541=0,0,IF(E3541="MXN",1/HLOOKUP(YEAR(C3541)+(MONTH(C3541)/100),TC!$5:$37,DAY(C3541)+2,FALSE),VLOOKUP(E3541,Equivalencia!$5:$23,((MAX(Equivalencia!$3:$3)-YEAR(C3541))*14)+MONTH(C3541)+2,FALSE)))</f>
        <v>0</v>
      </c>
      <c r="J3541" s="178">
        <f t="shared" si="275"/>
        <v>0</v>
      </c>
      <c r="K3541" s="462">
        <f>IF(C3541=0,0,VLOOKUP(YEAR(C3541),INPC!$B$4:$O$29,MONTH(C3541)+1))</f>
        <v>0</v>
      </c>
      <c r="L3541" s="462">
        <f>IF(S3541=0,0,VLOOKUP(YEAR(S3541),INPC!$B$4:$O$29,MONTH(S3541)+1))</f>
        <v>0</v>
      </c>
      <c r="M3541" s="463">
        <f t="shared" si="276"/>
        <v>0</v>
      </c>
      <c r="N3541" s="465">
        <f t="shared" si="277"/>
        <v>0</v>
      </c>
      <c r="O3541" s="179"/>
      <c r="P3541" s="180"/>
      <c r="Q3541" s="173"/>
      <c r="R3541" s="173"/>
      <c r="S3541" s="174"/>
      <c r="T3541" s="173"/>
      <c r="U3541" s="182"/>
      <c r="V3541" s="177">
        <f>IF(U3541=0,0,IF(T3541="MXN",1/HLOOKUP(YEAR(S3541)+(MONTH(S3541)/100),TC!$5:$37,DAY(S3541)+2,FALSE),VLOOKUP(T3541,Equivalencia!$1:$23,((MAX(Equivalencia!$3:$3)-YEAR(S3541))*14)+MONTH(S3541)+2,FALSE)))</f>
        <v>0</v>
      </c>
      <c r="W3541" s="178">
        <f t="shared" si="278"/>
        <v>0</v>
      </c>
      <c r="X3541" s="481">
        <f t="shared" si="279"/>
        <v>0</v>
      </c>
      <c r="Y3541" s="179"/>
      <c r="Z3541" s="466">
        <f t="shared" si="280"/>
        <v>0</v>
      </c>
      <c r="AA3541" s="473">
        <f t="shared" si="281"/>
        <v>0</v>
      </c>
      <c r="AB3541" s="339">
        <f t="shared" si="282"/>
        <v>0</v>
      </c>
    </row>
    <row r="3542" spans="2:28" ht="20.100000000000001" customHeight="1">
      <c r="B3542" s="172"/>
      <c r="C3542" s="174"/>
      <c r="D3542" s="181"/>
      <c r="E3542" s="173"/>
      <c r="F3542" s="176"/>
      <c r="G3542" s="175">
        <f t="shared" si="273"/>
        <v>0</v>
      </c>
      <c r="H3542" s="175">
        <f t="shared" si="274"/>
        <v>0</v>
      </c>
      <c r="I3542" s="177">
        <f>IF(G3542=0,0,IF(E3542="MXN",1/HLOOKUP(YEAR(C3542)+(MONTH(C3542)/100),TC!$5:$37,DAY(C3542)+2,FALSE),VLOOKUP(E3542,Equivalencia!$5:$23,((MAX(Equivalencia!$3:$3)-YEAR(C3542))*14)+MONTH(C3542)+2,FALSE)))</f>
        <v>0</v>
      </c>
      <c r="J3542" s="178">
        <f t="shared" si="275"/>
        <v>0</v>
      </c>
      <c r="K3542" s="462">
        <f>IF(C3542=0,0,VLOOKUP(YEAR(C3542),INPC!$B$4:$O$29,MONTH(C3542)+1))</f>
        <v>0</v>
      </c>
      <c r="L3542" s="462">
        <f>IF(S3542=0,0,VLOOKUP(YEAR(S3542),INPC!$B$4:$O$29,MONTH(S3542)+1))</f>
        <v>0</v>
      </c>
      <c r="M3542" s="463">
        <f t="shared" si="276"/>
        <v>0</v>
      </c>
      <c r="N3542" s="465">
        <f t="shared" si="277"/>
        <v>0</v>
      </c>
      <c r="O3542" s="179"/>
      <c r="P3542" s="180"/>
      <c r="Q3542" s="173"/>
      <c r="R3542" s="173"/>
      <c r="S3542" s="174"/>
      <c r="T3542" s="173"/>
      <c r="U3542" s="182"/>
      <c r="V3542" s="177">
        <f>IF(U3542=0,0,IF(T3542="MXN",1/HLOOKUP(YEAR(S3542)+(MONTH(S3542)/100),TC!$5:$37,DAY(S3542)+2,FALSE),VLOOKUP(T3542,Equivalencia!$1:$23,((MAX(Equivalencia!$3:$3)-YEAR(S3542))*14)+MONTH(S3542)+2,FALSE)))</f>
        <v>0</v>
      </c>
      <c r="W3542" s="178">
        <f t="shared" si="278"/>
        <v>0</v>
      </c>
      <c r="X3542" s="481">
        <f t="shared" si="279"/>
        <v>0</v>
      </c>
      <c r="Y3542" s="179"/>
      <c r="Z3542" s="466">
        <f t="shared" si="280"/>
        <v>0</v>
      </c>
      <c r="AA3542" s="473">
        <f t="shared" si="281"/>
        <v>0</v>
      </c>
      <c r="AB3542" s="339">
        <f t="shared" si="282"/>
        <v>0</v>
      </c>
    </row>
    <row r="3543" spans="2:28" ht="20.100000000000001" customHeight="1">
      <c r="B3543" s="172"/>
      <c r="C3543" s="174"/>
      <c r="D3543" s="181"/>
      <c r="E3543" s="173"/>
      <c r="F3543" s="176"/>
      <c r="G3543" s="175">
        <f t="shared" si="273"/>
        <v>0</v>
      </c>
      <c r="H3543" s="175">
        <f t="shared" si="274"/>
        <v>0</v>
      </c>
      <c r="I3543" s="177">
        <f>IF(G3543=0,0,IF(E3543="MXN",1/HLOOKUP(YEAR(C3543)+(MONTH(C3543)/100),TC!$5:$37,DAY(C3543)+2,FALSE),VLOOKUP(E3543,Equivalencia!$5:$23,((MAX(Equivalencia!$3:$3)-YEAR(C3543))*14)+MONTH(C3543)+2,FALSE)))</f>
        <v>0</v>
      </c>
      <c r="J3543" s="178">
        <f t="shared" si="275"/>
        <v>0</v>
      </c>
      <c r="K3543" s="462">
        <f>IF(C3543=0,0,VLOOKUP(YEAR(C3543),INPC!$B$4:$O$29,MONTH(C3543)+1))</f>
        <v>0</v>
      </c>
      <c r="L3543" s="462">
        <f>IF(S3543=0,0,VLOOKUP(YEAR(S3543),INPC!$B$4:$O$29,MONTH(S3543)+1))</f>
        <v>0</v>
      </c>
      <c r="M3543" s="463">
        <f t="shared" si="276"/>
        <v>0</v>
      </c>
      <c r="N3543" s="465">
        <f t="shared" si="277"/>
        <v>0</v>
      </c>
      <c r="O3543" s="179"/>
      <c r="P3543" s="180"/>
      <c r="Q3543" s="173"/>
      <c r="R3543" s="173"/>
      <c r="S3543" s="174"/>
      <c r="T3543" s="173"/>
      <c r="U3543" s="182"/>
      <c r="V3543" s="177">
        <f>IF(U3543=0,0,IF(T3543="MXN",1/HLOOKUP(YEAR(S3543)+(MONTH(S3543)/100),TC!$5:$37,DAY(S3543)+2,FALSE),VLOOKUP(T3543,Equivalencia!$1:$23,((MAX(Equivalencia!$3:$3)-YEAR(S3543))*14)+MONTH(S3543)+2,FALSE)))</f>
        <v>0</v>
      </c>
      <c r="W3543" s="178">
        <f t="shared" si="278"/>
        <v>0</v>
      </c>
      <c r="X3543" s="481">
        <f t="shared" si="279"/>
        <v>0</v>
      </c>
      <c r="Y3543" s="179"/>
      <c r="Z3543" s="466">
        <f t="shared" si="280"/>
        <v>0</v>
      </c>
      <c r="AA3543" s="473">
        <f t="shared" si="281"/>
        <v>0</v>
      </c>
      <c r="AB3543" s="339">
        <f t="shared" si="282"/>
        <v>0</v>
      </c>
    </row>
    <row r="3544" spans="2:28" ht="20.100000000000001" customHeight="1">
      <c r="B3544" s="172"/>
      <c r="C3544" s="174"/>
      <c r="D3544" s="181"/>
      <c r="E3544" s="173"/>
      <c r="F3544" s="176"/>
      <c r="G3544" s="175">
        <f t="shared" si="273"/>
        <v>0</v>
      </c>
      <c r="H3544" s="175">
        <f t="shared" si="274"/>
        <v>0</v>
      </c>
      <c r="I3544" s="177">
        <f>IF(G3544=0,0,IF(E3544="MXN",1/HLOOKUP(YEAR(C3544)+(MONTH(C3544)/100),TC!$5:$37,DAY(C3544)+2,FALSE),VLOOKUP(E3544,Equivalencia!$5:$23,((MAX(Equivalencia!$3:$3)-YEAR(C3544))*14)+MONTH(C3544)+2,FALSE)))</f>
        <v>0</v>
      </c>
      <c r="J3544" s="178">
        <f t="shared" si="275"/>
        <v>0</v>
      </c>
      <c r="K3544" s="462">
        <f>IF(C3544=0,0,VLOOKUP(YEAR(C3544),INPC!$B$4:$O$29,MONTH(C3544)+1))</f>
        <v>0</v>
      </c>
      <c r="L3544" s="462">
        <f>IF(S3544=0,0,VLOOKUP(YEAR(S3544),INPC!$B$4:$O$29,MONTH(S3544)+1))</f>
        <v>0</v>
      </c>
      <c r="M3544" s="463">
        <f t="shared" si="276"/>
        <v>0</v>
      </c>
      <c r="N3544" s="465">
        <f t="shared" si="277"/>
        <v>0</v>
      </c>
      <c r="O3544" s="179"/>
      <c r="P3544" s="180"/>
      <c r="Q3544" s="173"/>
      <c r="R3544" s="173"/>
      <c r="S3544" s="174"/>
      <c r="T3544" s="173"/>
      <c r="U3544" s="182"/>
      <c r="V3544" s="177">
        <f>IF(U3544=0,0,IF(T3544="MXN",1/HLOOKUP(YEAR(S3544)+(MONTH(S3544)/100),TC!$5:$37,DAY(S3544)+2,FALSE),VLOOKUP(T3544,Equivalencia!$1:$23,((MAX(Equivalencia!$3:$3)-YEAR(S3544))*14)+MONTH(S3544)+2,FALSE)))</f>
        <v>0</v>
      </c>
      <c r="W3544" s="178">
        <f t="shared" si="278"/>
        <v>0</v>
      </c>
      <c r="X3544" s="481">
        <f t="shared" si="279"/>
        <v>0</v>
      </c>
      <c r="Y3544" s="179"/>
      <c r="Z3544" s="466">
        <f t="shared" si="280"/>
        <v>0</v>
      </c>
      <c r="AA3544" s="473">
        <f t="shared" si="281"/>
        <v>0</v>
      </c>
      <c r="AB3544" s="339">
        <f t="shared" si="282"/>
        <v>0</v>
      </c>
    </row>
    <row r="3545" spans="2:28" ht="20.100000000000001" customHeight="1">
      <c r="B3545" s="172"/>
      <c r="C3545" s="174"/>
      <c r="D3545" s="181"/>
      <c r="E3545" s="173"/>
      <c r="F3545" s="176"/>
      <c r="G3545" s="175">
        <f t="shared" si="273"/>
        <v>0</v>
      </c>
      <c r="H3545" s="175">
        <f t="shared" si="274"/>
        <v>0</v>
      </c>
      <c r="I3545" s="177">
        <f>IF(G3545=0,0,IF(E3545="MXN",1/HLOOKUP(YEAR(C3545)+(MONTH(C3545)/100),TC!$5:$37,DAY(C3545)+2,FALSE),VLOOKUP(E3545,Equivalencia!$5:$23,((MAX(Equivalencia!$3:$3)-YEAR(C3545))*14)+MONTH(C3545)+2,FALSE)))</f>
        <v>0</v>
      </c>
      <c r="J3545" s="178">
        <f t="shared" si="275"/>
        <v>0</v>
      </c>
      <c r="K3545" s="462">
        <f>IF(C3545=0,0,VLOOKUP(YEAR(C3545),INPC!$B$4:$O$29,MONTH(C3545)+1))</f>
        <v>0</v>
      </c>
      <c r="L3545" s="462">
        <f>IF(S3545=0,0,VLOOKUP(YEAR(S3545),INPC!$B$4:$O$29,MONTH(S3545)+1))</f>
        <v>0</v>
      </c>
      <c r="M3545" s="463">
        <f t="shared" si="276"/>
        <v>0</v>
      </c>
      <c r="N3545" s="465">
        <f t="shared" si="277"/>
        <v>0</v>
      </c>
      <c r="O3545" s="179"/>
      <c r="P3545" s="180"/>
      <c r="Q3545" s="173"/>
      <c r="R3545" s="173"/>
      <c r="S3545" s="174"/>
      <c r="T3545" s="173"/>
      <c r="U3545" s="182"/>
      <c r="V3545" s="177">
        <f>IF(U3545=0,0,IF(T3545="MXN",1/HLOOKUP(YEAR(S3545)+(MONTH(S3545)/100),TC!$5:$37,DAY(S3545)+2,FALSE),VLOOKUP(T3545,Equivalencia!$1:$23,((MAX(Equivalencia!$3:$3)-YEAR(S3545))*14)+MONTH(S3545)+2,FALSE)))</f>
        <v>0</v>
      </c>
      <c r="W3545" s="178">
        <f t="shared" si="278"/>
        <v>0</v>
      </c>
      <c r="X3545" s="481">
        <f t="shared" si="279"/>
        <v>0</v>
      </c>
      <c r="Y3545" s="179"/>
      <c r="Z3545" s="466">
        <f t="shared" si="280"/>
        <v>0</v>
      </c>
      <c r="AA3545" s="473">
        <f t="shared" si="281"/>
        <v>0</v>
      </c>
      <c r="AB3545" s="339">
        <f t="shared" si="282"/>
        <v>0</v>
      </c>
    </row>
    <row r="3546" spans="2:28" ht="20.100000000000001" customHeight="1">
      <c r="B3546" s="172"/>
      <c r="C3546" s="174"/>
      <c r="D3546" s="181"/>
      <c r="E3546" s="173"/>
      <c r="F3546" s="176"/>
      <c r="G3546" s="175">
        <f t="shared" si="273"/>
        <v>0</v>
      </c>
      <c r="H3546" s="175">
        <f t="shared" si="274"/>
        <v>0</v>
      </c>
      <c r="I3546" s="177">
        <f>IF(G3546=0,0,IF(E3546="MXN",1/HLOOKUP(YEAR(C3546)+(MONTH(C3546)/100),TC!$5:$37,DAY(C3546)+2,FALSE),VLOOKUP(E3546,Equivalencia!$5:$23,((MAX(Equivalencia!$3:$3)-YEAR(C3546))*14)+MONTH(C3546)+2,FALSE)))</f>
        <v>0</v>
      </c>
      <c r="J3546" s="178">
        <f t="shared" si="275"/>
        <v>0</v>
      </c>
      <c r="K3546" s="462">
        <f>IF(C3546=0,0,VLOOKUP(YEAR(C3546),INPC!$B$4:$O$29,MONTH(C3546)+1))</f>
        <v>0</v>
      </c>
      <c r="L3546" s="462">
        <f>IF(S3546=0,0,VLOOKUP(YEAR(S3546),INPC!$B$4:$O$29,MONTH(S3546)+1))</f>
        <v>0</v>
      </c>
      <c r="M3546" s="463">
        <f t="shared" si="276"/>
        <v>0</v>
      </c>
      <c r="N3546" s="465">
        <f t="shared" si="277"/>
        <v>0</v>
      </c>
      <c r="O3546" s="179"/>
      <c r="P3546" s="180"/>
      <c r="Q3546" s="173"/>
      <c r="R3546" s="173"/>
      <c r="S3546" s="174"/>
      <c r="T3546" s="173"/>
      <c r="U3546" s="182"/>
      <c r="V3546" s="177">
        <f>IF(U3546=0,0,IF(T3546="MXN",1/HLOOKUP(YEAR(S3546)+(MONTH(S3546)/100),TC!$5:$37,DAY(S3546)+2,FALSE),VLOOKUP(T3546,Equivalencia!$1:$23,((MAX(Equivalencia!$3:$3)-YEAR(S3546))*14)+MONTH(S3546)+2,FALSE)))</f>
        <v>0</v>
      </c>
      <c r="W3546" s="178">
        <f t="shared" si="278"/>
        <v>0</v>
      </c>
      <c r="X3546" s="481">
        <f t="shared" si="279"/>
        <v>0</v>
      </c>
      <c r="Y3546" s="179"/>
      <c r="Z3546" s="466">
        <f t="shared" si="280"/>
        <v>0</v>
      </c>
      <c r="AA3546" s="473">
        <f t="shared" si="281"/>
        <v>0</v>
      </c>
      <c r="AB3546" s="339">
        <f t="shared" si="282"/>
        <v>0</v>
      </c>
    </row>
    <row r="3547" spans="2:28" ht="20.100000000000001" customHeight="1">
      <c r="B3547" s="172"/>
      <c r="C3547" s="174"/>
      <c r="D3547" s="181"/>
      <c r="E3547" s="173"/>
      <c r="F3547" s="176"/>
      <c r="G3547" s="175">
        <f t="shared" si="273"/>
        <v>0</v>
      </c>
      <c r="H3547" s="175">
        <f t="shared" si="274"/>
        <v>0</v>
      </c>
      <c r="I3547" s="177">
        <f>IF(G3547=0,0,IF(E3547="MXN",1/HLOOKUP(YEAR(C3547)+(MONTH(C3547)/100),TC!$5:$37,DAY(C3547)+2,FALSE),VLOOKUP(E3547,Equivalencia!$5:$23,((MAX(Equivalencia!$3:$3)-YEAR(C3547))*14)+MONTH(C3547)+2,FALSE)))</f>
        <v>0</v>
      </c>
      <c r="J3547" s="178">
        <f t="shared" si="275"/>
        <v>0</v>
      </c>
      <c r="K3547" s="462">
        <f>IF(C3547=0,0,VLOOKUP(YEAR(C3547),INPC!$B$4:$O$29,MONTH(C3547)+1))</f>
        <v>0</v>
      </c>
      <c r="L3547" s="462">
        <f>IF(S3547=0,0,VLOOKUP(YEAR(S3547),INPC!$B$4:$O$29,MONTH(S3547)+1))</f>
        <v>0</v>
      </c>
      <c r="M3547" s="463">
        <f t="shared" si="276"/>
        <v>0</v>
      </c>
      <c r="N3547" s="465">
        <f t="shared" si="277"/>
        <v>0</v>
      </c>
      <c r="O3547" s="179"/>
      <c r="P3547" s="180"/>
      <c r="Q3547" s="173"/>
      <c r="R3547" s="173"/>
      <c r="S3547" s="174"/>
      <c r="T3547" s="173"/>
      <c r="U3547" s="182"/>
      <c r="V3547" s="177">
        <f>IF(U3547=0,0,IF(T3547="MXN",1/HLOOKUP(YEAR(S3547)+(MONTH(S3547)/100),TC!$5:$37,DAY(S3547)+2,FALSE),VLOOKUP(T3547,Equivalencia!$1:$23,((MAX(Equivalencia!$3:$3)-YEAR(S3547))*14)+MONTH(S3547)+2,FALSE)))</f>
        <v>0</v>
      </c>
      <c r="W3547" s="178">
        <f t="shared" si="278"/>
        <v>0</v>
      </c>
      <c r="X3547" s="481">
        <f t="shared" si="279"/>
        <v>0</v>
      </c>
      <c r="Y3547" s="179"/>
      <c r="Z3547" s="466">
        <f t="shared" si="280"/>
        <v>0</v>
      </c>
      <c r="AA3547" s="473">
        <f t="shared" si="281"/>
        <v>0</v>
      </c>
      <c r="AB3547" s="339">
        <f t="shared" si="282"/>
        <v>0</v>
      </c>
    </row>
    <row r="3548" spans="2:28" ht="20.100000000000001" customHeight="1">
      <c r="B3548" s="172"/>
      <c r="C3548" s="174"/>
      <c r="D3548" s="181"/>
      <c r="E3548" s="173"/>
      <c r="F3548" s="176"/>
      <c r="G3548" s="175">
        <f t="shared" si="273"/>
        <v>0</v>
      </c>
      <c r="H3548" s="175">
        <f t="shared" si="274"/>
        <v>0</v>
      </c>
      <c r="I3548" s="177">
        <f>IF(G3548=0,0,IF(E3548="MXN",1/HLOOKUP(YEAR(C3548)+(MONTH(C3548)/100),TC!$5:$37,DAY(C3548)+2,FALSE),VLOOKUP(E3548,Equivalencia!$5:$23,((MAX(Equivalencia!$3:$3)-YEAR(C3548))*14)+MONTH(C3548)+2,FALSE)))</f>
        <v>0</v>
      </c>
      <c r="J3548" s="178">
        <f t="shared" si="275"/>
        <v>0</v>
      </c>
      <c r="K3548" s="462">
        <f>IF(C3548=0,0,VLOOKUP(YEAR(C3548),INPC!$B$4:$O$29,MONTH(C3548)+1))</f>
        <v>0</v>
      </c>
      <c r="L3548" s="462">
        <f>IF(S3548=0,0,VLOOKUP(YEAR(S3548),INPC!$B$4:$O$29,MONTH(S3548)+1))</f>
        <v>0</v>
      </c>
      <c r="M3548" s="463">
        <f t="shared" si="276"/>
        <v>0</v>
      </c>
      <c r="N3548" s="465">
        <f t="shared" si="277"/>
        <v>0</v>
      </c>
      <c r="O3548" s="179"/>
      <c r="P3548" s="180"/>
      <c r="Q3548" s="173"/>
      <c r="R3548" s="173"/>
      <c r="S3548" s="174"/>
      <c r="T3548" s="173"/>
      <c r="U3548" s="182"/>
      <c r="V3548" s="177">
        <f>IF(U3548=0,0,IF(T3548="MXN",1/HLOOKUP(YEAR(S3548)+(MONTH(S3548)/100),TC!$5:$37,DAY(S3548)+2,FALSE),VLOOKUP(T3548,Equivalencia!$1:$23,((MAX(Equivalencia!$3:$3)-YEAR(S3548))*14)+MONTH(S3548)+2,FALSE)))</f>
        <v>0</v>
      </c>
      <c r="W3548" s="178">
        <f t="shared" si="278"/>
        <v>0</v>
      </c>
      <c r="X3548" s="481">
        <f t="shared" si="279"/>
        <v>0</v>
      </c>
      <c r="Y3548" s="179"/>
      <c r="Z3548" s="466">
        <f t="shared" si="280"/>
        <v>0</v>
      </c>
      <c r="AA3548" s="473">
        <f t="shared" si="281"/>
        <v>0</v>
      </c>
      <c r="AB3548" s="339">
        <f t="shared" si="282"/>
        <v>0</v>
      </c>
    </row>
    <row r="3549" spans="2:28" ht="20.100000000000001" customHeight="1">
      <c r="B3549" s="172"/>
      <c r="C3549" s="174"/>
      <c r="D3549" s="181"/>
      <c r="E3549" s="173"/>
      <c r="F3549" s="176"/>
      <c r="G3549" s="175">
        <f t="shared" si="273"/>
        <v>0</v>
      </c>
      <c r="H3549" s="175">
        <f t="shared" si="274"/>
        <v>0</v>
      </c>
      <c r="I3549" s="177">
        <f>IF(G3549=0,0,IF(E3549="MXN",1/HLOOKUP(YEAR(C3549)+(MONTH(C3549)/100),TC!$5:$37,DAY(C3549)+2,FALSE),VLOOKUP(E3549,Equivalencia!$5:$23,((MAX(Equivalencia!$3:$3)-YEAR(C3549))*14)+MONTH(C3549)+2,FALSE)))</f>
        <v>0</v>
      </c>
      <c r="J3549" s="178">
        <f t="shared" si="275"/>
        <v>0</v>
      </c>
      <c r="K3549" s="462">
        <f>IF(C3549=0,0,VLOOKUP(YEAR(C3549),INPC!$B$4:$O$29,MONTH(C3549)+1))</f>
        <v>0</v>
      </c>
      <c r="L3549" s="462">
        <f>IF(S3549=0,0,VLOOKUP(YEAR(S3549),INPC!$B$4:$O$29,MONTH(S3549)+1))</f>
        <v>0</v>
      </c>
      <c r="M3549" s="463">
        <f t="shared" si="276"/>
        <v>0</v>
      </c>
      <c r="N3549" s="465">
        <f t="shared" si="277"/>
        <v>0</v>
      </c>
      <c r="O3549" s="179"/>
      <c r="P3549" s="180"/>
      <c r="Q3549" s="173"/>
      <c r="R3549" s="173"/>
      <c r="S3549" s="174"/>
      <c r="T3549" s="173"/>
      <c r="U3549" s="182"/>
      <c r="V3549" s="177">
        <f>IF(U3549=0,0,IF(T3549="MXN",1/HLOOKUP(YEAR(S3549)+(MONTH(S3549)/100),TC!$5:$37,DAY(S3549)+2,FALSE),VLOOKUP(T3549,Equivalencia!$1:$23,((MAX(Equivalencia!$3:$3)-YEAR(S3549))*14)+MONTH(S3549)+2,FALSE)))</f>
        <v>0</v>
      </c>
      <c r="W3549" s="178">
        <f t="shared" si="278"/>
        <v>0</v>
      </c>
      <c r="X3549" s="481">
        <f t="shared" si="279"/>
        <v>0</v>
      </c>
      <c r="Y3549" s="179"/>
      <c r="Z3549" s="466">
        <f t="shared" si="280"/>
        <v>0</v>
      </c>
      <c r="AA3549" s="473">
        <f t="shared" si="281"/>
        <v>0</v>
      </c>
      <c r="AB3549" s="339">
        <f t="shared" si="282"/>
        <v>0</v>
      </c>
    </row>
    <row r="3550" spans="2:28" ht="20.100000000000001" customHeight="1">
      <c r="B3550" s="172"/>
      <c r="C3550" s="174"/>
      <c r="D3550" s="181"/>
      <c r="E3550" s="173"/>
      <c r="F3550" s="176"/>
      <c r="G3550" s="175">
        <f t="shared" si="273"/>
        <v>0</v>
      </c>
      <c r="H3550" s="175">
        <f t="shared" si="274"/>
        <v>0</v>
      </c>
      <c r="I3550" s="177">
        <f>IF(G3550=0,0,IF(E3550="MXN",1/HLOOKUP(YEAR(C3550)+(MONTH(C3550)/100),TC!$5:$37,DAY(C3550)+2,FALSE),VLOOKUP(E3550,Equivalencia!$5:$23,((MAX(Equivalencia!$3:$3)-YEAR(C3550))*14)+MONTH(C3550)+2,FALSE)))</f>
        <v>0</v>
      </c>
      <c r="J3550" s="178">
        <f t="shared" si="275"/>
        <v>0</v>
      </c>
      <c r="K3550" s="462">
        <f>IF(C3550=0,0,VLOOKUP(YEAR(C3550),INPC!$B$4:$O$29,MONTH(C3550)+1))</f>
        <v>0</v>
      </c>
      <c r="L3550" s="462">
        <f>IF(S3550=0,0,VLOOKUP(YEAR(S3550),INPC!$B$4:$O$29,MONTH(S3550)+1))</f>
        <v>0</v>
      </c>
      <c r="M3550" s="463">
        <f t="shared" si="276"/>
        <v>0</v>
      </c>
      <c r="N3550" s="465">
        <f t="shared" si="277"/>
        <v>0</v>
      </c>
      <c r="O3550" s="179"/>
      <c r="P3550" s="180"/>
      <c r="Q3550" s="173"/>
      <c r="R3550" s="173"/>
      <c r="S3550" s="174"/>
      <c r="T3550" s="173"/>
      <c r="U3550" s="182"/>
      <c r="V3550" s="177">
        <f>IF(U3550=0,0,IF(T3550="MXN",1/HLOOKUP(YEAR(S3550)+(MONTH(S3550)/100),TC!$5:$37,DAY(S3550)+2,FALSE),VLOOKUP(T3550,Equivalencia!$1:$23,((MAX(Equivalencia!$3:$3)-YEAR(S3550))*14)+MONTH(S3550)+2,FALSE)))</f>
        <v>0</v>
      </c>
      <c r="W3550" s="178">
        <f t="shared" si="278"/>
        <v>0</v>
      </c>
      <c r="X3550" s="481">
        <f t="shared" si="279"/>
        <v>0</v>
      </c>
      <c r="Y3550" s="179"/>
      <c r="Z3550" s="466">
        <f t="shared" si="280"/>
        <v>0</v>
      </c>
      <c r="AA3550" s="473">
        <f t="shared" si="281"/>
        <v>0</v>
      </c>
      <c r="AB3550" s="339">
        <f t="shared" si="282"/>
        <v>0</v>
      </c>
    </row>
    <row r="3551" spans="2:28" ht="20.100000000000001" customHeight="1">
      <c r="B3551" s="172"/>
      <c r="C3551" s="174"/>
      <c r="D3551" s="181"/>
      <c r="E3551" s="173"/>
      <c r="F3551" s="176"/>
      <c r="G3551" s="175">
        <f t="shared" si="273"/>
        <v>0</v>
      </c>
      <c r="H3551" s="175">
        <f t="shared" si="274"/>
        <v>0</v>
      </c>
      <c r="I3551" s="177">
        <f>IF(G3551=0,0,IF(E3551="MXN",1/HLOOKUP(YEAR(C3551)+(MONTH(C3551)/100),TC!$5:$37,DAY(C3551)+2,FALSE),VLOOKUP(E3551,Equivalencia!$5:$23,((MAX(Equivalencia!$3:$3)-YEAR(C3551))*14)+MONTH(C3551)+2,FALSE)))</f>
        <v>0</v>
      </c>
      <c r="J3551" s="178">
        <f t="shared" si="275"/>
        <v>0</v>
      </c>
      <c r="K3551" s="462">
        <f>IF(C3551=0,0,VLOOKUP(YEAR(C3551),INPC!$B$4:$O$29,MONTH(C3551)+1))</f>
        <v>0</v>
      </c>
      <c r="L3551" s="462">
        <f>IF(S3551=0,0,VLOOKUP(YEAR(S3551),INPC!$B$4:$O$29,MONTH(S3551)+1))</f>
        <v>0</v>
      </c>
      <c r="M3551" s="463">
        <f t="shared" si="276"/>
        <v>0</v>
      </c>
      <c r="N3551" s="465">
        <f t="shared" si="277"/>
        <v>0</v>
      </c>
      <c r="O3551" s="179"/>
      <c r="P3551" s="180"/>
      <c r="Q3551" s="173"/>
      <c r="R3551" s="173"/>
      <c r="S3551" s="174"/>
      <c r="T3551" s="173"/>
      <c r="U3551" s="182"/>
      <c r="V3551" s="177">
        <f>IF(U3551=0,0,IF(T3551="MXN",1/HLOOKUP(YEAR(S3551)+(MONTH(S3551)/100),TC!$5:$37,DAY(S3551)+2,FALSE),VLOOKUP(T3551,Equivalencia!$1:$23,((MAX(Equivalencia!$3:$3)-YEAR(S3551))*14)+MONTH(S3551)+2,FALSE)))</f>
        <v>0</v>
      </c>
      <c r="W3551" s="178">
        <f t="shared" si="278"/>
        <v>0</v>
      </c>
      <c r="X3551" s="481">
        <f t="shared" si="279"/>
        <v>0</v>
      </c>
      <c r="Y3551" s="179"/>
      <c r="Z3551" s="466">
        <f t="shared" si="280"/>
        <v>0</v>
      </c>
      <c r="AA3551" s="473">
        <f t="shared" si="281"/>
        <v>0</v>
      </c>
      <c r="AB3551" s="339">
        <f t="shared" si="282"/>
        <v>0</v>
      </c>
    </row>
    <row r="3552" spans="2:28" ht="20.100000000000001" customHeight="1">
      <c r="B3552" s="172"/>
      <c r="C3552" s="174"/>
      <c r="D3552" s="181"/>
      <c r="E3552" s="173"/>
      <c r="F3552" s="176"/>
      <c r="G3552" s="175">
        <f t="shared" si="273"/>
        <v>0</v>
      </c>
      <c r="H3552" s="175">
        <f t="shared" si="274"/>
        <v>0</v>
      </c>
      <c r="I3552" s="177">
        <f>IF(G3552=0,0,IF(E3552="MXN",1/HLOOKUP(YEAR(C3552)+(MONTH(C3552)/100),TC!$5:$37,DAY(C3552)+2,FALSE),VLOOKUP(E3552,Equivalencia!$5:$23,((MAX(Equivalencia!$3:$3)-YEAR(C3552))*14)+MONTH(C3552)+2,FALSE)))</f>
        <v>0</v>
      </c>
      <c r="J3552" s="178">
        <f t="shared" si="275"/>
        <v>0</v>
      </c>
      <c r="K3552" s="462">
        <f>IF(C3552=0,0,VLOOKUP(YEAR(C3552),INPC!$B$4:$O$29,MONTH(C3552)+1))</f>
        <v>0</v>
      </c>
      <c r="L3552" s="462">
        <f>IF(S3552=0,0,VLOOKUP(YEAR(S3552),INPC!$B$4:$O$29,MONTH(S3552)+1))</f>
        <v>0</v>
      </c>
      <c r="M3552" s="463">
        <f t="shared" si="276"/>
        <v>0</v>
      </c>
      <c r="N3552" s="465">
        <f t="shared" si="277"/>
        <v>0</v>
      </c>
      <c r="O3552" s="179"/>
      <c r="P3552" s="180"/>
      <c r="Q3552" s="173"/>
      <c r="R3552" s="173"/>
      <c r="S3552" s="174"/>
      <c r="T3552" s="173"/>
      <c r="U3552" s="182"/>
      <c r="V3552" s="177">
        <f>IF(U3552=0,0,IF(T3552="MXN",1/HLOOKUP(YEAR(S3552)+(MONTH(S3552)/100),TC!$5:$37,DAY(S3552)+2,FALSE),VLOOKUP(T3552,Equivalencia!$1:$23,((MAX(Equivalencia!$3:$3)-YEAR(S3552))*14)+MONTH(S3552)+2,FALSE)))</f>
        <v>0</v>
      </c>
      <c r="W3552" s="178">
        <f t="shared" si="278"/>
        <v>0</v>
      </c>
      <c r="X3552" s="481">
        <f t="shared" si="279"/>
        <v>0</v>
      </c>
      <c r="Y3552" s="179"/>
      <c r="Z3552" s="466">
        <f t="shared" si="280"/>
        <v>0</v>
      </c>
      <c r="AA3552" s="473">
        <f t="shared" si="281"/>
        <v>0</v>
      </c>
      <c r="AB3552" s="339">
        <f t="shared" si="282"/>
        <v>0</v>
      </c>
    </row>
    <row r="3553" spans="2:28" ht="20.100000000000001" customHeight="1">
      <c r="B3553" s="172"/>
      <c r="C3553" s="174"/>
      <c r="D3553" s="181"/>
      <c r="E3553" s="173"/>
      <c r="F3553" s="176"/>
      <c r="G3553" s="175">
        <f t="shared" si="273"/>
        <v>0</v>
      </c>
      <c r="H3553" s="175">
        <f t="shared" si="274"/>
        <v>0</v>
      </c>
      <c r="I3553" s="177">
        <f>IF(G3553=0,0,IF(E3553="MXN",1/HLOOKUP(YEAR(C3553)+(MONTH(C3553)/100),TC!$5:$37,DAY(C3553)+2,FALSE),VLOOKUP(E3553,Equivalencia!$5:$23,((MAX(Equivalencia!$3:$3)-YEAR(C3553))*14)+MONTH(C3553)+2,FALSE)))</f>
        <v>0</v>
      </c>
      <c r="J3553" s="178">
        <f t="shared" si="275"/>
        <v>0</v>
      </c>
      <c r="K3553" s="462">
        <f>IF(C3553=0,0,VLOOKUP(YEAR(C3553),INPC!$B$4:$O$29,MONTH(C3553)+1))</f>
        <v>0</v>
      </c>
      <c r="L3553" s="462">
        <f>IF(S3553=0,0,VLOOKUP(YEAR(S3553),INPC!$B$4:$O$29,MONTH(S3553)+1))</f>
        <v>0</v>
      </c>
      <c r="M3553" s="463">
        <f t="shared" si="276"/>
        <v>0</v>
      </c>
      <c r="N3553" s="465">
        <f t="shared" si="277"/>
        <v>0</v>
      </c>
      <c r="O3553" s="179"/>
      <c r="P3553" s="180"/>
      <c r="Q3553" s="173"/>
      <c r="R3553" s="173"/>
      <c r="S3553" s="174"/>
      <c r="T3553" s="173"/>
      <c r="U3553" s="182"/>
      <c r="V3553" s="177">
        <f>IF(U3553=0,0,IF(T3553="MXN",1/HLOOKUP(YEAR(S3553)+(MONTH(S3553)/100),TC!$5:$37,DAY(S3553)+2,FALSE),VLOOKUP(T3553,Equivalencia!$1:$23,((MAX(Equivalencia!$3:$3)-YEAR(S3553))*14)+MONTH(S3553)+2,FALSE)))</f>
        <v>0</v>
      </c>
      <c r="W3553" s="178">
        <f t="shared" si="278"/>
        <v>0</v>
      </c>
      <c r="X3553" s="481">
        <f t="shared" si="279"/>
        <v>0</v>
      </c>
      <c r="Y3553" s="179"/>
      <c r="Z3553" s="466">
        <f t="shared" si="280"/>
        <v>0</v>
      </c>
      <c r="AA3553" s="473">
        <f t="shared" si="281"/>
        <v>0</v>
      </c>
      <c r="AB3553" s="339">
        <f t="shared" si="282"/>
        <v>0</v>
      </c>
    </row>
    <row r="3554" spans="2:28" ht="20.100000000000001" customHeight="1">
      <c r="B3554" s="172"/>
      <c r="C3554" s="174"/>
      <c r="D3554" s="181"/>
      <c r="E3554" s="173"/>
      <c r="F3554" s="176"/>
      <c r="G3554" s="175">
        <f t="shared" si="273"/>
        <v>0</v>
      </c>
      <c r="H3554" s="175">
        <f t="shared" si="274"/>
        <v>0</v>
      </c>
      <c r="I3554" s="177">
        <f>IF(G3554=0,0,IF(E3554="MXN",1/HLOOKUP(YEAR(C3554)+(MONTH(C3554)/100),TC!$5:$37,DAY(C3554)+2,FALSE),VLOOKUP(E3554,Equivalencia!$5:$23,((MAX(Equivalencia!$3:$3)-YEAR(C3554))*14)+MONTH(C3554)+2,FALSE)))</f>
        <v>0</v>
      </c>
      <c r="J3554" s="178">
        <f t="shared" si="275"/>
        <v>0</v>
      </c>
      <c r="K3554" s="462">
        <f>IF(C3554=0,0,VLOOKUP(YEAR(C3554),INPC!$B$4:$O$29,MONTH(C3554)+1))</f>
        <v>0</v>
      </c>
      <c r="L3554" s="462">
        <f>IF(S3554=0,0,VLOOKUP(YEAR(S3554),INPC!$B$4:$O$29,MONTH(S3554)+1))</f>
        <v>0</v>
      </c>
      <c r="M3554" s="463">
        <f t="shared" si="276"/>
        <v>0</v>
      </c>
      <c r="N3554" s="465">
        <f t="shared" si="277"/>
        <v>0</v>
      </c>
      <c r="O3554" s="179"/>
      <c r="P3554" s="180"/>
      <c r="Q3554" s="173"/>
      <c r="R3554" s="173"/>
      <c r="S3554" s="174"/>
      <c r="T3554" s="173"/>
      <c r="U3554" s="182"/>
      <c r="V3554" s="177">
        <f>IF(U3554=0,0,IF(T3554="MXN",1/HLOOKUP(YEAR(S3554)+(MONTH(S3554)/100),TC!$5:$37,DAY(S3554)+2,FALSE),VLOOKUP(T3554,Equivalencia!$1:$23,((MAX(Equivalencia!$3:$3)-YEAR(S3554))*14)+MONTH(S3554)+2,FALSE)))</f>
        <v>0</v>
      </c>
      <c r="W3554" s="178">
        <f t="shared" si="278"/>
        <v>0</v>
      </c>
      <c r="X3554" s="481">
        <f t="shared" si="279"/>
        <v>0</v>
      </c>
      <c r="Y3554" s="179"/>
      <c r="Z3554" s="466">
        <f t="shared" si="280"/>
        <v>0</v>
      </c>
      <c r="AA3554" s="473">
        <f t="shared" si="281"/>
        <v>0</v>
      </c>
      <c r="AB3554" s="339">
        <f t="shared" si="282"/>
        <v>0</v>
      </c>
    </row>
    <row r="3555" spans="2:28" ht="20.100000000000001" customHeight="1">
      <c r="B3555" s="172"/>
      <c r="C3555" s="174"/>
      <c r="D3555" s="181"/>
      <c r="E3555" s="173"/>
      <c r="F3555" s="176"/>
      <c r="G3555" s="175">
        <f t="shared" si="273"/>
        <v>0</v>
      </c>
      <c r="H3555" s="175">
        <f t="shared" si="274"/>
        <v>0</v>
      </c>
      <c r="I3555" s="177">
        <f>IF(G3555=0,0,IF(E3555="MXN",1/HLOOKUP(YEAR(C3555)+(MONTH(C3555)/100),TC!$5:$37,DAY(C3555)+2,FALSE),VLOOKUP(E3555,Equivalencia!$5:$23,((MAX(Equivalencia!$3:$3)-YEAR(C3555))*14)+MONTH(C3555)+2,FALSE)))</f>
        <v>0</v>
      </c>
      <c r="J3555" s="178">
        <f t="shared" si="275"/>
        <v>0</v>
      </c>
      <c r="K3555" s="462">
        <f>IF(C3555=0,0,VLOOKUP(YEAR(C3555),INPC!$B$4:$O$29,MONTH(C3555)+1))</f>
        <v>0</v>
      </c>
      <c r="L3555" s="462">
        <f>IF(S3555=0,0,VLOOKUP(YEAR(S3555),INPC!$B$4:$O$29,MONTH(S3555)+1))</f>
        <v>0</v>
      </c>
      <c r="M3555" s="463">
        <f t="shared" si="276"/>
        <v>0</v>
      </c>
      <c r="N3555" s="465">
        <f t="shared" si="277"/>
        <v>0</v>
      </c>
      <c r="O3555" s="179"/>
      <c r="P3555" s="180"/>
      <c r="Q3555" s="173"/>
      <c r="R3555" s="173"/>
      <c r="S3555" s="174"/>
      <c r="T3555" s="173"/>
      <c r="U3555" s="182"/>
      <c r="V3555" s="177">
        <f>IF(U3555=0,0,IF(T3555="MXN",1/HLOOKUP(YEAR(S3555)+(MONTH(S3555)/100),TC!$5:$37,DAY(S3555)+2,FALSE),VLOOKUP(T3555,Equivalencia!$1:$23,((MAX(Equivalencia!$3:$3)-YEAR(S3555))*14)+MONTH(S3555)+2,FALSE)))</f>
        <v>0</v>
      </c>
      <c r="W3555" s="178">
        <f t="shared" si="278"/>
        <v>0</v>
      </c>
      <c r="X3555" s="481">
        <f t="shared" si="279"/>
        <v>0</v>
      </c>
      <c r="Y3555" s="179"/>
      <c r="Z3555" s="466">
        <f t="shared" si="280"/>
        <v>0</v>
      </c>
      <c r="AA3555" s="473">
        <f t="shared" si="281"/>
        <v>0</v>
      </c>
      <c r="AB3555" s="339">
        <f t="shared" si="282"/>
        <v>0</v>
      </c>
    </row>
    <row r="3556" spans="2:28" ht="20.100000000000001" customHeight="1">
      <c r="B3556" s="172"/>
      <c r="C3556" s="174"/>
      <c r="D3556" s="181"/>
      <c r="E3556" s="173"/>
      <c r="F3556" s="176"/>
      <c r="G3556" s="175">
        <f t="shared" si="273"/>
        <v>0</v>
      </c>
      <c r="H3556" s="175">
        <f t="shared" si="274"/>
        <v>0</v>
      </c>
      <c r="I3556" s="177">
        <f>IF(G3556=0,0,IF(E3556="MXN",1/HLOOKUP(YEAR(C3556)+(MONTH(C3556)/100),TC!$5:$37,DAY(C3556)+2,FALSE),VLOOKUP(E3556,Equivalencia!$5:$23,((MAX(Equivalencia!$3:$3)-YEAR(C3556))*14)+MONTH(C3556)+2,FALSE)))</f>
        <v>0</v>
      </c>
      <c r="J3556" s="178">
        <f t="shared" si="275"/>
        <v>0</v>
      </c>
      <c r="K3556" s="462">
        <f>IF(C3556=0,0,VLOOKUP(YEAR(C3556),INPC!$B$4:$O$29,MONTH(C3556)+1))</f>
        <v>0</v>
      </c>
      <c r="L3556" s="462">
        <f>IF(S3556=0,0,VLOOKUP(YEAR(S3556),INPC!$B$4:$O$29,MONTH(S3556)+1))</f>
        <v>0</v>
      </c>
      <c r="M3556" s="463">
        <f t="shared" si="276"/>
        <v>0</v>
      </c>
      <c r="N3556" s="465">
        <f t="shared" si="277"/>
        <v>0</v>
      </c>
      <c r="O3556" s="179"/>
      <c r="P3556" s="180"/>
      <c r="Q3556" s="173"/>
      <c r="R3556" s="173"/>
      <c r="S3556" s="174"/>
      <c r="T3556" s="173"/>
      <c r="U3556" s="182"/>
      <c r="V3556" s="177">
        <f>IF(U3556=0,0,IF(T3556="MXN",1/HLOOKUP(YEAR(S3556)+(MONTH(S3556)/100),TC!$5:$37,DAY(S3556)+2,FALSE),VLOOKUP(T3556,Equivalencia!$1:$23,((MAX(Equivalencia!$3:$3)-YEAR(S3556))*14)+MONTH(S3556)+2,FALSE)))</f>
        <v>0</v>
      </c>
      <c r="W3556" s="178">
        <f t="shared" si="278"/>
        <v>0</v>
      </c>
      <c r="X3556" s="481">
        <f t="shared" si="279"/>
        <v>0</v>
      </c>
      <c r="Y3556" s="179"/>
      <c r="Z3556" s="466">
        <f t="shared" si="280"/>
        <v>0</v>
      </c>
      <c r="AA3556" s="473">
        <f t="shared" si="281"/>
        <v>0</v>
      </c>
      <c r="AB3556" s="339">
        <f t="shared" si="282"/>
        <v>0</v>
      </c>
    </row>
    <row r="3557" spans="2:28" ht="20.100000000000001" customHeight="1">
      <c r="B3557" s="172"/>
      <c r="C3557" s="174"/>
      <c r="D3557" s="181"/>
      <c r="E3557" s="173"/>
      <c r="F3557" s="176"/>
      <c r="G3557" s="175">
        <f t="shared" si="273"/>
        <v>0</v>
      </c>
      <c r="H3557" s="175">
        <f t="shared" si="274"/>
        <v>0</v>
      </c>
      <c r="I3557" s="177">
        <f>IF(G3557=0,0,IF(E3557="MXN",1/HLOOKUP(YEAR(C3557)+(MONTH(C3557)/100),TC!$5:$37,DAY(C3557)+2,FALSE),VLOOKUP(E3557,Equivalencia!$5:$23,((MAX(Equivalencia!$3:$3)-YEAR(C3557))*14)+MONTH(C3557)+2,FALSE)))</f>
        <v>0</v>
      </c>
      <c r="J3557" s="178">
        <f t="shared" si="275"/>
        <v>0</v>
      </c>
      <c r="K3557" s="462">
        <f>IF(C3557=0,0,VLOOKUP(YEAR(C3557),INPC!$B$4:$O$29,MONTH(C3557)+1))</f>
        <v>0</v>
      </c>
      <c r="L3557" s="462">
        <f>IF(S3557=0,0,VLOOKUP(YEAR(S3557),INPC!$B$4:$O$29,MONTH(S3557)+1))</f>
        <v>0</v>
      </c>
      <c r="M3557" s="463">
        <f t="shared" si="276"/>
        <v>0</v>
      </c>
      <c r="N3557" s="465">
        <f t="shared" si="277"/>
        <v>0</v>
      </c>
      <c r="O3557" s="179"/>
      <c r="P3557" s="180"/>
      <c r="Q3557" s="173"/>
      <c r="R3557" s="173"/>
      <c r="S3557" s="174"/>
      <c r="T3557" s="173"/>
      <c r="U3557" s="182"/>
      <c r="V3557" s="177">
        <f>IF(U3557=0,0,IF(T3557="MXN",1/HLOOKUP(YEAR(S3557)+(MONTH(S3557)/100),TC!$5:$37,DAY(S3557)+2,FALSE),VLOOKUP(T3557,Equivalencia!$1:$23,((MAX(Equivalencia!$3:$3)-YEAR(S3557))*14)+MONTH(S3557)+2,FALSE)))</f>
        <v>0</v>
      </c>
      <c r="W3557" s="178">
        <f t="shared" si="278"/>
        <v>0</v>
      </c>
      <c r="X3557" s="481">
        <f t="shared" si="279"/>
        <v>0</v>
      </c>
      <c r="Y3557" s="179"/>
      <c r="Z3557" s="466">
        <f t="shared" si="280"/>
        <v>0</v>
      </c>
      <c r="AA3557" s="473">
        <f t="shared" si="281"/>
        <v>0</v>
      </c>
      <c r="AB3557" s="339">
        <f t="shared" si="282"/>
        <v>0</v>
      </c>
    </row>
    <row r="3558" spans="2:28" ht="20.100000000000001" customHeight="1">
      <c r="B3558" s="172"/>
      <c r="C3558" s="174"/>
      <c r="D3558" s="181"/>
      <c r="E3558" s="173"/>
      <c r="F3558" s="176"/>
      <c r="G3558" s="175">
        <f t="shared" si="273"/>
        <v>0</v>
      </c>
      <c r="H3558" s="175">
        <f t="shared" si="274"/>
        <v>0</v>
      </c>
      <c r="I3558" s="177">
        <f>IF(G3558=0,0,IF(E3558="MXN",1/HLOOKUP(YEAR(C3558)+(MONTH(C3558)/100),TC!$5:$37,DAY(C3558)+2,FALSE),VLOOKUP(E3558,Equivalencia!$5:$23,((MAX(Equivalencia!$3:$3)-YEAR(C3558))*14)+MONTH(C3558)+2,FALSE)))</f>
        <v>0</v>
      </c>
      <c r="J3558" s="178">
        <f t="shared" si="275"/>
        <v>0</v>
      </c>
      <c r="K3558" s="462">
        <f>IF(C3558=0,0,VLOOKUP(YEAR(C3558),INPC!$B$4:$O$29,MONTH(C3558)+1))</f>
        <v>0</v>
      </c>
      <c r="L3558" s="462">
        <f>IF(S3558=0,0,VLOOKUP(YEAR(S3558),INPC!$B$4:$O$29,MONTH(S3558)+1))</f>
        <v>0</v>
      </c>
      <c r="M3558" s="463">
        <f t="shared" si="276"/>
        <v>0</v>
      </c>
      <c r="N3558" s="465">
        <f t="shared" si="277"/>
        <v>0</v>
      </c>
      <c r="O3558" s="179"/>
      <c r="P3558" s="180"/>
      <c r="Q3558" s="173"/>
      <c r="R3558" s="173"/>
      <c r="S3558" s="174"/>
      <c r="T3558" s="173"/>
      <c r="U3558" s="182"/>
      <c r="V3558" s="177">
        <f>IF(U3558=0,0,IF(T3558="MXN",1/HLOOKUP(YEAR(S3558)+(MONTH(S3558)/100),TC!$5:$37,DAY(S3558)+2,FALSE),VLOOKUP(T3558,Equivalencia!$1:$23,((MAX(Equivalencia!$3:$3)-YEAR(S3558))*14)+MONTH(S3558)+2,FALSE)))</f>
        <v>0</v>
      </c>
      <c r="W3558" s="178">
        <f t="shared" si="278"/>
        <v>0</v>
      </c>
      <c r="X3558" s="481">
        <f t="shared" si="279"/>
        <v>0</v>
      </c>
      <c r="Y3558" s="179"/>
      <c r="Z3558" s="466">
        <f t="shared" si="280"/>
        <v>0</v>
      </c>
      <c r="AA3558" s="473">
        <f t="shared" si="281"/>
        <v>0</v>
      </c>
      <c r="AB3558" s="339">
        <f t="shared" si="282"/>
        <v>0</v>
      </c>
    </row>
    <row r="3559" spans="2:28" ht="20.100000000000001" customHeight="1">
      <c r="B3559" s="172"/>
      <c r="C3559" s="174"/>
      <c r="D3559" s="181"/>
      <c r="E3559" s="173"/>
      <c r="F3559" s="176"/>
      <c r="G3559" s="175">
        <f t="shared" si="273"/>
        <v>0</v>
      </c>
      <c r="H3559" s="175">
        <f t="shared" si="274"/>
        <v>0</v>
      </c>
      <c r="I3559" s="177">
        <f>IF(G3559=0,0,IF(E3559="MXN",1/HLOOKUP(YEAR(C3559)+(MONTH(C3559)/100),TC!$5:$37,DAY(C3559)+2,FALSE),VLOOKUP(E3559,Equivalencia!$5:$23,((MAX(Equivalencia!$3:$3)-YEAR(C3559))*14)+MONTH(C3559)+2,FALSE)))</f>
        <v>0</v>
      </c>
      <c r="J3559" s="178">
        <f t="shared" si="275"/>
        <v>0</v>
      </c>
      <c r="K3559" s="462">
        <f>IF(C3559=0,0,VLOOKUP(YEAR(C3559),INPC!$B$4:$O$29,MONTH(C3559)+1))</f>
        <v>0</v>
      </c>
      <c r="L3559" s="462">
        <f>IF(S3559=0,0,VLOOKUP(YEAR(S3559),INPC!$B$4:$O$29,MONTH(S3559)+1))</f>
        <v>0</v>
      </c>
      <c r="M3559" s="463">
        <f t="shared" si="276"/>
        <v>0</v>
      </c>
      <c r="N3559" s="465">
        <f t="shared" si="277"/>
        <v>0</v>
      </c>
      <c r="O3559" s="179"/>
      <c r="P3559" s="180"/>
      <c r="Q3559" s="173"/>
      <c r="R3559" s="173"/>
      <c r="S3559" s="174"/>
      <c r="T3559" s="173"/>
      <c r="U3559" s="182"/>
      <c r="V3559" s="177">
        <f>IF(U3559=0,0,IF(T3559="MXN",1/HLOOKUP(YEAR(S3559)+(MONTH(S3559)/100),TC!$5:$37,DAY(S3559)+2,FALSE),VLOOKUP(T3559,Equivalencia!$1:$23,((MAX(Equivalencia!$3:$3)-YEAR(S3559))*14)+MONTH(S3559)+2,FALSE)))</f>
        <v>0</v>
      </c>
      <c r="W3559" s="178">
        <f t="shared" si="278"/>
        <v>0</v>
      </c>
      <c r="X3559" s="481">
        <f t="shared" si="279"/>
        <v>0</v>
      </c>
      <c r="Y3559" s="179"/>
      <c r="Z3559" s="466">
        <f t="shared" si="280"/>
        <v>0</v>
      </c>
      <c r="AA3559" s="473">
        <f t="shared" si="281"/>
        <v>0</v>
      </c>
      <c r="AB3559" s="339">
        <f t="shared" si="282"/>
        <v>0</v>
      </c>
    </row>
    <row r="3560" spans="2:28" ht="20.100000000000001" customHeight="1">
      <c r="B3560" s="172"/>
      <c r="C3560" s="174"/>
      <c r="D3560" s="181"/>
      <c r="E3560" s="173"/>
      <c r="F3560" s="176"/>
      <c r="G3560" s="175">
        <f t="shared" si="273"/>
        <v>0</v>
      </c>
      <c r="H3560" s="175">
        <f t="shared" si="274"/>
        <v>0</v>
      </c>
      <c r="I3560" s="177">
        <f>IF(G3560=0,0,IF(E3560="MXN",1/HLOOKUP(YEAR(C3560)+(MONTH(C3560)/100),TC!$5:$37,DAY(C3560)+2,FALSE),VLOOKUP(E3560,Equivalencia!$5:$23,((MAX(Equivalencia!$3:$3)-YEAR(C3560))*14)+MONTH(C3560)+2,FALSE)))</f>
        <v>0</v>
      </c>
      <c r="J3560" s="178">
        <f t="shared" si="275"/>
        <v>0</v>
      </c>
      <c r="K3560" s="462">
        <f>IF(C3560=0,0,VLOOKUP(YEAR(C3560),INPC!$B$4:$O$29,MONTH(C3560)+1))</f>
        <v>0</v>
      </c>
      <c r="L3560" s="462">
        <f>IF(S3560=0,0,VLOOKUP(YEAR(S3560),INPC!$B$4:$O$29,MONTH(S3560)+1))</f>
        <v>0</v>
      </c>
      <c r="M3560" s="463">
        <f t="shared" si="276"/>
        <v>0</v>
      </c>
      <c r="N3560" s="465">
        <f t="shared" si="277"/>
        <v>0</v>
      </c>
      <c r="O3560" s="179"/>
      <c r="P3560" s="180"/>
      <c r="Q3560" s="173"/>
      <c r="R3560" s="173"/>
      <c r="S3560" s="174"/>
      <c r="T3560" s="173"/>
      <c r="U3560" s="182"/>
      <c r="V3560" s="177">
        <f>IF(U3560=0,0,IF(T3560="MXN",1/HLOOKUP(YEAR(S3560)+(MONTH(S3560)/100),TC!$5:$37,DAY(S3560)+2,FALSE),VLOOKUP(T3560,Equivalencia!$1:$23,((MAX(Equivalencia!$3:$3)-YEAR(S3560))*14)+MONTH(S3560)+2,FALSE)))</f>
        <v>0</v>
      </c>
      <c r="W3560" s="178">
        <f t="shared" si="278"/>
        <v>0</v>
      </c>
      <c r="X3560" s="481">
        <f t="shared" si="279"/>
        <v>0</v>
      </c>
      <c r="Y3560" s="179"/>
      <c r="Z3560" s="466">
        <f t="shared" si="280"/>
        <v>0</v>
      </c>
      <c r="AA3560" s="473">
        <f t="shared" si="281"/>
        <v>0</v>
      </c>
      <c r="AB3560" s="339">
        <f t="shared" si="282"/>
        <v>0</v>
      </c>
    </row>
    <row r="3561" spans="2:28" ht="20.100000000000001" customHeight="1">
      <c r="B3561" s="172"/>
      <c r="C3561" s="174"/>
      <c r="D3561" s="181"/>
      <c r="E3561" s="173"/>
      <c r="F3561" s="176"/>
      <c r="G3561" s="175">
        <f t="shared" si="273"/>
        <v>0</v>
      </c>
      <c r="H3561" s="175">
        <f t="shared" si="274"/>
        <v>0</v>
      </c>
      <c r="I3561" s="177">
        <f>IF(G3561=0,0,IF(E3561="MXN",1/HLOOKUP(YEAR(C3561)+(MONTH(C3561)/100),TC!$5:$37,DAY(C3561)+2,FALSE),VLOOKUP(E3561,Equivalencia!$5:$23,((MAX(Equivalencia!$3:$3)-YEAR(C3561))*14)+MONTH(C3561)+2,FALSE)))</f>
        <v>0</v>
      </c>
      <c r="J3561" s="178">
        <f t="shared" si="275"/>
        <v>0</v>
      </c>
      <c r="K3561" s="462">
        <f>IF(C3561=0,0,VLOOKUP(YEAR(C3561),INPC!$B$4:$O$29,MONTH(C3561)+1))</f>
        <v>0</v>
      </c>
      <c r="L3561" s="462">
        <f>IF(S3561=0,0,VLOOKUP(YEAR(S3561),INPC!$B$4:$O$29,MONTH(S3561)+1))</f>
        <v>0</v>
      </c>
      <c r="M3561" s="463">
        <f t="shared" si="276"/>
        <v>0</v>
      </c>
      <c r="N3561" s="465">
        <f t="shared" si="277"/>
        <v>0</v>
      </c>
      <c r="O3561" s="179"/>
      <c r="P3561" s="180"/>
      <c r="Q3561" s="173"/>
      <c r="R3561" s="173"/>
      <c r="S3561" s="174"/>
      <c r="T3561" s="173"/>
      <c r="U3561" s="182"/>
      <c r="V3561" s="177">
        <f>IF(U3561=0,0,IF(T3561="MXN",1/HLOOKUP(YEAR(S3561)+(MONTH(S3561)/100),TC!$5:$37,DAY(S3561)+2,FALSE),VLOOKUP(T3561,Equivalencia!$1:$23,((MAX(Equivalencia!$3:$3)-YEAR(S3561))*14)+MONTH(S3561)+2,FALSE)))</f>
        <v>0</v>
      </c>
      <c r="W3561" s="178">
        <f t="shared" si="278"/>
        <v>0</v>
      </c>
      <c r="X3561" s="481">
        <f t="shared" si="279"/>
        <v>0</v>
      </c>
      <c r="Y3561" s="179"/>
      <c r="Z3561" s="466">
        <f t="shared" si="280"/>
        <v>0</v>
      </c>
      <c r="AA3561" s="473">
        <f t="shared" si="281"/>
        <v>0</v>
      </c>
      <c r="AB3561" s="339">
        <f t="shared" si="282"/>
        <v>0</v>
      </c>
    </row>
    <row r="3562" spans="2:28" ht="20.100000000000001" customHeight="1">
      <c r="B3562" s="172"/>
      <c r="C3562" s="174"/>
      <c r="D3562" s="181"/>
      <c r="E3562" s="173"/>
      <c r="F3562" s="176"/>
      <c r="G3562" s="175">
        <f t="shared" si="273"/>
        <v>0</v>
      </c>
      <c r="H3562" s="175">
        <f t="shared" si="274"/>
        <v>0</v>
      </c>
      <c r="I3562" s="177">
        <f>IF(G3562=0,0,IF(E3562="MXN",1/HLOOKUP(YEAR(C3562)+(MONTH(C3562)/100),TC!$5:$37,DAY(C3562)+2,FALSE),VLOOKUP(E3562,Equivalencia!$5:$23,((MAX(Equivalencia!$3:$3)-YEAR(C3562))*14)+MONTH(C3562)+2,FALSE)))</f>
        <v>0</v>
      </c>
      <c r="J3562" s="178">
        <f t="shared" si="275"/>
        <v>0</v>
      </c>
      <c r="K3562" s="462">
        <f>IF(C3562=0,0,VLOOKUP(YEAR(C3562),INPC!$B$4:$O$29,MONTH(C3562)+1))</f>
        <v>0</v>
      </c>
      <c r="L3562" s="462">
        <f>IF(S3562=0,0,VLOOKUP(YEAR(S3562),INPC!$B$4:$O$29,MONTH(S3562)+1))</f>
        <v>0</v>
      </c>
      <c r="M3562" s="463">
        <f t="shared" si="276"/>
        <v>0</v>
      </c>
      <c r="N3562" s="465">
        <f t="shared" si="277"/>
        <v>0</v>
      </c>
      <c r="O3562" s="179"/>
      <c r="P3562" s="180"/>
      <c r="Q3562" s="173"/>
      <c r="R3562" s="173"/>
      <c r="S3562" s="174"/>
      <c r="T3562" s="173"/>
      <c r="U3562" s="182"/>
      <c r="V3562" s="177">
        <f>IF(U3562=0,0,IF(T3562="MXN",1/HLOOKUP(YEAR(S3562)+(MONTH(S3562)/100),TC!$5:$37,DAY(S3562)+2,FALSE),VLOOKUP(T3562,Equivalencia!$1:$23,((MAX(Equivalencia!$3:$3)-YEAR(S3562))*14)+MONTH(S3562)+2,FALSE)))</f>
        <v>0</v>
      </c>
      <c r="W3562" s="178">
        <f t="shared" si="278"/>
        <v>0</v>
      </c>
      <c r="X3562" s="481">
        <f t="shared" si="279"/>
        <v>0</v>
      </c>
      <c r="Y3562" s="179"/>
      <c r="Z3562" s="466">
        <f t="shared" si="280"/>
        <v>0</v>
      </c>
      <c r="AA3562" s="473">
        <f t="shared" si="281"/>
        <v>0</v>
      </c>
      <c r="AB3562" s="339">
        <f t="shared" si="282"/>
        <v>0</v>
      </c>
    </row>
    <row r="3563" spans="2:28" ht="20.100000000000001" customHeight="1">
      <c r="B3563" s="172"/>
      <c r="C3563" s="174"/>
      <c r="D3563" s="181"/>
      <c r="E3563" s="173"/>
      <c r="F3563" s="176"/>
      <c r="G3563" s="175">
        <f t="shared" si="273"/>
        <v>0</v>
      </c>
      <c r="H3563" s="175">
        <f t="shared" si="274"/>
        <v>0</v>
      </c>
      <c r="I3563" s="177">
        <f>IF(G3563=0,0,IF(E3563="MXN",1/HLOOKUP(YEAR(C3563)+(MONTH(C3563)/100),TC!$5:$37,DAY(C3563)+2,FALSE),VLOOKUP(E3563,Equivalencia!$5:$23,((MAX(Equivalencia!$3:$3)-YEAR(C3563))*14)+MONTH(C3563)+2,FALSE)))</f>
        <v>0</v>
      </c>
      <c r="J3563" s="178">
        <f t="shared" si="275"/>
        <v>0</v>
      </c>
      <c r="K3563" s="462">
        <f>IF(C3563=0,0,VLOOKUP(YEAR(C3563),INPC!$B$4:$O$29,MONTH(C3563)+1))</f>
        <v>0</v>
      </c>
      <c r="L3563" s="462">
        <f>IF(S3563=0,0,VLOOKUP(YEAR(S3563),INPC!$B$4:$O$29,MONTH(S3563)+1))</f>
        <v>0</v>
      </c>
      <c r="M3563" s="463">
        <f t="shared" si="276"/>
        <v>0</v>
      </c>
      <c r="N3563" s="465">
        <f t="shared" si="277"/>
        <v>0</v>
      </c>
      <c r="O3563" s="179"/>
      <c r="P3563" s="180"/>
      <c r="Q3563" s="173"/>
      <c r="R3563" s="173"/>
      <c r="S3563" s="174"/>
      <c r="T3563" s="173"/>
      <c r="U3563" s="182"/>
      <c r="V3563" s="177">
        <f>IF(U3563=0,0,IF(T3563="MXN",1/HLOOKUP(YEAR(S3563)+(MONTH(S3563)/100),TC!$5:$37,DAY(S3563)+2,FALSE),VLOOKUP(T3563,Equivalencia!$1:$23,((MAX(Equivalencia!$3:$3)-YEAR(S3563))*14)+MONTH(S3563)+2,FALSE)))</f>
        <v>0</v>
      </c>
      <c r="W3563" s="178">
        <f t="shared" si="278"/>
        <v>0</v>
      </c>
      <c r="X3563" s="481">
        <f t="shared" si="279"/>
        <v>0</v>
      </c>
      <c r="Y3563" s="179"/>
      <c r="Z3563" s="466">
        <f t="shared" si="280"/>
        <v>0</v>
      </c>
      <c r="AA3563" s="473">
        <f t="shared" si="281"/>
        <v>0</v>
      </c>
      <c r="AB3563" s="339">
        <f t="shared" si="282"/>
        <v>0</v>
      </c>
    </row>
    <row r="3564" spans="2:28" ht="20.100000000000001" customHeight="1">
      <c r="B3564" s="172"/>
      <c r="C3564" s="174"/>
      <c r="D3564" s="181"/>
      <c r="E3564" s="173"/>
      <c r="F3564" s="176"/>
      <c r="G3564" s="175">
        <f t="shared" si="273"/>
        <v>0</v>
      </c>
      <c r="H3564" s="175">
        <f t="shared" si="274"/>
        <v>0</v>
      </c>
      <c r="I3564" s="177">
        <f>IF(G3564=0,0,IF(E3564="MXN",1/HLOOKUP(YEAR(C3564)+(MONTH(C3564)/100),TC!$5:$37,DAY(C3564)+2,FALSE),VLOOKUP(E3564,Equivalencia!$5:$23,((MAX(Equivalencia!$3:$3)-YEAR(C3564))*14)+MONTH(C3564)+2,FALSE)))</f>
        <v>0</v>
      </c>
      <c r="J3564" s="178">
        <f t="shared" si="275"/>
        <v>0</v>
      </c>
      <c r="K3564" s="462">
        <f>IF(C3564=0,0,VLOOKUP(YEAR(C3564),INPC!$B$4:$O$29,MONTH(C3564)+1))</f>
        <v>0</v>
      </c>
      <c r="L3564" s="462">
        <f>IF(S3564=0,0,VLOOKUP(YEAR(S3564),INPC!$B$4:$O$29,MONTH(S3564)+1))</f>
        <v>0</v>
      </c>
      <c r="M3564" s="463">
        <f t="shared" si="276"/>
        <v>0</v>
      </c>
      <c r="N3564" s="465">
        <f t="shared" si="277"/>
        <v>0</v>
      </c>
      <c r="O3564" s="179"/>
      <c r="P3564" s="180"/>
      <c r="Q3564" s="173"/>
      <c r="R3564" s="173"/>
      <c r="S3564" s="174"/>
      <c r="T3564" s="173"/>
      <c r="U3564" s="182"/>
      <c r="V3564" s="177">
        <f>IF(U3564=0,0,IF(T3564="MXN",1/HLOOKUP(YEAR(S3564)+(MONTH(S3564)/100),TC!$5:$37,DAY(S3564)+2,FALSE),VLOOKUP(T3564,Equivalencia!$1:$23,((MAX(Equivalencia!$3:$3)-YEAR(S3564))*14)+MONTH(S3564)+2,FALSE)))</f>
        <v>0</v>
      </c>
      <c r="W3564" s="178">
        <f t="shared" si="278"/>
        <v>0</v>
      </c>
      <c r="X3564" s="481">
        <f t="shared" si="279"/>
        <v>0</v>
      </c>
      <c r="Y3564" s="179"/>
      <c r="Z3564" s="466">
        <f t="shared" si="280"/>
        <v>0</v>
      </c>
      <c r="AA3564" s="473">
        <f t="shared" si="281"/>
        <v>0</v>
      </c>
      <c r="AB3564" s="339">
        <f t="shared" si="282"/>
        <v>0</v>
      </c>
    </row>
    <row r="3565" spans="2:28" ht="20.100000000000001" customHeight="1">
      <c r="B3565" s="172"/>
      <c r="C3565" s="174"/>
      <c r="D3565" s="181"/>
      <c r="E3565" s="173"/>
      <c r="F3565" s="176"/>
      <c r="G3565" s="175">
        <f t="shared" si="273"/>
        <v>0</v>
      </c>
      <c r="H3565" s="175">
        <f t="shared" si="274"/>
        <v>0</v>
      </c>
      <c r="I3565" s="177">
        <f>IF(G3565=0,0,IF(E3565="MXN",1/HLOOKUP(YEAR(C3565)+(MONTH(C3565)/100),TC!$5:$37,DAY(C3565)+2,FALSE),VLOOKUP(E3565,Equivalencia!$5:$23,((MAX(Equivalencia!$3:$3)-YEAR(C3565))*14)+MONTH(C3565)+2,FALSE)))</f>
        <v>0</v>
      </c>
      <c r="J3565" s="178">
        <f t="shared" si="275"/>
        <v>0</v>
      </c>
      <c r="K3565" s="462">
        <f>IF(C3565=0,0,VLOOKUP(YEAR(C3565),INPC!$B$4:$O$29,MONTH(C3565)+1))</f>
        <v>0</v>
      </c>
      <c r="L3565" s="462">
        <f>IF(S3565=0,0,VLOOKUP(YEAR(S3565),INPC!$B$4:$O$29,MONTH(S3565)+1))</f>
        <v>0</v>
      </c>
      <c r="M3565" s="463">
        <f t="shared" si="276"/>
        <v>0</v>
      </c>
      <c r="N3565" s="465">
        <f t="shared" si="277"/>
        <v>0</v>
      </c>
      <c r="O3565" s="179"/>
      <c r="P3565" s="180"/>
      <c r="Q3565" s="173"/>
      <c r="R3565" s="173"/>
      <c r="S3565" s="174"/>
      <c r="T3565" s="173"/>
      <c r="U3565" s="182"/>
      <c r="V3565" s="177">
        <f>IF(U3565=0,0,IF(T3565="MXN",1/HLOOKUP(YEAR(S3565)+(MONTH(S3565)/100),TC!$5:$37,DAY(S3565)+2,FALSE),VLOOKUP(T3565,Equivalencia!$1:$23,((MAX(Equivalencia!$3:$3)-YEAR(S3565))*14)+MONTH(S3565)+2,FALSE)))</f>
        <v>0</v>
      </c>
      <c r="W3565" s="178">
        <f t="shared" si="278"/>
        <v>0</v>
      </c>
      <c r="X3565" s="481">
        <f t="shared" si="279"/>
        <v>0</v>
      </c>
      <c r="Y3565" s="179"/>
      <c r="Z3565" s="466">
        <f t="shared" si="280"/>
        <v>0</v>
      </c>
      <c r="AA3565" s="473">
        <f t="shared" si="281"/>
        <v>0</v>
      </c>
      <c r="AB3565" s="339">
        <f t="shared" si="282"/>
        <v>0</v>
      </c>
    </row>
    <row r="3566" spans="2:28" ht="20.100000000000001" customHeight="1">
      <c r="B3566" s="172"/>
      <c r="C3566" s="174"/>
      <c r="D3566" s="181"/>
      <c r="E3566" s="173"/>
      <c r="F3566" s="176"/>
      <c r="G3566" s="175">
        <f t="shared" si="273"/>
        <v>0</v>
      </c>
      <c r="H3566" s="175">
        <f t="shared" si="274"/>
        <v>0</v>
      </c>
      <c r="I3566" s="177">
        <f>IF(G3566=0,0,IF(E3566="MXN",1/HLOOKUP(YEAR(C3566)+(MONTH(C3566)/100),TC!$5:$37,DAY(C3566)+2,FALSE),VLOOKUP(E3566,Equivalencia!$5:$23,((MAX(Equivalencia!$3:$3)-YEAR(C3566))*14)+MONTH(C3566)+2,FALSE)))</f>
        <v>0</v>
      </c>
      <c r="J3566" s="178">
        <f t="shared" si="275"/>
        <v>0</v>
      </c>
      <c r="K3566" s="462">
        <f>IF(C3566=0,0,VLOOKUP(YEAR(C3566),INPC!$B$4:$O$29,MONTH(C3566)+1))</f>
        <v>0</v>
      </c>
      <c r="L3566" s="462">
        <f>IF(S3566=0,0,VLOOKUP(YEAR(S3566),INPC!$B$4:$O$29,MONTH(S3566)+1))</f>
        <v>0</v>
      </c>
      <c r="M3566" s="463">
        <f t="shared" si="276"/>
        <v>0</v>
      </c>
      <c r="N3566" s="465">
        <f t="shared" si="277"/>
        <v>0</v>
      </c>
      <c r="O3566" s="179"/>
      <c r="P3566" s="180"/>
      <c r="Q3566" s="173"/>
      <c r="R3566" s="173"/>
      <c r="S3566" s="174"/>
      <c r="T3566" s="173"/>
      <c r="U3566" s="182"/>
      <c r="V3566" s="177">
        <f>IF(U3566=0,0,IF(T3566="MXN",1/HLOOKUP(YEAR(S3566)+(MONTH(S3566)/100),TC!$5:$37,DAY(S3566)+2,FALSE),VLOOKUP(T3566,Equivalencia!$1:$23,((MAX(Equivalencia!$3:$3)-YEAR(S3566))*14)+MONTH(S3566)+2,FALSE)))</f>
        <v>0</v>
      </c>
      <c r="W3566" s="178">
        <f t="shared" si="278"/>
        <v>0</v>
      </c>
      <c r="X3566" s="481">
        <f t="shared" si="279"/>
        <v>0</v>
      </c>
      <c r="Y3566" s="179"/>
      <c r="Z3566" s="466">
        <f t="shared" si="280"/>
        <v>0</v>
      </c>
      <c r="AA3566" s="473">
        <f t="shared" si="281"/>
        <v>0</v>
      </c>
      <c r="AB3566" s="339">
        <f t="shared" si="282"/>
        <v>0</v>
      </c>
    </row>
    <row r="3567" spans="2:28" ht="20.100000000000001" customHeight="1">
      <c r="B3567" s="172"/>
      <c r="C3567" s="174"/>
      <c r="D3567" s="181"/>
      <c r="E3567" s="173"/>
      <c r="F3567" s="176"/>
      <c r="G3567" s="175">
        <f t="shared" si="273"/>
        <v>0</v>
      </c>
      <c r="H3567" s="175">
        <f t="shared" si="274"/>
        <v>0</v>
      </c>
      <c r="I3567" s="177">
        <f>IF(G3567=0,0,IF(E3567="MXN",1/HLOOKUP(YEAR(C3567)+(MONTH(C3567)/100),TC!$5:$37,DAY(C3567)+2,FALSE),VLOOKUP(E3567,Equivalencia!$5:$23,((MAX(Equivalencia!$3:$3)-YEAR(C3567))*14)+MONTH(C3567)+2,FALSE)))</f>
        <v>0</v>
      </c>
      <c r="J3567" s="178">
        <f t="shared" si="275"/>
        <v>0</v>
      </c>
      <c r="K3567" s="462">
        <f>IF(C3567=0,0,VLOOKUP(YEAR(C3567),INPC!$B$4:$O$29,MONTH(C3567)+1))</f>
        <v>0</v>
      </c>
      <c r="L3567" s="462">
        <f>IF(S3567=0,0,VLOOKUP(YEAR(S3567),INPC!$B$4:$O$29,MONTH(S3567)+1))</f>
        <v>0</v>
      </c>
      <c r="M3567" s="463">
        <f t="shared" si="276"/>
        <v>0</v>
      </c>
      <c r="N3567" s="465">
        <f t="shared" si="277"/>
        <v>0</v>
      </c>
      <c r="O3567" s="179"/>
      <c r="P3567" s="180"/>
      <c r="Q3567" s="173"/>
      <c r="R3567" s="173"/>
      <c r="S3567" s="174"/>
      <c r="T3567" s="173"/>
      <c r="U3567" s="182"/>
      <c r="V3567" s="177">
        <f>IF(U3567=0,0,IF(T3567="MXN",1/HLOOKUP(YEAR(S3567)+(MONTH(S3567)/100),TC!$5:$37,DAY(S3567)+2,FALSE),VLOOKUP(T3567,Equivalencia!$1:$23,((MAX(Equivalencia!$3:$3)-YEAR(S3567))*14)+MONTH(S3567)+2,FALSE)))</f>
        <v>0</v>
      </c>
      <c r="W3567" s="178">
        <f t="shared" si="278"/>
        <v>0</v>
      </c>
      <c r="X3567" s="481">
        <f t="shared" si="279"/>
        <v>0</v>
      </c>
      <c r="Y3567" s="179"/>
      <c r="Z3567" s="466">
        <f t="shared" si="280"/>
        <v>0</v>
      </c>
      <c r="AA3567" s="473">
        <f t="shared" si="281"/>
        <v>0</v>
      </c>
      <c r="AB3567" s="339">
        <f t="shared" si="282"/>
        <v>0</v>
      </c>
    </row>
    <row r="3568" spans="2:28" ht="20.100000000000001" customHeight="1">
      <c r="B3568" s="172"/>
      <c r="C3568" s="174"/>
      <c r="D3568" s="181"/>
      <c r="E3568" s="173"/>
      <c r="F3568" s="176"/>
      <c r="G3568" s="175">
        <f t="shared" si="273"/>
        <v>0</v>
      </c>
      <c r="H3568" s="175">
        <f t="shared" si="274"/>
        <v>0</v>
      </c>
      <c r="I3568" s="177">
        <f>IF(G3568=0,0,IF(E3568="MXN",1/HLOOKUP(YEAR(C3568)+(MONTH(C3568)/100),TC!$5:$37,DAY(C3568)+2,FALSE),VLOOKUP(E3568,Equivalencia!$5:$23,((MAX(Equivalencia!$3:$3)-YEAR(C3568))*14)+MONTH(C3568)+2,FALSE)))</f>
        <v>0</v>
      </c>
      <c r="J3568" s="178">
        <f t="shared" si="275"/>
        <v>0</v>
      </c>
      <c r="K3568" s="462">
        <f>IF(C3568=0,0,VLOOKUP(YEAR(C3568),INPC!$B$4:$O$29,MONTH(C3568)+1))</f>
        <v>0</v>
      </c>
      <c r="L3568" s="462">
        <f>IF(S3568=0,0,VLOOKUP(YEAR(S3568),INPC!$B$4:$O$29,MONTH(S3568)+1))</f>
        <v>0</v>
      </c>
      <c r="M3568" s="463">
        <f t="shared" si="276"/>
        <v>0</v>
      </c>
      <c r="N3568" s="465">
        <f t="shared" si="277"/>
        <v>0</v>
      </c>
      <c r="O3568" s="179"/>
      <c r="P3568" s="180"/>
      <c r="Q3568" s="173"/>
      <c r="R3568" s="173"/>
      <c r="S3568" s="174"/>
      <c r="T3568" s="173"/>
      <c r="U3568" s="182"/>
      <c r="V3568" s="177">
        <f>IF(U3568=0,0,IF(T3568="MXN",1/HLOOKUP(YEAR(S3568)+(MONTH(S3568)/100),TC!$5:$37,DAY(S3568)+2,FALSE),VLOOKUP(T3568,Equivalencia!$1:$23,((MAX(Equivalencia!$3:$3)-YEAR(S3568))*14)+MONTH(S3568)+2,FALSE)))</f>
        <v>0</v>
      </c>
      <c r="W3568" s="178">
        <f t="shared" si="278"/>
        <v>0</v>
      </c>
      <c r="X3568" s="481">
        <f t="shared" si="279"/>
        <v>0</v>
      </c>
      <c r="Y3568" s="179"/>
      <c r="Z3568" s="466">
        <f t="shared" si="280"/>
        <v>0</v>
      </c>
      <c r="AA3568" s="473">
        <f t="shared" si="281"/>
        <v>0</v>
      </c>
      <c r="AB3568" s="339">
        <f t="shared" si="282"/>
        <v>0</v>
      </c>
    </row>
    <row r="3569" spans="2:28" ht="20.100000000000001" customHeight="1">
      <c r="B3569" s="172"/>
      <c r="C3569" s="174"/>
      <c r="D3569" s="181"/>
      <c r="E3569" s="173"/>
      <c r="F3569" s="176"/>
      <c r="G3569" s="175">
        <f t="shared" si="273"/>
        <v>0</v>
      </c>
      <c r="H3569" s="175">
        <f t="shared" si="274"/>
        <v>0</v>
      </c>
      <c r="I3569" s="177">
        <f>IF(G3569=0,0,IF(E3569="MXN",1/HLOOKUP(YEAR(C3569)+(MONTH(C3569)/100),TC!$5:$37,DAY(C3569)+2,FALSE),VLOOKUP(E3569,Equivalencia!$5:$23,((MAX(Equivalencia!$3:$3)-YEAR(C3569))*14)+MONTH(C3569)+2,FALSE)))</f>
        <v>0</v>
      </c>
      <c r="J3569" s="178">
        <f t="shared" si="275"/>
        <v>0</v>
      </c>
      <c r="K3569" s="462">
        <f>IF(C3569=0,0,VLOOKUP(YEAR(C3569),INPC!$B$4:$O$29,MONTH(C3569)+1))</f>
        <v>0</v>
      </c>
      <c r="L3569" s="462">
        <f>IF(S3569=0,0,VLOOKUP(YEAR(S3569),INPC!$B$4:$O$29,MONTH(S3569)+1))</f>
        <v>0</v>
      </c>
      <c r="M3569" s="463">
        <f t="shared" si="276"/>
        <v>0</v>
      </c>
      <c r="N3569" s="465">
        <f t="shared" si="277"/>
        <v>0</v>
      </c>
      <c r="O3569" s="179"/>
      <c r="P3569" s="180"/>
      <c r="Q3569" s="173"/>
      <c r="R3569" s="173"/>
      <c r="S3569" s="174"/>
      <c r="T3569" s="173"/>
      <c r="U3569" s="182"/>
      <c r="V3569" s="177">
        <f>IF(U3569=0,0,IF(T3569="MXN",1/HLOOKUP(YEAR(S3569)+(MONTH(S3569)/100),TC!$5:$37,DAY(S3569)+2,FALSE),VLOOKUP(T3569,Equivalencia!$1:$23,((MAX(Equivalencia!$3:$3)-YEAR(S3569))*14)+MONTH(S3569)+2,FALSE)))</f>
        <v>0</v>
      </c>
      <c r="W3569" s="178">
        <f t="shared" si="278"/>
        <v>0</v>
      </c>
      <c r="X3569" s="481">
        <f t="shared" si="279"/>
        <v>0</v>
      </c>
      <c r="Y3569" s="179"/>
      <c r="Z3569" s="466">
        <f t="shared" si="280"/>
        <v>0</v>
      </c>
      <c r="AA3569" s="473">
        <f t="shared" si="281"/>
        <v>0</v>
      </c>
      <c r="AB3569" s="339">
        <f t="shared" si="282"/>
        <v>0</v>
      </c>
    </row>
    <row r="3570" spans="2:28" ht="20.100000000000001" customHeight="1">
      <c r="B3570" s="172"/>
      <c r="C3570" s="174"/>
      <c r="D3570" s="181"/>
      <c r="E3570" s="173"/>
      <c r="F3570" s="176"/>
      <c r="G3570" s="175">
        <f t="shared" si="273"/>
        <v>0</v>
      </c>
      <c r="H3570" s="175">
        <f t="shared" si="274"/>
        <v>0</v>
      </c>
      <c r="I3570" s="177">
        <f>IF(G3570=0,0,IF(E3570="MXN",1/HLOOKUP(YEAR(C3570)+(MONTH(C3570)/100),TC!$5:$37,DAY(C3570)+2,FALSE),VLOOKUP(E3570,Equivalencia!$5:$23,((MAX(Equivalencia!$3:$3)-YEAR(C3570))*14)+MONTH(C3570)+2,FALSE)))</f>
        <v>0</v>
      </c>
      <c r="J3570" s="178">
        <f t="shared" si="275"/>
        <v>0</v>
      </c>
      <c r="K3570" s="462">
        <f>IF(C3570=0,0,VLOOKUP(YEAR(C3570),INPC!$B$4:$O$29,MONTH(C3570)+1))</f>
        <v>0</v>
      </c>
      <c r="L3570" s="462">
        <f>IF(S3570=0,0,VLOOKUP(YEAR(S3570),INPC!$B$4:$O$29,MONTH(S3570)+1))</f>
        <v>0</v>
      </c>
      <c r="M3570" s="463">
        <f t="shared" si="276"/>
        <v>0</v>
      </c>
      <c r="N3570" s="465">
        <f t="shared" si="277"/>
        <v>0</v>
      </c>
      <c r="O3570" s="179"/>
      <c r="P3570" s="180"/>
      <c r="Q3570" s="173"/>
      <c r="R3570" s="173"/>
      <c r="S3570" s="174"/>
      <c r="T3570" s="173"/>
      <c r="U3570" s="182"/>
      <c r="V3570" s="177">
        <f>IF(U3570=0,0,IF(T3570="MXN",1/HLOOKUP(YEAR(S3570)+(MONTH(S3570)/100),TC!$5:$37,DAY(S3570)+2,FALSE),VLOOKUP(T3570,Equivalencia!$1:$23,((MAX(Equivalencia!$3:$3)-YEAR(S3570))*14)+MONTH(S3570)+2,FALSE)))</f>
        <v>0</v>
      </c>
      <c r="W3570" s="178">
        <f t="shared" si="278"/>
        <v>0</v>
      </c>
      <c r="X3570" s="481">
        <f t="shared" si="279"/>
        <v>0</v>
      </c>
      <c r="Y3570" s="179"/>
      <c r="Z3570" s="466">
        <f t="shared" si="280"/>
        <v>0</v>
      </c>
      <c r="AA3570" s="473">
        <f t="shared" si="281"/>
        <v>0</v>
      </c>
      <c r="AB3570" s="339">
        <f t="shared" si="282"/>
        <v>0</v>
      </c>
    </row>
    <row r="3571" spans="2:28" ht="20.100000000000001" customHeight="1">
      <c r="B3571" s="172"/>
      <c r="C3571" s="174"/>
      <c r="D3571" s="181"/>
      <c r="E3571" s="173"/>
      <c r="F3571" s="176"/>
      <c r="G3571" s="175">
        <f t="shared" si="273"/>
        <v>0</v>
      </c>
      <c r="H3571" s="175">
        <f t="shared" si="274"/>
        <v>0</v>
      </c>
      <c r="I3571" s="177">
        <f>IF(G3571=0,0,IF(E3571="MXN",1/HLOOKUP(YEAR(C3571)+(MONTH(C3571)/100),TC!$5:$37,DAY(C3571)+2,FALSE),VLOOKUP(E3571,Equivalencia!$5:$23,((MAX(Equivalencia!$3:$3)-YEAR(C3571))*14)+MONTH(C3571)+2,FALSE)))</f>
        <v>0</v>
      </c>
      <c r="J3571" s="178">
        <f t="shared" si="275"/>
        <v>0</v>
      </c>
      <c r="K3571" s="462">
        <f>IF(C3571=0,0,VLOOKUP(YEAR(C3571),INPC!$B$4:$O$29,MONTH(C3571)+1))</f>
        <v>0</v>
      </c>
      <c r="L3571" s="462">
        <f>IF(S3571=0,0,VLOOKUP(YEAR(S3571),INPC!$B$4:$O$29,MONTH(S3571)+1))</f>
        <v>0</v>
      </c>
      <c r="M3571" s="463">
        <f t="shared" si="276"/>
        <v>0</v>
      </c>
      <c r="N3571" s="465">
        <f t="shared" si="277"/>
        <v>0</v>
      </c>
      <c r="O3571" s="179"/>
      <c r="P3571" s="180"/>
      <c r="Q3571" s="173"/>
      <c r="R3571" s="173"/>
      <c r="S3571" s="174"/>
      <c r="T3571" s="173"/>
      <c r="U3571" s="182"/>
      <c r="V3571" s="177">
        <f>IF(U3571=0,0,IF(T3571="MXN",1/HLOOKUP(YEAR(S3571)+(MONTH(S3571)/100),TC!$5:$37,DAY(S3571)+2,FALSE),VLOOKUP(T3571,Equivalencia!$1:$23,((MAX(Equivalencia!$3:$3)-YEAR(S3571))*14)+MONTH(S3571)+2,FALSE)))</f>
        <v>0</v>
      </c>
      <c r="W3571" s="178">
        <f t="shared" si="278"/>
        <v>0</v>
      </c>
      <c r="X3571" s="481">
        <f t="shared" si="279"/>
        <v>0</v>
      </c>
      <c r="Y3571" s="179"/>
      <c r="Z3571" s="466">
        <f t="shared" si="280"/>
        <v>0</v>
      </c>
      <c r="AA3571" s="473">
        <f t="shared" si="281"/>
        <v>0</v>
      </c>
      <c r="AB3571" s="339">
        <f t="shared" si="282"/>
        <v>0</v>
      </c>
    </row>
    <row r="3572" spans="2:28" ht="20.100000000000001" customHeight="1">
      <c r="B3572" s="172"/>
      <c r="C3572" s="174"/>
      <c r="D3572" s="181"/>
      <c r="E3572" s="173"/>
      <c r="F3572" s="176"/>
      <c r="G3572" s="175">
        <f t="shared" si="273"/>
        <v>0</v>
      </c>
      <c r="H3572" s="175">
        <f t="shared" si="274"/>
        <v>0</v>
      </c>
      <c r="I3572" s="177">
        <f>IF(G3572=0,0,IF(E3572="MXN",1/HLOOKUP(YEAR(C3572)+(MONTH(C3572)/100),TC!$5:$37,DAY(C3572)+2,FALSE),VLOOKUP(E3572,Equivalencia!$5:$23,((MAX(Equivalencia!$3:$3)-YEAR(C3572))*14)+MONTH(C3572)+2,FALSE)))</f>
        <v>0</v>
      </c>
      <c r="J3572" s="178">
        <f t="shared" si="275"/>
        <v>0</v>
      </c>
      <c r="K3572" s="462">
        <f>IF(C3572=0,0,VLOOKUP(YEAR(C3572),INPC!$B$4:$O$29,MONTH(C3572)+1))</f>
        <v>0</v>
      </c>
      <c r="L3572" s="462">
        <f>IF(S3572=0,0,VLOOKUP(YEAR(S3572),INPC!$B$4:$O$29,MONTH(S3572)+1))</f>
        <v>0</v>
      </c>
      <c r="M3572" s="463">
        <f t="shared" si="276"/>
        <v>0</v>
      </c>
      <c r="N3572" s="465">
        <f t="shared" si="277"/>
        <v>0</v>
      </c>
      <c r="O3572" s="179"/>
      <c r="P3572" s="180"/>
      <c r="Q3572" s="173"/>
      <c r="R3572" s="173"/>
      <c r="S3572" s="174"/>
      <c r="T3572" s="173"/>
      <c r="U3572" s="182"/>
      <c r="V3572" s="177">
        <f>IF(U3572=0,0,IF(T3572="MXN",1/HLOOKUP(YEAR(S3572)+(MONTH(S3572)/100),TC!$5:$37,DAY(S3572)+2,FALSE),VLOOKUP(T3572,Equivalencia!$1:$23,((MAX(Equivalencia!$3:$3)-YEAR(S3572))*14)+MONTH(S3572)+2,FALSE)))</f>
        <v>0</v>
      </c>
      <c r="W3572" s="178">
        <f t="shared" si="278"/>
        <v>0</v>
      </c>
      <c r="X3572" s="481">
        <f t="shared" si="279"/>
        <v>0</v>
      </c>
      <c r="Y3572" s="179"/>
      <c r="Z3572" s="466">
        <f t="shared" si="280"/>
        <v>0</v>
      </c>
      <c r="AA3572" s="473">
        <f t="shared" si="281"/>
        <v>0</v>
      </c>
      <c r="AB3572" s="339">
        <f t="shared" si="282"/>
        <v>0</v>
      </c>
    </row>
    <row r="3573" spans="2:28" ht="20.100000000000001" customHeight="1">
      <c r="B3573" s="172"/>
      <c r="C3573" s="174"/>
      <c r="D3573" s="181"/>
      <c r="E3573" s="173"/>
      <c r="F3573" s="176"/>
      <c r="G3573" s="175">
        <f t="shared" si="273"/>
        <v>0</v>
      </c>
      <c r="H3573" s="175">
        <f t="shared" si="274"/>
        <v>0</v>
      </c>
      <c r="I3573" s="177">
        <f>IF(G3573=0,0,IF(E3573="MXN",1/HLOOKUP(YEAR(C3573)+(MONTH(C3573)/100),TC!$5:$37,DAY(C3573)+2,FALSE),VLOOKUP(E3573,Equivalencia!$5:$23,((MAX(Equivalencia!$3:$3)-YEAR(C3573))*14)+MONTH(C3573)+2,FALSE)))</f>
        <v>0</v>
      </c>
      <c r="J3573" s="178">
        <f t="shared" si="275"/>
        <v>0</v>
      </c>
      <c r="K3573" s="462">
        <f>IF(C3573=0,0,VLOOKUP(YEAR(C3573),INPC!$B$4:$O$29,MONTH(C3573)+1))</f>
        <v>0</v>
      </c>
      <c r="L3573" s="462">
        <f>IF(S3573=0,0,VLOOKUP(YEAR(S3573),INPC!$B$4:$O$29,MONTH(S3573)+1))</f>
        <v>0</v>
      </c>
      <c r="M3573" s="463">
        <f t="shared" si="276"/>
        <v>0</v>
      </c>
      <c r="N3573" s="465">
        <f t="shared" si="277"/>
        <v>0</v>
      </c>
      <c r="O3573" s="179"/>
      <c r="P3573" s="180"/>
      <c r="Q3573" s="173"/>
      <c r="R3573" s="173"/>
      <c r="S3573" s="174"/>
      <c r="T3573" s="173"/>
      <c r="U3573" s="182"/>
      <c r="V3573" s="177">
        <f>IF(U3573=0,0,IF(T3573="MXN",1/HLOOKUP(YEAR(S3573)+(MONTH(S3573)/100),TC!$5:$37,DAY(S3573)+2,FALSE),VLOOKUP(T3573,Equivalencia!$1:$23,((MAX(Equivalencia!$3:$3)-YEAR(S3573))*14)+MONTH(S3573)+2,FALSE)))</f>
        <v>0</v>
      </c>
      <c r="W3573" s="178">
        <f t="shared" si="278"/>
        <v>0</v>
      </c>
      <c r="X3573" s="481">
        <f t="shared" si="279"/>
        <v>0</v>
      </c>
      <c r="Y3573" s="179"/>
      <c r="Z3573" s="466">
        <f t="shared" si="280"/>
        <v>0</v>
      </c>
      <c r="AA3573" s="473">
        <f t="shared" si="281"/>
        <v>0</v>
      </c>
      <c r="AB3573" s="339">
        <f t="shared" si="282"/>
        <v>0</v>
      </c>
    </row>
    <row r="3574" spans="2:28" ht="20.100000000000001" customHeight="1">
      <c r="B3574" s="172"/>
      <c r="C3574" s="174"/>
      <c r="D3574" s="181"/>
      <c r="E3574" s="173"/>
      <c r="F3574" s="176"/>
      <c r="G3574" s="175">
        <f t="shared" si="273"/>
        <v>0</v>
      </c>
      <c r="H3574" s="175">
        <f t="shared" si="274"/>
        <v>0</v>
      </c>
      <c r="I3574" s="177">
        <f>IF(G3574=0,0,IF(E3574="MXN",1/HLOOKUP(YEAR(C3574)+(MONTH(C3574)/100),TC!$5:$37,DAY(C3574)+2,FALSE),VLOOKUP(E3574,Equivalencia!$5:$23,((MAX(Equivalencia!$3:$3)-YEAR(C3574))*14)+MONTH(C3574)+2,FALSE)))</f>
        <v>0</v>
      </c>
      <c r="J3574" s="178">
        <f t="shared" si="275"/>
        <v>0</v>
      </c>
      <c r="K3574" s="462">
        <f>IF(C3574=0,0,VLOOKUP(YEAR(C3574),INPC!$B$4:$O$29,MONTH(C3574)+1))</f>
        <v>0</v>
      </c>
      <c r="L3574" s="462">
        <f>IF(S3574=0,0,VLOOKUP(YEAR(S3574),INPC!$B$4:$O$29,MONTH(S3574)+1))</f>
        <v>0</v>
      </c>
      <c r="M3574" s="463">
        <f t="shared" si="276"/>
        <v>0</v>
      </c>
      <c r="N3574" s="465">
        <f t="shared" si="277"/>
        <v>0</v>
      </c>
      <c r="O3574" s="179"/>
      <c r="P3574" s="180"/>
      <c r="Q3574" s="173"/>
      <c r="R3574" s="173"/>
      <c r="S3574" s="174"/>
      <c r="T3574" s="173"/>
      <c r="U3574" s="182"/>
      <c r="V3574" s="177">
        <f>IF(U3574=0,0,IF(T3574="MXN",1/HLOOKUP(YEAR(S3574)+(MONTH(S3574)/100),TC!$5:$37,DAY(S3574)+2,FALSE),VLOOKUP(T3574,Equivalencia!$1:$23,((MAX(Equivalencia!$3:$3)-YEAR(S3574))*14)+MONTH(S3574)+2,FALSE)))</f>
        <v>0</v>
      </c>
      <c r="W3574" s="178">
        <f t="shared" si="278"/>
        <v>0</v>
      </c>
      <c r="X3574" s="481">
        <f t="shared" si="279"/>
        <v>0</v>
      </c>
      <c r="Y3574" s="179"/>
      <c r="Z3574" s="466">
        <f t="shared" si="280"/>
        <v>0</v>
      </c>
      <c r="AA3574" s="473">
        <f t="shared" si="281"/>
        <v>0</v>
      </c>
      <c r="AB3574" s="339">
        <f t="shared" si="282"/>
        <v>0</v>
      </c>
    </row>
    <row r="3575" spans="2:28" ht="20.100000000000001" customHeight="1">
      <c r="B3575" s="172"/>
      <c r="C3575" s="174"/>
      <c r="D3575" s="181"/>
      <c r="E3575" s="173"/>
      <c r="F3575" s="176"/>
      <c r="G3575" s="175">
        <f t="shared" si="273"/>
        <v>0</v>
      </c>
      <c r="H3575" s="175">
        <f t="shared" si="274"/>
        <v>0</v>
      </c>
      <c r="I3575" s="177">
        <f>IF(G3575=0,0,IF(E3575="MXN",1/HLOOKUP(YEAR(C3575)+(MONTH(C3575)/100),TC!$5:$37,DAY(C3575)+2,FALSE),VLOOKUP(E3575,Equivalencia!$5:$23,((MAX(Equivalencia!$3:$3)-YEAR(C3575))*14)+MONTH(C3575)+2,FALSE)))</f>
        <v>0</v>
      </c>
      <c r="J3575" s="178">
        <f t="shared" si="275"/>
        <v>0</v>
      </c>
      <c r="K3575" s="462">
        <f>IF(C3575=0,0,VLOOKUP(YEAR(C3575),INPC!$B$4:$O$29,MONTH(C3575)+1))</f>
        <v>0</v>
      </c>
      <c r="L3575" s="462">
        <f>IF(S3575=0,0,VLOOKUP(YEAR(S3575),INPC!$B$4:$O$29,MONTH(S3575)+1))</f>
        <v>0</v>
      </c>
      <c r="M3575" s="463">
        <f t="shared" si="276"/>
        <v>0</v>
      </c>
      <c r="N3575" s="465">
        <f t="shared" si="277"/>
        <v>0</v>
      </c>
      <c r="O3575" s="179"/>
      <c r="P3575" s="180"/>
      <c r="Q3575" s="173"/>
      <c r="R3575" s="173"/>
      <c r="S3575" s="174"/>
      <c r="T3575" s="173"/>
      <c r="U3575" s="182"/>
      <c r="V3575" s="177">
        <f>IF(U3575=0,0,IF(T3575="MXN",1/HLOOKUP(YEAR(S3575)+(MONTH(S3575)/100),TC!$5:$37,DAY(S3575)+2,FALSE),VLOOKUP(T3575,Equivalencia!$1:$23,((MAX(Equivalencia!$3:$3)-YEAR(S3575))*14)+MONTH(S3575)+2,FALSE)))</f>
        <v>0</v>
      </c>
      <c r="W3575" s="178">
        <f t="shared" si="278"/>
        <v>0</v>
      </c>
      <c r="X3575" s="481">
        <f t="shared" si="279"/>
        <v>0</v>
      </c>
      <c r="Y3575" s="179"/>
      <c r="Z3575" s="466">
        <f t="shared" si="280"/>
        <v>0</v>
      </c>
      <c r="AA3575" s="473">
        <f t="shared" si="281"/>
        <v>0</v>
      </c>
      <c r="AB3575" s="339">
        <f t="shared" si="282"/>
        <v>0</v>
      </c>
    </row>
    <row r="3576" spans="2:28" ht="20.100000000000001" customHeight="1">
      <c r="B3576" s="172"/>
      <c r="C3576" s="174"/>
      <c r="D3576" s="181"/>
      <c r="E3576" s="173"/>
      <c r="F3576" s="176"/>
      <c r="G3576" s="175">
        <f t="shared" si="273"/>
        <v>0</v>
      </c>
      <c r="H3576" s="175">
        <f t="shared" si="274"/>
        <v>0</v>
      </c>
      <c r="I3576" s="177">
        <f>IF(G3576=0,0,IF(E3576="MXN",1/HLOOKUP(YEAR(C3576)+(MONTH(C3576)/100),TC!$5:$37,DAY(C3576)+2,FALSE),VLOOKUP(E3576,Equivalencia!$5:$23,((MAX(Equivalencia!$3:$3)-YEAR(C3576))*14)+MONTH(C3576)+2,FALSE)))</f>
        <v>0</v>
      </c>
      <c r="J3576" s="178">
        <f t="shared" si="275"/>
        <v>0</v>
      </c>
      <c r="K3576" s="462">
        <f>IF(C3576=0,0,VLOOKUP(YEAR(C3576),INPC!$B$4:$O$29,MONTH(C3576)+1))</f>
        <v>0</v>
      </c>
      <c r="L3576" s="462">
        <f>IF(S3576=0,0,VLOOKUP(YEAR(S3576),INPC!$B$4:$O$29,MONTH(S3576)+1))</f>
        <v>0</v>
      </c>
      <c r="M3576" s="463">
        <f t="shared" si="276"/>
        <v>0</v>
      </c>
      <c r="N3576" s="465">
        <f t="shared" si="277"/>
        <v>0</v>
      </c>
      <c r="O3576" s="179"/>
      <c r="P3576" s="180"/>
      <c r="Q3576" s="173"/>
      <c r="R3576" s="173"/>
      <c r="S3576" s="174"/>
      <c r="T3576" s="173"/>
      <c r="U3576" s="182"/>
      <c r="V3576" s="177">
        <f>IF(U3576=0,0,IF(T3576="MXN",1/HLOOKUP(YEAR(S3576)+(MONTH(S3576)/100),TC!$5:$37,DAY(S3576)+2,FALSE),VLOOKUP(T3576,Equivalencia!$1:$23,((MAX(Equivalencia!$3:$3)-YEAR(S3576))*14)+MONTH(S3576)+2,FALSE)))</f>
        <v>0</v>
      </c>
      <c r="W3576" s="178">
        <f t="shared" si="278"/>
        <v>0</v>
      </c>
      <c r="X3576" s="481">
        <f t="shared" si="279"/>
        <v>0</v>
      </c>
      <c r="Y3576" s="179"/>
      <c r="Z3576" s="466">
        <f t="shared" si="280"/>
        <v>0</v>
      </c>
      <c r="AA3576" s="473">
        <f t="shared" si="281"/>
        <v>0</v>
      </c>
      <c r="AB3576" s="339">
        <f t="shared" si="282"/>
        <v>0</v>
      </c>
    </row>
    <row r="3577" spans="2:28" ht="20.100000000000001" customHeight="1">
      <c r="B3577" s="172"/>
      <c r="C3577" s="174"/>
      <c r="D3577" s="181"/>
      <c r="E3577" s="173"/>
      <c r="F3577" s="176"/>
      <c r="G3577" s="175">
        <f t="shared" si="273"/>
        <v>0</v>
      </c>
      <c r="H3577" s="175">
        <f t="shared" si="274"/>
        <v>0</v>
      </c>
      <c r="I3577" s="177">
        <f>IF(G3577=0,0,IF(E3577="MXN",1/HLOOKUP(YEAR(C3577)+(MONTH(C3577)/100),TC!$5:$37,DAY(C3577)+2,FALSE),VLOOKUP(E3577,Equivalencia!$5:$23,((MAX(Equivalencia!$3:$3)-YEAR(C3577))*14)+MONTH(C3577)+2,FALSE)))</f>
        <v>0</v>
      </c>
      <c r="J3577" s="178">
        <f t="shared" si="275"/>
        <v>0</v>
      </c>
      <c r="K3577" s="462">
        <f>IF(C3577=0,0,VLOOKUP(YEAR(C3577),INPC!$B$4:$O$29,MONTH(C3577)+1))</f>
        <v>0</v>
      </c>
      <c r="L3577" s="462">
        <f>IF(S3577=0,0,VLOOKUP(YEAR(S3577),INPC!$B$4:$O$29,MONTH(S3577)+1))</f>
        <v>0</v>
      </c>
      <c r="M3577" s="463">
        <f t="shared" si="276"/>
        <v>0</v>
      </c>
      <c r="N3577" s="465">
        <f t="shared" si="277"/>
        <v>0</v>
      </c>
      <c r="O3577" s="179"/>
      <c r="P3577" s="180"/>
      <c r="Q3577" s="173"/>
      <c r="R3577" s="173"/>
      <c r="S3577" s="174"/>
      <c r="T3577" s="173"/>
      <c r="U3577" s="182"/>
      <c r="V3577" s="177">
        <f>IF(U3577=0,0,IF(T3577="MXN",1/HLOOKUP(YEAR(S3577)+(MONTH(S3577)/100),TC!$5:$37,DAY(S3577)+2,FALSE),VLOOKUP(T3577,Equivalencia!$1:$23,((MAX(Equivalencia!$3:$3)-YEAR(S3577))*14)+MONTH(S3577)+2,FALSE)))</f>
        <v>0</v>
      </c>
      <c r="W3577" s="178">
        <f t="shared" si="278"/>
        <v>0</v>
      </c>
      <c r="X3577" s="481">
        <f t="shared" si="279"/>
        <v>0</v>
      </c>
      <c r="Y3577" s="179"/>
      <c r="Z3577" s="466">
        <f t="shared" si="280"/>
        <v>0</v>
      </c>
      <c r="AA3577" s="473">
        <f t="shared" si="281"/>
        <v>0</v>
      </c>
      <c r="AB3577" s="339">
        <f t="shared" si="282"/>
        <v>0</v>
      </c>
    </row>
    <row r="3578" spans="2:28" ht="20.100000000000001" customHeight="1">
      <c r="B3578" s="172"/>
      <c r="C3578" s="174"/>
      <c r="D3578" s="181"/>
      <c r="E3578" s="173"/>
      <c r="F3578" s="176"/>
      <c r="G3578" s="175">
        <f t="shared" si="273"/>
        <v>0</v>
      </c>
      <c r="H3578" s="175">
        <f t="shared" si="274"/>
        <v>0</v>
      </c>
      <c r="I3578" s="177">
        <f>IF(G3578=0,0,IF(E3578="MXN",1/HLOOKUP(YEAR(C3578)+(MONTH(C3578)/100),TC!$5:$37,DAY(C3578)+2,FALSE),VLOOKUP(E3578,Equivalencia!$5:$23,((MAX(Equivalencia!$3:$3)-YEAR(C3578))*14)+MONTH(C3578)+2,FALSE)))</f>
        <v>0</v>
      </c>
      <c r="J3578" s="178">
        <f t="shared" si="275"/>
        <v>0</v>
      </c>
      <c r="K3578" s="462">
        <f>IF(C3578=0,0,VLOOKUP(YEAR(C3578),INPC!$B$4:$O$29,MONTH(C3578)+1))</f>
        <v>0</v>
      </c>
      <c r="L3578" s="462">
        <f>IF(S3578=0,0,VLOOKUP(YEAR(S3578),INPC!$B$4:$O$29,MONTH(S3578)+1))</f>
        <v>0</v>
      </c>
      <c r="M3578" s="463">
        <f t="shared" si="276"/>
        <v>0</v>
      </c>
      <c r="N3578" s="465">
        <f t="shared" si="277"/>
        <v>0</v>
      </c>
      <c r="O3578" s="179"/>
      <c r="P3578" s="180"/>
      <c r="Q3578" s="173"/>
      <c r="R3578" s="173"/>
      <c r="S3578" s="174"/>
      <c r="T3578" s="173"/>
      <c r="U3578" s="182"/>
      <c r="V3578" s="177">
        <f>IF(U3578=0,0,IF(T3578="MXN",1/HLOOKUP(YEAR(S3578)+(MONTH(S3578)/100),TC!$5:$37,DAY(S3578)+2,FALSE),VLOOKUP(T3578,Equivalencia!$1:$23,((MAX(Equivalencia!$3:$3)-YEAR(S3578))*14)+MONTH(S3578)+2,FALSE)))</f>
        <v>0</v>
      </c>
      <c r="W3578" s="178">
        <f t="shared" si="278"/>
        <v>0</v>
      </c>
      <c r="X3578" s="481">
        <f t="shared" si="279"/>
        <v>0</v>
      </c>
      <c r="Y3578" s="179"/>
      <c r="Z3578" s="466">
        <f t="shared" si="280"/>
        <v>0</v>
      </c>
      <c r="AA3578" s="473">
        <f t="shared" si="281"/>
        <v>0</v>
      </c>
      <c r="AB3578" s="339">
        <f t="shared" si="282"/>
        <v>0</v>
      </c>
    </row>
    <row r="3579" spans="2:28" ht="20.100000000000001" customHeight="1">
      <c r="B3579" s="172"/>
      <c r="C3579" s="174"/>
      <c r="D3579" s="181"/>
      <c r="E3579" s="173"/>
      <c r="F3579" s="176"/>
      <c r="G3579" s="175">
        <f t="shared" si="273"/>
        <v>0</v>
      </c>
      <c r="H3579" s="175">
        <f t="shared" si="274"/>
        <v>0</v>
      </c>
      <c r="I3579" s="177">
        <f>IF(G3579=0,0,IF(E3579="MXN",1/HLOOKUP(YEAR(C3579)+(MONTH(C3579)/100),TC!$5:$37,DAY(C3579)+2,FALSE),VLOOKUP(E3579,Equivalencia!$5:$23,((MAX(Equivalencia!$3:$3)-YEAR(C3579))*14)+MONTH(C3579)+2,FALSE)))</f>
        <v>0</v>
      </c>
      <c r="J3579" s="178">
        <f t="shared" si="275"/>
        <v>0</v>
      </c>
      <c r="K3579" s="462">
        <f>IF(C3579=0,0,VLOOKUP(YEAR(C3579),INPC!$B$4:$O$29,MONTH(C3579)+1))</f>
        <v>0</v>
      </c>
      <c r="L3579" s="462">
        <f>IF(S3579=0,0,VLOOKUP(YEAR(S3579),INPC!$B$4:$O$29,MONTH(S3579)+1))</f>
        <v>0</v>
      </c>
      <c r="M3579" s="463">
        <f t="shared" si="276"/>
        <v>0</v>
      </c>
      <c r="N3579" s="465">
        <f t="shared" si="277"/>
        <v>0</v>
      </c>
      <c r="O3579" s="179"/>
      <c r="P3579" s="180"/>
      <c r="Q3579" s="173"/>
      <c r="R3579" s="173"/>
      <c r="S3579" s="174"/>
      <c r="T3579" s="173"/>
      <c r="U3579" s="182"/>
      <c r="V3579" s="177">
        <f>IF(U3579=0,0,IF(T3579="MXN",1/HLOOKUP(YEAR(S3579)+(MONTH(S3579)/100),TC!$5:$37,DAY(S3579)+2,FALSE),VLOOKUP(T3579,Equivalencia!$1:$23,((MAX(Equivalencia!$3:$3)-YEAR(S3579))*14)+MONTH(S3579)+2,FALSE)))</f>
        <v>0</v>
      </c>
      <c r="W3579" s="178">
        <f t="shared" si="278"/>
        <v>0</v>
      </c>
      <c r="X3579" s="481">
        <f t="shared" si="279"/>
        <v>0</v>
      </c>
      <c r="Y3579" s="179"/>
      <c r="Z3579" s="466">
        <f t="shared" si="280"/>
        <v>0</v>
      </c>
      <c r="AA3579" s="473">
        <f t="shared" si="281"/>
        <v>0</v>
      </c>
      <c r="AB3579" s="339">
        <f t="shared" si="282"/>
        <v>0</v>
      </c>
    </row>
    <row r="3580" spans="2:28" ht="20.100000000000001" customHeight="1">
      <c r="B3580" s="172"/>
      <c r="C3580" s="174"/>
      <c r="D3580" s="181"/>
      <c r="E3580" s="173"/>
      <c r="F3580" s="176"/>
      <c r="G3580" s="175">
        <f t="shared" si="273"/>
        <v>0</v>
      </c>
      <c r="H3580" s="175">
        <f t="shared" si="274"/>
        <v>0</v>
      </c>
      <c r="I3580" s="177">
        <f>IF(G3580=0,0,IF(E3580="MXN",1/HLOOKUP(YEAR(C3580)+(MONTH(C3580)/100),TC!$5:$37,DAY(C3580)+2,FALSE),VLOOKUP(E3580,Equivalencia!$5:$23,((MAX(Equivalencia!$3:$3)-YEAR(C3580))*14)+MONTH(C3580)+2,FALSE)))</f>
        <v>0</v>
      </c>
      <c r="J3580" s="178">
        <f t="shared" si="275"/>
        <v>0</v>
      </c>
      <c r="K3580" s="462">
        <f>IF(C3580=0,0,VLOOKUP(YEAR(C3580),INPC!$B$4:$O$29,MONTH(C3580)+1))</f>
        <v>0</v>
      </c>
      <c r="L3580" s="462">
        <f>IF(S3580=0,0,VLOOKUP(YEAR(S3580),INPC!$B$4:$O$29,MONTH(S3580)+1))</f>
        <v>0</v>
      </c>
      <c r="M3580" s="463">
        <f t="shared" si="276"/>
        <v>0</v>
      </c>
      <c r="N3580" s="465">
        <f t="shared" si="277"/>
        <v>0</v>
      </c>
      <c r="O3580" s="179"/>
      <c r="P3580" s="180"/>
      <c r="Q3580" s="173"/>
      <c r="R3580" s="173"/>
      <c r="S3580" s="174"/>
      <c r="T3580" s="173"/>
      <c r="U3580" s="182"/>
      <c r="V3580" s="177">
        <f>IF(U3580=0,0,IF(T3580="MXN",1/HLOOKUP(YEAR(S3580)+(MONTH(S3580)/100),TC!$5:$37,DAY(S3580)+2,FALSE),VLOOKUP(T3580,Equivalencia!$1:$23,((MAX(Equivalencia!$3:$3)-YEAR(S3580))*14)+MONTH(S3580)+2,FALSE)))</f>
        <v>0</v>
      </c>
      <c r="W3580" s="178">
        <f t="shared" si="278"/>
        <v>0</v>
      </c>
      <c r="X3580" s="481">
        <f t="shared" si="279"/>
        <v>0</v>
      </c>
      <c r="Y3580" s="179"/>
      <c r="Z3580" s="466">
        <f t="shared" si="280"/>
        <v>0</v>
      </c>
      <c r="AA3580" s="473">
        <f t="shared" si="281"/>
        <v>0</v>
      </c>
      <c r="AB3580" s="339">
        <f t="shared" si="282"/>
        <v>0</v>
      </c>
    </row>
    <row r="3581" spans="2:28" ht="20.100000000000001" customHeight="1">
      <c r="B3581" s="172"/>
      <c r="C3581" s="174"/>
      <c r="D3581" s="181"/>
      <c r="E3581" s="173"/>
      <c r="F3581" s="176"/>
      <c r="G3581" s="175">
        <f t="shared" si="273"/>
        <v>0</v>
      </c>
      <c r="H3581" s="175">
        <f t="shared" si="274"/>
        <v>0</v>
      </c>
      <c r="I3581" s="177">
        <f>IF(G3581=0,0,IF(E3581="MXN",1/HLOOKUP(YEAR(C3581)+(MONTH(C3581)/100),TC!$5:$37,DAY(C3581)+2,FALSE),VLOOKUP(E3581,Equivalencia!$5:$23,((MAX(Equivalencia!$3:$3)-YEAR(C3581))*14)+MONTH(C3581)+2,FALSE)))</f>
        <v>0</v>
      </c>
      <c r="J3581" s="178">
        <f t="shared" si="275"/>
        <v>0</v>
      </c>
      <c r="K3581" s="462">
        <f>IF(C3581=0,0,VLOOKUP(YEAR(C3581),INPC!$B$4:$O$29,MONTH(C3581)+1))</f>
        <v>0</v>
      </c>
      <c r="L3581" s="462">
        <f>IF(S3581=0,0,VLOOKUP(YEAR(S3581),INPC!$B$4:$O$29,MONTH(S3581)+1))</f>
        <v>0</v>
      </c>
      <c r="M3581" s="463">
        <f t="shared" si="276"/>
        <v>0</v>
      </c>
      <c r="N3581" s="465">
        <f t="shared" si="277"/>
        <v>0</v>
      </c>
      <c r="O3581" s="179"/>
      <c r="P3581" s="180"/>
      <c r="Q3581" s="173"/>
      <c r="R3581" s="173"/>
      <c r="S3581" s="174"/>
      <c r="T3581" s="173"/>
      <c r="U3581" s="182"/>
      <c r="V3581" s="177">
        <f>IF(U3581=0,0,IF(T3581="MXN",1/HLOOKUP(YEAR(S3581)+(MONTH(S3581)/100),TC!$5:$37,DAY(S3581)+2,FALSE),VLOOKUP(T3581,Equivalencia!$1:$23,((MAX(Equivalencia!$3:$3)-YEAR(S3581))*14)+MONTH(S3581)+2,FALSE)))</f>
        <v>0</v>
      </c>
      <c r="W3581" s="178">
        <f t="shared" si="278"/>
        <v>0</v>
      </c>
      <c r="X3581" s="481">
        <f t="shared" si="279"/>
        <v>0</v>
      </c>
      <c r="Y3581" s="179"/>
      <c r="Z3581" s="466">
        <f t="shared" si="280"/>
        <v>0</v>
      </c>
      <c r="AA3581" s="473">
        <f t="shared" si="281"/>
        <v>0</v>
      </c>
      <c r="AB3581" s="339">
        <f t="shared" si="282"/>
        <v>0</v>
      </c>
    </row>
    <row r="3582" spans="2:28" ht="20.100000000000001" customHeight="1">
      <c r="B3582" s="172"/>
      <c r="C3582" s="174"/>
      <c r="D3582" s="181"/>
      <c r="E3582" s="173"/>
      <c r="F3582" s="176"/>
      <c r="G3582" s="175">
        <f t="shared" si="273"/>
        <v>0</v>
      </c>
      <c r="H3582" s="175">
        <f t="shared" si="274"/>
        <v>0</v>
      </c>
      <c r="I3582" s="177">
        <f>IF(G3582=0,0,IF(E3582="MXN",1/HLOOKUP(YEAR(C3582)+(MONTH(C3582)/100),TC!$5:$37,DAY(C3582)+2,FALSE),VLOOKUP(E3582,Equivalencia!$5:$23,((MAX(Equivalencia!$3:$3)-YEAR(C3582))*14)+MONTH(C3582)+2,FALSE)))</f>
        <v>0</v>
      </c>
      <c r="J3582" s="178">
        <f t="shared" si="275"/>
        <v>0</v>
      </c>
      <c r="K3582" s="462">
        <f>IF(C3582=0,0,VLOOKUP(YEAR(C3582),INPC!$B$4:$O$29,MONTH(C3582)+1))</f>
        <v>0</v>
      </c>
      <c r="L3582" s="462">
        <f>IF(S3582=0,0,VLOOKUP(YEAR(S3582),INPC!$B$4:$O$29,MONTH(S3582)+1))</f>
        <v>0</v>
      </c>
      <c r="M3582" s="463">
        <f t="shared" si="276"/>
        <v>0</v>
      </c>
      <c r="N3582" s="465">
        <f t="shared" si="277"/>
        <v>0</v>
      </c>
      <c r="O3582" s="179"/>
      <c r="P3582" s="180"/>
      <c r="Q3582" s="173"/>
      <c r="R3582" s="173"/>
      <c r="S3582" s="174"/>
      <c r="T3582" s="173"/>
      <c r="U3582" s="182"/>
      <c r="V3582" s="177">
        <f>IF(U3582=0,0,IF(T3582="MXN",1/HLOOKUP(YEAR(S3582)+(MONTH(S3582)/100),TC!$5:$37,DAY(S3582)+2,FALSE),VLOOKUP(T3582,Equivalencia!$1:$23,((MAX(Equivalencia!$3:$3)-YEAR(S3582))*14)+MONTH(S3582)+2,FALSE)))</f>
        <v>0</v>
      </c>
      <c r="W3582" s="178">
        <f t="shared" si="278"/>
        <v>0</v>
      </c>
      <c r="X3582" s="481">
        <f t="shared" si="279"/>
        <v>0</v>
      </c>
      <c r="Y3582" s="179"/>
      <c r="Z3582" s="466">
        <f t="shared" si="280"/>
        <v>0</v>
      </c>
      <c r="AA3582" s="473">
        <f t="shared" si="281"/>
        <v>0</v>
      </c>
      <c r="AB3582" s="339">
        <f t="shared" si="282"/>
        <v>0</v>
      </c>
    </row>
    <row r="3583" spans="2:28" ht="20.100000000000001" customHeight="1">
      <c r="B3583" s="172"/>
      <c r="C3583" s="174"/>
      <c r="D3583" s="181"/>
      <c r="E3583" s="173"/>
      <c r="F3583" s="176"/>
      <c r="G3583" s="175">
        <f t="shared" si="273"/>
        <v>0</v>
      </c>
      <c r="H3583" s="175">
        <f t="shared" si="274"/>
        <v>0</v>
      </c>
      <c r="I3583" s="177">
        <f>IF(G3583=0,0,IF(E3583="MXN",1/HLOOKUP(YEAR(C3583)+(MONTH(C3583)/100),TC!$5:$37,DAY(C3583)+2,FALSE),VLOOKUP(E3583,Equivalencia!$5:$23,((MAX(Equivalencia!$3:$3)-YEAR(C3583))*14)+MONTH(C3583)+2,FALSE)))</f>
        <v>0</v>
      </c>
      <c r="J3583" s="178">
        <f t="shared" si="275"/>
        <v>0</v>
      </c>
      <c r="K3583" s="462">
        <f>IF(C3583=0,0,VLOOKUP(YEAR(C3583),INPC!$B$4:$O$29,MONTH(C3583)+1))</f>
        <v>0</v>
      </c>
      <c r="L3583" s="462">
        <f>IF(S3583=0,0,VLOOKUP(YEAR(S3583),INPC!$B$4:$O$29,MONTH(S3583)+1))</f>
        <v>0</v>
      </c>
      <c r="M3583" s="463">
        <f t="shared" si="276"/>
        <v>0</v>
      </c>
      <c r="N3583" s="465">
        <f t="shared" si="277"/>
        <v>0</v>
      </c>
      <c r="O3583" s="179"/>
      <c r="P3583" s="180"/>
      <c r="Q3583" s="173"/>
      <c r="R3583" s="173"/>
      <c r="S3583" s="174"/>
      <c r="T3583" s="173"/>
      <c r="U3583" s="182"/>
      <c r="V3583" s="177">
        <f>IF(U3583=0,0,IF(T3583="MXN",1/HLOOKUP(YEAR(S3583)+(MONTH(S3583)/100),TC!$5:$37,DAY(S3583)+2,FALSE),VLOOKUP(T3583,Equivalencia!$1:$23,((MAX(Equivalencia!$3:$3)-YEAR(S3583))*14)+MONTH(S3583)+2,FALSE)))</f>
        <v>0</v>
      </c>
      <c r="W3583" s="178">
        <f t="shared" si="278"/>
        <v>0</v>
      </c>
      <c r="X3583" s="481">
        <f t="shared" si="279"/>
        <v>0</v>
      </c>
      <c r="Y3583" s="179"/>
      <c r="Z3583" s="466">
        <f t="shared" si="280"/>
        <v>0</v>
      </c>
      <c r="AA3583" s="473">
        <f t="shared" si="281"/>
        <v>0</v>
      </c>
      <c r="AB3583" s="339">
        <f t="shared" si="282"/>
        <v>0</v>
      </c>
    </row>
    <row r="3584" spans="2:28" ht="20.100000000000001" customHeight="1">
      <c r="B3584" s="172"/>
      <c r="C3584" s="174"/>
      <c r="D3584" s="181"/>
      <c r="E3584" s="173"/>
      <c r="F3584" s="176"/>
      <c r="G3584" s="175">
        <f t="shared" si="273"/>
        <v>0</v>
      </c>
      <c r="H3584" s="175">
        <f t="shared" si="274"/>
        <v>0</v>
      </c>
      <c r="I3584" s="177">
        <f>IF(G3584=0,0,IF(E3584="MXN",1/HLOOKUP(YEAR(C3584)+(MONTH(C3584)/100),TC!$5:$37,DAY(C3584)+2,FALSE),VLOOKUP(E3584,Equivalencia!$5:$23,((MAX(Equivalencia!$3:$3)-YEAR(C3584))*14)+MONTH(C3584)+2,FALSE)))</f>
        <v>0</v>
      </c>
      <c r="J3584" s="178">
        <f t="shared" si="275"/>
        <v>0</v>
      </c>
      <c r="K3584" s="462">
        <f>IF(C3584=0,0,VLOOKUP(YEAR(C3584),INPC!$B$4:$O$29,MONTH(C3584)+1))</f>
        <v>0</v>
      </c>
      <c r="L3584" s="462">
        <f>IF(S3584=0,0,VLOOKUP(YEAR(S3584),INPC!$B$4:$O$29,MONTH(S3584)+1))</f>
        <v>0</v>
      </c>
      <c r="M3584" s="463">
        <f t="shared" si="276"/>
        <v>0</v>
      </c>
      <c r="N3584" s="465">
        <f t="shared" si="277"/>
        <v>0</v>
      </c>
      <c r="O3584" s="179"/>
      <c r="P3584" s="180"/>
      <c r="Q3584" s="173"/>
      <c r="R3584" s="173"/>
      <c r="S3584" s="174"/>
      <c r="T3584" s="173"/>
      <c r="U3584" s="182"/>
      <c r="V3584" s="177">
        <f>IF(U3584=0,0,IF(T3584="MXN",1/HLOOKUP(YEAR(S3584)+(MONTH(S3584)/100),TC!$5:$37,DAY(S3584)+2,FALSE),VLOOKUP(T3584,Equivalencia!$1:$23,((MAX(Equivalencia!$3:$3)-YEAR(S3584))*14)+MONTH(S3584)+2,FALSE)))</f>
        <v>0</v>
      </c>
      <c r="W3584" s="178">
        <f t="shared" si="278"/>
        <v>0</v>
      </c>
      <c r="X3584" s="481">
        <f t="shared" si="279"/>
        <v>0</v>
      </c>
      <c r="Y3584" s="179"/>
      <c r="Z3584" s="466">
        <f t="shared" si="280"/>
        <v>0</v>
      </c>
      <c r="AA3584" s="473">
        <f t="shared" si="281"/>
        <v>0</v>
      </c>
      <c r="AB3584" s="339">
        <f t="shared" si="282"/>
        <v>0</v>
      </c>
    </row>
    <row r="3585" spans="2:28" ht="20.100000000000001" customHeight="1">
      <c r="B3585" s="172"/>
      <c r="C3585" s="174"/>
      <c r="D3585" s="181"/>
      <c r="E3585" s="173"/>
      <c r="F3585" s="176"/>
      <c r="G3585" s="175">
        <f t="shared" si="273"/>
        <v>0</v>
      </c>
      <c r="H3585" s="175">
        <f t="shared" si="274"/>
        <v>0</v>
      </c>
      <c r="I3585" s="177">
        <f>IF(G3585=0,0,IF(E3585="MXN",1/HLOOKUP(YEAR(C3585)+(MONTH(C3585)/100),TC!$5:$37,DAY(C3585)+2,FALSE),VLOOKUP(E3585,Equivalencia!$5:$23,((MAX(Equivalencia!$3:$3)-YEAR(C3585))*14)+MONTH(C3585)+2,FALSE)))</f>
        <v>0</v>
      </c>
      <c r="J3585" s="178">
        <f t="shared" si="275"/>
        <v>0</v>
      </c>
      <c r="K3585" s="462">
        <f>IF(C3585=0,0,VLOOKUP(YEAR(C3585),INPC!$B$4:$O$29,MONTH(C3585)+1))</f>
        <v>0</v>
      </c>
      <c r="L3585" s="462">
        <f>IF(S3585=0,0,VLOOKUP(YEAR(S3585),INPC!$B$4:$O$29,MONTH(S3585)+1))</f>
        <v>0</v>
      </c>
      <c r="M3585" s="463">
        <f t="shared" si="276"/>
        <v>0</v>
      </c>
      <c r="N3585" s="465">
        <f t="shared" si="277"/>
        <v>0</v>
      </c>
      <c r="O3585" s="179"/>
      <c r="P3585" s="180"/>
      <c r="Q3585" s="173"/>
      <c r="R3585" s="173"/>
      <c r="S3585" s="174"/>
      <c r="T3585" s="173"/>
      <c r="U3585" s="182"/>
      <c r="V3585" s="177">
        <f>IF(U3585=0,0,IF(T3585="MXN",1/HLOOKUP(YEAR(S3585)+(MONTH(S3585)/100),TC!$5:$37,DAY(S3585)+2,FALSE),VLOOKUP(T3585,Equivalencia!$1:$23,((MAX(Equivalencia!$3:$3)-YEAR(S3585))*14)+MONTH(S3585)+2,FALSE)))</f>
        <v>0</v>
      </c>
      <c r="W3585" s="178">
        <f t="shared" si="278"/>
        <v>0</v>
      </c>
      <c r="X3585" s="481">
        <f t="shared" si="279"/>
        <v>0</v>
      </c>
      <c r="Y3585" s="179"/>
      <c r="Z3585" s="466">
        <f t="shared" si="280"/>
        <v>0</v>
      </c>
      <c r="AA3585" s="473">
        <f t="shared" si="281"/>
        <v>0</v>
      </c>
      <c r="AB3585" s="339">
        <f t="shared" si="282"/>
        <v>0</v>
      </c>
    </row>
    <row r="3586" spans="2:28" ht="20.100000000000001" customHeight="1">
      <c r="B3586" s="172"/>
      <c r="C3586" s="174"/>
      <c r="D3586" s="181"/>
      <c r="E3586" s="173"/>
      <c r="F3586" s="176"/>
      <c r="G3586" s="175">
        <f t="shared" si="273"/>
        <v>0</v>
      </c>
      <c r="H3586" s="175">
        <f t="shared" si="274"/>
        <v>0</v>
      </c>
      <c r="I3586" s="177">
        <f>IF(G3586=0,0,IF(E3586="MXN",1/HLOOKUP(YEAR(C3586)+(MONTH(C3586)/100),TC!$5:$37,DAY(C3586)+2,FALSE),VLOOKUP(E3586,Equivalencia!$5:$23,((MAX(Equivalencia!$3:$3)-YEAR(C3586))*14)+MONTH(C3586)+2,FALSE)))</f>
        <v>0</v>
      </c>
      <c r="J3586" s="178">
        <f t="shared" si="275"/>
        <v>0</v>
      </c>
      <c r="K3586" s="462">
        <f>IF(C3586=0,0,VLOOKUP(YEAR(C3586),INPC!$B$4:$O$29,MONTH(C3586)+1))</f>
        <v>0</v>
      </c>
      <c r="L3586" s="462">
        <f>IF(S3586=0,0,VLOOKUP(YEAR(S3586),INPC!$B$4:$O$29,MONTH(S3586)+1))</f>
        <v>0</v>
      </c>
      <c r="M3586" s="463">
        <f t="shared" si="276"/>
        <v>0</v>
      </c>
      <c r="N3586" s="465">
        <f t="shared" si="277"/>
        <v>0</v>
      </c>
      <c r="O3586" s="179"/>
      <c r="P3586" s="180"/>
      <c r="Q3586" s="173"/>
      <c r="R3586" s="173"/>
      <c r="S3586" s="174"/>
      <c r="T3586" s="173"/>
      <c r="U3586" s="182"/>
      <c r="V3586" s="177">
        <f>IF(U3586=0,0,IF(T3586="MXN",1/HLOOKUP(YEAR(S3586)+(MONTH(S3586)/100),TC!$5:$37,DAY(S3586)+2,FALSE),VLOOKUP(T3586,Equivalencia!$1:$23,((MAX(Equivalencia!$3:$3)-YEAR(S3586))*14)+MONTH(S3586)+2,FALSE)))</f>
        <v>0</v>
      </c>
      <c r="W3586" s="178">
        <f t="shared" si="278"/>
        <v>0</v>
      </c>
      <c r="X3586" s="481">
        <f t="shared" si="279"/>
        <v>0</v>
      </c>
      <c r="Y3586" s="179"/>
      <c r="Z3586" s="466">
        <f t="shared" si="280"/>
        <v>0</v>
      </c>
      <c r="AA3586" s="473">
        <f t="shared" si="281"/>
        <v>0</v>
      </c>
      <c r="AB3586" s="339">
        <f t="shared" si="282"/>
        <v>0</v>
      </c>
    </row>
    <row r="3587" spans="2:28" ht="20.100000000000001" customHeight="1">
      <c r="B3587" s="172"/>
      <c r="C3587" s="174"/>
      <c r="D3587" s="181"/>
      <c r="E3587" s="173"/>
      <c r="F3587" s="176"/>
      <c r="G3587" s="175">
        <f t="shared" si="273"/>
        <v>0</v>
      </c>
      <c r="H3587" s="175">
        <f t="shared" si="274"/>
        <v>0</v>
      </c>
      <c r="I3587" s="177">
        <f>IF(G3587=0,0,IF(E3587="MXN",1/HLOOKUP(YEAR(C3587)+(MONTH(C3587)/100),TC!$5:$37,DAY(C3587)+2,FALSE),VLOOKUP(E3587,Equivalencia!$5:$23,((MAX(Equivalencia!$3:$3)-YEAR(C3587))*14)+MONTH(C3587)+2,FALSE)))</f>
        <v>0</v>
      </c>
      <c r="J3587" s="178">
        <f t="shared" si="275"/>
        <v>0</v>
      </c>
      <c r="K3587" s="462">
        <f>IF(C3587=0,0,VLOOKUP(YEAR(C3587),INPC!$B$4:$O$29,MONTH(C3587)+1))</f>
        <v>0</v>
      </c>
      <c r="L3587" s="462">
        <f>IF(S3587=0,0,VLOOKUP(YEAR(S3587),INPC!$B$4:$O$29,MONTH(S3587)+1))</f>
        <v>0</v>
      </c>
      <c r="M3587" s="463">
        <f t="shared" si="276"/>
        <v>0</v>
      </c>
      <c r="N3587" s="465">
        <f t="shared" si="277"/>
        <v>0</v>
      </c>
      <c r="O3587" s="179"/>
      <c r="P3587" s="180"/>
      <c r="Q3587" s="173"/>
      <c r="R3587" s="173"/>
      <c r="S3587" s="174"/>
      <c r="T3587" s="173"/>
      <c r="U3587" s="182"/>
      <c r="V3587" s="177">
        <f>IF(U3587=0,0,IF(T3587="MXN",1/HLOOKUP(YEAR(S3587)+(MONTH(S3587)/100),TC!$5:$37,DAY(S3587)+2,FALSE),VLOOKUP(T3587,Equivalencia!$1:$23,((MAX(Equivalencia!$3:$3)-YEAR(S3587))*14)+MONTH(S3587)+2,FALSE)))</f>
        <v>0</v>
      </c>
      <c r="W3587" s="178">
        <f t="shared" si="278"/>
        <v>0</v>
      </c>
      <c r="X3587" s="481">
        <f t="shared" si="279"/>
        <v>0</v>
      </c>
      <c r="Y3587" s="179"/>
      <c r="Z3587" s="466">
        <f t="shared" si="280"/>
        <v>0</v>
      </c>
      <c r="AA3587" s="473">
        <f t="shared" si="281"/>
        <v>0</v>
      </c>
      <c r="AB3587" s="339">
        <f t="shared" si="282"/>
        <v>0</v>
      </c>
    </row>
    <row r="3588" spans="2:28" ht="20.100000000000001" customHeight="1">
      <c r="B3588" s="172"/>
      <c r="C3588" s="174"/>
      <c r="D3588" s="181"/>
      <c r="E3588" s="173"/>
      <c r="F3588" s="176"/>
      <c r="G3588" s="175">
        <f t="shared" si="273"/>
        <v>0</v>
      </c>
      <c r="H3588" s="175">
        <f t="shared" si="274"/>
        <v>0</v>
      </c>
      <c r="I3588" s="177">
        <f>IF(G3588=0,0,IF(E3588="MXN",1/HLOOKUP(YEAR(C3588)+(MONTH(C3588)/100),TC!$5:$37,DAY(C3588)+2,FALSE),VLOOKUP(E3588,Equivalencia!$5:$23,((MAX(Equivalencia!$3:$3)-YEAR(C3588))*14)+MONTH(C3588)+2,FALSE)))</f>
        <v>0</v>
      </c>
      <c r="J3588" s="178">
        <f t="shared" si="275"/>
        <v>0</v>
      </c>
      <c r="K3588" s="462">
        <f>IF(C3588=0,0,VLOOKUP(YEAR(C3588),INPC!$B$4:$O$29,MONTH(C3588)+1))</f>
        <v>0</v>
      </c>
      <c r="L3588" s="462">
        <f>IF(S3588=0,0,VLOOKUP(YEAR(S3588),INPC!$B$4:$O$29,MONTH(S3588)+1))</f>
        <v>0</v>
      </c>
      <c r="M3588" s="463">
        <f t="shared" si="276"/>
        <v>0</v>
      </c>
      <c r="N3588" s="465">
        <f t="shared" si="277"/>
        <v>0</v>
      </c>
      <c r="O3588" s="179"/>
      <c r="P3588" s="180"/>
      <c r="Q3588" s="173"/>
      <c r="R3588" s="173"/>
      <c r="S3588" s="174"/>
      <c r="T3588" s="173"/>
      <c r="U3588" s="182"/>
      <c r="V3588" s="177">
        <f>IF(U3588=0,0,IF(T3588="MXN",1/HLOOKUP(YEAR(S3588)+(MONTH(S3588)/100),TC!$5:$37,DAY(S3588)+2,FALSE),VLOOKUP(T3588,Equivalencia!$1:$23,((MAX(Equivalencia!$3:$3)-YEAR(S3588))*14)+MONTH(S3588)+2,FALSE)))</f>
        <v>0</v>
      </c>
      <c r="W3588" s="178">
        <f t="shared" si="278"/>
        <v>0</v>
      </c>
      <c r="X3588" s="481">
        <f t="shared" si="279"/>
        <v>0</v>
      </c>
      <c r="Y3588" s="179"/>
      <c r="Z3588" s="466">
        <f t="shared" si="280"/>
        <v>0</v>
      </c>
      <c r="AA3588" s="473">
        <f t="shared" si="281"/>
        <v>0</v>
      </c>
      <c r="AB3588" s="339">
        <f t="shared" si="282"/>
        <v>0</v>
      </c>
    </row>
    <row r="3589" spans="2:28" ht="20.100000000000001" customHeight="1">
      <c r="B3589" s="172"/>
      <c r="C3589" s="174"/>
      <c r="D3589" s="181"/>
      <c r="E3589" s="173"/>
      <c r="F3589" s="176"/>
      <c r="G3589" s="175">
        <f t="shared" si="273"/>
        <v>0</v>
      </c>
      <c r="H3589" s="175">
        <f t="shared" si="274"/>
        <v>0</v>
      </c>
      <c r="I3589" s="177">
        <f>IF(G3589=0,0,IF(E3589="MXN",1/HLOOKUP(YEAR(C3589)+(MONTH(C3589)/100),TC!$5:$37,DAY(C3589)+2,FALSE),VLOOKUP(E3589,Equivalencia!$5:$23,((MAX(Equivalencia!$3:$3)-YEAR(C3589))*14)+MONTH(C3589)+2,FALSE)))</f>
        <v>0</v>
      </c>
      <c r="J3589" s="178">
        <f t="shared" si="275"/>
        <v>0</v>
      </c>
      <c r="K3589" s="462">
        <f>IF(C3589=0,0,VLOOKUP(YEAR(C3589),INPC!$B$4:$O$29,MONTH(C3589)+1))</f>
        <v>0</v>
      </c>
      <c r="L3589" s="462">
        <f>IF(S3589=0,0,VLOOKUP(YEAR(S3589),INPC!$B$4:$O$29,MONTH(S3589)+1))</f>
        <v>0</v>
      </c>
      <c r="M3589" s="463">
        <f t="shared" si="276"/>
        <v>0</v>
      </c>
      <c r="N3589" s="465">
        <f t="shared" si="277"/>
        <v>0</v>
      </c>
      <c r="O3589" s="179"/>
      <c r="P3589" s="180"/>
      <c r="Q3589" s="173"/>
      <c r="R3589" s="173"/>
      <c r="S3589" s="174"/>
      <c r="T3589" s="173"/>
      <c r="U3589" s="182"/>
      <c r="V3589" s="177">
        <f>IF(U3589=0,0,IF(T3589="MXN",1/HLOOKUP(YEAR(S3589)+(MONTH(S3589)/100),TC!$5:$37,DAY(S3589)+2,FALSE),VLOOKUP(T3589,Equivalencia!$1:$23,((MAX(Equivalencia!$3:$3)-YEAR(S3589))*14)+MONTH(S3589)+2,FALSE)))</f>
        <v>0</v>
      </c>
      <c r="W3589" s="178">
        <f t="shared" si="278"/>
        <v>0</v>
      </c>
      <c r="X3589" s="481">
        <f t="shared" si="279"/>
        <v>0</v>
      </c>
      <c r="Y3589" s="179"/>
      <c r="Z3589" s="466">
        <f t="shared" si="280"/>
        <v>0</v>
      </c>
      <c r="AA3589" s="473">
        <f t="shared" si="281"/>
        <v>0</v>
      </c>
      <c r="AB3589" s="339">
        <f t="shared" si="282"/>
        <v>0</v>
      </c>
    </row>
    <row r="3590" spans="2:28" ht="20.100000000000001" customHeight="1">
      <c r="B3590" s="172"/>
      <c r="C3590" s="174"/>
      <c r="D3590" s="181"/>
      <c r="E3590" s="173"/>
      <c r="F3590" s="176"/>
      <c r="G3590" s="175">
        <f t="shared" si="273"/>
        <v>0</v>
      </c>
      <c r="H3590" s="175">
        <f t="shared" si="274"/>
        <v>0</v>
      </c>
      <c r="I3590" s="177">
        <f>IF(G3590=0,0,IF(E3590="MXN",1/HLOOKUP(YEAR(C3590)+(MONTH(C3590)/100),TC!$5:$37,DAY(C3590)+2,FALSE),VLOOKUP(E3590,Equivalencia!$5:$23,((MAX(Equivalencia!$3:$3)-YEAR(C3590))*14)+MONTH(C3590)+2,FALSE)))</f>
        <v>0</v>
      </c>
      <c r="J3590" s="178">
        <f t="shared" si="275"/>
        <v>0</v>
      </c>
      <c r="K3590" s="462">
        <f>IF(C3590=0,0,VLOOKUP(YEAR(C3590),INPC!$B$4:$O$29,MONTH(C3590)+1))</f>
        <v>0</v>
      </c>
      <c r="L3590" s="462">
        <f>IF(S3590=0,0,VLOOKUP(YEAR(S3590),INPC!$B$4:$O$29,MONTH(S3590)+1))</f>
        <v>0</v>
      </c>
      <c r="M3590" s="463">
        <f t="shared" si="276"/>
        <v>0</v>
      </c>
      <c r="N3590" s="465">
        <f t="shared" si="277"/>
        <v>0</v>
      </c>
      <c r="O3590" s="179"/>
      <c r="P3590" s="180"/>
      <c r="Q3590" s="173"/>
      <c r="R3590" s="173"/>
      <c r="S3590" s="174"/>
      <c r="T3590" s="173"/>
      <c r="U3590" s="182"/>
      <c r="V3590" s="177">
        <f>IF(U3590=0,0,IF(T3590="MXN",1/HLOOKUP(YEAR(S3590)+(MONTH(S3590)/100),TC!$5:$37,DAY(S3590)+2,FALSE),VLOOKUP(T3590,Equivalencia!$1:$23,((MAX(Equivalencia!$3:$3)-YEAR(S3590))*14)+MONTH(S3590)+2,FALSE)))</f>
        <v>0</v>
      </c>
      <c r="W3590" s="178">
        <f t="shared" si="278"/>
        <v>0</v>
      </c>
      <c r="X3590" s="481">
        <f t="shared" si="279"/>
        <v>0</v>
      </c>
      <c r="Y3590" s="179"/>
      <c r="Z3590" s="466">
        <f t="shared" si="280"/>
        <v>0</v>
      </c>
      <c r="AA3590" s="473">
        <f t="shared" si="281"/>
        <v>0</v>
      </c>
      <c r="AB3590" s="339">
        <f t="shared" si="282"/>
        <v>0</v>
      </c>
    </row>
    <row r="3591" spans="2:28" ht="20.100000000000001" customHeight="1">
      <c r="B3591" s="172"/>
      <c r="C3591" s="174"/>
      <c r="D3591" s="181"/>
      <c r="E3591" s="173"/>
      <c r="F3591" s="176"/>
      <c r="G3591" s="175">
        <f t="shared" si="273"/>
        <v>0</v>
      </c>
      <c r="H3591" s="175">
        <f t="shared" si="274"/>
        <v>0</v>
      </c>
      <c r="I3591" s="177">
        <f>IF(G3591=0,0,IF(E3591="MXN",1/HLOOKUP(YEAR(C3591)+(MONTH(C3591)/100),TC!$5:$37,DAY(C3591)+2,FALSE),VLOOKUP(E3591,Equivalencia!$5:$23,((MAX(Equivalencia!$3:$3)-YEAR(C3591))*14)+MONTH(C3591)+2,FALSE)))</f>
        <v>0</v>
      </c>
      <c r="J3591" s="178">
        <f t="shared" si="275"/>
        <v>0</v>
      </c>
      <c r="K3591" s="462">
        <f>IF(C3591=0,0,VLOOKUP(YEAR(C3591),INPC!$B$4:$O$29,MONTH(C3591)+1))</f>
        <v>0</v>
      </c>
      <c r="L3591" s="462">
        <f>IF(S3591=0,0,VLOOKUP(YEAR(S3591),INPC!$B$4:$O$29,MONTH(S3591)+1))</f>
        <v>0</v>
      </c>
      <c r="M3591" s="463">
        <f t="shared" si="276"/>
        <v>0</v>
      </c>
      <c r="N3591" s="465">
        <f t="shared" si="277"/>
        <v>0</v>
      </c>
      <c r="O3591" s="179"/>
      <c r="P3591" s="180"/>
      <c r="Q3591" s="173"/>
      <c r="R3591" s="173"/>
      <c r="S3591" s="174"/>
      <c r="T3591" s="173"/>
      <c r="U3591" s="182"/>
      <c r="V3591" s="177">
        <f>IF(U3591=0,0,IF(T3591="MXN",1/HLOOKUP(YEAR(S3591)+(MONTH(S3591)/100),TC!$5:$37,DAY(S3591)+2,FALSE),VLOOKUP(T3591,Equivalencia!$1:$23,((MAX(Equivalencia!$3:$3)-YEAR(S3591))*14)+MONTH(S3591)+2,FALSE)))</f>
        <v>0</v>
      </c>
      <c r="W3591" s="178">
        <f t="shared" si="278"/>
        <v>0</v>
      </c>
      <c r="X3591" s="481">
        <f t="shared" si="279"/>
        <v>0</v>
      </c>
      <c r="Y3591" s="179"/>
      <c r="Z3591" s="466">
        <f t="shared" si="280"/>
        <v>0</v>
      </c>
      <c r="AA3591" s="473">
        <f t="shared" si="281"/>
        <v>0</v>
      </c>
      <c r="AB3591" s="339">
        <f t="shared" si="282"/>
        <v>0</v>
      </c>
    </row>
    <row r="3592" spans="2:28" ht="20.100000000000001" customHeight="1">
      <c r="B3592" s="172"/>
      <c r="C3592" s="174"/>
      <c r="D3592" s="181"/>
      <c r="E3592" s="173"/>
      <c r="F3592" s="176"/>
      <c r="G3592" s="175">
        <f t="shared" si="273"/>
        <v>0</v>
      </c>
      <c r="H3592" s="175">
        <f t="shared" si="274"/>
        <v>0</v>
      </c>
      <c r="I3592" s="177">
        <f>IF(G3592=0,0,IF(E3592="MXN",1/HLOOKUP(YEAR(C3592)+(MONTH(C3592)/100),TC!$5:$37,DAY(C3592)+2,FALSE),VLOOKUP(E3592,Equivalencia!$5:$23,((MAX(Equivalencia!$3:$3)-YEAR(C3592))*14)+MONTH(C3592)+2,FALSE)))</f>
        <v>0</v>
      </c>
      <c r="J3592" s="178">
        <f t="shared" si="275"/>
        <v>0</v>
      </c>
      <c r="K3592" s="462">
        <f>IF(C3592=0,0,VLOOKUP(YEAR(C3592),INPC!$B$4:$O$29,MONTH(C3592)+1))</f>
        <v>0</v>
      </c>
      <c r="L3592" s="462">
        <f>IF(S3592=0,0,VLOOKUP(YEAR(S3592),INPC!$B$4:$O$29,MONTH(S3592)+1))</f>
        <v>0</v>
      </c>
      <c r="M3592" s="463">
        <f t="shared" si="276"/>
        <v>0</v>
      </c>
      <c r="N3592" s="465">
        <f t="shared" si="277"/>
        <v>0</v>
      </c>
      <c r="O3592" s="179"/>
      <c r="P3592" s="180"/>
      <c r="Q3592" s="173"/>
      <c r="R3592" s="173"/>
      <c r="S3592" s="174"/>
      <c r="T3592" s="173"/>
      <c r="U3592" s="182"/>
      <c r="V3592" s="177">
        <f>IF(U3592=0,0,IF(T3592="MXN",1/HLOOKUP(YEAR(S3592)+(MONTH(S3592)/100),TC!$5:$37,DAY(S3592)+2,FALSE),VLOOKUP(T3592,Equivalencia!$1:$23,((MAX(Equivalencia!$3:$3)-YEAR(S3592))*14)+MONTH(S3592)+2,FALSE)))</f>
        <v>0</v>
      </c>
      <c r="W3592" s="178">
        <f t="shared" si="278"/>
        <v>0</v>
      </c>
      <c r="X3592" s="481">
        <f t="shared" si="279"/>
        <v>0</v>
      </c>
      <c r="Y3592" s="179"/>
      <c r="Z3592" s="466">
        <f t="shared" si="280"/>
        <v>0</v>
      </c>
      <c r="AA3592" s="473">
        <f t="shared" si="281"/>
        <v>0</v>
      </c>
      <c r="AB3592" s="339">
        <f t="shared" si="282"/>
        <v>0</v>
      </c>
    </row>
    <row r="3593" spans="2:28" ht="20.100000000000001" customHeight="1">
      <c r="B3593" s="172"/>
      <c r="C3593" s="174"/>
      <c r="D3593" s="181"/>
      <c r="E3593" s="173"/>
      <c r="F3593" s="176"/>
      <c r="G3593" s="175">
        <f t="shared" si="273"/>
        <v>0</v>
      </c>
      <c r="H3593" s="175">
        <f t="shared" si="274"/>
        <v>0</v>
      </c>
      <c r="I3593" s="177">
        <f>IF(G3593=0,0,IF(E3593="MXN",1/HLOOKUP(YEAR(C3593)+(MONTH(C3593)/100),TC!$5:$37,DAY(C3593)+2,FALSE),VLOOKUP(E3593,Equivalencia!$5:$23,((MAX(Equivalencia!$3:$3)-YEAR(C3593))*14)+MONTH(C3593)+2,FALSE)))</f>
        <v>0</v>
      </c>
      <c r="J3593" s="178">
        <f t="shared" si="275"/>
        <v>0</v>
      </c>
      <c r="K3593" s="462">
        <f>IF(C3593=0,0,VLOOKUP(YEAR(C3593),INPC!$B$4:$O$29,MONTH(C3593)+1))</f>
        <v>0</v>
      </c>
      <c r="L3593" s="462">
        <f>IF(S3593=0,0,VLOOKUP(YEAR(S3593),INPC!$B$4:$O$29,MONTH(S3593)+1))</f>
        <v>0</v>
      </c>
      <c r="M3593" s="463">
        <f t="shared" si="276"/>
        <v>0</v>
      </c>
      <c r="N3593" s="465">
        <f t="shared" si="277"/>
        <v>0</v>
      </c>
      <c r="O3593" s="179"/>
      <c r="P3593" s="180"/>
      <c r="Q3593" s="173"/>
      <c r="R3593" s="173"/>
      <c r="S3593" s="174"/>
      <c r="T3593" s="173"/>
      <c r="U3593" s="182"/>
      <c r="V3593" s="177">
        <f>IF(U3593=0,0,IF(T3593="MXN",1/HLOOKUP(YEAR(S3593)+(MONTH(S3593)/100),TC!$5:$37,DAY(S3593)+2,FALSE),VLOOKUP(T3593,Equivalencia!$1:$23,((MAX(Equivalencia!$3:$3)-YEAR(S3593))*14)+MONTH(S3593)+2,FALSE)))</f>
        <v>0</v>
      </c>
      <c r="W3593" s="178">
        <f t="shared" si="278"/>
        <v>0</v>
      </c>
      <c r="X3593" s="481">
        <f t="shared" si="279"/>
        <v>0</v>
      </c>
      <c r="Y3593" s="179"/>
      <c r="Z3593" s="466">
        <f t="shared" si="280"/>
        <v>0</v>
      </c>
      <c r="AA3593" s="473">
        <f t="shared" si="281"/>
        <v>0</v>
      </c>
      <c r="AB3593" s="339">
        <f t="shared" si="282"/>
        <v>0</v>
      </c>
    </row>
    <row r="3594" spans="2:28" ht="20.100000000000001" customHeight="1">
      <c r="B3594" s="172"/>
      <c r="C3594" s="174"/>
      <c r="D3594" s="181"/>
      <c r="E3594" s="173"/>
      <c r="F3594" s="176"/>
      <c r="G3594" s="175">
        <f t="shared" si="273"/>
        <v>0</v>
      </c>
      <c r="H3594" s="175">
        <f t="shared" si="274"/>
        <v>0</v>
      </c>
      <c r="I3594" s="177">
        <f>IF(G3594=0,0,IF(E3594="MXN",1/HLOOKUP(YEAR(C3594)+(MONTH(C3594)/100),TC!$5:$37,DAY(C3594)+2,FALSE),VLOOKUP(E3594,Equivalencia!$5:$23,((MAX(Equivalencia!$3:$3)-YEAR(C3594))*14)+MONTH(C3594)+2,FALSE)))</f>
        <v>0</v>
      </c>
      <c r="J3594" s="178">
        <f t="shared" si="275"/>
        <v>0</v>
      </c>
      <c r="K3594" s="462">
        <f>IF(C3594=0,0,VLOOKUP(YEAR(C3594),INPC!$B$4:$O$29,MONTH(C3594)+1))</f>
        <v>0</v>
      </c>
      <c r="L3594" s="462">
        <f>IF(S3594=0,0,VLOOKUP(YEAR(S3594),INPC!$B$4:$O$29,MONTH(S3594)+1))</f>
        <v>0</v>
      </c>
      <c r="M3594" s="463">
        <f t="shared" si="276"/>
        <v>0</v>
      </c>
      <c r="N3594" s="465">
        <f t="shared" si="277"/>
        <v>0</v>
      </c>
      <c r="O3594" s="179"/>
      <c r="P3594" s="180"/>
      <c r="Q3594" s="173"/>
      <c r="R3594" s="173"/>
      <c r="S3594" s="174"/>
      <c r="T3594" s="173"/>
      <c r="U3594" s="182"/>
      <c r="V3594" s="177">
        <f>IF(U3594=0,0,IF(T3594="MXN",1/HLOOKUP(YEAR(S3594)+(MONTH(S3594)/100),TC!$5:$37,DAY(S3594)+2,FALSE),VLOOKUP(T3594,Equivalencia!$1:$23,((MAX(Equivalencia!$3:$3)-YEAR(S3594))*14)+MONTH(S3594)+2,FALSE)))</f>
        <v>0</v>
      </c>
      <c r="W3594" s="178">
        <f t="shared" si="278"/>
        <v>0</v>
      </c>
      <c r="X3594" s="481">
        <f t="shared" si="279"/>
        <v>0</v>
      </c>
      <c r="Y3594" s="179"/>
      <c r="Z3594" s="466">
        <f t="shared" si="280"/>
        <v>0</v>
      </c>
      <c r="AA3594" s="473">
        <f t="shared" si="281"/>
        <v>0</v>
      </c>
      <c r="AB3594" s="339">
        <f t="shared" si="282"/>
        <v>0</v>
      </c>
    </row>
    <row r="3595" spans="2:28" ht="20.100000000000001" customHeight="1">
      <c r="B3595" s="172"/>
      <c r="C3595" s="174"/>
      <c r="D3595" s="181"/>
      <c r="E3595" s="173"/>
      <c r="F3595" s="176"/>
      <c r="G3595" s="175">
        <f t="shared" si="273"/>
        <v>0</v>
      </c>
      <c r="H3595" s="175">
        <f t="shared" si="274"/>
        <v>0</v>
      </c>
      <c r="I3595" s="177">
        <f>IF(G3595=0,0,IF(E3595="MXN",1/HLOOKUP(YEAR(C3595)+(MONTH(C3595)/100),TC!$5:$37,DAY(C3595)+2,FALSE),VLOOKUP(E3595,Equivalencia!$5:$23,((MAX(Equivalencia!$3:$3)-YEAR(C3595))*14)+MONTH(C3595)+2,FALSE)))</f>
        <v>0</v>
      </c>
      <c r="J3595" s="178">
        <f t="shared" si="275"/>
        <v>0</v>
      </c>
      <c r="K3595" s="462">
        <f>IF(C3595=0,0,VLOOKUP(YEAR(C3595),INPC!$B$4:$O$29,MONTH(C3595)+1))</f>
        <v>0</v>
      </c>
      <c r="L3595" s="462">
        <f>IF(S3595=0,0,VLOOKUP(YEAR(S3595),INPC!$B$4:$O$29,MONTH(S3595)+1))</f>
        <v>0</v>
      </c>
      <c r="M3595" s="463">
        <f t="shared" si="276"/>
        <v>0</v>
      </c>
      <c r="N3595" s="465">
        <f t="shared" si="277"/>
        <v>0</v>
      </c>
      <c r="O3595" s="179"/>
      <c r="P3595" s="180"/>
      <c r="Q3595" s="173"/>
      <c r="R3595" s="173"/>
      <c r="S3595" s="174"/>
      <c r="T3595" s="173"/>
      <c r="U3595" s="182"/>
      <c r="V3595" s="177">
        <f>IF(U3595=0,0,IF(T3595="MXN",1/HLOOKUP(YEAR(S3595)+(MONTH(S3595)/100),TC!$5:$37,DAY(S3595)+2,FALSE),VLOOKUP(T3595,Equivalencia!$1:$23,((MAX(Equivalencia!$3:$3)-YEAR(S3595))*14)+MONTH(S3595)+2,FALSE)))</f>
        <v>0</v>
      </c>
      <c r="W3595" s="178">
        <f t="shared" si="278"/>
        <v>0</v>
      </c>
      <c r="X3595" s="481">
        <f t="shared" si="279"/>
        <v>0</v>
      </c>
      <c r="Y3595" s="179"/>
      <c r="Z3595" s="466">
        <f t="shared" si="280"/>
        <v>0</v>
      </c>
      <c r="AA3595" s="473">
        <f t="shared" si="281"/>
        <v>0</v>
      </c>
      <c r="AB3595" s="339">
        <f t="shared" si="282"/>
        <v>0</v>
      </c>
    </row>
    <row r="3596" spans="2:28" ht="20.100000000000001" customHeight="1">
      <c r="B3596" s="172"/>
      <c r="C3596" s="174"/>
      <c r="D3596" s="181"/>
      <c r="E3596" s="173"/>
      <c r="F3596" s="176"/>
      <c r="G3596" s="175">
        <f t="shared" si="273"/>
        <v>0</v>
      </c>
      <c r="H3596" s="175">
        <f t="shared" si="274"/>
        <v>0</v>
      </c>
      <c r="I3596" s="177">
        <f>IF(G3596=0,0,IF(E3596="MXN",1/HLOOKUP(YEAR(C3596)+(MONTH(C3596)/100),TC!$5:$37,DAY(C3596)+2,FALSE),VLOOKUP(E3596,Equivalencia!$5:$23,((MAX(Equivalencia!$3:$3)-YEAR(C3596))*14)+MONTH(C3596)+2,FALSE)))</f>
        <v>0</v>
      </c>
      <c r="J3596" s="178">
        <f t="shared" si="275"/>
        <v>0</v>
      </c>
      <c r="K3596" s="462">
        <f>IF(C3596=0,0,VLOOKUP(YEAR(C3596),INPC!$B$4:$O$29,MONTH(C3596)+1))</f>
        <v>0</v>
      </c>
      <c r="L3596" s="462">
        <f>IF(S3596=0,0,VLOOKUP(YEAR(S3596),INPC!$B$4:$O$29,MONTH(S3596)+1))</f>
        <v>0</v>
      </c>
      <c r="M3596" s="463">
        <f t="shared" si="276"/>
        <v>0</v>
      </c>
      <c r="N3596" s="465">
        <f t="shared" si="277"/>
        <v>0</v>
      </c>
      <c r="O3596" s="179"/>
      <c r="P3596" s="180"/>
      <c r="Q3596" s="173"/>
      <c r="R3596" s="173"/>
      <c r="S3596" s="174"/>
      <c r="T3596" s="173"/>
      <c r="U3596" s="182"/>
      <c r="V3596" s="177">
        <f>IF(U3596=0,0,IF(T3596="MXN",1/HLOOKUP(YEAR(S3596)+(MONTH(S3596)/100),TC!$5:$37,DAY(S3596)+2,FALSE),VLOOKUP(T3596,Equivalencia!$1:$23,((MAX(Equivalencia!$3:$3)-YEAR(S3596))*14)+MONTH(S3596)+2,FALSE)))</f>
        <v>0</v>
      </c>
      <c r="W3596" s="178">
        <f t="shared" si="278"/>
        <v>0</v>
      </c>
      <c r="X3596" s="481">
        <f t="shared" si="279"/>
        <v>0</v>
      </c>
      <c r="Y3596" s="179"/>
      <c r="Z3596" s="466">
        <f t="shared" si="280"/>
        <v>0</v>
      </c>
      <c r="AA3596" s="473">
        <f t="shared" si="281"/>
        <v>0</v>
      </c>
      <c r="AB3596" s="339">
        <f t="shared" si="282"/>
        <v>0</v>
      </c>
    </row>
    <row r="3597" spans="2:28" ht="20.100000000000001" customHeight="1">
      <c r="B3597" s="172"/>
      <c r="C3597" s="174"/>
      <c r="D3597" s="181"/>
      <c r="E3597" s="173"/>
      <c r="F3597" s="176"/>
      <c r="G3597" s="175">
        <f t="shared" si="273"/>
        <v>0</v>
      </c>
      <c r="H3597" s="175">
        <f t="shared" si="274"/>
        <v>0</v>
      </c>
      <c r="I3597" s="177">
        <f>IF(G3597=0,0,IF(E3597="MXN",1/HLOOKUP(YEAR(C3597)+(MONTH(C3597)/100),TC!$5:$37,DAY(C3597)+2,FALSE),VLOOKUP(E3597,Equivalencia!$5:$23,((MAX(Equivalencia!$3:$3)-YEAR(C3597))*14)+MONTH(C3597)+2,FALSE)))</f>
        <v>0</v>
      </c>
      <c r="J3597" s="178">
        <f t="shared" si="275"/>
        <v>0</v>
      </c>
      <c r="K3597" s="462">
        <f>IF(C3597=0,0,VLOOKUP(YEAR(C3597),INPC!$B$4:$O$29,MONTH(C3597)+1))</f>
        <v>0</v>
      </c>
      <c r="L3597" s="462">
        <f>IF(S3597=0,0,VLOOKUP(YEAR(S3597),INPC!$B$4:$O$29,MONTH(S3597)+1))</f>
        <v>0</v>
      </c>
      <c r="M3597" s="463">
        <f t="shared" si="276"/>
        <v>0</v>
      </c>
      <c r="N3597" s="465">
        <f t="shared" si="277"/>
        <v>0</v>
      </c>
      <c r="O3597" s="179"/>
      <c r="P3597" s="180"/>
      <c r="Q3597" s="173"/>
      <c r="R3597" s="173"/>
      <c r="S3597" s="174"/>
      <c r="T3597" s="173"/>
      <c r="U3597" s="182"/>
      <c r="V3597" s="177">
        <f>IF(U3597=0,0,IF(T3597="MXN",1/HLOOKUP(YEAR(S3597)+(MONTH(S3597)/100),TC!$5:$37,DAY(S3597)+2,FALSE),VLOOKUP(T3597,Equivalencia!$1:$23,((MAX(Equivalencia!$3:$3)-YEAR(S3597))*14)+MONTH(S3597)+2,FALSE)))</f>
        <v>0</v>
      </c>
      <c r="W3597" s="178">
        <f t="shared" si="278"/>
        <v>0</v>
      </c>
      <c r="X3597" s="481">
        <f t="shared" si="279"/>
        <v>0</v>
      </c>
      <c r="Y3597" s="179"/>
      <c r="Z3597" s="466">
        <f t="shared" si="280"/>
        <v>0</v>
      </c>
      <c r="AA3597" s="473">
        <f t="shared" si="281"/>
        <v>0</v>
      </c>
      <c r="AB3597" s="339">
        <f t="shared" si="282"/>
        <v>0</v>
      </c>
    </row>
    <row r="3598" spans="2:28" ht="20.100000000000001" customHeight="1">
      <c r="B3598" s="172"/>
      <c r="C3598" s="174"/>
      <c r="D3598" s="181"/>
      <c r="E3598" s="173"/>
      <c r="F3598" s="176"/>
      <c r="G3598" s="175">
        <f t="shared" si="273"/>
        <v>0</v>
      </c>
      <c r="H3598" s="175">
        <f t="shared" si="274"/>
        <v>0</v>
      </c>
      <c r="I3598" s="177">
        <f>IF(G3598=0,0,IF(E3598="MXN",1/HLOOKUP(YEAR(C3598)+(MONTH(C3598)/100),TC!$5:$37,DAY(C3598)+2,FALSE),VLOOKUP(E3598,Equivalencia!$5:$23,((MAX(Equivalencia!$3:$3)-YEAR(C3598))*14)+MONTH(C3598)+2,FALSE)))</f>
        <v>0</v>
      </c>
      <c r="J3598" s="178">
        <f t="shared" si="275"/>
        <v>0</v>
      </c>
      <c r="K3598" s="462">
        <f>IF(C3598=0,0,VLOOKUP(YEAR(C3598),INPC!$B$4:$O$29,MONTH(C3598)+1))</f>
        <v>0</v>
      </c>
      <c r="L3598" s="462">
        <f>IF(S3598=0,0,VLOOKUP(YEAR(S3598),INPC!$B$4:$O$29,MONTH(S3598)+1))</f>
        <v>0</v>
      </c>
      <c r="M3598" s="463">
        <f t="shared" si="276"/>
        <v>0</v>
      </c>
      <c r="N3598" s="465">
        <f t="shared" si="277"/>
        <v>0</v>
      </c>
      <c r="O3598" s="179"/>
      <c r="P3598" s="180"/>
      <c r="Q3598" s="173"/>
      <c r="R3598" s="173"/>
      <c r="S3598" s="174"/>
      <c r="T3598" s="173"/>
      <c r="U3598" s="182"/>
      <c r="V3598" s="177">
        <f>IF(U3598=0,0,IF(T3598="MXN",1/HLOOKUP(YEAR(S3598)+(MONTH(S3598)/100),TC!$5:$37,DAY(S3598)+2,FALSE),VLOOKUP(T3598,Equivalencia!$1:$23,((MAX(Equivalencia!$3:$3)-YEAR(S3598))*14)+MONTH(S3598)+2,FALSE)))</f>
        <v>0</v>
      </c>
      <c r="W3598" s="178">
        <f t="shared" si="278"/>
        <v>0</v>
      </c>
      <c r="X3598" s="481">
        <f t="shared" si="279"/>
        <v>0</v>
      </c>
      <c r="Y3598" s="179"/>
      <c r="Z3598" s="466">
        <f t="shared" si="280"/>
        <v>0</v>
      </c>
      <c r="AA3598" s="473">
        <f t="shared" si="281"/>
        <v>0</v>
      </c>
      <c r="AB3598" s="339">
        <f t="shared" si="282"/>
        <v>0</v>
      </c>
    </row>
    <row r="3599" spans="2:28" ht="20.100000000000001" customHeight="1">
      <c r="B3599" s="172"/>
      <c r="C3599" s="174"/>
      <c r="D3599" s="181"/>
      <c r="E3599" s="173"/>
      <c r="F3599" s="176"/>
      <c r="G3599" s="175">
        <f t="shared" si="273"/>
        <v>0</v>
      </c>
      <c r="H3599" s="175">
        <f t="shared" si="274"/>
        <v>0</v>
      </c>
      <c r="I3599" s="177">
        <f>IF(G3599=0,0,IF(E3599="MXN",1/HLOOKUP(YEAR(C3599)+(MONTH(C3599)/100),TC!$5:$37,DAY(C3599)+2,FALSE),VLOOKUP(E3599,Equivalencia!$5:$23,((MAX(Equivalencia!$3:$3)-YEAR(C3599))*14)+MONTH(C3599)+2,FALSE)))</f>
        <v>0</v>
      </c>
      <c r="J3599" s="178">
        <f t="shared" si="275"/>
        <v>0</v>
      </c>
      <c r="K3599" s="462">
        <f>IF(C3599=0,0,VLOOKUP(YEAR(C3599),INPC!$B$4:$O$29,MONTH(C3599)+1))</f>
        <v>0</v>
      </c>
      <c r="L3599" s="462">
        <f>IF(S3599=0,0,VLOOKUP(YEAR(S3599),INPC!$B$4:$O$29,MONTH(S3599)+1))</f>
        <v>0</v>
      </c>
      <c r="M3599" s="463">
        <f t="shared" si="276"/>
        <v>0</v>
      </c>
      <c r="N3599" s="465">
        <f t="shared" si="277"/>
        <v>0</v>
      </c>
      <c r="O3599" s="179"/>
      <c r="P3599" s="180"/>
      <c r="Q3599" s="173"/>
      <c r="R3599" s="173"/>
      <c r="S3599" s="174"/>
      <c r="T3599" s="173"/>
      <c r="U3599" s="182"/>
      <c r="V3599" s="177">
        <f>IF(U3599=0,0,IF(T3599="MXN",1/HLOOKUP(YEAR(S3599)+(MONTH(S3599)/100),TC!$5:$37,DAY(S3599)+2,FALSE),VLOOKUP(T3599,Equivalencia!$1:$23,((MAX(Equivalencia!$3:$3)-YEAR(S3599))*14)+MONTH(S3599)+2,FALSE)))</f>
        <v>0</v>
      </c>
      <c r="W3599" s="178">
        <f t="shared" si="278"/>
        <v>0</v>
      </c>
      <c r="X3599" s="481">
        <f t="shared" si="279"/>
        <v>0</v>
      </c>
      <c r="Y3599" s="179"/>
      <c r="Z3599" s="466">
        <f t="shared" si="280"/>
        <v>0</v>
      </c>
      <c r="AA3599" s="473">
        <f t="shared" si="281"/>
        <v>0</v>
      </c>
      <c r="AB3599" s="339">
        <f t="shared" si="282"/>
        <v>0</v>
      </c>
    </row>
    <row r="3600" spans="2:28" ht="20.100000000000001" customHeight="1">
      <c r="B3600" s="172"/>
      <c r="C3600" s="174"/>
      <c r="D3600" s="181"/>
      <c r="E3600" s="173"/>
      <c r="F3600" s="176"/>
      <c r="G3600" s="175">
        <f t="shared" si="273"/>
        <v>0</v>
      </c>
      <c r="H3600" s="175">
        <f t="shared" si="274"/>
        <v>0</v>
      </c>
      <c r="I3600" s="177">
        <f>IF(G3600=0,0,IF(E3600="MXN",1/HLOOKUP(YEAR(C3600)+(MONTH(C3600)/100),TC!$5:$37,DAY(C3600)+2,FALSE),VLOOKUP(E3600,Equivalencia!$5:$23,((MAX(Equivalencia!$3:$3)-YEAR(C3600))*14)+MONTH(C3600)+2,FALSE)))</f>
        <v>0</v>
      </c>
      <c r="J3600" s="178">
        <f t="shared" si="275"/>
        <v>0</v>
      </c>
      <c r="K3600" s="462">
        <f>IF(C3600=0,0,VLOOKUP(YEAR(C3600),INPC!$B$4:$O$29,MONTH(C3600)+1))</f>
        <v>0</v>
      </c>
      <c r="L3600" s="462">
        <f>IF(S3600=0,0,VLOOKUP(YEAR(S3600),INPC!$B$4:$O$29,MONTH(S3600)+1))</f>
        <v>0</v>
      </c>
      <c r="M3600" s="463">
        <f t="shared" si="276"/>
        <v>0</v>
      </c>
      <c r="N3600" s="465">
        <f t="shared" si="277"/>
        <v>0</v>
      </c>
      <c r="O3600" s="179"/>
      <c r="P3600" s="180"/>
      <c r="Q3600" s="173"/>
      <c r="R3600" s="173"/>
      <c r="S3600" s="174"/>
      <c r="T3600" s="173"/>
      <c r="U3600" s="182"/>
      <c r="V3600" s="177">
        <f>IF(U3600=0,0,IF(T3600="MXN",1/HLOOKUP(YEAR(S3600)+(MONTH(S3600)/100),TC!$5:$37,DAY(S3600)+2,FALSE),VLOOKUP(T3600,Equivalencia!$1:$23,((MAX(Equivalencia!$3:$3)-YEAR(S3600))*14)+MONTH(S3600)+2,FALSE)))</f>
        <v>0</v>
      </c>
      <c r="W3600" s="178">
        <f t="shared" si="278"/>
        <v>0</v>
      </c>
      <c r="X3600" s="481">
        <f t="shared" si="279"/>
        <v>0</v>
      </c>
      <c r="Y3600" s="179"/>
      <c r="Z3600" s="466">
        <f t="shared" si="280"/>
        <v>0</v>
      </c>
      <c r="AA3600" s="473">
        <f t="shared" si="281"/>
        <v>0</v>
      </c>
      <c r="AB3600" s="339">
        <f t="shared" si="282"/>
        <v>0</v>
      </c>
    </row>
    <row r="3601" spans="2:28" ht="20.100000000000001" customHeight="1">
      <c r="B3601" s="172"/>
      <c r="C3601" s="174"/>
      <c r="D3601" s="181"/>
      <c r="E3601" s="173"/>
      <c r="F3601" s="176"/>
      <c r="G3601" s="175">
        <f t="shared" si="273"/>
        <v>0</v>
      </c>
      <c r="H3601" s="175">
        <f t="shared" si="274"/>
        <v>0</v>
      </c>
      <c r="I3601" s="177">
        <f>IF(G3601=0,0,IF(E3601="MXN",1/HLOOKUP(YEAR(C3601)+(MONTH(C3601)/100),TC!$5:$37,DAY(C3601)+2,FALSE),VLOOKUP(E3601,Equivalencia!$5:$23,((MAX(Equivalencia!$3:$3)-YEAR(C3601))*14)+MONTH(C3601)+2,FALSE)))</f>
        <v>0</v>
      </c>
      <c r="J3601" s="178">
        <f t="shared" si="275"/>
        <v>0</v>
      </c>
      <c r="K3601" s="462">
        <f>IF(C3601=0,0,VLOOKUP(YEAR(C3601),INPC!$B$4:$O$29,MONTH(C3601)+1))</f>
        <v>0</v>
      </c>
      <c r="L3601" s="462">
        <f>IF(S3601=0,0,VLOOKUP(YEAR(S3601),INPC!$B$4:$O$29,MONTH(S3601)+1))</f>
        <v>0</v>
      </c>
      <c r="M3601" s="463">
        <f t="shared" si="276"/>
        <v>0</v>
      </c>
      <c r="N3601" s="465">
        <f t="shared" si="277"/>
        <v>0</v>
      </c>
      <c r="O3601" s="179"/>
      <c r="P3601" s="180"/>
      <c r="Q3601" s="173"/>
      <c r="R3601" s="173"/>
      <c r="S3601" s="174"/>
      <c r="T3601" s="173"/>
      <c r="U3601" s="182"/>
      <c r="V3601" s="177">
        <f>IF(U3601=0,0,IF(T3601="MXN",1/HLOOKUP(YEAR(S3601)+(MONTH(S3601)/100),TC!$5:$37,DAY(S3601)+2,FALSE),VLOOKUP(T3601,Equivalencia!$1:$23,((MAX(Equivalencia!$3:$3)-YEAR(S3601))*14)+MONTH(S3601)+2,FALSE)))</f>
        <v>0</v>
      </c>
      <c r="W3601" s="178">
        <f t="shared" si="278"/>
        <v>0</v>
      </c>
      <c r="X3601" s="481">
        <f t="shared" si="279"/>
        <v>0</v>
      </c>
      <c r="Y3601" s="179"/>
      <c r="Z3601" s="466">
        <f t="shared" si="280"/>
        <v>0</v>
      </c>
      <c r="AA3601" s="473">
        <f t="shared" si="281"/>
        <v>0</v>
      </c>
      <c r="AB3601" s="339">
        <f t="shared" si="282"/>
        <v>0</v>
      </c>
    </row>
    <row r="3602" spans="2:28" ht="20.100000000000001" customHeight="1">
      <c r="B3602" s="172"/>
      <c r="C3602" s="174"/>
      <c r="D3602" s="181"/>
      <c r="E3602" s="173"/>
      <c r="F3602" s="176"/>
      <c r="G3602" s="175">
        <f t="shared" si="273"/>
        <v>0</v>
      </c>
      <c r="H3602" s="175">
        <f t="shared" si="274"/>
        <v>0</v>
      </c>
      <c r="I3602" s="177">
        <f>IF(G3602=0,0,IF(E3602="MXN",1/HLOOKUP(YEAR(C3602)+(MONTH(C3602)/100),TC!$5:$37,DAY(C3602)+2,FALSE),VLOOKUP(E3602,Equivalencia!$5:$23,((MAX(Equivalencia!$3:$3)-YEAR(C3602))*14)+MONTH(C3602)+2,FALSE)))</f>
        <v>0</v>
      </c>
      <c r="J3602" s="178">
        <f t="shared" si="275"/>
        <v>0</v>
      </c>
      <c r="K3602" s="462">
        <f>IF(C3602=0,0,VLOOKUP(YEAR(C3602),INPC!$B$4:$O$29,MONTH(C3602)+1))</f>
        <v>0</v>
      </c>
      <c r="L3602" s="462">
        <f>IF(S3602=0,0,VLOOKUP(YEAR(S3602),INPC!$B$4:$O$29,MONTH(S3602)+1))</f>
        <v>0</v>
      </c>
      <c r="M3602" s="463">
        <f t="shared" si="276"/>
        <v>0</v>
      </c>
      <c r="N3602" s="465">
        <f t="shared" si="277"/>
        <v>0</v>
      </c>
      <c r="O3602" s="179"/>
      <c r="P3602" s="180"/>
      <c r="Q3602" s="173"/>
      <c r="R3602" s="173"/>
      <c r="S3602" s="174"/>
      <c r="T3602" s="173"/>
      <c r="U3602" s="182"/>
      <c r="V3602" s="177">
        <f>IF(U3602=0,0,IF(T3602="MXN",1/HLOOKUP(YEAR(S3602)+(MONTH(S3602)/100),TC!$5:$37,DAY(S3602)+2,FALSE),VLOOKUP(T3602,Equivalencia!$1:$23,((MAX(Equivalencia!$3:$3)-YEAR(S3602))*14)+MONTH(S3602)+2,FALSE)))</f>
        <v>0</v>
      </c>
      <c r="W3602" s="178">
        <f t="shared" si="278"/>
        <v>0</v>
      </c>
      <c r="X3602" s="481">
        <f t="shared" si="279"/>
        <v>0</v>
      </c>
      <c r="Y3602" s="179"/>
      <c r="Z3602" s="466">
        <f t="shared" si="280"/>
        <v>0</v>
      </c>
      <c r="AA3602" s="473">
        <f t="shared" si="281"/>
        <v>0</v>
      </c>
      <c r="AB3602" s="339">
        <f t="shared" si="282"/>
        <v>0</v>
      </c>
    </row>
    <row r="3603" spans="2:28" ht="20.100000000000001" customHeight="1">
      <c r="B3603" s="172"/>
      <c r="C3603" s="174"/>
      <c r="D3603" s="181"/>
      <c r="E3603" s="173"/>
      <c r="F3603" s="176"/>
      <c r="G3603" s="175">
        <f t="shared" si="273"/>
        <v>0</v>
      </c>
      <c r="H3603" s="175">
        <f t="shared" si="274"/>
        <v>0</v>
      </c>
      <c r="I3603" s="177">
        <f>IF(G3603=0,0,IF(E3603="MXN",1/HLOOKUP(YEAR(C3603)+(MONTH(C3603)/100),TC!$5:$37,DAY(C3603)+2,FALSE),VLOOKUP(E3603,Equivalencia!$5:$23,((MAX(Equivalencia!$3:$3)-YEAR(C3603))*14)+MONTH(C3603)+2,FALSE)))</f>
        <v>0</v>
      </c>
      <c r="J3603" s="178">
        <f t="shared" si="275"/>
        <v>0</v>
      </c>
      <c r="K3603" s="462">
        <f>IF(C3603=0,0,VLOOKUP(YEAR(C3603),INPC!$B$4:$O$29,MONTH(C3603)+1))</f>
        <v>0</v>
      </c>
      <c r="L3603" s="462">
        <f>IF(S3603=0,0,VLOOKUP(YEAR(S3603),INPC!$B$4:$O$29,MONTH(S3603)+1))</f>
        <v>0</v>
      </c>
      <c r="M3603" s="463">
        <f t="shared" si="276"/>
        <v>0</v>
      </c>
      <c r="N3603" s="465">
        <f t="shared" si="277"/>
        <v>0</v>
      </c>
      <c r="O3603" s="179"/>
      <c r="P3603" s="180"/>
      <c r="Q3603" s="173"/>
      <c r="R3603" s="173"/>
      <c r="S3603" s="174"/>
      <c r="T3603" s="173"/>
      <c r="U3603" s="182"/>
      <c r="V3603" s="177">
        <f>IF(U3603=0,0,IF(T3603="MXN",1/HLOOKUP(YEAR(S3603)+(MONTH(S3603)/100),TC!$5:$37,DAY(S3603)+2,FALSE),VLOOKUP(T3603,Equivalencia!$1:$23,((MAX(Equivalencia!$3:$3)-YEAR(S3603))*14)+MONTH(S3603)+2,FALSE)))</f>
        <v>0</v>
      </c>
      <c r="W3603" s="178">
        <f t="shared" si="278"/>
        <v>0</v>
      </c>
      <c r="X3603" s="481">
        <f t="shared" si="279"/>
        <v>0</v>
      </c>
      <c r="Y3603" s="179"/>
      <c r="Z3603" s="466">
        <f t="shared" si="280"/>
        <v>0</v>
      </c>
      <c r="AA3603" s="473">
        <f t="shared" si="281"/>
        <v>0</v>
      </c>
      <c r="AB3603" s="339">
        <f t="shared" si="282"/>
        <v>0</v>
      </c>
    </row>
    <row r="3604" spans="2:28" ht="20.100000000000001" customHeight="1">
      <c r="B3604" s="172"/>
      <c r="C3604" s="174"/>
      <c r="D3604" s="181"/>
      <c r="E3604" s="173"/>
      <c r="F3604" s="176"/>
      <c r="G3604" s="175">
        <f t="shared" si="273"/>
        <v>0</v>
      </c>
      <c r="H3604" s="175">
        <f t="shared" si="274"/>
        <v>0</v>
      </c>
      <c r="I3604" s="177">
        <f>IF(G3604=0,0,IF(E3604="MXN",1/HLOOKUP(YEAR(C3604)+(MONTH(C3604)/100),TC!$5:$37,DAY(C3604)+2,FALSE),VLOOKUP(E3604,Equivalencia!$5:$23,((MAX(Equivalencia!$3:$3)-YEAR(C3604))*14)+MONTH(C3604)+2,FALSE)))</f>
        <v>0</v>
      </c>
      <c r="J3604" s="178">
        <f t="shared" si="275"/>
        <v>0</v>
      </c>
      <c r="K3604" s="462">
        <f>IF(C3604=0,0,VLOOKUP(YEAR(C3604),INPC!$B$4:$O$29,MONTH(C3604)+1))</f>
        <v>0</v>
      </c>
      <c r="L3604" s="462">
        <f>IF(S3604=0,0,VLOOKUP(YEAR(S3604),INPC!$B$4:$O$29,MONTH(S3604)+1))</f>
        <v>0</v>
      </c>
      <c r="M3604" s="463">
        <f t="shared" si="276"/>
        <v>0</v>
      </c>
      <c r="N3604" s="465">
        <f t="shared" si="277"/>
        <v>0</v>
      </c>
      <c r="O3604" s="179"/>
      <c r="P3604" s="180"/>
      <c r="Q3604" s="173"/>
      <c r="R3604" s="173"/>
      <c r="S3604" s="174"/>
      <c r="T3604" s="173"/>
      <c r="U3604" s="182"/>
      <c r="V3604" s="177">
        <f>IF(U3604=0,0,IF(T3604="MXN",1/HLOOKUP(YEAR(S3604)+(MONTH(S3604)/100),TC!$5:$37,DAY(S3604)+2,FALSE),VLOOKUP(T3604,Equivalencia!$1:$23,((MAX(Equivalencia!$3:$3)-YEAR(S3604))*14)+MONTH(S3604)+2,FALSE)))</f>
        <v>0</v>
      </c>
      <c r="W3604" s="178">
        <f t="shared" si="278"/>
        <v>0</v>
      </c>
      <c r="X3604" s="481">
        <f t="shared" si="279"/>
        <v>0</v>
      </c>
      <c r="Y3604" s="179"/>
      <c r="Z3604" s="466">
        <f t="shared" si="280"/>
        <v>0</v>
      </c>
      <c r="AA3604" s="473">
        <f t="shared" si="281"/>
        <v>0</v>
      </c>
      <c r="AB3604" s="339">
        <f t="shared" si="282"/>
        <v>0</v>
      </c>
    </row>
    <row r="3605" spans="2:28" ht="20.100000000000001" customHeight="1">
      <c r="B3605" s="172"/>
      <c r="C3605" s="174"/>
      <c r="D3605" s="181"/>
      <c r="E3605" s="173"/>
      <c r="F3605" s="176"/>
      <c r="G3605" s="175">
        <f t="shared" si="273"/>
        <v>0</v>
      </c>
      <c r="H3605" s="175">
        <f t="shared" si="274"/>
        <v>0</v>
      </c>
      <c r="I3605" s="177">
        <f>IF(G3605=0,0,IF(E3605="MXN",1/HLOOKUP(YEAR(C3605)+(MONTH(C3605)/100),TC!$5:$37,DAY(C3605)+2,FALSE),VLOOKUP(E3605,Equivalencia!$5:$23,((MAX(Equivalencia!$3:$3)-YEAR(C3605))*14)+MONTH(C3605)+2,FALSE)))</f>
        <v>0</v>
      </c>
      <c r="J3605" s="178">
        <f t="shared" si="275"/>
        <v>0</v>
      </c>
      <c r="K3605" s="462">
        <f>IF(C3605=0,0,VLOOKUP(YEAR(C3605),INPC!$B$4:$O$29,MONTH(C3605)+1))</f>
        <v>0</v>
      </c>
      <c r="L3605" s="462">
        <f>IF(S3605=0,0,VLOOKUP(YEAR(S3605),INPC!$B$4:$O$29,MONTH(S3605)+1))</f>
        <v>0</v>
      </c>
      <c r="M3605" s="463">
        <f t="shared" si="276"/>
        <v>0</v>
      </c>
      <c r="N3605" s="465">
        <f t="shared" si="277"/>
        <v>0</v>
      </c>
      <c r="O3605" s="179"/>
      <c r="P3605" s="180"/>
      <c r="Q3605" s="173"/>
      <c r="R3605" s="173"/>
      <c r="S3605" s="174"/>
      <c r="T3605" s="173"/>
      <c r="U3605" s="182"/>
      <c r="V3605" s="177">
        <f>IF(U3605=0,0,IF(T3605="MXN",1/HLOOKUP(YEAR(S3605)+(MONTH(S3605)/100),TC!$5:$37,DAY(S3605)+2,FALSE),VLOOKUP(T3605,Equivalencia!$1:$23,((MAX(Equivalencia!$3:$3)-YEAR(S3605))*14)+MONTH(S3605)+2,FALSE)))</f>
        <v>0</v>
      </c>
      <c r="W3605" s="178">
        <f t="shared" si="278"/>
        <v>0</v>
      </c>
      <c r="X3605" s="481">
        <f t="shared" si="279"/>
        <v>0</v>
      </c>
      <c r="Y3605" s="179"/>
      <c r="Z3605" s="466">
        <f t="shared" si="280"/>
        <v>0</v>
      </c>
      <c r="AA3605" s="473">
        <f t="shared" si="281"/>
        <v>0</v>
      </c>
      <c r="AB3605" s="339">
        <f t="shared" si="282"/>
        <v>0</v>
      </c>
    </row>
    <row r="3606" spans="2:28" ht="20.100000000000001" customHeight="1">
      <c r="B3606" s="172"/>
      <c r="C3606" s="174"/>
      <c r="D3606" s="181"/>
      <c r="E3606" s="173"/>
      <c r="F3606" s="176"/>
      <c r="G3606" s="175">
        <f t="shared" si="273"/>
        <v>0</v>
      </c>
      <c r="H3606" s="175">
        <f t="shared" si="274"/>
        <v>0</v>
      </c>
      <c r="I3606" s="177">
        <f>IF(G3606=0,0,IF(E3606="MXN",1/HLOOKUP(YEAR(C3606)+(MONTH(C3606)/100),TC!$5:$37,DAY(C3606)+2,FALSE),VLOOKUP(E3606,Equivalencia!$5:$23,((MAX(Equivalencia!$3:$3)-YEAR(C3606))*14)+MONTH(C3606)+2,FALSE)))</f>
        <v>0</v>
      </c>
      <c r="J3606" s="178">
        <f t="shared" si="275"/>
        <v>0</v>
      </c>
      <c r="K3606" s="462">
        <f>IF(C3606=0,0,VLOOKUP(YEAR(C3606),INPC!$B$4:$O$29,MONTH(C3606)+1))</f>
        <v>0</v>
      </c>
      <c r="L3606" s="462">
        <f>IF(S3606=0,0,VLOOKUP(YEAR(S3606),INPC!$B$4:$O$29,MONTH(S3606)+1))</f>
        <v>0</v>
      </c>
      <c r="M3606" s="463">
        <f t="shared" si="276"/>
        <v>0</v>
      </c>
      <c r="N3606" s="465">
        <f t="shared" si="277"/>
        <v>0</v>
      </c>
      <c r="O3606" s="179"/>
      <c r="P3606" s="180"/>
      <c r="Q3606" s="173"/>
      <c r="R3606" s="173"/>
      <c r="S3606" s="174"/>
      <c r="T3606" s="173"/>
      <c r="U3606" s="182"/>
      <c r="V3606" s="177">
        <f>IF(U3606=0,0,IF(T3606="MXN",1/HLOOKUP(YEAR(S3606)+(MONTH(S3606)/100),TC!$5:$37,DAY(S3606)+2,FALSE),VLOOKUP(T3606,Equivalencia!$1:$23,((MAX(Equivalencia!$3:$3)-YEAR(S3606))*14)+MONTH(S3606)+2,FALSE)))</f>
        <v>0</v>
      </c>
      <c r="W3606" s="178">
        <f t="shared" si="278"/>
        <v>0</v>
      </c>
      <c r="X3606" s="481">
        <f t="shared" si="279"/>
        <v>0</v>
      </c>
      <c r="Y3606" s="179"/>
      <c r="Z3606" s="466">
        <f t="shared" si="280"/>
        <v>0</v>
      </c>
      <c r="AA3606" s="473">
        <f t="shared" si="281"/>
        <v>0</v>
      </c>
      <c r="AB3606" s="339">
        <f t="shared" si="282"/>
        <v>0</v>
      </c>
    </row>
    <row r="3607" spans="2:28" ht="20.100000000000001" customHeight="1">
      <c r="B3607" s="172"/>
      <c r="C3607" s="174"/>
      <c r="D3607" s="181"/>
      <c r="E3607" s="173"/>
      <c r="F3607" s="176"/>
      <c r="G3607" s="175">
        <f t="shared" ref="G3607:G3687" si="283">+P3607</f>
        <v>0</v>
      </c>
      <c r="H3607" s="175">
        <f t="shared" ref="H3607:H3687" si="284">IF(F3607=0,0,(F3607/G3607)*P3607)</f>
        <v>0</v>
      </c>
      <c r="I3607" s="177">
        <f>IF(G3607=0,0,IF(E3607="MXN",1/HLOOKUP(YEAR(C3607)+(MONTH(C3607)/100),TC!$5:$37,DAY(C3607)+2,FALSE),VLOOKUP(E3607,Equivalencia!$5:$23,((MAX(Equivalencia!$3:$3)-YEAR(C3607))*14)+MONTH(C3607)+2,FALSE)))</f>
        <v>0</v>
      </c>
      <c r="J3607" s="178">
        <f t="shared" ref="J3607:J3687" si="285">+H3607*I3607</f>
        <v>0</v>
      </c>
      <c r="K3607" s="462">
        <f>IF(C3607=0,0,VLOOKUP(YEAR(C3607),INPC!$B$4:$O$29,MONTH(C3607)+1))</f>
        <v>0</v>
      </c>
      <c r="L3607" s="462">
        <f>IF(S3607=0,0,VLOOKUP(YEAR(S3607),INPC!$B$4:$O$29,MONTH(S3607)+1))</f>
        <v>0</v>
      </c>
      <c r="M3607" s="463">
        <f t="shared" ref="M3607:M3687" si="286">IF(H3607=0,0,IF(R3607=$AF$4,1,IF(TRUNC(L3607/K3607,4)&gt;=1,TRUNC(L3607/K3607,4),1)))</f>
        <v>0</v>
      </c>
      <c r="N3607" s="465">
        <f t="shared" ref="N3607:N3687" si="287">+M3607*J3607</f>
        <v>0</v>
      </c>
      <c r="O3607" s="179"/>
      <c r="P3607" s="180"/>
      <c r="Q3607" s="173"/>
      <c r="R3607" s="173"/>
      <c r="S3607" s="174"/>
      <c r="T3607" s="173"/>
      <c r="U3607" s="182"/>
      <c r="V3607" s="177">
        <f>IF(U3607=0,0,IF(T3607="MXN",1/HLOOKUP(YEAR(S3607)+(MONTH(S3607)/100),TC!$5:$37,DAY(S3607)+2,FALSE),VLOOKUP(T3607,Equivalencia!$1:$23,((MAX(Equivalencia!$3:$3)-YEAR(S3607))*14)+MONTH(S3607)+2,FALSE)))</f>
        <v>0</v>
      </c>
      <c r="W3607" s="178">
        <f t="shared" ref="W3607:W3687" si="288">+V3607*U3607</f>
        <v>0</v>
      </c>
      <c r="X3607" s="481">
        <f t="shared" ref="X3607:X3687" si="289">+W3607-J3607</f>
        <v>0</v>
      </c>
      <c r="Y3607" s="179"/>
      <c r="Z3607" s="466">
        <f t="shared" ref="Z3607:Z3687" si="290">N3607</f>
        <v>0</v>
      </c>
      <c r="AA3607" s="473">
        <f t="shared" ref="AA3607:AA3687" si="291">+W3607-Z3607</f>
        <v>0</v>
      </c>
      <c r="AB3607" s="339">
        <f t="shared" ref="AB3607:AB3687" si="292">+IF(P3607=0,0,(U3607/F3607)-1)</f>
        <v>0</v>
      </c>
    </row>
    <row r="3608" spans="2:28" ht="20.100000000000001" customHeight="1">
      <c r="B3608" s="172"/>
      <c r="C3608" s="174"/>
      <c r="D3608" s="181"/>
      <c r="E3608" s="173"/>
      <c r="F3608" s="176"/>
      <c r="G3608" s="175">
        <f t="shared" si="283"/>
        <v>0</v>
      </c>
      <c r="H3608" s="175">
        <f t="shared" si="284"/>
        <v>0</v>
      </c>
      <c r="I3608" s="177">
        <f>IF(G3608=0,0,IF(E3608="MXN",1/HLOOKUP(YEAR(C3608)+(MONTH(C3608)/100),TC!$5:$37,DAY(C3608)+2,FALSE),VLOOKUP(E3608,Equivalencia!$5:$23,((MAX(Equivalencia!$3:$3)-YEAR(C3608))*14)+MONTH(C3608)+2,FALSE)))</f>
        <v>0</v>
      </c>
      <c r="J3608" s="178">
        <f t="shared" si="285"/>
        <v>0</v>
      </c>
      <c r="K3608" s="462">
        <f>IF(C3608=0,0,VLOOKUP(YEAR(C3608),INPC!$B$4:$O$29,MONTH(C3608)+1))</f>
        <v>0</v>
      </c>
      <c r="L3608" s="462">
        <f>IF(S3608=0,0,VLOOKUP(YEAR(S3608),INPC!$B$4:$O$29,MONTH(S3608)+1))</f>
        <v>0</v>
      </c>
      <c r="M3608" s="463">
        <f t="shared" si="286"/>
        <v>0</v>
      </c>
      <c r="N3608" s="465">
        <f t="shared" si="287"/>
        <v>0</v>
      </c>
      <c r="O3608" s="179"/>
      <c r="P3608" s="180"/>
      <c r="Q3608" s="173"/>
      <c r="R3608" s="173"/>
      <c r="S3608" s="174"/>
      <c r="T3608" s="173"/>
      <c r="U3608" s="182"/>
      <c r="V3608" s="177">
        <f>IF(U3608=0,0,IF(T3608="MXN",1/HLOOKUP(YEAR(S3608)+(MONTH(S3608)/100),TC!$5:$37,DAY(S3608)+2,FALSE),VLOOKUP(T3608,Equivalencia!$1:$23,((MAX(Equivalencia!$3:$3)-YEAR(S3608))*14)+MONTH(S3608)+2,FALSE)))</f>
        <v>0</v>
      </c>
      <c r="W3608" s="178">
        <f t="shared" si="288"/>
        <v>0</v>
      </c>
      <c r="X3608" s="481">
        <f t="shared" si="289"/>
        <v>0</v>
      </c>
      <c r="Y3608" s="179"/>
      <c r="Z3608" s="466">
        <f t="shared" si="290"/>
        <v>0</v>
      </c>
      <c r="AA3608" s="473">
        <f t="shared" si="291"/>
        <v>0</v>
      </c>
      <c r="AB3608" s="339">
        <f t="shared" si="292"/>
        <v>0</v>
      </c>
    </row>
    <row r="3609" spans="2:28" ht="20.100000000000001" customHeight="1">
      <c r="B3609" s="172"/>
      <c r="C3609" s="174"/>
      <c r="D3609" s="181"/>
      <c r="E3609" s="173"/>
      <c r="F3609" s="176"/>
      <c r="G3609" s="175">
        <f t="shared" si="283"/>
        <v>0</v>
      </c>
      <c r="H3609" s="175">
        <f t="shared" si="284"/>
        <v>0</v>
      </c>
      <c r="I3609" s="177">
        <f>IF(G3609=0,0,IF(E3609="MXN",1/HLOOKUP(YEAR(C3609)+(MONTH(C3609)/100),TC!$5:$37,DAY(C3609)+2,FALSE),VLOOKUP(E3609,Equivalencia!$5:$23,((MAX(Equivalencia!$3:$3)-YEAR(C3609))*14)+MONTH(C3609)+2,FALSE)))</f>
        <v>0</v>
      </c>
      <c r="J3609" s="178">
        <f t="shared" si="285"/>
        <v>0</v>
      </c>
      <c r="K3609" s="462">
        <f>IF(C3609=0,0,VLOOKUP(YEAR(C3609),INPC!$B$4:$O$29,MONTH(C3609)+1))</f>
        <v>0</v>
      </c>
      <c r="L3609" s="462">
        <f>IF(S3609=0,0,VLOOKUP(YEAR(S3609),INPC!$B$4:$O$29,MONTH(S3609)+1))</f>
        <v>0</v>
      </c>
      <c r="M3609" s="463">
        <f t="shared" si="286"/>
        <v>0</v>
      </c>
      <c r="N3609" s="465">
        <f t="shared" si="287"/>
        <v>0</v>
      </c>
      <c r="O3609" s="179"/>
      <c r="P3609" s="180"/>
      <c r="Q3609" s="173"/>
      <c r="R3609" s="173"/>
      <c r="S3609" s="174"/>
      <c r="T3609" s="173"/>
      <c r="U3609" s="182"/>
      <c r="V3609" s="177">
        <f>IF(U3609=0,0,IF(T3609="MXN",1/HLOOKUP(YEAR(S3609)+(MONTH(S3609)/100),TC!$5:$37,DAY(S3609)+2,FALSE),VLOOKUP(T3609,Equivalencia!$1:$23,((MAX(Equivalencia!$3:$3)-YEAR(S3609))*14)+MONTH(S3609)+2,FALSE)))</f>
        <v>0</v>
      </c>
      <c r="W3609" s="178">
        <f t="shared" si="288"/>
        <v>0</v>
      </c>
      <c r="X3609" s="481">
        <f t="shared" si="289"/>
        <v>0</v>
      </c>
      <c r="Y3609" s="179"/>
      <c r="Z3609" s="466">
        <f t="shared" si="290"/>
        <v>0</v>
      </c>
      <c r="AA3609" s="473">
        <f t="shared" si="291"/>
        <v>0</v>
      </c>
      <c r="AB3609" s="339">
        <f t="shared" si="292"/>
        <v>0</v>
      </c>
    </row>
    <row r="3610" spans="2:28" ht="20.100000000000001" customHeight="1">
      <c r="B3610" s="172"/>
      <c r="C3610" s="174"/>
      <c r="D3610" s="181"/>
      <c r="E3610" s="173"/>
      <c r="F3610" s="176"/>
      <c r="G3610" s="175">
        <f t="shared" si="283"/>
        <v>0</v>
      </c>
      <c r="H3610" s="175">
        <f t="shared" si="284"/>
        <v>0</v>
      </c>
      <c r="I3610" s="177">
        <f>IF(G3610=0,0,IF(E3610="MXN",1/HLOOKUP(YEAR(C3610)+(MONTH(C3610)/100),TC!$5:$37,DAY(C3610)+2,FALSE),VLOOKUP(E3610,Equivalencia!$5:$23,((MAX(Equivalencia!$3:$3)-YEAR(C3610))*14)+MONTH(C3610)+2,FALSE)))</f>
        <v>0</v>
      </c>
      <c r="J3610" s="178">
        <f t="shared" si="285"/>
        <v>0</v>
      </c>
      <c r="K3610" s="462">
        <f>IF(C3610=0,0,VLOOKUP(YEAR(C3610),INPC!$B$4:$O$29,MONTH(C3610)+1))</f>
        <v>0</v>
      </c>
      <c r="L3610" s="462">
        <f>IF(S3610=0,0,VLOOKUP(YEAR(S3610),INPC!$B$4:$O$29,MONTH(S3610)+1))</f>
        <v>0</v>
      </c>
      <c r="M3610" s="463">
        <f t="shared" si="286"/>
        <v>0</v>
      </c>
      <c r="N3610" s="465">
        <f t="shared" si="287"/>
        <v>0</v>
      </c>
      <c r="O3610" s="179"/>
      <c r="P3610" s="180"/>
      <c r="Q3610" s="173"/>
      <c r="R3610" s="173"/>
      <c r="S3610" s="174"/>
      <c r="T3610" s="173"/>
      <c r="U3610" s="182"/>
      <c r="V3610" s="177">
        <f>IF(U3610=0,0,IF(T3610="MXN",1/HLOOKUP(YEAR(S3610)+(MONTH(S3610)/100),TC!$5:$37,DAY(S3610)+2,FALSE),VLOOKUP(T3610,Equivalencia!$1:$23,((MAX(Equivalencia!$3:$3)-YEAR(S3610))*14)+MONTH(S3610)+2,FALSE)))</f>
        <v>0</v>
      </c>
      <c r="W3610" s="178">
        <f t="shared" si="288"/>
        <v>0</v>
      </c>
      <c r="X3610" s="481">
        <f t="shared" si="289"/>
        <v>0</v>
      </c>
      <c r="Y3610" s="179"/>
      <c r="Z3610" s="466">
        <f t="shared" si="290"/>
        <v>0</v>
      </c>
      <c r="AA3610" s="473">
        <f t="shared" si="291"/>
        <v>0</v>
      </c>
      <c r="AB3610" s="339">
        <f t="shared" si="292"/>
        <v>0</v>
      </c>
    </row>
    <row r="3611" spans="2:28" ht="20.100000000000001" customHeight="1">
      <c r="B3611" s="172"/>
      <c r="C3611" s="174"/>
      <c r="D3611" s="181"/>
      <c r="E3611" s="173"/>
      <c r="F3611" s="176"/>
      <c r="G3611" s="175">
        <f t="shared" si="283"/>
        <v>0</v>
      </c>
      <c r="H3611" s="175">
        <f t="shared" si="284"/>
        <v>0</v>
      </c>
      <c r="I3611" s="177">
        <f>IF(G3611=0,0,IF(E3611="MXN",1/HLOOKUP(YEAR(C3611)+(MONTH(C3611)/100),TC!$5:$37,DAY(C3611)+2,FALSE),VLOOKUP(E3611,Equivalencia!$5:$23,((MAX(Equivalencia!$3:$3)-YEAR(C3611))*14)+MONTH(C3611)+2,FALSE)))</f>
        <v>0</v>
      </c>
      <c r="J3611" s="178">
        <f t="shared" si="285"/>
        <v>0</v>
      </c>
      <c r="K3611" s="462">
        <f>IF(C3611=0,0,VLOOKUP(YEAR(C3611),INPC!$B$4:$O$29,MONTH(C3611)+1))</f>
        <v>0</v>
      </c>
      <c r="L3611" s="462">
        <f>IF(S3611=0,0,VLOOKUP(YEAR(S3611),INPC!$B$4:$O$29,MONTH(S3611)+1))</f>
        <v>0</v>
      </c>
      <c r="M3611" s="463">
        <f t="shared" si="286"/>
        <v>0</v>
      </c>
      <c r="N3611" s="465">
        <f t="shared" si="287"/>
        <v>0</v>
      </c>
      <c r="O3611" s="179"/>
      <c r="P3611" s="180"/>
      <c r="Q3611" s="173"/>
      <c r="R3611" s="173"/>
      <c r="S3611" s="174"/>
      <c r="T3611" s="173"/>
      <c r="U3611" s="182"/>
      <c r="V3611" s="177">
        <f>IF(U3611=0,0,IF(T3611="MXN",1/HLOOKUP(YEAR(S3611)+(MONTH(S3611)/100),TC!$5:$37,DAY(S3611)+2,FALSE),VLOOKUP(T3611,Equivalencia!$1:$23,((MAX(Equivalencia!$3:$3)-YEAR(S3611))*14)+MONTH(S3611)+2,FALSE)))</f>
        <v>0</v>
      </c>
      <c r="W3611" s="178">
        <f t="shared" si="288"/>
        <v>0</v>
      </c>
      <c r="X3611" s="481">
        <f t="shared" si="289"/>
        <v>0</v>
      </c>
      <c r="Y3611" s="179"/>
      <c r="Z3611" s="466">
        <f t="shared" si="290"/>
        <v>0</v>
      </c>
      <c r="AA3611" s="473">
        <f t="shared" si="291"/>
        <v>0</v>
      </c>
      <c r="AB3611" s="339">
        <f t="shared" si="292"/>
        <v>0</v>
      </c>
    </row>
    <row r="3612" spans="2:28" ht="20.100000000000001" customHeight="1">
      <c r="B3612" s="172"/>
      <c r="C3612" s="174"/>
      <c r="D3612" s="181"/>
      <c r="E3612" s="173"/>
      <c r="F3612" s="176"/>
      <c r="G3612" s="175">
        <f t="shared" si="283"/>
        <v>0</v>
      </c>
      <c r="H3612" s="175">
        <f t="shared" si="284"/>
        <v>0</v>
      </c>
      <c r="I3612" s="177">
        <f>IF(G3612=0,0,IF(E3612="MXN",1/HLOOKUP(YEAR(C3612)+(MONTH(C3612)/100),TC!$5:$37,DAY(C3612)+2,FALSE),VLOOKUP(E3612,Equivalencia!$5:$23,((MAX(Equivalencia!$3:$3)-YEAR(C3612))*14)+MONTH(C3612)+2,FALSE)))</f>
        <v>0</v>
      </c>
      <c r="J3612" s="178">
        <f t="shared" si="285"/>
        <v>0</v>
      </c>
      <c r="K3612" s="462">
        <f>IF(C3612=0,0,VLOOKUP(YEAR(C3612),INPC!$B$4:$O$29,MONTH(C3612)+1))</f>
        <v>0</v>
      </c>
      <c r="L3612" s="462">
        <f>IF(S3612=0,0,VLOOKUP(YEAR(S3612),INPC!$B$4:$O$29,MONTH(S3612)+1))</f>
        <v>0</v>
      </c>
      <c r="M3612" s="463">
        <f t="shared" si="286"/>
        <v>0</v>
      </c>
      <c r="N3612" s="465">
        <f t="shared" si="287"/>
        <v>0</v>
      </c>
      <c r="O3612" s="179"/>
      <c r="P3612" s="180"/>
      <c r="Q3612" s="173"/>
      <c r="R3612" s="173"/>
      <c r="S3612" s="174"/>
      <c r="T3612" s="173"/>
      <c r="U3612" s="182"/>
      <c r="V3612" s="177">
        <f>IF(U3612=0,0,IF(T3612="MXN",1/HLOOKUP(YEAR(S3612)+(MONTH(S3612)/100),TC!$5:$37,DAY(S3612)+2,FALSE),VLOOKUP(T3612,Equivalencia!$1:$23,((MAX(Equivalencia!$3:$3)-YEAR(S3612))*14)+MONTH(S3612)+2,FALSE)))</f>
        <v>0</v>
      </c>
      <c r="W3612" s="178">
        <f t="shared" si="288"/>
        <v>0</v>
      </c>
      <c r="X3612" s="481">
        <f t="shared" si="289"/>
        <v>0</v>
      </c>
      <c r="Y3612" s="179"/>
      <c r="Z3612" s="466">
        <f t="shared" si="290"/>
        <v>0</v>
      </c>
      <c r="AA3612" s="473">
        <f t="shared" si="291"/>
        <v>0</v>
      </c>
      <c r="AB3612" s="339">
        <f t="shared" si="292"/>
        <v>0</v>
      </c>
    </row>
    <row r="3613" spans="2:28" ht="20.100000000000001" customHeight="1">
      <c r="B3613" s="172"/>
      <c r="C3613" s="174"/>
      <c r="D3613" s="181"/>
      <c r="E3613" s="173"/>
      <c r="F3613" s="176"/>
      <c r="G3613" s="175">
        <f t="shared" si="283"/>
        <v>0</v>
      </c>
      <c r="H3613" s="175">
        <f t="shared" si="284"/>
        <v>0</v>
      </c>
      <c r="I3613" s="177">
        <f>IF(G3613=0,0,IF(E3613="MXN",1/HLOOKUP(YEAR(C3613)+(MONTH(C3613)/100),TC!$5:$37,DAY(C3613)+2,FALSE),VLOOKUP(E3613,Equivalencia!$5:$23,((MAX(Equivalencia!$3:$3)-YEAR(C3613))*14)+MONTH(C3613)+2,FALSE)))</f>
        <v>0</v>
      </c>
      <c r="J3613" s="178">
        <f t="shared" si="285"/>
        <v>0</v>
      </c>
      <c r="K3613" s="462">
        <f>IF(C3613=0,0,VLOOKUP(YEAR(C3613),INPC!$B$4:$O$29,MONTH(C3613)+1))</f>
        <v>0</v>
      </c>
      <c r="L3613" s="462">
        <f>IF(S3613=0,0,VLOOKUP(YEAR(S3613),INPC!$B$4:$O$29,MONTH(S3613)+1))</f>
        <v>0</v>
      </c>
      <c r="M3613" s="463">
        <f t="shared" si="286"/>
        <v>0</v>
      </c>
      <c r="N3613" s="465">
        <f t="shared" si="287"/>
        <v>0</v>
      </c>
      <c r="O3613" s="179"/>
      <c r="P3613" s="180"/>
      <c r="Q3613" s="173"/>
      <c r="R3613" s="173"/>
      <c r="S3613" s="174"/>
      <c r="T3613" s="173"/>
      <c r="U3613" s="182"/>
      <c r="V3613" s="177">
        <f>IF(U3613=0,0,IF(T3613="MXN",1/HLOOKUP(YEAR(S3613)+(MONTH(S3613)/100),TC!$5:$37,DAY(S3613)+2,FALSE),VLOOKUP(T3613,Equivalencia!$1:$23,((MAX(Equivalencia!$3:$3)-YEAR(S3613))*14)+MONTH(S3613)+2,FALSE)))</f>
        <v>0</v>
      </c>
      <c r="W3613" s="178">
        <f t="shared" si="288"/>
        <v>0</v>
      </c>
      <c r="X3613" s="481">
        <f t="shared" si="289"/>
        <v>0</v>
      </c>
      <c r="Y3613" s="179"/>
      <c r="Z3613" s="466">
        <f t="shared" si="290"/>
        <v>0</v>
      </c>
      <c r="AA3613" s="473">
        <f t="shared" si="291"/>
        <v>0</v>
      </c>
      <c r="AB3613" s="339">
        <f t="shared" si="292"/>
        <v>0</v>
      </c>
    </row>
    <row r="3614" spans="2:28" ht="20.100000000000001" customHeight="1">
      <c r="B3614" s="172"/>
      <c r="C3614" s="174"/>
      <c r="D3614" s="181"/>
      <c r="E3614" s="173"/>
      <c r="F3614" s="176"/>
      <c r="G3614" s="175">
        <f t="shared" si="283"/>
        <v>0</v>
      </c>
      <c r="H3614" s="175">
        <f t="shared" si="284"/>
        <v>0</v>
      </c>
      <c r="I3614" s="177">
        <f>IF(G3614=0,0,IF(E3614="MXN",1/HLOOKUP(YEAR(C3614)+(MONTH(C3614)/100),TC!$5:$37,DAY(C3614)+2,FALSE),VLOOKUP(E3614,Equivalencia!$5:$23,((MAX(Equivalencia!$3:$3)-YEAR(C3614))*14)+MONTH(C3614)+2,FALSE)))</f>
        <v>0</v>
      </c>
      <c r="J3614" s="178">
        <f t="shared" si="285"/>
        <v>0</v>
      </c>
      <c r="K3614" s="462">
        <f>IF(C3614=0,0,VLOOKUP(YEAR(C3614),INPC!$B$4:$O$29,MONTH(C3614)+1))</f>
        <v>0</v>
      </c>
      <c r="L3614" s="462">
        <f>IF(S3614=0,0,VLOOKUP(YEAR(S3614),INPC!$B$4:$O$29,MONTH(S3614)+1))</f>
        <v>0</v>
      </c>
      <c r="M3614" s="463">
        <f t="shared" si="286"/>
        <v>0</v>
      </c>
      <c r="N3614" s="465">
        <f t="shared" si="287"/>
        <v>0</v>
      </c>
      <c r="O3614" s="179"/>
      <c r="P3614" s="180"/>
      <c r="Q3614" s="173"/>
      <c r="R3614" s="173"/>
      <c r="S3614" s="174"/>
      <c r="T3614" s="173"/>
      <c r="U3614" s="182"/>
      <c r="V3614" s="177">
        <f>IF(U3614=0,0,IF(T3614="MXN",1/HLOOKUP(YEAR(S3614)+(MONTH(S3614)/100),TC!$5:$37,DAY(S3614)+2,FALSE),VLOOKUP(T3614,Equivalencia!$1:$23,((MAX(Equivalencia!$3:$3)-YEAR(S3614))*14)+MONTH(S3614)+2,FALSE)))</f>
        <v>0</v>
      </c>
      <c r="W3614" s="178">
        <f t="shared" si="288"/>
        <v>0</v>
      </c>
      <c r="X3614" s="481">
        <f t="shared" si="289"/>
        <v>0</v>
      </c>
      <c r="Y3614" s="179"/>
      <c r="Z3614" s="466">
        <f t="shared" si="290"/>
        <v>0</v>
      </c>
      <c r="AA3614" s="473">
        <f t="shared" si="291"/>
        <v>0</v>
      </c>
      <c r="AB3614" s="339">
        <f t="shared" si="292"/>
        <v>0</v>
      </c>
    </row>
    <row r="3615" spans="2:28" ht="20.100000000000001" customHeight="1">
      <c r="B3615" s="172"/>
      <c r="C3615" s="174"/>
      <c r="D3615" s="181"/>
      <c r="E3615" s="173"/>
      <c r="F3615" s="176"/>
      <c r="G3615" s="175">
        <f t="shared" si="283"/>
        <v>0</v>
      </c>
      <c r="H3615" s="175">
        <f t="shared" si="284"/>
        <v>0</v>
      </c>
      <c r="I3615" s="177">
        <f>IF(G3615=0,0,IF(E3615="MXN",1/HLOOKUP(YEAR(C3615)+(MONTH(C3615)/100),TC!$5:$37,DAY(C3615)+2,FALSE),VLOOKUP(E3615,Equivalencia!$5:$23,((MAX(Equivalencia!$3:$3)-YEAR(C3615))*14)+MONTH(C3615)+2,FALSE)))</f>
        <v>0</v>
      </c>
      <c r="J3615" s="178">
        <f t="shared" si="285"/>
        <v>0</v>
      </c>
      <c r="K3615" s="462">
        <f>IF(C3615=0,0,VLOOKUP(YEAR(C3615),INPC!$B$4:$O$29,MONTH(C3615)+1))</f>
        <v>0</v>
      </c>
      <c r="L3615" s="462">
        <f>IF(S3615=0,0,VLOOKUP(YEAR(S3615),INPC!$B$4:$O$29,MONTH(S3615)+1))</f>
        <v>0</v>
      </c>
      <c r="M3615" s="463">
        <f t="shared" si="286"/>
        <v>0</v>
      </c>
      <c r="N3615" s="465">
        <f t="shared" si="287"/>
        <v>0</v>
      </c>
      <c r="O3615" s="179"/>
      <c r="P3615" s="180"/>
      <c r="Q3615" s="173"/>
      <c r="R3615" s="173"/>
      <c r="S3615" s="174"/>
      <c r="T3615" s="173"/>
      <c r="U3615" s="182"/>
      <c r="V3615" s="177">
        <f>IF(U3615=0,0,IF(T3615="MXN",1/HLOOKUP(YEAR(S3615)+(MONTH(S3615)/100),TC!$5:$37,DAY(S3615)+2,FALSE),VLOOKUP(T3615,Equivalencia!$1:$23,((MAX(Equivalencia!$3:$3)-YEAR(S3615))*14)+MONTH(S3615)+2,FALSE)))</f>
        <v>0</v>
      </c>
      <c r="W3615" s="178">
        <f t="shared" si="288"/>
        <v>0</v>
      </c>
      <c r="X3615" s="481">
        <f t="shared" si="289"/>
        <v>0</v>
      </c>
      <c r="Y3615" s="179"/>
      <c r="Z3615" s="466">
        <f t="shared" si="290"/>
        <v>0</v>
      </c>
      <c r="AA3615" s="473">
        <f t="shared" si="291"/>
        <v>0</v>
      </c>
      <c r="AB3615" s="339">
        <f t="shared" si="292"/>
        <v>0</v>
      </c>
    </row>
    <row r="3616" spans="2:28" ht="20.100000000000001" customHeight="1">
      <c r="B3616" s="172"/>
      <c r="C3616" s="174"/>
      <c r="D3616" s="181"/>
      <c r="E3616" s="173"/>
      <c r="F3616" s="176"/>
      <c r="G3616" s="175">
        <f t="shared" si="283"/>
        <v>0</v>
      </c>
      <c r="H3616" s="175">
        <f t="shared" si="284"/>
        <v>0</v>
      </c>
      <c r="I3616" s="177">
        <f>IF(G3616=0,0,IF(E3616="MXN",1/HLOOKUP(YEAR(C3616)+(MONTH(C3616)/100),TC!$5:$37,DAY(C3616)+2,FALSE),VLOOKUP(E3616,Equivalencia!$5:$23,((MAX(Equivalencia!$3:$3)-YEAR(C3616))*14)+MONTH(C3616)+2,FALSE)))</f>
        <v>0</v>
      </c>
      <c r="J3616" s="178">
        <f t="shared" si="285"/>
        <v>0</v>
      </c>
      <c r="K3616" s="462">
        <f>IF(C3616=0,0,VLOOKUP(YEAR(C3616),INPC!$B$4:$O$29,MONTH(C3616)+1))</f>
        <v>0</v>
      </c>
      <c r="L3616" s="462">
        <f>IF(S3616=0,0,VLOOKUP(YEAR(S3616),INPC!$B$4:$O$29,MONTH(S3616)+1))</f>
        <v>0</v>
      </c>
      <c r="M3616" s="463">
        <f t="shared" si="286"/>
        <v>0</v>
      </c>
      <c r="N3616" s="465">
        <f t="shared" si="287"/>
        <v>0</v>
      </c>
      <c r="O3616" s="179"/>
      <c r="P3616" s="180"/>
      <c r="Q3616" s="173"/>
      <c r="R3616" s="173"/>
      <c r="S3616" s="174"/>
      <c r="T3616" s="173"/>
      <c r="U3616" s="182"/>
      <c r="V3616" s="177">
        <f>IF(U3616=0,0,IF(T3616="MXN",1/HLOOKUP(YEAR(S3616)+(MONTH(S3616)/100),TC!$5:$37,DAY(S3616)+2,FALSE),VLOOKUP(T3616,Equivalencia!$1:$23,((MAX(Equivalencia!$3:$3)-YEAR(S3616))*14)+MONTH(S3616)+2,FALSE)))</f>
        <v>0</v>
      </c>
      <c r="W3616" s="178">
        <f t="shared" si="288"/>
        <v>0</v>
      </c>
      <c r="X3616" s="481">
        <f t="shared" si="289"/>
        <v>0</v>
      </c>
      <c r="Y3616" s="179"/>
      <c r="Z3616" s="466">
        <f t="shared" si="290"/>
        <v>0</v>
      </c>
      <c r="AA3616" s="473">
        <f t="shared" si="291"/>
        <v>0</v>
      </c>
      <c r="AB3616" s="339">
        <f t="shared" si="292"/>
        <v>0</v>
      </c>
    </row>
    <row r="3617" spans="2:28" ht="20.100000000000001" customHeight="1">
      <c r="B3617" s="172"/>
      <c r="C3617" s="174"/>
      <c r="D3617" s="181"/>
      <c r="E3617" s="173"/>
      <c r="F3617" s="176"/>
      <c r="G3617" s="175">
        <f t="shared" si="283"/>
        <v>0</v>
      </c>
      <c r="H3617" s="175">
        <f t="shared" si="284"/>
        <v>0</v>
      </c>
      <c r="I3617" s="177">
        <f>IF(G3617=0,0,IF(E3617="MXN",1/HLOOKUP(YEAR(C3617)+(MONTH(C3617)/100),TC!$5:$37,DAY(C3617)+2,FALSE),VLOOKUP(E3617,Equivalencia!$5:$23,((MAX(Equivalencia!$3:$3)-YEAR(C3617))*14)+MONTH(C3617)+2,FALSE)))</f>
        <v>0</v>
      </c>
      <c r="J3617" s="178">
        <f t="shared" si="285"/>
        <v>0</v>
      </c>
      <c r="K3617" s="462">
        <f>IF(C3617=0,0,VLOOKUP(YEAR(C3617),INPC!$B$4:$O$29,MONTH(C3617)+1))</f>
        <v>0</v>
      </c>
      <c r="L3617" s="462">
        <f>IF(S3617=0,0,VLOOKUP(YEAR(S3617),INPC!$B$4:$O$29,MONTH(S3617)+1))</f>
        <v>0</v>
      </c>
      <c r="M3617" s="463">
        <f t="shared" si="286"/>
        <v>0</v>
      </c>
      <c r="N3617" s="465">
        <f t="shared" si="287"/>
        <v>0</v>
      </c>
      <c r="O3617" s="179"/>
      <c r="P3617" s="180"/>
      <c r="Q3617" s="173"/>
      <c r="R3617" s="173"/>
      <c r="S3617" s="174"/>
      <c r="T3617" s="173"/>
      <c r="U3617" s="182"/>
      <c r="V3617" s="177">
        <f>IF(U3617=0,0,IF(T3617="MXN",1/HLOOKUP(YEAR(S3617)+(MONTH(S3617)/100),TC!$5:$37,DAY(S3617)+2,FALSE),VLOOKUP(T3617,Equivalencia!$1:$23,((MAX(Equivalencia!$3:$3)-YEAR(S3617))*14)+MONTH(S3617)+2,FALSE)))</f>
        <v>0</v>
      </c>
      <c r="W3617" s="178">
        <f t="shared" si="288"/>
        <v>0</v>
      </c>
      <c r="X3617" s="481">
        <f t="shared" si="289"/>
        <v>0</v>
      </c>
      <c r="Y3617" s="179"/>
      <c r="Z3617" s="466">
        <f t="shared" si="290"/>
        <v>0</v>
      </c>
      <c r="AA3617" s="473">
        <f t="shared" si="291"/>
        <v>0</v>
      </c>
      <c r="AB3617" s="339">
        <f t="shared" si="292"/>
        <v>0</v>
      </c>
    </row>
    <row r="3618" spans="2:28" ht="20.100000000000001" customHeight="1">
      <c r="B3618" s="172"/>
      <c r="C3618" s="174"/>
      <c r="D3618" s="181"/>
      <c r="E3618" s="173"/>
      <c r="F3618" s="176"/>
      <c r="G3618" s="175">
        <f t="shared" si="283"/>
        <v>0</v>
      </c>
      <c r="H3618" s="175">
        <f t="shared" si="284"/>
        <v>0</v>
      </c>
      <c r="I3618" s="177">
        <f>IF(G3618=0,0,IF(E3618="MXN",1/HLOOKUP(YEAR(C3618)+(MONTH(C3618)/100),TC!$5:$37,DAY(C3618)+2,FALSE),VLOOKUP(E3618,Equivalencia!$5:$23,((MAX(Equivalencia!$3:$3)-YEAR(C3618))*14)+MONTH(C3618)+2,FALSE)))</f>
        <v>0</v>
      </c>
      <c r="J3618" s="178">
        <f t="shared" si="285"/>
        <v>0</v>
      </c>
      <c r="K3618" s="462">
        <f>IF(C3618=0,0,VLOOKUP(YEAR(C3618),INPC!$B$4:$O$29,MONTH(C3618)+1))</f>
        <v>0</v>
      </c>
      <c r="L3618" s="462">
        <f>IF(S3618=0,0,VLOOKUP(YEAR(S3618),INPC!$B$4:$O$29,MONTH(S3618)+1))</f>
        <v>0</v>
      </c>
      <c r="M3618" s="463">
        <f t="shared" si="286"/>
        <v>0</v>
      </c>
      <c r="N3618" s="465">
        <f t="shared" si="287"/>
        <v>0</v>
      </c>
      <c r="O3618" s="179"/>
      <c r="P3618" s="180"/>
      <c r="Q3618" s="173"/>
      <c r="R3618" s="173"/>
      <c r="S3618" s="174"/>
      <c r="T3618" s="173"/>
      <c r="U3618" s="182"/>
      <c r="V3618" s="177">
        <f>IF(U3618=0,0,IF(T3618="MXN",1/HLOOKUP(YEAR(S3618)+(MONTH(S3618)/100),TC!$5:$37,DAY(S3618)+2,FALSE),VLOOKUP(T3618,Equivalencia!$1:$23,((MAX(Equivalencia!$3:$3)-YEAR(S3618))*14)+MONTH(S3618)+2,FALSE)))</f>
        <v>0</v>
      </c>
      <c r="W3618" s="178">
        <f t="shared" si="288"/>
        <v>0</v>
      </c>
      <c r="X3618" s="481">
        <f t="shared" si="289"/>
        <v>0</v>
      </c>
      <c r="Y3618" s="179"/>
      <c r="Z3618" s="466">
        <f t="shared" si="290"/>
        <v>0</v>
      </c>
      <c r="AA3618" s="473">
        <f t="shared" si="291"/>
        <v>0</v>
      </c>
      <c r="AB3618" s="339">
        <f t="shared" si="292"/>
        <v>0</v>
      </c>
    </row>
    <row r="3619" spans="2:28" ht="20.100000000000001" customHeight="1">
      <c r="B3619" s="172"/>
      <c r="C3619" s="174"/>
      <c r="D3619" s="181"/>
      <c r="E3619" s="173"/>
      <c r="F3619" s="176"/>
      <c r="G3619" s="175">
        <f t="shared" si="283"/>
        <v>0</v>
      </c>
      <c r="H3619" s="175">
        <f t="shared" si="284"/>
        <v>0</v>
      </c>
      <c r="I3619" s="177">
        <f>IF(G3619=0,0,IF(E3619="MXN",1/HLOOKUP(YEAR(C3619)+(MONTH(C3619)/100),TC!$5:$37,DAY(C3619)+2,FALSE),VLOOKUP(E3619,Equivalencia!$5:$23,((MAX(Equivalencia!$3:$3)-YEAR(C3619))*14)+MONTH(C3619)+2,FALSE)))</f>
        <v>0</v>
      </c>
      <c r="J3619" s="178">
        <f t="shared" si="285"/>
        <v>0</v>
      </c>
      <c r="K3619" s="462">
        <f>IF(C3619=0,0,VLOOKUP(YEAR(C3619),INPC!$B$4:$O$29,MONTH(C3619)+1))</f>
        <v>0</v>
      </c>
      <c r="L3619" s="462">
        <f>IF(S3619=0,0,VLOOKUP(YEAR(S3619),INPC!$B$4:$O$29,MONTH(S3619)+1))</f>
        <v>0</v>
      </c>
      <c r="M3619" s="463">
        <f t="shared" si="286"/>
        <v>0</v>
      </c>
      <c r="N3619" s="465">
        <f t="shared" si="287"/>
        <v>0</v>
      </c>
      <c r="O3619" s="179"/>
      <c r="P3619" s="180"/>
      <c r="Q3619" s="173"/>
      <c r="R3619" s="173"/>
      <c r="S3619" s="174"/>
      <c r="T3619" s="173"/>
      <c r="U3619" s="182"/>
      <c r="V3619" s="177">
        <f>IF(U3619=0,0,IF(T3619="MXN",1/HLOOKUP(YEAR(S3619)+(MONTH(S3619)/100),TC!$5:$37,DAY(S3619)+2,FALSE),VLOOKUP(T3619,Equivalencia!$1:$23,((MAX(Equivalencia!$3:$3)-YEAR(S3619))*14)+MONTH(S3619)+2,FALSE)))</f>
        <v>0</v>
      </c>
      <c r="W3619" s="178">
        <f t="shared" si="288"/>
        <v>0</v>
      </c>
      <c r="X3619" s="481">
        <f t="shared" si="289"/>
        <v>0</v>
      </c>
      <c r="Y3619" s="179"/>
      <c r="Z3619" s="466">
        <f t="shared" si="290"/>
        <v>0</v>
      </c>
      <c r="AA3619" s="473">
        <f t="shared" si="291"/>
        <v>0</v>
      </c>
      <c r="AB3619" s="339">
        <f t="shared" si="292"/>
        <v>0</v>
      </c>
    </row>
    <row r="3620" spans="2:28" ht="20.100000000000001" customHeight="1">
      <c r="B3620" s="172"/>
      <c r="C3620" s="174"/>
      <c r="D3620" s="181"/>
      <c r="E3620" s="173"/>
      <c r="F3620" s="176"/>
      <c r="G3620" s="175">
        <f t="shared" si="283"/>
        <v>0</v>
      </c>
      <c r="H3620" s="175">
        <f t="shared" si="284"/>
        <v>0</v>
      </c>
      <c r="I3620" s="177">
        <f>IF(G3620=0,0,IF(E3620="MXN",1/HLOOKUP(YEAR(C3620)+(MONTH(C3620)/100),TC!$5:$37,DAY(C3620)+2,FALSE),VLOOKUP(E3620,Equivalencia!$5:$23,((MAX(Equivalencia!$3:$3)-YEAR(C3620))*14)+MONTH(C3620)+2,FALSE)))</f>
        <v>0</v>
      </c>
      <c r="J3620" s="178">
        <f t="shared" si="285"/>
        <v>0</v>
      </c>
      <c r="K3620" s="462">
        <f>IF(C3620=0,0,VLOOKUP(YEAR(C3620),INPC!$B$4:$O$29,MONTH(C3620)+1))</f>
        <v>0</v>
      </c>
      <c r="L3620" s="462">
        <f>IF(S3620=0,0,VLOOKUP(YEAR(S3620),INPC!$B$4:$O$29,MONTH(S3620)+1))</f>
        <v>0</v>
      </c>
      <c r="M3620" s="463">
        <f t="shared" si="286"/>
        <v>0</v>
      </c>
      <c r="N3620" s="465">
        <f t="shared" si="287"/>
        <v>0</v>
      </c>
      <c r="O3620" s="179"/>
      <c r="P3620" s="180"/>
      <c r="Q3620" s="173"/>
      <c r="R3620" s="173"/>
      <c r="S3620" s="174"/>
      <c r="T3620" s="173"/>
      <c r="U3620" s="182"/>
      <c r="V3620" s="177">
        <f>IF(U3620=0,0,IF(T3620="MXN",1/HLOOKUP(YEAR(S3620)+(MONTH(S3620)/100),TC!$5:$37,DAY(S3620)+2,FALSE),VLOOKUP(T3620,Equivalencia!$1:$23,((MAX(Equivalencia!$3:$3)-YEAR(S3620))*14)+MONTH(S3620)+2,FALSE)))</f>
        <v>0</v>
      </c>
      <c r="W3620" s="178">
        <f t="shared" si="288"/>
        <v>0</v>
      </c>
      <c r="X3620" s="481">
        <f t="shared" si="289"/>
        <v>0</v>
      </c>
      <c r="Y3620" s="179"/>
      <c r="Z3620" s="466">
        <f t="shared" si="290"/>
        <v>0</v>
      </c>
      <c r="AA3620" s="473">
        <f t="shared" si="291"/>
        <v>0</v>
      </c>
      <c r="AB3620" s="339">
        <f t="shared" si="292"/>
        <v>0</v>
      </c>
    </row>
    <row r="3621" spans="2:28" ht="20.100000000000001" customHeight="1">
      <c r="B3621" s="172"/>
      <c r="C3621" s="174"/>
      <c r="D3621" s="181"/>
      <c r="E3621" s="173"/>
      <c r="F3621" s="176"/>
      <c r="G3621" s="175">
        <f t="shared" si="283"/>
        <v>0</v>
      </c>
      <c r="H3621" s="175">
        <f t="shared" si="284"/>
        <v>0</v>
      </c>
      <c r="I3621" s="177">
        <f>IF(G3621=0,0,IF(E3621="MXN",1/HLOOKUP(YEAR(C3621)+(MONTH(C3621)/100),TC!$5:$37,DAY(C3621)+2,FALSE),VLOOKUP(E3621,Equivalencia!$5:$23,((MAX(Equivalencia!$3:$3)-YEAR(C3621))*14)+MONTH(C3621)+2,FALSE)))</f>
        <v>0</v>
      </c>
      <c r="J3621" s="178">
        <f t="shared" si="285"/>
        <v>0</v>
      </c>
      <c r="K3621" s="462">
        <f>IF(C3621=0,0,VLOOKUP(YEAR(C3621),INPC!$B$4:$O$29,MONTH(C3621)+1))</f>
        <v>0</v>
      </c>
      <c r="L3621" s="462">
        <f>IF(S3621=0,0,VLOOKUP(YEAR(S3621),INPC!$B$4:$O$29,MONTH(S3621)+1))</f>
        <v>0</v>
      </c>
      <c r="M3621" s="463">
        <f t="shared" si="286"/>
        <v>0</v>
      </c>
      <c r="N3621" s="465">
        <f t="shared" si="287"/>
        <v>0</v>
      </c>
      <c r="O3621" s="179"/>
      <c r="P3621" s="180"/>
      <c r="Q3621" s="173"/>
      <c r="R3621" s="173"/>
      <c r="S3621" s="174"/>
      <c r="T3621" s="173"/>
      <c r="U3621" s="182"/>
      <c r="V3621" s="177">
        <f>IF(U3621=0,0,IF(T3621="MXN",1/HLOOKUP(YEAR(S3621)+(MONTH(S3621)/100),TC!$5:$37,DAY(S3621)+2,FALSE),VLOOKUP(T3621,Equivalencia!$1:$23,((MAX(Equivalencia!$3:$3)-YEAR(S3621))*14)+MONTH(S3621)+2,FALSE)))</f>
        <v>0</v>
      </c>
      <c r="W3621" s="178">
        <f t="shared" si="288"/>
        <v>0</v>
      </c>
      <c r="X3621" s="481">
        <f t="shared" si="289"/>
        <v>0</v>
      </c>
      <c r="Y3621" s="179"/>
      <c r="Z3621" s="466">
        <f t="shared" si="290"/>
        <v>0</v>
      </c>
      <c r="AA3621" s="473">
        <f t="shared" si="291"/>
        <v>0</v>
      </c>
      <c r="AB3621" s="339">
        <f t="shared" si="292"/>
        <v>0</v>
      </c>
    </row>
    <row r="3622" spans="2:28" ht="20.100000000000001" customHeight="1">
      <c r="B3622" s="172"/>
      <c r="C3622" s="174"/>
      <c r="D3622" s="181"/>
      <c r="E3622" s="173"/>
      <c r="F3622" s="176"/>
      <c r="G3622" s="175">
        <f t="shared" si="283"/>
        <v>0</v>
      </c>
      <c r="H3622" s="175">
        <f t="shared" si="284"/>
        <v>0</v>
      </c>
      <c r="I3622" s="177">
        <f>IF(G3622=0,0,IF(E3622="MXN",1/HLOOKUP(YEAR(C3622)+(MONTH(C3622)/100),TC!$5:$37,DAY(C3622)+2,FALSE),VLOOKUP(E3622,Equivalencia!$5:$23,((MAX(Equivalencia!$3:$3)-YEAR(C3622))*14)+MONTH(C3622)+2,FALSE)))</f>
        <v>0</v>
      </c>
      <c r="J3622" s="178">
        <f t="shared" si="285"/>
        <v>0</v>
      </c>
      <c r="K3622" s="462">
        <f>IF(C3622=0,0,VLOOKUP(YEAR(C3622),INPC!$B$4:$O$29,MONTH(C3622)+1))</f>
        <v>0</v>
      </c>
      <c r="L3622" s="462">
        <f>IF(S3622=0,0,VLOOKUP(YEAR(S3622),INPC!$B$4:$O$29,MONTH(S3622)+1))</f>
        <v>0</v>
      </c>
      <c r="M3622" s="463">
        <f t="shared" si="286"/>
        <v>0</v>
      </c>
      <c r="N3622" s="465">
        <f t="shared" si="287"/>
        <v>0</v>
      </c>
      <c r="O3622" s="179"/>
      <c r="P3622" s="180"/>
      <c r="Q3622" s="173"/>
      <c r="R3622" s="173"/>
      <c r="S3622" s="174"/>
      <c r="T3622" s="173"/>
      <c r="U3622" s="182"/>
      <c r="V3622" s="177">
        <f>IF(U3622=0,0,IF(T3622="MXN",1/HLOOKUP(YEAR(S3622)+(MONTH(S3622)/100),TC!$5:$37,DAY(S3622)+2,FALSE),VLOOKUP(T3622,Equivalencia!$1:$23,((MAX(Equivalencia!$3:$3)-YEAR(S3622))*14)+MONTH(S3622)+2,FALSE)))</f>
        <v>0</v>
      </c>
      <c r="W3622" s="178">
        <f t="shared" si="288"/>
        <v>0</v>
      </c>
      <c r="X3622" s="481">
        <f t="shared" si="289"/>
        <v>0</v>
      </c>
      <c r="Y3622" s="179"/>
      <c r="Z3622" s="466">
        <f t="shared" si="290"/>
        <v>0</v>
      </c>
      <c r="AA3622" s="473">
        <f t="shared" si="291"/>
        <v>0</v>
      </c>
      <c r="AB3622" s="339">
        <f t="shared" si="292"/>
        <v>0</v>
      </c>
    </row>
    <row r="3623" spans="2:28" ht="20.100000000000001" customHeight="1">
      <c r="B3623" s="172"/>
      <c r="C3623" s="174"/>
      <c r="D3623" s="181"/>
      <c r="E3623" s="173"/>
      <c r="F3623" s="176"/>
      <c r="G3623" s="175">
        <f t="shared" si="283"/>
        <v>0</v>
      </c>
      <c r="H3623" s="175">
        <f t="shared" si="284"/>
        <v>0</v>
      </c>
      <c r="I3623" s="177">
        <f>IF(G3623=0,0,IF(E3623="MXN",1/HLOOKUP(YEAR(C3623)+(MONTH(C3623)/100),TC!$5:$37,DAY(C3623)+2,FALSE),VLOOKUP(E3623,Equivalencia!$5:$23,((MAX(Equivalencia!$3:$3)-YEAR(C3623))*14)+MONTH(C3623)+2,FALSE)))</f>
        <v>0</v>
      </c>
      <c r="J3623" s="178">
        <f t="shared" si="285"/>
        <v>0</v>
      </c>
      <c r="K3623" s="462">
        <f>IF(C3623=0,0,VLOOKUP(YEAR(C3623),INPC!$B$4:$O$29,MONTH(C3623)+1))</f>
        <v>0</v>
      </c>
      <c r="L3623" s="462">
        <f>IF(S3623=0,0,VLOOKUP(YEAR(S3623),INPC!$B$4:$O$29,MONTH(S3623)+1))</f>
        <v>0</v>
      </c>
      <c r="M3623" s="463">
        <f t="shared" si="286"/>
        <v>0</v>
      </c>
      <c r="N3623" s="465">
        <f t="shared" si="287"/>
        <v>0</v>
      </c>
      <c r="O3623" s="179"/>
      <c r="P3623" s="180"/>
      <c r="Q3623" s="173"/>
      <c r="R3623" s="173"/>
      <c r="S3623" s="174"/>
      <c r="T3623" s="173"/>
      <c r="U3623" s="182"/>
      <c r="V3623" s="177">
        <f>IF(U3623=0,0,IF(T3623="MXN",1/HLOOKUP(YEAR(S3623)+(MONTH(S3623)/100),TC!$5:$37,DAY(S3623)+2,FALSE),VLOOKUP(T3623,Equivalencia!$1:$23,((MAX(Equivalencia!$3:$3)-YEAR(S3623))*14)+MONTH(S3623)+2,FALSE)))</f>
        <v>0</v>
      </c>
      <c r="W3623" s="178">
        <f t="shared" si="288"/>
        <v>0</v>
      </c>
      <c r="X3623" s="481">
        <f t="shared" si="289"/>
        <v>0</v>
      </c>
      <c r="Y3623" s="179"/>
      <c r="Z3623" s="466">
        <f t="shared" si="290"/>
        <v>0</v>
      </c>
      <c r="AA3623" s="473">
        <f t="shared" si="291"/>
        <v>0</v>
      </c>
      <c r="AB3623" s="339">
        <f t="shared" si="292"/>
        <v>0</v>
      </c>
    </row>
    <row r="3624" spans="2:28" ht="20.100000000000001" customHeight="1">
      <c r="B3624" s="172"/>
      <c r="C3624" s="174"/>
      <c r="D3624" s="181"/>
      <c r="E3624" s="173"/>
      <c r="F3624" s="176"/>
      <c r="G3624" s="175">
        <f t="shared" si="283"/>
        <v>0</v>
      </c>
      <c r="H3624" s="175">
        <f t="shared" si="284"/>
        <v>0</v>
      </c>
      <c r="I3624" s="177">
        <f>IF(G3624=0,0,IF(E3624="MXN",1/HLOOKUP(YEAR(C3624)+(MONTH(C3624)/100),TC!$5:$37,DAY(C3624)+2,FALSE),VLOOKUP(E3624,Equivalencia!$5:$23,((MAX(Equivalencia!$3:$3)-YEAR(C3624))*14)+MONTH(C3624)+2,FALSE)))</f>
        <v>0</v>
      </c>
      <c r="J3624" s="178">
        <f t="shared" si="285"/>
        <v>0</v>
      </c>
      <c r="K3624" s="462">
        <f>IF(C3624=0,0,VLOOKUP(YEAR(C3624),INPC!$B$4:$O$29,MONTH(C3624)+1))</f>
        <v>0</v>
      </c>
      <c r="L3624" s="462">
        <f>IF(S3624=0,0,VLOOKUP(YEAR(S3624),INPC!$B$4:$O$29,MONTH(S3624)+1))</f>
        <v>0</v>
      </c>
      <c r="M3624" s="463">
        <f t="shared" si="286"/>
        <v>0</v>
      </c>
      <c r="N3624" s="465">
        <f t="shared" si="287"/>
        <v>0</v>
      </c>
      <c r="O3624" s="179"/>
      <c r="P3624" s="180"/>
      <c r="Q3624" s="173"/>
      <c r="R3624" s="173"/>
      <c r="S3624" s="174"/>
      <c r="T3624" s="173"/>
      <c r="U3624" s="182"/>
      <c r="V3624" s="177">
        <f>IF(U3624=0,0,IF(T3624="MXN",1/HLOOKUP(YEAR(S3624)+(MONTH(S3624)/100),TC!$5:$37,DAY(S3624)+2,FALSE),VLOOKUP(T3624,Equivalencia!$1:$23,((MAX(Equivalencia!$3:$3)-YEAR(S3624))*14)+MONTH(S3624)+2,FALSE)))</f>
        <v>0</v>
      </c>
      <c r="W3624" s="178">
        <f t="shared" si="288"/>
        <v>0</v>
      </c>
      <c r="X3624" s="481">
        <f t="shared" si="289"/>
        <v>0</v>
      </c>
      <c r="Y3624" s="179"/>
      <c r="Z3624" s="466">
        <f t="shared" si="290"/>
        <v>0</v>
      </c>
      <c r="AA3624" s="473">
        <f t="shared" si="291"/>
        <v>0</v>
      </c>
      <c r="AB3624" s="339">
        <f t="shared" si="292"/>
        <v>0</v>
      </c>
    </row>
    <row r="3625" spans="2:28" ht="20.100000000000001" customHeight="1">
      <c r="B3625" s="172"/>
      <c r="C3625" s="174"/>
      <c r="D3625" s="181"/>
      <c r="E3625" s="173"/>
      <c r="F3625" s="176"/>
      <c r="G3625" s="175">
        <f t="shared" si="283"/>
        <v>0</v>
      </c>
      <c r="H3625" s="175">
        <f t="shared" si="284"/>
        <v>0</v>
      </c>
      <c r="I3625" s="177">
        <f>IF(G3625=0,0,IF(E3625="MXN",1/HLOOKUP(YEAR(C3625)+(MONTH(C3625)/100),TC!$5:$37,DAY(C3625)+2,FALSE),VLOOKUP(E3625,Equivalencia!$5:$23,((MAX(Equivalencia!$3:$3)-YEAR(C3625))*14)+MONTH(C3625)+2,FALSE)))</f>
        <v>0</v>
      </c>
      <c r="J3625" s="178">
        <f t="shared" si="285"/>
        <v>0</v>
      </c>
      <c r="K3625" s="462">
        <f>IF(C3625=0,0,VLOOKUP(YEAR(C3625),INPC!$B$4:$O$29,MONTH(C3625)+1))</f>
        <v>0</v>
      </c>
      <c r="L3625" s="462">
        <f>IF(S3625=0,0,VLOOKUP(YEAR(S3625),INPC!$B$4:$O$29,MONTH(S3625)+1))</f>
        <v>0</v>
      </c>
      <c r="M3625" s="463">
        <f t="shared" si="286"/>
        <v>0</v>
      </c>
      <c r="N3625" s="465">
        <f t="shared" si="287"/>
        <v>0</v>
      </c>
      <c r="O3625" s="179"/>
      <c r="P3625" s="180"/>
      <c r="Q3625" s="173"/>
      <c r="R3625" s="173"/>
      <c r="S3625" s="174"/>
      <c r="T3625" s="173"/>
      <c r="U3625" s="182"/>
      <c r="V3625" s="177">
        <f>IF(U3625=0,0,IF(T3625="MXN",1/HLOOKUP(YEAR(S3625)+(MONTH(S3625)/100),TC!$5:$37,DAY(S3625)+2,FALSE),VLOOKUP(T3625,Equivalencia!$1:$23,((MAX(Equivalencia!$3:$3)-YEAR(S3625))*14)+MONTH(S3625)+2,FALSE)))</f>
        <v>0</v>
      </c>
      <c r="W3625" s="178">
        <f t="shared" si="288"/>
        <v>0</v>
      </c>
      <c r="X3625" s="481">
        <f t="shared" si="289"/>
        <v>0</v>
      </c>
      <c r="Y3625" s="179"/>
      <c r="Z3625" s="466">
        <f t="shared" si="290"/>
        <v>0</v>
      </c>
      <c r="AA3625" s="473">
        <f t="shared" si="291"/>
        <v>0</v>
      </c>
      <c r="AB3625" s="339">
        <f t="shared" si="292"/>
        <v>0</v>
      </c>
    </row>
    <row r="3626" spans="2:28" ht="20.100000000000001" customHeight="1">
      <c r="B3626" s="172"/>
      <c r="C3626" s="174"/>
      <c r="D3626" s="181"/>
      <c r="E3626" s="173"/>
      <c r="F3626" s="176"/>
      <c r="G3626" s="175">
        <f t="shared" si="283"/>
        <v>0</v>
      </c>
      <c r="H3626" s="175">
        <f t="shared" si="284"/>
        <v>0</v>
      </c>
      <c r="I3626" s="177">
        <f>IF(G3626=0,0,IF(E3626="MXN",1/HLOOKUP(YEAR(C3626)+(MONTH(C3626)/100),TC!$5:$37,DAY(C3626)+2,FALSE),VLOOKUP(E3626,Equivalencia!$5:$23,((MAX(Equivalencia!$3:$3)-YEAR(C3626))*14)+MONTH(C3626)+2,FALSE)))</f>
        <v>0</v>
      </c>
      <c r="J3626" s="178">
        <f t="shared" si="285"/>
        <v>0</v>
      </c>
      <c r="K3626" s="462">
        <f>IF(C3626=0,0,VLOOKUP(YEAR(C3626),INPC!$B$4:$O$29,MONTH(C3626)+1))</f>
        <v>0</v>
      </c>
      <c r="L3626" s="462">
        <f>IF(S3626=0,0,VLOOKUP(YEAR(S3626),INPC!$B$4:$O$29,MONTH(S3626)+1))</f>
        <v>0</v>
      </c>
      <c r="M3626" s="463">
        <f t="shared" si="286"/>
        <v>0</v>
      </c>
      <c r="N3626" s="465">
        <f t="shared" si="287"/>
        <v>0</v>
      </c>
      <c r="O3626" s="179"/>
      <c r="P3626" s="180"/>
      <c r="Q3626" s="173"/>
      <c r="R3626" s="173"/>
      <c r="S3626" s="174"/>
      <c r="T3626" s="173"/>
      <c r="U3626" s="182"/>
      <c r="V3626" s="177">
        <f>IF(U3626=0,0,IF(T3626="MXN",1/HLOOKUP(YEAR(S3626)+(MONTH(S3626)/100),TC!$5:$37,DAY(S3626)+2,FALSE),VLOOKUP(T3626,Equivalencia!$1:$23,((MAX(Equivalencia!$3:$3)-YEAR(S3626))*14)+MONTH(S3626)+2,FALSE)))</f>
        <v>0</v>
      </c>
      <c r="W3626" s="178">
        <f t="shared" si="288"/>
        <v>0</v>
      </c>
      <c r="X3626" s="481">
        <f t="shared" si="289"/>
        <v>0</v>
      </c>
      <c r="Y3626" s="179"/>
      <c r="Z3626" s="466">
        <f t="shared" si="290"/>
        <v>0</v>
      </c>
      <c r="AA3626" s="473">
        <f t="shared" si="291"/>
        <v>0</v>
      </c>
      <c r="AB3626" s="339">
        <f t="shared" si="292"/>
        <v>0</v>
      </c>
    </row>
    <row r="3627" spans="2:28" ht="20.100000000000001" customHeight="1">
      <c r="B3627" s="172"/>
      <c r="C3627" s="174"/>
      <c r="D3627" s="181"/>
      <c r="E3627" s="173"/>
      <c r="F3627" s="176"/>
      <c r="G3627" s="175">
        <f t="shared" si="283"/>
        <v>0</v>
      </c>
      <c r="H3627" s="175">
        <f t="shared" si="284"/>
        <v>0</v>
      </c>
      <c r="I3627" s="177">
        <f>IF(G3627=0,0,IF(E3627="MXN",1/HLOOKUP(YEAR(C3627)+(MONTH(C3627)/100),TC!$5:$37,DAY(C3627)+2,FALSE),VLOOKUP(E3627,Equivalencia!$5:$23,((MAX(Equivalencia!$3:$3)-YEAR(C3627))*14)+MONTH(C3627)+2,FALSE)))</f>
        <v>0</v>
      </c>
      <c r="J3627" s="178">
        <f t="shared" si="285"/>
        <v>0</v>
      </c>
      <c r="K3627" s="462">
        <f>IF(C3627=0,0,VLOOKUP(YEAR(C3627),INPC!$B$4:$O$29,MONTH(C3627)+1))</f>
        <v>0</v>
      </c>
      <c r="L3627" s="462">
        <f>IF(S3627=0,0,VLOOKUP(YEAR(S3627),INPC!$B$4:$O$29,MONTH(S3627)+1))</f>
        <v>0</v>
      </c>
      <c r="M3627" s="463">
        <f t="shared" si="286"/>
        <v>0</v>
      </c>
      <c r="N3627" s="465">
        <f t="shared" si="287"/>
        <v>0</v>
      </c>
      <c r="O3627" s="179"/>
      <c r="P3627" s="180"/>
      <c r="Q3627" s="173"/>
      <c r="R3627" s="173"/>
      <c r="S3627" s="174"/>
      <c r="T3627" s="173"/>
      <c r="U3627" s="182"/>
      <c r="V3627" s="177">
        <f>IF(U3627=0,0,IF(T3627="MXN",1/HLOOKUP(YEAR(S3627)+(MONTH(S3627)/100),TC!$5:$37,DAY(S3627)+2,FALSE),VLOOKUP(T3627,Equivalencia!$1:$23,((MAX(Equivalencia!$3:$3)-YEAR(S3627))*14)+MONTH(S3627)+2,FALSE)))</f>
        <v>0</v>
      </c>
      <c r="W3627" s="178">
        <f t="shared" si="288"/>
        <v>0</v>
      </c>
      <c r="X3627" s="481">
        <f t="shared" si="289"/>
        <v>0</v>
      </c>
      <c r="Y3627" s="179"/>
      <c r="Z3627" s="466">
        <f t="shared" si="290"/>
        <v>0</v>
      </c>
      <c r="AA3627" s="473">
        <f t="shared" si="291"/>
        <v>0</v>
      </c>
      <c r="AB3627" s="339">
        <f t="shared" si="292"/>
        <v>0</v>
      </c>
    </row>
    <row r="3628" spans="2:28" ht="20.100000000000001" customHeight="1">
      <c r="B3628" s="172"/>
      <c r="C3628" s="174"/>
      <c r="D3628" s="181"/>
      <c r="E3628" s="173"/>
      <c r="F3628" s="176"/>
      <c r="G3628" s="175">
        <f t="shared" si="283"/>
        <v>0</v>
      </c>
      <c r="H3628" s="175">
        <f t="shared" si="284"/>
        <v>0</v>
      </c>
      <c r="I3628" s="177">
        <f>IF(G3628=0,0,IF(E3628="MXN",1/HLOOKUP(YEAR(C3628)+(MONTH(C3628)/100),TC!$5:$37,DAY(C3628)+2,FALSE),VLOOKUP(E3628,Equivalencia!$5:$23,((MAX(Equivalencia!$3:$3)-YEAR(C3628))*14)+MONTH(C3628)+2,FALSE)))</f>
        <v>0</v>
      </c>
      <c r="J3628" s="178">
        <f t="shared" si="285"/>
        <v>0</v>
      </c>
      <c r="K3628" s="462">
        <f>IF(C3628=0,0,VLOOKUP(YEAR(C3628),INPC!$B$4:$O$29,MONTH(C3628)+1))</f>
        <v>0</v>
      </c>
      <c r="L3628" s="462">
        <f>IF(S3628=0,0,VLOOKUP(YEAR(S3628),INPC!$B$4:$O$29,MONTH(S3628)+1))</f>
        <v>0</v>
      </c>
      <c r="M3628" s="463">
        <f t="shared" si="286"/>
        <v>0</v>
      </c>
      <c r="N3628" s="465">
        <f t="shared" si="287"/>
        <v>0</v>
      </c>
      <c r="O3628" s="179"/>
      <c r="P3628" s="180"/>
      <c r="Q3628" s="173"/>
      <c r="R3628" s="173"/>
      <c r="S3628" s="174"/>
      <c r="T3628" s="173"/>
      <c r="U3628" s="182"/>
      <c r="V3628" s="177">
        <f>IF(U3628=0,0,IF(T3628="MXN",1/HLOOKUP(YEAR(S3628)+(MONTH(S3628)/100),TC!$5:$37,DAY(S3628)+2,FALSE),VLOOKUP(T3628,Equivalencia!$1:$23,((MAX(Equivalencia!$3:$3)-YEAR(S3628))*14)+MONTH(S3628)+2,FALSE)))</f>
        <v>0</v>
      </c>
      <c r="W3628" s="178">
        <f t="shared" si="288"/>
        <v>0</v>
      </c>
      <c r="X3628" s="481">
        <f t="shared" si="289"/>
        <v>0</v>
      </c>
      <c r="Y3628" s="179"/>
      <c r="Z3628" s="466">
        <f t="shared" si="290"/>
        <v>0</v>
      </c>
      <c r="AA3628" s="473">
        <f t="shared" si="291"/>
        <v>0</v>
      </c>
      <c r="AB3628" s="339">
        <f t="shared" si="292"/>
        <v>0</v>
      </c>
    </row>
    <row r="3629" spans="2:28" ht="20.100000000000001" customHeight="1">
      <c r="B3629" s="172"/>
      <c r="C3629" s="174"/>
      <c r="D3629" s="181"/>
      <c r="E3629" s="173"/>
      <c r="F3629" s="176"/>
      <c r="G3629" s="175">
        <f t="shared" si="283"/>
        <v>0</v>
      </c>
      <c r="H3629" s="175">
        <f t="shared" si="284"/>
        <v>0</v>
      </c>
      <c r="I3629" s="177">
        <f>IF(G3629=0,0,IF(E3629="MXN",1/HLOOKUP(YEAR(C3629)+(MONTH(C3629)/100),TC!$5:$37,DAY(C3629)+2,FALSE),VLOOKUP(E3629,Equivalencia!$5:$23,((MAX(Equivalencia!$3:$3)-YEAR(C3629))*14)+MONTH(C3629)+2,FALSE)))</f>
        <v>0</v>
      </c>
      <c r="J3629" s="178">
        <f t="shared" si="285"/>
        <v>0</v>
      </c>
      <c r="K3629" s="462">
        <f>IF(C3629=0,0,VLOOKUP(YEAR(C3629),INPC!$B$4:$O$29,MONTH(C3629)+1))</f>
        <v>0</v>
      </c>
      <c r="L3629" s="462">
        <f>IF(S3629=0,0,VLOOKUP(YEAR(S3629),INPC!$B$4:$O$29,MONTH(S3629)+1))</f>
        <v>0</v>
      </c>
      <c r="M3629" s="463">
        <f t="shared" si="286"/>
        <v>0</v>
      </c>
      <c r="N3629" s="465">
        <f t="shared" si="287"/>
        <v>0</v>
      </c>
      <c r="O3629" s="179"/>
      <c r="P3629" s="180"/>
      <c r="Q3629" s="173"/>
      <c r="R3629" s="173"/>
      <c r="S3629" s="174"/>
      <c r="T3629" s="173"/>
      <c r="U3629" s="182"/>
      <c r="V3629" s="177">
        <f>IF(U3629=0,0,IF(T3629="MXN",1/HLOOKUP(YEAR(S3629)+(MONTH(S3629)/100),TC!$5:$37,DAY(S3629)+2,FALSE),VLOOKUP(T3629,Equivalencia!$1:$23,((MAX(Equivalencia!$3:$3)-YEAR(S3629))*14)+MONTH(S3629)+2,FALSE)))</f>
        <v>0</v>
      </c>
      <c r="W3629" s="178">
        <f t="shared" si="288"/>
        <v>0</v>
      </c>
      <c r="X3629" s="481">
        <f t="shared" si="289"/>
        <v>0</v>
      </c>
      <c r="Y3629" s="179"/>
      <c r="Z3629" s="466">
        <f t="shared" si="290"/>
        <v>0</v>
      </c>
      <c r="AA3629" s="473">
        <f t="shared" si="291"/>
        <v>0</v>
      </c>
      <c r="AB3629" s="339">
        <f t="shared" si="292"/>
        <v>0</v>
      </c>
    </row>
    <row r="3630" spans="2:28" ht="20.100000000000001" customHeight="1">
      <c r="B3630" s="172"/>
      <c r="C3630" s="174"/>
      <c r="D3630" s="181"/>
      <c r="E3630" s="173"/>
      <c r="F3630" s="176"/>
      <c r="G3630" s="175">
        <f t="shared" si="283"/>
        <v>0</v>
      </c>
      <c r="H3630" s="175">
        <f t="shared" si="284"/>
        <v>0</v>
      </c>
      <c r="I3630" s="177">
        <f>IF(G3630=0,0,IF(E3630="MXN",1/HLOOKUP(YEAR(C3630)+(MONTH(C3630)/100),TC!$5:$37,DAY(C3630)+2,FALSE),VLOOKUP(E3630,Equivalencia!$5:$23,((MAX(Equivalencia!$3:$3)-YEAR(C3630))*14)+MONTH(C3630)+2,FALSE)))</f>
        <v>0</v>
      </c>
      <c r="J3630" s="178">
        <f t="shared" si="285"/>
        <v>0</v>
      </c>
      <c r="K3630" s="462">
        <f>IF(C3630=0,0,VLOOKUP(YEAR(C3630),INPC!$B$4:$O$29,MONTH(C3630)+1))</f>
        <v>0</v>
      </c>
      <c r="L3630" s="462">
        <f>IF(S3630=0,0,VLOOKUP(YEAR(S3630),INPC!$B$4:$O$29,MONTH(S3630)+1))</f>
        <v>0</v>
      </c>
      <c r="M3630" s="463">
        <f t="shared" si="286"/>
        <v>0</v>
      </c>
      <c r="N3630" s="465">
        <f t="shared" si="287"/>
        <v>0</v>
      </c>
      <c r="O3630" s="179"/>
      <c r="P3630" s="180"/>
      <c r="Q3630" s="173"/>
      <c r="R3630" s="173"/>
      <c r="S3630" s="174"/>
      <c r="T3630" s="173"/>
      <c r="U3630" s="182"/>
      <c r="V3630" s="177">
        <f>IF(U3630=0,0,IF(T3630="MXN",1/HLOOKUP(YEAR(S3630)+(MONTH(S3630)/100),TC!$5:$37,DAY(S3630)+2,FALSE),VLOOKUP(T3630,Equivalencia!$1:$23,((MAX(Equivalencia!$3:$3)-YEAR(S3630))*14)+MONTH(S3630)+2,FALSE)))</f>
        <v>0</v>
      </c>
      <c r="W3630" s="178">
        <f t="shared" si="288"/>
        <v>0</v>
      </c>
      <c r="X3630" s="481">
        <f t="shared" si="289"/>
        <v>0</v>
      </c>
      <c r="Y3630" s="179"/>
      <c r="Z3630" s="466">
        <f t="shared" si="290"/>
        <v>0</v>
      </c>
      <c r="AA3630" s="473">
        <f t="shared" si="291"/>
        <v>0</v>
      </c>
      <c r="AB3630" s="339">
        <f t="shared" si="292"/>
        <v>0</v>
      </c>
    </row>
    <row r="3631" spans="2:28" ht="20.100000000000001" customHeight="1">
      <c r="B3631" s="172"/>
      <c r="C3631" s="174"/>
      <c r="D3631" s="181"/>
      <c r="E3631" s="173"/>
      <c r="F3631" s="176"/>
      <c r="G3631" s="175">
        <f t="shared" si="283"/>
        <v>0</v>
      </c>
      <c r="H3631" s="175">
        <f t="shared" si="284"/>
        <v>0</v>
      </c>
      <c r="I3631" s="177">
        <f>IF(G3631=0,0,IF(E3631="MXN",1/HLOOKUP(YEAR(C3631)+(MONTH(C3631)/100),TC!$5:$37,DAY(C3631)+2,FALSE),VLOOKUP(E3631,Equivalencia!$5:$23,((MAX(Equivalencia!$3:$3)-YEAR(C3631))*14)+MONTH(C3631)+2,FALSE)))</f>
        <v>0</v>
      </c>
      <c r="J3631" s="178">
        <f t="shared" si="285"/>
        <v>0</v>
      </c>
      <c r="K3631" s="462">
        <f>IF(C3631=0,0,VLOOKUP(YEAR(C3631),INPC!$B$4:$O$29,MONTH(C3631)+1))</f>
        <v>0</v>
      </c>
      <c r="L3631" s="462">
        <f>IF(S3631=0,0,VLOOKUP(YEAR(S3631),INPC!$B$4:$O$29,MONTH(S3631)+1))</f>
        <v>0</v>
      </c>
      <c r="M3631" s="463">
        <f t="shared" si="286"/>
        <v>0</v>
      </c>
      <c r="N3631" s="465">
        <f t="shared" si="287"/>
        <v>0</v>
      </c>
      <c r="O3631" s="179"/>
      <c r="P3631" s="180"/>
      <c r="Q3631" s="173"/>
      <c r="R3631" s="173"/>
      <c r="S3631" s="174"/>
      <c r="T3631" s="173"/>
      <c r="U3631" s="182"/>
      <c r="V3631" s="177">
        <f>IF(U3631=0,0,IF(T3631="MXN",1/HLOOKUP(YEAR(S3631)+(MONTH(S3631)/100),TC!$5:$37,DAY(S3631)+2,FALSE),VLOOKUP(T3631,Equivalencia!$1:$23,((MAX(Equivalencia!$3:$3)-YEAR(S3631))*14)+MONTH(S3631)+2,FALSE)))</f>
        <v>0</v>
      </c>
      <c r="W3631" s="178">
        <f t="shared" si="288"/>
        <v>0</v>
      </c>
      <c r="X3631" s="481">
        <f t="shared" si="289"/>
        <v>0</v>
      </c>
      <c r="Y3631" s="179"/>
      <c r="Z3631" s="466">
        <f t="shared" si="290"/>
        <v>0</v>
      </c>
      <c r="AA3631" s="473">
        <f t="shared" si="291"/>
        <v>0</v>
      </c>
      <c r="AB3631" s="339">
        <f t="shared" si="292"/>
        <v>0</v>
      </c>
    </row>
    <row r="3632" spans="2:28" ht="20.100000000000001" customHeight="1">
      <c r="B3632" s="172"/>
      <c r="C3632" s="174"/>
      <c r="D3632" s="181"/>
      <c r="E3632" s="173"/>
      <c r="F3632" s="176"/>
      <c r="G3632" s="175">
        <f t="shared" si="283"/>
        <v>0</v>
      </c>
      <c r="H3632" s="175">
        <f t="shared" si="284"/>
        <v>0</v>
      </c>
      <c r="I3632" s="177">
        <f>IF(G3632=0,0,IF(E3632="MXN",1/HLOOKUP(YEAR(C3632)+(MONTH(C3632)/100),TC!$5:$37,DAY(C3632)+2,FALSE),VLOOKUP(E3632,Equivalencia!$5:$23,((MAX(Equivalencia!$3:$3)-YEAR(C3632))*14)+MONTH(C3632)+2,FALSE)))</f>
        <v>0</v>
      </c>
      <c r="J3632" s="178">
        <f t="shared" si="285"/>
        <v>0</v>
      </c>
      <c r="K3632" s="462">
        <f>IF(C3632=0,0,VLOOKUP(YEAR(C3632),INPC!$B$4:$O$29,MONTH(C3632)+1))</f>
        <v>0</v>
      </c>
      <c r="L3632" s="462">
        <f>IF(S3632=0,0,VLOOKUP(YEAR(S3632),INPC!$B$4:$O$29,MONTH(S3632)+1))</f>
        <v>0</v>
      </c>
      <c r="M3632" s="463">
        <f t="shared" si="286"/>
        <v>0</v>
      </c>
      <c r="N3632" s="465">
        <f t="shared" si="287"/>
        <v>0</v>
      </c>
      <c r="O3632" s="179"/>
      <c r="P3632" s="180"/>
      <c r="Q3632" s="173"/>
      <c r="R3632" s="173"/>
      <c r="S3632" s="174"/>
      <c r="T3632" s="173"/>
      <c r="U3632" s="182"/>
      <c r="V3632" s="177">
        <f>IF(U3632=0,0,IF(T3632="MXN",1/HLOOKUP(YEAR(S3632)+(MONTH(S3632)/100),TC!$5:$37,DAY(S3632)+2,FALSE),VLOOKUP(T3632,Equivalencia!$1:$23,((MAX(Equivalencia!$3:$3)-YEAR(S3632))*14)+MONTH(S3632)+2,FALSE)))</f>
        <v>0</v>
      </c>
      <c r="W3632" s="178">
        <f t="shared" si="288"/>
        <v>0</v>
      </c>
      <c r="X3632" s="481">
        <f t="shared" si="289"/>
        <v>0</v>
      </c>
      <c r="Y3632" s="179"/>
      <c r="Z3632" s="466">
        <f t="shared" si="290"/>
        <v>0</v>
      </c>
      <c r="AA3632" s="473">
        <f t="shared" si="291"/>
        <v>0</v>
      </c>
      <c r="AB3632" s="339">
        <f t="shared" si="292"/>
        <v>0</v>
      </c>
    </row>
    <row r="3633" spans="2:28" ht="20.100000000000001" customHeight="1">
      <c r="B3633" s="172"/>
      <c r="C3633" s="174"/>
      <c r="D3633" s="181"/>
      <c r="E3633" s="173"/>
      <c r="F3633" s="176"/>
      <c r="G3633" s="175">
        <f t="shared" si="283"/>
        <v>0</v>
      </c>
      <c r="H3633" s="175">
        <f t="shared" si="284"/>
        <v>0</v>
      </c>
      <c r="I3633" s="177">
        <f>IF(G3633=0,0,IF(E3633="MXN",1/HLOOKUP(YEAR(C3633)+(MONTH(C3633)/100),TC!$5:$37,DAY(C3633)+2,FALSE),VLOOKUP(E3633,Equivalencia!$5:$23,((MAX(Equivalencia!$3:$3)-YEAR(C3633))*14)+MONTH(C3633)+2,FALSE)))</f>
        <v>0</v>
      </c>
      <c r="J3633" s="178">
        <f t="shared" si="285"/>
        <v>0</v>
      </c>
      <c r="K3633" s="462">
        <f>IF(C3633=0,0,VLOOKUP(YEAR(C3633),INPC!$B$4:$O$29,MONTH(C3633)+1))</f>
        <v>0</v>
      </c>
      <c r="L3633" s="462">
        <f>IF(S3633=0,0,VLOOKUP(YEAR(S3633),INPC!$B$4:$O$29,MONTH(S3633)+1))</f>
        <v>0</v>
      </c>
      <c r="M3633" s="463">
        <f t="shared" si="286"/>
        <v>0</v>
      </c>
      <c r="N3633" s="465">
        <f t="shared" si="287"/>
        <v>0</v>
      </c>
      <c r="O3633" s="179"/>
      <c r="P3633" s="180"/>
      <c r="Q3633" s="173"/>
      <c r="R3633" s="173"/>
      <c r="S3633" s="174"/>
      <c r="T3633" s="173"/>
      <c r="U3633" s="182"/>
      <c r="V3633" s="177">
        <f>IF(U3633=0,0,IF(T3633="MXN",1/HLOOKUP(YEAR(S3633)+(MONTH(S3633)/100),TC!$5:$37,DAY(S3633)+2,FALSE),VLOOKUP(T3633,Equivalencia!$1:$23,((MAX(Equivalencia!$3:$3)-YEAR(S3633))*14)+MONTH(S3633)+2,FALSE)))</f>
        <v>0</v>
      </c>
      <c r="W3633" s="178">
        <f t="shared" si="288"/>
        <v>0</v>
      </c>
      <c r="X3633" s="481">
        <f t="shared" si="289"/>
        <v>0</v>
      </c>
      <c r="Y3633" s="179"/>
      <c r="Z3633" s="466">
        <f t="shared" si="290"/>
        <v>0</v>
      </c>
      <c r="AA3633" s="473">
        <f t="shared" si="291"/>
        <v>0</v>
      </c>
      <c r="AB3633" s="339">
        <f t="shared" si="292"/>
        <v>0</v>
      </c>
    </row>
    <row r="3634" spans="2:28" ht="20.100000000000001" customHeight="1">
      <c r="B3634" s="172"/>
      <c r="C3634" s="174"/>
      <c r="D3634" s="181"/>
      <c r="E3634" s="173"/>
      <c r="F3634" s="176"/>
      <c r="G3634" s="175">
        <f t="shared" si="283"/>
        <v>0</v>
      </c>
      <c r="H3634" s="175">
        <f t="shared" si="284"/>
        <v>0</v>
      </c>
      <c r="I3634" s="177">
        <f>IF(G3634=0,0,IF(E3634="MXN",1/HLOOKUP(YEAR(C3634)+(MONTH(C3634)/100),TC!$5:$37,DAY(C3634)+2,FALSE),VLOOKUP(E3634,Equivalencia!$5:$23,((MAX(Equivalencia!$3:$3)-YEAR(C3634))*14)+MONTH(C3634)+2,FALSE)))</f>
        <v>0</v>
      </c>
      <c r="J3634" s="178">
        <f t="shared" si="285"/>
        <v>0</v>
      </c>
      <c r="K3634" s="462">
        <f>IF(C3634=0,0,VLOOKUP(YEAR(C3634),INPC!$B$4:$O$29,MONTH(C3634)+1))</f>
        <v>0</v>
      </c>
      <c r="L3634" s="462">
        <f>IF(S3634=0,0,VLOOKUP(YEAR(S3634),INPC!$B$4:$O$29,MONTH(S3634)+1))</f>
        <v>0</v>
      </c>
      <c r="M3634" s="463">
        <f t="shared" si="286"/>
        <v>0</v>
      </c>
      <c r="N3634" s="465">
        <f t="shared" si="287"/>
        <v>0</v>
      </c>
      <c r="O3634" s="179"/>
      <c r="P3634" s="180"/>
      <c r="Q3634" s="173"/>
      <c r="R3634" s="173"/>
      <c r="S3634" s="174"/>
      <c r="T3634" s="173"/>
      <c r="U3634" s="182"/>
      <c r="V3634" s="177">
        <f>IF(U3634=0,0,IF(T3634="MXN",1/HLOOKUP(YEAR(S3634)+(MONTH(S3634)/100),TC!$5:$37,DAY(S3634)+2,FALSE),VLOOKUP(T3634,Equivalencia!$1:$23,((MAX(Equivalencia!$3:$3)-YEAR(S3634))*14)+MONTH(S3634)+2,FALSE)))</f>
        <v>0</v>
      </c>
      <c r="W3634" s="178">
        <f t="shared" si="288"/>
        <v>0</v>
      </c>
      <c r="X3634" s="481">
        <f t="shared" si="289"/>
        <v>0</v>
      </c>
      <c r="Y3634" s="179"/>
      <c r="Z3634" s="466">
        <f t="shared" si="290"/>
        <v>0</v>
      </c>
      <c r="AA3634" s="473">
        <f t="shared" si="291"/>
        <v>0</v>
      </c>
      <c r="AB3634" s="339">
        <f t="shared" si="292"/>
        <v>0</v>
      </c>
    </row>
    <row r="3635" spans="2:28" ht="20.100000000000001" customHeight="1">
      <c r="B3635" s="172"/>
      <c r="C3635" s="174"/>
      <c r="D3635" s="181"/>
      <c r="E3635" s="173"/>
      <c r="F3635" s="176"/>
      <c r="G3635" s="175">
        <f t="shared" si="283"/>
        <v>0</v>
      </c>
      <c r="H3635" s="175">
        <f t="shared" si="284"/>
        <v>0</v>
      </c>
      <c r="I3635" s="177">
        <f>IF(G3635=0,0,IF(E3635="MXN",1/HLOOKUP(YEAR(C3635)+(MONTH(C3635)/100),TC!$5:$37,DAY(C3635)+2,FALSE),VLOOKUP(E3635,Equivalencia!$5:$23,((MAX(Equivalencia!$3:$3)-YEAR(C3635))*14)+MONTH(C3635)+2,FALSE)))</f>
        <v>0</v>
      </c>
      <c r="J3635" s="178">
        <f t="shared" si="285"/>
        <v>0</v>
      </c>
      <c r="K3635" s="462">
        <f>IF(C3635=0,0,VLOOKUP(YEAR(C3635),INPC!$B$4:$O$29,MONTH(C3635)+1))</f>
        <v>0</v>
      </c>
      <c r="L3635" s="462">
        <f>IF(S3635=0,0,VLOOKUP(YEAR(S3635),INPC!$B$4:$O$29,MONTH(S3635)+1))</f>
        <v>0</v>
      </c>
      <c r="M3635" s="463">
        <f t="shared" si="286"/>
        <v>0</v>
      </c>
      <c r="N3635" s="465">
        <f t="shared" si="287"/>
        <v>0</v>
      </c>
      <c r="O3635" s="179"/>
      <c r="P3635" s="180"/>
      <c r="Q3635" s="173"/>
      <c r="R3635" s="173"/>
      <c r="S3635" s="174"/>
      <c r="T3635" s="173"/>
      <c r="U3635" s="182"/>
      <c r="V3635" s="177">
        <f>IF(U3635=0,0,IF(T3635="MXN",1/HLOOKUP(YEAR(S3635)+(MONTH(S3635)/100),TC!$5:$37,DAY(S3635)+2,FALSE),VLOOKUP(T3635,Equivalencia!$1:$23,((MAX(Equivalencia!$3:$3)-YEAR(S3635))*14)+MONTH(S3635)+2,FALSE)))</f>
        <v>0</v>
      </c>
      <c r="W3635" s="178">
        <f t="shared" si="288"/>
        <v>0</v>
      </c>
      <c r="X3635" s="481">
        <f t="shared" si="289"/>
        <v>0</v>
      </c>
      <c r="Y3635" s="179"/>
      <c r="Z3635" s="466">
        <f t="shared" si="290"/>
        <v>0</v>
      </c>
      <c r="AA3635" s="473">
        <f t="shared" si="291"/>
        <v>0</v>
      </c>
      <c r="AB3635" s="339">
        <f t="shared" si="292"/>
        <v>0</v>
      </c>
    </row>
    <row r="3636" spans="2:28" ht="20.100000000000001" customHeight="1">
      <c r="B3636" s="172"/>
      <c r="C3636" s="174"/>
      <c r="D3636" s="181"/>
      <c r="E3636" s="173"/>
      <c r="F3636" s="176"/>
      <c r="G3636" s="175">
        <f t="shared" si="283"/>
        <v>0</v>
      </c>
      <c r="H3636" s="175">
        <f t="shared" si="284"/>
        <v>0</v>
      </c>
      <c r="I3636" s="177">
        <f>IF(G3636=0,0,IF(E3636="MXN",1/HLOOKUP(YEAR(C3636)+(MONTH(C3636)/100),TC!$5:$37,DAY(C3636)+2,FALSE),VLOOKUP(E3636,Equivalencia!$5:$23,((MAX(Equivalencia!$3:$3)-YEAR(C3636))*14)+MONTH(C3636)+2,FALSE)))</f>
        <v>0</v>
      </c>
      <c r="J3636" s="178">
        <f t="shared" si="285"/>
        <v>0</v>
      </c>
      <c r="K3636" s="462">
        <f>IF(C3636=0,0,VLOOKUP(YEAR(C3636),INPC!$B$4:$O$29,MONTH(C3636)+1))</f>
        <v>0</v>
      </c>
      <c r="L3636" s="462">
        <f>IF(S3636=0,0,VLOOKUP(YEAR(S3636),INPC!$B$4:$O$29,MONTH(S3636)+1))</f>
        <v>0</v>
      </c>
      <c r="M3636" s="463">
        <f t="shared" si="286"/>
        <v>0</v>
      </c>
      <c r="N3636" s="465">
        <f t="shared" si="287"/>
        <v>0</v>
      </c>
      <c r="O3636" s="179"/>
      <c r="P3636" s="180"/>
      <c r="Q3636" s="173"/>
      <c r="R3636" s="173"/>
      <c r="S3636" s="174"/>
      <c r="T3636" s="173"/>
      <c r="U3636" s="182"/>
      <c r="V3636" s="177">
        <f>IF(U3636=0,0,IF(T3636="MXN",1/HLOOKUP(YEAR(S3636)+(MONTH(S3636)/100),TC!$5:$37,DAY(S3636)+2,FALSE),VLOOKUP(T3636,Equivalencia!$1:$23,((MAX(Equivalencia!$3:$3)-YEAR(S3636))*14)+MONTH(S3636)+2,FALSE)))</f>
        <v>0</v>
      </c>
      <c r="W3636" s="178">
        <f t="shared" si="288"/>
        <v>0</v>
      </c>
      <c r="X3636" s="481">
        <f t="shared" si="289"/>
        <v>0</v>
      </c>
      <c r="Y3636" s="179"/>
      <c r="Z3636" s="466">
        <f t="shared" si="290"/>
        <v>0</v>
      </c>
      <c r="AA3636" s="473">
        <f t="shared" si="291"/>
        <v>0</v>
      </c>
      <c r="AB3636" s="339">
        <f t="shared" si="292"/>
        <v>0</v>
      </c>
    </row>
    <row r="3637" spans="2:28" ht="20.100000000000001" customHeight="1">
      <c r="B3637" s="172"/>
      <c r="C3637" s="174"/>
      <c r="D3637" s="181"/>
      <c r="E3637" s="173"/>
      <c r="F3637" s="176"/>
      <c r="G3637" s="175">
        <f t="shared" si="283"/>
        <v>0</v>
      </c>
      <c r="H3637" s="175">
        <f t="shared" si="284"/>
        <v>0</v>
      </c>
      <c r="I3637" s="177">
        <f>IF(G3637=0,0,IF(E3637="MXN",1/HLOOKUP(YEAR(C3637)+(MONTH(C3637)/100),TC!$5:$37,DAY(C3637)+2,FALSE),VLOOKUP(E3637,Equivalencia!$5:$23,((MAX(Equivalencia!$3:$3)-YEAR(C3637))*14)+MONTH(C3637)+2,FALSE)))</f>
        <v>0</v>
      </c>
      <c r="J3637" s="178">
        <f t="shared" si="285"/>
        <v>0</v>
      </c>
      <c r="K3637" s="462">
        <f>IF(C3637=0,0,VLOOKUP(YEAR(C3637),INPC!$B$4:$O$29,MONTH(C3637)+1))</f>
        <v>0</v>
      </c>
      <c r="L3637" s="462">
        <f>IF(S3637=0,0,VLOOKUP(YEAR(S3637),INPC!$B$4:$O$29,MONTH(S3637)+1))</f>
        <v>0</v>
      </c>
      <c r="M3637" s="463">
        <f t="shared" si="286"/>
        <v>0</v>
      </c>
      <c r="N3637" s="465">
        <f t="shared" si="287"/>
        <v>0</v>
      </c>
      <c r="O3637" s="179"/>
      <c r="P3637" s="180"/>
      <c r="Q3637" s="173"/>
      <c r="R3637" s="173"/>
      <c r="S3637" s="174"/>
      <c r="T3637" s="173"/>
      <c r="U3637" s="182"/>
      <c r="V3637" s="177">
        <f>IF(U3637=0,0,IF(T3637="MXN",1/HLOOKUP(YEAR(S3637)+(MONTH(S3637)/100),TC!$5:$37,DAY(S3637)+2,FALSE),VLOOKUP(T3637,Equivalencia!$1:$23,((MAX(Equivalencia!$3:$3)-YEAR(S3637))*14)+MONTH(S3637)+2,FALSE)))</f>
        <v>0</v>
      </c>
      <c r="W3637" s="178">
        <f t="shared" si="288"/>
        <v>0</v>
      </c>
      <c r="X3637" s="481">
        <f t="shared" si="289"/>
        <v>0</v>
      </c>
      <c r="Y3637" s="179"/>
      <c r="Z3637" s="466">
        <f t="shared" si="290"/>
        <v>0</v>
      </c>
      <c r="AA3637" s="473">
        <f t="shared" si="291"/>
        <v>0</v>
      </c>
      <c r="AB3637" s="339">
        <f t="shared" si="292"/>
        <v>0</v>
      </c>
    </row>
    <row r="3638" spans="2:28" ht="20.100000000000001" customHeight="1">
      <c r="B3638" s="172"/>
      <c r="C3638" s="174"/>
      <c r="D3638" s="181"/>
      <c r="E3638" s="173"/>
      <c r="F3638" s="176"/>
      <c r="G3638" s="175">
        <f t="shared" si="283"/>
        <v>0</v>
      </c>
      <c r="H3638" s="175">
        <f t="shared" si="284"/>
        <v>0</v>
      </c>
      <c r="I3638" s="177">
        <f>IF(G3638=0,0,IF(E3638="MXN",1/HLOOKUP(YEAR(C3638)+(MONTH(C3638)/100),TC!$5:$37,DAY(C3638)+2,FALSE),VLOOKUP(E3638,Equivalencia!$5:$23,((MAX(Equivalencia!$3:$3)-YEAR(C3638))*14)+MONTH(C3638)+2,FALSE)))</f>
        <v>0</v>
      </c>
      <c r="J3638" s="178">
        <f t="shared" si="285"/>
        <v>0</v>
      </c>
      <c r="K3638" s="462">
        <f>IF(C3638=0,0,VLOOKUP(YEAR(C3638),INPC!$B$4:$O$29,MONTH(C3638)+1))</f>
        <v>0</v>
      </c>
      <c r="L3638" s="462">
        <f>IF(S3638=0,0,VLOOKUP(YEAR(S3638),INPC!$B$4:$O$29,MONTH(S3638)+1))</f>
        <v>0</v>
      </c>
      <c r="M3638" s="463">
        <f t="shared" si="286"/>
        <v>0</v>
      </c>
      <c r="N3638" s="465">
        <f t="shared" si="287"/>
        <v>0</v>
      </c>
      <c r="O3638" s="179"/>
      <c r="P3638" s="180"/>
      <c r="Q3638" s="173"/>
      <c r="R3638" s="173"/>
      <c r="S3638" s="174"/>
      <c r="T3638" s="173"/>
      <c r="U3638" s="182"/>
      <c r="V3638" s="177">
        <f>IF(U3638=0,0,IF(T3638="MXN",1/HLOOKUP(YEAR(S3638)+(MONTH(S3638)/100),TC!$5:$37,DAY(S3638)+2,FALSE),VLOOKUP(T3638,Equivalencia!$1:$23,((MAX(Equivalencia!$3:$3)-YEAR(S3638))*14)+MONTH(S3638)+2,FALSE)))</f>
        <v>0</v>
      </c>
      <c r="W3638" s="178">
        <f t="shared" si="288"/>
        <v>0</v>
      </c>
      <c r="X3638" s="481">
        <f t="shared" si="289"/>
        <v>0</v>
      </c>
      <c r="Y3638" s="179"/>
      <c r="Z3638" s="466">
        <f t="shared" si="290"/>
        <v>0</v>
      </c>
      <c r="AA3638" s="473">
        <f t="shared" si="291"/>
        <v>0</v>
      </c>
      <c r="AB3638" s="339">
        <f t="shared" si="292"/>
        <v>0</v>
      </c>
    </row>
    <row r="3639" spans="2:28" ht="20.100000000000001" customHeight="1">
      <c r="B3639" s="172"/>
      <c r="C3639" s="174"/>
      <c r="D3639" s="181"/>
      <c r="E3639" s="173"/>
      <c r="F3639" s="176"/>
      <c r="G3639" s="175">
        <f t="shared" si="283"/>
        <v>0</v>
      </c>
      <c r="H3639" s="175">
        <f t="shared" si="284"/>
        <v>0</v>
      </c>
      <c r="I3639" s="177">
        <f>IF(G3639=0,0,IF(E3639="MXN",1/HLOOKUP(YEAR(C3639)+(MONTH(C3639)/100),TC!$5:$37,DAY(C3639)+2,FALSE),VLOOKUP(E3639,Equivalencia!$5:$23,((MAX(Equivalencia!$3:$3)-YEAR(C3639))*14)+MONTH(C3639)+2,FALSE)))</f>
        <v>0</v>
      </c>
      <c r="J3639" s="178">
        <f t="shared" si="285"/>
        <v>0</v>
      </c>
      <c r="K3639" s="462">
        <f>IF(C3639=0,0,VLOOKUP(YEAR(C3639),INPC!$B$4:$O$29,MONTH(C3639)+1))</f>
        <v>0</v>
      </c>
      <c r="L3639" s="462">
        <f>IF(S3639=0,0,VLOOKUP(YEAR(S3639),INPC!$B$4:$O$29,MONTH(S3639)+1))</f>
        <v>0</v>
      </c>
      <c r="M3639" s="463">
        <f t="shared" si="286"/>
        <v>0</v>
      </c>
      <c r="N3639" s="465">
        <f t="shared" si="287"/>
        <v>0</v>
      </c>
      <c r="O3639" s="179"/>
      <c r="P3639" s="180"/>
      <c r="Q3639" s="173"/>
      <c r="R3639" s="173"/>
      <c r="S3639" s="174"/>
      <c r="T3639" s="173"/>
      <c r="U3639" s="182"/>
      <c r="V3639" s="177">
        <f>IF(U3639=0,0,IF(T3639="MXN",1/HLOOKUP(YEAR(S3639)+(MONTH(S3639)/100),TC!$5:$37,DAY(S3639)+2,FALSE),VLOOKUP(T3639,Equivalencia!$1:$23,((MAX(Equivalencia!$3:$3)-YEAR(S3639))*14)+MONTH(S3639)+2,FALSE)))</f>
        <v>0</v>
      </c>
      <c r="W3639" s="178">
        <f t="shared" si="288"/>
        <v>0</v>
      </c>
      <c r="X3639" s="481">
        <f t="shared" si="289"/>
        <v>0</v>
      </c>
      <c r="Y3639" s="179"/>
      <c r="Z3639" s="466">
        <f t="shared" si="290"/>
        <v>0</v>
      </c>
      <c r="AA3639" s="473">
        <f t="shared" si="291"/>
        <v>0</v>
      </c>
      <c r="AB3639" s="339">
        <f t="shared" si="292"/>
        <v>0</v>
      </c>
    </row>
    <row r="3640" spans="2:28" ht="20.100000000000001" customHeight="1">
      <c r="B3640" s="172"/>
      <c r="C3640" s="174"/>
      <c r="D3640" s="181"/>
      <c r="E3640" s="173"/>
      <c r="F3640" s="176"/>
      <c r="G3640" s="175">
        <f t="shared" si="283"/>
        <v>0</v>
      </c>
      <c r="H3640" s="175">
        <f t="shared" si="284"/>
        <v>0</v>
      </c>
      <c r="I3640" s="177">
        <f>IF(G3640=0,0,IF(E3640="MXN",1/HLOOKUP(YEAR(C3640)+(MONTH(C3640)/100),TC!$5:$37,DAY(C3640)+2,FALSE),VLOOKUP(E3640,Equivalencia!$5:$23,((MAX(Equivalencia!$3:$3)-YEAR(C3640))*14)+MONTH(C3640)+2,FALSE)))</f>
        <v>0</v>
      </c>
      <c r="J3640" s="178">
        <f t="shared" si="285"/>
        <v>0</v>
      </c>
      <c r="K3640" s="462">
        <f>IF(C3640=0,0,VLOOKUP(YEAR(C3640),INPC!$B$4:$O$29,MONTH(C3640)+1))</f>
        <v>0</v>
      </c>
      <c r="L3640" s="462">
        <f>IF(S3640=0,0,VLOOKUP(YEAR(S3640),INPC!$B$4:$O$29,MONTH(S3640)+1))</f>
        <v>0</v>
      </c>
      <c r="M3640" s="463">
        <f t="shared" si="286"/>
        <v>0</v>
      </c>
      <c r="N3640" s="465">
        <f t="shared" si="287"/>
        <v>0</v>
      </c>
      <c r="O3640" s="179"/>
      <c r="P3640" s="180"/>
      <c r="Q3640" s="173"/>
      <c r="R3640" s="173"/>
      <c r="S3640" s="174"/>
      <c r="T3640" s="173"/>
      <c r="U3640" s="182"/>
      <c r="V3640" s="177">
        <f>IF(U3640=0,0,IF(T3640="MXN",1/HLOOKUP(YEAR(S3640)+(MONTH(S3640)/100),TC!$5:$37,DAY(S3640)+2,FALSE),VLOOKUP(T3640,Equivalencia!$1:$23,((MAX(Equivalencia!$3:$3)-YEAR(S3640))*14)+MONTH(S3640)+2,FALSE)))</f>
        <v>0</v>
      </c>
      <c r="W3640" s="178">
        <f t="shared" si="288"/>
        <v>0</v>
      </c>
      <c r="X3640" s="481">
        <f t="shared" si="289"/>
        <v>0</v>
      </c>
      <c r="Y3640" s="179"/>
      <c r="Z3640" s="466">
        <f t="shared" si="290"/>
        <v>0</v>
      </c>
      <c r="AA3640" s="473">
        <f t="shared" si="291"/>
        <v>0</v>
      </c>
      <c r="AB3640" s="339">
        <f t="shared" si="292"/>
        <v>0</v>
      </c>
    </row>
    <row r="3641" spans="2:28" ht="20.100000000000001" customHeight="1">
      <c r="B3641" s="172"/>
      <c r="C3641" s="174"/>
      <c r="D3641" s="181"/>
      <c r="E3641" s="173"/>
      <c r="F3641" s="176"/>
      <c r="G3641" s="175">
        <f t="shared" si="283"/>
        <v>0</v>
      </c>
      <c r="H3641" s="175">
        <f t="shared" si="284"/>
        <v>0</v>
      </c>
      <c r="I3641" s="177">
        <f>IF(G3641=0,0,IF(E3641="MXN",1/HLOOKUP(YEAR(C3641)+(MONTH(C3641)/100),TC!$5:$37,DAY(C3641)+2,FALSE),VLOOKUP(E3641,Equivalencia!$5:$23,((MAX(Equivalencia!$3:$3)-YEAR(C3641))*14)+MONTH(C3641)+2,FALSE)))</f>
        <v>0</v>
      </c>
      <c r="J3641" s="178">
        <f t="shared" si="285"/>
        <v>0</v>
      </c>
      <c r="K3641" s="462">
        <f>IF(C3641=0,0,VLOOKUP(YEAR(C3641),INPC!$B$4:$O$29,MONTH(C3641)+1))</f>
        <v>0</v>
      </c>
      <c r="L3641" s="462">
        <f>IF(S3641=0,0,VLOOKUP(YEAR(S3641),INPC!$B$4:$O$29,MONTH(S3641)+1))</f>
        <v>0</v>
      </c>
      <c r="M3641" s="463">
        <f t="shared" si="286"/>
        <v>0</v>
      </c>
      <c r="N3641" s="465">
        <f t="shared" si="287"/>
        <v>0</v>
      </c>
      <c r="O3641" s="179"/>
      <c r="P3641" s="180"/>
      <c r="Q3641" s="173"/>
      <c r="R3641" s="173"/>
      <c r="S3641" s="174"/>
      <c r="T3641" s="173"/>
      <c r="U3641" s="182"/>
      <c r="V3641" s="177">
        <f>IF(U3641=0,0,IF(T3641="MXN",1/HLOOKUP(YEAR(S3641)+(MONTH(S3641)/100),TC!$5:$37,DAY(S3641)+2,FALSE),VLOOKUP(T3641,Equivalencia!$1:$23,((MAX(Equivalencia!$3:$3)-YEAR(S3641))*14)+MONTH(S3641)+2,FALSE)))</f>
        <v>0</v>
      </c>
      <c r="W3641" s="178">
        <f t="shared" si="288"/>
        <v>0</v>
      </c>
      <c r="X3641" s="481">
        <f t="shared" si="289"/>
        <v>0</v>
      </c>
      <c r="Y3641" s="179"/>
      <c r="Z3641" s="466">
        <f t="shared" si="290"/>
        <v>0</v>
      </c>
      <c r="AA3641" s="473">
        <f t="shared" si="291"/>
        <v>0</v>
      </c>
      <c r="AB3641" s="339">
        <f t="shared" si="292"/>
        <v>0</v>
      </c>
    </row>
    <row r="3642" spans="2:28" ht="20.100000000000001" customHeight="1">
      <c r="B3642" s="172"/>
      <c r="C3642" s="174"/>
      <c r="D3642" s="181"/>
      <c r="E3642" s="173"/>
      <c r="F3642" s="176"/>
      <c r="G3642" s="175">
        <f t="shared" si="283"/>
        <v>0</v>
      </c>
      <c r="H3642" s="175">
        <f t="shared" si="284"/>
        <v>0</v>
      </c>
      <c r="I3642" s="177">
        <f>IF(G3642=0,0,IF(E3642="MXN",1/HLOOKUP(YEAR(C3642)+(MONTH(C3642)/100),TC!$5:$37,DAY(C3642)+2,FALSE),VLOOKUP(E3642,Equivalencia!$5:$23,((MAX(Equivalencia!$3:$3)-YEAR(C3642))*14)+MONTH(C3642)+2,FALSE)))</f>
        <v>0</v>
      </c>
      <c r="J3642" s="178">
        <f t="shared" si="285"/>
        <v>0</v>
      </c>
      <c r="K3642" s="462">
        <f>IF(C3642=0,0,VLOOKUP(YEAR(C3642),INPC!$B$4:$O$29,MONTH(C3642)+1))</f>
        <v>0</v>
      </c>
      <c r="L3642" s="462">
        <f>IF(S3642=0,0,VLOOKUP(YEAR(S3642),INPC!$B$4:$O$29,MONTH(S3642)+1))</f>
        <v>0</v>
      </c>
      <c r="M3642" s="463">
        <f t="shared" si="286"/>
        <v>0</v>
      </c>
      <c r="N3642" s="465">
        <f t="shared" si="287"/>
        <v>0</v>
      </c>
      <c r="O3642" s="179"/>
      <c r="P3642" s="180"/>
      <c r="Q3642" s="173"/>
      <c r="R3642" s="173"/>
      <c r="S3642" s="174"/>
      <c r="T3642" s="173"/>
      <c r="U3642" s="182"/>
      <c r="V3642" s="177">
        <f>IF(U3642=0,0,IF(T3642="MXN",1/HLOOKUP(YEAR(S3642)+(MONTH(S3642)/100),TC!$5:$37,DAY(S3642)+2,FALSE),VLOOKUP(T3642,Equivalencia!$1:$23,((MAX(Equivalencia!$3:$3)-YEAR(S3642))*14)+MONTH(S3642)+2,FALSE)))</f>
        <v>0</v>
      </c>
      <c r="W3642" s="178">
        <f t="shared" si="288"/>
        <v>0</v>
      </c>
      <c r="X3642" s="481">
        <f t="shared" si="289"/>
        <v>0</v>
      </c>
      <c r="Y3642" s="179"/>
      <c r="Z3642" s="466">
        <f t="shared" si="290"/>
        <v>0</v>
      </c>
      <c r="AA3642" s="473">
        <f t="shared" si="291"/>
        <v>0</v>
      </c>
      <c r="AB3642" s="339">
        <f t="shared" si="292"/>
        <v>0</v>
      </c>
    </row>
    <row r="3643" spans="2:28" ht="20.100000000000001" customHeight="1">
      <c r="B3643" s="172"/>
      <c r="C3643" s="174"/>
      <c r="D3643" s="181"/>
      <c r="E3643" s="173"/>
      <c r="F3643" s="176"/>
      <c r="G3643" s="175">
        <f t="shared" si="283"/>
        <v>0</v>
      </c>
      <c r="H3643" s="175">
        <f t="shared" si="284"/>
        <v>0</v>
      </c>
      <c r="I3643" s="177">
        <f>IF(G3643=0,0,IF(E3643="MXN",1/HLOOKUP(YEAR(C3643)+(MONTH(C3643)/100),TC!$5:$37,DAY(C3643)+2,FALSE),VLOOKUP(E3643,Equivalencia!$5:$23,((MAX(Equivalencia!$3:$3)-YEAR(C3643))*14)+MONTH(C3643)+2,FALSE)))</f>
        <v>0</v>
      </c>
      <c r="J3643" s="178">
        <f t="shared" si="285"/>
        <v>0</v>
      </c>
      <c r="K3643" s="462">
        <f>IF(C3643=0,0,VLOOKUP(YEAR(C3643),INPC!$B$4:$O$29,MONTH(C3643)+1))</f>
        <v>0</v>
      </c>
      <c r="L3643" s="462">
        <f>IF(S3643=0,0,VLOOKUP(YEAR(S3643),INPC!$B$4:$O$29,MONTH(S3643)+1))</f>
        <v>0</v>
      </c>
      <c r="M3643" s="463">
        <f t="shared" si="286"/>
        <v>0</v>
      </c>
      <c r="N3643" s="465">
        <f t="shared" si="287"/>
        <v>0</v>
      </c>
      <c r="O3643" s="179"/>
      <c r="P3643" s="180"/>
      <c r="Q3643" s="173"/>
      <c r="R3643" s="173"/>
      <c r="S3643" s="174"/>
      <c r="T3643" s="173"/>
      <c r="U3643" s="182"/>
      <c r="V3643" s="177">
        <f>IF(U3643=0,0,IF(T3643="MXN",1/HLOOKUP(YEAR(S3643)+(MONTH(S3643)/100),TC!$5:$37,DAY(S3643)+2,FALSE),VLOOKUP(T3643,Equivalencia!$1:$23,((MAX(Equivalencia!$3:$3)-YEAR(S3643))*14)+MONTH(S3643)+2,FALSE)))</f>
        <v>0</v>
      </c>
      <c r="W3643" s="178">
        <f t="shared" si="288"/>
        <v>0</v>
      </c>
      <c r="X3643" s="481">
        <f t="shared" si="289"/>
        <v>0</v>
      </c>
      <c r="Y3643" s="179"/>
      <c r="Z3643" s="466">
        <f t="shared" si="290"/>
        <v>0</v>
      </c>
      <c r="AA3643" s="473">
        <f t="shared" si="291"/>
        <v>0</v>
      </c>
      <c r="AB3643" s="339">
        <f t="shared" si="292"/>
        <v>0</v>
      </c>
    </row>
    <row r="3644" spans="2:28" ht="20.100000000000001" customHeight="1">
      <c r="B3644" s="172"/>
      <c r="C3644" s="174"/>
      <c r="D3644" s="181"/>
      <c r="E3644" s="173"/>
      <c r="F3644" s="176"/>
      <c r="G3644" s="175">
        <f t="shared" si="283"/>
        <v>0</v>
      </c>
      <c r="H3644" s="175">
        <f t="shared" si="284"/>
        <v>0</v>
      </c>
      <c r="I3644" s="177">
        <f>IF(G3644=0,0,IF(E3644="MXN",1/HLOOKUP(YEAR(C3644)+(MONTH(C3644)/100),TC!$5:$37,DAY(C3644)+2,FALSE),VLOOKUP(E3644,Equivalencia!$5:$23,((MAX(Equivalencia!$3:$3)-YEAR(C3644))*14)+MONTH(C3644)+2,FALSE)))</f>
        <v>0</v>
      </c>
      <c r="J3644" s="178">
        <f t="shared" si="285"/>
        <v>0</v>
      </c>
      <c r="K3644" s="462">
        <f>IF(C3644=0,0,VLOOKUP(YEAR(C3644),INPC!$B$4:$O$29,MONTH(C3644)+1))</f>
        <v>0</v>
      </c>
      <c r="L3644" s="462">
        <f>IF(S3644=0,0,VLOOKUP(YEAR(S3644),INPC!$B$4:$O$29,MONTH(S3644)+1))</f>
        <v>0</v>
      </c>
      <c r="M3644" s="463">
        <f t="shared" si="286"/>
        <v>0</v>
      </c>
      <c r="N3644" s="465">
        <f t="shared" si="287"/>
        <v>0</v>
      </c>
      <c r="O3644" s="179"/>
      <c r="P3644" s="180"/>
      <c r="Q3644" s="173"/>
      <c r="R3644" s="173"/>
      <c r="S3644" s="174"/>
      <c r="T3644" s="173"/>
      <c r="U3644" s="182"/>
      <c r="V3644" s="177">
        <f>IF(U3644=0,0,IF(T3644="MXN",1/HLOOKUP(YEAR(S3644)+(MONTH(S3644)/100),TC!$5:$37,DAY(S3644)+2,FALSE),VLOOKUP(T3644,Equivalencia!$1:$23,((MAX(Equivalencia!$3:$3)-YEAR(S3644))*14)+MONTH(S3644)+2,FALSE)))</f>
        <v>0</v>
      </c>
      <c r="W3644" s="178">
        <f t="shared" si="288"/>
        <v>0</v>
      </c>
      <c r="X3644" s="481">
        <f t="shared" si="289"/>
        <v>0</v>
      </c>
      <c r="Y3644" s="179"/>
      <c r="Z3644" s="466">
        <f t="shared" si="290"/>
        <v>0</v>
      </c>
      <c r="AA3644" s="473">
        <f t="shared" si="291"/>
        <v>0</v>
      </c>
      <c r="AB3644" s="339">
        <f t="shared" si="292"/>
        <v>0</v>
      </c>
    </row>
    <row r="3645" spans="2:28" ht="20.100000000000001" customHeight="1">
      <c r="B3645" s="172"/>
      <c r="C3645" s="174"/>
      <c r="D3645" s="181"/>
      <c r="E3645" s="173"/>
      <c r="F3645" s="176"/>
      <c r="G3645" s="175">
        <f t="shared" si="283"/>
        <v>0</v>
      </c>
      <c r="H3645" s="175">
        <f t="shared" si="284"/>
        <v>0</v>
      </c>
      <c r="I3645" s="177">
        <f>IF(G3645=0,0,IF(E3645="MXN",1/HLOOKUP(YEAR(C3645)+(MONTH(C3645)/100),TC!$5:$37,DAY(C3645)+2,FALSE),VLOOKUP(E3645,Equivalencia!$5:$23,((MAX(Equivalencia!$3:$3)-YEAR(C3645))*14)+MONTH(C3645)+2,FALSE)))</f>
        <v>0</v>
      </c>
      <c r="J3645" s="178">
        <f t="shared" si="285"/>
        <v>0</v>
      </c>
      <c r="K3645" s="462">
        <f>IF(C3645=0,0,VLOOKUP(YEAR(C3645),INPC!$B$4:$O$29,MONTH(C3645)+1))</f>
        <v>0</v>
      </c>
      <c r="L3645" s="462">
        <f>IF(S3645=0,0,VLOOKUP(YEAR(S3645),INPC!$B$4:$O$29,MONTH(S3645)+1))</f>
        <v>0</v>
      </c>
      <c r="M3645" s="463">
        <f t="shared" si="286"/>
        <v>0</v>
      </c>
      <c r="N3645" s="465">
        <f t="shared" si="287"/>
        <v>0</v>
      </c>
      <c r="O3645" s="179"/>
      <c r="P3645" s="180"/>
      <c r="Q3645" s="173"/>
      <c r="R3645" s="173"/>
      <c r="S3645" s="174"/>
      <c r="T3645" s="173"/>
      <c r="U3645" s="182"/>
      <c r="V3645" s="177">
        <f>IF(U3645=0,0,IF(T3645="MXN",1/HLOOKUP(YEAR(S3645)+(MONTH(S3645)/100),TC!$5:$37,DAY(S3645)+2,FALSE),VLOOKUP(T3645,Equivalencia!$1:$23,((MAX(Equivalencia!$3:$3)-YEAR(S3645))*14)+MONTH(S3645)+2,FALSE)))</f>
        <v>0</v>
      </c>
      <c r="W3645" s="178">
        <f t="shared" si="288"/>
        <v>0</v>
      </c>
      <c r="X3645" s="481">
        <f t="shared" si="289"/>
        <v>0</v>
      </c>
      <c r="Y3645" s="179"/>
      <c r="Z3645" s="466">
        <f t="shared" si="290"/>
        <v>0</v>
      </c>
      <c r="AA3645" s="473">
        <f t="shared" si="291"/>
        <v>0</v>
      </c>
      <c r="AB3645" s="339">
        <f t="shared" si="292"/>
        <v>0</v>
      </c>
    </row>
    <row r="3646" spans="2:28" ht="20.100000000000001" customHeight="1">
      <c r="B3646" s="172"/>
      <c r="C3646" s="174"/>
      <c r="D3646" s="181"/>
      <c r="E3646" s="173"/>
      <c r="F3646" s="176"/>
      <c r="G3646" s="175">
        <f t="shared" si="283"/>
        <v>0</v>
      </c>
      <c r="H3646" s="175">
        <f t="shared" si="284"/>
        <v>0</v>
      </c>
      <c r="I3646" s="177">
        <f>IF(G3646=0,0,IF(E3646="MXN",1/HLOOKUP(YEAR(C3646)+(MONTH(C3646)/100),TC!$5:$37,DAY(C3646)+2,FALSE),VLOOKUP(E3646,Equivalencia!$5:$23,((MAX(Equivalencia!$3:$3)-YEAR(C3646))*14)+MONTH(C3646)+2,FALSE)))</f>
        <v>0</v>
      </c>
      <c r="J3646" s="178">
        <f t="shared" si="285"/>
        <v>0</v>
      </c>
      <c r="K3646" s="462">
        <f>IF(C3646=0,0,VLOOKUP(YEAR(C3646),INPC!$B$4:$O$29,MONTH(C3646)+1))</f>
        <v>0</v>
      </c>
      <c r="L3646" s="462">
        <f>IF(S3646=0,0,VLOOKUP(YEAR(S3646),INPC!$B$4:$O$29,MONTH(S3646)+1))</f>
        <v>0</v>
      </c>
      <c r="M3646" s="463">
        <f t="shared" si="286"/>
        <v>0</v>
      </c>
      <c r="N3646" s="465">
        <f t="shared" si="287"/>
        <v>0</v>
      </c>
      <c r="O3646" s="179"/>
      <c r="P3646" s="180"/>
      <c r="Q3646" s="173"/>
      <c r="R3646" s="173"/>
      <c r="S3646" s="174"/>
      <c r="T3646" s="173"/>
      <c r="U3646" s="182"/>
      <c r="V3646" s="177">
        <f>IF(U3646=0,0,IF(T3646="MXN",1/HLOOKUP(YEAR(S3646)+(MONTH(S3646)/100),TC!$5:$37,DAY(S3646)+2,FALSE),VLOOKUP(T3646,Equivalencia!$1:$23,((MAX(Equivalencia!$3:$3)-YEAR(S3646))*14)+MONTH(S3646)+2,FALSE)))</f>
        <v>0</v>
      </c>
      <c r="W3646" s="178">
        <f t="shared" si="288"/>
        <v>0</v>
      </c>
      <c r="X3646" s="481">
        <f t="shared" si="289"/>
        <v>0</v>
      </c>
      <c r="Y3646" s="179"/>
      <c r="Z3646" s="466">
        <f t="shared" si="290"/>
        <v>0</v>
      </c>
      <c r="AA3646" s="473">
        <f t="shared" si="291"/>
        <v>0</v>
      </c>
      <c r="AB3646" s="339">
        <f t="shared" si="292"/>
        <v>0</v>
      </c>
    </row>
    <row r="3647" spans="2:28" ht="20.100000000000001" customHeight="1">
      <c r="B3647" s="172"/>
      <c r="C3647" s="174"/>
      <c r="D3647" s="181"/>
      <c r="E3647" s="173"/>
      <c r="F3647" s="176"/>
      <c r="G3647" s="175">
        <f t="shared" si="283"/>
        <v>0</v>
      </c>
      <c r="H3647" s="175">
        <f t="shared" si="284"/>
        <v>0</v>
      </c>
      <c r="I3647" s="177">
        <f>IF(G3647=0,0,IF(E3647="MXN",1/HLOOKUP(YEAR(C3647)+(MONTH(C3647)/100),TC!$5:$37,DAY(C3647)+2,FALSE),VLOOKUP(E3647,Equivalencia!$5:$23,((MAX(Equivalencia!$3:$3)-YEAR(C3647))*14)+MONTH(C3647)+2,FALSE)))</f>
        <v>0</v>
      </c>
      <c r="J3647" s="178">
        <f t="shared" si="285"/>
        <v>0</v>
      </c>
      <c r="K3647" s="462">
        <f>IF(C3647=0,0,VLOOKUP(YEAR(C3647),INPC!$B$4:$O$29,MONTH(C3647)+1))</f>
        <v>0</v>
      </c>
      <c r="L3647" s="462">
        <f>IF(S3647=0,0,VLOOKUP(YEAR(S3647),INPC!$B$4:$O$29,MONTH(S3647)+1))</f>
        <v>0</v>
      </c>
      <c r="M3647" s="463">
        <f t="shared" si="286"/>
        <v>0</v>
      </c>
      <c r="N3647" s="465">
        <f t="shared" si="287"/>
        <v>0</v>
      </c>
      <c r="O3647" s="179"/>
      <c r="P3647" s="180"/>
      <c r="Q3647" s="173"/>
      <c r="R3647" s="173"/>
      <c r="S3647" s="174"/>
      <c r="T3647" s="173"/>
      <c r="U3647" s="182"/>
      <c r="V3647" s="177">
        <f>IF(U3647=0,0,IF(T3647="MXN",1/HLOOKUP(YEAR(S3647)+(MONTH(S3647)/100),TC!$5:$37,DAY(S3647)+2,FALSE),VLOOKUP(T3647,Equivalencia!$1:$23,((MAX(Equivalencia!$3:$3)-YEAR(S3647))*14)+MONTH(S3647)+2,FALSE)))</f>
        <v>0</v>
      </c>
      <c r="W3647" s="178">
        <f t="shared" si="288"/>
        <v>0</v>
      </c>
      <c r="X3647" s="481">
        <f t="shared" si="289"/>
        <v>0</v>
      </c>
      <c r="Y3647" s="179"/>
      <c r="Z3647" s="466">
        <f t="shared" si="290"/>
        <v>0</v>
      </c>
      <c r="AA3647" s="473">
        <f t="shared" si="291"/>
        <v>0</v>
      </c>
      <c r="AB3647" s="339">
        <f t="shared" si="292"/>
        <v>0</v>
      </c>
    </row>
    <row r="3648" spans="2:28" ht="20.100000000000001" customHeight="1">
      <c r="B3648" s="172"/>
      <c r="C3648" s="174"/>
      <c r="D3648" s="181"/>
      <c r="E3648" s="173"/>
      <c r="F3648" s="176"/>
      <c r="G3648" s="175">
        <f t="shared" si="283"/>
        <v>0</v>
      </c>
      <c r="H3648" s="175">
        <f t="shared" si="284"/>
        <v>0</v>
      </c>
      <c r="I3648" s="177">
        <f>IF(G3648=0,0,IF(E3648="MXN",1/HLOOKUP(YEAR(C3648)+(MONTH(C3648)/100),TC!$5:$37,DAY(C3648)+2,FALSE),VLOOKUP(E3648,Equivalencia!$5:$23,((MAX(Equivalencia!$3:$3)-YEAR(C3648))*14)+MONTH(C3648)+2,FALSE)))</f>
        <v>0</v>
      </c>
      <c r="J3648" s="178">
        <f t="shared" si="285"/>
        <v>0</v>
      </c>
      <c r="K3648" s="462">
        <f>IF(C3648=0,0,VLOOKUP(YEAR(C3648),INPC!$B$4:$O$29,MONTH(C3648)+1))</f>
        <v>0</v>
      </c>
      <c r="L3648" s="462">
        <f>IF(S3648=0,0,VLOOKUP(YEAR(S3648),INPC!$B$4:$O$29,MONTH(S3648)+1))</f>
        <v>0</v>
      </c>
      <c r="M3648" s="463">
        <f t="shared" si="286"/>
        <v>0</v>
      </c>
      <c r="N3648" s="465">
        <f t="shared" si="287"/>
        <v>0</v>
      </c>
      <c r="O3648" s="179"/>
      <c r="P3648" s="180"/>
      <c r="Q3648" s="173"/>
      <c r="R3648" s="173"/>
      <c r="S3648" s="174"/>
      <c r="T3648" s="173"/>
      <c r="U3648" s="182"/>
      <c r="V3648" s="177">
        <f>IF(U3648=0,0,IF(T3648="MXN",1/HLOOKUP(YEAR(S3648)+(MONTH(S3648)/100),TC!$5:$37,DAY(S3648)+2,FALSE),VLOOKUP(T3648,Equivalencia!$1:$23,((MAX(Equivalencia!$3:$3)-YEAR(S3648))*14)+MONTH(S3648)+2,FALSE)))</f>
        <v>0</v>
      </c>
      <c r="W3648" s="178">
        <f t="shared" si="288"/>
        <v>0</v>
      </c>
      <c r="X3648" s="481">
        <f t="shared" si="289"/>
        <v>0</v>
      </c>
      <c r="Y3648" s="179"/>
      <c r="Z3648" s="466">
        <f t="shared" si="290"/>
        <v>0</v>
      </c>
      <c r="AA3648" s="473">
        <f t="shared" si="291"/>
        <v>0</v>
      </c>
      <c r="AB3648" s="339">
        <f t="shared" si="292"/>
        <v>0</v>
      </c>
    </row>
    <row r="3649" spans="2:28" ht="20.100000000000001" customHeight="1">
      <c r="B3649" s="172"/>
      <c r="C3649" s="174"/>
      <c r="D3649" s="181"/>
      <c r="E3649" s="173"/>
      <c r="F3649" s="176"/>
      <c r="G3649" s="175">
        <f t="shared" si="283"/>
        <v>0</v>
      </c>
      <c r="H3649" s="175">
        <f t="shared" si="284"/>
        <v>0</v>
      </c>
      <c r="I3649" s="177">
        <f>IF(G3649=0,0,IF(E3649="MXN",1/HLOOKUP(YEAR(C3649)+(MONTH(C3649)/100),TC!$5:$37,DAY(C3649)+2,FALSE),VLOOKUP(E3649,Equivalencia!$5:$23,((MAX(Equivalencia!$3:$3)-YEAR(C3649))*14)+MONTH(C3649)+2,FALSE)))</f>
        <v>0</v>
      </c>
      <c r="J3649" s="178">
        <f t="shared" si="285"/>
        <v>0</v>
      </c>
      <c r="K3649" s="462">
        <f>IF(C3649=0,0,VLOOKUP(YEAR(C3649),INPC!$B$4:$O$29,MONTH(C3649)+1))</f>
        <v>0</v>
      </c>
      <c r="L3649" s="462">
        <f>IF(S3649=0,0,VLOOKUP(YEAR(S3649),INPC!$B$4:$O$29,MONTH(S3649)+1))</f>
        <v>0</v>
      </c>
      <c r="M3649" s="463">
        <f t="shared" si="286"/>
        <v>0</v>
      </c>
      <c r="N3649" s="465">
        <f t="shared" si="287"/>
        <v>0</v>
      </c>
      <c r="O3649" s="179"/>
      <c r="P3649" s="180"/>
      <c r="Q3649" s="173"/>
      <c r="R3649" s="173"/>
      <c r="S3649" s="174"/>
      <c r="T3649" s="173"/>
      <c r="U3649" s="182"/>
      <c r="V3649" s="177">
        <f>IF(U3649=0,0,IF(T3649="MXN",1/HLOOKUP(YEAR(S3649)+(MONTH(S3649)/100),TC!$5:$37,DAY(S3649)+2,FALSE),VLOOKUP(T3649,Equivalencia!$1:$23,((MAX(Equivalencia!$3:$3)-YEAR(S3649))*14)+MONTH(S3649)+2,FALSE)))</f>
        <v>0</v>
      </c>
      <c r="W3649" s="178">
        <f t="shared" si="288"/>
        <v>0</v>
      </c>
      <c r="X3649" s="481">
        <f t="shared" si="289"/>
        <v>0</v>
      </c>
      <c r="Y3649" s="179"/>
      <c r="Z3649" s="466">
        <f t="shared" si="290"/>
        <v>0</v>
      </c>
      <c r="AA3649" s="473">
        <f t="shared" si="291"/>
        <v>0</v>
      </c>
      <c r="AB3649" s="339">
        <f t="shared" si="292"/>
        <v>0</v>
      </c>
    </row>
    <row r="3650" spans="2:28" ht="20.100000000000001" customHeight="1">
      <c r="B3650" s="172"/>
      <c r="C3650" s="174"/>
      <c r="D3650" s="181"/>
      <c r="E3650" s="173"/>
      <c r="F3650" s="176"/>
      <c r="G3650" s="175">
        <f t="shared" si="283"/>
        <v>0</v>
      </c>
      <c r="H3650" s="175">
        <f t="shared" si="284"/>
        <v>0</v>
      </c>
      <c r="I3650" s="177">
        <f>IF(G3650=0,0,IF(E3650="MXN",1/HLOOKUP(YEAR(C3650)+(MONTH(C3650)/100),TC!$5:$37,DAY(C3650)+2,FALSE),VLOOKUP(E3650,Equivalencia!$5:$23,((MAX(Equivalencia!$3:$3)-YEAR(C3650))*14)+MONTH(C3650)+2,FALSE)))</f>
        <v>0</v>
      </c>
      <c r="J3650" s="178">
        <f t="shared" si="285"/>
        <v>0</v>
      </c>
      <c r="K3650" s="462">
        <f>IF(C3650=0,0,VLOOKUP(YEAR(C3650),INPC!$B$4:$O$29,MONTH(C3650)+1))</f>
        <v>0</v>
      </c>
      <c r="L3650" s="462">
        <f>IF(S3650=0,0,VLOOKUP(YEAR(S3650),INPC!$B$4:$O$29,MONTH(S3650)+1))</f>
        <v>0</v>
      </c>
      <c r="M3650" s="463">
        <f t="shared" si="286"/>
        <v>0</v>
      </c>
      <c r="N3650" s="465">
        <f t="shared" si="287"/>
        <v>0</v>
      </c>
      <c r="O3650" s="179"/>
      <c r="P3650" s="180"/>
      <c r="Q3650" s="173"/>
      <c r="R3650" s="173"/>
      <c r="S3650" s="174"/>
      <c r="T3650" s="173"/>
      <c r="U3650" s="182"/>
      <c r="V3650" s="177">
        <f>IF(U3650=0,0,IF(T3650="MXN",1/HLOOKUP(YEAR(S3650)+(MONTH(S3650)/100),TC!$5:$37,DAY(S3650)+2,FALSE),VLOOKUP(T3650,Equivalencia!$1:$23,((MAX(Equivalencia!$3:$3)-YEAR(S3650))*14)+MONTH(S3650)+2,FALSE)))</f>
        <v>0</v>
      </c>
      <c r="W3650" s="178">
        <f t="shared" si="288"/>
        <v>0</v>
      </c>
      <c r="X3650" s="481">
        <f t="shared" si="289"/>
        <v>0</v>
      </c>
      <c r="Y3650" s="179"/>
      <c r="Z3650" s="466">
        <f t="shared" si="290"/>
        <v>0</v>
      </c>
      <c r="AA3650" s="473">
        <f t="shared" si="291"/>
        <v>0</v>
      </c>
      <c r="AB3650" s="339">
        <f t="shared" si="292"/>
        <v>0</v>
      </c>
    </row>
    <row r="3651" spans="2:28" ht="20.100000000000001" customHeight="1">
      <c r="B3651" s="172"/>
      <c r="C3651" s="174"/>
      <c r="D3651" s="181"/>
      <c r="E3651" s="173"/>
      <c r="F3651" s="176"/>
      <c r="G3651" s="175">
        <f t="shared" si="283"/>
        <v>0</v>
      </c>
      <c r="H3651" s="175">
        <f t="shared" si="284"/>
        <v>0</v>
      </c>
      <c r="I3651" s="177">
        <f>IF(G3651=0,0,IF(E3651="MXN",1/HLOOKUP(YEAR(C3651)+(MONTH(C3651)/100),TC!$5:$37,DAY(C3651)+2,FALSE),VLOOKUP(E3651,Equivalencia!$5:$23,((MAX(Equivalencia!$3:$3)-YEAR(C3651))*14)+MONTH(C3651)+2,FALSE)))</f>
        <v>0</v>
      </c>
      <c r="J3651" s="178">
        <f t="shared" si="285"/>
        <v>0</v>
      </c>
      <c r="K3651" s="462">
        <f>IF(C3651=0,0,VLOOKUP(YEAR(C3651),INPC!$B$4:$O$29,MONTH(C3651)+1))</f>
        <v>0</v>
      </c>
      <c r="L3651" s="462">
        <f>IF(S3651=0,0,VLOOKUP(YEAR(S3651),INPC!$B$4:$O$29,MONTH(S3651)+1))</f>
        <v>0</v>
      </c>
      <c r="M3651" s="463">
        <f t="shared" si="286"/>
        <v>0</v>
      </c>
      <c r="N3651" s="465">
        <f t="shared" si="287"/>
        <v>0</v>
      </c>
      <c r="O3651" s="179"/>
      <c r="P3651" s="180"/>
      <c r="Q3651" s="173"/>
      <c r="R3651" s="173"/>
      <c r="S3651" s="174"/>
      <c r="T3651" s="173"/>
      <c r="U3651" s="182"/>
      <c r="V3651" s="177">
        <f>IF(U3651=0,0,IF(T3651="MXN",1/HLOOKUP(YEAR(S3651)+(MONTH(S3651)/100),TC!$5:$37,DAY(S3651)+2,FALSE),VLOOKUP(T3651,Equivalencia!$1:$23,((MAX(Equivalencia!$3:$3)-YEAR(S3651))*14)+MONTH(S3651)+2,FALSE)))</f>
        <v>0</v>
      </c>
      <c r="W3651" s="178">
        <f t="shared" si="288"/>
        <v>0</v>
      </c>
      <c r="X3651" s="481">
        <f t="shared" si="289"/>
        <v>0</v>
      </c>
      <c r="Y3651" s="179"/>
      <c r="Z3651" s="466">
        <f t="shared" si="290"/>
        <v>0</v>
      </c>
      <c r="AA3651" s="473">
        <f t="shared" si="291"/>
        <v>0</v>
      </c>
      <c r="AB3651" s="339">
        <f t="shared" si="292"/>
        <v>0</v>
      </c>
    </row>
    <row r="3652" spans="2:28" ht="20.100000000000001" customHeight="1">
      <c r="B3652" s="172"/>
      <c r="C3652" s="174"/>
      <c r="D3652" s="181"/>
      <c r="E3652" s="173"/>
      <c r="F3652" s="176"/>
      <c r="G3652" s="175">
        <f t="shared" si="283"/>
        <v>0</v>
      </c>
      <c r="H3652" s="175">
        <f t="shared" si="284"/>
        <v>0</v>
      </c>
      <c r="I3652" s="177">
        <f>IF(G3652=0,0,IF(E3652="MXN",1/HLOOKUP(YEAR(C3652)+(MONTH(C3652)/100),TC!$5:$37,DAY(C3652)+2,FALSE),VLOOKUP(E3652,Equivalencia!$5:$23,((MAX(Equivalencia!$3:$3)-YEAR(C3652))*14)+MONTH(C3652)+2,FALSE)))</f>
        <v>0</v>
      </c>
      <c r="J3652" s="178">
        <f t="shared" si="285"/>
        <v>0</v>
      </c>
      <c r="K3652" s="462">
        <f>IF(C3652=0,0,VLOOKUP(YEAR(C3652),INPC!$B$4:$O$29,MONTH(C3652)+1))</f>
        <v>0</v>
      </c>
      <c r="L3652" s="462">
        <f>IF(S3652=0,0,VLOOKUP(YEAR(S3652),INPC!$B$4:$O$29,MONTH(S3652)+1))</f>
        <v>0</v>
      </c>
      <c r="M3652" s="463">
        <f t="shared" si="286"/>
        <v>0</v>
      </c>
      <c r="N3652" s="465">
        <f t="shared" si="287"/>
        <v>0</v>
      </c>
      <c r="O3652" s="179"/>
      <c r="P3652" s="180"/>
      <c r="Q3652" s="173"/>
      <c r="R3652" s="173"/>
      <c r="S3652" s="174"/>
      <c r="T3652" s="173"/>
      <c r="U3652" s="182"/>
      <c r="V3652" s="177">
        <f>IF(U3652=0,0,IF(T3652="MXN",1/HLOOKUP(YEAR(S3652)+(MONTH(S3652)/100),TC!$5:$37,DAY(S3652)+2,FALSE),VLOOKUP(T3652,Equivalencia!$1:$23,((MAX(Equivalencia!$3:$3)-YEAR(S3652))*14)+MONTH(S3652)+2,FALSE)))</f>
        <v>0</v>
      </c>
      <c r="W3652" s="178">
        <f t="shared" si="288"/>
        <v>0</v>
      </c>
      <c r="X3652" s="481">
        <f t="shared" si="289"/>
        <v>0</v>
      </c>
      <c r="Y3652" s="179"/>
      <c r="Z3652" s="466">
        <f t="shared" si="290"/>
        <v>0</v>
      </c>
      <c r="AA3652" s="473">
        <f t="shared" si="291"/>
        <v>0</v>
      </c>
      <c r="AB3652" s="339">
        <f t="shared" si="292"/>
        <v>0</v>
      </c>
    </row>
    <row r="3653" spans="2:28" ht="20.100000000000001" customHeight="1">
      <c r="B3653" s="172"/>
      <c r="C3653" s="174"/>
      <c r="D3653" s="181"/>
      <c r="E3653" s="173"/>
      <c r="F3653" s="176"/>
      <c r="G3653" s="175">
        <f t="shared" si="283"/>
        <v>0</v>
      </c>
      <c r="H3653" s="175">
        <f t="shared" si="284"/>
        <v>0</v>
      </c>
      <c r="I3653" s="177">
        <f>IF(G3653=0,0,IF(E3653="MXN",1/HLOOKUP(YEAR(C3653)+(MONTH(C3653)/100),TC!$5:$37,DAY(C3653)+2,FALSE),VLOOKUP(E3653,Equivalencia!$5:$23,((MAX(Equivalencia!$3:$3)-YEAR(C3653))*14)+MONTH(C3653)+2,FALSE)))</f>
        <v>0</v>
      </c>
      <c r="J3653" s="178">
        <f t="shared" si="285"/>
        <v>0</v>
      </c>
      <c r="K3653" s="462">
        <f>IF(C3653=0,0,VLOOKUP(YEAR(C3653),INPC!$B$4:$O$29,MONTH(C3653)+1))</f>
        <v>0</v>
      </c>
      <c r="L3653" s="462">
        <f>IF(S3653=0,0,VLOOKUP(YEAR(S3653),INPC!$B$4:$O$29,MONTH(S3653)+1))</f>
        <v>0</v>
      </c>
      <c r="M3653" s="463">
        <f t="shared" si="286"/>
        <v>0</v>
      </c>
      <c r="N3653" s="465">
        <f t="shared" si="287"/>
        <v>0</v>
      </c>
      <c r="O3653" s="179"/>
      <c r="P3653" s="180"/>
      <c r="Q3653" s="173"/>
      <c r="R3653" s="173"/>
      <c r="S3653" s="174"/>
      <c r="T3653" s="173"/>
      <c r="U3653" s="182"/>
      <c r="V3653" s="177">
        <f>IF(U3653=0,0,IF(T3653="MXN",1/HLOOKUP(YEAR(S3653)+(MONTH(S3653)/100),TC!$5:$37,DAY(S3653)+2,FALSE),VLOOKUP(T3653,Equivalencia!$1:$23,((MAX(Equivalencia!$3:$3)-YEAR(S3653))*14)+MONTH(S3653)+2,FALSE)))</f>
        <v>0</v>
      </c>
      <c r="W3653" s="178">
        <f t="shared" si="288"/>
        <v>0</v>
      </c>
      <c r="X3653" s="481">
        <f t="shared" si="289"/>
        <v>0</v>
      </c>
      <c r="Y3653" s="179"/>
      <c r="Z3653" s="466">
        <f t="shared" si="290"/>
        <v>0</v>
      </c>
      <c r="AA3653" s="473">
        <f t="shared" si="291"/>
        <v>0</v>
      </c>
      <c r="AB3653" s="339">
        <f t="shared" si="292"/>
        <v>0</v>
      </c>
    </row>
    <row r="3654" spans="2:28" ht="20.100000000000001" customHeight="1">
      <c r="B3654" s="172"/>
      <c r="C3654" s="174"/>
      <c r="D3654" s="181"/>
      <c r="E3654" s="173"/>
      <c r="F3654" s="176"/>
      <c r="G3654" s="175">
        <f t="shared" si="283"/>
        <v>0</v>
      </c>
      <c r="H3654" s="175">
        <f t="shared" si="284"/>
        <v>0</v>
      </c>
      <c r="I3654" s="177">
        <f>IF(G3654=0,0,IF(E3654="MXN",1/HLOOKUP(YEAR(C3654)+(MONTH(C3654)/100),TC!$5:$37,DAY(C3654)+2,FALSE),VLOOKUP(E3654,Equivalencia!$5:$23,((MAX(Equivalencia!$3:$3)-YEAR(C3654))*14)+MONTH(C3654)+2,FALSE)))</f>
        <v>0</v>
      </c>
      <c r="J3654" s="178">
        <f t="shared" si="285"/>
        <v>0</v>
      </c>
      <c r="K3654" s="462">
        <f>IF(C3654=0,0,VLOOKUP(YEAR(C3654),INPC!$B$4:$O$29,MONTH(C3654)+1))</f>
        <v>0</v>
      </c>
      <c r="L3654" s="462">
        <f>IF(S3654=0,0,VLOOKUP(YEAR(S3654),INPC!$B$4:$O$29,MONTH(S3654)+1))</f>
        <v>0</v>
      </c>
      <c r="M3654" s="463">
        <f t="shared" si="286"/>
        <v>0</v>
      </c>
      <c r="N3654" s="465">
        <f t="shared" si="287"/>
        <v>0</v>
      </c>
      <c r="O3654" s="179"/>
      <c r="P3654" s="180"/>
      <c r="Q3654" s="173"/>
      <c r="R3654" s="173"/>
      <c r="S3654" s="174"/>
      <c r="T3654" s="173"/>
      <c r="U3654" s="182"/>
      <c r="V3654" s="177">
        <f>IF(U3654=0,0,IF(T3654="MXN",1/HLOOKUP(YEAR(S3654)+(MONTH(S3654)/100),TC!$5:$37,DAY(S3654)+2,FALSE),VLOOKUP(T3654,Equivalencia!$1:$23,((MAX(Equivalencia!$3:$3)-YEAR(S3654))*14)+MONTH(S3654)+2,FALSE)))</f>
        <v>0</v>
      </c>
      <c r="W3654" s="178">
        <f t="shared" si="288"/>
        <v>0</v>
      </c>
      <c r="X3654" s="481">
        <f t="shared" si="289"/>
        <v>0</v>
      </c>
      <c r="Y3654" s="179"/>
      <c r="Z3654" s="466">
        <f t="shared" si="290"/>
        <v>0</v>
      </c>
      <c r="AA3654" s="473">
        <f t="shared" si="291"/>
        <v>0</v>
      </c>
      <c r="AB3654" s="339">
        <f t="shared" si="292"/>
        <v>0</v>
      </c>
    </row>
    <row r="3655" spans="2:28" ht="20.100000000000001" customHeight="1">
      <c r="B3655" s="172"/>
      <c r="C3655" s="174"/>
      <c r="D3655" s="181"/>
      <c r="E3655" s="173"/>
      <c r="F3655" s="176"/>
      <c r="G3655" s="175">
        <f t="shared" si="283"/>
        <v>0</v>
      </c>
      <c r="H3655" s="175">
        <f t="shared" si="284"/>
        <v>0</v>
      </c>
      <c r="I3655" s="177">
        <f>IF(G3655=0,0,IF(E3655="MXN",1/HLOOKUP(YEAR(C3655)+(MONTH(C3655)/100),TC!$5:$37,DAY(C3655)+2,FALSE),VLOOKUP(E3655,Equivalencia!$5:$23,((MAX(Equivalencia!$3:$3)-YEAR(C3655))*14)+MONTH(C3655)+2,FALSE)))</f>
        <v>0</v>
      </c>
      <c r="J3655" s="178">
        <f t="shared" si="285"/>
        <v>0</v>
      </c>
      <c r="K3655" s="462">
        <f>IF(C3655=0,0,VLOOKUP(YEAR(C3655),INPC!$B$4:$O$29,MONTH(C3655)+1))</f>
        <v>0</v>
      </c>
      <c r="L3655" s="462">
        <f>IF(S3655=0,0,VLOOKUP(YEAR(S3655),INPC!$B$4:$O$29,MONTH(S3655)+1))</f>
        <v>0</v>
      </c>
      <c r="M3655" s="463">
        <f t="shared" si="286"/>
        <v>0</v>
      </c>
      <c r="N3655" s="465">
        <f t="shared" si="287"/>
        <v>0</v>
      </c>
      <c r="O3655" s="179"/>
      <c r="P3655" s="180"/>
      <c r="Q3655" s="173"/>
      <c r="R3655" s="173"/>
      <c r="S3655" s="174"/>
      <c r="T3655" s="173"/>
      <c r="U3655" s="182"/>
      <c r="V3655" s="177">
        <f>IF(U3655=0,0,IF(T3655="MXN",1/HLOOKUP(YEAR(S3655)+(MONTH(S3655)/100),TC!$5:$37,DAY(S3655)+2,FALSE),VLOOKUP(T3655,Equivalencia!$1:$23,((MAX(Equivalencia!$3:$3)-YEAR(S3655))*14)+MONTH(S3655)+2,FALSE)))</f>
        <v>0</v>
      </c>
      <c r="W3655" s="178">
        <f t="shared" si="288"/>
        <v>0</v>
      </c>
      <c r="X3655" s="481">
        <f t="shared" si="289"/>
        <v>0</v>
      </c>
      <c r="Y3655" s="179"/>
      <c r="Z3655" s="466">
        <f t="shared" si="290"/>
        <v>0</v>
      </c>
      <c r="AA3655" s="473">
        <f t="shared" si="291"/>
        <v>0</v>
      </c>
      <c r="AB3655" s="339">
        <f t="shared" si="292"/>
        <v>0</v>
      </c>
    </row>
    <row r="3656" spans="2:28" ht="20.100000000000001" customHeight="1">
      <c r="B3656" s="172"/>
      <c r="C3656" s="174"/>
      <c r="D3656" s="181"/>
      <c r="E3656" s="173"/>
      <c r="F3656" s="176"/>
      <c r="G3656" s="175">
        <f t="shared" si="283"/>
        <v>0</v>
      </c>
      <c r="H3656" s="175">
        <f t="shared" si="284"/>
        <v>0</v>
      </c>
      <c r="I3656" s="177">
        <f>IF(G3656=0,0,IF(E3656="MXN",1/HLOOKUP(YEAR(C3656)+(MONTH(C3656)/100),TC!$5:$37,DAY(C3656)+2,FALSE),VLOOKUP(E3656,Equivalencia!$5:$23,((MAX(Equivalencia!$3:$3)-YEAR(C3656))*14)+MONTH(C3656)+2,FALSE)))</f>
        <v>0</v>
      </c>
      <c r="J3656" s="178">
        <f t="shared" si="285"/>
        <v>0</v>
      </c>
      <c r="K3656" s="462">
        <f>IF(C3656=0,0,VLOOKUP(YEAR(C3656),INPC!$B$4:$O$29,MONTH(C3656)+1))</f>
        <v>0</v>
      </c>
      <c r="L3656" s="462">
        <f>IF(S3656=0,0,VLOOKUP(YEAR(S3656),INPC!$B$4:$O$29,MONTH(S3656)+1))</f>
        <v>0</v>
      </c>
      <c r="M3656" s="463">
        <f t="shared" si="286"/>
        <v>0</v>
      </c>
      <c r="N3656" s="465">
        <f t="shared" si="287"/>
        <v>0</v>
      </c>
      <c r="O3656" s="179"/>
      <c r="P3656" s="180"/>
      <c r="Q3656" s="173"/>
      <c r="R3656" s="173"/>
      <c r="S3656" s="174"/>
      <c r="T3656" s="173"/>
      <c r="U3656" s="182"/>
      <c r="V3656" s="177">
        <f>IF(U3656=0,0,IF(T3656="MXN",1/HLOOKUP(YEAR(S3656)+(MONTH(S3656)/100),TC!$5:$37,DAY(S3656)+2,FALSE),VLOOKUP(T3656,Equivalencia!$1:$23,((MAX(Equivalencia!$3:$3)-YEAR(S3656))*14)+MONTH(S3656)+2,FALSE)))</f>
        <v>0</v>
      </c>
      <c r="W3656" s="178">
        <f t="shared" si="288"/>
        <v>0</v>
      </c>
      <c r="X3656" s="481">
        <f t="shared" si="289"/>
        <v>0</v>
      </c>
      <c r="Y3656" s="179"/>
      <c r="Z3656" s="466">
        <f t="shared" si="290"/>
        <v>0</v>
      </c>
      <c r="AA3656" s="473">
        <f t="shared" si="291"/>
        <v>0</v>
      </c>
      <c r="AB3656" s="339">
        <f t="shared" si="292"/>
        <v>0</v>
      </c>
    </row>
    <row r="3657" spans="2:28" ht="20.100000000000001" customHeight="1">
      <c r="B3657" s="172"/>
      <c r="C3657" s="174"/>
      <c r="D3657" s="181"/>
      <c r="E3657" s="173"/>
      <c r="F3657" s="176"/>
      <c r="G3657" s="175">
        <f t="shared" si="283"/>
        <v>0</v>
      </c>
      <c r="H3657" s="175">
        <f t="shared" si="284"/>
        <v>0</v>
      </c>
      <c r="I3657" s="177">
        <f>IF(G3657=0,0,IF(E3657="MXN",1/HLOOKUP(YEAR(C3657)+(MONTH(C3657)/100),TC!$5:$37,DAY(C3657)+2,FALSE),VLOOKUP(E3657,Equivalencia!$5:$23,((MAX(Equivalencia!$3:$3)-YEAR(C3657))*14)+MONTH(C3657)+2,FALSE)))</f>
        <v>0</v>
      </c>
      <c r="J3657" s="178">
        <f t="shared" si="285"/>
        <v>0</v>
      </c>
      <c r="K3657" s="462">
        <f>IF(C3657=0,0,VLOOKUP(YEAR(C3657),INPC!$B$4:$O$29,MONTH(C3657)+1))</f>
        <v>0</v>
      </c>
      <c r="L3657" s="462">
        <f>IF(S3657=0,0,VLOOKUP(YEAR(S3657),INPC!$B$4:$O$29,MONTH(S3657)+1))</f>
        <v>0</v>
      </c>
      <c r="M3657" s="463">
        <f t="shared" si="286"/>
        <v>0</v>
      </c>
      <c r="N3657" s="465">
        <f t="shared" si="287"/>
        <v>0</v>
      </c>
      <c r="O3657" s="179"/>
      <c r="P3657" s="180"/>
      <c r="Q3657" s="173"/>
      <c r="R3657" s="173"/>
      <c r="S3657" s="174"/>
      <c r="T3657" s="173"/>
      <c r="U3657" s="182"/>
      <c r="V3657" s="177">
        <f>IF(U3657=0,0,IF(T3657="MXN",1/HLOOKUP(YEAR(S3657)+(MONTH(S3657)/100),TC!$5:$37,DAY(S3657)+2,FALSE),VLOOKUP(T3657,Equivalencia!$1:$23,((MAX(Equivalencia!$3:$3)-YEAR(S3657))*14)+MONTH(S3657)+2,FALSE)))</f>
        <v>0</v>
      </c>
      <c r="W3657" s="178">
        <f t="shared" si="288"/>
        <v>0</v>
      </c>
      <c r="X3657" s="481">
        <f t="shared" si="289"/>
        <v>0</v>
      </c>
      <c r="Y3657" s="179"/>
      <c r="Z3657" s="466">
        <f t="shared" si="290"/>
        <v>0</v>
      </c>
      <c r="AA3657" s="473">
        <f t="shared" si="291"/>
        <v>0</v>
      </c>
      <c r="AB3657" s="339">
        <f t="shared" si="292"/>
        <v>0</v>
      </c>
    </row>
    <row r="3658" spans="2:28" ht="20.100000000000001" customHeight="1">
      <c r="B3658" s="172"/>
      <c r="C3658" s="174"/>
      <c r="D3658" s="181"/>
      <c r="E3658" s="173"/>
      <c r="F3658" s="176"/>
      <c r="G3658" s="175">
        <f t="shared" si="283"/>
        <v>0</v>
      </c>
      <c r="H3658" s="175">
        <f t="shared" si="284"/>
        <v>0</v>
      </c>
      <c r="I3658" s="177">
        <f>IF(G3658=0,0,IF(E3658="MXN",1/HLOOKUP(YEAR(C3658)+(MONTH(C3658)/100),TC!$5:$37,DAY(C3658)+2,FALSE),VLOOKUP(E3658,Equivalencia!$5:$23,((MAX(Equivalencia!$3:$3)-YEAR(C3658))*14)+MONTH(C3658)+2,FALSE)))</f>
        <v>0</v>
      </c>
      <c r="J3658" s="178">
        <f t="shared" si="285"/>
        <v>0</v>
      </c>
      <c r="K3658" s="462">
        <f>IF(C3658=0,0,VLOOKUP(YEAR(C3658),INPC!$B$4:$O$29,MONTH(C3658)+1))</f>
        <v>0</v>
      </c>
      <c r="L3658" s="462">
        <f>IF(S3658=0,0,VLOOKUP(YEAR(S3658),INPC!$B$4:$O$29,MONTH(S3658)+1))</f>
        <v>0</v>
      </c>
      <c r="M3658" s="463">
        <f t="shared" si="286"/>
        <v>0</v>
      </c>
      <c r="N3658" s="465">
        <f t="shared" si="287"/>
        <v>0</v>
      </c>
      <c r="O3658" s="179"/>
      <c r="P3658" s="180"/>
      <c r="Q3658" s="173"/>
      <c r="R3658" s="173"/>
      <c r="S3658" s="174"/>
      <c r="T3658" s="173"/>
      <c r="U3658" s="182"/>
      <c r="V3658" s="177">
        <f>IF(U3658=0,0,IF(T3658="MXN",1/HLOOKUP(YEAR(S3658)+(MONTH(S3658)/100),TC!$5:$37,DAY(S3658)+2,FALSE),VLOOKUP(T3658,Equivalencia!$1:$23,((MAX(Equivalencia!$3:$3)-YEAR(S3658))*14)+MONTH(S3658)+2,FALSE)))</f>
        <v>0</v>
      </c>
      <c r="W3658" s="178">
        <f t="shared" si="288"/>
        <v>0</v>
      </c>
      <c r="X3658" s="481">
        <f t="shared" si="289"/>
        <v>0</v>
      </c>
      <c r="Y3658" s="179"/>
      <c r="Z3658" s="466">
        <f t="shared" si="290"/>
        <v>0</v>
      </c>
      <c r="AA3658" s="473">
        <f t="shared" si="291"/>
        <v>0</v>
      </c>
      <c r="AB3658" s="339">
        <f t="shared" si="292"/>
        <v>0</v>
      </c>
    </row>
    <row r="3659" spans="2:28" ht="20.100000000000001" customHeight="1">
      <c r="B3659" s="172"/>
      <c r="C3659" s="174"/>
      <c r="D3659" s="181"/>
      <c r="E3659" s="173"/>
      <c r="F3659" s="176"/>
      <c r="G3659" s="175">
        <f t="shared" si="283"/>
        <v>0</v>
      </c>
      <c r="H3659" s="175">
        <f t="shared" si="284"/>
        <v>0</v>
      </c>
      <c r="I3659" s="177">
        <f>IF(G3659=0,0,IF(E3659="MXN",1/HLOOKUP(YEAR(C3659)+(MONTH(C3659)/100),TC!$5:$37,DAY(C3659)+2,FALSE),VLOOKUP(E3659,Equivalencia!$5:$23,((MAX(Equivalencia!$3:$3)-YEAR(C3659))*14)+MONTH(C3659)+2,FALSE)))</f>
        <v>0</v>
      </c>
      <c r="J3659" s="178">
        <f t="shared" si="285"/>
        <v>0</v>
      </c>
      <c r="K3659" s="462">
        <f>IF(C3659=0,0,VLOOKUP(YEAR(C3659),INPC!$B$4:$O$29,MONTH(C3659)+1))</f>
        <v>0</v>
      </c>
      <c r="L3659" s="462">
        <f>IF(S3659=0,0,VLOOKUP(YEAR(S3659),INPC!$B$4:$O$29,MONTH(S3659)+1))</f>
        <v>0</v>
      </c>
      <c r="M3659" s="463">
        <f t="shared" si="286"/>
        <v>0</v>
      </c>
      <c r="N3659" s="465">
        <f t="shared" si="287"/>
        <v>0</v>
      </c>
      <c r="O3659" s="179"/>
      <c r="P3659" s="180"/>
      <c r="Q3659" s="173"/>
      <c r="R3659" s="173"/>
      <c r="S3659" s="174"/>
      <c r="T3659" s="173"/>
      <c r="U3659" s="182"/>
      <c r="V3659" s="177">
        <f>IF(U3659=0,0,IF(T3659="MXN",1/HLOOKUP(YEAR(S3659)+(MONTH(S3659)/100),TC!$5:$37,DAY(S3659)+2,FALSE),VLOOKUP(T3659,Equivalencia!$1:$23,((MAX(Equivalencia!$3:$3)-YEAR(S3659))*14)+MONTH(S3659)+2,FALSE)))</f>
        <v>0</v>
      </c>
      <c r="W3659" s="178">
        <f t="shared" si="288"/>
        <v>0</v>
      </c>
      <c r="X3659" s="481">
        <f t="shared" si="289"/>
        <v>0</v>
      </c>
      <c r="Y3659" s="179"/>
      <c r="Z3659" s="466">
        <f t="shared" si="290"/>
        <v>0</v>
      </c>
      <c r="AA3659" s="473">
        <f t="shared" si="291"/>
        <v>0</v>
      </c>
      <c r="AB3659" s="339">
        <f t="shared" si="292"/>
        <v>0</v>
      </c>
    </row>
    <row r="3660" spans="2:28" ht="20.100000000000001" customHeight="1">
      <c r="B3660" s="172"/>
      <c r="C3660" s="174"/>
      <c r="D3660" s="181"/>
      <c r="E3660" s="173"/>
      <c r="F3660" s="176"/>
      <c r="G3660" s="175">
        <f t="shared" si="283"/>
        <v>0</v>
      </c>
      <c r="H3660" s="175">
        <f t="shared" si="284"/>
        <v>0</v>
      </c>
      <c r="I3660" s="177">
        <f>IF(G3660=0,0,IF(E3660="MXN",1/HLOOKUP(YEAR(C3660)+(MONTH(C3660)/100),TC!$5:$37,DAY(C3660)+2,FALSE),VLOOKUP(E3660,Equivalencia!$5:$23,((MAX(Equivalencia!$3:$3)-YEAR(C3660))*14)+MONTH(C3660)+2,FALSE)))</f>
        <v>0</v>
      </c>
      <c r="J3660" s="178">
        <f t="shared" si="285"/>
        <v>0</v>
      </c>
      <c r="K3660" s="462">
        <f>IF(C3660=0,0,VLOOKUP(YEAR(C3660),INPC!$B$4:$O$29,MONTH(C3660)+1))</f>
        <v>0</v>
      </c>
      <c r="L3660" s="462">
        <f>IF(S3660=0,0,VLOOKUP(YEAR(S3660),INPC!$B$4:$O$29,MONTH(S3660)+1))</f>
        <v>0</v>
      </c>
      <c r="M3660" s="463">
        <f t="shared" si="286"/>
        <v>0</v>
      </c>
      <c r="N3660" s="465">
        <f t="shared" si="287"/>
        <v>0</v>
      </c>
      <c r="O3660" s="179"/>
      <c r="P3660" s="180"/>
      <c r="Q3660" s="173"/>
      <c r="R3660" s="173"/>
      <c r="S3660" s="174"/>
      <c r="T3660" s="173"/>
      <c r="U3660" s="182"/>
      <c r="V3660" s="177">
        <f>IF(U3660=0,0,IF(T3660="MXN",1/HLOOKUP(YEAR(S3660)+(MONTH(S3660)/100),TC!$5:$37,DAY(S3660)+2,FALSE),VLOOKUP(T3660,Equivalencia!$1:$23,((MAX(Equivalencia!$3:$3)-YEAR(S3660))*14)+MONTH(S3660)+2,FALSE)))</f>
        <v>0</v>
      </c>
      <c r="W3660" s="178">
        <f t="shared" si="288"/>
        <v>0</v>
      </c>
      <c r="X3660" s="481">
        <f t="shared" si="289"/>
        <v>0</v>
      </c>
      <c r="Y3660" s="179"/>
      <c r="Z3660" s="466">
        <f t="shared" si="290"/>
        <v>0</v>
      </c>
      <c r="AA3660" s="473">
        <f t="shared" si="291"/>
        <v>0</v>
      </c>
      <c r="AB3660" s="339">
        <f t="shared" si="292"/>
        <v>0</v>
      </c>
    </row>
    <row r="3661" spans="2:28" ht="20.100000000000001" customHeight="1">
      <c r="B3661" s="172"/>
      <c r="C3661" s="174"/>
      <c r="D3661" s="181"/>
      <c r="E3661" s="173"/>
      <c r="F3661" s="176"/>
      <c r="G3661" s="175">
        <f t="shared" si="283"/>
        <v>0</v>
      </c>
      <c r="H3661" s="175">
        <f t="shared" si="284"/>
        <v>0</v>
      </c>
      <c r="I3661" s="177">
        <f>IF(G3661=0,0,IF(E3661="MXN",1/HLOOKUP(YEAR(C3661)+(MONTH(C3661)/100),TC!$5:$37,DAY(C3661)+2,FALSE),VLOOKUP(E3661,Equivalencia!$5:$23,((MAX(Equivalencia!$3:$3)-YEAR(C3661))*14)+MONTH(C3661)+2,FALSE)))</f>
        <v>0</v>
      </c>
      <c r="J3661" s="178">
        <f t="shared" si="285"/>
        <v>0</v>
      </c>
      <c r="K3661" s="462">
        <f>IF(C3661=0,0,VLOOKUP(YEAR(C3661),INPC!$B$4:$O$29,MONTH(C3661)+1))</f>
        <v>0</v>
      </c>
      <c r="L3661" s="462">
        <f>IF(S3661=0,0,VLOOKUP(YEAR(S3661),INPC!$B$4:$O$29,MONTH(S3661)+1))</f>
        <v>0</v>
      </c>
      <c r="M3661" s="463">
        <f t="shared" si="286"/>
        <v>0</v>
      </c>
      <c r="N3661" s="465">
        <f t="shared" si="287"/>
        <v>0</v>
      </c>
      <c r="O3661" s="179"/>
      <c r="P3661" s="180"/>
      <c r="Q3661" s="173"/>
      <c r="R3661" s="173"/>
      <c r="S3661" s="174"/>
      <c r="T3661" s="173"/>
      <c r="U3661" s="182"/>
      <c r="V3661" s="177">
        <f>IF(U3661=0,0,IF(T3661="MXN",1/HLOOKUP(YEAR(S3661)+(MONTH(S3661)/100),TC!$5:$37,DAY(S3661)+2,FALSE),VLOOKUP(T3661,Equivalencia!$1:$23,((MAX(Equivalencia!$3:$3)-YEAR(S3661))*14)+MONTH(S3661)+2,FALSE)))</f>
        <v>0</v>
      </c>
      <c r="W3661" s="178">
        <f t="shared" si="288"/>
        <v>0</v>
      </c>
      <c r="X3661" s="481">
        <f t="shared" si="289"/>
        <v>0</v>
      </c>
      <c r="Y3661" s="179"/>
      <c r="Z3661" s="466">
        <f t="shared" si="290"/>
        <v>0</v>
      </c>
      <c r="AA3661" s="473">
        <f t="shared" si="291"/>
        <v>0</v>
      </c>
      <c r="AB3661" s="339">
        <f t="shared" si="292"/>
        <v>0</v>
      </c>
    </row>
    <row r="3662" spans="2:28" ht="20.100000000000001" customHeight="1">
      <c r="B3662" s="172"/>
      <c r="C3662" s="174"/>
      <c r="D3662" s="181"/>
      <c r="E3662" s="173"/>
      <c r="F3662" s="176"/>
      <c r="G3662" s="175">
        <f t="shared" si="283"/>
        <v>0</v>
      </c>
      <c r="H3662" s="175">
        <f t="shared" si="284"/>
        <v>0</v>
      </c>
      <c r="I3662" s="177">
        <f>IF(G3662=0,0,IF(E3662="MXN",1/HLOOKUP(YEAR(C3662)+(MONTH(C3662)/100),TC!$5:$37,DAY(C3662)+2,FALSE),VLOOKUP(E3662,Equivalencia!$5:$23,((MAX(Equivalencia!$3:$3)-YEAR(C3662))*14)+MONTH(C3662)+2,FALSE)))</f>
        <v>0</v>
      </c>
      <c r="J3662" s="178">
        <f t="shared" si="285"/>
        <v>0</v>
      </c>
      <c r="K3662" s="462">
        <f>IF(C3662=0,0,VLOOKUP(YEAR(C3662),INPC!$B$4:$O$29,MONTH(C3662)+1))</f>
        <v>0</v>
      </c>
      <c r="L3662" s="462">
        <f>IF(S3662=0,0,VLOOKUP(YEAR(S3662),INPC!$B$4:$O$29,MONTH(S3662)+1))</f>
        <v>0</v>
      </c>
      <c r="M3662" s="463">
        <f t="shared" si="286"/>
        <v>0</v>
      </c>
      <c r="N3662" s="465">
        <f t="shared" si="287"/>
        <v>0</v>
      </c>
      <c r="O3662" s="179"/>
      <c r="P3662" s="180"/>
      <c r="Q3662" s="173"/>
      <c r="R3662" s="173"/>
      <c r="S3662" s="174"/>
      <c r="T3662" s="173"/>
      <c r="U3662" s="182"/>
      <c r="V3662" s="177">
        <f>IF(U3662=0,0,IF(T3662="MXN",1/HLOOKUP(YEAR(S3662)+(MONTH(S3662)/100),TC!$5:$37,DAY(S3662)+2,FALSE),VLOOKUP(T3662,Equivalencia!$1:$23,((MAX(Equivalencia!$3:$3)-YEAR(S3662))*14)+MONTH(S3662)+2,FALSE)))</f>
        <v>0</v>
      </c>
      <c r="W3662" s="178">
        <f t="shared" si="288"/>
        <v>0</v>
      </c>
      <c r="X3662" s="481">
        <f t="shared" si="289"/>
        <v>0</v>
      </c>
      <c r="Y3662" s="179"/>
      <c r="Z3662" s="466">
        <f t="shared" si="290"/>
        <v>0</v>
      </c>
      <c r="AA3662" s="473">
        <f t="shared" si="291"/>
        <v>0</v>
      </c>
      <c r="AB3662" s="339">
        <f t="shared" si="292"/>
        <v>0</v>
      </c>
    </row>
    <row r="3663" spans="2:28" ht="20.100000000000001" customHeight="1">
      <c r="B3663" s="172"/>
      <c r="C3663" s="174"/>
      <c r="D3663" s="181"/>
      <c r="E3663" s="173"/>
      <c r="F3663" s="176"/>
      <c r="G3663" s="175">
        <f t="shared" si="283"/>
        <v>0</v>
      </c>
      <c r="H3663" s="175">
        <f t="shared" si="284"/>
        <v>0</v>
      </c>
      <c r="I3663" s="177">
        <f>IF(G3663=0,0,IF(E3663="MXN",1/HLOOKUP(YEAR(C3663)+(MONTH(C3663)/100),TC!$5:$37,DAY(C3663)+2,FALSE),VLOOKUP(E3663,Equivalencia!$5:$23,((MAX(Equivalencia!$3:$3)-YEAR(C3663))*14)+MONTH(C3663)+2,FALSE)))</f>
        <v>0</v>
      </c>
      <c r="J3663" s="178">
        <f t="shared" si="285"/>
        <v>0</v>
      </c>
      <c r="K3663" s="462">
        <f>IF(C3663=0,0,VLOOKUP(YEAR(C3663),INPC!$B$4:$O$29,MONTH(C3663)+1))</f>
        <v>0</v>
      </c>
      <c r="L3663" s="462">
        <f>IF(S3663=0,0,VLOOKUP(YEAR(S3663),INPC!$B$4:$O$29,MONTH(S3663)+1))</f>
        <v>0</v>
      </c>
      <c r="M3663" s="463">
        <f t="shared" si="286"/>
        <v>0</v>
      </c>
      <c r="N3663" s="465">
        <f t="shared" si="287"/>
        <v>0</v>
      </c>
      <c r="O3663" s="179"/>
      <c r="P3663" s="180"/>
      <c r="Q3663" s="173"/>
      <c r="R3663" s="173"/>
      <c r="S3663" s="174"/>
      <c r="T3663" s="173"/>
      <c r="U3663" s="182"/>
      <c r="V3663" s="177">
        <f>IF(U3663=0,0,IF(T3663="MXN",1/HLOOKUP(YEAR(S3663)+(MONTH(S3663)/100),TC!$5:$37,DAY(S3663)+2,FALSE),VLOOKUP(T3663,Equivalencia!$1:$23,((MAX(Equivalencia!$3:$3)-YEAR(S3663))*14)+MONTH(S3663)+2,FALSE)))</f>
        <v>0</v>
      </c>
      <c r="W3663" s="178">
        <f t="shared" si="288"/>
        <v>0</v>
      </c>
      <c r="X3663" s="481">
        <f t="shared" si="289"/>
        <v>0</v>
      </c>
      <c r="Y3663" s="179"/>
      <c r="Z3663" s="466">
        <f t="shared" si="290"/>
        <v>0</v>
      </c>
      <c r="AA3663" s="473">
        <f t="shared" si="291"/>
        <v>0</v>
      </c>
      <c r="AB3663" s="339">
        <f t="shared" si="292"/>
        <v>0</v>
      </c>
    </row>
    <row r="3664" spans="2:28" ht="20.100000000000001" customHeight="1">
      <c r="B3664" s="172"/>
      <c r="C3664" s="174"/>
      <c r="D3664" s="181"/>
      <c r="E3664" s="173"/>
      <c r="F3664" s="176"/>
      <c r="G3664" s="175">
        <f t="shared" si="283"/>
        <v>0</v>
      </c>
      <c r="H3664" s="175">
        <f t="shared" si="284"/>
        <v>0</v>
      </c>
      <c r="I3664" s="177">
        <f>IF(G3664=0,0,IF(E3664="MXN",1/HLOOKUP(YEAR(C3664)+(MONTH(C3664)/100),TC!$5:$37,DAY(C3664)+2,FALSE),VLOOKUP(E3664,Equivalencia!$5:$23,((MAX(Equivalencia!$3:$3)-YEAR(C3664))*14)+MONTH(C3664)+2,FALSE)))</f>
        <v>0</v>
      </c>
      <c r="J3664" s="178">
        <f t="shared" si="285"/>
        <v>0</v>
      </c>
      <c r="K3664" s="462">
        <f>IF(C3664=0,0,VLOOKUP(YEAR(C3664),INPC!$B$4:$O$29,MONTH(C3664)+1))</f>
        <v>0</v>
      </c>
      <c r="L3664" s="462">
        <f>IF(S3664=0,0,VLOOKUP(YEAR(S3664),INPC!$B$4:$O$29,MONTH(S3664)+1))</f>
        <v>0</v>
      </c>
      <c r="M3664" s="463">
        <f t="shared" si="286"/>
        <v>0</v>
      </c>
      <c r="N3664" s="465">
        <f t="shared" si="287"/>
        <v>0</v>
      </c>
      <c r="O3664" s="179"/>
      <c r="P3664" s="180"/>
      <c r="Q3664" s="173"/>
      <c r="R3664" s="173"/>
      <c r="S3664" s="174"/>
      <c r="T3664" s="173"/>
      <c r="U3664" s="182"/>
      <c r="V3664" s="177">
        <f>IF(U3664=0,0,IF(T3664="MXN",1/HLOOKUP(YEAR(S3664)+(MONTH(S3664)/100),TC!$5:$37,DAY(S3664)+2,FALSE),VLOOKUP(T3664,Equivalencia!$1:$23,((MAX(Equivalencia!$3:$3)-YEAR(S3664))*14)+MONTH(S3664)+2,FALSE)))</f>
        <v>0</v>
      </c>
      <c r="W3664" s="178">
        <f t="shared" si="288"/>
        <v>0</v>
      </c>
      <c r="X3664" s="481">
        <f t="shared" si="289"/>
        <v>0</v>
      </c>
      <c r="Y3664" s="179"/>
      <c r="Z3664" s="466">
        <f t="shared" si="290"/>
        <v>0</v>
      </c>
      <c r="AA3664" s="473">
        <f t="shared" si="291"/>
        <v>0</v>
      </c>
      <c r="AB3664" s="339">
        <f t="shared" si="292"/>
        <v>0</v>
      </c>
    </row>
    <row r="3665" spans="2:28" ht="20.100000000000001" customHeight="1">
      <c r="B3665" s="172"/>
      <c r="C3665" s="174"/>
      <c r="D3665" s="181"/>
      <c r="E3665" s="173"/>
      <c r="F3665" s="176"/>
      <c r="G3665" s="175">
        <f t="shared" si="283"/>
        <v>0</v>
      </c>
      <c r="H3665" s="175">
        <f t="shared" si="284"/>
        <v>0</v>
      </c>
      <c r="I3665" s="177">
        <f>IF(G3665=0,0,IF(E3665="MXN",1/HLOOKUP(YEAR(C3665)+(MONTH(C3665)/100),TC!$5:$37,DAY(C3665)+2,FALSE),VLOOKUP(E3665,Equivalencia!$5:$23,((MAX(Equivalencia!$3:$3)-YEAR(C3665))*14)+MONTH(C3665)+2,FALSE)))</f>
        <v>0</v>
      </c>
      <c r="J3665" s="178">
        <f t="shared" si="285"/>
        <v>0</v>
      </c>
      <c r="K3665" s="462">
        <f>IF(C3665=0,0,VLOOKUP(YEAR(C3665),INPC!$B$4:$O$29,MONTH(C3665)+1))</f>
        <v>0</v>
      </c>
      <c r="L3665" s="462">
        <f>IF(S3665=0,0,VLOOKUP(YEAR(S3665),INPC!$B$4:$O$29,MONTH(S3665)+1))</f>
        <v>0</v>
      </c>
      <c r="M3665" s="463">
        <f t="shared" si="286"/>
        <v>0</v>
      </c>
      <c r="N3665" s="465">
        <f t="shared" si="287"/>
        <v>0</v>
      </c>
      <c r="O3665" s="179"/>
      <c r="P3665" s="180"/>
      <c r="Q3665" s="173"/>
      <c r="R3665" s="173"/>
      <c r="S3665" s="174"/>
      <c r="T3665" s="173"/>
      <c r="U3665" s="182"/>
      <c r="V3665" s="177">
        <f>IF(U3665=0,0,IF(T3665="MXN",1/HLOOKUP(YEAR(S3665)+(MONTH(S3665)/100),TC!$5:$37,DAY(S3665)+2,FALSE),VLOOKUP(T3665,Equivalencia!$1:$23,((MAX(Equivalencia!$3:$3)-YEAR(S3665))*14)+MONTH(S3665)+2,FALSE)))</f>
        <v>0</v>
      </c>
      <c r="W3665" s="178">
        <f t="shared" si="288"/>
        <v>0</v>
      </c>
      <c r="X3665" s="481">
        <f t="shared" si="289"/>
        <v>0</v>
      </c>
      <c r="Y3665" s="179"/>
      <c r="Z3665" s="466">
        <f t="shared" si="290"/>
        <v>0</v>
      </c>
      <c r="AA3665" s="473">
        <f t="shared" si="291"/>
        <v>0</v>
      </c>
      <c r="AB3665" s="339">
        <f t="shared" si="292"/>
        <v>0</v>
      </c>
    </row>
    <row r="3666" spans="2:28" ht="20.100000000000001" customHeight="1">
      <c r="B3666" s="172"/>
      <c r="C3666" s="174"/>
      <c r="D3666" s="181"/>
      <c r="E3666" s="173"/>
      <c r="F3666" s="176"/>
      <c r="G3666" s="175">
        <f t="shared" si="283"/>
        <v>0</v>
      </c>
      <c r="H3666" s="175">
        <f t="shared" si="284"/>
        <v>0</v>
      </c>
      <c r="I3666" s="177">
        <f>IF(G3666=0,0,IF(E3666="MXN",1/HLOOKUP(YEAR(C3666)+(MONTH(C3666)/100),TC!$5:$37,DAY(C3666)+2,FALSE),VLOOKUP(E3666,Equivalencia!$5:$23,((MAX(Equivalencia!$3:$3)-YEAR(C3666))*14)+MONTH(C3666)+2,FALSE)))</f>
        <v>0</v>
      </c>
      <c r="J3666" s="178">
        <f t="shared" si="285"/>
        <v>0</v>
      </c>
      <c r="K3666" s="462">
        <f>IF(C3666=0,0,VLOOKUP(YEAR(C3666),INPC!$B$4:$O$29,MONTH(C3666)+1))</f>
        <v>0</v>
      </c>
      <c r="L3666" s="462">
        <f>IF(S3666=0,0,VLOOKUP(YEAR(S3666),INPC!$B$4:$O$29,MONTH(S3666)+1))</f>
        <v>0</v>
      </c>
      <c r="M3666" s="463">
        <f t="shared" si="286"/>
        <v>0</v>
      </c>
      <c r="N3666" s="465">
        <f t="shared" si="287"/>
        <v>0</v>
      </c>
      <c r="O3666" s="179"/>
      <c r="P3666" s="180"/>
      <c r="Q3666" s="173"/>
      <c r="R3666" s="173"/>
      <c r="S3666" s="174"/>
      <c r="T3666" s="173"/>
      <c r="U3666" s="182"/>
      <c r="V3666" s="177">
        <f>IF(U3666=0,0,IF(T3666="MXN",1/HLOOKUP(YEAR(S3666)+(MONTH(S3666)/100),TC!$5:$37,DAY(S3666)+2,FALSE),VLOOKUP(T3666,Equivalencia!$1:$23,((MAX(Equivalencia!$3:$3)-YEAR(S3666))*14)+MONTH(S3666)+2,FALSE)))</f>
        <v>0</v>
      </c>
      <c r="W3666" s="178">
        <f t="shared" si="288"/>
        <v>0</v>
      </c>
      <c r="X3666" s="481">
        <f t="shared" si="289"/>
        <v>0</v>
      </c>
      <c r="Y3666" s="179"/>
      <c r="Z3666" s="466">
        <f t="shared" si="290"/>
        <v>0</v>
      </c>
      <c r="AA3666" s="473">
        <f t="shared" si="291"/>
        <v>0</v>
      </c>
      <c r="AB3666" s="339">
        <f t="shared" si="292"/>
        <v>0</v>
      </c>
    </row>
    <row r="3667" spans="2:28" ht="20.100000000000001" customHeight="1">
      <c r="B3667" s="172"/>
      <c r="C3667" s="174"/>
      <c r="D3667" s="181"/>
      <c r="E3667" s="173"/>
      <c r="F3667" s="176"/>
      <c r="G3667" s="175">
        <f t="shared" si="283"/>
        <v>0</v>
      </c>
      <c r="H3667" s="175">
        <f t="shared" si="284"/>
        <v>0</v>
      </c>
      <c r="I3667" s="177">
        <f>IF(G3667=0,0,IF(E3667="MXN",1/HLOOKUP(YEAR(C3667)+(MONTH(C3667)/100),TC!$5:$37,DAY(C3667)+2,FALSE),VLOOKUP(E3667,Equivalencia!$5:$23,((MAX(Equivalencia!$3:$3)-YEAR(C3667))*14)+MONTH(C3667)+2,FALSE)))</f>
        <v>0</v>
      </c>
      <c r="J3667" s="178">
        <f t="shared" si="285"/>
        <v>0</v>
      </c>
      <c r="K3667" s="462">
        <f>IF(C3667=0,0,VLOOKUP(YEAR(C3667),INPC!$B$4:$O$29,MONTH(C3667)+1))</f>
        <v>0</v>
      </c>
      <c r="L3667" s="462">
        <f>IF(S3667=0,0,VLOOKUP(YEAR(S3667),INPC!$B$4:$O$29,MONTH(S3667)+1))</f>
        <v>0</v>
      </c>
      <c r="M3667" s="463">
        <f t="shared" si="286"/>
        <v>0</v>
      </c>
      <c r="N3667" s="465">
        <f t="shared" si="287"/>
        <v>0</v>
      </c>
      <c r="O3667" s="179"/>
      <c r="P3667" s="180"/>
      <c r="Q3667" s="173"/>
      <c r="R3667" s="173"/>
      <c r="S3667" s="174"/>
      <c r="T3667" s="173"/>
      <c r="U3667" s="182"/>
      <c r="V3667" s="177">
        <f>IF(U3667=0,0,IF(T3667="MXN",1/HLOOKUP(YEAR(S3667)+(MONTH(S3667)/100),TC!$5:$37,DAY(S3667)+2,FALSE),VLOOKUP(T3667,Equivalencia!$1:$23,((MAX(Equivalencia!$3:$3)-YEAR(S3667))*14)+MONTH(S3667)+2,FALSE)))</f>
        <v>0</v>
      </c>
      <c r="W3667" s="178">
        <f t="shared" si="288"/>
        <v>0</v>
      </c>
      <c r="X3667" s="481">
        <f t="shared" si="289"/>
        <v>0</v>
      </c>
      <c r="Y3667" s="179"/>
      <c r="Z3667" s="466">
        <f t="shared" si="290"/>
        <v>0</v>
      </c>
      <c r="AA3667" s="473">
        <f t="shared" si="291"/>
        <v>0</v>
      </c>
      <c r="AB3667" s="339">
        <f t="shared" si="292"/>
        <v>0</v>
      </c>
    </row>
    <row r="3668" spans="2:28" ht="20.100000000000001" customHeight="1">
      <c r="B3668" s="172"/>
      <c r="C3668" s="174"/>
      <c r="D3668" s="181"/>
      <c r="E3668" s="173"/>
      <c r="F3668" s="176"/>
      <c r="G3668" s="175">
        <f t="shared" si="283"/>
        <v>0</v>
      </c>
      <c r="H3668" s="175">
        <f t="shared" si="284"/>
        <v>0</v>
      </c>
      <c r="I3668" s="177">
        <f>IF(G3668=0,0,IF(E3668="MXN",1/HLOOKUP(YEAR(C3668)+(MONTH(C3668)/100),TC!$5:$37,DAY(C3668)+2,FALSE),VLOOKUP(E3668,Equivalencia!$5:$23,((MAX(Equivalencia!$3:$3)-YEAR(C3668))*14)+MONTH(C3668)+2,FALSE)))</f>
        <v>0</v>
      </c>
      <c r="J3668" s="178">
        <f t="shared" si="285"/>
        <v>0</v>
      </c>
      <c r="K3668" s="462">
        <f>IF(C3668=0,0,VLOOKUP(YEAR(C3668),INPC!$B$4:$O$29,MONTH(C3668)+1))</f>
        <v>0</v>
      </c>
      <c r="L3668" s="462">
        <f>IF(S3668=0,0,VLOOKUP(YEAR(S3668),INPC!$B$4:$O$29,MONTH(S3668)+1))</f>
        <v>0</v>
      </c>
      <c r="M3668" s="463">
        <f t="shared" si="286"/>
        <v>0</v>
      </c>
      <c r="N3668" s="465">
        <f t="shared" si="287"/>
        <v>0</v>
      </c>
      <c r="O3668" s="179"/>
      <c r="P3668" s="180"/>
      <c r="Q3668" s="173"/>
      <c r="R3668" s="173"/>
      <c r="S3668" s="174"/>
      <c r="T3668" s="173"/>
      <c r="U3668" s="182"/>
      <c r="V3668" s="177">
        <f>IF(U3668=0,0,IF(T3668="MXN",1/HLOOKUP(YEAR(S3668)+(MONTH(S3668)/100),TC!$5:$37,DAY(S3668)+2,FALSE),VLOOKUP(T3668,Equivalencia!$1:$23,((MAX(Equivalencia!$3:$3)-YEAR(S3668))*14)+MONTH(S3668)+2,FALSE)))</f>
        <v>0</v>
      </c>
      <c r="W3668" s="178">
        <f t="shared" si="288"/>
        <v>0</v>
      </c>
      <c r="X3668" s="481">
        <f t="shared" si="289"/>
        <v>0</v>
      </c>
      <c r="Y3668" s="179"/>
      <c r="Z3668" s="466">
        <f t="shared" si="290"/>
        <v>0</v>
      </c>
      <c r="AA3668" s="473">
        <f t="shared" si="291"/>
        <v>0</v>
      </c>
      <c r="AB3668" s="339">
        <f t="shared" si="292"/>
        <v>0</v>
      </c>
    </row>
    <row r="3669" spans="2:28" ht="20.100000000000001" customHeight="1">
      <c r="B3669" s="172"/>
      <c r="C3669" s="174"/>
      <c r="D3669" s="181"/>
      <c r="E3669" s="173"/>
      <c r="F3669" s="176"/>
      <c r="G3669" s="175">
        <f t="shared" si="283"/>
        <v>0</v>
      </c>
      <c r="H3669" s="175">
        <f t="shared" si="284"/>
        <v>0</v>
      </c>
      <c r="I3669" s="177">
        <f>IF(G3669=0,0,IF(E3669="MXN",1/HLOOKUP(YEAR(C3669)+(MONTH(C3669)/100),TC!$5:$37,DAY(C3669)+2,FALSE),VLOOKUP(E3669,Equivalencia!$5:$23,((MAX(Equivalencia!$3:$3)-YEAR(C3669))*14)+MONTH(C3669)+2,FALSE)))</f>
        <v>0</v>
      </c>
      <c r="J3669" s="178">
        <f t="shared" si="285"/>
        <v>0</v>
      </c>
      <c r="K3669" s="462">
        <f>IF(C3669=0,0,VLOOKUP(YEAR(C3669),INPC!$B$4:$O$29,MONTH(C3669)+1))</f>
        <v>0</v>
      </c>
      <c r="L3669" s="462">
        <f>IF(S3669=0,0,VLOOKUP(YEAR(S3669),INPC!$B$4:$O$29,MONTH(S3669)+1))</f>
        <v>0</v>
      </c>
      <c r="M3669" s="463">
        <f t="shared" si="286"/>
        <v>0</v>
      </c>
      <c r="N3669" s="465">
        <f t="shared" si="287"/>
        <v>0</v>
      </c>
      <c r="O3669" s="179"/>
      <c r="P3669" s="180"/>
      <c r="Q3669" s="173"/>
      <c r="R3669" s="173"/>
      <c r="S3669" s="174"/>
      <c r="T3669" s="173"/>
      <c r="U3669" s="182"/>
      <c r="V3669" s="177">
        <f>IF(U3669=0,0,IF(T3669="MXN",1/HLOOKUP(YEAR(S3669)+(MONTH(S3669)/100),TC!$5:$37,DAY(S3669)+2,FALSE),VLOOKUP(T3669,Equivalencia!$1:$23,((MAX(Equivalencia!$3:$3)-YEAR(S3669))*14)+MONTH(S3669)+2,FALSE)))</f>
        <v>0</v>
      </c>
      <c r="W3669" s="178">
        <f t="shared" si="288"/>
        <v>0</v>
      </c>
      <c r="X3669" s="481">
        <f t="shared" si="289"/>
        <v>0</v>
      </c>
      <c r="Y3669" s="179"/>
      <c r="Z3669" s="466">
        <f t="shared" si="290"/>
        <v>0</v>
      </c>
      <c r="AA3669" s="473">
        <f t="shared" si="291"/>
        <v>0</v>
      </c>
      <c r="AB3669" s="339">
        <f t="shared" si="292"/>
        <v>0</v>
      </c>
    </row>
    <row r="3670" spans="2:28" ht="20.100000000000001" customHeight="1">
      <c r="B3670" s="172"/>
      <c r="C3670" s="174"/>
      <c r="D3670" s="181"/>
      <c r="E3670" s="173"/>
      <c r="F3670" s="176"/>
      <c r="G3670" s="175">
        <f t="shared" si="283"/>
        <v>0</v>
      </c>
      <c r="H3670" s="175">
        <f t="shared" si="284"/>
        <v>0</v>
      </c>
      <c r="I3670" s="177">
        <f>IF(G3670=0,0,IF(E3670="MXN",1/HLOOKUP(YEAR(C3670)+(MONTH(C3670)/100),TC!$5:$37,DAY(C3670)+2,FALSE),VLOOKUP(E3670,Equivalencia!$5:$23,((MAX(Equivalencia!$3:$3)-YEAR(C3670))*14)+MONTH(C3670)+2,FALSE)))</f>
        <v>0</v>
      </c>
      <c r="J3670" s="178">
        <f t="shared" si="285"/>
        <v>0</v>
      </c>
      <c r="K3670" s="462">
        <f>IF(C3670=0,0,VLOOKUP(YEAR(C3670),INPC!$B$4:$O$29,MONTH(C3670)+1))</f>
        <v>0</v>
      </c>
      <c r="L3670" s="462">
        <f>IF(S3670=0,0,VLOOKUP(YEAR(S3670),INPC!$B$4:$O$29,MONTH(S3670)+1))</f>
        <v>0</v>
      </c>
      <c r="M3670" s="463">
        <f t="shared" si="286"/>
        <v>0</v>
      </c>
      <c r="N3670" s="465">
        <f t="shared" si="287"/>
        <v>0</v>
      </c>
      <c r="O3670" s="179"/>
      <c r="P3670" s="180"/>
      <c r="Q3670" s="173"/>
      <c r="R3670" s="173"/>
      <c r="S3670" s="174"/>
      <c r="T3670" s="173"/>
      <c r="U3670" s="182"/>
      <c r="V3670" s="177">
        <f>IF(U3670=0,0,IF(T3670="MXN",1/HLOOKUP(YEAR(S3670)+(MONTH(S3670)/100),TC!$5:$37,DAY(S3670)+2,FALSE),VLOOKUP(T3670,Equivalencia!$1:$23,((MAX(Equivalencia!$3:$3)-YEAR(S3670))*14)+MONTH(S3670)+2,FALSE)))</f>
        <v>0</v>
      </c>
      <c r="W3670" s="178">
        <f t="shared" si="288"/>
        <v>0</v>
      </c>
      <c r="X3670" s="481">
        <f t="shared" si="289"/>
        <v>0</v>
      </c>
      <c r="Y3670" s="179"/>
      <c r="Z3670" s="466">
        <f t="shared" si="290"/>
        <v>0</v>
      </c>
      <c r="AA3670" s="473">
        <f t="shared" si="291"/>
        <v>0</v>
      </c>
      <c r="AB3670" s="339">
        <f t="shared" si="292"/>
        <v>0</v>
      </c>
    </row>
    <row r="3671" spans="2:28" ht="20.100000000000001" customHeight="1">
      <c r="B3671" s="172"/>
      <c r="C3671" s="174"/>
      <c r="D3671" s="181"/>
      <c r="E3671" s="173"/>
      <c r="F3671" s="176"/>
      <c r="G3671" s="175">
        <f t="shared" si="283"/>
        <v>0</v>
      </c>
      <c r="H3671" s="175">
        <f t="shared" si="284"/>
        <v>0</v>
      </c>
      <c r="I3671" s="177">
        <f>IF(G3671=0,0,IF(E3671="MXN",1/HLOOKUP(YEAR(C3671)+(MONTH(C3671)/100),TC!$5:$37,DAY(C3671)+2,FALSE),VLOOKUP(E3671,Equivalencia!$5:$23,((MAX(Equivalencia!$3:$3)-YEAR(C3671))*14)+MONTH(C3671)+2,FALSE)))</f>
        <v>0</v>
      </c>
      <c r="J3671" s="178">
        <f t="shared" si="285"/>
        <v>0</v>
      </c>
      <c r="K3671" s="462">
        <f>IF(C3671=0,0,VLOOKUP(YEAR(C3671),INPC!$B$4:$O$29,MONTH(C3671)+1))</f>
        <v>0</v>
      </c>
      <c r="L3671" s="462">
        <f>IF(S3671=0,0,VLOOKUP(YEAR(S3671),INPC!$B$4:$O$29,MONTH(S3671)+1))</f>
        <v>0</v>
      </c>
      <c r="M3671" s="463">
        <f t="shared" si="286"/>
        <v>0</v>
      </c>
      <c r="N3671" s="465">
        <f t="shared" si="287"/>
        <v>0</v>
      </c>
      <c r="O3671" s="179"/>
      <c r="P3671" s="180"/>
      <c r="Q3671" s="173"/>
      <c r="R3671" s="173"/>
      <c r="S3671" s="174"/>
      <c r="T3671" s="173"/>
      <c r="U3671" s="182"/>
      <c r="V3671" s="177">
        <f>IF(U3671=0,0,IF(T3671="MXN",1/HLOOKUP(YEAR(S3671)+(MONTH(S3671)/100),TC!$5:$37,DAY(S3671)+2,FALSE),VLOOKUP(T3671,Equivalencia!$1:$23,((MAX(Equivalencia!$3:$3)-YEAR(S3671))*14)+MONTH(S3671)+2,FALSE)))</f>
        <v>0</v>
      </c>
      <c r="W3671" s="178">
        <f t="shared" si="288"/>
        <v>0</v>
      </c>
      <c r="X3671" s="481">
        <f t="shared" si="289"/>
        <v>0</v>
      </c>
      <c r="Y3671" s="179"/>
      <c r="Z3671" s="466">
        <f t="shared" si="290"/>
        <v>0</v>
      </c>
      <c r="AA3671" s="473">
        <f t="shared" si="291"/>
        <v>0</v>
      </c>
      <c r="AB3671" s="339">
        <f t="shared" si="292"/>
        <v>0</v>
      </c>
    </row>
    <row r="3672" spans="2:28" ht="20.100000000000001" customHeight="1">
      <c r="B3672" s="172"/>
      <c r="C3672" s="174"/>
      <c r="D3672" s="181"/>
      <c r="E3672" s="173"/>
      <c r="F3672" s="176"/>
      <c r="G3672" s="175">
        <f t="shared" si="283"/>
        <v>0</v>
      </c>
      <c r="H3672" s="175">
        <f t="shared" si="284"/>
        <v>0</v>
      </c>
      <c r="I3672" s="177">
        <f>IF(G3672=0,0,IF(E3672="MXN",1/HLOOKUP(YEAR(C3672)+(MONTH(C3672)/100),TC!$5:$37,DAY(C3672)+2,FALSE),VLOOKUP(E3672,Equivalencia!$5:$23,((MAX(Equivalencia!$3:$3)-YEAR(C3672))*14)+MONTH(C3672)+2,FALSE)))</f>
        <v>0</v>
      </c>
      <c r="J3672" s="178">
        <f t="shared" si="285"/>
        <v>0</v>
      </c>
      <c r="K3672" s="462">
        <f>IF(C3672=0,0,VLOOKUP(YEAR(C3672),INPC!$B$4:$O$29,MONTH(C3672)+1))</f>
        <v>0</v>
      </c>
      <c r="L3672" s="462">
        <f>IF(S3672=0,0,VLOOKUP(YEAR(S3672),INPC!$B$4:$O$29,MONTH(S3672)+1))</f>
        <v>0</v>
      </c>
      <c r="M3672" s="463">
        <f t="shared" si="286"/>
        <v>0</v>
      </c>
      <c r="N3672" s="465">
        <f t="shared" si="287"/>
        <v>0</v>
      </c>
      <c r="O3672" s="179"/>
      <c r="P3672" s="180"/>
      <c r="Q3672" s="173"/>
      <c r="R3672" s="173"/>
      <c r="S3672" s="174"/>
      <c r="T3672" s="173"/>
      <c r="U3672" s="182"/>
      <c r="V3672" s="177">
        <f>IF(U3672=0,0,IF(T3672="MXN",1/HLOOKUP(YEAR(S3672)+(MONTH(S3672)/100),TC!$5:$37,DAY(S3672)+2,FALSE),VLOOKUP(T3672,Equivalencia!$1:$23,((MAX(Equivalencia!$3:$3)-YEAR(S3672))*14)+MONTH(S3672)+2,FALSE)))</f>
        <v>0</v>
      </c>
      <c r="W3672" s="178">
        <f t="shared" si="288"/>
        <v>0</v>
      </c>
      <c r="X3672" s="481">
        <f t="shared" si="289"/>
        <v>0</v>
      </c>
      <c r="Y3672" s="179"/>
      <c r="Z3672" s="466">
        <f t="shared" si="290"/>
        <v>0</v>
      </c>
      <c r="AA3672" s="473">
        <f t="shared" si="291"/>
        <v>0</v>
      </c>
      <c r="AB3672" s="339">
        <f t="shared" si="292"/>
        <v>0</v>
      </c>
    </row>
    <row r="3673" spans="2:28" ht="20.100000000000001" customHeight="1">
      <c r="B3673" s="172"/>
      <c r="C3673" s="174"/>
      <c r="D3673" s="181"/>
      <c r="E3673" s="173"/>
      <c r="F3673" s="176"/>
      <c r="G3673" s="175">
        <f t="shared" si="283"/>
        <v>0</v>
      </c>
      <c r="H3673" s="175">
        <f t="shared" si="284"/>
        <v>0</v>
      </c>
      <c r="I3673" s="177">
        <f>IF(G3673=0,0,IF(E3673="MXN",1/HLOOKUP(YEAR(C3673)+(MONTH(C3673)/100),TC!$5:$37,DAY(C3673)+2,FALSE),VLOOKUP(E3673,Equivalencia!$5:$23,((MAX(Equivalencia!$3:$3)-YEAR(C3673))*14)+MONTH(C3673)+2,FALSE)))</f>
        <v>0</v>
      </c>
      <c r="J3673" s="178">
        <f t="shared" si="285"/>
        <v>0</v>
      </c>
      <c r="K3673" s="462">
        <f>IF(C3673=0,0,VLOOKUP(YEAR(C3673),INPC!$B$4:$O$29,MONTH(C3673)+1))</f>
        <v>0</v>
      </c>
      <c r="L3673" s="462">
        <f>IF(S3673=0,0,VLOOKUP(YEAR(S3673),INPC!$B$4:$O$29,MONTH(S3673)+1))</f>
        <v>0</v>
      </c>
      <c r="M3673" s="463">
        <f t="shared" si="286"/>
        <v>0</v>
      </c>
      <c r="N3673" s="465">
        <f t="shared" si="287"/>
        <v>0</v>
      </c>
      <c r="O3673" s="179"/>
      <c r="P3673" s="180"/>
      <c r="Q3673" s="173"/>
      <c r="R3673" s="173"/>
      <c r="S3673" s="174"/>
      <c r="T3673" s="173"/>
      <c r="U3673" s="182"/>
      <c r="V3673" s="177">
        <f>IF(U3673=0,0,IF(T3673="MXN",1/HLOOKUP(YEAR(S3673)+(MONTH(S3673)/100),TC!$5:$37,DAY(S3673)+2,FALSE),VLOOKUP(T3673,Equivalencia!$1:$23,((MAX(Equivalencia!$3:$3)-YEAR(S3673))*14)+MONTH(S3673)+2,FALSE)))</f>
        <v>0</v>
      </c>
      <c r="W3673" s="178">
        <f t="shared" si="288"/>
        <v>0</v>
      </c>
      <c r="X3673" s="481">
        <f t="shared" si="289"/>
        <v>0</v>
      </c>
      <c r="Y3673" s="179"/>
      <c r="Z3673" s="466">
        <f t="shared" si="290"/>
        <v>0</v>
      </c>
      <c r="AA3673" s="473">
        <f t="shared" si="291"/>
        <v>0</v>
      </c>
      <c r="AB3673" s="339">
        <f t="shared" si="292"/>
        <v>0</v>
      </c>
    </row>
    <row r="3674" spans="2:28" ht="20.100000000000001" customHeight="1">
      <c r="B3674" s="172"/>
      <c r="C3674" s="174"/>
      <c r="D3674" s="181"/>
      <c r="E3674" s="173"/>
      <c r="F3674" s="176"/>
      <c r="G3674" s="175">
        <f t="shared" si="283"/>
        <v>0</v>
      </c>
      <c r="H3674" s="175">
        <f t="shared" si="284"/>
        <v>0</v>
      </c>
      <c r="I3674" s="177">
        <f>IF(G3674=0,0,IF(E3674="MXN",1/HLOOKUP(YEAR(C3674)+(MONTH(C3674)/100),TC!$5:$37,DAY(C3674)+2,FALSE),VLOOKUP(E3674,Equivalencia!$5:$23,((MAX(Equivalencia!$3:$3)-YEAR(C3674))*14)+MONTH(C3674)+2,FALSE)))</f>
        <v>0</v>
      </c>
      <c r="J3674" s="178">
        <f t="shared" si="285"/>
        <v>0</v>
      </c>
      <c r="K3674" s="462">
        <f>IF(C3674=0,0,VLOOKUP(YEAR(C3674),INPC!$B$4:$O$29,MONTH(C3674)+1))</f>
        <v>0</v>
      </c>
      <c r="L3674" s="462">
        <f>IF(S3674=0,0,VLOOKUP(YEAR(S3674),INPC!$B$4:$O$29,MONTH(S3674)+1))</f>
        <v>0</v>
      </c>
      <c r="M3674" s="463">
        <f t="shared" si="286"/>
        <v>0</v>
      </c>
      <c r="N3674" s="465">
        <f t="shared" si="287"/>
        <v>0</v>
      </c>
      <c r="O3674" s="179"/>
      <c r="P3674" s="180"/>
      <c r="Q3674" s="173"/>
      <c r="R3674" s="173"/>
      <c r="S3674" s="174"/>
      <c r="T3674" s="173"/>
      <c r="U3674" s="182"/>
      <c r="V3674" s="177">
        <f>IF(U3674=0,0,IF(T3674="MXN",1/HLOOKUP(YEAR(S3674)+(MONTH(S3674)/100),TC!$5:$37,DAY(S3674)+2,FALSE),VLOOKUP(T3674,Equivalencia!$1:$23,((MAX(Equivalencia!$3:$3)-YEAR(S3674))*14)+MONTH(S3674)+2,FALSE)))</f>
        <v>0</v>
      </c>
      <c r="W3674" s="178">
        <f t="shared" si="288"/>
        <v>0</v>
      </c>
      <c r="X3674" s="481">
        <f t="shared" si="289"/>
        <v>0</v>
      </c>
      <c r="Y3674" s="179"/>
      <c r="Z3674" s="466">
        <f t="shared" si="290"/>
        <v>0</v>
      </c>
      <c r="AA3674" s="473">
        <f t="shared" si="291"/>
        <v>0</v>
      </c>
      <c r="AB3674" s="339">
        <f t="shared" si="292"/>
        <v>0</v>
      </c>
    </row>
    <row r="3675" spans="2:28" ht="20.100000000000001" customHeight="1">
      <c r="B3675" s="172"/>
      <c r="C3675" s="174"/>
      <c r="D3675" s="181"/>
      <c r="E3675" s="173"/>
      <c r="F3675" s="176"/>
      <c r="G3675" s="175">
        <f t="shared" si="283"/>
        <v>0</v>
      </c>
      <c r="H3675" s="175">
        <f t="shared" si="284"/>
        <v>0</v>
      </c>
      <c r="I3675" s="177">
        <f>IF(G3675=0,0,IF(E3675="MXN",1/HLOOKUP(YEAR(C3675)+(MONTH(C3675)/100),TC!$5:$37,DAY(C3675)+2,FALSE),VLOOKUP(E3675,Equivalencia!$5:$23,((MAX(Equivalencia!$3:$3)-YEAR(C3675))*14)+MONTH(C3675)+2,FALSE)))</f>
        <v>0</v>
      </c>
      <c r="J3675" s="178">
        <f t="shared" si="285"/>
        <v>0</v>
      </c>
      <c r="K3675" s="462">
        <f>IF(C3675=0,0,VLOOKUP(YEAR(C3675),INPC!$B$4:$O$29,MONTH(C3675)+1))</f>
        <v>0</v>
      </c>
      <c r="L3675" s="462">
        <f>IF(S3675=0,0,VLOOKUP(YEAR(S3675),INPC!$B$4:$O$29,MONTH(S3675)+1))</f>
        <v>0</v>
      </c>
      <c r="M3675" s="463">
        <f t="shared" si="286"/>
        <v>0</v>
      </c>
      <c r="N3675" s="465">
        <f t="shared" si="287"/>
        <v>0</v>
      </c>
      <c r="O3675" s="179"/>
      <c r="P3675" s="180"/>
      <c r="Q3675" s="173"/>
      <c r="R3675" s="173"/>
      <c r="S3675" s="174"/>
      <c r="T3675" s="173"/>
      <c r="U3675" s="182"/>
      <c r="V3675" s="177">
        <f>IF(U3675=0,0,IF(T3675="MXN",1/HLOOKUP(YEAR(S3675)+(MONTH(S3675)/100),TC!$5:$37,DAY(S3675)+2,FALSE),VLOOKUP(T3675,Equivalencia!$1:$23,((MAX(Equivalencia!$3:$3)-YEAR(S3675))*14)+MONTH(S3675)+2,FALSE)))</f>
        <v>0</v>
      </c>
      <c r="W3675" s="178">
        <f t="shared" si="288"/>
        <v>0</v>
      </c>
      <c r="X3675" s="481">
        <f t="shared" si="289"/>
        <v>0</v>
      </c>
      <c r="Y3675" s="179"/>
      <c r="Z3675" s="466">
        <f t="shared" si="290"/>
        <v>0</v>
      </c>
      <c r="AA3675" s="473">
        <f t="shared" si="291"/>
        <v>0</v>
      </c>
      <c r="AB3675" s="339">
        <f t="shared" si="292"/>
        <v>0</v>
      </c>
    </row>
    <row r="3676" spans="2:28" ht="20.100000000000001" customHeight="1">
      <c r="B3676" s="172"/>
      <c r="C3676" s="174"/>
      <c r="D3676" s="181"/>
      <c r="E3676" s="173"/>
      <c r="F3676" s="176"/>
      <c r="G3676" s="175">
        <f t="shared" si="283"/>
        <v>0</v>
      </c>
      <c r="H3676" s="175">
        <f t="shared" si="284"/>
        <v>0</v>
      </c>
      <c r="I3676" s="177">
        <f>IF(G3676=0,0,IF(E3676="MXN",1/HLOOKUP(YEAR(C3676)+(MONTH(C3676)/100),TC!$5:$37,DAY(C3676)+2,FALSE),VLOOKUP(E3676,Equivalencia!$5:$23,((MAX(Equivalencia!$3:$3)-YEAR(C3676))*14)+MONTH(C3676)+2,FALSE)))</f>
        <v>0</v>
      </c>
      <c r="J3676" s="178">
        <f t="shared" si="285"/>
        <v>0</v>
      </c>
      <c r="K3676" s="462">
        <f>IF(C3676=0,0,VLOOKUP(YEAR(C3676),INPC!$B$4:$O$29,MONTH(C3676)+1))</f>
        <v>0</v>
      </c>
      <c r="L3676" s="462">
        <f>IF(S3676=0,0,VLOOKUP(YEAR(S3676),INPC!$B$4:$O$29,MONTH(S3676)+1))</f>
        <v>0</v>
      </c>
      <c r="M3676" s="463">
        <f t="shared" si="286"/>
        <v>0</v>
      </c>
      <c r="N3676" s="465">
        <f t="shared" si="287"/>
        <v>0</v>
      </c>
      <c r="O3676" s="179"/>
      <c r="P3676" s="180"/>
      <c r="Q3676" s="173"/>
      <c r="R3676" s="173"/>
      <c r="S3676" s="174"/>
      <c r="T3676" s="173"/>
      <c r="U3676" s="182"/>
      <c r="V3676" s="177">
        <f>IF(U3676=0,0,IF(T3676="MXN",1/HLOOKUP(YEAR(S3676)+(MONTH(S3676)/100),TC!$5:$37,DAY(S3676)+2,FALSE),VLOOKUP(T3676,Equivalencia!$1:$23,((MAX(Equivalencia!$3:$3)-YEAR(S3676))*14)+MONTH(S3676)+2,FALSE)))</f>
        <v>0</v>
      </c>
      <c r="W3676" s="178">
        <f t="shared" si="288"/>
        <v>0</v>
      </c>
      <c r="X3676" s="481">
        <f t="shared" si="289"/>
        <v>0</v>
      </c>
      <c r="Y3676" s="179"/>
      <c r="Z3676" s="466">
        <f t="shared" si="290"/>
        <v>0</v>
      </c>
      <c r="AA3676" s="473">
        <f t="shared" si="291"/>
        <v>0</v>
      </c>
      <c r="AB3676" s="339">
        <f t="shared" si="292"/>
        <v>0</v>
      </c>
    </row>
    <row r="3677" spans="2:28" ht="20.100000000000001" customHeight="1">
      <c r="B3677" s="172"/>
      <c r="C3677" s="174"/>
      <c r="D3677" s="181"/>
      <c r="E3677" s="173"/>
      <c r="F3677" s="176"/>
      <c r="G3677" s="175">
        <f t="shared" si="283"/>
        <v>0</v>
      </c>
      <c r="H3677" s="175">
        <f t="shared" si="284"/>
        <v>0</v>
      </c>
      <c r="I3677" s="177">
        <f>IF(G3677=0,0,IF(E3677="MXN",1/HLOOKUP(YEAR(C3677)+(MONTH(C3677)/100),TC!$5:$37,DAY(C3677)+2,FALSE),VLOOKUP(E3677,Equivalencia!$5:$23,((MAX(Equivalencia!$3:$3)-YEAR(C3677))*14)+MONTH(C3677)+2,FALSE)))</f>
        <v>0</v>
      </c>
      <c r="J3677" s="178">
        <f t="shared" si="285"/>
        <v>0</v>
      </c>
      <c r="K3677" s="462">
        <f>IF(C3677=0,0,VLOOKUP(YEAR(C3677),INPC!$B$4:$O$29,MONTH(C3677)+1))</f>
        <v>0</v>
      </c>
      <c r="L3677" s="462">
        <f>IF(S3677=0,0,VLOOKUP(YEAR(S3677),INPC!$B$4:$O$29,MONTH(S3677)+1))</f>
        <v>0</v>
      </c>
      <c r="M3677" s="463">
        <f t="shared" si="286"/>
        <v>0</v>
      </c>
      <c r="N3677" s="465">
        <f t="shared" si="287"/>
        <v>0</v>
      </c>
      <c r="O3677" s="179"/>
      <c r="P3677" s="180"/>
      <c r="Q3677" s="173"/>
      <c r="R3677" s="173"/>
      <c r="S3677" s="174"/>
      <c r="T3677" s="173"/>
      <c r="U3677" s="182"/>
      <c r="V3677" s="177">
        <f>IF(U3677=0,0,IF(T3677="MXN",1/HLOOKUP(YEAR(S3677)+(MONTH(S3677)/100),TC!$5:$37,DAY(S3677)+2,FALSE),VLOOKUP(T3677,Equivalencia!$1:$23,((MAX(Equivalencia!$3:$3)-YEAR(S3677))*14)+MONTH(S3677)+2,FALSE)))</f>
        <v>0</v>
      </c>
      <c r="W3677" s="178">
        <f t="shared" si="288"/>
        <v>0</v>
      </c>
      <c r="X3677" s="481">
        <f t="shared" si="289"/>
        <v>0</v>
      </c>
      <c r="Y3677" s="179"/>
      <c r="Z3677" s="466">
        <f t="shared" si="290"/>
        <v>0</v>
      </c>
      <c r="AA3677" s="473">
        <f t="shared" si="291"/>
        <v>0</v>
      </c>
      <c r="AB3677" s="339">
        <f t="shared" si="292"/>
        <v>0</v>
      </c>
    </row>
    <row r="3678" spans="2:28" ht="20.100000000000001" customHeight="1">
      <c r="B3678" s="172"/>
      <c r="C3678" s="174"/>
      <c r="D3678" s="181"/>
      <c r="E3678" s="173"/>
      <c r="F3678" s="176"/>
      <c r="G3678" s="175">
        <f t="shared" si="283"/>
        <v>0</v>
      </c>
      <c r="H3678" s="175">
        <f t="shared" si="284"/>
        <v>0</v>
      </c>
      <c r="I3678" s="177">
        <f>IF(G3678=0,0,IF(E3678="MXN",1/HLOOKUP(YEAR(C3678)+(MONTH(C3678)/100),TC!$5:$37,DAY(C3678)+2,FALSE),VLOOKUP(E3678,Equivalencia!$5:$23,((MAX(Equivalencia!$3:$3)-YEAR(C3678))*14)+MONTH(C3678)+2,FALSE)))</f>
        <v>0</v>
      </c>
      <c r="J3678" s="178">
        <f t="shared" si="285"/>
        <v>0</v>
      </c>
      <c r="K3678" s="462">
        <f>IF(C3678=0,0,VLOOKUP(YEAR(C3678),INPC!$B$4:$O$29,MONTH(C3678)+1))</f>
        <v>0</v>
      </c>
      <c r="L3678" s="462">
        <f>IF(S3678=0,0,VLOOKUP(YEAR(S3678),INPC!$B$4:$O$29,MONTH(S3678)+1))</f>
        <v>0</v>
      </c>
      <c r="M3678" s="463">
        <f t="shared" si="286"/>
        <v>0</v>
      </c>
      <c r="N3678" s="465">
        <f t="shared" si="287"/>
        <v>0</v>
      </c>
      <c r="O3678" s="179"/>
      <c r="P3678" s="180"/>
      <c r="Q3678" s="173"/>
      <c r="R3678" s="173"/>
      <c r="S3678" s="174"/>
      <c r="T3678" s="173"/>
      <c r="U3678" s="182"/>
      <c r="V3678" s="177">
        <f>IF(U3678=0,0,IF(T3678="MXN",1/HLOOKUP(YEAR(S3678)+(MONTH(S3678)/100),TC!$5:$37,DAY(S3678)+2,FALSE),VLOOKUP(T3678,Equivalencia!$1:$23,((MAX(Equivalencia!$3:$3)-YEAR(S3678))*14)+MONTH(S3678)+2,FALSE)))</f>
        <v>0</v>
      </c>
      <c r="W3678" s="178">
        <f t="shared" si="288"/>
        <v>0</v>
      </c>
      <c r="X3678" s="481">
        <f t="shared" si="289"/>
        <v>0</v>
      </c>
      <c r="Y3678" s="179"/>
      <c r="Z3678" s="466">
        <f t="shared" si="290"/>
        <v>0</v>
      </c>
      <c r="AA3678" s="473">
        <f t="shared" si="291"/>
        <v>0</v>
      </c>
      <c r="AB3678" s="339">
        <f t="shared" si="292"/>
        <v>0</v>
      </c>
    </row>
    <row r="3679" spans="2:28" ht="20.100000000000001" customHeight="1">
      <c r="B3679" s="172"/>
      <c r="C3679" s="174"/>
      <c r="D3679" s="181"/>
      <c r="E3679" s="173"/>
      <c r="F3679" s="176"/>
      <c r="G3679" s="175">
        <f t="shared" si="283"/>
        <v>0</v>
      </c>
      <c r="H3679" s="175">
        <f t="shared" si="284"/>
        <v>0</v>
      </c>
      <c r="I3679" s="177">
        <f>IF(G3679=0,0,IF(E3679="MXN",1/HLOOKUP(YEAR(C3679)+(MONTH(C3679)/100),TC!$5:$37,DAY(C3679)+2,FALSE),VLOOKUP(E3679,Equivalencia!$5:$23,((MAX(Equivalencia!$3:$3)-YEAR(C3679))*14)+MONTH(C3679)+2,FALSE)))</f>
        <v>0</v>
      </c>
      <c r="J3679" s="178">
        <f t="shared" si="285"/>
        <v>0</v>
      </c>
      <c r="K3679" s="462">
        <f>IF(C3679=0,0,VLOOKUP(YEAR(C3679),INPC!$B$4:$O$29,MONTH(C3679)+1))</f>
        <v>0</v>
      </c>
      <c r="L3679" s="462">
        <f>IF(S3679=0,0,VLOOKUP(YEAR(S3679),INPC!$B$4:$O$29,MONTH(S3679)+1))</f>
        <v>0</v>
      </c>
      <c r="M3679" s="463">
        <f t="shared" si="286"/>
        <v>0</v>
      </c>
      <c r="N3679" s="465">
        <f t="shared" si="287"/>
        <v>0</v>
      </c>
      <c r="O3679" s="179"/>
      <c r="P3679" s="180"/>
      <c r="Q3679" s="173"/>
      <c r="R3679" s="173"/>
      <c r="S3679" s="174"/>
      <c r="T3679" s="173"/>
      <c r="U3679" s="182"/>
      <c r="V3679" s="177">
        <f>IF(U3679=0,0,IF(T3679="MXN",1/HLOOKUP(YEAR(S3679)+(MONTH(S3679)/100),TC!$5:$37,DAY(S3679)+2,FALSE),VLOOKUP(T3679,Equivalencia!$1:$23,((MAX(Equivalencia!$3:$3)-YEAR(S3679))*14)+MONTH(S3679)+2,FALSE)))</f>
        <v>0</v>
      </c>
      <c r="W3679" s="178">
        <f t="shared" si="288"/>
        <v>0</v>
      </c>
      <c r="X3679" s="481">
        <f t="shared" si="289"/>
        <v>0</v>
      </c>
      <c r="Y3679" s="179"/>
      <c r="Z3679" s="466">
        <f t="shared" si="290"/>
        <v>0</v>
      </c>
      <c r="AA3679" s="473">
        <f t="shared" si="291"/>
        <v>0</v>
      </c>
      <c r="AB3679" s="339">
        <f t="shared" si="292"/>
        <v>0</v>
      </c>
    </row>
    <row r="3680" spans="2:28" ht="20.100000000000001" customHeight="1">
      <c r="B3680" s="172"/>
      <c r="C3680" s="174"/>
      <c r="D3680" s="181"/>
      <c r="E3680" s="173"/>
      <c r="F3680" s="176"/>
      <c r="G3680" s="175">
        <f t="shared" si="283"/>
        <v>0</v>
      </c>
      <c r="H3680" s="175">
        <f t="shared" si="284"/>
        <v>0</v>
      </c>
      <c r="I3680" s="177">
        <f>IF(G3680=0,0,IF(E3680="MXN",1/HLOOKUP(YEAR(C3680)+(MONTH(C3680)/100),TC!$5:$37,DAY(C3680)+2,FALSE),VLOOKUP(E3680,Equivalencia!$5:$23,((MAX(Equivalencia!$3:$3)-YEAR(C3680))*14)+MONTH(C3680)+2,FALSE)))</f>
        <v>0</v>
      </c>
      <c r="J3680" s="178">
        <f t="shared" si="285"/>
        <v>0</v>
      </c>
      <c r="K3680" s="462">
        <f>IF(C3680=0,0,VLOOKUP(YEAR(C3680),INPC!$B$4:$O$29,MONTH(C3680)+1))</f>
        <v>0</v>
      </c>
      <c r="L3680" s="462">
        <f>IF(S3680=0,0,VLOOKUP(YEAR(S3680),INPC!$B$4:$O$29,MONTH(S3680)+1))</f>
        <v>0</v>
      </c>
      <c r="M3680" s="463">
        <f t="shared" si="286"/>
        <v>0</v>
      </c>
      <c r="N3680" s="465">
        <f t="shared" si="287"/>
        <v>0</v>
      </c>
      <c r="O3680" s="179"/>
      <c r="P3680" s="180"/>
      <c r="Q3680" s="173"/>
      <c r="R3680" s="173"/>
      <c r="S3680" s="174"/>
      <c r="T3680" s="173"/>
      <c r="U3680" s="182"/>
      <c r="V3680" s="177">
        <f>IF(U3680=0,0,IF(T3680="MXN",1/HLOOKUP(YEAR(S3680)+(MONTH(S3680)/100),TC!$5:$37,DAY(S3680)+2,FALSE),VLOOKUP(T3680,Equivalencia!$1:$23,((MAX(Equivalencia!$3:$3)-YEAR(S3680))*14)+MONTH(S3680)+2,FALSE)))</f>
        <v>0</v>
      </c>
      <c r="W3680" s="178">
        <f t="shared" si="288"/>
        <v>0</v>
      </c>
      <c r="X3680" s="481">
        <f t="shared" si="289"/>
        <v>0</v>
      </c>
      <c r="Y3680" s="179"/>
      <c r="Z3680" s="466">
        <f t="shared" si="290"/>
        <v>0</v>
      </c>
      <c r="AA3680" s="473">
        <f t="shared" si="291"/>
        <v>0</v>
      </c>
      <c r="AB3680" s="339">
        <f t="shared" si="292"/>
        <v>0</v>
      </c>
    </row>
    <row r="3681" spans="2:28" ht="20.100000000000001" customHeight="1">
      <c r="B3681" s="172"/>
      <c r="C3681" s="174"/>
      <c r="D3681" s="181"/>
      <c r="E3681" s="173"/>
      <c r="F3681" s="176"/>
      <c r="G3681" s="175">
        <f t="shared" si="283"/>
        <v>0</v>
      </c>
      <c r="H3681" s="175">
        <f t="shared" si="284"/>
        <v>0</v>
      </c>
      <c r="I3681" s="177">
        <f>IF(G3681=0,0,IF(E3681="MXN",1/HLOOKUP(YEAR(C3681)+(MONTH(C3681)/100),TC!$5:$37,DAY(C3681)+2,FALSE),VLOOKUP(E3681,Equivalencia!$5:$23,((MAX(Equivalencia!$3:$3)-YEAR(C3681))*14)+MONTH(C3681)+2,FALSE)))</f>
        <v>0</v>
      </c>
      <c r="J3681" s="178">
        <f t="shared" si="285"/>
        <v>0</v>
      </c>
      <c r="K3681" s="462">
        <f>IF(C3681=0,0,VLOOKUP(YEAR(C3681),INPC!$B$4:$O$29,MONTH(C3681)+1))</f>
        <v>0</v>
      </c>
      <c r="L3681" s="462">
        <f>IF(S3681=0,0,VLOOKUP(YEAR(S3681),INPC!$B$4:$O$29,MONTH(S3681)+1))</f>
        <v>0</v>
      </c>
      <c r="M3681" s="463">
        <f t="shared" si="286"/>
        <v>0</v>
      </c>
      <c r="N3681" s="465">
        <f t="shared" si="287"/>
        <v>0</v>
      </c>
      <c r="O3681" s="179"/>
      <c r="P3681" s="180"/>
      <c r="Q3681" s="173"/>
      <c r="R3681" s="173"/>
      <c r="S3681" s="174"/>
      <c r="T3681" s="173"/>
      <c r="U3681" s="182"/>
      <c r="V3681" s="177">
        <f>IF(U3681=0,0,IF(T3681="MXN",1/HLOOKUP(YEAR(S3681)+(MONTH(S3681)/100),TC!$5:$37,DAY(S3681)+2,FALSE),VLOOKUP(T3681,Equivalencia!$1:$23,((MAX(Equivalencia!$3:$3)-YEAR(S3681))*14)+MONTH(S3681)+2,FALSE)))</f>
        <v>0</v>
      </c>
      <c r="W3681" s="178">
        <f t="shared" si="288"/>
        <v>0</v>
      </c>
      <c r="X3681" s="481">
        <f t="shared" si="289"/>
        <v>0</v>
      </c>
      <c r="Y3681" s="179"/>
      <c r="Z3681" s="466">
        <f t="shared" si="290"/>
        <v>0</v>
      </c>
      <c r="AA3681" s="473">
        <f t="shared" si="291"/>
        <v>0</v>
      </c>
      <c r="AB3681" s="339">
        <f t="shared" si="292"/>
        <v>0</v>
      </c>
    </row>
    <row r="3682" spans="2:28" ht="20.100000000000001" customHeight="1">
      <c r="B3682" s="172"/>
      <c r="C3682" s="174"/>
      <c r="D3682" s="181"/>
      <c r="E3682" s="173"/>
      <c r="F3682" s="176"/>
      <c r="G3682" s="175">
        <f t="shared" si="283"/>
        <v>0</v>
      </c>
      <c r="H3682" s="175">
        <f t="shared" si="284"/>
        <v>0</v>
      </c>
      <c r="I3682" s="177">
        <f>IF(G3682=0,0,IF(E3682="MXN",1/HLOOKUP(YEAR(C3682)+(MONTH(C3682)/100),TC!$5:$37,DAY(C3682)+2,FALSE),VLOOKUP(E3682,Equivalencia!$5:$23,((MAX(Equivalencia!$3:$3)-YEAR(C3682))*14)+MONTH(C3682)+2,FALSE)))</f>
        <v>0</v>
      </c>
      <c r="J3682" s="178">
        <f t="shared" si="285"/>
        <v>0</v>
      </c>
      <c r="K3682" s="462">
        <f>IF(C3682=0,0,VLOOKUP(YEAR(C3682),INPC!$B$4:$O$29,MONTH(C3682)+1))</f>
        <v>0</v>
      </c>
      <c r="L3682" s="462">
        <f>IF(S3682=0,0,VLOOKUP(YEAR(S3682),INPC!$B$4:$O$29,MONTH(S3682)+1))</f>
        <v>0</v>
      </c>
      <c r="M3682" s="463">
        <f t="shared" si="286"/>
        <v>0</v>
      </c>
      <c r="N3682" s="465">
        <f t="shared" si="287"/>
        <v>0</v>
      </c>
      <c r="O3682" s="179"/>
      <c r="P3682" s="180"/>
      <c r="Q3682" s="173"/>
      <c r="R3682" s="173"/>
      <c r="S3682" s="174"/>
      <c r="T3682" s="173"/>
      <c r="U3682" s="182"/>
      <c r="V3682" s="177">
        <f>IF(U3682=0,0,IF(T3682="MXN",1/HLOOKUP(YEAR(S3682)+(MONTH(S3682)/100),TC!$5:$37,DAY(S3682)+2,FALSE),VLOOKUP(T3682,Equivalencia!$1:$23,((MAX(Equivalencia!$3:$3)-YEAR(S3682))*14)+MONTH(S3682)+2,FALSE)))</f>
        <v>0</v>
      </c>
      <c r="W3682" s="178">
        <f t="shared" si="288"/>
        <v>0</v>
      </c>
      <c r="X3682" s="481">
        <f t="shared" si="289"/>
        <v>0</v>
      </c>
      <c r="Y3682" s="179"/>
      <c r="Z3682" s="466">
        <f t="shared" si="290"/>
        <v>0</v>
      </c>
      <c r="AA3682" s="473">
        <f t="shared" si="291"/>
        <v>0</v>
      </c>
      <c r="AB3682" s="339">
        <f t="shared" si="292"/>
        <v>0</v>
      </c>
    </row>
    <row r="3683" spans="2:28" ht="20.100000000000001" customHeight="1">
      <c r="B3683" s="172"/>
      <c r="C3683" s="174"/>
      <c r="D3683" s="181"/>
      <c r="E3683" s="173"/>
      <c r="F3683" s="176"/>
      <c r="G3683" s="175">
        <f t="shared" si="283"/>
        <v>0</v>
      </c>
      <c r="H3683" s="175">
        <f t="shared" si="284"/>
        <v>0</v>
      </c>
      <c r="I3683" s="177">
        <f>IF(G3683=0,0,IF(E3683="MXN",1/HLOOKUP(YEAR(C3683)+(MONTH(C3683)/100),TC!$5:$37,DAY(C3683)+2,FALSE),VLOOKUP(E3683,Equivalencia!$5:$23,((MAX(Equivalencia!$3:$3)-YEAR(C3683))*14)+MONTH(C3683)+2,FALSE)))</f>
        <v>0</v>
      </c>
      <c r="J3683" s="178">
        <f t="shared" si="285"/>
        <v>0</v>
      </c>
      <c r="K3683" s="462">
        <f>IF(C3683=0,0,VLOOKUP(YEAR(C3683),INPC!$B$4:$O$29,MONTH(C3683)+1))</f>
        <v>0</v>
      </c>
      <c r="L3683" s="462">
        <f>IF(S3683=0,0,VLOOKUP(YEAR(S3683),INPC!$B$4:$O$29,MONTH(S3683)+1))</f>
        <v>0</v>
      </c>
      <c r="M3683" s="463">
        <f t="shared" si="286"/>
        <v>0</v>
      </c>
      <c r="N3683" s="465">
        <f t="shared" si="287"/>
        <v>0</v>
      </c>
      <c r="O3683" s="179"/>
      <c r="P3683" s="180"/>
      <c r="Q3683" s="173"/>
      <c r="R3683" s="173"/>
      <c r="S3683" s="174"/>
      <c r="T3683" s="173"/>
      <c r="U3683" s="182"/>
      <c r="V3683" s="177">
        <f>IF(U3683=0,0,IF(T3683="MXN",1/HLOOKUP(YEAR(S3683)+(MONTH(S3683)/100),TC!$5:$37,DAY(S3683)+2,FALSE),VLOOKUP(T3683,Equivalencia!$1:$23,((MAX(Equivalencia!$3:$3)-YEAR(S3683))*14)+MONTH(S3683)+2,FALSE)))</f>
        <v>0</v>
      </c>
      <c r="W3683" s="178">
        <f t="shared" si="288"/>
        <v>0</v>
      </c>
      <c r="X3683" s="481">
        <f t="shared" si="289"/>
        <v>0</v>
      </c>
      <c r="Y3683" s="179"/>
      <c r="Z3683" s="466">
        <f t="shared" si="290"/>
        <v>0</v>
      </c>
      <c r="AA3683" s="473">
        <f t="shared" si="291"/>
        <v>0</v>
      </c>
      <c r="AB3683" s="339">
        <f t="shared" si="292"/>
        <v>0</v>
      </c>
    </row>
    <row r="3684" spans="2:28" ht="20.100000000000001" customHeight="1">
      <c r="B3684" s="172"/>
      <c r="C3684" s="174"/>
      <c r="D3684" s="181"/>
      <c r="E3684" s="173"/>
      <c r="F3684" s="176"/>
      <c r="G3684" s="175">
        <f t="shared" si="283"/>
        <v>0</v>
      </c>
      <c r="H3684" s="175">
        <f t="shared" si="284"/>
        <v>0</v>
      </c>
      <c r="I3684" s="177">
        <f>IF(G3684=0,0,IF(E3684="MXN",1/HLOOKUP(YEAR(C3684)+(MONTH(C3684)/100),TC!$5:$37,DAY(C3684)+2,FALSE),VLOOKUP(E3684,Equivalencia!$5:$23,((MAX(Equivalencia!$3:$3)-YEAR(C3684))*14)+MONTH(C3684)+2,FALSE)))</f>
        <v>0</v>
      </c>
      <c r="J3684" s="178">
        <f t="shared" si="285"/>
        <v>0</v>
      </c>
      <c r="K3684" s="462">
        <f>IF(C3684=0,0,VLOOKUP(YEAR(C3684),INPC!$B$4:$O$29,MONTH(C3684)+1))</f>
        <v>0</v>
      </c>
      <c r="L3684" s="462">
        <f>IF(S3684=0,0,VLOOKUP(YEAR(S3684),INPC!$B$4:$O$29,MONTH(S3684)+1))</f>
        <v>0</v>
      </c>
      <c r="M3684" s="463">
        <f t="shared" si="286"/>
        <v>0</v>
      </c>
      <c r="N3684" s="465">
        <f t="shared" si="287"/>
        <v>0</v>
      </c>
      <c r="O3684" s="179"/>
      <c r="P3684" s="180"/>
      <c r="Q3684" s="173"/>
      <c r="R3684" s="173"/>
      <c r="S3684" s="174"/>
      <c r="T3684" s="173"/>
      <c r="U3684" s="182"/>
      <c r="V3684" s="177">
        <f>IF(U3684=0,0,IF(T3684="MXN",1/HLOOKUP(YEAR(S3684)+(MONTH(S3684)/100),TC!$5:$37,DAY(S3684)+2,FALSE),VLOOKUP(T3684,Equivalencia!$1:$23,((MAX(Equivalencia!$3:$3)-YEAR(S3684))*14)+MONTH(S3684)+2,FALSE)))</f>
        <v>0</v>
      </c>
      <c r="W3684" s="178">
        <f t="shared" si="288"/>
        <v>0</v>
      </c>
      <c r="X3684" s="481">
        <f t="shared" si="289"/>
        <v>0</v>
      </c>
      <c r="Y3684" s="179"/>
      <c r="Z3684" s="466">
        <f t="shared" si="290"/>
        <v>0</v>
      </c>
      <c r="AA3684" s="473">
        <f t="shared" si="291"/>
        <v>0</v>
      </c>
      <c r="AB3684" s="339">
        <f t="shared" si="292"/>
        <v>0</v>
      </c>
    </row>
    <row r="3685" spans="2:28" ht="20.100000000000001" customHeight="1">
      <c r="B3685" s="172"/>
      <c r="C3685" s="174"/>
      <c r="D3685" s="181"/>
      <c r="E3685" s="173"/>
      <c r="F3685" s="176"/>
      <c r="G3685" s="175">
        <f t="shared" si="283"/>
        <v>0</v>
      </c>
      <c r="H3685" s="175">
        <f t="shared" si="284"/>
        <v>0</v>
      </c>
      <c r="I3685" s="177">
        <f>IF(G3685=0,0,IF(E3685="MXN",1/HLOOKUP(YEAR(C3685)+(MONTH(C3685)/100),TC!$5:$37,DAY(C3685)+2,FALSE),VLOOKUP(E3685,Equivalencia!$5:$23,((MAX(Equivalencia!$3:$3)-YEAR(C3685))*14)+MONTH(C3685)+2,FALSE)))</f>
        <v>0</v>
      </c>
      <c r="J3685" s="178">
        <f t="shared" si="285"/>
        <v>0</v>
      </c>
      <c r="K3685" s="462">
        <f>IF(C3685=0,0,VLOOKUP(YEAR(C3685),INPC!$B$4:$O$29,MONTH(C3685)+1))</f>
        <v>0</v>
      </c>
      <c r="L3685" s="462">
        <f>IF(S3685=0,0,VLOOKUP(YEAR(S3685),INPC!$B$4:$O$29,MONTH(S3685)+1))</f>
        <v>0</v>
      </c>
      <c r="M3685" s="463">
        <f t="shared" si="286"/>
        <v>0</v>
      </c>
      <c r="N3685" s="465">
        <f t="shared" si="287"/>
        <v>0</v>
      </c>
      <c r="O3685" s="179"/>
      <c r="P3685" s="180"/>
      <c r="Q3685" s="173"/>
      <c r="R3685" s="173"/>
      <c r="S3685" s="174"/>
      <c r="T3685" s="173"/>
      <c r="U3685" s="182"/>
      <c r="V3685" s="177">
        <f>IF(U3685=0,0,IF(T3685="MXN",1/HLOOKUP(YEAR(S3685)+(MONTH(S3685)/100),TC!$5:$37,DAY(S3685)+2,FALSE),VLOOKUP(T3685,Equivalencia!$1:$23,((MAX(Equivalencia!$3:$3)-YEAR(S3685))*14)+MONTH(S3685)+2,FALSE)))</f>
        <v>0</v>
      </c>
      <c r="W3685" s="178">
        <f t="shared" si="288"/>
        <v>0</v>
      </c>
      <c r="X3685" s="481">
        <f t="shared" si="289"/>
        <v>0</v>
      </c>
      <c r="Y3685" s="179"/>
      <c r="Z3685" s="466">
        <f t="shared" si="290"/>
        <v>0</v>
      </c>
      <c r="AA3685" s="473">
        <f t="shared" si="291"/>
        <v>0</v>
      </c>
      <c r="AB3685" s="339">
        <f t="shared" si="292"/>
        <v>0</v>
      </c>
    </row>
    <row r="3686" spans="2:28" ht="20.100000000000001" customHeight="1">
      <c r="B3686" s="172"/>
      <c r="C3686" s="174"/>
      <c r="D3686" s="181"/>
      <c r="E3686" s="173"/>
      <c r="F3686" s="176"/>
      <c r="G3686" s="175">
        <f t="shared" si="283"/>
        <v>0</v>
      </c>
      <c r="H3686" s="175">
        <f t="shared" si="284"/>
        <v>0</v>
      </c>
      <c r="I3686" s="177">
        <f>IF(G3686=0,0,IF(E3686="MXN",1/HLOOKUP(YEAR(C3686)+(MONTH(C3686)/100),TC!$5:$37,DAY(C3686)+2,FALSE),VLOOKUP(E3686,Equivalencia!$5:$23,((MAX(Equivalencia!$3:$3)-YEAR(C3686))*14)+MONTH(C3686)+2,FALSE)))</f>
        <v>0</v>
      </c>
      <c r="J3686" s="178">
        <f t="shared" si="285"/>
        <v>0</v>
      </c>
      <c r="K3686" s="462">
        <f>IF(C3686=0,0,VLOOKUP(YEAR(C3686),INPC!$B$4:$O$29,MONTH(C3686)+1))</f>
        <v>0</v>
      </c>
      <c r="L3686" s="462">
        <f>IF(S3686=0,0,VLOOKUP(YEAR(S3686),INPC!$B$4:$O$29,MONTH(S3686)+1))</f>
        <v>0</v>
      </c>
      <c r="M3686" s="463">
        <f t="shared" si="286"/>
        <v>0</v>
      </c>
      <c r="N3686" s="465">
        <f t="shared" si="287"/>
        <v>0</v>
      </c>
      <c r="O3686" s="179"/>
      <c r="P3686" s="180"/>
      <c r="Q3686" s="173"/>
      <c r="R3686" s="173"/>
      <c r="S3686" s="174"/>
      <c r="T3686" s="173"/>
      <c r="U3686" s="182"/>
      <c r="V3686" s="177">
        <f>IF(U3686=0,0,IF(T3686="MXN",1/HLOOKUP(YEAR(S3686)+(MONTH(S3686)/100),TC!$5:$37,DAY(S3686)+2,FALSE),VLOOKUP(T3686,Equivalencia!$1:$23,((MAX(Equivalencia!$3:$3)-YEAR(S3686))*14)+MONTH(S3686)+2,FALSE)))</f>
        <v>0</v>
      </c>
      <c r="W3686" s="178">
        <f t="shared" si="288"/>
        <v>0</v>
      </c>
      <c r="X3686" s="481">
        <f t="shared" si="289"/>
        <v>0</v>
      </c>
      <c r="Y3686" s="179"/>
      <c r="Z3686" s="466">
        <f t="shared" si="290"/>
        <v>0</v>
      </c>
      <c r="AA3686" s="473">
        <f t="shared" si="291"/>
        <v>0</v>
      </c>
      <c r="AB3686" s="339">
        <f t="shared" si="292"/>
        <v>0</v>
      </c>
    </row>
    <row r="3687" spans="2:28" ht="20.100000000000001" customHeight="1">
      <c r="B3687" s="172"/>
      <c r="C3687" s="174"/>
      <c r="D3687" s="181"/>
      <c r="E3687" s="173"/>
      <c r="F3687" s="176"/>
      <c r="G3687" s="175">
        <f t="shared" si="283"/>
        <v>0</v>
      </c>
      <c r="H3687" s="175">
        <f t="shared" si="284"/>
        <v>0</v>
      </c>
      <c r="I3687" s="177">
        <f>IF(G3687=0,0,IF(E3687="MXN",1/HLOOKUP(YEAR(C3687)+(MONTH(C3687)/100),TC!$5:$37,DAY(C3687)+2,FALSE),VLOOKUP(E3687,Equivalencia!$5:$23,((MAX(Equivalencia!$3:$3)-YEAR(C3687))*14)+MONTH(C3687)+2,FALSE)))</f>
        <v>0</v>
      </c>
      <c r="J3687" s="178">
        <f t="shared" si="285"/>
        <v>0</v>
      </c>
      <c r="K3687" s="462">
        <f>IF(C3687=0,0,VLOOKUP(YEAR(C3687),INPC!$B$4:$O$29,MONTH(C3687)+1))</f>
        <v>0</v>
      </c>
      <c r="L3687" s="462">
        <f>IF(S3687=0,0,VLOOKUP(YEAR(S3687),INPC!$B$4:$O$29,MONTH(S3687)+1))</f>
        <v>0</v>
      </c>
      <c r="M3687" s="463">
        <f t="shared" si="286"/>
        <v>0</v>
      </c>
      <c r="N3687" s="465">
        <f t="shared" si="287"/>
        <v>0</v>
      </c>
      <c r="O3687" s="179"/>
      <c r="P3687" s="180"/>
      <c r="Q3687" s="173"/>
      <c r="R3687" s="173"/>
      <c r="S3687" s="174"/>
      <c r="T3687" s="173"/>
      <c r="U3687" s="182"/>
      <c r="V3687" s="177">
        <f>IF(U3687=0,0,IF(T3687="MXN",1/HLOOKUP(YEAR(S3687)+(MONTH(S3687)/100),TC!$5:$37,DAY(S3687)+2,FALSE),VLOOKUP(T3687,Equivalencia!$1:$23,((MAX(Equivalencia!$3:$3)-YEAR(S3687))*14)+MONTH(S3687)+2,FALSE)))</f>
        <v>0</v>
      </c>
      <c r="W3687" s="178">
        <f t="shared" si="288"/>
        <v>0</v>
      </c>
      <c r="X3687" s="481">
        <f t="shared" si="289"/>
        <v>0</v>
      </c>
      <c r="Y3687" s="179"/>
      <c r="Z3687" s="466">
        <f t="shared" si="290"/>
        <v>0</v>
      </c>
      <c r="AA3687" s="473">
        <f t="shared" si="291"/>
        <v>0</v>
      </c>
      <c r="AB3687" s="339">
        <f t="shared" si="292"/>
        <v>0</v>
      </c>
    </row>
    <row r="3688" spans="2:28" ht="20.100000000000001" customHeight="1">
      <c r="B3688" s="172"/>
      <c r="C3688" s="174"/>
      <c r="D3688" s="181"/>
      <c r="E3688" s="173"/>
      <c r="F3688" s="176"/>
      <c r="G3688" s="175">
        <f t="shared" si="253"/>
        <v>0</v>
      </c>
      <c r="H3688" s="175">
        <f t="shared" si="254"/>
        <v>0</v>
      </c>
      <c r="I3688" s="177">
        <f>IF(G3688=0,0,IF(E3688="MXN",1/HLOOKUP(YEAR(C3688)+(MONTH(C3688)/100),TC!$5:$37,DAY(C3688)+2,FALSE),VLOOKUP(E3688,Equivalencia!$5:$23,((MAX(Equivalencia!$3:$3)-YEAR(C3688))*14)+MONTH(C3688)+2,FALSE)))</f>
        <v>0</v>
      </c>
      <c r="J3688" s="178">
        <f t="shared" si="255"/>
        <v>0</v>
      </c>
      <c r="K3688" s="462">
        <f>IF(C3688=0,0,VLOOKUP(YEAR(C3688),INPC!$B$4:$O$29,MONTH(C3688)+1))</f>
        <v>0</v>
      </c>
      <c r="L3688" s="462">
        <f>IF(S3688=0,0,VLOOKUP(YEAR(S3688),INPC!$B$4:$O$29,MONTH(S3688)+1))</f>
        <v>0</v>
      </c>
      <c r="M3688" s="463">
        <f t="shared" si="256"/>
        <v>0</v>
      </c>
      <c r="N3688" s="465">
        <f t="shared" si="257"/>
        <v>0</v>
      </c>
      <c r="O3688" s="179"/>
      <c r="P3688" s="180"/>
      <c r="Q3688" s="173"/>
      <c r="R3688" s="173"/>
      <c r="S3688" s="174"/>
      <c r="T3688" s="173"/>
      <c r="U3688" s="182"/>
      <c r="V3688" s="177">
        <f>IF(U3688=0,0,IF(T3688="MXN",1/HLOOKUP(YEAR(S3688)+(MONTH(S3688)/100),TC!$5:$37,DAY(S3688)+2,FALSE),VLOOKUP(T3688,Equivalencia!$1:$23,((MAX(Equivalencia!$3:$3)-YEAR(S3688))*14)+MONTH(S3688)+2,FALSE)))</f>
        <v>0</v>
      </c>
      <c r="W3688" s="178">
        <f t="shared" si="258"/>
        <v>0</v>
      </c>
      <c r="X3688" s="481">
        <f t="shared" si="259"/>
        <v>0</v>
      </c>
      <c r="Y3688" s="179"/>
      <c r="Z3688" s="466">
        <f t="shared" si="260"/>
        <v>0</v>
      </c>
      <c r="AA3688" s="473">
        <f t="shared" si="261"/>
        <v>0</v>
      </c>
      <c r="AB3688" s="339">
        <f t="shared" si="262"/>
        <v>0</v>
      </c>
    </row>
    <row r="3689" spans="2:28" ht="20.100000000000001" customHeight="1">
      <c r="B3689" s="172"/>
      <c r="C3689" s="174"/>
      <c r="D3689" s="181"/>
      <c r="E3689" s="173"/>
      <c r="F3689" s="176"/>
      <c r="G3689" s="175">
        <f t="shared" si="253"/>
        <v>0</v>
      </c>
      <c r="H3689" s="175">
        <f t="shared" si="254"/>
        <v>0</v>
      </c>
      <c r="I3689" s="177">
        <f>IF(G3689=0,0,IF(E3689="MXN",1/HLOOKUP(YEAR(C3689)+(MONTH(C3689)/100),TC!$5:$37,DAY(C3689)+2,FALSE),VLOOKUP(E3689,Equivalencia!$5:$23,((MAX(Equivalencia!$3:$3)-YEAR(C3689))*14)+MONTH(C3689)+2,FALSE)))</f>
        <v>0</v>
      </c>
      <c r="J3689" s="178">
        <f t="shared" si="255"/>
        <v>0</v>
      </c>
      <c r="K3689" s="462">
        <f>IF(C3689=0,0,VLOOKUP(YEAR(C3689),INPC!$B$4:$O$29,MONTH(C3689)+1))</f>
        <v>0</v>
      </c>
      <c r="L3689" s="462">
        <f>IF(S3689=0,0,VLOOKUP(YEAR(S3689),INPC!$B$4:$O$29,MONTH(S3689)+1))</f>
        <v>0</v>
      </c>
      <c r="M3689" s="463">
        <f t="shared" si="256"/>
        <v>0</v>
      </c>
      <c r="N3689" s="465">
        <f t="shared" si="257"/>
        <v>0</v>
      </c>
      <c r="O3689" s="179"/>
      <c r="P3689" s="180"/>
      <c r="Q3689" s="173"/>
      <c r="R3689" s="173"/>
      <c r="S3689" s="174"/>
      <c r="T3689" s="173"/>
      <c r="U3689" s="182"/>
      <c r="V3689" s="177">
        <f>IF(U3689=0,0,IF(T3689="MXN",1/HLOOKUP(YEAR(S3689)+(MONTH(S3689)/100),TC!$5:$37,DAY(S3689)+2,FALSE),VLOOKUP(T3689,Equivalencia!$1:$23,((MAX(Equivalencia!$3:$3)-YEAR(S3689))*14)+MONTH(S3689)+2,FALSE)))</f>
        <v>0</v>
      </c>
      <c r="W3689" s="178">
        <f t="shared" si="258"/>
        <v>0</v>
      </c>
      <c r="X3689" s="481">
        <f t="shared" si="259"/>
        <v>0</v>
      </c>
      <c r="Y3689" s="179"/>
      <c r="Z3689" s="466">
        <f t="shared" si="260"/>
        <v>0</v>
      </c>
      <c r="AA3689" s="473">
        <f t="shared" si="261"/>
        <v>0</v>
      </c>
      <c r="AB3689" s="339">
        <f t="shared" si="262"/>
        <v>0</v>
      </c>
    </row>
    <row r="3690" spans="2:28" ht="20.100000000000001" customHeight="1">
      <c r="B3690" s="172"/>
      <c r="C3690" s="174"/>
      <c r="D3690" s="181"/>
      <c r="E3690" s="173"/>
      <c r="F3690" s="176"/>
      <c r="G3690" s="175">
        <f t="shared" si="253"/>
        <v>0</v>
      </c>
      <c r="H3690" s="175">
        <f t="shared" si="254"/>
        <v>0</v>
      </c>
      <c r="I3690" s="177">
        <f>IF(G3690=0,0,IF(E3690="MXN",1/HLOOKUP(YEAR(C3690)+(MONTH(C3690)/100),TC!$5:$37,DAY(C3690)+2,FALSE),VLOOKUP(E3690,Equivalencia!$5:$23,((MAX(Equivalencia!$3:$3)-YEAR(C3690))*14)+MONTH(C3690)+2,FALSE)))</f>
        <v>0</v>
      </c>
      <c r="J3690" s="178">
        <f t="shared" si="255"/>
        <v>0</v>
      </c>
      <c r="K3690" s="462">
        <f>IF(C3690=0,0,VLOOKUP(YEAR(C3690),INPC!$B$4:$O$29,MONTH(C3690)+1))</f>
        <v>0</v>
      </c>
      <c r="L3690" s="462">
        <f>IF(S3690=0,0,VLOOKUP(YEAR(S3690),INPC!$B$4:$O$29,MONTH(S3690)+1))</f>
        <v>0</v>
      </c>
      <c r="M3690" s="463">
        <f t="shared" si="256"/>
        <v>0</v>
      </c>
      <c r="N3690" s="465">
        <f t="shared" si="257"/>
        <v>0</v>
      </c>
      <c r="O3690" s="179"/>
      <c r="P3690" s="180"/>
      <c r="Q3690" s="173"/>
      <c r="R3690" s="173"/>
      <c r="S3690" s="174"/>
      <c r="T3690" s="173"/>
      <c r="U3690" s="182"/>
      <c r="V3690" s="177">
        <f>IF(U3690=0,0,IF(T3690="MXN",1/HLOOKUP(YEAR(S3690)+(MONTH(S3690)/100),TC!$5:$37,DAY(S3690)+2,FALSE),VLOOKUP(T3690,Equivalencia!$1:$23,((MAX(Equivalencia!$3:$3)-YEAR(S3690))*14)+MONTH(S3690)+2,FALSE)))</f>
        <v>0</v>
      </c>
      <c r="W3690" s="178">
        <f t="shared" si="258"/>
        <v>0</v>
      </c>
      <c r="X3690" s="481">
        <f t="shared" si="259"/>
        <v>0</v>
      </c>
      <c r="Y3690" s="179"/>
      <c r="Z3690" s="466">
        <f t="shared" si="260"/>
        <v>0</v>
      </c>
      <c r="AA3690" s="473">
        <f t="shared" si="261"/>
        <v>0</v>
      </c>
      <c r="AB3690" s="339">
        <f t="shared" si="262"/>
        <v>0</v>
      </c>
    </row>
    <row r="3691" spans="2:28" ht="20.100000000000001" customHeight="1">
      <c r="B3691" s="172"/>
      <c r="C3691" s="174"/>
      <c r="D3691" s="181"/>
      <c r="E3691" s="173"/>
      <c r="F3691" s="176"/>
      <c r="G3691" s="175">
        <f t="shared" si="253"/>
        <v>0</v>
      </c>
      <c r="H3691" s="175">
        <f t="shared" si="254"/>
        <v>0</v>
      </c>
      <c r="I3691" s="177">
        <f>IF(G3691=0,0,IF(E3691="MXN",1/HLOOKUP(YEAR(C3691)+(MONTH(C3691)/100),TC!$5:$37,DAY(C3691)+2,FALSE),VLOOKUP(E3691,Equivalencia!$5:$23,((MAX(Equivalencia!$3:$3)-YEAR(C3691))*14)+MONTH(C3691)+2,FALSE)))</f>
        <v>0</v>
      </c>
      <c r="J3691" s="178">
        <f t="shared" si="255"/>
        <v>0</v>
      </c>
      <c r="K3691" s="462">
        <f>IF(C3691=0,0,VLOOKUP(YEAR(C3691),INPC!$B$4:$O$29,MONTH(C3691)+1))</f>
        <v>0</v>
      </c>
      <c r="L3691" s="462">
        <f>IF(S3691=0,0,VLOOKUP(YEAR(S3691),INPC!$B$4:$O$29,MONTH(S3691)+1))</f>
        <v>0</v>
      </c>
      <c r="M3691" s="463">
        <f t="shared" si="256"/>
        <v>0</v>
      </c>
      <c r="N3691" s="465">
        <f t="shared" si="257"/>
        <v>0</v>
      </c>
      <c r="O3691" s="179"/>
      <c r="P3691" s="180"/>
      <c r="Q3691" s="173"/>
      <c r="R3691" s="173"/>
      <c r="S3691" s="174"/>
      <c r="T3691" s="173"/>
      <c r="U3691" s="182"/>
      <c r="V3691" s="177">
        <f>IF(U3691=0,0,IF(T3691="MXN",1/HLOOKUP(YEAR(S3691)+(MONTH(S3691)/100),TC!$5:$37,DAY(S3691)+2,FALSE),VLOOKUP(T3691,Equivalencia!$1:$23,((MAX(Equivalencia!$3:$3)-YEAR(S3691))*14)+MONTH(S3691)+2,FALSE)))</f>
        <v>0</v>
      </c>
      <c r="W3691" s="178">
        <f t="shared" si="258"/>
        <v>0</v>
      </c>
      <c r="X3691" s="481">
        <f t="shared" si="259"/>
        <v>0</v>
      </c>
      <c r="Y3691" s="179"/>
      <c r="Z3691" s="466">
        <f t="shared" si="260"/>
        <v>0</v>
      </c>
      <c r="AA3691" s="473">
        <f t="shared" si="261"/>
        <v>0</v>
      </c>
      <c r="AB3691" s="339">
        <f t="shared" si="262"/>
        <v>0</v>
      </c>
    </row>
    <row r="3692" spans="2:28" ht="20.100000000000001" customHeight="1">
      <c r="B3692" s="172"/>
      <c r="C3692" s="174"/>
      <c r="D3692" s="181"/>
      <c r="E3692" s="173"/>
      <c r="F3692" s="176"/>
      <c r="G3692" s="175">
        <f t="shared" si="253"/>
        <v>0</v>
      </c>
      <c r="H3692" s="175">
        <f t="shared" si="254"/>
        <v>0</v>
      </c>
      <c r="I3692" s="177">
        <f>IF(G3692=0,0,IF(E3692="MXN",1/HLOOKUP(YEAR(C3692)+(MONTH(C3692)/100),TC!$5:$37,DAY(C3692)+2,FALSE),VLOOKUP(E3692,Equivalencia!$5:$23,((MAX(Equivalencia!$3:$3)-YEAR(C3692))*14)+MONTH(C3692)+2,FALSE)))</f>
        <v>0</v>
      </c>
      <c r="J3692" s="178">
        <f t="shared" si="255"/>
        <v>0</v>
      </c>
      <c r="K3692" s="462">
        <f>IF(C3692=0,0,VLOOKUP(YEAR(C3692),INPC!$B$4:$O$29,MONTH(C3692)+1))</f>
        <v>0</v>
      </c>
      <c r="L3692" s="462">
        <f>IF(S3692=0,0,VLOOKUP(YEAR(S3692),INPC!$B$4:$O$29,MONTH(S3692)+1))</f>
        <v>0</v>
      </c>
      <c r="M3692" s="463">
        <f t="shared" si="256"/>
        <v>0</v>
      </c>
      <c r="N3692" s="465">
        <f t="shared" si="257"/>
        <v>0</v>
      </c>
      <c r="O3692" s="179"/>
      <c r="P3692" s="180"/>
      <c r="Q3692" s="173"/>
      <c r="R3692" s="173"/>
      <c r="S3692" s="174"/>
      <c r="T3692" s="173"/>
      <c r="U3692" s="182"/>
      <c r="V3692" s="177">
        <f>IF(U3692=0,0,IF(T3692="MXN",1/HLOOKUP(YEAR(S3692)+(MONTH(S3692)/100),TC!$5:$37,DAY(S3692)+2,FALSE),VLOOKUP(T3692,Equivalencia!$1:$23,((MAX(Equivalencia!$3:$3)-YEAR(S3692))*14)+MONTH(S3692)+2,FALSE)))</f>
        <v>0</v>
      </c>
      <c r="W3692" s="178">
        <f t="shared" si="258"/>
        <v>0</v>
      </c>
      <c r="X3692" s="481">
        <f t="shared" si="259"/>
        <v>0</v>
      </c>
      <c r="Y3692" s="179"/>
      <c r="Z3692" s="466">
        <f t="shared" si="260"/>
        <v>0</v>
      </c>
      <c r="AA3692" s="473">
        <f t="shared" si="261"/>
        <v>0</v>
      </c>
      <c r="AB3692" s="339">
        <f t="shared" si="262"/>
        <v>0</v>
      </c>
    </row>
    <row r="3693" spans="2:28" ht="20.100000000000001" customHeight="1">
      <c r="B3693" s="172"/>
      <c r="C3693" s="174"/>
      <c r="D3693" s="181"/>
      <c r="E3693" s="173"/>
      <c r="F3693" s="176"/>
      <c r="G3693" s="175">
        <f t="shared" si="253"/>
        <v>0</v>
      </c>
      <c r="H3693" s="175">
        <f t="shared" si="254"/>
        <v>0</v>
      </c>
      <c r="I3693" s="177">
        <f>IF(G3693=0,0,IF(E3693="MXN",1/HLOOKUP(YEAR(C3693)+(MONTH(C3693)/100),TC!$5:$37,DAY(C3693)+2,FALSE),VLOOKUP(E3693,Equivalencia!$5:$23,((MAX(Equivalencia!$3:$3)-YEAR(C3693))*14)+MONTH(C3693)+2,FALSE)))</f>
        <v>0</v>
      </c>
      <c r="J3693" s="178">
        <f t="shared" si="255"/>
        <v>0</v>
      </c>
      <c r="K3693" s="462">
        <f>IF(C3693=0,0,VLOOKUP(YEAR(C3693),INPC!$B$4:$O$29,MONTH(C3693)+1))</f>
        <v>0</v>
      </c>
      <c r="L3693" s="462">
        <f>IF(S3693=0,0,VLOOKUP(YEAR(S3693),INPC!$B$4:$O$29,MONTH(S3693)+1))</f>
        <v>0</v>
      </c>
      <c r="M3693" s="463">
        <f t="shared" si="256"/>
        <v>0</v>
      </c>
      <c r="N3693" s="465">
        <f t="shared" si="257"/>
        <v>0</v>
      </c>
      <c r="O3693" s="179"/>
      <c r="P3693" s="180"/>
      <c r="Q3693" s="173"/>
      <c r="R3693" s="173"/>
      <c r="S3693" s="174"/>
      <c r="T3693" s="173"/>
      <c r="U3693" s="182"/>
      <c r="V3693" s="177">
        <f>IF(U3693=0,0,IF(T3693="MXN",1/HLOOKUP(YEAR(S3693)+(MONTH(S3693)/100),TC!$5:$37,DAY(S3693)+2,FALSE),VLOOKUP(T3693,Equivalencia!$1:$23,((MAX(Equivalencia!$3:$3)-YEAR(S3693))*14)+MONTH(S3693)+2,FALSE)))</f>
        <v>0</v>
      </c>
      <c r="W3693" s="178">
        <f t="shared" si="258"/>
        <v>0</v>
      </c>
      <c r="X3693" s="481">
        <f t="shared" si="259"/>
        <v>0</v>
      </c>
      <c r="Y3693" s="179"/>
      <c r="Z3693" s="466">
        <f t="shared" si="260"/>
        <v>0</v>
      </c>
      <c r="AA3693" s="473">
        <f t="shared" si="261"/>
        <v>0</v>
      </c>
      <c r="AB3693" s="339">
        <f t="shared" si="262"/>
        <v>0</v>
      </c>
    </row>
    <row r="3694" spans="2:28" ht="20.100000000000001" customHeight="1">
      <c r="B3694" s="172"/>
      <c r="C3694" s="174"/>
      <c r="D3694" s="181"/>
      <c r="E3694" s="173"/>
      <c r="F3694" s="176"/>
      <c r="G3694" s="175">
        <f t="shared" si="253"/>
        <v>0</v>
      </c>
      <c r="H3694" s="175">
        <f t="shared" si="254"/>
        <v>0</v>
      </c>
      <c r="I3694" s="177">
        <f>IF(G3694=0,0,IF(E3694="MXN",1/HLOOKUP(YEAR(C3694)+(MONTH(C3694)/100),TC!$5:$37,DAY(C3694)+2,FALSE),VLOOKUP(E3694,Equivalencia!$5:$23,((MAX(Equivalencia!$3:$3)-YEAR(C3694))*14)+MONTH(C3694)+2,FALSE)))</f>
        <v>0</v>
      </c>
      <c r="J3694" s="178">
        <f t="shared" si="255"/>
        <v>0</v>
      </c>
      <c r="K3694" s="462">
        <f>IF(C3694=0,0,VLOOKUP(YEAR(C3694),INPC!$B$4:$O$29,MONTH(C3694)+1))</f>
        <v>0</v>
      </c>
      <c r="L3694" s="462">
        <f>IF(S3694=0,0,VLOOKUP(YEAR(S3694),INPC!$B$4:$O$29,MONTH(S3694)+1))</f>
        <v>0</v>
      </c>
      <c r="M3694" s="463">
        <f t="shared" si="256"/>
        <v>0</v>
      </c>
      <c r="N3694" s="465">
        <f t="shared" si="257"/>
        <v>0</v>
      </c>
      <c r="O3694" s="179"/>
      <c r="P3694" s="180"/>
      <c r="Q3694" s="173"/>
      <c r="R3694" s="173"/>
      <c r="S3694" s="174"/>
      <c r="T3694" s="173"/>
      <c r="U3694" s="182"/>
      <c r="V3694" s="177">
        <f>IF(U3694=0,0,IF(T3694="MXN",1/HLOOKUP(YEAR(S3694)+(MONTH(S3694)/100),TC!$5:$37,DAY(S3694)+2,FALSE),VLOOKUP(T3694,Equivalencia!$1:$23,((MAX(Equivalencia!$3:$3)-YEAR(S3694))*14)+MONTH(S3694)+2,FALSE)))</f>
        <v>0</v>
      </c>
      <c r="W3694" s="178">
        <f t="shared" si="258"/>
        <v>0</v>
      </c>
      <c r="X3694" s="481">
        <f t="shared" si="259"/>
        <v>0</v>
      </c>
      <c r="Y3694" s="179"/>
      <c r="Z3694" s="466">
        <f t="shared" si="260"/>
        <v>0</v>
      </c>
      <c r="AA3694" s="473">
        <f t="shared" si="261"/>
        <v>0</v>
      </c>
      <c r="AB3694" s="339">
        <f t="shared" si="262"/>
        <v>0</v>
      </c>
    </row>
    <row r="3695" spans="2:28" ht="20.100000000000001" customHeight="1">
      <c r="B3695" s="172"/>
      <c r="C3695" s="174"/>
      <c r="D3695" s="181"/>
      <c r="E3695" s="173"/>
      <c r="F3695" s="176"/>
      <c r="G3695" s="175">
        <f t="shared" si="253"/>
        <v>0</v>
      </c>
      <c r="H3695" s="175">
        <f t="shared" si="254"/>
        <v>0</v>
      </c>
      <c r="I3695" s="177">
        <f>IF(G3695=0,0,IF(E3695="MXN",1/HLOOKUP(YEAR(C3695)+(MONTH(C3695)/100),TC!$5:$37,DAY(C3695)+2,FALSE),VLOOKUP(E3695,Equivalencia!$5:$23,((MAX(Equivalencia!$3:$3)-YEAR(C3695))*14)+MONTH(C3695)+2,FALSE)))</f>
        <v>0</v>
      </c>
      <c r="J3695" s="178">
        <f t="shared" si="255"/>
        <v>0</v>
      </c>
      <c r="K3695" s="462">
        <f>IF(C3695=0,0,VLOOKUP(YEAR(C3695),INPC!$B$4:$O$29,MONTH(C3695)+1))</f>
        <v>0</v>
      </c>
      <c r="L3695" s="462">
        <f>IF(S3695=0,0,VLOOKUP(YEAR(S3695),INPC!$B$4:$O$29,MONTH(S3695)+1))</f>
        <v>0</v>
      </c>
      <c r="M3695" s="463">
        <f t="shared" si="256"/>
        <v>0</v>
      </c>
      <c r="N3695" s="465">
        <f t="shared" si="257"/>
        <v>0</v>
      </c>
      <c r="O3695" s="179"/>
      <c r="P3695" s="180"/>
      <c r="Q3695" s="173"/>
      <c r="R3695" s="173"/>
      <c r="S3695" s="174"/>
      <c r="T3695" s="173"/>
      <c r="U3695" s="182"/>
      <c r="V3695" s="177">
        <f>IF(U3695=0,0,IF(T3695="MXN",1/HLOOKUP(YEAR(S3695)+(MONTH(S3695)/100),TC!$5:$37,DAY(S3695)+2,FALSE),VLOOKUP(T3695,Equivalencia!$1:$23,((MAX(Equivalencia!$3:$3)-YEAR(S3695))*14)+MONTH(S3695)+2,FALSE)))</f>
        <v>0</v>
      </c>
      <c r="W3695" s="178">
        <f t="shared" si="258"/>
        <v>0</v>
      </c>
      <c r="X3695" s="481">
        <f t="shared" si="259"/>
        <v>0</v>
      </c>
      <c r="Y3695" s="179"/>
      <c r="Z3695" s="466">
        <f t="shared" si="260"/>
        <v>0</v>
      </c>
      <c r="AA3695" s="473">
        <f t="shared" si="261"/>
        <v>0</v>
      </c>
      <c r="AB3695" s="339">
        <f t="shared" si="262"/>
        <v>0</v>
      </c>
    </row>
    <row r="3696" spans="2:28" ht="20.100000000000001" customHeight="1">
      <c r="B3696" s="172"/>
      <c r="C3696" s="174"/>
      <c r="D3696" s="181"/>
      <c r="E3696" s="173"/>
      <c r="F3696" s="176"/>
      <c r="G3696" s="175">
        <f t="shared" si="253"/>
        <v>0</v>
      </c>
      <c r="H3696" s="175">
        <f t="shared" si="254"/>
        <v>0</v>
      </c>
      <c r="I3696" s="177">
        <f>IF(G3696=0,0,IF(E3696="MXN",1/HLOOKUP(YEAR(C3696)+(MONTH(C3696)/100),TC!$5:$37,DAY(C3696)+2,FALSE),VLOOKUP(E3696,Equivalencia!$5:$23,((MAX(Equivalencia!$3:$3)-YEAR(C3696))*14)+MONTH(C3696)+2,FALSE)))</f>
        <v>0</v>
      </c>
      <c r="J3696" s="178">
        <f t="shared" si="255"/>
        <v>0</v>
      </c>
      <c r="K3696" s="462">
        <f>IF(C3696=0,0,VLOOKUP(YEAR(C3696),INPC!$B$4:$O$29,MONTH(C3696)+1))</f>
        <v>0</v>
      </c>
      <c r="L3696" s="462">
        <f>IF(S3696=0,0,VLOOKUP(YEAR(S3696),INPC!$B$4:$O$29,MONTH(S3696)+1))</f>
        <v>0</v>
      </c>
      <c r="M3696" s="463">
        <f t="shared" si="256"/>
        <v>0</v>
      </c>
      <c r="N3696" s="465">
        <f t="shared" si="257"/>
        <v>0</v>
      </c>
      <c r="O3696" s="179"/>
      <c r="P3696" s="180"/>
      <c r="Q3696" s="173"/>
      <c r="R3696" s="173"/>
      <c r="S3696" s="174"/>
      <c r="T3696" s="173"/>
      <c r="U3696" s="182"/>
      <c r="V3696" s="177">
        <f>IF(U3696=0,0,IF(T3696="MXN",1/HLOOKUP(YEAR(S3696)+(MONTH(S3696)/100),TC!$5:$37,DAY(S3696)+2,FALSE),VLOOKUP(T3696,Equivalencia!$1:$23,((MAX(Equivalencia!$3:$3)-YEAR(S3696))*14)+MONTH(S3696)+2,FALSE)))</f>
        <v>0</v>
      </c>
      <c r="W3696" s="178">
        <f t="shared" si="258"/>
        <v>0</v>
      </c>
      <c r="X3696" s="481">
        <f t="shared" si="259"/>
        <v>0</v>
      </c>
      <c r="Y3696" s="179"/>
      <c r="Z3696" s="466">
        <f t="shared" si="260"/>
        <v>0</v>
      </c>
      <c r="AA3696" s="473">
        <f t="shared" si="261"/>
        <v>0</v>
      </c>
      <c r="AB3696" s="339">
        <f t="shared" si="262"/>
        <v>0</v>
      </c>
    </row>
    <row r="3697" spans="2:28" ht="20.100000000000001" customHeight="1">
      <c r="B3697" s="172"/>
      <c r="C3697" s="174"/>
      <c r="D3697" s="181"/>
      <c r="E3697" s="173"/>
      <c r="F3697" s="176"/>
      <c r="G3697" s="175">
        <f t="shared" si="253"/>
        <v>0</v>
      </c>
      <c r="H3697" s="175">
        <f t="shared" si="254"/>
        <v>0</v>
      </c>
      <c r="I3697" s="177">
        <f>IF(G3697=0,0,IF(E3697="MXN",1/HLOOKUP(YEAR(C3697)+(MONTH(C3697)/100),TC!$5:$37,DAY(C3697)+2,FALSE),VLOOKUP(E3697,Equivalencia!$5:$23,((MAX(Equivalencia!$3:$3)-YEAR(C3697))*14)+MONTH(C3697)+2,FALSE)))</f>
        <v>0</v>
      </c>
      <c r="J3697" s="178">
        <f t="shared" si="255"/>
        <v>0</v>
      </c>
      <c r="K3697" s="462">
        <f>IF(C3697=0,0,VLOOKUP(YEAR(C3697),INPC!$B$4:$O$29,MONTH(C3697)+1))</f>
        <v>0</v>
      </c>
      <c r="L3697" s="462">
        <f>IF(S3697=0,0,VLOOKUP(YEAR(S3697),INPC!$B$4:$O$29,MONTH(S3697)+1))</f>
        <v>0</v>
      </c>
      <c r="M3697" s="463">
        <f t="shared" si="256"/>
        <v>0</v>
      </c>
      <c r="N3697" s="465">
        <f t="shared" si="257"/>
        <v>0</v>
      </c>
      <c r="O3697" s="179"/>
      <c r="P3697" s="180"/>
      <c r="Q3697" s="173"/>
      <c r="R3697" s="173"/>
      <c r="S3697" s="174"/>
      <c r="T3697" s="173"/>
      <c r="U3697" s="182"/>
      <c r="V3697" s="177">
        <f>IF(U3697=0,0,IF(T3697="MXN",1/HLOOKUP(YEAR(S3697)+(MONTH(S3697)/100),TC!$5:$37,DAY(S3697)+2,FALSE),VLOOKUP(T3697,Equivalencia!$1:$23,((MAX(Equivalencia!$3:$3)-YEAR(S3697))*14)+MONTH(S3697)+2,FALSE)))</f>
        <v>0</v>
      </c>
      <c r="W3697" s="178">
        <f t="shared" si="258"/>
        <v>0</v>
      </c>
      <c r="X3697" s="481">
        <f t="shared" si="259"/>
        <v>0</v>
      </c>
      <c r="Y3697" s="179"/>
      <c r="Z3697" s="466">
        <f t="shared" si="260"/>
        <v>0</v>
      </c>
      <c r="AA3697" s="473">
        <f t="shared" si="261"/>
        <v>0</v>
      </c>
      <c r="AB3697" s="339">
        <f t="shared" si="262"/>
        <v>0</v>
      </c>
    </row>
    <row r="3698" spans="2:28" ht="20.100000000000001" customHeight="1">
      <c r="B3698" s="172"/>
      <c r="C3698" s="174"/>
      <c r="D3698" s="181"/>
      <c r="E3698" s="173"/>
      <c r="F3698" s="176"/>
      <c r="G3698" s="175">
        <f t="shared" si="253"/>
        <v>0</v>
      </c>
      <c r="H3698" s="175">
        <f t="shared" si="254"/>
        <v>0</v>
      </c>
      <c r="I3698" s="177">
        <f>IF(G3698=0,0,IF(E3698="MXN",1/HLOOKUP(YEAR(C3698)+(MONTH(C3698)/100),TC!$5:$37,DAY(C3698)+2,FALSE),VLOOKUP(E3698,Equivalencia!$5:$23,((MAX(Equivalencia!$3:$3)-YEAR(C3698))*14)+MONTH(C3698)+2,FALSE)))</f>
        <v>0</v>
      </c>
      <c r="J3698" s="178">
        <f t="shared" si="255"/>
        <v>0</v>
      </c>
      <c r="K3698" s="462">
        <f>IF(C3698=0,0,VLOOKUP(YEAR(C3698),INPC!$B$4:$O$29,MONTH(C3698)+1))</f>
        <v>0</v>
      </c>
      <c r="L3698" s="462">
        <f>IF(S3698=0,0,VLOOKUP(YEAR(S3698),INPC!$B$4:$O$29,MONTH(S3698)+1))</f>
        <v>0</v>
      </c>
      <c r="M3698" s="463">
        <f t="shared" si="256"/>
        <v>0</v>
      </c>
      <c r="N3698" s="465">
        <f t="shared" si="257"/>
        <v>0</v>
      </c>
      <c r="O3698" s="179"/>
      <c r="P3698" s="180"/>
      <c r="Q3698" s="173"/>
      <c r="R3698" s="173"/>
      <c r="S3698" s="174"/>
      <c r="T3698" s="173"/>
      <c r="U3698" s="182"/>
      <c r="V3698" s="177">
        <f>IF(U3698=0,0,IF(T3698="MXN",1/HLOOKUP(YEAR(S3698)+(MONTH(S3698)/100),TC!$5:$37,DAY(S3698)+2,FALSE),VLOOKUP(T3698,Equivalencia!$1:$23,((MAX(Equivalencia!$3:$3)-YEAR(S3698))*14)+MONTH(S3698)+2,FALSE)))</f>
        <v>0</v>
      </c>
      <c r="W3698" s="178">
        <f t="shared" si="258"/>
        <v>0</v>
      </c>
      <c r="X3698" s="481">
        <f t="shared" si="259"/>
        <v>0</v>
      </c>
      <c r="Y3698" s="179"/>
      <c r="Z3698" s="466">
        <f t="shared" si="260"/>
        <v>0</v>
      </c>
      <c r="AA3698" s="473">
        <f t="shared" si="261"/>
        <v>0</v>
      </c>
      <c r="AB3698" s="339">
        <f t="shared" si="262"/>
        <v>0</v>
      </c>
    </row>
    <row r="3699" spans="2:28" ht="20.100000000000001" customHeight="1">
      <c r="B3699" s="172"/>
      <c r="C3699" s="174"/>
      <c r="D3699" s="181"/>
      <c r="E3699" s="173"/>
      <c r="F3699" s="176"/>
      <c r="G3699" s="175">
        <f t="shared" si="253"/>
        <v>0</v>
      </c>
      <c r="H3699" s="175">
        <f t="shared" si="254"/>
        <v>0</v>
      </c>
      <c r="I3699" s="177">
        <f>IF(G3699=0,0,IF(E3699="MXN",1/HLOOKUP(YEAR(C3699)+(MONTH(C3699)/100),TC!$5:$37,DAY(C3699)+2,FALSE),VLOOKUP(E3699,Equivalencia!$5:$23,((MAX(Equivalencia!$3:$3)-YEAR(C3699))*14)+MONTH(C3699)+2,FALSE)))</f>
        <v>0</v>
      </c>
      <c r="J3699" s="178">
        <f t="shared" si="255"/>
        <v>0</v>
      </c>
      <c r="K3699" s="462">
        <f>IF(C3699=0,0,VLOOKUP(YEAR(C3699),INPC!$B$4:$O$29,MONTH(C3699)+1))</f>
        <v>0</v>
      </c>
      <c r="L3699" s="462">
        <f>IF(S3699=0,0,VLOOKUP(YEAR(S3699),INPC!$B$4:$O$29,MONTH(S3699)+1))</f>
        <v>0</v>
      </c>
      <c r="M3699" s="463">
        <f t="shared" si="256"/>
        <v>0</v>
      </c>
      <c r="N3699" s="465">
        <f t="shared" si="257"/>
        <v>0</v>
      </c>
      <c r="O3699" s="179"/>
      <c r="P3699" s="180"/>
      <c r="Q3699" s="173"/>
      <c r="R3699" s="173"/>
      <c r="S3699" s="174"/>
      <c r="T3699" s="173"/>
      <c r="U3699" s="182"/>
      <c r="V3699" s="177">
        <f>IF(U3699=0,0,IF(T3699="MXN",1/HLOOKUP(YEAR(S3699)+(MONTH(S3699)/100),TC!$5:$37,DAY(S3699)+2,FALSE),VLOOKUP(T3699,Equivalencia!$1:$23,((MAX(Equivalencia!$3:$3)-YEAR(S3699))*14)+MONTH(S3699)+2,FALSE)))</f>
        <v>0</v>
      </c>
      <c r="W3699" s="178">
        <f t="shared" si="258"/>
        <v>0</v>
      </c>
      <c r="X3699" s="481">
        <f t="shared" si="259"/>
        <v>0</v>
      </c>
      <c r="Y3699" s="179"/>
      <c r="Z3699" s="466">
        <f t="shared" si="260"/>
        <v>0</v>
      </c>
      <c r="AA3699" s="473">
        <f t="shared" si="261"/>
        <v>0</v>
      </c>
      <c r="AB3699" s="339">
        <f t="shared" si="262"/>
        <v>0</v>
      </c>
    </row>
    <row r="3700" spans="2:28" ht="20.100000000000001" customHeight="1">
      <c r="B3700" s="172"/>
      <c r="C3700" s="174"/>
      <c r="D3700" s="181"/>
      <c r="E3700" s="173"/>
      <c r="F3700" s="176"/>
      <c r="G3700" s="175">
        <f t="shared" si="253"/>
        <v>0</v>
      </c>
      <c r="H3700" s="175">
        <f t="shared" si="254"/>
        <v>0</v>
      </c>
      <c r="I3700" s="177">
        <f>IF(G3700=0,0,IF(E3700="MXN",1/HLOOKUP(YEAR(C3700)+(MONTH(C3700)/100),TC!$5:$37,DAY(C3700)+2,FALSE),VLOOKUP(E3700,Equivalencia!$5:$23,((MAX(Equivalencia!$3:$3)-YEAR(C3700))*14)+MONTH(C3700)+2,FALSE)))</f>
        <v>0</v>
      </c>
      <c r="J3700" s="178">
        <f t="shared" si="255"/>
        <v>0</v>
      </c>
      <c r="K3700" s="462">
        <f>IF(C3700=0,0,VLOOKUP(YEAR(C3700),INPC!$B$4:$O$29,MONTH(C3700)+1))</f>
        <v>0</v>
      </c>
      <c r="L3700" s="462">
        <f>IF(S3700=0,0,VLOOKUP(YEAR(S3700),INPC!$B$4:$O$29,MONTH(S3700)+1))</f>
        <v>0</v>
      </c>
      <c r="M3700" s="463">
        <f t="shared" si="256"/>
        <v>0</v>
      </c>
      <c r="N3700" s="465">
        <f t="shared" si="257"/>
        <v>0</v>
      </c>
      <c r="O3700" s="179"/>
      <c r="P3700" s="180"/>
      <c r="Q3700" s="173"/>
      <c r="R3700" s="173"/>
      <c r="S3700" s="174"/>
      <c r="T3700" s="173"/>
      <c r="U3700" s="182"/>
      <c r="V3700" s="177">
        <f>IF(U3700=0,0,IF(T3700="MXN",1/HLOOKUP(YEAR(S3700)+(MONTH(S3700)/100),TC!$5:$37,DAY(S3700)+2,FALSE),VLOOKUP(T3700,Equivalencia!$1:$23,((MAX(Equivalencia!$3:$3)-YEAR(S3700))*14)+MONTH(S3700)+2,FALSE)))</f>
        <v>0</v>
      </c>
      <c r="W3700" s="178">
        <f t="shared" si="258"/>
        <v>0</v>
      </c>
      <c r="X3700" s="481">
        <f t="shared" si="259"/>
        <v>0</v>
      </c>
      <c r="Y3700" s="179"/>
      <c r="Z3700" s="466">
        <f t="shared" si="260"/>
        <v>0</v>
      </c>
      <c r="AA3700" s="473">
        <f t="shared" si="261"/>
        <v>0</v>
      </c>
      <c r="AB3700" s="339">
        <f t="shared" si="262"/>
        <v>0</v>
      </c>
    </row>
    <row r="3701" spans="2:28" ht="20.100000000000001" customHeight="1">
      <c r="B3701" s="172"/>
      <c r="C3701" s="174"/>
      <c r="D3701" s="181"/>
      <c r="E3701" s="173"/>
      <c r="F3701" s="176"/>
      <c r="G3701" s="175">
        <f t="shared" si="253"/>
        <v>0</v>
      </c>
      <c r="H3701" s="175">
        <f t="shared" si="254"/>
        <v>0</v>
      </c>
      <c r="I3701" s="177">
        <f>IF(G3701=0,0,IF(E3701="MXN",1/HLOOKUP(YEAR(C3701)+(MONTH(C3701)/100),TC!$5:$37,DAY(C3701)+2,FALSE),VLOOKUP(E3701,Equivalencia!$5:$23,((MAX(Equivalencia!$3:$3)-YEAR(C3701))*14)+MONTH(C3701)+2,FALSE)))</f>
        <v>0</v>
      </c>
      <c r="J3701" s="178">
        <f t="shared" si="255"/>
        <v>0</v>
      </c>
      <c r="K3701" s="462">
        <f>IF(C3701=0,0,VLOOKUP(YEAR(C3701),INPC!$B$4:$O$29,MONTH(C3701)+1))</f>
        <v>0</v>
      </c>
      <c r="L3701" s="462">
        <f>IF(S3701=0,0,VLOOKUP(YEAR(S3701),INPC!$B$4:$O$29,MONTH(S3701)+1))</f>
        <v>0</v>
      </c>
      <c r="M3701" s="463">
        <f t="shared" si="256"/>
        <v>0</v>
      </c>
      <c r="N3701" s="465">
        <f t="shared" si="257"/>
        <v>0</v>
      </c>
      <c r="O3701" s="179"/>
      <c r="P3701" s="180"/>
      <c r="Q3701" s="173"/>
      <c r="R3701" s="173"/>
      <c r="S3701" s="174"/>
      <c r="T3701" s="173"/>
      <c r="U3701" s="182"/>
      <c r="V3701" s="177">
        <f>IF(U3701=0,0,IF(T3701="MXN",1/HLOOKUP(YEAR(S3701)+(MONTH(S3701)/100),TC!$5:$37,DAY(S3701)+2,FALSE),VLOOKUP(T3701,Equivalencia!$1:$23,((MAX(Equivalencia!$3:$3)-YEAR(S3701))*14)+MONTH(S3701)+2,FALSE)))</f>
        <v>0</v>
      </c>
      <c r="W3701" s="178">
        <f t="shared" si="258"/>
        <v>0</v>
      </c>
      <c r="X3701" s="481">
        <f t="shared" si="259"/>
        <v>0</v>
      </c>
      <c r="Y3701" s="179"/>
      <c r="Z3701" s="466">
        <f t="shared" si="260"/>
        <v>0</v>
      </c>
      <c r="AA3701" s="473">
        <f t="shared" si="261"/>
        <v>0</v>
      </c>
      <c r="AB3701" s="339">
        <f t="shared" si="262"/>
        <v>0</v>
      </c>
    </row>
    <row r="3702" spans="2:28" ht="20.100000000000001" customHeight="1">
      <c r="B3702" s="172"/>
      <c r="C3702" s="174"/>
      <c r="D3702" s="181"/>
      <c r="E3702" s="173"/>
      <c r="F3702" s="176"/>
      <c r="G3702" s="175">
        <f t="shared" si="253"/>
        <v>0</v>
      </c>
      <c r="H3702" s="175">
        <f t="shared" si="254"/>
        <v>0</v>
      </c>
      <c r="I3702" s="177">
        <f>IF(G3702=0,0,IF(E3702="MXN",1/HLOOKUP(YEAR(C3702)+(MONTH(C3702)/100),TC!$5:$37,DAY(C3702)+2,FALSE),VLOOKUP(E3702,Equivalencia!$5:$23,((MAX(Equivalencia!$3:$3)-YEAR(C3702))*14)+MONTH(C3702)+2,FALSE)))</f>
        <v>0</v>
      </c>
      <c r="J3702" s="178">
        <f t="shared" si="255"/>
        <v>0</v>
      </c>
      <c r="K3702" s="462">
        <f>IF(C3702=0,0,VLOOKUP(YEAR(C3702),INPC!$B$4:$O$29,MONTH(C3702)+1))</f>
        <v>0</v>
      </c>
      <c r="L3702" s="462">
        <f>IF(S3702=0,0,VLOOKUP(YEAR(S3702),INPC!$B$4:$O$29,MONTH(S3702)+1))</f>
        <v>0</v>
      </c>
      <c r="M3702" s="463">
        <f t="shared" si="256"/>
        <v>0</v>
      </c>
      <c r="N3702" s="465">
        <f t="shared" si="257"/>
        <v>0</v>
      </c>
      <c r="O3702" s="179"/>
      <c r="P3702" s="180"/>
      <c r="Q3702" s="173"/>
      <c r="R3702" s="173"/>
      <c r="S3702" s="174"/>
      <c r="T3702" s="173"/>
      <c r="U3702" s="182"/>
      <c r="V3702" s="177">
        <f>IF(U3702=0,0,IF(T3702="MXN",1/HLOOKUP(YEAR(S3702)+(MONTH(S3702)/100),TC!$5:$37,DAY(S3702)+2,FALSE),VLOOKUP(T3702,Equivalencia!$1:$23,((MAX(Equivalencia!$3:$3)-YEAR(S3702))*14)+MONTH(S3702)+2,FALSE)))</f>
        <v>0</v>
      </c>
      <c r="W3702" s="178">
        <f t="shared" si="258"/>
        <v>0</v>
      </c>
      <c r="X3702" s="481">
        <f t="shared" si="259"/>
        <v>0</v>
      </c>
      <c r="Y3702" s="179"/>
      <c r="Z3702" s="466">
        <f t="shared" si="260"/>
        <v>0</v>
      </c>
      <c r="AA3702" s="473">
        <f t="shared" si="261"/>
        <v>0</v>
      </c>
      <c r="AB3702" s="339">
        <f t="shared" si="262"/>
        <v>0</v>
      </c>
    </row>
    <row r="3703" spans="2:28" ht="20.100000000000001" customHeight="1">
      <c r="B3703" s="172"/>
      <c r="C3703" s="174"/>
      <c r="D3703" s="181"/>
      <c r="E3703" s="173"/>
      <c r="F3703" s="176"/>
      <c r="G3703" s="175">
        <f t="shared" si="253"/>
        <v>0</v>
      </c>
      <c r="H3703" s="175">
        <f t="shared" si="254"/>
        <v>0</v>
      </c>
      <c r="I3703" s="177">
        <f>IF(G3703=0,0,IF(E3703="MXN",1/HLOOKUP(YEAR(C3703)+(MONTH(C3703)/100),TC!$5:$37,DAY(C3703)+2,FALSE),VLOOKUP(E3703,Equivalencia!$5:$23,((MAX(Equivalencia!$3:$3)-YEAR(C3703))*14)+MONTH(C3703)+2,FALSE)))</f>
        <v>0</v>
      </c>
      <c r="J3703" s="178">
        <f t="shared" si="255"/>
        <v>0</v>
      </c>
      <c r="K3703" s="462">
        <f>IF(C3703=0,0,VLOOKUP(YEAR(C3703),INPC!$B$4:$O$29,MONTH(C3703)+1))</f>
        <v>0</v>
      </c>
      <c r="L3703" s="462">
        <f>IF(S3703=0,0,VLOOKUP(YEAR(S3703),INPC!$B$4:$O$29,MONTH(S3703)+1))</f>
        <v>0</v>
      </c>
      <c r="M3703" s="463">
        <f t="shared" si="256"/>
        <v>0</v>
      </c>
      <c r="N3703" s="465">
        <f t="shared" si="257"/>
        <v>0</v>
      </c>
      <c r="O3703" s="179"/>
      <c r="P3703" s="180"/>
      <c r="Q3703" s="173"/>
      <c r="R3703" s="173"/>
      <c r="S3703" s="174"/>
      <c r="T3703" s="173"/>
      <c r="U3703" s="182"/>
      <c r="V3703" s="177">
        <f>IF(U3703=0,0,IF(T3703="MXN",1/HLOOKUP(YEAR(S3703)+(MONTH(S3703)/100),TC!$5:$37,DAY(S3703)+2,FALSE),VLOOKUP(T3703,Equivalencia!$1:$23,((MAX(Equivalencia!$3:$3)-YEAR(S3703))*14)+MONTH(S3703)+2,FALSE)))</f>
        <v>0</v>
      </c>
      <c r="W3703" s="178">
        <f t="shared" si="258"/>
        <v>0</v>
      </c>
      <c r="X3703" s="481">
        <f t="shared" si="259"/>
        <v>0</v>
      </c>
      <c r="Y3703" s="179"/>
      <c r="Z3703" s="466">
        <f t="shared" si="260"/>
        <v>0</v>
      </c>
      <c r="AA3703" s="473">
        <f t="shared" si="261"/>
        <v>0</v>
      </c>
      <c r="AB3703" s="339">
        <f t="shared" si="262"/>
        <v>0</v>
      </c>
    </row>
    <row r="3704" spans="2:28" ht="20.100000000000001" customHeight="1">
      <c r="B3704" s="172"/>
      <c r="C3704" s="174"/>
      <c r="D3704" s="181"/>
      <c r="E3704" s="173"/>
      <c r="F3704" s="176"/>
      <c r="G3704" s="175">
        <f t="shared" si="253"/>
        <v>0</v>
      </c>
      <c r="H3704" s="175">
        <f t="shared" si="254"/>
        <v>0</v>
      </c>
      <c r="I3704" s="177">
        <f>IF(G3704=0,0,IF(E3704="MXN",1/HLOOKUP(YEAR(C3704)+(MONTH(C3704)/100),TC!$5:$37,DAY(C3704)+2,FALSE),VLOOKUP(E3704,Equivalencia!$5:$23,((MAX(Equivalencia!$3:$3)-YEAR(C3704))*14)+MONTH(C3704)+2,FALSE)))</f>
        <v>0</v>
      </c>
      <c r="J3704" s="178">
        <f t="shared" si="255"/>
        <v>0</v>
      </c>
      <c r="K3704" s="462">
        <f>IF(C3704=0,0,VLOOKUP(YEAR(C3704),INPC!$B$4:$O$29,MONTH(C3704)+1))</f>
        <v>0</v>
      </c>
      <c r="L3704" s="462">
        <f>IF(S3704=0,0,VLOOKUP(YEAR(S3704),INPC!$B$4:$O$29,MONTH(S3704)+1))</f>
        <v>0</v>
      </c>
      <c r="M3704" s="463">
        <f t="shared" si="256"/>
        <v>0</v>
      </c>
      <c r="N3704" s="465">
        <f t="shared" si="257"/>
        <v>0</v>
      </c>
      <c r="O3704" s="179"/>
      <c r="P3704" s="180"/>
      <c r="Q3704" s="173"/>
      <c r="R3704" s="173"/>
      <c r="S3704" s="174"/>
      <c r="T3704" s="173"/>
      <c r="U3704" s="182"/>
      <c r="V3704" s="177">
        <f>IF(U3704=0,0,IF(T3704="MXN",1/HLOOKUP(YEAR(S3704)+(MONTH(S3704)/100),TC!$5:$37,DAY(S3704)+2,FALSE),VLOOKUP(T3704,Equivalencia!$1:$23,((MAX(Equivalencia!$3:$3)-YEAR(S3704))*14)+MONTH(S3704)+2,FALSE)))</f>
        <v>0</v>
      </c>
      <c r="W3704" s="178">
        <f t="shared" si="258"/>
        <v>0</v>
      </c>
      <c r="X3704" s="481">
        <f t="shared" si="259"/>
        <v>0</v>
      </c>
      <c r="Y3704" s="179"/>
      <c r="Z3704" s="466">
        <f t="shared" si="260"/>
        <v>0</v>
      </c>
      <c r="AA3704" s="473">
        <f t="shared" si="261"/>
        <v>0</v>
      </c>
      <c r="AB3704" s="339">
        <f t="shared" si="262"/>
        <v>0</v>
      </c>
    </row>
    <row r="3705" spans="2:28" ht="20.100000000000001" customHeight="1">
      <c r="B3705" s="172"/>
      <c r="C3705" s="174"/>
      <c r="D3705" s="181"/>
      <c r="E3705" s="173"/>
      <c r="F3705" s="176"/>
      <c r="G3705" s="175">
        <f t="shared" si="253"/>
        <v>0</v>
      </c>
      <c r="H3705" s="175">
        <f t="shared" si="254"/>
        <v>0</v>
      </c>
      <c r="I3705" s="177">
        <f>IF(G3705=0,0,IF(E3705="MXN",1/HLOOKUP(YEAR(C3705)+(MONTH(C3705)/100),TC!$5:$37,DAY(C3705)+2,FALSE),VLOOKUP(E3705,Equivalencia!$5:$23,((MAX(Equivalencia!$3:$3)-YEAR(C3705))*14)+MONTH(C3705)+2,FALSE)))</f>
        <v>0</v>
      </c>
      <c r="J3705" s="178">
        <f t="shared" si="255"/>
        <v>0</v>
      </c>
      <c r="K3705" s="462">
        <f>IF(C3705=0,0,VLOOKUP(YEAR(C3705),INPC!$B$4:$O$29,MONTH(C3705)+1))</f>
        <v>0</v>
      </c>
      <c r="L3705" s="462">
        <f>IF(S3705=0,0,VLOOKUP(YEAR(S3705),INPC!$B$4:$O$29,MONTH(S3705)+1))</f>
        <v>0</v>
      </c>
      <c r="M3705" s="463">
        <f t="shared" si="256"/>
        <v>0</v>
      </c>
      <c r="N3705" s="465">
        <f t="shared" si="257"/>
        <v>0</v>
      </c>
      <c r="O3705" s="179"/>
      <c r="P3705" s="180"/>
      <c r="Q3705" s="173"/>
      <c r="R3705" s="173"/>
      <c r="S3705" s="174"/>
      <c r="T3705" s="173"/>
      <c r="U3705" s="182"/>
      <c r="V3705" s="177">
        <f>IF(U3705=0,0,IF(T3705="MXN",1/HLOOKUP(YEAR(S3705)+(MONTH(S3705)/100),TC!$5:$37,DAY(S3705)+2,FALSE),VLOOKUP(T3705,Equivalencia!$1:$23,((MAX(Equivalencia!$3:$3)-YEAR(S3705))*14)+MONTH(S3705)+2,FALSE)))</f>
        <v>0</v>
      </c>
      <c r="W3705" s="178">
        <f t="shared" si="258"/>
        <v>0</v>
      </c>
      <c r="X3705" s="481">
        <f t="shared" si="259"/>
        <v>0</v>
      </c>
      <c r="Y3705" s="179"/>
      <c r="Z3705" s="466">
        <f t="shared" si="260"/>
        <v>0</v>
      </c>
      <c r="AA3705" s="473">
        <f t="shared" si="261"/>
        <v>0</v>
      </c>
      <c r="AB3705" s="339">
        <f t="shared" si="262"/>
        <v>0</v>
      </c>
    </row>
    <row r="3706" spans="2:28" ht="20.100000000000001" customHeight="1">
      <c r="B3706" s="172"/>
      <c r="C3706" s="174"/>
      <c r="D3706" s="181"/>
      <c r="E3706" s="173"/>
      <c r="F3706" s="176"/>
      <c r="G3706" s="175">
        <f t="shared" si="253"/>
        <v>0</v>
      </c>
      <c r="H3706" s="175">
        <f t="shared" si="254"/>
        <v>0</v>
      </c>
      <c r="I3706" s="177">
        <f>IF(G3706=0,0,IF(E3706="MXN",1/HLOOKUP(YEAR(C3706)+(MONTH(C3706)/100),TC!$5:$37,DAY(C3706)+2,FALSE),VLOOKUP(E3706,Equivalencia!$5:$23,((MAX(Equivalencia!$3:$3)-YEAR(C3706))*14)+MONTH(C3706)+2,FALSE)))</f>
        <v>0</v>
      </c>
      <c r="J3706" s="178">
        <f t="shared" si="255"/>
        <v>0</v>
      </c>
      <c r="K3706" s="462">
        <f>IF(C3706=0,0,VLOOKUP(YEAR(C3706),INPC!$B$4:$O$29,MONTH(C3706)+1))</f>
        <v>0</v>
      </c>
      <c r="L3706" s="462">
        <f>IF(S3706=0,0,VLOOKUP(YEAR(S3706),INPC!$B$4:$O$29,MONTH(S3706)+1))</f>
        <v>0</v>
      </c>
      <c r="M3706" s="463">
        <f t="shared" si="256"/>
        <v>0</v>
      </c>
      <c r="N3706" s="465">
        <f t="shared" si="257"/>
        <v>0</v>
      </c>
      <c r="O3706" s="179"/>
      <c r="P3706" s="180"/>
      <c r="Q3706" s="173"/>
      <c r="R3706" s="173"/>
      <c r="S3706" s="174"/>
      <c r="T3706" s="173"/>
      <c r="U3706" s="182"/>
      <c r="V3706" s="177">
        <f>IF(U3706=0,0,IF(T3706="MXN",1/HLOOKUP(YEAR(S3706)+(MONTH(S3706)/100),TC!$5:$37,DAY(S3706)+2,FALSE),VLOOKUP(T3706,Equivalencia!$1:$23,((MAX(Equivalencia!$3:$3)-YEAR(S3706))*14)+MONTH(S3706)+2,FALSE)))</f>
        <v>0</v>
      </c>
      <c r="W3706" s="178">
        <f t="shared" si="258"/>
        <v>0</v>
      </c>
      <c r="X3706" s="481">
        <f t="shared" si="259"/>
        <v>0</v>
      </c>
      <c r="Y3706" s="179"/>
      <c r="Z3706" s="466">
        <f t="shared" si="260"/>
        <v>0</v>
      </c>
      <c r="AA3706" s="473">
        <f t="shared" si="261"/>
        <v>0</v>
      </c>
      <c r="AB3706" s="339">
        <f t="shared" si="262"/>
        <v>0</v>
      </c>
    </row>
    <row r="3707" spans="2:28" ht="20.100000000000001" customHeight="1">
      <c r="B3707" s="172"/>
      <c r="C3707" s="174"/>
      <c r="D3707" s="181"/>
      <c r="E3707" s="173"/>
      <c r="F3707" s="176"/>
      <c r="G3707" s="175">
        <f t="shared" si="253"/>
        <v>0</v>
      </c>
      <c r="H3707" s="175">
        <f t="shared" si="254"/>
        <v>0</v>
      </c>
      <c r="I3707" s="177">
        <f>IF(G3707=0,0,IF(E3707="MXN",1/HLOOKUP(YEAR(C3707)+(MONTH(C3707)/100),TC!$5:$37,DAY(C3707)+2,FALSE),VLOOKUP(E3707,Equivalencia!$5:$23,((MAX(Equivalencia!$3:$3)-YEAR(C3707))*14)+MONTH(C3707)+2,FALSE)))</f>
        <v>0</v>
      </c>
      <c r="J3707" s="178">
        <f t="shared" si="255"/>
        <v>0</v>
      </c>
      <c r="K3707" s="462">
        <f>IF(C3707=0,0,VLOOKUP(YEAR(C3707),INPC!$B$4:$O$29,MONTH(C3707)+1))</f>
        <v>0</v>
      </c>
      <c r="L3707" s="462">
        <f>IF(S3707=0,0,VLOOKUP(YEAR(S3707),INPC!$B$4:$O$29,MONTH(S3707)+1))</f>
        <v>0</v>
      </c>
      <c r="M3707" s="463">
        <f t="shared" si="256"/>
        <v>0</v>
      </c>
      <c r="N3707" s="465">
        <f t="shared" si="257"/>
        <v>0</v>
      </c>
      <c r="O3707" s="179"/>
      <c r="P3707" s="180"/>
      <c r="Q3707" s="173"/>
      <c r="R3707" s="173"/>
      <c r="S3707" s="174"/>
      <c r="T3707" s="173"/>
      <c r="U3707" s="182"/>
      <c r="V3707" s="177">
        <f>IF(U3707=0,0,IF(T3707="MXN",1/HLOOKUP(YEAR(S3707)+(MONTH(S3707)/100),TC!$5:$37,DAY(S3707)+2,FALSE),VLOOKUP(T3707,Equivalencia!$1:$23,((MAX(Equivalencia!$3:$3)-YEAR(S3707))*14)+MONTH(S3707)+2,FALSE)))</f>
        <v>0</v>
      </c>
      <c r="W3707" s="178">
        <f t="shared" si="258"/>
        <v>0</v>
      </c>
      <c r="X3707" s="481">
        <f t="shared" si="259"/>
        <v>0</v>
      </c>
      <c r="Y3707" s="179"/>
      <c r="Z3707" s="466">
        <f t="shared" si="260"/>
        <v>0</v>
      </c>
      <c r="AA3707" s="473">
        <f t="shared" si="261"/>
        <v>0</v>
      </c>
      <c r="AB3707" s="339">
        <f t="shared" si="262"/>
        <v>0</v>
      </c>
    </row>
    <row r="3708" spans="2:28" ht="20.100000000000001" customHeight="1">
      <c r="B3708" s="172"/>
      <c r="C3708" s="174"/>
      <c r="D3708" s="181"/>
      <c r="E3708" s="173"/>
      <c r="F3708" s="176"/>
      <c r="G3708" s="175">
        <f t="shared" si="253"/>
        <v>0</v>
      </c>
      <c r="H3708" s="175">
        <f t="shared" si="254"/>
        <v>0</v>
      </c>
      <c r="I3708" s="177">
        <f>IF(G3708=0,0,IF(E3708="MXN",1/HLOOKUP(YEAR(C3708)+(MONTH(C3708)/100),TC!$5:$37,DAY(C3708)+2,FALSE),VLOOKUP(E3708,Equivalencia!$5:$23,((MAX(Equivalencia!$3:$3)-YEAR(C3708))*14)+MONTH(C3708)+2,FALSE)))</f>
        <v>0</v>
      </c>
      <c r="J3708" s="178">
        <f t="shared" si="255"/>
        <v>0</v>
      </c>
      <c r="K3708" s="462">
        <f>IF(C3708=0,0,VLOOKUP(YEAR(C3708),INPC!$B$4:$O$29,MONTH(C3708)+1))</f>
        <v>0</v>
      </c>
      <c r="L3708" s="462">
        <f>IF(S3708=0,0,VLOOKUP(YEAR(S3708),INPC!$B$4:$O$29,MONTH(S3708)+1))</f>
        <v>0</v>
      </c>
      <c r="M3708" s="463">
        <f t="shared" si="256"/>
        <v>0</v>
      </c>
      <c r="N3708" s="465">
        <f t="shared" si="257"/>
        <v>0</v>
      </c>
      <c r="O3708" s="179"/>
      <c r="P3708" s="180"/>
      <c r="Q3708" s="173"/>
      <c r="R3708" s="173"/>
      <c r="S3708" s="174"/>
      <c r="T3708" s="173"/>
      <c r="U3708" s="182"/>
      <c r="V3708" s="177">
        <f>IF(U3708=0,0,IF(T3708="MXN",1/HLOOKUP(YEAR(S3708)+(MONTH(S3708)/100),TC!$5:$37,DAY(S3708)+2,FALSE),VLOOKUP(T3708,Equivalencia!$1:$23,((MAX(Equivalencia!$3:$3)-YEAR(S3708))*14)+MONTH(S3708)+2,FALSE)))</f>
        <v>0</v>
      </c>
      <c r="W3708" s="178">
        <f t="shared" si="258"/>
        <v>0</v>
      </c>
      <c r="X3708" s="481">
        <f t="shared" si="259"/>
        <v>0</v>
      </c>
      <c r="Y3708" s="179"/>
      <c r="Z3708" s="466">
        <f t="shared" si="260"/>
        <v>0</v>
      </c>
      <c r="AA3708" s="473">
        <f t="shared" si="261"/>
        <v>0</v>
      </c>
      <c r="AB3708" s="339">
        <f t="shared" si="262"/>
        <v>0</v>
      </c>
    </row>
    <row r="3709" spans="2:28" ht="20.100000000000001" customHeight="1">
      <c r="B3709" s="172"/>
      <c r="C3709" s="174"/>
      <c r="D3709" s="181"/>
      <c r="E3709" s="173"/>
      <c r="F3709" s="176"/>
      <c r="G3709" s="175">
        <f t="shared" si="253"/>
        <v>0</v>
      </c>
      <c r="H3709" s="175">
        <f t="shared" si="254"/>
        <v>0</v>
      </c>
      <c r="I3709" s="177">
        <f>IF(G3709=0,0,IF(E3709="MXN",1/HLOOKUP(YEAR(C3709)+(MONTH(C3709)/100),TC!$5:$37,DAY(C3709)+2,FALSE),VLOOKUP(E3709,Equivalencia!$5:$23,((MAX(Equivalencia!$3:$3)-YEAR(C3709))*14)+MONTH(C3709)+2,FALSE)))</f>
        <v>0</v>
      </c>
      <c r="J3709" s="178">
        <f t="shared" si="255"/>
        <v>0</v>
      </c>
      <c r="K3709" s="462">
        <f>IF(C3709=0,0,VLOOKUP(YEAR(C3709),INPC!$B$4:$O$29,MONTH(C3709)+1))</f>
        <v>0</v>
      </c>
      <c r="L3709" s="462">
        <f>IF(S3709=0,0,VLOOKUP(YEAR(S3709),INPC!$B$4:$O$29,MONTH(S3709)+1))</f>
        <v>0</v>
      </c>
      <c r="M3709" s="463">
        <f t="shared" si="256"/>
        <v>0</v>
      </c>
      <c r="N3709" s="465">
        <f t="shared" si="257"/>
        <v>0</v>
      </c>
      <c r="O3709" s="179"/>
      <c r="P3709" s="180"/>
      <c r="Q3709" s="173"/>
      <c r="R3709" s="173"/>
      <c r="S3709" s="174"/>
      <c r="T3709" s="173"/>
      <c r="U3709" s="182"/>
      <c r="V3709" s="177">
        <f>IF(U3709=0,0,IF(T3709="MXN",1/HLOOKUP(YEAR(S3709)+(MONTH(S3709)/100),TC!$5:$37,DAY(S3709)+2,FALSE),VLOOKUP(T3709,Equivalencia!$1:$23,((MAX(Equivalencia!$3:$3)-YEAR(S3709))*14)+MONTH(S3709)+2,FALSE)))</f>
        <v>0</v>
      </c>
      <c r="W3709" s="178">
        <f t="shared" si="258"/>
        <v>0</v>
      </c>
      <c r="X3709" s="481">
        <f t="shared" si="259"/>
        <v>0</v>
      </c>
      <c r="Y3709" s="179"/>
      <c r="Z3709" s="466">
        <f t="shared" si="260"/>
        <v>0</v>
      </c>
      <c r="AA3709" s="473">
        <f t="shared" si="261"/>
        <v>0</v>
      </c>
      <c r="AB3709" s="339">
        <f t="shared" si="262"/>
        <v>0</v>
      </c>
    </row>
    <row r="3710" spans="2:28" ht="20.100000000000001" customHeight="1">
      <c r="B3710" s="172"/>
      <c r="C3710" s="174"/>
      <c r="D3710" s="181"/>
      <c r="E3710" s="173"/>
      <c r="F3710" s="176"/>
      <c r="G3710" s="175">
        <f t="shared" si="253"/>
        <v>0</v>
      </c>
      <c r="H3710" s="175">
        <f t="shared" si="254"/>
        <v>0</v>
      </c>
      <c r="I3710" s="177">
        <f>IF(G3710=0,0,IF(E3710="MXN",1/HLOOKUP(YEAR(C3710)+(MONTH(C3710)/100),TC!$5:$37,DAY(C3710)+2,FALSE),VLOOKUP(E3710,Equivalencia!$5:$23,((MAX(Equivalencia!$3:$3)-YEAR(C3710))*14)+MONTH(C3710)+2,FALSE)))</f>
        <v>0</v>
      </c>
      <c r="J3710" s="178">
        <f t="shared" si="255"/>
        <v>0</v>
      </c>
      <c r="K3710" s="462">
        <f>IF(C3710=0,0,VLOOKUP(YEAR(C3710),INPC!$B$4:$O$29,MONTH(C3710)+1))</f>
        <v>0</v>
      </c>
      <c r="L3710" s="462">
        <f>IF(S3710=0,0,VLOOKUP(YEAR(S3710),INPC!$B$4:$O$29,MONTH(S3710)+1))</f>
        <v>0</v>
      </c>
      <c r="M3710" s="463">
        <f t="shared" si="256"/>
        <v>0</v>
      </c>
      <c r="N3710" s="465">
        <f t="shared" si="257"/>
        <v>0</v>
      </c>
      <c r="O3710" s="179"/>
      <c r="P3710" s="180"/>
      <c r="Q3710" s="173"/>
      <c r="R3710" s="173"/>
      <c r="S3710" s="174"/>
      <c r="T3710" s="173"/>
      <c r="U3710" s="182"/>
      <c r="V3710" s="177">
        <f>IF(U3710=0,0,IF(T3710="MXN",1/HLOOKUP(YEAR(S3710)+(MONTH(S3710)/100),TC!$5:$37,DAY(S3710)+2,FALSE),VLOOKUP(T3710,Equivalencia!$1:$23,((MAX(Equivalencia!$3:$3)-YEAR(S3710))*14)+MONTH(S3710)+2,FALSE)))</f>
        <v>0</v>
      </c>
      <c r="W3710" s="178">
        <f t="shared" si="258"/>
        <v>0</v>
      </c>
      <c r="X3710" s="481">
        <f t="shared" si="259"/>
        <v>0</v>
      </c>
      <c r="Y3710" s="179"/>
      <c r="Z3710" s="466">
        <f t="shared" si="260"/>
        <v>0</v>
      </c>
      <c r="AA3710" s="473">
        <f t="shared" si="261"/>
        <v>0</v>
      </c>
      <c r="AB3710" s="339">
        <f t="shared" si="262"/>
        <v>0</v>
      </c>
    </row>
    <row r="3711" spans="2:28" ht="20.100000000000001" customHeight="1">
      <c r="B3711" s="172"/>
      <c r="C3711" s="174"/>
      <c r="D3711" s="181"/>
      <c r="E3711" s="173"/>
      <c r="F3711" s="176"/>
      <c r="G3711" s="175">
        <f t="shared" si="253"/>
        <v>0</v>
      </c>
      <c r="H3711" s="175">
        <f t="shared" si="254"/>
        <v>0</v>
      </c>
      <c r="I3711" s="177">
        <f>IF(G3711=0,0,IF(E3711="MXN",1/HLOOKUP(YEAR(C3711)+(MONTH(C3711)/100),TC!$5:$37,DAY(C3711)+2,FALSE),VLOOKUP(E3711,Equivalencia!$5:$23,((MAX(Equivalencia!$3:$3)-YEAR(C3711))*14)+MONTH(C3711)+2,FALSE)))</f>
        <v>0</v>
      </c>
      <c r="J3711" s="178">
        <f t="shared" si="255"/>
        <v>0</v>
      </c>
      <c r="K3711" s="462">
        <f>IF(C3711=0,0,VLOOKUP(YEAR(C3711),INPC!$B$4:$O$29,MONTH(C3711)+1))</f>
        <v>0</v>
      </c>
      <c r="L3711" s="462">
        <f>IF(S3711=0,0,VLOOKUP(YEAR(S3711),INPC!$B$4:$O$29,MONTH(S3711)+1))</f>
        <v>0</v>
      </c>
      <c r="M3711" s="463">
        <f t="shared" si="256"/>
        <v>0</v>
      </c>
      <c r="N3711" s="465">
        <f t="shared" si="257"/>
        <v>0</v>
      </c>
      <c r="O3711" s="179"/>
      <c r="P3711" s="180"/>
      <c r="Q3711" s="173"/>
      <c r="R3711" s="173"/>
      <c r="S3711" s="174"/>
      <c r="T3711" s="173"/>
      <c r="U3711" s="182"/>
      <c r="V3711" s="177">
        <f>IF(U3711=0,0,IF(T3711="MXN",1/HLOOKUP(YEAR(S3711)+(MONTH(S3711)/100),TC!$5:$37,DAY(S3711)+2,FALSE),VLOOKUP(T3711,Equivalencia!$1:$23,((MAX(Equivalencia!$3:$3)-YEAR(S3711))*14)+MONTH(S3711)+2,FALSE)))</f>
        <v>0</v>
      </c>
      <c r="W3711" s="178">
        <f t="shared" si="258"/>
        <v>0</v>
      </c>
      <c r="X3711" s="481">
        <f t="shared" si="259"/>
        <v>0</v>
      </c>
      <c r="Y3711" s="179"/>
      <c r="Z3711" s="466">
        <f t="shared" si="260"/>
        <v>0</v>
      </c>
      <c r="AA3711" s="473">
        <f t="shared" si="261"/>
        <v>0</v>
      </c>
      <c r="AB3711" s="339">
        <f t="shared" si="262"/>
        <v>0</v>
      </c>
    </row>
    <row r="3712" spans="2:28" ht="20.100000000000001" customHeight="1">
      <c r="B3712" s="172"/>
      <c r="C3712" s="174"/>
      <c r="D3712" s="181"/>
      <c r="E3712" s="173"/>
      <c r="F3712" s="176"/>
      <c r="G3712" s="175">
        <f t="shared" si="253"/>
        <v>0</v>
      </c>
      <c r="H3712" s="175">
        <f t="shared" si="254"/>
        <v>0</v>
      </c>
      <c r="I3712" s="177">
        <f>IF(G3712=0,0,IF(E3712="MXN",1/HLOOKUP(YEAR(C3712)+(MONTH(C3712)/100),TC!$5:$37,DAY(C3712)+2,FALSE),VLOOKUP(E3712,Equivalencia!$5:$23,((MAX(Equivalencia!$3:$3)-YEAR(C3712))*14)+MONTH(C3712)+2,FALSE)))</f>
        <v>0</v>
      </c>
      <c r="J3712" s="178">
        <f t="shared" si="255"/>
        <v>0</v>
      </c>
      <c r="K3712" s="462">
        <f>IF(C3712=0,0,VLOOKUP(YEAR(C3712),INPC!$B$4:$O$29,MONTH(C3712)+1))</f>
        <v>0</v>
      </c>
      <c r="L3712" s="462">
        <f>IF(S3712=0,0,VLOOKUP(YEAR(S3712),INPC!$B$4:$O$29,MONTH(S3712)+1))</f>
        <v>0</v>
      </c>
      <c r="M3712" s="463">
        <f t="shared" si="256"/>
        <v>0</v>
      </c>
      <c r="N3712" s="465">
        <f t="shared" si="257"/>
        <v>0</v>
      </c>
      <c r="O3712" s="179"/>
      <c r="P3712" s="180"/>
      <c r="Q3712" s="173"/>
      <c r="R3712" s="173"/>
      <c r="S3712" s="174"/>
      <c r="T3712" s="173"/>
      <c r="U3712" s="182"/>
      <c r="V3712" s="177">
        <f>IF(U3712=0,0,IF(T3712="MXN",1/HLOOKUP(YEAR(S3712)+(MONTH(S3712)/100),TC!$5:$37,DAY(S3712)+2,FALSE),VLOOKUP(T3712,Equivalencia!$1:$23,((MAX(Equivalencia!$3:$3)-YEAR(S3712))*14)+MONTH(S3712)+2,FALSE)))</f>
        <v>0</v>
      </c>
      <c r="W3712" s="178">
        <f t="shared" si="258"/>
        <v>0</v>
      </c>
      <c r="X3712" s="481">
        <f t="shared" si="259"/>
        <v>0</v>
      </c>
      <c r="Y3712" s="179"/>
      <c r="Z3712" s="466">
        <f t="shared" si="260"/>
        <v>0</v>
      </c>
      <c r="AA3712" s="473">
        <f t="shared" si="261"/>
        <v>0</v>
      </c>
      <c r="AB3712" s="339">
        <f t="shared" si="262"/>
        <v>0</v>
      </c>
    </row>
    <row r="3713" spans="2:28" ht="20.100000000000001" customHeight="1">
      <c r="B3713" s="172"/>
      <c r="C3713" s="174"/>
      <c r="D3713" s="181"/>
      <c r="E3713" s="173"/>
      <c r="F3713" s="176"/>
      <c r="G3713" s="175">
        <f t="shared" si="253"/>
        <v>0</v>
      </c>
      <c r="H3713" s="175">
        <f t="shared" si="254"/>
        <v>0</v>
      </c>
      <c r="I3713" s="177">
        <f>IF(G3713=0,0,IF(E3713="MXN",1/HLOOKUP(YEAR(C3713)+(MONTH(C3713)/100),TC!$5:$37,DAY(C3713)+2,FALSE),VLOOKUP(E3713,Equivalencia!$5:$23,((MAX(Equivalencia!$3:$3)-YEAR(C3713))*14)+MONTH(C3713)+2,FALSE)))</f>
        <v>0</v>
      </c>
      <c r="J3713" s="178">
        <f t="shared" si="255"/>
        <v>0</v>
      </c>
      <c r="K3713" s="462">
        <f>IF(C3713=0,0,VLOOKUP(YEAR(C3713),INPC!$B$4:$O$29,MONTH(C3713)+1))</f>
        <v>0</v>
      </c>
      <c r="L3713" s="462">
        <f>IF(S3713=0,0,VLOOKUP(YEAR(S3713),INPC!$B$4:$O$29,MONTH(S3713)+1))</f>
        <v>0</v>
      </c>
      <c r="M3713" s="463">
        <f t="shared" si="256"/>
        <v>0</v>
      </c>
      <c r="N3713" s="465">
        <f t="shared" si="257"/>
        <v>0</v>
      </c>
      <c r="O3713" s="179"/>
      <c r="P3713" s="180"/>
      <c r="Q3713" s="173"/>
      <c r="R3713" s="173"/>
      <c r="S3713" s="174"/>
      <c r="T3713" s="173"/>
      <c r="U3713" s="182"/>
      <c r="V3713" s="177">
        <f>IF(U3713=0,0,IF(T3713="MXN",1/HLOOKUP(YEAR(S3713)+(MONTH(S3713)/100),TC!$5:$37,DAY(S3713)+2,FALSE),VLOOKUP(T3713,Equivalencia!$1:$23,((MAX(Equivalencia!$3:$3)-YEAR(S3713))*14)+MONTH(S3713)+2,FALSE)))</f>
        <v>0</v>
      </c>
      <c r="W3713" s="178">
        <f t="shared" si="258"/>
        <v>0</v>
      </c>
      <c r="X3713" s="481">
        <f t="shared" si="259"/>
        <v>0</v>
      </c>
      <c r="Y3713" s="179"/>
      <c r="Z3713" s="466">
        <f t="shared" si="260"/>
        <v>0</v>
      </c>
      <c r="AA3713" s="473">
        <f t="shared" si="261"/>
        <v>0</v>
      </c>
      <c r="AB3713" s="339">
        <f t="shared" si="262"/>
        <v>0</v>
      </c>
    </row>
    <row r="3714" spans="2:28" ht="20.100000000000001" customHeight="1">
      <c r="B3714" s="172"/>
      <c r="C3714" s="174"/>
      <c r="D3714" s="181"/>
      <c r="E3714" s="173"/>
      <c r="F3714" s="176"/>
      <c r="G3714" s="175">
        <f t="shared" si="253"/>
        <v>0</v>
      </c>
      <c r="H3714" s="175">
        <f t="shared" si="254"/>
        <v>0</v>
      </c>
      <c r="I3714" s="177">
        <f>IF(G3714=0,0,IF(E3714="MXN",1/HLOOKUP(YEAR(C3714)+(MONTH(C3714)/100),TC!$5:$37,DAY(C3714)+2,FALSE),VLOOKUP(E3714,Equivalencia!$5:$23,((MAX(Equivalencia!$3:$3)-YEAR(C3714))*14)+MONTH(C3714)+2,FALSE)))</f>
        <v>0</v>
      </c>
      <c r="J3714" s="178">
        <f t="shared" si="255"/>
        <v>0</v>
      </c>
      <c r="K3714" s="462">
        <f>IF(C3714=0,0,VLOOKUP(YEAR(C3714),INPC!$B$4:$O$29,MONTH(C3714)+1))</f>
        <v>0</v>
      </c>
      <c r="L3714" s="462">
        <f>IF(S3714=0,0,VLOOKUP(YEAR(S3714),INPC!$B$4:$O$29,MONTH(S3714)+1))</f>
        <v>0</v>
      </c>
      <c r="M3714" s="463">
        <f t="shared" si="256"/>
        <v>0</v>
      </c>
      <c r="N3714" s="465">
        <f t="shared" si="257"/>
        <v>0</v>
      </c>
      <c r="O3714" s="179"/>
      <c r="P3714" s="180"/>
      <c r="Q3714" s="173"/>
      <c r="R3714" s="173"/>
      <c r="S3714" s="174"/>
      <c r="T3714" s="173"/>
      <c r="U3714" s="182"/>
      <c r="V3714" s="177">
        <f>IF(U3714=0,0,IF(T3714="MXN",1/HLOOKUP(YEAR(S3714)+(MONTH(S3714)/100),TC!$5:$37,DAY(S3714)+2,FALSE),VLOOKUP(T3714,Equivalencia!$1:$23,((MAX(Equivalencia!$3:$3)-YEAR(S3714))*14)+MONTH(S3714)+2,FALSE)))</f>
        <v>0</v>
      </c>
      <c r="W3714" s="178">
        <f t="shared" si="258"/>
        <v>0</v>
      </c>
      <c r="X3714" s="481">
        <f t="shared" si="259"/>
        <v>0</v>
      </c>
      <c r="Y3714" s="179"/>
      <c r="Z3714" s="466">
        <f t="shared" si="260"/>
        <v>0</v>
      </c>
      <c r="AA3714" s="473">
        <f t="shared" si="261"/>
        <v>0</v>
      </c>
      <c r="AB3714" s="339">
        <f t="shared" si="262"/>
        <v>0</v>
      </c>
    </row>
    <row r="3715" spans="2:28" ht="20.100000000000001" customHeight="1">
      <c r="B3715" s="172"/>
      <c r="C3715" s="174"/>
      <c r="D3715" s="181"/>
      <c r="E3715" s="173"/>
      <c r="F3715" s="176"/>
      <c r="G3715" s="175">
        <f t="shared" si="253"/>
        <v>0</v>
      </c>
      <c r="H3715" s="175">
        <f t="shared" si="254"/>
        <v>0</v>
      </c>
      <c r="I3715" s="177">
        <f>IF(G3715=0,0,IF(E3715="MXN",1/HLOOKUP(YEAR(C3715)+(MONTH(C3715)/100),TC!$5:$37,DAY(C3715)+2,FALSE),VLOOKUP(E3715,Equivalencia!$5:$23,((MAX(Equivalencia!$3:$3)-YEAR(C3715))*14)+MONTH(C3715)+2,FALSE)))</f>
        <v>0</v>
      </c>
      <c r="J3715" s="178">
        <f t="shared" si="255"/>
        <v>0</v>
      </c>
      <c r="K3715" s="462">
        <f>IF(C3715=0,0,VLOOKUP(YEAR(C3715),INPC!$B$4:$O$29,MONTH(C3715)+1))</f>
        <v>0</v>
      </c>
      <c r="L3715" s="462">
        <f>IF(S3715=0,0,VLOOKUP(YEAR(S3715),INPC!$B$4:$O$29,MONTH(S3715)+1))</f>
        <v>0</v>
      </c>
      <c r="M3715" s="463">
        <f t="shared" si="256"/>
        <v>0</v>
      </c>
      <c r="N3715" s="465">
        <f t="shared" si="257"/>
        <v>0</v>
      </c>
      <c r="O3715" s="179"/>
      <c r="P3715" s="180"/>
      <c r="Q3715" s="173"/>
      <c r="R3715" s="173"/>
      <c r="S3715" s="174"/>
      <c r="T3715" s="173"/>
      <c r="U3715" s="182"/>
      <c r="V3715" s="177">
        <f>IF(U3715=0,0,IF(T3715="MXN",1/HLOOKUP(YEAR(S3715)+(MONTH(S3715)/100),TC!$5:$37,DAY(S3715)+2,FALSE),VLOOKUP(T3715,Equivalencia!$1:$23,((MAX(Equivalencia!$3:$3)-YEAR(S3715))*14)+MONTH(S3715)+2,FALSE)))</f>
        <v>0</v>
      </c>
      <c r="W3715" s="178">
        <f t="shared" si="258"/>
        <v>0</v>
      </c>
      <c r="X3715" s="481">
        <f t="shared" si="259"/>
        <v>0</v>
      </c>
      <c r="Y3715" s="179"/>
      <c r="Z3715" s="466">
        <f t="shared" si="260"/>
        <v>0</v>
      </c>
      <c r="AA3715" s="473">
        <f t="shared" si="261"/>
        <v>0</v>
      </c>
      <c r="AB3715" s="339">
        <f t="shared" si="262"/>
        <v>0</v>
      </c>
    </row>
    <row r="3716" spans="2:28" ht="20.100000000000001" customHeight="1">
      <c r="B3716" s="172"/>
      <c r="C3716" s="174"/>
      <c r="D3716" s="181"/>
      <c r="E3716" s="173"/>
      <c r="F3716" s="176"/>
      <c r="G3716" s="175">
        <f t="shared" si="253"/>
        <v>0</v>
      </c>
      <c r="H3716" s="175">
        <f t="shared" si="254"/>
        <v>0</v>
      </c>
      <c r="I3716" s="177">
        <f>IF(G3716=0,0,IF(E3716="MXN",1/HLOOKUP(YEAR(C3716)+(MONTH(C3716)/100),TC!$5:$37,DAY(C3716)+2,FALSE),VLOOKUP(E3716,Equivalencia!$5:$23,((MAX(Equivalencia!$3:$3)-YEAR(C3716))*14)+MONTH(C3716)+2,FALSE)))</f>
        <v>0</v>
      </c>
      <c r="J3716" s="178">
        <f t="shared" si="255"/>
        <v>0</v>
      </c>
      <c r="K3716" s="462">
        <f>IF(C3716=0,0,VLOOKUP(YEAR(C3716),INPC!$B$4:$O$29,MONTH(C3716)+1))</f>
        <v>0</v>
      </c>
      <c r="L3716" s="462">
        <f>IF(S3716=0,0,VLOOKUP(YEAR(S3716),INPC!$B$4:$O$29,MONTH(S3716)+1))</f>
        <v>0</v>
      </c>
      <c r="M3716" s="463">
        <f t="shared" si="256"/>
        <v>0</v>
      </c>
      <c r="N3716" s="465">
        <f t="shared" si="257"/>
        <v>0</v>
      </c>
      <c r="O3716" s="179"/>
      <c r="P3716" s="180"/>
      <c r="Q3716" s="173"/>
      <c r="R3716" s="173"/>
      <c r="S3716" s="174"/>
      <c r="T3716" s="173"/>
      <c r="U3716" s="182"/>
      <c r="V3716" s="177">
        <f>IF(U3716=0,0,IF(T3716="MXN",1/HLOOKUP(YEAR(S3716)+(MONTH(S3716)/100),TC!$5:$37,DAY(S3716)+2,FALSE),VLOOKUP(T3716,Equivalencia!$1:$23,((MAX(Equivalencia!$3:$3)-YEAR(S3716))*14)+MONTH(S3716)+2,FALSE)))</f>
        <v>0</v>
      </c>
      <c r="W3716" s="178">
        <f t="shared" si="258"/>
        <v>0</v>
      </c>
      <c r="X3716" s="481">
        <f t="shared" si="259"/>
        <v>0</v>
      </c>
      <c r="Y3716" s="179"/>
      <c r="Z3716" s="466">
        <f t="shared" si="260"/>
        <v>0</v>
      </c>
      <c r="AA3716" s="473">
        <f t="shared" si="261"/>
        <v>0</v>
      </c>
      <c r="AB3716" s="339">
        <f t="shared" si="262"/>
        <v>0</v>
      </c>
    </row>
    <row r="3717" spans="2:28" ht="20.100000000000001" customHeight="1">
      <c r="B3717" s="172"/>
      <c r="C3717" s="174"/>
      <c r="D3717" s="181"/>
      <c r="E3717" s="173"/>
      <c r="F3717" s="176"/>
      <c r="G3717" s="175">
        <f t="shared" si="253"/>
        <v>0</v>
      </c>
      <c r="H3717" s="175">
        <f t="shared" si="254"/>
        <v>0</v>
      </c>
      <c r="I3717" s="177">
        <f>IF(G3717=0,0,IF(E3717="MXN",1/HLOOKUP(YEAR(C3717)+(MONTH(C3717)/100),TC!$5:$37,DAY(C3717)+2,FALSE),VLOOKUP(E3717,Equivalencia!$5:$23,((MAX(Equivalencia!$3:$3)-YEAR(C3717))*14)+MONTH(C3717)+2,FALSE)))</f>
        <v>0</v>
      </c>
      <c r="J3717" s="178">
        <f t="shared" si="255"/>
        <v>0</v>
      </c>
      <c r="K3717" s="462">
        <f>IF(C3717=0,0,VLOOKUP(YEAR(C3717),INPC!$B$4:$O$29,MONTH(C3717)+1))</f>
        <v>0</v>
      </c>
      <c r="L3717" s="462">
        <f>IF(S3717=0,0,VLOOKUP(YEAR(S3717),INPC!$B$4:$O$29,MONTH(S3717)+1))</f>
        <v>0</v>
      </c>
      <c r="M3717" s="463">
        <f t="shared" si="256"/>
        <v>0</v>
      </c>
      <c r="N3717" s="465">
        <f t="shared" si="257"/>
        <v>0</v>
      </c>
      <c r="O3717" s="179"/>
      <c r="P3717" s="180"/>
      <c r="Q3717" s="173"/>
      <c r="R3717" s="173"/>
      <c r="S3717" s="174"/>
      <c r="T3717" s="173"/>
      <c r="U3717" s="182"/>
      <c r="V3717" s="177">
        <f>IF(U3717=0,0,IF(T3717="MXN",1/HLOOKUP(YEAR(S3717)+(MONTH(S3717)/100),TC!$5:$37,DAY(S3717)+2,FALSE),VLOOKUP(T3717,Equivalencia!$1:$23,((MAX(Equivalencia!$3:$3)-YEAR(S3717))*14)+MONTH(S3717)+2,FALSE)))</f>
        <v>0</v>
      </c>
      <c r="W3717" s="178">
        <f t="shared" si="258"/>
        <v>0</v>
      </c>
      <c r="X3717" s="481">
        <f t="shared" si="259"/>
        <v>0</v>
      </c>
      <c r="Y3717" s="179"/>
      <c r="Z3717" s="466">
        <f t="shared" si="260"/>
        <v>0</v>
      </c>
      <c r="AA3717" s="473">
        <f t="shared" si="261"/>
        <v>0</v>
      </c>
      <c r="AB3717" s="339">
        <f t="shared" si="262"/>
        <v>0</v>
      </c>
    </row>
    <row r="3718" spans="2:28" ht="20.100000000000001" customHeight="1">
      <c r="B3718" s="172"/>
      <c r="C3718" s="174"/>
      <c r="D3718" s="181"/>
      <c r="E3718" s="173"/>
      <c r="F3718" s="176"/>
      <c r="G3718" s="175">
        <f t="shared" si="253"/>
        <v>0</v>
      </c>
      <c r="H3718" s="175">
        <f t="shared" si="254"/>
        <v>0</v>
      </c>
      <c r="I3718" s="177">
        <f>IF(G3718=0,0,IF(E3718="MXN",1/HLOOKUP(YEAR(C3718)+(MONTH(C3718)/100),TC!$5:$37,DAY(C3718)+2,FALSE),VLOOKUP(E3718,Equivalencia!$5:$23,((MAX(Equivalencia!$3:$3)-YEAR(C3718))*14)+MONTH(C3718)+2,FALSE)))</f>
        <v>0</v>
      </c>
      <c r="J3718" s="178">
        <f t="shared" si="255"/>
        <v>0</v>
      </c>
      <c r="K3718" s="462">
        <f>IF(C3718=0,0,VLOOKUP(YEAR(C3718),INPC!$B$4:$O$29,MONTH(C3718)+1))</f>
        <v>0</v>
      </c>
      <c r="L3718" s="462">
        <f>IF(S3718=0,0,VLOOKUP(YEAR(S3718),INPC!$B$4:$O$29,MONTH(S3718)+1))</f>
        <v>0</v>
      </c>
      <c r="M3718" s="463">
        <f t="shared" si="256"/>
        <v>0</v>
      </c>
      <c r="N3718" s="465">
        <f t="shared" si="257"/>
        <v>0</v>
      </c>
      <c r="O3718" s="179"/>
      <c r="P3718" s="180"/>
      <c r="Q3718" s="173"/>
      <c r="R3718" s="173"/>
      <c r="S3718" s="174"/>
      <c r="T3718" s="173"/>
      <c r="U3718" s="182"/>
      <c r="V3718" s="177">
        <f>IF(U3718=0,0,IF(T3718="MXN",1/HLOOKUP(YEAR(S3718)+(MONTH(S3718)/100),TC!$5:$37,DAY(S3718)+2,FALSE),VLOOKUP(T3718,Equivalencia!$1:$23,((MAX(Equivalencia!$3:$3)-YEAR(S3718))*14)+MONTH(S3718)+2,FALSE)))</f>
        <v>0</v>
      </c>
      <c r="W3718" s="178">
        <f t="shared" si="258"/>
        <v>0</v>
      </c>
      <c r="X3718" s="481">
        <f t="shared" si="259"/>
        <v>0</v>
      </c>
      <c r="Y3718" s="179"/>
      <c r="Z3718" s="466">
        <f t="shared" si="260"/>
        <v>0</v>
      </c>
      <c r="AA3718" s="473">
        <f t="shared" si="261"/>
        <v>0</v>
      </c>
      <c r="AB3718" s="339">
        <f t="shared" si="262"/>
        <v>0</v>
      </c>
    </row>
    <row r="3719" spans="2:28" ht="20.100000000000001" customHeight="1">
      <c r="B3719" s="172"/>
      <c r="C3719" s="174"/>
      <c r="D3719" s="181"/>
      <c r="E3719" s="173"/>
      <c r="F3719" s="176"/>
      <c r="G3719" s="175">
        <f t="shared" si="253"/>
        <v>0</v>
      </c>
      <c r="H3719" s="175">
        <f t="shared" si="254"/>
        <v>0</v>
      </c>
      <c r="I3719" s="177">
        <f>IF(G3719=0,0,IF(E3719="MXN",1/HLOOKUP(YEAR(C3719)+(MONTH(C3719)/100),TC!$5:$37,DAY(C3719)+2,FALSE),VLOOKUP(E3719,Equivalencia!$5:$23,((MAX(Equivalencia!$3:$3)-YEAR(C3719))*14)+MONTH(C3719)+2,FALSE)))</f>
        <v>0</v>
      </c>
      <c r="J3719" s="178">
        <f t="shared" si="255"/>
        <v>0</v>
      </c>
      <c r="K3719" s="462">
        <f>IF(C3719=0,0,VLOOKUP(YEAR(C3719),INPC!$B$4:$O$29,MONTH(C3719)+1))</f>
        <v>0</v>
      </c>
      <c r="L3719" s="462">
        <f>IF(S3719=0,0,VLOOKUP(YEAR(S3719),INPC!$B$4:$O$29,MONTH(S3719)+1))</f>
        <v>0</v>
      </c>
      <c r="M3719" s="463">
        <f t="shared" si="256"/>
        <v>0</v>
      </c>
      <c r="N3719" s="465">
        <f t="shared" si="257"/>
        <v>0</v>
      </c>
      <c r="O3719" s="179"/>
      <c r="P3719" s="180"/>
      <c r="Q3719" s="173"/>
      <c r="R3719" s="173"/>
      <c r="S3719" s="174"/>
      <c r="T3719" s="173"/>
      <c r="U3719" s="182"/>
      <c r="V3719" s="177">
        <f>IF(U3719=0,0,IF(T3719="MXN",1/HLOOKUP(YEAR(S3719)+(MONTH(S3719)/100),TC!$5:$37,DAY(S3719)+2,FALSE),VLOOKUP(T3719,Equivalencia!$1:$23,((MAX(Equivalencia!$3:$3)-YEAR(S3719))*14)+MONTH(S3719)+2,FALSE)))</f>
        <v>0</v>
      </c>
      <c r="W3719" s="178">
        <f t="shared" si="258"/>
        <v>0</v>
      </c>
      <c r="X3719" s="481">
        <f t="shared" si="259"/>
        <v>0</v>
      </c>
      <c r="Y3719" s="179"/>
      <c r="Z3719" s="466">
        <f t="shared" si="260"/>
        <v>0</v>
      </c>
      <c r="AA3719" s="473">
        <f t="shared" si="261"/>
        <v>0</v>
      </c>
      <c r="AB3719" s="339">
        <f t="shared" si="262"/>
        <v>0</v>
      </c>
    </row>
    <row r="3720" spans="2:28" ht="20.100000000000001" customHeight="1">
      <c r="B3720" s="172"/>
      <c r="C3720" s="174"/>
      <c r="D3720" s="181"/>
      <c r="E3720" s="173"/>
      <c r="F3720" s="176"/>
      <c r="G3720" s="175">
        <f t="shared" si="253"/>
        <v>0</v>
      </c>
      <c r="H3720" s="175">
        <f t="shared" si="254"/>
        <v>0</v>
      </c>
      <c r="I3720" s="177">
        <f>IF(G3720=0,0,IF(E3720="MXN",1/HLOOKUP(YEAR(C3720)+(MONTH(C3720)/100),TC!$5:$37,DAY(C3720)+2,FALSE),VLOOKUP(E3720,Equivalencia!$5:$23,((MAX(Equivalencia!$3:$3)-YEAR(C3720))*14)+MONTH(C3720)+2,FALSE)))</f>
        <v>0</v>
      </c>
      <c r="J3720" s="178">
        <f t="shared" si="255"/>
        <v>0</v>
      </c>
      <c r="K3720" s="462">
        <f>IF(C3720=0,0,VLOOKUP(YEAR(C3720),INPC!$B$4:$O$29,MONTH(C3720)+1))</f>
        <v>0</v>
      </c>
      <c r="L3720" s="462">
        <f>IF(S3720=0,0,VLOOKUP(YEAR(S3720),INPC!$B$4:$O$29,MONTH(S3720)+1))</f>
        <v>0</v>
      </c>
      <c r="M3720" s="463">
        <f t="shared" si="256"/>
        <v>0</v>
      </c>
      <c r="N3720" s="465">
        <f t="shared" si="257"/>
        <v>0</v>
      </c>
      <c r="O3720" s="179"/>
      <c r="P3720" s="180"/>
      <c r="Q3720" s="173"/>
      <c r="R3720" s="173"/>
      <c r="S3720" s="174"/>
      <c r="T3720" s="173"/>
      <c r="U3720" s="182"/>
      <c r="V3720" s="177">
        <f>IF(U3720=0,0,IF(T3720="MXN",1/HLOOKUP(YEAR(S3720)+(MONTH(S3720)/100),TC!$5:$37,DAY(S3720)+2,FALSE),VLOOKUP(T3720,Equivalencia!$1:$23,((MAX(Equivalencia!$3:$3)-YEAR(S3720))*14)+MONTH(S3720)+2,FALSE)))</f>
        <v>0</v>
      </c>
      <c r="W3720" s="178">
        <f t="shared" si="258"/>
        <v>0</v>
      </c>
      <c r="X3720" s="481">
        <f t="shared" si="259"/>
        <v>0</v>
      </c>
      <c r="Y3720" s="179"/>
      <c r="Z3720" s="466">
        <f t="shared" si="260"/>
        <v>0</v>
      </c>
      <c r="AA3720" s="473">
        <f t="shared" si="261"/>
        <v>0</v>
      </c>
      <c r="AB3720" s="339">
        <f t="shared" si="262"/>
        <v>0</v>
      </c>
    </row>
    <row r="3721" spans="2:28" ht="20.100000000000001" customHeight="1">
      <c r="B3721" s="172"/>
      <c r="C3721" s="174"/>
      <c r="D3721" s="181"/>
      <c r="E3721" s="173"/>
      <c r="F3721" s="176"/>
      <c r="G3721" s="175">
        <f t="shared" si="253"/>
        <v>0</v>
      </c>
      <c r="H3721" s="175">
        <f t="shared" si="254"/>
        <v>0</v>
      </c>
      <c r="I3721" s="177">
        <f>IF(G3721=0,0,IF(E3721="MXN",1/HLOOKUP(YEAR(C3721)+(MONTH(C3721)/100),TC!$5:$37,DAY(C3721)+2,FALSE),VLOOKUP(E3721,Equivalencia!$5:$23,((MAX(Equivalencia!$3:$3)-YEAR(C3721))*14)+MONTH(C3721)+2,FALSE)))</f>
        <v>0</v>
      </c>
      <c r="J3721" s="178">
        <f t="shared" si="255"/>
        <v>0</v>
      </c>
      <c r="K3721" s="462">
        <f>IF(C3721=0,0,VLOOKUP(YEAR(C3721),INPC!$B$4:$O$29,MONTH(C3721)+1))</f>
        <v>0</v>
      </c>
      <c r="L3721" s="462">
        <f>IF(S3721=0,0,VLOOKUP(YEAR(S3721),INPC!$B$4:$O$29,MONTH(S3721)+1))</f>
        <v>0</v>
      </c>
      <c r="M3721" s="463">
        <f t="shared" si="256"/>
        <v>0</v>
      </c>
      <c r="N3721" s="465">
        <f t="shared" si="257"/>
        <v>0</v>
      </c>
      <c r="O3721" s="179"/>
      <c r="P3721" s="180"/>
      <c r="Q3721" s="173"/>
      <c r="R3721" s="173"/>
      <c r="S3721" s="174"/>
      <c r="T3721" s="173"/>
      <c r="U3721" s="182"/>
      <c r="V3721" s="177">
        <f>IF(U3721=0,0,IF(T3721="MXN",1/HLOOKUP(YEAR(S3721)+(MONTH(S3721)/100),TC!$5:$37,DAY(S3721)+2,FALSE),VLOOKUP(T3721,Equivalencia!$1:$23,((MAX(Equivalencia!$3:$3)-YEAR(S3721))*14)+MONTH(S3721)+2,FALSE)))</f>
        <v>0</v>
      </c>
      <c r="W3721" s="178">
        <f t="shared" si="258"/>
        <v>0</v>
      </c>
      <c r="X3721" s="481">
        <f t="shared" si="259"/>
        <v>0</v>
      </c>
      <c r="Y3721" s="179"/>
      <c r="Z3721" s="466">
        <f t="shared" si="260"/>
        <v>0</v>
      </c>
      <c r="AA3721" s="473">
        <f t="shared" si="261"/>
        <v>0</v>
      </c>
      <c r="AB3721" s="339">
        <f t="shared" si="262"/>
        <v>0</v>
      </c>
    </row>
    <row r="3722" spans="2:28" ht="20.100000000000001" customHeight="1">
      <c r="B3722" s="172"/>
      <c r="C3722" s="174"/>
      <c r="D3722" s="181"/>
      <c r="E3722" s="173"/>
      <c r="F3722" s="176"/>
      <c r="G3722" s="175">
        <f t="shared" si="253"/>
        <v>0</v>
      </c>
      <c r="H3722" s="175">
        <f t="shared" si="254"/>
        <v>0</v>
      </c>
      <c r="I3722" s="177">
        <f>IF(G3722=0,0,IF(E3722="MXN",1/HLOOKUP(YEAR(C3722)+(MONTH(C3722)/100),TC!$5:$37,DAY(C3722)+2,FALSE),VLOOKUP(E3722,Equivalencia!$5:$23,((MAX(Equivalencia!$3:$3)-YEAR(C3722))*14)+MONTH(C3722)+2,FALSE)))</f>
        <v>0</v>
      </c>
      <c r="J3722" s="178">
        <f t="shared" si="255"/>
        <v>0</v>
      </c>
      <c r="K3722" s="462">
        <f>IF(C3722=0,0,VLOOKUP(YEAR(C3722),INPC!$B$4:$O$29,MONTH(C3722)+1))</f>
        <v>0</v>
      </c>
      <c r="L3722" s="462">
        <f>IF(S3722=0,0,VLOOKUP(YEAR(S3722),INPC!$B$4:$O$29,MONTH(S3722)+1))</f>
        <v>0</v>
      </c>
      <c r="M3722" s="463">
        <f t="shared" si="256"/>
        <v>0</v>
      </c>
      <c r="N3722" s="465">
        <f t="shared" si="257"/>
        <v>0</v>
      </c>
      <c r="O3722" s="179"/>
      <c r="P3722" s="180"/>
      <c r="Q3722" s="173"/>
      <c r="R3722" s="173"/>
      <c r="S3722" s="174"/>
      <c r="T3722" s="173"/>
      <c r="U3722" s="182"/>
      <c r="V3722" s="177">
        <f>IF(U3722=0,0,IF(T3722="MXN",1/HLOOKUP(YEAR(S3722)+(MONTH(S3722)/100),TC!$5:$37,DAY(S3722)+2,FALSE),VLOOKUP(T3722,Equivalencia!$1:$23,((MAX(Equivalencia!$3:$3)-YEAR(S3722))*14)+MONTH(S3722)+2,FALSE)))</f>
        <v>0</v>
      </c>
      <c r="W3722" s="178">
        <f t="shared" si="258"/>
        <v>0</v>
      </c>
      <c r="X3722" s="481">
        <f t="shared" si="259"/>
        <v>0</v>
      </c>
      <c r="Y3722" s="179"/>
      <c r="Z3722" s="466">
        <f t="shared" si="260"/>
        <v>0</v>
      </c>
      <c r="AA3722" s="473">
        <f t="shared" si="261"/>
        <v>0</v>
      </c>
      <c r="AB3722" s="339">
        <f t="shared" si="262"/>
        <v>0</v>
      </c>
    </row>
    <row r="3723" spans="2:28" ht="20.100000000000001" customHeight="1">
      <c r="B3723" s="172"/>
      <c r="C3723" s="174"/>
      <c r="D3723" s="181"/>
      <c r="E3723" s="173"/>
      <c r="F3723" s="176"/>
      <c r="G3723" s="175">
        <f t="shared" si="253"/>
        <v>0</v>
      </c>
      <c r="H3723" s="175">
        <f t="shared" si="254"/>
        <v>0</v>
      </c>
      <c r="I3723" s="177">
        <f>IF(G3723=0,0,IF(E3723="MXN",1/HLOOKUP(YEAR(C3723)+(MONTH(C3723)/100),TC!$5:$37,DAY(C3723)+2,FALSE),VLOOKUP(E3723,Equivalencia!$5:$23,((MAX(Equivalencia!$3:$3)-YEAR(C3723))*14)+MONTH(C3723)+2,FALSE)))</f>
        <v>0</v>
      </c>
      <c r="J3723" s="178">
        <f t="shared" si="255"/>
        <v>0</v>
      </c>
      <c r="K3723" s="462">
        <f>IF(C3723=0,0,VLOOKUP(YEAR(C3723),INPC!$B$4:$O$29,MONTH(C3723)+1))</f>
        <v>0</v>
      </c>
      <c r="L3723" s="462">
        <f>IF(S3723=0,0,VLOOKUP(YEAR(S3723),INPC!$B$4:$O$29,MONTH(S3723)+1))</f>
        <v>0</v>
      </c>
      <c r="M3723" s="463">
        <f t="shared" si="256"/>
        <v>0</v>
      </c>
      <c r="N3723" s="465">
        <f t="shared" si="257"/>
        <v>0</v>
      </c>
      <c r="O3723" s="179"/>
      <c r="P3723" s="180"/>
      <c r="Q3723" s="173"/>
      <c r="R3723" s="173"/>
      <c r="S3723" s="174"/>
      <c r="T3723" s="173"/>
      <c r="U3723" s="182"/>
      <c r="V3723" s="177">
        <f>IF(U3723=0,0,IF(T3723="MXN",1/HLOOKUP(YEAR(S3723)+(MONTH(S3723)/100),TC!$5:$37,DAY(S3723)+2,FALSE),VLOOKUP(T3723,Equivalencia!$1:$23,((MAX(Equivalencia!$3:$3)-YEAR(S3723))*14)+MONTH(S3723)+2,FALSE)))</f>
        <v>0</v>
      </c>
      <c r="W3723" s="178">
        <f t="shared" si="258"/>
        <v>0</v>
      </c>
      <c r="X3723" s="481">
        <f t="shared" si="259"/>
        <v>0</v>
      </c>
      <c r="Y3723" s="179"/>
      <c r="Z3723" s="466">
        <f t="shared" si="260"/>
        <v>0</v>
      </c>
      <c r="AA3723" s="473">
        <f t="shared" si="261"/>
        <v>0</v>
      </c>
      <c r="AB3723" s="339">
        <f t="shared" si="262"/>
        <v>0</v>
      </c>
    </row>
    <row r="3724" spans="2:28" ht="20.100000000000001" customHeight="1">
      <c r="B3724" s="172"/>
      <c r="C3724" s="174"/>
      <c r="D3724" s="181"/>
      <c r="E3724" s="173"/>
      <c r="F3724" s="176"/>
      <c r="G3724" s="175">
        <f t="shared" si="253"/>
        <v>0</v>
      </c>
      <c r="H3724" s="175">
        <f t="shared" si="254"/>
        <v>0</v>
      </c>
      <c r="I3724" s="177">
        <f>IF(G3724=0,0,IF(E3724="MXN",1/HLOOKUP(YEAR(C3724)+(MONTH(C3724)/100),TC!$5:$37,DAY(C3724)+2,FALSE),VLOOKUP(E3724,Equivalencia!$5:$23,((MAX(Equivalencia!$3:$3)-YEAR(C3724))*14)+MONTH(C3724)+2,FALSE)))</f>
        <v>0</v>
      </c>
      <c r="J3724" s="178">
        <f t="shared" si="255"/>
        <v>0</v>
      </c>
      <c r="K3724" s="462">
        <f>IF(C3724=0,0,VLOOKUP(YEAR(C3724),INPC!$B$4:$O$29,MONTH(C3724)+1))</f>
        <v>0</v>
      </c>
      <c r="L3724" s="462">
        <f>IF(S3724=0,0,VLOOKUP(YEAR(S3724),INPC!$B$4:$O$29,MONTH(S3724)+1))</f>
        <v>0</v>
      </c>
      <c r="M3724" s="463">
        <f t="shared" si="256"/>
        <v>0</v>
      </c>
      <c r="N3724" s="465">
        <f t="shared" si="257"/>
        <v>0</v>
      </c>
      <c r="O3724" s="179"/>
      <c r="P3724" s="180"/>
      <c r="Q3724" s="173"/>
      <c r="R3724" s="173"/>
      <c r="S3724" s="174"/>
      <c r="T3724" s="173"/>
      <c r="U3724" s="182"/>
      <c r="V3724" s="177">
        <f>IF(U3724=0,0,IF(T3724="MXN",1/HLOOKUP(YEAR(S3724)+(MONTH(S3724)/100),TC!$5:$37,DAY(S3724)+2,FALSE),VLOOKUP(T3724,Equivalencia!$1:$23,((MAX(Equivalencia!$3:$3)-YEAR(S3724))*14)+MONTH(S3724)+2,FALSE)))</f>
        <v>0</v>
      </c>
      <c r="W3724" s="178">
        <f t="shared" si="258"/>
        <v>0</v>
      </c>
      <c r="X3724" s="481">
        <f t="shared" si="259"/>
        <v>0</v>
      </c>
      <c r="Y3724" s="179"/>
      <c r="Z3724" s="466">
        <f t="shared" si="260"/>
        <v>0</v>
      </c>
      <c r="AA3724" s="473">
        <f t="shared" si="261"/>
        <v>0</v>
      </c>
      <c r="AB3724" s="339">
        <f t="shared" si="262"/>
        <v>0</v>
      </c>
    </row>
    <row r="3725" spans="2:28" ht="20.100000000000001" customHeight="1">
      <c r="B3725" s="172"/>
      <c r="C3725" s="174"/>
      <c r="D3725" s="181"/>
      <c r="E3725" s="173"/>
      <c r="F3725" s="176"/>
      <c r="G3725" s="175">
        <f t="shared" si="253"/>
        <v>0</v>
      </c>
      <c r="H3725" s="175">
        <f t="shared" si="254"/>
        <v>0</v>
      </c>
      <c r="I3725" s="177">
        <f>IF(G3725=0,0,IF(E3725="MXN",1/HLOOKUP(YEAR(C3725)+(MONTH(C3725)/100),TC!$5:$37,DAY(C3725)+2,FALSE),VLOOKUP(E3725,Equivalencia!$5:$23,((MAX(Equivalencia!$3:$3)-YEAR(C3725))*14)+MONTH(C3725)+2,FALSE)))</f>
        <v>0</v>
      </c>
      <c r="J3725" s="178">
        <f t="shared" si="255"/>
        <v>0</v>
      </c>
      <c r="K3725" s="462">
        <f>IF(C3725=0,0,VLOOKUP(YEAR(C3725),INPC!$B$4:$O$29,MONTH(C3725)+1))</f>
        <v>0</v>
      </c>
      <c r="L3725" s="462">
        <f>IF(S3725=0,0,VLOOKUP(YEAR(S3725),INPC!$B$4:$O$29,MONTH(S3725)+1))</f>
        <v>0</v>
      </c>
      <c r="M3725" s="463">
        <f t="shared" si="256"/>
        <v>0</v>
      </c>
      <c r="N3725" s="465">
        <f t="shared" si="257"/>
        <v>0</v>
      </c>
      <c r="O3725" s="179"/>
      <c r="P3725" s="180"/>
      <c r="Q3725" s="173"/>
      <c r="R3725" s="173"/>
      <c r="S3725" s="174"/>
      <c r="T3725" s="173"/>
      <c r="U3725" s="182"/>
      <c r="V3725" s="177">
        <f>IF(U3725=0,0,IF(T3725="MXN",1/HLOOKUP(YEAR(S3725)+(MONTH(S3725)/100),TC!$5:$37,DAY(S3725)+2,FALSE),VLOOKUP(T3725,Equivalencia!$1:$23,((MAX(Equivalencia!$3:$3)-YEAR(S3725))*14)+MONTH(S3725)+2,FALSE)))</f>
        <v>0</v>
      </c>
      <c r="W3725" s="178">
        <f t="shared" si="258"/>
        <v>0</v>
      </c>
      <c r="X3725" s="481">
        <f t="shared" si="259"/>
        <v>0</v>
      </c>
      <c r="Y3725" s="179"/>
      <c r="Z3725" s="466">
        <f t="shared" si="260"/>
        <v>0</v>
      </c>
      <c r="AA3725" s="473">
        <f t="shared" si="261"/>
        <v>0</v>
      </c>
      <c r="AB3725" s="339">
        <f t="shared" si="262"/>
        <v>0</v>
      </c>
    </row>
    <row r="3726" spans="2:28" ht="20.100000000000001" customHeight="1">
      <c r="B3726" s="172"/>
      <c r="C3726" s="174"/>
      <c r="D3726" s="181"/>
      <c r="E3726" s="173"/>
      <c r="F3726" s="176"/>
      <c r="G3726" s="175">
        <f t="shared" si="253"/>
        <v>0</v>
      </c>
      <c r="H3726" s="175">
        <f t="shared" si="254"/>
        <v>0</v>
      </c>
      <c r="I3726" s="177">
        <f>IF(G3726=0,0,IF(E3726="MXN",1/HLOOKUP(YEAR(C3726)+(MONTH(C3726)/100),TC!$5:$37,DAY(C3726)+2,FALSE),VLOOKUP(E3726,Equivalencia!$5:$23,((MAX(Equivalencia!$3:$3)-YEAR(C3726))*14)+MONTH(C3726)+2,FALSE)))</f>
        <v>0</v>
      </c>
      <c r="J3726" s="178">
        <f t="shared" si="255"/>
        <v>0</v>
      </c>
      <c r="K3726" s="462">
        <f>IF(C3726=0,0,VLOOKUP(YEAR(C3726),INPC!$B$4:$O$29,MONTH(C3726)+1))</f>
        <v>0</v>
      </c>
      <c r="L3726" s="462">
        <f>IF(S3726=0,0,VLOOKUP(YEAR(S3726),INPC!$B$4:$O$29,MONTH(S3726)+1))</f>
        <v>0</v>
      </c>
      <c r="M3726" s="463">
        <f t="shared" si="256"/>
        <v>0</v>
      </c>
      <c r="N3726" s="465">
        <f t="shared" si="257"/>
        <v>0</v>
      </c>
      <c r="O3726" s="179"/>
      <c r="P3726" s="180"/>
      <c r="Q3726" s="173"/>
      <c r="R3726" s="173"/>
      <c r="S3726" s="174"/>
      <c r="T3726" s="173"/>
      <c r="U3726" s="182"/>
      <c r="V3726" s="177">
        <f>IF(U3726=0,0,IF(T3726="MXN",1/HLOOKUP(YEAR(S3726)+(MONTH(S3726)/100),TC!$5:$37,DAY(S3726)+2,FALSE),VLOOKUP(T3726,Equivalencia!$1:$23,((MAX(Equivalencia!$3:$3)-YEAR(S3726))*14)+MONTH(S3726)+2,FALSE)))</f>
        <v>0</v>
      </c>
      <c r="W3726" s="178">
        <f t="shared" si="258"/>
        <v>0</v>
      </c>
      <c r="X3726" s="481">
        <f t="shared" si="259"/>
        <v>0</v>
      </c>
      <c r="Y3726" s="179"/>
      <c r="Z3726" s="466">
        <f t="shared" si="260"/>
        <v>0</v>
      </c>
      <c r="AA3726" s="473">
        <f t="shared" si="261"/>
        <v>0</v>
      </c>
      <c r="AB3726" s="339">
        <f t="shared" si="262"/>
        <v>0</v>
      </c>
    </row>
    <row r="3727" spans="2:28" ht="20.100000000000001" customHeight="1">
      <c r="B3727" s="172"/>
      <c r="C3727" s="174"/>
      <c r="D3727" s="181"/>
      <c r="E3727" s="173"/>
      <c r="F3727" s="176"/>
      <c r="G3727" s="175">
        <f t="shared" si="253"/>
        <v>0</v>
      </c>
      <c r="H3727" s="175">
        <f t="shared" si="254"/>
        <v>0</v>
      </c>
      <c r="I3727" s="177">
        <f>IF(G3727=0,0,IF(E3727="MXN",1/HLOOKUP(YEAR(C3727)+(MONTH(C3727)/100),TC!$5:$37,DAY(C3727)+2,FALSE),VLOOKUP(E3727,Equivalencia!$5:$23,((MAX(Equivalencia!$3:$3)-YEAR(C3727))*14)+MONTH(C3727)+2,FALSE)))</f>
        <v>0</v>
      </c>
      <c r="J3727" s="178">
        <f t="shared" si="255"/>
        <v>0</v>
      </c>
      <c r="K3727" s="462">
        <f>IF(C3727=0,0,VLOOKUP(YEAR(C3727),INPC!$B$4:$O$29,MONTH(C3727)+1))</f>
        <v>0</v>
      </c>
      <c r="L3727" s="462">
        <f>IF(S3727=0,0,VLOOKUP(YEAR(S3727),INPC!$B$4:$O$29,MONTH(S3727)+1))</f>
        <v>0</v>
      </c>
      <c r="M3727" s="463">
        <f t="shared" si="256"/>
        <v>0</v>
      </c>
      <c r="N3727" s="465">
        <f t="shared" si="257"/>
        <v>0</v>
      </c>
      <c r="O3727" s="179"/>
      <c r="P3727" s="180"/>
      <c r="Q3727" s="173"/>
      <c r="R3727" s="173"/>
      <c r="S3727" s="174"/>
      <c r="T3727" s="173"/>
      <c r="U3727" s="182"/>
      <c r="V3727" s="177">
        <f>IF(U3727=0,0,IF(T3727="MXN",1/HLOOKUP(YEAR(S3727)+(MONTH(S3727)/100),TC!$5:$37,DAY(S3727)+2,FALSE),VLOOKUP(T3727,Equivalencia!$1:$23,((MAX(Equivalencia!$3:$3)-YEAR(S3727))*14)+MONTH(S3727)+2,FALSE)))</f>
        <v>0</v>
      </c>
      <c r="W3727" s="178">
        <f t="shared" si="258"/>
        <v>0</v>
      </c>
      <c r="X3727" s="481">
        <f t="shared" si="259"/>
        <v>0</v>
      </c>
      <c r="Y3727" s="179"/>
      <c r="Z3727" s="466">
        <f t="shared" si="260"/>
        <v>0</v>
      </c>
      <c r="AA3727" s="473">
        <f t="shared" si="261"/>
        <v>0</v>
      </c>
      <c r="AB3727" s="339">
        <f t="shared" si="262"/>
        <v>0</v>
      </c>
    </row>
    <row r="3728" spans="2:28" ht="20.100000000000001" customHeight="1">
      <c r="B3728" s="172"/>
      <c r="C3728" s="174"/>
      <c r="D3728" s="181"/>
      <c r="E3728" s="173"/>
      <c r="F3728" s="176"/>
      <c r="G3728" s="175">
        <f t="shared" si="253"/>
        <v>0</v>
      </c>
      <c r="H3728" s="175">
        <f t="shared" si="254"/>
        <v>0</v>
      </c>
      <c r="I3728" s="177">
        <f>IF(G3728=0,0,IF(E3728="MXN",1/HLOOKUP(YEAR(C3728)+(MONTH(C3728)/100),TC!$5:$37,DAY(C3728)+2,FALSE),VLOOKUP(E3728,Equivalencia!$5:$23,((MAX(Equivalencia!$3:$3)-YEAR(C3728))*14)+MONTH(C3728)+2,FALSE)))</f>
        <v>0</v>
      </c>
      <c r="J3728" s="178">
        <f t="shared" si="255"/>
        <v>0</v>
      </c>
      <c r="K3728" s="462">
        <f>IF(C3728=0,0,VLOOKUP(YEAR(C3728),INPC!$B$4:$O$29,MONTH(C3728)+1))</f>
        <v>0</v>
      </c>
      <c r="L3728" s="462">
        <f>IF(S3728=0,0,VLOOKUP(YEAR(S3728),INPC!$B$4:$O$29,MONTH(S3728)+1))</f>
        <v>0</v>
      </c>
      <c r="M3728" s="463">
        <f t="shared" si="256"/>
        <v>0</v>
      </c>
      <c r="N3728" s="465">
        <f t="shared" si="257"/>
        <v>0</v>
      </c>
      <c r="O3728" s="179"/>
      <c r="P3728" s="180"/>
      <c r="Q3728" s="173"/>
      <c r="R3728" s="173"/>
      <c r="S3728" s="174"/>
      <c r="T3728" s="173"/>
      <c r="U3728" s="182"/>
      <c r="V3728" s="177">
        <f>IF(U3728=0,0,IF(T3728="MXN",1/HLOOKUP(YEAR(S3728)+(MONTH(S3728)/100),TC!$5:$37,DAY(S3728)+2,FALSE),VLOOKUP(T3728,Equivalencia!$1:$23,((MAX(Equivalencia!$3:$3)-YEAR(S3728))*14)+MONTH(S3728)+2,FALSE)))</f>
        <v>0</v>
      </c>
      <c r="W3728" s="178">
        <f t="shared" si="258"/>
        <v>0</v>
      </c>
      <c r="X3728" s="481">
        <f t="shared" si="259"/>
        <v>0</v>
      </c>
      <c r="Y3728" s="179"/>
      <c r="Z3728" s="466">
        <f t="shared" si="260"/>
        <v>0</v>
      </c>
      <c r="AA3728" s="473">
        <f t="shared" si="261"/>
        <v>0</v>
      </c>
      <c r="AB3728" s="339">
        <f t="shared" si="262"/>
        <v>0</v>
      </c>
    </row>
    <row r="3729" spans="2:28" ht="20.100000000000001" customHeight="1">
      <c r="B3729" s="172"/>
      <c r="C3729" s="174"/>
      <c r="D3729" s="181"/>
      <c r="E3729" s="173"/>
      <c r="F3729" s="176"/>
      <c r="G3729" s="175">
        <f t="shared" si="253"/>
        <v>0</v>
      </c>
      <c r="H3729" s="175">
        <f t="shared" si="254"/>
        <v>0</v>
      </c>
      <c r="I3729" s="177">
        <f>IF(G3729=0,0,IF(E3729="MXN",1/HLOOKUP(YEAR(C3729)+(MONTH(C3729)/100),TC!$5:$37,DAY(C3729)+2,FALSE),VLOOKUP(E3729,Equivalencia!$5:$23,((MAX(Equivalencia!$3:$3)-YEAR(C3729))*14)+MONTH(C3729)+2,FALSE)))</f>
        <v>0</v>
      </c>
      <c r="J3729" s="178">
        <f t="shared" si="255"/>
        <v>0</v>
      </c>
      <c r="K3729" s="462">
        <f>IF(C3729=0,0,VLOOKUP(YEAR(C3729),INPC!$B$4:$O$29,MONTH(C3729)+1))</f>
        <v>0</v>
      </c>
      <c r="L3729" s="462">
        <f>IF(S3729=0,0,VLOOKUP(YEAR(S3729),INPC!$B$4:$O$29,MONTH(S3729)+1))</f>
        <v>0</v>
      </c>
      <c r="M3729" s="463">
        <f t="shared" si="256"/>
        <v>0</v>
      </c>
      <c r="N3729" s="465">
        <f t="shared" si="257"/>
        <v>0</v>
      </c>
      <c r="O3729" s="179"/>
      <c r="P3729" s="180"/>
      <c r="Q3729" s="173"/>
      <c r="R3729" s="173"/>
      <c r="S3729" s="174"/>
      <c r="T3729" s="173"/>
      <c r="U3729" s="182"/>
      <c r="V3729" s="177">
        <f>IF(U3729=0,0,IF(T3729="MXN",1/HLOOKUP(YEAR(S3729)+(MONTH(S3729)/100),TC!$5:$37,DAY(S3729)+2,FALSE),VLOOKUP(T3729,Equivalencia!$1:$23,((MAX(Equivalencia!$3:$3)-YEAR(S3729))*14)+MONTH(S3729)+2,FALSE)))</f>
        <v>0</v>
      </c>
      <c r="W3729" s="178">
        <f t="shared" si="258"/>
        <v>0</v>
      </c>
      <c r="X3729" s="481">
        <f t="shared" si="259"/>
        <v>0</v>
      </c>
      <c r="Y3729" s="179"/>
      <c r="Z3729" s="466">
        <f t="shared" si="260"/>
        <v>0</v>
      </c>
      <c r="AA3729" s="473">
        <f t="shared" si="261"/>
        <v>0</v>
      </c>
      <c r="AB3729" s="339">
        <f t="shared" si="262"/>
        <v>0</v>
      </c>
    </row>
    <row r="3730" spans="2:28" ht="20.100000000000001" customHeight="1">
      <c r="B3730" s="172"/>
      <c r="C3730" s="174"/>
      <c r="D3730" s="181"/>
      <c r="E3730" s="173"/>
      <c r="F3730" s="176"/>
      <c r="G3730" s="175">
        <f t="shared" si="253"/>
        <v>0</v>
      </c>
      <c r="H3730" s="175">
        <f t="shared" si="254"/>
        <v>0</v>
      </c>
      <c r="I3730" s="177">
        <f>IF(G3730=0,0,IF(E3730="MXN",1/HLOOKUP(YEAR(C3730)+(MONTH(C3730)/100),TC!$5:$37,DAY(C3730)+2,FALSE),VLOOKUP(E3730,Equivalencia!$5:$23,((MAX(Equivalencia!$3:$3)-YEAR(C3730))*14)+MONTH(C3730)+2,FALSE)))</f>
        <v>0</v>
      </c>
      <c r="J3730" s="178">
        <f t="shared" si="255"/>
        <v>0</v>
      </c>
      <c r="K3730" s="462">
        <f>IF(C3730=0,0,VLOOKUP(YEAR(C3730),INPC!$B$4:$O$29,MONTH(C3730)+1))</f>
        <v>0</v>
      </c>
      <c r="L3730" s="462">
        <f>IF(S3730=0,0,VLOOKUP(YEAR(S3730),INPC!$B$4:$O$29,MONTH(S3730)+1))</f>
        <v>0</v>
      </c>
      <c r="M3730" s="463">
        <f t="shared" si="256"/>
        <v>0</v>
      </c>
      <c r="N3730" s="465">
        <f t="shared" si="257"/>
        <v>0</v>
      </c>
      <c r="O3730" s="179"/>
      <c r="P3730" s="180"/>
      <c r="Q3730" s="173"/>
      <c r="R3730" s="173"/>
      <c r="S3730" s="174"/>
      <c r="T3730" s="173"/>
      <c r="U3730" s="182"/>
      <c r="V3730" s="177">
        <f>IF(U3730=0,0,IF(T3730="MXN",1/HLOOKUP(YEAR(S3730)+(MONTH(S3730)/100),TC!$5:$37,DAY(S3730)+2,FALSE),VLOOKUP(T3730,Equivalencia!$1:$23,((MAX(Equivalencia!$3:$3)-YEAR(S3730))*14)+MONTH(S3730)+2,FALSE)))</f>
        <v>0</v>
      </c>
      <c r="W3730" s="178">
        <f t="shared" si="258"/>
        <v>0</v>
      </c>
      <c r="X3730" s="481">
        <f t="shared" si="259"/>
        <v>0</v>
      </c>
      <c r="Y3730" s="179"/>
      <c r="Z3730" s="466">
        <f t="shared" si="260"/>
        <v>0</v>
      </c>
      <c r="AA3730" s="473">
        <f t="shared" si="261"/>
        <v>0</v>
      </c>
      <c r="AB3730" s="339">
        <f t="shared" si="262"/>
        <v>0</v>
      </c>
    </row>
    <row r="3731" spans="2:28" ht="20.100000000000001" customHeight="1">
      <c r="B3731" s="172"/>
      <c r="C3731" s="174"/>
      <c r="D3731" s="181"/>
      <c r="E3731" s="173"/>
      <c r="F3731" s="176"/>
      <c r="G3731" s="175">
        <f t="shared" si="253"/>
        <v>0</v>
      </c>
      <c r="H3731" s="175">
        <f t="shared" si="254"/>
        <v>0</v>
      </c>
      <c r="I3731" s="177">
        <f>IF(G3731=0,0,IF(E3731="MXN",1/HLOOKUP(YEAR(C3731)+(MONTH(C3731)/100),TC!$5:$37,DAY(C3731)+2,FALSE),VLOOKUP(E3731,Equivalencia!$5:$23,((MAX(Equivalencia!$3:$3)-YEAR(C3731))*14)+MONTH(C3731)+2,FALSE)))</f>
        <v>0</v>
      </c>
      <c r="J3731" s="178">
        <f t="shared" si="255"/>
        <v>0</v>
      </c>
      <c r="K3731" s="462">
        <f>IF(C3731=0,0,VLOOKUP(YEAR(C3731),INPC!$B$4:$O$29,MONTH(C3731)+1))</f>
        <v>0</v>
      </c>
      <c r="L3731" s="462">
        <f>IF(S3731=0,0,VLOOKUP(YEAR(S3731),INPC!$B$4:$O$29,MONTH(S3731)+1))</f>
        <v>0</v>
      </c>
      <c r="M3731" s="463">
        <f t="shared" si="256"/>
        <v>0</v>
      </c>
      <c r="N3731" s="465">
        <f t="shared" si="257"/>
        <v>0</v>
      </c>
      <c r="O3731" s="179"/>
      <c r="P3731" s="180"/>
      <c r="Q3731" s="173"/>
      <c r="R3731" s="173"/>
      <c r="S3731" s="174"/>
      <c r="T3731" s="173"/>
      <c r="U3731" s="182"/>
      <c r="V3731" s="177">
        <f>IF(U3731=0,0,IF(T3731="MXN",1/HLOOKUP(YEAR(S3731)+(MONTH(S3731)/100),TC!$5:$37,DAY(S3731)+2,FALSE),VLOOKUP(T3731,Equivalencia!$1:$23,((MAX(Equivalencia!$3:$3)-YEAR(S3731))*14)+MONTH(S3731)+2,FALSE)))</f>
        <v>0</v>
      </c>
      <c r="W3731" s="178">
        <f t="shared" si="258"/>
        <v>0</v>
      </c>
      <c r="X3731" s="481">
        <f t="shared" si="259"/>
        <v>0</v>
      </c>
      <c r="Y3731" s="179"/>
      <c r="Z3731" s="466">
        <f t="shared" si="260"/>
        <v>0</v>
      </c>
      <c r="AA3731" s="473">
        <f t="shared" si="261"/>
        <v>0</v>
      </c>
      <c r="AB3731" s="339">
        <f t="shared" si="262"/>
        <v>0</v>
      </c>
    </row>
    <row r="3732" spans="2:28" ht="20.100000000000001" customHeight="1">
      <c r="B3732" s="172"/>
      <c r="C3732" s="174"/>
      <c r="D3732" s="181"/>
      <c r="E3732" s="173"/>
      <c r="F3732" s="176"/>
      <c r="G3732" s="175">
        <f t="shared" si="253"/>
        <v>0</v>
      </c>
      <c r="H3732" s="175">
        <f t="shared" si="254"/>
        <v>0</v>
      </c>
      <c r="I3732" s="177">
        <f>IF(G3732=0,0,IF(E3732="MXN",1/HLOOKUP(YEAR(C3732)+(MONTH(C3732)/100),TC!$5:$37,DAY(C3732)+2,FALSE),VLOOKUP(E3732,Equivalencia!$5:$23,((MAX(Equivalencia!$3:$3)-YEAR(C3732))*14)+MONTH(C3732)+2,FALSE)))</f>
        <v>0</v>
      </c>
      <c r="J3732" s="178">
        <f t="shared" si="255"/>
        <v>0</v>
      </c>
      <c r="K3732" s="462">
        <f>IF(C3732=0,0,VLOOKUP(YEAR(C3732),INPC!$B$4:$O$29,MONTH(C3732)+1))</f>
        <v>0</v>
      </c>
      <c r="L3732" s="462">
        <f>IF(S3732=0,0,VLOOKUP(YEAR(S3732),INPC!$B$4:$O$29,MONTH(S3732)+1))</f>
        <v>0</v>
      </c>
      <c r="M3732" s="463">
        <f t="shared" si="256"/>
        <v>0</v>
      </c>
      <c r="N3732" s="465">
        <f t="shared" si="257"/>
        <v>0</v>
      </c>
      <c r="O3732" s="179"/>
      <c r="P3732" s="180"/>
      <c r="Q3732" s="173"/>
      <c r="R3732" s="173"/>
      <c r="S3732" s="174"/>
      <c r="T3732" s="173"/>
      <c r="U3732" s="182"/>
      <c r="V3732" s="177">
        <f>IF(U3732=0,0,IF(T3732="MXN",1/HLOOKUP(YEAR(S3732)+(MONTH(S3732)/100),TC!$5:$37,DAY(S3732)+2,FALSE),VLOOKUP(T3732,Equivalencia!$1:$23,((MAX(Equivalencia!$3:$3)-YEAR(S3732))*14)+MONTH(S3732)+2,FALSE)))</f>
        <v>0</v>
      </c>
      <c r="W3732" s="178">
        <f t="shared" si="258"/>
        <v>0</v>
      </c>
      <c r="X3732" s="481">
        <f t="shared" si="259"/>
        <v>0</v>
      </c>
      <c r="Y3732" s="179"/>
      <c r="Z3732" s="466">
        <f t="shared" si="260"/>
        <v>0</v>
      </c>
      <c r="AA3732" s="473">
        <f t="shared" si="261"/>
        <v>0</v>
      </c>
      <c r="AB3732" s="339">
        <f t="shared" si="262"/>
        <v>0</v>
      </c>
    </row>
    <row r="3733" spans="2:28" ht="20.100000000000001" customHeight="1">
      <c r="B3733" s="172"/>
      <c r="C3733" s="174"/>
      <c r="D3733" s="181"/>
      <c r="E3733" s="173"/>
      <c r="F3733" s="176"/>
      <c r="G3733" s="175">
        <f t="shared" si="253"/>
        <v>0</v>
      </c>
      <c r="H3733" s="175">
        <f t="shared" si="254"/>
        <v>0</v>
      </c>
      <c r="I3733" s="177">
        <f>IF(G3733=0,0,IF(E3733="MXN",1/HLOOKUP(YEAR(C3733)+(MONTH(C3733)/100),TC!$5:$37,DAY(C3733)+2,FALSE),VLOOKUP(E3733,Equivalencia!$5:$23,((MAX(Equivalencia!$3:$3)-YEAR(C3733))*14)+MONTH(C3733)+2,FALSE)))</f>
        <v>0</v>
      </c>
      <c r="J3733" s="178">
        <f t="shared" si="255"/>
        <v>0</v>
      </c>
      <c r="K3733" s="462">
        <f>IF(C3733=0,0,VLOOKUP(YEAR(C3733),INPC!$B$4:$O$29,MONTH(C3733)+1))</f>
        <v>0</v>
      </c>
      <c r="L3733" s="462">
        <f>IF(S3733=0,0,VLOOKUP(YEAR(S3733),INPC!$B$4:$O$29,MONTH(S3733)+1))</f>
        <v>0</v>
      </c>
      <c r="M3733" s="463">
        <f t="shared" si="256"/>
        <v>0</v>
      </c>
      <c r="N3733" s="465">
        <f t="shared" si="257"/>
        <v>0</v>
      </c>
      <c r="O3733" s="179"/>
      <c r="P3733" s="180"/>
      <c r="Q3733" s="173"/>
      <c r="R3733" s="173"/>
      <c r="S3733" s="174"/>
      <c r="T3733" s="173"/>
      <c r="U3733" s="182"/>
      <c r="V3733" s="177">
        <f>IF(U3733=0,0,IF(T3733="MXN",1/HLOOKUP(YEAR(S3733)+(MONTH(S3733)/100),TC!$5:$37,DAY(S3733)+2,FALSE),VLOOKUP(T3733,Equivalencia!$1:$23,((MAX(Equivalencia!$3:$3)-YEAR(S3733))*14)+MONTH(S3733)+2,FALSE)))</f>
        <v>0</v>
      </c>
      <c r="W3733" s="178">
        <f t="shared" si="258"/>
        <v>0</v>
      </c>
      <c r="X3733" s="481">
        <f t="shared" si="259"/>
        <v>0</v>
      </c>
      <c r="Y3733" s="179"/>
      <c r="Z3733" s="466">
        <f t="shared" si="260"/>
        <v>0</v>
      </c>
      <c r="AA3733" s="473">
        <f t="shared" si="261"/>
        <v>0</v>
      </c>
      <c r="AB3733" s="339">
        <f t="shared" si="262"/>
        <v>0</v>
      </c>
    </row>
    <row r="3734" spans="2:28" ht="20.100000000000001" customHeight="1">
      <c r="B3734" s="172"/>
      <c r="C3734" s="174"/>
      <c r="D3734" s="181"/>
      <c r="E3734" s="173"/>
      <c r="F3734" s="176"/>
      <c r="G3734" s="175">
        <f t="shared" si="253"/>
        <v>0</v>
      </c>
      <c r="H3734" s="175">
        <f t="shared" si="254"/>
        <v>0</v>
      </c>
      <c r="I3734" s="177">
        <f>IF(G3734=0,0,IF(E3734="MXN",1/HLOOKUP(YEAR(C3734)+(MONTH(C3734)/100),TC!$5:$37,DAY(C3734)+2,FALSE),VLOOKUP(E3734,Equivalencia!$5:$23,((MAX(Equivalencia!$3:$3)-YEAR(C3734))*14)+MONTH(C3734)+2,FALSE)))</f>
        <v>0</v>
      </c>
      <c r="J3734" s="178">
        <f t="shared" si="255"/>
        <v>0</v>
      </c>
      <c r="K3734" s="462">
        <f>IF(C3734=0,0,VLOOKUP(YEAR(C3734),INPC!$B$4:$O$29,MONTH(C3734)+1))</f>
        <v>0</v>
      </c>
      <c r="L3734" s="462">
        <f>IF(S3734=0,0,VLOOKUP(YEAR(S3734),INPC!$B$4:$O$29,MONTH(S3734)+1))</f>
        <v>0</v>
      </c>
      <c r="M3734" s="463">
        <f t="shared" si="256"/>
        <v>0</v>
      </c>
      <c r="N3734" s="465">
        <f t="shared" si="257"/>
        <v>0</v>
      </c>
      <c r="O3734" s="179"/>
      <c r="P3734" s="180"/>
      <c r="Q3734" s="173"/>
      <c r="R3734" s="173"/>
      <c r="S3734" s="174"/>
      <c r="T3734" s="173"/>
      <c r="U3734" s="182"/>
      <c r="V3734" s="177">
        <f>IF(U3734=0,0,IF(T3734="MXN",1/HLOOKUP(YEAR(S3734)+(MONTH(S3734)/100),TC!$5:$37,DAY(S3734)+2,FALSE),VLOOKUP(T3734,Equivalencia!$1:$23,((MAX(Equivalencia!$3:$3)-YEAR(S3734))*14)+MONTH(S3734)+2,FALSE)))</f>
        <v>0</v>
      </c>
      <c r="W3734" s="178">
        <f t="shared" si="258"/>
        <v>0</v>
      </c>
      <c r="X3734" s="481">
        <f t="shared" si="259"/>
        <v>0</v>
      </c>
      <c r="Y3734" s="179"/>
      <c r="Z3734" s="466">
        <f t="shared" si="260"/>
        <v>0</v>
      </c>
      <c r="AA3734" s="473">
        <f t="shared" si="261"/>
        <v>0</v>
      </c>
      <c r="AB3734" s="339">
        <f t="shared" si="262"/>
        <v>0</v>
      </c>
    </row>
    <row r="3735" spans="2:28" ht="20.100000000000001" customHeight="1">
      <c r="B3735" s="172"/>
      <c r="C3735" s="174"/>
      <c r="D3735" s="181"/>
      <c r="E3735" s="173"/>
      <c r="F3735" s="176"/>
      <c r="G3735" s="175">
        <f t="shared" si="253"/>
        <v>0</v>
      </c>
      <c r="H3735" s="175">
        <f t="shared" si="254"/>
        <v>0</v>
      </c>
      <c r="I3735" s="177">
        <f>IF(G3735=0,0,IF(E3735="MXN",1/HLOOKUP(YEAR(C3735)+(MONTH(C3735)/100),TC!$5:$37,DAY(C3735)+2,FALSE),VLOOKUP(E3735,Equivalencia!$5:$23,((MAX(Equivalencia!$3:$3)-YEAR(C3735))*14)+MONTH(C3735)+2,FALSE)))</f>
        <v>0</v>
      </c>
      <c r="J3735" s="178">
        <f t="shared" si="255"/>
        <v>0</v>
      </c>
      <c r="K3735" s="462">
        <f>IF(C3735=0,0,VLOOKUP(YEAR(C3735),INPC!$B$4:$O$29,MONTH(C3735)+1))</f>
        <v>0</v>
      </c>
      <c r="L3735" s="462">
        <f>IF(S3735=0,0,VLOOKUP(YEAR(S3735),INPC!$B$4:$O$29,MONTH(S3735)+1))</f>
        <v>0</v>
      </c>
      <c r="M3735" s="463">
        <f t="shared" si="256"/>
        <v>0</v>
      </c>
      <c r="N3735" s="465">
        <f t="shared" si="257"/>
        <v>0</v>
      </c>
      <c r="O3735" s="179"/>
      <c r="P3735" s="180"/>
      <c r="Q3735" s="173"/>
      <c r="R3735" s="173"/>
      <c r="S3735" s="174"/>
      <c r="T3735" s="173"/>
      <c r="U3735" s="182"/>
      <c r="V3735" s="177">
        <f>IF(U3735=0,0,IF(T3735="MXN",1/HLOOKUP(YEAR(S3735)+(MONTH(S3735)/100),TC!$5:$37,DAY(S3735)+2,FALSE),VLOOKUP(T3735,Equivalencia!$1:$23,((MAX(Equivalencia!$3:$3)-YEAR(S3735))*14)+MONTH(S3735)+2,FALSE)))</f>
        <v>0</v>
      </c>
      <c r="W3735" s="178">
        <f t="shared" si="258"/>
        <v>0</v>
      </c>
      <c r="X3735" s="481">
        <f t="shared" si="259"/>
        <v>0</v>
      </c>
      <c r="Y3735" s="179"/>
      <c r="Z3735" s="466">
        <f t="shared" si="260"/>
        <v>0</v>
      </c>
      <c r="AA3735" s="473">
        <f t="shared" si="261"/>
        <v>0</v>
      </c>
      <c r="AB3735" s="339">
        <f t="shared" si="262"/>
        <v>0</v>
      </c>
    </row>
    <row r="3736" spans="2:28" ht="20.100000000000001" customHeight="1">
      <c r="B3736" s="172"/>
      <c r="C3736" s="174"/>
      <c r="D3736" s="181"/>
      <c r="E3736" s="173"/>
      <c r="F3736" s="176"/>
      <c r="G3736" s="175">
        <f t="shared" si="253"/>
        <v>0</v>
      </c>
      <c r="H3736" s="175">
        <f t="shared" si="254"/>
        <v>0</v>
      </c>
      <c r="I3736" s="177">
        <f>IF(G3736=0,0,IF(E3736="MXN",1/HLOOKUP(YEAR(C3736)+(MONTH(C3736)/100),TC!$5:$37,DAY(C3736)+2,FALSE),VLOOKUP(E3736,Equivalencia!$5:$23,((MAX(Equivalencia!$3:$3)-YEAR(C3736))*14)+MONTH(C3736)+2,FALSE)))</f>
        <v>0</v>
      </c>
      <c r="J3736" s="178">
        <f t="shared" si="255"/>
        <v>0</v>
      </c>
      <c r="K3736" s="462">
        <f>IF(C3736=0,0,VLOOKUP(YEAR(C3736),INPC!$B$4:$O$29,MONTH(C3736)+1))</f>
        <v>0</v>
      </c>
      <c r="L3736" s="462">
        <f>IF(S3736=0,0,VLOOKUP(YEAR(S3736),INPC!$B$4:$O$29,MONTH(S3736)+1))</f>
        <v>0</v>
      </c>
      <c r="M3736" s="463">
        <f t="shared" si="256"/>
        <v>0</v>
      </c>
      <c r="N3736" s="465">
        <f t="shared" si="257"/>
        <v>0</v>
      </c>
      <c r="O3736" s="179"/>
      <c r="P3736" s="180"/>
      <c r="Q3736" s="173"/>
      <c r="R3736" s="173"/>
      <c r="S3736" s="174"/>
      <c r="T3736" s="173"/>
      <c r="U3736" s="182"/>
      <c r="V3736" s="177">
        <f>IF(U3736=0,0,IF(T3736="MXN",1/HLOOKUP(YEAR(S3736)+(MONTH(S3736)/100),TC!$5:$37,DAY(S3736)+2,FALSE),VLOOKUP(T3736,Equivalencia!$1:$23,((MAX(Equivalencia!$3:$3)-YEAR(S3736))*14)+MONTH(S3736)+2,FALSE)))</f>
        <v>0</v>
      </c>
      <c r="W3736" s="178">
        <f t="shared" si="258"/>
        <v>0</v>
      </c>
      <c r="X3736" s="481">
        <f t="shared" si="259"/>
        <v>0</v>
      </c>
      <c r="Y3736" s="179"/>
      <c r="Z3736" s="466">
        <f t="shared" si="260"/>
        <v>0</v>
      </c>
      <c r="AA3736" s="473">
        <f t="shared" si="261"/>
        <v>0</v>
      </c>
      <c r="AB3736" s="339">
        <f t="shared" si="262"/>
        <v>0</v>
      </c>
    </row>
    <row r="3737" spans="2:28" ht="20.100000000000001" customHeight="1">
      <c r="B3737" s="172"/>
      <c r="C3737" s="174"/>
      <c r="D3737" s="181"/>
      <c r="E3737" s="173"/>
      <c r="F3737" s="176"/>
      <c r="G3737" s="175">
        <f t="shared" si="253"/>
        <v>0</v>
      </c>
      <c r="H3737" s="175">
        <f t="shared" si="254"/>
        <v>0</v>
      </c>
      <c r="I3737" s="177">
        <f>IF(G3737=0,0,IF(E3737="MXN",1/HLOOKUP(YEAR(C3737)+(MONTH(C3737)/100),TC!$5:$37,DAY(C3737)+2,FALSE),VLOOKUP(E3737,Equivalencia!$5:$23,((MAX(Equivalencia!$3:$3)-YEAR(C3737))*14)+MONTH(C3737)+2,FALSE)))</f>
        <v>0</v>
      </c>
      <c r="J3737" s="178">
        <f t="shared" si="255"/>
        <v>0</v>
      </c>
      <c r="K3737" s="462">
        <f>IF(C3737=0,0,VLOOKUP(YEAR(C3737),INPC!$B$4:$O$29,MONTH(C3737)+1))</f>
        <v>0</v>
      </c>
      <c r="L3737" s="462">
        <f>IF(S3737=0,0,VLOOKUP(YEAR(S3737),INPC!$B$4:$O$29,MONTH(S3737)+1))</f>
        <v>0</v>
      </c>
      <c r="M3737" s="463">
        <f t="shared" si="256"/>
        <v>0</v>
      </c>
      <c r="N3737" s="465">
        <f t="shared" si="257"/>
        <v>0</v>
      </c>
      <c r="O3737" s="179"/>
      <c r="P3737" s="180"/>
      <c r="Q3737" s="173"/>
      <c r="R3737" s="173"/>
      <c r="S3737" s="174"/>
      <c r="T3737" s="173"/>
      <c r="U3737" s="182"/>
      <c r="V3737" s="177">
        <f>IF(U3737=0,0,IF(T3737="MXN",1/HLOOKUP(YEAR(S3737)+(MONTH(S3737)/100),TC!$5:$37,DAY(S3737)+2,FALSE),VLOOKUP(T3737,Equivalencia!$1:$23,((MAX(Equivalencia!$3:$3)-YEAR(S3737))*14)+MONTH(S3737)+2,FALSE)))</f>
        <v>0</v>
      </c>
      <c r="W3737" s="178">
        <f t="shared" si="258"/>
        <v>0</v>
      </c>
      <c r="X3737" s="481">
        <f t="shared" si="259"/>
        <v>0</v>
      </c>
      <c r="Y3737" s="179"/>
      <c r="Z3737" s="466">
        <f t="shared" si="260"/>
        <v>0</v>
      </c>
      <c r="AA3737" s="473">
        <f t="shared" si="261"/>
        <v>0</v>
      </c>
      <c r="AB3737" s="339">
        <f t="shared" si="262"/>
        <v>0</v>
      </c>
    </row>
    <row r="3738" spans="2:28" ht="20.100000000000001" customHeight="1">
      <c r="B3738" s="172"/>
      <c r="C3738" s="174"/>
      <c r="D3738" s="181"/>
      <c r="E3738" s="173"/>
      <c r="F3738" s="176"/>
      <c r="G3738" s="175">
        <f t="shared" si="253"/>
        <v>0</v>
      </c>
      <c r="H3738" s="175">
        <f t="shared" si="254"/>
        <v>0</v>
      </c>
      <c r="I3738" s="177">
        <f>IF(G3738=0,0,IF(E3738="MXN",1/HLOOKUP(YEAR(C3738)+(MONTH(C3738)/100),TC!$5:$37,DAY(C3738)+2,FALSE),VLOOKUP(E3738,Equivalencia!$5:$23,((MAX(Equivalencia!$3:$3)-YEAR(C3738))*14)+MONTH(C3738)+2,FALSE)))</f>
        <v>0</v>
      </c>
      <c r="J3738" s="178">
        <f t="shared" si="255"/>
        <v>0</v>
      </c>
      <c r="K3738" s="462">
        <f>IF(C3738=0,0,VLOOKUP(YEAR(C3738),INPC!$B$4:$O$29,MONTH(C3738)+1))</f>
        <v>0</v>
      </c>
      <c r="L3738" s="462">
        <f>IF(S3738=0,0,VLOOKUP(YEAR(S3738),INPC!$B$4:$O$29,MONTH(S3738)+1))</f>
        <v>0</v>
      </c>
      <c r="M3738" s="463">
        <f t="shared" si="256"/>
        <v>0</v>
      </c>
      <c r="N3738" s="465">
        <f t="shared" si="257"/>
        <v>0</v>
      </c>
      <c r="O3738" s="179"/>
      <c r="P3738" s="180"/>
      <c r="Q3738" s="173"/>
      <c r="R3738" s="173"/>
      <c r="S3738" s="174"/>
      <c r="T3738" s="173"/>
      <c r="U3738" s="182"/>
      <c r="V3738" s="177">
        <f>IF(U3738=0,0,IF(T3738="MXN",1/HLOOKUP(YEAR(S3738)+(MONTH(S3738)/100),TC!$5:$37,DAY(S3738)+2,FALSE),VLOOKUP(T3738,Equivalencia!$1:$23,((MAX(Equivalencia!$3:$3)-YEAR(S3738))*14)+MONTH(S3738)+2,FALSE)))</f>
        <v>0</v>
      </c>
      <c r="W3738" s="178">
        <f t="shared" si="258"/>
        <v>0</v>
      </c>
      <c r="X3738" s="481">
        <f t="shared" si="259"/>
        <v>0</v>
      </c>
      <c r="Y3738" s="179"/>
      <c r="Z3738" s="466">
        <f t="shared" si="260"/>
        <v>0</v>
      </c>
      <c r="AA3738" s="473">
        <f t="shared" si="261"/>
        <v>0</v>
      </c>
      <c r="AB3738" s="339">
        <f t="shared" si="262"/>
        <v>0</v>
      </c>
    </row>
    <row r="3739" spans="2:28" ht="20.100000000000001" customHeight="1">
      <c r="B3739" s="172"/>
      <c r="C3739" s="174"/>
      <c r="D3739" s="181"/>
      <c r="E3739" s="173"/>
      <c r="F3739" s="176"/>
      <c r="G3739" s="175">
        <f t="shared" si="253"/>
        <v>0</v>
      </c>
      <c r="H3739" s="175">
        <f t="shared" si="254"/>
        <v>0</v>
      </c>
      <c r="I3739" s="177">
        <f>IF(G3739=0,0,IF(E3739="MXN",1/HLOOKUP(YEAR(C3739)+(MONTH(C3739)/100),TC!$5:$37,DAY(C3739)+2,FALSE),VLOOKUP(E3739,Equivalencia!$5:$23,((MAX(Equivalencia!$3:$3)-YEAR(C3739))*14)+MONTH(C3739)+2,FALSE)))</f>
        <v>0</v>
      </c>
      <c r="J3739" s="178">
        <f t="shared" si="255"/>
        <v>0</v>
      </c>
      <c r="K3739" s="462">
        <f>IF(C3739=0,0,VLOOKUP(YEAR(C3739),INPC!$B$4:$O$29,MONTH(C3739)+1))</f>
        <v>0</v>
      </c>
      <c r="L3739" s="462">
        <f>IF(S3739=0,0,VLOOKUP(YEAR(S3739),INPC!$B$4:$O$29,MONTH(S3739)+1))</f>
        <v>0</v>
      </c>
      <c r="M3739" s="463">
        <f t="shared" si="256"/>
        <v>0</v>
      </c>
      <c r="N3739" s="465">
        <f t="shared" si="257"/>
        <v>0</v>
      </c>
      <c r="O3739" s="179"/>
      <c r="P3739" s="180"/>
      <c r="Q3739" s="173"/>
      <c r="R3739" s="173"/>
      <c r="S3739" s="174"/>
      <c r="T3739" s="173"/>
      <c r="U3739" s="182"/>
      <c r="V3739" s="177">
        <f>IF(U3739=0,0,IF(T3739="MXN",1/HLOOKUP(YEAR(S3739)+(MONTH(S3739)/100),TC!$5:$37,DAY(S3739)+2,FALSE),VLOOKUP(T3739,Equivalencia!$1:$23,((MAX(Equivalencia!$3:$3)-YEAR(S3739))*14)+MONTH(S3739)+2,FALSE)))</f>
        <v>0</v>
      </c>
      <c r="W3739" s="178">
        <f t="shared" si="258"/>
        <v>0</v>
      </c>
      <c r="X3739" s="481">
        <f t="shared" si="259"/>
        <v>0</v>
      </c>
      <c r="Y3739" s="179"/>
      <c r="Z3739" s="466">
        <f t="shared" si="260"/>
        <v>0</v>
      </c>
      <c r="AA3739" s="473">
        <f t="shared" si="261"/>
        <v>0</v>
      </c>
      <c r="AB3739" s="339">
        <f t="shared" si="262"/>
        <v>0</v>
      </c>
    </row>
    <row r="3740" spans="2:28" ht="20.100000000000001" customHeight="1">
      <c r="B3740" s="172"/>
      <c r="C3740" s="174"/>
      <c r="D3740" s="181"/>
      <c r="E3740" s="173"/>
      <c r="F3740" s="176"/>
      <c r="G3740" s="175">
        <f t="shared" si="253"/>
        <v>0</v>
      </c>
      <c r="H3740" s="175">
        <f t="shared" si="254"/>
        <v>0</v>
      </c>
      <c r="I3740" s="177">
        <f>IF(G3740=0,0,IF(E3740="MXN",1/HLOOKUP(YEAR(C3740)+(MONTH(C3740)/100),TC!$5:$37,DAY(C3740)+2,FALSE),VLOOKUP(E3740,Equivalencia!$5:$23,((MAX(Equivalencia!$3:$3)-YEAR(C3740))*14)+MONTH(C3740)+2,FALSE)))</f>
        <v>0</v>
      </c>
      <c r="J3740" s="178">
        <f t="shared" si="255"/>
        <v>0</v>
      </c>
      <c r="K3740" s="462">
        <f>IF(C3740=0,0,VLOOKUP(YEAR(C3740),INPC!$B$4:$O$29,MONTH(C3740)+1))</f>
        <v>0</v>
      </c>
      <c r="L3740" s="462">
        <f>IF(S3740=0,0,VLOOKUP(YEAR(S3740),INPC!$B$4:$O$29,MONTH(S3740)+1))</f>
        <v>0</v>
      </c>
      <c r="M3740" s="463">
        <f t="shared" si="256"/>
        <v>0</v>
      </c>
      <c r="N3740" s="465">
        <f t="shared" si="257"/>
        <v>0</v>
      </c>
      <c r="O3740" s="179"/>
      <c r="P3740" s="180"/>
      <c r="Q3740" s="173"/>
      <c r="R3740" s="173"/>
      <c r="S3740" s="174"/>
      <c r="T3740" s="173"/>
      <c r="U3740" s="182"/>
      <c r="V3740" s="177">
        <f>IF(U3740=0,0,IF(T3740="MXN",1/HLOOKUP(YEAR(S3740)+(MONTH(S3740)/100),TC!$5:$37,DAY(S3740)+2,FALSE),VLOOKUP(T3740,Equivalencia!$1:$23,((MAX(Equivalencia!$3:$3)-YEAR(S3740))*14)+MONTH(S3740)+2,FALSE)))</f>
        <v>0</v>
      </c>
      <c r="W3740" s="178">
        <f t="shared" si="258"/>
        <v>0</v>
      </c>
      <c r="X3740" s="481">
        <f t="shared" si="259"/>
        <v>0</v>
      </c>
      <c r="Y3740" s="179"/>
      <c r="Z3740" s="466">
        <f t="shared" si="260"/>
        <v>0</v>
      </c>
      <c r="AA3740" s="473">
        <f t="shared" si="261"/>
        <v>0</v>
      </c>
      <c r="AB3740" s="339">
        <f t="shared" si="262"/>
        <v>0</v>
      </c>
    </row>
    <row r="3741" spans="2:28" ht="20.100000000000001" customHeight="1">
      <c r="B3741" s="172"/>
      <c r="C3741" s="174"/>
      <c r="D3741" s="181"/>
      <c r="E3741" s="173"/>
      <c r="F3741" s="176"/>
      <c r="G3741" s="175">
        <f t="shared" si="253"/>
        <v>0</v>
      </c>
      <c r="H3741" s="175">
        <f t="shared" si="254"/>
        <v>0</v>
      </c>
      <c r="I3741" s="177">
        <f>IF(G3741=0,0,IF(E3741="MXN",1/HLOOKUP(YEAR(C3741)+(MONTH(C3741)/100),TC!$5:$37,DAY(C3741)+2,FALSE),VLOOKUP(E3741,Equivalencia!$5:$23,((MAX(Equivalencia!$3:$3)-YEAR(C3741))*14)+MONTH(C3741)+2,FALSE)))</f>
        <v>0</v>
      </c>
      <c r="J3741" s="178">
        <f t="shared" si="255"/>
        <v>0</v>
      </c>
      <c r="K3741" s="462">
        <f>IF(C3741=0,0,VLOOKUP(YEAR(C3741),INPC!$B$4:$O$29,MONTH(C3741)+1))</f>
        <v>0</v>
      </c>
      <c r="L3741" s="462">
        <f>IF(S3741=0,0,VLOOKUP(YEAR(S3741),INPC!$B$4:$O$29,MONTH(S3741)+1))</f>
        <v>0</v>
      </c>
      <c r="M3741" s="463">
        <f t="shared" si="256"/>
        <v>0</v>
      </c>
      <c r="N3741" s="465">
        <f t="shared" si="257"/>
        <v>0</v>
      </c>
      <c r="O3741" s="179"/>
      <c r="P3741" s="180"/>
      <c r="Q3741" s="173"/>
      <c r="R3741" s="173"/>
      <c r="S3741" s="174"/>
      <c r="T3741" s="173"/>
      <c r="U3741" s="182"/>
      <c r="V3741" s="177">
        <f>IF(U3741=0,0,IF(T3741="MXN",1/HLOOKUP(YEAR(S3741)+(MONTH(S3741)/100),TC!$5:$37,DAY(S3741)+2,FALSE),VLOOKUP(T3741,Equivalencia!$1:$23,((MAX(Equivalencia!$3:$3)-YEAR(S3741))*14)+MONTH(S3741)+2,FALSE)))</f>
        <v>0</v>
      </c>
      <c r="W3741" s="178">
        <f t="shared" si="258"/>
        <v>0</v>
      </c>
      <c r="X3741" s="481">
        <f t="shared" si="259"/>
        <v>0</v>
      </c>
      <c r="Y3741" s="179"/>
      <c r="Z3741" s="466">
        <f t="shared" si="260"/>
        <v>0</v>
      </c>
      <c r="AA3741" s="473">
        <f t="shared" si="261"/>
        <v>0</v>
      </c>
      <c r="AB3741" s="339">
        <f t="shared" si="262"/>
        <v>0</v>
      </c>
    </row>
    <row r="3742" spans="2:28" ht="20.100000000000001" customHeight="1">
      <c r="B3742" s="172"/>
      <c r="C3742" s="174"/>
      <c r="D3742" s="181"/>
      <c r="E3742" s="173"/>
      <c r="F3742" s="176"/>
      <c r="G3742" s="175">
        <f t="shared" si="253"/>
        <v>0</v>
      </c>
      <c r="H3742" s="175">
        <f t="shared" si="254"/>
        <v>0</v>
      </c>
      <c r="I3742" s="177">
        <f>IF(G3742=0,0,IF(E3742="MXN",1/HLOOKUP(YEAR(C3742)+(MONTH(C3742)/100),TC!$5:$37,DAY(C3742)+2,FALSE),VLOOKUP(E3742,Equivalencia!$5:$23,((MAX(Equivalencia!$3:$3)-YEAR(C3742))*14)+MONTH(C3742)+2,FALSE)))</f>
        <v>0</v>
      </c>
      <c r="J3742" s="178">
        <f t="shared" si="255"/>
        <v>0</v>
      </c>
      <c r="K3742" s="462">
        <f>IF(C3742=0,0,VLOOKUP(YEAR(C3742),INPC!$B$4:$O$29,MONTH(C3742)+1))</f>
        <v>0</v>
      </c>
      <c r="L3742" s="462">
        <f>IF(S3742=0,0,VLOOKUP(YEAR(S3742),INPC!$B$4:$O$29,MONTH(S3742)+1))</f>
        <v>0</v>
      </c>
      <c r="M3742" s="463">
        <f t="shared" si="256"/>
        <v>0</v>
      </c>
      <c r="N3742" s="465">
        <f t="shared" si="257"/>
        <v>0</v>
      </c>
      <c r="O3742" s="179"/>
      <c r="P3742" s="180"/>
      <c r="Q3742" s="173"/>
      <c r="R3742" s="173"/>
      <c r="S3742" s="174"/>
      <c r="T3742" s="173"/>
      <c r="U3742" s="182"/>
      <c r="V3742" s="177">
        <f>IF(U3742=0,0,IF(T3742="MXN",1/HLOOKUP(YEAR(S3742)+(MONTH(S3742)/100),TC!$5:$37,DAY(S3742)+2,FALSE),VLOOKUP(T3742,Equivalencia!$1:$23,((MAX(Equivalencia!$3:$3)-YEAR(S3742))*14)+MONTH(S3742)+2,FALSE)))</f>
        <v>0</v>
      </c>
      <c r="W3742" s="178">
        <f t="shared" si="258"/>
        <v>0</v>
      </c>
      <c r="X3742" s="481">
        <f t="shared" si="259"/>
        <v>0</v>
      </c>
      <c r="Y3742" s="179"/>
      <c r="Z3742" s="466">
        <f t="shared" si="260"/>
        <v>0</v>
      </c>
      <c r="AA3742" s="473">
        <f t="shared" si="261"/>
        <v>0</v>
      </c>
      <c r="AB3742" s="339">
        <f t="shared" si="262"/>
        <v>0</v>
      </c>
    </row>
    <row r="3743" spans="2:28" ht="20.100000000000001" customHeight="1">
      <c r="B3743" s="172"/>
      <c r="C3743" s="174"/>
      <c r="D3743" s="181"/>
      <c r="E3743" s="173"/>
      <c r="F3743" s="176"/>
      <c r="G3743" s="175">
        <f t="shared" si="253"/>
        <v>0</v>
      </c>
      <c r="H3743" s="175">
        <f t="shared" si="254"/>
        <v>0</v>
      </c>
      <c r="I3743" s="177">
        <f>IF(G3743=0,0,IF(E3743="MXN",1/HLOOKUP(YEAR(C3743)+(MONTH(C3743)/100),TC!$5:$37,DAY(C3743)+2,FALSE),VLOOKUP(E3743,Equivalencia!$5:$23,((MAX(Equivalencia!$3:$3)-YEAR(C3743))*14)+MONTH(C3743)+2,FALSE)))</f>
        <v>0</v>
      </c>
      <c r="J3743" s="178">
        <f t="shared" si="255"/>
        <v>0</v>
      </c>
      <c r="K3743" s="462">
        <f>IF(C3743=0,0,VLOOKUP(YEAR(C3743),INPC!$B$4:$O$29,MONTH(C3743)+1))</f>
        <v>0</v>
      </c>
      <c r="L3743" s="462">
        <f>IF(S3743=0,0,VLOOKUP(YEAR(S3743),INPC!$B$4:$O$29,MONTH(S3743)+1))</f>
        <v>0</v>
      </c>
      <c r="M3743" s="463">
        <f t="shared" si="256"/>
        <v>0</v>
      </c>
      <c r="N3743" s="465">
        <f t="shared" si="257"/>
        <v>0</v>
      </c>
      <c r="O3743" s="179"/>
      <c r="P3743" s="180"/>
      <c r="Q3743" s="173"/>
      <c r="R3743" s="173"/>
      <c r="S3743" s="174"/>
      <c r="T3743" s="173"/>
      <c r="U3743" s="182"/>
      <c r="V3743" s="177">
        <f>IF(U3743=0,0,IF(T3743="MXN",1/HLOOKUP(YEAR(S3743)+(MONTH(S3743)/100),TC!$5:$37,DAY(S3743)+2,FALSE),VLOOKUP(T3743,Equivalencia!$1:$23,((MAX(Equivalencia!$3:$3)-YEAR(S3743))*14)+MONTH(S3743)+2,FALSE)))</f>
        <v>0</v>
      </c>
      <c r="W3743" s="178">
        <f t="shared" si="258"/>
        <v>0</v>
      </c>
      <c r="X3743" s="481">
        <f t="shared" si="259"/>
        <v>0</v>
      </c>
      <c r="Y3743" s="179"/>
      <c r="Z3743" s="466">
        <f t="shared" si="260"/>
        <v>0</v>
      </c>
      <c r="AA3743" s="473">
        <f t="shared" si="261"/>
        <v>0</v>
      </c>
      <c r="AB3743" s="339">
        <f t="shared" si="262"/>
        <v>0</v>
      </c>
    </row>
    <row r="3744" spans="2:28" ht="20.100000000000001" customHeight="1">
      <c r="B3744" s="172"/>
      <c r="C3744" s="174"/>
      <c r="D3744" s="181"/>
      <c r="E3744" s="173"/>
      <c r="F3744" s="176"/>
      <c r="G3744" s="175">
        <f t="shared" si="253"/>
        <v>0</v>
      </c>
      <c r="H3744" s="175">
        <f t="shared" si="254"/>
        <v>0</v>
      </c>
      <c r="I3744" s="177">
        <f>IF(G3744=0,0,IF(E3744="MXN",1/HLOOKUP(YEAR(C3744)+(MONTH(C3744)/100),TC!$5:$37,DAY(C3744)+2,FALSE),VLOOKUP(E3744,Equivalencia!$5:$23,((MAX(Equivalencia!$3:$3)-YEAR(C3744))*14)+MONTH(C3744)+2,FALSE)))</f>
        <v>0</v>
      </c>
      <c r="J3744" s="178">
        <f t="shared" si="255"/>
        <v>0</v>
      </c>
      <c r="K3744" s="462">
        <f>IF(C3744=0,0,VLOOKUP(YEAR(C3744),INPC!$B$4:$O$29,MONTH(C3744)+1))</f>
        <v>0</v>
      </c>
      <c r="L3744" s="462">
        <f>IF(S3744=0,0,VLOOKUP(YEAR(S3744),INPC!$B$4:$O$29,MONTH(S3744)+1))</f>
        <v>0</v>
      </c>
      <c r="M3744" s="463">
        <f t="shared" si="256"/>
        <v>0</v>
      </c>
      <c r="N3744" s="465">
        <f t="shared" si="257"/>
        <v>0</v>
      </c>
      <c r="O3744" s="179"/>
      <c r="P3744" s="180"/>
      <c r="Q3744" s="173"/>
      <c r="R3744" s="173"/>
      <c r="S3744" s="174"/>
      <c r="T3744" s="173"/>
      <c r="U3744" s="182"/>
      <c r="V3744" s="177">
        <f>IF(U3744=0,0,IF(T3744="MXN",1/HLOOKUP(YEAR(S3744)+(MONTH(S3744)/100),TC!$5:$37,DAY(S3744)+2,FALSE),VLOOKUP(T3744,Equivalencia!$1:$23,((MAX(Equivalencia!$3:$3)-YEAR(S3744))*14)+MONTH(S3744)+2,FALSE)))</f>
        <v>0</v>
      </c>
      <c r="W3744" s="178">
        <f t="shared" si="258"/>
        <v>0</v>
      </c>
      <c r="X3744" s="481">
        <f t="shared" si="259"/>
        <v>0</v>
      </c>
      <c r="Y3744" s="179"/>
      <c r="Z3744" s="466">
        <f t="shared" si="260"/>
        <v>0</v>
      </c>
      <c r="AA3744" s="473">
        <f t="shared" si="261"/>
        <v>0</v>
      </c>
      <c r="AB3744" s="339">
        <f t="shared" si="262"/>
        <v>0</v>
      </c>
    </row>
    <row r="3745" spans="2:28" ht="20.100000000000001" customHeight="1">
      <c r="B3745" s="172"/>
      <c r="C3745" s="174"/>
      <c r="D3745" s="181"/>
      <c r="E3745" s="173"/>
      <c r="F3745" s="176"/>
      <c r="G3745" s="175">
        <f t="shared" si="253"/>
        <v>0</v>
      </c>
      <c r="H3745" s="175">
        <f t="shared" si="254"/>
        <v>0</v>
      </c>
      <c r="I3745" s="177">
        <f>IF(G3745=0,0,IF(E3745="MXN",1/HLOOKUP(YEAR(C3745)+(MONTH(C3745)/100),TC!$5:$37,DAY(C3745)+2,FALSE),VLOOKUP(E3745,Equivalencia!$5:$23,((MAX(Equivalencia!$3:$3)-YEAR(C3745))*14)+MONTH(C3745)+2,FALSE)))</f>
        <v>0</v>
      </c>
      <c r="J3745" s="178">
        <f t="shared" si="255"/>
        <v>0</v>
      </c>
      <c r="K3745" s="462">
        <f>IF(C3745=0,0,VLOOKUP(YEAR(C3745),INPC!$B$4:$O$29,MONTH(C3745)+1))</f>
        <v>0</v>
      </c>
      <c r="L3745" s="462">
        <f>IF(S3745=0,0,VLOOKUP(YEAR(S3745),INPC!$B$4:$O$29,MONTH(S3745)+1))</f>
        <v>0</v>
      </c>
      <c r="M3745" s="463">
        <f t="shared" si="256"/>
        <v>0</v>
      </c>
      <c r="N3745" s="465">
        <f t="shared" si="257"/>
        <v>0</v>
      </c>
      <c r="O3745" s="179"/>
      <c r="P3745" s="180"/>
      <c r="Q3745" s="173"/>
      <c r="R3745" s="173"/>
      <c r="S3745" s="174"/>
      <c r="T3745" s="173"/>
      <c r="U3745" s="182"/>
      <c r="V3745" s="177">
        <f>IF(U3745=0,0,IF(T3745="MXN",1/HLOOKUP(YEAR(S3745)+(MONTH(S3745)/100),TC!$5:$37,DAY(S3745)+2,FALSE),VLOOKUP(T3745,Equivalencia!$1:$23,((MAX(Equivalencia!$3:$3)-YEAR(S3745))*14)+MONTH(S3745)+2,FALSE)))</f>
        <v>0</v>
      </c>
      <c r="W3745" s="178">
        <f t="shared" si="258"/>
        <v>0</v>
      </c>
      <c r="X3745" s="481">
        <f t="shared" si="259"/>
        <v>0</v>
      </c>
      <c r="Y3745" s="179"/>
      <c r="Z3745" s="466">
        <f t="shared" si="260"/>
        <v>0</v>
      </c>
      <c r="AA3745" s="473">
        <f t="shared" si="261"/>
        <v>0</v>
      </c>
      <c r="AB3745" s="339">
        <f t="shared" si="262"/>
        <v>0</v>
      </c>
    </row>
    <row r="3746" spans="2:28" ht="20.100000000000001" customHeight="1">
      <c r="B3746" s="172"/>
      <c r="C3746" s="174"/>
      <c r="D3746" s="181"/>
      <c r="E3746" s="173"/>
      <c r="F3746" s="176"/>
      <c r="G3746" s="175">
        <f t="shared" si="253"/>
        <v>0</v>
      </c>
      <c r="H3746" s="175">
        <f t="shared" si="254"/>
        <v>0</v>
      </c>
      <c r="I3746" s="177">
        <f>IF(G3746=0,0,IF(E3746="MXN",1/HLOOKUP(YEAR(C3746)+(MONTH(C3746)/100),TC!$5:$37,DAY(C3746)+2,FALSE),VLOOKUP(E3746,Equivalencia!$5:$23,((MAX(Equivalencia!$3:$3)-YEAR(C3746))*14)+MONTH(C3746)+2,FALSE)))</f>
        <v>0</v>
      </c>
      <c r="J3746" s="178">
        <f t="shared" si="255"/>
        <v>0</v>
      </c>
      <c r="K3746" s="462">
        <f>IF(C3746=0,0,VLOOKUP(YEAR(C3746),INPC!$B$4:$O$29,MONTH(C3746)+1))</f>
        <v>0</v>
      </c>
      <c r="L3746" s="462">
        <f>IF(S3746=0,0,VLOOKUP(YEAR(S3746),INPC!$B$4:$O$29,MONTH(S3746)+1))</f>
        <v>0</v>
      </c>
      <c r="M3746" s="463">
        <f t="shared" si="256"/>
        <v>0</v>
      </c>
      <c r="N3746" s="465">
        <f t="shared" si="257"/>
        <v>0</v>
      </c>
      <c r="O3746" s="179"/>
      <c r="P3746" s="180"/>
      <c r="Q3746" s="173"/>
      <c r="R3746" s="173"/>
      <c r="S3746" s="174"/>
      <c r="T3746" s="173"/>
      <c r="U3746" s="182"/>
      <c r="V3746" s="177">
        <f>IF(U3746=0,0,IF(T3746="MXN",1/HLOOKUP(YEAR(S3746)+(MONTH(S3746)/100),TC!$5:$37,DAY(S3746)+2,FALSE),VLOOKUP(T3746,Equivalencia!$1:$23,((MAX(Equivalencia!$3:$3)-YEAR(S3746))*14)+MONTH(S3746)+2,FALSE)))</f>
        <v>0</v>
      </c>
      <c r="W3746" s="178">
        <f t="shared" si="258"/>
        <v>0</v>
      </c>
      <c r="X3746" s="481">
        <f t="shared" si="259"/>
        <v>0</v>
      </c>
      <c r="Y3746" s="179"/>
      <c r="Z3746" s="466">
        <f t="shared" si="260"/>
        <v>0</v>
      </c>
      <c r="AA3746" s="473">
        <f t="shared" si="261"/>
        <v>0</v>
      </c>
      <c r="AB3746" s="339">
        <f t="shared" si="262"/>
        <v>0</v>
      </c>
    </row>
    <row r="3747" spans="2:28" ht="20.100000000000001" customHeight="1">
      <c r="B3747" s="172"/>
      <c r="C3747" s="174"/>
      <c r="D3747" s="181"/>
      <c r="E3747" s="173"/>
      <c r="F3747" s="176"/>
      <c r="G3747" s="175">
        <f t="shared" si="253"/>
        <v>0</v>
      </c>
      <c r="H3747" s="175">
        <f t="shared" si="254"/>
        <v>0</v>
      </c>
      <c r="I3747" s="177">
        <f>IF(G3747=0,0,IF(E3747="MXN",1/HLOOKUP(YEAR(C3747)+(MONTH(C3747)/100),TC!$5:$37,DAY(C3747)+2,FALSE),VLOOKUP(E3747,Equivalencia!$5:$23,((MAX(Equivalencia!$3:$3)-YEAR(C3747))*14)+MONTH(C3747)+2,FALSE)))</f>
        <v>0</v>
      </c>
      <c r="J3747" s="178">
        <f t="shared" si="255"/>
        <v>0</v>
      </c>
      <c r="K3747" s="462">
        <f>IF(C3747=0,0,VLOOKUP(YEAR(C3747),INPC!$B$4:$O$29,MONTH(C3747)+1))</f>
        <v>0</v>
      </c>
      <c r="L3747" s="462">
        <f>IF(S3747=0,0,VLOOKUP(YEAR(S3747),INPC!$B$4:$O$29,MONTH(S3747)+1))</f>
        <v>0</v>
      </c>
      <c r="M3747" s="463">
        <f t="shared" si="256"/>
        <v>0</v>
      </c>
      <c r="N3747" s="465">
        <f t="shared" si="257"/>
        <v>0</v>
      </c>
      <c r="O3747" s="179"/>
      <c r="P3747" s="180"/>
      <c r="Q3747" s="173"/>
      <c r="R3747" s="173"/>
      <c r="S3747" s="174"/>
      <c r="T3747" s="173"/>
      <c r="U3747" s="182"/>
      <c r="V3747" s="177">
        <f>IF(U3747=0,0,IF(T3747="MXN",1/HLOOKUP(YEAR(S3747)+(MONTH(S3747)/100),TC!$5:$37,DAY(S3747)+2,FALSE),VLOOKUP(T3747,Equivalencia!$1:$23,((MAX(Equivalencia!$3:$3)-YEAR(S3747))*14)+MONTH(S3747)+2,FALSE)))</f>
        <v>0</v>
      </c>
      <c r="W3747" s="178">
        <f t="shared" si="258"/>
        <v>0</v>
      </c>
      <c r="X3747" s="481">
        <f t="shared" si="259"/>
        <v>0</v>
      </c>
      <c r="Y3747" s="179"/>
      <c r="Z3747" s="466">
        <f t="shared" si="260"/>
        <v>0</v>
      </c>
      <c r="AA3747" s="473">
        <f t="shared" si="261"/>
        <v>0</v>
      </c>
      <c r="AB3747" s="339">
        <f t="shared" si="262"/>
        <v>0</v>
      </c>
    </row>
    <row r="3748" spans="2:28" ht="20.100000000000001" customHeight="1">
      <c r="B3748" s="172"/>
      <c r="C3748" s="174"/>
      <c r="D3748" s="181"/>
      <c r="E3748" s="173"/>
      <c r="F3748" s="176"/>
      <c r="G3748" s="175">
        <f t="shared" si="253"/>
        <v>0</v>
      </c>
      <c r="H3748" s="175">
        <f t="shared" si="254"/>
        <v>0</v>
      </c>
      <c r="I3748" s="177">
        <f>IF(G3748=0,0,IF(E3748="MXN",1/HLOOKUP(YEAR(C3748)+(MONTH(C3748)/100),TC!$5:$37,DAY(C3748)+2,FALSE),VLOOKUP(E3748,Equivalencia!$5:$23,((MAX(Equivalencia!$3:$3)-YEAR(C3748))*14)+MONTH(C3748)+2,FALSE)))</f>
        <v>0</v>
      </c>
      <c r="J3748" s="178">
        <f t="shared" si="255"/>
        <v>0</v>
      </c>
      <c r="K3748" s="462">
        <f>IF(C3748=0,0,VLOOKUP(YEAR(C3748),INPC!$B$4:$O$29,MONTH(C3748)+1))</f>
        <v>0</v>
      </c>
      <c r="L3748" s="462">
        <f>IF(S3748=0,0,VLOOKUP(YEAR(S3748),INPC!$B$4:$O$29,MONTH(S3748)+1))</f>
        <v>0</v>
      </c>
      <c r="M3748" s="463">
        <f t="shared" si="256"/>
        <v>0</v>
      </c>
      <c r="N3748" s="465">
        <f t="shared" si="257"/>
        <v>0</v>
      </c>
      <c r="O3748" s="179"/>
      <c r="P3748" s="180"/>
      <c r="Q3748" s="173"/>
      <c r="R3748" s="173"/>
      <c r="S3748" s="174"/>
      <c r="T3748" s="173"/>
      <c r="U3748" s="182"/>
      <c r="V3748" s="177">
        <f>IF(U3748=0,0,IF(T3748="MXN",1/HLOOKUP(YEAR(S3748)+(MONTH(S3748)/100),TC!$5:$37,DAY(S3748)+2,FALSE),VLOOKUP(T3748,Equivalencia!$1:$23,((MAX(Equivalencia!$3:$3)-YEAR(S3748))*14)+MONTH(S3748)+2,FALSE)))</f>
        <v>0</v>
      </c>
      <c r="W3748" s="178">
        <f t="shared" si="258"/>
        <v>0</v>
      </c>
      <c r="X3748" s="481">
        <f t="shared" si="259"/>
        <v>0</v>
      </c>
      <c r="Y3748" s="179"/>
      <c r="Z3748" s="466">
        <f t="shared" si="260"/>
        <v>0</v>
      </c>
      <c r="AA3748" s="473">
        <f t="shared" si="261"/>
        <v>0</v>
      </c>
      <c r="AB3748" s="339">
        <f t="shared" si="262"/>
        <v>0</v>
      </c>
    </row>
    <row r="3749" spans="2:28" ht="20.100000000000001" customHeight="1">
      <c r="B3749" s="172"/>
      <c r="C3749" s="174"/>
      <c r="D3749" s="181"/>
      <c r="E3749" s="173"/>
      <c r="F3749" s="176"/>
      <c r="G3749" s="175">
        <f t="shared" si="253"/>
        <v>0</v>
      </c>
      <c r="H3749" s="175">
        <f t="shared" si="254"/>
        <v>0</v>
      </c>
      <c r="I3749" s="177">
        <f>IF(G3749=0,0,IF(E3749="MXN",1/HLOOKUP(YEAR(C3749)+(MONTH(C3749)/100),TC!$5:$37,DAY(C3749)+2,FALSE),VLOOKUP(E3749,Equivalencia!$5:$23,((MAX(Equivalencia!$3:$3)-YEAR(C3749))*14)+MONTH(C3749)+2,FALSE)))</f>
        <v>0</v>
      </c>
      <c r="J3749" s="178">
        <f t="shared" si="255"/>
        <v>0</v>
      </c>
      <c r="K3749" s="462">
        <f>IF(C3749=0,0,VLOOKUP(YEAR(C3749),INPC!$B$4:$O$29,MONTH(C3749)+1))</f>
        <v>0</v>
      </c>
      <c r="L3749" s="462">
        <f>IF(S3749=0,0,VLOOKUP(YEAR(S3749),INPC!$B$4:$O$29,MONTH(S3749)+1))</f>
        <v>0</v>
      </c>
      <c r="M3749" s="463">
        <f t="shared" si="256"/>
        <v>0</v>
      </c>
      <c r="N3749" s="465">
        <f t="shared" si="257"/>
        <v>0</v>
      </c>
      <c r="O3749" s="179"/>
      <c r="P3749" s="180"/>
      <c r="Q3749" s="173"/>
      <c r="R3749" s="173"/>
      <c r="S3749" s="174"/>
      <c r="T3749" s="173"/>
      <c r="U3749" s="182"/>
      <c r="V3749" s="177">
        <f>IF(U3749=0,0,IF(T3749="MXN",1/HLOOKUP(YEAR(S3749)+(MONTH(S3749)/100),TC!$5:$37,DAY(S3749)+2,FALSE),VLOOKUP(T3749,Equivalencia!$1:$23,((MAX(Equivalencia!$3:$3)-YEAR(S3749))*14)+MONTH(S3749)+2,FALSE)))</f>
        <v>0</v>
      </c>
      <c r="W3749" s="178">
        <f t="shared" si="258"/>
        <v>0</v>
      </c>
      <c r="X3749" s="481">
        <f t="shared" si="259"/>
        <v>0</v>
      </c>
      <c r="Y3749" s="179"/>
      <c r="Z3749" s="466">
        <f t="shared" si="260"/>
        <v>0</v>
      </c>
      <c r="AA3749" s="473">
        <f t="shared" si="261"/>
        <v>0</v>
      </c>
      <c r="AB3749" s="339">
        <f t="shared" si="262"/>
        <v>0</v>
      </c>
    </row>
    <row r="3750" spans="2:28" ht="20.100000000000001" customHeight="1">
      <c r="B3750" s="172"/>
      <c r="C3750" s="174"/>
      <c r="D3750" s="181"/>
      <c r="E3750" s="173"/>
      <c r="F3750" s="176"/>
      <c r="G3750" s="175">
        <f t="shared" si="253"/>
        <v>0</v>
      </c>
      <c r="H3750" s="175">
        <f t="shared" si="254"/>
        <v>0</v>
      </c>
      <c r="I3750" s="177">
        <f>IF(G3750=0,0,IF(E3750="MXN",1/HLOOKUP(YEAR(C3750)+(MONTH(C3750)/100),TC!$5:$37,DAY(C3750)+2,FALSE),VLOOKUP(E3750,Equivalencia!$5:$23,((MAX(Equivalencia!$3:$3)-YEAR(C3750))*14)+MONTH(C3750)+2,FALSE)))</f>
        <v>0</v>
      </c>
      <c r="J3750" s="178">
        <f t="shared" si="255"/>
        <v>0</v>
      </c>
      <c r="K3750" s="462">
        <f>IF(C3750=0,0,VLOOKUP(YEAR(C3750),INPC!$B$4:$O$29,MONTH(C3750)+1))</f>
        <v>0</v>
      </c>
      <c r="L3750" s="462">
        <f>IF(S3750=0,0,VLOOKUP(YEAR(S3750),INPC!$B$4:$O$29,MONTH(S3750)+1))</f>
        <v>0</v>
      </c>
      <c r="M3750" s="463">
        <f t="shared" si="256"/>
        <v>0</v>
      </c>
      <c r="N3750" s="465">
        <f t="shared" si="257"/>
        <v>0</v>
      </c>
      <c r="O3750" s="179"/>
      <c r="P3750" s="180"/>
      <c r="Q3750" s="173"/>
      <c r="R3750" s="173"/>
      <c r="S3750" s="174"/>
      <c r="T3750" s="173"/>
      <c r="U3750" s="182"/>
      <c r="V3750" s="177">
        <f>IF(U3750=0,0,IF(T3750="MXN",1/HLOOKUP(YEAR(S3750)+(MONTH(S3750)/100),TC!$5:$37,DAY(S3750)+2,FALSE),VLOOKUP(T3750,Equivalencia!$1:$23,((MAX(Equivalencia!$3:$3)-YEAR(S3750))*14)+MONTH(S3750)+2,FALSE)))</f>
        <v>0</v>
      </c>
      <c r="W3750" s="178">
        <f t="shared" si="258"/>
        <v>0</v>
      </c>
      <c r="X3750" s="481">
        <f t="shared" si="259"/>
        <v>0</v>
      </c>
      <c r="Y3750" s="179"/>
      <c r="Z3750" s="466">
        <f t="shared" si="260"/>
        <v>0</v>
      </c>
      <c r="AA3750" s="473">
        <f t="shared" si="261"/>
        <v>0</v>
      </c>
      <c r="AB3750" s="339">
        <f t="shared" si="262"/>
        <v>0</v>
      </c>
    </row>
    <row r="3751" spans="2:28" ht="20.100000000000001" customHeight="1">
      <c r="B3751" s="172"/>
      <c r="C3751" s="174"/>
      <c r="D3751" s="181"/>
      <c r="E3751" s="173"/>
      <c r="F3751" s="176"/>
      <c r="G3751" s="175">
        <f t="shared" si="253"/>
        <v>0</v>
      </c>
      <c r="H3751" s="175">
        <f t="shared" si="254"/>
        <v>0</v>
      </c>
      <c r="I3751" s="177">
        <f>IF(G3751=0,0,IF(E3751="MXN",1/HLOOKUP(YEAR(C3751)+(MONTH(C3751)/100),TC!$5:$37,DAY(C3751)+2,FALSE),VLOOKUP(E3751,Equivalencia!$5:$23,((MAX(Equivalencia!$3:$3)-YEAR(C3751))*14)+MONTH(C3751)+2,FALSE)))</f>
        <v>0</v>
      </c>
      <c r="J3751" s="178">
        <f t="shared" si="255"/>
        <v>0</v>
      </c>
      <c r="K3751" s="462">
        <f>IF(C3751=0,0,VLOOKUP(YEAR(C3751),INPC!$B$4:$O$29,MONTH(C3751)+1))</f>
        <v>0</v>
      </c>
      <c r="L3751" s="462">
        <f>IF(S3751=0,0,VLOOKUP(YEAR(S3751),INPC!$B$4:$O$29,MONTH(S3751)+1))</f>
        <v>0</v>
      </c>
      <c r="M3751" s="463">
        <f t="shared" si="256"/>
        <v>0</v>
      </c>
      <c r="N3751" s="465">
        <f t="shared" si="257"/>
        <v>0</v>
      </c>
      <c r="O3751" s="179"/>
      <c r="P3751" s="180"/>
      <c r="Q3751" s="173"/>
      <c r="R3751" s="173"/>
      <c r="S3751" s="174"/>
      <c r="T3751" s="173"/>
      <c r="U3751" s="182"/>
      <c r="V3751" s="177">
        <f>IF(U3751=0,0,IF(T3751="MXN",1/HLOOKUP(YEAR(S3751)+(MONTH(S3751)/100),TC!$5:$37,DAY(S3751)+2,FALSE),VLOOKUP(T3751,Equivalencia!$1:$23,((MAX(Equivalencia!$3:$3)-YEAR(S3751))*14)+MONTH(S3751)+2,FALSE)))</f>
        <v>0</v>
      </c>
      <c r="W3751" s="178">
        <f t="shared" si="258"/>
        <v>0</v>
      </c>
      <c r="X3751" s="481">
        <f t="shared" si="259"/>
        <v>0</v>
      </c>
      <c r="Y3751" s="179"/>
      <c r="Z3751" s="466">
        <f t="shared" si="260"/>
        <v>0</v>
      </c>
      <c r="AA3751" s="473">
        <f t="shared" si="261"/>
        <v>0</v>
      </c>
      <c r="AB3751" s="339">
        <f t="shared" si="262"/>
        <v>0</v>
      </c>
    </row>
    <row r="3752" spans="2:28" ht="20.100000000000001" customHeight="1">
      <c r="B3752" s="172"/>
      <c r="C3752" s="174"/>
      <c r="D3752" s="181"/>
      <c r="E3752" s="173"/>
      <c r="F3752" s="176"/>
      <c r="G3752" s="175">
        <f t="shared" si="253"/>
        <v>0</v>
      </c>
      <c r="H3752" s="175">
        <f t="shared" si="254"/>
        <v>0</v>
      </c>
      <c r="I3752" s="177">
        <f>IF(G3752=0,0,IF(E3752="MXN",1/HLOOKUP(YEAR(C3752)+(MONTH(C3752)/100),TC!$5:$37,DAY(C3752)+2,FALSE),VLOOKUP(E3752,Equivalencia!$5:$23,((MAX(Equivalencia!$3:$3)-YEAR(C3752))*14)+MONTH(C3752)+2,FALSE)))</f>
        <v>0</v>
      </c>
      <c r="J3752" s="178">
        <f t="shared" si="255"/>
        <v>0</v>
      </c>
      <c r="K3752" s="462">
        <f>IF(C3752=0,0,VLOOKUP(YEAR(C3752),INPC!$B$4:$O$29,MONTH(C3752)+1))</f>
        <v>0</v>
      </c>
      <c r="L3752" s="462">
        <f>IF(S3752=0,0,VLOOKUP(YEAR(S3752),INPC!$B$4:$O$29,MONTH(S3752)+1))</f>
        <v>0</v>
      </c>
      <c r="M3752" s="463">
        <f t="shared" si="256"/>
        <v>0</v>
      </c>
      <c r="N3752" s="465">
        <f t="shared" si="257"/>
        <v>0</v>
      </c>
      <c r="O3752" s="179"/>
      <c r="P3752" s="180"/>
      <c r="Q3752" s="173"/>
      <c r="R3752" s="173"/>
      <c r="S3752" s="174"/>
      <c r="T3752" s="173"/>
      <c r="U3752" s="182"/>
      <c r="V3752" s="177">
        <f>IF(U3752=0,0,IF(T3752="MXN",1/HLOOKUP(YEAR(S3752)+(MONTH(S3752)/100),TC!$5:$37,DAY(S3752)+2,FALSE),VLOOKUP(T3752,Equivalencia!$1:$23,((MAX(Equivalencia!$3:$3)-YEAR(S3752))*14)+MONTH(S3752)+2,FALSE)))</f>
        <v>0</v>
      </c>
      <c r="W3752" s="178">
        <f t="shared" si="258"/>
        <v>0</v>
      </c>
      <c r="X3752" s="481">
        <f t="shared" si="259"/>
        <v>0</v>
      </c>
      <c r="Y3752" s="179"/>
      <c r="Z3752" s="466">
        <f t="shared" si="260"/>
        <v>0</v>
      </c>
      <c r="AA3752" s="473">
        <f t="shared" si="261"/>
        <v>0</v>
      </c>
      <c r="AB3752" s="339">
        <f t="shared" si="262"/>
        <v>0</v>
      </c>
    </row>
    <row r="3753" spans="2:28" ht="20.100000000000001" customHeight="1">
      <c r="B3753" s="172"/>
      <c r="C3753" s="174"/>
      <c r="D3753" s="181"/>
      <c r="E3753" s="173"/>
      <c r="F3753" s="176"/>
      <c r="G3753" s="175">
        <f t="shared" si="253"/>
        <v>0</v>
      </c>
      <c r="H3753" s="175">
        <f t="shared" si="254"/>
        <v>0</v>
      </c>
      <c r="I3753" s="177">
        <f>IF(G3753=0,0,IF(E3753="MXN",1/HLOOKUP(YEAR(C3753)+(MONTH(C3753)/100),TC!$5:$37,DAY(C3753)+2,FALSE),VLOOKUP(E3753,Equivalencia!$5:$23,((MAX(Equivalencia!$3:$3)-YEAR(C3753))*14)+MONTH(C3753)+2,FALSE)))</f>
        <v>0</v>
      </c>
      <c r="J3753" s="178">
        <f t="shared" si="255"/>
        <v>0</v>
      </c>
      <c r="K3753" s="462">
        <f>IF(C3753=0,0,VLOOKUP(YEAR(C3753),INPC!$B$4:$O$29,MONTH(C3753)+1))</f>
        <v>0</v>
      </c>
      <c r="L3753" s="462">
        <f>IF(S3753=0,0,VLOOKUP(YEAR(S3753),INPC!$B$4:$O$29,MONTH(S3753)+1))</f>
        <v>0</v>
      </c>
      <c r="M3753" s="463">
        <f t="shared" si="256"/>
        <v>0</v>
      </c>
      <c r="N3753" s="465">
        <f t="shared" si="257"/>
        <v>0</v>
      </c>
      <c r="O3753" s="179"/>
      <c r="P3753" s="180"/>
      <c r="Q3753" s="173"/>
      <c r="R3753" s="173"/>
      <c r="S3753" s="174"/>
      <c r="T3753" s="173"/>
      <c r="U3753" s="182"/>
      <c r="V3753" s="177">
        <f>IF(U3753=0,0,IF(T3753="MXN",1/HLOOKUP(YEAR(S3753)+(MONTH(S3753)/100),TC!$5:$37,DAY(S3753)+2,FALSE),VLOOKUP(T3753,Equivalencia!$1:$23,((MAX(Equivalencia!$3:$3)-YEAR(S3753))*14)+MONTH(S3753)+2,FALSE)))</f>
        <v>0</v>
      </c>
      <c r="W3753" s="178">
        <f t="shared" si="258"/>
        <v>0</v>
      </c>
      <c r="X3753" s="481">
        <f t="shared" si="259"/>
        <v>0</v>
      </c>
      <c r="Y3753" s="179"/>
      <c r="Z3753" s="466">
        <f t="shared" si="260"/>
        <v>0</v>
      </c>
      <c r="AA3753" s="473">
        <f t="shared" si="261"/>
        <v>0</v>
      </c>
      <c r="AB3753" s="339">
        <f t="shared" si="262"/>
        <v>0</v>
      </c>
    </row>
    <row r="3754" spans="2:28" ht="20.100000000000001" customHeight="1">
      <c r="B3754" s="172"/>
      <c r="C3754" s="174"/>
      <c r="D3754" s="181"/>
      <c r="E3754" s="173"/>
      <c r="F3754" s="176"/>
      <c r="G3754" s="175">
        <f t="shared" si="253"/>
        <v>0</v>
      </c>
      <c r="H3754" s="175">
        <f t="shared" si="254"/>
        <v>0</v>
      </c>
      <c r="I3754" s="177">
        <f>IF(G3754=0,0,IF(E3754="MXN",1/HLOOKUP(YEAR(C3754)+(MONTH(C3754)/100),TC!$5:$37,DAY(C3754)+2,FALSE),VLOOKUP(E3754,Equivalencia!$5:$23,((MAX(Equivalencia!$3:$3)-YEAR(C3754))*14)+MONTH(C3754)+2,FALSE)))</f>
        <v>0</v>
      </c>
      <c r="J3754" s="178">
        <f t="shared" si="255"/>
        <v>0</v>
      </c>
      <c r="K3754" s="462">
        <f>IF(C3754=0,0,VLOOKUP(YEAR(C3754),INPC!$B$4:$O$29,MONTH(C3754)+1))</f>
        <v>0</v>
      </c>
      <c r="L3754" s="462">
        <f>IF(S3754=0,0,VLOOKUP(YEAR(S3754),INPC!$B$4:$O$29,MONTH(S3754)+1))</f>
        <v>0</v>
      </c>
      <c r="M3754" s="463">
        <f t="shared" si="256"/>
        <v>0</v>
      </c>
      <c r="N3754" s="465">
        <f t="shared" si="257"/>
        <v>0</v>
      </c>
      <c r="O3754" s="179"/>
      <c r="P3754" s="180"/>
      <c r="Q3754" s="173"/>
      <c r="R3754" s="173"/>
      <c r="S3754" s="174"/>
      <c r="T3754" s="173"/>
      <c r="U3754" s="182"/>
      <c r="V3754" s="177">
        <f>IF(U3754=0,0,IF(T3754="MXN",1/HLOOKUP(YEAR(S3754)+(MONTH(S3754)/100),TC!$5:$37,DAY(S3754)+2,FALSE),VLOOKUP(T3754,Equivalencia!$1:$23,((MAX(Equivalencia!$3:$3)-YEAR(S3754))*14)+MONTH(S3754)+2,FALSE)))</f>
        <v>0</v>
      </c>
      <c r="W3754" s="178">
        <f t="shared" si="258"/>
        <v>0</v>
      </c>
      <c r="X3754" s="481">
        <f t="shared" si="259"/>
        <v>0</v>
      </c>
      <c r="Y3754" s="179"/>
      <c r="Z3754" s="466">
        <f t="shared" si="260"/>
        <v>0</v>
      </c>
      <c r="AA3754" s="473">
        <f t="shared" si="261"/>
        <v>0</v>
      </c>
      <c r="AB3754" s="339">
        <f t="shared" si="262"/>
        <v>0</v>
      </c>
    </row>
    <row r="3755" spans="2:28" ht="20.100000000000001" customHeight="1">
      <c r="B3755" s="172"/>
      <c r="C3755" s="174"/>
      <c r="D3755" s="181"/>
      <c r="E3755" s="173"/>
      <c r="F3755" s="176"/>
      <c r="G3755" s="175">
        <f t="shared" si="253"/>
        <v>0</v>
      </c>
      <c r="H3755" s="175">
        <f t="shared" si="254"/>
        <v>0</v>
      </c>
      <c r="I3755" s="177">
        <f>IF(G3755=0,0,IF(E3755="MXN",1/HLOOKUP(YEAR(C3755)+(MONTH(C3755)/100),TC!$5:$37,DAY(C3755)+2,FALSE),VLOOKUP(E3755,Equivalencia!$5:$23,((MAX(Equivalencia!$3:$3)-YEAR(C3755))*14)+MONTH(C3755)+2,FALSE)))</f>
        <v>0</v>
      </c>
      <c r="J3755" s="178">
        <f t="shared" si="255"/>
        <v>0</v>
      </c>
      <c r="K3755" s="462">
        <f>IF(C3755=0,0,VLOOKUP(YEAR(C3755),INPC!$B$4:$O$29,MONTH(C3755)+1))</f>
        <v>0</v>
      </c>
      <c r="L3755" s="462">
        <f>IF(S3755=0,0,VLOOKUP(YEAR(S3755),INPC!$B$4:$O$29,MONTH(S3755)+1))</f>
        <v>0</v>
      </c>
      <c r="M3755" s="463">
        <f t="shared" si="256"/>
        <v>0</v>
      </c>
      <c r="N3755" s="465">
        <f t="shared" si="257"/>
        <v>0</v>
      </c>
      <c r="O3755" s="179"/>
      <c r="P3755" s="180"/>
      <c r="Q3755" s="173"/>
      <c r="R3755" s="173"/>
      <c r="S3755" s="174"/>
      <c r="T3755" s="173"/>
      <c r="U3755" s="182"/>
      <c r="V3755" s="177">
        <f>IF(U3755=0,0,IF(T3755="MXN",1/HLOOKUP(YEAR(S3755)+(MONTH(S3755)/100),TC!$5:$37,DAY(S3755)+2,FALSE),VLOOKUP(T3755,Equivalencia!$1:$23,((MAX(Equivalencia!$3:$3)-YEAR(S3755))*14)+MONTH(S3755)+2,FALSE)))</f>
        <v>0</v>
      </c>
      <c r="W3755" s="178">
        <f t="shared" si="258"/>
        <v>0</v>
      </c>
      <c r="X3755" s="481">
        <f t="shared" si="259"/>
        <v>0</v>
      </c>
      <c r="Y3755" s="179"/>
      <c r="Z3755" s="466">
        <f t="shared" si="260"/>
        <v>0</v>
      </c>
      <c r="AA3755" s="473">
        <f t="shared" si="261"/>
        <v>0</v>
      </c>
      <c r="AB3755" s="339">
        <f t="shared" si="262"/>
        <v>0</v>
      </c>
    </row>
    <row r="3756" spans="2:28" ht="20.100000000000001" customHeight="1">
      <c r="B3756" s="172"/>
      <c r="C3756" s="174"/>
      <c r="D3756" s="181"/>
      <c r="E3756" s="173"/>
      <c r="F3756" s="176"/>
      <c r="G3756" s="175">
        <f t="shared" si="253"/>
        <v>0</v>
      </c>
      <c r="H3756" s="175">
        <f t="shared" si="254"/>
        <v>0</v>
      </c>
      <c r="I3756" s="177">
        <f>IF(G3756=0,0,IF(E3756="MXN",1/HLOOKUP(YEAR(C3756)+(MONTH(C3756)/100),TC!$5:$37,DAY(C3756)+2,FALSE),VLOOKUP(E3756,Equivalencia!$5:$23,((MAX(Equivalencia!$3:$3)-YEAR(C3756))*14)+MONTH(C3756)+2,FALSE)))</f>
        <v>0</v>
      </c>
      <c r="J3756" s="178">
        <f t="shared" si="255"/>
        <v>0</v>
      </c>
      <c r="K3756" s="462">
        <f>IF(C3756=0,0,VLOOKUP(YEAR(C3756),INPC!$B$4:$O$29,MONTH(C3756)+1))</f>
        <v>0</v>
      </c>
      <c r="L3756" s="462">
        <f>IF(S3756=0,0,VLOOKUP(YEAR(S3756),INPC!$B$4:$O$29,MONTH(S3756)+1))</f>
        <v>0</v>
      </c>
      <c r="M3756" s="463">
        <f t="shared" si="256"/>
        <v>0</v>
      </c>
      <c r="N3756" s="465">
        <f t="shared" si="257"/>
        <v>0</v>
      </c>
      <c r="O3756" s="179"/>
      <c r="P3756" s="180"/>
      <c r="Q3756" s="173"/>
      <c r="R3756" s="173"/>
      <c r="S3756" s="174"/>
      <c r="T3756" s="173"/>
      <c r="U3756" s="182"/>
      <c r="V3756" s="177">
        <f>IF(U3756=0,0,IF(T3756="MXN",1/HLOOKUP(YEAR(S3756)+(MONTH(S3756)/100),TC!$5:$37,DAY(S3756)+2,FALSE),VLOOKUP(T3756,Equivalencia!$1:$23,((MAX(Equivalencia!$3:$3)-YEAR(S3756))*14)+MONTH(S3756)+2,FALSE)))</f>
        <v>0</v>
      </c>
      <c r="W3756" s="178">
        <f t="shared" si="258"/>
        <v>0</v>
      </c>
      <c r="X3756" s="481">
        <f t="shared" si="259"/>
        <v>0</v>
      </c>
      <c r="Y3756" s="179"/>
      <c r="Z3756" s="466">
        <f t="shared" si="260"/>
        <v>0</v>
      </c>
      <c r="AA3756" s="473">
        <f t="shared" si="261"/>
        <v>0</v>
      </c>
      <c r="AB3756" s="339">
        <f t="shared" si="262"/>
        <v>0</v>
      </c>
    </row>
    <row r="3757" spans="2:28" ht="20.100000000000001" customHeight="1">
      <c r="B3757" s="172"/>
      <c r="C3757" s="174"/>
      <c r="D3757" s="181"/>
      <c r="E3757" s="173"/>
      <c r="F3757" s="176"/>
      <c r="G3757" s="175">
        <f t="shared" si="253"/>
        <v>0</v>
      </c>
      <c r="H3757" s="175">
        <f t="shared" si="254"/>
        <v>0</v>
      </c>
      <c r="I3757" s="177">
        <f>IF(G3757=0,0,IF(E3757="MXN",1/HLOOKUP(YEAR(C3757)+(MONTH(C3757)/100),TC!$5:$37,DAY(C3757)+2,FALSE),VLOOKUP(E3757,Equivalencia!$5:$23,((MAX(Equivalencia!$3:$3)-YEAR(C3757))*14)+MONTH(C3757)+2,FALSE)))</f>
        <v>0</v>
      </c>
      <c r="J3757" s="178">
        <f t="shared" si="255"/>
        <v>0</v>
      </c>
      <c r="K3757" s="462">
        <f>IF(C3757=0,0,VLOOKUP(YEAR(C3757),INPC!$B$4:$O$29,MONTH(C3757)+1))</f>
        <v>0</v>
      </c>
      <c r="L3757" s="462">
        <f>IF(S3757=0,0,VLOOKUP(YEAR(S3757),INPC!$B$4:$O$29,MONTH(S3757)+1))</f>
        <v>0</v>
      </c>
      <c r="M3757" s="463">
        <f t="shared" si="256"/>
        <v>0</v>
      </c>
      <c r="N3757" s="465">
        <f t="shared" si="257"/>
        <v>0</v>
      </c>
      <c r="O3757" s="179"/>
      <c r="P3757" s="180"/>
      <c r="Q3757" s="173"/>
      <c r="R3757" s="173"/>
      <c r="S3757" s="174"/>
      <c r="T3757" s="173"/>
      <c r="U3757" s="182"/>
      <c r="V3757" s="177">
        <f>IF(U3757=0,0,IF(T3757="MXN",1/HLOOKUP(YEAR(S3757)+(MONTH(S3757)/100),TC!$5:$37,DAY(S3757)+2,FALSE),VLOOKUP(T3757,Equivalencia!$1:$23,((MAX(Equivalencia!$3:$3)-YEAR(S3757))*14)+MONTH(S3757)+2,FALSE)))</f>
        <v>0</v>
      </c>
      <c r="W3757" s="178">
        <f t="shared" si="258"/>
        <v>0</v>
      </c>
      <c r="X3757" s="481">
        <f t="shared" si="259"/>
        <v>0</v>
      </c>
      <c r="Y3757" s="179"/>
      <c r="Z3757" s="466">
        <f t="shared" si="260"/>
        <v>0</v>
      </c>
      <c r="AA3757" s="473">
        <f t="shared" si="261"/>
        <v>0</v>
      </c>
      <c r="AB3757" s="339">
        <f t="shared" si="262"/>
        <v>0</v>
      </c>
    </row>
    <row r="3758" spans="2:28" ht="20.100000000000001" customHeight="1">
      <c r="B3758" s="172"/>
      <c r="C3758" s="174"/>
      <c r="D3758" s="181"/>
      <c r="E3758" s="173"/>
      <c r="F3758" s="176"/>
      <c r="G3758" s="175">
        <f t="shared" si="253"/>
        <v>0</v>
      </c>
      <c r="H3758" s="175">
        <f t="shared" si="254"/>
        <v>0</v>
      </c>
      <c r="I3758" s="177">
        <f>IF(G3758=0,0,IF(E3758="MXN",1/HLOOKUP(YEAR(C3758)+(MONTH(C3758)/100),TC!$5:$37,DAY(C3758)+2,FALSE),VLOOKUP(E3758,Equivalencia!$5:$23,((MAX(Equivalencia!$3:$3)-YEAR(C3758))*14)+MONTH(C3758)+2,FALSE)))</f>
        <v>0</v>
      </c>
      <c r="J3758" s="178">
        <f t="shared" si="255"/>
        <v>0</v>
      </c>
      <c r="K3758" s="462">
        <f>IF(C3758=0,0,VLOOKUP(YEAR(C3758),INPC!$B$4:$O$29,MONTH(C3758)+1))</f>
        <v>0</v>
      </c>
      <c r="L3758" s="462">
        <f>IF(S3758=0,0,VLOOKUP(YEAR(S3758),INPC!$B$4:$O$29,MONTH(S3758)+1))</f>
        <v>0</v>
      </c>
      <c r="M3758" s="463">
        <f t="shared" si="256"/>
        <v>0</v>
      </c>
      <c r="N3758" s="465">
        <f t="shared" si="257"/>
        <v>0</v>
      </c>
      <c r="O3758" s="179"/>
      <c r="P3758" s="180"/>
      <c r="Q3758" s="173"/>
      <c r="R3758" s="173"/>
      <c r="S3758" s="174"/>
      <c r="T3758" s="173"/>
      <c r="U3758" s="182"/>
      <c r="V3758" s="177">
        <f>IF(U3758=0,0,IF(T3758="MXN",1/HLOOKUP(YEAR(S3758)+(MONTH(S3758)/100),TC!$5:$37,DAY(S3758)+2,FALSE),VLOOKUP(T3758,Equivalencia!$1:$23,((MAX(Equivalencia!$3:$3)-YEAR(S3758))*14)+MONTH(S3758)+2,FALSE)))</f>
        <v>0</v>
      </c>
      <c r="W3758" s="178">
        <f t="shared" si="258"/>
        <v>0</v>
      </c>
      <c r="X3758" s="481">
        <f t="shared" si="259"/>
        <v>0</v>
      </c>
      <c r="Y3758" s="179"/>
      <c r="Z3758" s="466">
        <f t="shared" si="260"/>
        <v>0</v>
      </c>
      <c r="AA3758" s="473">
        <f t="shared" si="261"/>
        <v>0</v>
      </c>
      <c r="AB3758" s="339">
        <f t="shared" si="262"/>
        <v>0</v>
      </c>
    </row>
    <row r="3759" spans="2:28" ht="20.100000000000001" customHeight="1">
      <c r="B3759" s="172"/>
      <c r="C3759" s="174"/>
      <c r="D3759" s="181"/>
      <c r="E3759" s="173"/>
      <c r="F3759" s="176"/>
      <c r="G3759" s="175">
        <f t="shared" si="253"/>
        <v>0</v>
      </c>
      <c r="H3759" s="175">
        <f t="shared" si="254"/>
        <v>0</v>
      </c>
      <c r="I3759" s="177">
        <f>IF(G3759=0,0,IF(E3759="MXN",1/HLOOKUP(YEAR(C3759)+(MONTH(C3759)/100),TC!$5:$37,DAY(C3759)+2,FALSE),VLOOKUP(E3759,Equivalencia!$5:$23,((MAX(Equivalencia!$3:$3)-YEAR(C3759))*14)+MONTH(C3759)+2,FALSE)))</f>
        <v>0</v>
      </c>
      <c r="J3759" s="178">
        <f t="shared" si="255"/>
        <v>0</v>
      </c>
      <c r="K3759" s="462">
        <f>IF(C3759=0,0,VLOOKUP(YEAR(C3759),INPC!$B$4:$O$29,MONTH(C3759)+1))</f>
        <v>0</v>
      </c>
      <c r="L3759" s="462">
        <f>IF(S3759=0,0,VLOOKUP(YEAR(S3759),INPC!$B$4:$O$29,MONTH(S3759)+1))</f>
        <v>0</v>
      </c>
      <c r="M3759" s="463">
        <f t="shared" si="256"/>
        <v>0</v>
      </c>
      <c r="N3759" s="465">
        <f t="shared" si="257"/>
        <v>0</v>
      </c>
      <c r="O3759" s="179"/>
      <c r="P3759" s="180"/>
      <c r="Q3759" s="173"/>
      <c r="R3759" s="173"/>
      <c r="S3759" s="174"/>
      <c r="T3759" s="173"/>
      <c r="U3759" s="182"/>
      <c r="V3759" s="177">
        <f>IF(U3759=0,0,IF(T3759="MXN",1/HLOOKUP(YEAR(S3759)+(MONTH(S3759)/100),TC!$5:$37,DAY(S3759)+2,FALSE),VLOOKUP(T3759,Equivalencia!$1:$23,((MAX(Equivalencia!$3:$3)-YEAR(S3759))*14)+MONTH(S3759)+2,FALSE)))</f>
        <v>0</v>
      </c>
      <c r="W3759" s="178">
        <f t="shared" si="258"/>
        <v>0</v>
      </c>
      <c r="X3759" s="481">
        <f t="shared" si="259"/>
        <v>0</v>
      </c>
      <c r="Y3759" s="179"/>
      <c r="Z3759" s="466">
        <f t="shared" si="260"/>
        <v>0</v>
      </c>
      <c r="AA3759" s="473">
        <f t="shared" si="261"/>
        <v>0</v>
      </c>
      <c r="AB3759" s="339">
        <f t="shared" si="262"/>
        <v>0</v>
      </c>
    </row>
    <row r="3760" spans="2:28" ht="20.100000000000001" customHeight="1">
      <c r="B3760" s="172"/>
      <c r="C3760" s="174"/>
      <c r="D3760" s="181"/>
      <c r="E3760" s="173"/>
      <c r="F3760" s="176"/>
      <c r="G3760" s="175">
        <f t="shared" si="253"/>
        <v>0</v>
      </c>
      <c r="H3760" s="175">
        <f t="shared" si="254"/>
        <v>0</v>
      </c>
      <c r="I3760" s="177">
        <f>IF(G3760=0,0,IF(E3760="MXN",1/HLOOKUP(YEAR(C3760)+(MONTH(C3760)/100),TC!$5:$37,DAY(C3760)+2,FALSE),VLOOKUP(E3760,Equivalencia!$5:$23,((MAX(Equivalencia!$3:$3)-YEAR(C3760))*14)+MONTH(C3760)+2,FALSE)))</f>
        <v>0</v>
      </c>
      <c r="J3760" s="178">
        <f t="shared" si="255"/>
        <v>0</v>
      </c>
      <c r="K3760" s="462">
        <f>IF(C3760=0,0,VLOOKUP(YEAR(C3760),INPC!$B$4:$O$29,MONTH(C3760)+1))</f>
        <v>0</v>
      </c>
      <c r="L3760" s="462">
        <f>IF(S3760=0,0,VLOOKUP(YEAR(S3760),INPC!$B$4:$O$29,MONTH(S3760)+1))</f>
        <v>0</v>
      </c>
      <c r="M3760" s="463">
        <f t="shared" si="256"/>
        <v>0</v>
      </c>
      <c r="N3760" s="465">
        <f t="shared" si="257"/>
        <v>0</v>
      </c>
      <c r="O3760" s="179"/>
      <c r="P3760" s="180"/>
      <c r="Q3760" s="173"/>
      <c r="R3760" s="173"/>
      <c r="S3760" s="174"/>
      <c r="T3760" s="173"/>
      <c r="U3760" s="182"/>
      <c r="V3760" s="177">
        <f>IF(U3760=0,0,IF(T3760="MXN",1/HLOOKUP(YEAR(S3760)+(MONTH(S3760)/100),TC!$5:$37,DAY(S3760)+2,FALSE),VLOOKUP(T3760,Equivalencia!$1:$23,((MAX(Equivalencia!$3:$3)-YEAR(S3760))*14)+MONTH(S3760)+2,FALSE)))</f>
        <v>0</v>
      </c>
      <c r="W3760" s="178">
        <f t="shared" si="258"/>
        <v>0</v>
      </c>
      <c r="X3760" s="481">
        <f t="shared" si="259"/>
        <v>0</v>
      </c>
      <c r="Y3760" s="179"/>
      <c r="Z3760" s="466">
        <f t="shared" si="260"/>
        <v>0</v>
      </c>
      <c r="AA3760" s="473">
        <f t="shared" si="261"/>
        <v>0</v>
      </c>
      <c r="AB3760" s="339">
        <f t="shared" si="262"/>
        <v>0</v>
      </c>
    </row>
    <row r="3761" spans="2:28" ht="20.100000000000001" customHeight="1">
      <c r="B3761" s="172"/>
      <c r="C3761" s="174"/>
      <c r="D3761" s="181"/>
      <c r="E3761" s="173"/>
      <c r="F3761" s="176"/>
      <c r="G3761" s="175">
        <f t="shared" si="253"/>
        <v>0</v>
      </c>
      <c r="H3761" s="175">
        <f t="shared" si="254"/>
        <v>0</v>
      </c>
      <c r="I3761" s="177">
        <f>IF(G3761=0,0,IF(E3761="MXN",1/HLOOKUP(YEAR(C3761)+(MONTH(C3761)/100),TC!$5:$37,DAY(C3761)+2,FALSE),VLOOKUP(E3761,Equivalencia!$5:$23,((MAX(Equivalencia!$3:$3)-YEAR(C3761))*14)+MONTH(C3761)+2,FALSE)))</f>
        <v>0</v>
      </c>
      <c r="J3761" s="178">
        <f t="shared" si="255"/>
        <v>0</v>
      </c>
      <c r="K3761" s="462">
        <f>IF(C3761=0,0,VLOOKUP(YEAR(C3761),INPC!$B$4:$O$29,MONTH(C3761)+1))</f>
        <v>0</v>
      </c>
      <c r="L3761" s="462">
        <f>IF(S3761=0,0,VLOOKUP(YEAR(S3761),INPC!$B$4:$O$29,MONTH(S3761)+1))</f>
        <v>0</v>
      </c>
      <c r="M3761" s="463">
        <f t="shared" si="256"/>
        <v>0</v>
      </c>
      <c r="N3761" s="465">
        <f t="shared" si="257"/>
        <v>0</v>
      </c>
      <c r="O3761" s="179"/>
      <c r="P3761" s="180"/>
      <c r="Q3761" s="173"/>
      <c r="R3761" s="173"/>
      <c r="S3761" s="174"/>
      <c r="T3761" s="173"/>
      <c r="U3761" s="182"/>
      <c r="V3761" s="177">
        <f>IF(U3761=0,0,IF(T3761="MXN",1/HLOOKUP(YEAR(S3761)+(MONTH(S3761)/100),TC!$5:$37,DAY(S3761)+2,FALSE),VLOOKUP(T3761,Equivalencia!$1:$23,((MAX(Equivalencia!$3:$3)-YEAR(S3761))*14)+MONTH(S3761)+2,FALSE)))</f>
        <v>0</v>
      </c>
      <c r="W3761" s="178">
        <f t="shared" si="258"/>
        <v>0</v>
      </c>
      <c r="X3761" s="481">
        <f t="shared" si="259"/>
        <v>0</v>
      </c>
      <c r="Y3761" s="179"/>
      <c r="Z3761" s="466">
        <f t="shared" si="260"/>
        <v>0</v>
      </c>
      <c r="AA3761" s="473">
        <f t="shared" si="261"/>
        <v>0</v>
      </c>
      <c r="AB3761" s="339">
        <f t="shared" si="262"/>
        <v>0</v>
      </c>
    </row>
    <row r="3762" spans="2:28" ht="20.100000000000001" customHeight="1">
      <c r="B3762" s="172"/>
      <c r="C3762" s="174"/>
      <c r="D3762" s="181"/>
      <c r="E3762" s="173"/>
      <c r="F3762" s="176"/>
      <c r="G3762" s="175">
        <f t="shared" si="253"/>
        <v>0</v>
      </c>
      <c r="H3762" s="175">
        <f t="shared" si="254"/>
        <v>0</v>
      </c>
      <c r="I3762" s="177">
        <f>IF(G3762=0,0,IF(E3762="MXN",1/HLOOKUP(YEAR(C3762)+(MONTH(C3762)/100),TC!$5:$37,DAY(C3762)+2,FALSE),VLOOKUP(E3762,Equivalencia!$5:$23,((MAX(Equivalencia!$3:$3)-YEAR(C3762))*14)+MONTH(C3762)+2,FALSE)))</f>
        <v>0</v>
      </c>
      <c r="J3762" s="178">
        <f t="shared" si="255"/>
        <v>0</v>
      </c>
      <c r="K3762" s="462">
        <f>IF(C3762=0,0,VLOOKUP(YEAR(C3762),INPC!$B$4:$O$29,MONTH(C3762)+1))</f>
        <v>0</v>
      </c>
      <c r="L3762" s="462">
        <f>IF(S3762=0,0,VLOOKUP(YEAR(S3762),INPC!$B$4:$O$29,MONTH(S3762)+1))</f>
        <v>0</v>
      </c>
      <c r="M3762" s="463">
        <f t="shared" si="256"/>
        <v>0</v>
      </c>
      <c r="N3762" s="465">
        <f t="shared" si="257"/>
        <v>0</v>
      </c>
      <c r="O3762" s="179"/>
      <c r="P3762" s="180"/>
      <c r="Q3762" s="173"/>
      <c r="R3762" s="173"/>
      <c r="S3762" s="174"/>
      <c r="T3762" s="173"/>
      <c r="U3762" s="182"/>
      <c r="V3762" s="177">
        <f>IF(U3762=0,0,IF(T3762="MXN",1/HLOOKUP(YEAR(S3762)+(MONTH(S3762)/100),TC!$5:$37,DAY(S3762)+2,FALSE),VLOOKUP(T3762,Equivalencia!$1:$23,((MAX(Equivalencia!$3:$3)-YEAR(S3762))*14)+MONTH(S3762)+2,FALSE)))</f>
        <v>0</v>
      </c>
      <c r="W3762" s="178">
        <f t="shared" si="258"/>
        <v>0</v>
      </c>
      <c r="X3762" s="481">
        <f t="shared" si="259"/>
        <v>0</v>
      </c>
      <c r="Y3762" s="179"/>
      <c r="Z3762" s="466">
        <f t="shared" si="260"/>
        <v>0</v>
      </c>
      <c r="AA3762" s="473">
        <f t="shared" si="261"/>
        <v>0</v>
      </c>
      <c r="AB3762" s="339">
        <f t="shared" si="262"/>
        <v>0</v>
      </c>
    </row>
    <row r="3763" spans="2:28" ht="20.100000000000001" customHeight="1">
      <c r="B3763" s="172"/>
      <c r="C3763" s="174"/>
      <c r="D3763" s="181"/>
      <c r="E3763" s="173"/>
      <c r="F3763" s="176"/>
      <c r="G3763" s="175">
        <f t="shared" si="253"/>
        <v>0</v>
      </c>
      <c r="H3763" s="175">
        <f t="shared" si="254"/>
        <v>0</v>
      </c>
      <c r="I3763" s="177">
        <f>IF(G3763=0,0,IF(E3763="MXN",1/HLOOKUP(YEAR(C3763)+(MONTH(C3763)/100),TC!$5:$37,DAY(C3763)+2,FALSE),VLOOKUP(E3763,Equivalencia!$5:$23,((MAX(Equivalencia!$3:$3)-YEAR(C3763))*14)+MONTH(C3763)+2,FALSE)))</f>
        <v>0</v>
      </c>
      <c r="J3763" s="178">
        <f t="shared" si="255"/>
        <v>0</v>
      </c>
      <c r="K3763" s="462">
        <f>IF(C3763=0,0,VLOOKUP(YEAR(C3763),INPC!$B$4:$O$29,MONTH(C3763)+1))</f>
        <v>0</v>
      </c>
      <c r="L3763" s="462">
        <f>IF(S3763=0,0,VLOOKUP(YEAR(S3763),INPC!$B$4:$O$29,MONTH(S3763)+1))</f>
        <v>0</v>
      </c>
      <c r="M3763" s="463">
        <f t="shared" si="256"/>
        <v>0</v>
      </c>
      <c r="N3763" s="465">
        <f t="shared" si="257"/>
        <v>0</v>
      </c>
      <c r="O3763" s="179"/>
      <c r="P3763" s="180"/>
      <c r="Q3763" s="173"/>
      <c r="R3763" s="173"/>
      <c r="S3763" s="174"/>
      <c r="T3763" s="173"/>
      <c r="U3763" s="182"/>
      <c r="V3763" s="177">
        <f>IF(U3763=0,0,IF(T3763="MXN",1/HLOOKUP(YEAR(S3763)+(MONTH(S3763)/100),TC!$5:$37,DAY(S3763)+2,FALSE),VLOOKUP(T3763,Equivalencia!$1:$23,((MAX(Equivalencia!$3:$3)-YEAR(S3763))*14)+MONTH(S3763)+2,FALSE)))</f>
        <v>0</v>
      </c>
      <c r="W3763" s="178">
        <f t="shared" si="258"/>
        <v>0</v>
      </c>
      <c r="X3763" s="481">
        <f t="shared" si="259"/>
        <v>0</v>
      </c>
      <c r="Y3763" s="179"/>
      <c r="Z3763" s="466">
        <f t="shared" si="260"/>
        <v>0</v>
      </c>
      <c r="AA3763" s="473">
        <f t="shared" si="261"/>
        <v>0</v>
      </c>
      <c r="AB3763" s="339">
        <f t="shared" si="262"/>
        <v>0</v>
      </c>
    </row>
    <row r="3764" spans="2:28" ht="20.100000000000001" customHeight="1">
      <c r="B3764" s="172"/>
      <c r="C3764" s="174"/>
      <c r="D3764" s="181"/>
      <c r="E3764" s="173"/>
      <c r="F3764" s="176"/>
      <c r="G3764" s="175">
        <f t="shared" si="253"/>
        <v>0</v>
      </c>
      <c r="H3764" s="175">
        <f t="shared" si="254"/>
        <v>0</v>
      </c>
      <c r="I3764" s="177">
        <f>IF(G3764=0,0,IF(E3764="MXN",1/HLOOKUP(YEAR(C3764)+(MONTH(C3764)/100),TC!$5:$37,DAY(C3764)+2,FALSE),VLOOKUP(E3764,Equivalencia!$5:$23,((MAX(Equivalencia!$3:$3)-YEAR(C3764))*14)+MONTH(C3764)+2,FALSE)))</f>
        <v>0</v>
      </c>
      <c r="J3764" s="178">
        <f t="shared" si="255"/>
        <v>0</v>
      </c>
      <c r="K3764" s="462">
        <f>IF(C3764=0,0,VLOOKUP(YEAR(C3764),INPC!$B$4:$O$29,MONTH(C3764)+1))</f>
        <v>0</v>
      </c>
      <c r="L3764" s="462">
        <f>IF(S3764=0,0,VLOOKUP(YEAR(S3764),INPC!$B$4:$O$29,MONTH(S3764)+1))</f>
        <v>0</v>
      </c>
      <c r="M3764" s="463">
        <f t="shared" si="256"/>
        <v>0</v>
      </c>
      <c r="N3764" s="465">
        <f t="shared" si="257"/>
        <v>0</v>
      </c>
      <c r="O3764" s="179"/>
      <c r="P3764" s="180"/>
      <c r="Q3764" s="173"/>
      <c r="R3764" s="173"/>
      <c r="S3764" s="174"/>
      <c r="T3764" s="173"/>
      <c r="U3764" s="182"/>
      <c r="V3764" s="177">
        <f>IF(U3764=0,0,IF(T3764="MXN",1/HLOOKUP(YEAR(S3764)+(MONTH(S3764)/100),TC!$5:$37,DAY(S3764)+2,FALSE),VLOOKUP(T3764,Equivalencia!$1:$23,((MAX(Equivalencia!$3:$3)-YEAR(S3764))*14)+MONTH(S3764)+2,FALSE)))</f>
        <v>0</v>
      </c>
      <c r="W3764" s="178">
        <f t="shared" si="258"/>
        <v>0</v>
      </c>
      <c r="X3764" s="481">
        <f t="shared" si="259"/>
        <v>0</v>
      </c>
      <c r="Y3764" s="179"/>
      <c r="Z3764" s="466">
        <f t="shared" si="260"/>
        <v>0</v>
      </c>
      <c r="AA3764" s="473">
        <f t="shared" si="261"/>
        <v>0</v>
      </c>
      <c r="AB3764" s="339">
        <f t="shared" si="262"/>
        <v>0</v>
      </c>
    </row>
    <row r="3765" spans="2:28" ht="20.100000000000001" customHeight="1">
      <c r="B3765" s="172"/>
      <c r="C3765" s="174"/>
      <c r="D3765" s="181"/>
      <c r="E3765" s="173"/>
      <c r="F3765" s="176"/>
      <c r="G3765" s="175">
        <f t="shared" si="253"/>
        <v>0</v>
      </c>
      <c r="H3765" s="175">
        <f t="shared" si="254"/>
        <v>0</v>
      </c>
      <c r="I3765" s="177">
        <f>IF(G3765=0,0,IF(E3765="MXN",1/HLOOKUP(YEAR(C3765)+(MONTH(C3765)/100),TC!$5:$37,DAY(C3765)+2,FALSE),VLOOKUP(E3765,Equivalencia!$5:$23,((MAX(Equivalencia!$3:$3)-YEAR(C3765))*14)+MONTH(C3765)+2,FALSE)))</f>
        <v>0</v>
      </c>
      <c r="J3765" s="178">
        <f t="shared" si="255"/>
        <v>0</v>
      </c>
      <c r="K3765" s="462">
        <f>IF(C3765=0,0,VLOOKUP(YEAR(C3765),INPC!$B$4:$O$29,MONTH(C3765)+1))</f>
        <v>0</v>
      </c>
      <c r="L3765" s="462">
        <f>IF(S3765=0,0,VLOOKUP(YEAR(S3765),INPC!$B$4:$O$29,MONTH(S3765)+1))</f>
        <v>0</v>
      </c>
      <c r="M3765" s="463">
        <f t="shared" si="256"/>
        <v>0</v>
      </c>
      <c r="N3765" s="465">
        <f t="shared" si="257"/>
        <v>0</v>
      </c>
      <c r="O3765" s="179"/>
      <c r="P3765" s="180"/>
      <c r="Q3765" s="173"/>
      <c r="R3765" s="173"/>
      <c r="S3765" s="174"/>
      <c r="T3765" s="173"/>
      <c r="U3765" s="182"/>
      <c r="V3765" s="177">
        <f>IF(U3765=0,0,IF(T3765="MXN",1/HLOOKUP(YEAR(S3765)+(MONTH(S3765)/100),TC!$5:$37,DAY(S3765)+2,FALSE),VLOOKUP(T3765,Equivalencia!$1:$23,((MAX(Equivalencia!$3:$3)-YEAR(S3765))*14)+MONTH(S3765)+2,FALSE)))</f>
        <v>0</v>
      </c>
      <c r="W3765" s="178">
        <f t="shared" si="258"/>
        <v>0</v>
      </c>
      <c r="X3765" s="481">
        <f t="shared" si="259"/>
        <v>0</v>
      </c>
      <c r="Y3765" s="179"/>
      <c r="Z3765" s="466">
        <f t="shared" si="260"/>
        <v>0</v>
      </c>
      <c r="AA3765" s="473">
        <f t="shared" si="261"/>
        <v>0</v>
      </c>
      <c r="AB3765" s="339">
        <f t="shared" si="262"/>
        <v>0</v>
      </c>
    </row>
    <row r="3766" spans="2:28" ht="20.100000000000001" customHeight="1">
      <c r="B3766" s="172"/>
      <c r="C3766" s="174"/>
      <c r="D3766" s="181"/>
      <c r="E3766" s="173"/>
      <c r="F3766" s="176"/>
      <c r="G3766" s="175">
        <f t="shared" si="253"/>
        <v>0</v>
      </c>
      <c r="H3766" s="175">
        <f t="shared" si="254"/>
        <v>0</v>
      </c>
      <c r="I3766" s="177">
        <f>IF(G3766=0,0,IF(E3766="MXN",1/HLOOKUP(YEAR(C3766)+(MONTH(C3766)/100),TC!$5:$37,DAY(C3766)+2,FALSE),VLOOKUP(E3766,Equivalencia!$5:$23,((MAX(Equivalencia!$3:$3)-YEAR(C3766))*14)+MONTH(C3766)+2,FALSE)))</f>
        <v>0</v>
      </c>
      <c r="J3766" s="178">
        <f t="shared" si="255"/>
        <v>0</v>
      </c>
      <c r="K3766" s="462">
        <f>IF(C3766=0,0,VLOOKUP(YEAR(C3766),INPC!$B$4:$O$29,MONTH(C3766)+1))</f>
        <v>0</v>
      </c>
      <c r="L3766" s="462">
        <f>IF(S3766=0,0,VLOOKUP(YEAR(S3766),INPC!$B$4:$O$29,MONTH(S3766)+1))</f>
        <v>0</v>
      </c>
      <c r="M3766" s="463">
        <f t="shared" si="256"/>
        <v>0</v>
      </c>
      <c r="N3766" s="465">
        <f t="shared" si="257"/>
        <v>0</v>
      </c>
      <c r="O3766" s="179"/>
      <c r="P3766" s="180"/>
      <c r="Q3766" s="173"/>
      <c r="R3766" s="173"/>
      <c r="S3766" s="174"/>
      <c r="T3766" s="173"/>
      <c r="U3766" s="182"/>
      <c r="V3766" s="177">
        <f>IF(U3766=0,0,IF(T3766="MXN",1/HLOOKUP(YEAR(S3766)+(MONTH(S3766)/100),TC!$5:$37,DAY(S3766)+2,FALSE),VLOOKUP(T3766,Equivalencia!$1:$23,((MAX(Equivalencia!$3:$3)-YEAR(S3766))*14)+MONTH(S3766)+2,FALSE)))</f>
        <v>0</v>
      </c>
      <c r="W3766" s="178">
        <f t="shared" si="258"/>
        <v>0</v>
      </c>
      <c r="X3766" s="481">
        <f t="shared" si="259"/>
        <v>0</v>
      </c>
      <c r="Y3766" s="179"/>
      <c r="Z3766" s="466">
        <f t="shared" si="260"/>
        <v>0</v>
      </c>
      <c r="AA3766" s="473">
        <f t="shared" si="261"/>
        <v>0</v>
      </c>
      <c r="AB3766" s="339">
        <f t="shared" si="262"/>
        <v>0</v>
      </c>
    </row>
    <row r="3767" spans="2:28" ht="20.100000000000001" customHeight="1">
      <c r="B3767" s="172"/>
      <c r="C3767" s="174"/>
      <c r="D3767" s="181"/>
      <c r="E3767" s="173"/>
      <c r="F3767" s="176"/>
      <c r="G3767" s="175">
        <f t="shared" si="253"/>
        <v>0</v>
      </c>
      <c r="H3767" s="175">
        <f t="shared" si="254"/>
        <v>0</v>
      </c>
      <c r="I3767" s="177">
        <f>IF(G3767=0,0,IF(E3767="MXN",1/HLOOKUP(YEAR(C3767)+(MONTH(C3767)/100),TC!$5:$37,DAY(C3767)+2,FALSE),VLOOKUP(E3767,Equivalencia!$5:$23,((MAX(Equivalencia!$3:$3)-YEAR(C3767))*14)+MONTH(C3767)+2,FALSE)))</f>
        <v>0</v>
      </c>
      <c r="J3767" s="178">
        <f t="shared" si="255"/>
        <v>0</v>
      </c>
      <c r="K3767" s="462">
        <f>IF(C3767=0,0,VLOOKUP(YEAR(C3767),INPC!$B$4:$O$29,MONTH(C3767)+1))</f>
        <v>0</v>
      </c>
      <c r="L3767" s="462">
        <f>IF(S3767=0,0,VLOOKUP(YEAR(S3767),INPC!$B$4:$O$29,MONTH(S3767)+1))</f>
        <v>0</v>
      </c>
      <c r="M3767" s="463">
        <f t="shared" si="256"/>
        <v>0</v>
      </c>
      <c r="N3767" s="465">
        <f t="shared" si="257"/>
        <v>0</v>
      </c>
      <c r="O3767" s="179"/>
      <c r="P3767" s="180"/>
      <c r="Q3767" s="173"/>
      <c r="R3767" s="173"/>
      <c r="S3767" s="174"/>
      <c r="T3767" s="173"/>
      <c r="U3767" s="182"/>
      <c r="V3767" s="177">
        <f>IF(U3767=0,0,IF(T3767="MXN",1/HLOOKUP(YEAR(S3767)+(MONTH(S3767)/100),TC!$5:$37,DAY(S3767)+2,FALSE),VLOOKUP(T3767,Equivalencia!$1:$23,((MAX(Equivalencia!$3:$3)-YEAR(S3767))*14)+MONTH(S3767)+2,FALSE)))</f>
        <v>0</v>
      </c>
      <c r="W3767" s="178">
        <f t="shared" si="258"/>
        <v>0</v>
      </c>
      <c r="X3767" s="481">
        <f t="shared" si="259"/>
        <v>0</v>
      </c>
      <c r="Y3767" s="179"/>
      <c r="Z3767" s="466">
        <f t="shared" si="260"/>
        <v>0</v>
      </c>
      <c r="AA3767" s="473">
        <f t="shared" si="261"/>
        <v>0</v>
      </c>
      <c r="AB3767" s="339">
        <f t="shared" si="262"/>
        <v>0</v>
      </c>
    </row>
    <row r="3768" spans="2:28" ht="20.100000000000001" customHeight="1">
      <c r="B3768" s="172"/>
      <c r="C3768" s="174"/>
      <c r="D3768" s="181"/>
      <c r="E3768" s="173"/>
      <c r="F3768" s="176"/>
      <c r="G3768" s="175">
        <f t="shared" si="253"/>
        <v>0</v>
      </c>
      <c r="H3768" s="175">
        <f t="shared" si="254"/>
        <v>0</v>
      </c>
      <c r="I3768" s="177">
        <f>IF(G3768=0,0,IF(E3768="MXN",1/HLOOKUP(YEAR(C3768)+(MONTH(C3768)/100),TC!$5:$37,DAY(C3768)+2,FALSE),VLOOKUP(E3768,Equivalencia!$5:$23,((MAX(Equivalencia!$3:$3)-YEAR(C3768))*14)+MONTH(C3768)+2,FALSE)))</f>
        <v>0</v>
      </c>
      <c r="J3768" s="178">
        <f t="shared" si="255"/>
        <v>0</v>
      </c>
      <c r="K3768" s="462">
        <f>IF(C3768=0,0,VLOOKUP(YEAR(C3768),INPC!$B$4:$O$29,MONTH(C3768)+1))</f>
        <v>0</v>
      </c>
      <c r="L3768" s="462">
        <f>IF(S3768=0,0,VLOOKUP(YEAR(S3768),INPC!$B$4:$O$29,MONTH(S3768)+1))</f>
        <v>0</v>
      </c>
      <c r="M3768" s="463">
        <f t="shared" si="256"/>
        <v>0</v>
      </c>
      <c r="N3768" s="465">
        <f t="shared" si="257"/>
        <v>0</v>
      </c>
      <c r="O3768" s="179"/>
      <c r="P3768" s="180"/>
      <c r="Q3768" s="173"/>
      <c r="R3768" s="173"/>
      <c r="S3768" s="174"/>
      <c r="T3768" s="173"/>
      <c r="U3768" s="182"/>
      <c r="V3768" s="177">
        <f>IF(U3768=0,0,IF(T3768="MXN",1/HLOOKUP(YEAR(S3768)+(MONTH(S3768)/100),TC!$5:$37,DAY(S3768)+2,FALSE),VLOOKUP(T3768,Equivalencia!$1:$23,((MAX(Equivalencia!$3:$3)-YEAR(S3768))*14)+MONTH(S3768)+2,FALSE)))</f>
        <v>0</v>
      </c>
      <c r="W3768" s="178">
        <f t="shared" si="258"/>
        <v>0</v>
      </c>
      <c r="X3768" s="481">
        <f t="shared" si="259"/>
        <v>0</v>
      </c>
      <c r="Y3768" s="179"/>
      <c r="Z3768" s="466">
        <f t="shared" si="260"/>
        <v>0</v>
      </c>
      <c r="AA3768" s="473">
        <f t="shared" si="261"/>
        <v>0</v>
      </c>
      <c r="AB3768" s="339">
        <f t="shared" si="262"/>
        <v>0</v>
      </c>
    </row>
    <row r="3769" spans="2:28" ht="20.100000000000001" customHeight="1">
      <c r="B3769" s="172"/>
      <c r="C3769" s="174"/>
      <c r="D3769" s="181"/>
      <c r="E3769" s="173"/>
      <c r="F3769" s="176"/>
      <c r="G3769" s="175">
        <f t="shared" si="253"/>
        <v>0</v>
      </c>
      <c r="H3769" s="175">
        <f t="shared" si="254"/>
        <v>0</v>
      </c>
      <c r="I3769" s="177">
        <f>IF(G3769=0,0,IF(E3769="MXN",1/HLOOKUP(YEAR(C3769)+(MONTH(C3769)/100),TC!$5:$37,DAY(C3769)+2,FALSE),VLOOKUP(E3769,Equivalencia!$5:$23,((MAX(Equivalencia!$3:$3)-YEAR(C3769))*14)+MONTH(C3769)+2,FALSE)))</f>
        <v>0</v>
      </c>
      <c r="J3769" s="178">
        <f t="shared" si="255"/>
        <v>0</v>
      </c>
      <c r="K3769" s="462">
        <f>IF(C3769=0,0,VLOOKUP(YEAR(C3769),INPC!$B$4:$O$29,MONTH(C3769)+1))</f>
        <v>0</v>
      </c>
      <c r="L3769" s="462">
        <f>IF(S3769=0,0,VLOOKUP(YEAR(S3769),INPC!$B$4:$O$29,MONTH(S3769)+1))</f>
        <v>0</v>
      </c>
      <c r="M3769" s="463">
        <f t="shared" si="256"/>
        <v>0</v>
      </c>
      <c r="N3769" s="465">
        <f t="shared" si="257"/>
        <v>0</v>
      </c>
      <c r="O3769" s="179"/>
      <c r="P3769" s="180"/>
      <c r="Q3769" s="173"/>
      <c r="R3769" s="173"/>
      <c r="S3769" s="174"/>
      <c r="T3769" s="173"/>
      <c r="U3769" s="182"/>
      <c r="V3769" s="177">
        <f>IF(U3769=0,0,IF(T3769="MXN",1/HLOOKUP(YEAR(S3769)+(MONTH(S3769)/100),TC!$5:$37,DAY(S3769)+2,FALSE),VLOOKUP(T3769,Equivalencia!$1:$23,((MAX(Equivalencia!$3:$3)-YEAR(S3769))*14)+MONTH(S3769)+2,FALSE)))</f>
        <v>0</v>
      </c>
      <c r="W3769" s="178">
        <f t="shared" si="258"/>
        <v>0</v>
      </c>
      <c r="X3769" s="481">
        <f t="shared" si="259"/>
        <v>0</v>
      </c>
      <c r="Y3769" s="179"/>
      <c r="Z3769" s="466">
        <f t="shared" si="260"/>
        <v>0</v>
      </c>
      <c r="AA3769" s="473">
        <f t="shared" si="261"/>
        <v>0</v>
      </c>
      <c r="AB3769" s="339">
        <f t="shared" si="262"/>
        <v>0</v>
      </c>
    </row>
    <row r="3770" spans="2:28" ht="20.100000000000001" customHeight="1">
      <c r="B3770" s="172"/>
      <c r="C3770" s="174"/>
      <c r="D3770" s="181"/>
      <c r="E3770" s="173"/>
      <c r="F3770" s="176"/>
      <c r="G3770" s="175">
        <f t="shared" si="253"/>
        <v>0</v>
      </c>
      <c r="H3770" s="175">
        <f t="shared" si="254"/>
        <v>0</v>
      </c>
      <c r="I3770" s="177">
        <f>IF(G3770=0,0,IF(E3770="MXN",1/HLOOKUP(YEAR(C3770)+(MONTH(C3770)/100),TC!$5:$37,DAY(C3770)+2,FALSE),VLOOKUP(E3770,Equivalencia!$5:$23,((MAX(Equivalencia!$3:$3)-YEAR(C3770))*14)+MONTH(C3770)+2,FALSE)))</f>
        <v>0</v>
      </c>
      <c r="J3770" s="178">
        <f t="shared" si="255"/>
        <v>0</v>
      </c>
      <c r="K3770" s="462">
        <f>IF(C3770=0,0,VLOOKUP(YEAR(C3770),INPC!$B$4:$O$29,MONTH(C3770)+1))</f>
        <v>0</v>
      </c>
      <c r="L3770" s="462">
        <f>IF(S3770=0,0,VLOOKUP(YEAR(S3770),INPC!$B$4:$O$29,MONTH(S3770)+1))</f>
        <v>0</v>
      </c>
      <c r="M3770" s="463">
        <f t="shared" si="256"/>
        <v>0</v>
      </c>
      <c r="N3770" s="465">
        <f t="shared" si="257"/>
        <v>0</v>
      </c>
      <c r="O3770" s="179"/>
      <c r="P3770" s="180"/>
      <c r="Q3770" s="173"/>
      <c r="R3770" s="173"/>
      <c r="S3770" s="174"/>
      <c r="T3770" s="173"/>
      <c r="U3770" s="182"/>
      <c r="V3770" s="177">
        <f>IF(U3770=0,0,IF(T3770="MXN",1/HLOOKUP(YEAR(S3770)+(MONTH(S3770)/100),TC!$5:$37,DAY(S3770)+2,FALSE),VLOOKUP(T3770,Equivalencia!$1:$23,((MAX(Equivalencia!$3:$3)-YEAR(S3770))*14)+MONTH(S3770)+2,FALSE)))</f>
        <v>0</v>
      </c>
      <c r="W3770" s="178">
        <f t="shared" si="258"/>
        <v>0</v>
      </c>
      <c r="X3770" s="481">
        <f t="shared" si="259"/>
        <v>0</v>
      </c>
      <c r="Y3770" s="179"/>
      <c r="Z3770" s="466">
        <f t="shared" si="260"/>
        <v>0</v>
      </c>
      <c r="AA3770" s="473">
        <f t="shared" si="261"/>
        <v>0</v>
      </c>
      <c r="AB3770" s="339">
        <f t="shared" si="262"/>
        <v>0</v>
      </c>
    </row>
    <row r="3771" spans="2:28" ht="20.100000000000001" customHeight="1">
      <c r="B3771" s="172"/>
      <c r="C3771" s="174"/>
      <c r="D3771" s="181"/>
      <c r="E3771" s="173"/>
      <c r="F3771" s="176"/>
      <c r="G3771" s="175">
        <f t="shared" si="160"/>
        <v>0</v>
      </c>
      <c r="H3771" s="175">
        <f t="shared" si="153"/>
        <v>0</v>
      </c>
      <c r="I3771" s="177">
        <f>IF(G3771=0,0,IF(E3771="MXN",1/HLOOKUP(YEAR(C3771)+(MONTH(C3771)/100),TC!$5:$37,DAY(C3771)+2,FALSE),VLOOKUP(E3771,Equivalencia!$5:$23,((MAX(Equivalencia!$3:$3)-YEAR(C3771))*14)+MONTH(C3771)+2,FALSE)))</f>
        <v>0</v>
      </c>
      <c r="J3771" s="178">
        <f t="shared" si="161"/>
        <v>0</v>
      </c>
      <c r="K3771" s="462">
        <f>IF(C3771=0,0,VLOOKUP(YEAR(C3771),INPC!$B$4:$O$29,MONTH(C3771)+1))</f>
        <v>0</v>
      </c>
      <c r="L3771" s="462">
        <f>IF(S3771=0,0,VLOOKUP(YEAR(S3771),INPC!$B$4:$O$29,MONTH(S3771)+1))</f>
        <v>0</v>
      </c>
      <c r="M3771" s="463">
        <f t="shared" si="154"/>
        <v>0</v>
      </c>
      <c r="N3771" s="465">
        <f t="shared" si="162"/>
        <v>0</v>
      </c>
      <c r="O3771" s="179"/>
      <c r="P3771" s="180"/>
      <c r="Q3771" s="173"/>
      <c r="R3771" s="173"/>
      <c r="S3771" s="174"/>
      <c r="T3771" s="173"/>
      <c r="U3771" s="182"/>
      <c r="V3771" s="177">
        <f>IF(U3771=0,0,IF(T3771="MXN",1/HLOOKUP(YEAR(S3771)+(MONTH(S3771)/100),TC!$5:$37,DAY(S3771)+2,FALSE),VLOOKUP(T3771,Equivalencia!$1:$23,((MAX(Equivalencia!$3:$3)-YEAR(S3771))*14)+MONTH(S3771)+2,FALSE)))</f>
        <v>0</v>
      </c>
      <c r="W3771" s="178">
        <f t="shared" si="159"/>
        <v>0</v>
      </c>
      <c r="X3771" s="481">
        <f t="shared" si="155"/>
        <v>0</v>
      </c>
      <c r="Y3771" s="179"/>
      <c r="Z3771" s="466">
        <f t="shared" si="156"/>
        <v>0</v>
      </c>
      <c r="AA3771" s="473">
        <f t="shared" si="157"/>
        <v>0</v>
      </c>
      <c r="AB3771" s="339">
        <f t="shared" si="158"/>
        <v>0</v>
      </c>
    </row>
    <row r="3772" spans="2:28" ht="20.100000000000001" customHeight="1">
      <c r="B3772" s="172"/>
      <c r="C3772" s="174"/>
      <c r="D3772" s="181"/>
      <c r="E3772" s="173"/>
      <c r="F3772" s="176"/>
      <c r="G3772" s="175">
        <f t="shared" si="160"/>
        <v>0</v>
      </c>
      <c r="H3772" s="175">
        <f t="shared" si="153"/>
        <v>0</v>
      </c>
      <c r="I3772" s="177">
        <f>IF(G3772=0,0,IF(E3772="MXN",1/HLOOKUP(YEAR(C3772)+(MONTH(C3772)/100),TC!$5:$37,DAY(C3772)+2,FALSE),VLOOKUP(E3772,Equivalencia!$5:$23,((MAX(Equivalencia!$3:$3)-YEAR(C3772))*14)+MONTH(C3772)+2,FALSE)))</f>
        <v>0</v>
      </c>
      <c r="J3772" s="178">
        <f t="shared" si="161"/>
        <v>0</v>
      </c>
      <c r="K3772" s="462">
        <f>IF(C3772=0,0,VLOOKUP(YEAR(C3772),INPC!$B$4:$O$29,MONTH(C3772)+1))</f>
        <v>0</v>
      </c>
      <c r="L3772" s="462">
        <f>IF(S3772=0,0,VLOOKUP(YEAR(S3772),INPC!$B$4:$O$29,MONTH(S3772)+1))</f>
        <v>0</v>
      </c>
      <c r="M3772" s="463">
        <f t="shared" si="154"/>
        <v>0</v>
      </c>
      <c r="N3772" s="465">
        <f t="shared" si="162"/>
        <v>0</v>
      </c>
      <c r="O3772" s="179"/>
      <c r="P3772" s="180"/>
      <c r="Q3772" s="173"/>
      <c r="R3772" s="173"/>
      <c r="S3772" s="174"/>
      <c r="T3772" s="173"/>
      <c r="U3772" s="182"/>
      <c r="V3772" s="177">
        <f>IF(U3772=0,0,IF(T3772="MXN",1/HLOOKUP(YEAR(S3772)+(MONTH(S3772)/100),TC!$5:$37,DAY(S3772)+2,FALSE),VLOOKUP(T3772,Equivalencia!$1:$23,((MAX(Equivalencia!$3:$3)-YEAR(S3772))*14)+MONTH(S3772)+2,FALSE)))</f>
        <v>0</v>
      </c>
      <c r="W3772" s="178">
        <f t="shared" si="159"/>
        <v>0</v>
      </c>
      <c r="X3772" s="481">
        <f t="shared" si="155"/>
        <v>0</v>
      </c>
      <c r="Y3772" s="179"/>
      <c r="Z3772" s="466">
        <f t="shared" si="156"/>
        <v>0</v>
      </c>
      <c r="AA3772" s="473">
        <f t="shared" si="157"/>
        <v>0</v>
      </c>
      <c r="AB3772" s="339">
        <f t="shared" si="158"/>
        <v>0</v>
      </c>
    </row>
    <row r="3773" spans="2:28" ht="20.100000000000001" customHeight="1">
      <c r="B3773" s="172"/>
      <c r="C3773" s="174"/>
      <c r="D3773" s="181"/>
      <c r="E3773" s="173"/>
      <c r="F3773" s="176"/>
      <c r="G3773" s="175">
        <f t="shared" si="160"/>
        <v>0</v>
      </c>
      <c r="H3773" s="175">
        <f t="shared" si="153"/>
        <v>0</v>
      </c>
      <c r="I3773" s="177">
        <f>IF(G3773=0,0,IF(E3773="MXN",1/HLOOKUP(YEAR(C3773)+(MONTH(C3773)/100),TC!$5:$37,DAY(C3773)+2,FALSE),VLOOKUP(E3773,Equivalencia!$5:$23,((MAX(Equivalencia!$3:$3)-YEAR(C3773))*14)+MONTH(C3773)+2,FALSE)))</f>
        <v>0</v>
      </c>
      <c r="J3773" s="178">
        <f t="shared" si="161"/>
        <v>0</v>
      </c>
      <c r="K3773" s="462">
        <f>IF(C3773=0,0,VLOOKUP(YEAR(C3773),INPC!$B$4:$O$29,MONTH(C3773)+1))</f>
        <v>0</v>
      </c>
      <c r="L3773" s="462">
        <f>IF(S3773=0,0,VLOOKUP(YEAR(S3773),INPC!$B$4:$O$29,MONTH(S3773)+1))</f>
        <v>0</v>
      </c>
      <c r="M3773" s="463">
        <f t="shared" si="154"/>
        <v>0</v>
      </c>
      <c r="N3773" s="465">
        <f t="shared" si="162"/>
        <v>0</v>
      </c>
      <c r="O3773" s="179"/>
      <c r="P3773" s="180"/>
      <c r="Q3773" s="173"/>
      <c r="R3773" s="173"/>
      <c r="S3773" s="174"/>
      <c r="T3773" s="173"/>
      <c r="U3773" s="182"/>
      <c r="V3773" s="177">
        <f>IF(U3773=0,0,IF(T3773="MXN",1/HLOOKUP(YEAR(S3773)+(MONTH(S3773)/100),TC!$5:$37,DAY(S3773)+2,FALSE),VLOOKUP(T3773,Equivalencia!$1:$23,((MAX(Equivalencia!$3:$3)-YEAR(S3773))*14)+MONTH(S3773)+2,FALSE)))</f>
        <v>0</v>
      </c>
      <c r="W3773" s="178">
        <f t="shared" si="159"/>
        <v>0</v>
      </c>
      <c r="X3773" s="481">
        <f t="shared" si="155"/>
        <v>0</v>
      </c>
      <c r="Y3773" s="179"/>
      <c r="Z3773" s="466">
        <f t="shared" si="156"/>
        <v>0</v>
      </c>
      <c r="AA3773" s="473">
        <f t="shared" si="157"/>
        <v>0</v>
      </c>
      <c r="AB3773" s="339">
        <f t="shared" si="158"/>
        <v>0</v>
      </c>
    </row>
    <row r="3774" spans="2:28" ht="20.100000000000001" customHeight="1">
      <c r="B3774" s="172"/>
      <c r="C3774" s="174"/>
      <c r="D3774" s="181"/>
      <c r="E3774" s="173"/>
      <c r="F3774" s="176"/>
      <c r="G3774" s="175">
        <f t="shared" si="160"/>
        <v>0</v>
      </c>
      <c r="H3774" s="175">
        <f t="shared" si="153"/>
        <v>0</v>
      </c>
      <c r="I3774" s="177">
        <f>IF(G3774=0,0,IF(E3774="MXN",1/HLOOKUP(YEAR(C3774)+(MONTH(C3774)/100),TC!$5:$37,DAY(C3774)+2,FALSE),VLOOKUP(E3774,Equivalencia!$5:$23,((MAX(Equivalencia!$3:$3)-YEAR(C3774))*14)+MONTH(C3774)+2,FALSE)))</f>
        <v>0</v>
      </c>
      <c r="J3774" s="178">
        <f t="shared" si="161"/>
        <v>0</v>
      </c>
      <c r="K3774" s="462">
        <f>IF(C3774=0,0,VLOOKUP(YEAR(C3774),INPC!$B$4:$O$29,MONTH(C3774)+1))</f>
        <v>0</v>
      </c>
      <c r="L3774" s="462">
        <f>IF(S3774=0,0,VLOOKUP(YEAR(S3774),INPC!$B$4:$O$29,MONTH(S3774)+1))</f>
        <v>0</v>
      </c>
      <c r="M3774" s="463">
        <f t="shared" si="154"/>
        <v>0</v>
      </c>
      <c r="N3774" s="465">
        <f t="shared" si="162"/>
        <v>0</v>
      </c>
      <c r="O3774" s="179"/>
      <c r="P3774" s="180"/>
      <c r="Q3774" s="173"/>
      <c r="R3774" s="173"/>
      <c r="S3774" s="174"/>
      <c r="T3774" s="173"/>
      <c r="U3774" s="182"/>
      <c r="V3774" s="177">
        <f>IF(U3774=0,0,IF(T3774="MXN",1/HLOOKUP(YEAR(S3774)+(MONTH(S3774)/100),TC!$5:$37,DAY(S3774)+2,FALSE),VLOOKUP(T3774,Equivalencia!$1:$23,((MAX(Equivalencia!$3:$3)-YEAR(S3774))*14)+MONTH(S3774)+2,FALSE)))</f>
        <v>0</v>
      </c>
      <c r="W3774" s="178">
        <f t="shared" si="159"/>
        <v>0</v>
      </c>
      <c r="X3774" s="481">
        <f t="shared" si="155"/>
        <v>0</v>
      </c>
      <c r="Y3774" s="179"/>
      <c r="Z3774" s="466">
        <f t="shared" si="156"/>
        <v>0</v>
      </c>
      <c r="AA3774" s="473">
        <f t="shared" si="157"/>
        <v>0</v>
      </c>
      <c r="AB3774" s="339">
        <f t="shared" si="158"/>
        <v>0</v>
      </c>
    </row>
    <row r="3775" spans="2:28" ht="20.100000000000001" customHeight="1">
      <c r="B3775" s="172"/>
      <c r="C3775" s="174"/>
      <c r="D3775" s="181"/>
      <c r="E3775" s="173"/>
      <c r="F3775" s="176"/>
      <c r="G3775" s="175">
        <f t="shared" si="160"/>
        <v>0</v>
      </c>
      <c r="H3775" s="175">
        <f t="shared" si="153"/>
        <v>0</v>
      </c>
      <c r="I3775" s="177">
        <f>IF(G3775=0,0,IF(E3775="MXN",1/HLOOKUP(YEAR(C3775)+(MONTH(C3775)/100),TC!$5:$37,DAY(C3775)+2,FALSE),VLOOKUP(E3775,Equivalencia!$5:$23,((MAX(Equivalencia!$3:$3)-YEAR(C3775))*14)+MONTH(C3775)+2,FALSE)))</f>
        <v>0</v>
      </c>
      <c r="J3775" s="178">
        <f t="shared" si="161"/>
        <v>0</v>
      </c>
      <c r="K3775" s="462">
        <f>IF(C3775=0,0,VLOOKUP(YEAR(C3775),INPC!$B$4:$O$29,MONTH(C3775)+1))</f>
        <v>0</v>
      </c>
      <c r="L3775" s="462">
        <f>IF(S3775=0,0,VLOOKUP(YEAR(S3775),INPC!$B$4:$O$29,MONTH(S3775)+1))</f>
        <v>0</v>
      </c>
      <c r="M3775" s="463">
        <f t="shared" si="154"/>
        <v>0</v>
      </c>
      <c r="N3775" s="465">
        <f t="shared" si="162"/>
        <v>0</v>
      </c>
      <c r="O3775" s="179"/>
      <c r="P3775" s="180"/>
      <c r="Q3775" s="173"/>
      <c r="R3775" s="173"/>
      <c r="S3775" s="174"/>
      <c r="T3775" s="173"/>
      <c r="U3775" s="182"/>
      <c r="V3775" s="177">
        <f>IF(U3775=0,0,IF(T3775="MXN",1/HLOOKUP(YEAR(S3775)+(MONTH(S3775)/100),TC!$5:$37,DAY(S3775)+2,FALSE),VLOOKUP(T3775,Equivalencia!$1:$23,((MAX(Equivalencia!$3:$3)-YEAR(S3775))*14)+MONTH(S3775)+2,FALSE)))</f>
        <v>0</v>
      </c>
      <c r="W3775" s="178">
        <f t="shared" si="159"/>
        <v>0</v>
      </c>
      <c r="X3775" s="481">
        <f t="shared" si="155"/>
        <v>0</v>
      </c>
      <c r="Y3775" s="179"/>
      <c r="Z3775" s="466">
        <f t="shared" si="156"/>
        <v>0</v>
      </c>
      <c r="AA3775" s="473">
        <f t="shared" si="157"/>
        <v>0</v>
      </c>
      <c r="AB3775" s="339">
        <f t="shared" si="158"/>
        <v>0</v>
      </c>
    </row>
    <row r="3776" spans="2:28" ht="20.100000000000001" customHeight="1">
      <c r="B3776" s="172"/>
      <c r="C3776" s="174"/>
      <c r="D3776" s="181"/>
      <c r="E3776" s="173"/>
      <c r="F3776" s="176"/>
      <c r="G3776" s="175">
        <f t="shared" si="160"/>
        <v>0</v>
      </c>
      <c r="H3776" s="175">
        <f t="shared" si="153"/>
        <v>0</v>
      </c>
      <c r="I3776" s="177">
        <f>IF(G3776=0,0,IF(E3776="MXN",1/HLOOKUP(YEAR(C3776)+(MONTH(C3776)/100),TC!$5:$37,DAY(C3776)+2,FALSE),VLOOKUP(E3776,Equivalencia!$5:$23,((MAX(Equivalencia!$3:$3)-YEAR(C3776))*14)+MONTH(C3776)+2,FALSE)))</f>
        <v>0</v>
      </c>
      <c r="J3776" s="178">
        <f t="shared" si="161"/>
        <v>0</v>
      </c>
      <c r="K3776" s="462">
        <f>IF(C3776=0,0,VLOOKUP(YEAR(C3776),INPC!$B$4:$O$29,MONTH(C3776)+1))</f>
        <v>0</v>
      </c>
      <c r="L3776" s="462">
        <f>IF(S3776=0,0,VLOOKUP(YEAR(S3776),INPC!$B$4:$O$29,MONTH(S3776)+1))</f>
        <v>0</v>
      </c>
      <c r="M3776" s="463">
        <f t="shared" si="154"/>
        <v>0</v>
      </c>
      <c r="N3776" s="465">
        <f t="shared" si="162"/>
        <v>0</v>
      </c>
      <c r="O3776" s="179"/>
      <c r="P3776" s="180"/>
      <c r="Q3776" s="173"/>
      <c r="R3776" s="173"/>
      <c r="S3776" s="174"/>
      <c r="T3776" s="173"/>
      <c r="U3776" s="182"/>
      <c r="V3776" s="177">
        <f>IF(U3776=0,0,IF(T3776="MXN",1/HLOOKUP(YEAR(S3776)+(MONTH(S3776)/100),TC!$5:$37,DAY(S3776)+2,FALSE),VLOOKUP(T3776,Equivalencia!$1:$23,((MAX(Equivalencia!$3:$3)-YEAR(S3776))*14)+MONTH(S3776)+2,FALSE)))</f>
        <v>0</v>
      </c>
      <c r="W3776" s="178">
        <f t="shared" si="159"/>
        <v>0</v>
      </c>
      <c r="X3776" s="481">
        <f t="shared" si="155"/>
        <v>0</v>
      </c>
      <c r="Y3776" s="179"/>
      <c r="Z3776" s="466">
        <f t="shared" si="156"/>
        <v>0</v>
      </c>
      <c r="AA3776" s="473">
        <f t="shared" si="157"/>
        <v>0</v>
      </c>
      <c r="AB3776" s="339">
        <f t="shared" si="158"/>
        <v>0</v>
      </c>
    </row>
    <row r="3777" spans="2:28" ht="20.100000000000001" customHeight="1">
      <c r="B3777" s="172"/>
      <c r="C3777" s="174"/>
      <c r="D3777" s="181"/>
      <c r="E3777" s="173"/>
      <c r="F3777" s="176"/>
      <c r="G3777" s="175">
        <f t="shared" si="160"/>
        <v>0</v>
      </c>
      <c r="H3777" s="175">
        <f t="shared" si="153"/>
        <v>0</v>
      </c>
      <c r="I3777" s="177">
        <f>IF(G3777=0,0,IF(E3777="MXN",1/HLOOKUP(YEAR(C3777)+(MONTH(C3777)/100),TC!$5:$37,DAY(C3777)+2,FALSE),VLOOKUP(E3777,Equivalencia!$5:$23,((MAX(Equivalencia!$3:$3)-YEAR(C3777))*14)+MONTH(C3777)+2,FALSE)))</f>
        <v>0</v>
      </c>
      <c r="J3777" s="178">
        <f t="shared" si="161"/>
        <v>0</v>
      </c>
      <c r="K3777" s="462">
        <f>IF(C3777=0,0,VLOOKUP(YEAR(C3777),INPC!$B$4:$O$29,MONTH(C3777)+1))</f>
        <v>0</v>
      </c>
      <c r="L3777" s="462">
        <f>IF(S3777=0,0,VLOOKUP(YEAR(S3777),INPC!$B$4:$O$29,MONTH(S3777)+1))</f>
        <v>0</v>
      </c>
      <c r="M3777" s="463">
        <f t="shared" si="154"/>
        <v>0</v>
      </c>
      <c r="N3777" s="465">
        <f t="shared" si="162"/>
        <v>0</v>
      </c>
      <c r="O3777" s="179"/>
      <c r="P3777" s="180"/>
      <c r="Q3777" s="173"/>
      <c r="R3777" s="173"/>
      <c r="S3777" s="174"/>
      <c r="T3777" s="173"/>
      <c r="U3777" s="182"/>
      <c r="V3777" s="177">
        <f>IF(U3777=0,0,IF(T3777="MXN",1/HLOOKUP(YEAR(S3777)+(MONTH(S3777)/100),TC!$5:$37,DAY(S3777)+2,FALSE),VLOOKUP(T3777,Equivalencia!$1:$23,((MAX(Equivalencia!$3:$3)-YEAR(S3777))*14)+MONTH(S3777)+2,FALSE)))</f>
        <v>0</v>
      </c>
      <c r="W3777" s="178">
        <f t="shared" si="159"/>
        <v>0</v>
      </c>
      <c r="X3777" s="481">
        <f t="shared" si="155"/>
        <v>0</v>
      </c>
      <c r="Y3777" s="179"/>
      <c r="Z3777" s="466">
        <f t="shared" si="156"/>
        <v>0</v>
      </c>
      <c r="AA3777" s="473">
        <f t="shared" si="157"/>
        <v>0</v>
      </c>
      <c r="AB3777" s="339">
        <f t="shared" si="158"/>
        <v>0</v>
      </c>
    </row>
    <row r="3778" spans="2:28" ht="20.100000000000001" customHeight="1">
      <c r="B3778" s="172"/>
      <c r="C3778" s="174"/>
      <c r="D3778" s="181"/>
      <c r="E3778" s="173"/>
      <c r="F3778" s="176"/>
      <c r="G3778" s="175">
        <f t="shared" si="160"/>
        <v>0</v>
      </c>
      <c r="H3778" s="175">
        <f t="shared" si="153"/>
        <v>0</v>
      </c>
      <c r="I3778" s="177">
        <f>IF(G3778=0,0,IF(E3778="MXN",1/HLOOKUP(YEAR(C3778)+(MONTH(C3778)/100),TC!$5:$37,DAY(C3778)+2,FALSE),VLOOKUP(E3778,Equivalencia!$5:$23,((MAX(Equivalencia!$3:$3)-YEAR(C3778))*14)+MONTH(C3778)+2,FALSE)))</f>
        <v>0</v>
      </c>
      <c r="J3778" s="178">
        <f t="shared" si="161"/>
        <v>0</v>
      </c>
      <c r="K3778" s="462">
        <f>IF(C3778=0,0,VLOOKUP(YEAR(C3778),INPC!$B$4:$O$29,MONTH(C3778)+1))</f>
        <v>0</v>
      </c>
      <c r="L3778" s="462">
        <f>IF(S3778=0,0,VLOOKUP(YEAR(S3778),INPC!$B$4:$O$29,MONTH(S3778)+1))</f>
        <v>0</v>
      </c>
      <c r="M3778" s="463">
        <f t="shared" si="154"/>
        <v>0</v>
      </c>
      <c r="N3778" s="465">
        <f t="shared" si="162"/>
        <v>0</v>
      </c>
      <c r="O3778" s="179"/>
      <c r="P3778" s="180"/>
      <c r="Q3778" s="173"/>
      <c r="R3778" s="173"/>
      <c r="S3778" s="174"/>
      <c r="T3778" s="173"/>
      <c r="U3778" s="182"/>
      <c r="V3778" s="177">
        <f>IF(U3778=0,0,IF(T3778="MXN",1/HLOOKUP(YEAR(S3778)+(MONTH(S3778)/100),TC!$5:$37,DAY(S3778)+2,FALSE),VLOOKUP(T3778,Equivalencia!$1:$23,((MAX(Equivalencia!$3:$3)-YEAR(S3778))*14)+MONTH(S3778)+2,FALSE)))</f>
        <v>0</v>
      </c>
      <c r="W3778" s="178">
        <f t="shared" si="159"/>
        <v>0</v>
      </c>
      <c r="X3778" s="481">
        <f t="shared" si="155"/>
        <v>0</v>
      </c>
      <c r="Y3778" s="179"/>
      <c r="Z3778" s="466">
        <f t="shared" si="156"/>
        <v>0</v>
      </c>
      <c r="AA3778" s="473">
        <f t="shared" si="157"/>
        <v>0</v>
      </c>
      <c r="AB3778" s="339">
        <f t="shared" si="158"/>
        <v>0</v>
      </c>
    </row>
    <row r="3779" spans="2:28" ht="20.100000000000001" customHeight="1">
      <c r="B3779" s="172"/>
      <c r="C3779" s="174"/>
      <c r="D3779" s="181"/>
      <c r="E3779" s="173"/>
      <c r="F3779" s="176"/>
      <c r="G3779" s="175">
        <f t="shared" si="160"/>
        <v>0</v>
      </c>
      <c r="H3779" s="175">
        <f t="shared" si="153"/>
        <v>0</v>
      </c>
      <c r="I3779" s="177">
        <f>IF(G3779=0,0,IF(E3779="MXN",1/HLOOKUP(YEAR(C3779)+(MONTH(C3779)/100),TC!$5:$37,DAY(C3779)+2,FALSE),VLOOKUP(E3779,Equivalencia!$5:$23,((MAX(Equivalencia!$3:$3)-YEAR(C3779))*14)+MONTH(C3779)+2,FALSE)))</f>
        <v>0</v>
      </c>
      <c r="J3779" s="178">
        <f t="shared" si="161"/>
        <v>0</v>
      </c>
      <c r="K3779" s="462">
        <f>IF(C3779=0,0,VLOOKUP(YEAR(C3779),INPC!$B$4:$O$29,MONTH(C3779)+1))</f>
        <v>0</v>
      </c>
      <c r="L3779" s="462">
        <f>IF(S3779=0,0,VLOOKUP(YEAR(S3779),INPC!$B$4:$O$29,MONTH(S3779)+1))</f>
        <v>0</v>
      </c>
      <c r="M3779" s="463">
        <f t="shared" si="154"/>
        <v>0</v>
      </c>
      <c r="N3779" s="465">
        <f t="shared" si="162"/>
        <v>0</v>
      </c>
      <c r="O3779" s="179"/>
      <c r="P3779" s="180"/>
      <c r="Q3779" s="173"/>
      <c r="R3779" s="173"/>
      <c r="S3779" s="174"/>
      <c r="T3779" s="173"/>
      <c r="U3779" s="182"/>
      <c r="V3779" s="177">
        <f>IF(U3779=0,0,IF(T3779="MXN",1/HLOOKUP(YEAR(S3779)+(MONTH(S3779)/100),TC!$5:$37,DAY(S3779)+2,FALSE),VLOOKUP(T3779,Equivalencia!$1:$23,((MAX(Equivalencia!$3:$3)-YEAR(S3779))*14)+MONTH(S3779)+2,FALSE)))</f>
        <v>0</v>
      </c>
      <c r="W3779" s="178">
        <f t="shared" si="159"/>
        <v>0</v>
      </c>
      <c r="X3779" s="481">
        <f t="shared" si="155"/>
        <v>0</v>
      </c>
      <c r="Y3779" s="179"/>
      <c r="Z3779" s="466">
        <f t="shared" si="156"/>
        <v>0</v>
      </c>
      <c r="AA3779" s="473">
        <f t="shared" si="157"/>
        <v>0</v>
      </c>
      <c r="AB3779" s="339">
        <f t="shared" si="158"/>
        <v>0</v>
      </c>
    </row>
    <row r="3780" spans="2:28" ht="20.100000000000001" customHeight="1">
      <c r="B3780" s="172"/>
      <c r="C3780" s="174"/>
      <c r="D3780" s="181"/>
      <c r="E3780" s="173"/>
      <c r="F3780" s="176"/>
      <c r="G3780" s="175">
        <f t="shared" si="160"/>
        <v>0</v>
      </c>
      <c r="H3780" s="175">
        <f t="shared" si="153"/>
        <v>0</v>
      </c>
      <c r="I3780" s="177">
        <f>IF(G3780=0,0,IF(E3780="MXN",1/HLOOKUP(YEAR(C3780)+(MONTH(C3780)/100),TC!$5:$37,DAY(C3780)+2,FALSE),VLOOKUP(E3780,Equivalencia!$5:$23,((MAX(Equivalencia!$3:$3)-YEAR(C3780))*14)+MONTH(C3780)+2,FALSE)))</f>
        <v>0</v>
      </c>
      <c r="J3780" s="178">
        <f t="shared" si="161"/>
        <v>0</v>
      </c>
      <c r="K3780" s="462">
        <f>IF(C3780=0,0,VLOOKUP(YEAR(C3780),INPC!$B$4:$O$29,MONTH(C3780)+1))</f>
        <v>0</v>
      </c>
      <c r="L3780" s="462">
        <f>IF(S3780=0,0,VLOOKUP(YEAR(S3780),INPC!$B$4:$O$29,MONTH(S3780)+1))</f>
        <v>0</v>
      </c>
      <c r="M3780" s="463">
        <f t="shared" si="154"/>
        <v>0</v>
      </c>
      <c r="N3780" s="465">
        <f t="shared" si="162"/>
        <v>0</v>
      </c>
      <c r="O3780" s="179"/>
      <c r="P3780" s="180"/>
      <c r="Q3780" s="173"/>
      <c r="R3780" s="173"/>
      <c r="S3780" s="174"/>
      <c r="T3780" s="173"/>
      <c r="U3780" s="182"/>
      <c r="V3780" s="177">
        <f>IF(U3780=0,0,IF(T3780="MXN",1/HLOOKUP(YEAR(S3780)+(MONTH(S3780)/100),TC!$5:$37,DAY(S3780)+2,FALSE),VLOOKUP(T3780,Equivalencia!$1:$23,((MAX(Equivalencia!$3:$3)-YEAR(S3780))*14)+MONTH(S3780)+2,FALSE)))</f>
        <v>0</v>
      </c>
      <c r="W3780" s="178">
        <f t="shared" si="159"/>
        <v>0</v>
      </c>
      <c r="X3780" s="481">
        <f t="shared" si="155"/>
        <v>0</v>
      </c>
      <c r="Y3780" s="179"/>
      <c r="Z3780" s="466">
        <f t="shared" si="156"/>
        <v>0</v>
      </c>
      <c r="AA3780" s="473">
        <f t="shared" si="157"/>
        <v>0</v>
      </c>
      <c r="AB3780" s="339">
        <f t="shared" si="158"/>
        <v>0</v>
      </c>
    </row>
    <row r="3781" spans="2:28" ht="20.100000000000001" customHeight="1">
      <c r="B3781" s="172"/>
      <c r="C3781" s="174"/>
      <c r="D3781" s="181"/>
      <c r="E3781" s="173"/>
      <c r="F3781" s="176"/>
      <c r="G3781" s="175">
        <f t="shared" si="160"/>
        <v>0</v>
      </c>
      <c r="H3781" s="175">
        <f t="shared" si="153"/>
        <v>0</v>
      </c>
      <c r="I3781" s="177">
        <f>IF(G3781=0,0,IF(E3781="MXN",1/HLOOKUP(YEAR(C3781)+(MONTH(C3781)/100),TC!$5:$37,DAY(C3781)+2,FALSE),VLOOKUP(E3781,Equivalencia!$5:$23,((MAX(Equivalencia!$3:$3)-YEAR(C3781))*14)+MONTH(C3781)+2,FALSE)))</f>
        <v>0</v>
      </c>
      <c r="J3781" s="178">
        <f t="shared" si="161"/>
        <v>0</v>
      </c>
      <c r="K3781" s="462">
        <f>IF(C3781=0,0,VLOOKUP(YEAR(C3781),INPC!$B$4:$O$29,MONTH(C3781)+1))</f>
        <v>0</v>
      </c>
      <c r="L3781" s="462">
        <f>IF(S3781=0,0,VLOOKUP(YEAR(S3781),INPC!$B$4:$O$29,MONTH(S3781)+1))</f>
        <v>0</v>
      </c>
      <c r="M3781" s="463">
        <f t="shared" si="154"/>
        <v>0</v>
      </c>
      <c r="N3781" s="465">
        <f t="shared" si="162"/>
        <v>0</v>
      </c>
      <c r="O3781" s="179"/>
      <c r="P3781" s="180"/>
      <c r="Q3781" s="173"/>
      <c r="R3781" s="173"/>
      <c r="S3781" s="174"/>
      <c r="T3781" s="173"/>
      <c r="U3781" s="182"/>
      <c r="V3781" s="177">
        <f>IF(U3781=0,0,IF(T3781="MXN",1/HLOOKUP(YEAR(S3781)+(MONTH(S3781)/100),TC!$5:$37,DAY(S3781)+2,FALSE),VLOOKUP(T3781,Equivalencia!$1:$23,((MAX(Equivalencia!$3:$3)-YEAR(S3781))*14)+MONTH(S3781)+2,FALSE)))</f>
        <v>0</v>
      </c>
      <c r="W3781" s="178">
        <f t="shared" si="159"/>
        <v>0</v>
      </c>
      <c r="X3781" s="481">
        <f t="shared" si="155"/>
        <v>0</v>
      </c>
      <c r="Y3781" s="179"/>
      <c r="Z3781" s="466">
        <f t="shared" si="156"/>
        <v>0</v>
      </c>
      <c r="AA3781" s="473">
        <f t="shared" si="157"/>
        <v>0</v>
      </c>
      <c r="AB3781" s="339">
        <f t="shared" si="158"/>
        <v>0</v>
      </c>
    </row>
    <row r="3782" spans="2:28" ht="20.100000000000001" customHeight="1">
      <c r="B3782" s="172"/>
      <c r="C3782" s="174"/>
      <c r="D3782" s="181"/>
      <c r="E3782" s="173"/>
      <c r="F3782" s="176"/>
      <c r="G3782" s="175">
        <f t="shared" si="160"/>
        <v>0</v>
      </c>
      <c r="H3782" s="175">
        <f t="shared" si="153"/>
        <v>0</v>
      </c>
      <c r="I3782" s="177">
        <f>IF(G3782=0,0,IF(E3782="MXN",1/HLOOKUP(YEAR(C3782)+(MONTH(C3782)/100),TC!$5:$37,DAY(C3782)+2,FALSE),VLOOKUP(E3782,Equivalencia!$5:$23,((MAX(Equivalencia!$3:$3)-YEAR(C3782))*14)+MONTH(C3782)+2,FALSE)))</f>
        <v>0</v>
      </c>
      <c r="J3782" s="178">
        <f t="shared" si="161"/>
        <v>0</v>
      </c>
      <c r="K3782" s="462">
        <f>IF(C3782=0,0,VLOOKUP(YEAR(C3782),INPC!$B$4:$O$29,MONTH(C3782)+1))</f>
        <v>0</v>
      </c>
      <c r="L3782" s="462">
        <f>IF(S3782=0,0,VLOOKUP(YEAR(S3782),INPC!$B$4:$O$29,MONTH(S3782)+1))</f>
        <v>0</v>
      </c>
      <c r="M3782" s="463">
        <f t="shared" si="154"/>
        <v>0</v>
      </c>
      <c r="N3782" s="465">
        <f t="shared" si="162"/>
        <v>0</v>
      </c>
      <c r="O3782" s="179"/>
      <c r="P3782" s="180"/>
      <c r="Q3782" s="173"/>
      <c r="R3782" s="173"/>
      <c r="S3782" s="174"/>
      <c r="T3782" s="173"/>
      <c r="U3782" s="182"/>
      <c r="V3782" s="177">
        <f>IF(U3782=0,0,IF(T3782="MXN",1/HLOOKUP(YEAR(S3782)+(MONTH(S3782)/100),TC!$5:$37,DAY(S3782)+2,FALSE),VLOOKUP(T3782,Equivalencia!$1:$23,((MAX(Equivalencia!$3:$3)-YEAR(S3782))*14)+MONTH(S3782)+2,FALSE)))</f>
        <v>0</v>
      </c>
      <c r="W3782" s="178">
        <f t="shared" si="159"/>
        <v>0</v>
      </c>
      <c r="X3782" s="481">
        <f t="shared" si="155"/>
        <v>0</v>
      </c>
      <c r="Y3782" s="179"/>
      <c r="Z3782" s="466">
        <f t="shared" si="156"/>
        <v>0</v>
      </c>
      <c r="AA3782" s="473">
        <f t="shared" si="157"/>
        <v>0</v>
      </c>
      <c r="AB3782" s="339">
        <f t="shared" si="158"/>
        <v>0</v>
      </c>
    </row>
    <row r="3783" spans="2:28" ht="20.100000000000001" customHeight="1">
      <c r="B3783" s="172"/>
      <c r="C3783" s="174"/>
      <c r="D3783" s="181"/>
      <c r="E3783" s="173"/>
      <c r="F3783" s="176"/>
      <c r="G3783" s="175">
        <f t="shared" si="160"/>
        <v>0</v>
      </c>
      <c r="H3783" s="175">
        <f t="shared" si="153"/>
        <v>0</v>
      </c>
      <c r="I3783" s="177">
        <f>IF(G3783=0,0,IF(E3783="MXN",1/HLOOKUP(YEAR(C3783)+(MONTH(C3783)/100),TC!$5:$37,DAY(C3783)+2,FALSE),VLOOKUP(E3783,Equivalencia!$5:$23,((MAX(Equivalencia!$3:$3)-YEAR(C3783))*14)+MONTH(C3783)+2,FALSE)))</f>
        <v>0</v>
      </c>
      <c r="J3783" s="178">
        <f t="shared" si="161"/>
        <v>0</v>
      </c>
      <c r="K3783" s="462">
        <f>IF(C3783=0,0,VLOOKUP(YEAR(C3783),INPC!$B$4:$O$29,MONTH(C3783)+1))</f>
        <v>0</v>
      </c>
      <c r="L3783" s="462">
        <f>IF(S3783=0,0,VLOOKUP(YEAR(S3783),INPC!$B$4:$O$29,MONTH(S3783)+1))</f>
        <v>0</v>
      </c>
      <c r="M3783" s="463">
        <f t="shared" si="154"/>
        <v>0</v>
      </c>
      <c r="N3783" s="465">
        <f t="shared" si="162"/>
        <v>0</v>
      </c>
      <c r="O3783" s="179"/>
      <c r="P3783" s="180"/>
      <c r="Q3783" s="173"/>
      <c r="R3783" s="173"/>
      <c r="S3783" s="174"/>
      <c r="T3783" s="173"/>
      <c r="U3783" s="182"/>
      <c r="V3783" s="177">
        <f>IF(U3783=0,0,IF(T3783="MXN",1/HLOOKUP(YEAR(S3783)+(MONTH(S3783)/100),TC!$5:$37,DAY(S3783)+2,FALSE),VLOOKUP(T3783,Equivalencia!$1:$23,((MAX(Equivalencia!$3:$3)-YEAR(S3783))*14)+MONTH(S3783)+2,FALSE)))</f>
        <v>0</v>
      </c>
      <c r="W3783" s="178">
        <f t="shared" si="159"/>
        <v>0</v>
      </c>
      <c r="X3783" s="481">
        <f t="shared" si="155"/>
        <v>0</v>
      </c>
      <c r="Y3783" s="179"/>
      <c r="Z3783" s="466">
        <f t="shared" si="156"/>
        <v>0</v>
      </c>
      <c r="AA3783" s="473">
        <f t="shared" si="157"/>
        <v>0</v>
      </c>
      <c r="AB3783" s="339">
        <f t="shared" si="158"/>
        <v>0</v>
      </c>
    </row>
    <row r="3784" spans="2:28" ht="20.100000000000001" customHeight="1">
      <c r="B3784" s="172"/>
      <c r="C3784" s="174"/>
      <c r="D3784" s="181"/>
      <c r="E3784" s="173"/>
      <c r="F3784" s="176"/>
      <c r="G3784" s="175">
        <f t="shared" si="160"/>
        <v>0</v>
      </c>
      <c r="H3784" s="175">
        <f t="shared" si="153"/>
        <v>0</v>
      </c>
      <c r="I3784" s="177">
        <f>IF(G3784=0,0,IF(E3784="MXN",1/HLOOKUP(YEAR(C3784)+(MONTH(C3784)/100),TC!$5:$37,DAY(C3784)+2,FALSE),VLOOKUP(E3784,Equivalencia!$5:$23,((MAX(Equivalencia!$3:$3)-YEAR(C3784))*14)+MONTH(C3784)+2,FALSE)))</f>
        <v>0</v>
      </c>
      <c r="J3784" s="178">
        <f t="shared" si="161"/>
        <v>0</v>
      </c>
      <c r="K3784" s="462">
        <f>IF(C3784=0,0,VLOOKUP(YEAR(C3784),INPC!$B$4:$O$29,MONTH(C3784)+1))</f>
        <v>0</v>
      </c>
      <c r="L3784" s="462">
        <f>IF(S3784=0,0,VLOOKUP(YEAR(S3784),INPC!$B$4:$O$29,MONTH(S3784)+1))</f>
        <v>0</v>
      </c>
      <c r="M3784" s="463">
        <f t="shared" si="154"/>
        <v>0</v>
      </c>
      <c r="N3784" s="465">
        <f t="shared" si="162"/>
        <v>0</v>
      </c>
      <c r="O3784" s="179"/>
      <c r="P3784" s="180"/>
      <c r="Q3784" s="173"/>
      <c r="R3784" s="173"/>
      <c r="S3784" s="174"/>
      <c r="T3784" s="173"/>
      <c r="U3784" s="182"/>
      <c r="V3784" s="177">
        <f>IF(U3784=0,0,IF(T3784="MXN",1/HLOOKUP(YEAR(S3784)+(MONTH(S3784)/100),TC!$5:$37,DAY(S3784)+2,FALSE),VLOOKUP(T3784,Equivalencia!$1:$23,((MAX(Equivalencia!$3:$3)-YEAR(S3784))*14)+MONTH(S3784)+2,FALSE)))</f>
        <v>0</v>
      </c>
      <c r="W3784" s="178">
        <f t="shared" si="159"/>
        <v>0</v>
      </c>
      <c r="X3784" s="481">
        <f t="shared" si="155"/>
        <v>0</v>
      </c>
      <c r="Y3784" s="179"/>
      <c r="Z3784" s="466">
        <f t="shared" si="156"/>
        <v>0</v>
      </c>
      <c r="AA3784" s="473">
        <f t="shared" si="157"/>
        <v>0</v>
      </c>
      <c r="AB3784" s="339">
        <f t="shared" si="158"/>
        <v>0</v>
      </c>
    </row>
    <row r="3785" spans="2:28" ht="20.100000000000001" customHeight="1">
      <c r="B3785" s="172"/>
      <c r="C3785" s="174"/>
      <c r="D3785" s="181"/>
      <c r="E3785" s="173"/>
      <c r="F3785" s="176"/>
      <c r="G3785" s="175">
        <f t="shared" si="160"/>
        <v>0</v>
      </c>
      <c r="H3785" s="175">
        <f t="shared" si="153"/>
        <v>0</v>
      </c>
      <c r="I3785" s="177">
        <f>IF(G3785=0,0,IF(E3785="MXN",1/HLOOKUP(YEAR(C3785)+(MONTH(C3785)/100),TC!$5:$37,DAY(C3785)+2,FALSE),VLOOKUP(E3785,Equivalencia!$5:$23,((MAX(Equivalencia!$3:$3)-YEAR(C3785))*14)+MONTH(C3785)+2,FALSE)))</f>
        <v>0</v>
      </c>
      <c r="J3785" s="178">
        <f t="shared" si="161"/>
        <v>0</v>
      </c>
      <c r="K3785" s="462">
        <f>IF(C3785=0,0,VLOOKUP(YEAR(C3785),INPC!$B$4:$O$29,MONTH(C3785)+1))</f>
        <v>0</v>
      </c>
      <c r="L3785" s="462">
        <f>IF(S3785=0,0,VLOOKUP(YEAR(S3785),INPC!$B$4:$O$29,MONTH(S3785)+1))</f>
        <v>0</v>
      </c>
      <c r="M3785" s="463">
        <f t="shared" si="154"/>
        <v>0</v>
      </c>
      <c r="N3785" s="465">
        <f t="shared" si="162"/>
        <v>0</v>
      </c>
      <c r="O3785" s="179"/>
      <c r="P3785" s="180"/>
      <c r="Q3785" s="173"/>
      <c r="R3785" s="173"/>
      <c r="S3785" s="174"/>
      <c r="T3785" s="173"/>
      <c r="U3785" s="182"/>
      <c r="V3785" s="177">
        <f>IF(U3785=0,0,IF(T3785="MXN",1/HLOOKUP(YEAR(S3785)+(MONTH(S3785)/100),TC!$5:$37,DAY(S3785)+2,FALSE),VLOOKUP(T3785,Equivalencia!$1:$23,((MAX(Equivalencia!$3:$3)-YEAR(S3785))*14)+MONTH(S3785)+2,FALSE)))</f>
        <v>0</v>
      </c>
      <c r="W3785" s="178">
        <f t="shared" si="159"/>
        <v>0</v>
      </c>
      <c r="X3785" s="481">
        <f t="shared" si="155"/>
        <v>0</v>
      </c>
      <c r="Y3785" s="179"/>
      <c r="Z3785" s="466">
        <f t="shared" si="156"/>
        <v>0</v>
      </c>
      <c r="AA3785" s="473">
        <f t="shared" si="157"/>
        <v>0</v>
      </c>
      <c r="AB3785" s="339">
        <f t="shared" si="158"/>
        <v>0</v>
      </c>
    </row>
    <row r="3786" spans="2:28" ht="20.100000000000001" customHeight="1">
      <c r="B3786" s="172"/>
      <c r="C3786" s="174"/>
      <c r="D3786" s="181"/>
      <c r="E3786" s="173"/>
      <c r="F3786" s="176"/>
      <c r="G3786" s="175">
        <f t="shared" si="160"/>
        <v>0</v>
      </c>
      <c r="H3786" s="175">
        <f t="shared" si="153"/>
        <v>0</v>
      </c>
      <c r="I3786" s="177">
        <f>IF(G3786=0,0,IF(E3786="MXN",1/HLOOKUP(YEAR(C3786)+(MONTH(C3786)/100),TC!$5:$37,DAY(C3786)+2,FALSE),VLOOKUP(E3786,Equivalencia!$5:$23,((MAX(Equivalencia!$3:$3)-YEAR(C3786))*14)+MONTH(C3786)+2,FALSE)))</f>
        <v>0</v>
      </c>
      <c r="J3786" s="178">
        <f t="shared" si="161"/>
        <v>0</v>
      </c>
      <c r="K3786" s="462">
        <f>IF(C3786=0,0,VLOOKUP(YEAR(C3786),INPC!$B$4:$O$29,MONTH(C3786)+1))</f>
        <v>0</v>
      </c>
      <c r="L3786" s="462">
        <f>IF(S3786=0,0,VLOOKUP(YEAR(S3786),INPC!$B$4:$O$29,MONTH(S3786)+1))</f>
        <v>0</v>
      </c>
      <c r="M3786" s="463">
        <f t="shared" si="154"/>
        <v>0</v>
      </c>
      <c r="N3786" s="465">
        <f t="shared" si="162"/>
        <v>0</v>
      </c>
      <c r="O3786" s="179"/>
      <c r="P3786" s="180"/>
      <c r="Q3786" s="173"/>
      <c r="R3786" s="173"/>
      <c r="S3786" s="174"/>
      <c r="T3786" s="173"/>
      <c r="U3786" s="182"/>
      <c r="V3786" s="177">
        <f>IF(U3786=0,0,IF(T3786="MXN",1/HLOOKUP(YEAR(S3786)+(MONTH(S3786)/100),TC!$5:$37,DAY(S3786)+2,FALSE),VLOOKUP(T3786,Equivalencia!$1:$23,((MAX(Equivalencia!$3:$3)-YEAR(S3786))*14)+MONTH(S3786)+2,FALSE)))</f>
        <v>0</v>
      </c>
      <c r="W3786" s="178">
        <f t="shared" si="159"/>
        <v>0</v>
      </c>
      <c r="X3786" s="481">
        <f t="shared" si="155"/>
        <v>0</v>
      </c>
      <c r="Y3786" s="179"/>
      <c r="Z3786" s="466">
        <f t="shared" si="156"/>
        <v>0</v>
      </c>
      <c r="AA3786" s="473">
        <f t="shared" si="157"/>
        <v>0</v>
      </c>
      <c r="AB3786" s="339">
        <f t="shared" si="158"/>
        <v>0</v>
      </c>
    </row>
    <row r="3787" spans="2:28" ht="20.100000000000001" customHeight="1">
      <c r="B3787" s="172"/>
      <c r="C3787" s="174"/>
      <c r="D3787" s="181"/>
      <c r="E3787" s="173"/>
      <c r="F3787" s="176"/>
      <c r="G3787" s="175">
        <f t="shared" si="160"/>
        <v>0</v>
      </c>
      <c r="H3787" s="175">
        <f t="shared" si="153"/>
        <v>0</v>
      </c>
      <c r="I3787" s="177">
        <f>IF(G3787=0,0,IF(E3787="MXN",1/HLOOKUP(YEAR(C3787)+(MONTH(C3787)/100),TC!$5:$37,DAY(C3787)+2,FALSE),VLOOKUP(E3787,Equivalencia!$5:$23,((MAX(Equivalencia!$3:$3)-YEAR(C3787))*14)+MONTH(C3787)+2,FALSE)))</f>
        <v>0</v>
      </c>
      <c r="J3787" s="178">
        <f t="shared" si="161"/>
        <v>0</v>
      </c>
      <c r="K3787" s="462">
        <f>IF(C3787=0,0,VLOOKUP(YEAR(C3787),INPC!$B$4:$O$29,MONTH(C3787)+1))</f>
        <v>0</v>
      </c>
      <c r="L3787" s="462">
        <f>IF(S3787=0,0,VLOOKUP(YEAR(S3787),INPC!$B$4:$O$29,MONTH(S3787)+1))</f>
        <v>0</v>
      </c>
      <c r="M3787" s="463">
        <f t="shared" si="154"/>
        <v>0</v>
      </c>
      <c r="N3787" s="465">
        <f t="shared" si="162"/>
        <v>0</v>
      </c>
      <c r="O3787" s="179"/>
      <c r="P3787" s="180"/>
      <c r="Q3787" s="173"/>
      <c r="R3787" s="173"/>
      <c r="S3787" s="174"/>
      <c r="T3787" s="173"/>
      <c r="U3787" s="182"/>
      <c r="V3787" s="177">
        <f>IF(U3787=0,0,IF(T3787="MXN",1/HLOOKUP(YEAR(S3787)+(MONTH(S3787)/100),TC!$5:$37,DAY(S3787)+2,FALSE),VLOOKUP(T3787,Equivalencia!$1:$23,((MAX(Equivalencia!$3:$3)-YEAR(S3787))*14)+MONTH(S3787)+2,FALSE)))</f>
        <v>0</v>
      </c>
      <c r="W3787" s="178">
        <f t="shared" si="159"/>
        <v>0</v>
      </c>
      <c r="X3787" s="481">
        <f t="shared" si="155"/>
        <v>0</v>
      </c>
      <c r="Y3787" s="179"/>
      <c r="Z3787" s="466">
        <f t="shared" si="156"/>
        <v>0</v>
      </c>
      <c r="AA3787" s="473">
        <f t="shared" si="157"/>
        <v>0</v>
      </c>
      <c r="AB3787" s="339">
        <f t="shared" si="158"/>
        <v>0</v>
      </c>
    </row>
    <row r="3788" spans="2:28" ht="20.100000000000001" customHeight="1">
      <c r="B3788" s="172"/>
      <c r="C3788" s="174"/>
      <c r="D3788" s="181"/>
      <c r="E3788" s="173"/>
      <c r="F3788" s="176"/>
      <c r="G3788" s="175">
        <f t="shared" si="160"/>
        <v>0</v>
      </c>
      <c r="H3788" s="175">
        <f t="shared" si="153"/>
        <v>0</v>
      </c>
      <c r="I3788" s="177">
        <f>IF(G3788=0,0,IF(E3788="MXN",1/HLOOKUP(YEAR(C3788)+(MONTH(C3788)/100),TC!$5:$37,DAY(C3788)+2,FALSE),VLOOKUP(E3788,Equivalencia!$5:$23,((MAX(Equivalencia!$3:$3)-YEAR(C3788))*14)+MONTH(C3788)+2,FALSE)))</f>
        <v>0</v>
      </c>
      <c r="J3788" s="178">
        <f t="shared" si="161"/>
        <v>0</v>
      </c>
      <c r="K3788" s="462">
        <f>IF(C3788=0,0,VLOOKUP(YEAR(C3788),INPC!$B$4:$O$29,MONTH(C3788)+1))</f>
        <v>0</v>
      </c>
      <c r="L3788" s="462">
        <f>IF(S3788=0,0,VLOOKUP(YEAR(S3788),INPC!$B$4:$O$29,MONTH(S3788)+1))</f>
        <v>0</v>
      </c>
      <c r="M3788" s="463">
        <f t="shared" si="154"/>
        <v>0</v>
      </c>
      <c r="N3788" s="465">
        <f t="shared" si="162"/>
        <v>0</v>
      </c>
      <c r="O3788" s="179"/>
      <c r="P3788" s="180"/>
      <c r="Q3788" s="173"/>
      <c r="R3788" s="173"/>
      <c r="S3788" s="174"/>
      <c r="T3788" s="173"/>
      <c r="U3788" s="182"/>
      <c r="V3788" s="177">
        <f>IF(U3788=0,0,IF(T3788="MXN",1/HLOOKUP(YEAR(S3788)+(MONTH(S3788)/100),TC!$5:$37,DAY(S3788)+2,FALSE),VLOOKUP(T3788,Equivalencia!$1:$23,((MAX(Equivalencia!$3:$3)-YEAR(S3788))*14)+MONTH(S3788)+2,FALSE)))</f>
        <v>0</v>
      </c>
      <c r="W3788" s="178">
        <f t="shared" si="159"/>
        <v>0</v>
      </c>
      <c r="X3788" s="481">
        <f t="shared" si="155"/>
        <v>0</v>
      </c>
      <c r="Y3788" s="179"/>
      <c r="Z3788" s="466">
        <f t="shared" si="156"/>
        <v>0</v>
      </c>
      <c r="AA3788" s="473">
        <f t="shared" si="157"/>
        <v>0</v>
      </c>
      <c r="AB3788" s="339">
        <f t="shared" si="158"/>
        <v>0</v>
      </c>
    </row>
    <row r="3789" spans="2:28" ht="20.100000000000001" customHeight="1">
      <c r="B3789" s="172"/>
      <c r="C3789" s="174"/>
      <c r="D3789" s="181"/>
      <c r="E3789" s="173"/>
      <c r="F3789" s="176"/>
      <c r="G3789" s="175">
        <f t="shared" si="160"/>
        <v>0</v>
      </c>
      <c r="H3789" s="175">
        <f t="shared" si="153"/>
        <v>0</v>
      </c>
      <c r="I3789" s="177">
        <f>IF(G3789=0,0,IF(E3789="MXN",1/HLOOKUP(YEAR(C3789)+(MONTH(C3789)/100),TC!$5:$37,DAY(C3789)+2,FALSE),VLOOKUP(E3789,Equivalencia!$5:$23,((MAX(Equivalencia!$3:$3)-YEAR(C3789))*14)+MONTH(C3789)+2,FALSE)))</f>
        <v>0</v>
      </c>
      <c r="J3789" s="178">
        <f t="shared" si="161"/>
        <v>0</v>
      </c>
      <c r="K3789" s="462">
        <f>IF(C3789=0,0,VLOOKUP(YEAR(C3789),INPC!$B$4:$O$29,MONTH(C3789)+1))</f>
        <v>0</v>
      </c>
      <c r="L3789" s="462">
        <f>IF(S3789=0,0,VLOOKUP(YEAR(S3789),INPC!$B$4:$O$29,MONTH(S3789)+1))</f>
        <v>0</v>
      </c>
      <c r="M3789" s="463">
        <f t="shared" si="154"/>
        <v>0</v>
      </c>
      <c r="N3789" s="465">
        <f t="shared" si="162"/>
        <v>0</v>
      </c>
      <c r="O3789" s="179"/>
      <c r="P3789" s="180"/>
      <c r="Q3789" s="173"/>
      <c r="R3789" s="173"/>
      <c r="S3789" s="174"/>
      <c r="T3789" s="173"/>
      <c r="U3789" s="182"/>
      <c r="V3789" s="177">
        <f>IF(U3789=0,0,IF(T3789="MXN",1/HLOOKUP(YEAR(S3789)+(MONTH(S3789)/100),TC!$5:$37,DAY(S3789)+2,FALSE),VLOOKUP(T3789,Equivalencia!$1:$23,((MAX(Equivalencia!$3:$3)-YEAR(S3789))*14)+MONTH(S3789)+2,FALSE)))</f>
        <v>0</v>
      </c>
      <c r="W3789" s="178">
        <f t="shared" si="159"/>
        <v>0</v>
      </c>
      <c r="X3789" s="481">
        <f t="shared" si="155"/>
        <v>0</v>
      </c>
      <c r="Y3789" s="179"/>
      <c r="Z3789" s="466">
        <f t="shared" si="156"/>
        <v>0</v>
      </c>
      <c r="AA3789" s="473">
        <f t="shared" si="157"/>
        <v>0</v>
      </c>
      <c r="AB3789" s="339">
        <f t="shared" si="158"/>
        <v>0</v>
      </c>
    </row>
    <row r="3790" spans="2:28" ht="20.100000000000001" customHeight="1">
      <c r="B3790" s="172"/>
      <c r="C3790" s="174"/>
      <c r="D3790" s="181"/>
      <c r="E3790" s="173"/>
      <c r="F3790" s="176"/>
      <c r="G3790" s="175">
        <f t="shared" si="160"/>
        <v>0</v>
      </c>
      <c r="H3790" s="175">
        <f t="shared" si="153"/>
        <v>0</v>
      </c>
      <c r="I3790" s="177">
        <f>IF(G3790=0,0,IF(E3790="MXN",1/HLOOKUP(YEAR(C3790)+(MONTH(C3790)/100),TC!$5:$37,DAY(C3790)+2,FALSE),VLOOKUP(E3790,Equivalencia!$5:$23,((MAX(Equivalencia!$3:$3)-YEAR(C3790))*14)+MONTH(C3790)+2,FALSE)))</f>
        <v>0</v>
      </c>
      <c r="J3790" s="178">
        <f t="shared" si="161"/>
        <v>0</v>
      </c>
      <c r="K3790" s="462">
        <f>IF(C3790=0,0,VLOOKUP(YEAR(C3790),INPC!$B$4:$O$29,MONTH(C3790)+1))</f>
        <v>0</v>
      </c>
      <c r="L3790" s="462">
        <f>IF(S3790=0,0,VLOOKUP(YEAR(S3790),INPC!$B$4:$O$29,MONTH(S3790)+1))</f>
        <v>0</v>
      </c>
      <c r="M3790" s="463">
        <f t="shared" si="154"/>
        <v>0</v>
      </c>
      <c r="N3790" s="465">
        <f t="shared" si="162"/>
        <v>0</v>
      </c>
      <c r="O3790" s="179"/>
      <c r="P3790" s="180"/>
      <c r="Q3790" s="173"/>
      <c r="R3790" s="173"/>
      <c r="S3790" s="174"/>
      <c r="T3790" s="173"/>
      <c r="U3790" s="182"/>
      <c r="V3790" s="177">
        <f>IF(U3790=0,0,IF(T3790="MXN",1/HLOOKUP(YEAR(S3790)+(MONTH(S3790)/100),TC!$5:$37,DAY(S3790)+2,FALSE),VLOOKUP(T3790,Equivalencia!$1:$23,((MAX(Equivalencia!$3:$3)-YEAR(S3790))*14)+MONTH(S3790)+2,FALSE)))</f>
        <v>0</v>
      </c>
      <c r="W3790" s="178">
        <f t="shared" si="159"/>
        <v>0</v>
      </c>
      <c r="X3790" s="481">
        <f t="shared" si="155"/>
        <v>0</v>
      </c>
      <c r="Y3790" s="179"/>
      <c r="Z3790" s="466">
        <f t="shared" si="156"/>
        <v>0</v>
      </c>
      <c r="AA3790" s="473">
        <f t="shared" si="157"/>
        <v>0</v>
      </c>
      <c r="AB3790" s="339">
        <f t="shared" si="158"/>
        <v>0</v>
      </c>
    </row>
    <row r="3791" spans="2:28" ht="20.100000000000001" customHeight="1">
      <c r="B3791" s="172"/>
      <c r="C3791" s="174"/>
      <c r="D3791" s="181"/>
      <c r="E3791" s="173"/>
      <c r="F3791" s="176"/>
      <c r="G3791" s="175">
        <f t="shared" si="160"/>
        <v>0</v>
      </c>
      <c r="H3791" s="175">
        <f t="shared" si="153"/>
        <v>0</v>
      </c>
      <c r="I3791" s="177">
        <f>IF(G3791=0,0,IF(E3791="MXN",1/HLOOKUP(YEAR(C3791)+(MONTH(C3791)/100),TC!$5:$37,DAY(C3791)+2,FALSE),VLOOKUP(E3791,Equivalencia!$5:$23,((MAX(Equivalencia!$3:$3)-YEAR(C3791))*14)+MONTH(C3791)+2,FALSE)))</f>
        <v>0</v>
      </c>
      <c r="J3791" s="178">
        <f t="shared" si="161"/>
        <v>0</v>
      </c>
      <c r="K3791" s="462">
        <f>IF(C3791=0,0,VLOOKUP(YEAR(C3791),INPC!$B$4:$O$29,MONTH(C3791)+1))</f>
        <v>0</v>
      </c>
      <c r="L3791" s="462">
        <f>IF(S3791=0,0,VLOOKUP(YEAR(S3791),INPC!$B$4:$O$29,MONTH(S3791)+1))</f>
        <v>0</v>
      </c>
      <c r="M3791" s="463">
        <f t="shared" si="154"/>
        <v>0</v>
      </c>
      <c r="N3791" s="465">
        <f t="shared" si="162"/>
        <v>0</v>
      </c>
      <c r="O3791" s="179"/>
      <c r="P3791" s="180"/>
      <c r="Q3791" s="173"/>
      <c r="R3791" s="173"/>
      <c r="S3791" s="174"/>
      <c r="T3791" s="173"/>
      <c r="U3791" s="182"/>
      <c r="V3791" s="177">
        <f>IF(U3791=0,0,IF(T3791="MXN",1/HLOOKUP(YEAR(S3791)+(MONTH(S3791)/100),TC!$5:$37,DAY(S3791)+2,FALSE),VLOOKUP(T3791,Equivalencia!$1:$23,((MAX(Equivalencia!$3:$3)-YEAR(S3791))*14)+MONTH(S3791)+2,FALSE)))</f>
        <v>0</v>
      </c>
      <c r="W3791" s="178">
        <f t="shared" si="159"/>
        <v>0</v>
      </c>
      <c r="X3791" s="481">
        <f t="shared" si="155"/>
        <v>0</v>
      </c>
      <c r="Y3791" s="179"/>
      <c r="Z3791" s="466">
        <f t="shared" si="156"/>
        <v>0</v>
      </c>
      <c r="AA3791" s="473">
        <f t="shared" si="157"/>
        <v>0</v>
      </c>
      <c r="AB3791" s="339">
        <f t="shared" si="158"/>
        <v>0</v>
      </c>
    </row>
    <row r="3792" spans="2:28" ht="20.100000000000001" customHeight="1">
      <c r="B3792" s="172"/>
      <c r="C3792" s="174"/>
      <c r="D3792" s="181"/>
      <c r="E3792" s="173"/>
      <c r="F3792" s="176"/>
      <c r="G3792" s="175">
        <f t="shared" si="160"/>
        <v>0</v>
      </c>
      <c r="H3792" s="175">
        <f t="shared" si="153"/>
        <v>0</v>
      </c>
      <c r="I3792" s="177">
        <f>IF(G3792=0,0,IF(E3792="MXN",1/HLOOKUP(YEAR(C3792)+(MONTH(C3792)/100),TC!$5:$37,DAY(C3792)+2,FALSE),VLOOKUP(E3792,Equivalencia!$5:$23,((MAX(Equivalencia!$3:$3)-YEAR(C3792))*14)+MONTH(C3792)+2,FALSE)))</f>
        <v>0</v>
      </c>
      <c r="J3792" s="178">
        <f t="shared" si="161"/>
        <v>0</v>
      </c>
      <c r="K3792" s="462">
        <f>IF(C3792=0,0,VLOOKUP(YEAR(C3792),INPC!$B$4:$O$29,MONTH(C3792)+1))</f>
        <v>0</v>
      </c>
      <c r="L3792" s="462">
        <f>IF(S3792=0,0,VLOOKUP(YEAR(S3792),INPC!$B$4:$O$29,MONTH(S3792)+1))</f>
        <v>0</v>
      </c>
      <c r="M3792" s="463">
        <f t="shared" si="154"/>
        <v>0</v>
      </c>
      <c r="N3792" s="465">
        <f t="shared" si="162"/>
        <v>0</v>
      </c>
      <c r="O3792" s="179"/>
      <c r="P3792" s="180"/>
      <c r="Q3792" s="173"/>
      <c r="R3792" s="173"/>
      <c r="S3792" s="174"/>
      <c r="T3792" s="173"/>
      <c r="U3792" s="182"/>
      <c r="V3792" s="177">
        <f>IF(U3792=0,0,IF(T3792="MXN",1/HLOOKUP(YEAR(S3792)+(MONTH(S3792)/100),TC!$5:$37,DAY(S3792)+2,FALSE),VLOOKUP(T3792,Equivalencia!$1:$23,((MAX(Equivalencia!$3:$3)-YEAR(S3792))*14)+MONTH(S3792)+2,FALSE)))</f>
        <v>0</v>
      </c>
      <c r="W3792" s="178">
        <f t="shared" si="159"/>
        <v>0</v>
      </c>
      <c r="X3792" s="481">
        <f t="shared" si="155"/>
        <v>0</v>
      </c>
      <c r="Y3792" s="179"/>
      <c r="Z3792" s="466">
        <f t="shared" si="156"/>
        <v>0</v>
      </c>
      <c r="AA3792" s="473">
        <f t="shared" si="157"/>
        <v>0</v>
      </c>
      <c r="AB3792" s="339">
        <f t="shared" si="158"/>
        <v>0</v>
      </c>
    </row>
    <row r="3793" spans="2:28" ht="20.100000000000001" customHeight="1">
      <c r="B3793" s="172"/>
      <c r="C3793" s="174"/>
      <c r="D3793" s="181"/>
      <c r="E3793" s="173"/>
      <c r="F3793" s="176"/>
      <c r="G3793" s="175">
        <f t="shared" si="160"/>
        <v>0</v>
      </c>
      <c r="H3793" s="175">
        <f t="shared" si="153"/>
        <v>0</v>
      </c>
      <c r="I3793" s="177">
        <f>IF(G3793=0,0,IF(E3793="MXN",1/HLOOKUP(YEAR(C3793)+(MONTH(C3793)/100),TC!$5:$37,DAY(C3793)+2,FALSE),VLOOKUP(E3793,Equivalencia!$5:$23,((MAX(Equivalencia!$3:$3)-YEAR(C3793))*14)+MONTH(C3793)+2,FALSE)))</f>
        <v>0</v>
      </c>
      <c r="J3793" s="178">
        <f t="shared" si="161"/>
        <v>0</v>
      </c>
      <c r="K3793" s="462">
        <f>IF(C3793=0,0,VLOOKUP(YEAR(C3793),INPC!$B$4:$O$29,MONTH(C3793)+1))</f>
        <v>0</v>
      </c>
      <c r="L3793" s="462">
        <f>IF(S3793=0,0,VLOOKUP(YEAR(S3793),INPC!$B$4:$O$29,MONTH(S3793)+1))</f>
        <v>0</v>
      </c>
      <c r="M3793" s="463">
        <f t="shared" si="154"/>
        <v>0</v>
      </c>
      <c r="N3793" s="465">
        <f t="shared" si="162"/>
        <v>0</v>
      </c>
      <c r="O3793" s="179"/>
      <c r="P3793" s="180"/>
      <c r="Q3793" s="173"/>
      <c r="R3793" s="173"/>
      <c r="S3793" s="174"/>
      <c r="T3793" s="173"/>
      <c r="U3793" s="182"/>
      <c r="V3793" s="177">
        <f>IF(U3793=0,0,IF(T3793="MXN",1/HLOOKUP(YEAR(S3793)+(MONTH(S3793)/100),TC!$5:$37,DAY(S3793)+2,FALSE),VLOOKUP(T3793,Equivalencia!$1:$23,((MAX(Equivalencia!$3:$3)-YEAR(S3793))*14)+MONTH(S3793)+2,FALSE)))</f>
        <v>0</v>
      </c>
      <c r="W3793" s="178">
        <f t="shared" si="159"/>
        <v>0</v>
      </c>
      <c r="X3793" s="481">
        <f t="shared" si="155"/>
        <v>0</v>
      </c>
      <c r="Y3793" s="179"/>
      <c r="Z3793" s="466">
        <f t="shared" si="156"/>
        <v>0</v>
      </c>
      <c r="AA3793" s="473">
        <f t="shared" si="157"/>
        <v>0</v>
      </c>
      <c r="AB3793" s="339">
        <f t="shared" si="158"/>
        <v>0</v>
      </c>
    </row>
    <row r="3794" spans="2:28" ht="20.100000000000001" customHeight="1">
      <c r="B3794" s="172"/>
      <c r="C3794" s="174"/>
      <c r="D3794" s="181"/>
      <c r="E3794" s="173"/>
      <c r="F3794" s="176"/>
      <c r="G3794" s="175">
        <f t="shared" si="160"/>
        <v>0</v>
      </c>
      <c r="H3794" s="175">
        <f t="shared" si="153"/>
        <v>0</v>
      </c>
      <c r="I3794" s="177">
        <f>IF(G3794=0,0,IF(E3794="MXN",1/HLOOKUP(YEAR(C3794)+(MONTH(C3794)/100),TC!$5:$37,DAY(C3794)+2,FALSE),VLOOKUP(E3794,Equivalencia!$5:$23,((MAX(Equivalencia!$3:$3)-YEAR(C3794))*14)+MONTH(C3794)+2,FALSE)))</f>
        <v>0</v>
      </c>
      <c r="J3794" s="178">
        <f t="shared" si="161"/>
        <v>0</v>
      </c>
      <c r="K3794" s="462">
        <f>IF(C3794=0,0,VLOOKUP(YEAR(C3794),INPC!$B$4:$O$29,MONTH(C3794)+1))</f>
        <v>0</v>
      </c>
      <c r="L3794" s="462">
        <f>IF(S3794=0,0,VLOOKUP(YEAR(S3794),INPC!$B$4:$O$29,MONTH(S3794)+1))</f>
        <v>0</v>
      </c>
      <c r="M3794" s="463">
        <f t="shared" si="154"/>
        <v>0</v>
      </c>
      <c r="N3794" s="465">
        <f t="shared" si="162"/>
        <v>0</v>
      </c>
      <c r="O3794" s="179"/>
      <c r="P3794" s="180"/>
      <c r="Q3794" s="173"/>
      <c r="R3794" s="173"/>
      <c r="S3794" s="174"/>
      <c r="T3794" s="173"/>
      <c r="U3794" s="182"/>
      <c r="V3794" s="177">
        <f>IF(U3794=0,0,IF(T3794="MXN",1/HLOOKUP(YEAR(S3794)+(MONTH(S3794)/100),TC!$5:$37,DAY(S3794)+2,FALSE),VLOOKUP(T3794,Equivalencia!$1:$23,((MAX(Equivalencia!$3:$3)-YEAR(S3794))*14)+MONTH(S3794)+2,FALSE)))</f>
        <v>0</v>
      </c>
      <c r="W3794" s="178">
        <f t="shared" si="159"/>
        <v>0</v>
      </c>
      <c r="X3794" s="481">
        <f t="shared" si="155"/>
        <v>0</v>
      </c>
      <c r="Y3794" s="179"/>
      <c r="Z3794" s="466">
        <f t="shared" si="156"/>
        <v>0</v>
      </c>
      <c r="AA3794" s="473">
        <f t="shared" si="157"/>
        <v>0</v>
      </c>
      <c r="AB3794" s="339">
        <f t="shared" si="158"/>
        <v>0</v>
      </c>
    </row>
    <row r="3795" spans="2:28" ht="20.100000000000001" customHeight="1">
      <c r="B3795" s="172"/>
      <c r="C3795" s="174"/>
      <c r="D3795" s="181"/>
      <c r="E3795" s="173"/>
      <c r="F3795" s="176"/>
      <c r="G3795" s="175">
        <f t="shared" si="160"/>
        <v>0</v>
      </c>
      <c r="H3795" s="175">
        <f t="shared" si="153"/>
        <v>0</v>
      </c>
      <c r="I3795" s="177">
        <f>IF(G3795=0,0,IF(E3795="MXN",1/HLOOKUP(YEAR(C3795)+(MONTH(C3795)/100),TC!$5:$37,DAY(C3795)+2,FALSE),VLOOKUP(E3795,Equivalencia!$5:$23,((MAX(Equivalencia!$3:$3)-YEAR(C3795))*14)+MONTH(C3795)+2,FALSE)))</f>
        <v>0</v>
      </c>
      <c r="J3795" s="178">
        <f t="shared" si="161"/>
        <v>0</v>
      </c>
      <c r="K3795" s="462">
        <f>IF(C3795=0,0,VLOOKUP(YEAR(C3795),INPC!$B$4:$O$29,MONTH(C3795)+1))</f>
        <v>0</v>
      </c>
      <c r="L3795" s="462">
        <f>IF(S3795=0,0,VLOOKUP(YEAR(S3795),INPC!$B$4:$O$29,MONTH(S3795)+1))</f>
        <v>0</v>
      </c>
      <c r="M3795" s="463">
        <f t="shared" si="154"/>
        <v>0</v>
      </c>
      <c r="N3795" s="465">
        <f t="shared" si="162"/>
        <v>0</v>
      </c>
      <c r="O3795" s="179"/>
      <c r="P3795" s="180"/>
      <c r="Q3795" s="173"/>
      <c r="R3795" s="173"/>
      <c r="S3795" s="174"/>
      <c r="T3795" s="173"/>
      <c r="U3795" s="182"/>
      <c r="V3795" s="177">
        <f>IF(U3795=0,0,IF(T3795="MXN",1/HLOOKUP(YEAR(S3795)+(MONTH(S3795)/100),TC!$5:$37,DAY(S3795)+2,FALSE),VLOOKUP(T3795,Equivalencia!$1:$23,((MAX(Equivalencia!$3:$3)-YEAR(S3795))*14)+MONTH(S3795)+2,FALSE)))</f>
        <v>0</v>
      </c>
      <c r="W3795" s="178">
        <f t="shared" si="159"/>
        <v>0</v>
      </c>
      <c r="X3795" s="481">
        <f t="shared" si="155"/>
        <v>0</v>
      </c>
      <c r="Y3795" s="179"/>
      <c r="Z3795" s="466">
        <f t="shared" si="156"/>
        <v>0</v>
      </c>
      <c r="AA3795" s="473">
        <f t="shared" si="157"/>
        <v>0</v>
      </c>
      <c r="AB3795" s="339">
        <f t="shared" si="158"/>
        <v>0</v>
      </c>
    </row>
    <row r="3796" spans="2:28" ht="20.100000000000001" customHeight="1">
      <c r="B3796" s="172"/>
      <c r="C3796" s="174"/>
      <c r="D3796" s="181"/>
      <c r="E3796" s="173"/>
      <c r="F3796" s="176"/>
      <c r="G3796" s="175">
        <f t="shared" si="160"/>
        <v>0</v>
      </c>
      <c r="H3796" s="175">
        <f t="shared" si="153"/>
        <v>0</v>
      </c>
      <c r="I3796" s="177">
        <f>IF(G3796=0,0,IF(E3796="MXN",1/HLOOKUP(YEAR(C3796)+(MONTH(C3796)/100),TC!$5:$37,DAY(C3796)+2,FALSE),VLOOKUP(E3796,Equivalencia!$5:$23,((MAX(Equivalencia!$3:$3)-YEAR(C3796))*14)+MONTH(C3796)+2,FALSE)))</f>
        <v>0</v>
      </c>
      <c r="J3796" s="178">
        <f t="shared" si="161"/>
        <v>0</v>
      </c>
      <c r="K3796" s="462">
        <f>IF(C3796=0,0,VLOOKUP(YEAR(C3796),INPC!$B$4:$O$29,MONTH(C3796)+1))</f>
        <v>0</v>
      </c>
      <c r="L3796" s="462">
        <f>IF(S3796=0,0,VLOOKUP(YEAR(S3796),INPC!$B$4:$O$29,MONTH(S3796)+1))</f>
        <v>0</v>
      </c>
      <c r="M3796" s="463">
        <f t="shared" si="154"/>
        <v>0</v>
      </c>
      <c r="N3796" s="465">
        <f t="shared" si="162"/>
        <v>0</v>
      </c>
      <c r="O3796" s="179"/>
      <c r="P3796" s="180"/>
      <c r="Q3796" s="173"/>
      <c r="R3796" s="173"/>
      <c r="S3796" s="174"/>
      <c r="T3796" s="173"/>
      <c r="U3796" s="182"/>
      <c r="V3796" s="177">
        <f>IF(U3796=0,0,IF(T3796="MXN",1/HLOOKUP(YEAR(S3796)+(MONTH(S3796)/100),TC!$5:$37,DAY(S3796)+2,FALSE),VLOOKUP(T3796,Equivalencia!$1:$23,((MAX(Equivalencia!$3:$3)-YEAR(S3796))*14)+MONTH(S3796)+2,FALSE)))</f>
        <v>0</v>
      </c>
      <c r="W3796" s="178">
        <f t="shared" si="159"/>
        <v>0</v>
      </c>
      <c r="X3796" s="481">
        <f t="shared" si="155"/>
        <v>0</v>
      </c>
      <c r="Y3796" s="179"/>
      <c r="Z3796" s="466">
        <f t="shared" si="156"/>
        <v>0</v>
      </c>
      <c r="AA3796" s="473">
        <f t="shared" si="157"/>
        <v>0</v>
      </c>
      <c r="AB3796" s="339">
        <f t="shared" si="158"/>
        <v>0</v>
      </c>
    </row>
    <row r="3797" spans="2:28" ht="20.100000000000001" customHeight="1">
      <c r="B3797" s="172"/>
      <c r="C3797" s="174"/>
      <c r="D3797" s="181"/>
      <c r="E3797" s="173"/>
      <c r="F3797" s="176"/>
      <c r="G3797" s="175">
        <f t="shared" si="160"/>
        <v>0</v>
      </c>
      <c r="H3797" s="175">
        <f t="shared" si="153"/>
        <v>0</v>
      </c>
      <c r="I3797" s="177">
        <f>IF(G3797=0,0,IF(E3797="MXN",1/HLOOKUP(YEAR(C3797)+(MONTH(C3797)/100),TC!$5:$37,DAY(C3797)+2,FALSE),VLOOKUP(E3797,Equivalencia!$5:$23,((MAX(Equivalencia!$3:$3)-YEAR(C3797))*14)+MONTH(C3797)+2,FALSE)))</f>
        <v>0</v>
      </c>
      <c r="J3797" s="178">
        <f t="shared" si="161"/>
        <v>0</v>
      </c>
      <c r="K3797" s="462">
        <f>IF(C3797=0,0,VLOOKUP(YEAR(C3797),INPC!$B$4:$O$29,MONTH(C3797)+1))</f>
        <v>0</v>
      </c>
      <c r="L3797" s="462">
        <f>IF(S3797=0,0,VLOOKUP(YEAR(S3797),INPC!$B$4:$O$29,MONTH(S3797)+1))</f>
        <v>0</v>
      </c>
      <c r="M3797" s="463">
        <f t="shared" si="154"/>
        <v>0</v>
      </c>
      <c r="N3797" s="465">
        <f t="shared" si="162"/>
        <v>0</v>
      </c>
      <c r="O3797" s="179"/>
      <c r="P3797" s="180"/>
      <c r="Q3797" s="173"/>
      <c r="R3797" s="173"/>
      <c r="S3797" s="174"/>
      <c r="T3797" s="173"/>
      <c r="U3797" s="182"/>
      <c r="V3797" s="177">
        <f>IF(U3797=0,0,IF(T3797="MXN",1/HLOOKUP(YEAR(S3797)+(MONTH(S3797)/100),TC!$5:$37,DAY(S3797)+2,FALSE),VLOOKUP(T3797,Equivalencia!$1:$23,((MAX(Equivalencia!$3:$3)-YEAR(S3797))*14)+MONTH(S3797)+2,FALSE)))</f>
        <v>0</v>
      </c>
      <c r="W3797" s="178">
        <f t="shared" si="159"/>
        <v>0</v>
      </c>
      <c r="X3797" s="481">
        <f t="shared" si="155"/>
        <v>0</v>
      </c>
      <c r="Y3797" s="179"/>
      <c r="Z3797" s="466">
        <f t="shared" si="156"/>
        <v>0</v>
      </c>
      <c r="AA3797" s="473">
        <f t="shared" si="157"/>
        <v>0</v>
      </c>
      <c r="AB3797" s="339">
        <f t="shared" si="158"/>
        <v>0</v>
      </c>
    </row>
    <row r="3798" spans="2:28" ht="20.100000000000001" customHeight="1">
      <c r="B3798" s="172"/>
      <c r="C3798" s="174"/>
      <c r="D3798" s="181"/>
      <c r="E3798" s="173"/>
      <c r="F3798" s="176"/>
      <c r="G3798" s="175">
        <f t="shared" si="160"/>
        <v>0</v>
      </c>
      <c r="H3798" s="175">
        <f t="shared" si="153"/>
        <v>0</v>
      </c>
      <c r="I3798" s="177">
        <f>IF(G3798=0,0,IF(E3798="MXN",1/HLOOKUP(YEAR(C3798)+(MONTH(C3798)/100),TC!$5:$37,DAY(C3798)+2,FALSE),VLOOKUP(E3798,Equivalencia!$5:$23,((MAX(Equivalencia!$3:$3)-YEAR(C3798))*14)+MONTH(C3798)+2,FALSE)))</f>
        <v>0</v>
      </c>
      <c r="J3798" s="178">
        <f t="shared" si="161"/>
        <v>0</v>
      </c>
      <c r="K3798" s="462">
        <f>IF(C3798=0,0,VLOOKUP(YEAR(C3798),INPC!$B$4:$O$29,MONTH(C3798)+1))</f>
        <v>0</v>
      </c>
      <c r="L3798" s="462">
        <f>IF(S3798=0,0,VLOOKUP(YEAR(S3798),INPC!$B$4:$O$29,MONTH(S3798)+1))</f>
        <v>0</v>
      </c>
      <c r="M3798" s="463">
        <f t="shared" si="154"/>
        <v>0</v>
      </c>
      <c r="N3798" s="465">
        <f t="shared" si="162"/>
        <v>0</v>
      </c>
      <c r="O3798" s="179"/>
      <c r="P3798" s="180"/>
      <c r="Q3798" s="173"/>
      <c r="R3798" s="173"/>
      <c r="S3798" s="174"/>
      <c r="T3798" s="173"/>
      <c r="U3798" s="182"/>
      <c r="V3798" s="177">
        <f>IF(U3798=0,0,IF(T3798="MXN",1/HLOOKUP(YEAR(S3798)+(MONTH(S3798)/100),TC!$5:$37,DAY(S3798)+2,FALSE),VLOOKUP(T3798,Equivalencia!$1:$23,((MAX(Equivalencia!$3:$3)-YEAR(S3798))*14)+MONTH(S3798)+2,FALSE)))</f>
        <v>0</v>
      </c>
      <c r="W3798" s="178">
        <f t="shared" si="159"/>
        <v>0</v>
      </c>
      <c r="X3798" s="481">
        <f t="shared" si="155"/>
        <v>0</v>
      </c>
      <c r="Y3798" s="179"/>
      <c r="Z3798" s="466">
        <f t="shared" si="156"/>
        <v>0</v>
      </c>
      <c r="AA3798" s="473">
        <f t="shared" si="157"/>
        <v>0</v>
      </c>
      <c r="AB3798" s="339">
        <f t="shared" si="158"/>
        <v>0</v>
      </c>
    </row>
    <row r="3799" spans="2:28" ht="20.100000000000001" customHeight="1">
      <c r="B3799" s="172"/>
      <c r="C3799" s="174"/>
      <c r="D3799" s="181"/>
      <c r="E3799" s="173"/>
      <c r="F3799" s="176"/>
      <c r="G3799" s="175">
        <f t="shared" si="160"/>
        <v>0</v>
      </c>
      <c r="H3799" s="175">
        <f t="shared" si="153"/>
        <v>0</v>
      </c>
      <c r="I3799" s="177">
        <f>IF(G3799=0,0,IF(E3799="MXN",1/HLOOKUP(YEAR(C3799)+(MONTH(C3799)/100),TC!$5:$37,DAY(C3799)+2,FALSE),VLOOKUP(E3799,Equivalencia!$5:$23,((MAX(Equivalencia!$3:$3)-YEAR(C3799))*14)+MONTH(C3799)+2,FALSE)))</f>
        <v>0</v>
      </c>
      <c r="J3799" s="178">
        <f t="shared" si="161"/>
        <v>0</v>
      </c>
      <c r="K3799" s="462">
        <f>IF(C3799=0,0,VLOOKUP(YEAR(C3799),INPC!$B$4:$O$29,MONTH(C3799)+1))</f>
        <v>0</v>
      </c>
      <c r="L3799" s="462">
        <f>IF(S3799=0,0,VLOOKUP(YEAR(S3799),INPC!$B$4:$O$29,MONTH(S3799)+1))</f>
        <v>0</v>
      </c>
      <c r="M3799" s="463">
        <f t="shared" si="154"/>
        <v>0</v>
      </c>
      <c r="N3799" s="465">
        <f t="shared" si="162"/>
        <v>0</v>
      </c>
      <c r="O3799" s="179"/>
      <c r="P3799" s="180"/>
      <c r="Q3799" s="173"/>
      <c r="R3799" s="173"/>
      <c r="S3799" s="174"/>
      <c r="T3799" s="173"/>
      <c r="U3799" s="182"/>
      <c r="V3799" s="177">
        <f>IF(U3799=0,0,IF(T3799="MXN",1/HLOOKUP(YEAR(S3799)+(MONTH(S3799)/100),TC!$5:$37,DAY(S3799)+2,FALSE),VLOOKUP(T3799,Equivalencia!$1:$23,((MAX(Equivalencia!$3:$3)-YEAR(S3799))*14)+MONTH(S3799)+2,FALSE)))</f>
        <v>0</v>
      </c>
      <c r="W3799" s="178">
        <f t="shared" si="159"/>
        <v>0</v>
      </c>
      <c r="X3799" s="481">
        <f t="shared" si="155"/>
        <v>0</v>
      </c>
      <c r="Y3799" s="179"/>
      <c r="Z3799" s="466">
        <f t="shared" si="156"/>
        <v>0</v>
      </c>
      <c r="AA3799" s="473">
        <f t="shared" si="157"/>
        <v>0</v>
      </c>
      <c r="AB3799" s="339">
        <f t="shared" si="158"/>
        <v>0</v>
      </c>
    </row>
    <row r="3800" spans="2:28" ht="20.100000000000001" customHeight="1">
      <c r="B3800" s="172"/>
      <c r="C3800" s="174"/>
      <c r="D3800" s="181"/>
      <c r="E3800" s="173"/>
      <c r="F3800" s="176"/>
      <c r="G3800" s="175">
        <f t="shared" si="160"/>
        <v>0</v>
      </c>
      <c r="H3800" s="175">
        <f t="shared" si="153"/>
        <v>0</v>
      </c>
      <c r="I3800" s="177">
        <f>IF(G3800=0,0,IF(E3800="MXN",1/HLOOKUP(YEAR(C3800)+(MONTH(C3800)/100),TC!$5:$37,DAY(C3800)+2,FALSE),VLOOKUP(E3800,Equivalencia!$5:$23,((MAX(Equivalencia!$3:$3)-YEAR(C3800))*14)+MONTH(C3800)+2,FALSE)))</f>
        <v>0</v>
      </c>
      <c r="J3800" s="178">
        <f t="shared" si="161"/>
        <v>0</v>
      </c>
      <c r="K3800" s="462">
        <f>IF(C3800=0,0,VLOOKUP(YEAR(C3800),INPC!$B$4:$O$29,MONTH(C3800)+1))</f>
        <v>0</v>
      </c>
      <c r="L3800" s="462">
        <f>IF(S3800=0,0,VLOOKUP(YEAR(S3800),INPC!$B$4:$O$29,MONTH(S3800)+1))</f>
        <v>0</v>
      </c>
      <c r="M3800" s="463">
        <f t="shared" si="154"/>
        <v>0</v>
      </c>
      <c r="N3800" s="465">
        <f t="shared" si="162"/>
        <v>0</v>
      </c>
      <c r="O3800" s="179"/>
      <c r="P3800" s="180"/>
      <c r="Q3800" s="173"/>
      <c r="R3800" s="173"/>
      <c r="S3800" s="174"/>
      <c r="T3800" s="173"/>
      <c r="U3800" s="182"/>
      <c r="V3800" s="177">
        <f>IF(U3800=0,0,IF(T3800="MXN",1/HLOOKUP(YEAR(S3800)+(MONTH(S3800)/100),TC!$5:$37,DAY(S3800)+2,FALSE),VLOOKUP(T3800,Equivalencia!$1:$23,((MAX(Equivalencia!$3:$3)-YEAR(S3800))*14)+MONTH(S3800)+2,FALSE)))</f>
        <v>0</v>
      </c>
      <c r="W3800" s="178">
        <f t="shared" si="159"/>
        <v>0</v>
      </c>
      <c r="X3800" s="481">
        <f t="shared" si="155"/>
        <v>0</v>
      </c>
      <c r="Y3800" s="179"/>
      <c r="Z3800" s="466">
        <f t="shared" si="156"/>
        <v>0</v>
      </c>
      <c r="AA3800" s="473">
        <f t="shared" si="157"/>
        <v>0</v>
      </c>
      <c r="AB3800" s="339">
        <f t="shared" si="158"/>
        <v>0</v>
      </c>
    </row>
    <row r="3801" spans="2:28" ht="20.100000000000001" customHeight="1">
      <c r="B3801" s="172"/>
      <c r="C3801" s="174"/>
      <c r="D3801" s="181"/>
      <c r="E3801" s="173"/>
      <c r="F3801" s="176"/>
      <c r="G3801" s="175">
        <f t="shared" si="160"/>
        <v>0</v>
      </c>
      <c r="H3801" s="175">
        <f t="shared" si="153"/>
        <v>0</v>
      </c>
      <c r="I3801" s="177">
        <f>IF(G3801=0,0,IF(E3801="MXN",1/HLOOKUP(YEAR(C3801)+(MONTH(C3801)/100),TC!$5:$37,DAY(C3801)+2,FALSE),VLOOKUP(E3801,Equivalencia!$5:$23,((MAX(Equivalencia!$3:$3)-YEAR(C3801))*14)+MONTH(C3801)+2,FALSE)))</f>
        <v>0</v>
      </c>
      <c r="J3801" s="178">
        <f t="shared" si="161"/>
        <v>0</v>
      </c>
      <c r="K3801" s="462">
        <f>IF(C3801=0,0,VLOOKUP(YEAR(C3801),INPC!$B$4:$O$29,MONTH(C3801)+1))</f>
        <v>0</v>
      </c>
      <c r="L3801" s="462">
        <f>IF(S3801=0,0,VLOOKUP(YEAR(S3801),INPC!$B$4:$O$29,MONTH(S3801)+1))</f>
        <v>0</v>
      </c>
      <c r="M3801" s="463">
        <f t="shared" si="154"/>
        <v>0</v>
      </c>
      <c r="N3801" s="465">
        <f t="shared" si="162"/>
        <v>0</v>
      </c>
      <c r="O3801" s="179"/>
      <c r="P3801" s="180"/>
      <c r="Q3801" s="173"/>
      <c r="R3801" s="173"/>
      <c r="S3801" s="174"/>
      <c r="T3801" s="173"/>
      <c r="U3801" s="182"/>
      <c r="V3801" s="177">
        <f>IF(U3801=0,0,IF(T3801="MXN",1/HLOOKUP(YEAR(S3801)+(MONTH(S3801)/100),TC!$5:$37,DAY(S3801)+2,FALSE),VLOOKUP(T3801,Equivalencia!$1:$23,((MAX(Equivalencia!$3:$3)-YEAR(S3801))*14)+MONTH(S3801)+2,FALSE)))</f>
        <v>0</v>
      </c>
      <c r="W3801" s="178">
        <f t="shared" si="159"/>
        <v>0</v>
      </c>
      <c r="X3801" s="481">
        <f t="shared" si="155"/>
        <v>0</v>
      </c>
      <c r="Y3801" s="179"/>
      <c r="Z3801" s="466">
        <f t="shared" si="156"/>
        <v>0</v>
      </c>
      <c r="AA3801" s="473">
        <f t="shared" si="157"/>
        <v>0</v>
      </c>
      <c r="AB3801" s="339">
        <f t="shared" si="158"/>
        <v>0</v>
      </c>
    </row>
    <row r="3802" spans="2:28" ht="20.100000000000001" customHeight="1">
      <c r="B3802" s="172"/>
      <c r="C3802" s="174"/>
      <c r="D3802" s="181"/>
      <c r="E3802" s="173"/>
      <c r="F3802" s="176"/>
      <c r="G3802" s="175">
        <f t="shared" si="160"/>
        <v>0</v>
      </c>
      <c r="H3802" s="175">
        <f t="shared" si="153"/>
        <v>0</v>
      </c>
      <c r="I3802" s="177">
        <f>IF(G3802=0,0,IF(E3802="MXN",1/HLOOKUP(YEAR(C3802)+(MONTH(C3802)/100),TC!$5:$37,DAY(C3802)+2,FALSE),VLOOKUP(E3802,Equivalencia!$5:$23,((MAX(Equivalencia!$3:$3)-YEAR(C3802))*14)+MONTH(C3802)+2,FALSE)))</f>
        <v>0</v>
      </c>
      <c r="J3802" s="178">
        <f t="shared" si="161"/>
        <v>0</v>
      </c>
      <c r="K3802" s="462">
        <f>IF(C3802=0,0,VLOOKUP(YEAR(C3802),INPC!$B$4:$O$29,MONTH(C3802)+1))</f>
        <v>0</v>
      </c>
      <c r="L3802" s="462">
        <f>IF(S3802=0,0,VLOOKUP(YEAR(S3802),INPC!$B$4:$O$29,MONTH(S3802)+1))</f>
        <v>0</v>
      </c>
      <c r="M3802" s="463">
        <f t="shared" si="154"/>
        <v>0</v>
      </c>
      <c r="N3802" s="465">
        <f t="shared" si="162"/>
        <v>0</v>
      </c>
      <c r="O3802" s="179"/>
      <c r="P3802" s="180"/>
      <c r="Q3802" s="173"/>
      <c r="R3802" s="173"/>
      <c r="S3802" s="174"/>
      <c r="T3802" s="173"/>
      <c r="U3802" s="182"/>
      <c r="V3802" s="177">
        <f>IF(U3802=0,0,IF(T3802="MXN",1/HLOOKUP(YEAR(S3802)+(MONTH(S3802)/100),TC!$5:$37,DAY(S3802)+2,FALSE),VLOOKUP(T3802,Equivalencia!$1:$23,((MAX(Equivalencia!$3:$3)-YEAR(S3802))*14)+MONTH(S3802)+2,FALSE)))</f>
        <v>0</v>
      </c>
      <c r="W3802" s="178">
        <f t="shared" si="159"/>
        <v>0</v>
      </c>
      <c r="X3802" s="481">
        <f t="shared" si="155"/>
        <v>0</v>
      </c>
      <c r="Y3802" s="179"/>
      <c r="Z3802" s="466">
        <f t="shared" si="156"/>
        <v>0</v>
      </c>
      <c r="AA3802" s="473">
        <f t="shared" si="157"/>
        <v>0</v>
      </c>
      <c r="AB3802" s="339">
        <f t="shared" si="158"/>
        <v>0</v>
      </c>
    </row>
    <row r="3803" spans="2:28" ht="20.100000000000001" customHeight="1">
      <c r="B3803" s="172"/>
      <c r="C3803" s="174"/>
      <c r="D3803" s="181"/>
      <c r="E3803" s="173"/>
      <c r="F3803" s="176"/>
      <c r="G3803" s="175">
        <f t="shared" si="160"/>
        <v>0</v>
      </c>
      <c r="H3803" s="175">
        <f t="shared" si="153"/>
        <v>0</v>
      </c>
      <c r="I3803" s="177">
        <f>IF(G3803=0,0,IF(E3803="MXN",1/HLOOKUP(YEAR(C3803)+(MONTH(C3803)/100),TC!$5:$37,DAY(C3803)+2,FALSE),VLOOKUP(E3803,Equivalencia!$5:$23,((MAX(Equivalencia!$3:$3)-YEAR(C3803))*14)+MONTH(C3803)+2,FALSE)))</f>
        <v>0</v>
      </c>
      <c r="J3803" s="178">
        <f t="shared" si="161"/>
        <v>0</v>
      </c>
      <c r="K3803" s="462">
        <f>IF(C3803=0,0,VLOOKUP(YEAR(C3803),INPC!$B$4:$O$29,MONTH(C3803)+1))</f>
        <v>0</v>
      </c>
      <c r="L3803" s="462">
        <f>IF(S3803=0,0,VLOOKUP(YEAR(S3803),INPC!$B$4:$O$29,MONTH(S3803)+1))</f>
        <v>0</v>
      </c>
      <c r="M3803" s="463">
        <f t="shared" si="154"/>
        <v>0</v>
      </c>
      <c r="N3803" s="465">
        <f t="shared" si="162"/>
        <v>0</v>
      </c>
      <c r="O3803" s="179"/>
      <c r="P3803" s="180"/>
      <c r="Q3803" s="173"/>
      <c r="R3803" s="173"/>
      <c r="S3803" s="174"/>
      <c r="T3803" s="173"/>
      <c r="U3803" s="182"/>
      <c r="V3803" s="177">
        <f>IF(U3803=0,0,IF(T3803="MXN",1/HLOOKUP(YEAR(S3803)+(MONTH(S3803)/100),TC!$5:$37,DAY(S3803)+2,FALSE),VLOOKUP(T3803,Equivalencia!$1:$23,((MAX(Equivalencia!$3:$3)-YEAR(S3803))*14)+MONTH(S3803)+2,FALSE)))</f>
        <v>0</v>
      </c>
      <c r="W3803" s="178">
        <f t="shared" si="159"/>
        <v>0</v>
      </c>
      <c r="X3803" s="481">
        <f t="shared" si="155"/>
        <v>0</v>
      </c>
      <c r="Y3803" s="179"/>
      <c r="Z3803" s="466">
        <f t="shared" si="156"/>
        <v>0</v>
      </c>
      <c r="AA3803" s="473">
        <f t="shared" si="157"/>
        <v>0</v>
      </c>
      <c r="AB3803" s="339">
        <f t="shared" si="158"/>
        <v>0</v>
      </c>
    </row>
    <row r="3804" spans="2:28" ht="20.100000000000001" customHeight="1">
      <c r="B3804" s="172"/>
      <c r="C3804" s="174"/>
      <c r="D3804" s="181"/>
      <c r="E3804" s="173"/>
      <c r="F3804" s="176"/>
      <c r="G3804" s="175">
        <f t="shared" si="160"/>
        <v>0</v>
      </c>
      <c r="H3804" s="175">
        <f t="shared" si="153"/>
        <v>0</v>
      </c>
      <c r="I3804" s="177">
        <f>IF(G3804=0,0,IF(E3804="MXN",1/HLOOKUP(YEAR(C3804)+(MONTH(C3804)/100),TC!$5:$37,DAY(C3804)+2,FALSE),VLOOKUP(E3804,Equivalencia!$5:$23,((MAX(Equivalencia!$3:$3)-YEAR(C3804))*14)+MONTH(C3804)+2,FALSE)))</f>
        <v>0</v>
      </c>
      <c r="J3804" s="178">
        <f t="shared" si="161"/>
        <v>0</v>
      </c>
      <c r="K3804" s="462">
        <f>IF(C3804=0,0,VLOOKUP(YEAR(C3804),INPC!$B$4:$O$29,MONTH(C3804)+1))</f>
        <v>0</v>
      </c>
      <c r="L3804" s="462">
        <f>IF(S3804=0,0,VLOOKUP(YEAR(S3804),INPC!$B$4:$O$29,MONTH(S3804)+1))</f>
        <v>0</v>
      </c>
      <c r="M3804" s="463">
        <f t="shared" si="154"/>
        <v>0</v>
      </c>
      <c r="N3804" s="465">
        <f t="shared" si="162"/>
        <v>0</v>
      </c>
      <c r="O3804" s="179"/>
      <c r="P3804" s="180"/>
      <c r="Q3804" s="173"/>
      <c r="R3804" s="173"/>
      <c r="S3804" s="174"/>
      <c r="T3804" s="173"/>
      <c r="U3804" s="182"/>
      <c r="V3804" s="177">
        <f>IF(U3804=0,0,IF(T3804="MXN",1/HLOOKUP(YEAR(S3804)+(MONTH(S3804)/100),TC!$5:$37,DAY(S3804)+2,FALSE),VLOOKUP(T3804,Equivalencia!$1:$23,((MAX(Equivalencia!$3:$3)-YEAR(S3804))*14)+MONTH(S3804)+2,FALSE)))</f>
        <v>0</v>
      </c>
      <c r="W3804" s="178">
        <f t="shared" si="159"/>
        <v>0</v>
      </c>
      <c r="X3804" s="481">
        <f t="shared" si="155"/>
        <v>0</v>
      </c>
      <c r="Y3804" s="179"/>
      <c r="Z3804" s="466">
        <f t="shared" si="156"/>
        <v>0</v>
      </c>
      <c r="AA3804" s="473">
        <f t="shared" si="157"/>
        <v>0</v>
      </c>
      <c r="AB3804" s="339">
        <f t="shared" si="158"/>
        <v>0</v>
      </c>
    </row>
    <row r="3805" spans="2:28" ht="20.100000000000001" customHeight="1">
      <c r="B3805" s="172"/>
      <c r="C3805" s="174"/>
      <c r="D3805" s="181"/>
      <c r="E3805" s="173"/>
      <c r="F3805" s="176"/>
      <c r="G3805" s="175">
        <f t="shared" si="160"/>
        <v>0</v>
      </c>
      <c r="H3805" s="175">
        <f t="shared" si="153"/>
        <v>0</v>
      </c>
      <c r="I3805" s="177">
        <f>IF(G3805=0,0,IF(E3805="MXN",1/HLOOKUP(YEAR(C3805)+(MONTH(C3805)/100),TC!$5:$37,DAY(C3805)+2,FALSE),VLOOKUP(E3805,Equivalencia!$5:$23,((MAX(Equivalencia!$3:$3)-YEAR(C3805))*14)+MONTH(C3805)+2,FALSE)))</f>
        <v>0</v>
      </c>
      <c r="J3805" s="178">
        <f t="shared" si="161"/>
        <v>0</v>
      </c>
      <c r="K3805" s="462">
        <f>IF(C3805=0,0,VLOOKUP(YEAR(C3805),INPC!$B$4:$O$29,MONTH(C3805)+1))</f>
        <v>0</v>
      </c>
      <c r="L3805" s="462">
        <f>IF(S3805=0,0,VLOOKUP(YEAR(S3805),INPC!$B$4:$O$29,MONTH(S3805)+1))</f>
        <v>0</v>
      </c>
      <c r="M3805" s="463">
        <f t="shared" si="154"/>
        <v>0</v>
      </c>
      <c r="N3805" s="465">
        <f t="shared" si="162"/>
        <v>0</v>
      </c>
      <c r="O3805" s="179"/>
      <c r="P3805" s="180"/>
      <c r="Q3805" s="173"/>
      <c r="R3805" s="173"/>
      <c r="S3805" s="174"/>
      <c r="T3805" s="173"/>
      <c r="U3805" s="182"/>
      <c r="V3805" s="177">
        <f>IF(U3805=0,0,IF(T3805="MXN",1/HLOOKUP(YEAR(S3805)+(MONTH(S3805)/100),TC!$5:$37,DAY(S3805)+2,FALSE),VLOOKUP(T3805,Equivalencia!$1:$23,((MAX(Equivalencia!$3:$3)-YEAR(S3805))*14)+MONTH(S3805)+2,FALSE)))</f>
        <v>0</v>
      </c>
      <c r="W3805" s="178">
        <f t="shared" si="159"/>
        <v>0</v>
      </c>
      <c r="X3805" s="481">
        <f t="shared" si="155"/>
        <v>0</v>
      </c>
      <c r="Y3805" s="179"/>
      <c r="Z3805" s="466">
        <f t="shared" si="156"/>
        <v>0</v>
      </c>
      <c r="AA3805" s="473">
        <f t="shared" si="157"/>
        <v>0</v>
      </c>
      <c r="AB3805" s="339">
        <f t="shared" si="158"/>
        <v>0</v>
      </c>
    </row>
    <row r="3806" spans="2:28" ht="20.100000000000001" customHeight="1">
      <c r="B3806" s="172"/>
      <c r="C3806" s="174"/>
      <c r="D3806" s="181"/>
      <c r="E3806" s="173"/>
      <c r="F3806" s="176"/>
      <c r="G3806" s="175">
        <f t="shared" si="160"/>
        <v>0</v>
      </c>
      <c r="H3806" s="175">
        <f t="shared" si="153"/>
        <v>0</v>
      </c>
      <c r="I3806" s="177">
        <f>IF(G3806=0,0,IF(E3806="MXN",1/HLOOKUP(YEAR(C3806)+(MONTH(C3806)/100),TC!$5:$37,DAY(C3806)+2,FALSE),VLOOKUP(E3806,Equivalencia!$5:$23,((MAX(Equivalencia!$3:$3)-YEAR(C3806))*14)+MONTH(C3806)+2,FALSE)))</f>
        <v>0</v>
      </c>
      <c r="J3806" s="178">
        <f t="shared" si="161"/>
        <v>0</v>
      </c>
      <c r="K3806" s="462">
        <f>IF(C3806=0,0,VLOOKUP(YEAR(C3806),INPC!$B$4:$O$29,MONTH(C3806)+1))</f>
        <v>0</v>
      </c>
      <c r="L3806" s="462">
        <f>IF(S3806=0,0,VLOOKUP(YEAR(S3806),INPC!$B$4:$O$29,MONTH(S3806)+1))</f>
        <v>0</v>
      </c>
      <c r="M3806" s="463">
        <f t="shared" si="154"/>
        <v>0</v>
      </c>
      <c r="N3806" s="465">
        <f t="shared" si="162"/>
        <v>0</v>
      </c>
      <c r="O3806" s="179"/>
      <c r="P3806" s="180"/>
      <c r="Q3806" s="173"/>
      <c r="R3806" s="173"/>
      <c r="S3806" s="174"/>
      <c r="T3806" s="173"/>
      <c r="U3806" s="182"/>
      <c r="V3806" s="177">
        <f>IF(U3806=0,0,IF(T3806="MXN",1/HLOOKUP(YEAR(S3806)+(MONTH(S3806)/100),TC!$5:$37,DAY(S3806)+2,FALSE),VLOOKUP(T3806,Equivalencia!$1:$23,((MAX(Equivalencia!$3:$3)-YEAR(S3806))*14)+MONTH(S3806)+2,FALSE)))</f>
        <v>0</v>
      </c>
      <c r="W3806" s="178">
        <f t="shared" si="159"/>
        <v>0</v>
      </c>
      <c r="X3806" s="481">
        <f t="shared" si="155"/>
        <v>0</v>
      </c>
      <c r="Y3806" s="179"/>
      <c r="Z3806" s="466">
        <f t="shared" si="156"/>
        <v>0</v>
      </c>
      <c r="AA3806" s="473">
        <f t="shared" si="157"/>
        <v>0</v>
      </c>
      <c r="AB3806" s="339">
        <f t="shared" si="158"/>
        <v>0</v>
      </c>
    </row>
    <row r="3807" spans="2:28" ht="20.100000000000001" customHeight="1">
      <c r="B3807" s="172"/>
      <c r="C3807" s="174"/>
      <c r="D3807" s="181"/>
      <c r="E3807" s="173"/>
      <c r="F3807" s="176"/>
      <c r="G3807" s="175">
        <f t="shared" si="160"/>
        <v>0</v>
      </c>
      <c r="H3807" s="175">
        <f t="shared" si="153"/>
        <v>0</v>
      </c>
      <c r="I3807" s="177">
        <f>IF(G3807=0,0,IF(E3807="MXN",1/HLOOKUP(YEAR(C3807)+(MONTH(C3807)/100),TC!$5:$37,DAY(C3807)+2,FALSE),VLOOKUP(E3807,Equivalencia!$5:$23,((MAX(Equivalencia!$3:$3)-YEAR(C3807))*14)+MONTH(C3807)+2,FALSE)))</f>
        <v>0</v>
      </c>
      <c r="J3807" s="178">
        <f t="shared" si="161"/>
        <v>0</v>
      </c>
      <c r="K3807" s="462">
        <f>IF(C3807=0,0,VLOOKUP(YEAR(C3807),INPC!$B$4:$O$29,MONTH(C3807)+1))</f>
        <v>0</v>
      </c>
      <c r="L3807" s="462">
        <f>IF(S3807=0,0,VLOOKUP(YEAR(S3807),INPC!$B$4:$O$29,MONTH(S3807)+1))</f>
        <v>0</v>
      </c>
      <c r="M3807" s="463">
        <f t="shared" si="154"/>
        <v>0</v>
      </c>
      <c r="N3807" s="465">
        <f t="shared" si="162"/>
        <v>0</v>
      </c>
      <c r="O3807" s="179"/>
      <c r="P3807" s="180"/>
      <c r="Q3807" s="173"/>
      <c r="R3807" s="173"/>
      <c r="S3807" s="174"/>
      <c r="T3807" s="173"/>
      <c r="U3807" s="182"/>
      <c r="V3807" s="177">
        <f>IF(U3807=0,0,IF(T3807="MXN",1/HLOOKUP(YEAR(S3807)+(MONTH(S3807)/100),TC!$5:$37,DAY(S3807)+2,FALSE),VLOOKUP(T3807,Equivalencia!$1:$23,((MAX(Equivalencia!$3:$3)-YEAR(S3807))*14)+MONTH(S3807)+2,FALSE)))</f>
        <v>0</v>
      </c>
      <c r="W3807" s="178">
        <f t="shared" si="159"/>
        <v>0</v>
      </c>
      <c r="X3807" s="481">
        <f t="shared" si="155"/>
        <v>0</v>
      </c>
      <c r="Y3807" s="179"/>
      <c r="Z3807" s="466">
        <f t="shared" si="156"/>
        <v>0</v>
      </c>
      <c r="AA3807" s="473">
        <f t="shared" si="157"/>
        <v>0</v>
      </c>
      <c r="AB3807" s="339">
        <f t="shared" si="158"/>
        <v>0</v>
      </c>
    </row>
    <row r="3808" spans="2:28" ht="20.100000000000001" customHeight="1">
      <c r="B3808" s="172"/>
      <c r="C3808" s="174"/>
      <c r="D3808" s="181"/>
      <c r="E3808" s="173"/>
      <c r="F3808" s="176"/>
      <c r="G3808" s="175">
        <f t="shared" si="160"/>
        <v>0</v>
      </c>
      <c r="H3808" s="175">
        <f t="shared" si="153"/>
        <v>0</v>
      </c>
      <c r="I3808" s="177">
        <f>IF(G3808=0,0,IF(E3808="MXN",1/HLOOKUP(YEAR(C3808)+(MONTH(C3808)/100),TC!$5:$37,DAY(C3808)+2,FALSE),VLOOKUP(E3808,Equivalencia!$5:$23,((MAX(Equivalencia!$3:$3)-YEAR(C3808))*14)+MONTH(C3808)+2,FALSE)))</f>
        <v>0</v>
      </c>
      <c r="J3808" s="178">
        <f t="shared" si="161"/>
        <v>0</v>
      </c>
      <c r="K3808" s="462">
        <f>IF(C3808=0,0,VLOOKUP(YEAR(C3808),INPC!$B$4:$O$29,MONTH(C3808)+1))</f>
        <v>0</v>
      </c>
      <c r="L3808" s="462">
        <f>IF(S3808=0,0,VLOOKUP(YEAR(S3808),INPC!$B$4:$O$29,MONTH(S3808)+1))</f>
        <v>0</v>
      </c>
      <c r="M3808" s="463">
        <f t="shared" si="154"/>
        <v>0</v>
      </c>
      <c r="N3808" s="465">
        <f t="shared" si="162"/>
        <v>0</v>
      </c>
      <c r="O3808" s="179"/>
      <c r="P3808" s="180"/>
      <c r="Q3808" s="173"/>
      <c r="R3808" s="173"/>
      <c r="S3808" s="174"/>
      <c r="T3808" s="173"/>
      <c r="U3808" s="182"/>
      <c r="V3808" s="177">
        <f>IF(U3808=0,0,IF(T3808="MXN",1/HLOOKUP(YEAR(S3808)+(MONTH(S3808)/100),TC!$5:$37,DAY(S3808)+2,FALSE),VLOOKUP(T3808,Equivalencia!$1:$23,((MAX(Equivalencia!$3:$3)-YEAR(S3808))*14)+MONTH(S3808)+2,FALSE)))</f>
        <v>0</v>
      </c>
      <c r="W3808" s="178">
        <f t="shared" si="159"/>
        <v>0</v>
      </c>
      <c r="X3808" s="481">
        <f t="shared" si="155"/>
        <v>0</v>
      </c>
      <c r="Y3808" s="179"/>
      <c r="Z3808" s="466">
        <f t="shared" si="156"/>
        <v>0</v>
      </c>
      <c r="AA3808" s="473">
        <f t="shared" si="157"/>
        <v>0</v>
      </c>
      <c r="AB3808" s="339">
        <f t="shared" si="158"/>
        <v>0</v>
      </c>
    </row>
    <row r="3809" spans="2:28" ht="20.100000000000001" customHeight="1">
      <c r="B3809" s="172"/>
      <c r="C3809" s="174"/>
      <c r="D3809" s="181"/>
      <c r="E3809" s="173"/>
      <c r="F3809" s="176"/>
      <c r="G3809" s="175">
        <f t="shared" si="160"/>
        <v>0</v>
      </c>
      <c r="H3809" s="175">
        <f t="shared" si="153"/>
        <v>0</v>
      </c>
      <c r="I3809" s="177">
        <f>IF(G3809=0,0,IF(E3809="MXN",1/HLOOKUP(YEAR(C3809)+(MONTH(C3809)/100),TC!$5:$37,DAY(C3809)+2,FALSE),VLOOKUP(E3809,Equivalencia!$5:$23,((MAX(Equivalencia!$3:$3)-YEAR(C3809))*14)+MONTH(C3809)+2,FALSE)))</f>
        <v>0</v>
      </c>
      <c r="J3809" s="178">
        <f t="shared" si="161"/>
        <v>0</v>
      </c>
      <c r="K3809" s="462">
        <f>IF(C3809=0,0,VLOOKUP(YEAR(C3809),INPC!$B$4:$O$29,MONTH(C3809)+1))</f>
        <v>0</v>
      </c>
      <c r="L3809" s="462">
        <f>IF(S3809=0,0,VLOOKUP(YEAR(S3809),INPC!$B$4:$O$29,MONTH(S3809)+1))</f>
        <v>0</v>
      </c>
      <c r="M3809" s="463">
        <f t="shared" si="154"/>
        <v>0</v>
      </c>
      <c r="N3809" s="465">
        <f t="shared" si="162"/>
        <v>0</v>
      </c>
      <c r="O3809" s="179"/>
      <c r="P3809" s="180"/>
      <c r="Q3809" s="173"/>
      <c r="R3809" s="173"/>
      <c r="S3809" s="174"/>
      <c r="T3809" s="173"/>
      <c r="U3809" s="182"/>
      <c r="V3809" s="177">
        <f>IF(U3809=0,0,IF(T3809="MXN",1/HLOOKUP(YEAR(S3809)+(MONTH(S3809)/100),TC!$5:$37,DAY(S3809)+2,FALSE),VLOOKUP(T3809,Equivalencia!$1:$23,((MAX(Equivalencia!$3:$3)-YEAR(S3809))*14)+MONTH(S3809)+2,FALSE)))</f>
        <v>0</v>
      </c>
      <c r="W3809" s="178">
        <f t="shared" si="159"/>
        <v>0</v>
      </c>
      <c r="X3809" s="481">
        <f t="shared" si="155"/>
        <v>0</v>
      </c>
      <c r="Y3809" s="179"/>
      <c r="Z3809" s="466">
        <f t="shared" si="156"/>
        <v>0</v>
      </c>
      <c r="AA3809" s="473">
        <f t="shared" si="157"/>
        <v>0</v>
      </c>
      <c r="AB3809" s="339">
        <f t="shared" si="158"/>
        <v>0</v>
      </c>
    </row>
    <row r="3810" spans="2:28" ht="20.100000000000001" customHeight="1">
      <c r="B3810" s="172"/>
      <c r="C3810" s="174"/>
      <c r="D3810" s="181"/>
      <c r="E3810" s="173"/>
      <c r="F3810" s="176"/>
      <c r="G3810" s="175">
        <f t="shared" si="160"/>
        <v>0</v>
      </c>
      <c r="H3810" s="175">
        <f t="shared" si="153"/>
        <v>0</v>
      </c>
      <c r="I3810" s="177">
        <f>IF(G3810=0,0,IF(E3810="MXN",1/HLOOKUP(YEAR(C3810)+(MONTH(C3810)/100),TC!$5:$37,DAY(C3810)+2,FALSE),VLOOKUP(E3810,Equivalencia!$5:$23,((MAX(Equivalencia!$3:$3)-YEAR(C3810))*14)+MONTH(C3810)+2,FALSE)))</f>
        <v>0</v>
      </c>
      <c r="J3810" s="178">
        <f t="shared" si="161"/>
        <v>0</v>
      </c>
      <c r="K3810" s="462">
        <f>IF(C3810=0,0,VLOOKUP(YEAR(C3810),INPC!$B$4:$O$29,MONTH(C3810)+1))</f>
        <v>0</v>
      </c>
      <c r="L3810" s="462">
        <f>IF(S3810=0,0,VLOOKUP(YEAR(S3810),INPC!$B$4:$O$29,MONTH(S3810)+1))</f>
        <v>0</v>
      </c>
      <c r="M3810" s="463">
        <f t="shared" si="154"/>
        <v>0</v>
      </c>
      <c r="N3810" s="465">
        <f t="shared" si="162"/>
        <v>0</v>
      </c>
      <c r="O3810" s="179"/>
      <c r="P3810" s="180"/>
      <c r="Q3810" s="173"/>
      <c r="R3810" s="173"/>
      <c r="S3810" s="174"/>
      <c r="T3810" s="173"/>
      <c r="U3810" s="182"/>
      <c r="V3810" s="177">
        <f>IF(U3810=0,0,IF(T3810="MXN",1/HLOOKUP(YEAR(S3810)+(MONTH(S3810)/100),TC!$5:$37,DAY(S3810)+2,FALSE),VLOOKUP(T3810,Equivalencia!$1:$23,((MAX(Equivalencia!$3:$3)-YEAR(S3810))*14)+MONTH(S3810)+2,FALSE)))</f>
        <v>0</v>
      </c>
      <c r="W3810" s="178">
        <f t="shared" si="159"/>
        <v>0</v>
      </c>
      <c r="X3810" s="481">
        <f t="shared" si="155"/>
        <v>0</v>
      </c>
      <c r="Y3810" s="179"/>
      <c r="Z3810" s="466">
        <f t="shared" si="156"/>
        <v>0</v>
      </c>
      <c r="AA3810" s="473">
        <f t="shared" si="157"/>
        <v>0</v>
      </c>
      <c r="AB3810" s="339">
        <f t="shared" si="158"/>
        <v>0</v>
      </c>
    </row>
    <row r="3811" spans="2:28" ht="20.100000000000001" customHeight="1">
      <c r="B3811" s="172"/>
      <c r="C3811" s="174"/>
      <c r="D3811" s="181"/>
      <c r="E3811" s="173"/>
      <c r="F3811" s="176"/>
      <c r="G3811" s="175">
        <f t="shared" si="160"/>
        <v>0</v>
      </c>
      <c r="H3811" s="175">
        <f t="shared" si="153"/>
        <v>0</v>
      </c>
      <c r="I3811" s="177">
        <f>IF(G3811=0,0,IF(E3811="MXN",1/HLOOKUP(YEAR(C3811)+(MONTH(C3811)/100),TC!$5:$37,DAY(C3811)+2,FALSE),VLOOKUP(E3811,Equivalencia!$5:$23,((MAX(Equivalencia!$3:$3)-YEAR(C3811))*14)+MONTH(C3811)+2,FALSE)))</f>
        <v>0</v>
      </c>
      <c r="J3811" s="178">
        <f t="shared" si="161"/>
        <v>0</v>
      </c>
      <c r="K3811" s="462">
        <f>IF(C3811=0,0,VLOOKUP(YEAR(C3811),INPC!$B$4:$O$29,MONTH(C3811)+1))</f>
        <v>0</v>
      </c>
      <c r="L3811" s="462">
        <f>IF(S3811=0,0,VLOOKUP(YEAR(S3811),INPC!$B$4:$O$29,MONTH(S3811)+1))</f>
        <v>0</v>
      </c>
      <c r="M3811" s="463">
        <f t="shared" si="154"/>
        <v>0</v>
      </c>
      <c r="N3811" s="465">
        <f t="shared" si="162"/>
        <v>0</v>
      </c>
      <c r="O3811" s="179"/>
      <c r="P3811" s="180"/>
      <c r="Q3811" s="173"/>
      <c r="R3811" s="173"/>
      <c r="S3811" s="174"/>
      <c r="T3811" s="173"/>
      <c r="U3811" s="182"/>
      <c r="V3811" s="177">
        <f>IF(U3811=0,0,IF(T3811="MXN",1/HLOOKUP(YEAR(S3811)+(MONTH(S3811)/100),TC!$5:$37,DAY(S3811)+2,FALSE),VLOOKUP(T3811,Equivalencia!$1:$23,((MAX(Equivalencia!$3:$3)-YEAR(S3811))*14)+MONTH(S3811)+2,FALSE)))</f>
        <v>0</v>
      </c>
      <c r="W3811" s="178">
        <f t="shared" si="159"/>
        <v>0</v>
      </c>
      <c r="X3811" s="481">
        <f t="shared" si="155"/>
        <v>0</v>
      </c>
      <c r="Y3811" s="179"/>
      <c r="Z3811" s="466">
        <f t="shared" si="156"/>
        <v>0</v>
      </c>
      <c r="AA3811" s="473">
        <f t="shared" si="157"/>
        <v>0</v>
      </c>
      <c r="AB3811" s="339">
        <f t="shared" si="158"/>
        <v>0</v>
      </c>
    </row>
    <row r="3812" spans="2:28" ht="20.100000000000001" customHeight="1">
      <c r="B3812" s="172"/>
      <c r="C3812" s="174"/>
      <c r="D3812" s="181"/>
      <c r="E3812" s="173"/>
      <c r="F3812" s="176"/>
      <c r="G3812" s="175">
        <f t="shared" si="160"/>
        <v>0</v>
      </c>
      <c r="H3812" s="175">
        <f t="shared" si="153"/>
        <v>0</v>
      </c>
      <c r="I3812" s="177">
        <f>IF(G3812=0,0,IF(E3812="MXN",1/HLOOKUP(YEAR(C3812)+(MONTH(C3812)/100),TC!$5:$37,DAY(C3812)+2,FALSE),VLOOKUP(E3812,Equivalencia!$5:$23,((MAX(Equivalencia!$3:$3)-YEAR(C3812))*14)+MONTH(C3812)+2,FALSE)))</f>
        <v>0</v>
      </c>
      <c r="J3812" s="178">
        <f t="shared" si="161"/>
        <v>0</v>
      </c>
      <c r="K3812" s="462">
        <f>IF(C3812=0,0,VLOOKUP(YEAR(C3812),INPC!$B$4:$O$29,MONTH(C3812)+1))</f>
        <v>0</v>
      </c>
      <c r="L3812" s="462">
        <f>IF(S3812=0,0,VLOOKUP(YEAR(S3812),INPC!$B$4:$O$29,MONTH(S3812)+1))</f>
        <v>0</v>
      </c>
      <c r="M3812" s="463">
        <f t="shared" si="154"/>
        <v>0</v>
      </c>
      <c r="N3812" s="465">
        <f t="shared" si="162"/>
        <v>0</v>
      </c>
      <c r="O3812" s="179"/>
      <c r="P3812" s="180"/>
      <c r="Q3812" s="173"/>
      <c r="R3812" s="173"/>
      <c r="S3812" s="174"/>
      <c r="T3812" s="173"/>
      <c r="U3812" s="182"/>
      <c r="V3812" s="177">
        <f>IF(U3812=0,0,IF(T3812="MXN",1/HLOOKUP(YEAR(S3812)+(MONTH(S3812)/100),TC!$5:$37,DAY(S3812)+2,FALSE),VLOOKUP(T3812,Equivalencia!$1:$23,((MAX(Equivalencia!$3:$3)-YEAR(S3812))*14)+MONTH(S3812)+2,FALSE)))</f>
        <v>0</v>
      </c>
      <c r="W3812" s="178">
        <f t="shared" si="159"/>
        <v>0</v>
      </c>
      <c r="X3812" s="481">
        <f t="shared" si="155"/>
        <v>0</v>
      </c>
      <c r="Y3812" s="179"/>
      <c r="Z3812" s="466">
        <f t="shared" si="156"/>
        <v>0</v>
      </c>
      <c r="AA3812" s="473">
        <f t="shared" si="157"/>
        <v>0</v>
      </c>
      <c r="AB3812" s="339">
        <f t="shared" si="158"/>
        <v>0</v>
      </c>
    </row>
    <row r="3813" spans="2:28" ht="20.100000000000001" customHeight="1">
      <c r="B3813" s="172"/>
      <c r="C3813" s="174"/>
      <c r="D3813" s="181"/>
      <c r="E3813" s="173"/>
      <c r="F3813" s="176"/>
      <c r="G3813" s="175">
        <f t="shared" si="160"/>
        <v>0</v>
      </c>
      <c r="H3813" s="175">
        <f t="shared" si="153"/>
        <v>0</v>
      </c>
      <c r="I3813" s="177">
        <f>IF(G3813=0,0,IF(E3813="MXN",1/HLOOKUP(YEAR(C3813)+(MONTH(C3813)/100),TC!$5:$37,DAY(C3813)+2,FALSE),VLOOKUP(E3813,Equivalencia!$5:$23,((MAX(Equivalencia!$3:$3)-YEAR(C3813))*14)+MONTH(C3813)+2,FALSE)))</f>
        <v>0</v>
      </c>
      <c r="J3813" s="178">
        <f t="shared" si="161"/>
        <v>0</v>
      </c>
      <c r="K3813" s="462">
        <f>IF(C3813=0,0,VLOOKUP(YEAR(C3813),INPC!$B$4:$O$29,MONTH(C3813)+1))</f>
        <v>0</v>
      </c>
      <c r="L3813" s="462">
        <f>IF(S3813=0,0,VLOOKUP(YEAR(S3813),INPC!$B$4:$O$29,MONTH(S3813)+1))</f>
        <v>0</v>
      </c>
      <c r="M3813" s="463">
        <f t="shared" si="154"/>
        <v>0</v>
      </c>
      <c r="N3813" s="465">
        <f t="shared" si="162"/>
        <v>0</v>
      </c>
      <c r="O3813" s="179"/>
      <c r="P3813" s="180"/>
      <c r="Q3813" s="173"/>
      <c r="R3813" s="173"/>
      <c r="S3813" s="174"/>
      <c r="T3813" s="173"/>
      <c r="U3813" s="182"/>
      <c r="V3813" s="177">
        <f>IF(U3813=0,0,IF(T3813="MXN",1/HLOOKUP(YEAR(S3813)+(MONTH(S3813)/100),TC!$5:$37,DAY(S3813)+2,FALSE),VLOOKUP(T3813,Equivalencia!$1:$23,((MAX(Equivalencia!$3:$3)-YEAR(S3813))*14)+MONTH(S3813)+2,FALSE)))</f>
        <v>0</v>
      </c>
      <c r="W3813" s="178">
        <f t="shared" si="159"/>
        <v>0</v>
      </c>
      <c r="X3813" s="481">
        <f t="shared" si="155"/>
        <v>0</v>
      </c>
      <c r="Y3813" s="179"/>
      <c r="Z3813" s="466">
        <f t="shared" si="156"/>
        <v>0</v>
      </c>
      <c r="AA3813" s="473">
        <f t="shared" si="157"/>
        <v>0</v>
      </c>
      <c r="AB3813" s="339">
        <f t="shared" si="158"/>
        <v>0</v>
      </c>
    </row>
    <row r="3814" spans="2:28" ht="20.100000000000001" customHeight="1">
      <c r="B3814" s="172"/>
      <c r="C3814" s="174"/>
      <c r="D3814" s="181"/>
      <c r="E3814" s="173"/>
      <c r="F3814" s="176"/>
      <c r="G3814" s="175">
        <f t="shared" si="160"/>
        <v>0</v>
      </c>
      <c r="H3814" s="175">
        <f t="shared" si="153"/>
        <v>0</v>
      </c>
      <c r="I3814" s="177">
        <f>IF(G3814=0,0,IF(E3814="MXN",1/HLOOKUP(YEAR(C3814)+(MONTH(C3814)/100),TC!$5:$37,DAY(C3814)+2,FALSE),VLOOKUP(E3814,Equivalencia!$5:$23,((MAX(Equivalencia!$3:$3)-YEAR(C3814))*14)+MONTH(C3814)+2,FALSE)))</f>
        <v>0</v>
      </c>
      <c r="J3814" s="178">
        <f t="shared" si="161"/>
        <v>0</v>
      </c>
      <c r="K3814" s="462">
        <f>IF(C3814=0,0,VLOOKUP(YEAR(C3814),INPC!$B$4:$O$29,MONTH(C3814)+1))</f>
        <v>0</v>
      </c>
      <c r="L3814" s="462">
        <f>IF(S3814=0,0,VLOOKUP(YEAR(S3814),INPC!$B$4:$O$29,MONTH(S3814)+1))</f>
        <v>0</v>
      </c>
      <c r="M3814" s="463">
        <f t="shared" si="154"/>
        <v>0</v>
      </c>
      <c r="N3814" s="465">
        <f t="shared" si="162"/>
        <v>0</v>
      </c>
      <c r="O3814" s="179"/>
      <c r="P3814" s="180"/>
      <c r="Q3814" s="173"/>
      <c r="R3814" s="173"/>
      <c r="S3814" s="174"/>
      <c r="T3814" s="173"/>
      <c r="U3814" s="182"/>
      <c r="V3814" s="177">
        <f>IF(U3814=0,0,IF(T3814="MXN",1/HLOOKUP(YEAR(S3814)+(MONTH(S3814)/100),TC!$5:$37,DAY(S3814)+2,FALSE),VLOOKUP(T3814,Equivalencia!$1:$23,((MAX(Equivalencia!$3:$3)-YEAR(S3814))*14)+MONTH(S3814)+2,FALSE)))</f>
        <v>0</v>
      </c>
      <c r="W3814" s="178">
        <f t="shared" si="159"/>
        <v>0</v>
      </c>
      <c r="X3814" s="481">
        <f t="shared" si="155"/>
        <v>0</v>
      </c>
      <c r="Y3814" s="179"/>
      <c r="Z3814" s="466">
        <f t="shared" si="156"/>
        <v>0</v>
      </c>
      <c r="AA3814" s="473">
        <f t="shared" si="157"/>
        <v>0</v>
      </c>
      <c r="AB3814" s="339">
        <f t="shared" si="158"/>
        <v>0</v>
      </c>
    </row>
    <row r="3815" spans="2:28" ht="20.100000000000001" customHeight="1">
      <c r="B3815" s="172"/>
      <c r="C3815" s="174"/>
      <c r="D3815" s="181"/>
      <c r="E3815" s="173"/>
      <c r="F3815" s="176"/>
      <c r="G3815" s="175">
        <f t="shared" si="160"/>
        <v>0</v>
      </c>
      <c r="H3815" s="175">
        <f t="shared" si="153"/>
        <v>0</v>
      </c>
      <c r="I3815" s="177">
        <f>IF(G3815=0,0,IF(E3815="MXN",1/HLOOKUP(YEAR(C3815)+(MONTH(C3815)/100),TC!$5:$37,DAY(C3815)+2,FALSE),VLOOKUP(E3815,Equivalencia!$5:$23,((MAX(Equivalencia!$3:$3)-YEAR(C3815))*14)+MONTH(C3815)+2,FALSE)))</f>
        <v>0</v>
      </c>
      <c r="J3815" s="178">
        <f t="shared" si="161"/>
        <v>0</v>
      </c>
      <c r="K3815" s="462">
        <f>IF(C3815=0,0,VLOOKUP(YEAR(C3815),INPC!$B$4:$O$29,MONTH(C3815)+1))</f>
        <v>0</v>
      </c>
      <c r="L3815" s="462">
        <f>IF(S3815=0,0,VLOOKUP(YEAR(S3815),INPC!$B$4:$O$29,MONTH(S3815)+1))</f>
        <v>0</v>
      </c>
      <c r="M3815" s="463">
        <f t="shared" si="154"/>
        <v>0</v>
      </c>
      <c r="N3815" s="465">
        <f t="shared" si="162"/>
        <v>0</v>
      </c>
      <c r="O3815" s="179"/>
      <c r="P3815" s="180"/>
      <c r="Q3815" s="173"/>
      <c r="R3815" s="173"/>
      <c r="S3815" s="174"/>
      <c r="T3815" s="173"/>
      <c r="U3815" s="182"/>
      <c r="V3815" s="177">
        <f>IF(U3815=0,0,IF(T3815="MXN",1/HLOOKUP(YEAR(S3815)+(MONTH(S3815)/100),TC!$5:$37,DAY(S3815)+2,FALSE),VLOOKUP(T3815,Equivalencia!$1:$23,((MAX(Equivalencia!$3:$3)-YEAR(S3815))*14)+MONTH(S3815)+2,FALSE)))</f>
        <v>0</v>
      </c>
      <c r="W3815" s="178">
        <f t="shared" si="159"/>
        <v>0</v>
      </c>
      <c r="X3815" s="481">
        <f t="shared" si="155"/>
        <v>0</v>
      </c>
      <c r="Y3815" s="179"/>
      <c r="Z3815" s="466">
        <f t="shared" si="156"/>
        <v>0</v>
      </c>
      <c r="AA3815" s="473">
        <f t="shared" si="157"/>
        <v>0</v>
      </c>
      <c r="AB3815" s="339">
        <f t="shared" si="158"/>
        <v>0</v>
      </c>
    </row>
    <row r="3816" spans="2:28" ht="20.100000000000001" customHeight="1">
      <c r="B3816" s="172"/>
      <c r="C3816" s="174"/>
      <c r="D3816" s="181"/>
      <c r="E3816" s="173"/>
      <c r="F3816" s="176"/>
      <c r="G3816" s="175">
        <f t="shared" si="160"/>
        <v>0</v>
      </c>
      <c r="H3816" s="175">
        <f t="shared" si="153"/>
        <v>0</v>
      </c>
      <c r="I3816" s="177">
        <f>IF(G3816=0,0,IF(E3816="MXN",1/HLOOKUP(YEAR(C3816)+(MONTH(C3816)/100),TC!$5:$37,DAY(C3816)+2,FALSE),VLOOKUP(E3816,Equivalencia!$5:$23,((MAX(Equivalencia!$3:$3)-YEAR(C3816))*14)+MONTH(C3816)+2,FALSE)))</f>
        <v>0</v>
      </c>
      <c r="J3816" s="178">
        <f t="shared" si="161"/>
        <v>0</v>
      </c>
      <c r="K3816" s="462">
        <f>IF(C3816=0,0,VLOOKUP(YEAR(C3816),INPC!$B$4:$O$29,MONTH(C3816)+1))</f>
        <v>0</v>
      </c>
      <c r="L3816" s="462">
        <f>IF(S3816=0,0,VLOOKUP(YEAR(S3816),INPC!$B$4:$O$29,MONTH(S3816)+1))</f>
        <v>0</v>
      </c>
      <c r="M3816" s="463">
        <f t="shared" si="154"/>
        <v>0</v>
      </c>
      <c r="N3816" s="465">
        <f t="shared" si="162"/>
        <v>0</v>
      </c>
      <c r="O3816" s="179"/>
      <c r="P3816" s="180"/>
      <c r="Q3816" s="173"/>
      <c r="R3816" s="173"/>
      <c r="S3816" s="174"/>
      <c r="T3816" s="173"/>
      <c r="U3816" s="182"/>
      <c r="V3816" s="177">
        <f>IF(U3816=0,0,IF(T3816="MXN",1/HLOOKUP(YEAR(S3816)+(MONTH(S3816)/100),TC!$5:$37,DAY(S3816)+2,FALSE),VLOOKUP(T3816,Equivalencia!$1:$23,((MAX(Equivalencia!$3:$3)-YEAR(S3816))*14)+MONTH(S3816)+2,FALSE)))</f>
        <v>0</v>
      </c>
      <c r="W3816" s="178">
        <f t="shared" si="159"/>
        <v>0</v>
      </c>
      <c r="X3816" s="481">
        <f t="shared" si="155"/>
        <v>0</v>
      </c>
      <c r="Y3816" s="179"/>
      <c r="Z3816" s="466">
        <f t="shared" si="156"/>
        <v>0</v>
      </c>
      <c r="AA3816" s="473">
        <f t="shared" si="157"/>
        <v>0</v>
      </c>
      <c r="AB3816" s="339">
        <f t="shared" si="158"/>
        <v>0</v>
      </c>
    </row>
    <row r="3817" spans="2:28" ht="20.100000000000001" customHeight="1">
      <c r="B3817" s="172"/>
      <c r="C3817" s="174"/>
      <c r="D3817" s="181"/>
      <c r="E3817" s="173"/>
      <c r="F3817" s="176"/>
      <c r="G3817" s="175">
        <f t="shared" si="160"/>
        <v>0</v>
      </c>
      <c r="H3817" s="175">
        <f t="shared" si="153"/>
        <v>0</v>
      </c>
      <c r="I3817" s="177">
        <f>IF(G3817=0,0,IF(E3817="MXN",1/HLOOKUP(YEAR(C3817)+(MONTH(C3817)/100),TC!$5:$37,DAY(C3817)+2,FALSE),VLOOKUP(E3817,Equivalencia!$5:$23,((MAX(Equivalencia!$3:$3)-YEAR(C3817))*14)+MONTH(C3817)+2,FALSE)))</f>
        <v>0</v>
      </c>
      <c r="J3817" s="178">
        <f t="shared" si="161"/>
        <v>0</v>
      </c>
      <c r="K3817" s="462">
        <f>IF(C3817=0,0,VLOOKUP(YEAR(C3817),INPC!$B$4:$O$29,MONTH(C3817)+1))</f>
        <v>0</v>
      </c>
      <c r="L3817" s="462">
        <f>IF(S3817=0,0,VLOOKUP(YEAR(S3817),INPC!$B$4:$O$29,MONTH(S3817)+1))</f>
        <v>0</v>
      </c>
      <c r="M3817" s="463">
        <f t="shared" si="154"/>
        <v>0</v>
      </c>
      <c r="N3817" s="465">
        <f t="shared" si="162"/>
        <v>0</v>
      </c>
      <c r="O3817" s="179"/>
      <c r="P3817" s="180"/>
      <c r="Q3817" s="173"/>
      <c r="R3817" s="173"/>
      <c r="S3817" s="174"/>
      <c r="T3817" s="173"/>
      <c r="U3817" s="182"/>
      <c r="V3817" s="177">
        <f>IF(U3817=0,0,IF(T3817="MXN",1/HLOOKUP(YEAR(S3817)+(MONTH(S3817)/100),TC!$5:$37,DAY(S3817)+2,FALSE),VLOOKUP(T3817,Equivalencia!$1:$23,((MAX(Equivalencia!$3:$3)-YEAR(S3817))*14)+MONTH(S3817)+2,FALSE)))</f>
        <v>0</v>
      </c>
      <c r="W3817" s="178">
        <f t="shared" si="159"/>
        <v>0</v>
      </c>
      <c r="X3817" s="481">
        <f t="shared" si="155"/>
        <v>0</v>
      </c>
      <c r="Y3817" s="179"/>
      <c r="Z3817" s="466">
        <f t="shared" si="156"/>
        <v>0</v>
      </c>
      <c r="AA3817" s="473">
        <f t="shared" si="157"/>
        <v>0</v>
      </c>
      <c r="AB3817" s="339">
        <f t="shared" si="158"/>
        <v>0</v>
      </c>
    </row>
    <row r="3818" spans="2:28" ht="20.100000000000001" customHeight="1">
      <c r="B3818" s="172"/>
      <c r="C3818" s="174"/>
      <c r="D3818" s="181"/>
      <c r="E3818" s="173"/>
      <c r="F3818" s="176"/>
      <c r="G3818" s="175">
        <f t="shared" si="160"/>
        <v>0</v>
      </c>
      <c r="H3818" s="175">
        <f t="shared" si="153"/>
        <v>0</v>
      </c>
      <c r="I3818" s="177">
        <f>IF(G3818=0,0,IF(E3818="MXN",1/HLOOKUP(YEAR(C3818)+(MONTH(C3818)/100),TC!$5:$37,DAY(C3818)+2,FALSE),VLOOKUP(E3818,Equivalencia!$5:$23,((MAX(Equivalencia!$3:$3)-YEAR(C3818))*14)+MONTH(C3818)+2,FALSE)))</f>
        <v>0</v>
      </c>
      <c r="J3818" s="178">
        <f t="shared" si="161"/>
        <v>0</v>
      </c>
      <c r="K3818" s="462">
        <f>IF(C3818=0,0,VLOOKUP(YEAR(C3818),INPC!$B$4:$O$29,MONTH(C3818)+1))</f>
        <v>0</v>
      </c>
      <c r="L3818" s="462">
        <f>IF(S3818=0,0,VLOOKUP(YEAR(S3818),INPC!$B$4:$O$29,MONTH(S3818)+1))</f>
        <v>0</v>
      </c>
      <c r="M3818" s="463">
        <f t="shared" si="154"/>
        <v>0</v>
      </c>
      <c r="N3818" s="465">
        <f t="shared" si="162"/>
        <v>0</v>
      </c>
      <c r="O3818" s="179"/>
      <c r="P3818" s="180"/>
      <c r="Q3818" s="173"/>
      <c r="R3818" s="173"/>
      <c r="S3818" s="174"/>
      <c r="T3818" s="173"/>
      <c r="U3818" s="182"/>
      <c r="V3818" s="177">
        <f>IF(U3818=0,0,IF(T3818="MXN",1/HLOOKUP(YEAR(S3818)+(MONTH(S3818)/100),TC!$5:$37,DAY(S3818)+2,FALSE),VLOOKUP(T3818,Equivalencia!$1:$23,((MAX(Equivalencia!$3:$3)-YEAR(S3818))*14)+MONTH(S3818)+2,FALSE)))</f>
        <v>0</v>
      </c>
      <c r="W3818" s="178">
        <f t="shared" si="159"/>
        <v>0</v>
      </c>
      <c r="X3818" s="481">
        <f t="shared" si="155"/>
        <v>0</v>
      </c>
      <c r="Y3818" s="179"/>
      <c r="Z3818" s="466">
        <f t="shared" si="156"/>
        <v>0</v>
      </c>
      <c r="AA3818" s="473">
        <f t="shared" si="157"/>
        <v>0</v>
      </c>
      <c r="AB3818" s="339">
        <f t="shared" si="158"/>
        <v>0</v>
      </c>
    </row>
    <row r="3819" spans="2:28" ht="20.100000000000001" customHeight="1">
      <c r="B3819" s="172"/>
      <c r="C3819" s="174"/>
      <c r="D3819" s="181"/>
      <c r="E3819" s="173"/>
      <c r="F3819" s="176"/>
      <c r="G3819" s="175">
        <f t="shared" si="160"/>
        <v>0</v>
      </c>
      <c r="H3819" s="175">
        <f t="shared" si="153"/>
        <v>0</v>
      </c>
      <c r="I3819" s="177">
        <f>IF(G3819=0,0,IF(E3819="MXN",1/HLOOKUP(YEAR(C3819)+(MONTH(C3819)/100),TC!$5:$37,DAY(C3819)+2,FALSE),VLOOKUP(E3819,Equivalencia!$5:$23,((MAX(Equivalencia!$3:$3)-YEAR(C3819))*14)+MONTH(C3819)+2,FALSE)))</f>
        <v>0</v>
      </c>
      <c r="J3819" s="178">
        <f t="shared" si="161"/>
        <v>0</v>
      </c>
      <c r="K3819" s="462">
        <f>IF(C3819=0,0,VLOOKUP(YEAR(C3819),INPC!$B$4:$O$29,MONTH(C3819)+1))</f>
        <v>0</v>
      </c>
      <c r="L3819" s="462">
        <f>IF(S3819=0,0,VLOOKUP(YEAR(S3819),INPC!$B$4:$O$29,MONTH(S3819)+1))</f>
        <v>0</v>
      </c>
      <c r="M3819" s="463">
        <f t="shared" si="154"/>
        <v>0</v>
      </c>
      <c r="N3819" s="465">
        <f t="shared" si="162"/>
        <v>0</v>
      </c>
      <c r="O3819" s="179"/>
      <c r="P3819" s="180"/>
      <c r="Q3819" s="173"/>
      <c r="R3819" s="173"/>
      <c r="S3819" s="174"/>
      <c r="T3819" s="173"/>
      <c r="U3819" s="182"/>
      <c r="V3819" s="177">
        <f>IF(U3819=0,0,IF(T3819="MXN",1/HLOOKUP(YEAR(S3819)+(MONTH(S3819)/100),TC!$5:$37,DAY(S3819)+2,FALSE),VLOOKUP(T3819,Equivalencia!$1:$23,((MAX(Equivalencia!$3:$3)-YEAR(S3819))*14)+MONTH(S3819)+2,FALSE)))</f>
        <v>0</v>
      </c>
      <c r="W3819" s="178">
        <f t="shared" si="159"/>
        <v>0</v>
      </c>
      <c r="X3819" s="481">
        <f t="shared" si="155"/>
        <v>0</v>
      </c>
      <c r="Y3819" s="179"/>
      <c r="Z3819" s="466">
        <f t="shared" si="156"/>
        <v>0</v>
      </c>
      <c r="AA3819" s="473">
        <f t="shared" si="157"/>
        <v>0</v>
      </c>
      <c r="AB3819" s="339">
        <f t="shared" si="158"/>
        <v>0</v>
      </c>
    </row>
    <row r="3820" spans="2:28" ht="20.100000000000001" customHeight="1">
      <c r="B3820" s="172"/>
      <c r="C3820" s="174"/>
      <c r="D3820" s="181"/>
      <c r="E3820" s="173"/>
      <c r="F3820" s="176"/>
      <c r="G3820" s="175">
        <f t="shared" si="160"/>
        <v>0</v>
      </c>
      <c r="H3820" s="175">
        <f t="shared" si="153"/>
        <v>0</v>
      </c>
      <c r="I3820" s="177">
        <f>IF(G3820=0,0,IF(E3820="MXN",1/HLOOKUP(YEAR(C3820)+(MONTH(C3820)/100),TC!$5:$37,DAY(C3820)+2,FALSE),VLOOKUP(E3820,Equivalencia!$5:$23,((MAX(Equivalencia!$3:$3)-YEAR(C3820))*14)+MONTH(C3820)+2,FALSE)))</f>
        <v>0</v>
      </c>
      <c r="J3820" s="178">
        <f t="shared" si="161"/>
        <v>0</v>
      </c>
      <c r="K3820" s="462">
        <f>IF(C3820=0,0,VLOOKUP(YEAR(C3820),INPC!$B$4:$O$29,MONTH(C3820)+1))</f>
        <v>0</v>
      </c>
      <c r="L3820" s="462">
        <f>IF(S3820=0,0,VLOOKUP(YEAR(S3820),INPC!$B$4:$O$29,MONTH(S3820)+1))</f>
        <v>0</v>
      </c>
      <c r="M3820" s="463">
        <f t="shared" si="154"/>
        <v>0</v>
      </c>
      <c r="N3820" s="465">
        <f t="shared" si="162"/>
        <v>0</v>
      </c>
      <c r="O3820" s="179"/>
      <c r="P3820" s="180"/>
      <c r="Q3820" s="173"/>
      <c r="R3820" s="173"/>
      <c r="S3820" s="174"/>
      <c r="T3820" s="173"/>
      <c r="U3820" s="182"/>
      <c r="V3820" s="177">
        <f>IF(U3820=0,0,IF(T3820="MXN",1/HLOOKUP(YEAR(S3820)+(MONTH(S3820)/100),TC!$5:$37,DAY(S3820)+2,FALSE),VLOOKUP(T3820,Equivalencia!$1:$23,((MAX(Equivalencia!$3:$3)-YEAR(S3820))*14)+MONTH(S3820)+2,FALSE)))</f>
        <v>0</v>
      </c>
      <c r="W3820" s="178">
        <f t="shared" si="159"/>
        <v>0</v>
      </c>
      <c r="X3820" s="481">
        <f t="shared" si="155"/>
        <v>0</v>
      </c>
      <c r="Y3820" s="179"/>
      <c r="Z3820" s="466">
        <f t="shared" si="156"/>
        <v>0</v>
      </c>
      <c r="AA3820" s="473">
        <f t="shared" si="157"/>
        <v>0</v>
      </c>
      <c r="AB3820" s="339">
        <f t="shared" si="158"/>
        <v>0</v>
      </c>
    </row>
    <row r="3821" spans="2:28" ht="20.100000000000001" customHeight="1">
      <c r="B3821" s="172"/>
      <c r="C3821" s="174"/>
      <c r="D3821" s="181"/>
      <c r="E3821" s="173"/>
      <c r="F3821" s="176"/>
      <c r="G3821" s="175">
        <f t="shared" si="160"/>
        <v>0</v>
      </c>
      <c r="H3821" s="175">
        <f t="shared" si="153"/>
        <v>0</v>
      </c>
      <c r="I3821" s="177">
        <f>IF(G3821=0,0,IF(E3821="MXN",1/HLOOKUP(YEAR(C3821)+(MONTH(C3821)/100),TC!$5:$37,DAY(C3821)+2,FALSE),VLOOKUP(E3821,Equivalencia!$5:$23,((MAX(Equivalencia!$3:$3)-YEAR(C3821))*14)+MONTH(C3821)+2,FALSE)))</f>
        <v>0</v>
      </c>
      <c r="J3821" s="178">
        <f t="shared" si="161"/>
        <v>0</v>
      </c>
      <c r="K3821" s="462">
        <f>IF(C3821=0,0,VLOOKUP(YEAR(C3821),INPC!$B$4:$O$29,MONTH(C3821)+1))</f>
        <v>0</v>
      </c>
      <c r="L3821" s="462">
        <f>IF(S3821=0,0,VLOOKUP(YEAR(S3821),INPC!$B$4:$O$29,MONTH(S3821)+1))</f>
        <v>0</v>
      </c>
      <c r="M3821" s="463">
        <f t="shared" si="154"/>
        <v>0</v>
      </c>
      <c r="N3821" s="465">
        <f t="shared" si="162"/>
        <v>0</v>
      </c>
      <c r="O3821" s="179"/>
      <c r="P3821" s="180"/>
      <c r="Q3821" s="173"/>
      <c r="R3821" s="173"/>
      <c r="S3821" s="174"/>
      <c r="T3821" s="173"/>
      <c r="U3821" s="182"/>
      <c r="V3821" s="177">
        <f>IF(U3821=0,0,IF(T3821="MXN",1/HLOOKUP(YEAR(S3821)+(MONTH(S3821)/100),TC!$5:$37,DAY(S3821)+2,FALSE),VLOOKUP(T3821,Equivalencia!$1:$23,((MAX(Equivalencia!$3:$3)-YEAR(S3821))*14)+MONTH(S3821)+2,FALSE)))</f>
        <v>0</v>
      </c>
      <c r="W3821" s="178">
        <f t="shared" si="159"/>
        <v>0</v>
      </c>
      <c r="X3821" s="481">
        <f t="shared" si="155"/>
        <v>0</v>
      </c>
      <c r="Y3821" s="179"/>
      <c r="Z3821" s="466">
        <f t="shared" si="156"/>
        <v>0</v>
      </c>
      <c r="AA3821" s="473">
        <f t="shared" si="157"/>
        <v>0</v>
      </c>
      <c r="AB3821" s="339">
        <f t="shared" si="158"/>
        <v>0</v>
      </c>
    </row>
    <row r="3822" spans="2:28" ht="20.100000000000001" customHeight="1">
      <c r="B3822" s="172"/>
      <c r="C3822" s="174"/>
      <c r="D3822" s="181"/>
      <c r="E3822" s="173"/>
      <c r="F3822" s="176"/>
      <c r="G3822" s="175">
        <f t="shared" si="160"/>
        <v>0</v>
      </c>
      <c r="H3822" s="175">
        <f t="shared" si="153"/>
        <v>0</v>
      </c>
      <c r="I3822" s="177">
        <f>IF(G3822=0,0,IF(E3822="MXN",1/HLOOKUP(YEAR(C3822)+(MONTH(C3822)/100),TC!$5:$37,DAY(C3822)+2,FALSE),VLOOKUP(E3822,Equivalencia!$5:$23,((MAX(Equivalencia!$3:$3)-YEAR(C3822))*14)+MONTH(C3822)+2,FALSE)))</f>
        <v>0</v>
      </c>
      <c r="J3822" s="178">
        <f t="shared" si="161"/>
        <v>0</v>
      </c>
      <c r="K3822" s="462">
        <f>IF(C3822=0,0,VLOOKUP(YEAR(C3822),INPC!$B$4:$O$29,MONTH(C3822)+1))</f>
        <v>0</v>
      </c>
      <c r="L3822" s="462">
        <f>IF(S3822=0,0,VLOOKUP(YEAR(S3822),INPC!$B$4:$O$29,MONTH(S3822)+1))</f>
        <v>0</v>
      </c>
      <c r="M3822" s="463">
        <f t="shared" si="154"/>
        <v>0</v>
      </c>
      <c r="N3822" s="465">
        <f t="shared" si="162"/>
        <v>0</v>
      </c>
      <c r="O3822" s="179"/>
      <c r="P3822" s="180"/>
      <c r="Q3822" s="173"/>
      <c r="R3822" s="173"/>
      <c r="S3822" s="174"/>
      <c r="T3822" s="173"/>
      <c r="U3822" s="182"/>
      <c r="V3822" s="177">
        <f>IF(U3822=0,0,IF(T3822="MXN",1/HLOOKUP(YEAR(S3822)+(MONTH(S3822)/100),TC!$5:$37,DAY(S3822)+2,FALSE),VLOOKUP(T3822,Equivalencia!$1:$23,((MAX(Equivalencia!$3:$3)-YEAR(S3822))*14)+MONTH(S3822)+2,FALSE)))</f>
        <v>0</v>
      </c>
      <c r="W3822" s="178">
        <f t="shared" si="159"/>
        <v>0</v>
      </c>
      <c r="X3822" s="481">
        <f t="shared" si="155"/>
        <v>0</v>
      </c>
      <c r="Y3822" s="179"/>
      <c r="Z3822" s="466">
        <f t="shared" si="156"/>
        <v>0</v>
      </c>
      <c r="AA3822" s="473">
        <f t="shared" si="157"/>
        <v>0</v>
      </c>
      <c r="AB3822" s="339">
        <f t="shared" si="158"/>
        <v>0</v>
      </c>
    </row>
    <row r="3823" spans="2:28" ht="20.100000000000001" customHeight="1">
      <c r="B3823" s="172"/>
      <c r="C3823" s="174"/>
      <c r="D3823" s="181"/>
      <c r="E3823" s="173"/>
      <c r="F3823" s="176"/>
      <c r="G3823" s="175">
        <f t="shared" si="160"/>
        <v>0</v>
      </c>
      <c r="H3823" s="175">
        <f t="shared" si="153"/>
        <v>0</v>
      </c>
      <c r="I3823" s="177">
        <f>IF(G3823=0,0,IF(E3823="MXN",1/HLOOKUP(YEAR(C3823)+(MONTH(C3823)/100),TC!$5:$37,DAY(C3823)+2,FALSE),VLOOKUP(E3823,Equivalencia!$5:$23,((MAX(Equivalencia!$3:$3)-YEAR(C3823))*14)+MONTH(C3823)+2,FALSE)))</f>
        <v>0</v>
      </c>
      <c r="J3823" s="178">
        <f t="shared" si="161"/>
        <v>0</v>
      </c>
      <c r="K3823" s="462">
        <f>IF(C3823=0,0,VLOOKUP(YEAR(C3823),INPC!$B$4:$O$29,MONTH(C3823)+1))</f>
        <v>0</v>
      </c>
      <c r="L3823" s="462">
        <f>IF(S3823=0,0,VLOOKUP(YEAR(S3823),INPC!$B$4:$O$29,MONTH(S3823)+1))</f>
        <v>0</v>
      </c>
      <c r="M3823" s="463">
        <f t="shared" si="154"/>
        <v>0</v>
      </c>
      <c r="N3823" s="465">
        <f t="shared" si="162"/>
        <v>0</v>
      </c>
      <c r="O3823" s="179"/>
      <c r="P3823" s="180"/>
      <c r="Q3823" s="173"/>
      <c r="R3823" s="173"/>
      <c r="S3823" s="174"/>
      <c r="T3823" s="173"/>
      <c r="U3823" s="182"/>
      <c r="V3823" s="177">
        <f>IF(U3823=0,0,IF(T3823="MXN",1/HLOOKUP(YEAR(S3823)+(MONTH(S3823)/100),TC!$5:$37,DAY(S3823)+2,FALSE),VLOOKUP(T3823,Equivalencia!$1:$23,((MAX(Equivalencia!$3:$3)-YEAR(S3823))*14)+MONTH(S3823)+2,FALSE)))</f>
        <v>0</v>
      </c>
      <c r="W3823" s="178">
        <f t="shared" si="159"/>
        <v>0</v>
      </c>
      <c r="X3823" s="481">
        <f t="shared" si="155"/>
        <v>0</v>
      </c>
      <c r="Y3823" s="179"/>
      <c r="Z3823" s="466">
        <f t="shared" si="156"/>
        <v>0</v>
      </c>
      <c r="AA3823" s="473">
        <f t="shared" si="157"/>
        <v>0</v>
      </c>
      <c r="AB3823" s="339">
        <f t="shared" si="158"/>
        <v>0</v>
      </c>
    </row>
    <row r="3824" spans="2:28" ht="20.100000000000001" customHeight="1">
      <c r="B3824" s="172"/>
      <c r="C3824" s="174"/>
      <c r="D3824" s="181"/>
      <c r="E3824" s="173"/>
      <c r="F3824" s="176"/>
      <c r="G3824" s="175">
        <f t="shared" si="160"/>
        <v>0</v>
      </c>
      <c r="H3824" s="175">
        <f t="shared" si="153"/>
        <v>0</v>
      </c>
      <c r="I3824" s="177">
        <f>IF(G3824=0,0,IF(E3824="MXN",1/HLOOKUP(YEAR(C3824)+(MONTH(C3824)/100),TC!$5:$37,DAY(C3824)+2,FALSE),VLOOKUP(E3824,Equivalencia!$5:$23,((MAX(Equivalencia!$3:$3)-YEAR(C3824))*14)+MONTH(C3824)+2,FALSE)))</f>
        <v>0</v>
      </c>
      <c r="J3824" s="178">
        <f t="shared" si="161"/>
        <v>0</v>
      </c>
      <c r="K3824" s="462">
        <f>IF(C3824=0,0,VLOOKUP(YEAR(C3824),INPC!$B$4:$O$29,MONTH(C3824)+1))</f>
        <v>0</v>
      </c>
      <c r="L3824" s="462">
        <f>IF(S3824=0,0,VLOOKUP(YEAR(S3824),INPC!$B$4:$O$29,MONTH(S3824)+1))</f>
        <v>0</v>
      </c>
      <c r="M3824" s="463">
        <f t="shared" si="154"/>
        <v>0</v>
      </c>
      <c r="N3824" s="465">
        <f t="shared" si="162"/>
        <v>0</v>
      </c>
      <c r="O3824" s="179"/>
      <c r="P3824" s="180"/>
      <c r="Q3824" s="173"/>
      <c r="R3824" s="173"/>
      <c r="S3824" s="174"/>
      <c r="T3824" s="173"/>
      <c r="U3824" s="182"/>
      <c r="V3824" s="177">
        <f>IF(U3824=0,0,IF(T3824="MXN",1/HLOOKUP(YEAR(S3824)+(MONTH(S3824)/100),TC!$5:$37,DAY(S3824)+2,FALSE),VLOOKUP(T3824,Equivalencia!$1:$23,((MAX(Equivalencia!$3:$3)-YEAR(S3824))*14)+MONTH(S3824)+2,FALSE)))</f>
        <v>0</v>
      </c>
      <c r="W3824" s="178">
        <f t="shared" si="159"/>
        <v>0</v>
      </c>
      <c r="X3824" s="481">
        <f t="shared" si="155"/>
        <v>0</v>
      </c>
      <c r="Y3824" s="179"/>
      <c r="Z3824" s="466">
        <f t="shared" si="156"/>
        <v>0</v>
      </c>
      <c r="AA3824" s="473">
        <f t="shared" si="157"/>
        <v>0</v>
      </c>
      <c r="AB3824" s="339">
        <f t="shared" si="158"/>
        <v>0</v>
      </c>
    </row>
    <row r="3825" spans="2:28" ht="20.100000000000001" customHeight="1">
      <c r="B3825" s="172"/>
      <c r="C3825" s="174"/>
      <c r="D3825" s="181"/>
      <c r="E3825" s="173"/>
      <c r="F3825" s="176"/>
      <c r="G3825" s="175">
        <f t="shared" si="160"/>
        <v>0</v>
      </c>
      <c r="H3825" s="175">
        <f t="shared" si="153"/>
        <v>0</v>
      </c>
      <c r="I3825" s="177">
        <f>IF(G3825=0,0,IF(E3825="MXN",1/HLOOKUP(YEAR(C3825)+(MONTH(C3825)/100),TC!$5:$37,DAY(C3825)+2,FALSE),VLOOKUP(E3825,Equivalencia!$5:$23,((MAX(Equivalencia!$3:$3)-YEAR(C3825))*14)+MONTH(C3825)+2,FALSE)))</f>
        <v>0</v>
      </c>
      <c r="J3825" s="178">
        <f t="shared" si="161"/>
        <v>0</v>
      </c>
      <c r="K3825" s="462">
        <f>IF(C3825=0,0,VLOOKUP(YEAR(C3825),INPC!$B$4:$O$29,MONTH(C3825)+1))</f>
        <v>0</v>
      </c>
      <c r="L3825" s="462">
        <f>IF(S3825=0,0,VLOOKUP(YEAR(S3825),INPC!$B$4:$O$29,MONTH(S3825)+1))</f>
        <v>0</v>
      </c>
      <c r="M3825" s="463">
        <f t="shared" si="154"/>
        <v>0</v>
      </c>
      <c r="N3825" s="465">
        <f t="shared" si="162"/>
        <v>0</v>
      </c>
      <c r="O3825" s="179"/>
      <c r="P3825" s="180"/>
      <c r="Q3825" s="173"/>
      <c r="R3825" s="173"/>
      <c r="S3825" s="174"/>
      <c r="T3825" s="173"/>
      <c r="U3825" s="182"/>
      <c r="V3825" s="177">
        <f>IF(U3825=0,0,IF(T3825="MXN",1/HLOOKUP(YEAR(S3825)+(MONTH(S3825)/100),TC!$5:$37,DAY(S3825)+2,FALSE),VLOOKUP(T3825,Equivalencia!$1:$23,((MAX(Equivalencia!$3:$3)-YEAR(S3825))*14)+MONTH(S3825)+2,FALSE)))</f>
        <v>0</v>
      </c>
      <c r="W3825" s="178">
        <f t="shared" si="159"/>
        <v>0</v>
      </c>
      <c r="X3825" s="481">
        <f t="shared" si="155"/>
        <v>0</v>
      </c>
      <c r="Y3825" s="179"/>
      <c r="Z3825" s="466">
        <f t="shared" si="156"/>
        <v>0</v>
      </c>
      <c r="AA3825" s="473">
        <f t="shared" si="157"/>
        <v>0</v>
      </c>
      <c r="AB3825" s="339">
        <f t="shared" si="158"/>
        <v>0</v>
      </c>
    </row>
    <row r="3826" spans="2:28" ht="20.100000000000001" customHeight="1">
      <c r="B3826" s="172"/>
      <c r="C3826" s="174"/>
      <c r="D3826" s="181"/>
      <c r="E3826" s="173"/>
      <c r="F3826" s="176"/>
      <c r="G3826" s="175">
        <f t="shared" si="160"/>
        <v>0</v>
      </c>
      <c r="H3826" s="175">
        <f t="shared" si="153"/>
        <v>0</v>
      </c>
      <c r="I3826" s="177">
        <f>IF(G3826=0,0,IF(E3826="MXN",1/HLOOKUP(YEAR(C3826)+(MONTH(C3826)/100),TC!$5:$37,DAY(C3826)+2,FALSE),VLOOKUP(E3826,Equivalencia!$5:$23,((MAX(Equivalencia!$3:$3)-YEAR(C3826))*14)+MONTH(C3826)+2,FALSE)))</f>
        <v>0</v>
      </c>
      <c r="J3826" s="178">
        <f t="shared" si="161"/>
        <v>0</v>
      </c>
      <c r="K3826" s="462">
        <f>IF(C3826=0,0,VLOOKUP(YEAR(C3826),INPC!$B$4:$O$29,MONTH(C3826)+1))</f>
        <v>0</v>
      </c>
      <c r="L3826" s="462">
        <f>IF(S3826=0,0,VLOOKUP(YEAR(S3826),INPC!$B$4:$O$29,MONTH(S3826)+1))</f>
        <v>0</v>
      </c>
      <c r="M3826" s="463">
        <f t="shared" si="154"/>
        <v>0</v>
      </c>
      <c r="N3826" s="465">
        <f t="shared" si="162"/>
        <v>0</v>
      </c>
      <c r="O3826" s="179"/>
      <c r="P3826" s="180"/>
      <c r="Q3826" s="173"/>
      <c r="R3826" s="173"/>
      <c r="S3826" s="174"/>
      <c r="T3826" s="173"/>
      <c r="U3826" s="182"/>
      <c r="V3826" s="177">
        <f>IF(U3826=0,0,IF(T3826="MXN",1/HLOOKUP(YEAR(S3826)+(MONTH(S3826)/100),TC!$5:$37,DAY(S3826)+2,FALSE),VLOOKUP(T3826,Equivalencia!$1:$23,((MAX(Equivalencia!$3:$3)-YEAR(S3826))*14)+MONTH(S3826)+2,FALSE)))</f>
        <v>0</v>
      </c>
      <c r="W3826" s="178">
        <f t="shared" si="159"/>
        <v>0</v>
      </c>
      <c r="X3826" s="481">
        <f t="shared" si="155"/>
        <v>0</v>
      </c>
      <c r="Y3826" s="179"/>
      <c r="Z3826" s="466">
        <f t="shared" si="156"/>
        <v>0</v>
      </c>
      <c r="AA3826" s="473">
        <f t="shared" si="157"/>
        <v>0</v>
      </c>
      <c r="AB3826" s="339">
        <f t="shared" si="158"/>
        <v>0</v>
      </c>
    </row>
    <row r="3827" spans="2:28" ht="20.100000000000001" customHeight="1">
      <c r="B3827" s="172"/>
      <c r="C3827" s="174"/>
      <c r="D3827" s="181"/>
      <c r="E3827" s="173"/>
      <c r="F3827" s="176"/>
      <c r="G3827" s="175">
        <f t="shared" si="160"/>
        <v>0</v>
      </c>
      <c r="H3827" s="175">
        <f t="shared" si="153"/>
        <v>0</v>
      </c>
      <c r="I3827" s="177">
        <f>IF(G3827=0,0,IF(E3827="MXN",1/HLOOKUP(YEAR(C3827)+(MONTH(C3827)/100),TC!$5:$37,DAY(C3827)+2,FALSE),VLOOKUP(E3827,Equivalencia!$5:$23,((MAX(Equivalencia!$3:$3)-YEAR(C3827))*14)+MONTH(C3827)+2,FALSE)))</f>
        <v>0</v>
      </c>
      <c r="J3827" s="178">
        <f t="shared" si="161"/>
        <v>0</v>
      </c>
      <c r="K3827" s="462">
        <f>IF(C3827=0,0,VLOOKUP(YEAR(C3827),INPC!$B$4:$O$29,MONTH(C3827)+1))</f>
        <v>0</v>
      </c>
      <c r="L3827" s="462">
        <f>IF(S3827=0,0,VLOOKUP(YEAR(S3827),INPC!$B$4:$O$29,MONTH(S3827)+1))</f>
        <v>0</v>
      </c>
      <c r="M3827" s="463">
        <f t="shared" si="154"/>
        <v>0</v>
      </c>
      <c r="N3827" s="465">
        <f t="shared" si="162"/>
        <v>0</v>
      </c>
      <c r="O3827" s="179"/>
      <c r="P3827" s="180"/>
      <c r="Q3827" s="173"/>
      <c r="R3827" s="173"/>
      <c r="S3827" s="174"/>
      <c r="T3827" s="173"/>
      <c r="U3827" s="182"/>
      <c r="V3827" s="177">
        <f>IF(U3827=0,0,IF(T3827="MXN",1/HLOOKUP(YEAR(S3827)+(MONTH(S3827)/100),TC!$5:$37,DAY(S3827)+2,FALSE),VLOOKUP(T3827,Equivalencia!$1:$23,((MAX(Equivalencia!$3:$3)-YEAR(S3827))*14)+MONTH(S3827)+2,FALSE)))</f>
        <v>0</v>
      </c>
      <c r="W3827" s="178">
        <f t="shared" si="159"/>
        <v>0</v>
      </c>
      <c r="X3827" s="481">
        <f t="shared" si="155"/>
        <v>0</v>
      </c>
      <c r="Y3827" s="179"/>
      <c r="Z3827" s="466">
        <f t="shared" si="156"/>
        <v>0</v>
      </c>
      <c r="AA3827" s="473">
        <f t="shared" si="157"/>
        <v>0</v>
      </c>
      <c r="AB3827" s="339">
        <f t="shared" si="158"/>
        <v>0</v>
      </c>
    </row>
    <row r="3828" spans="2:28" ht="20.100000000000001" customHeight="1">
      <c r="B3828" s="172"/>
      <c r="C3828" s="174"/>
      <c r="D3828" s="181"/>
      <c r="E3828" s="173"/>
      <c r="F3828" s="176"/>
      <c r="G3828" s="175">
        <f t="shared" si="160"/>
        <v>0</v>
      </c>
      <c r="H3828" s="175">
        <f t="shared" si="153"/>
        <v>0</v>
      </c>
      <c r="I3828" s="177">
        <f>IF(G3828=0,0,IF(E3828="MXN",1/HLOOKUP(YEAR(C3828)+(MONTH(C3828)/100),TC!$5:$37,DAY(C3828)+2,FALSE),VLOOKUP(E3828,Equivalencia!$5:$23,((MAX(Equivalencia!$3:$3)-YEAR(C3828))*14)+MONTH(C3828)+2,FALSE)))</f>
        <v>0</v>
      </c>
      <c r="J3828" s="178">
        <f t="shared" si="161"/>
        <v>0</v>
      </c>
      <c r="K3828" s="462">
        <f>IF(C3828=0,0,VLOOKUP(YEAR(C3828),INPC!$B$4:$O$29,MONTH(C3828)+1))</f>
        <v>0</v>
      </c>
      <c r="L3828" s="462">
        <f>IF(S3828=0,0,VLOOKUP(YEAR(S3828),INPC!$B$4:$O$29,MONTH(S3828)+1))</f>
        <v>0</v>
      </c>
      <c r="M3828" s="463">
        <f t="shared" si="154"/>
        <v>0</v>
      </c>
      <c r="N3828" s="465">
        <f t="shared" si="162"/>
        <v>0</v>
      </c>
      <c r="O3828" s="179"/>
      <c r="P3828" s="180"/>
      <c r="Q3828" s="173"/>
      <c r="R3828" s="173"/>
      <c r="S3828" s="174"/>
      <c r="T3828" s="173"/>
      <c r="U3828" s="182"/>
      <c r="V3828" s="177">
        <f>IF(U3828=0,0,IF(T3828="MXN",1/HLOOKUP(YEAR(S3828)+(MONTH(S3828)/100),TC!$5:$37,DAY(S3828)+2,FALSE),VLOOKUP(T3828,Equivalencia!$1:$23,((MAX(Equivalencia!$3:$3)-YEAR(S3828))*14)+MONTH(S3828)+2,FALSE)))</f>
        <v>0</v>
      </c>
      <c r="W3828" s="178">
        <f t="shared" si="159"/>
        <v>0</v>
      </c>
      <c r="X3828" s="481">
        <f t="shared" si="155"/>
        <v>0</v>
      </c>
      <c r="Y3828" s="179"/>
      <c r="Z3828" s="466">
        <f t="shared" si="156"/>
        <v>0</v>
      </c>
      <c r="AA3828" s="473">
        <f t="shared" si="157"/>
        <v>0</v>
      </c>
      <c r="AB3828" s="339">
        <f t="shared" si="158"/>
        <v>0</v>
      </c>
    </row>
    <row r="3829" spans="2:28" ht="20.100000000000001" customHeight="1">
      <c r="B3829" s="172"/>
      <c r="C3829" s="174"/>
      <c r="D3829" s="181"/>
      <c r="E3829" s="173"/>
      <c r="F3829" s="176"/>
      <c r="G3829" s="175">
        <f t="shared" si="160"/>
        <v>0</v>
      </c>
      <c r="H3829" s="175">
        <f t="shared" si="153"/>
        <v>0</v>
      </c>
      <c r="I3829" s="177">
        <f>IF(G3829=0,0,IF(E3829="MXN",1/HLOOKUP(YEAR(C3829)+(MONTH(C3829)/100),TC!$5:$37,DAY(C3829)+2,FALSE),VLOOKUP(E3829,Equivalencia!$5:$23,((MAX(Equivalencia!$3:$3)-YEAR(C3829))*14)+MONTH(C3829)+2,FALSE)))</f>
        <v>0</v>
      </c>
      <c r="J3829" s="178">
        <f t="shared" si="161"/>
        <v>0</v>
      </c>
      <c r="K3829" s="462">
        <f>IF(C3829=0,0,VLOOKUP(YEAR(C3829),INPC!$B$4:$O$29,MONTH(C3829)+1))</f>
        <v>0</v>
      </c>
      <c r="L3829" s="462">
        <f>IF(S3829=0,0,VLOOKUP(YEAR(S3829),INPC!$B$4:$O$29,MONTH(S3829)+1))</f>
        <v>0</v>
      </c>
      <c r="M3829" s="463">
        <f t="shared" si="154"/>
        <v>0</v>
      </c>
      <c r="N3829" s="465">
        <f t="shared" si="162"/>
        <v>0</v>
      </c>
      <c r="O3829" s="179"/>
      <c r="P3829" s="180"/>
      <c r="Q3829" s="173"/>
      <c r="R3829" s="173"/>
      <c r="S3829" s="174"/>
      <c r="T3829" s="173"/>
      <c r="U3829" s="182"/>
      <c r="V3829" s="177">
        <f>IF(U3829=0,0,IF(T3829="MXN",1/HLOOKUP(YEAR(S3829)+(MONTH(S3829)/100),TC!$5:$37,DAY(S3829)+2,FALSE),VLOOKUP(T3829,Equivalencia!$1:$23,((MAX(Equivalencia!$3:$3)-YEAR(S3829))*14)+MONTH(S3829)+2,FALSE)))</f>
        <v>0</v>
      </c>
      <c r="W3829" s="178">
        <f t="shared" si="159"/>
        <v>0</v>
      </c>
      <c r="X3829" s="481">
        <f t="shared" si="155"/>
        <v>0</v>
      </c>
      <c r="Y3829" s="179"/>
      <c r="Z3829" s="466">
        <f t="shared" si="156"/>
        <v>0</v>
      </c>
      <c r="AA3829" s="473">
        <f t="shared" si="157"/>
        <v>0</v>
      </c>
      <c r="AB3829" s="339">
        <f t="shared" si="158"/>
        <v>0</v>
      </c>
    </row>
    <row r="3830" spans="2:28" ht="20.100000000000001" customHeight="1">
      <c r="B3830" s="172"/>
      <c r="C3830" s="174"/>
      <c r="D3830" s="181"/>
      <c r="E3830" s="173"/>
      <c r="F3830" s="176"/>
      <c r="G3830" s="175">
        <f t="shared" si="160"/>
        <v>0</v>
      </c>
      <c r="H3830" s="175">
        <f t="shared" si="153"/>
        <v>0</v>
      </c>
      <c r="I3830" s="177">
        <f>IF(G3830=0,0,IF(E3830="MXN",1/HLOOKUP(YEAR(C3830)+(MONTH(C3830)/100),TC!$5:$37,DAY(C3830)+2,FALSE),VLOOKUP(E3830,Equivalencia!$5:$23,((MAX(Equivalencia!$3:$3)-YEAR(C3830))*14)+MONTH(C3830)+2,FALSE)))</f>
        <v>0</v>
      </c>
      <c r="J3830" s="178">
        <f t="shared" si="161"/>
        <v>0</v>
      </c>
      <c r="K3830" s="462">
        <f>IF(C3830=0,0,VLOOKUP(YEAR(C3830),INPC!$B$4:$O$29,MONTH(C3830)+1))</f>
        <v>0</v>
      </c>
      <c r="L3830" s="462">
        <f>IF(S3830=0,0,VLOOKUP(YEAR(S3830),INPC!$B$4:$O$29,MONTH(S3830)+1))</f>
        <v>0</v>
      </c>
      <c r="M3830" s="463">
        <f t="shared" si="154"/>
        <v>0</v>
      </c>
      <c r="N3830" s="465">
        <f t="shared" si="162"/>
        <v>0</v>
      </c>
      <c r="O3830" s="179"/>
      <c r="P3830" s="180"/>
      <c r="Q3830" s="173"/>
      <c r="R3830" s="173"/>
      <c r="S3830" s="174"/>
      <c r="T3830" s="173"/>
      <c r="U3830" s="182"/>
      <c r="V3830" s="177">
        <f>IF(U3830=0,0,IF(T3830="MXN",1/HLOOKUP(YEAR(S3830)+(MONTH(S3830)/100),TC!$5:$37,DAY(S3830)+2,FALSE),VLOOKUP(T3830,Equivalencia!$1:$23,((MAX(Equivalencia!$3:$3)-YEAR(S3830))*14)+MONTH(S3830)+2,FALSE)))</f>
        <v>0</v>
      </c>
      <c r="W3830" s="178">
        <f t="shared" si="159"/>
        <v>0</v>
      </c>
      <c r="X3830" s="481">
        <f t="shared" si="155"/>
        <v>0</v>
      </c>
      <c r="Y3830" s="179"/>
      <c r="Z3830" s="466">
        <f t="shared" si="156"/>
        <v>0</v>
      </c>
      <c r="AA3830" s="473">
        <f t="shared" si="157"/>
        <v>0</v>
      </c>
      <c r="AB3830" s="339">
        <f t="shared" si="158"/>
        <v>0</v>
      </c>
    </row>
    <row r="3831" spans="2:28" ht="20.100000000000001" customHeight="1">
      <c r="B3831" s="172"/>
      <c r="C3831" s="174"/>
      <c r="D3831" s="181"/>
      <c r="E3831" s="173"/>
      <c r="F3831" s="176"/>
      <c r="G3831" s="175">
        <f t="shared" si="160"/>
        <v>0</v>
      </c>
      <c r="H3831" s="175">
        <f t="shared" si="153"/>
        <v>0</v>
      </c>
      <c r="I3831" s="177">
        <f>IF(G3831=0,0,IF(E3831="MXN",1/HLOOKUP(YEAR(C3831)+(MONTH(C3831)/100),TC!$5:$37,DAY(C3831)+2,FALSE),VLOOKUP(E3831,Equivalencia!$5:$23,((MAX(Equivalencia!$3:$3)-YEAR(C3831))*14)+MONTH(C3831)+2,FALSE)))</f>
        <v>0</v>
      </c>
      <c r="J3831" s="178">
        <f t="shared" si="161"/>
        <v>0</v>
      </c>
      <c r="K3831" s="462">
        <f>IF(C3831=0,0,VLOOKUP(YEAR(C3831),INPC!$B$4:$O$29,MONTH(C3831)+1))</f>
        <v>0</v>
      </c>
      <c r="L3831" s="462">
        <f>IF(S3831=0,0,VLOOKUP(YEAR(S3831),INPC!$B$4:$O$29,MONTH(S3831)+1))</f>
        <v>0</v>
      </c>
      <c r="M3831" s="463">
        <f t="shared" si="154"/>
        <v>0</v>
      </c>
      <c r="N3831" s="465">
        <f t="shared" si="162"/>
        <v>0</v>
      </c>
      <c r="O3831" s="179"/>
      <c r="P3831" s="180"/>
      <c r="Q3831" s="173"/>
      <c r="R3831" s="173"/>
      <c r="S3831" s="174"/>
      <c r="T3831" s="173"/>
      <c r="U3831" s="182"/>
      <c r="V3831" s="177">
        <f>IF(U3831=0,0,IF(T3831="MXN",1/HLOOKUP(YEAR(S3831)+(MONTH(S3831)/100),TC!$5:$37,DAY(S3831)+2,FALSE),VLOOKUP(T3831,Equivalencia!$1:$23,((MAX(Equivalencia!$3:$3)-YEAR(S3831))*14)+MONTH(S3831)+2,FALSE)))</f>
        <v>0</v>
      </c>
      <c r="W3831" s="178">
        <f t="shared" si="159"/>
        <v>0</v>
      </c>
      <c r="X3831" s="481">
        <f t="shared" si="155"/>
        <v>0</v>
      </c>
      <c r="Y3831" s="179"/>
      <c r="Z3831" s="466">
        <f t="shared" si="156"/>
        <v>0</v>
      </c>
      <c r="AA3831" s="473">
        <f t="shared" si="157"/>
        <v>0</v>
      </c>
      <c r="AB3831" s="339">
        <f t="shared" si="158"/>
        <v>0</v>
      </c>
    </row>
    <row r="3832" spans="2:28" ht="20.100000000000001" customHeight="1">
      <c r="B3832" s="172"/>
      <c r="C3832" s="174"/>
      <c r="D3832" s="181"/>
      <c r="E3832" s="173"/>
      <c r="F3832" s="176"/>
      <c r="G3832" s="175">
        <f t="shared" si="160"/>
        <v>0</v>
      </c>
      <c r="H3832" s="175">
        <f t="shared" si="153"/>
        <v>0</v>
      </c>
      <c r="I3832" s="177">
        <f>IF(G3832=0,0,IF(E3832="MXN",1/HLOOKUP(YEAR(C3832)+(MONTH(C3832)/100),TC!$5:$37,DAY(C3832)+2,FALSE),VLOOKUP(E3832,Equivalencia!$5:$23,((MAX(Equivalencia!$3:$3)-YEAR(C3832))*14)+MONTH(C3832)+2,FALSE)))</f>
        <v>0</v>
      </c>
      <c r="J3832" s="178">
        <f t="shared" si="161"/>
        <v>0</v>
      </c>
      <c r="K3832" s="462">
        <f>IF(C3832=0,0,VLOOKUP(YEAR(C3832),INPC!$B$4:$O$29,MONTH(C3832)+1))</f>
        <v>0</v>
      </c>
      <c r="L3832" s="462">
        <f>IF(S3832=0,0,VLOOKUP(YEAR(S3832),INPC!$B$4:$O$29,MONTH(S3832)+1))</f>
        <v>0</v>
      </c>
      <c r="M3832" s="463">
        <f t="shared" si="154"/>
        <v>0</v>
      </c>
      <c r="N3832" s="465">
        <f t="shared" si="162"/>
        <v>0</v>
      </c>
      <c r="O3832" s="179"/>
      <c r="P3832" s="180"/>
      <c r="Q3832" s="173"/>
      <c r="R3832" s="173"/>
      <c r="S3832" s="174"/>
      <c r="T3832" s="173"/>
      <c r="U3832" s="182"/>
      <c r="V3832" s="177">
        <f>IF(U3832=0,0,IF(T3832="MXN",1/HLOOKUP(YEAR(S3832)+(MONTH(S3832)/100),TC!$5:$37,DAY(S3832)+2,FALSE),VLOOKUP(T3832,Equivalencia!$1:$23,((MAX(Equivalencia!$3:$3)-YEAR(S3832))*14)+MONTH(S3832)+2,FALSE)))</f>
        <v>0</v>
      </c>
      <c r="W3832" s="178">
        <f t="shared" si="159"/>
        <v>0</v>
      </c>
      <c r="X3832" s="481">
        <f t="shared" si="155"/>
        <v>0</v>
      </c>
      <c r="Y3832" s="179"/>
      <c r="Z3832" s="466">
        <f t="shared" si="156"/>
        <v>0</v>
      </c>
      <c r="AA3832" s="473">
        <f t="shared" si="157"/>
        <v>0</v>
      </c>
      <c r="AB3832" s="339">
        <f t="shared" si="158"/>
        <v>0</v>
      </c>
    </row>
    <row r="3833" spans="2:28" ht="20.100000000000001" customHeight="1">
      <c r="B3833" s="172"/>
      <c r="C3833" s="174"/>
      <c r="D3833" s="181"/>
      <c r="E3833" s="173"/>
      <c r="F3833" s="176"/>
      <c r="G3833" s="175">
        <f t="shared" si="160"/>
        <v>0</v>
      </c>
      <c r="H3833" s="175">
        <f t="shared" si="153"/>
        <v>0</v>
      </c>
      <c r="I3833" s="177">
        <f>IF(G3833=0,0,IF(E3833="MXN",1/HLOOKUP(YEAR(C3833)+(MONTH(C3833)/100),TC!$5:$37,DAY(C3833)+2,FALSE),VLOOKUP(E3833,Equivalencia!$5:$23,((MAX(Equivalencia!$3:$3)-YEAR(C3833))*14)+MONTH(C3833)+2,FALSE)))</f>
        <v>0</v>
      </c>
      <c r="J3833" s="178">
        <f t="shared" si="161"/>
        <v>0</v>
      </c>
      <c r="K3833" s="462">
        <f>IF(C3833=0,0,VLOOKUP(YEAR(C3833),INPC!$B$4:$O$29,MONTH(C3833)+1))</f>
        <v>0</v>
      </c>
      <c r="L3833" s="462">
        <f>IF(S3833=0,0,VLOOKUP(YEAR(S3833),INPC!$B$4:$O$29,MONTH(S3833)+1))</f>
        <v>0</v>
      </c>
      <c r="M3833" s="463">
        <f t="shared" si="154"/>
        <v>0</v>
      </c>
      <c r="N3833" s="465">
        <f t="shared" si="162"/>
        <v>0</v>
      </c>
      <c r="O3833" s="179"/>
      <c r="P3833" s="180"/>
      <c r="Q3833" s="173"/>
      <c r="R3833" s="173"/>
      <c r="S3833" s="174"/>
      <c r="T3833" s="173"/>
      <c r="U3833" s="182"/>
      <c r="V3833" s="177">
        <f>IF(U3833=0,0,IF(T3833="MXN",1/HLOOKUP(YEAR(S3833)+(MONTH(S3833)/100),TC!$5:$37,DAY(S3833)+2,FALSE),VLOOKUP(T3833,Equivalencia!$1:$23,((MAX(Equivalencia!$3:$3)-YEAR(S3833))*14)+MONTH(S3833)+2,FALSE)))</f>
        <v>0</v>
      </c>
      <c r="W3833" s="178">
        <f t="shared" si="159"/>
        <v>0</v>
      </c>
      <c r="X3833" s="481">
        <f t="shared" si="155"/>
        <v>0</v>
      </c>
      <c r="Y3833" s="179"/>
      <c r="Z3833" s="466">
        <f t="shared" si="156"/>
        <v>0</v>
      </c>
      <c r="AA3833" s="473">
        <f t="shared" si="157"/>
        <v>0</v>
      </c>
      <c r="AB3833" s="339">
        <f t="shared" si="158"/>
        <v>0</v>
      </c>
    </row>
    <row r="3834" spans="2:28" ht="20.100000000000001" customHeight="1">
      <c r="B3834" s="172"/>
      <c r="C3834" s="174"/>
      <c r="D3834" s="181"/>
      <c r="E3834" s="173"/>
      <c r="F3834" s="176"/>
      <c r="G3834" s="175">
        <f t="shared" si="160"/>
        <v>0</v>
      </c>
      <c r="H3834" s="175">
        <f t="shared" si="153"/>
        <v>0</v>
      </c>
      <c r="I3834" s="177">
        <f>IF(G3834=0,0,IF(E3834="MXN",1/HLOOKUP(YEAR(C3834)+(MONTH(C3834)/100),TC!$5:$37,DAY(C3834)+2,FALSE),VLOOKUP(E3834,Equivalencia!$5:$23,((MAX(Equivalencia!$3:$3)-YEAR(C3834))*14)+MONTH(C3834)+2,FALSE)))</f>
        <v>0</v>
      </c>
      <c r="J3834" s="178">
        <f t="shared" si="161"/>
        <v>0</v>
      </c>
      <c r="K3834" s="462">
        <f>IF(C3834=0,0,VLOOKUP(YEAR(C3834),INPC!$B$4:$O$29,MONTH(C3834)+1))</f>
        <v>0</v>
      </c>
      <c r="L3834" s="462">
        <f>IF(S3834=0,0,VLOOKUP(YEAR(S3834),INPC!$B$4:$O$29,MONTH(S3834)+1))</f>
        <v>0</v>
      </c>
      <c r="M3834" s="463">
        <f t="shared" si="154"/>
        <v>0</v>
      </c>
      <c r="N3834" s="465">
        <f t="shared" si="162"/>
        <v>0</v>
      </c>
      <c r="O3834" s="179"/>
      <c r="P3834" s="180"/>
      <c r="Q3834" s="173"/>
      <c r="R3834" s="173"/>
      <c r="S3834" s="174"/>
      <c r="T3834" s="173"/>
      <c r="U3834" s="182"/>
      <c r="V3834" s="177">
        <f>IF(U3834=0,0,IF(T3834="MXN",1/HLOOKUP(YEAR(S3834)+(MONTH(S3834)/100),TC!$5:$37,DAY(S3834)+2,FALSE),VLOOKUP(T3834,Equivalencia!$1:$23,((MAX(Equivalencia!$3:$3)-YEAR(S3834))*14)+MONTH(S3834)+2,FALSE)))</f>
        <v>0</v>
      </c>
      <c r="W3834" s="178">
        <f t="shared" si="159"/>
        <v>0</v>
      </c>
      <c r="X3834" s="481">
        <f t="shared" si="155"/>
        <v>0</v>
      </c>
      <c r="Y3834" s="179"/>
      <c r="Z3834" s="466">
        <f t="shared" si="156"/>
        <v>0</v>
      </c>
      <c r="AA3834" s="473">
        <f t="shared" si="157"/>
        <v>0</v>
      </c>
      <c r="AB3834" s="339">
        <f t="shared" si="158"/>
        <v>0</v>
      </c>
    </row>
    <row r="3835" spans="2:28" ht="20.100000000000001" customHeight="1">
      <c r="B3835" s="172"/>
      <c r="C3835" s="174"/>
      <c r="D3835" s="181"/>
      <c r="E3835" s="173"/>
      <c r="F3835" s="176"/>
      <c r="G3835" s="175">
        <f t="shared" si="160"/>
        <v>0</v>
      </c>
      <c r="H3835" s="175">
        <f t="shared" si="153"/>
        <v>0</v>
      </c>
      <c r="I3835" s="177">
        <f>IF(G3835=0,0,IF(E3835="MXN",1/HLOOKUP(YEAR(C3835)+(MONTH(C3835)/100),TC!$5:$37,DAY(C3835)+2,FALSE),VLOOKUP(E3835,Equivalencia!$5:$23,((MAX(Equivalencia!$3:$3)-YEAR(C3835))*14)+MONTH(C3835)+2,FALSE)))</f>
        <v>0</v>
      </c>
      <c r="J3835" s="178">
        <f t="shared" si="161"/>
        <v>0</v>
      </c>
      <c r="K3835" s="462">
        <f>IF(C3835=0,0,VLOOKUP(YEAR(C3835),INPC!$B$4:$O$29,MONTH(C3835)+1))</f>
        <v>0</v>
      </c>
      <c r="L3835" s="462">
        <f>IF(S3835=0,0,VLOOKUP(YEAR(S3835),INPC!$B$4:$O$29,MONTH(S3835)+1))</f>
        <v>0</v>
      </c>
      <c r="M3835" s="463">
        <f t="shared" si="154"/>
        <v>0</v>
      </c>
      <c r="N3835" s="465">
        <f t="shared" si="162"/>
        <v>0</v>
      </c>
      <c r="O3835" s="179"/>
      <c r="P3835" s="180"/>
      <c r="Q3835" s="173"/>
      <c r="R3835" s="173"/>
      <c r="S3835" s="174"/>
      <c r="T3835" s="173"/>
      <c r="U3835" s="182"/>
      <c r="V3835" s="177">
        <f>IF(U3835=0,0,IF(T3835="MXN",1/HLOOKUP(YEAR(S3835)+(MONTH(S3835)/100),TC!$5:$37,DAY(S3835)+2,FALSE),VLOOKUP(T3835,Equivalencia!$1:$23,((MAX(Equivalencia!$3:$3)-YEAR(S3835))*14)+MONTH(S3835)+2,FALSE)))</f>
        <v>0</v>
      </c>
      <c r="W3835" s="178">
        <f t="shared" si="159"/>
        <v>0</v>
      </c>
      <c r="X3835" s="481">
        <f t="shared" si="155"/>
        <v>0</v>
      </c>
      <c r="Y3835" s="179"/>
      <c r="Z3835" s="466">
        <f t="shared" si="156"/>
        <v>0</v>
      </c>
      <c r="AA3835" s="473">
        <f t="shared" si="157"/>
        <v>0</v>
      </c>
      <c r="AB3835" s="339">
        <f t="shared" si="158"/>
        <v>0</v>
      </c>
    </row>
    <row r="3836" spans="2:28" ht="20.100000000000001" customHeight="1">
      <c r="B3836" s="172"/>
      <c r="C3836" s="174"/>
      <c r="D3836" s="181"/>
      <c r="E3836" s="173"/>
      <c r="F3836" s="176"/>
      <c r="G3836" s="175">
        <f t="shared" si="160"/>
        <v>0</v>
      </c>
      <c r="H3836" s="175">
        <f t="shared" si="153"/>
        <v>0</v>
      </c>
      <c r="I3836" s="177">
        <f>IF(G3836=0,0,IF(E3836="MXN",1/HLOOKUP(YEAR(C3836)+(MONTH(C3836)/100),TC!$5:$37,DAY(C3836)+2,FALSE),VLOOKUP(E3836,Equivalencia!$5:$23,((MAX(Equivalencia!$3:$3)-YEAR(C3836))*14)+MONTH(C3836)+2,FALSE)))</f>
        <v>0</v>
      </c>
      <c r="J3836" s="178">
        <f t="shared" si="161"/>
        <v>0</v>
      </c>
      <c r="K3836" s="462">
        <f>IF(C3836=0,0,VLOOKUP(YEAR(C3836),INPC!$B$4:$O$29,MONTH(C3836)+1))</f>
        <v>0</v>
      </c>
      <c r="L3836" s="462">
        <f>IF(S3836=0,0,VLOOKUP(YEAR(S3836),INPC!$B$4:$O$29,MONTH(S3836)+1))</f>
        <v>0</v>
      </c>
      <c r="M3836" s="463">
        <f t="shared" si="154"/>
        <v>0</v>
      </c>
      <c r="N3836" s="465">
        <f t="shared" si="162"/>
        <v>0</v>
      </c>
      <c r="O3836" s="179"/>
      <c r="P3836" s="180"/>
      <c r="Q3836" s="173"/>
      <c r="R3836" s="173"/>
      <c r="S3836" s="174"/>
      <c r="T3836" s="173"/>
      <c r="U3836" s="182"/>
      <c r="V3836" s="177">
        <f>IF(U3836=0,0,IF(T3836="MXN",1/HLOOKUP(YEAR(S3836)+(MONTH(S3836)/100),TC!$5:$37,DAY(S3836)+2,FALSE),VLOOKUP(T3836,Equivalencia!$1:$23,((MAX(Equivalencia!$3:$3)-YEAR(S3836))*14)+MONTH(S3836)+2,FALSE)))</f>
        <v>0</v>
      </c>
      <c r="W3836" s="178">
        <f t="shared" si="159"/>
        <v>0</v>
      </c>
      <c r="X3836" s="481">
        <f t="shared" si="155"/>
        <v>0</v>
      </c>
      <c r="Y3836" s="179"/>
      <c r="Z3836" s="466">
        <f t="shared" si="156"/>
        <v>0</v>
      </c>
      <c r="AA3836" s="473">
        <f t="shared" si="157"/>
        <v>0</v>
      </c>
      <c r="AB3836" s="339">
        <f t="shared" si="158"/>
        <v>0</v>
      </c>
    </row>
    <row r="3837" spans="2:28" ht="20.100000000000001" customHeight="1">
      <c r="B3837" s="172"/>
      <c r="C3837" s="174"/>
      <c r="D3837" s="181"/>
      <c r="E3837" s="173"/>
      <c r="F3837" s="176"/>
      <c r="G3837" s="175">
        <f t="shared" si="160"/>
        <v>0</v>
      </c>
      <c r="H3837" s="175">
        <f t="shared" si="153"/>
        <v>0</v>
      </c>
      <c r="I3837" s="177">
        <f>IF(G3837=0,0,IF(E3837="MXN",1/HLOOKUP(YEAR(C3837)+(MONTH(C3837)/100),TC!$5:$37,DAY(C3837)+2,FALSE),VLOOKUP(E3837,Equivalencia!$5:$23,((MAX(Equivalencia!$3:$3)-YEAR(C3837))*14)+MONTH(C3837)+2,FALSE)))</f>
        <v>0</v>
      </c>
      <c r="J3837" s="178">
        <f t="shared" si="161"/>
        <v>0</v>
      </c>
      <c r="K3837" s="462">
        <f>IF(C3837=0,0,VLOOKUP(YEAR(C3837),INPC!$B$4:$O$29,MONTH(C3837)+1))</f>
        <v>0</v>
      </c>
      <c r="L3837" s="462">
        <f>IF(S3837=0,0,VLOOKUP(YEAR(S3837),INPC!$B$4:$O$29,MONTH(S3837)+1))</f>
        <v>0</v>
      </c>
      <c r="M3837" s="463">
        <f t="shared" si="154"/>
        <v>0</v>
      </c>
      <c r="N3837" s="465">
        <f t="shared" si="162"/>
        <v>0</v>
      </c>
      <c r="O3837" s="179"/>
      <c r="P3837" s="180"/>
      <c r="Q3837" s="173"/>
      <c r="R3837" s="173"/>
      <c r="S3837" s="174"/>
      <c r="T3837" s="173"/>
      <c r="U3837" s="182"/>
      <c r="V3837" s="177">
        <f>IF(U3837=0,0,IF(T3837="MXN",1/HLOOKUP(YEAR(S3837)+(MONTH(S3837)/100),TC!$5:$37,DAY(S3837)+2,FALSE),VLOOKUP(T3837,Equivalencia!$1:$23,((MAX(Equivalencia!$3:$3)-YEAR(S3837))*14)+MONTH(S3837)+2,FALSE)))</f>
        <v>0</v>
      </c>
      <c r="W3837" s="178">
        <f t="shared" si="159"/>
        <v>0</v>
      </c>
      <c r="X3837" s="481">
        <f t="shared" si="155"/>
        <v>0</v>
      </c>
      <c r="Y3837" s="179"/>
      <c r="Z3837" s="466">
        <f t="shared" si="156"/>
        <v>0</v>
      </c>
      <c r="AA3837" s="473">
        <f t="shared" si="157"/>
        <v>0</v>
      </c>
      <c r="AB3837" s="339">
        <f t="shared" si="158"/>
        <v>0</v>
      </c>
    </row>
    <row r="3838" spans="2:28" ht="20.100000000000001" customHeight="1">
      <c r="B3838" s="172"/>
      <c r="C3838" s="174"/>
      <c r="D3838" s="181"/>
      <c r="E3838" s="173"/>
      <c r="F3838" s="176"/>
      <c r="G3838" s="175">
        <f t="shared" si="160"/>
        <v>0</v>
      </c>
      <c r="H3838" s="175">
        <f t="shared" si="153"/>
        <v>0</v>
      </c>
      <c r="I3838" s="177">
        <f>IF(G3838=0,0,IF(E3838="MXN",1/HLOOKUP(YEAR(C3838)+(MONTH(C3838)/100),TC!$5:$37,DAY(C3838)+2,FALSE),VLOOKUP(E3838,Equivalencia!$5:$23,((MAX(Equivalencia!$3:$3)-YEAR(C3838))*14)+MONTH(C3838)+2,FALSE)))</f>
        <v>0</v>
      </c>
      <c r="J3838" s="178">
        <f t="shared" si="161"/>
        <v>0</v>
      </c>
      <c r="K3838" s="462">
        <f>IF(C3838=0,0,VLOOKUP(YEAR(C3838),INPC!$B$4:$O$29,MONTH(C3838)+1))</f>
        <v>0</v>
      </c>
      <c r="L3838" s="462">
        <f>IF(S3838=0,0,VLOOKUP(YEAR(S3838),INPC!$B$4:$O$29,MONTH(S3838)+1))</f>
        <v>0</v>
      </c>
      <c r="M3838" s="463">
        <f t="shared" si="154"/>
        <v>0</v>
      </c>
      <c r="N3838" s="465">
        <f t="shared" si="162"/>
        <v>0</v>
      </c>
      <c r="O3838" s="179"/>
      <c r="P3838" s="180"/>
      <c r="Q3838" s="173"/>
      <c r="R3838" s="173"/>
      <c r="S3838" s="174"/>
      <c r="T3838" s="173"/>
      <c r="U3838" s="182"/>
      <c r="V3838" s="177">
        <f>IF(U3838=0,0,IF(T3838="MXN",1/HLOOKUP(YEAR(S3838)+(MONTH(S3838)/100),TC!$5:$37,DAY(S3838)+2,FALSE),VLOOKUP(T3838,Equivalencia!$1:$23,((MAX(Equivalencia!$3:$3)-YEAR(S3838))*14)+MONTH(S3838)+2,FALSE)))</f>
        <v>0</v>
      </c>
      <c r="W3838" s="178">
        <f t="shared" si="159"/>
        <v>0</v>
      </c>
      <c r="X3838" s="481">
        <f t="shared" si="155"/>
        <v>0</v>
      </c>
      <c r="Y3838" s="179"/>
      <c r="Z3838" s="466">
        <f t="shared" si="156"/>
        <v>0</v>
      </c>
      <c r="AA3838" s="473">
        <f t="shared" si="157"/>
        <v>0</v>
      </c>
      <c r="AB3838" s="339">
        <f t="shared" si="158"/>
        <v>0</v>
      </c>
    </row>
    <row r="3839" spans="2:28" ht="20.100000000000001" customHeight="1">
      <c r="B3839" s="172"/>
      <c r="C3839" s="174"/>
      <c r="D3839" s="181"/>
      <c r="E3839" s="173"/>
      <c r="F3839" s="176"/>
      <c r="G3839" s="175">
        <f t="shared" si="160"/>
        <v>0</v>
      </c>
      <c r="H3839" s="175">
        <f t="shared" si="153"/>
        <v>0</v>
      </c>
      <c r="I3839" s="177">
        <f>IF(G3839=0,0,IF(E3839="MXN",1/HLOOKUP(YEAR(C3839)+(MONTH(C3839)/100),TC!$5:$37,DAY(C3839)+2,FALSE),VLOOKUP(E3839,Equivalencia!$5:$23,((MAX(Equivalencia!$3:$3)-YEAR(C3839))*14)+MONTH(C3839)+2,FALSE)))</f>
        <v>0</v>
      </c>
      <c r="J3839" s="178">
        <f t="shared" si="161"/>
        <v>0</v>
      </c>
      <c r="K3839" s="462">
        <f>IF(C3839=0,0,VLOOKUP(YEAR(C3839),INPC!$B$4:$O$29,MONTH(C3839)+1))</f>
        <v>0</v>
      </c>
      <c r="L3839" s="462">
        <f>IF(S3839=0,0,VLOOKUP(YEAR(S3839),INPC!$B$4:$O$29,MONTH(S3839)+1))</f>
        <v>0</v>
      </c>
      <c r="M3839" s="463">
        <f t="shared" si="154"/>
        <v>0</v>
      </c>
      <c r="N3839" s="465">
        <f t="shared" si="162"/>
        <v>0</v>
      </c>
      <c r="O3839" s="179"/>
      <c r="P3839" s="180"/>
      <c r="Q3839" s="173"/>
      <c r="R3839" s="173"/>
      <c r="S3839" s="174"/>
      <c r="T3839" s="173"/>
      <c r="U3839" s="182"/>
      <c r="V3839" s="177">
        <f>IF(U3839=0,0,IF(T3839="MXN",1/HLOOKUP(YEAR(S3839)+(MONTH(S3839)/100),TC!$5:$37,DAY(S3839)+2,FALSE),VLOOKUP(T3839,Equivalencia!$1:$23,((MAX(Equivalencia!$3:$3)-YEAR(S3839))*14)+MONTH(S3839)+2,FALSE)))</f>
        <v>0</v>
      </c>
      <c r="W3839" s="178">
        <f t="shared" si="159"/>
        <v>0</v>
      </c>
      <c r="X3839" s="481">
        <f t="shared" si="155"/>
        <v>0</v>
      </c>
      <c r="Y3839" s="179"/>
      <c r="Z3839" s="466">
        <f t="shared" si="156"/>
        <v>0</v>
      </c>
      <c r="AA3839" s="473">
        <f t="shared" si="157"/>
        <v>0</v>
      </c>
      <c r="AB3839" s="339">
        <f t="shared" si="158"/>
        <v>0</v>
      </c>
    </row>
    <row r="3840" spans="2:28" ht="20.100000000000001" customHeight="1">
      <c r="B3840" s="172"/>
      <c r="C3840" s="174"/>
      <c r="D3840" s="181"/>
      <c r="E3840" s="173"/>
      <c r="F3840" s="176"/>
      <c r="G3840" s="175">
        <f t="shared" si="160"/>
        <v>0</v>
      </c>
      <c r="H3840" s="175">
        <f t="shared" si="153"/>
        <v>0</v>
      </c>
      <c r="I3840" s="177">
        <f>IF(G3840=0,0,IF(E3840="MXN",1/HLOOKUP(YEAR(C3840)+(MONTH(C3840)/100),TC!$5:$37,DAY(C3840)+2,FALSE),VLOOKUP(E3840,Equivalencia!$5:$23,((MAX(Equivalencia!$3:$3)-YEAR(C3840))*14)+MONTH(C3840)+2,FALSE)))</f>
        <v>0</v>
      </c>
      <c r="J3840" s="178">
        <f t="shared" si="161"/>
        <v>0</v>
      </c>
      <c r="K3840" s="462">
        <f>IF(C3840=0,0,VLOOKUP(YEAR(C3840),INPC!$B$4:$O$29,MONTH(C3840)+1))</f>
        <v>0</v>
      </c>
      <c r="L3840" s="462">
        <f>IF(S3840=0,0,VLOOKUP(YEAR(S3840),INPC!$B$4:$O$29,MONTH(S3840)+1))</f>
        <v>0</v>
      </c>
      <c r="M3840" s="463">
        <f t="shared" si="154"/>
        <v>0</v>
      </c>
      <c r="N3840" s="465">
        <f t="shared" si="162"/>
        <v>0</v>
      </c>
      <c r="O3840" s="179"/>
      <c r="P3840" s="180"/>
      <c r="Q3840" s="173"/>
      <c r="R3840" s="173"/>
      <c r="S3840" s="174"/>
      <c r="T3840" s="173"/>
      <c r="U3840" s="182"/>
      <c r="V3840" s="177">
        <f>IF(U3840=0,0,IF(T3840="MXN",1/HLOOKUP(YEAR(S3840)+(MONTH(S3840)/100),TC!$5:$37,DAY(S3840)+2,FALSE),VLOOKUP(T3840,Equivalencia!$1:$23,((MAX(Equivalencia!$3:$3)-YEAR(S3840))*14)+MONTH(S3840)+2,FALSE)))</f>
        <v>0</v>
      </c>
      <c r="W3840" s="178">
        <f t="shared" si="159"/>
        <v>0</v>
      </c>
      <c r="X3840" s="481">
        <f t="shared" si="155"/>
        <v>0</v>
      </c>
      <c r="Y3840" s="179"/>
      <c r="Z3840" s="466">
        <f t="shared" si="156"/>
        <v>0</v>
      </c>
      <c r="AA3840" s="473">
        <f t="shared" si="157"/>
        <v>0</v>
      </c>
      <c r="AB3840" s="339">
        <f t="shared" si="158"/>
        <v>0</v>
      </c>
    </row>
    <row r="3841" spans="2:28" ht="20.100000000000001" customHeight="1">
      <c r="B3841" s="172"/>
      <c r="C3841" s="174"/>
      <c r="D3841" s="181"/>
      <c r="E3841" s="173"/>
      <c r="F3841" s="176"/>
      <c r="G3841" s="175">
        <f t="shared" si="160"/>
        <v>0</v>
      </c>
      <c r="H3841" s="175">
        <f t="shared" si="153"/>
        <v>0</v>
      </c>
      <c r="I3841" s="177">
        <f>IF(G3841=0,0,IF(E3841="MXN",1/HLOOKUP(YEAR(C3841)+(MONTH(C3841)/100),TC!$5:$37,DAY(C3841)+2,FALSE),VLOOKUP(E3841,Equivalencia!$5:$23,((MAX(Equivalencia!$3:$3)-YEAR(C3841))*14)+MONTH(C3841)+2,FALSE)))</f>
        <v>0</v>
      </c>
      <c r="J3841" s="178">
        <f t="shared" si="161"/>
        <v>0</v>
      </c>
      <c r="K3841" s="462">
        <f>IF(C3841=0,0,VLOOKUP(YEAR(C3841),INPC!$B$4:$O$29,MONTH(C3841)+1))</f>
        <v>0</v>
      </c>
      <c r="L3841" s="462">
        <f>IF(S3841=0,0,VLOOKUP(YEAR(S3841),INPC!$B$4:$O$29,MONTH(S3841)+1))</f>
        <v>0</v>
      </c>
      <c r="M3841" s="463">
        <f t="shared" si="154"/>
        <v>0</v>
      </c>
      <c r="N3841" s="465">
        <f t="shared" si="162"/>
        <v>0</v>
      </c>
      <c r="O3841" s="179"/>
      <c r="P3841" s="180"/>
      <c r="Q3841" s="173"/>
      <c r="R3841" s="173"/>
      <c r="S3841" s="174"/>
      <c r="T3841" s="173"/>
      <c r="U3841" s="182"/>
      <c r="V3841" s="177">
        <f>IF(U3841=0,0,IF(T3841="MXN",1/HLOOKUP(YEAR(S3841)+(MONTH(S3841)/100),TC!$5:$37,DAY(S3841)+2,FALSE),VLOOKUP(T3841,Equivalencia!$1:$23,((MAX(Equivalencia!$3:$3)-YEAR(S3841))*14)+MONTH(S3841)+2,FALSE)))</f>
        <v>0</v>
      </c>
      <c r="W3841" s="178">
        <f t="shared" si="159"/>
        <v>0</v>
      </c>
      <c r="X3841" s="481">
        <f t="shared" si="155"/>
        <v>0</v>
      </c>
      <c r="Y3841" s="179"/>
      <c r="Z3841" s="466">
        <f t="shared" si="156"/>
        <v>0</v>
      </c>
      <c r="AA3841" s="473">
        <f t="shared" si="157"/>
        <v>0</v>
      </c>
      <c r="AB3841" s="339">
        <f t="shared" si="158"/>
        <v>0</v>
      </c>
    </row>
    <row r="3842" spans="2:28" ht="20.100000000000001" customHeight="1">
      <c r="B3842" s="172"/>
      <c r="C3842" s="174"/>
      <c r="D3842" s="181"/>
      <c r="E3842" s="173"/>
      <c r="F3842" s="176"/>
      <c r="G3842" s="175">
        <f t="shared" si="160"/>
        <v>0</v>
      </c>
      <c r="H3842" s="175">
        <f t="shared" si="153"/>
        <v>0</v>
      </c>
      <c r="I3842" s="177">
        <f>IF(G3842=0,0,IF(E3842="MXN",1/HLOOKUP(YEAR(C3842)+(MONTH(C3842)/100),TC!$5:$37,DAY(C3842)+2,FALSE),VLOOKUP(E3842,Equivalencia!$5:$23,((MAX(Equivalencia!$3:$3)-YEAR(C3842))*14)+MONTH(C3842)+2,FALSE)))</f>
        <v>0</v>
      </c>
      <c r="J3842" s="178">
        <f t="shared" si="161"/>
        <v>0</v>
      </c>
      <c r="K3842" s="462">
        <f>IF(C3842=0,0,VLOOKUP(YEAR(C3842),INPC!$B$4:$O$29,MONTH(C3842)+1))</f>
        <v>0</v>
      </c>
      <c r="L3842" s="462">
        <f>IF(S3842=0,0,VLOOKUP(YEAR(S3842),INPC!$B$4:$O$29,MONTH(S3842)+1))</f>
        <v>0</v>
      </c>
      <c r="M3842" s="463">
        <f t="shared" si="154"/>
        <v>0</v>
      </c>
      <c r="N3842" s="465">
        <f t="shared" si="162"/>
        <v>0</v>
      </c>
      <c r="O3842" s="179"/>
      <c r="P3842" s="180"/>
      <c r="Q3842" s="173"/>
      <c r="R3842" s="173"/>
      <c r="S3842" s="174"/>
      <c r="T3842" s="173"/>
      <c r="U3842" s="182"/>
      <c r="V3842" s="177">
        <f>IF(U3842=0,0,IF(T3842="MXN",1/HLOOKUP(YEAR(S3842)+(MONTH(S3842)/100),TC!$5:$37,DAY(S3842)+2,FALSE),VLOOKUP(T3842,Equivalencia!$1:$23,((MAX(Equivalencia!$3:$3)-YEAR(S3842))*14)+MONTH(S3842)+2,FALSE)))</f>
        <v>0</v>
      </c>
      <c r="W3842" s="178">
        <f t="shared" si="159"/>
        <v>0</v>
      </c>
      <c r="X3842" s="481">
        <f t="shared" si="155"/>
        <v>0</v>
      </c>
      <c r="Y3842" s="179"/>
      <c r="Z3842" s="466">
        <f t="shared" si="156"/>
        <v>0</v>
      </c>
      <c r="AA3842" s="473">
        <f t="shared" si="157"/>
        <v>0</v>
      </c>
      <c r="AB3842" s="339">
        <f t="shared" si="158"/>
        <v>0</v>
      </c>
    </row>
    <row r="3843" spans="2:28" ht="20.100000000000001" customHeight="1">
      <c r="B3843" s="172"/>
      <c r="C3843" s="174"/>
      <c r="D3843" s="181"/>
      <c r="E3843" s="173"/>
      <c r="F3843" s="176"/>
      <c r="G3843" s="175">
        <f t="shared" si="160"/>
        <v>0</v>
      </c>
      <c r="H3843" s="175">
        <f t="shared" si="153"/>
        <v>0</v>
      </c>
      <c r="I3843" s="177">
        <f>IF(G3843=0,0,IF(E3843="MXN",1/HLOOKUP(YEAR(C3843)+(MONTH(C3843)/100),TC!$5:$37,DAY(C3843)+2,FALSE),VLOOKUP(E3843,Equivalencia!$5:$23,((MAX(Equivalencia!$3:$3)-YEAR(C3843))*14)+MONTH(C3843)+2,FALSE)))</f>
        <v>0</v>
      </c>
      <c r="J3843" s="178">
        <f t="shared" si="161"/>
        <v>0</v>
      </c>
      <c r="K3843" s="462">
        <f>IF(C3843=0,0,VLOOKUP(YEAR(C3843),INPC!$B$4:$O$29,MONTH(C3843)+1))</f>
        <v>0</v>
      </c>
      <c r="L3843" s="462">
        <f>IF(S3843=0,0,VLOOKUP(YEAR(S3843),INPC!$B$4:$O$29,MONTH(S3843)+1))</f>
        <v>0</v>
      </c>
      <c r="M3843" s="463">
        <f t="shared" si="154"/>
        <v>0</v>
      </c>
      <c r="N3843" s="465">
        <f t="shared" si="162"/>
        <v>0</v>
      </c>
      <c r="O3843" s="179"/>
      <c r="P3843" s="180"/>
      <c r="Q3843" s="173"/>
      <c r="R3843" s="173"/>
      <c r="S3843" s="174"/>
      <c r="T3843" s="173"/>
      <c r="U3843" s="182"/>
      <c r="V3843" s="177">
        <f>IF(U3843=0,0,IF(T3843="MXN",1/HLOOKUP(YEAR(S3843)+(MONTH(S3843)/100),TC!$5:$37,DAY(S3843)+2,FALSE),VLOOKUP(T3843,Equivalencia!$1:$23,((MAX(Equivalencia!$3:$3)-YEAR(S3843))*14)+MONTH(S3843)+2,FALSE)))</f>
        <v>0</v>
      </c>
      <c r="W3843" s="178">
        <f t="shared" si="159"/>
        <v>0</v>
      </c>
      <c r="X3843" s="481">
        <f t="shared" si="155"/>
        <v>0</v>
      </c>
      <c r="Y3843" s="179"/>
      <c r="Z3843" s="466">
        <f t="shared" si="156"/>
        <v>0</v>
      </c>
      <c r="AA3843" s="473">
        <f t="shared" si="157"/>
        <v>0</v>
      </c>
      <c r="AB3843" s="339">
        <f t="shared" si="158"/>
        <v>0</v>
      </c>
    </row>
    <row r="3844" spans="2:28" ht="20.100000000000001" customHeight="1">
      <c r="B3844" s="172"/>
      <c r="C3844" s="174"/>
      <c r="D3844" s="181"/>
      <c r="E3844" s="173"/>
      <c r="F3844" s="176"/>
      <c r="G3844" s="175">
        <f t="shared" si="160"/>
        <v>0</v>
      </c>
      <c r="H3844" s="175">
        <f t="shared" si="153"/>
        <v>0</v>
      </c>
      <c r="I3844" s="177">
        <f>IF(G3844=0,0,IF(E3844="MXN",1/HLOOKUP(YEAR(C3844)+(MONTH(C3844)/100),TC!$5:$37,DAY(C3844)+2,FALSE),VLOOKUP(E3844,Equivalencia!$5:$23,((MAX(Equivalencia!$3:$3)-YEAR(C3844))*14)+MONTH(C3844)+2,FALSE)))</f>
        <v>0</v>
      </c>
      <c r="J3844" s="178">
        <f t="shared" si="161"/>
        <v>0</v>
      </c>
      <c r="K3844" s="462">
        <f>IF(C3844=0,0,VLOOKUP(YEAR(C3844),INPC!$B$4:$O$29,MONTH(C3844)+1))</f>
        <v>0</v>
      </c>
      <c r="L3844" s="462">
        <f>IF(S3844=0,0,VLOOKUP(YEAR(S3844),INPC!$B$4:$O$29,MONTH(S3844)+1))</f>
        <v>0</v>
      </c>
      <c r="M3844" s="463">
        <f t="shared" si="154"/>
        <v>0</v>
      </c>
      <c r="N3844" s="465">
        <f t="shared" si="162"/>
        <v>0</v>
      </c>
      <c r="O3844" s="179"/>
      <c r="P3844" s="180"/>
      <c r="Q3844" s="173"/>
      <c r="R3844" s="173"/>
      <c r="S3844" s="174"/>
      <c r="T3844" s="173"/>
      <c r="U3844" s="182"/>
      <c r="V3844" s="177">
        <f>IF(U3844=0,0,IF(T3844="MXN",1/HLOOKUP(YEAR(S3844)+(MONTH(S3844)/100),TC!$5:$37,DAY(S3844)+2,FALSE),VLOOKUP(T3844,Equivalencia!$1:$23,((MAX(Equivalencia!$3:$3)-YEAR(S3844))*14)+MONTH(S3844)+2,FALSE)))</f>
        <v>0</v>
      </c>
      <c r="W3844" s="178">
        <f t="shared" si="159"/>
        <v>0</v>
      </c>
      <c r="X3844" s="481">
        <f t="shared" si="155"/>
        <v>0</v>
      </c>
      <c r="Y3844" s="179"/>
      <c r="Z3844" s="466">
        <f t="shared" si="156"/>
        <v>0</v>
      </c>
      <c r="AA3844" s="473">
        <f t="shared" si="157"/>
        <v>0</v>
      </c>
      <c r="AB3844" s="339">
        <f t="shared" si="158"/>
        <v>0</v>
      </c>
    </row>
    <row r="3845" spans="2:28" ht="20.100000000000001" customHeight="1">
      <c r="B3845" s="172"/>
      <c r="C3845" s="174"/>
      <c r="D3845" s="181"/>
      <c r="E3845" s="173"/>
      <c r="F3845" s="176"/>
      <c r="G3845" s="175">
        <f t="shared" si="160"/>
        <v>0</v>
      </c>
      <c r="H3845" s="175">
        <f t="shared" si="153"/>
        <v>0</v>
      </c>
      <c r="I3845" s="177">
        <f>IF(G3845=0,0,IF(E3845="MXN",1/HLOOKUP(YEAR(C3845)+(MONTH(C3845)/100),TC!$5:$37,DAY(C3845)+2,FALSE),VLOOKUP(E3845,Equivalencia!$5:$23,((MAX(Equivalencia!$3:$3)-YEAR(C3845))*14)+MONTH(C3845)+2,FALSE)))</f>
        <v>0</v>
      </c>
      <c r="J3845" s="178">
        <f t="shared" si="161"/>
        <v>0</v>
      </c>
      <c r="K3845" s="462">
        <f>IF(C3845=0,0,VLOOKUP(YEAR(C3845),INPC!$B$4:$O$29,MONTH(C3845)+1))</f>
        <v>0</v>
      </c>
      <c r="L3845" s="462">
        <f>IF(S3845=0,0,VLOOKUP(YEAR(S3845),INPC!$B$4:$O$29,MONTH(S3845)+1))</f>
        <v>0</v>
      </c>
      <c r="M3845" s="463">
        <f t="shared" si="154"/>
        <v>0</v>
      </c>
      <c r="N3845" s="465">
        <f t="shared" si="162"/>
        <v>0</v>
      </c>
      <c r="O3845" s="179"/>
      <c r="P3845" s="180"/>
      <c r="Q3845" s="173"/>
      <c r="R3845" s="173"/>
      <c r="S3845" s="174"/>
      <c r="T3845" s="173"/>
      <c r="U3845" s="182"/>
      <c r="V3845" s="177">
        <f>IF(U3845=0,0,IF(T3845="MXN",1/HLOOKUP(YEAR(S3845)+(MONTH(S3845)/100),TC!$5:$37,DAY(S3845)+2,FALSE),VLOOKUP(T3845,Equivalencia!$1:$23,((MAX(Equivalencia!$3:$3)-YEAR(S3845))*14)+MONTH(S3845)+2,FALSE)))</f>
        <v>0</v>
      </c>
      <c r="W3845" s="178">
        <f t="shared" si="159"/>
        <v>0</v>
      </c>
      <c r="X3845" s="481">
        <f t="shared" si="155"/>
        <v>0</v>
      </c>
      <c r="Y3845" s="179"/>
      <c r="Z3845" s="466">
        <f t="shared" si="156"/>
        <v>0</v>
      </c>
      <c r="AA3845" s="473">
        <f t="shared" si="157"/>
        <v>0</v>
      </c>
      <c r="AB3845" s="339">
        <f t="shared" si="158"/>
        <v>0</v>
      </c>
    </row>
    <row r="3846" spans="2:28" ht="20.100000000000001" customHeight="1">
      <c r="B3846" s="172"/>
      <c r="C3846" s="174"/>
      <c r="D3846" s="181"/>
      <c r="E3846" s="173"/>
      <c r="F3846" s="176"/>
      <c r="G3846" s="175">
        <f t="shared" si="160"/>
        <v>0</v>
      </c>
      <c r="H3846" s="175">
        <f t="shared" si="153"/>
        <v>0</v>
      </c>
      <c r="I3846" s="177">
        <f>IF(G3846=0,0,IF(E3846="MXN",1/HLOOKUP(YEAR(C3846)+(MONTH(C3846)/100),TC!$5:$37,DAY(C3846)+2,FALSE),VLOOKUP(E3846,Equivalencia!$5:$23,((MAX(Equivalencia!$3:$3)-YEAR(C3846))*14)+MONTH(C3846)+2,FALSE)))</f>
        <v>0</v>
      </c>
      <c r="J3846" s="178">
        <f t="shared" si="161"/>
        <v>0</v>
      </c>
      <c r="K3846" s="462">
        <f>IF(C3846=0,0,VLOOKUP(YEAR(C3846),INPC!$B$4:$O$29,MONTH(C3846)+1))</f>
        <v>0</v>
      </c>
      <c r="L3846" s="462">
        <f>IF(S3846=0,0,VLOOKUP(YEAR(S3846),INPC!$B$4:$O$29,MONTH(S3846)+1))</f>
        <v>0</v>
      </c>
      <c r="M3846" s="463">
        <f t="shared" si="154"/>
        <v>0</v>
      </c>
      <c r="N3846" s="465">
        <f t="shared" si="162"/>
        <v>0</v>
      </c>
      <c r="O3846" s="179"/>
      <c r="P3846" s="180"/>
      <c r="Q3846" s="173"/>
      <c r="R3846" s="173"/>
      <c r="S3846" s="174"/>
      <c r="T3846" s="173"/>
      <c r="U3846" s="182"/>
      <c r="V3846" s="177">
        <f>IF(U3846=0,0,IF(T3846="MXN",1/HLOOKUP(YEAR(S3846)+(MONTH(S3846)/100),TC!$5:$37,DAY(S3846)+2,FALSE),VLOOKUP(T3846,Equivalencia!$1:$23,((MAX(Equivalencia!$3:$3)-YEAR(S3846))*14)+MONTH(S3846)+2,FALSE)))</f>
        <v>0</v>
      </c>
      <c r="W3846" s="178">
        <f t="shared" si="159"/>
        <v>0</v>
      </c>
      <c r="X3846" s="481">
        <f t="shared" si="155"/>
        <v>0</v>
      </c>
      <c r="Y3846" s="179"/>
      <c r="Z3846" s="466">
        <f t="shared" si="156"/>
        <v>0</v>
      </c>
      <c r="AA3846" s="473">
        <f t="shared" si="157"/>
        <v>0</v>
      </c>
      <c r="AB3846" s="339">
        <f t="shared" si="158"/>
        <v>0</v>
      </c>
    </row>
    <row r="3847" spans="2:28" ht="20.100000000000001" customHeight="1">
      <c r="B3847" s="172"/>
      <c r="C3847" s="174"/>
      <c r="D3847" s="181"/>
      <c r="E3847" s="173"/>
      <c r="F3847" s="176"/>
      <c r="G3847" s="175">
        <f t="shared" si="160"/>
        <v>0</v>
      </c>
      <c r="H3847" s="175">
        <f t="shared" si="153"/>
        <v>0</v>
      </c>
      <c r="I3847" s="177">
        <f>IF(G3847=0,0,IF(E3847="MXN",1/HLOOKUP(YEAR(C3847)+(MONTH(C3847)/100),TC!$5:$37,DAY(C3847)+2,FALSE),VLOOKUP(E3847,Equivalencia!$5:$23,((MAX(Equivalencia!$3:$3)-YEAR(C3847))*14)+MONTH(C3847)+2,FALSE)))</f>
        <v>0</v>
      </c>
      <c r="J3847" s="178">
        <f t="shared" si="161"/>
        <v>0</v>
      </c>
      <c r="K3847" s="462">
        <f>IF(C3847=0,0,VLOOKUP(YEAR(C3847),INPC!$B$4:$O$29,MONTH(C3847)+1))</f>
        <v>0</v>
      </c>
      <c r="L3847" s="462">
        <f>IF(S3847=0,0,VLOOKUP(YEAR(S3847),INPC!$B$4:$O$29,MONTH(S3847)+1))</f>
        <v>0</v>
      </c>
      <c r="M3847" s="463">
        <f t="shared" si="154"/>
        <v>0</v>
      </c>
      <c r="N3847" s="465">
        <f t="shared" si="162"/>
        <v>0</v>
      </c>
      <c r="O3847" s="179"/>
      <c r="P3847" s="180"/>
      <c r="Q3847" s="173"/>
      <c r="R3847" s="173"/>
      <c r="S3847" s="174"/>
      <c r="T3847" s="173"/>
      <c r="U3847" s="182"/>
      <c r="V3847" s="177">
        <f>IF(U3847=0,0,IF(T3847="MXN",1/HLOOKUP(YEAR(S3847)+(MONTH(S3847)/100),TC!$5:$37,DAY(S3847)+2,FALSE),VLOOKUP(T3847,Equivalencia!$1:$23,((MAX(Equivalencia!$3:$3)-YEAR(S3847))*14)+MONTH(S3847)+2,FALSE)))</f>
        <v>0</v>
      </c>
      <c r="W3847" s="178">
        <f t="shared" si="159"/>
        <v>0</v>
      </c>
      <c r="X3847" s="481">
        <f t="shared" si="155"/>
        <v>0</v>
      </c>
      <c r="Y3847" s="179"/>
      <c r="Z3847" s="466">
        <f t="shared" si="156"/>
        <v>0</v>
      </c>
      <c r="AA3847" s="473">
        <f t="shared" si="157"/>
        <v>0</v>
      </c>
      <c r="AB3847" s="339">
        <f t="shared" si="158"/>
        <v>0</v>
      </c>
    </row>
    <row r="3848" spans="2:28" ht="20.100000000000001" customHeight="1">
      <c r="B3848" s="172"/>
      <c r="C3848" s="174"/>
      <c r="D3848" s="181"/>
      <c r="E3848" s="173"/>
      <c r="F3848" s="176"/>
      <c r="G3848" s="175">
        <f t="shared" si="160"/>
        <v>0</v>
      </c>
      <c r="H3848" s="175">
        <f t="shared" si="153"/>
        <v>0</v>
      </c>
      <c r="I3848" s="177">
        <f>IF(G3848=0,0,IF(E3848="MXN",1/HLOOKUP(YEAR(C3848)+(MONTH(C3848)/100),TC!$5:$37,DAY(C3848)+2,FALSE),VLOOKUP(E3848,Equivalencia!$5:$23,((MAX(Equivalencia!$3:$3)-YEAR(C3848))*14)+MONTH(C3848)+2,FALSE)))</f>
        <v>0</v>
      </c>
      <c r="J3848" s="178">
        <f t="shared" si="161"/>
        <v>0</v>
      </c>
      <c r="K3848" s="462">
        <f>IF(C3848=0,0,VLOOKUP(YEAR(C3848),INPC!$B$4:$O$29,MONTH(C3848)+1))</f>
        <v>0</v>
      </c>
      <c r="L3848" s="462">
        <f>IF(S3848=0,0,VLOOKUP(YEAR(S3848),INPC!$B$4:$O$29,MONTH(S3848)+1))</f>
        <v>0</v>
      </c>
      <c r="M3848" s="463">
        <f t="shared" si="154"/>
        <v>0</v>
      </c>
      <c r="N3848" s="465">
        <f t="shared" si="162"/>
        <v>0</v>
      </c>
      <c r="O3848" s="179"/>
      <c r="P3848" s="180"/>
      <c r="Q3848" s="173"/>
      <c r="R3848" s="173"/>
      <c r="S3848" s="174"/>
      <c r="T3848" s="173"/>
      <c r="U3848" s="182"/>
      <c r="V3848" s="177">
        <f>IF(U3848=0,0,IF(T3848="MXN",1/HLOOKUP(YEAR(S3848)+(MONTH(S3848)/100),TC!$5:$37,DAY(S3848)+2,FALSE),VLOOKUP(T3848,Equivalencia!$1:$23,((MAX(Equivalencia!$3:$3)-YEAR(S3848))*14)+MONTH(S3848)+2,FALSE)))</f>
        <v>0</v>
      </c>
      <c r="W3848" s="178">
        <f t="shared" si="159"/>
        <v>0</v>
      </c>
      <c r="X3848" s="481">
        <f t="shared" si="155"/>
        <v>0</v>
      </c>
      <c r="Y3848" s="179"/>
      <c r="Z3848" s="466">
        <f t="shared" si="156"/>
        <v>0</v>
      </c>
      <c r="AA3848" s="473">
        <f t="shared" si="157"/>
        <v>0</v>
      </c>
      <c r="AB3848" s="339">
        <f t="shared" si="158"/>
        <v>0</v>
      </c>
    </row>
    <row r="3849" spans="2:28" ht="20.100000000000001" customHeight="1">
      <c r="B3849" s="172"/>
      <c r="C3849" s="174"/>
      <c r="D3849" s="181"/>
      <c r="E3849" s="173"/>
      <c r="F3849" s="176"/>
      <c r="G3849" s="175">
        <f t="shared" si="160"/>
        <v>0</v>
      </c>
      <c r="H3849" s="175">
        <f t="shared" si="153"/>
        <v>0</v>
      </c>
      <c r="I3849" s="177">
        <f>IF(G3849=0,0,IF(E3849="MXN",1/HLOOKUP(YEAR(C3849)+(MONTH(C3849)/100),TC!$5:$37,DAY(C3849)+2,FALSE),VLOOKUP(E3849,Equivalencia!$5:$23,((MAX(Equivalencia!$3:$3)-YEAR(C3849))*14)+MONTH(C3849)+2,FALSE)))</f>
        <v>0</v>
      </c>
      <c r="J3849" s="178">
        <f t="shared" si="161"/>
        <v>0</v>
      </c>
      <c r="K3849" s="462">
        <f>IF(C3849=0,0,VLOOKUP(YEAR(C3849),INPC!$B$4:$O$29,MONTH(C3849)+1))</f>
        <v>0</v>
      </c>
      <c r="L3849" s="462">
        <f>IF(S3849=0,0,VLOOKUP(YEAR(S3849),INPC!$B$4:$O$29,MONTH(S3849)+1))</f>
        <v>0</v>
      </c>
      <c r="M3849" s="463">
        <f t="shared" si="154"/>
        <v>0</v>
      </c>
      <c r="N3849" s="465">
        <f t="shared" si="162"/>
        <v>0</v>
      </c>
      <c r="O3849" s="179"/>
      <c r="P3849" s="180"/>
      <c r="Q3849" s="173"/>
      <c r="R3849" s="173"/>
      <c r="S3849" s="174"/>
      <c r="T3849" s="173"/>
      <c r="U3849" s="182"/>
      <c r="V3849" s="177">
        <f>IF(U3849=0,0,IF(T3849="MXN",1/HLOOKUP(YEAR(S3849)+(MONTH(S3849)/100),TC!$5:$37,DAY(S3849)+2,FALSE),VLOOKUP(T3849,Equivalencia!$1:$23,((MAX(Equivalencia!$3:$3)-YEAR(S3849))*14)+MONTH(S3849)+2,FALSE)))</f>
        <v>0</v>
      </c>
      <c r="W3849" s="178">
        <f t="shared" si="159"/>
        <v>0</v>
      </c>
      <c r="X3849" s="481">
        <f t="shared" si="155"/>
        <v>0</v>
      </c>
      <c r="Y3849" s="179"/>
      <c r="Z3849" s="466">
        <f t="shared" si="156"/>
        <v>0</v>
      </c>
      <c r="AA3849" s="473">
        <f t="shared" si="157"/>
        <v>0</v>
      </c>
      <c r="AB3849" s="339">
        <f t="shared" si="158"/>
        <v>0</v>
      </c>
    </row>
    <row r="3850" spans="2:28" ht="20.100000000000001" customHeight="1">
      <c r="B3850" s="172"/>
      <c r="C3850" s="174"/>
      <c r="D3850" s="181"/>
      <c r="E3850" s="173"/>
      <c r="F3850" s="176"/>
      <c r="G3850" s="175">
        <f t="shared" si="160"/>
        <v>0</v>
      </c>
      <c r="H3850" s="175">
        <f t="shared" si="153"/>
        <v>0</v>
      </c>
      <c r="I3850" s="177">
        <f>IF(G3850=0,0,IF(E3850="MXN",1/HLOOKUP(YEAR(C3850)+(MONTH(C3850)/100),TC!$5:$37,DAY(C3850)+2,FALSE),VLOOKUP(E3850,Equivalencia!$5:$23,((MAX(Equivalencia!$3:$3)-YEAR(C3850))*14)+MONTH(C3850)+2,FALSE)))</f>
        <v>0</v>
      </c>
      <c r="J3850" s="178">
        <f t="shared" si="161"/>
        <v>0</v>
      </c>
      <c r="K3850" s="462">
        <f>IF(C3850=0,0,VLOOKUP(YEAR(C3850),INPC!$B$4:$O$29,MONTH(C3850)+1))</f>
        <v>0</v>
      </c>
      <c r="L3850" s="462">
        <f>IF(S3850=0,0,VLOOKUP(YEAR(S3850),INPC!$B$4:$O$29,MONTH(S3850)+1))</f>
        <v>0</v>
      </c>
      <c r="M3850" s="463">
        <f t="shared" si="154"/>
        <v>0</v>
      </c>
      <c r="N3850" s="465">
        <f t="shared" si="162"/>
        <v>0</v>
      </c>
      <c r="O3850" s="179"/>
      <c r="P3850" s="180"/>
      <c r="Q3850" s="173"/>
      <c r="R3850" s="173"/>
      <c r="S3850" s="174"/>
      <c r="T3850" s="173"/>
      <c r="U3850" s="182"/>
      <c r="V3850" s="177">
        <f>IF(U3850=0,0,IF(T3850="MXN",1/HLOOKUP(YEAR(S3850)+(MONTH(S3850)/100),TC!$5:$37,DAY(S3850)+2,FALSE),VLOOKUP(T3850,Equivalencia!$1:$23,((MAX(Equivalencia!$3:$3)-YEAR(S3850))*14)+MONTH(S3850)+2,FALSE)))</f>
        <v>0</v>
      </c>
      <c r="W3850" s="178">
        <f t="shared" si="159"/>
        <v>0</v>
      </c>
      <c r="X3850" s="481">
        <f t="shared" si="155"/>
        <v>0</v>
      </c>
      <c r="Y3850" s="179"/>
      <c r="Z3850" s="466">
        <f t="shared" si="156"/>
        <v>0</v>
      </c>
      <c r="AA3850" s="473">
        <f t="shared" si="157"/>
        <v>0</v>
      </c>
      <c r="AB3850" s="339">
        <f t="shared" si="158"/>
        <v>0</v>
      </c>
    </row>
    <row r="3851" spans="2:28" ht="20.100000000000001" customHeight="1">
      <c r="B3851" s="172"/>
      <c r="C3851" s="174"/>
      <c r="D3851" s="181"/>
      <c r="E3851" s="173"/>
      <c r="F3851" s="176"/>
      <c r="G3851" s="175">
        <f t="shared" si="160"/>
        <v>0</v>
      </c>
      <c r="H3851" s="175">
        <f t="shared" si="153"/>
        <v>0</v>
      </c>
      <c r="I3851" s="177">
        <f>IF(G3851=0,0,IF(E3851="MXN",1/HLOOKUP(YEAR(C3851)+(MONTH(C3851)/100),TC!$5:$37,DAY(C3851)+2,FALSE),VLOOKUP(E3851,Equivalencia!$5:$23,((MAX(Equivalencia!$3:$3)-YEAR(C3851))*14)+MONTH(C3851)+2,FALSE)))</f>
        <v>0</v>
      </c>
      <c r="J3851" s="178">
        <f t="shared" si="161"/>
        <v>0</v>
      </c>
      <c r="K3851" s="462">
        <f>IF(C3851=0,0,VLOOKUP(YEAR(C3851),INPC!$B$4:$O$29,MONTH(C3851)+1))</f>
        <v>0</v>
      </c>
      <c r="L3851" s="462">
        <f>IF(S3851=0,0,VLOOKUP(YEAR(S3851),INPC!$B$4:$O$29,MONTH(S3851)+1))</f>
        <v>0</v>
      </c>
      <c r="M3851" s="463">
        <f t="shared" si="154"/>
        <v>0</v>
      </c>
      <c r="N3851" s="465">
        <f t="shared" si="162"/>
        <v>0</v>
      </c>
      <c r="O3851" s="179"/>
      <c r="P3851" s="180"/>
      <c r="Q3851" s="173"/>
      <c r="R3851" s="173"/>
      <c r="S3851" s="174"/>
      <c r="T3851" s="173"/>
      <c r="U3851" s="182"/>
      <c r="V3851" s="177">
        <f>IF(U3851=0,0,IF(T3851="MXN",1/HLOOKUP(YEAR(S3851)+(MONTH(S3851)/100),TC!$5:$37,DAY(S3851)+2,FALSE),VLOOKUP(T3851,Equivalencia!$1:$23,((MAX(Equivalencia!$3:$3)-YEAR(S3851))*14)+MONTH(S3851)+2,FALSE)))</f>
        <v>0</v>
      </c>
      <c r="W3851" s="178">
        <f t="shared" si="159"/>
        <v>0</v>
      </c>
      <c r="X3851" s="481">
        <f t="shared" si="155"/>
        <v>0</v>
      </c>
      <c r="Y3851" s="179"/>
      <c r="Z3851" s="466">
        <f t="shared" si="156"/>
        <v>0</v>
      </c>
      <c r="AA3851" s="473">
        <f t="shared" si="157"/>
        <v>0</v>
      </c>
      <c r="AB3851" s="339">
        <f t="shared" si="158"/>
        <v>0</v>
      </c>
    </row>
    <row r="3852" spans="2:28" ht="20.100000000000001" customHeight="1">
      <c r="B3852" s="172"/>
      <c r="C3852" s="174"/>
      <c r="D3852" s="181"/>
      <c r="E3852" s="173"/>
      <c r="F3852" s="176"/>
      <c r="G3852" s="175">
        <f t="shared" si="160"/>
        <v>0</v>
      </c>
      <c r="H3852" s="175">
        <f t="shared" si="153"/>
        <v>0</v>
      </c>
      <c r="I3852" s="177">
        <f>IF(G3852=0,0,IF(E3852="MXN",1/HLOOKUP(YEAR(C3852)+(MONTH(C3852)/100),TC!$5:$37,DAY(C3852)+2,FALSE),VLOOKUP(E3852,Equivalencia!$5:$23,((MAX(Equivalencia!$3:$3)-YEAR(C3852))*14)+MONTH(C3852)+2,FALSE)))</f>
        <v>0</v>
      </c>
      <c r="J3852" s="178">
        <f t="shared" si="161"/>
        <v>0</v>
      </c>
      <c r="K3852" s="462">
        <f>IF(C3852=0,0,VLOOKUP(YEAR(C3852),INPC!$B$4:$O$29,MONTH(C3852)+1))</f>
        <v>0</v>
      </c>
      <c r="L3852" s="462">
        <f>IF(S3852=0,0,VLOOKUP(YEAR(S3852),INPC!$B$4:$O$29,MONTH(S3852)+1))</f>
        <v>0</v>
      </c>
      <c r="M3852" s="463">
        <f t="shared" si="154"/>
        <v>0</v>
      </c>
      <c r="N3852" s="465">
        <f t="shared" si="162"/>
        <v>0</v>
      </c>
      <c r="O3852" s="179"/>
      <c r="P3852" s="180"/>
      <c r="Q3852" s="173"/>
      <c r="R3852" s="173"/>
      <c r="S3852" s="174"/>
      <c r="T3852" s="173"/>
      <c r="U3852" s="182"/>
      <c r="V3852" s="177">
        <f>IF(U3852=0,0,IF(T3852="MXN",1/HLOOKUP(YEAR(S3852)+(MONTH(S3852)/100),TC!$5:$37,DAY(S3852)+2,FALSE),VLOOKUP(T3852,Equivalencia!$1:$23,((MAX(Equivalencia!$3:$3)-YEAR(S3852))*14)+MONTH(S3852)+2,FALSE)))</f>
        <v>0</v>
      </c>
      <c r="W3852" s="178">
        <f t="shared" si="159"/>
        <v>0</v>
      </c>
      <c r="X3852" s="481">
        <f t="shared" si="155"/>
        <v>0</v>
      </c>
      <c r="Y3852" s="179"/>
      <c r="Z3852" s="466">
        <f t="shared" si="156"/>
        <v>0</v>
      </c>
      <c r="AA3852" s="473">
        <f t="shared" si="157"/>
        <v>0</v>
      </c>
      <c r="AB3852" s="339">
        <f t="shared" si="158"/>
        <v>0</v>
      </c>
    </row>
    <row r="3853" spans="2:28" ht="20.100000000000001" customHeight="1">
      <c r="B3853" s="172"/>
      <c r="C3853" s="174"/>
      <c r="D3853" s="181"/>
      <c r="E3853" s="173"/>
      <c r="F3853" s="176"/>
      <c r="G3853" s="175">
        <f t="shared" si="160"/>
        <v>0</v>
      </c>
      <c r="H3853" s="175">
        <f t="shared" si="153"/>
        <v>0</v>
      </c>
      <c r="I3853" s="177">
        <f>IF(G3853=0,0,IF(E3853="MXN",1/HLOOKUP(YEAR(C3853)+(MONTH(C3853)/100),TC!$5:$37,DAY(C3853)+2,FALSE),VLOOKUP(E3853,Equivalencia!$5:$23,((MAX(Equivalencia!$3:$3)-YEAR(C3853))*14)+MONTH(C3853)+2,FALSE)))</f>
        <v>0</v>
      </c>
      <c r="J3853" s="178">
        <f t="shared" si="161"/>
        <v>0</v>
      </c>
      <c r="K3853" s="462">
        <f>IF(C3853=0,0,VLOOKUP(YEAR(C3853),INPC!$B$4:$O$29,MONTH(C3853)+1))</f>
        <v>0</v>
      </c>
      <c r="L3853" s="462">
        <f>IF(S3853=0,0,VLOOKUP(YEAR(S3853),INPC!$B$4:$O$29,MONTH(S3853)+1))</f>
        <v>0</v>
      </c>
      <c r="M3853" s="463">
        <f t="shared" si="154"/>
        <v>0</v>
      </c>
      <c r="N3853" s="465">
        <f t="shared" si="162"/>
        <v>0</v>
      </c>
      <c r="O3853" s="179"/>
      <c r="P3853" s="180"/>
      <c r="Q3853" s="173"/>
      <c r="R3853" s="173"/>
      <c r="S3853" s="174"/>
      <c r="T3853" s="173"/>
      <c r="U3853" s="182"/>
      <c r="V3853" s="177">
        <f>IF(U3853=0,0,IF(T3853="MXN",1/HLOOKUP(YEAR(S3853)+(MONTH(S3853)/100),TC!$5:$37,DAY(S3853)+2,FALSE),VLOOKUP(T3853,Equivalencia!$1:$23,((MAX(Equivalencia!$3:$3)-YEAR(S3853))*14)+MONTH(S3853)+2,FALSE)))</f>
        <v>0</v>
      </c>
      <c r="W3853" s="178">
        <f t="shared" si="159"/>
        <v>0</v>
      </c>
      <c r="X3853" s="481">
        <f t="shared" si="155"/>
        <v>0</v>
      </c>
      <c r="Y3853" s="179"/>
      <c r="Z3853" s="466">
        <f t="shared" si="156"/>
        <v>0</v>
      </c>
      <c r="AA3853" s="473">
        <f t="shared" si="157"/>
        <v>0</v>
      </c>
      <c r="AB3853" s="339">
        <f t="shared" si="158"/>
        <v>0</v>
      </c>
    </row>
    <row r="3854" spans="2:28" ht="20.100000000000001" customHeight="1">
      <c r="B3854" s="172"/>
      <c r="C3854" s="174"/>
      <c r="D3854" s="181"/>
      <c r="E3854" s="173"/>
      <c r="F3854" s="176"/>
      <c r="G3854" s="175">
        <f t="shared" si="160"/>
        <v>0</v>
      </c>
      <c r="H3854" s="175">
        <f t="shared" si="153"/>
        <v>0</v>
      </c>
      <c r="I3854" s="177">
        <f>IF(G3854=0,0,IF(E3854="MXN",1/HLOOKUP(YEAR(C3854)+(MONTH(C3854)/100),TC!$5:$37,DAY(C3854)+2,FALSE),VLOOKUP(E3854,Equivalencia!$5:$23,((MAX(Equivalencia!$3:$3)-YEAR(C3854))*14)+MONTH(C3854)+2,FALSE)))</f>
        <v>0</v>
      </c>
      <c r="J3854" s="178">
        <f t="shared" si="161"/>
        <v>0</v>
      </c>
      <c r="K3854" s="462">
        <f>IF(C3854=0,0,VLOOKUP(YEAR(C3854),INPC!$B$4:$O$29,MONTH(C3854)+1))</f>
        <v>0</v>
      </c>
      <c r="L3854" s="462">
        <f>IF(S3854=0,0,VLOOKUP(YEAR(S3854),INPC!$B$4:$O$29,MONTH(S3854)+1))</f>
        <v>0</v>
      </c>
      <c r="M3854" s="463">
        <f t="shared" si="154"/>
        <v>0</v>
      </c>
      <c r="N3854" s="465">
        <f t="shared" si="162"/>
        <v>0</v>
      </c>
      <c r="O3854" s="179"/>
      <c r="P3854" s="180"/>
      <c r="Q3854" s="173"/>
      <c r="R3854" s="173"/>
      <c r="S3854" s="174"/>
      <c r="T3854" s="173"/>
      <c r="U3854" s="182"/>
      <c r="V3854" s="177">
        <f>IF(U3854=0,0,IF(T3854="MXN",1/HLOOKUP(YEAR(S3854)+(MONTH(S3854)/100),TC!$5:$37,DAY(S3854)+2,FALSE),VLOOKUP(T3854,Equivalencia!$1:$23,((MAX(Equivalencia!$3:$3)-YEAR(S3854))*14)+MONTH(S3854)+2,FALSE)))</f>
        <v>0</v>
      </c>
      <c r="W3854" s="178">
        <f t="shared" si="159"/>
        <v>0</v>
      </c>
      <c r="X3854" s="481">
        <f t="shared" si="155"/>
        <v>0</v>
      </c>
      <c r="Y3854" s="179"/>
      <c r="Z3854" s="466">
        <f t="shared" si="156"/>
        <v>0</v>
      </c>
      <c r="AA3854" s="473">
        <f t="shared" si="157"/>
        <v>0</v>
      </c>
      <c r="AB3854" s="339">
        <f t="shared" si="158"/>
        <v>0</v>
      </c>
    </row>
    <row r="3855" spans="2:28" ht="20.100000000000001" customHeight="1">
      <c r="B3855" s="172"/>
      <c r="C3855" s="174"/>
      <c r="D3855" s="181"/>
      <c r="E3855" s="173"/>
      <c r="F3855" s="176"/>
      <c r="G3855" s="175">
        <f t="shared" ref="G3855:G3938" si="293">+P3855</f>
        <v>0</v>
      </c>
      <c r="H3855" s="175">
        <f t="shared" ref="H3855:H3938" si="294">IF(F3855=0,0,(F3855/G3855)*P3855)</f>
        <v>0</v>
      </c>
      <c r="I3855" s="177">
        <f>IF(G3855=0,0,IF(E3855="MXN",1/HLOOKUP(YEAR(C3855)+(MONTH(C3855)/100),TC!$5:$37,DAY(C3855)+2,FALSE),VLOOKUP(E3855,Equivalencia!$5:$23,((MAX(Equivalencia!$3:$3)-YEAR(C3855))*14)+MONTH(C3855)+2,FALSE)))</f>
        <v>0</v>
      </c>
      <c r="J3855" s="178">
        <f t="shared" ref="J3855:J3938" si="295">+H3855*I3855</f>
        <v>0</v>
      </c>
      <c r="K3855" s="462">
        <f>IF(C3855=0,0,VLOOKUP(YEAR(C3855),INPC!$B$4:$O$29,MONTH(C3855)+1))</f>
        <v>0</v>
      </c>
      <c r="L3855" s="462">
        <f>IF(S3855=0,0,VLOOKUP(YEAR(S3855),INPC!$B$4:$O$29,MONTH(S3855)+1))</f>
        <v>0</v>
      </c>
      <c r="M3855" s="463">
        <f t="shared" ref="M3855:M3938" si="296">IF(H3855=0,0,IF(R3855=$AF$4,1,IF(TRUNC(L3855/K3855,4)&gt;=1,TRUNC(L3855/K3855,4),1)))</f>
        <v>0</v>
      </c>
      <c r="N3855" s="465">
        <f t="shared" ref="N3855:N3938" si="297">+M3855*J3855</f>
        <v>0</v>
      </c>
      <c r="O3855" s="179"/>
      <c r="P3855" s="180"/>
      <c r="Q3855" s="173"/>
      <c r="R3855" s="173"/>
      <c r="S3855" s="174"/>
      <c r="T3855" s="173"/>
      <c r="U3855" s="182"/>
      <c r="V3855" s="177">
        <f>IF(U3855=0,0,IF(T3855="MXN",1/HLOOKUP(YEAR(S3855)+(MONTH(S3855)/100),TC!$5:$37,DAY(S3855)+2,FALSE),VLOOKUP(T3855,Equivalencia!$1:$23,((MAX(Equivalencia!$3:$3)-YEAR(S3855))*14)+MONTH(S3855)+2,FALSE)))</f>
        <v>0</v>
      </c>
      <c r="W3855" s="178">
        <f t="shared" ref="W3855:W3938" si="298">+V3855*U3855</f>
        <v>0</v>
      </c>
      <c r="X3855" s="481">
        <f t="shared" ref="X3855:X3938" si="299">+W3855-J3855</f>
        <v>0</v>
      </c>
      <c r="Y3855" s="179"/>
      <c r="Z3855" s="466">
        <f t="shared" ref="Z3855:Z3938" si="300">N3855</f>
        <v>0</v>
      </c>
      <c r="AA3855" s="473">
        <f t="shared" ref="AA3855:AA3938" si="301">+W3855-Z3855</f>
        <v>0</v>
      </c>
      <c r="AB3855" s="339">
        <f t="shared" ref="AB3855:AB3938" si="302">+IF(P3855=0,0,(U3855/F3855)-1)</f>
        <v>0</v>
      </c>
    </row>
    <row r="3856" spans="2:28" ht="20.100000000000001" customHeight="1">
      <c r="B3856" s="172"/>
      <c r="C3856" s="174"/>
      <c r="D3856" s="181"/>
      <c r="E3856" s="173"/>
      <c r="F3856" s="176"/>
      <c r="G3856" s="175">
        <f t="shared" si="293"/>
        <v>0</v>
      </c>
      <c r="H3856" s="175">
        <f t="shared" si="294"/>
        <v>0</v>
      </c>
      <c r="I3856" s="177">
        <f>IF(G3856=0,0,IF(E3856="MXN",1/HLOOKUP(YEAR(C3856)+(MONTH(C3856)/100),TC!$5:$37,DAY(C3856)+2,FALSE),VLOOKUP(E3856,Equivalencia!$5:$23,((MAX(Equivalencia!$3:$3)-YEAR(C3856))*14)+MONTH(C3856)+2,FALSE)))</f>
        <v>0</v>
      </c>
      <c r="J3856" s="178">
        <f t="shared" si="295"/>
        <v>0</v>
      </c>
      <c r="K3856" s="462">
        <f>IF(C3856=0,0,VLOOKUP(YEAR(C3856),INPC!$B$4:$O$29,MONTH(C3856)+1))</f>
        <v>0</v>
      </c>
      <c r="L3856" s="462">
        <f>IF(S3856=0,0,VLOOKUP(YEAR(S3856),INPC!$B$4:$O$29,MONTH(S3856)+1))</f>
        <v>0</v>
      </c>
      <c r="M3856" s="463">
        <f t="shared" si="296"/>
        <v>0</v>
      </c>
      <c r="N3856" s="465">
        <f t="shared" si="297"/>
        <v>0</v>
      </c>
      <c r="O3856" s="179"/>
      <c r="P3856" s="180"/>
      <c r="Q3856" s="173"/>
      <c r="R3856" s="173"/>
      <c r="S3856" s="174"/>
      <c r="T3856" s="173"/>
      <c r="U3856" s="182"/>
      <c r="V3856" s="177">
        <f>IF(U3856=0,0,IF(T3856="MXN",1/HLOOKUP(YEAR(S3856)+(MONTH(S3856)/100),TC!$5:$37,DAY(S3856)+2,FALSE),VLOOKUP(T3856,Equivalencia!$1:$23,((MAX(Equivalencia!$3:$3)-YEAR(S3856))*14)+MONTH(S3856)+2,FALSE)))</f>
        <v>0</v>
      </c>
      <c r="W3856" s="178">
        <f t="shared" si="298"/>
        <v>0</v>
      </c>
      <c r="X3856" s="481">
        <f t="shared" si="299"/>
        <v>0</v>
      </c>
      <c r="Y3856" s="179"/>
      <c r="Z3856" s="466">
        <f t="shared" si="300"/>
        <v>0</v>
      </c>
      <c r="AA3856" s="473">
        <f t="shared" si="301"/>
        <v>0</v>
      </c>
      <c r="AB3856" s="339">
        <f t="shared" si="302"/>
        <v>0</v>
      </c>
    </row>
    <row r="3857" spans="2:28" ht="20.100000000000001" customHeight="1">
      <c r="B3857" s="172"/>
      <c r="C3857" s="174"/>
      <c r="D3857" s="181"/>
      <c r="E3857" s="173"/>
      <c r="F3857" s="176"/>
      <c r="G3857" s="175">
        <f t="shared" si="293"/>
        <v>0</v>
      </c>
      <c r="H3857" s="175">
        <f t="shared" si="294"/>
        <v>0</v>
      </c>
      <c r="I3857" s="177">
        <f>IF(G3857=0,0,IF(E3857="MXN",1/HLOOKUP(YEAR(C3857)+(MONTH(C3857)/100),TC!$5:$37,DAY(C3857)+2,FALSE),VLOOKUP(E3857,Equivalencia!$5:$23,((MAX(Equivalencia!$3:$3)-YEAR(C3857))*14)+MONTH(C3857)+2,FALSE)))</f>
        <v>0</v>
      </c>
      <c r="J3857" s="178">
        <f t="shared" si="295"/>
        <v>0</v>
      </c>
      <c r="K3857" s="462">
        <f>IF(C3857=0,0,VLOOKUP(YEAR(C3857),INPC!$B$4:$O$29,MONTH(C3857)+1))</f>
        <v>0</v>
      </c>
      <c r="L3857" s="462">
        <f>IF(S3857=0,0,VLOOKUP(YEAR(S3857),INPC!$B$4:$O$29,MONTH(S3857)+1))</f>
        <v>0</v>
      </c>
      <c r="M3857" s="463">
        <f t="shared" si="296"/>
        <v>0</v>
      </c>
      <c r="N3857" s="465">
        <f t="shared" si="297"/>
        <v>0</v>
      </c>
      <c r="O3857" s="179"/>
      <c r="P3857" s="180"/>
      <c r="Q3857" s="173"/>
      <c r="R3857" s="173"/>
      <c r="S3857" s="174"/>
      <c r="T3857" s="173"/>
      <c r="U3857" s="182"/>
      <c r="V3857" s="177">
        <f>IF(U3857=0,0,IF(T3857="MXN",1/HLOOKUP(YEAR(S3857)+(MONTH(S3857)/100),TC!$5:$37,DAY(S3857)+2,FALSE),VLOOKUP(T3857,Equivalencia!$1:$23,((MAX(Equivalencia!$3:$3)-YEAR(S3857))*14)+MONTH(S3857)+2,FALSE)))</f>
        <v>0</v>
      </c>
      <c r="W3857" s="178">
        <f t="shared" si="298"/>
        <v>0</v>
      </c>
      <c r="X3857" s="481">
        <f t="shared" si="299"/>
        <v>0</v>
      </c>
      <c r="Y3857" s="179"/>
      <c r="Z3857" s="466">
        <f t="shared" si="300"/>
        <v>0</v>
      </c>
      <c r="AA3857" s="473">
        <f t="shared" si="301"/>
        <v>0</v>
      </c>
      <c r="AB3857" s="339">
        <f t="shared" si="302"/>
        <v>0</v>
      </c>
    </row>
    <row r="3858" spans="2:28" ht="20.100000000000001" customHeight="1">
      <c r="B3858" s="172"/>
      <c r="C3858" s="174"/>
      <c r="D3858" s="181"/>
      <c r="E3858" s="173"/>
      <c r="F3858" s="176"/>
      <c r="G3858" s="175">
        <f t="shared" si="293"/>
        <v>0</v>
      </c>
      <c r="H3858" s="175">
        <f t="shared" si="294"/>
        <v>0</v>
      </c>
      <c r="I3858" s="177">
        <f>IF(G3858=0,0,IF(E3858="MXN",1/HLOOKUP(YEAR(C3858)+(MONTH(C3858)/100),TC!$5:$37,DAY(C3858)+2,FALSE),VLOOKUP(E3858,Equivalencia!$5:$23,((MAX(Equivalencia!$3:$3)-YEAR(C3858))*14)+MONTH(C3858)+2,FALSE)))</f>
        <v>0</v>
      </c>
      <c r="J3858" s="178">
        <f t="shared" si="295"/>
        <v>0</v>
      </c>
      <c r="K3858" s="462">
        <f>IF(C3858=0,0,VLOOKUP(YEAR(C3858),INPC!$B$4:$O$29,MONTH(C3858)+1))</f>
        <v>0</v>
      </c>
      <c r="L3858" s="462">
        <f>IF(S3858=0,0,VLOOKUP(YEAR(S3858),INPC!$B$4:$O$29,MONTH(S3858)+1))</f>
        <v>0</v>
      </c>
      <c r="M3858" s="463">
        <f t="shared" si="296"/>
        <v>0</v>
      </c>
      <c r="N3858" s="465">
        <f t="shared" si="297"/>
        <v>0</v>
      </c>
      <c r="O3858" s="179"/>
      <c r="P3858" s="180"/>
      <c r="Q3858" s="173"/>
      <c r="R3858" s="173"/>
      <c r="S3858" s="174"/>
      <c r="T3858" s="173"/>
      <c r="U3858" s="182"/>
      <c r="V3858" s="177">
        <f>IF(U3858=0,0,IF(T3858="MXN",1/HLOOKUP(YEAR(S3858)+(MONTH(S3858)/100),TC!$5:$37,DAY(S3858)+2,FALSE),VLOOKUP(T3858,Equivalencia!$1:$23,((MAX(Equivalencia!$3:$3)-YEAR(S3858))*14)+MONTH(S3858)+2,FALSE)))</f>
        <v>0</v>
      </c>
      <c r="W3858" s="178">
        <f t="shared" si="298"/>
        <v>0</v>
      </c>
      <c r="X3858" s="481">
        <f t="shared" si="299"/>
        <v>0</v>
      </c>
      <c r="Y3858" s="179"/>
      <c r="Z3858" s="466">
        <f t="shared" si="300"/>
        <v>0</v>
      </c>
      <c r="AA3858" s="473">
        <f t="shared" si="301"/>
        <v>0</v>
      </c>
      <c r="AB3858" s="339">
        <f t="shared" si="302"/>
        <v>0</v>
      </c>
    </row>
    <row r="3859" spans="2:28" ht="20.100000000000001" customHeight="1">
      <c r="B3859" s="172"/>
      <c r="C3859" s="174"/>
      <c r="D3859" s="181"/>
      <c r="E3859" s="173"/>
      <c r="F3859" s="176"/>
      <c r="G3859" s="175">
        <f t="shared" si="293"/>
        <v>0</v>
      </c>
      <c r="H3859" s="175">
        <f t="shared" si="294"/>
        <v>0</v>
      </c>
      <c r="I3859" s="177">
        <f>IF(G3859=0,0,IF(E3859="MXN",1/HLOOKUP(YEAR(C3859)+(MONTH(C3859)/100),TC!$5:$37,DAY(C3859)+2,FALSE),VLOOKUP(E3859,Equivalencia!$5:$23,((MAX(Equivalencia!$3:$3)-YEAR(C3859))*14)+MONTH(C3859)+2,FALSE)))</f>
        <v>0</v>
      </c>
      <c r="J3859" s="178">
        <f t="shared" si="295"/>
        <v>0</v>
      </c>
      <c r="K3859" s="462">
        <f>IF(C3859=0,0,VLOOKUP(YEAR(C3859),INPC!$B$4:$O$29,MONTH(C3859)+1))</f>
        <v>0</v>
      </c>
      <c r="L3859" s="462">
        <f>IF(S3859=0,0,VLOOKUP(YEAR(S3859),INPC!$B$4:$O$29,MONTH(S3859)+1))</f>
        <v>0</v>
      </c>
      <c r="M3859" s="463">
        <f t="shared" si="296"/>
        <v>0</v>
      </c>
      <c r="N3859" s="465">
        <f t="shared" si="297"/>
        <v>0</v>
      </c>
      <c r="O3859" s="179"/>
      <c r="P3859" s="180"/>
      <c r="Q3859" s="173"/>
      <c r="R3859" s="173"/>
      <c r="S3859" s="174"/>
      <c r="T3859" s="173"/>
      <c r="U3859" s="182"/>
      <c r="V3859" s="177">
        <f>IF(U3859=0,0,IF(T3859="MXN",1/HLOOKUP(YEAR(S3859)+(MONTH(S3859)/100),TC!$5:$37,DAY(S3859)+2,FALSE),VLOOKUP(T3859,Equivalencia!$1:$23,((MAX(Equivalencia!$3:$3)-YEAR(S3859))*14)+MONTH(S3859)+2,FALSE)))</f>
        <v>0</v>
      </c>
      <c r="W3859" s="178">
        <f t="shared" si="298"/>
        <v>0</v>
      </c>
      <c r="X3859" s="481">
        <f t="shared" si="299"/>
        <v>0</v>
      </c>
      <c r="Y3859" s="179"/>
      <c r="Z3859" s="466">
        <f t="shared" si="300"/>
        <v>0</v>
      </c>
      <c r="AA3859" s="473">
        <f t="shared" si="301"/>
        <v>0</v>
      </c>
      <c r="AB3859" s="339">
        <f t="shared" si="302"/>
        <v>0</v>
      </c>
    </row>
    <row r="3860" spans="2:28" ht="20.100000000000001" customHeight="1">
      <c r="B3860" s="172"/>
      <c r="C3860" s="174"/>
      <c r="D3860" s="181"/>
      <c r="E3860" s="173"/>
      <c r="F3860" s="176"/>
      <c r="G3860" s="175">
        <f t="shared" si="293"/>
        <v>0</v>
      </c>
      <c r="H3860" s="175">
        <f t="shared" si="294"/>
        <v>0</v>
      </c>
      <c r="I3860" s="177">
        <f>IF(G3860=0,0,IF(E3860="MXN",1/HLOOKUP(YEAR(C3860)+(MONTH(C3860)/100),TC!$5:$37,DAY(C3860)+2,FALSE),VLOOKUP(E3860,Equivalencia!$5:$23,((MAX(Equivalencia!$3:$3)-YEAR(C3860))*14)+MONTH(C3860)+2,FALSE)))</f>
        <v>0</v>
      </c>
      <c r="J3860" s="178">
        <f t="shared" si="295"/>
        <v>0</v>
      </c>
      <c r="K3860" s="462">
        <f>IF(C3860=0,0,VLOOKUP(YEAR(C3860),INPC!$B$4:$O$29,MONTH(C3860)+1))</f>
        <v>0</v>
      </c>
      <c r="L3860" s="462">
        <f>IF(S3860=0,0,VLOOKUP(YEAR(S3860),INPC!$B$4:$O$29,MONTH(S3860)+1))</f>
        <v>0</v>
      </c>
      <c r="M3860" s="463">
        <f t="shared" si="296"/>
        <v>0</v>
      </c>
      <c r="N3860" s="465">
        <f t="shared" si="297"/>
        <v>0</v>
      </c>
      <c r="O3860" s="179"/>
      <c r="P3860" s="180"/>
      <c r="Q3860" s="173"/>
      <c r="R3860" s="173"/>
      <c r="S3860" s="174"/>
      <c r="T3860" s="173"/>
      <c r="U3860" s="182"/>
      <c r="V3860" s="177">
        <f>IF(U3860=0,0,IF(T3860="MXN",1/HLOOKUP(YEAR(S3860)+(MONTH(S3860)/100),TC!$5:$37,DAY(S3860)+2,FALSE),VLOOKUP(T3860,Equivalencia!$1:$23,((MAX(Equivalencia!$3:$3)-YEAR(S3860))*14)+MONTH(S3860)+2,FALSE)))</f>
        <v>0</v>
      </c>
      <c r="W3860" s="178">
        <f t="shared" si="298"/>
        <v>0</v>
      </c>
      <c r="X3860" s="481">
        <f t="shared" si="299"/>
        <v>0</v>
      </c>
      <c r="Y3860" s="179"/>
      <c r="Z3860" s="466">
        <f t="shared" si="300"/>
        <v>0</v>
      </c>
      <c r="AA3860" s="473">
        <f t="shared" si="301"/>
        <v>0</v>
      </c>
      <c r="AB3860" s="339">
        <f t="shared" si="302"/>
        <v>0</v>
      </c>
    </row>
    <row r="3861" spans="2:28" ht="20.100000000000001" customHeight="1">
      <c r="B3861" s="172"/>
      <c r="C3861" s="174"/>
      <c r="D3861" s="181"/>
      <c r="E3861" s="173"/>
      <c r="F3861" s="176"/>
      <c r="G3861" s="175">
        <f t="shared" si="293"/>
        <v>0</v>
      </c>
      <c r="H3861" s="175">
        <f t="shared" si="294"/>
        <v>0</v>
      </c>
      <c r="I3861" s="177">
        <f>IF(G3861=0,0,IF(E3861="MXN",1/HLOOKUP(YEAR(C3861)+(MONTH(C3861)/100),TC!$5:$37,DAY(C3861)+2,FALSE),VLOOKUP(E3861,Equivalencia!$5:$23,((MAX(Equivalencia!$3:$3)-YEAR(C3861))*14)+MONTH(C3861)+2,FALSE)))</f>
        <v>0</v>
      </c>
      <c r="J3861" s="178">
        <f t="shared" si="295"/>
        <v>0</v>
      </c>
      <c r="K3861" s="462">
        <f>IF(C3861=0,0,VLOOKUP(YEAR(C3861),INPC!$B$4:$O$29,MONTH(C3861)+1))</f>
        <v>0</v>
      </c>
      <c r="L3861" s="462">
        <f>IF(S3861=0,0,VLOOKUP(YEAR(S3861),INPC!$B$4:$O$29,MONTH(S3861)+1))</f>
        <v>0</v>
      </c>
      <c r="M3861" s="463">
        <f t="shared" si="296"/>
        <v>0</v>
      </c>
      <c r="N3861" s="465">
        <f t="shared" si="297"/>
        <v>0</v>
      </c>
      <c r="O3861" s="179"/>
      <c r="P3861" s="180"/>
      <c r="Q3861" s="173"/>
      <c r="R3861" s="173"/>
      <c r="S3861" s="174"/>
      <c r="T3861" s="173"/>
      <c r="U3861" s="182"/>
      <c r="V3861" s="177">
        <f>IF(U3861=0,0,IF(T3861="MXN",1/HLOOKUP(YEAR(S3861)+(MONTH(S3861)/100),TC!$5:$37,DAY(S3861)+2,FALSE),VLOOKUP(T3861,Equivalencia!$1:$23,((MAX(Equivalencia!$3:$3)-YEAR(S3861))*14)+MONTH(S3861)+2,FALSE)))</f>
        <v>0</v>
      </c>
      <c r="W3861" s="178">
        <f t="shared" si="298"/>
        <v>0</v>
      </c>
      <c r="X3861" s="481">
        <f t="shared" si="299"/>
        <v>0</v>
      </c>
      <c r="Y3861" s="179"/>
      <c r="Z3861" s="466">
        <f t="shared" si="300"/>
        <v>0</v>
      </c>
      <c r="AA3861" s="473">
        <f t="shared" si="301"/>
        <v>0</v>
      </c>
      <c r="AB3861" s="339">
        <f t="shared" si="302"/>
        <v>0</v>
      </c>
    </row>
    <row r="3862" spans="2:28" ht="20.100000000000001" customHeight="1">
      <c r="B3862" s="172"/>
      <c r="C3862" s="174"/>
      <c r="D3862" s="181"/>
      <c r="E3862" s="173"/>
      <c r="F3862" s="176"/>
      <c r="G3862" s="175">
        <f t="shared" si="293"/>
        <v>0</v>
      </c>
      <c r="H3862" s="175">
        <f t="shared" si="294"/>
        <v>0</v>
      </c>
      <c r="I3862" s="177">
        <f>IF(G3862=0,0,IF(E3862="MXN",1/HLOOKUP(YEAR(C3862)+(MONTH(C3862)/100),TC!$5:$37,DAY(C3862)+2,FALSE),VLOOKUP(E3862,Equivalencia!$5:$23,((MAX(Equivalencia!$3:$3)-YEAR(C3862))*14)+MONTH(C3862)+2,FALSE)))</f>
        <v>0</v>
      </c>
      <c r="J3862" s="178">
        <f t="shared" si="295"/>
        <v>0</v>
      </c>
      <c r="K3862" s="462">
        <f>IF(C3862=0,0,VLOOKUP(YEAR(C3862),INPC!$B$4:$O$29,MONTH(C3862)+1))</f>
        <v>0</v>
      </c>
      <c r="L3862" s="462">
        <f>IF(S3862=0,0,VLOOKUP(YEAR(S3862),INPC!$B$4:$O$29,MONTH(S3862)+1))</f>
        <v>0</v>
      </c>
      <c r="M3862" s="463">
        <f t="shared" si="296"/>
        <v>0</v>
      </c>
      <c r="N3862" s="465">
        <f t="shared" si="297"/>
        <v>0</v>
      </c>
      <c r="O3862" s="179"/>
      <c r="P3862" s="180"/>
      <c r="Q3862" s="173"/>
      <c r="R3862" s="173"/>
      <c r="S3862" s="174"/>
      <c r="T3862" s="173"/>
      <c r="U3862" s="182"/>
      <c r="V3862" s="177">
        <f>IF(U3862=0,0,IF(T3862="MXN",1/HLOOKUP(YEAR(S3862)+(MONTH(S3862)/100),TC!$5:$37,DAY(S3862)+2,FALSE),VLOOKUP(T3862,Equivalencia!$1:$23,((MAX(Equivalencia!$3:$3)-YEAR(S3862))*14)+MONTH(S3862)+2,FALSE)))</f>
        <v>0</v>
      </c>
      <c r="W3862" s="178">
        <f t="shared" si="298"/>
        <v>0</v>
      </c>
      <c r="X3862" s="481">
        <f t="shared" si="299"/>
        <v>0</v>
      </c>
      <c r="Y3862" s="179"/>
      <c r="Z3862" s="466">
        <f t="shared" si="300"/>
        <v>0</v>
      </c>
      <c r="AA3862" s="473">
        <f t="shared" si="301"/>
        <v>0</v>
      </c>
      <c r="AB3862" s="339">
        <f t="shared" si="302"/>
        <v>0</v>
      </c>
    </row>
    <row r="3863" spans="2:28" ht="20.100000000000001" customHeight="1">
      <c r="B3863" s="172"/>
      <c r="C3863" s="174"/>
      <c r="D3863" s="181"/>
      <c r="E3863" s="173"/>
      <c r="F3863" s="176"/>
      <c r="G3863" s="175">
        <f t="shared" si="293"/>
        <v>0</v>
      </c>
      <c r="H3863" s="175">
        <f t="shared" si="294"/>
        <v>0</v>
      </c>
      <c r="I3863" s="177">
        <f>IF(G3863=0,0,IF(E3863="MXN",1/HLOOKUP(YEAR(C3863)+(MONTH(C3863)/100),TC!$5:$37,DAY(C3863)+2,FALSE),VLOOKUP(E3863,Equivalencia!$5:$23,((MAX(Equivalencia!$3:$3)-YEAR(C3863))*14)+MONTH(C3863)+2,FALSE)))</f>
        <v>0</v>
      </c>
      <c r="J3863" s="178">
        <f t="shared" si="295"/>
        <v>0</v>
      </c>
      <c r="K3863" s="462">
        <f>IF(C3863=0,0,VLOOKUP(YEAR(C3863),INPC!$B$4:$O$29,MONTH(C3863)+1))</f>
        <v>0</v>
      </c>
      <c r="L3863" s="462">
        <f>IF(S3863=0,0,VLOOKUP(YEAR(S3863),INPC!$B$4:$O$29,MONTH(S3863)+1))</f>
        <v>0</v>
      </c>
      <c r="M3863" s="463">
        <f t="shared" si="296"/>
        <v>0</v>
      </c>
      <c r="N3863" s="465">
        <f t="shared" si="297"/>
        <v>0</v>
      </c>
      <c r="O3863" s="179"/>
      <c r="P3863" s="180"/>
      <c r="Q3863" s="173"/>
      <c r="R3863" s="173"/>
      <c r="S3863" s="174"/>
      <c r="T3863" s="173"/>
      <c r="U3863" s="182"/>
      <c r="V3863" s="177">
        <f>IF(U3863=0,0,IF(T3863="MXN",1/HLOOKUP(YEAR(S3863)+(MONTH(S3863)/100),TC!$5:$37,DAY(S3863)+2,FALSE),VLOOKUP(T3863,Equivalencia!$1:$23,((MAX(Equivalencia!$3:$3)-YEAR(S3863))*14)+MONTH(S3863)+2,FALSE)))</f>
        <v>0</v>
      </c>
      <c r="W3863" s="178">
        <f t="shared" si="298"/>
        <v>0</v>
      </c>
      <c r="X3863" s="481">
        <f t="shared" si="299"/>
        <v>0</v>
      </c>
      <c r="Y3863" s="179"/>
      <c r="Z3863" s="466">
        <f t="shared" si="300"/>
        <v>0</v>
      </c>
      <c r="AA3863" s="473">
        <f t="shared" si="301"/>
        <v>0</v>
      </c>
      <c r="AB3863" s="339">
        <f t="shared" si="302"/>
        <v>0</v>
      </c>
    </row>
    <row r="3864" spans="2:28" ht="20.100000000000001" customHeight="1">
      <c r="B3864" s="172"/>
      <c r="C3864" s="174"/>
      <c r="D3864" s="181"/>
      <c r="E3864" s="173"/>
      <c r="F3864" s="176"/>
      <c r="G3864" s="175">
        <f t="shared" si="293"/>
        <v>0</v>
      </c>
      <c r="H3864" s="175">
        <f t="shared" si="294"/>
        <v>0</v>
      </c>
      <c r="I3864" s="177">
        <f>IF(G3864=0,0,IF(E3864="MXN",1/HLOOKUP(YEAR(C3864)+(MONTH(C3864)/100),TC!$5:$37,DAY(C3864)+2,FALSE),VLOOKUP(E3864,Equivalencia!$5:$23,((MAX(Equivalencia!$3:$3)-YEAR(C3864))*14)+MONTH(C3864)+2,FALSE)))</f>
        <v>0</v>
      </c>
      <c r="J3864" s="178">
        <f t="shared" si="295"/>
        <v>0</v>
      </c>
      <c r="K3864" s="462">
        <f>IF(C3864=0,0,VLOOKUP(YEAR(C3864),INPC!$B$4:$O$29,MONTH(C3864)+1))</f>
        <v>0</v>
      </c>
      <c r="L3864" s="462">
        <f>IF(S3864=0,0,VLOOKUP(YEAR(S3864),INPC!$B$4:$O$29,MONTH(S3864)+1))</f>
        <v>0</v>
      </c>
      <c r="M3864" s="463">
        <f t="shared" si="296"/>
        <v>0</v>
      </c>
      <c r="N3864" s="465">
        <f t="shared" si="297"/>
        <v>0</v>
      </c>
      <c r="O3864" s="179"/>
      <c r="P3864" s="180"/>
      <c r="Q3864" s="173"/>
      <c r="R3864" s="173"/>
      <c r="S3864" s="174"/>
      <c r="T3864" s="173"/>
      <c r="U3864" s="182"/>
      <c r="V3864" s="177">
        <f>IF(U3864=0,0,IF(T3864="MXN",1/HLOOKUP(YEAR(S3864)+(MONTH(S3864)/100),TC!$5:$37,DAY(S3864)+2,FALSE),VLOOKUP(T3864,Equivalencia!$1:$23,((MAX(Equivalencia!$3:$3)-YEAR(S3864))*14)+MONTH(S3864)+2,FALSE)))</f>
        <v>0</v>
      </c>
      <c r="W3864" s="178">
        <f t="shared" si="298"/>
        <v>0</v>
      </c>
      <c r="X3864" s="481">
        <f t="shared" si="299"/>
        <v>0</v>
      </c>
      <c r="Y3864" s="179"/>
      <c r="Z3864" s="466">
        <f t="shared" si="300"/>
        <v>0</v>
      </c>
      <c r="AA3864" s="473">
        <f t="shared" si="301"/>
        <v>0</v>
      </c>
      <c r="AB3864" s="339">
        <f t="shared" si="302"/>
        <v>0</v>
      </c>
    </row>
    <row r="3865" spans="2:28" ht="20.100000000000001" customHeight="1">
      <c r="B3865" s="172"/>
      <c r="C3865" s="174"/>
      <c r="D3865" s="181"/>
      <c r="E3865" s="173"/>
      <c r="F3865" s="176"/>
      <c r="G3865" s="175">
        <f t="shared" si="293"/>
        <v>0</v>
      </c>
      <c r="H3865" s="175">
        <f t="shared" si="294"/>
        <v>0</v>
      </c>
      <c r="I3865" s="177">
        <f>IF(G3865=0,0,IF(E3865="MXN",1/HLOOKUP(YEAR(C3865)+(MONTH(C3865)/100),TC!$5:$37,DAY(C3865)+2,FALSE),VLOOKUP(E3865,Equivalencia!$5:$23,((MAX(Equivalencia!$3:$3)-YEAR(C3865))*14)+MONTH(C3865)+2,FALSE)))</f>
        <v>0</v>
      </c>
      <c r="J3865" s="178">
        <f t="shared" si="295"/>
        <v>0</v>
      </c>
      <c r="K3865" s="462">
        <f>IF(C3865=0,0,VLOOKUP(YEAR(C3865),INPC!$B$4:$O$29,MONTH(C3865)+1))</f>
        <v>0</v>
      </c>
      <c r="L3865" s="462">
        <f>IF(S3865=0,0,VLOOKUP(YEAR(S3865),INPC!$B$4:$O$29,MONTH(S3865)+1))</f>
        <v>0</v>
      </c>
      <c r="M3865" s="463">
        <f t="shared" si="296"/>
        <v>0</v>
      </c>
      <c r="N3865" s="465">
        <f t="shared" si="297"/>
        <v>0</v>
      </c>
      <c r="O3865" s="179"/>
      <c r="P3865" s="180"/>
      <c r="Q3865" s="173"/>
      <c r="R3865" s="173"/>
      <c r="S3865" s="174"/>
      <c r="T3865" s="173"/>
      <c r="U3865" s="182"/>
      <c r="V3865" s="177">
        <f>IF(U3865=0,0,IF(T3865="MXN",1/HLOOKUP(YEAR(S3865)+(MONTH(S3865)/100),TC!$5:$37,DAY(S3865)+2,FALSE),VLOOKUP(T3865,Equivalencia!$1:$23,((MAX(Equivalencia!$3:$3)-YEAR(S3865))*14)+MONTH(S3865)+2,FALSE)))</f>
        <v>0</v>
      </c>
      <c r="W3865" s="178">
        <f t="shared" si="298"/>
        <v>0</v>
      </c>
      <c r="X3865" s="481">
        <f t="shared" si="299"/>
        <v>0</v>
      </c>
      <c r="Y3865" s="179"/>
      <c r="Z3865" s="466">
        <f t="shared" si="300"/>
        <v>0</v>
      </c>
      <c r="AA3865" s="473">
        <f t="shared" si="301"/>
        <v>0</v>
      </c>
      <c r="AB3865" s="339">
        <f t="shared" si="302"/>
        <v>0</v>
      </c>
    </row>
    <row r="3866" spans="2:28" ht="20.100000000000001" customHeight="1">
      <c r="B3866" s="172"/>
      <c r="C3866" s="174"/>
      <c r="D3866" s="181"/>
      <c r="E3866" s="173"/>
      <c r="F3866" s="176"/>
      <c r="G3866" s="175">
        <f t="shared" si="293"/>
        <v>0</v>
      </c>
      <c r="H3866" s="175">
        <f t="shared" si="294"/>
        <v>0</v>
      </c>
      <c r="I3866" s="177">
        <f>IF(G3866=0,0,IF(E3866="MXN",1/HLOOKUP(YEAR(C3866)+(MONTH(C3866)/100),TC!$5:$37,DAY(C3866)+2,FALSE),VLOOKUP(E3866,Equivalencia!$5:$23,((MAX(Equivalencia!$3:$3)-YEAR(C3866))*14)+MONTH(C3866)+2,FALSE)))</f>
        <v>0</v>
      </c>
      <c r="J3866" s="178">
        <f t="shared" si="295"/>
        <v>0</v>
      </c>
      <c r="K3866" s="462">
        <f>IF(C3866=0,0,VLOOKUP(YEAR(C3866),INPC!$B$4:$O$29,MONTH(C3866)+1))</f>
        <v>0</v>
      </c>
      <c r="L3866" s="462">
        <f>IF(S3866=0,0,VLOOKUP(YEAR(S3866),INPC!$B$4:$O$29,MONTH(S3866)+1))</f>
        <v>0</v>
      </c>
      <c r="M3866" s="463">
        <f t="shared" si="296"/>
        <v>0</v>
      </c>
      <c r="N3866" s="465">
        <f t="shared" si="297"/>
        <v>0</v>
      </c>
      <c r="O3866" s="179"/>
      <c r="P3866" s="180"/>
      <c r="Q3866" s="173"/>
      <c r="R3866" s="173"/>
      <c r="S3866" s="174"/>
      <c r="T3866" s="173"/>
      <c r="U3866" s="182"/>
      <c r="V3866" s="177">
        <f>IF(U3866=0,0,IF(T3866="MXN",1/HLOOKUP(YEAR(S3866)+(MONTH(S3866)/100),TC!$5:$37,DAY(S3866)+2,FALSE),VLOOKUP(T3866,Equivalencia!$1:$23,((MAX(Equivalencia!$3:$3)-YEAR(S3866))*14)+MONTH(S3866)+2,FALSE)))</f>
        <v>0</v>
      </c>
      <c r="W3866" s="178">
        <f t="shared" si="298"/>
        <v>0</v>
      </c>
      <c r="X3866" s="481">
        <f t="shared" si="299"/>
        <v>0</v>
      </c>
      <c r="Y3866" s="179"/>
      <c r="Z3866" s="466">
        <f t="shared" si="300"/>
        <v>0</v>
      </c>
      <c r="AA3866" s="473">
        <f t="shared" si="301"/>
        <v>0</v>
      </c>
      <c r="AB3866" s="339">
        <f t="shared" si="302"/>
        <v>0</v>
      </c>
    </row>
    <row r="3867" spans="2:28" ht="20.100000000000001" customHeight="1">
      <c r="B3867" s="172"/>
      <c r="C3867" s="174"/>
      <c r="D3867" s="181"/>
      <c r="E3867" s="173"/>
      <c r="F3867" s="176"/>
      <c r="G3867" s="175">
        <f t="shared" si="293"/>
        <v>0</v>
      </c>
      <c r="H3867" s="175">
        <f t="shared" si="294"/>
        <v>0</v>
      </c>
      <c r="I3867" s="177">
        <f>IF(G3867=0,0,IF(E3867="MXN",1/HLOOKUP(YEAR(C3867)+(MONTH(C3867)/100),TC!$5:$37,DAY(C3867)+2,FALSE),VLOOKUP(E3867,Equivalencia!$5:$23,((MAX(Equivalencia!$3:$3)-YEAR(C3867))*14)+MONTH(C3867)+2,FALSE)))</f>
        <v>0</v>
      </c>
      <c r="J3867" s="178">
        <f t="shared" si="295"/>
        <v>0</v>
      </c>
      <c r="K3867" s="462">
        <f>IF(C3867=0,0,VLOOKUP(YEAR(C3867),INPC!$B$4:$O$29,MONTH(C3867)+1))</f>
        <v>0</v>
      </c>
      <c r="L3867" s="462">
        <f>IF(S3867=0,0,VLOOKUP(YEAR(S3867),INPC!$B$4:$O$29,MONTH(S3867)+1))</f>
        <v>0</v>
      </c>
      <c r="M3867" s="463">
        <f t="shared" si="296"/>
        <v>0</v>
      </c>
      <c r="N3867" s="465">
        <f t="shared" si="297"/>
        <v>0</v>
      </c>
      <c r="O3867" s="179"/>
      <c r="P3867" s="180"/>
      <c r="Q3867" s="173"/>
      <c r="R3867" s="173"/>
      <c r="S3867" s="174"/>
      <c r="T3867" s="173"/>
      <c r="U3867" s="182"/>
      <c r="V3867" s="177">
        <f>IF(U3867=0,0,IF(T3867="MXN",1/HLOOKUP(YEAR(S3867)+(MONTH(S3867)/100),TC!$5:$37,DAY(S3867)+2,FALSE),VLOOKUP(T3867,Equivalencia!$1:$23,((MAX(Equivalencia!$3:$3)-YEAR(S3867))*14)+MONTH(S3867)+2,FALSE)))</f>
        <v>0</v>
      </c>
      <c r="W3867" s="178">
        <f t="shared" si="298"/>
        <v>0</v>
      </c>
      <c r="X3867" s="481">
        <f t="shared" si="299"/>
        <v>0</v>
      </c>
      <c r="Y3867" s="179"/>
      <c r="Z3867" s="466">
        <f t="shared" si="300"/>
        <v>0</v>
      </c>
      <c r="AA3867" s="473">
        <f t="shared" si="301"/>
        <v>0</v>
      </c>
      <c r="AB3867" s="339">
        <f t="shared" si="302"/>
        <v>0</v>
      </c>
    </row>
    <row r="3868" spans="2:28" ht="20.100000000000001" customHeight="1">
      <c r="B3868" s="172"/>
      <c r="C3868" s="174"/>
      <c r="D3868" s="181"/>
      <c r="E3868" s="173"/>
      <c r="F3868" s="176"/>
      <c r="G3868" s="175">
        <f t="shared" si="293"/>
        <v>0</v>
      </c>
      <c r="H3868" s="175">
        <f t="shared" si="294"/>
        <v>0</v>
      </c>
      <c r="I3868" s="177">
        <f>IF(G3868=0,0,IF(E3868="MXN",1/HLOOKUP(YEAR(C3868)+(MONTH(C3868)/100),TC!$5:$37,DAY(C3868)+2,FALSE),VLOOKUP(E3868,Equivalencia!$5:$23,((MAX(Equivalencia!$3:$3)-YEAR(C3868))*14)+MONTH(C3868)+2,FALSE)))</f>
        <v>0</v>
      </c>
      <c r="J3868" s="178">
        <f t="shared" si="295"/>
        <v>0</v>
      </c>
      <c r="K3868" s="462">
        <f>IF(C3868=0,0,VLOOKUP(YEAR(C3868),INPC!$B$4:$O$29,MONTH(C3868)+1))</f>
        <v>0</v>
      </c>
      <c r="L3868" s="462">
        <f>IF(S3868=0,0,VLOOKUP(YEAR(S3868),INPC!$B$4:$O$29,MONTH(S3868)+1))</f>
        <v>0</v>
      </c>
      <c r="M3868" s="463">
        <f t="shared" si="296"/>
        <v>0</v>
      </c>
      <c r="N3868" s="465">
        <f t="shared" si="297"/>
        <v>0</v>
      </c>
      <c r="O3868" s="179"/>
      <c r="P3868" s="180"/>
      <c r="Q3868" s="173"/>
      <c r="R3868" s="173"/>
      <c r="S3868" s="174"/>
      <c r="T3868" s="173"/>
      <c r="U3868" s="182"/>
      <c r="V3868" s="177">
        <f>IF(U3868=0,0,IF(T3868="MXN",1/HLOOKUP(YEAR(S3868)+(MONTH(S3868)/100),TC!$5:$37,DAY(S3868)+2,FALSE),VLOOKUP(T3868,Equivalencia!$1:$23,((MAX(Equivalencia!$3:$3)-YEAR(S3868))*14)+MONTH(S3868)+2,FALSE)))</f>
        <v>0</v>
      </c>
      <c r="W3868" s="178">
        <f t="shared" si="298"/>
        <v>0</v>
      </c>
      <c r="X3868" s="481">
        <f t="shared" si="299"/>
        <v>0</v>
      </c>
      <c r="Y3868" s="179"/>
      <c r="Z3868" s="466">
        <f t="shared" si="300"/>
        <v>0</v>
      </c>
      <c r="AA3868" s="473">
        <f t="shared" si="301"/>
        <v>0</v>
      </c>
      <c r="AB3868" s="339">
        <f t="shared" si="302"/>
        <v>0</v>
      </c>
    </row>
    <row r="3869" spans="2:28" ht="20.100000000000001" customHeight="1">
      <c r="B3869" s="172"/>
      <c r="C3869" s="174"/>
      <c r="D3869" s="181"/>
      <c r="E3869" s="173"/>
      <c r="F3869" s="176"/>
      <c r="G3869" s="175">
        <f t="shared" si="293"/>
        <v>0</v>
      </c>
      <c r="H3869" s="175">
        <f t="shared" si="294"/>
        <v>0</v>
      </c>
      <c r="I3869" s="177">
        <f>IF(G3869=0,0,IF(E3869="MXN",1/HLOOKUP(YEAR(C3869)+(MONTH(C3869)/100),TC!$5:$37,DAY(C3869)+2,FALSE),VLOOKUP(E3869,Equivalencia!$5:$23,((MAX(Equivalencia!$3:$3)-YEAR(C3869))*14)+MONTH(C3869)+2,FALSE)))</f>
        <v>0</v>
      </c>
      <c r="J3869" s="178">
        <f t="shared" si="295"/>
        <v>0</v>
      </c>
      <c r="K3869" s="462">
        <f>IF(C3869=0,0,VLOOKUP(YEAR(C3869),INPC!$B$4:$O$29,MONTH(C3869)+1))</f>
        <v>0</v>
      </c>
      <c r="L3869" s="462">
        <f>IF(S3869=0,0,VLOOKUP(YEAR(S3869),INPC!$B$4:$O$29,MONTH(S3869)+1))</f>
        <v>0</v>
      </c>
      <c r="M3869" s="463">
        <f t="shared" si="296"/>
        <v>0</v>
      </c>
      <c r="N3869" s="465">
        <f t="shared" si="297"/>
        <v>0</v>
      </c>
      <c r="O3869" s="179"/>
      <c r="P3869" s="180"/>
      <c r="Q3869" s="173"/>
      <c r="R3869" s="173"/>
      <c r="S3869" s="174"/>
      <c r="T3869" s="173"/>
      <c r="U3869" s="182"/>
      <c r="V3869" s="177">
        <f>IF(U3869=0,0,IF(T3869="MXN",1/HLOOKUP(YEAR(S3869)+(MONTH(S3869)/100),TC!$5:$37,DAY(S3869)+2,FALSE),VLOOKUP(T3869,Equivalencia!$1:$23,((MAX(Equivalencia!$3:$3)-YEAR(S3869))*14)+MONTH(S3869)+2,FALSE)))</f>
        <v>0</v>
      </c>
      <c r="W3869" s="178">
        <f t="shared" si="298"/>
        <v>0</v>
      </c>
      <c r="X3869" s="481">
        <f t="shared" si="299"/>
        <v>0</v>
      </c>
      <c r="Y3869" s="179"/>
      <c r="Z3869" s="466">
        <f t="shared" si="300"/>
        <v>0</v>
      </c>
      <c r="AA3869" s="473">
        <f t="shared" si="301"/>
        <v>0</v>
      </c>
      <c r="AB3869" s="339">
        <f t="shared" si="302"/>
        <v>0</v>
      </c>
    </row>
    <row r="3870" spans="2:28" ht="20.100000000000001" customHeight="1">
      <c r="B3870" s="172"/>
      <c r="C3870" s="174"/>
      <c r="D3870" s="181"/>
      <c r="E3870" s="173"/>
      <c r="F3870" s="176"/>
      <c r="G3870" s="175">
        <f t="shared" si="293"/>
        <v>0</v>
      </c>
      <c r="H3870" s="175">
        <f t="shared" si="294"/>
        <v>0</v>
      </c>
      <c r="I3870" s="177">
        <f>IF(G3870=0,0,IF(E3870="MXN",1/HLOOKUP(YEAR(C3870)+(MONTH(C3870)/100),TC!$5:$37,DAY(C3870)+2,FALSE),VLOOKUP(E3870,Equivalencia!$5:$23,((MAX(Equivalencia!$3:$3)-YEAR(C3870))*14)+MONTH(C3870)+2,FALSE)))</f>
        <v>0</v>
      </c>
      <c r="J3870" s="178">
        <f t="shared" si="295"/>
        <v>0</v>
      </c>
      <c r="K3870" s="462">
        <f>IF(C3870=0,0,VLOOKUP(YEAR(C3870),INPC!$B$4:$O$29,MONTH(C3870)+1))</f>
        <v>0</v>
      </c>
      <c r="L3870" s="462">
        <f>IF(S3870=0,0,VLOOKUP(YEAR(S3870),INPC!$B$4:$O$29,MONTH(S3870)+1))</f>
        <v>0</v>
      </c>
      <c r="M3870" s="463">
        <f t="shared" si="296"/>
        <v>0</v>
      </c>
      <c r="N3870" s="465">
        <f t="shared" si="297"/>
        <v>0</v>
      </c>
      <c r="O3870" s="179"/>
      <c r="P3870" s="180"/>
      <c r="Q3870" s="173"/>
      <c r="R3870" s="173"/>
      <c r="S3870" s="174"/>
      <c r="T3870" s="173"/>
      <c r="U3870" s="182"/>
      <c r="V3870" s="177">
        <f>IF(U3870=0,0,IF(T3870="MXN",1/HLOOKUP(YEAR(S3870)+(MONTH(S3870)/100),TC!$5:$37,DAY(S3870)+2,FALSE),VLOOKUP(T3870,Equivalencia!$1:$23,((MAX(Equivalencia!$3:$3)-YEAR(S3870))*14)+MONTH(S3870)+2,FALSE)))</f>
        <v>0</v>
      </c>
      <c r="W3870" s="178">
        <f t="shared" si="298"/>
        <v>0</v>
      </c>
      <c r="X3870" s="481">
        <f t="shared" si="299"/>
        <v>0</v>
      </c>
      <c r="Y3870" s="179"/>
      <c r="Z3870" s="466">
        <f t="shared" si="300"/>
        <v>0</v>
      </c>
      <c r="AA3870" s="473">
        <f t="shared" si="301"/>
        <v>0</v>
      </c>
      <c r="AB3870" s="339">
        <f t="shared" si="302"/>
        <v>0</v>
      </c>
    </row>
    <row r="3871" spans="2:28" ht="20.100000000000001" customHeight="1">
      <c r="B3871" s="172"/>
      <c r="C3871" s="174"/>
      <c r="D3871" s="181"/>
      <c r="E3871" s="173"/>
      <c r="F3871" s="176"/>
      <c r="G3871" s="175">
        <f t="shared" si="293"/>
        <v>0</v>
      </c>
      <c r="H3871" s="175">
        <f t="shared" si="294"/>
        <v>0</v>
      </c>
      <c r="I3871" s="177">
        <f>IF(G3871=0,0,IF(E3871="MXN",1/HLOOKUP(YEAR(C3871)+(MONTH(C3871)/100),TC!$5:$37,DAY(C3871)+2,FALSE),VLOOKUP(E3871,Equivalencia!$5:$23,((MAX(Equivalencia!$3:$3)-YEAR(C3871))*14)+MONTH(C3871)+2,FALSE)))</f>
        <v>0</v>
      </c>
      <c r="J3871" s="178">
        <f t="shared" si="295"/>
        <v>0</v>
      </c>
      <c r="K3871" s="462">
        <f>IF(C3871=0,0,VLOOKUP(YEAR(C3871),INPC!$B$4:$O$29,MONTH(C3871)+1))</f>
        <v>0</v>
      </c>
      <c r="L3871" s="462">
        <f>IF(S3871=0,0,VLOOKUP(YEAR(S3871),INPC!$B$4:$O$29,MONTH(S3871)+1))</f>
        <v>0</v>
      </c>
      <c r="M3871" s="463">
        <f t="shared" si="296"/>
        <v>0</v>
      </c>
      <c r="N3871" s="465">
        <f t="shared" si="297"/>
        <v>0</v>
      </c>
      <c r="O3871" s="179"/>
      <c r="P3871" s="180"/>
      <c r="Q3871" s="173"/>
      <c r="R3871" s="173"/>
      <c r="S3871" s="174"/>
      <c r="T3871" s="173"/>
      <c r="U3871" s="182"/>
      <c r="V3871" s="177">
        <f>IF(U3871=0,0,IF(T3871="MXN",1/HLOOKUP(YEAR(S3871)+(MONTH(S3871)/100),TC!$5:$37,DAY(S3871)+2,FALSE),VLOOKUP(T3871,Equivalencia!$1:$23,((MAX(Equivalencia!$3:$3)-YEAR(S3871))*14)+MONTH(S3871)+2,FALSE)))</f>
        <v>0</v>
      </c>
      <c r="W3871" s="178">
        <f t="shared" si="298"/>
        <v>0</v>
      </c>
      <c r="X3871" s="481">
        <f t="shared" si="299"/>
        <v>0</v>
      </c>
      <c r="Y3871" s="179"/>
      <c r="Z3871" s="466">
        <f t="shared" si="300"/>
        <v>0</v>
      </c>
      <c r="AA3871" s="473">
        <f t="shared" si="301"/>
        <v>0</v>
      </c>
      <c r="AB3871" s="339">
        <f t="shared" si="302"/>
        <v>0</v>
      </c>
    </row>
    <row r="3872" spans="2:28" ht="20.100000000000001" customHeight="1">
      <c r="B3872" s="172"/>
      <c r="C3872" s="174"/>
      <c r="D3872" s="181"/>
      <c r="E3872" s="173"/>
      <c r="F3872" s="176"/>
      <c r="G3872" s="175">
        <f t="shared" si="293"/>
        <v>0</v>
      </c>
      <c r="H3872" s="175">
        <f t="shared" si="294"/>
        <v>0</v>
      </c>
      <c r="I3872" s="177">
        <f>IF(G3872=0,0,IF(E3872="MXN",1/HLOOKUP(YEAR(C3872)+(MONTH(C3872)/100),TC!$5:$37,DAY(C3872)+2,FALSE),VLOOKUP(E3872,Equivalencia!$5:$23,((MAX(Equivalencia!$3:$3)-YEAR(C3872))*14)+MONTH(C3872)+2,FALSE)))</f>
        <v>0</v>
      </c>
      <c r="J3872" s="178">
        <f t="shared" si="295"/>
        <v>0</v>
      </c>
      <c r="K3872" s="462">
        <f>IF(C3872=0,0,VLOOKUP(YEAR(C3872),INPC!$B$4:$O$29,MONTH(C3872)+1))</f>
        <v>0</v>
      </c>
      <c r="L3872" s="462">
        <f>IF(S3872=0,0,VLOOKUP(YEAR(S3872),INPC!$B$4:$O$29,MONTH(S3872)+1))</f>
        <v>0</v>
      </c>
      <c r="M3872" s="463">
        <f t="shared" si="296"/>
        <v>0</v>
      </c>
      <c r="N3872" s="465">
        <f t="shared" si="297"/>
        <v>0</v>
      </c>
      <c r="O3872" s="179"/>
      <c r="P3872" s="180"/>
      <c r="Q3872" s="173"/>
      <c r="R3872" s="173"/>
      <c r="S3872" s="174"/>
      <c r="T3872" s="173"/>
      <c r="U3872" s="182"/>
      <c r="V3872" s="177">
        <f>IF(U3872=0,0,IF(T3872="MXN",1/HLOOKUP(YEAR(S3872)+(MONTH(S3872)/100),TC!$5:$37,DAY(S3872)+2,FALSE),VLOOKUP(T3872,Equivalencia!$1:$23,((MAX(Equivalencia!$3:$3)-YEAR(S3872))*14)+MONTH(S3872)+2,FALSE)))</f>
        <v>0</v>
      </c>
      <c r="W3872" s="178">
        <f t="shared" si="298"/>
        <v>0</v>
      </c>
      <c r="X3872" s="481">
        <f t="shared" si="299"/>
        <v>0</v>
      </c>
      <c r="Y3872" s="179"/>
      <c r="Z3872" s="466">
        <f t="shared" si="300"/>
        <v>0</v>
      </c>
      <c r="AA3872" s="473">
        <f t="shared" si="301"/>
        <v>0</v>
      </c>
      <c r="AB3872" s="339">
        <f t="shared" si="302"/>
        <v>0</v>
      </c>
    </row>
    <row r="3873" spans="2:28" ht="20.100000000000001" customHeight="1">
      <c r="B3873" s="172"/>
      <c r="C3873" s="174"/>
      <c r="D3873" s="181"/>
      <c r="E3873" s="173"/>
      <c r="F3873" s="176"/>
      <c r="G3873" s="175">
        <f t="shared" si="293"/>
        <v>0</v>
      </c>
      <c r="H3873" s="175">
        <f t="shared" si="294"/>
        <v>0</v>
      </c>
      <c r="I3873" s="177">
        <f>IF(G3873=0,0,IF(E3873="MXN",1/HLOOKUP(YEAR(C3873)+(MONTH(C3873)/100),TC!$5:$37,DAY(C3873)+2,FALSE),VLOOKUP(E3873,Equivalencia!$5:$23,((MAX(Equivalencia!$3:$3)-YEAR(C3873))*14)+MONTH(C3873)+2,FALSE)))</f>
        <v>0</v>
      </c>
      <c r="J3873" s="178">
        <f t="shared" si="295"/>
        <v>0</v>
      </c>
      <c r="K3873" s="462">
        <f>IF(C3873=0,0,VLOOKUP(YEAR(C3873),INPC!$B$4:$O$29,MONTH(C3873)+1))</f>
        <v>0</v>
      </c>
      <c r="L3873" s="462">
        <f>IF(S3873=0,0,VLOOKUP(YEAR(S3873),INPC!$B$4:$O$29,MONTH(S3873)+1))</f>
        <v>0</v>
      </c>
      <c r="M3873" s="463">
        <f t="shared" si="296"/>
        <v>0</v>
      </c>
      <c r="N3873" s="465">
        <f t="shared" si="297"/>
        <v>0</v>
      </c>
      <c r="O3873" s="179"/>
      <c r="P3873" s="180"/>
      <c r="Q3873" s="173"/>
      <c r="R3873" s="173"/>
      <c r="S3873" s="174"/>
      <c r="T3873" s="173"/>
      <c r="U3873" s="182"/>
      <c r="V3873" s="177">
        <f>IF(U3873=0,0,IF(T3873="MXN",1/HLOOKUP(YEAR(S3873)+(MONTH(S3873)/100),TC!$5:$37,DAY(S3873)+2,FALSE),VLOOKUP(T3873,Equivalencia!$1:$23,((MAX(Equivalencia!$3:$3)-YEAR(S3873))*14)+MONTH(S3873)+2,FALSE)))</f>
        <v>0</v>
      </c>
      <c r="W3873" s="178">
        <f t="shared" si="298"/>
        <v>0</v>
      </c>
      <c r="X3873" s="481">
        <f t="shared" si="299"/>
        <v>0</v>
      </c>
      <c r="Y3873" s="179"/>
      <c r="Z3873" s="466">
        <f t="shared" si="300"/>
        <v>0</v>
      </c>
      <c r="AA3873" s="473">
        <f t="shared" si="301"/>
        <v>0</v>
      </c>
      <c r="AB3873" s="339">
        <f t="shared" si="302"/>
        <v>0</v>
      </c>
    </row>
    <row r="3874" spans="2:28" ht="20.100000000000001" customHeight="1">
      <c r="B3874" s="172"/>
      <c r="C3874" s="174"/>
      <c r="D3874" s="181"/>
      <c r="E3874" s="173"/>
      <c r="F3874" s="176"/>
      <c r="G3874" s="175">
        <f t="shared" si="293"/>
        <v>0</v>
      </c>
      <c r="H3874" s="175">
        <f t="shared" si="294"/>
        <v>0</v>
      </c>
      <c r="I3874" s="177">
        <f>IF(G3874=0,0,IF(E3874="MXN",1/HLOOKUP(YEAR(C3874)+(MONTH(C3874)/100),TC!$5:$37,DAY(C3874)+2,FALSE),VLOOKUP(E3874,Equivalencia!$5:$23,((MAX(Equivalencia!$3:$3)-YEAR(C3874))*14)+MONTH(C3874)+2,FALSE)))</f>
        <v>0</v>
      </c>
      <c r="J3874" s="178">
        <f t="shared" si="295"/>
        <v>0</v>
      </c>
      <c r="K3874" s="462">
        <f>IF(C3874=0,0,VLOOKUP(YEAR(C3874),INPC!$B$4:$O$29,MONTH(C3874)+1))</f>
        <v>0</v>
      </c>
      <c r="L3874" s="462">
        <f>IF(S3874=0,0,VLOOKUP(YEAR(S3874),INPC!$B$4:$O$29,MONTH(S3874)+1))</f>
        <v>0</v>
      </c>
      <c r="M3874" s="463">
        <f t="shared" si="296"/>
        <v>0</v>
      </c>
      <c r="N3874" s="465">
        <f t="shared" si="297"/>
        <v>0</v>
      </c>
      <c r="O3874" s="179"/>
      <c r="P3874" s="180"/>
      <c r="Q3874" s="173"/>
      <c r="R3874" s="173"/>
      <c r="S3874" s="174"/>
      <c r="T3874" s="173"/>
      <c r="U3874" s="182"/>
      <c r="V3874" s="177">
        <f>IF(U3874=0,0,IF(T3874="MXN",1/HLOOKUP(YEAR(S3874)+(MONTH(S3874)/100),TC!$5:$37,DAY(S3874)+2,FALSE),VLOOKUP(T3874,Equivalencia!$1:$23,((MAX(Equivalencia!$3:$3)-YEAR(S3874))*14)+MONTH(S3874)+2,FALSE)))</f>
        <v>0</v>
      </c>
      <c r="W3874" s="178">
        <f t="shared" si="298"/>
        <v>0</v>
      </c>
      <c r="X3874" s="481">
        <f t="shared" si="299"/>
        <v>0</v>
      </c>
      <c r="Y3874" s="179"/>
      <c r="Z3874" s="466">
        <f t="shared" si="300"/>
        <v>0</v>
      </c>
      <c r="AA3874" s="473">
        <f t="shared" si="301"/>
        <v>0</v>
      </c>
      <c r="AB3874" s="339">
        <f t="shared" si="302"/>
        <v>0</v>
      </c>
    </row>
    <row r="3875" spans="2:28" ht="20.100000000000001" customHeight="1">
      <c r="B3875" s="172"/>
      <c r="C3875" s="174"/>
      <c r="D3875" s="181"/>
      <c r="E3875" s="173"/>
      <c r="F3875" s="176"/>
      <c r="G3875" s="175">
        <f t="shared" si="293"/>
        <v>0</v>
      </c>
      <c r="H3875" s="175">
        <f t="shared" si="294"/>
        <v>0</v>
      </c>
      <c r="I3875" s="177">
        <f>IF(G3875=0,0,IF(E3875="MXN",1/HLOOKUP(YEAR(C3875)+(MONTH(C3875)/100),TC!$5:$37,DAY(C3875)+2,FALSE),VLOOKUP(E3875,Equivalencia!$5:$23,((MAX(Equivalencia!$3:$3)-YEAR(C3875))*14)+MONTH(C3875)+2,FALSE)))</f>
        <v>0</v>
      </c>
      <c r="J3875" s="178">
        <f t="shared" si="295"/>
        <v>0</v>
      </c>
      <c r="K3875" s="462">
        <f>IF(C3875=0,0,VLOOKUP(YEAR(C3875),INPC!$B$4:$O$29,MONTH(C3875)+1))</f>
        <v>0</v>
      </c>
      <c r="L3875" s="462">
        <f>IF(S3875=0,0,VLOOKUP(YEAR(S3875),INPC!$B$4:$O$29,MONTH(S3875)+1))</f>
        <v>0</v>
      </c>
      <c r="M3875" s="463">
        <f t="shared" si="296"/>
        <v>0</v>
      </c>
      <c r="N3875" s="465">
        <f t="shared" si="297"/>
        <v>0</v>
      </c>
      <c r="O3875" s="179"/>
      <c r="P3875" s="180"/>
      <c r="Q3875" s="173"/>
      <c r="R3875" s="173"/>
      <c r="S3875" s="174"/>
      <c r="T3875" s="173"/>
      <c r="U3875" s="182"/>
      <c r="V3875" s="177">
        <f>IF(U3875=0,0,IF(T3875="MXN",1/HLOOKUP(YEAR(S3875)+(MONTH(S3875)/100),TC!$5:$37,DAY(S3875)+2,FALSE),VLOOKUP(T3875,Equivalencia!$1:$23,((MAX(Equivalencia!$3:$3)-YEAR(S3875))*14)+MONTH(S3875)+2,FALSE)))</f>
        <v>0</v>
      </c>
      <c r="W3875" s="178">
        <f t="shared" si="298"/>
        <v>0</v>
      </c>
      <c r="X3875" s="481">
        <f t="shared" si="299"/>
        <v>0</v>
      </c>
      <c r="Y3875" s="179"/>
      <c r="Z3875" s="466">
        <f t="shared" si="300"/>
        <v>0</v>
      </c>
      <c r="AA3875" s="473">
        <f t="shared" si="301"/>
        <v>0</v>
      </c>
      <c r="AB3875" s="339">
        <f t="shared" si="302"/>
        <v>0</v>
      </c>
    </row>
    <row r="3876" spans="2:28" ht="20.100000000000001" customHeight="1">
      <c r="B3876" s="172"/>
      <c r="C3876" s="174"/>
      <c r="D3876" s="181"/>
      <c r="E3876" s="173"/>
      <c r="F3876" s="176"/>
      <c r="G3876" s="175">
        <f t="shared" si="293"/>
        <v>0</v>
      </c>
      <c r="H3876" s="175">
        <f t="shared" si="294"/>
        <v>0</v>
      </c>
      <c r="I3876" s="177">
        <f>IF(G3876=0,0,IF(E3876="MXN",1/HLOOKUP(YEAR(C3876)+(MONTH(C3876)/100),TC!$5:$37,DAY(C3876)+2,FALSE),VLOOKUP(E3876,Equivalencia!$5:$23,((MAX(Equivalencia!$3:$3)-YEAR(C3876))*14)+MONTH(C3876)+2,FALSE)))</f>
        <v>0</v>
      </c>
      <c r="J3876" s="178">
        <f t="shared" si="295"/>
        <v>0</v>
      </c>
      <c r="K3876" s="462">
        <f>IF(C3876=0,0,VLOOKUP(YEAR(C3876),INPC!$B$4:$O$29,MONTH(C3876)+1))</f>
        <v>0</v>
      </c>
      <c r="L3876" s="462">
        <f>IF(S3876=0,0,VLOOKUP(YEAR(S3876),INPC!$B$4:$O$29,MONTH(S3876)+1))</f>
        <v>0</v>
      </c>
      <c r="M3876" s="463">
        <f t="shared" si="296"/>
        <v>0</v>
      </c>
      <c r="N3876" s="465">
        <f t="shared" si="297"/>
        <v>0</v>
      </c>
      <c r="O3876" s="179"/>
      <c r="P3876" s="180"/>
      <c r="Q3876" s="173"/>
      <c r="R3876" s="173"/>
      <c r="S3876" s="174"/>
      <c r="T3876" s="173"/>
      <c r="U3876" s="182"/>
      <c r="V3876" s="177">
        <f>IF(U3876=0,0,IF(T3876="MXN",1/HLOOKUP(YEAR(S3876)+(MONTH(S3876)/100),TC!$5:$37,DAY(S3876)+2,FALSE),VLOOKUP(T3876,Equivalencia!$1:$23,((MAX(Equivalencia!$3:$3)-YEAR(S3876))*14)+MONTH(S3876)+2,FALSE)))</f>
        <v>0</v>
      </c>
      <c r="W3876" s="178">
        <f t="shared" si="298"/>
        <v>0</v>
      </c>
      <c r="X3876" s="481">
        <f t="shared" si="299"/>
        <v>0</v>
      </c>
      <c r="Y3876" s="179"/>
      <c r="Z3876" s="466">
        <f t="shared" si="300"/>
        <v>0</v>
      </c>
      <c r="AA3876" s="473">
        <f t="shared" si="301"/>
        <v>0</v>
      </c>
      <c r="AB3876" s="339">
        <f t="shared" si="302"/>
        <v>0</v>
      </c>
    </row>
    <row r="3877" spans="2:28" ht="20.100000000000001" customHeight="1">
      <c r="B3877" s="172"/>
      <c r="C3877" s="174"/>
      <c r="D3877" s="181"/>
      <c r="E3877" s="173"/>
      <c r="F3877" s="176"/>
      <c r="G3877" s="175">
        <f t="shared" si="293"/>
        <v>0</v>
      </c>
      <c r="H3877" s="175">
        <f t="shared" si="294"/>
        <v>0</v>
      </c>
      <c r="I3877" s="177">
        <f>IF(G3877=0,0,IF(E3877="MXN",1/HLOOKUP(YEAR(C3877)+(MONTH(C3877)/100),TC!$5:$37,DAY(C3877)+2,FALSE),VLOOKUP(E3877,Equivalencia!$5:$23,((MAX(Equivalencia!$3:$3)-YEAR(C3877))*14)+MONTH(C3877)+2,FALSE)))</f>
        <v>0</v>
      </c>
      <c r="J3877" s="178">
        <f t="shared" si="295"/>
        <v>0</v>
      </c>
      <c r="K3877" s="462">
        <f>IF(C3877=0,0,VLOOKUP(YEAR(C3877),INPC!$B$4:$O$29,MONTH(C3877)+1))</f>
        <v>0</v>
      </c>
      <c r="L3877" s="462">
        <f>IF(S3877=0,0,VLOOKUP(YEAR(S3877),INPC!$B$4:$O$29,MONTH(S3877)+1))</f>
        <v>0</v>
      </c>
      <c r="M3877" s="463">
        <f t="shared" si="296"/>
        <v>0</v>
      </c>
      <c r="N3877" s="465">
        <f t="shared" si="297"/>
        <v>0</v>
      </c>
      <c r="O3877" s="179"/>
      <c r="P3877" s="180"/>
      <c r="Q3877" s="173"/>
      <c r="R3877" s="173"/>
      <c r="S3877" s="174"/>
      <c r="T3877" s="173"/>
      <c r="U3877" s="182"/>
      <c r="V3877" s="177">
        <f>IF(U3877=0,0,IF(T3877="MXN",1/HLOOKUP(YEAR(S3877)+(MONTH(S3877)/100),TC!$5:$37,DAY(S3877)+2,FALSE),VLOOKUP(T3877,Equivalencia!$1:$23,((MAX(Equivalencia!$3:$3)-YEAR(S3877))*14)+MONTH(S3877)+2,FALSE)))</f>
        <v>0</v>
      </c>
      <c r="W3877" s="178">
        <f t="shared" si="298"/>
        <v>0</v>
      </c>
      <c r="X3877" s="481">
        <f t="shared" si="299"/>
        <v>0</v>
      </c>
      <c r="Y3877" s="179"/>
      <c r="Z3877" s="466">
        <f t="shared" si="300"/>
        <v>0</v>
      </c>
      <c r="AA3877" s="473">
        <f t="shared" si="301"/>
        <v>0</v>
      </c>
      <c r="AB3877" s="339">
        <f t="shared" si="302"/>
        <v>0</v>
      </c>
    </row>
    <row r="3878" spans="2:28" ht="20.100000000000001" customHeight="1">
      <c r="B3878" s="172"/>
      <c r="C3878" s="174"/>
      <c r="D3878" s="181"/>
      <c r="E3878" s="173"/>
      <c r="F3878" s="176"/>
      <c r="G3878" s="175">
        <f t="shared" si="293"/>
        <v>0</v>
      </c>
      <c r="H3878" s="175">
        <f t="shared" si="294"/>
        <v>0</v>
      </c>
      <c r="I3878" s="177">
        <f>IF(G3878=0,0,IF(E3878="MXN",1/HLOOKUP(YEAR(C3878)+(MONTH(C3878)/100),TC!$5:$37,DAY(C3878)+2,FALSE),VLOOKUP(E3878,Equivalencia!$5:$23,((MAX(Equivalencia!$3:$3)-YEAR(C3878))*14)+MONTH(C3878)+2,FALSE)))</f>
        <v>0</v>
      </c>
      <c r="J3878" s="178">
        <f t="shared" si="295"/>
        <v>0</v>
      </c>
      <c r="K3878" s="462">
        <f>IF(C3878=0,0,VLOOKUP(YEAR(C3878),INPC!$B$4:$O$29,MONTH(C3878)+1))</f>
        <v>0</v>
      </c>
      <c r="L3878" s="462">
        <f>IF(S3878=0,0,VLOOKUP(YEAR(S3878),INPC!$B$4:$O$29,MONTH(S3878)+1))</f>
        <v>0</v>
      </c>
      <c r="M3878" s="463">
        <f t="shared" si="296"/>
        <v>0</v>
      </c>
      <c r="N3878" s="465">
        <f t="shared" si="297"/>
        <v>0</v>
      </c>
      <c r="O3878" s="179"/>
      <c r="P3878" s="180"/>
      <c r="Q3878" s="173"/>
      <c r="R3878" s="173"/>
      <c r="S3878" s="174"/>
      <c r="T3878" s="173"/>
      <c r="U3878" s="182"/>
      <c r="V3878" s="177">
        <f>IF(U3878=0,0,IF(T3878="MXN",1/HLOOKUP(YEAR(S3878)+(MONTH(S3878)/100),TC!$5:$37,DAY(S3878)+2,FALSE),VLOOKUP(T3878,Equivalencia!$1:$23,((MAX(Equivalencia!$3:$3)-YEAR(S3878))*14)+MONTH(S3878)+2,FALSE)))</f>
        <v>0</v>
      </c>
      <c r="W3878" s="178">
        <f t="shared" si="298"/>
        <v>0</v>
      </c>
      <c r="X3878" s="481">
        <f t="shared" si="299"/>
        <v>0</v>
      </c>
      <c r="Y3878" s="179"/>
      <c r="Z3878" s="466">
        <f t="shared" si="300"/>
        <v>0</v>
      </c>
      <c r="AA3878" s="473">
        <f t="shared" si="301"/>
        <v>0</v>
      </c>
      <c r="AB3878" s="339">
        <f t="shared" si="302"/>
        <v>0</v>
      </c>
    </row>
    <row r="3879" spans="2:28" ht="20.100000000000001" customHeight="1">
      <c r="B3879" s="172"/>
      <c r="C3879" s="174"/>
      <c r="D3879" s="181"/>
      <c r="E3879" s="173"/>
      <c r="F3879" s="176"/>
      <c r="G3879" s="175">
        <f t="shared" si="293"/>
        <v>0</v>
      </c>
      <c r="H3879" s="175">
        <f t="shared" si="294"/>
        <v>0</v>
      </c>
      <c r="I3879" s="177">
        <f>IF(G3879=0,0,IF(E3879="MXN",1/HLOOKUP(YEAR(C3879)+(MONTH(C3879)/100),TC!$5:$37,DAY(C3879)+2,FALSE),VLOOKUP(E3879,Equivalencia!$5:$23,((MAX(Equivalencia!$3:$3)-YEAR(C3879))*14)+MONTH(C3879)+2,FALSE)))</f>
        <v>0</v>
      </c>
      <c r="J3879" s="178">
        <f t="shared" si="295"/>
        <v>0</v>
      </c>
      <c r="K3879" s="462">
        <f>IF(C3879=0,0,VLOOKUP(YEAR(C3879),INPC!$B$4:$O$29,MONTH(C3879)+1))</f>
        <v>0</v>
      </c>
      <c r="L3879" s="462">
        <f>IF(S3879=0,0,VLOOKUP(YEAR(S3879),INPC!$B$4:$O$29,MONTH(S3879)+1))</f>
        <v>0</v>
      </c>
      <c r="M3879" s="463">
        <f t="shared" si="296"/>
        <v>0</v>
      </c>
      <c r="N3879" s="465">
        <f t="shared" si="297"/>
        <v>0</v>
      </c>
      <c r="O3879" s="179"/>
      <c r="P3879" s="180"/>
      <c r="Q3879" s="173"/>
      <c r="R3879" s="173"/>
      <c r="S3879" s="174"/>
      <c r="T3879" s="173"/>
      <c r="U3879" s="182"/>
      <c r="V3879" s="177">
        <f>IF(U3879=0,0,IF(T3879="MXN",1/HLOOKUP(YEAR(S3879)+(MONTH(S3879)/100),TC!$5:$37,DAY(S3879)+2,FALSE),VLOOKUP(T3879,Equivalencia!$1:$23,((MAX(Equivalencia!$3:$3)-YEAR(S3879))*14)+MONTH(S3879)+2,FALSE)))</f>
        <v>0</v>
      </c>
      <c r="W3879" s="178">
        <f t="shared" si="298"/>
        <v>0</v>
      </c>
      <c r="X3879" s="481">
        <f t="shared" si="299"/>
        <v>0</v>
      </c>
      <c r="Y3879" s="179"/>
      <c r="Z3879" s="466">
        <f t="shared" si="300"/>
        <v>0</v>
      </c>
      <c r="AA3879" s="473">
        <f t="shared" si="301"/>
        <v>0</v>
      </c>
      <c r="AB3879" s="339">
        <f t="shared" si="302"/>
        <v>0</v>
      </c>
    </row>
    <row r="3880" spans="2:28" ht="20.100000000000001" customHeight="1">
      <c r="B3880" s="172"/>
      <c r="C3880" s="174"/>
      <c r="D3880" s="181"/>
      <c r="E3880" s="173"/>
      <c r="F3880" s="176"/>
      <c r="G3880" s="175">
        <f t="shared" si="293"/>
        <v>0</v>
      </c>
      <c r="H3880" s="175">
        <f t="shared" si="294"/>
        <v>0</v>
      </c>
      <c r="I3880" s="177">
        <f>IF(G3880=0,0,IF(E3880="MXN",1/HLOOKUP(YEAR(C3880)+(MONTH(C3880)/100),TC!$5:$37,DAY(C3880)+2,FALSE),VLOOKUP(E3880,Equivalencia!$5:$23,((MAX(Equivalencia!$3:$3)-YEAR(C3880))*14)+MONTH(C3880)+2,FALSE)))</f>
        <v>0</v>
      </c>
      <c r="J3880" s="178">
        <f t="shared" si="295"/>
        <v>0</v>
      </c>
      <c r="K3880" s="462">
        <f>IF(C3880=0,0,VLOOKUP(YEAR(C3880),INPC!$B$4:$O$29,MONTH(C3880)+1))</f>
        <v>0</v>
      </c>
      <c r="L3880" s="462">
        <f>IF(S3880=0,0,VLOOKUP(YEAR(S3880),INPC!$B$4:$O$29,MONTH(S3880)+1))</f>
        <v>0</v>
      </c>
      <c r="M3880" s="463">
        <f t="shared" si="296"/>
        <v>0</v>
      </c>
      <c r="N3880" s="465">
        <f t="shared" si="297"/>
        <v>0</v>
      </c>
      <c r="O3880" s="179"/>
      <c r="P3880" s="180"/>
      <c r="Q3880" s="173"/>
      <c r="R3880" s="173"/>
      <c r="S3880" s="174"/>
      <c r="T3880" s="173"/>
      <c r="U3880" s="182"/>
      <c r="V3880" s="177">
        <f>IF(U3880=0,0,IF(T3880="MXN",1/HLOOKUP(YEAR(S3880)+(MONTH(S3880)/100),TC!$5:$37,DAY(S3880)+2,FALSE),VLOOKUP(T3880,Equivalencia!$1:$23,((MAX(Equivalencia!$3:$3)-YEAR(S3880))*14)+MONTH(S3880)+2,FALSE)))</f>
        <v>0</v>
      </c>
      <c r="W3880" s="178">
        <f t="shared" si="298"/>
        <v>0</v>
      </c>
      <c r="X3880" s="481">
        <f t="shared" si="299"/>
        <v>0</v>
      </c>
      <c r="Y3880" s="179"/>
      <c r="Z3880" s="466">
        <f t="shared" si="300"/>
        <v>0</v>
      </c>
      <c r="AA3880" s="473">
        <f t="shared" si="301"/>
        <v>0</v>
      </c>
      <c r="AB3880" s="339">
        <f t="shared" si="302"/>
        <v>0</v>
      </c>
    </row>
    <row r="3881" spans="2:28" ht="20.100000000000001" customHeight="1">
      <c r="B3881" s="172"/>
      <c r="C3881" s="174"/>
      <c r="D3881" s="181"/>
      <c r="E3881" s="173"/>
      <c r="F3881" s="176"/>
      <c r="G3881" s="175">
        <f t="shared" si="293"/>
        <v>0</v>
      </c>
      <c r="H3881" s="175">
        <f t="shared" si="294"/>
        <v>0</v>
      </c>
      <c r="I3881" s="177">
        <f>IF(G3881=0,0,IF(E3881="MXN",1/HLOOKUP(YEAR(C3881)+(MONTH(C3881)/100),TC!$5:$37,DAY(C3881)+2,FALSE),VLOOKUP(E3881,Equivalencia!$5:$23,((MAX(Equivalencia!$3:$3)-YEAR(C3881))*14)+MONTH(C3881)+2,FALSE)))</f>
        <v>0</v>
      </c>
      <c r="J3881" s="178">
        <f t="shared" si="295"/>
        <v>0</v>
      </c>
      <c r="K3881" s="462">
        <f>IF(C3881=0,0,VLOOKUP(YEAR(C3881),INPC!$B$4:$O$29,MONTH(C3881)+1))</f>
        <v>0</v>
      </c>
      <c r="L3881" s="462">
        <f>IF(S3881=0,0,VLOOKUP(YEAR(S3881),INPC!$B$4:$O$29,MONTH(S3881)+1))</f>
        <v>0</v>
      </c>
      <c r="M3881" s="463">
        <f t="shared" si="296"/>
        <v>0</v>
      </c>
      <c r="N3881" s="465">
        <f t="shared" si="297"/>
        <v>0</v>
      </c>
      <c r="O3881" s="179"/>
      <c r="P3881" s="180"/>
      <c r="Q3881" s="173"/>
      <c r="R3881" s="173"/>
      <c r="S3881" s="174"/>
      <c r="T3881" s="173"/>
      <c r="U3881" s="182"/>
      <c r="V3881" s="177">
        <f>IF(U3881=0,0,IF(T3881="MXN",1/HLOOKUP(YEAR(S3881)+(MONTH(S3881)/100),TC!$5:$37,DAY(S3881)+2,FALSE),VLOOKUP(T3881,Equivalencia!$1:$23,((MAX(Equivalencia!$3:$3)-YEAR(S3881))*14)+MONTH(S3881)+2,FALSE)))</f>
        <v>0</v>
      </c>
      <c r="W3881" s="178">
        <f t="shared" si="298"/>
        <v>0</v>
      </c>
      <c r="X3881" s="481">
        <f t="shared" si="299"/>
        <v>0</v>
      </c>
      <c r="Y3881" s="179"/>
      <c r="Z3881" s="466">
        <f t="shared" si="300"/>
        <v>0</v>
      </c>
      <c r="AA3881" s="473">
        <f t="shared" si="301"/>
        <v>0</v>
      </c>
      <c r="AB3881" s="339">
        <f t="shared" si="302"/>
        <v>0</v>
      </c>
    </row>
    <row r="3882" spans="2:28" ht="20.100000000000001" customHeight="1">
      <c r="B3882" s="172"/>
      <c r="C3882" s="174"/>
      <c r="D3882" s="181"/>
      <c r="E3882" s="173"/>
      <c r="F3882" s="176"/>
      <c r="G3882" s="175">
        <f t="shared" si="293"/>
        <v>0</v>
      </c>
      <c r="H3882" s="175">
        <f t="shared" si="294"/>
        <v>0</v>
      </c>
      <c r="I3882" s="177">
        <f>IF(G3882=0,0,IF(E3882="MXN",1/HLOOKUP(YEAR(C3882)+(MONTH(C3882)/100),TC!$5:$37,DAY(C3882)+2,FALSE),VLOOKUP(E3882,Equivalencia!$5:$23,((MAX(Equivalencia!$3:$3)-YEAR(C3882))*14)+MONTH(C3882)+2,FALSE)))</f>
        <v>0</v>
      </c>
      <c r="J3882" s="178">
        <f t="shared" si="295"/>
        <v>0</v>
      </c>
      <c r="K3882" s="462">
        <f>IF(C3882=0,0,VLOOKUP(YEAR(C3882),INPC!$B$4:$O$29,MONTH(C3882)+1))</f>
        <v>0</v>
      </c>
      <c r="L3882" s="462">
        <f>IF(S3882=0,0,VLOOKUP(YEAR(S3882),INPC!$B$4:$O$29,MONTH(S3882)+1))</f>
        <v>0</v>
      </c>
      <c r="M3882" s="463">
        <f t="shared" si="296"/>
        <v>0</v>
      </c>
      <c r="N3882" s="465">
        <f t="shared" si="297"/>
        <v>0</v>
      </c>
      <c r="O3882" s="179"/>
      <c r="P3882" s="180"/>
      <c r="Q3882" s="173"/>
      <c r="R3882" s="173"/>
      <c r="S3882" s="174"/>
      <c r="T3882" s="173"/>
      <c r="U3882" s="182"/>
      <c r="V3882" s="177">
        <f>IF(U3882=0,0,IF(T3882="MXN",1/HLOOKUP(YEAR(S3882)+(MONTH(S3882)/100),TC!$5:$37,DAY(S3882)+2,FALSE),VLOOKUP(T3882,Equivalencia!$1:$23,((MAX(Equivalencia!$3:$3)-YEAR(S3882))*14)+MONTH(S3882)+2,FALSE)))</f>
        <v>0</v>
      </c>
      <c r="W3882" s="178">
        <f t="shared" si="298"/>
        <v>0</v>
      </c>
      <c r="X3882" s="481">
        <f t="shared" si="299"/>
        <v>0</v>
      </c>
      <c r="Y3882" s="179"/>
      <c r="Z3882" s="466">
        <f t="shared" si="300"/>
        <v>0</v>
      </c>
      <c r="AA3882" s="473">
        <f t="shared" si="301"/>
        <v>0</v>
      </c>
      <c r="AB3882" s="339">
        <f t="shared" si="302"/>
        <v>0</v>
      </c>
    </row>
    <row r="3883" spans="2:28" ht="20.100000000000001" customHeight="1">
      <c r="B3883" s="172"/>
      <c r="C3883" s="174"/>
      <c r="D3883" s="181"/>
      <c r="E3883" s="173"/>
      <c r="F3883" s="176"/>
      <c r="G3883" s="175">
        <f t="shared" si="293"/>
        <v>0</v>
      </c>
      <c r="H3883" s="175">
        <f t="shared" si="294"/>
        <v>0</v>
      </c>
      <c r="I3883" s="177">
        <f>IF(G3883=0,0,IF(E3883="MXN",1/HLOOKUP(YEAR(C3883)+(MONTH(C3883)/100),TC!$5:$37,DAY(C3883)+2,FALSE),VLOOKUP(E3883,Equivalencia!$5:$23,((MAX(Equivalencia!$3:$3)-YEAR(C3883))*14)+MONTH(C3883)+2,FALSE)))</f>
        <v>0</v>
      </c>
      <c r="J3883" s="178">
        <f t="shared" si="295"/>
        <v>0</v>
      </c>
      <c r="K3883" s="462">
        <f>IF(C3883=0,0,VLOOKUP(YEAR(C3883),INPC!$B$4:$O$29,MONTH(C3883)+1))</f>
        <v>0</v>
      </c>
      <c r="L3883" s="462">
        <f>IF(S3883=0,0,VLOOKUP(YEAR(S3883),INPC!$B$4:$O$29,MONTH(S3883)+1))</f>
        <v>0</v>
      </c>
      <c r="M3883" s="463">
        <f t="shared" si="296"/>
        <v>0</v>
      </c>
      <c r="N3883" s="465">
        <f t="shared" si="297"/>
        <v>0</v>
      </c>
      <c r="O3883" s="179"/>
      <c r="P3883" s="180"/>
      <c r="Q3883" s="173"/>
      <c r="R3883" s="173"/>
      <c r="S3883" s="174"/>
      <c r="T3883" s="173"/>
      <c r="U3883" s="182"/>
      <c r="V3883" s="177">
        <f>IF(U3883=0,0,IF(T3883="MXN",1/HLOOKUP(YEAR(S3883)+(MONTH(S3883)/100),TC!$5:$37,DAY(S3883)+2,FALSE),VLOOKUP(T3883,Equivalencia!$1:$23,((MAX(Equivalencia!$3:$3)-YEAR(S3883))*14)+MONTH(S3883)+2,FALSE)))</f>
        <v>0</v>
      </c>
      <c r="W3883" s="178">
        <f t="shared" si="298"/>
        <v>0</v>
      </c>
      <c r="X3883" s="481">
        <f t="shared" si="299"/>
        <v>0</v>
      </c>
      <c r="Y3883" s="179"/>
      <c r="Z3883" s="466">
        <f t="shared" si="300"/>
        <v>0</v>
      </c>
      <c r="AA3883" s="473">
        <f t="shared" si="301"/>
        <v>0</v>
      </c>
      <c r="AB3883" s="339">
        <f t="shared" si="302"/>
        <v>0</v>
      </c>
    </row>
    <row r="3884" spans="2:28" ht="20.100000000000001" customHeight="1">
      <c r="B3884" s="172"/>
      <c r="C3884" s="174"/>
      <c r="D3884" s="181"/>
      <c r="E3884" s="173"/>
      <c r="F3884" s="176"/>
      <c r="G3884" s="175">
        <f t="shared" si="293"/>
        <v>0</v>
      </c>
      <c r="H3884" s="175">
        <f t="shared" si="294"/>
        <v>0</v>
      </c>
      <c r="I3884" s="177">
        <f>IF(G3884=0,0,IF(E3884="MXN",1/HLOOKUP(YEAR(C3884)+(MONTH(C3884)/100),TC!$5:$37,DAY(C3884)+2,FALSE),VLOOKUP(E3884,Equivalencia!$5:$23,((MAX(Equivalencia!$3:$3)-YEAR(C3884))*14)+MONTH(C3884)+2,FALSE)))</f>
        <v>0</v>
      </c>
      <c r="J3884" s="178">
        <f t="shared" si="295"/>
        <v>0</v>
      </c>
      <c r="K3884" s="462">
        <f>IF(C3884=0,0,VLOOKUP(YEAR(C3884),INPC!$B$4:$O$29,MONTH(C3884)+1))</f>
        <v>0</v>
      </c>
      <c r="L3884" s="462">
        <f>IF(S3884=0,0,VLOOKUP(YEAR(S3884),INPC!$B$4:$O$29,MONTH(S3884)+1))</f>
        <v>0</v>
      </c>
      <c r="M3884" s="463">
        <f t="shared" si="296"/>
        <v>0</v>
      </c>
      <c r="N3884" s="465">
        <f t="shared" si="297"/>
        <v>0</v>
      </c>
      <c r="O3884" s="179"/>
      <c r="P3884" s="180"/>
      <c r="Q3884" s="173"/>
      <c r="R3884" s="173"/>
      <c r="S3884" s="174"/>
      <c r="T3884" s="173"/>
      <c r="U3884" s="182"/>
      <c r="V3884" s="177">
        <f>IF(U3884=0,0,IF(T3884="MXN",1/HLOOKUP(YEAR(S3884)+(MONTH(S3884)/100),TC!$5:$37,DAY(S3884)+2,FALSE),VLOOKUP(T3884,Equivalencia!$1:$23,((MAX(Equivalencia!$3:$3)-YEAR(S3884))*14)+MONTH(S3884)+2,FALSE)))</f>
        <v>0</v>
      </c>
      <c r="W3884" s="178">
        <f t="shared" si="298"/>
        <v>0</v>
      </c>
      <c r="X3884" s="481">
        <f t="shared" si="299"/>
        <v>0</v>
      </c>
      <c r="Y3884" s="179"/>
      <c r="Z3884" s="466">
        <f t="shared" si="300"/>
        <v>0</v>
      </c>
      <c r="AA3884" s="473">
        <f t="shared" si="301"/>
        <v>0</v>
      </c>
      <c r="AB3884" s="339">
        <f t="shared" si="302"/>
        <v>0</v>
      </c>
    </row>
    <row r="3885" spans="2:28" ht="20.100000000000001" customHeight="1">
      <c r="B3885" s="172"/>
      <c r="C3885" s="174"/>
      <c r="D3885" s="181"/>
      <c r="E3885" s="173"/>
      <c r="F3885" s="176"/>
      <c r="G3885" s="175">
        <f t="shared" si="293"/>
        <v>0</v>
      </c>
      <c r="H3885" s="175">
        <f t="shared" si="294"/>
        <v>0</v>
      </c>
      <c r="I3885" s="177">
        <f>IF(G3885=0,0,IF(E3885="MXN",1/HLOOKUP(YEAR(C3885)+(MONTH(C3885)/100),TC!$5:$37,DAY(C3885)+2,FALSE),VLOOKUP(E3885,Equivalencia!$5:$23,((MAX(Equivalencia!$3:$3)-YEAR(C3885))*14)+MONTH(C3885)+2,FALSE)))</f>
        <v>0</v>
      </c>
      <c r="J3885" s="178">
        <f t="shared" si="295"/>
        <v>0</v>
      </c>
      <c r="K3885" s="462">
        <f>IF(C3885=0,0,VLOOKUP(YEAR(C3885),INPC!$B$4:$O$29,MONTH(C3885)+1))</f>
        <v>0</v>
      </c>
      <c r="L3885" s="462">
        <f>IF(S3885=0,0,VLOOKUP(YEAR(S3885),INPC!$B$4:$O$29,MONTH(S3885)+1))</f>
        <v>0</v>
      </c>
      <c r="M3885" s="463">
        <f t="shared" si="296"/>
        <v>0</v>
      </c>
      <c r="N3885" s="465">
        <f t="shared" si="297"/>
        <v>0</v>
      </c>
      <c r="O3885" s="179"/>
      <c r="P3885" s="180"/>
      <c r="Q3885" s="173"/>
      <c r="R3885" s="173"/>
      <c r="S3885" s="174"/>
      <c r="T3885" s="173"/>
      <c r="U3885" s="182"/>
      <c r="V3885" s="177">
        <f>IF(U3885=0,0,IF(T3885="MXN",1/HLOOKUP(YEAR(S3885)+(MONTH(S3885)/100),TC!$5:$37,DAY(S3885)+2,FALSE),VLOOKUP(T3885,Equivalencia!$1:$23,((MAX(Equivalencia!$3:$3)-YEAR(S3885))*14)+MONTH(S3885)+2,FALSE)))</f>
        <v>0</v>
      </c>
      <c r="W3885" s="178">
        <f t="shared" si="298"/>
        <v>0</v>
      </c>
      <c r="X3885" s="481">
        <f t="shared" si="299"/>
        <v>0</v>
      </c>
      <c r="Y3885" s="179"/>
      <c r="Z3885" s="466">
        <f t="shared" si="300"/>
        <v>0</v>
      </c>
      <c r="AA3885" s="473">
        <f t="shared" si="301"/>
        <v>0</v>
      </c>
      <c r="AB3885" s="339">
        <f t="shared" si="302"/>
        <v>0</v>
      </c>
    </row>
    <row r="3886" spans="2:28" ht="20.100000000000001" customHeight="1">
      <c r="B3886" s="172"/>
      <c r="C3886" s="174"/>
      <c r="D3886" s="181"/>
      <c r="E3886" s="173"/>
      <c r="F3886" s="176"/>
      <c r="G3886" s="175">
        <f t="shared" si="293"/>
        <v>0</v>
      </c>
      <c r="H3886" s="175">
        <f t="shared" si="294"/>
        <v>0</v>
      </c>
      <c r="I3886" s="177">
        <f>IF(G3886=0,0,IF(E3886="MXN",1/HLOOKUP(YEAR(C3886)+(MONTH(C3886)/100),TC!$5:$37,DAY(C3886)+2,FALSE),VLOOKUP(E3886,Equivalencia!$5:$23,((MAX(Equivalencia!$3:$3)-YEAR(C3886))*14)+MONTH(C3886)+2,FALSE)))</f>
        <v>0</v>
      </c>
      <c r="J3886" s="178">
        <f t="shared" si="295"/>
        <v>0</v>
      </c>
      <c r="K3886" s="462">
        <f>IF(C3886=0,0,VLOOKUP(YEAR(C3886),INPC!$B$4:$O$29,MONTH(C3886)+1))</f>
        <v>0</v>
      </c>
      <c r="L3886" s="462">
        <f>IF(S3886=0,0,VLOOKUP(YEAR(S3886),INPC!$B$4:$O$29,MONTH(S3886)+1))</f>
        <v>0</v>
      </c>
      <c r="M3886" s="463">
        <f t="shared" si="296"/>
        <v>0</v>
      </c>
      <c r="N3886" s="465">
        <f t="shared" si="297"/>
        <v>0</v>
      </c>
      <c r="O3886" s="179"/>
      <c r="P3886" s="180"/>
      <c r="Q3886" s="173"/>
      <c r="R3886" s="173"/>
      <c r="S3886" s="174"/>
      <c r="T3886" s="173"/>
      <c r="U3886" s="182"/>
      <c r="V3886" s="177">
        <f>IF(U3886=0,0,IF(T3886="MXN",1/HLOOKUP(YEAR(S3886)+(MONTH(S3886)/100),TC!$5:$37,DAY(S3886)+2,FALSE),VLOOKUP(T3886,Equivalencia!$1:$23,((MAX(Equivalencia!$3:$3)-YEAR(S3886))*14)+MONTH(S3886)+2,FALSE)))</f>
        <v>0</v>
      </c>
      <c r="W3886" s="178">
        <f t="shared" si="298"/>
        <v>0</v>
      </c>
      <c r="X3886" s="481">
        <f t="shared" si="299"/>
        <v>0</v>
      </c>
      <c r="Y3886" s="179"/>
      <c r="Z3886" s="466">
        <f t="shared" si="300"/>
        <v>0</v>
      </c>
      <c r="AA3886" s="473">
        <f t="shared" si="301"/>
        <v>0</v>
      </c>
      <c r="AB3886" s="339">
        <f t="shared" si="302"/>
        <v>0</v>
      </c>
    </row>
    <row r="3887" spans="2:28" ht="20.100000000000001" customHeight="1">
      <c r="B3887" s="172"/>
      <c r="C3887" s="174"/>
      <c r="D3887" s="181"/>
      <c r="E3887" s="173"/>
      <c r="F3887" s="176"/>
      <c r="G3887" s="175">
        <f t="shared" si="293"/>
        <v>0</v>
      </c>
      <c r="H3887" s="175">
        <f t="shared" si="294"/>
        <v>0</v>
      </c>
      <c r="I3887" s="177">
        <f>IF(G3887=0,0,IF(E3887="MXN",1/HLOOKUP(YEAR(C3887)+(MONTH(C3887)/100),TC!$5:$37,DAY(C3887)+2,FALSE),VLOOKUP(E3887,Equivalencia!$5:$23,((MAX(Equivalencia!$3:$3)-YEAR(C3887))*14)+MONTH(C3887)+2,FALSE)))</f>
        <v>0</v>
      </c>
      <c r="J3887" s="178">
        <f t="shared" si="295"/>
        <v>0</v>
      </c>
      <c r="K3887" s="462">
        <f>IF(C3887=0,0,VLOOKUP(YEAR(C3887),INPC!$B$4:$O$29,MONTH(C3887)+1))</f>
        <v>0</v>
      </c>
      <c r="L3887" s="462">
        <f>IF(S3887=0,0,VLOOKUP(YEAR(S3887),INPC!$B$4:$O$29,MONTH(S3887)+1))</f>
        <v>0</v>
      </c>
      <c r="M3887" s="463">
        <f t="shared" si="296"/>
        <v>0</v>
      </c>
      <c r="N3887" s="465">
        <f t="shared" si="297"/>
        <v>0</v>
      </c>
      <c r="O3887" s="179"/>
      <c r="P3887" s="180"/>
      <c r="Q3887" s="173"/>
      <c r="R3887" s="173"/>
      <c r="S3887" s="174"/>
      <c r="T3887" s="173"/>
      <c r="U3887" s="182"/>
      <c r="V3887" s="177">
        <f>IF(U3887=0,0,IF(T3887="MXN",1/HLOOKUP(YEAR(S3887)+(MONTH(S3887)/100),TC!$5:$37,DAY(S3887)+2,FALSE),VLOOKUP(T3887,Equivalencia!$1:$23,((MAX(Equivalencia!$3:$3)-YEAR(S3887))*14)+MONTH(S3887)+2,FALSE)))</f>
        <v>0</v>
      </c>
      <c r="W3887" s="178">
        <f t="shared" si="298"/>
        <v>0</v>
      </c>
      <c r="X3887" s="481">
        <f t="shared" si="299"/>
        <v>0</v>
      </c>
      <c r="Y3887" s="179"/>
      <c r="Z3887" s="466">
        <f t="shared" si="300"/>
        <v>0</v>
      </c>
      <c r="AA3887" s="473">
        <f t="shared" si="301"/>
        <v>0</v>
      </c>
      <c r="AB3887" s="339">
        <f t="shared" si="302"/>
        <v>0</v>
      </c>
    </row>
    <row r="3888" spans="2:28" ht="20.100000000000001" customHeight="1">
      <c r="B3888" s="172"/>
      <c r="C3888" s="174"/>
      <c r="D3888" s="181"/>
      <c r="E3888" s="173"/>
      <c r="F3888" s="176"/>
      <c r="G3888" s="175">
        <f t="shared" si="293"/>
        <v>0</v>
      </c>
      <c r="H3888" s="175">
        <f t="shared" si="294"/>
        <v>0</v>
      </c>
      <c r="I3888" s="177">
        <f>IF(G3888=0,0,IF(E3888="MXN",1/HLOOKUP(YEAR(C3888)+(MONTH(C3888)/100),TC!$5:$37,DAY(C3888)+2,FALSE),VLOOKUP(E3888,Equivalencia!$5:$23,((MAX(Equivalencia!$3:$3)-YEAR(C3888))*14)+MONTH(C3888)+2,FALSE)))</f>
        <v>0</v>
      </c>
      <c r="J3888" s="178">
        <f t="shared" si="295"/>
        <v>0</v>
      </c>
      <c r="K3888" s="462">
        <f>IF(C3888=0,0,VLOOKUP(YEAR(C3888),INPC!$B$4:$O$29,MONTH(C3888)+1))</f>
        <v>0</v>
      </c>
      <c r="L3888" s="462">
        <f>IF(S3888=0,0,VLOOKUP(YEAR(S3888),INPC!$B$4:$O$29,MONTH(S3888)+1))</f>
        <v>0</v>
      </c>
      <c r="M3888" s="463">
        <f t="shared" si="296"/>
        <v>0</v>
      </c>
      <c r="N3888" s="465">
        <f t="shared" si="297"/>
        <v>0</v>
      </c>
      <c r="O3888" s="179"/>
      <c r="P3888" s="180"/>
      <c r="Q3888" s="173"/>
      <c r="R3888" s="173"/>
      <c r="S3888" s="174"/>
      <c r="T3888" s="173"/>
      <c r="U3888" s="182"/>
      <c r="V3888" s="177">
        <f>IF(U3888=0,0,IF(T3888="MXN",1/HLOOKUP(YEAR(S3888)+(MONTH(S3888)/100),TC!$5:$37,DAY(S3888)+2,FALSE),VLOOKUP(T3888,Equivalencia!$1:$23,((MAX(Equivalencia!$3:$3)-YEAR(S3888))*14)+MONTH(S3888)+2,FALSE)))</f>
        <v>0</v>
      </c>
      <c r="W3888" s="178">
        <f t="shared" si="298"/>
        <v>0</v>
      </c>
      <c r="X3888" s="481">
        <f t="shared" si="299"/>
        <v>0</v>
      </c>
      <c r="Y3888" s="179"/>
      <c r="Z3888" s="466">
        <f t="shared" si="300"/>
        <v>0</v>
      </c>
      <c r="AA3888" s="473">
        <f t="shared" si="301"/>
        <v>0</v>
      </c>
      <c r="AB3888" s="339">
        <f t="shared" si="302"/>
        <v>0</v>
      </c>
    </row>
    <row r="3889" spans="2:28" ht="20.100000000000001" customHeight="1">
      <c r="B3889" s="172"/>
      <c r="C3889" s="174"/>
      <c r="D3889" s="181"/>
      <c r="E3889" s="173"/>
      <c r="F3889" s="176"/>
      <c r="G3889" s="175">
        <f t="shared" si="293"/>
        <v>0</v>
      </c>
      <c r="H3889" s="175">
        <f t="shared" si="294"/>
        <v>0</v>
      </c>
      <c r="I3889" s="177">
        <f>IF(G3889=0,0,IF(E3889="MXN",1/HLOOKUP(YEAR(C3889)+(MONTH(C3889)/100),TC!$5:$37,DAY(C3889)+2,FALSE),VLOOKUP(E3889,Equivalencia!$5:$23,((MAX(Equivalencia!$3:$3)-YEAR(C3889))*14)+MONTH(C3889)+2,FALSE)))</f>
        <v>0</v>
      </c>
      <c r="J3889" s="178">
        <f t="shared" si="295"/>
        <v>0</v>
      </c>
      <c r="K3889" s="462">
        <f>IF(C3889=0,0,VLOOKUP(YEAR(C3889),INPC!$B$4:$O$29,MONTH(C3889)+1))</f>
        <v>0</v>
      </c>
      <c r="L3889" s="462">
        <f>IF(S3889=0,0,VLOOKUP(YEAR(S3889),INPC!$B$4:$O$29,MONTH(S3889)+1))</f>
        <v>0</v>
      </c>
      <c r="M3889" s="463">
        <f t="shared" si="296"/>
        <v>0</v>
      </c>
      <c r="N3889" s="465">
        <f t="shared" si="297"/>
        <v>0</v>
      </c>
      <c r="O3889" s="179"/>
      <c r="P3889" s="180"/>
      <c r="Q3889" s="173"/>
      <c r="R3889" s="173"/>
      <c r="S3889" s="174"/>
      <c r="T3889" s="173"/>
      <c r="U3889" s="182"/>
      <c r="V3889" s="177">
        <f>IF(U3889=0,0,IF(T3889="MXN",1/HLOOKUP(YEAR(S3889)+(MONTH(S3889)/100),TC!$5:$37,DAY(S3889)+2,FALSE),VLOOKUP(T3889,Equivalencia!$1:$23,((MAX(Equivalencia!$3:$3)-YEAR(S3889))*14)+MONTH(S3889)+2,FALSE)))</f>
        <v>0</v>
      </c>
      <c r="W3889" s="178">
        <f t="shared" si="298"/>
        <v>0</v>
      </c>
      <c r="X3889" s="481">
        <f t="shared" si="299"/>
        <v>0</v>
      </c>
      <c r="Y3889" s="179"/>
      <c r="Z3889" s="466">
        <f t="shared" si="300"/>
        <v>0</v>
      </c>
      <c r="AA3889" s="473">
        <f t="shared" si="301"/>
        <v>0</v>
      </c>
      <c r="AB3889" s="339">
        <f t="shared" si="302"/>
        <v>0</v>
      </c>
    </row>
    <row r="3890" spans="2:28" ht="20.100000000000001" customHeight="1">
      <c r="B3890" s="172"/>
      <c r="C3890" s="174"/>
      <c r="D3890" s="181"/>
      <c r="E3890" s="173"/>
      <c r="F3890" s="176"/>
      <c r="G3890" s="175">
        <f t="shared" si="293"/>
        <v>0</v>
      </c>
      <c r="H3890" s="175">
        <f t="shared" si="294"/>
        <v>0</v>
      </c>
      <c r="I3890" s="177">
        <f>IF(G3890=0,0,IF(E3890="MXN",1/HLOOKUP(YEAR(C3890)+(MONTH(C3890)/100),TC!$5:$37,DAY(C3890)+2,FALSE),VLOOKUP(E3890,Equivalencia!$5:$23,((MAX(Equivalencia!$3:$3)-YEAR(C3890))*14)+MONTH(C3890)+2,FALSE)))</f>
        <v>0</v>
      </c>
      <c r="J3890" s="178">
        <f t="shared" si="295"/>
        <v>0</v>
      </c>
      <c r="K3890" s="462">
        <f>IF(C3890=0,0,VLOOKUP(YEAR(C3890),INPC!$B$4:$O$29,MONTH(C3890)+1))</f>
        <v>0</v>
      </c>
      <c r="L3890" s="462">
        <f>IF(S3890=0,0,VLOOKUP(YEAR(S3890),INPC!$B$4:$O$29,MONTH(S3890)+1))</f>
        <v>0</v>
      </c>
      <c r="M3890" s="463">
        <f t="shared" si="296"/>
        <v>0</v>
      </c>
      <c r="N3890" s="465">
        <f t="shared" si="297"/>
        <v>0</v>
      </c>
      <c r="O3890" s="179"/>
      <c r="P3890" s="180"/>
      <c r="Q3890" s="173"/>
      <c r="R3890" s="173"/>
      <c r="S3890" s="174"/>
      <c r="T3890" s="173"/>
      <c r="U3890" s="182"/>
      <c r="V3890" s="177">
        <f>IF(U3890=0,0,IF(T3890="MXN",1/HLOOKUP(YEAR(S3890)+(MONTH(S3890)/100),TC!$5:$37,DAY(S3890)+2,FALSE),VLOOKUP(T3890,Equivalencia!$1:$23,((MAX(Equivalencia!$3:$3)-YEAR(S3890))*14)+MONTH(S3890)+2,FALSE)))</f>
        <v>0</v>
      </c>
      <c r="W3890" s="178">
        <f t="shared" si="298"/>
        <v>0</v>
      </c>
      <c r="X3890" s="481">
        <f t="shared" si="299"/>
        <v>0</v>
      </c>
      <c r="Y3890" s="179"/>
      <c r="Z3890" s="466">
        <f t="shared" si="300"/>
        <v>0</v>
      </c>
      <c r="AA3890" s="473">
        <f t="shared" si="301"/>
        <v>0</v>
      </c>
      <c r="AB3890" s="339">
        <f t="shared" si="302"/>
        <v>0</v>
      </c>
    </row>
    <row r="3891" spans="2:28" ht="20.100000000000001" customHeight="1">
      <c r="B3891" s="172"/>
      <c r="C3891" s="174"/>
      <c r="D3891" s="181"/>
      <c r="E3891" s="173"/>
      <c r="F3891" s="176"/>
      <c r="G3891" s="175">
        <f t="shared" si="293"/>
        <v>0</v>
      </c>
      <c r="H3891" s="175">
        <f t="shared" si="294"/>
        <v>0</v>
      </c>
      <c r="I3891" s="177">
        <f>IF(G3891=0,0,IF(E3891="MXN",1/HLOOKUP(YEAR(C3891)+(MONTH(C3891)/100),TC!$5:$37,DAY(C3891)+2,FALSE),VLOOKUP(E3891,Equivalencia!$5:$23,((MAX(Equivalencia!$3:$3)-YEAR(C3891))*14)+MONTH(C3891)+2,FALSE)))</f>
        <v>0</v>
      </c>
      <c r="J3891" s="178">
        <f t="shared" si="295"/>
        <v>0</v>
      </c>
      <c r="K3891" s="462">
        <f>IF(C3891=0,0,VLOOKUP(YEAR(C3891),INPC!$B$4:$O$29,MONTH(C3891)+1))</f>
        <v>0</v>
      </c>
      <c r="L3891" s="462">
        <f>IF(S3891=0,0,VLOOKUP(YEAR(S3891),INPC!$B$4:$O$29,MONTH(S3891)+1))</f>
        <v>0</v>
      </c>
      <c r="M3891" s="463">
        <f t="shared" si="296"/>
        <v>0</v>
      </c>
      <c r="N3891" s="465">
        <f t="shared" si="297"/>
        <v>0</v>
      </c>
      <c r="O3891" s="179"/>
      <c r="P3891" s="180"/>
      <c r="Q3891" s="173"/>
      <c r="R3891" s="173"/>
      <c r="S3891" s="174"/>
      <c r="T3891" s="173"/>
      <c r="U3891" s="182"/>
      <c r="V3891" s="177">
        <f>IF(U3891=0,0,IF(T3891="MXN",1/HLOOKUP(YEAR(S3891)+(MONTH(S3891)/100),TC!$5:$37,DAY(S3891)+2,FALSE),VLOOKUP(T3891,Equivalencia!$1:$23,((MAX(Equivalencia!$3:$3)-YEAR(S3891))*14)+MONTH(S3891)+2,FALSE)))</f>
        <v>0</v>
      </c>
      <c r="W3891" s="178">
        <f t="shared" si="298"/>
        <v>0</v>
      </c>
      <c r="X3891" s="481">
        <f t="shared" si="299"/>
        <v>0</v>
      </c>
      <c r="Y3891" s="179"/>
      <c r="Z3891" s="466">
        <f t="shared" si="300"/>
        <v>0</v>
      </c>
      <c r="AA3891" s="473">
        <f t="shared" si="301"/>
        <v>0</v>
      </c>
      <c r="AB3891" s="339">
        <f t="shared" si="302"/>
        <v>0</v>
      </c>
    </row>
    <row r="3892" spans="2:28" ht="20.100000000000001" customHeight="1">
      <c r="B3892" s="172"/>
      <c r="C3892" s="174"/>
      <c r="D3892" s="181"/>
      <c r="E3892" s="173"/>
      <c r="F3892" s="176"/>
      <c r="G3892" s="175">
        <f t="shared" si="293"/>
        <v>0</v>
      </c>
      <c r="H3892" s="175">
        <f t="shared" si="294"/>
        <v>0</v>
      </c>
      <c r="I3892" s="177">
        <f>IF(G3892=0,0,IF(E3892="MXN",1/HLOOKUP(YEAR(C3892)+(MONTH(C3892)/100),TC!$5:$37,DAY(C3892)+2,FALSE),VLOOKUP(E3892,Equivalencia!$5:$23,((MAX(Equivalencia!$3:$3)-YEAR(C3892))*14)+MONTH(C3892)+2,FALSE)))</f>
        <v>0</v>
      </c>
      <c r="J3892" s="178">
        <f t="shared" si="295"/>
        <v>0</v>
      </c>
      <c r="K3892" s="462">
        <f>IF(C3892=0,0,VLOOKUP(YEAR(C3892),INPC!$B$4:$O$29,MONTH(C3892)+1))</f>
        <v>0</v>
      </c>
      <c r="L3892" s="462">
        <f>IF(S3892=0,0,VLOOKUP(YEAR(S3892),INPC!$B$4:$O$29,MONTH(S3892)+1))</f>
        <v>0</v>
      </c>
      <c r="M3892" s="463">
        <f t="shared" si="296"/>
        <v>0</v>
      </c>
      <c r="N3892" s="465">
        <f t="shared" si="297"/>
        <v>0</v>
      </c>
      <c r="O3892" s="179"/>
      <c r="P3892" s="180"/>
      <c r="Q3892" s="173"/>
      <c r="R3892" s="173"/>
      <c r="S3892" s="174"/>
      <c r="T3892" s="173"/>
      <c r="U3892" s="182"/>
      <c r="V3892" s="177">
        <f>IF(U3892=0,0,IF(T3892="MXN",1/HLOOKUP(YEAR(S3892)+(MONTH(S3892)/100),TC!$5:$37,DAY(S3892)+2,FALSE),VLOOKUP(T3892,Equivalencia!$1:$23,((MAX(Equivalencia!$3:$3)-YEAR(S3892))*14)+MONTH(S3892)+2,FALSE)))</f>
        <v>0</v>
      </c>
      <c r="W3892" s="178">
        <f t="shared" si="298"/>
        <v>0</v>
      </c>
      <c r="X3892" s="481">
        <f t="shared" si="299"/>
        <v>0</v>
      </c>
      <c r="Y3892" s="179"/>
      <c r="Z3892" s="466">
        <f t="shared" si="300"/>
        <v>0</v>
      </c>
      <c r="AA3892" s="473">
        <f t="shared" si="301"/>
        <v>0</v>
      </c>
      <c r="AB3892" s="339">
        <f t="shared" si="302"/>
        <v>0</v>
      </c>
    </row>
    <row r="3893" spans="2:28" ht="20.100000000000001" customHeight="1">
      <c r="B3893" s="172"/>
      <c r="C3893" s="174"/>
      <c r="D3893" s="181"/>
      <c r="E3893" s="173"/>
      <c r="F3893" s="176"/>
      <c r="G3893" s="175">
        <f t="shared" si="293"/>
        <v>0</v>
      </c>
      <c r="H3893" s="175">
        <f t="shared" si="294"/>
        <v>0</v>
      </c>
      <c r="I3893" s="177">
        <f>IF(G3893=0,0,IF(E3893="MXN",1/HLOOKUP(YEAR(C3893)+(MONTH(C3893)/100),TC!$5:$37,DAY(C3893)+2,FALSE),VLOOKUP(E3893,Equivalencia!$5:$23,((MAX(Equivalencia!$3:$3)-YEAR(C3893))*14)+MONTH(C3893)+2,FALSE)))</f>
        <v>0</v>
      </c>
      <c r="J3893" s="178">
        <f t="shared" si="295"/>
        <v>0</v>
      </c>
      <c r="K3893" s="462">
        <f>IF(C3893=0,0,VLOOKUP(YEAR(C3893),INPC!$B$4:$O$29,MONTH(C3893)+1))</f>
        <v>0</v>
      </c>
      <c r="L3893" s="462">
        <f>IF(S3893=0,0,VLOOKUP(YEAR(S3893),INPC!$B$4:$O$29,MONTH(S3893)+1))</f>
        <v>0</v>
      </c>
      <c r="M3893" s="463">
        <f t="shared" si="296"/>
        <v>0</v>
      </c>
      <c r="N3893" s="465">
        <f t="shared" si="297"/>
        <v>0</v>
      </c>
      <c r="O3893" s="179"/>
      <c r="P3893" s="180"/>
      <c r="Q3893" s="173"/>
      <c r="R3893" s="173"/>
      <c r="S3893" s="174"/>
      <c r="T3893" s="173"/>
      <c r="U3893" s="182"/>
      <c r="V3893" s="177">
        <f>IF(U3893=0,0,IF(T3893="MXN",1/HLOOKUP(YEAR(S3893)+(MONTH(S3893)/100),TC!$5:$37,DAY(S3893)+2,FALSE),VLOOKUP(T3893,Equivalencia!$1:$23,((MAX(Equivalencia!$3:$3)-YEAR(S3893))*14)+MONTH(S3893)+2,FALSE)))</f>
        <v>0</v>
      </c>
      <c r="W3893" s="178">
        <f t="shared" si="298"/>
        <v>0</v>
      </c>
      <c r="X3893" s="481">
        <f t="shared" si="299"/>
        <v>0</v>
      </c>
      <c r="Y3893" s="179"/>
      <c r="Z3893" s="466">
        <f t="shared" si="300"/>
        <v>0</v>
      </c>
      <c r="AA3893" s="473">
        <f t="shared" si="301"/>
        <v>0</v>
      </c>
      <c r="AB3893" s="339">
        <f t="shared" si="302"/>
        <v>0</v>
      </c>
    </row>
    <row r="3894" spans="2:28" ht="20.100000000000001" customHeight="1">
      <c r="B3894" s="172"/>
      <c r="C3894" s="174"/>
      <c r="D3894" s="181"/>
      <c r="E3894" s="173"/>
      <c r="F3894" s="176"/>
      <c r="G3894" s="175">
        <f t="shared" si="293"/>
        <v>0</v>
      </c>
      <c r="H3894" s="175">
        <f t="shared" si="294"/>
        <v>0</v>
      </c>
      <c r="I3894" s="177">
        <f>IF(G3894=0,0,IF(E3894="MXN",1/HLOOKUP(YEAR(C3894)+(MONTH(C3894)/100),TC!$5:$37,DAY(C3894)+2,FALSE),VLOOKUP(E3894,Equivalencia!$5:$23,((MAX(Equivalencia!$3:$3)-YEAR(C3894))*14)+MONTH(C3894)+2,FALSE)))</f>
        <v>0</v>
      </c>
      <c r="J3894" s="178">
        <f t="shared" si="295"/>
        <v>0</v>
      </c>
      <c r="K3894" s="462">
        <f>IF(C3894=0,0,VLOOKUP(YEAR(C3894),INPC!$B$4:$O$29,MONTH(C3894)+1))</f>
        <v>0</v>
      </c>
      <c r="L3894" s="462">
        <f>IF(S3894=0,0,VLOOKUP(YEAR(S3894),INPC!$B$4:$O$29,MONTH(S3894)+1))</f>
        <v>0</v>
      </c>
      <c r="M3894" s="463">
        <f t="shared" si="296"/>
        <v>0</v>
      </c>
      <c r="N3894" s="465">
        <f t="shared" si="297"/>
        <v>0</v>
      </c>
      <c r="O3894" s="179"/>
      <c r="P3894" s="180"/>
      <c r="Q3894" s="173"/>
      <c r="R3894" s="173"/>
      <c r="S3894" s="174"/>
      <c r="T3894" s="173"/>
      <c r="U3894" s="182"/>
      <c r="V3894" s="177">
        <f>IF(U3894=0,0,IF(T3894="MXN",1/HLOOKUP(YEAR(S3894)+(MONTH(S3894)/100),TC!$5:$37,DAY(S3894)+2,FALSE),VLOOKUP(T3894,Equivalencia!$1:$23,((MAX(Equivalencia!$3:$3)-YEAR(S3894))*14)+MONTH(S3894)+2,FALSE)))</f>
        <v>0</v>
      </c>
      <c r="W3894" s="178">
        <f t="shared" si="298"/>
        <v>0</v>
      </c>
      <c r="X3894" s="481">
        <f t="shared" si="299"/>
        <v>0</v>
      </c>
      <c r="Y3894" s="179"/>
      <c r="Z3894" s="466">
        <f t="shared" si="300"/>
        <v>0</v>
      </c>
      <c r="AA3894" s="473">
        <f t="shared" si="301"/>
        <v>0</v>
      </c>
      <c r="AB3894" s="339">
        <f t="shared" si="302"/>
        <v>0</v>
      </c>
    </row>
    <row r="3895" spans="2:28" ht="20.100000000000001" customHeight="1">
      <c r="B3895" s="172"/>
      <c r="C3895" s="174"/>
      <c r="D3895" s="181"/>
      <c r="E3895" s="173"/>
      <c r="F3895" s="176"/>
      <c r="G3895" s="175">
        <f t="shared" si="293"/>
        <v>0</v>
      </c>
      <c r="H3895" s="175">
        <f t="shared" si="294"/>
        <v>0</v>
      </c>
      <c r="I3895" s="177">
        <f>IF(G3895=0,0,IF(E3895="MXN",1/HLOOKUP(YEAR(C3895)+(MONTH(C3895)/100),TC!$5:$37,DAY(C3895)+2,FALSE),VLOOKUP(E3895,Equivalencia!$5:$23,((MAX(Equivalencia!$3:$3)-YEAR(C3895))*14)+MONTH(C3895)+2,FALSE)))</f>
        <v>0</v>
      </c>
      <c r="J3895" s="178">
        <f t="shared" si="295"/>
        <v>0</v>
      </c>
      <c r="K3895" s="462">
        <f>IF(C3895=0,0,VLOOKUP(YEAR(C3895),INPC!$B$4:$O$29,MONTH(C3895)+1))</f>
        <v>0</v>
      </c>
      <c r="L3895" s="462">
        <f>IF(S3895=0,0,VLOOKUP(YEAR(S3895),INPC!$B$4:$O$29,MONTH(S3895)+1))</f>
        <v>0</v>
      </c>
      <c r="M3895" s="463">
        <f t="shared" si="296"/>
        <v>0</v>
      </c>
      <c r="N3895" s="465">
        <f t="shared" si="297"/>
        <v>0</v>
      </c>
      <c r="O3895" s="179"/>
      <c r="P3895" s="180"/>
      <c r="Q3895" s="173"/>
      <c r="R3895" s="173"/>
      <c r="S3895" s="174"/>
      <c r="T3895" s="173"/>
      <c r="U3895" s="182"/>
      <c r="V3895" s="177">
        <f>IF(U3895=0,0,IF(T3895="MXN",1/HLOOKUP(YEAR(S3895)+(MONTH(S3895)/100),TC!$5:$37,DAY(S3895)+2,FALSE),VLOOKUP(T3895,Equivalencia!$1:$23,((MAX(Equivalencia!$3:$3)-YEAR(S3895))*14)+MONTH(S3895)+2,FALSE)))</f>
        <v>0</v>
      </c>
      <c r="W3895" s="178">
        <f t="shared" si="298"/>
        <v>0</v>
      </c>
      <c r="X3895" s="481">
        <f t="shared" si="299"/>
        <v>0</v>
      </c>
      <c r="Y3895" s="179"/>
      <c r="Z3895" s="466">
        <f t="shared" si="300"/>
        <v>0</v>
      </c>
      <c r="AA3895" s="473">
        <f t="shared" si="301"/>
        <v>0</v>
      </c>
      <c r="AB3895" s="339">
        <f t="shared" si="302"/>
        <v>0</v>
      </c>
    </row>
    <row r="3896" spans="2:28" ht="20.100000000000001" customHeight="1">
      <c r="B3896" s="172"/>
      <c r="C3896" s="174"/>
      <c r="D3896" s="181"/>
      <c r="E3896" s="173"/>
      <c r="F3896" s="176"/>
      <c r="G3896" s="175">
        <f t="shared" si="293"/>
        <v>0</v>
      </c>
      <c r="H3896" s="175">
        <f t="shared" si="294"/>
        <v>0</v>
      </c>
      <c r="I3896" s="177">
        <f>IF(G3896=0,0,IF(E3896="MXN",1/HLOOKUP(YEAR(C3896)+(MONTH(C3896)/100),TC!$5:$37,DAY(C3896)+2,FALSE),VLOOKUP(E3896,Equivalencia!$5:$23,((MAX(Equivalencia!$3:$3)-YEAR(C3896))*14)+MONTH(C3896)+2,FALSE)))</f>
        <v>0</v>
      </c>
      <c r="J3896" s="178">
        <f t="shared" si="295"/>
        <v>0</v>
      </c>
      <c r="K3896" s="462">
        <f>IF(C3896=0,0,VLOOKUP(YEAR(C3896),INPC!$B$4:$O$29,MONTH(C3896)+1))</f>
        <v>0</v>
      </c>
      <c r="L3896" s="462">
        <f>IF(S3896=0,0,VLOOKUP(YEAR(S3896),INPC!$B$4:$O$29,MONTH(S3896)+1))</f>
        <v>0</v>
      </c>
      <c r="M3896" s="463">
        <f t="shared" si="296"/>
        <v>0</v>
      </c>
      <c r="N3896" s="465">
        <f t="shared" si="297"/>
        <v>0</v>
      </c>
      <c r="O3896" s="179"/>
      <c r="P3896" s="180"/>
      <c r="Q3896" s="173"/>
      <c r="R3896" s="173"/>
      <c r="S3896" s="174"/>
      <c r="T3896" s="173"/>
      <c r="U3896" s="182"/>
      <c r="V3896" s="177">
        <f>IF(U3896=0,0,IF(T3896="MXN",1/HLOOKUP(YEAR(S3896)+(MONTH(S3896)/100),TC!$5:$37,DAY(S3896)+2,FALSE),VLOOKUP(T3896,Equivalencia!$1:$23,((MAX(Equivalencia!$3:$3)-YEAR(S3896))*14)+MONTH(S3896)+2,FALSE)))</f>
        <v>0</v>
      </c>
      <c r="W3896" s="178">
        <f t="shared" si="298"/>
        <v>0</v>
      </c>
      <c r="X3896" s="481">
        <f t="shared" si="299"/>
        <v>0</v>
      </c>
      <c r="Y3896" s="179"/>
      <c r="Z3896" s="466">
        <f t="shared" si="300"/>
        <v>0</v>
      </c>
      <c r="AA3896" s="473">
        <f t="shared" si="301"/>
        <v>0</v>
      </c>
      <c r="AB3896" s="339">
        <f t="shared" si="302"/>
        <v>0</v>
      </c>
    </row>
    <row r="3897" spans="2:28" ht="20.100000000000001" customHeight="1">
      <c r="B3897" s="172"/>
      <c r="C3897" s="174"/>
      <c r="D3897" s="181"/>
      <c r="E3897" s="173"/>
      <c r="F3897" s="176"/>
      <c r="G3897" s="175">
        <f t="shared" si="293"/>
        <v>0</v>
      </c>
      <c r="H3897" s="175">
        <f t="shared" si="294"/>
        <v>0</v>
      </c>
      <c r="I3897" s="177">
        <f>IF(G3897=0,0,IF(E3897="MXN",1/HLOOKUP(YEAR(C3897)+(MONTH(C3897)/100),TC!$5:$37,DAY(C3897)+2,FALSE),VLOOKUP(E3897,Equivalencia!$5:$23,((MAX(Equivalencia!$3:$3)-YEAR(C3897))*14)+MONTH(C3897)+2,FALSE)))</f>
        <v>0</v>
      </c>
      <c r="J3897" s="178">
        <f t="shared" si="295"/>
        <v>0</v>
      </c>
      <c r="K3897" s="462">
        <f>IF(C3897=0,0,VLOOKUP(YEAR(C3897),INPC!$B$4:$O$29,MONTH(C3897)+1))</f>
        <v>0</v>
      </c>
      <c r="L3897" s="462">
        <f>IF(S3897=0,0,VLOOKUP(YEAR(S3897),INPC!$B$4:$O$29,MONTH(S3897)+1))</f>
        <v>0</v>
      </c>
      <c r="M3897" s="463">
        <f t="shared" si="296"/>
        <v>0</v>
      </c>
      <c r="N3897" s="465">
        <f t="shared" si="297"/>
        <v>0</v>
      </c>
      <c r="O3897" s="179"/>
      <c r="P3897" s="180"/>
      <c r="Q3897" s="173"/>
      <c r="R3897" s="173"/>
      <c r="S3897" s="174"/>
      <c r="T3897" s="173"/>
      <c r="U3897" s="182"/>
      <c r="V3897" s="177">
        <f>IF(U3897=0,0,IF(T3897="MXN",1/HLOOKUP(YEAR(S3897)+(MONTH(S3897)/100),TC!$5:$37,DAY(S3897)+2,FALSE),VLOOKUP(T3897,Equivalencia!$1:$23,((MAX(Equivalencia!$3:$3)-YEAR(S3897))*14)+MONTH(S3897)+2,FALSE)))</f>
        <v>0</v>
      </c>
      <c r="W3897" s="178">
        <f t="shared" si="298"/>
        <v>0</v>
      </c>
      <c r="X3897" s="481">
        <f t="shared" si="299"/>
        <v>0</v>
      </c>
      <c r="Y3897" s="179"/>
      <c r="Z3897" s="466">
        <f t="shared" si="300"/>
        <v>0</v>
      </c>
      <c r="AA3897" s="473">
        <f t="shared" si="301"/>
        <v>0</v>
      </c>
      <c r="AB3897" s="339">
        <f t="shared" si="302"/>
        <v>0</v>
      </c>
    </row>
    <row r="3898" spans="2:28" ht="20.100000000000001" customHeight="1">
      <c r="B3898" s="172"/>
      <c r="C3898" s="174"/>
      <c r="D3898" s="181"/>
      <c r="E3898" s="173"/>
      <c r="F3898" s="176"/>
      <c r="G3898" s="175">
        <f t="shared" si="293"/>
        <v>0</v>
      </c>
      <c r="H3898" s="175">
        <f t="shared" si="294"/>
        <v>0</v>
      </c>
      <c r="I3898" s="177">
        <f>IF(G3898=0,0,IF(E3898="MXN",1/HLOOKUP(YEAR(C3898)+(MONTH(C3898)/100),TC!$5:$37,DAY(C3898)+2,FALSE),VLOOKUP(E3898,Equivalencia!$5:$23,((MAX(Equivalencia!$3:$3)-YEAR(C3898))*14)+MONTH(C3898)+2,FALSE)))</f>
        <v>0</v>
      </c>
      <c r="J3898" s="178">
        <f t="shared" si="295"/>
        <v>0</v>
      </c>
      <c r="K3898" s="462">
        <f>IF(C3898=0,0,VLOOKUP(YEAR(C3898),INPC!$B$4:$O$29,MONTH(C3898)+1))</f>
        <v>0</v>
      </c>
      <c r="L3898" s="462">
        <f>IF(S3898=0,0,VLOOKUP(YEAR(S3898),INPC!$B$4:$O$29,MONTH(S3898)+1))</f>
        <v>0</v>
      </c>
      <c r="M3898" s="463">
        <f t="shared" si="296"/>
        <v>0</v>
      </c>
      <c r="N3898" s="465">
        <f t="shared" si="297"/>
        <v>0</v>
      </c>
      <c r="O3898" s="179"/>
      <c r="P3898" s="180"/>
      <c r="Q3898" s="173"/>
      <c r="R3898" s="173"/>
      <c r="S3898" s="174"/>
      <c r="T3898" s="173"/>
      <c r="U3898" s="182"/>
      <c r="V3898" s="177">
        <f>IF(U3898=0,0,IF(T3898="MXN",1/HLOOKUP(YEAR(S3898)+(MONTH(S3898)/100),TC!$5:$37,DAY(S3898)+2,FALSE),VLOOKUP(T3898,Equivalencia!$1:$23,((MAX(Equivalencia!$3:$3)-YEAR(S3898))*14)+MONTH(S3898)+2,FALSE)))</f>
        <v>0</v>
      </c>
      <c r="W3898" s="178">
        <f t="shared" si="298"/>
        <v>0</v>
      </c>
      <c r="X3898" s="481">
        <f t="shared" si="299"/>
        <v>0</v>
      </c>
      <c r="Y3898" s="179"/>
      <c r="Z3898" s="466">
        <f t="shared" si="300"/>
        <v>0</v>
      </c>
      <c r="AA3898" s="473">
        <f t="shared" si="301"/>
        <v>0</v>
      </c>
      <c r="AB3898" s="339">
        <f t="shared" si="302"/>
        <v>0</v>
      </c>
    </row>
    <row r="3899" spans="2:28" ht="20.100000000000001" customHeight="1">
      <c r="B3899" s="172"/>
      <c r="C3899" s="174"/>
      <c r="D3899" s="181"/>
      <c r="E3899" s="173"/>
      <c r="F3899" s="176"/>
      <c r="G3899" s="175">
        <f t="shared" si="293"/>
        <v>0</v>
      </c>
      <c r="H3899" s="175">
        <f t="shared" si="294"/>
        <v>0</v>
      </c>
      <c r="I3899" s="177">
        <f>IF(G3899=0,0,IF(E3899="MXN",1/HLOOKUP(YEAR(C3899)+(MONTH(C3899)/100),TC!$5:$37,DAY(C3899)+2,FALSE),VLOOKUP(E3899,Equivalencia!$5:$23,((MAX(Equivalencia!$3:$3)-YEAR(C3899))*14)+MONTH(C3899)+2,FALSE)))</f>
        <v>0</v>
      </c>
      <c r="J3899" s="178">
        <f t="shared" si="295"/>
        <v>0</v>
      </c>
      <c r="K3899" s="462">
        <f>IF(C3899=0,0,VLOOKUP(YEAR(C3899),INPC!$B$4:$O$29,MONTH(C3899)+1))</f>
        <v>0</v>
      </c>
      <c r="L3899" s="462">
        <f>IF(S3899=0,0,VLOOKUP(YEAR(S3899),INPC!$B$4:$O$29,MONTH(S3899)+1))</f>
        <v>0</v>
      </c>
      <c r="M3899" s="463">
        <f t="shared" si="296"/>
        <v>0</v>
      </c>
      <c r="N3899" s="465">
        <f t="shared" si="297"/>
        <v>0</v>
      </c>
      <c r="O3899" s="179"/>
      <c r="P3899" s="180"/>
      <c r="Q3899" s="173"/>
      <c r="R3899" s="173"/>
      <c r="S3899" s="174"/>
      <c r="T3899" s="173"/>
      <c r="U3899" s="182"/>
      <c r="V3899" s="177">
        <f>IF(U3899=0,0,IF(T3899="MXN",1/HLOOKUP(YEAR(S3899)+(MONTH(S3899)/100),TC!$5:$37,DAY(S3899)+2,FALSE),VLOOKUP(T3899,Equivalencia!$1:$23,((MAX(Equivalencia!$3:$3)-YEAR(S3899))*14)+MONTH(S3899)+2,FALSE)))</f>
        <v>0</v>
      </c>
      <c r="W3899" s="178">
        <f t="shared" si="298"/>
        <v>0</v>
      </c>
      <c r="X3899" s="481">
        <f t="shared" si="299"/>
        <v>0</v>
      </c>
      <c r="Y3899" s="179"/>
      <c r="Z3899" s="466">
        <f t="shared" si="300"/>
        <v>0</v>
      </c>
      <c r="AA3899" s="473">
        <f t="shared" si="301"/>
        <v>0</v>
      </c>
      <c r="AB3899" s="339">
        <f t="shared" si="302"/>
        <v>0</v>
      </c>
    </row>
    <row r="3900" spans="2:28" ht="20.100000000000001" customHeight="1">
      <c r="B3900" s="172"/>
      <c r="C3900" s="174"/>
      <c r="D3900" s="181"/>
      <c r="E3900" s="173"/>
      <c r="F3900" s="176"/>
      <c r="G3900" s="175">
        <f t="shared" si="293"/>
        <v>0</v>
      </c>
      <c r="H3900" s="175">
        <f t="shared" si="294"/>
        <v>0</v>
      </c>
      <c r="I3900" s="177">
        <f>IF(G3900=0,0,IF(E3900="MXN",1/HLOOKUP(YEAR(C3900)+(MONTH(C3900)/100),TC!$5:$37,DAY(C3900)+2,FALSE),VLOOKUP(E3900,Equivalencia!$5:$23,((MAX(Equivalencia!$3:$3)-YEAR(C3900))*14)+MONTH(C3900)+2,FALSE)))</f>
        <v>0</v>
      </c>
      <c r="J3900" s="178">
        <f t="shared" si="295"/>
        <v>0</v>
      </c>
      <c r="K3900" s="462">
        <f>IF(C3900=0,0,VLOOKUP(YEAR(C3900),INPC!$B$4:$O$29,MONTH(C3900)+1))</f>
        <v>0</v>
      </c>
      <c r="L3900" s="462">
        <f>IF(S3900=0,0,VLOOKUP(YEAR(S3900),INPC!$B$4:$O$29,MONTH(S3900)+1))</f>
        <v>0</v>
      </c>
      <c r="M3900" s="463">
        <f t="shared" si="296"/>
        <v>0</v>
      </c>
      <c r="N3900" s="465">
        <f t="shared" si="297"/>
        <v>0</v>
      </c>
      <c r="O3900" s="179"/>
      <c r="P3900" s="180"/>
      <c r="Q3900" s="173"/>
      <c r="R3900" s="173"/>
      <c r="S3900" s="174"/>
      <c r="T3900" s="173"/>
      <c r="U3900" s="182"/>
      <c r="V3900" s="177">
        <f>IF(U3900=0,0,IF(T3900="MXN",1/HLOOKUP(YEAR(S3900)+(MONTH(S3900)/100),TC!$5:$37,DAY(S3900)+2,FALSE),VLOOKUP(T3900,Equivalencia!$1:$23,((MAX(Equivalencia!$3:$3)-YEAR(S3900))*14)+MONTH(S3900)+2,FALSE)))</f>
        <v>0</v>
      </c>
      <c r="W3900" s="178">
        <f t="shared" si="298"/>
        <v>0</v>
      </c>
      <c r="X3900" s="481">
        <f t="shared" si="299"/>
        <v>0</v>
      </c>
      <c r="Y3900" s="179"/>
      <c r="Z3900" s="466">
        <f t="shared" si="300"/>
        <v>0</v>
      </c>
      <c r="AA3900" s="473">
        <f t="shared" si="301"/>
        <v>0</v>
      </c>
      <c r="AB3900" s="339">
        <f t="shared" si="302"/>
        <v>0</v>
      </c>
    </row>
    <row r="3901" spans="2:28" ht="20.100000000000001" customHeight="1">
      <c r="B3901" s="172"/>
      <c r="C3901" s="174"/>
      <c r="D3901" s="181"/>
      <c r="E3901" s="173"/>
      <c r="F3901" s="176"/>
      <c r="G3901" s="175">
        <f t="shared" si="293"/>
        <v>0</v>
      </c>
      <c r="H3901" s="175">
        <f t="shared" si="294"/>
        <v>0</v>
      </c>
      <c r="I3901" s="177">
        <f>IF(G3901=0,0,IF(E3901="MXN",1/HLOOKUP(YEAR(C3901)+(MONTH(C3901)/100),TC!$5:$37,DAY(C3901)+2,FALSE),VLOOKUP(E3901,Equivalencia!$5:$23,((MAX(Equivalencia!$3:$3)-YEAR(C3901))*14)+MONTH(C3901)+2,FALSE)))</f>
        <v>0</v>
      </c>
      <c r="J3901" s="178">
        <f t="shared" si="295"/>
        <v>0</v>
      </c>
      <c r="K3901" s="462">
        <f>IF(C3901=0,0,VLOOKUP(YEAR(C3901),INPC!$B$4:$O$29,MONTH(C3901)+1))</f>
        <v>0</v>
      </c>
      <c r="L3901" s="462">
        <f>IF(S3901=0,0,VLOOKUP(YEAR(S3901),INPC!$B$4:$O$29,MONTH(S3901)+1))</f>
        <v>0</v>
      </c>
      <c r="M3901" s="463">
        <f t="shared" si="296"/>
        <v>0</v>
      </c>
      <c r="N3901" s="465">
        <f t="shared" si="297"/>
        <v>0</v>
      </c>
      <c r="O3901" s="179"/>
      <c r="P3901" s="180"/>
      <c r="Q3901" s="173"/>
      <c r="R3901" s="173"/>
      <c r="S3901" s="174"/>
      <c r="T3901" s="173"/>
      <c r="U3901" s="182"/>
      <c r="V3901" s="177">
        <f>IF(U3901=0,0,IF(T3901="MXN",1/HLOOKUP(YEAR(S3901)+(MONTH(S3901)/100),TC!$5:$37,DAY(S3901)+2,FALSE),VLOOKUP(T3901,Equivalencia!$1:$23,((MAX(Equivalencia!$3:$3)-YEAR(S3901))*14)+MONTH(S3901)+2,FALSE)))</f>
        <v>0</v>
      </c>
      <c r="W3901" s="178">
        <f t="shared" si="298"/>
        <v>0</v>
      </c>
      <c r="X3901" s="481">
        <f t="shared" si="299"/>
        <v>0</v>
      </c>
      <c r="Y3901" s="179"/>
      <c r="Z3901" s="466">
        <f t="shared" si="300"/>
        <v>0</v>
      </c>
      <c r="AA3901" s="473">
        <f t="shared" si="301"/>
        <v>0</v>
      </c>
      <c r="AB3901" s="339">
        <f t="shared" si="302"/>
        <v>0</v>
      </c>
    </row>
    <row r="3902" spans="2:28" ht="20.100000000000001" customHeight="1">
      <c r="B3902" s="172"/>
      <c r="C3902" s="174"/>
      <c r="D3902" s="181"/>
      <c r="E3902" s="173"/>
      <c r="F3902" s="176"/>
      <c r="G3902" s="175">
        <f t="shared" si="293"/>
        <v>0</v>
      </c>
      <c r="H3902" s="175">
        <f t="shared" si="294"/>
        <v>0</v>
      </c>
      <c r="I3902" s="177">
        <f>IF(G3902=0,0,IF(E3902="MXN",1/HLOOKUP(YEAR(C3902)+(MONTH(C3902)/100),TC!$5:$37,DAY(C3902)+2,FALSE),VLOOKUP(E3902,Equivalencia!$5:$23,((MAX(Equivalencia!$3:$3)-YEAR(C3902))*14)+MONTH(C3902)+2,FALSE)))</f>
        <v>0</v>
      </c>
      <c r="J3902" s="178">
        <f t="shared" si="295"/>
        <v>0</v>
      </c>
      <c r="K3902" s="462">
        <f>IF(C3902=0,0,VLOOKUP(YEAR(C3902),INPC!$B$4:$O$29,MONTH(C3902)+1))</f>
        <v>0</v>
      </c>
      <c r="L3902" s="462">
        <f>IF(S3902=0,0,VLOOKUP(YEAR(S3902),INPC!$B$4:$O$29,MONTH(S3902)+1))</f>
        <v>0</v>
      </c>
      <c r="M3902" s="463">
        <f t="shared" si="296"/>
        <v>0</v>
      </c>
      <c r="N3902" s="465">
        <f t="shared" si="297"/>
        <v>0</v>
      </c>
      <c r="O3902" s="179"/>
      <c r="P3902" s="180"/>
      <c r="Q3902" s="173"/>
      <c r="R3902" s="173"/>
      <c r="S3902" s="174"/>
      <c r="T3902" s="173"/>
      <c r="U3902" s="182"/>
      <c r="V3902" s="177">
        <f>IF(U3902=0,0,IF(T3902="MXN",1/HLOOKUP(YEAR(S3902)+(MONTH(S3902)/100),TC!$5:$37,DAY(S3902)+2,FALSE),VLOOKUP(T3902,Equivalencia!$1:$23,((MAX(Equivalencia!$3:$3)-YEAR(S3902))*14)+MONTH(S3902)+2,FALSE)))</f>
        <v>0</v>
      </c>
      <c r="W3902" s="178">
        <f t="shared" si="298"/>
        <v>0</v>
      </c>
      <c r="X3902" s="481">
        <f t="shared" si="299"/>
        <v>0</v>
      </c>
      <c r="Y3902" s="179"/>
      <c r="Z3902" s="466">
        <f t="shared" si="300"/>
        <v>0</v>
      </c>
      <c r="AA3902" s="473">
        <f t="shared" si="301"/>
        <v>0</v>
      </c>
      <c r="AB3902" s="339">
        <f t="shared" si="302"/>
        <v>0</v>
      </c>
    </row>
    <row r="3903" spans="2:28" ht="20.100000000000001" customHeight="1">
      <c r="B3903" s="172"/>
      <c r="C3903" s="174"/>
      <c r="D3903" s="181"/>
      <c r="E3903" s="173"/>
      <c r="F3903" s="176"/>
      <c r="G3903" s="175">
        <f t="shared" si="293"/>
        <v>0</v>
      </c>
      <c r="H3903" s="175">
        <f t="shared" si="294"/>
        <v>0</v>
      </c>
      <c r="I3903" s="177">
        <f>IF(G3903=0,0,IF(E3903="MXN",1/HLOOKUP(YEAR(C3903)+(MONTH(C3903)/100),TC!$5:$37,DAY(C3903)+2,FALSE),VLOOKUP(E3903,Equivalencia!$5:$23,((MAX(Equivalencia!$3:$3)-YEAR(C3903))*14)+MONTH(C3903)+2,FALSE)))</f>
        <v>0</v>
      </c>
      <c r="J3903" s="178">
        <f t="shared" si="295"/>
        <v>0</v>
      </c>
      <c r="K3903" s="462">
        <f>IF(C3903=0,0,VLOOKUP(YEAR(C3903),INPC!$B$4:$O$29,MONTH(C3903)+1))</f>
        <v>0</v>
      </c>
      <c r="L3903" s="462">
        <f>IF(S3903=0,0,VLOOKUP(YEAR(S3903),INPC!$B$4:$O$29,MONTH(S3903)+1))</f>
        <v>0</v>
      </c>
      <c r="M3903" s="463">
        <f t="shared" si="296"/>
        <v>0</v>
      </c>
      <c r="N3903" s="465">
        <f t="shared" si="297"/>
        <v>0</v>
      </c>
      <c r="O3903" s="179"/>
      <c r="P3903" s="180"/>
      <c r="Q3903" s="173"/>
      <c r="R3903" s="173"/>
      <c r="S3903" s="174"/>
      <c r="T3903" s="173"/>
      <c r="U3903" s="182"/>
      <c r="V3903" s="177">
        <f>IF(U3903=0,0,IF(T3903="MXN",1/HLOOKUP(YEAR(S3903)+(MONTH(S3903)/100),TC!$5:$37,DAY(S3903)+2,FALSE),VLOOKUP(T3903,Equivalencia!$1:$23,((MAX(Equivalencia!$3:$3)-YEAR(S3903))*14)+MONTH(S3903)+2,FALSE)))</f>
        <v>0</v>
      </c>
      <c r="W3903" s="178">
        <f t="shared" si="298"/>
        <v>0</v>
      </c>
      <c r="X3903" s="481">
        <f t="shared" si="299"/>
        <v>0</v>
      </c>
      <c r="Y3903" s="179"/>
      <c r="Z3903" s="466">
        <f t="shared" si="300"/>
        <v>0</v>
      </c>
      <c r="AA3903" s="473">
        <f t="shared" si="301"/>
        <v>0</v>
      </c>
      <c r="AB3903" s="339">
        <f t="shared" si="302"/>
        <v>0</v>
      </c>
    </row>
    <row r="3904" spans="2:28" ht="20.100000000000001" customHeight="1">
      <c r="B3904" s="172"/>
      <c r="C3904" s="174"/>
      <c r="D3904" s="181"/>
      <c r="E3904" s="173"/>
      <c r="F3904" s="176"/>
      <c r="G3904" s="175">
        <f t="shared" si="293"/>
        <v>0</v>
      </c>
      <c r="H3904" s="175">
        <f t="shared" si="294"/>
        <v>0</v>
      </c>
      <c r="I3904" s="177">
        <f>IF(G3904=0,0,IF(E3904="MXN",1/HLOOKUP(YEAR(C3904)+(MONTH(C3904)/100),TC!$5:$37,DAY(C3904)+2,FALSE),VLOOKUP(E3904,Equivalencia!$5:$23,((MAX(Equivalencia!$3:$3)-YEAR(C3904))*14)+MONTH(C3904)+2,FALSE)))</f>
        <v>0</v>
      </c>
      <c r="J3904" s="178">
        <f t="shared" si="295"/>
        <v>0</v>
      </c>
      <c r="K3904" s="462">
        <f>IF(C3904=0,0,VLOOKUP(YEAR(C3904),INPC!$B$4:$O$29,MONTH(C3904)+1))</f>
        <v>0</v>
      </c>
      <c r="L3904" s="462">
        <f>IF(S3904=0,0,VLOOKUP(YEAR(S3904),INPC!$B$4:$O$29,MONTH(S3904)+1))</f>
        <v>0</v>
      </c>
      <c r="M3904" s="463">
        <f t="shared" si="296"/>
        <v>0</v>
      </c>
      <c r="N3904" s="465">
        <f t="shared" si="297"/>
        <v>0</v>
      </c>
      <c r="O3904" s="179"/>
      <c r="P3904" s="180"/>
      <c r="Q3904" s="173"/>
      <c r="R3904" s="173"/>
      <c r="S3904" s="174"/>
      <c r="T3904" s="173"/>
      <c r="U3904" s="182"/>
      <c r="V3904" s="177">
        <f>IF(U3904=0,0,IF(T3904="MXN",1/HLOOKUP(YEAR(S3904)+(MONTH(S3904)/100),TC!$5:$37,DAY(S3904)+2,FALSE),VLOOKUP(T3904,Equivalencia!$1:$23,((MAX(Equivalencia!$3:$3)-YEAR(S3904))*14)+MONTH(S3904)+2,FALSE)))</f>
        <v>0</v>
      </c>
      <c r="W3904" s="178">
        <f t="shared" si="298"/>
        <v>0</v>
      </c>
      <c r="X3904" s="481">
        <f t="shared" si="299"/>
        <v>0</v>
      </c>
      <c r="Y3904" s="179"/>
      <c r="Z3904" s="466">
        <f t="shared" si="300"/>
        <v>0</v>
      </c>
      <c r="AA3904" s="473">
        <f t="shared" si="301"/>
        <v>0</v>
      </c>
      <c r="AB3904" s="339">
        <f t="shared" si="302"/>
        <v>0</v>
      </c>
    </row>
    <row r="3905" spans="2:28" ht="20.100000000000001" customHeight="1">
      <c r="B3905" s="172"/>
      <c r="C3905" s="174"/>
      <c r="D3905" s="181"/>
      <c r="E3905" s="173"/>
      <c r="F3905" s="176"/>
      <c r="G3905" s="175">
        <f t="shared" si="293"/>
        <v>0</v>
      </c>
      <c r="H3905" s="175">
        <f t="shared" si="294"/>
        <v>0</v>
      </c>
      <c r="I3905" s="177">
        <f>IF(G3905=0,0,IF(E3905="MXN",1/HLOOKUP(YEAR(C3905)+(MONTH(C3905)/100),TC!$5:$37,DAY(C3905)+2,FALSE),VLOOKUP(E3905,Equivalencia!$5:$23,((MAX(Equivalencia!$3:$3)-YEAR(C3905))*14)+MONTH(C3905)+2,FALSE)))</f>
        <v>0</v>
      </c>
      <c r="J3905" s="178">
        <f t="shared" si="295"/>
        <v>0</v>
      </c>
      <c r="K3905" s="462">
        <f>IF(C3905=0,0,VLOOKUP(YEAR(C3905),INPC!$B$4:$O$29,MONTH(C3905)+1))</f>
        <v>0</v>
      </c>
      <c r="L3905" s="462">
        <f>IF(S3905=0,0,VLOOKUP(YEAR(S3905),INPC!$B$4:$O$29,MONTH(S3905)+1))</f>
        <v>0</v>
      </c>
      <c r="M3905" s="463">
        <f t="shared" si="296"/>
        <v>0</v>
      </c>
      <c r="N3905" s="465">
        <f t="shared" si="297"/>
        <v>0</v>
      </c>
      <c r="O3905" s="179"/>
      <c r="P3905" s="180"/>
      <c r="Q3905" s="173"/>
      <c r="R3905" s="173"/>
      <c r="S3905" s="174"/>
      <c r="T3905" s="173"/>
      <c r="U3905" s="182"/>
      <c r="V3905" s="177">
        <f>IF(U3905=0,0,IF(T3905="MXN",1/HLOOKUP(YEAR(S3905)+(MONTH(S3905)/100),TC!$5:$37,DAY(S3905)+2,FALSE),VLOOKUP(T3905,Equivalencia!$1:$23,((MAX(Equivalencia!$3:$3)-YEAR(S3905))*14)+MONTH(S3905)+2,FALSE)))</f>
        <v>0</v>
      </c>
      <c r="W3905" s="178">
        <f t="shared" si="298"/>
        <v>0</v>
      </c>
      <c r="X3905" s="481">
        <f t="shared" si="299"/>
        <v>0</v>
      </c>
      <c r="Y3905" s="179"/>
      <c r="Z3905" s="466">
        <f t="shared" si="300"/>
        <v>0</v>
      </c>
      <c r="AA3905" s="473">
        <f t="shared" si="301"/>
        <v>0</v>
      </c>
      <c r="AB3905" s="339">
        <f t="shared" si="302"/>
        <v>0</v>
      </c>
    </row>
    <row r="3906" spans="2:28" ht="20.100000000000001" customHeight="1">
      <c r="B3906" s="172"/>
      <c r="C3906" s="174"/>
      <c r="D3906" s="181"/>
      <c r="E3906" s="173"/>
      <c r="F3906" s="176"/>
      <c r="G3906" s="175">
        <f t="shared" si="293"/>
        <v>0</v>
      </c>
      <c r="H3906" s="175">
        <f t="shared" si="294"/>
        <v>0</v>
      </c>
      <c r="I3906" s="177">
        <f>IF(G3906=0,0,IF(E3906="MXN",1/HLOOKUP(YEAR(C3906)+(MONTH(C3906)/100),TC!$5:$37,DAY(C3906)+2,FALSE),VLOOKUP(E3906,Equivalencia!$5:$23,((MAX(Equivalencia!$3:$3)-YEAR(C3906))*14)+MONTH(C3906)+2,FALSE)))</f>
        <v>0</v>
      </c>
      <c r="J3906" s="178">
        <f t="shared" si="295"/>
        <v>0</v>
      </c>
      <c r="K3906" s="462">
        <f>IF(C3906=0,0,VLOOKUP(YEAR(C3906),INPC!$B$4:$O$29,MONTH(C3906)+1))</f>
        <v>0</v>
      </c>
      <c r="L3906" s="462">
        <f>IF(S3906=0,0,VLOOKUP(YEAR(S3906),INPC!$B$4:$O$29,MONTH(S3906)+1))</f>
        <v>0</v>
      </c>
      <c r="M3906" s="463">
        <f t="shared" si="296"/>
        <v>0</v>
      </c>
      <c r="N3906" s="465">
        <f t="shared" si="297"/>
        <v>0</v>
      </c>
      <c r="O3906" s="179"/>
      <c r="P3906" s="180"/>
      <c r="Q3906" s="173"/>
      <c r="R3906" s="173"/>
      <c r="S3906" s="174"/>
      <c r="T3906" s="173"/>
      <c r="U3906" s="182"/>
      <c r="V3906" s="177">
        <f>IF(U3906=0,0,IF(T3906="MXN",1/HLOOKUP(YEAR(S3906)+(MONTH(S3906)/100),TC!$5:$37,DAY(S3906)+2,FALSE),VLOOKUP(T3906,Equivalencia!$1:$23,((MAX(Equivalencia!$3:$3)-YEAR(S3906))*14)+MONTH(S3906)+2,FALSE)))</f>
        <v>0</v>
      </c>
      <c r="W3906" s="178">
        <f t="shared" si="298"/>
        <v>0</v>
      </c>
      <c r="X3906" s="481">
        <f t="shared" si="299"/>
        <v>0</v>
      </c>
      <c r="Y3906" s="179"/>
      <c r="Z3906" s="466">
        <f t="shared" si="300"/>
        <v>0</v>
      </c>
      <c r="AA3906" s="473">
        <f t="shared" si="301"/>
        <v>0</v>
      </c>
      <c r="AB3906" s="339">
        <f t="shared" si="302"/>
        <v>0</v>
      </c>
    </row>
    <row r="3907" spans="2:28" ht="20.100000000000001" customHeight="1">
      <c r="B3907" s="172"/>
      <c r="C3907" s="174"/>
      <c r="D3907" s="181"/>
      <c r="E3907" s="173"/>
      <c r="F3907" s="176"/>
      <c r="G3907" s="175">
        <f t="shared" si="293"/>
        <v>0</v>
      </c>
      <c r="H3907" s="175">
        <f t="shared" si="294"/>
        <v>0</v>
      </c>
      <c r="I3907" s="177">
        <f>IF(G3907=0,0,IF(E3907="MXN",1/HLOOKUP(YEAR(C3907)+(MONTH(C3907)/100),TC!$5:$37,DAY(C3907)+2,FALSE),VLOOKUP(E3907,Equivalencia!$5:$23,((MAX(Equivalencia!$3:$3)-YEAR(C3907))*14)+MONTH(C3907)+2,FALSE)))</f>
        <v>0</v>
      </c>
      <c r="J3907" s="178">
        <f t="shared" si="295"/>
        <v>0</v>
      </c>
      <c r="K3907" s="462">
        <f>IF(C3907=0,0,VLOOKUP(YEAR(C3907),INPC!$B$4:$O$29,MONTH(C3907)+1))</f>
        <v>0</v>
      </c>
      <c r="L3907" s="462">
        <f>IF(S3907=0,0,VLOOKUP(YEAR(S3907),INPC!$B$4:$O$29,MONTH(S3907)+1))</f>
        <v>0</v>
      </c>
      <c r="M3907" s="463">
        <f t="shared" si="296"/>
        <v>0</v>
      </c>
      <c r="N3907" s="465">
        <f t="shared" si="297"/>
        <v>0</v>
      </c>
      <c r="O3907" s="179"/>
      <c r="P3907" s="180"/>
      <c r="Q3907" s="173"/>
      <c r="R3907" s="173"/>
      <c r="S3907" s="174"/>
      <c r="T3907" s="173"/>
      <c r="U3907" s="182"/>
      <c r="V3907" s="177">
        <f>IF(U3907=0,0,IF(T3907="MXN",1/HLOOKUP(YEAR(S3907)+(MONTH(S3907)/100),TC!$5:$37,DAY(S3907)+2,FALSE),VLOOKUP(T3907,Equivalencia!$1:$23,((MAX(Equivalencia!$3:$3)-YEAR(S3907))*14)+MONTH(S3907)+2,FALSE)))</f>
        <v>0</v>
      </c>
      <c r="W3907" s="178">
        <f t="shared" si="298"/>
        <v>0</v>
      </c>
      <c r="X3907" s="481">
        <f t="shared" si="299"/>
        <v>0</v>
      </c>
      <c r="Y3907" s="179"/>
      <c r="Z3907" s="466">
        <f t="shared" si="300"/>
        <v>0</v>
      </c>
      <c r="AA3907" s="473">
        <f t="shared" si="301"/>
        <v>0</v>
      </c>
      <c r="AB3907" s="339">
        <f t="shared" si="302"/>
        <v>0</v>
      </c>
    </row>
    <row r="3908" spans="2:28" ht="20.100000000000001" customHeight="1">
      <c r="B3908" s="172"/>
      <c r="C3908" s="174"/>
      <c r="D3908" s="181"/>
      <c r="E3908" s="173"/>
      <c r="F3908" s="176"/>
      <c r="G3908" s="175">
        <f t="shared" si="293"/>
        <v>0</v>
      </c>
      <c r="H3908" s="175">
        <f t="shared" si="294"/>
        <v>0</v>
      </c>
      <c r="I3908" s="177">
        <f>IF(G3908=0,0,IF(E3908="MXN",1/HLOOKUP(YEAR(C3908)+(MONTH(C3908)/100),TC!$5:$37,DAY(C3908)+2,FALSE),VLOOKUP(E3908,Equivalencia!$5:$23,((MAX(Equivalencia!$3:$3)-YEAR(C3908))*14)+MONTH(C3908)+2,FALSE)))</f>
        <v>0</v>
      </c>
      <c r="J3908" s="178">
        <f t="shared" si="295"/>
        <v>0</v>
      </c>
      <c r="K3908" s="462">
        <f>IF(C3908=0,0,VLOOKUP(YEAR(C3908),INPC!$B$4:$O$29,MONTH(C3908)+1))</f>
        <v>0</v>
      </c>
      <c r="L3908" s="462">
        <f>IF(S3908=0,0,VLOOKUP(YEAR(S3908),INPC!$B$4:$O$29,MONTH(S3908)+1))</f>
        <v>0</v>
      </c>
      <c r="M3908" s="463">
        <f t="shared" si="296"/>
        <v>0</v>
      </c>
      <c r="N3908" s="465">
        <f t="shared" si="297"/>
        <v>0</v>
      </c>
      <c r="O3908" s="179"/>
      <c r="P3908" s="180"/>
      <c r="Q3908" s="173"/>
      <c r="R3908" s="173"/>
      <c r="S3908" s="174"/>
      <c r="T3908" s="173"/>
      <c r="U3908" s="182"/>
      <c r="V3908" s="177">
        <f>IF(U3908=0,0,IF(T3908="MXN",1/HLOOKUP(YEAR(S3908)+(MONTH(S3908)/100),TC!$5:$37,DAY(S3908)+2,FALSE),VLOOKUP(T3908,Equivalencia!$1:$23,((MAX(Equivalencia!$3:$3)-YEAR(S3908))*14)+MONTH(S3908)+2,FALSE)))</f>
        <v>0</v>
      </c>
      <c r="W3908" s="178">
        <f t="shared" si="298"/>
        <v>0</v>
      </c>
      <c r="X3908" s="481">
        <f t="shared" si="299"/>
        <v>0</v>
      </c>
      <c r="Y3908" s="179"/>
      <c r="Z3908" s="466">
        <f t="shared" si="300"/>
        <v>0</v>
      </c>
      <c r="AA3908" s="473">
        <f t="shared" si="301"/>
        <v>0</v>
      </c>
      <c r="AB3908" s="339">
        <f t="shared" si="302"/>
        <v>0</v>
      </c>
    </row>
    <row r="3909" spans="2:28" ht="20.100000000000001" customHeight="1">
      <c r="B3909" s="172"/>
      <c r="C3909" s="174"/>
      <c r="D3909" s="181"/>
      <c r="E3909" s="173"/>
      <c r="F3909" s="176"/>
      <c r="G3909" s="175">
        <f t="shared" si="293"/>
        <v>0</v>
      </c>
      <c r="H3909" s="175">
        <f t="shared" si="294"/>
        <v>0</v>
      </c>
      <c r="I3909" s="177">
        <f>IF(G3909=0,0,IF(E3909="MXN",1/HLOOKUP(YEAR(C3909)+(MONTH(C3909)/100),TC!$5:$37,DAY(C3909)+2,FALSE),VLOOKUP(E3909,Equivalencia!$5:$23,((MAX(Equivalencia!$3:$3)-YEAR(C3909))*14)+MONTH(C3909)+2,FALSE)))</f>
        <v>0</v>
      </c>
      <c r="J3909" s="178">
        <f t="shared" si="295"/>
        <v>0</v>
      </c>
      <c r="K3909" s="462">
        <f>IF(C3909=0,0,VLOOKUP(YEAR(C3909),INPC!$B$4:$O$29,MONTH(C3909)+1))</f>
        <v>0</v>
      </c>
      <c r="L3909" s="462">
        <f>IF(S3909=0,0,VLOOKUP(YEAR(S3909),INPC!$B$4:$O$29,MONTH(S3909)+1))</f>
        <v>0</v>
      </c>
      <c r="M3909" s="463">
        <f t="shared" si="296"/>
        <v>0</v>
      </c>
      <c r="N3909" s="465">
        <f t="shared" si="297"/>
        <v>0</v>
      </c>
      <c r="O3909" s="179"/>
      <c r="P3909" s="180"/>
      <c r="Q3909" s="173"/>
      <c r="R3909" s="173"/>
      <c r="S3909" s="174"/>
      <c r="T3909" s="173"/>
      <c r="U3909" s="182"/>
      <c r="V3909" s="177">
        <f>IF(U3909=0,0,IF(T3909="MXN",1/HLOOKUP(YEAR(S3909)+(MONTH(S3909)/100),TC!$5:$37,DAY(S3909)+2,FALSE),VLOOKUP(T3909,Equivalencia!$1:$23,((MAX(Equivalencia!$3:$3)-YEAR(S3909))*14)+MONTH(S3909)+2,FALSE)))</f>
        <v>0</v>
      </c>
      <c r="W3909" s="178">
        <f t="shared" si="298"/>
        <v>0</v>
      </c>
      <c r="X3909" s="481">
        <f t="shared" si="299"/>
        <v>0</v>
      </c>
      <c r="Y3909" s="179"/>
      <c r="Z3909" s="466">
        <f t="shared" si="300"/>
        <v>0</v>
      </c>
      <c r="AA3909" s="473">
        <f t="shared" si="301"/>
        <v>0</v>
      </c>
      <c r="AB3909" s="339">
        <f t="shared" si="302"/>
        <v>0</v>
      </c>
    </row>
    <row r="3910" spans="2:28" ht="20.100000000000001" customHeight="1">
      <c r="B3910" s="172"/>
      <c r="C3910" s="174"/>
      <c r="D3910" s="181"/>
      <c r="E3910" s="173"/>
      <c r="F3910" s="176"/>
      <c r="G3910" s="175">
        <f t="shared" si="293"/>
        <v>0</v>
      </c>
      <c r="H3910" s="175">
        <f t="shared" si="294"/>
        <v>0</v>
      </c>
      <c r="I3910" s="177">
        <f>IF(G3910=0,0,IF(E3910="MXN",1/HLOOKUP(YEAR(C3910)+(MONTH(C3910)/100),TC!$5:$37,DAY(C3910)+2,FALSE),VLOOKUP(E3910,Equivalencia!$5:$23,((MAX(Equivalencia!$3:$3)-YEAR(C3910))*14)+MONTH(C3910)+2,FALSE)))</f>
        <v>0</v>
      </c>
      <c r="J3910" s="178">
        <f t="shared" si="295"/>
        <v>0</v>
      </c>
      <c r="K3910" s="462">
        <f>IF(C3910=0,0,VLOOKUP(YEAR(C3910),INPC!$B$4:$O$29,MONTH(C3910)+1))</f>
        <v>0</v>
      </c>
      <c r="L3910" s="462">
        <f>IF(S3910=0,0,VLOOKUP(YEAR(S3910),INPC!$B$4:$O$29,MONTH(S3910)+1))</f>
        <v>0</v>
      </c>
      <c r="M3910" s="463">
        <f t="shared" si="296"/>
        <v>0</v>
      </c>
      <c r="N3910" s="465">
        <f t="shared" si="297"/>
        <v>0</v>
      </c>
      <c r="O3910" s="179"/>
      <c r="P3910" s="180"/>
      <c r="Q3910" s="173"/>
      <c r="R3910" s="173"/>
      <c r="S3910" s="174"/>
      <c r="T3910" s="173"/>
      <c r="U3910" s="182"/>
      <c r="V3910" s="177">
        <f>IF(U3910=0,0,IF(T3910="MXN",1/HLOOKUP(YEAR(S3910)+(MONTH(S3910)/100),TC!$5:$37,DAY(S3910)+2,FALSE),VLOOKUP(T3910,Equivalencia!$1:$23,((MAX(Equivalencia!$3:$3)-YEAR(S3910))*14)+MONTH(S3910)+2,FALSE)))</f>
        <v>0</v>
      </c>
      <c r="W3910" s="178">
        <f t="shared" si="298"/>
        <v>0</v>
      </c>
      <c r="X3910" s="481">
        <f t="shared" si="299"/>
        <v>0</v>
      </c>
      <c r="Y3910" s="179"/>
      <c r="Z3910" s="466">
        <f t="shared" si="300"/>
        <v>0</v>
      </c>
      <c r="AA3910" s="473">
        <f t="shared" si="301"/>
        <v>0</v>
      </c>
      <c r="AB3910" s="339">
        <f t="shared" si="302"/>
        <v>0</v>
      </c>
    </row>
    <row r="3911" spans="2:28" ht="20.100000000000001" customHeight="1">
      <c r="B3911" s="172"/>
      <c r="C3911" s="174"/>
      <c r="D3911" s="181"/>
      <c r="E3911" s="173"/>
      <c r="F3911" s="176"/>
      <c r="G3911" s="175">
        <f t="shared" si="293"/>
        <v>0</v>
      </c>
      <c r="H3911" s="175">
        <f t="shared" si="294"/>
        <v>0</v>
      </c>
      <c r="I3911" s="177">
        <f>IF(G3911=0,0,IF(E3911="MXN",1/HLOOKUP(YEAR(C3911)+(MONTH(C3911)/100),TC!$5:$37,DAY(C3911)+2,FALSE),VLOOKUP(E3911,Equivalencia!$5:$23,((MAX(Equivalencia!$3:$3)-YEAR(C3911))*14)+MONTH(C3911)+2,FALSE)))</f>
        <v>0</v>
      </c>
      <c r="J3911" s="178">
        <f t="shared" si="295"/>
        <v>0</v>
      </c>
      <c r="K3911" s="462">
        <f>IF(C3911=0,0,VLOOKUP(YEAR(C3911),INPC!$B$4:$O$29,MONTH(C3911)+1))</f>
        <v>0</v>
      </c>
      <c r="L3911" s="462">
        <f>IF(S3911=0,0,VLOOKUP(YEAR(S3911),INPC!$B$4:$O$29,MONTH(S3911)+1))</f>
        <v>0</v>
      </c>
      <c r="M3911" s="463">
        <f t="shared" si="296"/>
        <v>0</v>
      </c>
      <c r="N3911" s="465">
        <f t="shared" si="297"/>
        <v>0</v>
      </c>
      <c r="O3911" s="179"/>
      <c r="P3911" s="180"/>
      <c r="Q3911" s="173"/>
      <c r="R3911" s="173"/>
      <c r="S3911" s="174"/>
      <c r="T3911" s="173"/>
      <c r="U3911" s="182"/>
      <c r="V3911" s="177">
        <f>IF(U3911=0,0,IF(T3911="MXN",1/HLOOKUP(YEAR(S3911)+(MONTH(S3911)/100),TC!$5:$37,DAY(S3911)+2,FALSE),VLOOKUP(T3911,Equivalencia!$1:$23,((MAX(Equivalencia!$3:$3)-YEAR(S3911))*14)+MONTH(S3911)+2,FALSE)))</f>
        <v>0</v>
      </c>
      <c r="W3911" s="178">
        <f t="shared" si="298"/>
        <v>0</v>
      </c>
      <c r="X3911" s="481">
        <f t="shared" si="299"/>
        <v>0</v>
      </c>
      <c r="Y3911" s="179"/>
      <c r="Z3911" s="466">
        <f t="shared" si="300"/>
        <v>0</v>
      </c>
      <c r="AA3911" s="473">
        <f t="shared" si="301"/>
        <v>0</v>
      </c>
      <c r="AB3911" s="339">
        <f t="shared" si="302"/>
        <v>0</v>
      </c>
    </row>
    <row r="3912" spans="2:28" ht="20.100000000000001" customHeight="1">
      <c r="B3912" s="172"/>
      <c r="C3912" s="174"/>
      <c r="D3912" s="181"/>
      <c r="E3912" s="173"/>
      <c r="F3912" s="176"/>
      <c r="G3912" s="175">
        <f t="shared" si="293"/>
        <v>0</v>
      </c>
      <c r="H3912" s="175">
        <f t="shared" si="294"/>
        <v>0</v>
      </c>
      <c r="I3912" s="177">
        <f>IF(G3912=0,0,IF(E3912="MXN",1/HLOOKUP(YEAR(C3912)+(MONTH(C3912)/100),TC!$5:$37,DAY(C3912)+2,FALSE),VLOOKUP(E3912,Equivalencia!$5:$23,((MAX(Equivalencia!$3:$3)-YEAR(C3912))*14)+MONTH(C3912)+2,FALSE)))</f>
        <v>0</v>
      </c>
      <c r="J3912" s="178">
        <f t="shared" si="295"/>
        <v>0</v>
      </c>
      <c r="K3912" s="462">
        <f>IF(C3912=0,0,VLOOKUP(YEAR(C3912),INPC!$B$4:$O$29,MONTH(C3912)+1))</f>
        <v>0</v>
      </c>
      <c r="L3912" s="462">
        <f>IF(S3912=0,0,VLOOKUP(YEAR(S3912),INPC!$B$4:$O$29,MONTH(S3912)+1))</f>
        <v>0</v>
      </c>
      <c r="M3912" s="463">
        <f t="shared" si="296"/>
        <v>0</v>
      </c>
      <c r="N3912" s="465">
        <f t="shared" si="297"/>
        <v>0</v>
      </c>
      <c r="O3912" s="179"/>
      <c r="P3912" s="180"/>
      <c r="Q3912" s="173"/>
      <c r="R3912" s="173"/>
      <c r="S3912" s="174"/>
      <c r="T3912" s="173"/>
      <c r="U3912" s="182"/>
      <c r="V3912" s="177">
        <f>IF(U3912=0,0,IF(T3912="MXN",1/HLOOKUP(YEAR(S3912)+(MONTH(S3912)/100),TC!$5:$37,DAY(S3912)+2,FALSE),VLOOKUP(T3912,Equivalencia!$1:$23,((MAX(Equivalencia!$3:$3)-YEAR(S3912))*14)+MONTH(S3912)+2,FALSE)))</f>
        <v>0</v>
      </c>
      <c r="W3912" s="178">
        <f t="shared" si="298"/>
        <v>0</v>
      </c>
      <c r="X3912" s="481">
        <f t="shared" si="299"/>
        <v>0</v>
      </c>
      <c r="Y3912" s="179"/>
      <c r="Z3912" s="466">
        <f t="shared" si="300"/>
        <v>0</v>
      </c>
      <c r="AA3912" s="473">
        <f t="shared" si="301"/>
        <v>0</v>
      </c>
      <c r="AB3912" s="339">
        <f t="shared" si="302"/>
        <v>0</v>
      </c>
    </row>
    <row r="3913" spans="2:28" ht="20.100000000000001" customHeight="1">
      <c r="B3913" s="172"/>
      <c r="C3913" s="174"/>
      <c r="D3913" s="181"/>
      <c r="E3913" s="173"/>
      <c r="F3913" s="176"/>
      <c r="G3913" s="175">
        <f t="shared" si="293"/>
        <v>0</v>
      </c>
      <c r="H3913" s="175">
        <f t="shared" si="294"/>
        <v>0</v>
      </c>
      <c r="I3913" s="177">
        <f>IF(G3913=0,0,IF(E3913="MXN",1/HLOOKUP(YEAR(C3913)+(MONTH(C3913)/100),TC!$5:$37,DAY(C3913)+2,FALSE),VLOOKUP(E3913,Equivalencia!$5:$23,((MAX(Equivalencia!$3:$3)-YEAR(C3913))*14)+MONTH(C3913)+2,FALSE)))</f>
        <v>0</v>
      </c>
      <c r="J3913" s="178">
        <f t="shared" si="295"/>
        <v>0</v>
      </c>
      <c r="K3913" s="462">
        <f>IF(C3913=0,0,VLOOKUP(YEAR(C3913),INPC!$B$4:$O$29,MONTH(C3913)+1))</f>
        <v>0</v>
      </c>
      <c r="L3913" s="462">
        <f>IF(S3913=0,0,VLOOKUP(YEAR(S3913),INPC!$B$4:$O$29,MONTH(S3913)+1))</f>
        <v>0</v>
      </c>
      <c r="M3913" s="463">
        <f t="shared" si="296"/>
        <v>0</v>
      </c>
      <c r="N3913" s="465">
        <f t="shared" si="297"/>
        <v>0</v>
      </c>
      <c r="O3913" s="179"/>
      <c r="P3913" s="180"/>
      <c r="Q3913" s="173"/>
      <c r="R3913" s="173"/>
      <c r="S3913" s="174"/>
      <c r="T3913" s="173"/>
      <c r="U3913" s="182"/>
      <c r="V3913" s="177">
        <f>IF(U3913=0,0,IF(T3913="MXN",1/HLOOKUP(YEAR(S3913)+(MONTH(S3913)/100),TC!$5:$37,DAY(S3913)+2,FALSE),VLOOKUP(T3913,Equivalencia!$1:$23,((MAX(Equivalencia!$3:$3)-YEAR(S3913))*14)+MONTH(S3913)+2,FALSE)))</f>
        <v>0</v>
      </c>
      <c r="W3913" s="178">
        <f t="shared" si="298"/>
        <v>0</v>
      </c>
      <c r="X3913" s="481">
        <f t="shared" si="299"/>
        <v>0</v>
      </c>
      <c r="Y3913" s="179"/>
      <c r="Z3913" s="466">
        <f t="shared" si="300"/>
        <v>0</v>
      </c>
      <c r="AA3913" s="473">
        <f t="shared" si="301"/>
        <v>0</v>
      </c>
      <c r="AB3913" s="339">
        <f t="shared" si="302"/>
        <v>0</v>
      </c>
    </row>
    <row r="3914" spans="2:28" ht="20.100000000000001" customHeight="1">
      <c r="B3914" s="172"/>
      <c r="C3914" s="174"/>
      <c r="D3914" s="181"/>
      <c r="E3914" s="173"/>
      <c r="F3914" s="176"/>
      <c r="G3914" s="175">
        <f t="shared" si="293"/>
        <v>0</v>
      </c>
      <c r="H3914" s="175">
        <f t="shared" si="294"/>
        <v>0</v>
      </c>
      <c r="I3914" s="177">
        <f>IF(G3914=0,0,IF(E3914="MXN",1/HLOOKUP(YEAR(C3914)+(MONTH(C3914)/100),TC!$5:$37,DAY(C3914)+2,FALSE),VLOOKUP(E3914,Equivalencia!$5:$23,((MAX(Equivalencia!$3:$3)-YEAR(C3914))*14)+MONTH(C3914)+2,FALSE)))</f>
        <v>0</v>
      </c>
      <c r="J3914" s="178">
        <f t="shared" si="295"/>
        <v>0</v>
      </c>
      <c r="K3914" s="462">
        <f>IF(C3914=0,0,VLOOKUP(YEAR(C3914),INPC!$B$4:$O$29,MONTH(C3914)+1))</f>
        <v>0</v>
      </c>
      <c r="L3914" s="462">
        <f>IF(S3914=0,0,VLOOKUP(YEAR(S3914),INPC!$B$4:$O$29,MONTH(S3914)+1))</f>
        <v>0</v>
      </c>
      <c r="M3914" s="463">
        <f t="shared" si="296"/>
        <v>0</v>
      </c>
      <c r="N3914" s="465">
        <f t="shared" si="297"/>
        <v>0</v>
      </c>
      <c r="O3914" s="179"/>
      <c r="P3914" s="180"/>
      <c r="Q3914" s="173"/>
      <c r="R3914" s="173"/>
      <c r="S3914" s="174"/>
      <c r="T3914" s="173"/>
      <c r="U3914" s="182"/>
      <c r="V3914" s="177">
        <f>IF(U3914=0,0,IF(T3914="MXN",1/HLOOKUP(YEAR(S3914)+(MONTH(S3914)/100),TC!$5:$37,DAY(S3914)+2,FALSE),VLOOKUP(T3914,Equivalencia!$1:$23,((MAX(Equivalencia!$3:$3)-YEAR(S3914))*14)+MONTH(S3914)+2,FALSE)))</f>
        <v>0</v>
      </c>
      <c r="W3914" s="178">
        <f t="shared" si="298"/>
        <v>0</v>
      </c>
      <c r="X3914" s="481">
        <f t="shared" si="299"/>
        <v>0</v>
      </c>
      <c r="Y3914" s="179"/>
      <c r="Z3914" s="466">
        <f t="shared" si="300"/>
        <v>0</v>
      </c>
      <c r="AA3914" s="473">
        <f t="shared" si="301"/>
        <v>0</v>
      </c>
      <c r="AB3914" s="339">
        <f t="shared" si="302"/>
        <v>0</v>
      </c>
    </row>
    <row r="3915" spans="2:28" ht="20.100000000000001" customHeight="1">
      <c r="B3915" s="172"/>
      <c r="C3915" s="174"/>
      <c r="D3915" s="181"/>
      <c r="E3915" s="173"/>
      <c r="F3915" s="176"/>
      <c r="G3915" s="175">
        <f t="shared" si="293"/>
        <v>0</v>
      </c>
      <c r="H3915" s="175">
        <f t="shared" si="294"/>
        <v>0</v>
      </c>
      <c r="I3915" s="177">
        <f>IF(G3915=0,0,IF(E3915="MXN",1/HLOOKUP(YEAR(C3915)+(MONTH(C3915)/100),TC!$5:$37,DAY(C3915)+2,FALSE),VLOOKUP(E3915,Equivalencia!$5:$23,((MAX(Equivalencia!$3:$3)-YEAR(C3915))*14)+MONTH(C3915)+2,FALSE)))</f>
        <v>0</v>
      </c>
      <c r="J3915" s="178">
        <f t="shared" si="295"/>
        <v>0</v>
      </c>
      <c r="K3915" s="462">
        <f>IF(C3915=0,0,VLOOKUP(YEAR(C3915),INPC!$B$4:$O$29,MONTH(C3915)+1))</f>
        <v>0</v>
      </c>
      <c r="L3915" s="462">
        <f>IF(S3915=0,0,VLOOKUP(YEAR(S3915),INPC!$B$4:$O$29,MONTH(S3915)+1))</f>
        <v>0</v>
      </c>
      <c r="M3915" s="463">
        <f t="shared" si="296"/>
        <v>0</v>
      </c>
      <c r="N3915" s="465">
        <f t="shared" si="297"/>
        <v>0</v>
      </c>
      <c r="O3915" s="179"/>
      <c r="P3915" s="180"/>
      <c r="Q3915" s="173"/>
      <c r="R3915" s="173"/>
      <c r="S3915" s="174"/>
      <c r="T3915" s="173"/>
      <c r="U3915" s="182"/>
      <c r="V3915" s="177">
        <f>IF(U3915=0,0,IF(T3915="MXN",1/HLOOKUP(YEAR(S3915)+(MONTH(S3915)/100),TC!$5:$37,DAY(S3915)+2,FALSE),VLOOKUP(T3915,Equivalencia!$1:$23,((MAX(Equivalencia!$3:$3)-YEAR(S3915))*14)+MONTH(S3915)+2,FALSE)))</f>
        <v>0</v>
      </c>
      <c r="W3915" s="178">
        <f t="shared" si="298"/>
        <v>0</v>
      </c>
      <c r="X3915" s="481">
        <f t="shared" si="299"/>
        <v>0</v>
      </c>
      <c r="Y3915" s="179"/>
      <c r="Z3915" s="466">
        <f t="shared" si="300"/>
        <v>0</v>
      </c>
      <c r="AA3915" s="473">
        <f t="shared" si="301"/>
        <v>0</v>
      </c>
      <c r="AB3915" s="339">
        <f t="shared" si="302"/>
        <v>0</v>
      </c>
    </row>
    <row r="3916" spans="2:28" ht="20.100000000000001" customHeight="1">
      <c r="B3916" s="172"/>
      <c r="C3916" s="174"/>
      <c r="D3916" s="181"/>
      <c r="E3916" s="173"/>
      <c r="F3916" s="176"/>
      <c r="G3916" s="175">
        <f t="shared" si="293"/>
        <v>0</v>
      </c>
      <c r="H3916" s="175">
        <f t="shared" si="294"/>
        <v>0</v>
      </c>
      <c r="I3916" s="177">
        <f>IF(G3916=0,0,IF(E3916="MXN",1/HLOOKUP(YEAR(C3916)+(MONTH(C3916)/100),TC!$5:$37,DAY(C3916)+2,FALSE),VLOOKUP(E3916,Equivalencia!$5:$23,((MAX(Equivalencia!$3:$3)-YEAR(C3916))*14)+MONTH(C3916)+2,FALSE)))</f>
        <v>0</v>
      </c>
      <c r="J3916" s="178">
        <f t="shared" si="295"/>
        <v>0</v>
      </c>
      <c r="K3916" s="462">
        <f>IF(C3916=0,0,VLOOKUP(YEAR(C3916),INPC!$B$4:$O$29,MONTH(C3916)+1))</f>
        <v>0</v>
      </c>
      <c r="L3916" s="462">
        <f>IF(S3916=0,0,VLOOKUP(YEAR(S3916),INPC!$B$4:$O$29,MONTH(S3916)+1))</f>
        <v>0</v>
      </c>
      <c r="M3916" s="463">
        <f t="shared" si="296"/>
        <v>0</v>
      </c>
      <c r="N3916" s="465">
        <f t="shared" si="297"/>
        <v>0</v>
      </c>
      <c r="O3916" s="179"/>
      <c r="P3916" s="180"/>
      <c r="Q3916" s="173"/>
      <c r="R3916" s="173"/>
      <c r="S3916" s="174"/>
      <c r="T3916" s="173"/>
      <c r="U3916" s="182"/>
      <c r="V3916" s="177">
        <f>IF(U3916=0,0,IF(T3916="MXN",1/HLOOKUP(YEAR(S3916)+(MONTH(S3916)/100),TC!$5:$37,DAY(S3916)+2,FALSE),VLOOKUP(T3916,Equivalencia!$1:$23,((MAX(Equivalencia!$3:$3)-YEAR(S3916))*14)+MONTH(S3916)+2,FALSE)))</f>
        <v>0</v>
      </c>
      <c r="W3916" s="178">
        <f t="shared" si="298"/>
        <v>0</v>
      </c>
      <c r="X3916" s="481">
        <f t="shared" si="299"/>
        <v>0</v>
      </c>
      <c r="Y3916" s="179"/>
      <c r="Z3916" s="466">
        <f t="shared" si="300"/>
        <v>0</v>
      </c>
      <c r="AA3916" s="473">
        <f t="shared" si="301"/>
        <v>0</v>
      </c>
      <c r="AB3916" s="339">
        <f t="shared" si="302"/>
        <v>0</v>
      </c>
    </row>
    <row r="3917" spans="2:28" ht="20.100000000000001" customHeight="1">
      <c r="B3917" s="172"/>
      <c r="C3917" s="174"/>
      <c r="D3917" s="181"/>
      <c r="E3917" s="173"/>
      <c r="F3917" s="176"/>
      <c r="G3917" s="175">
        <f t="shared" si="293"/>
        <v>0</v>
      </c>
      <c r="H3917" s="175">
        <f t="shared" si="294"/>
        <v>0</v>
      </c>
      <c r="I3917" s="177">
        <f>IF(G3917=0,0,IF(E3917="MXN",1/HLOOKUP(YEAR(C3917)+(MONTH(C3917)/100),TC!$5:$37,DAY(C3917)+2,FALSE),VLOOKUP(E3917,Equivalencia!$5:$23,((MAX(Equivalencia!$3:$3)-YEAR(C3917))*14)+MONTH(C3917)+2,FALSE)))</f>
        <v>0</v>
      </c>
      <c r="J3917" s="178">
        <f t="shared" si="295"/>
        <v>0</v>
      </c>
      <c r="K3917" s="462">
        <f>IF(C3917=0,0,VLOOKUP(YEAR(C3917),INPC!$B$4:$O$29,MONTH(C3917)+1))</f>
        <v>0</v>
      </c>
      <c r="L3917" s="462">
        <f>IF(S3917=0,0,VLOOKUP(YEAR(S3917),INPC!$B$4:$O$29,MONTH(S3917)+1))</f>
        <v>0</v>
      </c>
      <c r="M3917" s="463">
        <f t="shared" si="296"/>
        <v>0</v>
      </c>
      <c r="N3917" s="465">
        <f t="shared" si="297"/>
        <v>0</v>
      </c>
      <c r="O3917" s="179"/>
      <c r="P3917" s="180"/>
      <c r="Q3917" s="173"/>
      <c r="R3917" s="173"/>
      <c r="S3917" s="174"/>
      <c r="T3917" s="173"/>
      <c r="U3917" s="182"/>
      <c r="V3917" s="177">
        <f>IF(U3917=0,0,IF(T3917="MXN",1/HLOOKUP(YEAR(S3917)+(MONTH(S3917)/100),TC!$5:$37,DAY(S3917)+2,FALSE),VLOOKUP(T3917,Equivalencia!$1:$23,((MAX(Equivalencia!$3:$3)-YEAR(S3917))*14)+MONTH(S3917)+2,FALSE)))</f>
        <v>0</v>
      </c>
      <c r="W3917" s="178">
        <f t="shared" si="298"/>
        <v>0</v>
      </c>
      <c r="X3917" s="481">
        <f t="shared" si="299"/>
        <v>0</v>
      </c>
      <c r="Y3917" s="179"/>
      <c r="Z3917" s="466">
        <f t="shared" si="300"/>
        <v>0</v>
      </c>
      <c r="AA3917" s="473">
        <f t="shared" si="301"/>
        <v>0</v>
      </c>
      <c r="AB3917" s="339">
        <f t="shared" si="302"/>
        <v>0</v>
      </c>
    </row>
    <row r="3918" spans="2:28" ht="20.100000000000001" customHeight="1">
      <c r="B3918" s="172"/>
      <c r="C3918" s="174"/>
      <c r="D3918" s="181"/>
      <c r="E3918" s="173"/>
      <c r="F3918" s="176"/>
      <c r="G3918" s="175">
        <f t="shared" si="293"/>
        <v>0</v>
      </c>
      <c r="H3918" s="175">
        <f t="shared" si="294"/>
        <v>0</v>
      </c>
      <c r="I3918" s="177">
        <f>IF(G3918=0,0,IF(E3918="MXN",1/HLOOKUP(YEAR(C3918)+(MONTH(C3918)/100),TC!$5:$37,DAY(C3918)+2,FALSE),VLOOKUP(E3918,Equivalencia!$5:$23,((MAX(Equivalencia!$3:$3)-YEAR(C3918))*14)+MONTH(C3918)+2,FALSE)))</f>
        <v>0</v>
      </c>
      <c r="J3918" s="178">
        <f t="shared" si="295"/>
        <v>0</v>
      </c>
      <c r="K3918" s="462">
        <f>IF(C3918=0,0,VLOOKUP(YEAR(C3918),INPC!$B$4:$O$29,MONTH(C3918)+1))</f>
        <v>0</v>
      </c>
      <c r="L3918" s="462">
        <f>IF(S3918=0,0,VLOOKUP(YEAR(S3918),INPC!$B$4:$O$29,MONTH(S3918)+1))</f>
        <v>0</v>
      </c>
      <c r="M3918" s="463">
        <f t="shared" si="296"/>
        <v>0</v>
      </c>
      <c r="N3918" s="465">
        <f t="shared" si="297"/>
        <v>0</v>
      </c>
      <c r="O3918" s="179"/>
      <c r="P3918" s="180"/>
      <c r="Q3918" s="173"/>
      <c r="R3918" s="173"/>
      <c r="S3918" s="174"/>
      <c r="T3918" s="173"/>
      <c r="U3918" s="182"/>
      <c r="V3918" s="177">
        <f>IF(U3918=0,0,IF(T3918="MXN",1/HLOOKUP(YEAR(S3918)+(MONTH(S3918)/100),TC!$5:$37,DAY(S3918)+2,FALSE),VLOOKUP(T3918,Equivalencia!$1:$23,((MAX(Equivalencia!$3:$3)-YEAR(S3918))*14)+MONTH(S3918)+2,FALSE)))</f>
        <v>0</v>
      </c>
      <c r="W3918" s="178">
        <f t="shared" si="298"/>
        <v>0</v>
      </c>
      <c r="X3918" s="481">
        <f t="shared" si="299"/>
        <v>0</v>
      </c>
      <c r="Y3918" s="179"/>
      <c r="Z3918" s="466">
        <f t="shared" si="300"/>
        <v>0</v>
      </c>
      <c r="AA3918" s="473">
        <f t="shared" si="301"/>
        <v>0</v>
      </c>
      <c r="AB3918" s="339">
        <f t="shared" si="302"/>
        <v>0</v>
      </c>
    </row>
    <row r="3919" spans="2:28" ht="20.100000000000001" customHeight="1">
      <c r="B3919" s="172"/>
      <c r="C3919" s="174"/>
      <c r="D3919" s="181"/>
      <c r="E3919" s="173"/>
      <c r="F3919" s="176"/>
      <c r="G3919" s="175">
        <f t="shared" si="293"/>
        <v>0</v>
      </c>
      <c r="H3919" s="175">
        <f t="shared" si="294"/>
        <v>0</v>
      </c>
      <c r="I3919" s="177">
        <f>IF(G3919=0,0,IF(E3919="MXN",1/HLOOKUP(YEAR(C3919)+(MONTH(C3919)/100),TC!$5:$37,DAY(C3919)+2,FALSE),VLOOKUP(E3919,Equivalencia!$5:$23,((MAX(Equivalencia!$3:$3)-YEAR(C3919))*14)+MONTH(C3919)+2,FALSE)))</f>
        <v>0</v>
      </c>
      <c r="J3919" s="178">
        <f t="shared" si="295"/>
        <v>0</v>
      </c>
      <c r="K3919" s="462">
        <f>IF(C3919=0,0,VLOOKUP(YEAR(C3919),INPC!$B$4:$O$29,MONTH(C3919)+1))</f>
        <v>0</v>
      </c>
      <c r="L3919" s="462">
        <f>IF(S3919=0,0,VLOOKUP(YEAR(S3919),INPC!$B$4:$O$29,MONTH(S3919)+1))</f>
        <v>0</v>
      </c>
      <c r="M3919" s="463">
        <f t="shared" si="296"/>
        <v>0</v>
      </c>
      <c r="N3919" s="465">
        <f t="shared" si="297"/>
        <v>0</v>
      </c>
      <c r="O3919" s="179"/>
      <c r="P3919" s="180"/>
      <c r="Q3919" s="173"/>
      <c r="R3919" s="173"/>
      <c r="S3919" s="174"/>
      <c r="T3919" s="173"/>
      <c r="U3919" s="182"/>
      <c r="V3919" s="177">
        <f>IF(U3919=0,0,IF(T3919="MXN",1/HLOOKUP(YEAR(S3919)+(MONTH(S3919)/100),TC!$5:$37,DAY(S3919)+2,FALSE),VLOOKUP(T3919,Equivalencia!$1:$23,((MAX(Equivalencia!$3:$3)-YEAR(S3919))*14)+MONTH(S3919)+2,FALSE)))</f>
        <v>0</v>
      </c>
      <c r="W3919" s="178">
        <f t="shared" si="298"/>
        <v>0</v>
      </c>
      <c r="X3919" s="481">
        <f t="shared" si="299"/>
        <v>0</v>
      </c>
      <c r="Y3919" s="179"/>
      <c r="Z3919" s="466">
        <f t="shared" si="300"/>
        <v>0</v>
      </c>
      <c r="AA3919" s="473">
        <f t="shared" si="301"/>
        <v>0</v>
      </c>
      <c r="AB3919" s="339">
        <f t="shared" si="302"/>
        <v>0</v>
      </c>
    </row>
    <row r="3920" spans="2:28" ht="20.100000000000001" customHeight="1">
      <c r="B3920" s="172"/>
      <c r="C3920" s="174"/>
      <c r="D3920" s="181"/>
      <c r="E3920" s="173"/>
      <c r="F3920" s="176"/>
      <c r="G3920" s="175">
        <f t="shared" si="293"/>
        <v>0</v>
      </c>
      <c r="H3920" s="175">
        <f t="shared" si="294"/>
        <v>0</v>
      </c>
      <c r="I3920" s="177">
        <f>IF(G3920=0,0,IF(E3920="MXN",1/HLOOKUP(YEAR(C3920)+(MONTH(C3920)/100),TC!$5:$37,DAY(C3920)+2,FALSE),VLOOKUP(E3920,Equivalencia!$5:$23,((MAX(Equivalencia!$3:$3)-YEAR(C3920))*14)+MONTH(C3920)+2,FALSE)))</f>
        <v>0</v>
      </c>
      <c r="J3920" s="178">
        <f t="shared" si="295"/>
        <v>0</v>
      </c>
      <c r="K3920" s="462">
        <f>IF(C3920=0,0,VLOOKUP(YEAR(C3920),INPC!$B$4:$O$29,MONTH(C3920)+1))</f>
        <v>0</v>
      </c>
      <c r="L3920" s="462">
        <f>IF(S3920=0,0,VLOOKUP(YEAR(S3920),INPC!$B$4:$O$29,MONTH(S3920)+1))</f>
        <v>0</v>
      </c>
      <c r="M3920" s="463">
        <f t="shared" si="296"/>
        <v>0</v>
      </c>
      <c r="N3920" s="465">
        <f t="shared" si="297"/>
        <v>0</v>
      </c>
      <c r="O3920" s="179"/>
      <c r="P3920" s="180"/>
      <c r="Q3920" s="173"/>
      <c r="R3920" s="173"/>
      <c r="S3920" s="174"/>
      <c r="T3920" s="173"/>
      <c r="U3920" s="182"/>
      <c r="V3920" s="177">
        <f>IF(U3920=0,0,IF(T3920="MXN",1/HLOOKUP(YEAR(S3920)+(MONTH(S3920)/100),TC!$5:$37,DAY(S3920)+2,FALSE),VLOOKUP(T3920,Equivalencia!$1:$23,((MAX(Equivalencia!$3:$3)-YEAR(S3920))*14)+MONTH(S3920)+2,FALSE)))</f>
        <v>0</v>
      </c>
      <c r="W3920" s="178">
        <f t="shared" si="298"/>
        <v>0</v>
      </c>
      <c r="X3920" s="481">
        <f t="shared" si="299"/>
        <v>0</v>
      </c>
      <c r="Y3920" s="179"/>
      <c r="Z3920" s="466">
        <f t="shared" si="300"/>
        <v>0</v>
      </c>
      <c r="AA3920" s="473">
        <f t="shared" si="301"/>
        <v>0</v>
      </c>
      <c r="AB3920" s="339">
        <f t="shared" si="302"/>
        <v>0</v>
      </c>
    </row>
    <row r="3921" spans="2:28" ht="20.100000000000001" customHeight="1">
      <c r="B3921" s="172"/>
      <c r="C3921" s="174"/>
      <c r="D3921" s="181"/>
      <c r="E3921" s="173"/>
      <c r="F3921" s="176"/>
      <c r="G3921" s="175">
        <f t="shared" si="293"/>
        <v>0</v>
      </c>
      <c r="H3921" s="175">
        <f t="shared" si="294"/>
        <v>0</v>
      </c>
      <c r="I3921" s="177">
        <f>IF(G3921=0,0,IF(E3921="MXN",1/HLOOKUP(YEAR(C3921)+(MONTH(C3921)/100),TC!$5:$37,DAY(C3921)+2,FALSE),VLOOKUP(E3921,Equivalencia!$5:$23,((MAX(Equivalencia!$3:$3)-YEAR(C3921))*14)+MONTH(C3921)+2,FALSE)))</f>
        <v>0</v>
      </c>
      <c r="J3921" s="178">
        <f t="shared" si="295"/>
        <v>0</v>
      </c>
      <c r="K3921" s="462">
        <f>IF(C3921=0,0,VLOOKUP(YEAR(C3921),INPC!$B$4:$O$29,MONTH(C3921)+1))</f>
        <v>0</v>
      </c>
      <c r="L3921" s="462">
        <f>IF(S3921=0,0,VLOOKUP(YEAR(S3921),INPC!$B$4:$O$29,MONTH(S3921)+1))</f>
        <v>0</v>
      </c>
      <c r="M3921" s="463">
        <f t="shared" si="296"/>
        <v>0</v>
      </c>
      <c r="N3921" s="465">
        <f t="shared" si="297"/>
        <v>0</v>
      </c>
      <c r="O3921" s="179"/>
      <c r="P3921" s="180"/>
      <c r="Q3921" s="173"/>
      <c r="R3921" s="173"/>
      <c r="S3921" s="174"/>
      <c r="T3921" s="173"/>
      <c r="U3921" s="182"/>
      <c r="V3921" s="177">
        <f>IF(U3921=0,0,IF(T3921="MXN",1/HLOOKUP(YEAR(S3921)+(MONTH(S3921)/100),TC!$5:$37,DAY(S3921)+2,FALSE),VLOOKUP(T3921,Equivalencia!$1:$23,((MAX(Equivalencia!$3:$3)-YEAR(S3921))*14)+MONTH(S3921)+2,FALSE)))</f>
        <v>0</v>
      </c>
      <c r="W3921" s="178">
        <f t="shared" si="298"/>
        <v>0</v>
      </c>
      <c r="X3921" s="481">
        <f t="shared" si="299"/>
        <v>0</v>
      </c>
      <c r="Y3921" s="179"/>
      <c r="Z3921" s="466">
        <f t="shared" si="300"/>
        <v>0</v>
      </c>
      <c r="AA3921" s="473">
        <f t="shared" si="301"/>
        <v>0</v>
      </c>
      <c r="AB3921" s="339">
        <f t="shared" si="302"/>
        <v>0</v>
      </c>
    </row>
    <row r="3922" spans="2:28" ht="20.100000000000001" customHeight="1">
      <c r="B3922" s="172"/>
      <c r="C3922" s="174"/>
      <c r="D3922" s="181"/>
      <c r="E3922" s="173"/>
      <c r="F3922" s="176"/>
      <c r="G3922" s="175">
        <f t="shared" si="293"/>
        <v>0</v>
      </c>
      <c r="H3922" s="175">
        <f t="shared" si="294"/>
        <v>0</v>
      </c>
      <c r="I3922" s="177">
        <f>IF(G3922=0,0,IF(E3922="MXN",1/HLOOKUP(YEAR(C3922)+(MONTH(C3922)/100),TC!$5:$37,DAY(C3922)+2,FALSE),VLOOKUP(E3922,Equivalencia!$5:$23,((MAX(Equivalencia!$3:$3)-YEAR(C3922))*14)+MONTH(C3922)+2,FALSE)))</f>
        <v>0</v>
      </c>
      <c r="J3922" s="178">
        <f t="shared" si="295"/>
        <v>0</v>
      </c>
      <c r="K3922" s="462">
        <f>IF(C3922=0,0,VLOOKUP(YEAR(C3922),INPC!$B$4:$O$29,MONTH(C3922)+1))</f>
        <v>0</v>
      </c>
      <c r="L3922" s="462">
        <f>IF(S3922=0,0,VLOOKUP(YEAR(S3922),INPC!$B$4:$O$29,MONTH(S3922)+1))</f>
        <v>0</v>
      </c>
      <c r="M3922" s="463">
        <f t="shared" si="296"/>
        <v>0</v>
      </c>
      <c r="N3922" s="465">
        <f t="shared" si="297"/>
        <v>0</v>
      </c>
      <c r="O3922" s="179"/>
      <c r="P3922" s="180"/>
      <c r="Q3922" s="173"/>
      <c r="R3922" s="173"/>
      <c r="S3922" s="174"/>
      <c r="T3922" s="173"/>
      <c r="U3922" s="182"/>
      <c r="V3922" s="177">
        <f>IF(U3922=0,0,IF(T3922="MXN",1/HLOOKUP(YEAR(S3922)+(MONTH(S3922)/100),TC!$5:$37,DAY(S3922)+2,FALSE),VLOOKUP(T3922,Equivalencia!$1:$23,((MAX(Equivalencia!$3:$3)-YEAR(S3922))*14)+MONTH(S3922)+2,FALSE)))</f>
        <v>0</v>
      </c>
      <c r="W3922" s="178">
        <f t="shared" si="298"/>
        <v>0</v>
      </c>
      <c r="X3922" s="481">
        <f t="shared" si="299"/>
        <v>0</v>
      </c>
      <c r="Y3922" s="179"/>
      <c r="Z3922" s="466">
        <f t="shared" si="300"/>
        <v>0</v>
      </c>
      <c r="AA3922" s="473">
        <f t="shared" si="301"/>
        <v>0</v>
      </c>
      <c r="AB3922" s="339">
        <f t="shared" si="302"/>
        <v>0</v>
      </c>
    </row>
    <row r="3923" spans="2:28" ht="20.100000000000001" customHeight="1">
      <c r="B3923" s="172"/>
      <c r="C3923" s="174"/>
      <c r="D3923" s="181"/>
      <c r="E3923" s="173"/>
      <c r="F3923" s="176"/>
      <c r="G3923" s="175">
        <f t="shared" si="293"/>
        <v>0</v>
      </c>
      <c r="H3923" s="175">
        <f t="shared" si="294"/>
        <v>0</v>
      </c>
      <c r="I3923" s="177">
        <f>IF(G3923=0,0,IF(E3923="MXN",1/HLOOKUP(YEAR(C3923)+(MONTH(C3923)/100),TC!$5:$37,DAY(C3923)+2,FALSE),VLOOKUP(E3923,Equivalencia!$5:$23,((MAX(Equivalencia!$3:$3)-YEAR(C3923))*14)+MONTH(C3923)+2,FALSE)))</f>
        <v>0</v>
      </c>
      <c r="J3923" s="178">
        <f t="shared" si="295"/>
        <v>0</v>
      </c>
      <c r="K3923" s="462">
        <f>IF(C3923=0,0,VLOOKUP(YEAR(C3923),INPC!$B$4:$O$29,MONTH(C3923)+1))</f>
        <v>0</v>
      </c>
      <c r="L3923" s="462">
        <f>IF(S3923=0,0,VLOOKUP(YEAR(S3923),INPC!$B$4:$O$29,MONTH(S3923)+1))</f>
        <v>0</v>
      </c>
      <c r="M3923" s="463">
        <f t="shared" si="296"/>
        <v>0</v>
      </c>
      <c r="N3923" s="465">
        <f t="shared" si="297"/>
        <v>0</v>
      </c>
      <c r="O3923" s="179"/>
      <c r="P3923" s="180"/>
      <c r="Q3923" s="173"/>
      <c r="R3923" s="173"/>
      <c r="S3923" s="174"/>
      <c r="T3923" s="173"/>
      <c r="U3923" s="182"/>
      <c r="V3923" s="177">
        <f>IF(U3923=0,0,IF(T3923="MXN",1/HLOOKUP(YEAR(S3923)+(MONTH(S3923)/100),TC!$5:$37,DAY(S3923)+2,FALSE),VLOOKUP(T3923,Equivalencia!$1:$23,((MAX(Equivalencia!$3:$3)-YEAR(S3923))*14)+MONTH(S3923)+2,FALSE)))</f>
        <v>0</v>
      </c>
      <c r="W3923" s="178">
        <f t="shared" si="298"/>
        <v>0</v>
      </c>
      <c r="X3923" s="481">
        <f t="shared" si="299"/>
        <v>0</v>
      </c>
      <c r="Y3923" s="179"/>
      <c r="Z3923" s="466">
        <f t="shared" si="300"/>
        <v>0</v>
      </c>
      <c r="AA3923" s="473">
        <f t="shared" si="301"/>
        <v>0</v>
      </c>
      <c r="AB3923" s="339">
        <f t="shared" si="302"/>
        <v>0</v>
      </c>
    </row>
    <row r="3924" spans="2:28" ht="20.100000000000001" customHeight="1">
      <c r="B3924" s="172"/>
      <c r="C3924" s="174"/>
      <c r="D3924" s="181"/>
      <c r="E3924" s="173"/>
      <c r="F3924" s="176"/>
      <c r="G3924" s="175">
        <f t="shared" si="293"/>
        <v>0</v>
      </c>
      <c r="H3924" s="175">
        <f t="shared" si="294"/>
        <v>0</v>
      </c>
      <c r="I3924" s="177">
        <f>IF(G3924=0,0,IF(E3924="MXN",1/HLOOKUP(YEAR(C3924)+(MONTH(C3924)/100),TC!$5:$37,DAY(C3924)+2,FALSE),VLOOKUP(E3924,Equivalencia!$5:$23,((MAX(Equivalencia!$3:$3)-YEAR(C3924))*14)+MONTH(C3924)+2,FALSE)))</f>
        <v>0</v>
      </c>
      <c r="J3924" s="178">
        <f t="shared" si="295"/>
        <v>0</v>
      </c>
      <c r="K3924" s="462">
        <f>IF(C3924=0,0,VLOOKUP(YEAR(C3924),INPC!$B$4:$O$29,MONTH(C3924)+1))</f>
        <v>0</v>
      </c>
      <c r="L3924" s="462">
        <f>IF(S3924=0,0,VLOOKUP(YEAR(S3924),INPC!$B$4:$O$29,MONTH(S3924)+1))</f>
        <v>0</v>
      </c>
      <c r="M3924" s="463">
        <f t="shared" si="296"/>
        <v>0</v>
      </c>
      <c r="N3924" s="465">
        <f t="shared" si="297"/>
        <v>0</v>
      </c>
      <c r="O3924" s="179"/>
      <c r="P3924" s="180"/>
      <c r="Q3924" s="173"/>
      <c r="R3924" s="173"/>
      <c r="S3924" s="174"/>
      <c r="T3924" s="173"/>
      <c r="U3924" s="182"/>
      <c r="V3924" s="177">
        <f>IF(U3924=0,0,IF(T3924="MXN",1/HLOOKUP(YEAR(S3924)+(MONTH(S3924)/100),TC!$5:$37,DAY(S3924)+2,FALSE),VLOOKUP(T3924,Equivalencia!$1:$23,((MAX(Equivalencia!$3:$3)-YEAR(S3924))*14)+MONTH(S3924)+2,FALSE)))</f>
        <v>0</v>
      </c>
      <c r="W3924" s="178">
        <f t="shared" si="298"/>
        <v>0</v>
      </c>
      <c r="X3924" s="481">
        <f t="shared" si="299"/>
        <v>0</v>
      </c>
      <c r="Y3924" s="179"/>
      <c r="Z3924" s="466">
        <f t="shared" si="300"/>
        <v>0</v>
      </c>
      <c r="AA3924" s="473">
        <f t="shared" si="301"/>
        <v>0</v>
      </c>
      <c r="AB3924" s="339">
        <f t="shared" si="302"/>
        <v>0</v>
      </c>
    </row>
    <row r="3925" spans="2:28" ht="20.100000000000001" customHeight="1">
      <c r="B3925" s="172"/>
      <c r="C3925" s="174"/>
      <c r="D3925" s="181"/>
      <c r="E3925" s="173"/>
      <c r="F3925" s="176"/>
      <c r="G3925" s="175">
        <f t="shared" si="293"/>
        <v>0</v>
      </c>
      <c r="H3925" s="175">
        <f t="shared" si="294"/>
        <v>0</v>
      </c>
      <c r="I3925" s="177">
        <f>IF(G3925=0,0,IF(E3925="MXN",1/HLOOKUP(YEAR(C3925)+(MONTH(C3925)/100),TC!$5:$37,DAY(C3925)+2,FALSE),VLOOKUP(E3925,Equivalencia!$5:$23,((MAX(Equivalencia!$3:$3)-YEAR(C3925))*14)+MONTH(C3925)+2,FALSE)))</f>
        <v>0</v>
      </c>
      <c r="J3925" s="178">
        <f t="shared" si="295"/>
        <v>0</v>
      </c>
      <c r="K3925" s="462">
        <f>IF(C3925=0,0,VLOOKUP(YEAR(C3925),INPC!$B$4:$O$29,MONTH(C3925)+1))</f>
        <v>0</v>
      </c>
      <c r="L3925" s="462">
        <f>IF(S3925=0,0,VLOOKUP(YEAR(S3925),INPC!$B$4:$O$29,MONTH(S3925)+1))</f>
        <v>0</v>
      </c>
      <c r="M3925" s="463">
        <f t="shared" si="296"/>
        <v>0</v>
      </c>
      <c r="N3925" s="465">
        <f t="shared" si="297"/>
        <v>0</v>
      </c>
      <c r="O3925" s="179"/>
      <c r="P3925" s="180"/>
      <c r="Q3925" s="173"/>
      <c r="R3925" s="173"/>
      <c r="S3925" s="174"/>
      <c r="T3925" s="173"/>
      <c r="U3925" s="182"/>
      <c r="V3925" s="177">
        <f>IF(U3925=0,0,IF(T3925="MXN",1/HLOOKUP(YEAR(S3925)+(MONTH(S3925)/100),TC!$5:$37,DAY(S3925)+2,FALSE),VLOOKUP(T3925,Equivalencia!$1:$23,((MAX(Equivalencia!$3:$3)-YEAR(S3925))*14)+MONTH(S3925)+2,FALSE)))</f>
        <v>0</v>
      </c>
      <c r="W3925" s="178">
        <f t="shared" si="298"/>
        <v>0</v>
      </c>
      <c r="X3925" s="481">
        <f t="shared" si="299"/>
        <v>0</v>
      </c>
      <c r="Y3925" s="179"/>
      <c r="Z3925" s="466">
        <f t="shared" si="300"/>
        <v>0</v>
      </c>
      <c r="AA3925" s="473">
        <f t="shared" si="301"/>
        <v>0</v>
      </c>
      <c r="AB3925" s="339">
        <f t="shared" si="302"/>
        <v>0</v>
      </c>
    </row>
    <row r="3926" spans="2:28" ht="20.100000000000001" customHeight="1">
      <c r="B3926" s="172"/>
      <c r="C3926" s="174"/>
      <c r="D3926" s="181"/>
      <c r="E3926" s="173"/>
      <c r="F3926" s="176"/>
      <c r="G3926" s="175">
        <f t="shared" si="293"/>
        <v>0</v>
      </c>
      <c r="H3926" s="175">
        <f t="shared" si="294"/>
        <v>0</v>
      </c>
      <c r="I3926" s="177">
        <f>IF(G3926=0,0,IF(E3926="MXN",1/HLOOKUP(YEAR(C3926)+(MONTH(C3926)/100),TC!$5:$37,DAY(C3926)+2,FALSE),VLOOKUP(E3926,Equivalencia!$5:$23,((MAX(Equivalencia!$3:$3)-YEAR(C3926))*14)+MONTH(C3926)+2,FALSE)))</f>
        <v>0</v>
      </c>
      <c r="J3926" s="178">
        <f t="shared" si="295"/>
        <v>0</v>
      </c>
      <c r="K3926" s="462">
        <f>IF(C3926=0,0,VLOOKUP(YEAR(C3926),INPC!$B$4:$O$29,MONTH(C3926)+1))</f>
        <v>0</v>
      </c>
      <c r="L3926" s="462">
        <f>IF(S3926=0,0,VLOOKUP(YEAR(S3926),INPC!$B$4:$O$29,MONTH(S3926)+1))</f>
        <v>0</v>
      </c>
      <c r="M3926" s="463">
        <f t="shared" si="296"/>
        <v>0</v>
      </c>
      <c r="N3926" s="465">
        <f t="shared" si="297"/>
        <v>0</v>
      </c>
      <c r="O3926" s="179"/>
      <c r="P3926" s="180"/>
      <c r="Q3926" s="173"/>
      <c r="R3926" s="173"/>
      <c r="S3926" s="174"/>
      <c r="T3926" s="173"/>
      <c r="U3926" s="182"/>
      <c r="V3926" s="177">
        <f>IF(U3926=0,0,IF(T3926="MXN",1/HLOOKUP(YEAR(S3926)+(MONTH(S3926)/100),TC!$5:$37,DAY(S3926)+2,FALSE),VLOOKUP(T3926,Equivalencia!$1:$23,((MAX(Equivalencia!$3:$3)-YEAR(S3926))*14)+MONTH(S3926)+2,FALSE)))</f>
        <v>0</v>
      </c>
      <c r="W3926" s="178">
        <f t="shared" si="298"/>
        <v>0</v>
      </c>
      <c r="X3926" s="481">
        <f t="shared" si="299"/>
        <v>0</v>
      </c>
      <c r="Y3926" s="179"/>
      <c r="Z3926" s="466">
        <f t="shared" si="300"/>
        <v>0</v>
      </c>
      <c r="AA3926" s="473">
        <f t="shared" si="301"/>
        <v>0</v>
      </c>
      <c r="AB3926" s="339">
        <f t="shared" si="302"/>
        <v>0</v>
      </c>
    </row>
    <row r="3927" spans="2:28" ht="20.100000000000001" customHeight="1">
      <c r="B3927" s="172"/>
      <c r="C3927" s="174"/>
      <c r="D3927" s="181"/>
      <c r="E3927" s="173"/>
      <c r="F3927" s="176"/>
      <c r="G3927" s="175">
        <f t="shared" si="293"/>
        <v>0</v>
      </c>
      <c r="H3927" s="175">
        <f t="shared" si="294"/>
        <v>0</v>
      </c>
      <c r="I3927" s="177">
        <f>IF(G3927=0,0,IF(E3927="MXN",1/HLOOKUP(YEAR(C3927)+(MONTH(C3927)/100),TC!$5:$37,DAY(C3927)+2,FALSE),VLOOKUP(E3927,Equivalencia!$5:$23,((MAX(Equivalencia!$3:$3)-YEAR(C3927))*14)+MONTH(C3927)+2,FALSE)))</f>
        <v>0</v>
      </c>
      <c r="J3927" s="178">
        <f t="shared" si="295"/>
        <v>0</v>
      </c>
      <c r="K3927" s="462">
        <f>IF(C3927=0,0,VLOOKUP(YEAR(C3927),INPC!$B$4:$O$29,MONTH(C3927)+1))</f>
        <v>0</v>
      </c>
      <c r="L3927" s="462">
        <f>IF(S3927=0,0,VLOOKUP(YEAR(S3927),INPC!$B$4:$O$29,MONTH(S3927)+1))</f>
        <v>0</v>
      </c>
      <c r="M3927" s="463">
        <f t="shared" si="296"/>
        <v>0</v>
      </c>
      <c r="N3927" s="465">
        <f t="shared" si="297"/>
        <v>0</v>
      </c>
      <c r="O3927" s="179"/>
      <c r="P3927" s="180"/>
      <c r="Q3927" s="173"/>
      <c r="R3927" s="173"/>
      <c r="S3927" s="174"/>
      <c r="T3927" s="173"/>
      <c r="U3927" s="182"/>
      <c r="V3927" s="177">
        <f>IF(U3927=0,0,IF(T3927="MXN",1/HLOOKUP(YEAR(S3927)+(MONTH(S3927)/100),TC!$5:$37,DAY(S3927)+2,FALSE),VLOOKUP(T3927,Equivalencia!$1:$23,((MAX(Equivalencia!$3:$3)-YEAR(S3927))*14)+MONTH(S3927)+2,FALSE)))</f>
        <v>0</v>
      </c>
      <c r="W3927" s="178">
        <f t="shared" si="298"/>
        <v>0</v>
      </c>
      <c r="X3927" s="481">
        <f t="shared" si="299"/>
        <v>0</v>
      </c>
      <c r="Y3927" s="179"/>
      <c r="Z3927" s="466">
        <f t="shared" si="300"/>
        <v>0</v>
      </c>
      <c r="AA3927" s="473">
        <f t="shared" si="301"/>
        <v>0</v>
      </c>
      <c r="AB3927" s="339">
        <f t="shared" si="302"/>
        <v>0</v>
      </c>
    </row>
    <row r="3928" spans="2:28" ht="20.100000000000001" customHeight="1">
      <c r="B3928" s="172"/>
      <c r="C3928" s="174"/>
      <c r="D3928" s="181"/>
      <c r="E3928" s="173"/>
      <c r="F3928" s="176"/>
      <c r="G3928" s="175">
        <f t="shared" si="293"/>
        <v>0</v>
      </c>
      <c r="H3928" s="175">
        <f t="shared" si="294"/>
        <v>0</v>
      </c>
      <c r="I3928" s="177">
        <f>IF(G3928=0,0,IF(E3928="MXN",1/HLOOKUP(YEAR(C3928)+(MONTH(C3928)/100),TC!$5:$37,DAY(C3928)+2,FALSE),VLOOKUP(E3928,Equivalencia!$5:$23,((MAX(Equivalencia!$3:$3)-YEAR(C3928))*14)+MONTH(C3928)+2,FALSE)))</f>
        <v>0</v>
      </c>
      <c r="J3928" s="178">
        <f t="shared" si="295"/>
        <v>0</v>
      </c>
      <c r="K3928" s="462">
        <f>IF(C3928=0,0,VLOOKUP(YEAR(C3928),INPC!$B$4:$O$29,MONTH(C3928)+1))</f>
        <v>0</v>
      </c>
      <c r="L3928" s="462">
        <f>IF(S3928=0,0,VLOOKUP(YEAR(S3928),INPC!$B$4:$O$29,MONTH(S3928)+1))</f>
        <v>0</v>
      </c>
      <c r="M3928" s="463">
        <f t="shared" si="296"/>
        <v>0</v>
      </c>
      <c r="N3928" s="465">
        <f t="shared" si="297"/>
        <v>0</v>
      </c>
      <c r="O3928" s="179"/>
      <c r="P3928" s="180"/>
      <c r="Q3928" s="173"/>
      <c r="R3928" s="173"/>
      <c r="S3928" s="174"/>
      <c r="T3928" s="173"/>
      <c r="U3928" s="182"/>
      <c r="V3928" s="177">
        <f>IF(U3928=0,0,IF(T3928="MXN",1/HLOOKUP(YEAR(S3928)+(MONTH(S3928)/100),TC!$5:$37,DAY(S3928)+2,FALSE),VLOOKUP(T3928,Equivalencia!$1:$23,((MAX(Equivalencia!$3:$3)-YEAR(S3928))*14)+MONTH(S3928)+2,FALSE)))</f>
        <v>0</v>
      </c>
      <c r="W3928" s="178">
        <f t="shared" si="298"/>
        <v>0</v>
      </c>
      <c r="X3928" s="481">
        <f t="shared" si="299"/>
        <v>0</v>
      </c>
      <c r="Y3928" s="179"/>
      <c r="Z3928" s="466">
        <f t="shared" si="300"/>
        <v>0</v>
      </c>
      <c r="AA3928" s="473">
        <f t="shared" si="301"/>
        <v>0</v>
      </c>
      <c r="AB3928" s="339">
        <f t="shared" si="302"/>
        <v>0</v>
      </c>
    </row>
    <row r="3929" spans="2:28" ht="20.100000000000001" customHeight="1">
      <c r="B3929" s="172"/>
      <c r="C3929" s="174"/>
      <c r="D3929" s="181"/>
      <c r="E3929" s="173"/>
      <c r="F3929" s="176"/>
      <c r="G3929" s="175">
        <f t="shared" si="293"/>
        <v>0</v>
      </c>
      <c r="H3929" s="175">
        <f t="shared" si="294"/>
        <v>0</v>
      </c>
      <c r="I3929" s="177">
        <f>IF(G3929=0,0,IF(E3929="MXN",1/HLOOKUP(YEAR(C3929)+(MONTH(C3929)/100),TC!$5:$37,DAY(C3929)+2,FALSE),VLOOKUP(E3929,Equivalencia!$5:$23,((MAX(Equivalencia!$3:$3)-YEAR(C3929))*14)+MONTH(C3929)+2,FALSE)))</f>
        <v>0</v>
      </c>
      <c r="J3929" s="178">
        <f t="shared" si="295"/>
        <v>0</v>
      </c>
      <c r="K3929" s="462">
        <f>IF(C3929=0,0,VLOOKUP(YEAR(C3929),INPC!$B$4:$O$29,MONTH(C3929)+1))</f>
        <v>0</v>
      </c>
      <c r="L3929" s="462">
        <f>IF(S3929=0,0,VLOOKUP(YEAR(S3929),INPC!$B$4:$O$29,MONTH(S3929)+1))</f>
        <v>0</v>
      </c>
      <c r="M3929" s="463">
        <f t="shared" si="296"/>
        <v>0</v>
      </c>
      <c r="N3929" s="465">
        <f t="shared" si="297"/>
        <v>0</v>
      </c>
      <c r="O3929" s="179"/>
      <c r="P3929" s="180"/>
      <c r="Q3929" s="173"/>
      <c r="R3929" s="173"/>
      <c r="S3929" s="174"/>
      <c r="T3929" s="173"/>
      <c r="U3929" s="182"/>
      <c r="V3929" s="177">
        <f>IF(U3929=0,0,IF(T3929="MXN",1/HLOOKUP(YEAR(S3929)+(MONTH(S3929)/100),TC!$5:$37,DAY(S3929)+2,FALSE),VLOOKUP(T3929,Equivalencia!$1:$23,((MAX(Equivalencia!$3:$3)-YEAR(S3929))*14)+MONTH(S3929)+2,FALSE)))</f>
        <v>0</v>
      </c>
      <c r="W3929" s="178">
        <f t="shared" si="298"/>
        <v>0</v>
      </c>
      <c r="X3929" s="481">
        <f t="shared" si="299"/>
        <v>0</v>
      </c>
      <c r="Y3929" s="179"/>
      <c r="Z3929" s="466">
        <f t="shared" si="300"/>
        <v>0</v>
      </c>
      <c r="AA3929" s="473">
        <f t="shared" si="301"/>
        <v>0</v>
      </c>
      <c r="AB3929" s="339">
        <f t="shared" si="302"/>
        <v>0</v>
      </c>
    </row>
    <row r="3930" spans="2:28" ht="20.100000000000001" customHeight="1">
      <c r="B3930" s="172"/>
      <c r="C3930" s="174"/>
      <c r="D3930" s="181"/>
      <c r="E3930" s="173"/>
      <c r="F3930" s="176"/>
      <c r="G3930" s="175">
        <f t="shared" si="293"/>
        <v>0</v>
      </c>
      <c r="H3930" s="175">
        <f t="shared" si="294"/>
        <v>0</v>
      </c>
      <c r="I3930" s="177">
        <f>IF(G3930=0,0,IF(E3930="MXN",1/HLOOKUP(YEAR(C3930)+(MONTH(C3930)/100),TC!$5:$37,DAY(C3930)+2,FALSE),VLOOKUP(E3930,Equivalencia!$5:$23,((MAX(Equivalencia!$3:$3)-YEAR(C3930))*14)+MONTH(C3930)+2,FALSE)))</f>
        <v>0</v>
      </c>
      <c r="J3930" s="178">
        <f t="shared" si="295"/>
        <v>0</v>
      </c>
      <c r="K3930" s="462">
        <f>IF(C3930=0,0,VLOOKUP(YEAR(C3930),INPC!$B$4:$O$29,MONTH(C3930)+1))</f>
        <v>0</v>
      </c>
      <c r="L3930" s="462">
        <f>IF(S3930=0,0,VLOOKUP(YEAR(S3930),INPC!$B$4:$O$29,MONTH(S3930)+1))</f>
        <v>0</v>
      </c>
      <c r="M3930" s="463">
        <f t="shared" si="296"/>
        <v>0</v>
      </c>
      <c r="N3930" s="465">
        <f t="shared" si="297"/>
        <v>0</v>
      </c>
      <c r="O3930" s="179"/>
      <c r="P3930" s="180"/>
      <c r="Q3930" s="173"/>
      <c r="R3930" s="173"/>
      <c r="S3930" s="174"/>
      <c r="T3930" s="173"/>
      <c r="U3930" s="182"/>
      <c r="V3930" s="177">
        <f>IF(U3930=0,0,IF(T3930="MXN",1/HLOOKUP(YEAR(S3930)+(MONTH(S3930)/100),TC!$5:$37,DAY(S3930)+2,FALSE),VLOOKUP(T3930,Equivalencia!$1:$23,((MAX(Equivalencia!$3:$3)-YEAR(S3930))*14)+MONTH(S3930)+2,FALSE)))</f>
        <v>0</v>
      </c>
      <c r="W3930" s="178">
        <f t="shared" si="298"/>
        <v>0</v>
      </c>
      <c r="X3930" s="481">
        <f t="shared" si="299"/>
        <v>0</v>
      </c>
      <c r="Y3930" s="179"/>
      <c r="Z3930" s="466">
        <f t="shared" si="300"/>
        <v>0</v>
      </c>
      <c r="AA3930" s="473">
        <f t="shared" si="301"/>
        <v>0</v>
      </c>
      <c r="AB3930" s="339">
        <f t="shared" si="302"/>
        <v>0</v>
      </c>
    </row>
    <row r="3931" spans="2:28" ht="20.100000000000001" customHeight="1">
      <c r="B3931" s="172"/>
      <c r="C3931" s="174"/>
      <c r="D3931" s="181"/>
      <c r="E3931" s="173"/>
      <c r="F3931" s="176"/>
      <c r="G3931" s="175">
        <f t="shared" si="293"/>
        <v>0</v>
      </c>
      <c r="H3931" s="175">
        <f t="shared" si="294"/>
        <v>0</v>
      </c>
      <c r="I3931" s="177">
        <f>IF(G3931=0,0,IF(E3931="MXN",1/HLOOKUP(YEAR(C3931)+(MONTH(C3931)/100),TC!$5:$37,DAY(C3931)+2,FALSE),VLOOKUP(E3931,Equivalencia!$5:$23,((MAX(Equivalencia!$3:$3)-YEAR(C3931))*14)+MONTH(C3931)+2,FALSE)))</f>
        <v>0</v>
      </c>
      <c r="J3931" s="178">
        <f t="shared" si="295"/>
        <v>0</v>
      </c>
      <c r="K3931" s="462">
        <f>IF(C3931=0,0,VLOOKUP(YEAR(C3931),INPC!$B$4:$O$29,MONTH(C3931)+1))</f>
        <v>0</v>
      </c>
      <c r="L3931" s="462">
        <f>IF(S3931=0,0,VLOOKUP(YEAR(S3931),INPC!$B$4:$O$29,MONTH(S3931)+1))</f>
        <v>0</v>
      </c>
      <c r="M3931" s="463">
        <f t="shared" si="296"/>
        <v>0</v>
      </c>
      <c r="N3931" s="465">
        <f t="shared" si="297"/>
        <v>0</v>
      </c>
      <c r="O3931" s="179"/>
      <c r="P3931" s="180"/>
      <c r="Q3931" s="173"/>
      <c r="R3931" s="173"/>
      <c r="S3931" s="174"/>
      <c r="T3931" s="173"/>
      <c r="U3931" s="182"/>
      <c r="V3931" s="177">
        <f>IF(U3931=0,0,IF(T3931="MXN",1/HLOOKUP(YEAR(S3931)+(MONTH(S3931)/100),TC!$5:$37,DAY(S3931)+2,FALSE),VLOOKUP(T3931,Equivalencia!$1:$23,((MAX(Equivalencia!$3:$3)-YEAR(S3931))*14)+MONTH(S3931)+2,FALSE)))</f>
        <v>0</v>
      </c>
      <c r="W3931" s="178">
        <f t="shared" si="298"/>
        <v>0</v>
      </c>
      <c r="X3931" s="481">
        <f t="shared" si="299"/>
        <v>0</v>
      </c>
      <c r="Y3931" s="179"/>
      <c r="Z3931" s="466">
        <f t="shared" si="300"/>
        <v>0</v>
      </c>
      <c r="AA3931" s="473">
        <f t="shared" si="301"/>
        <v>0</v>
      </c>
      <c r="AB3931" s="339">
        <f t="shared" si="302"/>
        <v>0</v>
      </c>
    </row>
    <row r="3932" spans="2:28" ht="20.100000000000001" customHeight="1">
      <c r="B3932" s="172"/>
      <c r="C3932" s="174"/>
      <c r="D3932" s="181"/>
      <c r="E3932" s="173"/>
      <c r="F3932" s="176"/>
      <c r="G3932" s="175">
        <f t="shared" si="293"/>
        <v>0</v>
      </c>
      <c r="H3932" s="175">
        <f t="shared" si="294"/>
        <v>0</v>
      </c>
      <c r="I3932" s="177">
        <f>IF(G3932=0,0,IF(E3932="MXN",1/HLOOKUP(YEAR(C3932)+(MONTH(C3932)/100),TC!$5:$37,DAY(C3932)+2,FALSE),VLOOKUP(E3932,Equivalencia!$5:$23,((MAX(Equivalencia!$3:$3)-YEAR(C3932))*14)+MONTH(C3932)+2,FALSE)))</f>
        <v>0</v>
      </c>
      <c r="J3932" s="178">
        <f t="shared" si="295"/>
        <v>0</v>
      </c>
      <c r="K3932" s="462">
        <f>IF(C3932=0,0,VLOOKUP(YEAR(C3932),INPC!$B$4:$O$29,MONTH(C3932)+1))</f>
        <v>0</v>
      </c>
      <c r="L3932" s="462">
        <f>IF(S3932=0,0,VLOOKUP(YEAR(S3932),INPC!$B$4:$O$29,MONTH(S3932)+1))</f>
        <v>0</v>
      </c>
      <c r="M3932" s="463">
        <f t="shared" si="296"/>
        <v>0</v>
      </c>
      <c r="N3932" s="465">
        <f t="shared" si="297"/>
        <v>0</v>
      </c>
      <c r="O3932" s="179"/>
      <c r="P3932" s="180"/>
      <c r="Q3932" s="173"/>
      <c r="R3932" s="173"/>
      <c r="S3932" s="174"/>
      <c r="T3932" s="173"/>
      <c r="U3932" s="182"/>
      <c r="V3932" s="177">
        <f>IF(U3932=0,0,IF(T3932="MXN",1/HLOOKUP(YEAR(S3932)+(MONTH(S3932)/100),TC!$5:$37,DAY(S3932)+2,FALSE),VLOOKUP(T3932,Equivalencia!$1:$23,((MAX(Equivalencia!$3:$3)-YEAR(S3932))*14)+MONTH(S3932)+2,FALSE)))</f>
        <v>0</v>
      </c>
      <c r="W3932" s="178">
        <f t="shared" si="298"/>
        <v>0</v>
      </c>
      <c r="X3932" s="481">
        <f t="shared" si="299"/>
        <v>0</v>
      </c>
      <c r="Y3932" s="179"/>
      <c r="Z3932" s="466">
        <f t="shared" si="300"/>
        <v>0</v>
      </c>
      <c r="AA3932" s="473">
        <f t="shared" si="301"/>
        <v>0</v>
      </c>
      <c r="AB3932" s="339">
        <f t="shared" si="302"/>
        <v>0</v>
      </c>
    </row>
    <row r="3933" spans="2:28" ht="20.100000000000001" customHeight="1">
      <c r="B3933" s="172"/>
      <c r="C3933" s="174"/>
      <c r="D3933" s="181"/>
      <c r="E3933" s="173"/>
      <c r="F3933" s="176"/>
      <c r="G3933" s="175">
        <f t="shared" si="293"/>
        <v>0</v>
      </c>
      <c r="H3933" s="175">
        <f t="shared" si="294"/>
        <v>0</v>
      </c>
      <c r="I3933" s="177">
        <f>IF(G3933=0,0,IF(E3933="MXN",1/HLOOKUP(YEAR(C3933)+(MONTH(C3933)/100),TC!$5:$37,DAY(C3933)+2,FALSE),VLOOKUP(E3933,Equivalencia!$5:$23,((MAX(Equivalencia!$3:$3)-YEAR(C3933))*14)+MONTH(C3933)+2,FALSE)))</f>
        <v>0</v>
      </c>
      <c r="J3933" s="178">
        <f t="shared" si="295"/>
        <v>0</v>
      </c>
      <c r="K3933" s="462">
        <f>IF(C3933=0,0,VLOOKUP(YEAR(C3933),INPC!$B$4:$O$29,MONTH(C3933)+1))</f>
        <v>0</v>
      </c>
      <c r="L3933" s="462">
        <f>IF(S3933=0,0,VLOOKUP(YEAR(S3933),INPC!$B$4:$O$29,MONTH(S3933)+1))</f>
        <v>0</v>
      </c>
      <c r="M3933" s="463">
        <f t="shared" si="296"/>
        <v>0</v>
      </c>
      <c r="N3933" s="465">
        <f t="shared" si="297"/>
        <v>0</v>
      </c>
      <c r="O3933" s="179"/>
      <c r="P3933" s="180"/>
      <c r="Q3933" s="173"/>
      <c r="R3933" s="173"/>
      <c r="S3933" s="174"/>
      <c r="T3933" s="173"/>
      <c r="U3933" s="182"/>
      <c r="V3933" s="177">
        <f>IF(U3933=0,0,IF(T3933="MXN",1/HLOOKUP(YEAR(S3933)+(MONTH(S3933)/100),TC!$5:$37,DAY(S3933)+2,FALSE),VLOOKUP(T3933,Equivalencia!$1:$23,((MAX(Equivalencia!$3:$3)-YEAR(S3933))*14)+MONTH(S3933)+2,FALSE)))</f>
        <v>0</v>
      </c>
      <c r="W3933" s="178">
        <f t="shared" si="298"/>
        <v>0</v>
      </c>
      <c r="X3933" s="481">
        <f t="shared" si="299"/>
        <v>0</v>
      </c>
      <c r="Y3933" s="179"/>
      <c r="Z3933" s="466">
        <f t="shared" si="300"/>
        <v>0</v>
      </c>
      <c r="AA3933" s="473">
        <f t="shared" si="301"/>
        <v>0</v>
      </c>
      <c r="AB3933" s="339">
        <f t="shared" si="302"/>
        <v>0</v>
      </c>
    </row>
    <row r="3934" spans="2:28" ht="20.100000000000001" customHeight="1">
      <c r="B3934" s="172"/>
      <c r="C3934" s="174"/>
      <c r="D3934" s="181"/>
      <c r="E3934" s="173"/>
      <c r="F3934" s="176"/>
      <c r="G3934" s="175">
        <f t="shared" si="293"/>
        <v>0</v>
      </c>
      <c r="H3934" s="175">
        <f t="shared" si="294"/>
        <v>0</v>
      </c>
      <c r="I3934" s="177">
        <f>IF(G3934=0,0,IF(E3934="MXN",1/HLOOKUP(YEAR(C3934)+(MONTH(C3934)/100),TC!$5:$37,DAY(C3934)+2,FALSE),VLOOKUP(E3934,Equivalencia!$5:$23,((MAX(Equivalencia!$3:$3)-YEAR(C3934))*14)+MONTH(C3934)+2,FALSE)))</f>
        <v>0</v>
      </c>
      <c r="J3934" s="178">
        <f t="shared" si="295"/>
        <v>0</v>
      </c>
      <c r="K3934" s="462">
        <f>IF(C3934=0,0,VLOOKUP(YEAR(C3934),INPC!$B$4:$O$29,MONTH(C3934)+1))</f>
        <v>0</v>
      </c>
      <c r="L3934" s="462">
        <f>IF(S3934=0,0,VLOOKUP(YEAR(S3934),INPC!$B$4:$O$29,MONTH(S3934)+1))</f>
        <v>0</v>
      </c>
      <c r="M3934" s="463">
        <f t="shared" si="296"/>
        <v>0</v>
      </c>
      <c r="N3934" s="465">
        <f t="shared" si="297"/>
        <v>0</v>
      </c>
      <c r="O3934" s="179"/>
      <c r="P3934" s="180"/>
      <c r="Q3934" s="173"/>
      <c r="R3934" s="173"/>
      <c r="S3934" s="174"/>
      <c r="T3934" s="173"/>
      <c r="U3934" s="182"/>
      <c r="V3934" s="177">
        <f>IF(U3934=0,0,IF(T3934="MXN",1/HLOOKUP(YEAR(S3934)+(MONTH(S3934)/100),TC!$5:$37,DAY(S3934)+2,FALSE),VLOOKUP(T3934,Equivalencia!$1:$23,((MAX(Equivalencia!$3:$3)-YEAR(S3934))*14)+MONTH(S3934)+2,FALSE)))</f>
        <v>0</v>
      </c>
      <c r="W3934" s="178">
        <f t="shared" si="298"/>
        <v>0</v>
      </c>
      <c r="X3934" s="481">
        <f t="shared" si="299"/>
        <v>0</v>
      </c>
      <c r="Y3934" s="179"/>
      <c r="Z3934" s="466">
        <f t="shared" si="300"/>
        <v>0</v>
      </c>
      <c r="AA3934" s="473">
        <f t="shared" si="301"/>
        <v>0</v>
      </c>
      <c r="AB3934" s="339">
        <f t="shared" si="302"/>
        <v>0</v>
      </c>
    </row>
    <row r="3935" spans="2:28" ht="20.100000000000001" customHeight="1">
      <c r="B3935" s="172"/>
      <c r="C3935" s="174"/>
      <c r="D3935" s="181"/>
      <c r="E3935" s="173"/>
      <c r="F3935" s="176"/>
      <c r="G3935" s="175">
        <f t="shared" si="293"/>
        <v>0</v>
      </c>
      <c r="H3935" s="175">
        <f t="shared" si="294"/>
        <v>0</v>
      </c>
      <c r="I3935" s="177">
        <f>IF(G3935=0,0,IF(E3935="MXN",1/HLOOKUP(YEAR(C3935)+(MONTH(C3935)/100),TC!$5:$37,DAY(C3935)+2,FALSE),VLOOKUP(E3935,Equivalencia!$5:$23,((MAX(Equivalencia!$3:$3)-YEAR(C3935))*14)+MONTH(C3935)+2,FALSE)))</f>
        <v>0</v>
      </c>
      <c r="J3935" s="178">
        <f t="shared" si="295"/>
        <v>0</v>
      </c>
      <c r="K3935" s="462">
        <f>IF(C3935=0,0,VLOOKUP(YEAR(C3935),INPC!$B$4:$O$29,MONTH(C3935)+1))</f>
        <v>0</v>
      </c>
      <c r="L3935" s="462">
        <f>IF(S3935=0,0,VLOOKUP(YEAR(S3935),INPC!$B$4:$O$29,MONTH(S3935)+1))</f>
        <v>0</v>
      </c>
      <c r="M3935" s="463">
        <f t="shared" si="296"/>
        <v>0</v>
      </c>
      <c r="N3935" s="465">
        <f t="shared" si="297"/>
        <v>0</v>
      </c>
      <c r="O3935" s="179"/>
      <c r="P3935" s="180"/>
      <c r="Q3935" s="173"/>
      <c r="R3935" s="173"/>
      <c r="S3935" s="174"/>
      <c r="T3935" s="173"/>
      <c r="U3935" s="182"/>
      <c r="V3935" s="177">
        <f>IF(U3935=0,0,IF(T3935="MXN",1/HLOOKUP(YEAR(S3935)+(MONTH(S3935)/100),TC!$5:$37,DAY(S3935)+2,FALSE),VLOOKUP(T3935,Equivalencia!$1:$23,((MAX(Equivalencia!$3:$3)-YEAR(S3935))*14)+MONTH(S3935)+2,FALSE)))</f>
        <v>0</v>
      </c>
      <c r="W3935" s="178">
        <f t="shared" si="298"/>
        <v>0</v>
      </c>
      <c r="X3935" s="481">
        <f t="shared" si="299"/>
        <v>0</v>
      </c>
      <c r="Y3935" s="179"/>
      <c r="Z3935" s="466">
        <f t="shared" si="300"/>
        <v>0</v>
      </c>
      <c r="AA3935" s="473">
        <f t="shared" si="301"/>
        <v>0</v>
      </c>
      <c r="AB3935" s="339">
        <f t="shared" si="302"/>
        <v>0</v>
      </c>
    </row>
    <row r="3936" spans="2:28" ht="20.100000000000001" customHeight="1">
      <c r="B3936" s="172"/>
      <c r="C3936" s="174"/>
      <c r="D3936" s="181"/>
      <c r="E3936" s="173"/>
      <c r="F3936" s="176"/>
      <c r="G3936" s="175">
        <f t="shared" si="293"/>
        <v>0</v>
      </c>
      <c r="H3936" s="175">
        <f t="shared" si="294"/>
        <v>0</v>
      </c>
      <c r="I3936" s="177">
        <f>IF(G3936=0,0,IF(E3936="MXN",1/HLOOKUP(YEAR(C3936)+(MONTH(C3936)/100),TC!$5:$37,DAY(C3936)+2,FALSE),VLOOKUP(E3936,Equivalencia!$5:$23,((MAX(Equivalencia!$3:$3)-YEAR(C3936))*14)+MONTH(C3936)+2,FALSE)))</f>
        <v>0</v>
      </c>
      <c r="J3936" s="178">
        <f t="shared" si="295"/>
        <v>0</v>
      </c>
      <c r="K3936" s="462">
        <f>IF(C3936=0,0,VLOOKUP(YEAR(C3936),INPC!$B$4:$O$29,MONTH(C3936)+1))</f>
        <v>0</v>
      </c>
      <c r="L3936" s="462">
        <f>IF(S3936=0,0,VLOOKUP(YEAR(S3936),INPC!$B$4:$O$29,MONTH(S3936)+1))</f>
        <v>0</v>
      </c>
      <c r="M3936" s="463">
        <f t="shared" si="296"/>
        <v>0</v>
      </c>
      <c r="N3936" s="465">
        <f t="shared" si="297"/>
        <v>0</v>
      </c>
      <c r="O3936" s="179"/>
      <c r="P3936" s="180"/>
      <c r="Q3936" s="173"/>
      <c r="R3936" s="173"/>
      <c r="S3936" s="174"/>
      <c r="T3936" s="173"/>
      <c r="U3936" s="182"/>
      <c r="V3936" s="177">
        <f>IF(U3936=0,0,IF(T3936="MXN",1/HLOOKUP(YEAR(S3936)+(MONTH(S3936)/100),TC!$5:$37,DAY(S3936)+2,FALSE),VLOOKUP(T3936,Equivalencia!$1:$23,((MAX(Equivalencia!$3:$3)-YEAR(S3936))*14)+MONTH(S3936)+2,FALSE)))</f>
        <v>0</v>
      </c>
      <c r="W3936" s="178">
        <f t="shared" si="298"/>
        <v>0</v>
      </c>
      <c r="X3936" s="481">
        <f t="shared" si="299"/>
        <v>0</v>
      </c>
      <c r="Y3936" s="179"/>
      <c r="Z3936" s="466">
        <f t="shared" si="300"/>
        <v>0</v>
      </c>
      <c r="AA3936" s="473">
        <f t="shared" si="301"/>
        <v>0</v>
      </c>
      <c r="AB3936" s="339">
        <f t="shared" si="302"/>
        <v>0</v>
      </c>
    </row>
    <row r="3937" spans="2:28" ht="20.100000000000001" customHeight="1">
      <c r="B3937" s="172"/>
      <c r="C3937" s="174"/>
      <c r="D3937" s="181"/>
      <c r="E3937" s="173"/>
      <c r="F3937" s="176"/>
      <c r="G3937" s="175">
        <f t="shared" si="293"/>
        <v>0</v>
      </c>
      <c r="H3937" s="175">
        <f t="shared" si="294"/>
        <v>0</v>
      </c>
      <c r="I3937" s="177">
        <f>IF(G3937=0,0,IF(E3937="MXN",1/HLOOKUP(YEAR(C3937)+(MONTH(C3937)/100),TC!$5:$37,DAY(C3937)+2,FALSE),VLOOKUP(E3937,Equivalencia!$5:$23,((MAX(Equivalencia!$3:$3)-YEAR(C3937))*14)+MONTH(C3937)+2,FALSE)))</f>
        <v>0</v>
      </c>
      <c r="J3937" s="178">
        <f t="shared" si="295"/>
        <v>0</v>
      </c>
      <c r="K3937" s="462">
        <f>IF(C3937=0,0,VLOOKUP(YEAR(C3937),INPC!$B$4:$O$29,MONTH(C3937)+1))</f>
        <v>0</v>
      </c>
      <c r="L3937" s="462">
        <f>IF(S3937=0,0,VLOOKUP(YEAR(S3937),INPC!$B$4:$O$29,MONTH(S3937)+1))</f>
        <v>0</v>
      </c>
      <c r="M3937" s="463">
        <f t="shared" si="296"/>
        <v>0</v>
      </c>
      <c r="N3937" s="465">
        <f t="shared" si="297"/>
        <v>0</v>
      </c>
      <c r="O3937" s="179"/>
      <c r="P3937" s="180"/>
      <c r="Q3937" s="173"/>
      <c r="R3937" s="173"/>
      <c r="S3937" s="174"/>
      <c r="T3937" s="173"/>
      <c r="U3937" s="182"/>
      <c r="V3937" s="177">
        <f>IF(U3937=0,0,IF(T3937="MXN",1/HLOOKUP(YEAR(S3937)+(MONTH(S3937)/100),TC!$5:$37,DAY(S3937)+2,FALSE),VLOOKUP(T3937,Equivalencia!$1:$23,((MAX(Equivalencia!$3:$3)-YEAR(S3937))*14)+MONTH(S3937)+2,FALSE)))</f>
        <v>0</v>
      </c>
      <c r="W3937" s="178">
        <f t="shared" si="298"/>
        <v>0</v>
      </c>
      <c r="X3937" s="481">
        <f t="shared" si="299"/>
        <v>0</v>
      </c>
      <c r="Y3937" s="179"/>
      <c r="Z3937" s="466">
        <f t="shared" si="300"/>
        <v>0</v>
      </c>
      <c r="AA3937" s="473">
        <f t="shared" si="301"/>
        <v>0</v>
      </c>
      <c r="AB3937" s="339">
        <f t="shared" si="302"/>
        <v>0</v>
      </c>
    </row>
    <row r="3938" spans="2:28" ht="20.100000000000001" customHeight="1">
      <c r="B3938" s="172"/>
      <c r="C3938" s="174"/>
      <c r="D3938" s="181"/>
      <c r="E3938" s="173"/>
      <c r="F3938" s="176"/>
      <c r="G3938" s="175">
        <f t="shared" si="293"/>
        <v>0</v>
      </c>
      <c r="H3938" s="175">
        <f t="shared" si="294"/>
        <v>0</v>
      </c>
      <c r="I3938" s="177">
        <f>IF(G3938=0,0,IF(E3938="MXN",1/HLOOKUP(YEAR(C3938)+(MONTH(C3938)/100),TC!$5:$37,DAY(C3938)+2,FALSE),VLOOKUP(E3938,Equivalencia!$5:$23,((MAX(Equivalencia!$3:$3)-YEAR(C3938))*14)+MONTH(C3938)+2,FALSE)))</f>
        <v>0</v>
      </c>
      <c r="J3938" s="178">
        <f t="shared" si="295"/>
        <v>0</v>
      </c>
      <c r="K3938" s="462">
        <f>IF(C3938=0,0,VLOOKUP(YEAR(C3938),INPC!$B$4:$O$29,MONTH(C3938)+1))</f>
        <v>0</v>
      </c>
      <c r="L3938" s="462">
        <f>IF(S3938=0,0,VLOOKUP(YEAR(S3938),INPC!$B$4:$O$29,MONTH(S3938)+1))</f>
        <v>0</v>
      </c>
      <c r="M3938" s="463">
        <f t="shared" si="296"/>
        <v>0</v>
      </c>
      <c r="N3938" s="465">
        <f t="shared" si="297"/>
        <v>0</v>
      </c>
      <c r="O3938" s="179"/>
      <c r="P3938" s="180"/>
      <c r="Q3938" s="173"/>
      <c r="R3938" s="173"/>
      <c r="S3938" s="174"/>
      <c r="T3938" s="173"/>
      <c r="U3938" s="182"/>
      <c r="V3938" s="177">
        <f>IF(U3938=0,0,IF(T3938="MXN",1/HLOOKUP(YEAR(S3938)+(MONTH(S3938)/100),TC!$5:$37,DAY(S3938)+2,FALSE),VLOOKUP(T3938,Equivalencia!$1:$23,((MAX(Equivalencia!$3:$3)-YEAR(S3938))*14)+MONTH(S3938)+2,FALSE)))</f>
        <v>0</v>
      </c>
      <c r="W3938" s="178">
        <f t="shared" si="298"/>
        <v>0</v>
      </c>
      <c r="X3938" s="481">
        <f t="shared" si="299"/>
        <v>0</v>
      </c>
      <c r="Y3938" s="179"/>
      <c r="Z3938" s="466">
        <f t="shared" si="300"/>
        <v>0</v>
      </c>
      <c r="AA3938" s="473">
        <f t="shared" si="301"/>
        <v>0</v>
      </c>
      <c r="AB3938" s="339">
        <f t="shared" si="302"/>
        <v>0</v>
      </c>
    </row>
    <row r="3939" spans="2:28" ht="20.100000000000001" customHeight="1">
      <c r="B3939" s="172"/>
      <c r="C3939" s="174"/>
      <c r="D3939" s="181"/>
      <c r="E3939" s="173"/>
      <c r="F3939" s="176"/>
      <c r="G3939" s="175">
        <f t="shared" si="160"/>
        <v>0</v>
      </c>
      <c r="H3939" s="175">
        <f t="shared" si="153"/>
        <v>0</v>
      </c>
      <c r="I3939" s="177">
        <f>IF(G3939=0,0,IF(E3939="MXN",1/HLOOKUP(YEAR(C3939)+(MONTH(C3939)/100),TC!$5:$37,DAY(C3939)+2,FALSE),VLOOKUP(E3939,Equivalencia!$5:$23,((MAX(Equivalencia!$3:$3)-YEAR(C3939))*14)+MONTH(C3939)+2,FALSE)))</f>
        <v>0</v>
      </c>
      <c r="J3939" s="178">
        <f t="shared" si="161"/>
        <v>0</v>
      </c>
      <c r="K3939" s="462">
        <f>IF(C3939=0,0,VLOOKUP(YEAR(C3939),INPC!$B$4:$O$29,MONTH(C3939)+1))</f>
        <v>0</v>
      </c>
      <c r="L3939" s="462">
        <f>IF(S3939=0,0,VLOOKUP(YEAR(S3939),INPC!$B$4:$O$29,MONTH(S3939)+1))</f>
        <v>0</v>
      </c>
      <c r="M3939" s="463">
        <f t="shared" si="154"/>
        <v>0</v>
      </c>
      <c r="N3939" s="465">
        <f t="shared" si="162"/>
        <v>0</v>
      </c>
      <c r="O3939" s="179"/>
      <c r="P3939" s="180"/>
      <c r="Q3939" s="173"/>
      <c r="R3939" s="173"/>
      <c r="S3939" s="174"/>
      <c r="T3939" s="173"/>
      <c r="U3939" s="182"/>
      <c r="V3939" s="177">
        <f>IF(U3939=0,0,IF(T3939="MXN",1/HLOOKUP(YEAR(S3939)+(MONTH(S3939)/100),TC!$5:$37,DAY(S3939)+2,FALSE),VLOOKUP(T3939,Equivalencia!$1:$23,((MAX(Equivalencia!$3:$3)-YEAR(S3939))*14)+MONTH(S3939)+2,FALSE)))</f>
        <v>0</v>
      </c>
      <c r="W3939" s="178">
        <f t="shared" si="159"/>
        <v>0</v>
      </c>
      <c r="X3939" s="481">
        <f t="shared" si="155"/>
        <v>0</v>
      </c>
      <c r="Y3939" s="179"/>
      <c r="Z3939" s="466">
        <f t="shared" si="156"/>
        <v>0</v>
      </c>
      <c r="AA3939" s="473">
        <f t="shared" si="157"/>
        <v>0</v>
      </c>
      <c r="AB3939" s="339">
        <f t="shared" si="158"/>
        <v>0</v>
      </c>
    </row>
    <row r="3940" spans="2:28" ht="20.100000000000001" customHeight="1">
      <c r="B3940" s="172"/>
      <c r="C3940" s="174"/>
      <c r="D3940" s="181"/>
      <c r="E3940" s="173"/>
      <c r="F3940" s="176"/>
      <c r="G3940" s="175">
        <f t="shared" si="160"/>
        <v>0</v>
      </c>
      <c r="H3940" s="175">
        <f t="shared" si="153"/>
        <v>0</v>
      </c>
      <c r="I3940" s="177">
        <f>IF(G3940=0,0,IF(E3940="MXN",1/HLOOKUP(YEAR(C3940)+(MONTH(C3940)/100),TC!$5:$37,DAY(C3940)+2,FALSE),VLOOKUP(E3940,Equivalencia!$5:$23,((MAX(Equivalencia!$3:$3)-YEAR(C3940))*14)+MONTH(C3940)+2,FALSE)))</f>
        <v>0</v>
      </c>
      <c r="J3940" s="178">
        <f t="shared" si="161"/>
        <v>0</v>
      </c>
      <c r="K3940" s="462">
        <f>IF(C3940=0,0,VLOOKUP(YEAR(C3940),INPC!$B$4:$O$29,MONTH(C3940)+1))</f>
        <v>0</v>
      </c>
      <c r="L3940" s="462">
        <f>IF(S3940=0,0,VLOOKUP(YEAR(S3940),INPC!$B$4:$O$29,MONTH(S3940)+1))</f>
        <v>0</v>
      </c>
      <c r="M3940" s="463">
        <f t="shared" si="154"/>
        <v>0</v>
      </c>
      <c r="N3940" s="465">
        <f t="shared" si="162"/>
        <v>0</v>
      </c>
      <c r="O3940" s="179"/>
      <c r="P3940" s="180"/>
      <c r="Q3940" s="173"/>
      <c r="R3940" s="173"/>
      <c r="S3940" s="174"/>
      <c r="T3940" s="173"/>
      <c r="U3940" s="182"/>
      <c r="V3940" s="177">
        <f>IF(U3940=0,0,IF(T3940="MXN",1/HLOOKUP(YEAR(S3940)+(MONTH(S3940)/100),TC!$5:$37,DAY(S3940)+2,FALSE),VLOOKUP(T3940,Equivalencia!$1:$23,((MAX(Equivalencia!$3:$3)-YEAR(S3940))*14)+MONTH(S3940)+2,FALSE)))</f>
        <v>0</v>
      </c>
      <c r="W3940" s="178">
        <f t="shared" si="159"/>
        <v>0</v>
      </c>
      <c r="X3940" s="481">
        <f t="shared" si="155"/>
        <v>0</v>
      </c>
      <c r="Y3940" s="179"/>
      <c r="Z3940" s="466">
        <f t="shared" si="156"/>
        <v>0</v>
      </c>
      <c r="AA3940" s="473">
        <f t="shared" si="157"/>
        <v>0</v>
      </c>
      <c r="AB3940" s="339">
        <f t="shared" si="158"/>
        <v>0</v>
      </c>
    </row>
    <row r="3941" spans="2:28" ht="20.100000000000001" customHeight="1">
      <c r="B3941" s="172"/>
      <c r="C3941" s="174"/>
      <c r="D3941" s="181"/>
      <c r="E3941" s="173"/>
      <c r="F3941" s="176"/>
      <c r="G3941" s="175">
        <f t="shared" si="160"/>
        <v>0</v>
      </c>
      <c r="H3941" s="175">
        <f t="shared" si="153"/>
        <v>0</v>
      </c>
      <c r="I3941" s="177">
        <f>IF(G3941=0,0,IF(E3941="MXN",1/HLOOKUP(YEAR(C3941)+(MONTH(C3941)/100),TC!$5:$37,DAY(C3941)+2,FALSE),VLOOKUP(E3941,Equivalencia!$5:$23,((MAX(Equivalencia!$3:$3)-YEAR(C3941))*14)+MONTH(C3941)+2,FALSE)))</f>
        <v>0</v>
      </c>
      <c r="J3941" s="178">
        <f t="shared" si="161"/>
        <v>0</v>
      </c>
      <c r="K3941" s="462">
        <f>IF(C3941=0,0,VLOOKUP(YEAR(C3941),INPC!$B$4:$O$29,MONTH(C3941)+1))</f>
        <v>0</v>
      </c>
      <c r="L3941" s="462">
        <f>IF(S3941=0,0,VLOOKUP(YEAR(S3941),INPC!$B$4:$O$29,MONTH(S3941)+1))</f>
        <v>0</v>
      </c>
      <c r="M3941" s="463">
        <f t="shared" si="154"/>
        <v>0</v>
      </c>
      <c r="N3941" s="465">
        <f t="shared" si="162"/>
        <v>0</v>
      </c>
      <c r="O3941" s="179"/>
      <c r="P3941" s="180"/>
      <c r="Q3941" s="173"/>
      <c r="R3941" s="173"/>
      <c r="S3941" s="174"/>
      <c r="T3941" s="173"/>
      <c r="U3941" s="182"/>
      <c r="V3941" s="177">
        <f>IF(U3941=0,0,IF(T3941="MXN",1/HLOOKUP(YEAR(S3941)+(MONTH(S3941)/100),TC!$5:$37,DAY(S3941)+2,FALSE),VLOOKUP(T3941,Equivalencia!$1:$23,((MAX(Equivalencia!$3:$3)-YEAR(S3941))*14)+MONTH(S3941)+2,FALSE)))</f>
        <v>0</v>
      </c>
      <c r="W3941" s="178">
        <f t="shared" si="159"/>
        <v>0</v>
      </c>
      <c r="X3941" s="481">
        <f t="shared" si="155"/>
        <v>0</v>
      </c>
      <c r="Y3941" s="179"/>
      <c r="Z3941" s="466">
        <f t="shared" si="156"/>
        <v>0</v>
      </c>
      <c r="AA3941" s="473">
        <f t="shared" si="157"/>
        <v>0</v>
      </c>
      <c r="AB3941" s="339">
        <f t="shared" si="158"/>
        <v>0</v>
      </c>
    </row>
    <row r="3942" spans="2:28" ht="20.100000000000001" customHeight="1">
      <c r="B3942" s="172"/>
      <c r="C3942" s="174"/>
      <c r="D3942" s="181"/>
      <c r="E3942" s="173"/>
      <c r="F3942" s="176"/>
      <c r="G3942" s="175">
        <f t="shared" si="160"/>
        <v>0</v>
      </c>
      <c r="H3942" s="175">
        <f t="shared" si="153"/>
        <v>0</v>
      </c>
      <c r="I3942" s="177">
        <f>IF(G3942=0,0,IF(E3942="MXN",1/HLOOKUP(YEAR(C3942)+(MONTH(C3942)/100),TC!$5:$37,DAY(C3942)+2,FALSE),VLOOKUP(E3942,Equivalencia!$5:$23,((MAX(Equivalencia!$3:$3)-YEAR(C3942))*14)+MONTH(C3942)+2,FALSE)))</f>
        <v>0</v>
      </c>
      <c r="J3942" s="178">
        <f t="shared" si="161"/>
        <v>0</v>
      </c>
      <c r="K3942" s="462">
        <f>IF(C3942=0,0,VLOOKUP(YEAR(C3942),INPC!$B$4:$O$29,MONTH(C3942)+1))</f>
        <v>0</v>
      </c>
      <c r="L3942" s="462">
        <f>IF(S3942=0,0,VLOOKUP(YEAR(S3942),INPC!$B$4:$O$29,MONTH(S3942)+1))</f>
        <v>0</v>
      </c>
      <c r="M3942" s="463">
        <f t="shared" si="154"/>
        <v>0</v>
      </c>
      <c r="N3942" s="465">
        <f t="shared" si="162"/>
        <v>0</v>
      </c>
      <c r="O3942" s="179"/>
      <c r="P3942" s="180"/>
      <c r="Q3942" s="173"/>
      <c r="R3942" s="173"/>
      <c r="S3942" s="174"/>
      <c r="T3942" s="173"/>
      <c r="U3942" s="182"/>
      <c r="V3942" s="177">
        <f>IF(U3942=0,0,IF(T3942="MXN",1/HLOOKUP(YEAR(S3942)+(MONTH(S3942)/100),TC!$5:$37,DAY(S3942)+2,FALSE),VLOOKUP(T3942,Equivalencia!$1:$23,((MAX(Equivalencia!$3:$3)-YEAR(S3942))*14)+MONTH(S3942)+2,FALSE)))</f>
        <v>0</v>
      </c>
      <c r="W3942" s="178">
        <f t="shared" si="159"/>
        <v>0</v>
      </c>
      <c r="X3942" s="481">
        <f t="shared" si="155"/>
        <v>0</v>
      </c>
      <c r="Y3942" s="179"/>
      <c r="Z3942" s="466">
        <f t="shared" si="156"/>
        <v>0</v>
      </c>
      <c r="AA3942" s="473">
        <f t="shared" si="157"/>
        <v>0</v>
      </c>
      <c r="AB3942" s="339">
        <f t="shared" si="158"/>
        <v>0</v>
      </c>
    </row>
    <row r="3943" spans="2:28" ht="20.100000000000001" customHeight="1">
      <c r="B3943" s="172"/>
      <c r="C3943" s="174"/>
      <c r="D3943" s="181"/>
      <c r="E3943" s="173"/>
      <c r="F3943" s="176"/>
      <c r="G3943" s="175">
        <f t="shared" si="160"/>
        <v>0</v>
      </c>
      <c r="H3943" s="175">
        <f t="shared" si="153"/>
        <v>0</v>
      </c>
      <c r="I3943" s="177">
        <f>IF(G3943=0,0,IF(E3943="MXN",1/HLOOKUP(YEAR(C3943)+(MONTH(C3943)/100),TC!$5:$37,DAY(C3943)+2,FALSE),VLOOKUP(E3943,Equivalencia!$5:$23,((MAX(Equivalencia!$3:$3)-YEAR(C3943))*14)+MONTH(C3943)+2,FALSE)))</f>
        <v>0</v>
      </c>
      <c r="J3943" s="178">
        <f t="shared" si="161"/>
        <v>0</v>
      </c>
      <c r="K3943" s="462">
        <f>IF(C3943=0,0,VLOOKUP(YEAR(C3943),INPC!$B$4:$O$29,MONTH(C3943)+1))</f>
        <v>0</v>
      </c>
      <c r="L3943" s="462">
        <f>IF(S3943=0,0,VLOOKUP(YEAR(S3943),INPC!$B$4:$O$29,MONTH(S3943)+1))</f>
        <v>0</v>
      </c>
      <c r="M3943" s="463">
        <f t="shared" si="154"/>
        <v>0</v>
      </c>
      <c r="N3943" s="465">
        <f t="shared" si="162"/>
        <v>0</v>
      </c>
      <c r="O3943" s="179"/>
      <c r="P3943" s="180"/>
      <c r="Q3943" s="173"/>
      <c r="R3943" s="173"/>
      <c r="S3943" s="174"/>
      <c r="T3943" s="173"/>
      <c r="U3943" s="182"/>
      <c r="V3943" s="177">
        <f>IF(U3943=0,0,IF(T3943="MXN",1/HLOOKUP(YEAR(S3943)+(MONTH(S3943)/100),TC!$5:$37,DAY(S3943)+2,FALSE),VLOOKUP(T3943,Equivalencia!$1:$23,((MAX(Equivalencia!$3:$3)-YEAR(S3943))*14)+MONTH(S3943)+2,FALSE)))</f>
        <v>0</v>
      </c>
      <c r="W3943" s="178">
        <f t="shared" si="159"/>
        <v>0</v>
      </c>
      <c r="X3943" s="481">
        <f t="shared" si="155"/>
        <v>0</v>
      </c>
      <c r="Y3943" s="179"/>
      <c r="Z3943" s="466">
        <f t="shared" si="156"/>
        <v>0</v>
      </c>
      <c r="AA3943" s="473">
        <f t="shared" si="157"/>
        <v>0</v>
      </c>
      <c r="AB3943" s="339">
        <f t="shared" si="158"/>
        <v>0</v>
      </c>
    </row>
    <row r="3944" spans="2:28" ht="20.100000000000001" customHeight="1">
      <c r="B3944" s="172"/>
      <c r="C3944" s="174"/>
      <c r="D3944" s="181"/>
      <c r="E3944" s="173"/>
      <c r="F3944" s="176"/>
      <c r="G3944" s="175">
        <f t="shared" si="160"/>
        <v>0</v>
      </c>
      <c r="H3944" s="175">
        <f t="shared" si="153"/>
        <v>0</v>
      </c>
      <c r="I3944" s="177">
        <f>IF(G3944=0,0,IF(E3944="MXN",1/HLOOKUP(YEAR(C3944)+(MONTH(C3944)/100),TC!$5:$37,DAY(C3944)+2,FALSE),VLOOKUP(E3944,Equivalencia!$5:$23,((MAX(Equivalencia!$3:$3)-YEAR(C3944))*14)+MONTH(C3944)+2,FALSE)))</f>
        <v>0</v>
      </c>
      <c r="J3944" s="178">
        <f t="shared" si="161"/>
        <v>0</v>
      </c>
      <c r="K3944" s="462">
        <f>IF(C3944=0,0,VLOOKUP(YEAR(C3944),INPC!$B$4:$O$29,MONTH(C3944)+1))</f>
        <v>0</v>
      </c>
      <c r="L3944" s="462">
        <f>IF(S3944=0,0,VLOOKUP(YEAR(S3944),INPC!$B$4:$O$29,MONTH(S3944)+1))</f>
        <v>0</v>
      </c>
      <c r="M3944" s="463">
        <f t="shared" si="154"/>
        <v>0</v>
      </c>
      <c r="N3944" s="465">
        <f t="shared" si="162"/>
        <v>0</v>
      </c>
      <c r="O3944" s="179"/>
      <c r="P3944" s="180"/>
      <c r="Q3944" s="173"/>
      <c r="R3944" s="173"/>
      <c r="S3944" s="174"/>
      <c r="T3944" s="173"/>
      <c r="U3944" s="182"/>
      <c r="V3944" s="177">
        <f>IF(U3944=0,0,IF(T3944="MXN",1/HLOOKUP(YEAR(S3944)+(MONTH(S3944)/100),TC!$5:$37,DAY(S3944)+2,FALSE),VLOOKUP(T3944,Equivalencia!$1:$23,((MAX(Equivalencia!$3:$3)-YEAR(S3944))*14)+MONTH(S3944)+2,FALSE)))</f>
        <v>0</v>
      </c>
      <c r="W3944" s="178">
        <f t="shared" si="159"/>
        <v>0</v>
      </c>
      <c r="X3944" s="481">
        <f t="shared" si="155"/>
        <v>0</v>
      </c>
      <c r="Y3944" s="179"/>
      <c r="Z3944" s="466">
        <f t="shared" si="156"/>
        <v>0</v>
      </c>
      <c r="AA3944" s="473">
        <f t="shared" si="157"/>
        <v>0</v>
      </c>
      <c r="AB3944" s="339">
        <f t="shared" si="158"/>
        <v>0</v>
      </c>
    </row>
    <row r="3945" spans="2:28" ht="20.100000000000001" customHeight="1">
      <c r="B3945" s="172"/>
      <c r="C3945" s="174"/>
      <c r="D3945" s="181"/>
      <c r="E3945" s="173"/>
      <c r="F3945" s="176"/>
      <c r="G3945" s="175">
        <f t="shared" si="160"/>
        <v>0</v>
      </c>
      <c r="H3945" s="175">
        <f t="shared" si="153"/>
        <v>0</v>
      </c>
      <c r="I3945" s="177">
        <f>IF(G3945=0,0,IF(E3945="MXN",1/HLOOKUP(YEAR(C3945)+(MONTH(C3945)/100),TC!$5:$37,DAY(C3945)+2,FALSE),VLOOKUP(E3945,Equivalencia!$5:$23,((MAX(Equivalencia!$3:$3)-YEAR(C3945))*14)+MONTH(C3945)+2,FALSE)))</f>
        <v>0</v>
      </c>
      <c r="J3945" s="178">
        <f t="shared" si="161"/>
        <v>0</v>
      </c>
      <c r="K3945" s="462">
        <f>IF(C3945=0,0,VLOOKUP(YEAR(C3945),INPC!$B$4:$O$29,MONTH(C3945)+1))</f>
        <v>0</v>
      </c>
      <c r="L3945" s="462">
        <f>IF(S3945=0,0,VLOOKUP(YEAR(S3945),INPC!$B$4:$O$29,MONTH(S3945)+1))</f>
        <v>0</v>
      </c>
      <c r="M3945" s="463">
        <f t="shared" si="154"/>
        <v>0</v>
      </c>
      <c r="N3945" s="465">
        <f t="shared" si="162"/>
        <v>0</v>
      </c>
      <c r="O3945" s="179"/>
      <c r="P3945" s="180"/>
      <c r="Q3945" s="173"/>
      <c r="R3945" s="173"/>
      <c r="S3945" s="174"/>
      <c r="T3945" s="173"/>
      <c r="U3945" s="182"/>
      <c r="V3945" s="177">
        <f>IF(U3945=0,0,IF(T3945="MXN",1/HLOOKUP(YEAR(S3945)+(MONTH(S3945)/100),TC!$5:$37,DAY(S3945)+2,FALSE),VLOOKUP(T3945,Equivalencia!$1:$23,((MAX(Equivalencia!$3:$3)-YEAR(S3945))*14)+MONTH(S3945)+2,FALSE)))</f>
        <v>0</v>
      </c>
      <c r="W3945" s="178">
        <f t="shared" si="159"/>
        <v>0</v>
      </c>
      <c r="X3945" s="481">
        <f t="shared" si="155"/>
        <v>0</v>
      </c>
      <c r="Y3945" s="179"/>
      <c r="Z3945" s="466">
        <f t="shared" si="156"/>
        <v>0</v>
      </c>
      <c r="AA3945" s="473">
        <f t="shared" si="157"/>
        <v>0</v>
      </c>
      <c r="AB3945" s="339">
        <f t="shared" si="158"/>
        <v>0</v>
      </c>
    </row>
    <row r="3946" spans="2:28" ht="20.100000000000001" customHeight="1">
      <c r="B3946" s="172"/>
      <c r="C3946" s="174"/>
      <c r="D3946" s="181"/>
      <c r="E3946" s="173"/>
      <c r="F3946" s="176"/>
      <c r="G3946" s="175">
        <f t="shared" si="160"/>
        <v>0</v>
      </c>
      <c r="H3946" s="175">
        <f t="shared" si="153"/>
        <v>0</v>
      </c>
      <c r="I3946" s="177">
        <f>IF(G3946=0,0,IF(E3946="MXN",1/HLOOKUP(YEAR(C3946)+(MONTH(C3946)/100),TC!$5:$37,DAY(C3946)+2,FALSE),VLOOKUP(E3946,Equivalencia!$5:$23,((MAX(Equivalencia!$3:$3)-YEAR(C3946))*14)+MONTH(C3946)+2,FALSE)))</f>
        <v>0</v>
      </c>
      <c r="J3946" s="178">
        <f t="shared" si="161"/>
        <v>0</v>
      </c>
      <c r="K3946" s="462">
        <f>IF(C3946=0,0,VLOOKUP(YEAR(C3946),INPC!$B$4:$O$29,MONTH(C3946)+1))</f>
        <v>0</v>
      </c>
      <c r="L3946" s="462">
        <f>IF(S3946=0,0,VLOOKUP(YEAR(S3946),INPC!$B$4:$O$29,MONTH(S3946)+1))</f>
        <v>0</v>
      </c>
      <c r="M3946" s="463">
        <f t="shared" si="154"/>
        <v>0</v>
      </c>
      <c r="N3946" s="465">
        <f t="shared" si="162"/>
        <v>0</v>
      </c>
      <c r="O3946" s="179"/>
      <c r="P3946" s="180"/>
      <c r="Q3946" s="173"/>
      <c r="R3946" s="173"/>
      <c r="S3946" s="174"/>
      <c r="T3946" s="173"/>
      <c r="U3946" s="182"/>
      <c r="V3946" s="177">
        <f>IF(U3946=0,0,IF(T3946="MXN",1/HLOOKUP(YEAR(S3946)+(MONTH(S3946)/100),TC!$5:$37,DAY(S3946)+2,FALSE),VLOOKUP(T3946,Equivalencia!$1:$23,((MAX(Equivalencia!$3:$3)-YEAR(S3946))*14)+MONTH(S3946)+2,FALSE)))</f>
        <v>0</v>
      </c>
      <c r="W3946" s="178">
        <f t="shared" si="159"/>
        <v>0</v>
      </c>
      <c r="X3946" s="481">
        <f t="shared" si="155"/>
        <v>0</v>
      </c>
      <c r="Y3946" s="179"/>
      <c r="Z3946" s="466">
        <f t="shared" si="156"/>
        <v>0</v>
      </c>
      <c r="AA3946" s="473">
        <f t="shared" si="157"/>
        <v>0</v>
      </c>
      <c r="AB3946" s="339">
        <f t="shared" si="158"/>
        <v>0</v>
      </c>
    </row>
    <row r="3947" spans="2:28" ht="20.100000000000001" customHeight="1">
      <c r="B3947" s="172"/>
      <c r="C3947" s="174"/>
      <c r="D3947" s="181"/>
      <c r="E3947" s="173"/>
      <c r="F3947" s="176"/>
      <c r="G3947" s="175">
        <f t="shared" si="160"/>
        <v>0</v>
      </c>
      <c r="H3947" s="175">
        <f t="shared" si="153"/>
        <v>0</v>
      </c>
      <c r="I3947" s="177">
        <f>IF(G3947=0,0,IF(E3947="MXN",1/HLOOKUP(YEAR(C3947)+(MONTH(C3947)/100),TC!$5:$37,DAY(C3947)+2,FALSE),VLOOKUP(E3947,Equivalencia!$5:$23,((MAX(Equivalencia!$3:$3)-YEAR(C3947))*14)+MONTH(C3947)+2,FALSE)))</f>
        <v>0</v>
      </c>
      <c r="J3947" s="178">
        <f t="shared" si="161"/>
        <v>0</v>
      </c>
      <c r="K3947" s="462">
        <f>IF(C3947=0,0,VLOOKUP(YEAR(C3947),INPC!$B$4:$O$29,MONTH(C3947)+1))</f>
        <v>0</v>
      </c>
      <c r="L3947" s="462">
        <f>IF(S3947=0,0,VLOOKUP(YEAR(S3947),INPC!$B$4:$O$29,MONTH(S3947)+1))</f>
        <v>0</v>
      </c>
      <c r="M3947" s="463">
        <f t="shared" si="154"/>
        <v>0</v>
      </c>
      <c r="N3947" s="465">
        <f t="shared" si="162"/>
        <v>0</v>
      </c>
      <c r="O3947" s="179"/>
      <c r="P3947" s="180"/>
      <c r="Q3947" s="173"/>
      <c r="R3947" s="173"/>
      <c r="S3947" s="174"/>
      <c r="T3947" s="173"/>
      <c r="U3947" s="182"/>
      <c r="V3947" s="177">
        <f>IF(U3947=0,0,IF(T3947="MXN",1/HLOOKUP(YEAR(S3947)+(MONTH(S3947)/100),TC!$5:$37,DAY(S3947)+2,FALSE),VLOOKUP(T3947,Equivalencia!$1:$23,((MAX(Equivalencia!$3:$3)-YEAR(S3947))*14)+MONTH(S3947)+2,FALSE)))</f>
        <v>0</v>
      </c>
      <c r="W3947" s="178">
        <f t="shared" si="159"/>
        <v>0</v>
      </c>
      <c r="X3947" s="481">
        <f t="shared" si="155"/>
        <v>0</v>
      </c>
      <c r="Y3947" s="179"/>
      <c r="Z3947" s="466">
        <f t="shared" si="156"/>
        <v>0</v>
      </c>
      <c r="AA3947" s="473">
        <f t="shared" si="157"/>
        <v>0</v>
      </c>
      <c r="AB3947" s="339">
        <f t="shared" si="158"/>
        <v>0</v>
      </c>
    </row>
    <row r="3948" spans="2:28" ht="20.100000000000001" customHeight="1">
      <c r="B3948" s="172"/>
      <c r="C3948" s="174"/>
      <c r="D3948" s="181"/>
      <c r="E3948" s="173"/>
      <c r="F3948" s="176"/>
      <c r="G3948" s="175">
        <f t="shared" si="160"/>
        <v>0</v>
      </c>
      <c r="H3948" s="175">
        <f t="shared" si="153"/>
        <v>0</v>
      </c>
      <c r="I3948" s="177">
        <f>IF(G3948=0,0,IF(E3948="MXN",1/HLOOKUP(YEAR(C3948)+(MONTH(C3948)/100),TC!$5:$37,DAY(C3948)+2,FALSE),VLOOKUP(E3948,Equivalencia!$5:$23,((MAX(Equivalencia!$3:$3)-YEAR(C3948))*14)+MONTH(C3948)+2,FALSE)))</f>
        <v>0</v>
      </c>
      <c r="J3948" s="178">
        <f t="shared" si="161"/>
        <v>0</v>
      </c>
      <c r="K3948" s="462">
        <f>IF(C3948=0,0,VLOOKUP(YEAR(C3948),INPC!$B$4:$O$29,MONTH(C3948)+1))</f>
        <v>0</v>
      </c>
      <c r="L3948" s="462">
        <f>IF(S3948=0,0,VLOOKUP(YEAR(S3948),INPC!$B$4:$O$29,MONTH(S3948)+1))</f>
        <v>0</v>
      </c>
      <c r="M3948" s="463">
        <f t="shared" si="154"/>
        <v>0</v>
      </c>
      <c r="N3948" s="465">
        <f t="shared" si="162"/>
        <v>0</v>
      </c>
      <c r="O3948" s="179"/>
      <c r="P3948" s="180"/>
      <c r="Q3948" s="173"/>
      <c r="R3948" s="173"/>
      <c r="S3948" s="174"/>
      <c r="T3948" s="173"/>
      <c r="U3948" s="182"/>
      <c r="V3948" s="177">
        <f>IF(U3948=0,0,IF(T3948="MXN",1/HLOOKUP(YEAR(S3948)+(MONTH(S3948)/100),TC!$5:$37,DAY(S3948)+2,FALSE),VLOOKUP(T3948,Equivalencia!$1:$23,((MAX(Equivalencia!$3:$3)-YEAR(S3948))*14)+MONTH(S3948)+2,FALSE)))</f>
        <v>0</v>
      </c>
      <c r="W3948" s="178">
        <f t="shared" si="159"/>
        <v>0</v>
      </c>
      <c r="X3948" s="481">
        <f t="shared" si="155"/>
        <v>0</v>
      </c>
      <c r="Y3948" s="179"/>
      <c r="Z3948" s="466">
        <f t="shared" si="156"/>
        <v>0</v>
      </c>
      <c r="AA3948" s="473">
        <f t="shared" si="157"/>
        <v>0</v>
      </c>
      <c r="AB3948" s="339">
        <f t="shared" si="158"/>
        <v>0</v>
      </c>
    </row>
    <row r="3949" spans="2:28" ht="20.100000000000001" customHeight="1">
      <c r="B3949" s="172"/>
      <c r="C3949" s="174"/>
      <c r="D3949" s="181"/>
      <c r="E3949" s="173"/>
      <c r="F3949" s="176"/>
      <c r="G3949" s="175">
        <f t="shared" si="160"/>
        <v>0</v>
      </c>
      <c r="H3949" s="175">
        <f t="shared" si="153"/>
        <v>0</v>
      </c>
      <c r="I3949" s="177">
        <f>IF(G3949=0,0,IF(E3949="MXN",1/HLOOKUP(YEAR(C3949)+(MONTH(C3949)/100),TC!$5:$37,DAY(C3949)+2,FALSE),VLOOKUP(E3949,Equivalencia!$5:$23,((MAX(Equivalencia!$3:$3)-YEAR(C3949))*14)+MONTH(C3949)+2,FALSE)))</f>
        <v>0</v>
      </c>
      <c r="J3949" s="178">
        <f t="shared" si="161"/>
        <v>0</v>
      </c>
      <c r="K3949" s="462">
        <f>IF(C3949=0,0,VLOOKUP(YEAR(C3949),INPC!$B$4:$O$29,MONTH(C3949)+1))</f>
        <v>0</v>
      </c>
      <c r="L3949" s="462">
        <f>IF(S3949=0,0,VLOOKUP(YEAR(S3949),INPC!$B$4:$O$29,MONTH(S3949)+1))</f>
        <v>0</v>
      </c>
      <c r="M3949" s="463">
        <f t="shared" si="154"/>
        <v>0</v>
      </c>
      <c r="N3949" s="465">
        <f t="shared" si="162"/>
        <v>0</v>
      </c>
      <c r="O3949" s="179"/>
      <c r="P3949" s="180"/>
      <c r="Q3949" s="173"/>
      <c r="R3949" s="173"/>
      <c r="S3949" s="174"/>
      <c r="T3949" s="173"/>
      <c r="U3949" s="182"/>
      <c r="V3949" s="177">
        <f>IF(U3949=0,0,IF(T3949="MXN",1/HLOOKUP(YEAR(S3949)+(MONTH(S3949)/100),TC!$5:$37,DAY(S3949)+2,FALSE),VLOOKUP(T3949,Equivalencia!$1:$23,((MAX(Equivalencia!$3:$3)-YEAR(S3949))*14)+MONTH(S3949)+2,FALSE)))</f>
        <v>0</v>
      </c>
      <c r="W3949" s="178">
        <f t="shared" si="159"/>
        <v>0</v>
      </c>
      <c r="X3949" s="481">
        <f t="shared" si="155"/>
        <v>0</v>
      </c>
      <c r="Y3949" s="179"/>
      <c r="Z3949" s="466">
        <f t="shared" si="156"/>
        <v>0</v>
      </c>
      <c r="AA3949" s="473">
        <f t="shared" si="157"/>
        <v>0</v>
      </c>
      <c r="AB3949" s="339">
        <f t="shared" si="158"/>
        <v>0</v>
      </c>
    </row>
    <row r="3950" spans="2:28" ht="20.100000000000001" customHeight="1">
      <c r="B3950" s="172"/>
      <c r="C3950" s="174"/>
      <c r="D3950" s="181"/>
      <c r="E3950" s="173"/>
      <c r="F3950" s="176"/>
      <c r="G3950" s="175">
        <f t="shared" si="160"/>
        <v>0</v>
      </c>
      <c r="H3950" s="175">
        <f t="shared" si="153"/>
        <v>0</v>
      </c>
      <c r="I3950" s="177">
        <f>IF(G3950=0,0,IF(E3950="MXN",1/HLOOKUP(YEAR(C3950)+(MONTH(C3950)/100),TC!$5:$37,DAY(C3950)+2,FALSE),VLOOKUP(E3950,Equivalencia!$5:$23,((MAX(Equivalencia!$3:$3)-YEAR(C3950))*14)+MONTH(C3950)+2,FALSE)))</f>
        <v>0</v>
      </c>
      <c r="J3950" s="178">
        <f t="shared" si="161"/>
        <v>0</v>
      </c>
      <c r="K3950" s="462">
        <f>IF(C3950=0,0,VLOOKUP(YEAR(C3950),INPC!$B$4:$O$29,MONTH(C3950)+1))</f>
        <v>0</v>
      </c>
      <c r="L3950" s="462">
        <f>IF(S3950=0,0,VLOOKUP(YEAR(S3950),INPC!$B$4:$O$29,MONTH(S3950)+1))</f>
        <v>0</v>
      </c>
      <c r="M3950" s="463">
        <f t="shared" si="154"/>
        <v>0</v>
      </c>
      <c r="N3950" s="465">
        <f t="shared" si="162"/>
        <v>0</v>
      </c>
      <c r="O3950" s="179"/>
      <c r="P3950" s="180"/>
      <c r="Q3950" s="173"/>
      <c r="R3950" s="173"/>
      <c r="S3950" s="174"/>
      <c r="T3950" s="173"/>
      <c r="U3950" s="182"/>
      <c r="V3950" s="177">
        <f>IF(U3950=0,0,IF(T3950="MXN",1/HLOOKUP(YEAR(S3950)+(MONTH(S3950)/100),TC!$5:$37,DAY(S3950)+2,FALSE),VLOOKUP(T3950,Equivalencia!$1:$23,((MAX(Equivalencia!$3:$3)-YEAR(S3950))*14)+MONTH(S3950)+2,FALSE)))</f>
        <v>0</v>
      </c>
      <c r="W3950" s="178">
        <f t="shared" si="159"/>
        <v>0</v>
      </c>
      <c r="X3950" s="481">
        <f t="shared" si="155"/>
        <v>0</v>
      </c>
      <c r="Y3950" s="179"/>
      <c r="Z3950" s="466">
        <f t="shared" si="156"/>
        <v>0</v>
      </c>
      <c r="AA3950" s="473">
        <f t="shared" si="157"/>
        <v>0</v>
      </c>
      <c r="AB3950" s="339">
        <f t="shared" si="158"/>
        <v>0</v>
      </c>
    </row>
    <row r="3951" spans="2:28" ht="20.100000000000001" customHeight="1">
      <c r="B3951" s="172"/>
      <c r="C3951" s="174"/>
      <c r="D3951" s="181"/>
      <c r="E3951" s="173"/>
      <c r="F3951" s="176"/>
      <c r="G3951" s="175">
        <f t="shared" si="160"/>
        <v>0</v>
      </c>
      <c r="H3951" s="175">
        <f t="shared" si="153"/>
        <v>0</v>
      </c>
      <c r="I3951" s="177">
        <f>IF(G3951=0,0,IF(E3951="MXN",1/HLOOKUP(YEAR(C3951)+(MONTH(C3951)/100),TC!$5:$37,DAY(C3951)+2,FALSE),VLOOKUP(E3951,Equivalencia!$5:$23,((MAX(Equivalencia!$3:$3)-YEAR(C3951))*14)+MONTH(C3951)+2,FALSE)))</f>
        <v>0</v>
      </c>
      <c r="J3951" s="178">
        <f t="shared" si="161"/>
        <v>0</v>
      </c>
      <c r="K3951" s="462">
        <f>IF(C3951=0,0,VLOOKUP(YEAR(C3951),INPC!$B$4:$O$29,MONTH(C3951)+1))</f>
        <v>0</v>
      </c>
      <c r="L3951" s="462">
        <f>IF(S3951=0,0,VLOOKUP(YEAR(S3951),INPC!$B$4:$O$29,MONTH(S3951)+1))</f>
        <v>0</v>
      </c>
      <c r="M3951" s="463">
        <f t="shared" si="154"/>
        <v>0</v>
      </c>
      <c r="N3951" s="465">
        <f t="shared" si="162"/>
        <v>0</v>
      </c>
      <c r="O3951" s="179"/>
      <c r="P3951" s="180"/>
      <c r="Q3951" s="173"/>
      <c r="R3951" s="173"/>
      <c r="S3951" s="174"/>
      <c r="T3951" s="173"/>
      <c r="U3951" s="182"/>
      <c r="V3951" s="177">
        <f>IF(U3951=0,0,IF(T3951="MXN",1/HLOOKUP(YEAR(S3951)+(MONTH(S3951)/100),TC!$5:$37,DAY(S3951)+2,FALSE),VLOOKUP(T3951,Equivalencia!$1:$23,((MAX(Equivalencia!$3:$3)-YEAR(S3951))*14)+MONTH(S3951)+2,FALSE)))</f>
        <v>0</v>
      </c>
      <c r="W3951" s="178">
        <f t="shared" si="159"/>
        <v>0</v>
      </c>
      <c r="X3951" s="481">
        <f t="shared" si="155"/>
        <v>0</v>
      </c>
      <c r="Y3951" s="179"/>
      <c r="Z3951" s="466">
        <f t="shared" si="156"/>
        <v>0</v>
      </c>
      <c r="AA3951" s="473">
        <f t="shared" si="157"/>
        <v>0</v>
      </c>
      <c r="AB3951" s="339">
        <f t="shared" si="158"/>
        <v>0</v>
      </c>
    </row>
    <row r="3952" spans="2:28" ht="20.100000000000001" customHeight="1">
      <c r="B3952" s="172"/>
      <c r="C3952" s="174"/>
      <c r="D3952" s="181"/>
      <c r="E3952" s="173"/>
      <c r="F3952" s="176"/>
      <c r="G3952" s="175">
        <f t="shared" si="160"/>
        <v>0</v>
      </c>
      <c r="H3952" s="175">
        <f t="shared" si="153"/>
        <v>0</v>
      </c>
      <c r="I3952" s="177">
        <f>IF(G3952=0,0,IF(E3952="MXN",1/HLOOKUP(YEAR(C3952)+(MONTH(C3952)/100),TC!$5:$37,DAY(C3952)+2,FALSE),VLOOKUP(E3952,Equivalencia!$5:$23,((MAX(Equivalencia!$3:$3)-YEAR(C3952))*14)+MONTH(C3952)+2,FALSE)))</f>
        <v>0</v>
      </c>
      <c r="J3952" s="178">
        <f t="shared" si="161"/>
        <v>0</v>
      </c>
      <c r="K3952" s="462">
        <f>IF(C3952=0,0,VLOOKUP(YEAR(C3952),INPC!$B$4:$O$29,MONTH(C3952)+1))</f>
        <v>0</v>
      </c>
      <c r="L3952" s="462">
        <f>IF(S3952=0,0,VLOOKUP(YEAR(S3952),INPC!$B$4:$O$29,MONTH(S3952)+1))</f>
        <v>0</v>
      </c>
      <c r="M3952" s="463">
        <f t="shared" si="154"/>
        <v>0</v>
      </c>
      <c r="N3952" s="465">
        <f t="shared" si="162"/>
        <v>0</v>
      </c>
      <c r="O3952" s="179"/>
      <c r="P3952" s="180"/>
      <c r="Q3952" s="173"/>
      <c r="R3952" s="173"/>
      <c r="S3952" s="174"/>
      <c r="T3952" s="173"/>
      <c r="U3952" s="182"/>
      <c r="V3952" s="177">
        <f>IF(U3952=0,0,IF(T3952="MXN",1/HLOOKUP(YEAR(S3952)+(MONTH(S3952)/100),TC!$5:$37,DAY(S3952)+2,FALSE),VLOOKUP(T3952,Equivalencia!$1:$23,((MAX(Equivalencia!$3:$3)-YEAR(S3952))*14)+MONTH(S3952)+2,FALSE)))</f>
        <v>0</v>
      </c>
      <c r="W3952" s="178">
        <f t="shared" si="159"/>
        <v>0</v>
      </c>
      <c r="X3952" s="481">
        <f t="shared" si="155"/>
        <v>0</v>
      </c>
      <c r="Y3952" s="179"/>
      <c r="Z3952" s="466">
        <f t="shared" si="156"/>
        <v>0</v>
      </c>
      <c r="AA3952" s="473">
        <f t="shared" si="157"/>
        <v>0</v>
      </c>
      <c r="AB3952" s="339">
        <f t="shared" si="158"/>
        <v>0</v>
      </c>
    </row>
    <row r="3953" spans="2:28" ht="20.100000000000001" customHeight="1">
      <c r="B3953" s="172"/>
      <c r="C3953" s="174"/>
      <c r="D3953" s="181"/>
      <c r="E3953" s="173"/>
      <c r="F3953" s="176"/>
      <c r="G3953" s="175">
        <f t="shared" si="160"/>
        <v>0</v>
      </c>
      <c r="H3953" s="175">
        <f t="shared" si="153"/>
        <v>0</v>
      </c>
      <c r="I3953" s="177">
        <f>IF(G3953=0,0,IF(E3953="MXN",1/HLOOKUP(YEAR(C3953)+(MONTH(C3953)/100),TC!$5:$37,DAY(C3953)+2,FALSE),VLOOKUP(E3953,Equivalencia!$5:$23,((MAX(Equivalencia!$3:$3)-YEAR(C3953))*14)+MONTH(C3953)+2,FALSE)))</f>
        <v>0</v>
      </c>
      <c r="J3953" s="178">
        <f t="shared" si="161"/>
        <v>0</v>
      </c>
      <c r="K3953" s="462">
        <f>IF(C3953=0,0,VLOOKUP(YEAR(C3953),INPC!$B$4:$O$29,MONTH(C3953)+1))</f>
        <v>0</v>
      </c>
      <c r="L3953" s="462">
        <f>IF(S3953=0,0,VLOOKUP(YEAR(S3953),INPC!$B$4:$O$29,MONTH(S3953)+1))</f>
        <v>0</v>
      </c>
      <c r="M3953" s="463">
        <f t="shared" si="154"/>
        <v>0</v>
      </c>
      <c r="N3953" s="465">
        <f t="shared" si="162"/>
        <v>0</v>
      </c>
      <c r="O3953" s="179"/>
      <c r="P3953" s="180"/>
      <c r="Q3953" s="173"/>
      <c r="R3953" s="173"/>
      <c r="S3953" s="174"/>
      <c r="T3953" s="173"/>
      <c r="U3953" s="182"/>
      <c r="V3953" s="177">
        <f>IF(U3953=0,0,IF(T3953="MXN",1/HLOOKUP(YEAR(S3953)+(MONTH(S3953)/100),TC!$5:$37,DAY(S3953)+2,FALSE),VLOOKUP(T3953,Equivalencia!$1:$23,((MAX(Equivalencia!$3:$3)-YEAR(S3953))*14)+MONTH(S3953)+2,FALSE)))</f>
        <v>0</v>
      </c>
      <c r="W3953" s="178">
        <f t="shared" si="159"/>
        <v>0</v>
      </c>
      <c r="X3953" s="481">
        <f t="shared" si="155"/>
        <v>0</v>
      </c>
      <c r="Y3953" s="179"/>
      <c r="Z3953" s="466">
        <f t="shared" si="156"/>
        <v>0</v>
      </c>
      <c r="AA3953" s="473">
        <f t="shared" si="157"/>
        <v>0</v>
      </c>
      <c r="AB3953" s="339">
        <f t="shared" si="158"/>
        <v>0</v>
      </c>
    </row>
    <row r="3954" spans="2:28" ht="20.100000000000001" customHeight="1">
      <c r="B3954" s="172"/>
      <c r="C3954" s="174"/>
      <c r="D3954" s="181"/>
      <c r="E3954" s="173"/>
      <c r="F3954" s="176"/>
      <c r="G3954" s="175">
        <f t="shared" si="160"/>
        <v>0</v>
      </c>
      <c r="H3954" s="175">
        <f t="shared" si="153"/>
        <v>0</v>
      </c>
      <c r="I3954" s="177">
        <f>IF(G3954=0,0,IF(E3954="MXN",1/HLOOKUP(YEAR(C3954)+(MONTH(C3954)/100),TC!$5:$37,DAY(C3954)+2,FALSE),VLOOKUP(E3954,Equivalencia!$5:$23,((MAX(Equivalencia!$3:$3)-YEAR(C3954))*14)+MONTH(C3954)+2,FALSE)))</f>
        <v>0</v>
      </c>
      <c r="J3954" s="178">
        <f t="shared" si="161"/>
        <v>0</v>
      </c>
      <c r="K3954" s="462">
        <f>IF(C3954=0,0,VLOOKUP(YEAR(C3954),INPC!$B$4:$O$29,MONTH(C3954)+1))</f>
        <v>0</v>
      </c>
      <c r="L3954" s="462">
        <f>IF(S3954=0,0,VLOOKUP(YEAR(S3954),INPC!$B$4:$O$29,MONTH(S3954)+1))</f>
        <v>0</v>
      </c>
      <c r="M3954" s="463">
        <f t="shared" si="154"/>
        <v>0</v>
      </c>
      <c r="N3954" s="465">
        <f t="shared" si="162"/>
        <v>0</v>
      </c>
      <c r="O3954" s="179"/>
      <c r="P3954" s="180"/>
      <c r="Q3954" s="173"/>
      <c r="R3954" s="173"/>
      <c r="S3954" s="174"/>
      <c r="T3954" s="173"/>
      <c r="U3954" s="182"/>
      <c r="V3954" s="177">
        <f>IF(U3954=0,0,IF(T3954="MXN",1/HLOOKUP(YEAR(S3954)+(MONTH(S3954)/100),TC!$5:$37,DAY(S3954)+2,FALSE),VLOOKUP(T3954,Equivalencia!$1:$23,((MAX(Equivalencia!$3:$3)-YEAR(S3954))*14)+MONTH(S3954)+2,FALSE)))</f>
        <v>0</v>
      </c>
      <c r="W3954" s="178">
        <f t="shared" si="159"/>
        <v>0</v>
      </c>
      <c r="X3954" s="481">
        <f t="shared" si="155"/>
        <v>0</v>
      </c>
      <c r="Y3954" s="179"/>
      <c r="Z3954" s="466">
        <f t="shared" si="156"/>
        <v>0</v>
      </c>
      <c r="AA3954" s="473">
        <f t="shared" si="157"/>
        <v>0</v>
      </c>
      <c r="AB3954" s="339">
        <f t="shared" si="158"/>
        <v>0</v>
      </c>
    </row>
    <row r="3955" spans="2:28" ht="20.100000000000001" customHeight="1">
      <c r="B3955" s="172"/>
      <c r="C3955" s="174"/>
      <c r="D3955" s="181"/>
      <c r="E3955" s="173"/>
      <c r="F3955" s="176"/>
      <c r="G3955" s="175">
        <f t="shared" si="160"/>
        <v>0</v>
      </c>
      <c r="H3955" s="175">
        <f t="shared" si="153"/>
        <v>0</v>
      </c>
      <c r="I3955" s="177">
        <f>IF(G3955=0,0,IF(E3955="MXN",1/HLOOKUP(YEAR(C3955)+(MONTH(C3955)/100),TC!$5:$37,DAY(C3955)+2,FALSE),VLOOKUP(E3955,Equivalencia!$5:$23,((MAX(Equivalencia!$3:$3)-YEAR(C3955))*14)+MONTH(C3955)+2,FALSE)))</f>
        <v>0</v>
      </c>
      <c r="J3955" s="178">
        <f t="shared" si="161"/>
        <v>0</v>
      </c>
      <c r="K3955" s="462">
        <f>IF(C3955=0,0,VLOOKUP(YEAR(C3955),INPC!$B$4:$O$29,MONTH(C3955)+1))</f>
        <v>0</v>
      </c>
      <c r="L3955" s="462">
        <f>IF(S3955=0,0,VLOOKUP(YEAR(S3955),INPC!$B$4:$O$29,MONTH(S3955)+1))</f>
        <v>0</v>
      </c>
      <c r="M3955" s="463">
        <f t="shared" si="154"/>
        <v>0</v>
      </c>
      <c r="N3955" s="465">
        <f t="shared" si="162"/>
        <v>0</v>
      </c>
      <c r="O3955" s="179"/>
      <c r="P3955" s="180"/>
      <c r="Q3955" s="173"/>
      <c r="R3955" s="173"/>
      <c r="S3955" s="174"/>
      <c r="T3955" s="173"/>
      <c r="U3955" s="182"/>
      <c r="V3955" s="177">
        <f>IF(U3955=0,0,IF(T3955="MXN",1/HLOOKUP(YEAR(S3955)+(MONTH(S3955)/100),TC!$5:$37,DAY(S3955)+2,FALSE),VLOOKUP(T3955,Equivalencia!$1:$23,((MAX(Equivalencia!$3:$3)-YEAR(S3955))*14)+MONTH(S3955)+2,FALSE)))</f>
        <v>0</v>
      </c>
      <c r="W3955" s="178">
        <f t="shared" si="159"/>
        <v>0</v>
      </c>
      <c r="X3955" s="481">
        <f t="shared" si="155"/>
        <v>0</v>
      </c>
      <c r="Y3955" s="179"/>
      <c r="Z3955" s="466">
        <f t="shared" si="156"/>
        <v>0</v>
      </c>
      <c r="AA3955" s="473">
        <f t="shared" si="157"/>
        <v>0</v>
      </c>
      <c r="AB3955" s="339">
        <f t="shared" si="158"/>
        <v>0</v>
      </c>
    </row>
    <row r="3956" spans="2:28" ht="20.100000000000001" customHeight="1">
      <c r="B3956" s="172"/>
      <c r="C3956" s="174"/>
      <c r="D3956" s="181"/>
      <c r="E3956" s="173"/>
      <c r="F3956" s="176"/>
      <c r="G3956" s="175">
        <f t="shared" si="160"/>
        <v>0</v>
      </c>
      <c r="H3956" s="175">
        <f t="shared" si="153"/>
        <v>0</v>
      </c>
      <c r="I3956" s="177">
        <f>IF(G3956=0,0,IF(E3956="MXN",1/HLOOKUP(YEAR(C3956)+(MONTH(C3956)/100),TC!$5:$37,DAY(C3956)+2,FALSE),VLOOKUP(E3956,Equivalencia!$5:$23,((MAX(Equivalencia!$3:$3)-YEAR(C3956))*14)+MONTH(C3956)+2,FALSE)))</f>
        <v>0</v>
      </c>
      <c r="J3956" s="178">
        <f t="shared" si="161"/>
        <v>0</v>
      </c>
      <c r="K3956" s="462">
        <f>IF(C3956=0,0,VLOOKUP(YEAR(C3956),INPC!$B$4:$O$29,MONTH(C3956)+1))</f>
        <v>0</v>
      </c>
      <c r="L3956" s="462">
        <f>IF(S3956=0,0,VLOOKUP(YEAR(S3956),INPC!$B$4:$O$29,MONTH(S3956)+1))</f>
        <v>0</v>
      </c>
      <c r="M3956" s="463">
        <f t="shared" si="154"/>
        <v>0</v>
      </c>
      <c r="N3956" s="465">
        <f t="shared" si="162"/>
        <v>0</v>
      </c>
      <c r="O3956" s="179"/>
      <c r="P3956" s="180"/>
      <c r="Q3956" s="173"/>
      <c r="R3956" s="173"/>
      <c r="S3956" s="174"/>
      <c r="T3956" s="173"/>
      <c r="U3956" s="182"/>
      <c r="V3956" s="177">
        <f>IF(U3956=0,0,IF(T3956="MXN",1/HLOOKUP(YEAR(S3956)+(MONTH(S3956)/100),TC!$5:$37,DAY(S3956)+2,FALSE),VLOOKUP(T3956,Equivalencia!$1:$23,((MAX(Equivalencia!$3:$3)-YEAR(S3956))*14)+MONTH(S3956)+2,FALSE)))</f>
        <v>0</v>
      </c>
      <c r="W3956" s="178">
        <f t="shared" si="159"/>
        <v>0</v>
      </c>
      <c r="X3956" s="481">
        <f t="shared" si="155"/>
        <v>0</v>
      </c>
      <c r="Y3956" s="179"/>
      <c r="Z3956" s="466">
        <f t="shared" si="156"/>
        <v>0</v>
      </c>
      <c r="AA3956" s="473">
        <f t="shared" si="157"/>
        <v>0</v>
      </c>
      <c r="AB3956" s="339">
        <f t="shared" si="158"/>
        <v>0</v>
      </c>
    </row>
    <row r="3957" spans="2:28" ht="20.100000000000001" customHeight="1">
      <c r="B3957" s="172"/>
      <c r="C3957" s="174"/>
      <c r="D3957" s="181"/>
      <c r="E3957" s="173"/>
      <c r="F3957" s="176"/>
      <c r="G3957" s="175">
        <f t="shared" si="160"/>
        <v>0</v>
      </c>
      <c r="H3957" s="175">
        <f t="shared" si="153"/>
        <v>0</v>
      </c>
      <c r="I3957" s="177">
        <f>IF(G3957=0,0,IF(E3957="MXN",1/HLOOKUP(YEAR(C3957)+(MONTH(C3957)/100),TC!$5:$37,DAY(C3957)+2,FALSE),VLOOKUP(E3957,Equivalencia!$5:$23,((MAX(Equivalencia!$3:$3)-YEAR(C3957))*14)+MONTH(C3957)+2,FALSE)))</f>
        <v>0</v>
      </c>
      <c r="J3957" s="178">
        <f t="shared" si="161"/>
        <v>0</v>
      </c>
      <c r="K3957" s="462">
        <f>IF(C3957=0,0,VLOOKUP(YEAR(C3957),INPC!$B$4:$O$29,MONTH(C3957)+1))</f>
        <v>0</v>
      </c>
      <c r="L3957" s="462">
        <f>IF(S3957=0,0,VLOOKUP(YEAR(S3957),INPC!$B$4:$O$29,MONTH(S3957)+1))</f>
        <v>0</v>
      </c>
      <c r="M3957" s="463">
        <f t="shared" si="154"/>
        <v>0</v>
      </c>
      <c r="N3957" s="465">
        <f t="shared" si="162"/>
        <v>0</v>
      </c>
      <c r="O3957" s="179"/>
      <c r="P3957" s="180"/>
      <c r="Q3957" s="173"/>
      <c r="R3957" s="173"/>
      <c r="S3957" s="174"/>
      <c r="T3957" s="173"/>
      <c r="U3957" s="182"/>
      <c r="V3957" s="177">
        <f>IF(U3957=0,0,IF(T3957="MXN",1/HLOOKUP(YEAR(S3957)+(MONTH(S3957)/100),TC!$5:$37,DAY(S3957)+2,FALSE),VLOOKUP(T3957,Equivalencia!$1:$23,((MAX(Equivalencia!$3:$3)-YEAR(S3957))*14)+MONTH(S3957)+2,FALSE)))</f>
        <v>0</v>
      </c>
      <c r="W3957" s="178">
        <f t="shared" si="159"/>
        <v>0</v>
      </c>
      <c r="X3957" s="481">
        <f t="shared" si="155"/>
        <v>0</v>
      </c>
      <c r="Y3957" s="179"/>
      <c r="Z3957" s="466">
        <f t="shared" si="156"/>
        <v>0</v>
      </c>
      <c r="AA3957" s="473">
        <f t="shared" si="157"/>
        <v>0</v>
      </c>
      <c r="AB3957" s="339">
        <f t="shared" si="158"/>
        <v>0</v>
      </c>
    </row>
    <row r="3958" spans="2:28" ht="20.100000000000001" customHeight="1">
      <c r="B3958" s="172"/>
      <c r="C3958" s="174"/>
      <c r="D3958" s="181"/>
      <c r="E3958" s="173"/>
      <c r="F3958" s="176"/>
      <c r="G3958" s="175">
        <f t="shared" si="160"/>
        <v>0</v>
      </c>
      <c r="H3958" s="175">
        <f t="shared" si="153"/>
        <v>0</v>
      </c>
      <c r="I3958" s="177">
        <f>IF(G3958=0,0,IF(E3958="MXN",1/HLOOKUP(YEAR(C3958)+(MONTH(C3958)/100),TC!$5:$37,DAY(C3958)+2,FALSE),VLOOKUP(E3958,Equivalencia!$5:$23,((MAX(Equivalencia!$3:$3)-YEAR(C3958))*14)+MONTH(C3958)+2,FALSE)))</f>
        <v>0</v>
      </c>
      <c r="J3958" s="178">
        <f t="shared" si="161"/>
        <v>0</v>
      </c>
      <c r="K3958" s="462">
        <f>IF(C3958=0,0,VLOOKUP(YEAR(C3958),INPC!$B$4:$O$29,MONTH(C3958)+1))</f>
        <v>0</v>
      </c>
      <c r="L3958" s="462">
        <f>IF(S3958=0,0,VLOOKUP(YEAR(S3958),INPC!$B$4:$O$29,MONTH(S3958)+1))</f>
        <v>0</v>
      </c>
      <c r="M3958" s="463">
        <f t="shared" si="154"/>
        <v>0</v>
      </c>
      <c r="N3958" s="465">
        <f t="shared" si="162"/>
        <v>0</v>
      </c>
      <c r="O3958" s="179"/>
      <c r="P3958" s="180"/>
      <c r="Q3958" s="173"/>
      <c r="R3958" s="173"/>
      <c r="S3958" s="174"/>
      <c r="T3958" s="173"/>
      <c r="U3958" s="182"/>
      <c r="V3958" s="177">
        <f>IF(U3958=0,0,IF(T3958="MXN",1/HLOOKUP(YEAR(S3958)+(MONTH(S3958)/100),TC!$5:$37,DAY(S3958)+2,FALSE),VLOOKUP(T3958,Equivalencia!$1:$23,((MAX(Equivalencia!$3:$3)-YEAR(S3958))*14)+MONTH(S3958)+2,FALSE)))</f>
        <v>0</v>
      </c>
      <c r="W3958" s="178">
        <f t="shared" si="159"/>
        <v>0</v>
      </c>
      <c r="X3958" s="481">
        <f t="shared" si="155"/>
        <v>0</v>
      </c>
      <c r="Y3958" s="179"/>
      <c r="Z3958" s="466">
        <f t="shared" si="156"/>
        <v>0</v>
      </c>
      <c r="AA3958" s="473">
        <f t="shared" si="157"/>
        <v>0</v>
      </c>
      <c r="AB3958" s="339">
        <f t="shared" si="158"/>
        <v>0</v>
      </c>
    </row>
    <row r="3959" spans="2:28" ht="20.100000000000001" customHeight="1">
      <c r="B3959" s="172"/>
      <c r="C3959" s="174"/>
      <c r="D3959" s="181"/>
      <c r="E3959" s="173"/>
      <c r="F3959" s="176"/>
      <c r="G3959" s="175">
        <f t="shared" si="160"/>
        <v>0</v>
      </c>
      <c r="H3959" s="175">
        <f t="shared" si="153"/>
        <v>0</v>
      </c>
      <c r="I3959" s="177">
        <f>IF(G3959=0,0,IF(E3959="MXN",1/HLOOKUP(YEAR(C3959)+(MONTH(C3959)/100),TC!$5:$37,DAY(C3959)+2,FALSE),VLOOKUP(E3959,Equivalencia!$5:$23,((MAX(Equivalencia!$3:$3)-YEAR(C3959))*14)+MONTH(C3959)+2,FALSE)))</f>
        <v>0</v>
      </c>
      <c r="J3959" s="178">
        <f t="shared" si="161"/>
        <v>0</v>
      </c>
      <c r="K3959" s="462">
        <f>IF(C3959=0,0,VLOOKUP(YEAR(C3959),INPC!$B$4:$O$29,MONTH(C3959)+1))</f>
        <v>0</v>
      </c>
      <c r="L3959" s="462">
        <f>IF(S3959=0,0,VLOOKUP(YEAR(S3959),INPC!$B$4:$O$29,MONTH(S3959)+1))</f>
        <v>0</v>
      </c>
      <c r="M3959" s="463">
        <f t="shared" si="154"/>
        <v>0</v>
      </c>
      <c r="N3959" s="465">
        <f t="shared" si="162"/>
        <v>0</v>
      </c>
      <c r="O3959" s="179"/>
      <c r="P3959" s="180"/>
      <c r="Q3959" s="173"/>
      <c r="R3959" s="173"/>
      <c r="S3959" s="174"/>
      <c r="T3959" s="173"/>
      <c r="U3959" s="182"/>
      <c r="V3959" s="177">
        <f>IF(U3959=0,0,IF(T3959="MXN",1/HLOOKUP(YEAR(S3959)+(MONTH(S3959)/100),TC!$5:$37,DAY(S3959)+2,FALSE),VLOOKUP(T3959,Equivalencia!$1:$23,((MAX(Equivalencia!$3:$3)-YEAR(S3959))*14)+MONTH(S3959)+2,FALSE)))</f>
        <v>0</v>
      </c>
      <c r="W3959" s="178">
        <f t="shared" si="159"/>
        <v>0</v>
      </c>
      <c r="X3959" s="481">
        <f t="shared" si="155"/>
        <v>0</v>
      </c>
      <c r="Y3959" s="179"/>
      <c r="Z3959" s="466">
        <f t="shared" si="156"/>
        <v>0</v>
      </c>
      <c r="AA3959" s="473">
        <f t="shared" si="157"/>
        <v>0</v>
      </c>
      <c r="AB3959" s="339">
        <f t="shared" si="158"/>
        <v>0</v>
      </c>
    </row>
    <row r="3960" spans="2:28" ht="20.100000000000001" customHeight="1">
      <c r="B3960" s="172"/>
      <c r="C3960" s="174"/>
      <c r="D3960" s="181"/>
      <c r="E3960" s="173"/>
      <c r="F3960" s="176"/>
      <c r="G3960" s="175">
        <f t="shared" si="160"/>
        <v>0</v>
      </c>
      <c r="H3960" s="175">
        <f t="shared" si="153"/>
        <v>0</v>
      </c>
      <c r="I3960" s="177">
        <f>IF(G3960=0,0,IF(E3960="MXN",1/HLOOKUP(YEAR(C3960)+(MONTH(C3960)/100),TC!$5:$37,DAY(C3960)+2,FALSE),VLOOKUP(E3960,Equivalencia!$5:$23,((MAX(Equivalencia!$3:$3)-YEAR(C3960))*14)+MONTH(C3960)+2,FALSE)))</f>
        <v>0</v>
      </c>
      <c r="J3960" s="178">
        <f t="shared" si="161"/>
        <v>0</v>
      </c>
      <c r="K3960" s="462">
        <f>IF(C3960=0,0,VLOOKUP(YEAR(C3960),INPC!$B$4:$O$29,MONTH(C3960)+1))</f>
        <v>0</v>
      </c>
      <c r="L3960" s="462">
        <f>IF(S3960=0,0,VLOOKUP(YEAR(S3960),INPC!$B$4:$O$29,MONTH(S3960)+1))</f>
        <v>0</v>
      </c>
      <c r="M3960" s="463">
        <f t="shared" si="154"/>
        <v>0</v>
      </c>
      <c r="N3960" s="465">
        <f t="shared" si="162"/>
        <v>0</v>
      </c>
      <c r="O3960" s="179"/>
      <c r="P3960" s="180"/>
      <c r="Q3960" s="173"/>
      <c r="R3960" s="173"/>
      <c r="S3960" s="174"/>
      <c r="T3960" s="173"/>
      <c r="U3960" s="182"/>
      <c r="V3960" s="177">
        <f>IF(U3960=0,0,IF(T3960="MXN",1/HLOOKUP(YEAR(S3960)+(MONTH(S3960)/100),TC!$5:$37,DAY(S3960)+2,FALSE),VLOOKUP(T3960,Equivalencia!$1:$23,((MAX(Equivalencia!$3:$3)-YEAR(S3960))*14)+MONTH(S3960)+2,FALSE)))</f>
        <v>0</v>
      </c>
      <c r="W3960" s="178">
        <f t="shared" si="159"/>
        <v>0</v>
      </c>
      <c r="X3960" s="481">
        <f t="shared" si="155"/>
        <v>0</v>
      </c>
      <c r="Y3960" s="179"/>
      <c r="Z3960" s="466">
        <f t="shared" si="156"/>
        <v>0</v>
      </c>
      <c r="AA3960" s="473">
        <f t="shared" si="157"/>
        <v>0</v>
      </c>
      <c r="AB3960" s="339">
        <f t="shared" si="158"/>
        <v>0</v>
      </c>
    </row>
    <row r="3961" spans="2:28" ht="20.100000000000001" customHeight="1">
      <c r="B3961" s="172"/>
      <c r="C3961" s="174"/>
      <c r="D3961" s="181"/>
      <c r="E3961" s="173"/>
      <c r="F3961" s="176"/>
      <c r="G3961" s="175">
        <f t="shared" si="160"/>
        <v>0</v>
      </c>
      <c r="H3961" s="175">
        <f t="shared" si="153"/>
        <v>0</v>
      </c>
      <c r="I3961" s="177">
        <f>IF(G3961=0,0,IF(E3961="MXN",1/HLOOKUP(YEAR(C3961)+(MONTH(C3961)/100),TC!$5:$37,DAY(C3961)+2,FALSE),VLOOKUP(E3961,Equivalencia!$5:$23,((MAX(Equivalencia!$3:$3)-YEAR(C3961))*14)+MONTH(C3961)+2,FALSE)))</f>
        <v>0</v>
      </c>
      <c r="J3961" s="178">
        <f t="shared" si="161"/>
        <v>0</v>
      </c>
      <c r="K3961" s="462">
        <f>IF(C3961=0,0,VLOOKUP(YEAR(C3961),INPC!$B$4:$O$29,MONTH(C3961)+1))</f>
        <v>0</v>
      </c>
      <c r="L3961" s="462">
        <f>IF(S3961=0,0,VLOOKUP(YEAR(S3961),INPC!$B$4:$O$29,MONTH(S3961)+1))</f>
        <v>0</v>
      </c>
      <c r="M3961" s="463">
        <f t="shared" si="154"/>
        <v>0</v>
      </c>
      <c r="N3961" s="465">
        <f t="shared" si="162"/>
        <v>0</v>
      </c>
      <c r="O3961" s="179"/>
      <c r="P3961" s="180"/>
      <c r="Q3961" s="173"/>
      <c r="R3961" s="173"/>
      <c r="S3961" s="174"/>
      <c r="T3961" s="173"/>
      <c r="U3961" s="182"/>
      <c r="V3961" s="177">
        <f>IF(U3961=0,0,IF(T3961="MXN",1/HLOOKUP(YEAR(S3961)+(MONTH(S3961)/100),TC!$5:$37,DAY(S3961)+2,FALSE),VLOOKUP(T3961,Equivalencia!$1:$23,((MAX(Equivalencia!$3:$3)-YEAR(S3961))*14)+MONTH(S3961)+2,FALSE)))</f>
        <v>0</v>
      </c>
      <c r="W3961" s="178">
        <f t="shared" si="159"/>
        <v>0</v>
      </c>
      <c r="X3961" s="481">
        <f t="shared" si="155"/>
        <v>0</v>
      </c>
      <c r="Y3961" s="179"/>
      <c r="Z3961" s="466">
        <f t="shared" si="156"/>
        <v>0</v>
      </c>
      <c r="AA3961" s="473">
        <f t="shared" si="157"/>
        <v>0</v>
      </c>
      <c r="AB3961" s="339">
        <f t="shared" si="158"/>
        <v>0</v>
      </c>
    </row>
    <row r="3962" spans="2:28" ht="20.100000000000001" customHeight="1">
      <c r="B3962" s="172"/>
      <c r="C3962" s="174"/>
      <c r="D3962" s="181"/>
      <c r="E3962" s="173"/>
      <c r="F3962" s="176"/>
      <c r="G3962" s="175">
        <f t="shared" si="160"/>
        <v>0</v>
      </c>
      <c r="H3962" s="175">
        <f t="shared" si="153"/>
        <v>0</v>
      </c>
      <c r="I3962" s="177">
        <f>IF(G3962=0,0,IF(E3962="MXN",1/HLOOKUP(YEAR(C3962)+(MONTH(C3962)/100),TC!$5:$37,DAY(C3962)+2,FALSE),VLOOKUP(E3962,Equivalencia!$5:$23,((MAX(Equivalencia!$3:$3)-YEAR(C3962))*14)+MONTH(C3962)+2,FALSE)))</f>
        <v>0</v>
      </c>
      <c r="J3962" s="178">
        <f t="shared" si="161"/>
        <v>0</v>
      </c>
      <c r="K3962" s="462">
        <f>IF(C3962=0,0,VLOOKUP(YEAR(C3962),INPC!$B$4:$O$29,MONTH(C3962)+1))</f>
        <v>0</v>
      </c>
      <c r="L3962" s="462">
        <f>IF(S3962=0,0,VLOOKUP(YEAR(S3962),INPC!$B$4:$O$29,MONTH(S3962)+1))</f>
        <v>0</v>
      </c>
      <c r="M3962" s="463">
        <f t="shared" si="154"/>
        <v>0</v>
      </c>
      <c r="N3962" s="465">
        <f t="shared" si="162"/>
        <v>0</v>
      </c>
      <c r="O3962" s="179"/>
      <c r="P3962" s="180"/>
      <c r="Q3962" s="173"/>
      <c r="R3962" s="173"/>
      <c r="S3962" s="174"/>
      <c r="T3962" s="173"/>
      <c r="U3962" s="182"/>
      <c r="V3962" s="177">
        <f>IF(U3962=0,0,IF(T3962="MXN",1/HLOOKUP(YEAR(S3962)+(MONTH(S3962)/100),TC!$5:$37,DAY(S3962)+2,FALSE),VLOOKUP(T3962,Equivalencia!$1:$23,((MAX(Equivalencia!$3:$3)-YEAR(S3962))*14)+MONTH(S3962)+2,FALSE)))</f>
        <v>0</v>
      </c>
      <c r="W3962" s="178">
        <f t="shared" si="159"/>
        <v>0</v>
      </c>
      <c r="X3962" s="481">
        <f t="shared" si="155"/>
        <v>0</v>
      </c>
      <c r="Y3962" s="179"/>
      <c r="Z3962" s="466">
        <f t="shared" si="156"/>
        <v>0</v>
      </c>
      <c r="AA3962" s="473">
        <f t="shared" si="157"/>
        <v>0</v>
      </c>
      <c r="AB3962" s="339">
        <f t="shared" si="158"/>
        <v>0</v>
      </c>
    </row>
    <row r="3963" spans="2:28" ht="20.100000000000001" customHeight="1">
      <c r="B3963" s="172"/>
      <c r="C3963" s="174"/>
      <c r="D3963" s="181"/>
      <c r="E3963" s="173"/>
      <c r="F3963" s="176"/>
      <c r="G3963" s="175">
        <f t="shared" si="160"/>
        <v>0</v>
      </c>
      <c r="H3963" s="175">
        <f t="shared" si="153"/>
        <v>0</v>
      </c>
      <c r="I3963" s="177">
        <f>IF(G3963=0,0,IF(E3963="MXN",1/HLOOKUP(YEAR(C3963)+(MONTH(C3963)/100),TC!$5:$37,DAY(C3963)+2,FALSE),VLOOKUP(E3963,Equivalencia!$5:$23,((MAX(Equivalencia!$3:$3)-YEAR(C3963))*14)+MONTH(C3963)+2,FALSE)))</f>
        <v>0</v>
      </c>
      <c r="J3963" s="178">
        <f t="shared" si="161"/>
        <v>0</v>
      </c>
      <c r="K3963" s="462">
        <f>IF(C3963=0,0,VLOOKUP(YEAR(C3963),INPC!$B$4:$O$29,MONTH(C3963)+1))</f>
        <v>0</v>
      </c>
      <c r="L3963" s="462">
        <f>IF(S3963=0,0,VLOOKUP(YEAR(S3963),INPC!$B$4:$O$29,MONTH(S3963)+1))</f>
        <v>0</v>
      </c>
      <c r="M3963" s="463">
        <f t="shared" si="154"/>
        <v>0</v>
      </c>
      <c r="N3963" s="465">
        <f t="shared" si="162"/>
        <v>0</v>
      </c>
      <c r="O3963" s="179"/>
      <c r="P3963" s="180"/>
      <c r="Q3963" s="173"/>
      <c r="R3963" s="173"/>
      <c r="S3963" s="174"/>
      <c r="T3963" s="173"/>
      <c r="U3963" s="182"/>
      <c r="V3963" s="177">
        <f>IF(U3963=0,0,IF(T3963="MXN",1/HLOOKUP(YEAR(S3963)+(MONTH(S3963)/100),TC!$5:$37,DAY(S3963)+2,FALSE),VLOOKUP(T3963,Equivalencia!$1:$23,((MAX(Equivalencia!$3:$3)-YEAR(S3963))*14)+MONTH(S3963)+2,FALSE)))</f>
        <v>0</v>
      </c>
      <c r="W3963" s="178">
        <f t="shared" si="159"/>
        <v>0</v>
      </c>
      <c r="X3963" s="481">
        <f t="shared" si="155"/>
        <v>0</v>
      </c>
      <c r="Y3963" s="179"/>
      <c r="Z3963" s="466">
        <f t="shared" si="156"/>
        <v>0</v>
      </c>
      <c r="AA3963" s="473">
        <f t="shared" si="157"/>
        <v>0</v>
      </c>
      <c r="AB3963" s="339">
        <f t="shared" si="158"/>
        <v>0</v>
      </c>
    </row>
    <row r="3964" spans="2:28" ht="20.100000000000001" customHeight="1">
      <c r="B3964" s="172"/>
      <c r="C3964" s="174"/>
      <c r="D3964" s="181"/>
      <c r="E3964" s="173"/>
      <c r="F3964" s="176"/>
      <c r="G3964" s="175">
        <f t="shared" si="160"/>
        <v>0</v>
      </c>
      <c r="H3964" s="175">
        <f t="shared" si="153"/>
        <v>0</v>
      </c>
      <c r="I3964" s="177">
        <f>IF(G3964=0,0,IF(E3964="MXN",1/HLOOKUP(YEAR(C3964)+(MONTH(C3964)/100),TC!$5:$37,DAY(C3964)+2,FALSE),VLOOKUP(E3964,Equivalencia!$5:$23,((MAX(Equivalencia!$3:$3)-YEAR(C3964))*14)+MONTH(C3964)+2,FALSE)))</f>
        <v>0</v>
      </c>
      <c r="J3964" s="178">
        <f t="shared" si="161"/>
        <v>0</v>
      </c>
      <c r="K3964" s="462">
        <f>IF(C3964=0,0,VLOOKUP(YEAR(C3964),INPC!$B$4:$O$29,MONTH(C3964)+1))</f>
        <v>0</v>
      </c>
      <c r="L3964" s="462">
        <f>IF(S3964=0,0,VLOOKUP(YEAR(S3964),INPC!$B$4:$O$29,MONTH(S3964)+1))</f>
        <v>0</v>
      </c>
      <c r="M3964" s="463">
        <f t="shared" si="154"/>
        <v>0</v>
      </c>
      <c r="N3964" s="465">
        <f t="shared" si="162"/>
        <v>0</v>
      </c>
      <c r="O3964" s="179"/>
      <c r="P3964" s="180"/>
      <c r="Q3964" s="173"/>
      <c r="R3964" s="173"/>
      <c r="S3964" s="174"/>
      <c r="T3964" s="173"/>
      <c r="U3964" s="182"/>
      <c r="V3964" s="177">
        <f>IF(U3964=0,0,IF(T3964="MXN",1/HLOOKUP(YEAR(S3964)+(MONTH(S3964)/100),TC!$5:$37,DAY(S3964)+2,FALSE),VLOOKUP(T3964,Equivalencia!$1:$23,((MAX(Equivalencia!$3:$3)-YEAR(S3964))*14)+MONTH(S3964)+2,FALSE)))</f>
        <v>0</v>
      </c>
      <c r="W3964" s="178">
        <f t="shared" si="159"/>
        <v>0</v>
      </c>
      <c r="X3964" s="481">
        <f t="shared" si="155"/>
        <v>0</v>
      </c>
      <c r="Y3964" s="179"/>
      <c r="Z3964" s="466">
        <f t="shared" si="156"/>
        <v>0</v>
      </c>
      <c r="AA3964" s="473">
        <f t="shared" si="157"/>
        <v>0</v>
      </c>
      <c r="AB3964" s="339">
        <f t="shared" si="158"/>
        <v>0</v>
      </c>
    </row>
    <row r="3965" spans="2:28" ht="20.100000000000001" customHeight="1">
      <c r="B3965" s="172"/>
      <c r="C3965" s="174"/>
      <c r="D3965" s="181"/>
      <c r="E3965" s="173"/>
      <c r="F3965" s="176"/>
      <c r="G3965" s="175">
        <f t="shared" si="160"/>
        <v>0</v>
      </c>
      <c r="H3965" s="175">
        <f t="shared" si="153"/>
        <v>0</v>
      </c>
      <c r="I3965" s="177">
        <f>IF(G3965=0,0,IF(E3965="MXN",1/HLOOKUP(YEAR(C3965)+(MONTH(C3965)/100),TC!$5:$37,DAY(C3965)+2,FALSE),VLOOKUP(E3965,Equivalencia!$5:$23,((MAX(Equivalencia!$3:$3)-YEAR(C3965))*14)+MONTH(C3965)+2,FALSE)))</f>
        <v>0</v>
      </c>
      <c r="J3965" s="178">
        <f t="shared" si="161"/>
        <v>0</v>
      </c>
      <c r="K3965" s="462">
        <f>IF(C3965=0,0,VLOOKUP(YEAR(C3965),INPC!$B$4:$O$29,MONTH(C3965)+1))</f>
        <v>0</v>
      </c>
      <c r="L3965" s="462">
        <f>IF(S3965=0,0,VLOOKUP(YEAR(S3965),INPC!$B$4:$O$29,MONTH(S3965)+1))</f>
        <v>0</v>
      </c>
      <c r="M3965" s="463">
        <f t="shared" si="154"/>
        <v>0</v>
      </c>
      <c r="N3965" s="465">
        <f t="shared" si="162"/>
        <v>0</v>
      </c>
      <c r="O3965" s="179"/>
      <c r="P3965" s="180"/>
      <c r="Q3965" s="173"/>
      <c r="R3965" s="173"/>
      <c r="S3965" s="174"/>
      <c r="T3965" s="173"/>
      <c r="U3965" s="182"/>
      <c r="V3965" s="177">
        <f>IF(U3965=0,0,IF(T3965="MXN",1/HLOOKUP(YEAR(S3965)+(MONTH(S3965)/100),TC!$5:$37,DAY(S3965)+2,FALSE),VLOOKUP(T3965,Equivalencia!$1:$23,((MAX(Equivalencia!$3:$3)-YEAR(S3965))*14)+MONTH(S3965)+2,FALSE)))</f>
        <v>0</v>
      </c>
      <c r="W3965" s="178">
        <f t="shared" si="159"/>
        <v>0</v>
      </c>
      <c r="X3965" s="481">
        <f t="shared" si="155"/>
        <v>0</v>
      </c>
      <c r="Y3965" s="179"/>
      <c r="Z3965" s="466">
        <f t="shared" si="156"/>
        <v>0</v>
      </c>
      <c r="AA3965" s="473">
        <f t="shared" si="157"/>
        <v>0</v>
      </c>
      <c r="AB3965" s="339">
        <f t="shared" si="158"/>
        <v>0</v>
      </c>
    </row>
    <row r="3966" spans="2:28" ht="20.100000000000001" customHeight="1">
      <c r="B3966" s="172"/>
      <c r="C3966" s="174"/>
      <c r="D3966" s="181"/>
      <c r="E3966" s="173"/>
      <c r="F3966" s="176"/>
      <c r="G3966" s="175">
        <f t="shared" si="160"/>
        <v>0</v>
      </c>
      <c r="H3966" s="175">
        <f t="shared" si="153"/>
        <v>0</v>
      </c>
      <c r="I3966" s="177">
        <f>IF(G3966=0,0,IF(E3966="MXN",1/HLOOKUP(YEAR(C3966)+(MONTH(C3966)/100),TC!$5:$37,DAY(C3966)+2,FALSE),VLOOKUP(E3966,Equivalencia!$5:$23,((MAX(Equivalencia!$3:$3)-YEAR(C3966))*14)+MONTH(C3966)+2,FALSE)))</f>
        <v>0</v>
      </c>
      <c r="J3966" s="178">
        <f t="shared" si="161"/>
        <v>0</v>
      </c>
      <c r="K3966" s="462">
        <f>IF(C3966=0,0,VLOOKUP(YEAR(C3966),INPC!$B$4:$O$29,MONTH(C3966)+1))</f>
        <v>0</v>
      </c>
      <c r="L3966" s="462">
        <f>IF(S3966=0,0,VLOOKUP(YEAR(S3966),INPC!$B$4:$O$29,MONTH(S3966)+1))</f>
        <v>0</v>
      </c>
      <c r="M3966" s="463">
        <f t="shared" si="154"/>
        <v>0</v>
      </c>
      <c r="N3966" s="465">
        <f t="shared" si="162"/>
        <v>0</v>
      </c>
      <c r="O3966" s="179"/>
      <c r="P3966" s="180"/>
      <c r="Q3966" s="173"/>
      <c r="R3966" s="173"/>
      <c r="S3966" s="174"/>
      <c r="T3966" s="173"/>
      <c r="U3966" s="182"/>
      <c r="V3966" s="177">
        <f>IF(U3966=0,0,IF(T3966="MXN",1/HLOOKUP(YEAR(S3966)+(MONTH(S3966)/100),TC!$5:$37,DAY(S3966)+2,FALSE),VLOOKUP(T3966,Equivalencia!$1:$23,((MAX(Equivalencia!$3:$3)-YEAR(S3966))*14)+MONTH(S3966)+2,FALSE)))</f>
        <v>0</v>
      </c>
      <c r="W3966" s="178">
        <f t="shared" si="159"/>
        <v>0</v>
      </c>
      <c r="X3966" s="481">
        <f t="shared" si="155"/>
        <v>0</v>
      </c>
      <c r="Y3966" s="179"/>
      <c r="Z3966" s="466">
        <f t="shared" si="156"/>
        <v>0</v>
      </c>
      <c r="AA3966" s="473">
        <f t="shared" si="157"/>
        <v>0</v>
      </c>
      <c r="AB3966" s="339">
        <f t="shared" si="158"/>
        <v>0</v>
      </c>
    </row>
    <row r="3967" spans="2:28" ht="20.100000000000001" customHeight="1">
      <c r="B3967" s="172"/>
      <c r="C3967" s="174"/>
      <c r="D3967" s="181"/>
      <c r="E3967" s="173"/>
      <c r="F3967" s="176"/>
      <c r="G3967" s="175">
        <f t="shared" si="160"/>
        <v>0</v>
      </c>
      <c r="H3967" s="175">
        <f t="shared" si="153"/>
        <v>0</v>
      </c>
      <c r="I3967" s="177">
        <f>IF(G3967=0,0,IF(E3967="MXN",1/HLOOKUP(YEAR(C3967)+(MONTH(C3967)/100),TC!$5:$37,DAY(C3967)+2,FALSE),VLOOKUP(E3967,Equivalencia!$5:$23,((MAX(Equivalencia!$3:$3)-YEAR(C3967))*14)+MONTH(C3967)+2,FALSE)))</f>
        <v>0</v>
      </c>
      <c r="J3967" s="178">
        <f t="shared" si="161"/>
        <v>0</v>
      </c>
      <c r="K3967" s="462">
        <f>IF(C3967=0,0,VLOOKUP(YEAR(C3967),INPC!$B$4:$O$29,MONTH(C3967)+1))</f>
        <v>0</v>
      </c>
      <c r="L3967" s="462">
        <f>IF(S3967=0,0,VLOOKUP(YEAR(S3967),INPC!$B$4:$O$29,MONTH(S3967)+1))</f>
        <v>0</v>
      </c>
      <c r="M3967" s="463">
        <f t="shared" si="154"/>
        <v>0</v>
      </c>
      <c r="N3967" s="465">
        <f t="shared" si="162"/>
        <v>0</v>
      </c>
      <c r="O3967" s="179"/>
      <c r="P3967" s="180"/>
      <c r="Q3967" s="173"/>
      <c r="R3967" s="173"/>
      <c r="S3967" s="174"/>
      <c r="T3967" s="173"/>
      <c r="U3967" s="182"/>
      <c r="V3967" s="177">
        <f>IF(U3967=0,0,IF(T3967="MXN",1/HLOOKUP(YEAR(S3967)+(MONTH(S3967)/100),TC!$5:$37,DAY(S3967)+2,FALSE),VLOOKUP(T3967,Equivalencia!$1:$23,((MAX(Equivalencia!$3:$3)-YEAR(S3967))*14)+MONTH(S3967)+2,FALSE)))</f>
        <v>0</v>
      </c>
      <c r="W3967" s="178">
        <f t="shared" si="159"/>
        <v>0</v>
      </c>
      <c r="X3967" s="481">
        <f t="shared" si="155"/>
        <v>0</v>
      </c>
      <c r="Y3967" s="179"/>
      <c r="Z3967" s="466">
        <f t="shared" si="156"/>
        <v>0</v>
      </c>
      <c r="AA3967" s="473">
        <f t="shared" si="157"/>
        <v>0</v>
      </c>
      <c r="AB3967" s="339">
        <f t="shared" si="158"/>
        <v>0</v>
      </c>
    </row>
    <row r="3968" spans="2:28" ht="20.100000000000001" customHeight="1">
      <c r="B3968" s="172"/>
      <c r="C3968" s="174"/>
      <c r="D3968" s="181"/>
      <c r="E3968" s="173"/>
      <c r="F3968" s="176"/>
      <c r="G3968" s="175">
        <f t="shared" si="160"/>
        <v>0</v>
      </c>
      <c r="H3968" s="175">
        <f t="shared" si="153"/>
        <v>0</v>
      </c>
      <c r="I3968" s="177">
        <f>IF(G3968=0,0,IF(E3968="MXN",1/HLOOKUP(YEAR(C3968)+(MONTH(C3968)/100),TC!$5:$37,DAY(C3968)+2,FALSE),VLOOKUP(E3968,Equivalencia!$5:$23,((MAX(Equivalencia!$3:$3)-YEAR(C3968))*14)+MONTH(C3968)+2,FALSE)))</f>
        <v>0</v>
      </c>
      <c r="J3968" s="178">
        <f t="shared" si="161"/>
        <v>0</v>
      </c>
      <c r="K3968" s="462">
        <f>IF(C3968=0,0,VLOOKUP(YEAR(C3968),INPC!$B$4:$O$29,MONTH(C3968)+1))</f>
        <v>0</v>
      </c>
      <c r="L3968" s="462">
        <f>IF(S3968=0,0,VLOOKUP(YEAR(S3968),INPC!$B$4:$O$29,MONTH(S3968)+1))</f>
        <v>0</v>
      </c>
      <c r="M3968" s="463">
        <f t="shared" si="154"/>
        <v>0</v>
      </c>
      <c r="N3968" s="465">
        <f t="shared" si="162"/>
        <v>0</v>
      </c>
      <c r="O3968" s="179"/>
      <c r="P3968" s="180"/>
      <c r="Q3968" s="173"/>
      <c r="R3968" s="173"/>
      <c r="S3968" s="174"/>
      <c r="T3968" s="173"/>
      <c r="U3968" s="182"/>
      <c r="V3968" s="177">
        <f>IF(U3968=0,0,IF(T3968="MXN",1/HLOOKUP(YEAR(S3968)+(MONTH(S3968)/100),TC!$5:$37,DAY(S3968)+2,FALSE),VLOOKUP(T3968,Equivalencia!$1:$23,((MAX(Equivalencia!$3:$3)-YEAR(S3968))*14)+MONTH(S3968)+2,FALSE)))</f>
        <v>0</v>
      </c>
      <c r="W3968" s="178">
        <f t="shared" si="159"/>
        <v>0</v>
      </c>
      <c r="X3968" s="481">
        <f t="shared" si="155"/>
        <v>0</v>
      </c>
      <c r="Y3968" s="179"/>
      <c r="Z3968" s="466">
        <f t="shared" si="156"/>
        <v>0</v>
      </c>
      <c r="AA3968" s="473">
        <f t="shared" si="157"/>
        <v>0</v>
      </c>
      <c r="AB3968" s="339">
        <f t="shared" si="158"/>
        <v>0</v>
      </c>
    </row>
    <row r="3969" spans="2:28" ht="20.100000000000001" customHeight="1">
      <c r="B3969" s="172"/>
      <c r="C3969" s="174"/>
      <c r="D3969" s="181"/>
      <c r="E3969" s="173"/>
      <c r="F3969" s="176"/>
      <c r="G3969" s="175">
        <f t="shared" si="160"/>
        <v>0</v>
      </c>
      <c r="H3969" s="175">
        <f t="shared" si="153"/>
        <v>0</v>
      </c>
      <c r="I3969" s="177">
        <f>IF(G3969=0,0,IF(E3969="MXN",1/HLOOKUP(YEAR(C3969)+(MONTH(C3969)/100),TC!$5:$37,DAY(C3969)+2,FALSE),VLOOKUP(E3969,Equivalencia!$5:$23,((MAX(Equivalencia!$3:$3)-YEAR(C3969))*14)+MONTH(C3969)+2,FALSE)))</f>
        <v>0</v>
      </c>
      <c r="J3969" s="178">
        <f t="shared" si="161"/>
        <v>0</v>
      </c>
      <c r="K3969" s="462">
        <f>IF(C3969=0,0,VLOOKUP(YEAR(C3969),INPC!$B$4:$O$29,MONTH(C3969)+1))</f>
        <v>0</v>
      </c>
      <c r="L3969" s="462">
        <f>IF(S3969=0,0,VLOOKUP(YEAR(S3969),INPC!$B$4:$O$29,MONTH(S3969)+1))</f>
        <v>0</v>
      </c>
      <c r="M3969" s="463">
        <f t="shared" si="154"/>
        <v>0</v>
      </c>
      <c r="N3969" s="465">
        <f t="shared" si="162"/>
        <v>0</v>
      </c>
      <c r="O3969" s="179"/>
      <c r="P3969" s="180"/>
      <c r="Q3969" s="173"/>
      <c r="R3969" s="173"/>
      <c r="S3969" s="174"/>
      <c r="T3969" s="173"/>
      <c r="U3969" s="182"/>
      <c r="V3969" s="177">
        <f>IF(U3969=0,0,IF(T3969="MXN",1/HLOOKUP(YEAR(S3969)+(MONTH(S3969)/100),TC!$5:$37,DAY(S3969)+2,FALSE),VLOOKUP(T3969,Equivalencia!$1:$23,((MAX(Equivalencia!$3:$3)-YEAR(S3969))*14)+MONTH(S3969)+2,FALSE)))</f>
        <v>0</v>
      </c>
      <c r="W3969" s="178">
        <f t="shared" si="159"/>
        <v>0</v>
      </c>
      <c r="X3969" s="481">
        <f t="shared" si="155"/>
        <v>0</v>
      </c>
      <c r="Y3969" s="179"/>
      <c r="Z3969" s="466">
        <f t="shared" si="156"/>
        <v>0</v>
      </c>
      <c r="AA3969" s="473">
        <f t="shared" si="157"/>
        <v>0</v>
      </c>
      <c r="AB3969" s="339">
        <f t="shared" si="158"/>
        <v>0</v>
      </c>
    </row>
    <row r="3970" spans="2:28" ht="20.100000000000001" customHeight="1">
      <c r="B3970" s="172"/>
      <c r="C3970" s="174"/>
      <c r="D3970" s="181"/>
      <c r="E3970" s="173"/>
      <c r="F3970" s="176"/>
      <c r="G3970" s="175">
        <f t="shared" si="160"/>
        <v>0</v>
      </c>
      <c r="H3970" s="175">
        <f t="shared" si="153"/>
        <v>0</v>
      </c>
      <c r="I3970" s="177">
        <f>IF(G3970=0,0,IF(E3970="MXN",1/HLOOKUP(YEAR(C3970)+(MONTH(C3970)/100),TC!$5:$37,DAY(C3970)+2,FALSE),VLOOKUP(E3970,Equivalencia!$5:$23,((MAX(Equivalencia!$3:$3)-YEAR(C3970))*14)+MONTH(C3970)+2,FALSE)))</f>
        <v>0</v>
      </c>
      <c r="J3970" s="178">
        <f t="shared" si="161"/>
        <v>0</v>
      </c>
      <c r="K3970" s="462">
        <f>IF(C3970=0,0,VLOOKUP(YEAR(C3970),INPC!$B$4:$O$29,MONTH(C3970)+1))</f>
        <v>0</v>
      </c>
      <c r="L3970" s="462">
        <f>IF(S3970=0,0,VLOOKUP(YEAR(S3970),INPC!$B$4:$O$29,MONTH(S3970)+1))</f>
        <v>0</v>
      </c>
      <c r="M3970" s="463">
        <f t="shared" si="154"/>
        <v>0</v>
      </c>
      <c r="N3970" s="465">
        <f t="shared" si="162"/>
        <v>0</v>
      </c>
      <c r="O3970" s="179"/>
      <c r="P3970" s="180"/>
      <c r="Q3970" s="173"/>
      <c r="R3970" s="173"/>
      <c r="S3970" s="174"/>
      <c r="T3970" s="173"/>
      <c r="U3970" s="182"/>
      <c r="V3970" s="177">
        <f>IF(U3970=0,0,IF(T3970="MXN",1/HLOOKUP(YEAR(S3970)+(MONTH(S3970)/100),TC!$5:$37,DAY(S3970)+2,FALSE),VLOOKUP(T3970,Equivalencia!$1:$23,((MAX(Equivalencia!$3:$3)-YEAR(S3970))*14)+MONTH(S3970)+2,FALSE)))</f>
        <v>0</v>
      </c>
      <c r="W3970" s="178">
        <f t="shared" si="159"/>
        <v>0</v>
      </c>
      <c r="X3970" s="481">
        <f t="shared" si="155"/>
        <v>0</v>
      </c>
      <c r="Y3970" s="179"/>
      <c r="Z3970" s="466">
        <f t="shared" si="156"/>
        <v>0</v>
      </c>
      <c r="AA3970" s="473">
        <f t="shared" si="157"/>
        <v>0</v>
      </c>
      <c r="AB3970" s="339">
        <f t="shared" si="158"/>
        <v>0</v>
      </c>
    </row>
    <row r="3971" spans="2:28" ht="20.100000000000001" customHeight="1">
      <c r="B3971" s="172"/>
      <c r="C3971" s="174"/>
      <c r="D3971" s="181"/>
      <c r="E3971" s="173"/>
      <c r="F3971" s="176"/>
      <c r="G3971" s="175">
        <f t="shared" si="160"/>
        <v>0</v>
      </c>
      <c r="H3971" s="175">
        <f t="shared" si="153"/>
        <v>0</v>
      </c>
      <c r="I3971" s="177">
        <f>IF(G3971=0,0,IF(E3971="MXN",1/HLOOKUP(YEAR(C3971)+(MONTH(C3971)/100),TC!$5:$37,DAY(C3971)+2,FALSE),VLOOKUP(E3971,Equivalencia!$5:$23,((MAX(Equivalencia!$3:$3)-YEAR(C3971))*14)+MONTH(C3971)+2,FALSE)))</f>
        <v>0</v>
      </c>
      <c r="J3971" s="178">
        <f t="shared" si="161"/>
        <v>0</v>
      </c>
      <c r="K3971" s="462">
        <f>IF(C3971=0,0,VLOOKUP(YEAR(C3971),INPC!$B$4:$O$29,MONTH(C3971)+1))</f>
        <v>0</v>
      </c>
      <c r="L3971" s="462">
        <f>IF(S3971=0,0,VLOOKUP(YEAR(S3971),INPC!$B$4:$O$29,MONTH(S3971)+1))</f>
        <v>0</v>
      </c>
      <c r="M3971" s="463">
        <f t="shared" si="154"/>
        <v>0</v>
      </c>
      <c r="N3971" s="465">
        <f t="shared" si="162"/>
        <v>0</v>
      </c>
      <c r="O3971" s="179"/>
      <c r="P3971" s="180"/>
      <c r="Q3971" s="173"/>
      <c r="R3971" s="173"/>
      <c r="S3971" s="174"/>
      <c r="T3971" s="173"/>
      <c r="U3971" s="182"/>
      <c r="V3971" s="177">
        <f>IF(U3971=0,0,IF(T3971="MXN",1/HLOOKUP(YEAR(S3971)+(MONTH(S3971)/100),TC!$5:$37,DAY(S3971)+2,FALSE),VLOOKUP(T3971,Equivalencia!$1:$23,((MAX(Equivalencia!$3:$3)-YEAR(S3971))*14)+MONTH(S3971)+2,FALSE)))</f>
        <v>0</v>
      </c>
      <c r="W3971" s="178">
        <f t="shared" si="159"/>
        <v>0</v>
      </c>
      <c r="X3971" s="481">
        <f t="shared" si="155"/>
        <v>0</v>
      </c>
      <c r="Y3971" s="179"/>
      <c r="Z3971" s="466">
        <f t="shared" si="156"/>
        <v>0</v>
      </c>
      <c r="AA3971" s="473">
        <f t="shared" si="157"/>
        <v>0</v>
      </c>
      <c r="AB3971" s="339">
        <f t="shared" si="158"/>
        <v>0</v>
      </c>
    </row>
    <row r="3972" spans="2:28" ht="20.100000000000001" customHeight="1">
      <c r="B3972" s="172"/>
      <c r="C3972" s="174"/>
      <c r="D3972" s="181"/>
      <c r="E3972" s="173"/>
      <c r="F3972" s="176"/>
      <c r="G3972" s="175">
        <f t="shared" si="160"/>
        <v>0</v>
      </c>
      <c r="H3972" s="175">
        <f t="shared" si="153"/>
        <v>0</v>
      </c>
      <c r="I3972" s="177">
        <f>IF(G3972=0,0,IF(E3972="MXN",1/HLOOKUP(YEAR(C3972)+(MONTH(C3972)/100),TC!$5:$37,DAY(C3972)+2,FALSE),VLOOKUP(E3972,Equivalencia!$5:$23,((MAX(Equivalencia!$3:$3)-YEAR(C3972))*14)+MONTH(C3972)+2,FALSE)))</f>
        <v>0</v>
      </c>
      <c r="J3972" s="178">
        <f t="shared" si="161"/>
        <v>0</v>
      </c>
      <c r="K3972" s="462">
        <f>IF(C3972=0,0,VLOOKUP(YEAR(C3972),INPC!$B$4:$O$29,MONTH(C3972)+1))</f>
        <v>0</v>
      </c>
      <c r="L3972" s="462">
        <f>IF(S3972=0,0,VLOOKUP(YEAR(S3972),INPC!$B$4:$O$29,MONTH(S3972)+1))</f>
        <v>0</v>
      </c>
      <c r="M3972" s="463">
        <f t="shared" si="154"/>
        <v>0</v>
      </c>
      <c r="N3972" s="465">
        <f t="shared" si="162"/>
        <v>0</v>
      </c>
      <c r="O3972" s="179"/>
      <c r="P3972" s="180"/>
      <c r="Q3972" s="173"/>
      <c r="R3972" s="173"/>
      <c r="S3972" s="174"/>
      <c r="T3972" s="173"/>
      <c r="U3972" s="182"/>
      <c r="V3972" s="177">
        <f>IF(U3972=0,0,IF(T3972="MXN",1/HLOOKUP(YEAR(S3972)+(MONTH(S3972)/100),TC!$5:$37,DAY(S3972)+2,FALSE),VLOOKUP(T3972,Equivalencia!$1:$23,((MAX(Equivalencia!$3:$3)-YEAR(S3972))*14)+MONTH(S3972)+2,FALSE)))</f>
        <v>0</v>
      </c>
      <c r="W3972" s="178">
        <f t="shared" si="159"/>
        <v>0</v>
      </c>
      <c r="X3972" s="481">
        <f t="shared" si="155"/>
        <v>0</v>
      </c>
      <c r="Y3972" s="179"/>
      <c r="Z3972" s="466">
        <f t="shared" si="156"/>
        <v>0</v>
      </c>
      <c r="AA3972" s="473">
        <f t="shared" si="157"/>
        <v>0</v>
      </c>
      <c r="AB3972" s="339">
        <f t="shared" si="158"/>
        <v>0</v>
      </c>
    </row>
    <row r="3973" spans="2:28" ht="20.100000000000001" customHeight="1">
      <c r="B3973" s="172"/>
      <c r="C3973" s="174"/>
      <c r="D3973" s="181"/>
      <c r="E3973" s="173"/>
      <c r="F3973" s="176"/>
      <c r="G3973" s="175">
        <f t="shared" si="160"/>
        <v>0</v>
      </c>
      <c r="H3973" s="175">
        <f t="shared" si="153"/>
        <v>0</v>
      </c>
      <c r="I3973" s="177">
        <f>IF(G3973=0,0,IF(E3973="MXN",1/HLOOKUP(YEAR(C3973)+(MONTH(C3973)/100),TC!$5:$37,DAY(C3973)+2,FALSE),VLOOKUP(E3973,Equivalencia!$5:$23,((MAX(Equivalencia!$3:$3)-YEAR(C3973))*14)+MONTH(C3973)+2,FALSE)))</f>
        <v>0</v>
      </c>
      <c r="J3973" s="178">
        <f t="shared" si="161"/>
        <v>0</v>
      </c>
      <c r="K3973" s="462">
        <f>IF(C3973=0,0,VLOOKUP(YEAR(C3973),INPC!$B$4:$O$29,MONTH(C3973)+1))</f>
        <v>0</v>
      </c>
      <c r="L3973" s="462">
        <f>IF(S3973=0,0,VLOOKUP(YEAR(S3973),INPC!$B$4:$O$29,MONTH(S3973)+1))</f>
        <v>0</v>
      </c>
      <c r="M3973" s="463">
        <f t="shared" si="154"/>
        <v>0</v>
      </c>
      <c r="N3973" s="465">
        <f t="shared" si="162"/>
        <v>0</v>
      </c>
      <c r="O3973" s="179"/>
      <c r="P3973" s="180"/>
      <c r="Q3973" s="173"/>
      <c r="R3973" s="173"/>
      <c r="S3973" s="174"/>
      <c r="T3973" s="173"/>
      <c r="U3973" s="182"/>
      <c r="V3973" s="177">
        <f>IF(U3973=0,0,IF(T3973="MXN",1/HLOOKUP(YEAR(S3973)+(MONTH(S3973)/100),TC!$5:$37,DAY(S3973)+2,FALSE),VLOOKUP(T3973,Equivalencia!$1:$23,((MAX(Equivalencia!$3:$3)-YEAR(S3973))*14)+MONTH(S3973)+2,FALSE)))</f>
        <v>0</v>
      </c>
      <c r="W3973" s="178">
        <f t="shared" si="159"/>
        <v>0</v>
      </c>
      <c r="X3973" s="481">
        <f t="shared" si="155"/>
        <v>0</v>
      </c>
      <c r="Y3973" s="179"/>
      <c r="Z3973" s="466">
        <f t="shared" si="156"/>
        <v>0</v>
      </c>
      <c r="AA3973" s="473">
        <f t="shared" si="157"/>
        <v>0</v>
      </c>
      <c r="AB3973" s="339">
        <f t="shared" si="158"/>
        <v>0</v>
      </c>
    </row>
    <row r="3974" spans="2:28" ht="20.100000000000001" customHeight="1">
      <c r="B3974" s="172"/>
      <c r="C3974" s="174"/>
      <c r="D3974" s="181"/>
      <c r="E3974" s="173"/>
      <c r="F3974" s="176"/>
      <c r="G3974" s="175">
        <f t="shared" si="160"/>
        <v>0</v>
      </c>
      <c r="H3974" s="175">
        <f t="shared" si="153"/>
        <v>0</v>
      </c>
      <c r="I3974" s="177">
        <f>IF(G3974=0,0,IF(E3974="MXN",1/HLOOKUP(YEAR(C3974)+(MONTH(C3974)/100),TC!$5:$37,DAY(C3974)+2,FALSE),VLOOKUP(E3974,Equivalencia!$5:$23,((MAX(Equivalencia!$3:$3)-YEAR(C3974))*14)+MONTH(C3974)+2,FALSE)))</f>
        <v>0</v>
      </c>
      <c r="J3974" s="178">
        <f t="shared" si="161"/>
        <v>0</v>
      </c>
      <c r="K3974" s="462">
        <f>IF(C3974=0,0,VLOOKUP(YEAR(C3974),INPC!$B$4:$O$29,MONTH(C3974)+1))</f>
        <v>0</v>
      </c>
      <c r="L3974" s="462">
        <f>IF(S3974=0,0,VLOOKUP(YEAR(S3974),INPC!$B$4:$O$29,MONTH(S3974)+1))</f>
        <v>0</v>
      </c>
      <c r="M3974" s="463">
        <f t="shared" si="154"/>
        <v>0</v>
      </c>
      <c r="N3974" s="465">
        <f t="shared" si="162"/>
        <v>0</v>
      </c>
      <c r="O3974" s="179"/>
      <c r="P3974" s="180"/>
      <c r="Q3974" s="173"/>
      <c r="R3974" s="173"/>
      <c r="S3974" s="174"/>
      <c r="T3974" s="173"/>
      <c r="U3974" s="182"/>
      <c r="V3974" s="177">
        <f>IF(U3974=0,0,IF(T3974="MXN",1/HLOOKUP(YEAR(S3974)+(MONTH(S3974)/100),TC!$5:$37,DAY(S3974)+2,FALSE),VLOOKUP(T3974,Equivalencia!$1:$23,((MAX(Equivalencia!$3:$3)-YEAR(S3974))*14)+MONTH(S3974)+2,FALSE)))</f>
        <v>0</v>
      </c>
      <c r="W3974" s="178">
        <f t="shared" si="159"/>
        <v>0</v>
      </c>
      <c r="X3974" s="481">
        <f t="shared" si="155"/>
        <v>0</v>
      </c>
      <c r="Y3974" s="179"/>
      <c r="Z3974" s="466">
        <f t="shared" si="156"/>
        <v>0</v>
      </c>
      <c r="AA3974" s="473">
        <f t="shared" si="157"/>
        <v>0</v>
      </c>
      <c r="AB3974" s="339">
        <f t="shared" si="158"/>
        <v>0</v>
      </c>
    </row>
    <row r="3975" spans="2:28" ht="20.100000000000001" customHeight="1">
      <c r="B3975" s="172"/>
      <c r="C3975" s="174"/>
      <c r="D3975" s="181"/>
      <c r="E3975" s="173"/>
      <c r="F3975" s="176"/>
      <c r="G3975" s="175">
        <f t="shared" si="160"/>
        <v>0</v>
      </c>
      <c r="H3975" s="175">
        <f t="shared" si="153"/>
        <v>0</v>
      </c>
      <c r="I3975" s="177">
        <f>IF(G3975=0,0,IF(E3975="MXN",1/HLOOKUP(YEAR(C3975)+(MONTH(C3975)/100),TC!$5:$37,DAY(C3975)+2,FALSE),VLOOKUP(E3975,Equivalencia!$5:$23,((MAX(Equivalencia!$3:$3)-YEAR(C3975))*14)+MONTH(C3975)+2,FALSE)))</f>
        <v>0</v>
      </c>
      <c r="J3975" s="178">
        <f t="shared" si="161"/>
        <v>0</v>
      </c>
      <c r="K3975" s="462">
        <f>IF(C3975=0,0,VLOOKUP(YEAR(C3975),INPC!$B$4:$O$29,MONTH(C3975)+1))</f>
        <v>0</v>
      </c>
      <c r="L3975" s="462">
        <f>IF(S3975=0,0,VLOOKUP(YEAR(S3975),INPC!$B$4:$O$29,MONTH(S3975)+1))</f>
        <v>0</v>
      </c>
      <c r="M3975" s="463">
        <f t="shared" si="154"/>
        <v>0</v>
      </c>
      <c r="N3975" s="465">
        <f t="shared" si="162"/>
        <v>0</v>
      </c>
      <c r="O3975" s="179"/>
      <c r="P3975" s="180"/>
      <c r="Q3975" s="173"/>
      <c r="R3975" s="173"/>
      <c r="S3975" s="174"/>
      <c r="T3975" s="173"/>
      <c r="U3975" s="182"/>
      <c r="V3975" s="177">
        <f>IF(U3975=0,0,IF(T3975="MXN",1/HLOOKUP(YEAR(S3975)+(MONTH(S3975)/100),TC!$5:$37,DAY(S3975)+2,FALSE),VLOOKUP(T3975,Equivalencia!$1:$23,((MAX(Equivalencia!$3:$3)-YEAR(S3975))*14)+MONTH(S3975)+2,FALSE)))</f>
        <v>0</v>
      </c>
      <c r="W3975" s="178">
        <f t="shared" si="159"/>
        <v>0</v>
      </c>
      <c r="X3975" s="481">
        <f t="shared" si="155"/>
        <v>0</v>
      </c>
      <c r="Y3975" s="179"/>
      <c r="Z3975" s="466">
        <f t="shared" si="156"/>
        <v>0</v>
      </c>
      <c r="AA3975" s="473">
        <f t="shared" si="157"/>
        <v>0</v>
      </c>
      <c r="AB3975" s="339">
        <f t="shared" si="158"/>
        <v>0</v>
      </c>
    </row>
    <row r="3976" spans="2:28" ht="20.100000000000001" customHeight="1">
      <c r="B3976" s="172"/>
      <c r="C3976" s="174"/>
      <c r="D3976" s="181"/>
      <c r="E3976" s="173"/>
      <c r="F3976" s="176"/>
      <c r="G3976" s="175">
        <f t="shared" si="160"/>
        <v>0</v>
      </c>
      <c r="H3976" s="175">
        <f t="shared" si="153"/>
        <v>0</v>
      </c>
      <c r="I3976" s="177">
        <f>IF(G3976=0,0,IF(E3976="MXN",1/HLOOKUP(YEAR(C3976)+(MONTH(C3976)/100),TC!$5:$37,DAY(C3976)+2,FALSE),VLOOKUP(E3976,Equivalencia!$5:$23,((MAX(Equivalencia!$3:$3)-YEAR(C3976))*14)+MONTH(C3976)+2,FALSE)))</f>
        <v>0</v>
      </c>
      <c r="J3976" s="178">
        <f t="shared" si="161"/>
        <v>0</v>
      </c>
      <c r="K3976" s="462">
        <f>IF(C3976=0,0,VLOOKUP(YEAR(C3976),INPC!$B$4:$O$29,MONTH(C3976)+1))</f>
        <v>0</v>
      </c>
      <c r="L3976" s="462">
        <f>IF(S3976=0,0,VLOOKUP(YEAR(S3976),INPC!$B$4:$O$29,MONTH(S3976)+1))</f>
        <v>0</v>
      </c>
      <c r="M3976" s="463">
        <f t="shared" si="154"/>
        <v>0</v>
      </c>
      <c r="N3976" s="465">
        <f t="shared" si="162"/>
        <v>0</v>
      </c>
      <c r="O3976" s="179"/>
      <c r="P3976" s="180"/>
      <c r="Q3976" s="173"/>
      <c r="R3976" s="173"/>
      <c r="S3976" s="174"/>
      <c r="T3976" s="173"/>
      <c r="U3976" s="182"/>
      <c r="V3976" s="177">
        <f>IF(U3976=0,0,IF(T3976="MXN",1/HLOOKUP(YEAR(S3976)+(MONTH(S3976)/100),TC!$5:$37,DAY(S3976)+2,FALSE),VLOOKUP(T3976,Equivalencia!$1:$23,((MAX(Equivalencia!$3:$3)-YEAR(S3976))*14)+MONTH(S3976)+2,FALSE)))</f>
        <v>0</v>
      </c>
      <c r="W3976" s="178">
        <f t="shared" si="159"/>
        <v>0</v>
      </c>
      <c r="X3976" s="481">
        <f t="shared" si="155"/>
        <v>0</v>
      </c>
      <c r="Y3976" s="179"/>
      <c r="Z3976" s="466">
        <f t="shared" si="156"/>
        <v>0</v>
      </c>
      <c r="AA3976" s="473">
        <f t="shared" si="157"/>
        <v>0</v>
      </c>
      <c r="AB3976" s="339">
        <f t="shared" si="158"/>
        <v>0</v>
      </c>
    </row>
    <row r="3977" spans="2:28" ht="20.100000000000001" customHeight="1">
      <c r="B3977" s="172"/>
      <c r="C3977" s="174"/>
      <c r="D3977" s="181"/>
      <c r="E3977" s="173"/>
      <c r="F3977" s="176"/>
      <c r="G3977" s="175">
        <f t="shared" si="160"/>
        <v>0</v>
      </c>
      <c r="H3977" s="175">
        <f t="shared" si="153"/>
        <v>0</v>
      </c>
      <c r="I3977" s="177">
        <f>IF(G3977=0,0,IF(E3977="MXN",1/HLOOKUP(YEAR(C3977)+(MONTH(C3977)/100),TC!$5:$37,DAY(C3977)+2,FALSE),VLOOKUP(E3977,Equivalencia!$5:$23,((MAX(Equivalencia!$3:$3)-YEAR(C3977))*14)+MONTH(C3977)+2,FALSE)))</f>
        <v>0</v>
      </c>
      <c r="J3977" s="178">
        <f t="shared" si="161"/>
        <v>0</v>
      </c>
      <c r="K3977" s="462">
        <f>IF(C3977=0,0,VLOOKUP(YEAR(C3977),INPC!$B$4:$O$29,MONTH(C3977)+1))</f>
        <v>0</v>
      </c>
      <c r="L3977" s="462">
        <f>IF(S3977=0,0,VLOOKUP(YEAR(S3977),INPC!$B$4:$O$29,MONTH(S3977)+1))</f>
        <v>0</v>
      </c>
      <c r="M3977" s="463">
        <f t="shared" si="154"/>
        <v>0</v>
      </c>
      <c r="N3977" s="465">
        <f t="shared" si="162"/>
        <v>0</v>
      </c>
      <c r="O3977" s="179"/>
      <c r="P3977" s="180"/>
      <c r="Q3977" s="173"/>
      <c r="R3977" s="173"/>
      <c r="S3977" s="174"/>
      <c r="T3977" s="173"/>
      <c r="U3977" s="182"/>
      <c r="V3977" s="177">
        <f>IF(U3977=0,0,IF(T3977="MXN",1/HLOOKUP(YEAR(S3977)+(MONTH(S3977)/100),TC!$5:$37,DAY(S3977)+2,FALSE),VLOOKUP(T3977,Equivalencia!$1:$23,((MAX(Equivalencia!$3:$3)-YEAR(S3977))*14)+MONTH(S3977)+2,FALSE)))</f>
        <v>0</v>
      </c>
      <c r="W3977" s="178">
        <f t="shared" si="159"/>
        <v>0</v>
      </c>
      <c r="X3977" s="481">
        <f t="shared" si="155"/>
        <v>0</v>
      </c>
      <c r="Y3977" s="179"/>
      <c r="Z3977" s="466">
        <f t="shared" si="156"/>
        <v>0</v>
      </c>
      <c r="AA3977" s="473">
        <f t="shared" si="157"/>
        <v>0</v>
      </c>
      <c r="AB3977" s="339">
        <f t="shared" si="158"/>
        <v>0</v>
      </c>
    </row>
    <row r="3978" spans="2:28" ht="20.100000000000001" customHeight="1">
      <c r="B3978" s="172"/>
      <c r="C3978" s="174"/>
      <c r="D3978" s="181"/>
      <c r="E3978" s="173"/>
      <c r="F3978" s="176"/>
      <c r="G3978" s="175">
        <f t="shared" si="160"/>
        <v>0</v>
      </c>
      <c r="H3978" s="175">
        <f t="shared" si="153"/>
        <v>0</v>
      </c>
      <c r="I3978" s="177">
        <f>IF(G3978=0,0,IF(E3978="MXN",1/HLOOKUP(YEAR(C3978)+(MONTH(C3978)/100),TC!$5:$37,DAY(C3978)+2,FALSE),VLOOKUP(E3978,Equivalencia!$5:$23,((MAX(Equivalencia!$3:$3)-YEAR(C3978))*14)+MONTH(C3978)+2,FALSE)))</f>
        <v>0</v>
      </c>
      <c r="J3978" s="178">
        <f t="shared" si="161"/>
        <v>0</v>
      </c>
      <c r="K3978" s="462">
        <f>IF(C3978=0,0,VLOOKUP(YEAR(C3978),INPC!$B$4:$O$29,MONTH(C3978)+1))</f>
        <v>0</v>
      </c>
      <c r="L3978" s="462">
        <f>IF(S3978=0,0,VLOOKUP(YEAR(S3978),INPC!$B$4:$O$29,MONTH(S3978)+1))</f>
        <v>0</v>
      </c>
      <c r="M3978" s="463">
        <f t="shared" si="154"/>
        <v>0</v>
      </c>
      <c r="N3978" s="465">
        <f t="shared" si="162"/>
        <v>0</v>
      </c>
      <c r="O3978" s="179"/>
      <c r="P3978" s="180"/>
      <c r="Q3978" s="173"/>
      <c r="R3978" s="173"/>
      <c r="S3978" s="174"/>
      <c r="T3978" s="173"/>
      <c r="U3978" s="182"/>
      <c r="V3978" s="177">
        <f>IF(U3978=0,0,IF(T3978="MXN",1/HLOOKUP(YEAR(S3978)+(MONTH(S3978)/100),TC!$5:$37,DAY(S3978)+2,FALSE),VLOOKUP(T3978,Equivalencia!$1:$23,((MAX(Equivalencia!$3:$3)-YEAR(S3978))*14)+MONTH(S3978)+2,FALSE)))</f>
        <v>0</v>
      </c>
      <c r="W3978" s="178">
        <f t="shared" si="159"/>
        <v>0</v>
      </c>
      <c r="X3978" s="481">
        <f t="shared" si="155"/>
        <v>0</v>
      </c>
      <c r="Y3978" s="179"/>
      <c r="Z3978" s="466">
        <f t="shared" si="156"/>
        <v>0</v>
      </c>
      <c r="AA3978" s="473">
        <f t="shared" si="157"/>
        <v>0</v>
      </c>
      <c r="AB3978" s="339">
        <f t="shared" si="158"/>
        <v>0</v>
      </c>
    </row>
    <row r="3979" spans="2:28" ht="20.100000000000001" customHeight="1">
      <c r="B3979" s="172"/>
      <c r="C3979" s="174"/>
      <c r="D3979" s="181"/>
      <c r="E3979" s="173"/>
      <c r="F3979" s="176"/>
      <c r="G3979" s="175">
        <f t="shared" si="160"/>
        <v>0</v>
      </c>
      <c r="H3979" s="175">
        <f t="shared" si="153"/>
        <v>0</v>
      </c>
      <c r="I3979" s="177">
        <f>IF(G3979=0,0,IF(E3979="MXN",1/HLOOKUP(YEAR(C3979)+(MONTH(C3979)/100),TC!$5:$37,DAY(C3979)+2,FALSE),VLOOKUP(E3979,Equivalencia!$5:$23,((MAX(Equivalencia!$3:$3)-YEAR(C3979))*14)+MONTH(C3979)+2,FALSE)))</f>
        <v>0</v>
      </c>
      <c r="J3979" s="178">
        <f t="shared" si="161"/>
        <v>0</v>
      </c>
      <c r="K3979" s="462">
        <f>IF(C3979=0,0,VLOOKUP(YEAR(C3979),INPC!$B$4:$O$29,MONTH(C3979)+1))</f>
        <v>0</v>
      </c>
      <c r="L3979" s="462">
        <f>IF(S3979=0,0,VLOOKUP(YEAR(S3979),INPC!$B$4:$O$29,MONTH(S3979)+1))</f>
        <v>0</v>
      </c>
      <c r="M3979" s="463">
        <f t="shared" si="154"/>
        <v>0</v>
      </c>
      <c r="N3979" s="465">
        <f t="shared" si="162"/>
        <v>0</v>
      </c>
      <c r="O3979" s="179"/>
      <c r="P3979" s="180"/>
      <c r="Q3979" s="173"/>
      <c r="R3979" s="173"/>
      <c r="S3979" s="174"/>
      <c r="T3979" s="173"/>
      <c r="U3979" s="182"/>
      <c r="V3979" s="177">
        <f>IF(U3979=0,0,IF(T3979="MXN",1/HLOOKUP(YEAR(S3979)+(MONTH(S3979)/100),TC!$5:$37,DAY(S3979)+2,FALSE),VLOOKUP(T3979,Equivalencia!$1:$23,((MAX(Equivalencia!$3:$3)-YEAR(S3979))*14)+MONTH(S3979)+2,FALSE)))</f>
        <v>0</v>
      </c>
      <c r="W3979" s="178">
        <f t="shared" si="159"/>
        <v>0</v>
      </c>
      <c r="X3979" s="481">
        <f t="shared" si="155"/>
        <v>0</v>
      </c>
      <c r="Y3979" s="179"/>
      <c r="Z3979" s="466">
        <f t="shared" si="156"/>
        <v>0</v>
      </c>
      <c r="AA3979" s="473">
        <f t="shared" si="157"/>
        <v>0</v>
      </c>
      <c r="AB3979" s="339">
        <f t="shared" si="158"/>
        <v>0</v>
      </c>
    </row>
    <row r="3980" spans="2:28" ht="20.100000000000001" customHeight="1">
      <c r="B3980" s="172"/>
      <c r="C3980" s="174"/>
      <c r="D3980" s="181"/>
      <c r="E3980" s="173"/>
      <c r="F3980" s="176"/>
      <c r="G3980" s="175">
        <f t="shared" si="160"/>
        <v>0</v>
      </c>
      <c r="H3980" s="175">
        <f t="shared" si="153"/>
        <v>0</v>
      </c>
      <c r="I3980" s="177">
        <f>IF(G3980=0,0,IF(E3980="MXN",1/HLOOKUP(YEAR(C3980)+(MONTH(C3980)/100),TC!$5:$37,DAY(C3980)+2,FALSE),VLOOKUP(E3980,Equivalencia!$5:$23,((MAX(Equivalencia!$3:$3)-YEAR(C3980))*14)+MONTH(C3980)+2,FALSE)))</f>
        <v>0</v>
      </c>
      <c r="J3980" s="178">
        <f t="shared" si="161"/>
        <v>0</v>
      </c>
      <c r="K3980" s="462">
        <f>IF(C3980=0,0,VLOOKUP(YEAR(C3980),INPC!$B$4:$O$29,MONTH(C3980)+1))</f>
        <v>0</v>
      </c>
      <c r="L3980" s="462">
        <f>IF(S3980=0,0,VLOOKUP(YEAR(S3980),INPC!$B$4:$O$29,MONTH(S3980)+1))</f>
        <v>0</v>
      </c>
      <c r="M3980" s="463">
        <f t="shared" si="154"/>
        <v>0</v>
      </c>
      <c r="N3980" s="465">
        <f t="shared" si="162"/>
        <v>0</v>
      </c>
      <c r="O3980" s="179"/>
      <c r="P3980" s="180"/>
      <c r="Q3980" s="173"/>
      <c r="R3980" s="173"/>
      <c r="S3980" s="174"/>
      <c r="T3980" s="173"/>
      <c r="U3980" s="182"/>
      <c r="V3980" s="177">
        <f>IF(U3980=0,0,IF(T3980="MXN",1/HLOOKUP(YEAR(S3980)+(MONTH(S3980)/100),TC!$5:$37,DAY(S3980)+2,FALSE),VLOOKUP(T3980,Equivalencia!$1:$23,((MAX(Equivalencia!$3:$3)-YEAR(S3980))*14)+MONTH(S3980)+2,FALSE)))</f>
        <v>0</v>
      </c>
      <c r="W3980" s="178">
        <f t="shared" si="159"/>
        <v>0</v>
      </c>
      <c r="X3980" s="481">
        <f t="shared" si="155"/>
        <v>0</v>
      </c>
      <c r="Y3980" s="179"/>
      <c r="Z3980" s="466">
        <f t="shared" si="156"/>
        <v>0</v>
      </c>
      <c r="AA3980" s="473">
        <f t="shared" si="157"/>
        <v>0</v>
      </c>
      <c r="AB3980" s="339">
        <f t="shared" si="158"/>
        <v>0</v>
      </c>
    </row>
    <row r="3981" spans="2:28" ht="20.100000000000001" customHeight="1">
      <c r="B3981" s="172"/>
      <c r="C3981" s="174"/>
      <c r="D3981" s="181"/>
      <c r="E3981" s="173"/>
      <c r="F3981" s="176"/>
      <c r="G3981" s="175">
        <f t="shared" ref="G3981:G4021" si="303">+P3981</f>
        <v>0</v>
      </c>
      <c r="H3981" s="175">
        <f t="shared" ref="H3981:H4021" si="304">IF(F3981=0,0,(F3981/G3981)*P3981)</f>
        <v>0</v>
      </c>
      <c r="I3981" s="177">
        <f>IF(G3981=0,0,IF(E3981="MXN",1/HLOOKUP(YEAR(C3981)+(MONTH(C3981)/100),TC!$5:$37,DAY(C3981)+2,FALSE),VLOOKUP(E3981,Equivalencia!$5:$23,((MAX(Equivalencia!$3:$3)-YEAR(C3981))*14)+MONTH(C3981)+2,FALSE)))</f>
        <v>0</v>
      </c>
      <c r="J3981" s="178">
        <f t="shared" ref="J3981:J4021" si="305">+H3981*I3981</f>
        <v>0</v>
      </c>
      <c r="K3981" s="462">
        <f>IF(C3981=0,0,VLOOKUP(YEAR(C3981),INPC!$B$4:$O$29,MONTH(C3981)+1))</f>
        <v>0</v>
      </c>
      <c r="L3981" s="462">
        <f>IF(S3981=0,0,VLOOKUP(YEAR(S3981),INPC!$B$4:$O$29,MONTH(S3981)+1))</f>
        <v>0</v>
      </c>
      <c r="M3981" s="463">
        <f t="shared" ref="M3981:M4021" si="306">IF(H3981=0,0,IF(R3981=$AF$4,1,IF(TRUNC(L3981/K3981,4)&gt;=1,TRUNC(L3981/K3981,4),1)))</f>
        <v>0</v>
      </c>
      <c r="N3981" s="465">
        <f t="shared" ref="N3981:N4021" si="307">+M3981*J3981</f>
        <v>0</v>
      </c>
      <c r="O3981" s="179"/>
      <c r="P3981" s="180"/>
      <c r="Q3981" s="173"/>
      <c r="R3981" s="173"/>
      <c r="S3981" s="174"/>
      <c r="T3981" s="173"/>
      <c r="U3981" s="182"/>
      <c r="V3981" s="177">
        <f>IF(U3981=0,0,IF(T3981="MXN",1/HLOOKUP(YEAR(S3981)+(MONTH(S3981)/100),TC!$5:$37,DAY(S3981)+2,FALSE),VLOOKUP(T3981,Equivalencia!$1:$23,((MAX(Equivalencia!$3:$3)-YEAR(S3981))*14)+MONTH(S3981)+2,FALSE)))</f>
        <v>0</v>
      </c>
      <c r="W3981" s="178">
        <f t="shared" ref="W3981:W4021" si="308">+V3981*U3981</f>
        <v>0</v>
      </c>
      <c r="X3981" s="481">
        <f t="shared" ref="X3981:X4021" si="309">+W3981-J3981</f>
        <v>0</v>
      </c>
      <c r="Y3981" s="179"/>
      <c r="Z3981" s="466">
        <f t="shared" ref="Z3981:Z4021" si="310">N3981</f>
        <v>0</v>
      </c>
      <c r="AA3981" s="473">
        <f t="shared" ref="AA3981:AA4021" si="311">+W3981-Z3981</f>
        <v>0</v>
      </c>
      <c r="AB3981" s="339">
        <f t="shared" ref="AB3981:AB4021" si="312">+IF(P3981=0,0,(U3981/F3981)-1)</f>
        <v>0</v>
      </c>
    </row>
    <row r="3982" spans="2:28" ht="20.100000000000001" customHeight="1">
      <c r="B3982" s="172"/>
      <c r="C3982" s="174"/>
      <c r="D3982" s="181"/>
      <c r="E3982" s="173"/>
      <c r="F3982" s="176"/>
      <c r="G3982" s="175">
        <f t="shared" si="303"/>
        <v>0</v>
      </c>
      <c r="H3982" s="175">
        <f t="shared" si="304"/>
        <v>0</v>
      </c>
      <c r="I3982" s="177">
        <f>IF(G3982=0,0,IF(E3982="MXN",1/HLOOKUP(YEAR(C3982)+(MONTH(C3982)/100),TC!$5:$37,DAY(C3982)+2,FALSE),VLOOKUP(E3982,Equivalencia!$5:$23,((MAX(Equivalencia!$3:$3)-YEAR(C3982))*14)+MONTH(C3982)+2,FALSE)))</f>
        <v>0</v>
      </c>
      <c r="J3982" s="178">
        <f t="shared" si="305"/>
        <v>0</v>
      </c>
      <c r="K3982" s="462">
        <f>IF(C3982=0,0,VLOOKUP(YEAR(C3982),INPC!$B$4:$O$29,MONTH(C3982)+1))</f>
        <v>0</v>
      </c>
      <c r="L3982" s="462">
        <f>IF(S3982=0,0,VLOOKUP(YEAR(S3982),INPC!$B$4:$O$29,MONTH(S3982)+1))</f>
        <v>0</v>
      </c>
      <c r="M3982" s="463">
        <f t="shared" si="306"/>
        <v>0</v>
      </c>
      <c r="N3982" s="465">
        <f t="shared" si="307"/>
        <v>0</v>
      </c>
      <c r="O3982" s="179"/>
      <c r="P3982" s="180"/>
      <c r="Q3982" s="173"/>
      <c r="R3982" s="173"/>
      <c r="S3982" s="174"/>
      <c r="T3982" s="173"/>
      <c r="U3982" s="182"/>
      <c r="V3982" s="177">
        <f>IF(U3982=0,0,IF(T3982="MXN",1/HLOOKUP(YEAR(S3982)+(MONTH(S3982)/100),TC!$5:$37,DAY(S3982)+2,FALSE),VLOOKUP(T3982,Equivalencia!$1:$23,((MAX(Equivalencia!$3:$3)-YEAR(S3982))*14)+MONTH(S3982)+2,FALSE)))</f>
        <v>0</v>
      </c>
      <c r="W3982" s="178">
        <f t="shared" si="308"/>
        <v>0</v>
      </c>
      <c r="X3982" s="481">
        <f t="shared" si="309"/>
        <v>0</v>
      </c>
      <c r="Y3982" s="179"/>
      <c r="Z3982" s="466">
        <f t="shared" si="310"/>
        <v>0</v>
      </c>
      <c r="AA3982" s="473">
        <f t="shared" si="311"/>
        <v>0</v>
      </c>
      <c r="AB3982" s="339">
        <f t="shared" si="312"/>
        <v>0</v>
      </c>
    </row>
    <row r="3983" spans="2:28" ht="20.100000000000001" customHeight="1">
      <c r="B3983" s="172"/>
      <c r="C3983" s="174"/>
      <c r="D3983" s="181"/>
      <c r="E3983" s="173"/>
      <c r="F3983" s="176"/>
      <c r="G3983" s="175">
        <f t="shared" si="303"/>
        <v>0</v>
      </c>
      <c r="H3983" s="175">
        <f t="shared" si="304"/>
        <v>0</v>
      </c>
      <c r="I3983" s="177">
        <f>IF(G3983=0,0,IF(E3983="MXN",1/HLOOKUP(YEAR(C3983)+(MONTH(C3983)/100),TC!$5:$37,DAY(C3983)+2,FALSE),VLOOKUP(E3983,Equivalencia!$5:$23,((MAX(Equivalencia!$3:$3)-YEAR(C3983))*14)+MONTH(C3983)+2,FALSE)))</f>
        <v>0</v>
      </c>
      <c r="J3983" s="178">
        <f t="shared" si="305"/>
        <v>0</v>
      </c>
      <c r="K3983" s="462">
        <f>IF(C3983=0,0,VLOOKUP(YEAR(C3983),INPC!$B$4:$O$29,MONTH(C3983)+1))</f>
        <v>0</v>
      </c>
      <c r="L3983" s="462">
        <f>IF(S3983=0,0,VLOOKUP(YEAR(S3983),INPC!$B$4:$O$29,MONTH(S3983)+1))</f>
        <v>0</v>
      </c>
      <c r="M3983" s="463">
        <f t="shared" si="306"/>
        <v>0</v>
      </c>
      <c r="N3983" s="465">
        <f t="shared" si="307"/>
        <v>0</v>
      </c>
      <c r="O3983" s="179"/>
      <c r="P3983" s="180"/>
      <c r="Q3983" s="173"/>
      <c r="R3983" s="173"/>
      <c r="S3983" s="174"/>
      <c r="T3983" s="173"/>
      <c r="U3983" s="182"/>
      <c r="V3983" s="177">
        <f>IF(U3983=0,0,IF(T3983="MXN",1/HLOOKUP(YEAR(S3983)+(MONTH(S3983)/100),TC!$5:$37,DAY(S3983)+2,FALSE),VLOOKUP(T3983,Equivalencia!$1:$23,((MAX(Equivalencia!$3:$3)-YEAR(S3983))*14)+MONTH(S3983)+2,FALSE)))</f>
        <v>0</v>
      </c>
      <c r="W3983" s="178">
        <f t="shared" si="308"/>
        <v>0</v>
      </c>
      <c r="X3983" s="481">
        <f t="shared" si="309"/>
        <v>0</v>
      </c>
      <c r="Y3983" s="179"/>
      <c r="Z3983" s="466">
        <f t="shared" si="310"/>
        <v>0</v>
      </c>
      <c r="AA3983" s="473">
        <f t="shared" si="311"/>
        <v>0</v>
      </c>
      <c r="AB3983" s="339">
        <f t="shared" si="312"/>
        <v>0</v>
      </c>
    </row>
    <row r="3984" spans="2:28" ht="20.100000000000001" customHeight="1">
      <c r="B3984" s="172"/>
      <c r="C3984" s="174"/>
      <c r="D3984" s="181"/>
      <c r="E3984" s="173"/>
      <c r="F3984" s="176"/>
      <c r="G3984" s="175">
        <f t="shared" si="303"/>
        <v>0</v>
      </c>
      <c r="H3984" s="175">
        <f t="shared" si="304"/>
        <v>0</v>
      </c>
      <c r="I3984" s="177">
        <f>IF(G3984=0,0,IF(E3984="MXN",1/HLOOKUP(YEAR(C3984)+(MONTH(C3984)/100),TC!$5:$37,DAY(C3984)+2,FALSE),VLOOKUP(E3984,Equivalencia!$5:$23,((MAX(Equivalencia!$3:$3)-YEAR(C3984))*14)+MONTH(C3984)+2,FALSE)))</f>
        <v>0</v>
      </c>
      <c r="J3984" s="178">
        <f t="shared" si="305"/>
        <v>0</v>
      </c>
      <c r="K3984" s="462">
        <f>IF(C3984=0,0,VLOOKUP(YEAR(C3984),INPC!$B$4:$O$29,MONTH(C3984)+1))</f>
        <v>0</v>
      </c>
      <c r="L3984" s="462">
        <f>IF(S3984=0,0,VLOOKUP(YEAR(S3984),INPC!$B$4:$O$29,MONTH(S3984)+1))</f>
        <v>0</v>
      </c>
      <c r="M3984" s="463">
        <f t="shared" si="306"/>
        <v>0</v>
      </c>
      <c r="N3984" s="465">
        <f t="shared" si="307"/>
        <v>0</v>
      </c>
      <c r="O3984" s="179"/>
      <c r="P3984" s="180"/>
      <c r="Q3984" s="173"/>
      <c r="R3984" s="173"/>
      <c r="S3984" s="174"/>
      <c r="T3984" s="173"/>
      <c r="U3984" s="182"/>
      <c r="V3984" s="177">
        <f>IF(U3984=0,0,IF(T3984="MXN",1/HLOOKUP(YEAR(S3984)+(MONTH(S3984)/100),TC!$5:$37,DAY(S3984)+2,FALSE),VLOOKUP(T3984,Equivalencia!$1:$23,((MAX(Equivalencia!$3:$3)-YEAR(S3984))*14)+MONTH(S3984)+2,FALSE)))</f>
        <v>0</v>
      </c>
      <c r="W3984" s="178">
        <f t="shared" si="308"/>
        <v>0</v>
      </c>
      <c r="X3984" s="481">
        <f t="shared" si="309"/>
        <v>0</v>
      </c>
      <c r="Y3984" s="179"/>
      <c r="Z3984" s="466">
        <f t="shared" si="310"/>
        <v>0</v>
      </c>
      <c r="AA3984" s="473">
        <f t="shared" si="311"/>
        <v>0</v>
      </c>
      <c r="AB3984" s="339">
        <f t="shared" si="312"/>
        <v>0</v>
      </c>
    </row>
    <row r="3985" spans="2:28" ht="20.100000000000001" customHeight="1">
      <c r="B3985" s="172"/>
      <c r="C3985" s="174"/>
      <c r="D3985" s="181"/>
      <c r="E3985" s="173"/>
      <c r="F3985" s="176"/>
      <c r="G3985" s="175">
        <f t="shared" si="303"/>
        <v>0</v>
      </c>
      <c r="H3985" s="175">
        <f t="shared" si="304"/>
        <v>0</v>
      </c>
      <c r="I3985" s="177">
        <f>IF(G3985=0,0,IF(E3985="MXN",1/HLOOKUP(YEAR(C3985)+(MONTH(C3985)/100),TC!$5:$37,DAY(C3985)+2,FALSE),VLOOKUP(E3985,Equivalencia!$5:$23,((MAX(Equivalencia!$3:$3)-YEAR(C3985))*14)+MONTH(C3985)+2,FALSE)))</f>
        <v>0</v>
      </c>
      <c r="J3985" s="178">
        <f t="shared" si="305"/>
        <v>0</v>
      </c>
      <c r="K3985" s="462">
        <f>IF(C3985=0,0,VLOOKUP(YEAR(C3985),INPC!$B$4:$O$29,MONTH(C3985)+1))</f>
        <v>0</v>
      </c>
      <c r="L3985" s="462">
        <f>IF(S3985=0,0,VLOOKUP(YEAR(S3985),INPC!$B$4:$O$29,MONTH(S3985)+1))</f>
        <v>0</v>
      </c>
      <c r="M3985" s="463">
        <f t="shared" si="306"/>
        <v>0</v>
      </c>
      <c r="N3985" s="465">
        <f t="shared" si="307"/>
        <v>0</v>
      </c>
      <c r="O3985" s="179"/>
      <c r="P3985" s="180"/>
      <c r="Q3985" s="173"/>
      <c r="R3985" s="173"/>
      <c r="S3985" s="174"/>
      <c r="T3985" s="173"/>
      <c r="U3985" s="182"/>
      <c r="V3985" s="177">
        <f>IF(U3985=0,0,IF(T3985="MXN",1/HLOOKUP(YEAR(S3985)+(MONTH(S3985)/100),TC!$5:$37,DAY(S3985)+2,FALSE),VLOOKUP(T3985,Equivalencia!$1:$23,((MAX(Equivalencia!$3:$3)-YEAR(S3985))*14)+MONTH(S3985)+2,FALSE)))</f>
        <v>0</v>
      </c>
      <c r="W3985" s="178">
        <f t="shared" si="308"/>
        <v>0</v>
      </c>
      <c r="X3985" s="481">
        <f t="shared" si="309"/>
        <v>0</v>
      </c>
      <c r="Y3985" s="179"/>
      <c r="Z3985" s="466">
        <f t="shared" si="310"/>
        <v>0</v>
      </c>
      <c r="AA3985" s="473">
        <f t="shared" si="311"/>
        <v>0</v>
      </c>
      <c r="AB3985" s="339">
        <f t="shared" si="312"/>
        <v>0</v>
      </c>
    </row>
    <row r="3986" spans="2:28" ht="20.100000000000001" customHeight="1">
      <c r="B3986" s="172"/>
      <c r="C3986" s="174"/>
      <c r="D3986" s="181"/>
      <c r="E3986" s="173"/>
      <c r="F3986" s="176"/>
      <c r="G3986" s="175">
        <f t="shared" si="303"/>
        <v>0</v>
      </c>
      <c r="H3986" s="175">
        <f t="shared" si="304"/>
        <v>0</v>
      </c>
      <c r="I3986" s="177">
        <f>IF(G3986=0,0,IF(E3986="MXN",1/HLOOKUP(YEAR(C3986)+(MONTH(C3986)/100),TC!$5:$37,DAY(C3986)+2,FALSE),VLOOKUP(E3986,Equivalencia!$5:$23,((MAX(Equivalencia!$3:$3)-YEAR(C3986))*14)+MONTH(C3986)+2,FALSE)))</f>
        <v>0</v>
      </c>
      <c r="J3986" s="178">
        <f t="shared" si="305"/>
        <v>0</v>
      </c>
      <c r="K3986" s="462">
        <f>IF(C3986=0,0,VLOOKUP(YEAR(C3986),INPC!$B$4:$O$29,MONTH(C3986)+1))</f>
        <v>0</v>
      </c>
      <c r="L3986" s="462">
        <f>IF(S3986=0,0,VLOOKUP(YEAR(S3986),INPC!$B$4:$O$29,MONTH(S3986)+1))</f>
        <v>0</v>
      </c>
      <c r="M3986" s="463">
        <f t="shared" si="306"/>
        <v>0</v>
      </c>
      <c r="N3986" s="465">
        <f t="shared" si="307"/>
        <v>0</v>
      </c>
      <c r="O3986" s="179"/>
      <c r="P3986" s="180"/>
      <c r="Q3986" s="173"/>
      <c r="R3986" s="173"/>
      <c r="S3986" s="174"/>
      <c r="T3986" s="173"/>
      <c r="U3986" s="182"/>
      <c r="V3986" s="177">
        <f>IF(U3986=0,0,IF(T3986="MXN",1/HLOOKUP(YEAR(S3986)+(MONTH(S3986)/100),TC!$5:$37,DAY(S3986)+2,FALSE),VLOOKUP(T3986,Equivalencia!$1:$23,((MAX(Equivalencia!$3:$3)-YEAR(S3986))*14)+MONTH(S3986)+2,FALSE)))</f>
        <v>0</v>
      </c>
      <c r="W3986" s="178">
        <f t="shared" si="308"/>
        <v>0</v>
      </c>
      <c r="X3986" s="481">
        <f t="shared" si="309"/>
        <v>0</v>
      </c>
      <c r="Y3986" s="179"/>
      <c r="Z3986" s="466">
        <f t="shared" si="310"/>
        <v>0</v>
      </c>
      <c r="AA3986" s="473">
        <f t="shared" si="311"/>
        <v>0</v>
      </c>
      <c r="AB3986" s="339">
        <f t="shared" si="312"/>
        <v>0</v>
      </c>
    </row>
    <row r="3987" spans="2:28" ht="20.100000000000001" customHeight="1">
      <c r="B3987" s="172"/>
      <c r="C3987" s="174"/>
      <c r="D3987" s="181"/>
      <c r="E3987" s="173"/>
      <c r="F3987" s="176"/>
      <c r="G3987" s="175">
        <f t="shared" si="303"/>
        <v>0</v>
      </c>
      <c r="H3987" s="175">
        <f t="shared" si="304"/>
        <v>0</v>
      </c>
      <c r="I3987" s="177">
        <f>IF(G3987=0,0,IF(E3987="MXN",1/HLOOKUP(YEAR(C3987)+(MONTH(C3987)/100),TC!$5:$37,DAY(C3987)+2,FALSE),VLOOKUP(E3987,Equivalencia!$5:$23,((MAX(Equivalencia!$3:$3)-YEAR(C3987))*14)+MONTH(C3987)+2,FALSE)))</f>
        <v>0</v>
      </c>
      <c r="J3987" s="178">
        <f t="shared" si="305"/>
        <v>0</v>
      </c>
      <c r="K3987" s="462">
        <f>IF(C3987=0,0,VLOOKUP(YEAR(C3987),INPC!$B$4:$O$29,MONTH(C3987)+1))</f>
        <v>0</v>
      </c>
      <c r="L3987" s="462">
        <f>IF(S3987=0,0,VLOOKUP(YEAR(S3987),INPC!$B$4:$O$29,MONTH(S3987)+1))</f>
        <v>0</v>
      </c>
      <c r="M3987" s="463">
        <f t="shared" si="306"/>
        <v>0</v>
      </c>
      <c r="N3987" s="465">
        <f t="shared" si="307"/>
        <v>0</v>
      </c>
      <c r="O3987" s="179"/>
      <c r="P3987" s="180"/>
      <c r="Q3987" s="173"/>
      <c r="R3987" s="173"/>
      <c r="S3987" s="174"/>
      <c r="T3987" s="173"/>
      <c r="U3987" s="182"/>
      <c r="V3987" s="177">
        <f>IF(U3987=0,0,IF(T3987="MXN",1/HLOOKUP(YEAR(S3987)+(MONTH(S3987)/100),TC!$5:$37,DAY(S3987)+2,FALSE),VLOOKUP(T3987,Equivalencia!$1:$23,((MAX(Equivalencia!$3:$3)-YEAR(S3987))*14)+MONTH(S3987)+2,FALSE)))</f>
        <v>0</v>
      </c>
      <c r="W3987" s="178">
        <f t="shared" si="308"/>
        <v>0</v>
      </c>
      <c r="X3987" s="481">
        <f t="shared" si="309"/>
        <v>0</v>
      </c>
      <c r="Y3987" s="179"/>
      <c r="Z3987" s="466">
        <f t="shared" si="310"/>
        <v>0</v>
      </c>
      <c r="AA3987" s="473">
        <f t="shared" si="311"/>
        <v>0</v>
      </c>
      <c r="AB3987" s="339">
        <f t="shared" si="312"/>
        <v>0</v>
      </c>
    </row>
    <row r="3988" spans="2:28" ht="20.100000000000001" customHeight="1">
      <c r="B3988" s="172"/>
      <c r="C3988" s="174"/>
      <c r="D3988" s="181"/>
      <c r="E3988" s="173"/>
      <c r="F3988" s="176"/>
      <c r="G3988" s="175">
        <f t="shared" si="303"/>
        <v>0</v>
      </c>
      <c r="H3988" s="175">
        <f t="shared" si="304"/>
        <v>0</v>
      </c>
      <c r="I3988" s="177">
        <f>IF(G3988=0,0,IF(E3988="MXN",1/HLOOKUP(YEAR(C3988)+(MONTH(C3988)/100),TC!$5:$37,DAY(C3988)+2,FALSE),VLOOKUP(E3988,Equivalencia!$5:$23,((MAX(Equivalencia!$3:$3)-YEAR(C3988))*14)+MONTH(C3988)+2,FALSE)))</f>
        <v>0</v>
      </c>
      <c r="J3988" s="178">
        <f t="shared" si="305"/>
        <v>0</v>
      </c>
      <c r="K3988" s="462">
        <f>IF(C3988=0,0,VLOOKUP(YEAR(C3988),INPC!$B$4:$O$29,MONTH(C3988)+1))</f>
        <v>0</v>
      </c>
      <c r="L3988" s="462">
        <f>IF(S3988=0,0,VLOOKUP(YEAR(S3988),INPC!$B$4:$O$29,MONTH(S3988)+1))</f>
        <v>0</v>
      </c>
      <c r="M3988" s="463">
        <f t="shared" si="306"/>
        <v>0</v>
      </c>
      <c r="N3988" s="465">
        <f t="shared" si="307"/>
        <v>0</v>
      </c>
      <c r="O3988" s="179"/>
      <c r="P3988" s="180"/>
      <c r="Q3988" s="173"/>
      <c r="R3988" s="173"/>
      <c r="S3988" s="174"/>
      <c r="T3988" s="173"/>
      <c r="U3988" s="182"/>
      <c r="V3988" s="177">
        <f>IF(U3988=0,0,IF(T3988="MXN",1/HLOOKUP(YEAR(S3988)+(MONTH(S3988)/100),TC!$5:$37,DAY(S3988)+2,FALSE),VLOOKUP(T3988,Equivalencia!$1:$23,((MAX(Equivalencia!$3:$3)-YEAR(S3988))*14)+MONTH(S3988)+2,FALSE)))</f>
        <v>0</v>
      </c>
      <c r="W3988" s="178">
        <f t="shared" si="308"/>
        <v>0</v>
      </c>
      <c r="X3988" s="481">
        <f t="shared" si="309"/>
        <v>0</v>
      </c>
      <c r="Y3988" s="179"/>
      <c r="Z3988" s="466">
        <f t="shared" si="310"/>
        <v>0</v>
      </c>
      <c r="AA3988" s="473">
        <f t="shared" si="311"/>
        <v>0</v>
      </c>
      <c r="AB3988" s="339">
        <f t="shared" si="312"/>
        <v>0</v>
      </c>
    </row>
    <row r="3989" spans="2:28" ht="20.100000000000001" customHeight="1">
      <c r="B3989" s="172"/>
      <c r="C3989" s="174"/>
      <c r="D3989" s="181"/>
      <c r="E3989" s="173"/>
      <c r="F3989" s="176"/>
      <c r="G3989" s="175">
        <f t="shared" si="303"/>
        <v>0</v>
      </c>
      <c r="H3989" s="175">
        <f t="shared" si="304"/>
        <v>0</v>
      </c>
      <c r="I3989" s="177">
        <f>IF(G3989=0,0,IF(E3989="MXN",1/HLOOKUP(YEAR(C3989)+(MONTH(C3989)/100),TC!$5:$37,DAY(C3989)+2,FALSE),VLOOKUP(E3989,Equivalencia!$5:$23,((MAX(Equivalencia!$3:$3)-YEAR(C3989))*14)+MONTH(C3989)+2,FALSE)))</f>
        <v>0</v>
      </c>
      <c r="J3989" s="178">
        <f t="shared" si="305"/>
        <v>0</v>
      </c>
      <c r="K3989" s="462">
        <f>IF(C3989=0,0,VLOOKUP(YEAR(C3989),INPC!$B$4:$O$29,MONTH(C3989)+1))</f>
        <v>0</v>
      </c>
      <c r="L3989" s="462">
        <f>IF(S3989=0,0,VLOOKUP(YEAR(S3989),INPC!$B$4:$O$29,MONTH(S3989)+1))</f>
        <v>0</v>
      </c>
      <c r="M3989" s="463">
        <f t="shared" si="306"/>
        <v>0</v>
      </c>
      <c r="N3989" s="465">
        <f t="shared" si="307"/>
        <v>0</v>
      </c>
      <c r="O3989" s="179"/>
      <c r="P3989" s="180"/>
      <c r="Q3989" s="173"/>
      <c r="R3989" s="173"/>
      <c r="S3989" s="174"/>
      <c r="T3989" s="173"/>
      <c r="U3989" s="182"/>
      <c r="V3989" s="177">
        <f>IF(U3989=0,0,IF(T3989="MXN",1/HLOOKUP(YEAR(S3989)+(MONTH(S3989)/100),TC!$5:$37,DAY(S3989)+2,FALSE),VLOOKUP(T3989,Equivalencia!$1:$23,((MAX(Equivalencia!$3:$3)-YEAR(S3989))*14)+MONTH(S3989)+2,FALSE)))</f>
        <v>0</v>
      </c>
      <c r="W3989" s="178">
        <f t="shared" si="308"/>
        <v>0</v>
      </c>
      <c r="X3989" s="481">
        <f t="shared" si="309"/>
        <v>0</v>
      </c>
      <c r="Y3989" s="179"/>
      <c r="Z3989" s="466">
        <f t="shared" si="310"/>
        <v>0</v>
      </c>
      <c r="AA3989" s="473">
        <f t="shared" si="311"/>
        <v>0</v>
      </c>
      <c r="AB3989" s="339">
        <f t="shared" si="312"/>
        <v>0</v>
      </c>
    </row>
    <row r="3990" spans="2:28" ht="20.100000000000001" customHeight="1">
      <c r="B3990" s="172"/>
      <c r="C3990" s="174"/>
      <c r="D3990" s="181"/>
      <c r="E3990" s="173"/>
      <c r="F3990" s="176"/>
      <c r="G3990" s="175">
        <f t="shared" si="303"/>
        <v>0</v>
      </c>
      <c r="H3990" s="175">
        <f t="shared" si="304"/>
        <v>0</v>
      </c>
      <c r="I3990" s="177">
        <f>IF(G3990=0,0,IF(E3990="MXN",1/HLOOKUP(YEAR(C3990)+(MONTH(C3990)/100),TC!$5:$37,DAY(C3990)+2,FALSE),VLOOKUP(E3990,Equivalencia!$5:$23,((MAX(Equivalencia!$3:$3)-YEAR(C3990))*14)+MONTH(C3990)+2,FALSE)))</f>
        <v>0</v>
      </c>
      <c r="J3990" s="178">
        <f t="shared" si="305"/>
        <v>0</v>
      </c>
      <c r="K3990" s="462">
        <f>IF(C3990=0,0,VLOOKUP(YEAR(C3990),INPC!$B$4:$O$29,MONTH(C3990)+1))</f>
        <v>0</v>
      </c>
      <c r="L3990" s="462">
        <f>IF(S3990=0,0,VLOOKUP(YEAR(S3990),INPC!$B$4:$O$29,MONTH(S3990)+1))</f>
        <v>0</v>
      </c>
      <c r="M3990" s="463">
        <f t="shared" si="306"/>
        <v>0</v>
      </c>
      <c r="N3990" s="465">
        <f t="shared" si="307"/>
        <v>0</v>
      </c>
      <c r="O3990" s="179"/>
      <c r="P3990" s="180"/>
      <c r="Q3990" s="173"/>
      <c r="R3990" s="173"/>
      <c r="S3990" s="174"/>
      <c r="T3990" s="173"/>
      <c r="U3990" s="182"/>
      <c r="V3990" s="177">
        <f>IF(U3990=0,0,IF(T3990="MXN",1/HLOOKUP(YEAR(S3990)+(MONTH(S3990)/100),TC!$5:$37,DAY(S3990)+2,FALSE),VLOOKUP(T3990,Equivalencia!$1:$23,((MAX(Equivalencia!$3:$3)-YEAR(S3990))*14)+MONTH(S3990)+2,FALSE)))</f>
        <v>0</v>
      </c>
      <c r="W3990" s="178">
        <f t="shared" si="308"/>
        <v>0</v>
      </c>
      <c r="X3990" s="481">
        <f t="shared" si="309"/>
        <v>0</v>
      </c>
      <c r="Y3990" s="179"/>
      <c r="Z3990" s="466">
        <f t="shared" si="310"/>
        <v>0</v>
      </c>
      <c r="AA3990" s="473">
        <f t="shared" si="311"/>
        <v>0</v>
      </c>
      <c r="AB3990" s="339">
        <f t="shared" si="312"/>
        <v>0</v>
      </c>
    </row>
    <row r="3991" spans="2:28" ht="20.100000000000001" customHeight="1">
      <c r="B3991" s="172"/>
      <c r="C3991" s="174"/>
      <c r="D3991" s="181"/>
      <c r="E3991" s="173"/>
      <c r="F3991" s="176"/>
      <c r="G3991" s="175">
        <f t="shared" si="303"/>
        <v>0</v>
      </c>
      <c r="H3991" s="175">
        <f t="shared" si="304"/>
        <v>0</v>
      </c>
      <c r="I3991" s="177">
        <f>IF(G3991=0,0,IF(E3991="MXN",1/HLOOKUP(YEAR(C3991)+(MONTH(C3991)/100),TC!$5:$37,DAY(C3991)+2,FALSE),VLOOKUP(E3991,Equivalencia!$5:$23,((MAX(Equivalencia!$3:$3)-YEAR(C3991))*14)+MONTH(C3991)+2,FALSE)))</f>
        <v>0</v>
      </c>
      <c r="J3991" s="178">
        <f t="shared" si="305"/>
        <v>0</v>
      </c>
      <c r="K3991" s="462">
        <f>IF(C3991=0,0,VLOOKUP(YEAR(C3991),INPC!$B$4:$O$29,MONTH(C3991)+1))</f>
        <v>0</v>
      </c>
      <c r="L3991" s="462">
        <f>IF(S3991=0,0,VLOOKUP(YEAR(S3991),INPC!$B$4:$O$29,MONTH(S3991)+1))</f>
        <v>0</v>
      </c>
      <c r="M3991" s="463">
        <f t="shared" si="306"/>
        <v>0</v>
      </c>
      <c r="N3991" s="465">
        <f t="shared" si="307"/>
        <v>0</v>
      </c>
      <c r="O3991" s="179"/>
      <c r="P3991" s="180"/>
      <c r="Q3991" s="173"/>
      <c r="R3991" s="173"/>
      <c r="S3991" s="174"/>
      <c r="T3991" s="173"/>
      <c r="U3991" s="182"/>
      <c r="V3991" s="177">
        <f>IF(U3991=0,0,IF(T3991="MXN",1/HLOOKUP(YEAR(S3991)+(MONTH(S3991)/100),TC!$5:$37,DAY(S3991)+2,FALSE),VLOOKUP(T3991,Equivalencia!$1:$23,((MAX(Equivalencia!$3:$3)-YEAR(S3991))*14)+MONTH(S3991)+2,FALSE)))</f>
        <v>0</v>
      </c>
      <c r="W3991" s="178">
        <f t="shared" si="308"/>
        <v>0</v>
      </c>
      <c r="X3991" s="481">
        <f t="shared" si="309"/>
        <v>0</v>
      </c>
      <c r="Y3991" s="179"/>
      <c r="Z3991" s="466">
        <f t="shared" si="310"/>
        <v>0</v>
      </c>
      <c r="AA3991" s="473">
        <f t="shared" si="311"/>
        <v>0</v>
      </c>
      <c r="AB3991" s="339">
        <f t="shared" si="312"/>
        <v>0</v>
      </c>
    </row>
    <row r="3992" spans="2:28" ht="20.100000000000001" customHeight="1">
      <c r="B3992" s="172"/>
      <c r="C3992" s="174"/>
      <c r="D3992" s="181"/>
      <c r="E3992" s="173"/>
      <c r="F3992" s="176"/>
      <c r="G3992" s="175">
        <f t="shared" si="303"/>
        <v>0</v>
      </c>
      <c r="H3992" s="175">
        <f t="shared" si="304"/>
        <v>0</v>
      </c>
      <c r="I3992" s="177">
        <f>IF(G3992=0,0,IF(E3992="MXN",1/HLOOKUP(YEAR(C3992)+(MONTH(C3992)/100),TC!$5:$37,DAY(C3992)+2,FALSE),VLOOKUP(E3992,Equivalencia!$5:$23,((MAX(Equivalencia!$3:$3)-YEAR(C3992))*14)+MONTH(C3992)+2,FALSE)))</f>
        <v>0</v>
      </c>
      <c r="J3992" s="178">
        <f t="shared" si="305"/>
        <v>0</v>
      </c>
      <c r="K3992" s="462">
        <f>IF(C3992=0,0,VLOOKUP(YEAR(C3992),INPC!$B$4:$O$29,MONTH(C3992)+1))</f>
        <v>0</v>
      </c>
      <c r="L3992" s="462">
        <f>IF(S3992=0,0,VLOOKUP(YEAR(S3992),INPC!$B$4:$O$29,MONTH(S3992)+1))</f>
        <v>0</v>
      </c>
      <c r="M3992" s="463">
        <f t="shared" si="306"/>
        <v>0</v>
      </c>
      <c r="N3992" s="465">
        <f t="shared" si="307"/>
        <v>0</v>
      </c>
      <c r="O3992" s="179"/>
      <c r="P3992" s="180"/>
      <c r="Q3992" s="173"/>
      <c r="R3992" s="173"/>
      <c r="S3992" s="174"/>
      <c r="T3992" s="173"/>
      <c r="U3992" s="182"/>
      <c r="V3992" s="177">
        <f>IF(U3992=0,0,IF(T3992="MXN",1/HLOOKUP(YEAR(S3992)+(MONTH(S3992)/100),TC!$5:$37,DAY(S3992)+2,FALSE),VLOOKUP(T3992,Equivalencia!$1:$23,((MAX(Equivalencia!$3:$3)-YEAR(S3992))*14)+MONTH(S3992)+2,FALSE)))</f>
        <v>0</v>
      </c>
      <c r="W3992" s="178">
        <f t="shared" si="308"/>
        <v>0</v>
      </c>
      <c r="X3992" s="481">
        <f t="shared" si="309"/>
        <v>0</v>
      </c>
      <c r="Y3992" s="179"/>
      <c r="Z3992" s="466">
        <f t="shared" si="310"/>
        <v>0</v>
      </c>
      <c r="AA3992" s="473">
        <f t="shared" si="311"/>
        <v>0</v>
      </c>
      <c r="AB3992" s="339">
        <f t="shared" si="312"/>
        <v>0</v>
      </c>
    </row>
    <row r="3993" spans="2:28" ht="20.100000000000001" customHeight="1">
      <c r="B3993" s="172"/>
      <c r="C3993" s="174"/>
      <c r="D3993" s="181"/>
      <c r="E3993" s="173"/>
      <c r="F3993" s="176"/>
      <c r="G3993" s="175">
        <f t="shared" si="303"/>
        <v>0</v>
      </c>
      <c r="H3993" s="175">
        <f t="shared" si="304"/>
        <v>0</v>
      </c>
      <c r="I3993" s="177">
        <f>IF(G3993=0,0,IF(E3993="MXN",1/HLOOKUP(YEAR(C3993)+(MONTH(C3993)/100),TC!$5:$37,DAY(C3993)+2,FALSE),VLOOKUP(E3993,Equivalencia!$5:$23,((MAX(Equivalencia!$3:$3)-YEAR(C3993))*14)+MONTH(C3993)+2,FALSE)))</f>
        <v>0</v>
      </c>
      <c r="J3993" s="178">
        <f t="shared" si="305"/>
        <v>0</v>
      </c>
      <c r="K3993" s="462">
        <f>IF(C3993=0,0,VLOOKUP(YEAR(C3993),INPC!$B$4:$O$29,MONTH(C3993)+1))</f>
        <v>0</v>
      </c>
      <c r="L3993" s="462">
        <f>IF(S3993=0,0,VLOOKUP(YEAR(S3993),INPC!$B$4:$O$29,MONTH(S3993)+1))</f>
        <v>0</v>
      </c>
      <c r="M3993" s="463">
        <f t="shared" si="306"/>
        <v>0</v>
      </c>
      <c r="N3993" s="465">
        <f t="shared" si="307"/>
        <v>0</v>
      </c>
      <c r="O3993" s="179"/>
      <c r="P3993" s="180"/>
      <c r="Q3993" s="173"/>
      <c r="R3993" s="173"/>
      <c r="S3993" s="174"/>
      <c r="T3993" s="173"/>
      <c r="U3993" s="182"/>
      <c r="V3993" s="177">
        <f>IF(U3993=0,0,IF(T3993="MXN",1/HLOOKUP(YEAR(S3993)+(MONTH(S3993)/100),TC!$5:$37,DAY(S3993)+2,FALSE),VLOOKUP(T3993,Equivalencia!$1:$23,((MAX(Equivalencia!$3:$3)-YEAR(S3993))*14)+MONTH(S3993)+2,FALSE)))</f>
        <v>0</v>
      </c>
      <c r="W3993" s="178">
        <f t="shared" si="308"/>
        <v>0</v>
      </c>
      <c r="X3993" s="481">
        <f t="shared" si="309"/>
        <v>0</v>
      </c>
      <c r="Y3993" s="179"/>
      <c r="Z3993" s="466">
        <f t="shared" si="310"/>
        <v>0</v>
      </c>
      <c r="AA3993" s="473">
        <f t="shared" si="311"/>
        <v>0</v>
      </c>
      <c r="AB3993" s="339">
        <f t="shared" si="312"/>
        <v>0</v>
      </c>
    </row>
    <row r="3994" spans="2:28" ht="20.100000000000001" customHeight="1">
      <c r="B3994" s="172"/>
      <c r="C3994" s="174"/>
      <c r="D3994" s="181"/>
      <c r="E3994" s="173"/>
      <c r="F3994" s="176"/>
      <c r="G3994" s="175">
        <f t="shared" si="303"/>
        <v>0</v>
      </c>
      <c r="H3994" s="175">
        <f t="shared" si="304"/>
        <v>0</v>
      </c>
      <c r="I3994" s="177">
        <f>IF(G3994=0,0,IF(E3994="MXN",1/HLOOKUP(YEAR(C3994)+(MONTH(C3994)/100),TC!$5:$37,DAY(C3994)+2,FALSE),VLOOKUP(E3994,Equivalencia!$5:$23,((MAX(Equivalencia!$3:$3)-YEAR(C3994))*14)+MONTH(C3994)+2,FALSE)))</f>
        <v>0</v>
      </c>
      <c r="J3994" s="178">
        <f t="shared" si="305"/>
        <v>0</v>
      </c>
      <c r="K3994" s="462">
        <f>IF(C3994=0,0,VLOOKUP(YEAR(C3994),INPC!$B$4:$O$29,MONTH(C3994)+1))</f>
        <v>0</v>
      </c>
      <c r="L3994" s="462">
        <f>IF(S3994=0,0,VLOOKUP(YEAR(S3994),INPC!$B$4:$O$29,MONTH(S3994)+1))</f>
        <v>0</v>
      </c>
      <c r="M3994" s="463">
        <f t="shared" si="306"/>
        <v>0</v>
      </c>
      <c r="N3994" s="465">
        <f t="shared" si="307"/>
        <v>0</v>
      </c>
      <c r="O3994" s="179"/>
      <c r="P3994" s="180"/>
      <c r="Q3994" s="173"/>
      <c r="R3994" s="173"/>
      <c r="S3994" s="174"/>
      <c r="T3994" s="173"/>
      <c r="U3994" s="182"/>
      <c r="V3994" s="177">
        <f>IF(U3994=0,0,IF(T3994="MXN",1/HLOOKUP(YEAR(S3994)+(MONTH(S3994)/100),TC!$5:$37,DAY(S3994)+2,FALSE),VLOOKUP(T3994,Equivalencia!$1:$23,((MAX(Equivalencia!$3:$3)-YEAR(S3994))*14)+MONTH(S3994)+2,FALSE)))</f>
        <v>0</v>
      </c>
      <c r="W3994" s="178">
        <f t="shared" si="308"/>
        <v>0</v>
      </c>
      <c r="X3994" s="481">
        <f t="shared" si="309"/>
        <v>0</v>
      </c>
      <c r="Y3994" s="179"/>
      <c r="Z3994" s="466">
        <f t="shared" si="310"/>
        <v>0</v>
      </c>
      <c r="AA3994" s="473">
        <f t="shared" si="311"/>
        <v>0</v>
      </c>
      <c r="AB3994" s="339">
        <f t="shared" si="312"/>
        <v>0</v>
      </c>
    </row>
    <row r="3995" spans="2:28" ht="20.100000000000001" customHeight="1">
      <c r="B3995" s="172"/>
      <c r="C3995" s="174"/>
      <c r="D3995" s="181"/>
      <c r="E3995" s="173"/>
      <c r="F3995" s="176"/>
      <c r="G3995" s="175">
        <f t="shared" si="303"/>
        <v>0</v>
      </c>
      <c r="H3995" s="175">
        <f t="shared" si="304"/>
        <v>0</v>
      </c>
      <c r="I3995" s="177">
        <f>IF(G3995=0,0,IF(E3995="MXN",1/HLOOKUP(YEAR(C3995)+(MONTH(C3995)/100),TC!$5:$37,DAY(C3995)+2,FALSE),VLOOKUP(E3995,Equivalencia!$5:$23,((MAX(Equivalencia!$3:$3)-YEAR(C3995))*14)+MONTH(C3995)+2,FALSE)))</f>
        <v>0</v>
      </c>
      <c r="J3995" s="178">
        <f t="shared" si="305"/>
        <v>0</v>
      </c>
      <c r="K3995" s="462">
        <f>IF(C3995=0,0,VLOOKUP(YEAR(C3995),INPC!$B$4:$O$29,MONTH(C3995)+1))</f>
        <v>0</v>
      </c>
      <c r="L3995" s="462">
        <f>IF(S3995=0,0,VLOOKUP(YEAR(S3995),INPC!$B$4:$O$29,MONTH(S3995)+1))</f>
        <v>0</v>
      </c>
      <c r="M3995" s="463">
        <f t="shared" si="306"/>
        <v>0</v>
      </c>
      <c r="N3995" s="465">
        <f t="shared" si="307"/>
        <v>0</v>
      </c>
      <c r="O3995" s="179"/>
      <c r="P3995" s="180"/>
      <c r="Q3995" s="173"/>
      <c r="R3995" s="173"/>
      <c r="S3995" s="174"/>
      <c r="T3995" s="173"/>
      <c r="U3995" s="182"/>
      <c r="V3995" s="177">
        <f>IF(U3995=0,0,IF(T3995="MXN",1/HLOOKUP(YEAR(S3995)+(MONTH(S3995)/100),TC!$5:$37,DAY(S3995)+2,FALSE),VLOOKUP(T3995,Equivalencia!$1:$23,((MAX(Equivalencia!$3:$3)-YEAR(S3995))*14)+MONTH(S3995)+2,FALSE)))</f>
        <v>0</v>
      </c>
      <c r="W3995" s="178">
        <f t="shared" si="308"/>
        <v>0</v>
      </c>
      <c r="X3995" s="481">
        <f t="shared" si="309"/>
        <v>0</v>
      </c>
      <c r="Y3995" s="179"/>
      <c r="Z3995" s="466">
        <f t="shared" si="310"/>
        <v>0</v>
      </c>
      <c r="AA3995" s="473">
        <f t="shared" si="311"/>
        <v>0</v>
      </c>
      <c r="AB3995" s="339">
        <f t="shared" si="312"/>
        <v>0</v>
      </c>
    </row>
    <row r="3996" spans="2:28" ht="20.100000000000001" customHeight="1">
      <c r="B3996" s="172"/>
      <c r="C3996" s="174"/>
      <c r="D3996" s="181"/>
      <c r="E3996" s="173"/>
      <c r="F3996" s="176"/>
      <c r="G3996" s="175">
        <f t="shared" si="303"/>
        <v>0</v>
      </c>
      <c r="H3996" s="175">
        <f t="shared" si="304"/>
        <v>0</v>
      </c>
      <c r="I3996" s="177">
        <f>IF(G3996=0,0,IF(E3996="MXN",1/HLOOKUP(YEAR(C3996)+(MONTH(C3996)/100),TC!$5:$37,DAY(C3996)+2,FALSE),VLOOKUP(E3996,Equivalencia!$5:$23,((MAX(Equivalencia!$3:$3)-YEAR(C3996))*14)+MONTH(C3996)+2,FALSE)))</f>
        <v>0</v>
      </c>
      <c r="J3996" s="178">
        <f t="shared" si="305"/>
        <v>0</v>
      </c>
      <c r="K3996" s="462">
        <f>IF(C3996=0,0,VLOOKUP(YEAR(C3996),INPC!$B$4:$O$29,MONTH(C3996)+1))</f>
        <v>0</v>
      </c>
      <c r="L3996" s="462">
        <f>IF(S3996=0,0,VLOOKUP(YEAR(S3996),INPC!$B$4:$O$29,MONTH(S3996)+1))</f>
        <v>0</v>
      </c>
      <c r="M3996" s="463">
        <f t="shared" si="306"/>
        <v>0</v>
      </c>
      <c r="N3996" s="465">
        <f t="shared" si="307"/>
        <v>0</v>
      </c>
      <c r="O3996" s="179"/>
      <c r="P3996" s="180"/>
      <c r="Q3996" s="173"/>
      <c r="R3996" s="173"/>
      <c r="S3996" s="174"/>
      <c r="T3996" s="173"/>
      <c r="U3996" s="182"/>
      <c r="V3996" s="177">
        <f>IF(U3996=0,0,IF(T3996="MXN",1/HLOOKUP(YEAR(S3996)+(MONTH(S3996)/100),TC!$5:$37,DAY(S3996)+2,FALSE),VLOOKUP(T3996,Equivalencia!$1:$23,((MAX(Equivalencia!$3:$3)-YEAR(S3996))*14)+MONTH(S3996)+2,FALSE)))</f>
        <v>0</v>
      </c>
      <c r="W3996" s="178">
        <f t="shared" si="308"/>
        <v>0</v>
      </c>
      <c r="X3996" s="481">
        <f t="shared" si="309"/>
        <v>0</v>
      </c>
      <c r="Y3996" s="179"/>
      <c r="Z3996" s="466">
        <f t="shared" si="310"/>
        <v>0</v>
      </c>
      <c r="AA3996" s="473">
        <f t="shared" si="311"/>
        <v>0</v>
      </c>
      <c r="AB3996" s="339">
        <f t="shared" si="312"/>
        <v>0</v>
      </c>
    </row>
    <row r="3997" spans="2:28" ht="20.100000000000001" customHeight="1">
      <c r="B3997" s="172"/>
      <c r="C3997" s="174"/>
      <c r="D3997" s="181"/>
      <c r="E3997" s="173"/>
      <c r="F3997" s="176"/>
      <c r="G3997" s="175">
        <f t="shared" si="303"/>
        <v>0</v>
      </c>
      <c r="H3997" s="175">
        <f t="shared" si="304"/>
        <v>0</v>
      </c>
      <c r="I3997" s="177">
        <f>IF(G3997=0,0,IF(E3997="MXN",1/HLOOKUP(YEAR(C3997)+(MONTH(C3997)/100),TC!$5:$37,DAY(C3997)+2,FALSE),VLOOKUP(E3997,Equivalencia!$5:$23,((MAX(Equivalencia!$3:$3)-YEAR(C3997))*14)+MONTH(C3997)+2,FALSE)))</f>
        <v>0</v>
      </c>
      <c r="J3997" s="178">
        <f t="shared" si="305"/>
        <v>0</v>
      </c>
      <c r="K3997" s="462">
        <f>IF(C3997=0,0,VLOOKUP(YEAR(C3997),INPC!$B$4:$O$29,MONTH(C3997)+1))</f>
        <v>0</v>
      </c>
      <c r="L3997" s="462">
        <f>IF(S3997=0,0,VLOOKUP(YEAR(S3997),INPC!$B$4:$O$29,MONTH(S3997)+1))</f>
        <v>0</v>
      </c>
      <c r="M3997" s="463">
        <f t="shared" si="306"/>
        <v>0</v>
      </c>
      <c r="N3997" s="465">
        <f t="shared" si="307"/>
        <v>0</v>
      </c>
      <c r="O3997" s="179"/>
      <c r="P3997" s="180"/>
      <c r="Q3997" s="173"/>
      <c r="R3997" s="173"/>
      <c r="S3997" s="174"/>
      <c r="T3997" s="173"/>
      <c r="U3997" s="182"/>
      <c r="V3997" s="177">
        <f>IF(U3997=0,0,IF(T3997="MXN",1/HLOOKUP(YEAR(S3997)+(MONTH(S3997)/100),TC!$5:$37,DAY(S3997)+2,FALSE),VLOOKUP(T3997,Equivalencia!$1:$23,((MAX(Equivalencia!$3:$3)-YEAR(S3997))*14)+MONTH(S3997)+2,FALSE)))</f>
        <v>0</v>
      </c>
      <c r="W3997" s="178">
        <f t="shared" si="308"/>
        <v>0</v>
      </c>
      <c r="X3997" s="481">
        <f t="shared" si="309"/>
        <v>0</v>
      </c>
      <c r="Y3997" s="179"/>
      <c r="Z3997" s="466">
        <f t="shared" si="310"/>
        <v>0</v>
      </c>
      <c r="AA3997" s="473">
        <f t="shared" si="311"/>
        <v>0</v>
      </c>
      <c r="AB3997" s="339">
        <f t="shared" si="312"/>
        <v>0</v>
      </c>
    </row>
    <row r="3998" spans="2:28" ht="20.100000000000001" customHeight="1">
      <c r="B3998" s="172"/>
      <c r="C3998" s="174"/>
      <c r="D3998" s="181"/>
      <c r="E3998" s="173"/>
      <c r="F3998" s="176"/>
      <c r="G3998" s="175">
        <f t="shared" si="303"/>
        <v>0</v>
      </c>
      <c r="H3998" s="175">
        <f t="shared" si="304"/>
        <v>0</v>
      </c>
      <c r="I3998" s="177">
        <f>IF(G3998=0,0,IF(E3998="MXN",1/HLOOKUP(YEAR(C3998)+(MONTH(C3998)/100),TC!$5:$37,DAY(C3998)+2,FALSE),VLOOKUP(E3998,Equivalencia!$5:$23,((MAX(Equivalencia!$3:$3)-YEAR(C3998))*14)+MONTH(C3998)+2,FALSE)))</f>
        <v>0</v>
      </c>
      <c r="J3998" s="178">
        <f t="shared" si="305"/>
        <v>0</v>
      </c>
      <c r="K3998" s="462">
        <f>IF(C3998=0,0,VLOOKUP(YEAR(C3998),INPC!$B$4:$O$29,MONTH(C3998)+1))</f>
        <v>0</v>
      </c>
      <c r="L3998" s="462">
        <f>IF(S3998=0,0,VLOOKUP(YEAR(S3998),INPC!$B$4:$O$29,MONTH(S3998)+1))</f>
        <v>0</v>
      </c>
      <c r="M3998" s="463">
        <f t="shared" si="306"/>
        <v>0</v>
      </c>
      <c r="N3998" s="465">
        <f t="shared" si="307"/>
        <v>0</v>
      </c>
      <c r="O3998" s="179"/>
      <c r="P3998" s="180"/>
      <c r="Q3998" s="173"/>
      <c r="R3998" s="173"/>
      <c r="S3998" s="174"/>
      <c r="T3998" s="173"/>
      <c r="U3998" s="182"/>
      <c r="V3998" s="177">
        <f>IF(U3998=0,0,IF(T3998="MXN",1/HLOOKUP(YEAR(S3998)+(MONTH(S3998)/100),TC!$5:$37,DAY(S3998)+2,FALSE),VLOOKUP(T3998,Equivalencia!$1:$23,((MAX(Equivalencia!$3:$3)-YEAR(S3998))*14)+MONTH(S3998)+2,FALSE)))</f>
        <v>0</v>
      </c>
      <c r="W3998" s="178">
        <f t="shared" si="308"/>
        <v>0</v>
      </c>
      <c r="X3998" s="481">
        <f t="shared" si="309"/>
        <v>0</v>
      </c>
      <c r="Y3998" s="179"/>
      <c r="Z3998" s="466">
        <f t="shared" si="310"/>
        <v>0</v>
      </c>
      <c r="AA3998" s="473">
        <f t="shared" si="311"/>
        <v>0</v>
      </c>
      <c r="AB3998" s="339">
        <f t="shared" si="312"/>
        <v>0</v>
      </c>
    </row>
    <row r="3999" spans="2:28" ht="20.100000000000001" customHeight="1">
      <c r="B3999" s="172"/>
      <c r="C3999" s="174"/>
      <c r="D3999" s="181"/>
      <c r="E3999" s="173"/>
      <c r="F3999" s="176"/>
      <c r="G3999" s="175">
        <f t="shared" si="303"/>
        <v>0</v>
      </c>
      <c r="H3999" s="175">
        <f t="shared" si="304"/>
        <v>0</v>
      </c>
      <c r="I3999" s="177">
        <f>IF(G3999=0,0,IF(E3999="MXN",1/HLOOKUP(YEAR(C3999)+(MONTH(C3999)/100),TC!$5:$37,DAY(C3999)+2,FALSE),VLOOKUP(E3999,Equivalencia!$5:$23,((MAX(Equivalencia!$3:$3)-YEAR(C3999))*14)+MONTH(C3999)+2,FALSE)))</f>
        <v>0</v>
      </c>
      <c r="J3999" s="178">
        <f t="shared" si="305"/>
        <v>0</v>
      </c>
      <c r="K3999" s="462">
        <f>IF(C3999=0,0,VLOOKUP(YEAR(C3999),INPC!$B$4:$O$29,MONTH(C3999)+1))</f>
        <v>0</v>
      </c>
      <c r="L3999" s="462">
        <f>IF(S3999=0,0,VLOOKUP(YEAR(S3999),INPC!$B$4:$O$29,MONTH(S3999)+1))</f>
        <v>0</v>
      </c>
      <c r="M3999" s="463">
        <f t="shared" si="306"/>
        <v>0</v>
      </c>
      <c r="N3999" s="465">
        <f t="shared" si="307"/>
        <v>0</v>
      </c>
      <c r="O3999" s="179"/>
      <c r="P3999" s="180"/>
      <c r="Q3999" s="173"/>
      <c r="R3999" s="173"/>
      <c r="S3999" s="174"/>
      <c r="T3999" s="173"/>
      <c r="U3999" s="182"/>
      <c r="V3999" s="177">
        <f>IF(U3999=0,0,IF(T3999="MXN",1/HLOOKUP(YEAR(S3999)+(MONTH(S3999)/100),TC!$5:$37,DAY(S3999)+2,FALSE),VLOOKUP(T3999,Equivalencia!$1:$23,((MAX(Equivalencia!$3:$3)-YEAR(S3999))*14)+MONTH(S3999)+2,FALSE)))</f>
        <v>0</v>
      </c>
      <c r="W3999" s="178">
        <f t="shared" si="308"/>
        <v>0</v>
      </c>
      <c r="X3999" s="481">
        <f t="shared" si="309"/>
        <v>0</v>
      </c>
      <c r="Y3999" s="179"/>
      <c r="Z3999" s="466">
        <f t="shared" si="310"/>
        <v>0</v>
      </c>
      <c r="AA3999" s="473">
        <f t="shared" si="311"/>
        <v>0</v>
      </c>
      <c r="AB3999" s="339">
        <f t="shared" si="312"/>
        <v>0</v>
      </c>
    </row>
    <row r="4000" spans="2:28" ht="20.100000000000001" customHeight="1">
      <c r="B4000" s="172"/>
      <c r="C4000" s="174"/>
      <c r="D4000" s="181"/>
      <c r="E4000" s="173"/>
      <c r="F4000" s="176"/>
      <c r="G4000" s="175">
        <f t="shared" si="303"/>
        <v>0</v>
      </c>
      <c r="H4000" s="175">
        <f t="shared" si="304"/>
        <v>0</v>
      </c>
      <c r="I4000" s="177">
        <f>IF(G4000=0,0,IF(E4000="MXN",1/HLOOKUP(YEAR(C4000)+(MONTH(C4000)/100),TC!$5:$37,DAY(C4000)+2,FALSE),VLOOKUP(E4000,Equivalencia!$5:$23,((MAX(Equivalencia!$3:$3)-YEAR(C4000))*14)+MONTH(C4000)+2,FALSE)))</f>
        <v>0</v>
      </c>
      <c r="J4000" s="178">
        <f t="shared" si="305"/>
        <v>0</v>
      </c>
      <c r="K4000" s="462">
        <f>IF(C4000=0,0,VLOOKUP(YEAR(C4000),INPC!$B$4:$O$29,MONTH(C4000)+1))</f>
        <v>0</v>
      </c>
      <c r="L4000" s="462">
        <f>IF(S4000=0,0,VLOOKUP(YEAR(S4000),INPC!$B$4:$O$29,MONTH(S4000)+1))</f>
        <v>0</v>
      </c>
      <c r="M4000" s="463">
        <f t="shared" si="306"/>
        <v>0</v>
      </c>
      <c r="N4000" s="465">
        <f t="shared" si="307"/>
        <v>0</v>
      </c>
      <c r="O4000" s="179"/>
      <c r="P4000" s="180"/>
      <c r="Q4000" s="173"/>
      <c r="R4000" s="173"/>
      <c r="S4000" s="174"/>
      <c r="T4000" s="173"/>
      <c r="U4000" s="182"/>
      <c r="V4000" s="177">
        <f>IF(U4000=0,0,IF(T4000="MXN",1/HLOOKUP(YEAR(S4000)+(MONTH(S4000)/100),TC!$5:$37,DAY(S4000)+2,FALSE),VLOOKUP(T4000,Equivalencia!$1:$23,((MAX(Equivalencia!$3:$3)-YEAR(S4000))*14)+MONTH(S4000)+2,FALSE)))</f>
        <v>0</v>
      </c>
      <c r="W4000" s="178">
        <f t="shared" si="308"/>
        <v>0</v>
      </c>
      <c r="X4000" s="481">
        <f t="shared" si="309"/>
        <v>0</v>
      </c>
      <c r="Y4000" s="179"/>
      <c r="Z4000" s="466">
        <f t="shared" si="310"/>
        <v>0</v>
      </c>
      <c r="AA4000" s="473">
        <f t="shared" si="311"/>
        <v>0</v>
      </c>
      <c r="AB4000" s="339">
        <f t="shared" si="312"/>
        <v>0</v>
      </c>
    </row>
    <row r="4001" spans="2:28" ht="20.100000000000001" customHeight="1">
      <c r="B4001" s="172"/>
      <c r="C4001" s="174"/>
      <c r="D4001" s="181"/>
      <c r="E4001" s="173"/>
      <c r="F4001" s="176"/>
      <c r="G4001" s="175">
        <f t="shared" si="303"/>
        <v>0</v>
      </c>
      <c r="H4001" s="175">
        <f t="shared" si="304"/>
        <v>0</v>
      </c>
      <c r="I4001" s="177">
        <f>IF(G4001=0,0,IF(E4001="MXN",1/HLOOKUP(YEAR(C4001)+(MONTH(C4001)/100),TC!$5:$37,DAY(C4001)+2,FALSE),VLOOKUP(E4001,Equivalencia!$5:$23,((MAX(Equivalencia!$3:$3)-YEAR(C4001))*14)+MONTH(C4001)+2,FALSE)))</f>
        <v>0</v>
      </c>
      <c r="J4001" s="178">
        <f t="shared" si="305"/>
        <v>0</v>
      </c>
      <c r="K4001" s="462">
        <f>IF(C4001=0,0,VLOOKUP(YEAR(C4001),INPC!$B$4:$O$29,MONTH(C4001)+1))</f>
        <v>0</v>
      </c>
      <c r="L4001" s="462">
        <f>IF(S4001=0,0,VLOOKUP(YEAR(S4001),INPC!$B$4:$O$29,MONTH(S4001)+1))</f>
        <v>0</v>
      </c>
      <c r="M4001" s="463">
        <f t="shared" si="306"/>
        <v>0</v>
      </c>
      <c r="N4001" s="465">
        <f t="shared" si="307"/>
        <v>0</v>
      </c>
      <c r="O4001" s="179"/>
      <c r="P4001" s="180"/>
      <c r="Q4001" s="173"/>
      <c r="R4001" s="173"/>
      <c r="S4001" s="174"/>
      <c r="T4001" s="173"/>
      <c r="U4001" s="182"/>
      <c r="V4001" s="177">
        <f>IF(U4001=0,0,IF(T4001="MXN",1/HLOOKUP(YEAR(S4001)+(MONTH(S4001)/100),TC!$5:$37,DAY(S4001)+2,FALSE),VLOOKUP(T4001,Equivalencia!$1:$23,((MAX(Equivalencia!$3:$3)-YEAR(S4001))*14)+MONTH(S4001)+2,FALSE)))</f>
        <v>0</v>
      </c>
      <c r="W4001" s="178">
        <f t="shared" si="308"/>
        <v>0</v>
      </c>
      <c r="X4001" s="481">
        <f t="shared" si="309"/>
        <v>0</v>
      </c>
      <c r="Y4001" s="179"/>
      <c r="Z4001" s="466">
        <f t="shared" si="310"/>
        <v>0</v>
      </c>
      <c r="AA4001" s="473">
        <f t="shared" si="311"/>
        <v>0</v>
      </c>
      <c r="AB4001" s="339">
        <f t="shared" si="312"/>
        <v>0</v>
      </c>
    </row>
    <row r="4002" spans="2:28" ht="20.100000000000001" customHeight="1">
      <c r="B4002" s="172"/>
      <c r="C4002" s="174"/>
      <c r="D4002" s="181"/>
      <c r="E4002" s="173"/>
      <c r="F4002" s="176"/>
      <c r="G4002" s="175">
        <f t="shared" si="303"/>
        <v>0</v>
      </c>
      <c r="H4002" s="175">
        <f t="shared" si="304"/>
        <v>0</v>
      </c>
      <c r="I4002" s="177">
        <f>IF(G4002=0,0,IF(E4002="MXN",1/HLOOKUP(YEAR(C4002)+(MONTH(C4002)/100),TC!$5:$37,DAY(C4002)+2,FALSE),VLOOKUP(E4002,Equivalencia!$5:$23,((MAX(Equivalencia!$3:$3)-YEAR(C4002))*14)+MONTH(C4002)+2,FALSE)))</f>
        <v>0</v>
      </c>
      <c r="J4002" s="178">
        <f t="shared" si="305"/>
        <v>0</v>
      </c>
      <c r="K4002" s="462">
        <f>IF(C4002=0,0,VLOOKUP(YEAR(C4002),INPC!$B$4:$O$29,MONTH(C4002)+1))</f>
        <v>0</v>
      </c>
      <c r="L4002" s="462">
        <f>IF(S4002=0,0,VLOOKUP(YEAR(S4002),INPC!$B$4:$O$29,MONTH(S4002)+1))</f>
        <v>0</v>
      </c>
      <c r="M4002" s="463">
        <f t="shared" si="306"/>
        <v>0</v>
      </c>
      <c r="N4002" s="465">
        <f t="shared" si="307"/>
        <v>0</v>
      </c>
      <c r="O4002" s="179"/>
      <c r="P4002" s="180"/>
      <c r="Q4002" s="173"/>
      <c r="R4002" s="173"/>
      <c r="S4002" s="174"/>
      <c r="T4002" s="173"/>
      <c r="U4002" s="182"/>
      <c r="V4002" s="177">
        <f>IF(U4002=0,0,IF(T4002="MXN",1/HLOOKUP(YEAR(S4002)+(MONTH(S4002)/100),TC!$5:$37,DAY(S4002)+2,FALSE),VLOOKUP(T4002,Equivalencia!$1:$23,((MAX(Equivalencia!$3:$3)-YEAR(S4002))*14)+MONTH(S4002)+2,FALSE)))</f>
        <v>0</v>
      </c>
      <c r="W4002" s="178">
        <f t="shared" si="308"/>
        <v>0</v>
      </c>
      <c r="X4002" s="481">
        <f t="shared" si="309"/>
        <v>0</v>
      </c>
      <c r="Y4002" s="179"/>
      <c r="Z4002" s="466">
        <f t="shared" si="310"/>
        <v>0</v>
      </c>
      <c r="AA4002" s="473">
        <f t="shared" si="311"/>
        <v>0</v>
      </c>
      <c r="AB4002" s="339">
        <f t="shared" si="312"/>
        <v>0</v>
      </c>
    </row>
    <row r="4003" spans="2:28" ht="20.100000000000001" customHeight="1">
      <c r="B4003" s="172"/>
      <c r="C4003" s="174"/>
      <c r="D4003" s="181"/>
      <c r="E4003" s="173"/>
      <c r="F4003" s="176"/>
      <c r="G4003" s="175">
        <f t="shared" si="303"/>
        <v>0</v>
      </c>
      <c r="H4003" s="175">
        <f t="shared" si="304"/>
        <v>0</v>
      </c>
      <c r="I4003" s="177">
        <f>IF(G4003=0,0,IF(E4003="MXN",1/HLOOKUP(YEAR(C4003)+(MONTH(C4003)/100),TC!$5:$37,DAY(C4003)+2,FALSE),VLOOKUP(E4003,Equivalencia!$5:$23,((MAX(Equivalencia!$3:$3)-YEAR(C4003))*14)+MONTH(C4003)+2,FALSE)))</f>
        <v>0</v>
      </c>
      <c r="J4003" s="178">
        <f t="shared" si="305"/>
        <v>0</v>
      </c>
      <c r="K4003" s="462">
        <f>IF(C4003=0,0,VLOOKUP(YEAR(C4003),INPC!$B$4:$O$29,MONTH(C4003)+1))</f>
        <v>0</v>
      </c>
      <c r="L4003" s="462">
        <f>IF(S4003=0,0,VLOOKUP(YEAR(S4003),INPC!$B$4:$O$29,MONTH(S4003)+1))</f>
        <v>0</v>
      </c>
      <c r="M4003" s="463">
        <f t="shared" si="306"/>
        <v>0</v>
      </c>
      <c r="N4003" s="465">
        <f t="shared" si="307"/>
        <v>0</v>
      </c>
      <c r="O4003" s="179"/>
      <c r="P4003" s="180"/>
      <c r="Q4003" s="173"/>
      <c r="R4003" s="173"/>
      <c r="S4003" s="174"/>
      <c r="T4003" s="173"/>
      <c r="U4003" s="182"/>
      <c r="V4003" s="177">
        <f>IF(U4003=0,0,IF(T4003="MXN",1/HLOOKUP(YEAR(S4003)+(MONTH(S4003)/100),TC!$5:$37,DAY(S4003)+2,FALSE),VLOOKUP(T4003,Equivalencia!$1:$23,((MAX(Equivalencia!$3:$3)-YEAR(S4003))*14)+MONTH(S4003)+2,FALSE)))</f>
        <v>0</v>
      </c>
      <c r="W4003" s="178">
        <f t="shared" si="308"/>
        <v>0</v>
      </c>
      <c r="X4003" s="481">
        <f t="shared" si="309"/>
        <v>0</v>
      </c>
      <c r="Y4003" s="179"/>
      <c r="Z4003" s="466">
        <f t="shared" si="310"/>
        <v>0</v>
      </c>
      <c r="AA4003" s="473">
        <f t="shared" si="311"/>
        <v>0</v>
      </c>
      <c r="AB4003" s="339">
        <f t="shared" si="312"/>
        <v>0</v>
      </c>
    </row>
    <row r="4004" spans="2:28" ht="20.100000000000001" customHeight="1">
      <c r="B4004" s="172"/>
      <c r="C4004" s="174"/>
      <c r="D4004" s="181"/>
      <c r="E4004" s="173"/>
      <c r="F4004" s="176"/>
      <c r="G4004" s="175">
        <f t="shared" si="303"/>
        <v>0</v>
      </c>
      <c r="H4004" s="175">
        <f t="shared" si="304"/>
        <v>0</v>
      </c>
      <c r="I4004" s="177">
        <f>IF(G4004=0,0,IF(E4004="MXN",1/HLOOKUP(YEAR(C4004)+(MONTH(C4004)/100),TC!$5:$37,DAY(C4004)+2,FALSE),VLOOKUP(E4004,Equivalencia!$5:$23,((MAX(Equivalencia!$3:$3)-YEAR(C4004))*14)+MONTH(C4004)+2,FALSE)))</f>
        <v>0</v>
      </c>
      <c r="J4004" s="178">
        <f t="shared" si="305"/>
        <v>0</v>
      </c>
      <c r="K4004" s="462">
        <f>IF(C4004=0,0,VLOOKUP(YEAR(C4004),INPC!$B$4:$O$29,MONTH(C4004)+1))</f>
        <v>0</v>
      </c>
      <c r="L4004" s="462">
        <f>IF(S4004=0,0,VLOOKUP(YEAR(S4004),INPC!$B$4:$O$29,MONTH(S4004)+1))</f>
        <v>0</v>
      </c>
      <c r="M4004" s="463">
        <f t="shared" si="306"/>
        <v>0</v>
      </c>
      <c r="N4004" s="465">
        <f t="shared" si="307"/>
        <v>0</v>
      </c>
      <c r="O4004" s="179"/>
      <c r="P4004" s="180"/>
      <c r="Q4004" s="173"/>
      <c r="R4004" s="173"/>
      <c r="S4004" s="174"/>
      <c r="T4004" s="173"/>
      <c r="U4004" s="182"/>
      <c r="V4004" s="177">
        <f>IF(U4004=0,0,IF(T4004="MXN",1/HLOOKUP(YEAR(S4004)+(MONTH(S4004)/100),TC!$5:$37,DAY(S4004)+2,FALSE),VLOOKUP(T4004,Equivalencia!$1:$23,((MAX(Equivalencia!$3:$3)-YEAR(S4004))*14)+MONTH(S4004)+2,FALSE)))</f>
        <v>0</v>
      </c>
      <c r="W4004" s="178">
        <f t="shared" si="308"/>
        <v>0</v>
      </c>
      <c r="X4004" s="481">
        <f t="shared" si="309"/>
        <v>0</v>
      </c>
      <c r="Y4004" s="179"/>
      <c r="Z4004" s="466">
        <f t="shared" si="310"/>
        <v>0</v>
      </c>
      <c r="AA4004" s="473">
        <f t="shared" si="311"/>
        <v>0</v>
      </c>
      <c r="AB4004" s="339">
        <f t="shared" si="312"/>
        <v>0</v>
      </c>
    </row>
    <row r="4005" spans="2:28" ht="20.100000000000001" customHeight="1">
      <c r="B4005" s="172"/>
      <c r="C4005" s="174"/>
      <c r="D4005" s="181"/>
      <c r="E4005" s="173"/>
      <c r="F4005" s="176"/>
      <c r="G4005" s="175">
        <f t="shared" si="303"/>
        <v>0</v>
      </c>
      <c r="H4005" s="175">
        <f t="shared" si="304"/>
        <v>0</v>
      </c>
      <c r="I4005" s="177">
        <f>IF(G4005=0,0,IF(E4005="MXN",1/HLOOKUP(YEAR(C4005)+(MONTH(C4005)/100),TC!$5:$37,DAY(C4005)+2,FALSE),VLOOKUP(E4005,Equivalencia!$5:$23,((MAX(Equivalencia!$3:$3)-YEAR(C4005))*14)+MONTH(C4005)+2,FALSE)))</f>
        <v>0</v>
      </c>
      <c r="J4005" s="178">
        <f t="shared" si="305"/>
        <v>0</v>
      </c>
      <c r="K4005" s="462">
        <f>IF(C4005=0,0,VLOOKUP(YEAR(C4005),INPC!$B$4:$O$29,MONTH(C4005)+1))</f>
        <v>0</v>
      </c>
      <c r="L4005" s="462">
        <f>IF(S4005=0,0,VLOOKUP(YEAR(S4005),INPC!$B$4:$O$29,MONTH(S4005)+1))</f>
        <v>0</v>
      </c>
      <c r="M4005" s="463">
        <f t="shared" si="306"/>
        <v>0</v>
      </c>
      <c r="N4005" s="465">
        <f t="shared" si="307"/>
        <v>0</v>
      </c>
      <c r="O4005" s="179"/>
      <c r="P4005" s="180"/>
      <c r="Q4005" s="173"/>
      <c r="R4005" s="173"/>
      <c r="S4005" s="174"/>
      <c r="T4005" s="173"/>
      <c r="U4005" s="182"/>
      <c r="V4005" s="177">
        <f>IF(U4005=0,0,IF(T4005="MXN",1/HLOOKUP(YEAR(S4005)+(MONTH(S4005)/100),TC!$5:$37,DAY(S4005)+2,FALSE),VLOOKUP(T4005,Equivalencia!$1:$23,((MAX(Equivalencia!$3:$3)-YEAR(S4005))*14)+MONTH(S4005)+2,FALSE)))</f>
        <v>0</v>
      </c>
      <c r="W4005" s="178">
        <f t="shared" si="308"/>
        <v>0</v>
      </c>
      <c r="X4005" s="481">
        <f t="shared" si="309"/>
        <v>0</v>
      </c>
      <c r="Y4005" s="179"/>
      <c r="Z4005" s="466">
        <f t="shared" si="310"/>
        <v>0</v>
      </c>
      <c r="AA4005" s="473">
        <f t="shared" si="311"/>
        <v>0</v>
      </c>
      <c r="AB4005" s="339">
        <f t="shared" si="312"/>
        <v>0</v>
      </c>
    </row>
    <row r="4006" spans="2:28" ht="20.100000000000001" customHeight="1">
      <c r="B4006" s="172"/>
      <c r="C4006" s="174"/>
      <c r="D4006" s="181"/>
      <c r="E4006" s="173"/>
      <c r="F4006" s="176"/>
      <c r="G4006" s="175">
        <f t="shared" si="303"/>
        <v>0</v>
      </c>
      <c r="H4006" s="175">
        <f t="shared" si="304"/>
        <v>0</v>
      </c>
      <c r="I4006" s="177">
        <f>IF(G4006=0,0,IF(E4006="MXN",1/HLOOKUP(YEAR(C4006)+(MONTH(C4006)/100),TC!$5:$37,DAY(C4006)+2,FALSE),VLOOKUP(E4006,Equivalencia!$5:$23,((MAX(Equivalencia!$3:$3)-YEAR(C4006))*14)+MONTH(C4006)+2,FALSE)))</f>
        <v>0</v>
      </c>
      <c r="J4006" s="178">
        <f t="shared" si="305"/>
        <v>0</v>
      </c>
      <c r="K4006" s="462">
        <f>IF(C4006=0,0,VLOOKUP(YEAR(C4006),INPC!$B$4:$O$29,MONTH(C4006)+1))</f>
        <v>0</v>
      </c>
      <c r="L4006" s="462">
        <f>IF(S4006=0,0,VLOOKUP(YEAR(S4006),INPC!$B$4:$O$29,MONTH(S4006)+1))</f>
        <v>0</v>
      </c>
      <c r="M4006" s="463">
        <f t="shared" si="306"/>
        <v>0</v>
      </c>
      <c r="N4006" s="465">
        <f t="shared" si="307"/>
        <v>0</v>
      </c>
      <c r="O4006" s="179"/>
      <c r="P4006" s="180"/>
      <c r="Q4006" s="173"/>
      <c r="R4006" s="173"/>
      <c r="S4006" s="174"/>
      <c r="T4006" s="173"/>
      <c r="U4006" s="182"/>
      <c r="V4006" s="177">
        <f>IF(U4006=0,0,IF(T4006="MXN",1/HLOOKUP(YEAR(S4006)+(MONTH(S4006)/100),TC!$5:$37,DAY(S4006)+2,FALSE),VLOOKUP(T4006,Equivalencia!$1:$23,((MAX(Equivalencia!$3:$3)-YEAR(S4006))*14)+MONTH(S4006)+2,FALSE)))</f>
        <v>0</v>
      </c>
      <c r="W4006" s="178">
        <f t="shared" si="308"/>
        <v>0</v>
      </c>
      <c r="X4006" s="481">
        <f t="shared" si="309"/>
        <v>0</v>
      </c>
      <c r="Y4006" s="179"/>
      <c r="Z4006" s="466">
        <f t="shared" si="310"/>
        <v>0</v>
      </c>
      <c r="AA4006" s="473">
        <f t="shared" si="311"/>
        <v>0</v>
      </c>
      <c r="AB4006" s="339">
        <f t="shared" si="312"/>
        <v>0</v>
      </c>
    </row>
    <row r="4007" spans="2:28" ht="20.100000000000001" customHeight="1">
      <c r="B4007" s="172"/>
      <c r="C4007" s="174"/>
      <c r="D4007" s="181"/>
      <c r="E4007" s="173"/>
      <c r="F4007" s="176"/>
      <c r="G4007" s="175">
        <f t="shared" si="303"/>
        <v>0</v>
      </c>
      <c r="H4007" s="175">
        <f t="shared" si="304"/>
        <v>0</v>
      </c>
      <c r="I4007" s="177">
        <f>IF(G4007=0,0,IF(E4007="MXN",1/HLOOKUP(YEAR(C4007)+(MONTH(C4007)/100),TC!$5:$37,DAY(C4007)+2,FALSE),VLOOKUP(E4007,Equivalencia!$5:$23,((MAX(Equivalencia!$3:$3)-YEAR(C4007))*14)+MONTH(C4007)+2,FALSE)))</f>
        <v>0</v>
      </c>
      <c r="J4007" s="178">
        <f t="shared" si="305"/>
        <v>0</v>
      </c>
      <c r="K4007" s="462">
        <f>IF(C4007=0,0,VLOOKUP(YEAR(C4007),INPC!$B$4:$O$29,MONTH(C4007)+1))</f>
        <v>0</v>
      </c>
      <c r="L4007" s="462">
        <f>IF(S4007=0,0,VLOOKUP(YEAR(S4007),INPC!$B$4:$O$29,MONTH(S4007)+1))</f>
        <v>0</v>
      </c>
      <c r="M4007" s="463">
        <f t="shared" si="306"/>
        <v>0</v>
      </c>
      <c r="N4007" s="465">
        <f t="shared" si="307"/>
        <v>0</v>
      </c>
      <c r="O4007" s="179"/>
      <c r="P4007" s="180"/>
      <c r="Q4007" s="173"/>
      <c r="R4007" s="173"/>
      <c r="S4007" s="174"/>
      <c r="T4007" s="173"/>
      <c r="U4007" s="182"/>
      <c r="V4007" s="177">
        <f>IF(U4007=0,0,IF(T4007="MXN",1/HLOOKUP(YEAR(S4007)+(MONTH(S4007)/100),TC!$5:$37,DAY(S4007)+2,FALSE),VLOOKUP(T4007,Equivalencia!$1:$23,((MAX(Equivalencia!$3:$3)-YEAR(S4007))*14)+MONTH(S4007)+2,FALSE)))</f>
        <v>0</v>
      </c>
      <c r="W4007" s="178">
        <f t="shared" si="308"/>
        <v>0</v>
      </c>
      <c r="X4007" s="481">
        <f t="shared" si="309"/>
        <v>0</v>
      </c>
      <c r="Y4007" s="179"/>
      <c r="Z4007" s="466">
        <f t="shared" si="310"/>
        <v>0</v>
      </c>
      <c r="AA4007" s="473">
        <f t="shared" si="311"/>
        <v>0</v>
      </c>
      <c r="AB4007" s="339">
        <f t="shared" si="312"/>
        <v>0</v>
      </c>
    </row>
    <row r="4008" spans="2:28" ht="20.100000000000001" customHeight="1">
      <c r="B4008" s="172"/>
      <c r="C4008" s="174"/>
      <c r="D4008" s="181"/>
      <c r="E4008" s="173"/>
      <c r="F4008" s="176"/>
      <c r="G4008" s="175">
        <f t="shared" si="303"/>
        <v>0</v>
      </c>
      <c r="H4008" s="175">
        <f t="shared" si="304"/>
        <v>0</v>
      </c>
      <c r="I4008" s="177">
        <f>IF(G4008=0,0,IF(E4008="MXN",1/HLOOKUP(YEAR(C4008)+(MONTH(C4008)/100),TC!$5:$37,DAY(C4008)+2,FALSE),VLOOKUP(E4008,Equivalencia!$5:$23,((MAX(Equivalencia!$3:$3)-YEAR(C4008))*14)+MONTH(C4008)+2,FALSE)))</f>
        <v>0</v>
      </c>
      <c r="J4008" s="178">
        <f t="shared" si="305"/>
        <v>0</v>
      </c>
      <c r="K4008" s="462">
        <f>IF(C4008=0,0,VLOOKUP(YEAR(C4008),INPC!$B$4:$O$29,MONTH(C4008)+1))</f>
        <v>0</v>
      </c>
      <c r="L4008" s="462">
        <f>IF(S4008=0,0,VLOOKUP(YEAR(S4008),INPC!$B$4:$O$29,MONTH(S4008)+1))</f>
        <v>0</v>
      </c>
      <c r="M4008" s="463">
        <f t="shared" si="306"/>
        <v>0</v>
      </c>
      <c r="N4008" s="465">
        <f t="shared" si="307"/>
        <v>0</v>
      </c>
      <c r="O4008" s="179"/>
      <c r="P4008" s="180"/>
      <c r="Q4008" s="173"/>
      <c r="R4008" s="173"/>
      <c r="S4008" s="174"/>
      <c r="T4008" s="173"/>
      <c r="U4008" s="182"/>
      <c r="V4008" s="177">
        <f>IF(U4008=0,0,IF(T4008="MXN",1/HLOOKUP(YEAR(S4008)+(MONTH(S4008)/100),TC!$5:$37,DAY(S4008)+2,FALSE),VLOOKUP(T4008,Equivalencia!$1:$23,((MAX(Equivalencia!$3:$3)-YEAR(S4008))*14)+MONTH(S4008)+2,FALSE)))</f>
        <v>0</v>
      </c>
      <c r="W4008" s="178">
        <f t="shared" si="308"/>
        <v>0</v>
      </c>
      <c r="X4008" s="481">
        <f t="shared" si="309"/>
        <v>0</v>
      </c>
      <c r="Y4008" s="179"/>
      <c r="Z4008" s="466">
        <f t="shared" si="310"/>
        <v>0</v>
      </c>
      <c r="AA4008" s="473">
        <f t="shared" si="311"/>
        <v>0</v>
      </c>
      <c r="AB4008" s="339">
        <f t="shared" si="312"/>
        <v>0</v>
      </c>
    </row>
    <row r="4009" spans="2:28" ht="20.100000000000001" customHeight="1">
      <c r="B4009" s="172"/>
      <c r="C4009" s="174"/>
      <c r="D4009" s="181"/>
      <c r="E4009" s="173"/>
      <c r="F4009" s="176"/>
      <c r="G4009" s="175">
        <f t="shared" si="303"/>
        <v>0</v>
      </c>
      <c r="H4009" s="175">
        <f t="shared" si="304"/>
        <v>0</v>
      </c>
      <c r="I4009" s="177">
        <f>IF(G4009=0,0,IF(E4009="MXN",1/HLOOKUP(YEAR(C4009)+(MONTH(C4009)/100),TC!$5:$37,DAY(C4009)+2,FALSE),VLOOKUP(E4009,Equivalencia!$5:$23,((MAX(Equivalencia!$3:$3)-YEAR(C4009))*14)+MONTH(C4009)+2,FALSE)))</f>
        <v>0</v>
      </c>
      <c r="J4009" s="178">
        <f t="shared" si="305"/>
        <v>0</v>
      </c>
      <c r="K4009" s="462">
        <f>IF(C4009=0,0,VLOOKUP(YEAR(C4009),INPC!$B$4:$O$29,MONTH(C4009)+1))</f>
        <v>0</v>
      </c>
      <c r="L4009" s="462">
        <f>IF(S4009=0,0,VLOOKUP(YEAR(S4009),INPC!$B$4:$O$29,MONTH(S4009)+1))</f>
        <v>0</v>
      </c>
      <c r="M4009" s="463">
        <f t="shared" si="306"/>
        <v>0</v>
      </c>
      <c r="N4009" s="465">
        <f t="shared" si="307"/>
        <v>0</v>
      </c>
      <c r="O4009" s="179"/>
      <c r="P4009" s="180"/>
      <c r="Q4009" s="173"/>
      <c r="R4009" s="173"/>
      <c r="S4009" s="174"/>
      <c r="T4009" s="173"/>
      <c r="U4009" s="182"/>
      <c r="V4009" s="177">
        <f>IF(U4009=0,0,IF(T4009="MXN",1/HLOOKUP(YEAR(S4009)+(MONTH(S4009)/100),TC!$5:$37,DAY(S4009)+2,FALSE),VLOOKUP(T4009,Equivalencia!$1:$23,((MAX(Equivalencia!$3:$3)-YEAR(S4009))*14)+MONTH(S4009)+2,FALSE)))</f>
        <v>0</v>
      </c>
      <c r="W4009" s="178">
        <f t="shared" si="308"/>
        <v>0</v>
      </c>
      <c r="X4009" s="481">
        <f t="shared" si="309"/>
        <v>0</v>
      </c>
      <c r="Y4009" s="179"/>
      <c r="Z4009" s="466">
        <f t="shared" si="310"/>
        <v>0</v>
      </c>
      <c r="AA4009" s="473">
        <f t="shared" si="311"/>
        <v>0</v>
      </c>
      <c r="AB4009" s="339">
        <f t="shared" si="312"/>
        <v>0</v>
      </c>
    </row>
    <row r="4010" spans="2:28" ht="20.100000000000001" customHeight="1">
      <c r="B4010" s="172"/>
      <c r="C4010" s="174"/>
      <c r="D4010" s="181"/>
      <c r="E4010" s="173"/>
      <c r="F4010" s="176"/>
      <c r="G4010" s="175">
        <f t="shared" si="303"/>
        <v>0</v>
      </c>
      <c r="H4010" s="175">
        <f t="shared" si="304"/>
        <v>0</v>
      </c>
      <c r="I4010" s="177">
        <f>IF(G4010=0,0,IF(E4010="MXN",1/HLOOKUP(YEAR(C4010)+(MONTH(C4010)/100),TC!$5:$37,DAY(C4010)+2,FALSE),VLOOKUP(E4010,Equivalencia!$5:$23,((MAX(Equivalencia!$3:$3)-YEAR(C4010))*14)+MONTH(C4010)+2,FALSE)))</f>
        <v>0</v>
      </c>
      <c r="J4010" s="178">
        <f t="shared" si="305"/>
        <v>0</v>
      </c>
      <c r="K4010" s="462">
        <f>IF(C4010=0,0,VLOOKUP(YEAR(C4010),INPC!$B$4:$O$29,MONTH(C4010)+1))</f>
        <v>0</v>
      </c>
      <c r="L4010" s="462">
        <f>IF(S4010=0,0,VLOOKUP(YEAR(S4010),INPC!$B$4:$O$29,MONTH(S4010)+1))</f>
        <v>0</v>
      </c>
      <c r="M4010" s="463">
        <f t="shared" si="306"/>
        <v>0</v>
      </c>
      <c r="N4010" s="465">
        <f t="shared" si="307"/>
        <v>0</v>
      </c>
      <c r="O4010" s="179"/>
      <c r="P4010" s="180"/>
      <c r="Q4010" s="173"/>
      <c r="R4010" s="173"/>
      <c r="S4010" s="174"/>
      <c r="T4010" s="173"/>
      <c r="U4010" s="182"/>
      <c r="V4010" s="177">
        <f>IF(U4010=0,0,IF(T4010="MXN",1/HLOOKUP(YEAR(S4010)+(MONTH(S4010)/100),TC!$5:$37,DAY(S4010)+2,FALSE),VLOOKUP(T4010,Equivalencia!$1:$23,((MAX(Equivalencia!$3:$3)-YEAR(S4010))*14)+MONTH(S4010)+2,FALSE)))</f>
        <v>0</v>
      </c>
      <c r="W4010" s="178">
        <f t="shared" si="308"/>
        <v>0</v>
      </c>
      <c r="X4010" s="481">
        <f t="shared" si="309"/>
        <v>0</v>
      </c>
      <c r="Y4010" s="179"/>
      <c r="Z4010" s="466">
        <f t="shared" si="310"/>
        <v>0</v>
      </c>
      <c r="AA4010" s="473">
        <f t="shared" si="311"/>
        <v>0</v>
      </c>
      <c r="AB4010" s="339">
        <f t="shared" si="312"/>
        <v>0</v>
      </c>
    </row>
    <row r="4011" spans="2:28" ht="20.100000000000001" customHeight="1">
      <c r="B4011" s="172"/>
      <c r="C4011" s="174"/>
      <c r="D4011" s="181"/>
      <c r="E4011" s="173"/>
      <c r="F4011" s="176"/>
      <c r="G4011" s="175">
        <f t="shared" si="303"/>
        <v>0</v>
      </c>
      <c r="H4011" s="175">
        <f t="shared" si="304"/>
        <v>0</v>
      </c>
      <c r="I4011" s="177">
        <f>IF(G4011=0,0,IF(E4011="MXN",1/HLOOKUP(YEAR(C4011)+(MONTH(C4011)/100),TC!$5:$37,DAY(C4011)+2,FALSE),VLOOKUP(E4011,Equivalencia!$5:$23,((MAX(Equivalencia!$3:$3)-YEAR(C4011))*14)+MONTH(C4011)+2,FALSE)))</f>
        <v>0</v>
      </c>
      <c r="J4011" s="178">
        <f t="shared" si="305"/>
        <v>0</v>
      </c>
      <c r="K4011" s="462">
        <f>IF(C4011=0,0,VLOOKUP(YEAR(C4011),INPC!$B$4:$O$29,MONTH(C4011)+1))</f>
        <v>0</v>
      </c>
      <c r="L4011" s="462">
        <f>IF(S4011=0,0,VLOOKUP(YEAR(S4011),INPC!$B$4:$O$29,MONTH(S4011)+1))</f>
        <v>0</v>
      </c>
      <c r="M4011" s="463">
        <f t="shared" si="306"/>
        <v>0</v>
      </c>
      <c r="N4011" s="465">
        <f t="shared" si="307"/>
        <v>0</v>
      </c>
      <c r="O4011" s="179"/>
      <c r="P4011" s="180"/>
      <c r="Q4011" s="173"/>
      <c r="R4011" s="173"/>
      <c r="S4011" s="174"/>
      <c r="T4011" s="173"/>
      <c r="U4011" s="182"/>
      <c r="V4011" s="177">
        <f>IF(U4011=0,0,IF(T4011="MXN",1/HLOOKUP(YEAR(S4011)+(MONTH(S4011)/100),TC!$5:$37,DAY(S4011)+2,FALSE),VLOOKUP(T4011,Equivalencia!$1:$23,((MAX(Equivalencia!$3:$3)-YEAR(S4011))*14)+MONTH(S4011)+2,FALSE)))</f>
        <v>0</v>
      </c>
      <c r="W4011" s="178">
        <f t="shared" si="308"/>
        <v>0</v>
      </c>
      <c r="X4011" s="481">
        <f t="shared" si="309"/>
        <v>0</v>
      </c>
      <c r="Y4011" s="179"/>
      <c r="Z4011" s="466">
        <f t="shared" si="310"/>
        <v>0</v>
      </c>
      <c r="AA4011" s="473">
        <f t="shared" si="311"/>
        <v>0</v>
      </c>
      <c r="AB4011" s="339">
        <f t="shared" si="312"/>
        <v>0</v>
      </c>
    </row>
    <row r="4012" spans="2:28" ht="20.100000000000001" customHeight="1">
      <c r="B4012" s="172"/>
      <c r="C4012" s="174"/>
      <c r="D4012" s="181"/>
      <c r="E4012" s="173"/>
      <c r="F4012" s="176"/>
      <c r="G4012" s="175">
        <f t="shared" si="303"/>
        <v>0</v>
      </c>
      <c r="H4012" s="175">
        <f t="shared" si="304"/>
        <v>0</v>
      </c>
      <c r="I4012" s="177">
        <f>IF(G4012=0,0,IF(E4012="MXN",1/HLOOKUP(YEAR(C4012)+(MONTH(C4012)/100),TC!$5:$37,DAY(C4012)+2,FALSE),VLOOKUP(E4012,Equivalencia!$5:$23,((MAX(Equivalencia!$3:$3)-YEAR(C4012))*14)+MONTH(C4012)+2,FALSE)))</f>
        <v>0</v>
      </c>
      <c r="J4012" s="178">
        <f t="shared" si="305"/>
        <v>0</v>
      </c>
      <c r="K4012" s="462">
        <f>IF(C4012=0,0,VLOOKUP(YEAR(C4012),INPC!$B$4:$O$29,MONTH(C4012)+1))</f>
        <v>0</v>
      </c>
      <c r="L4012" s="462">
        <f>IF(S4012=0,0,VLOOKUP(YEAR(S4012),INPC!$B$4:$O$29,MONTH(S4012)+1))</f>
        <v>0</v>
      </c>
      <c r="M4012" s="463">
        <f t="shared" si="306"/>
        <v>0</v>
      </c>
      <c r="N4012" s="465">
        <f t="shared" si="307"/>
        <v>0</v>
      </c>
      <c r="O4012" s="179"/>
      <c r="P4012" s="180"/>
      <c r="Q4012" s="173"/>
      <c r="R4012" s="173"/>
      <c r="S4012" s="174"/>
      <c r="T4012" s="173"/>
      <c r="U4012" s="182"/>
      <c r="V4012" s="177">
        <f>IF(U4012=0,0,IF(T4012="MXN",1/HLOOKUP(YEAR(S4012)+(MONTH(S4012)/100),TC!$5:$37,DAY(S4012)+2,FALSE),VLOOKUP(T4012,Equivalencia!$1:$23,((MAX(Equivalencia!$3:$3)-YEAR(S4012))*14)+MONTH(S4012)+2,FALSE)))</f>
        <v>0</v>
      </c>
      <c r="W4012" s="178">
        <f t="shared" si="308"/>
        <v>0</v>
      </c>
      <c r="X4012" s="481">
        <f t="shared" si="309"/>
        <v>0</v>
      </c>
      <c r="Y4012" s="179"/>
      <c r="Z4012" s="466">
        <f t="shared" si="310"/>
        <v>0</v>
      </c>
      <c r="AA4012" s="473">
        <f t="shared" si="311"/>
        <v>0</v>
      </c>
      <c r="AB4012" s="339">
        <f t="shared" si="312"/>
        <v>0</v>
      </c>
    </row>
    <row r="4013" spans="2:28" ht="20.100000000000001" customHeight="1">
      <c r="B4013" s="172"/>
      <c r="C4013" s="174"/>
      <c r="D4013" s="181"/>
      <c r="E4013" s="173"/>
      <c r="F4013" s="176"/>
      <c r="G4013" s="175">
        <f t="shared" si="303"/>
        <v>0</v>
      </c>
      <c r="H4013" s="175">
        <f t="shared" si="304"/>
        <v>0</v>
      </c>
      <c r="I4013" s="177">
        <f>IF(G4013=0,0,IF(E4013="MXN",1/HLOOKUP(YEAR(C4013)+(MONTH(C4013)/100),TC!$5:$37,DAY(C4013)+2,FALSE),VLOOKUP(E4013,Equivalencia!$5:$23,((MAX(Equivalencia!$3:$3)-YEAR(C4013))*14)+MONTH(C4013)+2,FALSE)))</f>
        <v>0</v>
      </c>
      <c r="J4013" s="178">
        <f t="shared" si="305"/>
        <v>0</v>
      </c>
      <c r="K4013" s="462">
        <f>IF(C4013=0,0,VLOOKUP(YEAR(C4013),INPC!$B$4:$O$29,MONTH(C4013)+1))</f>
        <v>0</v>
      </c>
      <c r="L4013" s="462">
        <f>IF(S4013=0,0,VLOOKUP(YEAR(S4013),INPC!$B$4:$O$29,MONTH(S4013)+1))</f>
        <v>0</v>
      </c>
      <c r="M4013" s="463">
        <f t="shared" si="306"/>
        <v>0</v>
      </c>
      <c r="N4013" s="465">
        <f t="shared" si="307"/>
        <v>0</v>
      </c>
      <c r="O4013" s="179"/>
      <c r="P4013" s="180"/>
      <c r="Q4013" s="173"/>
      <c r="R4013" s="173"/>
      <c r="S4013" s="174"/>
      <c r="T4013" s="173"/>
      <c r="U4013" s="182"/>
      <c r="V4013" s="177">
        <f>IF(U4013=0,0,IF(T4013="MXN",1/HLOOKUP(YEAR(S4013)+(MONTH(S4013)/100),TC!$5:$37,DAY(S4013)+2,FALSE),VLOOKUP(T4013,Equivalencia!$1:$23,((MAX(Equivalencia!$3:$3)-YEAR(S4013))*14)+MONTH(S4013)+2,FALSE)))</f>
        <v>0</v>
      </c>
      <c r="W4013" s="178">
        <f t="shared" si="308"/>
        <v>0</v>
      </c>
      <c r="X4013" s="481">
        <f t="shared" si="309"/>
        <v>0</v>
      </c>
      <c r="Y4013" s="179"/>
      <c r="Z4013" s="466">
        <f t="shared" si="310"/>
        <v>0</v>
      </c>
      <c r="AA4013" s="473">
        <f t="shared" si="311"/>
        <v>0</v>
      </c>
      <c r="AB4013" s="339">
        <f t="shared" si="312"/>
        <v>0</v>
      </c>
    </row>
    <row r="4014" spans="2:28" ht="20.100000000000001" customHeight="1">
      <c r="B4014" s="172"/>
      <c r="C4014" s="174"/>
      <c r="D4014" s="181"/>
      <c r="E4014" s="173"/>
      <c r="F4014" s="176"/>
      <c r="G4014" s="175">
        <f t="shared" si="303"/>
        <v>0</v>
      </c>
      <c r="H4014" s="175">
        <f t="shared" si="304"/>
        <v>0</v>
      </c>
      <c r="I4014" s="177">
        <f>IF(G4014=0,0,IF(E4014="MXN",1/HLOOKUP(YEAR(C4014)+(MONTH(C4014)/100),TC!$5:$37,DAY(C4014)+2,FALSE),VLOOKUP(E4014,Equivalencia!$5:$23,((MAX(Equivalencia!$3:$3)-YEAR(C4014))*14)+MONTH(C4014)+2,FALSE)))</f>
        <v>0</v>
      </c>
      <c r="J4014" s="178">
        <f t="shared" si="305"/>
        <v>0</v>
      </c>
      <c r="K4014" s="462">
        <f>IF(C4014=0,0,VLOOKUP(YEAR(C4014),INPC!$B$4:$O$29,MONTH(C4014)+1))</f>
        <v>0</v>
      </c>
      <c r="L4014" s="462">
        <f>IF(S4014=0,0,VLOOKUP(YEAR(S4014),INPC!$B$4:$O$29,MONTH(S4014)+1))</f>
        <v>0</v>
      </c>
      <c r="M4014" s="463">
        <f t="shared" si="306"/>
        <v>0</v>
      </c>
      <c r="N4014" s="465">
        <f t="shared" si="307"/>
        <v>0</v>
      </c>
      <c r="O4014" s="179"/>
      <c r="P4014" s="180"/>
      <c r="Q4014" s="173"/>
      <c r="R4014" s="173"/>
      <c r="S4014" s="174"/>
      <c r="T4014" s="173"/>
      <c r="U4014" s="182"/>
      <c r="V4014" s="177">
        <f>IF(U4014=0,0,IF(T4014="MXN",1/HLOOKUP(YEAR(S4014)+(MONTH(S4014)/100),TC!$5:$37,DAY(S4014)+2,FALSE),VLOOKUP(T4014,Equivalencia!$1:$23,((MAX(Equivalencia!$3:$3)-YEAR(S4014))*14)+MONTH(S4014)+2,FALSE)))</f>
        <v>0</v>
      </c>
      <c r="W4014" s="178">
        <f t="shared" si="308"/>
        <v>0</v>
      </c>
      <c r="X4014" s="481">
        <f t="shared" si="309"/>
        <v>0</v>
      </c>
      <c r="Y4014" s="179"/>
      <c r="Z4014" s="466">
        <f t="shared" si="310"/>
        <v>0</v>
      </c>
      <c r="AA4014" s="473">
        <f t="shared" si="311"/>
        <v>0</v>
      </c>
      <c r="AB4014" s="339">
        <f t="shared" si="312"/>
        <v>0</v>
      </c>
    </row>
    <row r="4015" spans="2:28" ht="20.100000000000001" customHeight="1">
      <c r="B4015" s="172"/>
      <c r="C4015" s="174"/>
      <c r="D4015" s="181"/>
      <c r="E4015" s="173"/>
      <c r="F4015" s="176"/>
      <c r="G4015" s="175">
        <f t="shared" si="303"/>
        <v>0</v>
      </c>
      <c r="H4015" s="175">
        <f t="shared" si="304"/>
        <v>0</v>
      </c>
      <c r="I4015" s="177">
        <f>IF(G4015=0,0,IF(E4015="MXN",1/HLOOKUP(YEAR(C4015)+(MONTH(C4015)/100),TC!$5:$37,DAY(C4015)+2,FALSE),VLOOKUP(E4015,Equivalencia!$5:$23,((MAX(Equivalencia!$3:$3)-YEAR(C4015))*14)+MONTH(C4015)+2,FALSE)))</f>
        <v>0</v>
      </c>
      <c r="J4015" s="178">
        <f t="shared" si="305"/>
        <v>0</v>
      </c>
      <c r="K4015" s="462">
        <f>IF(C4015=0,0,VLOOKUP(YEAR(C4015),INPC!$B$4:$O$29,MONTH(C4015)+1))</f>
        <v>0</v>
      </c>
      <c r="L4015" s="462">
        <f>IF(S4015=0,0,VLOOKUP(YEAR(S4015),INPC!$B$4:$O$29,MONTH(S4015)+1))</f>
        <v>0</v>
      </c>
      <c r="M4015" s="463">
        <f t="shared" si="306"/>
        <v>0</v>
      </c>
      <c r="N4015" s="465">
        <f t="shared" si="307"/>
        <v>0</v>
      </c>
      <c r="O4015" s="179"/>
      <c r="P4015" s="180"/>
      <c r="Q4015" s="173"/>
      <c r="R4015" s="173"/>
      <c r="S4015" s="174"/>
      <c r="T4015" s="173"/>
      <c r="U4015" s="182"/>
      <c r="V4015" s="177">
        <f>IF(U4015=0,0,IF(T4015="MXN",1/HLOOKUP(YEAR(S4015)+(MONTH(S4015)/100),TC!$5:$37,DAY(S4015)+2,FALSE),VLOOKUP(T4015,Equivalencia!$1:$23,((MAX(Equivalencia!$3:$3)-YEAR(S4015))*14)+MONTH(S4015)+2,FALSE)))</f>
        <v>0</v>
      </c>
      <c r="W4015" s="178">
        <f t="shared" si="308"/>
        <v>0</v>
      </c>
      <c r="X4015" s="481">
        <f t="shared" si="309"/>
        <v>0</v>
      </c>
      <c r="Y4015" s="179"/>
      <c r="Z4015" s="466">
        <f t="shared" si="310"/>
        <v>0</v>
      </c>
      <c r="AA4015" s="473">
        <f t="shared" si="311"/>
        <v>0</v>
      </c>
      <c r="AB4015" s="339">
        <f t="shared" si="312"/>
        <v>0</v>
      </c>
    </row>
    <row r="4016" spans="2:28" ht="20.100000000000001" customHeight="1">
      <c r="B4016" s="172"/>
      <c r="C4016" s="174"/>
      <c r="D4016" s="181"/>
      <c r="E4016" s="173"/>
      <c r="F4016" s="176"/>
      <c r="G4016" s="175">
        <f t="shared" si="303"/>
        <v>0</v>
      </c>
      <c r="H4016" s="175">
        <f t="shared" si="304"/>
        <v>0</v>
      </c>
      <c r="I4016" s="177">
        <f>IF(G4016=0,0,IF(E4016="MXN",1/HLOOKUP(YEAR(C4016)+(MONTH(C4016)/100),TC!$5:$37,DAY(C4016)+2,FALSE),VLOOKUP(E4016,Equivalencia!$5:$23,((MAX(Equivalencia!$3:$3)-YEAR(C4016))*14)+MONTH(C4016)+2,FALSE)))</f>
        <v>0</v>
      </c>
      <c r="J4016" s="178">
        <f t="shared" si="305"/>
        <v>0</v>
      </c>
      <c r="K4016" s="462">
        <f>IF(C4016=0,0,VLOOKUP(YEAR(C4016),INPC!$B$4:$O$29,MONTH(C4016)+1))</f>
        <v>0</v>
      </c>
      <c r="L4016" s="462">
        <f>IF(S4016=0,0,VLOOKUP(YEAR(S4016),INPC!$B$4:$O$29,MONTH(S4016)+1))</f>
        <v>0</v>
      </c>
      <c r="M4016" s="463">
        <f t="shared" si="306"/>
        <v>0</v>
      </c>
      <c r="N4016" s="465">
        <f t="shared" si="307"/>
        <v>0</v>
      </c>
      <c r="O4016" s="179"/>
      <c r="P4016" s="180"/>
      <c r="Q4016" s="173"/>
      <c r="R4016" s="173"/>
      <c r="S4016" s="174"/>
      <c r="T4016" s="173"/>
      <c r="U4016" s="182"/>
      <c r="V4016" s="177">
        <f>IF(U4016=0,0,IF(T4016="MXN",1/HLOOKUP(YEAR(S4016)+(MONTH(S4016)/100),TC!$5:$37,DAY(S4016)+2,FALSE),VLOOKUP(T4016,Equivalencia!$1:$23,((MAX(Equivalencia!$3:$3)-YEAR(S4016))*14)+MONTH(S4016)+2,FALSE)))</f>
        <v>0</v>
      </c>
      <c r="W4016" s="178">
        <f t="shared" si="308"/>
        <v>0</v>
      </c>
      <c r="X4016" s="481">
        <f t="shared" si="309"/>
        <v>0</v>
      </c>
      <c r="Y4016" s="179"/>
      <c r="Z4016" s="466">
        <f t="shared" si="310"/>
        <v>0</v>
      </c>
      <c r="AA4016" s="473">
        <f t="shared" si="311"/>
        <v>0</v>
      </c>
      <c r="AB4016" s="339">
        <f t="shared" si="312"/>
        <v>0</v>
      </c>
    </row>
    <row r="4017" spans="2:28" ht="20.100000000000001" customHeight="1">
      <c r="B4017" s="172"/>
      <c r="C4017" s="174"/>
      <c r="D4017" s="181"/>
      <c r="E4017" s="173"/>
      <c r="F4017" s="176"/>
      <c r="G4017" s="175">
        <f t="shared" si="303"/>
        <v>0</v>
      </c>
      <c r="H4017" s="175">
        <f t="shared" si="304"/>
        <v>0</v>
      </c>
      <c r="I4017" s="177">
        <f>IF(G4017=0,0,IF(E4017="MXN",1/HLOOKUP(YEAR(C4017)+(MONTH(C4017)/100),TC!$5:$37,DAY(C4017)+2,FALSE),VLOOKUP(E4017,Equivalencia!$5:$23,((MAX(Equivalencia!$3:$3)-YEAR(C4017))*14)+MONTH(C4017)+2,FALSE)))</f>
        <v>0</v>
      </c>
      <c r="J4017" s="178">
        <f t="shared" si="305"/>
        <v>0</v>
      </c>
      <c r="K4017" s="462">
        <f>IF(C4017=0,0,VLOOKUP(YEAR(C4017),INPC!$B$4:$O$29,MONTH(C4017)+1))</f>
        <v>0</v>
      </c>
      <c r="L4017" s="462">
        <f>IF(S4017=0,0,VLOOKUP(YEAR(S4017),INPC!$B$4:$O$29,MONTH(S4017)+1))</f>
        <v>0</v>
      </c>
      <c r="M4017" s="463">
        <f t="shared" si="306"/>
        <v>0</v>
      </c>
      <c r="N4017" s="465">
        <f t="shared" si="307"/>
        <v>0</v>
      </c>
      <c r="O4017" s="179"/>
      <c r="P4017" s="180"/>
      <c r="Q4017" s="173"/>
      <c r="R4017" s="173"/>
      <c r="S4017" s="174"/>
      <c r="T4017" s="173"/>
      <c r="U4017" s="182"/>
      <c r="V4017" s="177">
        <f>IF(U4017=0,0,IF(T4017="MXN",1/HLOOKUP(YEAR(S4017)+(MONTH(S4017)/100),TC!$5:$37,DAY(S4017)+2,FALSE),VLOOKUP(T4017,Equivalencia!$1:$23,((MAX(Equivalencia!$3:$3)-YEAR(S4017))*14)+MONTH(S4017)+2,FALSE)))</f>
        <v>0</v>
      </c>
      <c r="W4017" s="178">
        <f t="shared" si="308"/>
        <v>0</v>
      </c>
      <c r="X4017" s="481">
        <f t="shared" si="309"/>
        <v>0</v>
      </c>
      <c r="Y4017" s="179"/>
      <c r="Z4017" s="466">
        <f t="shared" si="310"/>
        <v>0</v>
      </c>
      <c r="AA4017" s="473">
        <f t="shared" si="311"/>
        <v>0</v>
      </c>
      <c r="AB4017" s="339">
        <f t="shared" si="312"/>
        <v>0</v>
      </c>
    </row>
    <row r="4018" spans="2:28" ht="20.100000000000001" customHeight="1">
      <c r="B4018" s="172"/>
      <c r="C4018" s="174"/>
      <c r="D4018" s="181"/>
      <c r="E4018" s="173"/>
      <c r="F4018" s="176"/>
      <c r="G4018" s="175">
        <f t="shared" si="303"/>
        <v>0</v>
      </c>
      <c r="H4018" s="175">
        <f t="shared" si="304"/>
        <v>0</v>
      </c>
      <c r="I4018" s="177">
        <f>IF(G4018=0,0,IF(E4018="MXN",1/HLOOKUP(YEAR(C4018)+(MONTH(C4018)/100),TC!$5:$37,DAY(C4018)+2,FALSE),VLOOKUP(E4018,Equivalencia!$5:$23,((MAX(Equivalencia!$3:$3)-YEAR(C4018))*14)+MONTH(C4018)+2,FALSE)))</f>
        <v>0</v>
      </c>
      <c r="J4018" s="178">
        <f t="shared" si="305"/>
        <v>0</v>
      </c>
      <c r="K4018" s="462">
        <f>IF(C4018=0,0,VLOOKUP(YEAR(C4018),INPC!$B$4:$O$29,MONTH(C4018)+1))</f>
        <v>0</v>
      </c>
      <c r="L4018" s="462">
        <f>IF(S4018=0,0,VLOOKUP(YEAR(S4018),INPC!$B$4:$O$29,MONTH(S4018)+1))</f>
        <v>0</v>
      </c>
      <c r="M4018" s="463">
        <f t="shared" si="306"/>
        <v>0</v>
      </c>
      <c r="N4018" s="465">
        <f t="shared" si="307"/>
        <v>0</v>
      </c>
      <c r="O4018" s="179"/>
      <c r="P4018" s="180"/>
      <c r="Q4018" s="173"/>
      <c r="R4018" s="173"/>
      <c r="S4018" s="174"/>
      <c r="T4018" s="173"/>
      <c r="U4018" s="182"/>
      <c r="V4018" s="177">
        <f>IF(U4018=0,0,IF(T4018="MXN",1/HLOOKUP(YEAR(S4018)+(MONTH(S4018)/100),TC!$5:$37,DAY(S4018)+2,FALSE),VLOOKUP(T4018,Equivalencia!$1:$23,((MAX(Equivalencia!$3:$3)-YEAR(S4018))*14)+MONTH(S4018)+2,FALSE)))</f>
        <v>0</v>
      </c>
      <c r="W4018" s="178">
        <f t="shared" si="308"/>
        <v>0</v>
      </c>
      <c r="X4018" s="481">
        <f t="shared" si="309"/>
        <v>0</v>
      </c>
      <c r="Y4018" s="179"/>
      <c r="Z4018" s="466">
        <f t="shared" si="310"/>
        <v>0</v>
      </c>
      <c r="AA4018" s="473">
        <f t="shared" si="311"/>
        <v>0</v>
      </c>
      <c r="AB4018" s="339">
        <f t="shared" si="312"/>
        <v>0</v>
      </c>
    </row>
    <row r="4019" spans="2:28" ht="20.100000000000001" customHeight="1">
      <c r="B4019" s="172"/>
      <c r="C4019" s="174"/>
      <c r="D4019" s="181"/>
      <c r="E4019" s="173"/>
      <c r="F4019" s="176"/>
      <c r="G4019" s="175">
        <f t="shared" si="303"/>
        <v>0</v>
      </c>
      <c r="H4019" s="175">
        <f t="shared" si="304"/>
        <v>0</v>
      </c>
      <c r="I4019" s="177">
        <f>IF(G4019=0,0,IF(E4019="MXN",1/HLOOKUP(YEAR(C4019)+(MONTH(C4019)/100),TC!$5:$37,DAY(C4019)+2,FALSE),VLOOKUP(E4019,Equivalencia!$5:$23,((MAX(Equivalencia!$3:$3)-YEAR(C4019))*14)+MONTH(C4019)+2,FALSE)))</f>
        <v>0</v>
      </c>
      <c r="J4019" s="178">
        <f t="shared" si="305"/>
        <v>0</v>
      </c>
      <c r="K4019" s="462">
        <f>IF(C4019=0,0,VLOOKUP(YEAR(C4019),INPC!$B$4:$O$29,MONTH(C4019)+1))</f>
        <v>0</v>
      </c>
      <c r="L4019" s="462">
        <f>IF(S4019=0,0,VLOOKUP(YEAR(S4019),INPC!$B$4:$O$29,MONTH(S4019)+1))</f>
        <v>0</v>
      </c>
      <c r="M4019" s="463">
        <f t="shared" si="306"/>
        <v>0</v>
      </c>
      <c r="N4019" s="465">
        <f t="shared" si="307"/>
        <v>0</v>
      </c>
      <c r="O4019" s="179"/>
      <c r="P4019" s="180"/>
      <c r="Q4019" s="173"/>
      <c r="R4019" s="173"/>
      <c r="S4019" s="174"/>
      <c r="T4019" s="173"/>
      <c r="U4019" s="182"/>
      <c r="V4019" s="177">
        <f>IF(U4019=0,0,IF(T4019="MXN",1/HLOOKUP(YEAR(S4019)+(MONTH(S4019)/100),TC!$5:$37,DAY(S4019)+2,FALSE),VLOOKUP(T4019,Equivalencia!$1:$23,((MAX(Equivalencia!$3:$3)-YEAR(S4019))*14)+MONTH(S4019)+2,FALSE)))</f>
        <v>0</v>
      </c>
      <c r="W4019" s="178">
        <f t="shared" si="308"/>
        <v>0</v>
      </c>
      <c r="X4019" s="481">
        <f t="shared" si="309"/>
        <v>0</v>
      </c>
      <c r="Y4019" s="179"/>
      <c r="Z4019" s="466">
        <f t="shared" si="310"/>
        <v>0</v>
      </c>
      <c r="AA4019" s="473">
        <f t="shared" si="311"/>
        <v>0</v>
      </c>
      <c r="AB4019" s="339">
        <f t="shared" si="312"/>
        <v>0</v>
      </c>
    </row>
    <row r="4020" spans="2:28" ht="20.100000000000001" customHeight="1">
      <c r="B4020" s="172"/>
      <c r="C4020" s="174"/>
      <c r="D4020" s="181"/>
      <c r="E4020" s="173"/>
      <c r="F4020" s="176"/>
      <c r="G4020" s="175">
        <f t="shared" si="303"/>
        <v>0</v>
      </c>
      <c r="H4020" s="175">
        <f t="shared" si="304"/>
        <v>0</v>
      </c>
      <c r="I4020" s="177">
        <f>IF(G4020=0,0,IF(E4020="MXN",1/HLOOKUP(YEAR(C4020)+(MONTH(C4020)/100),TC!$5:$37,DAY(C4020)+2,FALSE),VLOOKUP(E4020,Equivalencia!$5:$23,((MAX(Equivalencia!$3:$3)-YEAR(C4020))*14)+MONTH(C4020)+2,FALSE)))</f>
        <v>0</v>
      </c>
      <c r="J4020" s="178">
        <f t="shared" si="305"/>
        <v>0</v>
      </c>
      <c r="K4020" s="462">
        <f>IF(C4020=0,0,VLOOKUP(YEAR(C4020),INPC!$B$4:$O$29,MONTH(C4020)+1))</f>
        <v>0</v>
      </c>
      <c r="L4020" s="462">
        <f>IF(S4020=0,0,VLOOKUP(YEAR(S4020),INPC!$B$4:$O$29,MONTH(S4020)+1))</f>
        <v>0</v>
      </c>
      <c r="M4020" s="463">
        <f t="shared" si="306"/>
        <v>0</v>
      </c>
      <c r="N4020" s="465">
        <f t="shared" si="307"/>
        <v>0</v>
      </c>
      <c r="O4020" s="179"/>
      <c r="P4020" s="180"/>
      <c r="Q4020" s="173"/>
      <c r="R4020" s="173"/>
      <c r="S4020" s="174"/>
      <c r="T4020" s="173"/>
      <c r="U4020" s="182"/>
      <c r="V4020" s="177">
        <f>IF(U4020=0,0,IF(T4020="MXN",1/HLOOKUP(YEAR(S4020)+(MONTH(S4020)/100),TC!$5:$37,DAY(S4020)+2,FALSE),VLOOKUP(T4020,Equivalencia!$1:$23,((MAX(Equivalencia!$3:$3)-YEAR(S4020))*14)+MONTH(S4020)+2,FALSE)))</f>
        <v>0</v>
      </c>
      <c r="W4020" s="178">
        <f t="shared" si="308"/>
        <v>0</v>
      </c>
      <c r="X4020" s="481">
        <f t="shared" si="309"/>
        <v>0</v>
      </c>
      <c r="Y4020" s="179"/>
      <c r="Z4020" s="466">
        <f t="shared" si="310"/>
        <v>0</v>
      </c>
      <c r="AA4020" s="473">
        <f t="shared" si="311"/>
        <v>0</v>
      </c>
      <c r="AB4020" s="339">
        <f t="shared" si="312"/>
        <v>0</v>
      </c>
    </row>
    <row r="4021" spans="2:28" ht="20.100000000000001" customHeight="1">
      <c r="B4021" s="172"/>
      <c r="C4021" s="174"/>
      <c r="D4021" s="181"/>
      <c r="E4021" s="173"/>
      <c r="F4021" s="176"/>
      <c r="G4021" s="175">
        <f t="shared" si="303"/>
        <v>0</v>
      </c>
      <c r="H4021" s="175">
        <f t="shared" si="304"/>
        <v>0</v>
      </c>
      <c r="I4021" s="177">
        <f>IF(G4021=0,0,IF(E4021="MXN",1/HLOOKUP(YEAR(C4021)+(MONTH(C4021)/100),TC!$5:$37,DAY(C4021)+2,FALSE),VLOOKUP(E4021,Equivalencia!$5:$23,((MAX(Equivalencia!$3:$3)-YEAR(C4021))*14)+MONTH(C4021)+2,FALSE)))</f>
        <v>0</v>
      </c>
      <c r="J4021" s="178">
        <f t="shared" si="305"/>
        <v>0</v>
      </c>
      <c r="K4021" s="462">
        <f>IF(C4021=0,0,VLOOKUP(YEAR(C4021),INPC!$B$4:$O$29,MONTH(C4021)+1))</f>
        <v>0</v>
      </c>
      <c r="L4021" s="462">
        <f>IF(S4021=0,0,VLOOKUP(YEAR(S4021),INPC!$B$4:$O$29,MONTH(S4021)+1))</f>
        <v>0</v>
      </c>
      <c r="M4021" s="463">
        <f t="shared" si="306"/>
        <v>0</v>
      </c>
      <c r="N4021" s="465">
        <f t="shared" si="307"/>
        <v>0</v>
      </c>
      <c r="O4021" s="179"/>
      <c r="P4021" s="180"/>
      <c r="Q4021" s="173"/>
      <c r="R4021" s="173"/>
      <c r="S4021" s="174"/>
      <c r="T4021" s="173"/>
      <c r="U4021" s="182"/>
      <c r="V4021" s="177">
        <f>IF(U4021=0,0,IF(T4021="MXN",1/HLOOKUP(YEAR(S4021)+(MONTH(S4021)/100),TC!$5:$37,DAY(S4021)+2,FALSE),VLOOKUP(T4021,Equivalencia!$1:$23,((MAX(Equivalencia!$3:$3)-YEAR(S4021))*14)+MONTH(S4021)+2,FALSE)))</f>
        <v>0</v>
      </c>
      <c r="W4021" s="178">
        <f t="shared" si="308"/>
        <v>0</v>
      </c>
      <c r="X4021" s="481">
        <f t="shared" si="309"/>
        <v>0</v>
      </c>
      <c r="Y4021" s="179"/>
      <c r="Z4021" s="466">
        <f t="shared" si="310"/>
        <v>0</v>
      </c>
      <c r="AA4021" s="473">
        <f t="shared" si="311"/>
        <v>0</v>
      </c>
      <c r="AB4021" s="339">
        <f t="shared" si="312"/>
        <v>0</v>
      </c>
    </row>
    <row r="4022" spans="2:28" ht="20.100000000000001" customHeight="1">
      <c r="B4022" s="172"/>
      <c r="C4022" s="174"/>
      <c r="D4022" s="181"/>
      <c r="E4022" s="173"/>
      <c r="F4022" s="176"/>
      <c r="G4022" s="175">
        <f t="shared" ref="G4022" si="313">+P4022</f>
        <v>0</v>
      </c>
      <c r="H4022" s="175">
        <f t="shared" ref="H4022" si="314">IF(F4022=0,0,(F4022/G4022)*P4022)</f>
        <v>0</v>
      </c>
      <c r="I4022" s="177">
        <f>IF(G4022=0,0,IF(E4022="MXN",1/HLOOKUP(YEAR(C4022)+(MONTH(C4022)/100),TC!$5:$37,DAY(C4022)+2,FALSE),VLOOKUP(E4022,Equivalencia!$5:$23,((MAX(Equivalencia!$3:$3)-YEAR(C4022))*14)+MONTH(C4022)+2,FALSE)))</f>
        <v>0</v>
      </c>
      <c r="J4022" s="178">
        <f t="shared" ref="J4022" si="315">+H4022*I4022</f>
        <v>0</v>
      </c>
      <c r="K4022" s="462">
        <f>IF(C4022=0,0,VLOOKUP(YEAR(C4022),INPC!$B$4:$O$29,MONTH(C4022)+1))</f>
        <v>0</v>
      </c>
      <c r="L4022" s="462">
        <f>IF(S4022=0,0,VLOOKUP(YEAR(S4022),INPC!$B$4:$O$29,MONTH(S4022)+1))</f>
        <v>0</v>
      </c>
      <c r="M4022" s="463">
        <f t="shared" ref="M4022" si="316">IF(H4022=0,0,IF(R4022=$AF$4,1,IF(TRUNC(L4022/K4022,4)&gt;=1,TRUNC(L4022/K4022,4),1)))</f>
        <v>0</v>
      </c>
      <c r="N4022" s="465">
        <f t="shared" ref="N4022" si="317">+M4022*J4022</f>
        <v>0</v>
      </c>
      <c r="O4022" s="179"/>
      <c r="P4022" s="180"/>
      <c r="Q4022" s="173"/>
      <c r="R4022" s="173"/>
      <c r="S4022" s="174"/>
      <c r="T4022" s="173"/>
      <c r="U4022" s="182"/>
      <c r="V4022" s="177">
        <f>IF(U4022=0,0,IF(T4022="MXN",1/HLOOKUP(YEAR(S4022)+(MONTH(S4022)/100),TC!$5:$37,DAY(S4022)+2,FALSE),VLOOKUP(T4022,Equivalencia!$1:$23,((MAX(Equivalencia!$3:$3)-YEAR(S4022))*14)+MONTH(S4022)+2,FALSE)))</f>
        <v>0</v>
      </c>
      <c r="W4022" s="178">
        <f t="shared" ref="W4022" si="318">+V4022*U4022</f>
        <v>0</v>
      </c>
      <c r="X4022" s="481">
        <f t="shared" ref="X4022" si="319">+W4022-J4022</f>
        <v>0</v>
      </c>
      <c r="Y4022" s="179"/>
      <c r="Z4022" s="466">
        <f t="shared" ref="Z4022" si="320">N4022</f>
        <v>0</v>
      </c>
      <c r="AA4022" s="473">
        <f t="shared" ref="AA4022" si="321">+W4022-Z4022</f>
        <v>0</v>
      </c>
      <c r="AB4022" s="339">
        <f t="shared" ref="AB4022" si="322">+IF(P4022=0,0,(U4022/F4022)-1)</f>
        <v>0</v>
      </c>
    </row>
    <row r="4023" spans="2:28" ht="20.100000000000001" customHeight="1">
      <c r="B4023" s="172"/>
      <c r="C4023" s="174"/>
      <c r="D4023" s="181"/>
      <c r="E4023" s="173"/>
      <c r="F4023" s="176"/>
      <c r="G4023" s="175">
        <f t="shared" si="160"/>
        <v>0</v>
      </c>
      <c r="H4023" s="175">
        <f t="shared" si="153"/>
        <v>0</v>
      </c>
      <c r="I4023" s="177">
        <f>IF(G4023=0,0,IF(E4023="MXN",1/HLOOKUP(YEAR(C4023)+(MONTH(C4023)/100),TC!$5:$37,DAY(C4023)+2,FALSE),VLOOKUP(E4023,Equivalencia!$5:$23,((MAX(Equivalencia!$3:$3)-YEAR(C4023))*14)+MONTH(C4023)+2,FALSE)))</f>
        <v>0</v>
      </c>
      <c r="J4023" s="178">
        <f t="shared" si="161"/>
        <v>0</v>
      </c>
      <c r="K4023" s="462">
        <f>IF(C4023=0,0,VLOOKUP(YEAR(C4023),INPC!$B$4:$O$29,MONTH(C4023)+1))</f>
        <v>0</v>
      </c>
      <c r="L4023" s="462">
        <f>IF(S4023=0,0,VLOOKUP(YEAR(S4023),INPC!$B$4:$O$29,MONTH(S4023)+1))</f>
        <v>0</v>
      </c>
      <c r="M4023" s="463">
        <f t="shared" si="154"/>
        <v>0</v>
      </c>
      <c r="N4023" s="465">
        <f t="shared" si="162"/>
        <v>0</v>
      </c>
      <c r="O4023" s="179"/>
      <c r="P4023" s="180"/>
      <c r="Q4023" s="173"/>
      <c r="R4023" s="173"/>
      <c r="S4023" s="174"/>
      <c r="T4023" s="173"/>
      <c r="U4023" s="182"/>
      <c r="V4023" s="177">
        <f>IF(U4023=0,0,IF(T4023="MXN",1/HLOOKUP(YEAR(S4023)+(MONTH(S4023)/100),TC!$5:$37,DAY(S4023)+2,FALSE),VLOOKUP(T4023,Equivalencia!$1:$23,((MAX(Equivalencia!$3:$3)-YEAR(S4023))*14)+MONTH(S4023)+2,FALSE)))</f>
        <v>0</v>
      </c>
      <c r="W4023" s="178">
        <f t="shared" si="159"/>
        <v>0</v>
      </c>
      <c r="X4023" s="481">
        <f t="shared" si="155"/>
        <v>0</v>
      </c>
      <c r="Y4023" s="179"/>
      <c r="Z4023" s="466">
        <f t="shared" si="156"/>
        <v>0</v>
      </c>
      <c r="AA4023" s="473">
        <f t="shared" si="157"/>
        <v>0</v>
      </c>
      <c r="AB4023" s="339">
        <f t="shared" si="158"/>
        <v>0</v>
      </c>
    </row>
    <row r="4024" spans="2:28" ht="20.100000000000001" customHeight="1">
      <c r="B4024" s="172"/>
      <c r="C4024" s="174"/>
      <c r="D4024" s="181"/>
      <c r="E4024" s="173"/>
      <c r="F4024" s="176"/>
      <c r="G4024" s="175">
        <f t="shared" si="160"/>
        <v>0</v>
      </c>
      <c r="H4024" s="175">
        <f t="shared" si="153"/>
        <v>0</v>
      </c>
      <c r="I4024" s="177">
        <f>IF(G4024=0,0,IF(E4024="MXN",1/HLOOKUP(YEAR(C4024)+(MONTH(C4024)/100),TC!$5:$37,DAY(C4024)+2,FALSE),VLOOKUP(E4024,Equivalencia!$5:$23,((MAX(Equivalencia!$3:$3)-YEAR(C4024))*14)+MONTH(C4024)+2,FALSE)))</f>
        <v>0</v>
      </c>
      <c r="J4024" s="178">
        <f t="shared" si="161"/>
        <v>0</v>
      </c>
      <c r="K4024" s="462">
        <f>IF(C4024=0,0,VLOOKUP(YEAR(C4024),INPC!$B$4:$O$29,MONTH(C4024)+1))</f>
        <v>0</v>
      </c>
      <c r="L4024" s="462">
        <f>IF(S4024=0,0,VLOOKUP(YEAR(S4024),INPC!$B$4:$O$29,MONTH(S4024)+1))</f>
        <v>0</v>
      </c>
      <c r="M4024" s="463">
        <f t="shared" si="154"/>
        <v>0</v>
      </c>
      <c r="N4024" s="465">
        <f t="shared" si="162"/>
        <v>0</v>
      </c>
      <c r="O4024" s="179"/>
      <c r="P4024" s="180"/>
      <c r="Q4024" s="173"/>
      <c r="R4024" s="173"/>
      <c r="S4024" s="174"/>
      <c r="T4024" s="173"/>
      <c r="U4024" s="182"/>
      <c r="V4024" s="177">
        <f>IF(U4024=0,0,IF(T4024="MXN",1/HLOOKUP(YEAR(S4024)+(MONTH(S4024)/100),TC!$5:$37,DAY(S4024)+2,FALSE),VLOOKUP(T4024,Equivalencia!$1:$23,((MAX(Equivalencia!$3:$3)-YEAR(S4024))*14)+MONTH(S4024)+2,FALSE)))</f>
        <v>0</v>
      </c>
      <c r="W4024" s="178">
        <f t="shared" si="159"/>
        <v>0</v>
      </c>
      <c r="X4024" s="481">
        <f t="shared" si="155"/>
        <v>0</v>
      </c>
      <c r="Y4024" s="179"/>
      <c r="Z4024" s="466">
        <f t="shared" si="156"/>
        <v>0</v>
      </c>
      <c r="AA4024" s="473">
        <f t="shared" si="157"/>
        <v>0</v>
      </c>
      <c r="AB4024" s="339">
        <f t="shared" si="158"/>
        <v>0</v>
      </c>
    </row>
  </sheetData>
  <sheetProtection algorithmName="SHA-512" hashValue="isz4nJN2uJfMckEsJ3QPsiNIdn57EjxDx2lTy39GFUh9AY/fpQz5/EwO6I4qvf5QzE1O3L8ZPTcd0sPTJ7UWdw==" saltValue="b3lUKQWp5FYDpYuyioiZeQ==" spinCount="100000" sheet="1" formatCells="0" formatColumns="0" formatRows="0" insertRows="0" deleteRows="0" sort="0" autoFilter="0"/>
  <autoFilter ref="B1:AA4024" xr:uid="{AF5FE344-D0AF-514F-8790-62C334808C6B}"/>
  <phoneticPr fontId="9" type="noConversion"/>
  <dataValidations count="3">
    <dataValidation type="list" allowBlank="1" showInputMessage="1" showErrorMessage="1" sqref="R4:R4024" xr:uid="{00000000-0002-0000-0E00-000000000000}">
      <formula1>$AF$3:$AF$5</formula1>
    </dataValidation>
    <dataValidation type="list" showInputMessage="1" showErrorMessage="1" promptTitle="Instrucciones" prompt="Selecciona una opción" sqref="R2:R3" xr:uid="{00000000-0002-0000-0E00-000001000000}">
      <formula1>$AF$3:$AF$8</formula1>
    </dataValidation>
    <dataValidation type="list" showInputMessage="1" showErrorMessage="1" promptTitle="Instrucciones" prompt="Selecciona una opción" sqref="Q2:Q4024" xr:uid="{00000000-0002-0000-0E00-000002000000}">
      <formula1>$AG$3:$AG$11</formula1>
    </dataValidation>
  </dataValidations>
  <pageMargins left="0.7" right="0.7" top="0.75" bottom="0.75" header="0.3" footer="0.3"/>
  <pageSetup orientation="portrait" horizontalDpi="0" verticalDpi="0"/>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promptTitle="Instrucciones" prompt="Selecciona una opción" xr:uid="{00000000-0002-0000-0E00-000003000000}">
          <x14:formula1>
            <xm:f>Equivalencia!$A$4:$A$23</xm:f>
          </x14:formula1>
          <xm:sqref>E2:E4024</xm:sqref>
        </x14:dataValidation>
        <x14:dataValidation type="list" showInputMessage="1" showErrorMessage="1" xr:uid="{00000000-0002-0000-0E00-000004000000}">
          <x14:formula1>
            <xm:f>Equivalencia!$A$4:$A$23</xm:f>
          </x14:formula1>
          <xm:sqref>T2:T4024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A0674-515C-4871-95F8-E783656B62D4}">
  <dimension ref="B2:P20"/>
  <sheetViews>
    <sheetView zoomScale="70" zoomScaleNormal="70" workbookViewId="0">
      <selection activeCell="I4" sqref="I4"/>
    </sheetView>
  </sheetViews>
  <sheetFormatPr defaultColWidth="11.5546875" defaultRowHeight="15.95"/>
  <cols>
    <col min="2" max="2" width="33" bestFit="1" customWidth="1"/>
    <col min="4" max="4" width="19" bestFit="1" customWidth="1"/>
    <col min="7" max="7" width="15.6640625" customWidth="1"/>
    <col min="12" max="12" width="14" bestFit="1" customWidth="1"/>
    <col min="14" max="14" width="33" bestFit="1" customWidth="1"/>
  </cols>
  <sheetData>
    <row r="2" spans="2:16" ht="33.950000000000003">
      <c r="B2" s="553" t="s">
        <v>590</v>
      </c>
      <c r="C2" s="553" t="s">
        <v>29</v>
      </c>
      <c r="D2" s="553" t="s">
        <v>495</v>
      </c>
      <c r="E2" s="553" t="s">
        <v>591</v>
      </c>
      <c r="F2" s="553" t="s">
        <v>30</v>
      </c>
      <c r="G2" s="553" t="s">
        <v>31</v>
      </c>
      <c r="H2" s="553" t="s">
        <v>592</v>
      </c>
      <c r="I2" s="505" t="s">
        <v>593</v>
      </c>
      <c r="K2" s="505" t="s">
        <v>594</v>
      </c>
      <c r="L2" s="505" t="s">
        <v>595</v>
      </c>
      <c r="M2" s="505" t="s">
        <v>562</v>
      </c>
      <c r="N2" s="505" t="s">
        <v>559</v>
      </c>
      <c r="O2" s="505" t="s">
        <v>596</v>
      </c>
      <c r="P2" s="505" t="s">
        <v>597</v>
      </c>
    </row>
    <row r="3" spans="2:16">
      <c r="B3" s="554"/>
      <c r="C3" s="555"/>
      <c r="D3" s="556"/>
      <c r="E3" s="557"/>
      <c r="F3" s="555"/>
      <c r="G3" s="557"/>
      <c r="H3" s="554"/>
      <c r="I3" s="555"/>
      <c r="K3" s="554"/>
      <c r="L3" s="555"/>
      <c r="M3" s="556"/>
      <c r="N3" s="557"/>
      <c r="O3" s="555"/>
      <c r="P3" s="557"/>
    </row>
    <row r="4" spans="2:16">
      <c r="B4" s="554" t="s">
        <v>284</v>
      </c>
      <c r="C4" s="555">
        <v>44350</v>
      </c>
      <c r="D4" s="556" t="s">
        <v>598</v>
      </c>
      <c r="E4" s="557">
        <v>2880.8069999999998</v>
      </c>
      <c r="F4" s="555" t="s">
        <v>33</v>
      </c>
      <c r="G4" s="557">
        <v>400000</v>
      </c>
      <c r="H4" s="558">
        <f>+ABS(G4/E4)</f>
        <v>138.84998196685859</v>
      </c>
      <c r="I4" s="559">
        <f>+E4-M4</f>
        <v>1377.4999999999998</v>
      </c>
      <c r="K4" s="560">
        <v>44350</v>
      </c>
      <c r="L4" s="563">
        <f>M4*H4</f>
        <v>208734.1498406523</v>
      </c>
      <c r="M4" s="557">
        <v>1503.307</v>
      </c>
      <c r="N4" s="555" t="s">
        <v>284</v>
      </c>
      <c r="O4" s="555">
        <v>44678</v>
      </c>
      <c r="P4" s="557">
        <f>M4*H5</f>
        <v>200000</v>
      </c>
    </row>
    <row r="5" spans="2:16">
      <c r="B5" s="554" t="s">
        <v>284</v>
      </c>
      <c r="C5" s="555">
        <v>44678</v>
      </c>
      <c r="D5" s="556" t="s">
        <v>599</v>
      </c>
      <c r="E5" s="557">
        <v>1503.307</v>
      </c>
      <c r="F5" s="555" t="s">
        <v>33</v>
      </c>
      <c r="G5" s="557">
        <v>200000</v>
      </c>
      <c r="H5" s="558">
        <f>+ABS(G5/E5)</f>
        <v>133.04002442614848</v>
      </c>
      <c r="I5" s="555"/>
      <c r="K5" s="560"/>
      <c r="L5" s="561"/>
      <c r="M5" s="562"/>
      <c r="N5" s="557"/>
      <c r="O5" s="555"/>
      <c r="P5" s="557"/>
    </row>
    <row r="6" spans="2:16">
      <c r="B6" s="554"/>
      <c r="C6" s="555"/>
      <c r="D6" s="556"/>
      <c r="E6" s="557"/>
      <c r="F6" s="555"/>
      <c r="G6" s="557"/>
      <c r="H6" s="558"/>
      <c r="I6" s="555"/>
      <c r="K6" s="560"/>
      <c r="L6" s="561"/>
      <c r="M6" s="562"/>
      <c r="N6" s="557"/>
      <c r="O6" s="555"/>
      <c r="P6" s="557"/>
    </row>
    <row r="7" spans="2:16">
      <c r="B7" s="554" t="s">
        <v>600</v>
      </c>
      <c r="C7" s="555">
        <v>44903</v>
      </c>
      <c r="D7" s="556" t="s">
        <v>598</v>
      </c>
      <c r="E7" s="557">
        <v>22803.5</v>
      </c>
      <c r="F7" s="555" t="s">
        <v>33</v>
      </c>
      <c r="G7" s="557">
        <v>-2400000</v>
      </c>
      <c r="H7" s="558">
        <f t="shared" ref="H7" si="0">+ABS(G7/E7)</f>
        <v>105.24700155677857</v>
      </c>
      <c r="I7" s="559">
        <f>+E7</f>
        <v>22803.5</v>
      </c>
      <c r="K7" s="560"/>
      <c r="L7" s="561"/>
      <c r="M7" s="562"/>
      <c r="N7" s="557"/>
      <c r="O7" s="555"/>
      <c r="P7" s="557"/>
    </row>
    <row r="8" spans="2:16">
      <c r="B8" s="554"/>
      <c r="C8" s="555"/>
      <c r="D8" s="556"/>
      <c r="E8" s="557"/>
      <c r="F8" s="555"/>
      <c r="G8" s="557"/>
      <c r="H8" s="558"/>
      <c r="I8" s="555"/>
      <c r="K8" s="560"/>
      <c r="L8" s="561"/>
      <c r="M8" s="562"/>
      <c r="N8" s="557"/>
      <c r="O8" s="555"/>
      <c r="P8" s="557"/>
    </row>
    <row r="9" spans="2:16">
      <c r="B9" s="554"/>
      <c r="C9" s="555"/>
      <c r="D9" s="556"/>
      <c r="E9" s="557"/>
      <c r="F9" s="555"/>
      <c r="G9" s="557"/>
      <c r="H9" s="558"/>
      <c r="I9" s="555"/>
      <c r="K9" s="560"/>
      <c r="L9" s="561"/>
      <c r="M9" s="562"/>
      <c r="N9" s="557"/>
      <c r="O9" s="555"/>
      <c r="P9" s="557"/>
    </row>
    <row r="10" spans="2:16">
      <c r="B10" s="554"/>
      <c r="C10" s="555"/>
      <c r="D10" s="556"/>
      <c r="E10" s="557"/>
      <c r="F10" s="555"/>
      <c r="G10" s="557"/>
      <c r="H10" s="558"/>
      <c r="I10" s="555"/>
      <c r="K10" s="560"/>
      <c r="L10" s="561"/>
      <c r="M10" s="562"/>
      <c r="N10" s="557"/>
      <c r="O10" s="555"/>
      <c r="P10" s="557"/>
    </row>
    <row r="11" spans="2:16">
      <c r="B11" s="554"/>
      <c r="C11" s="555"/>
      <c r="D11" s="556"/>
      <c r="E11" s="557"/>
      <c r="F11" s="555"/>
      <c r="G11" s="557"/>
      <c r="H11" s="558"/>
      <c r="I11" s="555"/>
      <c r="K11" s="560"/>
      <c r="L11" s="561"/>
      <c r="M11" s="562"/>
      <c r="N11" s="557"/>
      <c r="O11" s="555"/>
      <c r="P11" s="557"/>
    </row>
    <row r="12" spans="2:16">
      <c r="B12" s="554"/>
      <c r="C12" s="555"/>
      <c r="D12" s="556"/>
      <c r="E12" s="557"/>
      <c r="F12" s="555"/>
      <c r="G12" s="557"/>
      <c r="H12" s="558"/>
      <c r="I12" s="555"/>
      <c r="K12" s="560"/>
      <c r="L12" s="561"/>
      <c r="M12" s="562"/>
      <c r="N12" s="557"/>
      <c r="O12" s="555"/>
      <c r="P12" s="557"/>
    </row>
    <row r="13" spans="2:16">
      <c r="B13" s="554"/>
      <c r="C13" s="555"/>
      <c r="D13" s="556"/>
      <c r="E13" s="557"/>
      <c r="F13" s="555"/>
      <c r="G13" s="557"/>
      <c r="H13" s="558"/>
      <c r="I13" s="555"/>
      <c r="K13" s="560"/>
      <c r="L13" s="561"/>
      <c r="M13" s="562"/>
      <c r="N13" s="557"/>
      <c r="O13" s="555"/>
      <c r="P13" s="557"/>
    </row>
    <row r="14" spans="2:16">
      <c r="B14" s="554"/>
      <c r="C14" s="555"/>
      <c r="D14" s="556"/>
      <c r="E14" s="557"/>
      <c r="F14" s="555"/>
      <c r="G14" s="557"/>
      <c r="H14" s="558"/>
      <c r="I14" s="555"/>
      <c r="K14" s="560"/>
      <c r="L14" s="561"/>
      <c r="M14" s="562"/>
      <c r="N14" s="557"/>
      <c r="O14" s="555"/>
      <c r="P14" s="557"/>
    </row>
    <row r="15" spans="2:16">
      <c r="B15" s="554"/>
      <c r="C15" s="555"/>
      <c r="D15" s="556"/>
      <c r="E15" s="557"/>
      <c r="F15" s="555"/>
      <c r="G15" s="557"/>
      <c r="H15" s="558"/>
      <c r="I15" s="555"/>
      <c r="K15" s="560"/>
      <c r="L15" s="561"/>
      <c r="M15" s="562"/>
      <c r="N15" s="557"/>
      <c r="O15" s="555"/>
      <c r="P15" s="557"/>
    </row>
    <row r="16" spans="2:16">
      <c r="B16" s="554"/>
      <c r="C16" s="555"/>
      <c r="D16" s="556"/>
      <c r="E16" s="557"/>
      <c r="F16" s="555"/>
      <c r="G16" s="557"/>
      <c r="H16" s="558"/>
      <c r="I16" s="555"/>
      <c r="K16" s="560"/>
      <c r="L16" s="561"/>
      <c r="M16" s="562"/>
      <c r="N16" s="557"/>
      <c r="O16" s="555"/>
      <c r="P16" s="557"/>
    </row>
    <row r="17" spans="2:16">
      <c r="B17" s="554"/>
      <c r="C17" s="555"/>
      <c r="D17" s="556"/>
      <c r="E17" s="557"/>
      <c r="F17" s="555"/>
      <c r="G17" s="557"/>
      <c r="H17" s="558"/>
      <c r="I17" s="555"/>
      <c r="K17" s="560"/>
      <c r="L17" s="561"/>
      <c r="M17" s="562"/>
      <c r="N17" s="557"/>
      <c r="O17" s="555"/>
      <c r="P17" s="557"/>
    </row>
    <row r="18" spans="2:16">
      <c r="B18" s="554"/>
      <c r="C18" s="555"/>
      <c r="D18" s="556"/>
      <c r="E18" s="557"/>
      <c r="F18" s="555"/>
      <c r="G18" s="557"/>
      <c r="H18" s="558"/>
      <c r="I18" s="555"/>
      <c r="K18" s="560"/>
      <c r="L18" s="561"/>
      <c r="M18" s="562"/>
      <c r="N18" s="557"/>
      <c r="O18" s="555"/>
      <c r="P18" s="557"/>
    </row>
    <row r="19" spans="2:16">
      <c r="B19" s="554"/>
      <c r="C19" s="555"/>
      <c r="D19" s="556"/>
      <c r="E19" s="557"/>
      <c r="F19" s="555"/>
      <c r="G19" s="557"/>
      <c r="H19" s="558"/>
      <c r="I19" s="555"/>
      <c r="K19" s="560"/>
      <c r="L19" s="561"/>
      <c r="M19" s="562"/>
      <c r="N19" s="557"/>
      <c r="O19" s="555"/>
      <c r="P19" s="557"/>
    </row>
    <row r="20" spans="2:16">
      <c r="B20" s="554"/>
      <c r="C20" s="555"/>
      <c r="D20" s="556"/>
      <c r="E20" s="557"/>
      <c r="F20" s="555"/>
      <c r="G20" s="557"/>
      <c r="H20" s="558"/>
      <c r="I20" s="555"/>
      <c r="K20" s="560"/>
      <c r="L20" s="561"/>
      <c r="M20" s="562"/>
      <c r="N20" s="557"/>
      <c r="O20" s="555"/>
      <c r="P20" s="55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B4B6-108D-8E4B-8D44-203DA65669D4}">
  <dimension ref="A1:AG999"/>
  <sheetViews>
    <sheetView zoomScaleNormal="100" zoomScalePageLayoutView="80" workbookViewId="0">
      <pane xSplit="2" ySplit="1" topLeftCell="C2" activePane="bottomRight" state="frozen"/>
      <selection pane="bottomRight" activeCell="AF14" sqref="AF14"/>
      <selection pane="bottomLeft" activeCell="A2" sqref="A2"/>
      <selection pane="topRight" activeCell="C1" sqref="C1"/>
    </sheetView>
  </sheetViews>
  <sheetFormatPr defaultColWidth="10.6640625" defaultRowHeight="20.100000000000001" customHeight="1"/>
  <cols>
    <col min="1" max="1" width="5" style="12" customWidth="1"/>
    <col min="2" max="2" width="22.5546875" style="13" customWidth="1"/>
    <col min="3" max="3" width="19.109375" style="13" customWidth="1"/>
    <col min="4" max="4" width="16.88671875" style="13" customWidth="1"/>
    <col min="5" max="5" width="68.88671875" style="13" customWidth="1"/>
    <col min="6" max="6" width="16.109375" style="13" customWidth="1"/>
    <col min="7" max="7" width="16.109375" style="54" customWidth="1"/>
    <col min="8" max="8" width="14.33203125" style="12" customWidth="1"/>
    <col min="9" max="9" width="22.5546875" style="13" customWidth="1"/>
    <col min="10" max="16" width="22.5546875" style="12" hidden="1" customWidth="1"/>
    <col min="17" max="17" width="14" style="370" customWidth="1"/>
    <col min="18" max="18" width="17.109375" style="13" customWidth="1"/>
    <col min="19" max="19" width="17.88671875" style="13" customWidth="1"/>
    <col min="20" max="20" width="17.33203125" style="13" customWidth="1"/>
    <col min="21" max="21" width="16.33203125" style="13" customWidth="1"/>
    <col min="22" max="22" width="21.109375" style="13" customWidth="1"/>
    <col min="23" max="26" width="22.6640625" style="12" customWidth="1"/>
    <col min="27" max="27" width="2" style="12" customWidth="1"/>
    <col min="28" max="29" width="22.6640625" style="12" hidden="1" customWidth="1"/>
    <col min="30" max="31" width="10.6640625" style="12"/>
    <col min="32" max="32" width="17.6640625" style="12" customWidth="1"/>
    <col min="33" max="33" width="21.44140625" style="12" customWidth="1"/>
    <col min="34" max="16384" width="10.6640625" style="12"/>
  </cols>
  <sheetData>
    <row r="1" spans="1:33" ht="63.95" customHeight="1">
      <c r="A1" s="12" t="s">
        <v>92</v>
      </c>
      <c r="B1" s="218" t="s">
        <v>103</v>
      </c>
      <c r="C1" s="218" t="s">
        <v>601</v>
      </c>
      <c r="D1" s="218" t="s">
        <v>602</v>
      </c>
      <c r="E1" s="168" t="s">
        <v>559</v>
      </c>
      <c r="F1" s="218" t="s">
        <v>106</v>
      </c>
      <c r="G1" s="218" t="s">
        <v>485</v>
      </c>
      <c r="H1" s="219" t="s">
        <v>480</v>
      </c>
      <c r="I1" s="219" t="s">
        <v>603</v>
      </c>
      <c r="J1" s="168" t="s">
        <v>604</v>
      </c>
      <c r="K1" s="168" t="s">
        <v>605</v>
      </c>
      <c r="L1" s="168" t="s">
        <v>606</v>
      </c>
      <c r="M1" s="168" t="s">
        <v>607</v>
      </c>
      <c r="N1" s="168" t="s">
        <v>567</v>
      </c>
      <c r="O1" s="169" t="s">
        <v>608</v>
      </c>
      <c r="P1" s="168" t="s">
        <v>609</v>
      </c>
      <c r="Q1" s="605" t="s">
        <v>478</v>
      </c>
      <c r="R1" s="219" t="s">
        <v>488</v>
      </c>
      <c r="S1" s="218" t="s">
        <v>610</v>
      </c>
      <c r="T1" s="218" t="s">
        <v>489</v>
      </c>
      <c r="U1" s="168" t="s">
        <v>574</v>
      </c>
      <c r="V1" s="218" t="s">
        <v>611</v>
      </c>
      <c r="W1" s="168" t="s">
        <v>108</v>
      </c>
      <c r="X1" s="168" t="s">
        <v>612</v>
      </c>
      <c r="Y1" s="168" t="s">
        <v>613</v>
      </c>
      <c r="Z1" s="169" t="s">
        <v>577</v>
      </c>
      <c r="AA1" s="106" t="s">
        <v>21</v>
      </c>
      <c r="AB1" s="169" t="s">
        <v>614</v>
      </c>
      <c r="AC1" s="169" t="s">
        <v>615</v>
      </c>
      <c r="AF1" s="171" t="s">
        <v>581</v>
      </c>
      <c r="AG1" s="171" t="s">
        <v>582</v>
      </c>
    </row>
    <row r="2" spans="1:33" ht="20.100000000000001" customHeight="1">
      <c r="B2" s="468"/>
      <c r="C2" s="172"/>
      <c r="D2" s="172"/>
      <c r="E2" s="181"/>
      <c r="F2" s="173"/>
      <c r="G2" s="174"/>
      <c r="H2" s="284"/>
      <c r="I2" s="221"/>
      <c r="J2" s="177">
        <f>IF(H2=0,0,IF(F2="MXN",1/HLOOKUP(YEAR(G2)+(MONTH(G2)/100),TC!$5:$37,DAY(G2)+2,FALSE),VLOOKUP(F2,Equivalencia!$5:$23,((MAX(Equivalencia!$3:$3)-YEAR(G2))*14)+MONTH(G2)+2,FALSE)))</f>
        <v>0</v>
      </c>
      <c r="K2" s="217">
        <f>+I2*J2</f>
        <v>0</v>
      </c>
      <c r="L2" s="462">
        <f>IF(G2=0,0,VLOOKUP(YEAR(G2),INPC!$B$4:$O$29,MONTH(G2)+1))</f>
        <v>0</v>
      </c>
      <c r="M2" s="462">
        <f>IF(T2=0,0,VLOOKUP(YEAR(T2),INPC!$B$4:$O$29,MONTH(T2)+1))</f>
        <v>0</v>
      </c>
      <c r="N2" s="463">
        <f t="shared" ref="N2:N65" si="0">IF(T2=0,0,IF(TRUNC(M2/L2,4)&gt;=1,TRUNC(M2/L2,4),1))</f>
        <v>0</v>
      </c>
      <c r="O2" s="464">
        <f>+N2*K2</f>
        <v>0</v>
      </c>
      <c r="P2" s="465">
        <f>IF(R2=0,0,O2/R2)</f>
        <v>0</v>
      </c>
      <c r="Q2" s="606" t="str">
        <f>IF(T2=0,"NO","SI")</f>
        <v>NO</v>
      </c>
      <c r="R2" s="180"/>
      <c r="S2" s="173"/>
      <c r="T2" s="174"/>
      <c r="U2" s="173"/>
      <c r="V2" s="220"/>
      <c r="W2" s="177">
        <f>IF(S2=0,0,IF(U2="MXN",1/HLOOKUP(YEAR(T2)+(MONTH(T2)/100),TC!$5:$37,DAY(T2)+2,FALSE),VLOOKUP(U2,Equivalencia!$1:$23,((MAX(Equivalencia!$3:$3)-YEAR(T2))*14)+MONTH(T2)+2,FALSE)))</f>
        <v>0</v>
      </c>
      <c r="X2" s="178">
        <f t="shared" ref="X2:X11" si="1">+W2*V2</f>
        <v>0</v>
      </c>
      <c r="Y2" s="178">
        <f>+K2</f>
        <v>0</v>
      </c>
      <c r="Z2" s="175">
        <f t="shared" ref="Z2:Z65" si="2">+X2+Y2</f>
        <v>0</v>
      </c>
      <c r="AA2" s="179"/>
      <c r="AB2" s="467">
        <f t="shared" ref="AB2:AB65" si="3">+X2+AC2</f>
        <v>0</v>
      </c>
      <c r="AC2" s="466">
        <f t="shared" ref="AC2:AC65" si="4">+R2*P2</f>
        <v>0</v>
      </c>
    </row>
    <row r="3" spans="1:33" ht="20.100000000000001" customHeight="1">
      <c r="B3" s="172"/>
      <c r="C3" s="172"/>
      <c r="D3" s="172"/>
      <c r="E3" s="181"/>
      <c r="F3" s="173"/>
      <c r="G3" s="174"/>
      <c r="H3" s="284"/>
      <c r="I3" s="221"/>
      <c r="J3" s="177">
        <f>IF(H3=0,0,IF(F3="MXN",1/HLOOKUP(YEAR(G3)+(MONTH(G3)/100),TC!$5:$37,DAY(G3)+2,FALSE),VLOOKUP(F3,Equivalencia!$5:$23,((MAX(Equivalencia!$3:$3)-YEAR(G3))*14)+MONTH(G3)+2,FALSE)))</f>
        <v>0</v>
      </c>
      <c r="K3" s="217">
        <f t="shared" ref="K3:K66" si="5">+I3*J3</f>
        <v>0</v>
      </c>
      <c r="L3" s="462">
        <f>IF(G3=0,0,VLOOKUP(YEAR(G3),INPC!$B$4:$O$29,MONTH(G3)+1))</f>
        <v>0</v>
      </c>
      <c r="M3" s="462">
        <f>IF(T3=0,0,VLOOKUP(YEAR(T3),INPC!$B$4:$O$29,MONTH(T3)+1))</f>
        <v>0</v>
      </c>
      <c r="N3" s="463">
        <f t="shared" si="0"/>
        <v>0</v>
      </c>
      <c r="O3" s="464">
        <f t="shared" ref="O3:O66" si="6">+N3*K3</f>
        <v>0</v>
      </c>
      <c r="P3" s="465">
        <f t="shared" ref="P3:P66" si="7">IF(R3=0,0,O3/R3)</f>
        <v>0</v>
      </c>
      <c r="Q3" s="606" t="str">
        <f t="shared" ref="Q3:Q66" si="8">IF(T3=0,"NO","SI")</f>
        <v>NO</v>
      </c>
      <c r="R3" s="180"/>
      <c r="S3" s="173"/>
      <c r="T3" s="174"/>
      <c r="U3" s="173"/>
      <c r="V3" s="220"/>
      <c r="W3" s="177">
        <f>IF(S3=0,0,IF(U3="MXN",1/HLOOKUP(YEAR(T3)+(MONTH(T3)/100),TC!$5:$37,DAY(T3)+2,FALSE),VLOOKUP(U3,Equivalencia!$1:$23,((MAX(Equivalencia!$3:$3)-YEAR(T3))*14)+MONTH(T3)+2,FALSE)))</f>
        <v>0</v>
      </c>
      <c r="X3" s="178">
        <f t="shared" si="1"/>
        <v>0</v>
      </c>
      <c r="Y3" s="178">
        <f t="shared" ref="Y3:Y66" si="9">+K3</f>
        <v>0</v>
      </c>
      <c r="Z3" s="175">
        <f t="shared" si="2"/>
        <v>0</v>
      </c>
      <c r="AA3" s="179"/>
      <c r="AB3" s="467">
        <f t="shared" si="3"/>
        <v>0</v>
      </c>
      <c r="AC3" s="466">
        <f t="shared" si="4"/>
        <v>0</v>
      </c>
      <c r="AF3" s="173" t="s">
        <v>616</v>
      </c>
      <c r="AG3" s="228" t="s">
        <v>617</v>
      </c>
    </row>
    <row r="4" spans="1:33" ht="20.100000000000001" customHeight="1">
      <c r="B4" s="172"/>
      <c r="C4" s="172"/>
      <c r="D4" s="172"/>
      <c r="E4" s="181"/>
      <c r="F4" s="173"/>
      <c r="G4" s="174"/>
      <c r="H4" s="284"/>
      <c r="I4" s="221"/>
      <c r="J4" s="177">
        <f>IF(H4=0,0,IF(F4="MXN",1/HLOOKUP(YEAR(G4)+(MONTH(G4)/100),TC!$5:$37,DAY(G4)+2,FALSE),VLOOKUP(F4,Equivalencia!$5:$23,((MAX(Equivalencia!$3:$3)-YEAR(G4))*14)+MONTH(G4)+2,FALSE)))</f>
        <v>0</v>
      </c>
      <c r="K4" s="217">
        <f t="shared" si="5"/>
        <v>0</v>
      </c>
      <c r="L4" s="462">
        <f>IF(G4=0,0,VLOOKUP(YEAR(G4),INPC!$B$4:$O$29,MONTH(G4)+1))</f>
        <v>0</v>
      </c>
      <c r="M4" s="462">
        <f>IF(T4=0,0,VLOOKUP(YEAR(T4),INPC!$B$4:$O$29,MONTH(T4)+1))</f>
        <v>0</v>
      </c>
      <c r="N4" s="463">
        <f t="shared" si="0"/>
        <v>0</v>
      </c>
      <c r="O4" s="464">
        <f t="shared" si="6"/>
        <v>0</v>
      </c>
      <c r="P4" s="465">
        <f t="shared" si="7"/>
        <v>0</v>
      </c>
      <c r="Q4" s="606" t="str">
        <f t="shared" si="8"/>
        <v>NO</v>
      </c>
      <c r="R4" s="180"/>
      <c r="S4" s="173"/>
      <c r="T4" s="174"/>
      <c r="U4" s="173"/>
      <c r="V4" s="220"/>
      <c r="W4" s="177">
        <f>IF(S4=0,0,IF(U4="MXN",1/HLOOKUP(YEAR(T4)+(MONTH(T4)/100),TC!$5:$37,DAY(T4)+2,FALSE),VLOOKUP(U4,Equivalencia!$1:$23,((MAX(Equivalencia!$3:$3)-YEAR(T4))*14)+MONTH(T4)+2,FALSE)))</f>
        <v>0</v>
      </c>
      <c r="X4" s="178">
        <f t="shared" si="1"/>
        <v>0</v>
      </c>
      <c r="Y4" s="178">
        <f t="shared" si="9"/>
        <v>0</v>
      </c>
      <c r="Z4" s="175">
        <f t="shared" si="2"/>
        <v>0</v>
      </c>
      <c r="AA4" s="179"/>
      <c r="AB4" s="467">
        <f t="shared" si="3"/>
        <v>0</v>
      </c>
      <c r="AC4" s="466">
        <f t="shared" si="4"/>
        <v>0</v>
      </c>
      <c r="AF4" s="173" t="s">
        <v>618</v>
      </c>
      <c r="AG4" s="228" t="s">
        <v>619</v>
      </c>
    </row>
    <row r="5" spans="1:33" ht="20.100000000000001" customHeight="1">
      <c r="B5" s="172"/>
      <c r="C5" s="172"/>
      <c r="D5" s="172"/>
      <c r="E5" s="181"/>
      <c r="F5" s="173"/>
      <c r="G5" s="174"/>
      <c r="H5" s="284"/>
      <c r="I5" s="221"/>
      <c r="J5" s="177">
        <f>IF(H5=0,0,IF(F5="MXN",1/HLOOKUP(YEAR(G5)+(MONTH(G5)/100),TC!$5:$37,DAY(G5)+2,FALSE),VLOOKUP(F5,Equivalencia!$5:$23,((MAX(Equivalencia!$3:$3)-YEAR(G5))*14)+MONTH(G5)+2,FALSE)))</f>
        <v>0</v>
      </c>
      <c r="K5" s="217">
        <f t="shared" si="5"/>
        <v>0</v>
      </c>
      <c r="L5" s="462">
        <f>IF(G5=0,0,VLOOKUP(YEAR(G5),INPC!$B$4:$O$29,MONTH(G5)+1))</f>
        <v>0</v>
      </c>
      <c r="M5" s="462">
        <f>IF(T5=0,0,VLOOKUP(YEAR(T5),INPC!$B$4:$O$29,MONTH(T5)+1))</f>
        <v>0</v>
      </c>
      <c r="N5" s="463">
        <f t="shared" si="0"/>
        <v>0</v>
      </c>
      <c r="O5" s="464">
        <f t="shared" si="6"/>
        <v>0</v>
      </c>
      <c r="P5" s="465">
        <f t="shared" si="7"/>
        <v>0</v>
      </c>
      <c r="Q5" s="606" t="str">
        <f t="shared" si="8"/>
        <v>NO</v>
      </c>
      <c r="R5" s="180"/>
      <c r="S5" s="173"/>
      <c r="T5" s="174"/>
      <c r="U5" s="173"/>
      <c r="V5" s="220"/>
      <c r="W5" s="177">
        <f>IF(S5=0,0,IF(U5="MXN",1/HLOOKUP(YEAR(T5)+(MONTH(T5)/100),TC!$5:$37,DAY(T5)+2,FALSE),VLOOKUP(U5,Equivalencia!$1:$23,((MAX(Equivalencia!$3:$3)-YEAR(T5))*14)+MONTH(T5)+2,FALSE)))</f>
        <v>0</v>
      </c>
      <c r="X5" s="178">
        <f t="shared" si="1"/>
        <v>0</v>
      </c>
      <c r="Y5" s="178">
        <f t="shared" si="9"/>
        <v>0</v>
      </c>
      <c r="Z5" s="175">
        <f t="shared" si="2"/>
        <v>0</v>
      </c>
      <c r="AA5" s="179"/>
      <c r="AB5" s="467">
        <f t="shared" si="3"/>
        <v>0</v>
      </c>
      <c r="AC5" s="466">
        <f t="shared" si="4"/>
        <v>0</v>
      </c>
      <c r="AF5" s="173" t="s">
        <v>620</v>
      </c>
      <c r="AG5" s="228" t="s">
        <v>621</v>
      </c>
    </row>
    <row r="6" spans="1:33" ht="20.100000000000001" customHeight="1">
      <c r="B6" s="172"/>
      <c r="C6" s="172"/>
      <c r="D6" s="172"/>
      <c r="E6" s="181"/>
      <c r="F6" s="173"/>
      <c r="G6" s="174"/>
      <c r="H6" s="284"/>
      <c r="I6" s="221"/>
      <c r="J6" s="177">
        <f>IF(H6=0,0,IF(F6="MXN",1/HLOOKUP(YEAR(G6)+(MONTH(G6)/100),TC!$5:$37,DAY(G6)+2,FALSE),VLOOKUP(F6,Equivalencia!$5:$23,((MAX(Equivalencia!$3:$3)-YEAR(G6))*14)+MONTH(G6)+2,FALSE)))</f>
        <v>0</v>
      </c>
      <c r="K6" s="217">
        <f t="shared" si="5"/>
        <v>0</v>
      </c>
      <c r="L6" s="462">
        <f>IF(G6=0,0,VLOOKUP(YEAR(G6),INPC!$B$4:$O$29,MONTH(G6)+1))</f>
        <v>0</v>
      </c>
      <c r="M6" s="462">
        <f>IF(T6=0,0,VLOOKUP(YEAR(T6),INPC!$B$4:$O$29,MONTH(T6)+1))</f>
        <v>0</v>
      </c>
      <c r="N6" s="463">
        <f t="shared" si="0"/>
        <v>0</v>
      </c>
      <c r="O6" s="464">
        <f t="shared" si="6"/>
        <v>0</v>
      </c>
      <c r="P6" s="465">
        <f t="shared" si="7"/>
        <v>0</v>
      </c>
      <c r="Q6" s="606" t="str">
        <f t="shared" si="8"/>
        <v>NO</v>
      </c>
      <c r="R6" s="180"/>
      <c r="S6" s="173"/>
      <c r="T6" s="174"/>
      <c r="U6" s="173"/>
      <c r="V6" s="220"/>
      <c r="W6" s="177">
        <f>IF(S6=0,0,IF(U6="MXN",1/HLOOKUP(YEAR(T6)+(MONTH(T6)/100),TC!$5:$37,DAY(T6)+2,FALSE),VLOOKUP(U6,Equivalencia!$1:$23,((MAX(Equivalencia!$3:$3)-YEAR(T6))*14)+MONTH(T6)+2,FALSE)))</f>
        <v>0</v>
      </c>
      <c r="X6" s="178">
        <f t="shared" si="1"/>
        <v>0</v>
      </c>
      <c r="Y6" s="178">
        <f t="shared" si="9"/>
        <v>0</v>
      </c>
      <c r="Z6" s="175">
        <f t="shared" si="2"/>
        <v>0</v>
      </c>
      <c r="AA6" s="179"/>
      <c r="AB6" s="467">
        <f t="shared" si="3"/>
        <v>0</v>
      </c>
      <c r="AC6" s="466">
        <f t="shared" si="4"/>
        <v>0</v>
      </c>
      <c r="AF6" s="173"/>
      <c r="AG6" s="228" t="s">
        <v>622</v>
      </c>
    </row>
    <row r="7" spans="1:33" ht="20.100000000000001" customHeight="1">
      <c r="B7" s="172"/>
      <c r="C7" s="172"/>
      <c r="D7" s="172"/>
      <c r="E7" s="181"/>
      <c r="F7" s="173"/>
      <c r="G7" s="174"/>
      <c r="H7" s="284"/>
      <c r="I7" s="221"/>
      <c r="J7" s="177">
        <f>IF(H7=0,0,IF(F7="MXN",1/HLOOKUP(YEAR(G7)+(MONTH(G7)/100),TC!$5:$37,DAY(G7)+2,FALSE),VLOOKUP(F7,Equivalencia!$5:$23,((MAX(Equivalencia!$3:$3)-YEAR(G7))*14)+MONTH(G7)+2,FALSE)))</f>
        <v>0</v>
      </c>
      <c r="K7" s="217">
        <f t="shared" si="5"/>
        <v>0</v>
      </c>
      <c r="L7" s="462">
        <f>IF(G7=0,0,VLOOKUP(YEAR(G7),INPC!$B$4:$O$29,MONTH(G7)+1))</f>
        <v>0</v>
      </c>
      <c r="M7" s="462">
        <f>IF(T7=0,0,VLOOKUP(YEAR(T7),INPC!$B$4:$O$29,MONTH(T7)+1))</f>
        <v>0</v>
      </c>
      <c r="N7" s="463">
        <f t="shared" si="0"/>
        <v>0</v>
      </c>
      <c r="O7" s="464">
        <f t="shared" si="6"/>
        <v>0</v>
      </c>
      <c r="P7" s="465">
        <f t="shared" si="7"/>
        <v>0</v>
      </c>
      <c r="Q7" s="606" t="str">
        <f t="shared" si="8"/>
        <v>NO</v>
      </c>
      <c r="R7" s="180"/>
      <c r="S7" s="173"/>
      <c r="T7" s="174"/>
      <c r="U7" s="173"/>
      <c r="V7" s="220"/>
      <c r="W7" s="177">
        <f>IF(S7=0,0,IF(U7="MXN",1/HLOOKUP(YEAR(T7)+(MONTH(T7)/100),TC!$5:$37,DAY(T7)+2,FALSE),VLOOKUP(U7,Equivalencia!$1:$23,((MAX(Equivalencia!$3:$3)-YEAR(T7))*14)+MONTH(T7)+2,FALSE)))</f>
        <v>0</v>
      </c>
      <c r="X7" s="178">
        <f t="shared" si="1"/>
        <v>0</v>
      </c>
      <c r="Y7" s="178">
        <f t="shared" si="9"/>
        <v>0</v>
      </c>
      <c r="Z7" s="175">
        <f t="shared" si="2"/>
        <v>0</v>
      </c>
      <c r="AA7" s="179"/>
      <c r="AB7" s="467">
        <f t="shared" si="3"/>
        <v>0</v>
      </c>
      <c r="AC7" s="466">
        <f t="shared" si="4"/>
        <v>0</v>
      </c>
      <c r="AF7" s="181"/>
      <c r="AG7" s="228" t="s">
        <v>623</v>
      </c>
    </row>
    <row r="8" spans="1:33" ht="20.100000000000001" customHeight="1">
      <c r="B8" s="172"/>
      <c r="C8" s="172"/>
      <c r="D8" s="172"/>
      <c r="E8" s="181"/>
      <c r="F8" s="173"/>
      <c r="G8" s="174"/>
      <c r="H8" s="284"/>
      <c r="I8" s="221"/>
      <c r="J8" s="177">
        <f>IF(H8=0,0,IF(F8="MXN",1/HLOOKUP(YEAR(G8)+(MONTH(G8)/100),TC!$5:$37,DAY(G8)+2,FALSE),VLOOKUP(F8,Equivalencia!$5:$23,((MAX(Equivalencia!$3:$3)-YEAR(G8))*14)+MONTH(G8)+2,FALSE)))</f>
        <v>0</v>
      </c>
      <c r="K8" s="217">
        <f t="shared" si="5"/>
        <v>0</v>
      </c>
      <c r="L8" s="462">
        <f>IF(G8=0,0,VLOOKUP(YEAR(G8),INPC!$B$4:$O$29,MONTH(G8)+1))</f>
        <v>0</v>
      </c>
      <c r="M8" s="462">
        <f>IF(T8=0,0,VLOOKUP(YEAR(T8),INPC!$B$4:$O$29,MONTH(T8)+1))</f>
        <v>0</v>
      </c>
      <c r="N8" s="463">
        <f t="shared" si="0"/>
        <v>0</v>
      </c>
      <c r="O8" s="464">
        <f t="shared" si="6"/>
        <v>0</v>
      </c>
      <c r="P8" s="465">
        <f t="shared" si="7"/>
        <v>0</v>
      </c>
      <c r="Q8" s="606" t="str">
        <f t="shared" si="8"/>
        <v>NO</v>
      </c>
      <c r="R8" s="180"/>
      <c r="S8" s="173"/>
      <c r="T8" s="174"/>
      <c r="U8" s="173"/>
      <c r="V8" s="220"/>
      <c r="W8" s="177">
        <f>IF(S8=0,0,IF(U8="MXN",1/HLOOKUP(YEAR(T8)+(MONTH(T8)/100),TC!$5:$37,DAY(T8)+2,FALSE),VLOOKUP(U8,Equivalencia!$1:$23,((MAX(Equivalencia!$3:$3)-YEAR(T8))*14)+MONTH(T8)+2,FALSE)))</f>
        <v>0</v>
      </c>
      <c r="X8" s="178">
        <f t="shared" si="1"/>
        <v>0</v>
      </c>
      <c r="Y8" s="178">
        <f t="shared" si="9"/>
        <v>0</v>
      </c>
      <c r="Z8" s="175">
        <f t="shared" si="2"/>
        <v>0</v>
      </c>
      <c r="AA8" s="179"/>
      <c r="AB8" s="467">
        <f t="shared" si="3"/>
        <v>0</v>
      </c>
      <c r="AC8" s="466">
        <f t="shared" si="4"/>
        <v>0</v>
      </c>
      <c r="AF8" s="181"/>
      <c r="AG8" s="228" t="s">
        <v>624</v>
      </c>
    </row>
    <row r="9" spans="1:33" ht="20.100000000000001" customHeight="1">
      <c r="B9" s="172"/>
      <c r="C9" s="172"/>
      <c r="D9" s="172"/>
      <c r="E9" s="181"/>
      <c r="F9" s="173"/>
      <c r="G9" s="174"/>
      <c r="H9" s="284"/>
      <c r="I9" s="221"/>
      <c r="J9" s="177">
        <f>IF(H9=0,0,IF(F9="MXN",1/HLOOKUP(YEAR(G9)+(MONTH(G9)/100),TC!$5:$37,DAY(G9)+2,FALSE),VLOOKUP(F9,Equivalencia!$5:$23,((MAX(Equivalencia!$3:$3)-YEAR(G9))*14)+MONTH(G9)+2,FALSE)))</f>
        <v>0</v>
      </c>
      <c r="K9" s="217">
        <f t="shared" si="5"/>
        <v>0</v>
      </c>
      <c r="L9" s="462">
        <f>IF(G9=0,0,VLOOKUP(YEAR(G9),INPC!$B$4:$O$29,MONTH(G9)+1))</f>
        <v>0</v>
      </c>
      <c r="M9" s="462">
        <f>IF(T9=0,0,VLOOKUP(YEAR(T9),INPC!$B$4:$O$29,MONTH(T9)+1))</f>
        <v>0</v>
      </c>
      <c r="N9" s="463">
        <f t="shared" si="0"/>
        <v>0</v>
      </c>
      <c r="O9" s="464">
        <f t="shared" si="6"/>
        <v>0</v>
      </c>
      <c r="P9" s="465">
        <f t="shared" si="7"/>
        <v>0</v>
      </c>
      <c r="Q9" s="606" t="str">
        <f t="shared" si="8"/>
        <v>NO</v>
      </c>
      <c r="R9" s="180"/>
      <c r="S9" s="173"/>
      <c r="T9" s="174"/>
      <c r="U9" s="173"/>
      <c r="V9" s="220"/>
      <c r="W9" s="177">
        <f>IF(S9=0,0,IF(U9="MXN",1/HLOOKUP(YEAR(T9)+(MONTH(T9)/100),TC!$5:$37,DAY(T9)+2,FALSE),VLOOKUP(U9,Equivalencia!$1:$23,((MAX(Equivalencia!$3:$3)-YEAR(T9))*14)+MONTH(T9)+2,FALSE)))</f>
        <v>0</v>
      </c>
      <c r="X9" s="178">
        <f t="shared" si="1"/>
        <v>0</v>
      </c>
      <c r="Y9" s="178">
        <f t="shared" si="9"/>
        <v>0</v>
      </c>
      <c r="Z9" s="175">
        <f t="shared" si="2"/>
        <v>0</v>
      </c>
      <c r="AA9" s="179"/>
      <c r="AB9" s="467">
        <f t="shared" si="3"/>
        <v>0</v>
      </c>
      <c r="AC9" s="466">
        <f t="shared" si="4"/>
        <v>0</v>
      </c>
      <c r="AG9" s="173"/>
    </row>
    <row r="10" spans="1:33" ht="20.100000000000001" customHeight="1">
      <c r="B10" s="172"/>
      <c r="C10" s="172"/>
      <c r="D10" s="172"/>
      <c r="E10" s="181"/>
      <c r="F10" s="173"/>
      <c r="G10" s="174"/>
      <c r="H10" s="284"/>
      <c r="I10" s="221"/>
      <c r="J10" s="177">
        <f>IF(H10=0,0,IF(F10="MXN",1/HLOOKUP(YEAR(G10)+(MONTH(G10)/100),TC!$5:$37,DAY(G10)+2,FALSE),VLOOKUP(F10,Equivalencia!$5:$23,((MAX(Equivalencia!$3:$3)-YEAR(G10))*14)+MONTH(G10)+2,FALSE)))</f>
        <v>0</v>
      </c>
      <c r="K10" s="217">
        <f t="shared" si="5"/>
        <v>0</v>
      </c>
      <c r="L10" s="462">
        <f>IF(G10=0,0,VLOOKUP(YEAR(G10),INPC!$B$4:$O$29,MONTH(G10)+1))</f>
        <v>0</v>
      </c>
      <c r="M10" s="462">
        <f>IF(T10=0,0,VLOOKUP(YEAR(T10),INPC!$B$4:$O$29,MONTH(T10)+1))</f>
        <v>0</v>
      </c>
      <c r="N10" s="463">
        <f t="shared" si="0"/>
        <v>0</v>
      </c>
      <c r="O10" s="464">
        <f t="shared" si="6"/>
        <v>0</v>
      </c>
      <c r="P10" s="465">
        <f t="shared" si="7"/>
        <v>0</v>
      </c>
      <c r="Q10" s="606" t="str">
        <f t="shared" si="8"/>
        <v>NO</v>
      </c>
      <c r="R10" s="180"/>
      <c r="S10" s="173"/>
      <c r="T10" s="174"/>
      <c r="U10" s="173"/>
      <c r="V10" s="220"/>
      <c r="W10" s="177">
        <f>IF(S10=0,0,IF(U10="MXN",1/HLOOKUP(YEAR(T10)+(MONTH(T10)/100),TC!$5:$37,DAY(T10)+2,FALSE),VLOOKUP(U10,Equivalencia!$1:$23,((MAX(Equivalencia!$3:$3)-YEAR(T10))*14)+MONTH(T10)+2,FALSE)))</f>
        <v>0</v>
      </c>
      <c r="X10" s="178">
        <f t="shared" si="1"/>
        <v>0</v>
      </c>
      <c r="Y10" s="178">
        <f t="shared" si="9"/>
        <v>0</v>
      </c>
      <c r="Z10" s="175">
        <f t="shared" si="2"/>
        <v>0</v>
      </c>
      <c r="AA10" s="179"/>
      <c r="AB10" s="467">
        <f t="shared" si="3"/>
        <v>0</v>
      </c>
      <c r="AC10" s="466">
        <f t="shared" si="4"/>
        <v>0</v>
      </c>
      <c r="AG10" s="173"/>
    </row>
    <row r="11" spans="1:33" ht="20.100000000000001" customHeight="1">
      <c r="B11" s="172"/>
      <c r="C11" s="172"/>
      <c r="D11" s="172"/>
      <c r="E11" s="181"/>
      <c r="F11" s="173"/>
      <c r="G11" s="174"/>
      <c r="H11" s="284"/>
      <c r="I11" s="221"/>
      <c r="J11" s="177">
        <f>IF(H11=0,0,IF(F11="MXN",1/HLOOKUP(YEAR(G11)+(MONTH(G11)/100),TC!$5:$37,DAY(G11)+2,FALSE),VLOOKUP(F11,Equivalencia!$5:$23,((MAX(Equivalencia!$3:$3)-YEAR(G11))*14)+MONTH(G11)+2,FALSE)))</f>
        <v>0</v>
      </c>
      <c r="K11" s="217">
        <f t="shared" si="5"/>
        <v>0</v>
      </c>
      <c r="L11" s="462">
        <f>IF(G11=0,0,VLOOKUP(YEAR(G11),INPC!$B$4:$O$29,MONTH(G11)+1))</f>
        <v>0</v>
      </c>
      <c r="M11" s="462">
        <f>IF(T11=0,0,VLOOKUP(YEAR(T11),INPC!$B$4:$O$29,MONTH(T11)+1))</f>
        <v>0</v>
      </c>
      <c r="N11" s="463">
        <f t="shared" si="0"/>
        <v>0</v>
      </c>
      <c r="O11" s="464">
        <f t="shared" si="6"/>
        <v>0</v>
      </c>
      <c r="P11" s="465">
        <f t="shared" si="7"/>
        <v>0</v>
      </c>
      <c r="Q11" s="606" t="str">
        <f t="shared" si="8"/>
        <v>NO</v>
      </c>
      <c r="R11" s="180"/>
      <c r="S11" s="173"/>
      <c r="T11" s="174"/>
      <c r="U11" s="173"/>
      <c r="V11" s="220"/>
      <c r="W11" s="177">
        <f>IF(S11=0,0,IF(U11="MXN",1/HLOOKUP(YEAR(T11)+(MONTH(T11)/100),TC!$5:$37,DAY(T11)+2,FALSE),VLOOKUP(U11,Equivalencia!$1:$23,((MAX(Equivalencia!$3:$3)-YEAR(T11))*14)+MONTH(T11)+2,FALSE)))</f>
        <v>0</v>
      </c>
      <c r="X11" s="178">
        <f t="shared" si="1"/>
        <v>0</v>
      </c>
      <c r="Y11" s="178">
        <f t="shared" si="9"/>
        <v>0</v>
      </c>
      <c r="Z11" s="175">
        <f t="shared" si="2"/>
        <v>0</v>
      </c>
      <c r="AA11" s="179"/>
      <c r="AB11" s="467">
        <f t="shared" si="3"/>
        <v>0</v>
      </c>
      <c r="AC11" s="466">
        <f t="shared" si="4"/>
        <v>0</v>
      </c>
      <c r="AG11" s="173"/>
    </row>
    <row r="12" spans="1:33" ht="20.100000000000001" customHeight="1">
      <c r="B12" s="172"/>
      <c r="C12" s="172"/>
      <c r="D12" s="172"/>
      <c r="E12" s="181"/>
      <c r="F12" s="173"/>
      <c r="G12" s="174"/>
      <c r="H12" s="284"/>
      <c r="I12" s="221"/>
      <c r="J12" s="177">
        <f>IF(H12=0,0,IF(F12="MXN",1/HLOOKUP(YEAR(G12)+(MONTH(G12)/100),TC!$5:$37,DAY(G12)+2,FALSE),VLOOKUP(F12,Equivalencia!$5:$23,((MAX(Equivalencia!$3:$3)-YEAR(G12))*14)+MONTH(G12)+2,FALSE)))</f>
        <v>0</v>
      </c>
      <c r="K12" s="217">
        <f t="shared" si="5"/>
        <v>0</v>
      </c>
      <c r="L12" s="462">
        <f>IF(G12=0,0,VLOOKUP(YEAR(G12),INPC!$B$4:$O$29,MONTH(G12)+1))</f>
        <v>0</v>
      </c>
      <c r="M12" s="462">
        <f>IF(T12=0,0,VLOOKUP(YEAR(T12),INPC!$B$4:$O$29,MONTH(T12)+1))</f>
        <v>0</v>
      </c>
      <c r="N12" s="463">
        <f t="shared" si="0"/>
        <v>0</v>
      </c>
      <c r="O12" s="464">
        <f t="shared" si="6"/>
        <v>0</v>
      </c>
      <c r="P12" s="465">
        <f t="shared" si="7"/>
        <v>0</v>
      </c>
      <c r="Q12" s="606" t="str">
        <f t="shared" si="8"/>
        <v>NO</v>
      </c>
      <c r="R12" s="180"/>
      <c r="S12" s="173"/>
      <c r="T12" s="174"/>
      <c r="U12" s="173"/>
      <c r="V12" s="220"/>
      <c r="W12" s="177">
        <f>IF(S12=0,0,IF(U12="MXN",1/HLOOKUP(YEAR(T12)+(MONTH(T12)/100),TC!$5:$37,DAY(T12)+2,FALSE),VLOOKUP(U12,Equivalencia!$1:$23,((MAX(Equivalencia!$3:$3)-YEAR(T12))*14)+MONTH(T12)+2,FALSE)))</f>
        <v>0</v>
      </c>
      <c r="X12" s="178">
        <f t="shared" ref="X12:X66" si="10">+W12*V12</f>
        <v>0</v>
      </c>
      <c r="Y12" s="178">
        <f t="shared" si="9"/>
        <v>0</v>
      </c>
      <c r="Z12" s="175">
        <f t="shared" si="2"/>
        <v>0</v>
      </c>
      <c r="AA12" s="179"/>
      <c r="AB12" s="467">
        <f t="shared" si="3"/>
        <v>0</v>
      </c>
      <c r="AC12" s="466">
        <f t="shared" si="4"/>
        <v>0</v>
      </c>
    </row>
    <row r="13" spans="1:33" ht="20.100000000000001" customHeight="1">
      <c r="B13" s="172"/>
      <c r="C13" s="172"/>
      <c r="D13" s="172"/>
      <c r="E13" s="181"/>
      <c r="F13" s="173"/>
      <c r="G13" s="174"/>
      <c r="H13" s="284"/>
      <c r="I13" s="221"/>
      <c r="J13" s="177">
        <f>IF(H13=0,0,IF(F13="MXN",1/HLOOKUP(YEAR(G13)+(MONTH(G13)/100),TC!$5:$37,DAY(G13)+2,FALSE),VLOOKUP(F13,Equivalencia!$5:$23,((MAX(Equivalencia!$3:$3)-YEAR(G13))*14)+MONTH(G13)+2,FALSE)))</f>
        <v>0</v>
      </c>
      <c r="K13" s="217">
        <f t="shared" si="5"/>
        <v>0</v>
      </c>
      <c r="L13" s="462">
        <f>IF(G13=0,0,VLOOKUP(YEAR(G13),INPC!$B$4:$O$29,MONTH(G13)+1))</f>
        <v>0</v>
      </c>
      <c r="M13" s="462">
        <f>IF(T13=0,0,VLOOKUP(YEAR(T13),INPC!$B$4:$O$29,MONTH(T13)+1))</f>
        <v>0</v>
      </c>
      <c r="N13" s="463">
        <f t="shared" si="0"/>
        <v>0</v>
      </c>
      <c r="O13" s="464">
        <f t="shared" si="6"/>
        <v>0</v>
      </c>
      <c r="P13" s="465">
        <f t="shared" si="7"/>
        <v>0</v>
      </c>
      <c r="Q13" s="606" t="str">
        <f t="shared" si="8"/>
        <v>NO</v>
      </c>
      <c r="R13" s="180"/>
      <c r="S13" s="173"/>
      <c r="T13" s="174"/>
      <c r="U13" s="173"/>
      <c r="V13" s="220"/>
      <c r="W13" s="177">
        <f>IF(S13=0,0,IF(U13="MXN",1/HLOOKUP(YEAR(T13)+(MONTH(T13)/100),TC!$5:$37,DAY(T13)+2,FALSE),VLOOKUP(U13,Equivalencia!$1:$23,((MAX(Equivalencia!$3:$3)-YEAR(T13))*14)+MONTH(T13)+2,FALSE)))</f>
        <v>0</v>
      </c>
      <c r="X13" s="178">
        <f t="shared" si="10"/>
        <v>0</v>
      </c>
      <c r="Y13" s="178">
        <f t="shared" si="9"/>
        <v>0</v>
      </c>
      <c r="Z13" s="175">
        <f t="shared" si="2"/>
        <v>0</v>
      </c>
      <c r="AA13" s="179"/>
      <c r="AB13" s="467">
        <f t="shared" si="3"/>
        <v>0</v>
      </c>
      <c r="AC13" s="466">
        <f t="shared" si="4"/>
        <v>0</v>
      </c>
    </row>
    <row r="14" spans="1:33" ht="20.100000000000001" customHeight="1">
      <c r="B14" s="172"/>
      <c r="C14" s="172"/>
      <c r="D14" s="172"/>
      <c r="E14" s="181"/>
      <c r="F14" s="173"/>
      <c r="G14" s="174"/>
      <c r="H14" s="284"/>
      <c r="I14" s="221"/>
      <c r="J14" s="177">
        <f>IF(H14=0,0,IF(F14="MXN",1/HLOOKUP(YEAR(G14)+(MONTH(G14)/100),TC!$5:$37,DAY(G14)+2,FALSE),VLOOKUP(F14,Equivalencia!$5:$23,((MAX(Equivalencia!$3:$3)-YEAR(G14))*14)+MONTH(G14)+2,FALSE)))</f>
        <v>0</v>
      </c>
      <c r="K14" s="217">
        <f t="shared" si="5"/>
        <v>0</v>
      </c>
      <c r="L14" s="462">
        <f>IF(G14=0,0,VLOOKUP(YEAR(G14),INPC!$B$4:$O$29,MONTH(G14)+1))</f>
        <v>0</v>
      </c>
      <c r="M14" s="462">
        <f>IF(T14=0,0,VLOOKUP(YEAR(T14),INPC!$B$4:$O$29,MONTH(T14)+1))</f>
        <v>0</v>
      </c>
      <c r="N14" s="463">
        <f t="shared" si="0"/>
        <v>0</v>
      </c>
      <c r="O14" s="464">
        <f t="shared" si="6"/>
        <v>0</v>
      </c>
      <c r="P14" s="465">
        <f t="shared" si="7"/>
        <v>0</v>
      </c>
      <c r="Q14" s="606" t="str">
        <f t="shared" si="8"/>
        <v>NO</v>
      </c>
      <c r="R14" s="180"/>
      <c r="S14" s="173"/>
      <c r="T14" s="174"/>
      <c r="U14" s="173"/>
      <c r="V14" s="220"/>
      <c r="W14" s="177">
        <f>IF(S14=0,0,IF(U14="MXN",1/HLOOKUP(YEAR(T14)+(MONTH(T14)/100),TC!$5:$37,DAY(T14)+2,FALSE),VLOOKUP(U14,Equivalencia!$1:$23,((MAX(Equivalencia!$3:$3)-YEAR(T14))*14)+MONTH(T14)+2,FALSE)))</f>
        <v>0</v>
      </c>
      <c r="X14" s="178">
        <f t="shared" si="10"/>
        <v>0</v>
      </c>
      <c r="Y14" s="178">
        <f t="shared" si="9"/>
        <v>0</v>
      </c>
      <c r="Z14" s="175">
        <f t="shared" si="2"/>
        <v>0</v>
      </c>
      <c r="AA14" s="179"/>
      <c r="AB14" s="467">
        <f t="shared" si="3"/>
        <v>0</v>
      </c>
      <c r="AC14" s="466">
        <f t="shared" si="4"/>
        <v>0</v>
      </c>
    </row>
    <row r="15" spans="1:33" ht="20.100000000000001" customHeight="1">
      <c r="B15" s="172"/>
      <c r="C15" s="172"/>
      <c r="D15" s="172"/>
      <c r="E15" s="181"/>
      <c r="F15" s="173"/>
      <c r="G15" s="174"/>
      <c r="H15" s="284"/>
      <c r="I15" s="221"/>
      <c r="J15" s="177">
        <f>IF(H15=0,0,IF(F15="MXN",1/HLOOKUP(YEAR(G15)+(MONTH(G15)/100),TC!$5:$37,DAY(G15)+2,FALSE),VLOOKUP(F15,Equivalencia!$5:$23,((MAX(Equivalencia!$3:$3)-YEAR(G15))*14)+MONTH(G15)+2,FALSE)))</f>
        <v>0</v>
      </c>
      <c r="K15" s="217">
        <f t="shared" si="5"/>
        <v>0</v>
      </c>
      <c r="L15" s="462">
        <f>IF(G15=0,0,VLOOKUP(YEAR(G15),INPC!$B$4:$O$29,MONTH(G15)+1))</f>
        <v>0</v>
      </c>
      <c r="M15" s="462">
        <f>IF(T15=0,0,VLOOKUP(YEAR(T15),INPC!$B$4:$O$29,MONTH(T15)+1))</f>
        <v>0</v>
      </c>
      <c r="N15" s="463">
        <f t="shared" si="0"/>
        <v>0</v>
      </c>
      <c r="O15" s="464">
        <f t="shared" si="6"/>
        <v>0</v>
      </c>
      <c r="P15" s="465">
        <f t="shared" si="7"/>
        <v>0</v>
      </c>
      <c r="Q15" s="606" t="str">
        <f t="shared" si="8"/>
        <v>NO</v>
      </c>
      <c r="R15" s="180"/>
      <c r="S15" s="173"/>
      <c r="T15" s="174"/>
      <c r="U15" s="173"/>
      <c r="V15" s="220"/>
      <c r="W15" s="177">
        <f>IF(S15=0,0,IF(U15="MXN",1/HLOOKUP(YEAR(T15)+(MONTH(T15)/100),TC!$5:$37,DAY(T15)+2,FALSE),VLOOKUP(U15,Equivalencia!$1:$23,((MAX(Equivalencia!$3:$3)-YEAR(T15))*14)+MONTH(T15)+2,FALSE)))</f>
        <v>0</v>
      </c>
      <c r="X15" s="178">
        <f t="shared" si="10"/>
        <v>0</v>
      </c>
      <c r="Y15" s="178">
        <f t="shared" si="9"/>
        <v>0</v>
      </c>
      <c r="Z15" s="175">
        <f t="shared" si="2"/>
        <v>0</v>
      </c>
      <c r="AA15" s="179"/>
      <c r="AB15" s="467">
        <f t="shared" si="3"/>
        <v>0</v>
      </c>
      <c r="AC15" s="466">
        <f t="shared" si="4"/>
        <v>0</v>
      </c>
    </row>
    <row r="16" spans="1:33" ht="20.100000000000001" customHeight="1">
      <c r="B16" s="172"/>
      <c r="C16" s="172"/>
      <c r="D16" s="172"/>
      <c r="E16" s="181"/>
      <c r="F16" s="173"/>
      <c r="G16" s="174"/>
      <c r="H16" s="284"/>
      <c r="I16" s="221"/>
      <c r="J16" s="177">
        <f>IF(H16=0,0,IF(F16="MXN",1/HLOOKUP(YEAR(G16)+(MONTH(G16)/100),TC!$5:$37,DAY(G16)+2,FALSE),VLOOKUP(F16,Equivalencia!$5:$23,((MAX(Equivalencia!$3:$3)-YEAR(G16))*14)+MONTH(G16)+2,FALSE)))</f>
        <v>0</v>
      </c>
      <c r="K16" s="217">
        <f t="shared" si="5"/>
        <v>0</v>
      </c>
      <c r="L16" s="462">
        <f>IF(G16=0,0,VLOOKUP(YEAR(G16),INPC!$B$4:$O$29,MONTH(G16)+1))</f>
        <v>0</v>
      </c>
      <c r="M16" s="462">
        <f>IF(T16=0,0,VLOOKUP(YEAR(T16),INPC!$B$4:$O$29,MONTH(T16)+1))</f>
        <v>0</v>
      </c>
      <c r="N16" s="463">
        <f t="shared" si="0"/>
        <v>0</v>
      </c>
      <c r="O16" s="464">
        <f t="shared" si="6"/>
        <v>0</v>
      </c>
      <c r="P16" s="465">
        <f t="shared" si="7"/>
        <v>0</v>
      </c>
      <c r="Q16" s="606" t="str">
        <f t="shared" si="8"/>
        <v>NO</v>
      </c>
      <c r="R16" s="180"/>
      <c r="S16" s="173"/>
      <c r="T16" s="174"/>
      <c r="U16" s="173"/>
      <c r="V16" s="220"/>
      <c r="W16" s="177">
        <f>IF(S16=0,0,IF(U16="MXN",1/HLOOKUP(YEAR(T16)+(MONTH(T16)/100),TC!$5:$37,DAY(T16)+2,FALSE),VLOOKUP(U16,Equivalencia!$1:$23,((MAX(Equivalencia!$3:$3)-YEAR(T16))*14)+MONTH(T16)+2,FALSE)))</f>
        <v>0</v>
      </c>
      <c r="X16" s="178">
        <f t="shared" si="10"/>
        <v>0</v>
      </c>
      <c r="Y16" s="178">
        <f t="shared" si="9"/>
        <v>0</v>
      </c>
      <c r="Z16" s="175">
        <f t="shared" si="2"/>
        <v>0</v>
      </c>
      <c r="AA16" s="179"/>
      <c r="AB16" s="467">
        <f t="shared" si="3"/>
        <v>0</v>
      </c>
      <c r="AC16" s="466">
        <f t="shared" si="4"/>
        <v>0</v>
      </c>
    </row>
    <row r="17" spans="2:29" ht="20.100000000000001" customHeight="1">
      <c r="B17" s="172"/>
      <c r="C17" s="172"/>
      <c r="D17" s="172"/>
      <c r="E17" s="181"/>
      <c r="F17" s="173"/>
      <c r="G17" s="174"/>
      <c r="H17" s="284"/>
      <c r="I17" s="221"/>
      <c r="J17" s="177">
        <f>IF(H17=0,0,IF(F17="MXN",1/HLOOKUP(YEAR(G17)+(MONTH(G17)/100),TC!$5:$37,DAY(G17)+2,FALSE),VLOOKUP(F17,Equivalencia!$5:$23,((MAX(Equivalencia!$3:$3)-YEAR(G17))*14)+MONTH(G17)+2,FALSE)))</f>
        <v>0</v>
      </c>
      <c r="K17" s="217">
        <f t="shared" si="5"/>
        <v>0</v>
      </c>
      <c r="L17" s="462">
        <f>IF(G17=0,0,VLOOKUP(YEAR(G17),INPC!$B$4:$O$29,MONTH(G17)+1))</f>
        <v>0</v>
      </c>
      <c r="M17" s="462">
        <f>IF(T17=0,0,VLOOKUP(YEAR(T17),INPC!$B$4:$O$29,MONTH(T17)+1))</f>
        <v>0</v>
      </c>
      <c r="N17" s="463">
        <f t="shared" si="0"/>
        <v>0</v>
      </c>
      <c r="O17" s="464">
        <f t="shared" si="6"/>
        <v>0</v>
      </c>
      <c r="P17" s="465">
        <f t="shared" si="7"/>
        <v>0</v>
      </c>
      <c r="Q17" s="606" t="str">
        <f t="shared" si="8"/>
        <v>NO</v>
      </c>
      <c r="R17" s="180"/>
      <c r="S17" s="173"/>
      <c r="T17" s="174"/>
      <c r="U17" s="173"/>
      <c r="V17" s="220"/>
      <c r="W17" s="177">
        <f>IF(S17=0,0,IF(U17="MXN",1/HLOOKUP(YEAR(T17)+(MONTH(T17)/100),TC!$5:$37,DAY(T17)+2,FALSE),VLOOKUP(U17,Equivalencia!$1:$23,((MAX(Equivalencia!$3:$3)-YEAR(T17))*14)+MONTH(T17)+2,FALSE)))</f>
        <v>0</v>
      </c>
      <c r="X17" s="178">
        <f t="shared" si="10"/>
        <v>0</v>
      </c>
      <c r="Y17" s="178">
        <f t="shared" si="9"/>
        <v>0</v>
      </c>
      <c r="Z17" s="175">
        <f t="shared" si="2"/>
        <v>0</v>
      </c>
      <c r="AA17" s="179"/>
      <c r="AB17" s="467">
        <f t="shared" si="3"/>
        <v>0</v>
      </c>
      <c r="AC17" s="466">
        <f t="shared" si="4"/>
        <v>0</v>
      </c>
    </row>
    <row r="18" spans="2:29" ht="20.100000000000001" customHeight="1">
      <c r="B18" s="172"/>
      <c r="C18" s="172"/>
      <c r="D18" s="172"/>
      <c r="E18" s="181"/>
      <c r="F18" s="173"/>
      <c r="G18" s="174"/>
      <c r="H18" s="284"/>
      <c r="I18" s="221"/>
      <c r="J18" s="177">
        <f>IF(H18=0,0,IF(F18="MXN",1/HLOOKUP(YEAR(G18)+(MONTH(G18)/100),TC!$5:$37,DAY(G18)+2,FALSE),VLOOKUP(F18,Equivalencia!$5:$23,((MAX(Equivalencia!$3:$3)-YEAR(G18))*14)+MONTH(G18)+2,FALSE)))</f>
        <v>0</v>
      </c>
      <c r="K18" s="217">
        <f t="shared" si="5"/>
        <v>0</v>
      </c>
      <c r="L18" s="462">
        <f>IF(G18=0,0,VLOOKUP(YEAR(G18),INPC!$B$4:$O$29,MONTH(G18)+1))</f>
        <v>0</v>
      </c>
      <c r="M18" s="462">
        <f>IF(T18=0,0,VLOOKUP(YEAR(T18),INPC!$B$4:$O$29,MONTH(T18)+1))</f>
        <v>0</v>
      </c>
      <c r="N18" s="463">
        <f t="shared" si="0"/>
        <v>0</v>
      </c>
      <c r="O18" s="464">
        <f t="shared" si="6"/>
        <v>0</v>
      </c>
      <c r="P18" s="465">
        <f t="shared" si="7"/>
        <v>0</v>
      </c>
      <c r="Q18" s="606" t="str">
        <f t="shared" si="8"/>
        <v>NO</v>
      </c>
      <c r="R18" s="180"/>
      <c r="S18" s="173"/>
      <c r="T18" s="174"/>
      <c r="U18" s="173"/>
      <c r="V18" s="220"/>
      <c r="W18" s="177">
        <f>IF(S18=0,0,IF(U18="MXN",1/HLOOKUP(YEAR(T18)+(MONTH(T18)/100),TC!$5:$37,DAY(T18)+2,FALSE),VLOOKUP(U18,Equivalencia!$1:$23,((MAX(Equivalencia!$3:$3)-YEAR(T18))*14)+MONTH(T18)+2,FALSE)))</f>
        <v>0</v>
      </c>
      <c r="X18" s="178">
        <f t="shared" si="10"/>
        <v>0</v>
      </c>
      <c r="Y18" s="178">
        <f t="shared" si="9"/>
        <v>0</v>
      </c>
      <c r="Z18" s="175">
        <f t="shared" si="2"/>
        <v>0</v>
      </c>
      <c r="AA18" s="179"/>
      <c r="AB18" s="467">
        <f t="shared" si="3"/>
        <v>0</v>
      </c>
      <c r="AC18" s="466">
        <f t="shared" si="4"/>
        <v>0</v>
      </c>
    </row>
    <row r="19" spans="2:29" ht="20.100000000000001" customHeight="1">
      <c r="B19" s="172"/>
      <c r="C19" s="172"/>
      <c r="D19" s="172"/>
      <c r="E19" s="181"/>
      <c r="F19" s="173"/>
      <c r="G19" s="174"/>
      <c r="H19" s="284"/>
      <c r="I19" s="221"/>
      <c r="J19" s="177">
        <f>IF(H19=0,0,IF(F19="MXN",1/HLOOKUP(YEAR(G19)+(MONTH(G19)/100),TC!$5:$37,DAY(G19)+2,FALSE),VLOOKUP(F19,Equivalencia!$5:$23,((MAX(Equivalencia!$3:$3)-YEAR(G19))*14)+MONTH(G19)+2,FALSE)))</f>
        <v>0</v>
      </c>
      <c r="K19" s="217">
        <f t="shared" si="5"/>
        <v>0</v>
      </c>
      <c r="L19" s="462">
        <f>IF(G19=0,0,VLOOKUP(YEAR(G19),INPC!$B$4:$O$29,MONTH(G19)+1))</f>
        <v>0</v>
      </c>
      <c r="M19" s="462">
        <f>IF(T19=0,0,VLOOKUP(YEAR(T19),INPC!$B$4:$O$29,MONTH(T19)+1))</f>
        <v>0</v>
      </c>
      <c r="N19" s="463">
        <f t="shared" si="0"/>
        <v>0</v>
      </c>
      <c r="O19" s="464">
        <f t="shared" si="6"/>
        <v>0</v>
      </c>
      <c r="P19" s="465">
        <f t="shared" si="7"/>
        <v>0</v>
      </c>
      <c r="Q19" s="606" t="str">
        <f t="shared" si="8"/>
        <v>NO</v>
      </c>
      <c r="R19" s="180"/>
      <c r="S19" s="173"/>
      <c r="T19" s="174"/>
      <c r="U19" s="173"/>
      <c r="V19" s="220"/>
      <c r="W19" s="177">
        <f>IF(S19=0,0,IF(U19="MXN",1/HLOOKUP(YEAR(T19)+(MONTH(T19)/100),TC!$5:$37,DAY(T19)+2,FALSE),VLOOKUP(U19,Equivalencia!$1:$23,((MAX(Equivalencia!$3:$3)-YEAR(T19))*14)+MONTH(T19)+2,FALSE)))</f>
        <v>0</v>
      </c>
      <c r="X19" s="178">
        <f t="shared" si="10"/>
        <v>0</v>
      </c>
      <c r="Y19" s="178">
        <f t="shared" si="9"/>
        <v>0</v>
      </c>
      <c r="Z19" s="175">
        <f t="shared" si="2"/>
        <v>0</v>
      </c>
      <c r="AA19" s="179"/>
      <c r="AB19" s="467">
        <f t="shared" si="3"/>
        <v>0</v>
      </c>
      <c r="AC19" s="466">
        <f t="shared" si="4"/>
        <v>0</v>
      </c>
    </row>
    <row r="20" spans="2:29" ht="20.100000000000001" customHeight="1">
      <c r="B20" s="172"/>
      <c r="C20" s="172"/>
      <c r="D20" s="172"/>
      <c r="E20" s="181"/>
      <c r="F20" s="173"/>
      <c r="G20" s="174"/>
      <c r="H20" s="284"/>
      <c r="I20" s="221"/>
      <c r="J20" s="177">
        <f>IF(H20=0,0,IF(F20="MXN",1/HLOOKUP(YEAR(G20)+(MONTH(G20)/100),TC!$5:$37,DAY(G20)+2,FALSE),VLOOKUP(F20,Equivalencia!$5:$23,((MAX(Equivalencia!$3:$3)-YEAR(G20))*14)+MONTH(G20)+2,FALSE)))</f>
        <v>0</v>
      </c>
      <c r="K20" s="217">
        <f t="shared" si="5"/>
        <v>0</v>
      </c>
      <c r="L20" s="462">
        <f>IF(G20=0,0,VLOOKUP(YEAR(G20),INPC!$B$4:$O$29,MONTH(G20)+1))</f>
        <v>0</v>
      </c>
      <c r="M20" s="462">
        <f>IF(T20=0,0,VLOOKUP(YEAR(T20),INPC!$B$4:$O$29,MONTH(T20)+1))</f>
        <v>0</v>
      </c>
      <c r="N20" s="463">
        <f t="shared" si="0"/>
        <v>0</v>
      </c>
      <c r="O20" s="464">
        <f t="shared" si="6"/>
        <v>0</v>
      </c>
      <c r="P20" s="465">
        <f t="shared" si="7"/>
        <v>0</v>
      </c>
      <c r="Q20" s="606" t="str">
        <f t="shared" si="8"/>
        <v>NO</v>
      </c>
      <c r="R20" s="180"/>
      <c r="S20" s="173"/>
      <c r="T20" s="174"/>
      <c r="U20" s="173"/>
      <c r="V20" s="220"/>
      <c r="W20" s="177">
        <f>IF(S20=0,0,IF(U20="MXN",1/HLOOKUP(YEAR(T20)+(MONTH(T20)/100),TC!$5:$37,DAY(T20)+2,FALSE),VLOOKUP(U20,Equivalencia!$1:$23,((MAX(Equivalencia!$3:$3)-YEAR(T20))*14)+MONTH(T20)+2,FALSE)))</f>
        <v>0</v>
      </c>
      <c r="X20" s="178">
        <f t="shared" si="10"/>
        <v>0</v>
      </c>
      <c r="Y20" s="178">
        <f t="shared" si="9"/>
        <v>0</v>
      </c>
      <c r="Z20" s="175">
        <f t="shared" si="2"/>
        <v>0</v>
      </c>
      <c r="AA20" s="179"/>
      <c r="AB20" s="467">
        <f t="shared" si="3"/>
        <v>0</v>
      </c>
      <c r="AC20" s="466">
        <f t="shared" si="4"/>
        <v>0</v>
      </c>
    </row>
    <row r="21" spans="2:29" ht="20.100000000000001" customHeight="1">
      <c r="B21" s="172"/>
      <c r="C21" s="172"/>
      <c r="D21" s="172"/>
      <c r="E21" s="181"/>
      <c r="F21" s="173"/>
      <c r="G21" s="174"/>
      <c r="H21" s="284"/>
      <c r="I21" s="221"/>
      <c r="J21" s="177">
        <f>IF(H21=0,0,IF(F21="MXN",1/HLOOKUP(YEAR(G21)+(MONTH(G21)/100),TC!$5:$37,DAY(G21)+2,FALSE),VLOOKUP(F21,Equivalencia!$5:$23,((MAX(Equivalencia!$3:$3)-YEAR(G21))*14)+MONTH(G21)+2,FALSE)))</f>
        <v>0</v>
      </c>
      <c r="K21" s="217">
        <f t="shared" si="5"/>
        <v>0</v>
      </c>
      <c r="L21" s="462">
        <f>IF(G21=0,0,VLOOKUP(YEAR(G21),INPC!$B$4:$O$29,MONTH(G21)+1))</f>
        <v>0</v>
      </c>
      <c r="M21" s="462">
        <f>IF(T21=0,0,VLOOKUP(YEAR(T21),INPC!$B$4:$O$29,MONTH(T21)+1))</f>
        <v>0</v>
      </c>
      <c r="N21" s="463">
        <f t="shared" si="0"/>
        <v>0</v>
      </c>
      <c r="O21" s="464">
        <f t="shared" si="6"/>
        <v>0</v>
      </c>
      <c r="P21" s="465">
        <f t="shared" si="7"/>
        <v>0</v>
      </c>
      <c r="Q21" s="606" t="str">
        <f t="shared" si="8"/>
        <v>NO</v>
      </c>
      <c r="R21" s="180"/>
      <c r="S21" s="173"/>
      <c r="T21" s="174"/>
      <c r="U21" s="173"/>
      <c r="V21" s="220"/>
      <c r="W21" s="177">
        <f>IF(S21=0,0,IF(U21="MXN",1/HLOOKUP(YEAR(T21)+(MONTH(T21)/100),TC!$5:$37,DAY(T21)+2,FALSE),VLOOKUP(U21,Equivalencia!$1:$23,((MAX(Equivalencia!$3:$3)-YEAR(T21))*14)+MONTH(T21)+2,FALSE)))</f>
        <v>0</v>
      </c>
      <c r="X21" s="178">
        <f t="shared" si="10"/>
        <v>0</v>
      </c>
      <c r="Y21" s="178">
        <f t="shared" si="9"/>
        <v>0</v>
      </c>
      <c r="Z21" s="175">
        <f t="shared" si="2"/>
        <v>0</v>
      </c>
      <c r="AA21" s="179"/>
      <c r="AB21" s="467">
        <f t="shared" si="3"/>
        <v>0</v>
      </c>
      <c r="AC21" s="466">
        <f t="shared" si="4"/>
        <v>0</v>
      </c>
    </row>
    <row r="22" spans="2:29" ht="20.100000000000001" customHeight="1">
      <c r="B22" s="172"/>
      <c r="C22" s="172"/>
      <c r="D22" s="172"/>
      <c r="E22" s="181"/>
      <c r="F22" s="173"/>
      <c r="G22" s="174"/>
      <c r="H22" s="284"/>
      <c r="I22" s="221"/>
      <c r="J22" s="177">
        <f>IF(H22=0,0,IF(F22="MXN",1/HLOOKUP(YEAR(G22)+(MONTH(G22)/100),TC!$5:$37,DAY(G22)+2,FALSE),VLOOKUP(F22,Equivalencia!$5:$23,((MAX(Equivalencia!$3:$3)-YEAR(G22))*14)+MONTH(G22)+2,FALSE)))</f>
        <v>0</v>
      </c>
      <c r="K22" s="217">
        <f t="shared" si="5"/>
        <v>0</v>
      </c>
      <c r="L22" s="462">
        <f>IF(G22=0,0,VLOOKUP(YEAR(G22),INPC!$B$4:$O$29,MONTH(G22)+1))</f>
        <v>0</v>
      </c>
      <c r="M22" s="462">
        <f>IF(T22=0,0,VLOOKUP(YEAR(T22),INPC!$B$4:$O$29,MONTH(T22)+1))</f>
        <v>0</v>
      </c>
      <c r="N22" s="463">
        <f t="shared" si="0"/>
        <v>0</v>
      </c>
      <c r="O22" s="464">
        <f t="shared" si="6"/>
        <v>0</v>
      </c>
      <c r="P22" s="465">
        <f t="shared" si="7"/>
        <v>0</v>
      </c>
      <c r="Q22" s="606" t="str">
        <f t="shared" si="8"/>
        <v>NO</v>
      </c>
      <c r="R22" s="180"/>
      <c r="S22" s="173"/>
      <c r="T22" s="174"/>
      <c r="U22" s="173"/>
      <c r="V22" s="220"/>
      <c r="W22" s="177">
        <f>IF(S22=0,0,IF(U22="MXN",1/HLOOKUP(YEAR(T22)+(MONTH(T22)/100),TC!$5:$37,DAY(T22)+2,FALSE),VLOOKUP(U22,Equivalencia!$1:$23,((MAX(Equivalencia!$3:$3)-YEAR(T22))*14)+MONTH(T22)+2,FALSE)))</f>
        <v>0</v>
      </c>
      <c r="X22" s="178">
        <f t="shared" si="10"/>
        <v>0</v>
      </c>
      <c r="Y22" s="178">
        <f t="shared" si="9"/>
        <v>0</v>
      </c>
      <c r="Z22" s="175">
        <f t="shared" si="2"/>
        <v>0</v>
      </c>
      <c r="AA22" s="179"/>
      <c r="AB22" s="467">
        <f t="shared" si="3"/>
        <v>0</v>
      </c>
      <c r="AC22" s="466">
        <f t="shared" si="4"/>
        <v>0</v>
      </c>
    </row>
    <row r="23" spans="2:29" ht="20.100000000000001" customHeight="1">
      <c r="B23" s="172"/>
      <c r="C23" s="172"/>
      <c r="D23" s="172"/>
      <c r="E23" s="181"/>
      <c r="F23" s="173"/>
      <c r="G23" s="174"/>
      <c r="H23" s="284"/>
      <c r="I23" s="221"/>
      <c r="J23" s="177">
        <f>IF(H23=0,0,IF(F23="MXN",1/HLOOKUP(YEAR(G23)+(MONTH(G23)/100),TC!$5:$37,DAY(G23)+2,FALSE),VLOOKUP(F23,Equivalencia!$5:$23,((MAX(Equivalencia!$3:$3)-YEAR(G23))*14)+MONTH(G23)+2,FALSE)))</f>
        <v>0</v>
      </c>
      <c r="K23" s="217">
        <f t="shared" si="5"/>
        <v>0</v>
      </c>
      <c r="L23" s="462">
        <f>IF(G23=0,0,VLOOKUP(YEAR(G23),INPC!$B$4:$O$29,MONTH(G23)+1))</f>
        <v>0</v>
      </c>
      <c r="M23" s="462">
        <f>IF(T23=0,0,VLOOKUP(YEAR(T23),INPC!$B$4:$O$29,MONTH(T23)+1))</f>
        <v>0</v>
      </c>
      <c r="N23" s="463">
        <f t="shared" si="0"/>
        <v>0</v>
      </c>
      <c r="O23" s="464">
        <f t="shared" si="6"/>
        <v>0</v>
      </c>
      <c r="P23" s="465">
        <f t="shared" si="7"/>
        <v>0</v>
      </c>
      <c r="Q23" s="606" t="str">
        <f t="shared" si="8"/>
        <v>NO</v>
      </c>
      <c r="R23" s="180"/>
      <c r="S23" s="173"/>
      <c r="T23" s="174"/>
      <c r="U23" s="173"/>
      <c r="V23" s="220"/>
      <c r="W23" s="177">
        <f>IF(S23=0,0,IF(U23="MXN",1/HLOOKUP(YEAR(T23)+(MONTH(T23)/100),TC!$5:$37,DAY(T23)+2,FALSE),VLOOKUP(U23,Equivalencia!$1:$23,((MAX(Equivalencia!$3:$3)-YEAR(T23))*14)+MONTH(T23)+2,FALSE)))</f>
        <v>0</v>
      </c>
      <c r="X23" s="178">
        <f t="shared" si="10"/>
        <v>0</v>
      </c>
      <c r="Y23" s="178">
        <f t="shared" si="9"/>
        <v>0</v>
      </c>
      <c r="Z23" s="175">
        <f t="shared" si="2"/>
        <v>0</v>
      </c>
      <c r="AA23" s="179"/>
      <c r="AB23" s="467">
        <f t="shared" si="3"/>
        <v>0</v>
      </c>
      <c r="AC23" s="466">
        <f t="shared" si="4"/>
        <v>0</v>
      </c>
    </row>
    <row r="24" spans="2:29" ht="20.100000000000001" customHeight="1">
      <c r="B24" s="172"/>
      <c r="C24" s="172"/>
      <c r="D24" s="172"/>
      <c r="E24" s="181"/>
      <c r="F24" s="173"/>
      <c r="G24" s="174"/>
      <c r="H24" s="284"/>
      <c r="I24" s="221"/>
      <c r="J24" s="177">
        <f>IF(H24=0,0,IF(F24="MXN",1/HLOOKUP(YEAR(G24)+(MONTH(G24)/100),TC!$5:$37,DAY(G24)+2,FALSE),VLOOKUP(F24,Equivalencia!$5:$23,((MAX(Equivalencia!$3:$3)-YEAR(G24))*14)+MONTH(G24)+2,FALSE)))</f>
        <v>0</v>
      </c>
      <c r="K24" s="217">
        <f t="shared" si="5"/>
        <v>0</v>
      </c>
      <c r="L24" s="462">
        <f>IF(G24=0,0,VLOOKUP(YEAR(G24),INPC!$B$4:$O$29,MONTH(G24)+1))</f>
        <v>0</v>
      </c>
      <c r="M24" s="462">
        <f>IF(T24=0,0,VLOOKUP(YEAR(T24),INPC!$B$4:$O$29,MONTH(T24)+1))</f>
        <v>0</v>
      </c>
      <c r="N24" s="463">
        <f t="shared" si="0"/>
        <v>0</v>
      </c>
      <c r="O24" s="464">
        <f t="shared" si="6"/>
        <v>0</v>
      </c>
      <c r="P24" s="465">
        <f t="shared" si="7"/>
        <v>0</v>
      </c>
      <c r="Q24" s="606" t="str">
        <f t="shared" si="8"/>
        <v>NO</v>
      </c>
      <c r="R24" s="180"/>
      <c r="S24" s="173"/>
      <c r="T24" s="174"/>
      <c r="U24" s="173"/>
      <c r="V24" s="220"/>
      <c r="W24" s="177">
        <f>IF(S24=0,0,IF(U24="MXN",1/HLOOKUP(YEAR(T24)+(MONTH(T24)/100),TC!$5:$37,DAY(T24)+2,FALSE),VLOOKUP(U24,Equivalencia!$1:$23,((MAX(Equivalencia!$3:$3)-YEAR(T24))*14)+MONTH(T24)+2,FALSE)))</f>
        <v>0</v>
      </c>
      <c r="X24" s="178">
        <f t="shared" si="10"/>
        <v>0</v>
      </c>
      <c r="Y24" s="178">
        <f t="shared" si="9"/>
        <v>0</v>
      </c>
      <c r="Z24" s="175">
        <f t="shared" si="2"/>
        <v>0</v>
      </c>
      <c r="AA24" s="179"/>
      <c r="AB24" s="467">
        <f t="shared" si="3"/>
        <v>0</v>
      </c>
      <c r="AC24" s="466">
        <f t="shared" si="4"/>
        <v>0</v>
      </c>
    </row>
    <row r="25" spans="2:29" ht="20.100000000000001" customHeight="1">
      <c r="B25" s="172"/>
      <c r="C25" s="172"/>
      <c r="D25" s="172"/>
      <c r="E25" s="181"/>
      <c r="F25" s="173"/>
      <c r="G25" s="174"/>
      <c r="H25" s="284"/>
      <c r="I25" s="221"/>
      <c r="J25" s="177">
        <f>IF(H25=0,0,IF(F25="MXN",1/HLOOKUP(YEAR(G25)+(MONTH(G25)/100),TC!$5:$37,DAY(G25)+2,FALSE),VLOOKUP(F25,Equivalencia!$5:$23,((MAX(Equivalencia!$3:$3)-YEAR(G25))*14)+MONTH(G25)+2,FALSE)))</f>
        <v>0</v>
      </c>
      <c r="K25" s="217">
        <f t="shared" si="5"/>
        <v>0</v>
      </c>
      <c r="L25" s="462">
        <f>IF(G25=0,0,VLOOKUP(YEAR(G25),INPC!$B$4:$O$29,MONTH(G25)+1))</f>
        <v>0</v>
      </c>
      <c r="M25" s="462">
        <f>IF(T25=0,0,VLOOKUP(YEAR(T25),INPC!$B$4:$O$29,MONTH(T25)+1))</f>
        <v>0</v>
      </c>
      <c r="N25" s="463">
        <f t="shared" si="0"/>
        <v>0</v>
      </c>
      <c r="O25" s="464">
        <f t="shared" si="6"/>
        <v>0</v>
      </c>
      <c r="P25" s="465">
        <f t="shared" si="7"/>
        <v>0</v>
      </c>
      <c r="Q25" s="606" t="str">
        <f t="shared" si="8"/>
        <v>NO</v>
      </c>
      <c r="R25" s="180"/>
      <c r="S25" s="173"/>
      <c r="T25" s="174"/>
      <c r="U25" s="173"/>
      <c r="V25" s="220"/>
      <c r="W25" s="177">
        <f>IF(S25=0,0,IF(U25="MXN",1/HLOOKUP(YEAR(T25)+(MONTH(T25)/100),TC!$5:$37,DAY(T25)+2,FALSE),VLOOKUP(U25,Equivalencia!$1:$23,((MAX(Equivalencia!$3:$3)-YEAR(T25))*14)+MONTH(T25)+2,FALSE)))</f>
        <v>0</v>
      </c>
      <c r="X25" s="178">
        <f t="shared" si="10"/>
        <v>0</v>
      </c>
      <c r="Y25" s="178">
        <f t="shared" si="9"/>
        <v>0</v>
      </c>
      <c r="Z25" s="175">
        <f t="shared" si="2"/>
        <v>0</v>
      </c>
      <c r="AA25" s="179"/>
      <c r="AB25" s="467">
        <f t="shared" si="3"/>
        <v>0</v>
      </c>
      <c r="AC25" s="466">
        <f t="shared" si="4"/>
        <v>0</v>
      </c>
    </row>
    <row r="26" spans="2:29" ht="20.100000000000001" customHeight="1">
      <c r="B26" s="172"/>
      <c r="C26" s="172"/>
      <c r="D26" s="172"/>
      <c r="E26" s="181"/>
      <c r="F26" s="173"/>
      <c r="G26" s="174"/>
      <c r="H26" s="284"/>
      <c r="I26" s="221"/>
      <c r="J26" s="177">
        <f>IF(H26=0,0,IF(F26="MXN",1/HLOOKUP(YEAR(G26)+(MONTH(G26)/100),TC!$5:$37,DAY(G26)+2,FALSE),VLOOKUP(F26,Equivalencia!$5:$23,((MAX(Equivalencia!$3:$3)-YEAR(G26))*14)+MONTH(G26)+2,FALSE)))</f>
        <v>0</v>
      </c>
      <c r="K26" s="217">
        <f t="shared" si="5"/>
        <v>0</v>
      </c>
      <c r="L26" s="462">
        <f>IF(G26=0,0,VLOOKUP(YEAR(G26),INPC!$B$4:$O$29,MONTH(G26)+1))</f>
        <v>0</v>
      </c>
      <c r="M26" s="462">
        <f>IF(T26=0,0,VLOOKUP(YEAR(T26),INPC!$B$4:$O$29,MONTH(T26)+1))</f>
        <v>0</v>
      </c>
      <c r="N26" s="463">
        <f t="shared" si="0"/>
        <v>0</v>
      </c>
      <c r="O26" s="464">
        <f t="shared" si="6"/>
        <v>0</v>
      </c>
      <c r="P26" s="465">
        <f t="shared" si="7"/>
        <v>0</v>
      </c>
      <c r="Q26" s="606" t="str">
        <f t="shared" si="8"/>
        <v>NO</v>
      </c>
      <c r="R26" s="180"/>
      <c r="S26" s="173"/>
      <c r="T26" s="174"/>
      <c r="U26" s="173"/>
      <c r="V26" s="220"/>
      <c r="W26" s="177">
        <f>IF(S26=0,0,IF(U26="MXN",1/HLOOKUP(YEAR(T26)+(MONTH(T26)/100),TC!$5:$37,DAY(T26)+2,FALSE),VLOOKUP(U26,Equivalencia!$1:$23,((MAX(Equivalencia!$3:$3)-YEAR(T26))*14)+MONTH(T26)+2,FALSE)))</f>
        <v>0</v>
      </c>
      <c r="X26" s="178">
        <f t="shared" si="10"/>
        <v>0</v>
      </c>
      <c r="Y26" s="178">
        <f t="shared" si="9"/>
        <v>0</v>
      </c>
      <c r="Z26" s="175">
        <f t="shared" si="2"/>
        <v>0</v>
      </c>
      <c r="AA26" s="179"/>
      <c r="AB26" s="467">
        <f t="shared" si="3"/>
        <v>0</v>
      </c>
      <c r="AC26" s="466">
        <f t="shared" si="4"/>
        <v>0</v>
      </c>
    </row>
    <row r="27" spans="2:29" ht="20.100000000000001" customHeight="1">
      <c r="B27" s="172"/>
      <c r="C27" s="172"/>
      <c r="D27" s="172"/>
      <c r="E27" s="181"/>
      <c r="F27" s="173"/>
      <c r="G27" s="174"/>
      <c r="H27" s="284"/>
      <c r="I27" s="221"/>
      <c r="J27" s="177">
        <f>IF(H27=0,0,IF(F27="MXN",1/HLOOKUP(YEAR(G27)+(MONTH(G27)/100),TC!$5:$37,DAY(G27)+2,FALSE),VLOOKUP(F27,Equivalencia!$5:$23,((MAX(Equivalencia!$3:$3)-YEAR(G27))*14)+MONTH(G27)+2,FALSE)))</f>
        <v>0</v>
      </c>
      <c r="K27" s="217">
        <f t="shared" si="5"/>
        <v>0</v>
      </c>
      <c r="L27" s="462">
        <f>IF(G27=0,0,VLOOKUP(YEAR(G27),INPC!$B$4:$O$29,MONTH(G27)+1))</f>
        <v>0</v>
      </c>
      <c r="M27" s="462">
        <f>IF(T27=0,0,VLOOKUP(YEAR(T27),INPC!$B$4:$O$29,MONTH(T27)+1))</f>
        <v>0</v>
      </c>
      <c r="N27" s="463">
        <f t="shared" si="0"/>
        <v>0</v>
      </c>
      <c r="O27" s="464">
        <f t="shared" si="6"/>
        <v>0</v>
      </c>
      <c r="P27" s="465">
        <f t="shared" si="7"/>
        <v>0</v>
      </c>
      <c r="Q27" s="606" t="str">
        <f t="shared" si="8"/>
        <v>NO</v>
      </c>
      <c r="R27" s="180"/>
      <c r="S27" s="173"/>
      <c r="T27" s="174"/>
      <c r="U27" s="173"/>
      <c r="V27" s="220"/>
      <c r="W27" s="177">
        <f>IF(S27=0,0,IF(U27="MXN",1/HLOOKUP(YEAR(T27)+(MONTH(T27)/100),TC!$5:$37,DAY(T27)+2,FALSE),VLOOKUP(U27,Equivalencia!$1:$23,((MAX(Equivalencia!$3:$3)-YEAR(T27))*14)+MONTH(T27)+2,FALSE)))</f>
        <v>0</v>
      </c>
      <c r="X27" s="178">
        <f t="shared" si="10"/>
        <v>0</v>
      </c>
      <c r="Y27" s="178">
        <f t="shared" si="9"/>
        <v>0</v>
      </c>
      <c r="Z27" s="175">
        <f t="shared" si="2"/>
        <v>0</v>
      </c>
      <c r="AA27" s="179"/>
      <c r="AB27" s="467">
        <f t="shared" si="3"/>
        <v>0</v>
      </c>
      <c r="AC27" s="466">
        <f t="shared" si="4"/>
        <v>0</v>
      </c>
    </row>
    <row r="28" spans="2:29" ht="20.100000000000001" customHeight="1">
      <c r="B28" s="172"/>
      <c r="C28" s="172"/>
      <c r="D28" s="172"/>
      <c r="E28" s="181"/>
      <c r="F28" s="173"/>
      <c r="G28" s="174"/>
      <c r="H28" s="284"/>
      <c r="I28" s="221"/>
      <c r="J28" s="177">
        <f>IF(H28=0,0,IF(F28="MXN",1/HLOOKUP(YEAR(G28)+(MONTH(G28)/100),TC!$5:$37,DAY(G28)+2,FALSE),VLOOKUP(F28,Equivalencia!$5:$23,((MAX(Equivalencia!$3:$3)-YEAR(G28))*14)+MONTH(G28)+2,FALSE)))</f>
        <v>0</v>
      </c>
      <c r="K28" s="217">
        <f t="shared" si="5"/>
        <v>0</v>
      </c>
      <c r="L28" s="462">
        <f>IF(G28=0,0,VLOOKUP(YEAR(G28),INPC!$B$4:$O$29,MONTH(G28)+1))</f>
        <v>0</v>
      </c>
      <c r="M28" s="462">
        <f>IF(T28=0,0,VLOOKUP(YEAR(T28),INPC!$B$4:$O$29,MONTH(T28)+1))</f>
        <v>0</v>
      </c>
      <c r="N28" s="463">
        <f t="shared" si="0"/>
        <v>0</v>
      </c>
      <c r="O28" s="464">
        <f t="shared" si="6"/>
        <v>0</v>
      </c>
      <c r="P28" s="465">
        <f t="shared" si="7"/>
        <v>0</v>
      </c>
      <c r="Q28" s="606" t="str">
        <f t="shared" si="8"/>
        <v>NO</v>
      </c>
      <c r="R28" s="180"/>
      <c r="S28" s="173"/>
      <c r="T28" s="174"/>
      <c r="U28" s="173"/>
      <c r="V28" s="220"/>
      <c r="W28" s="177">
        <f>IF(S28=0,0,IF(U28="MXN",1/HLOOKUP(YEAR(T28)+(MONTH(T28)/100),TC!$5:$37,DAY(T28)+2,FALSE),VLOOKUP(U28,Equivalencia!$1:$23,((MAX(Equivalencia!$3:$3)-YEAR(T28))*14)+MONTH(T28)+2,FALSE)))</f>
        <v>0</v>
      </c>
      <c r="X28" s="178">
        <f t="shared" si="10"/>
        <v>0</v>
      </c>
      <c r="Y28" s="178">
        <f t="shared" si="9"/>
        <v>0</v>
      </c>
      <c r="Z28" s="175">
        <f t="shared" si="2"/>
        <v>0</v>
      </c>
      <c r="AA28" s="179"/>
      <c r="AB28" s="467">
        <f t="shared" si="3"/>
        <v>0</v>
      </c>
      <c r="AC28" s="466">
        <f t="shared" si="4"/>
        <v>0</v>
      </c>
    </row>
    <row r="29" spans="2:29" ht="20.100000000000001" customHeight="1">
      <c r="B29" s="172"/>
      <c r="C29" s="172"/>
      <c r="D29" s="172"/>
      <c r="E29" s="181"/>
      <c r="F29" s="173"/>
      <c r="G29" s="174"/>
      <c r="H29" s="284"/>
      <c r="I29" s="221"/>
      <c r="J29" s="177">
        <f>IF(H29=0,0,IF(F29="MXN",1/HLOOKUP(YEAR(G29)+(MONTH(G29)/100),TC!$5:$37,DAY(G29)+2,FALSE),VLOOKUP(F29,Equivalencia!$5:$23,((MAX(Equivalencia!$3:$3)-YEAR(G29))*14)+MONTH(G29)+2,FALSE)))</f>
        <v>0</v>
      </c>
      <c r="K29" s="217">
        <f t="shared" si="5"/>
        <v>0</v>
      </c>
      <c r="L29" s="462">
        <f>IF(G29=0,0,VLOOKUP(YEAR(G29),INPC!$B$4:$O$29,MONTH(G29)+1))</f>
        <v>0</v>
      </c>
      <c r="M29" s="462">
        <f>IF(T29=0,0,VLOOKUP(YEAR(T29),INPC!$B$4:$O$29,MONTH(T29)+1))</f>
        <v>0</v>
      </c>
      <c r="N29" s="463">
        <f t="shared" si="0"/>
        <v>0</v>
      </c>
      <c r="O29" s="464">
        <f t="shared" si="6"/>
        <v>0</v>
      </c>
      <c r="P29" s="465">
        <f t="shared" si="7"/>
        <v>0</v>
      </c>
      <c r="Q29" s="606" t="str">
        <f t="shared" si="8"/>
        <v>NO</v>
      </c>
      <c r="R29" s="180"/>
      <c r="S29" s="173"/>
      <c r="T29" s="174"/>
      <c r="U29" s="173"/>
      <c r="V29" s="220"/>
      <c r="W29" s="177">
        <f>IF(S29=0,0,IF(U29="MXN",1/HLOOKUP(YEAR(T29)+(MONTH(T29)/100),TC!$5:$37,DAY(T29)+2,FALSE),VLOOKUP(U29,Equivalencia!$1:$23,((MAX(Equivalencia!$3:$3)-YEAR(T29))*14)+MONTH(T29)+2,FALSE)))</f>
        <v>0</v>
      </c>
      <c r="X29" s="178">
        <f t="shared" si="10"/>
        <v>0</v>
      </c>
      <c r="Y29" s="178">
        <f t="shared" si="9"/>
        <v>0</v>
      </c>
      <c r="Z29" s="175">
        <f t="shared" si="2"/>
        <v>0</v>
      </c>
      <c r="AA29" s="179"/>
      <c r="AB29" s="467">
        <f t="shared" si="3"/>
        <v>0</v>
      </c>
      <c r="AC29" s="466">
        <f t="shared" si="4"/>
        <v>0</v>
      </c>
    </row>
    <row r="30" spans="2:29" ht="20.100000000000001" customHeight="1">
      <c r="B30" s="172"/>
      <c r="C30" s="172"/>
      <c r="D30" s="172"/>
      <c r="E30" s="181"/>
      <c r="F30" s="173"/>
      <c r="G30" s="174"/>
      <c r="H30" s="284"/>
      <c r="I30" s="221"/>
      <c r="J30" s="177">
        <f>IF(H30=0,0,IF(F30="MXN",1/HLOOKUP(YEAR(G30)+(MONTH(G30)/100),TC!$5:$37,DAY(G30)+2,FALSE),VLOOKUP(F30,Equivalencia!$5:$23,((MAX(Equivalencia!$3:$3)-YEAR(G30))*14)+MONTH(G30)+2,FALSE)))</f>
        <v>0</v>
      </c>
      <c r="K30" s="217">
        <f t="shared" si="5"/>
        <v>0</v>
      </c>
      <c r="L30" s="462">
        <f>IF(G30=0,0,VLOOKUP(YEAR(G30),INPC!$B$4:$O$29,MONTH(G30)+1))</f>
        <v>0</v>
      </c>
      <c r="M30" s="462">
        <f>IF(T30=0,0,VLOOKUP(YEAR(T30),INPC!$B$4:$O$29,MONTH(T30)+1))</f>
        <v>0</v>
      </c>
      <c r="N30" s="463">
        <f t="shared" si="0"/>
        <v>0</v>
      </c>
      <c r="O30" s="464">
        <f t="shared" si="6"/>
        <v>0</v>
      </c>
      <c r="P30" s="465">
        <f t="shared" si="7"/>
        <v>0</v>
      </c>
      <c r="Q30" s="606" t="str">
        <f t="shared" si="8"/>
        <v>NO</v>
      </c>
      <c r="R30" s="180"/>
      <c r="S30" s="173"/>
      <c r="T30" s="174"/>
      <c r="U30" s="173"/>
      <c r="V30" s="220"/>
      <c r="W30" s="177">
        <f>IF(S30=0,0,IF(U30="MXN",1/HLOOKUP(YEAR(T30)+(MONTH(T30)/100),TC!$5:$37,DAY(T30)+2,FALSE),VLOOKUP(U30,Equivalencia!$1:$23,((MAX(Equivalencia!$3:$3)-YEAR(T30))*14)+MONTH(T30)+2,FALSE)))</f>
        <v>0</v>
      </c>
      <c r="X30" s="178">
        <f t="shared" si="10"/>
        <v>0</v>
      </c>
      <c r="Y30" s="178">
        <f t="shared" si="9"/>
        <v>0</v>
      </c>
      <c r="Z30" s="175">
        <f t="shared" si="2"/>
        <v>0</v>
      </c>
      <c r="AA30" s="179"/>
      <c r="AB30" s="467">
        <f t="shared" si="3"/>
        <v>0</v>
      </c>
      <c r="AC30" s="466">
        <f t="shared" si="4"/>
        <v>0</v>
      </c>
    </row>
    <row r="31" spans="2:29" ht="20.100000000000001" customHeight="1">
      <c r="B31" s="172"/>
      <c r="C31" s="172"/>
      <c r="D31" s="172"/>
      <c r="E31" s="181"/>
      <c r="F31" s="173"/>
      <c r="G31" s="174"/>
      <c r="H31" s="284"/>
      <c r="I31" s="221"/>
      <c r="J31" s="177">
        <f>IF(H31=0,0,IF(F31="MXN",1/HLOOKUP(YEAR(G31)+(MONTH(G31)/100),TC!$5:$37,DAY(G31)+2,FALSE),VLOOKUP(F31,Equivalencia!$5:$23,((MAX(Equivalencia!$3:$3)-YEAR(G31))*14)+MONTH(G31)+2,FALSE)))</f>
        <v>0</v>
      </c>
      <c r="K31" s="217">
        <f t="shared" si="5"/>
        <v>0</v>
      </c>
      <c r="L31" s="462">
        <f>IF(G31=0,0,VLOOKUP(YEAR(G31),INPC!$B$4:$O$29,MONTH(G31)+1))</f>
        <v>0</v>
      </c>
      <c r="M31" s="462">
        <f>IF(T31=0,0,VLOOKUP(YEAR(T31),INPC!$B$4:$O$29,MONTH(T31)+1))</f>
        <v>0</v>
      </c>
      <c r="N31" s="463">
        <f t="shared" si="0"/>
        <v>0</v>
      </c>
      <c r="O31" s="464">
        <f t="shared" si="6"/>
        <v>0</v>
      </c>
      <c r="P31" s="465">
        <f t="shared" si="7"/>
        <v>0</v>
      </c>
      <c r="Q31" s="606" t="str">
        <f t="shared" si="8"/>
        <v>NO</v>
      </c>
      <c r="R31" s="180"/>
      <c r="S31" s="173"/>
      <c r="T31" s="174"/>
      <c r="U31" s="173"/>
      <c r="V31" s="220"/>
      <c r="W31" s="177">
        <f>IF(S31=0,0,IF(U31="MXN",1/HLOOKUP(YEAR(T31)+(MONTH(T31)/100),TC!$5:$37,DAY(T31)+2,FALSE),VLOOKUP(U31,Equivalencia!$1:$23,((MAX(Equivalencia!$3:$3)-YEAR(T31))*14)+MONTH(T31)+2,FALSE)))</f>
        <v>0</v>
      </c>
      <c r="X31" s="178">
        <f t="shared" si="10"/>
        <v>0</v>
      </c>
      <c r="Y31" s="178">
        <f t="shared" si="9"/>
        <v>0</v>
      </c>
      <c r="Z31" s="175">
        <f t="shared" si="2"/>
        <v>0</v>
      </c>
      <c r="AA31" s="179"/>
      <c r="AB31" s="467">
        <f t="shared" si="3"/>
        <v>0</v>
      </c>
      <c r="AC31" s="466">
        <f t="shared" si="4"/>
        <v>0</v>
      </c>
    </row>
    <row r="32" spans="2:29" ht="20.100000000000001" customHeight="1">
      <c r="B32" s="172"/>
      <c r="C32" s="172"/>
      <c r="D32" s="172"/>
      <c r="E32" s="181"/>
      <c r="F32" s="173"/>
      <c r="G32" s="174"/>
      <c r="H32" s="284"/>
      <c r="I32" s="221"/>
      <c r="J32" s="177">
        <f>IF(H32=0,0,IF(F32="MXN",1/HLOOKUP(YEAR(G32)+(MONTH(G32)/100),TC!$5:$37,DAY(G32)+2,FALSE),VLOOKUP(F32,Equivalencia!$5:$23,((MAX(Equivalencia!$3:$3)-YEAR(G32))*14)+MONTH(G32)+2,FALSE)))</f>
        <v>0</v>
      </c>
      <c r="K32" s="217">
        <f t="shared" si="5"/>
        <v>0</v>
      </c>
      <c r="L32" s="462">
        <f>IF(G32=0,0,VLOOKUP(YEAR(G32),INPC!$B$4:$O$29,MONTH(G32)+1))</f>
        <v>0</v>
      </c>
      <c r="M32" s="462">
        <f>IF(T32=0,0,VLOOKUP(YEAR(T32),INPC!$B$4:$O$29,MONTH(T32)+1))</f>
        <v>0</v>
      </c>
      <c r="N32" s="463">
        <f t="shared" si="0"/>
        <v>0</v>
      </c>
      <c r="O32" s="464">
        <f t="shared" si="6"/>
        <v>0</v>
      </c>
      <c r="P32" s="465">
        <f t="shared" si="7"/>
        <v>0</v>
      </c>
      <c r="Q32" s="606" t="str">
        <f t="shared" si="8"/>
        <v>NO</v>
      </c>
      <c r="R32" s="180"/>
      <c r="S32" s="173"/>
      <c r="T32" s="174"/>
      <c r="U32" s="173"/>
      <c r="V32" s="220"/>
      <c r="W32" s="177">
        <f>IF(S32=0,0,IF(U32="MXN",1/HLOOKUP(YEAR(T32)+(MONTH(T32)/100),TC!$5:$37,DAY(T32)+2,FALSE),VLOOKUP(U32,Equivalencia!$1:$23,((MAX(Equivalencia!$3:$3)-YEAR(T32))*14)+MONTH(T32)+2,FALSE)))</f>
        <v>0</v>
      </c>
      <c r="X32" s="178">
        <f t="shared" si="10"/>
        <v>0</v>
      </c>
      <c r="Y32" s="178">
        <f t="shared" si="9"/>
        <v>0</v>
      </c>
      <c r="Z32" s="175">
        <f t="shared" si="2"/>
        <v>0</v>
      </c>
      <c r="AA32" s="179"/>
      <c r="AB32" s="467">
        <f t="shared" si="3"/>
        <v>0</v>
      </c>
      <c r="AC32" s="466">
        <f t="shared" si="4"/>
        <v>0</v>
      </c>
    </row>
    <row r="33" spans="2:29" ht="20.100000000000001" customHeight="1">
      <c r="B33" s="172"/>
      <c r="C33" s="172"/>
      <c r="D33" s="172"/>
      <c r="E33" s="181"/>
      <c r="F33" s="173"/>
      <c r="G33" s="174"/>
      <c r="H33" s="284"/>
      <c r="I33" s="221"/>
      <c r="J33" s="177">
        <f>IF(H33=0,0,IF(F33="MXN",1/HLOOKUP(YEAR(G33)+(MONTH(G33)/100),TC!$5:$37,DAY(G33)+2,FALSE),VLOOKUP(F33,Equivalencia!$5:$23,((MAX(Equivalencia!$3:$3)-YEAR(G33))*14)+MONTH(G33)+2,FALSE)))</f>
        <v>0</v>
      </c>
      <c r="K33" s="217">
        <f t="shared" si="5"/>
        <v>0</v>
      </c>
      <c r="L33" s="462">
        <f>IF(G33=0,0,VLOOKUP(YEAR(G33),INPC!$B$4:$O$29,MONTH(G33)+1))</f>
        <v>0</v>
      </c>
      <c r="M33" s="462">
        <f>IF(T33=0,0,VLOOKUP(YEAR(T33),INPC!$B$4:$O$29,MONTH(T33)+1))</f>
        <v>0</v>
      </c>
      <c r="N33" s="463">
        <f t="shared" si="0"/>
        <v>0</v>
      </c>
      <c r="O33" s="464">
        <f t="shared" si="6"/>
        <v>0</v>
      </c>
      <c r="P33" s="465">
        <f t="shared" si="7"/>
        <v>0</v>
      </c>
      <c r="Q33" s="606" t="str">
        <f t="shared" si="8"/>
        <v>NO</v>
      </c>
      <c r="R33" s="180"/>
      <c r="S33" s="173"/>
      <c r="T33" s="174"/>
      <c r="U33" s="173"/>
      <c r="V33" s="220"/>
      <c r="W33" s="177">
        <f>IF(S33=0,0,IF(U33="MXN",1/HLOOKUP(YEAR(T33)+(MONTH(T33)/100),TC!$5:$37,DAY(T33)+2,FALSE),VLOOKUP(U33,Equivalencia!$1:$23,((MAX(Equivalencia!$3:$3)-YEAR(T33))*14)+MONTH(T33)+2,FALSE)))</f>
        <v>0</v>
      </c>
      <c r="X33" s="178">
        <f t="shared" si="10"/>
        <v>0</v>
      </c>
      <c r="Y33" s="178">
        <f t="shared" si="9"/>
        <v>0</v>
      </c>
      <c r="Z33" s="175">
        <f t="shared" si="2"/>
        <v>0</v>
      </c>
      <c r="AA33" s="179"/>
      <c r="AB33" s="467">
        <f t="shared" si="3"/>
        <v>0</v>
      </c>
      <c r="AC33" s="466">
        <f t="shared" si="4"/>
        <v>0</v>
      </c>
    </row>
    <row r="34" spans="2:29" ht="20.100000000000001" customHeight="1">
      <c r="B34" s="172"/>
      <c r="C34" s="172"/>
      <c r="D34" s="172"/>
      <c r="E34" s="181"/>
      <c r="F34" s="173"/>
      <c r="G34" s="174"/>
      <c r="H34" s="284"/>
      <c r="I34" s="221"/>
      <c r="J34" s="177">
        <f>IF(H34=0,0,IF(F34="MXN",1/HLOOKUP(YEAR(G34)+(MONTH(G34)/100),TC!$5:$37,DAY(G34)+2,FALSE),VLOOKUP(F34,Equivalencia!$5:$23,((MAX(Equivalencia!$3:$3)-YEAR(G34))*14)+MONTH(G34)+2,FALSE)))</f>
        <v>0</v>
      </c>
      <c r="K34" s="217">
        <f t="shared" si="5"/>
        <v>0</v>
      </c>
      <c r="L34" s="462">
        <f>IF(G34=0,0,VLOOKUP(YEAR(G34),INPC!$B$4:$O$29,MONTH(G34)+1))</f>
        <v>0</v>
      </c>
      <c r="M34" s="462">
        <f>IF(T34=0,0,VLOOKUP(YEAR(T34),INPC!$B$4:$O$29,MONTH(T34)+1))</f>
        <v>0</v>
      </c>
      <c r="N34" s="463">
        <f t="shared" si="0"/>
        <v>0</v>
      </c>
      <c r="O34" s="464">
        <f t="shared" si="6"/>
        <v>0</v>
      </c>
      <c r="P34" s="465">
        <f t="shared" si="7"/>
        <v>0</v>
      </c>
      <c r="Q34" s="606" t="str">
        <f t="shared" si="8"/>
        <v>NO</v>
      </c>
      <c r="R34" s="180"/>
      <c r="S34" s="173"/>
      <c r="T34" s="174"/>
      <c r="U34" s="173"/>
      <c r="V34" s="220"/>
      <c r="W34" s="177">
        <f>IF(S34=0,0,IF(U34="MXN",1/HLOOKUP(YEAR(T34)+(MONTH(T34)/100),TC!$5:$37,DAY(T34)+2,FALSE),VLOOKUP(U34,Equivalencia!$1:$23,((MAX(Equivalencia!$3:$3)-YEAR(T34))*14)+MONTH(T34)+2,FALSE)))</f>
        <v>0</v>
      </c>
      <c r="X34" s="178">
        <f t="shared" si="10"/>
        <v>0</v>
      </c>
      <c r="Y34" s="178">
        <f t="shared" si="9"/>
        <v>0</v>
      </c>
      <c r="Z34" s="175">
        <f t="shared" si="2"/>
        <v>0</v>
      </c>
      <c r="AA34" s="179"/>
      <c r="AB34" s="467">
        <f t="shared" si="3"/>
        <v>0</v>
      </c>
      <c r="AC34" s="466">
        <f t="shared" si="4"/>
        <v>0</v>
      </c>
    </row>
    <row r="35" spans="2:29" ht="20.100000000000001" customHeight="1">
      <c r="B35" s="172"/>
      <c r="C35" s="172"/>
      <c r="D35" s="172"/>
      <c r="E35" s="181"/>
      <c r="F35" s="173"/>
      <c r="G35" s="174"/>
      <c r="H35" s="284"/>
      <c r="I35" s="221"/>
      <c r="J35" s="177">
        <f>IF(H35=0,0,IF(F35="MXN",1/HLOOKUP(YEAR(G35)+(MONTH(G35)/100),TC!$5:$37,DAY(G35)+2,FALSE),VLOOKUP(F35,Equivalencia!$5:$23,((MAX(Equivalencia!$3:$3)-YEAR(G35))*14)+MONTH(G35)+2,FALSE)))</f>
        <v>0</v>
      </c>
      <c r="K35" s="217">
        <f t="shared" si="5"/>
        <v>0</v>
      </c>
      <c r="L35" s="462">
        <f>IF(G35=0,0,VLOOKUP(YEAR(G35),INPC!$B$4:$O$29,MONTH(G35)+1))</f>
        <v>0</v>
      </c>
      <c r="M35" s="462">
        <f>IF(T35=0,0,VLOOKUP(YEAR(T35),INPC!$B$4:$O$29,MONTH(T35)+1))</f>
        <v>0</v>
      </c>
      <c r="N35" s="463">
        <f t="shared" si="0"/>
        <v>0</v>
      </c>
      <c r="O35" s="464">
        <f t="shared" si="6"/>
        <v>0</v>
      </c>
      <c r="P35" s="465">
        <f t="shared" si="7"/>
        <v>0</v>
      </c>
      <c r="Q35" s="606" t="str">
        <f t="shared" si="8"/>
        <v>NO</v>
      </c>
      <c r="R35" s="180"/>
      <c r="S35" s="173"/>
      <c r="T35" s="174"/>
      <c r="U35" s="173"/>
      <c r="V35" s="220"/>
      <c r="W35" s="177">
        <f>IF(S35=0,0,IF(U35="MXN",1/HLOOKUP(YEAR(T35)+(MONTH(T35)/100),TC!$5:$37,DAY(T35)+2,FALSE),VLOOKUP(U35,Equivalencia!$1:$23,((MAX(Equivalencia!$3:$3)-YEAR(T35))*14)+MONTH(T35)+2,FALSE)))</f>
        <v>0</v>
      </c>
      <c r="X35" s="178">
        <f t="shared" si="10"/>
        <v>0</v>
      </c>
      <c r="Y35" s="178">
        <f t="shared" si="9"/>
        <v>0</v>
      </c>
      <c r="Z35" s="175">
        <f t="shared" si="2"/>
        <v>0</v>
      </c>
      <c r="AA35" s="179"/>
      <c r="AB35" s="467">
        <f t="shared" si="3"/>
        <v>0</v>
      </c>
      <c r="AC35" s="466">
        <f t="shared" si="4"/>
        <v>0</v>
      </c>
    </row>
    <row r="36" spans="2:29" ht="20.100000000000001" customHeight="1">
      <c r="B36" s="172"/>
      <c r="C36" s="172"/>
      <c r="D36" s="172"/>
      <c r="E36" s="181"/>
      <c r="F36" s="173"/>
      <c r="G36" s="174"/>
      <c r="H36" s="284"/>
      <c r="I36" s="221"/>
      <c r="J36" s="177">
        <f>IF(H36=0,0,IF(F36="MXN",1/HLOOKUP(YEAR(G36)+(MONTH(G36)/100),TC!$5:$37,DAY(G36)+2,FALSE),VLOOKUP(F36,Equivalencia!$5:$23,((MAX(Equivalencia!$3:$3)-YEAR(G36))*14)+MONTH(G36)+2,FALSE)))</f>
        <v>0</v>
      </c>
      <c r="K36" s="217">
        <f t="shared" si="5"/>
        <v>0</v>
      </c>
      <c r="L36" s="462">
        <f>IF(G36=0,0,VLOOKUP(YEAR(G36),INPC!$B$4:$O$29,MONTH(G36)+1))</f>
        <v>0</v>
      </c>
      <c r="M36" s="462">
        <f>IF(T36=0,0,VLOOKUP(YEAR(T36),INPC!$B$4:$O$29,MONTH(T36)+1))</f>
        <v>0</v>
      </c>
      <c r="N36" s="463">
        <f t="shared" si="0"/>
        <v>0</v>
      </c>
      <c r="O36" s="464">
        <f t="shared" si="6"/>
        <v>0</v>
      </c>
      <c r="P36" s="465">
        <f t="shared" si="7"/>
        <v>0</v>
      </c>
      <c r="Q36" s="606" t="str">
        <f t="shared" si="8"/>
        <v>NO</v>
      </c>
      <c r="R36" s="180"/>
      <c r="S36" s="173"/>
      <c r="T36" s="174"/>
      <c r="U36" s="173"/>
      <c r="V36" s="220"/>
      <c r="W36" s="177">
        <f>IF(S36=0,0,IF(U36="MXN",1/HLOOKUP(YEAR(T36)+(MONTH(T36)/100),TC!$5:$37,DAY(T36)+2,FALSE),VLOOKUP(U36,Equivalencia!$1:$23,((MAX(Equivalencia!$3:$3)-YEAR(T36))*14)+MONTH(T36)+2,FALSE)))</f>
        <v>0</v>
      </c>
      <c r="X36" s="178">
        <f t="shared" si="10"/>
        <v>0</v>
      </c>
      <c r="Y36" s="178">
        <f t="shared" si="9"/>
        <v>0</v>
      </c>
      <c r="Z36" s="175">
        <f t="shared" si="2"/>
        <v>0</v>
      </c>
      <c r="AA36" s="179"/>
      <c r="AB36" s="467">
        <f t="shared" si="3"/>
        <v>0</v>
      </c>
      <c r="AC36" s="466">
        <f t="shared" si="4"/>
        <v>0</v>
      </c>
    </row>
    <row r="37" spans="2:29" ht="20.100000000000001" customHeight="1">
      <c r="B37" s="172"/>
      <c r="C37" s="172"/>
      <c r="D37" s="172"/>
      <c r="E37" s="181"/>
      <c r="F37" s="173"/>
      <c r="G37" s="174"/>
      <c r="H37" s="284"/>
      <c r="I37" s="221"/>
      <c r="J37" s="177">
        <f>IF(H37=0,0,IF(F37="MXN",1/HLOOKUP(YEAR(G37)+(MONTH(G37)/100),TC!$5:$37,DAY(G37)+2,FALSE),VLOOKUP(F37,Equivalencia!$5:$23,((MAX(Equivalencia!$3:$3)-YEAR(G37))*14)+MONTH(G37)+2,FALSE)))</f>
        <v>0</v>
      </c>
      <c r="K37" s="217">
        <f t="shared" si="5"/>
        <v>0</v>
      </c>
      <c r="L37" s="462">
        <f>IF(G37=0,0,VLOOKUP(YEAR(G37),INPC!$B$4:$O$29,MONTH(G37)+1))</f>
        <v>0</v>
      </c>
      <c r="M37" s="462">
        <f>IF(T37=0,0,VLOOKUP(YEAR(T37),INPC!$B$4:$O$29,MONTH(T37)+1))</f>
        <v>0</v>
      </c>
      <c r="N37" s="463">
        <f t="shared" si="0"/>
        <v>0</v>
      </c>
      <c r="O37" s="464">
        <f t="shared" si="6"/>
        <v>0</v>
      </c>
      <c r="P37" s="465">
        <f t="shared" si="7"/>
        <v>0</v>
      </c>
      <c r="Q37" s="606" t="str">
        <f t="shared" si="8"/>
        <v>NO</v>
      </c>
      <c r="R37" s="180"/>
      <c r="S37" s="173"/>
      <c r="T37" s="174"/>
      <c r="U37" s="173"/>
      <c r="V37" s="220"/>
      <c r="W37" s="177">
        <f>IF(S37=0,0,IF(U37="MXN",1/HLOOKUP(YEAR(T37)+(MONTH(T37)/100),TC!$5:$37,DAY(T37)+2,FALSE),VLOOKUP(U37,Equivalencia!$1:$23,((MAX(Equivalencia!$3:$3)-YEAR(T37))*14)+MONTH(T37)+2,FALSE)))</f>
        <v>0</v>
      </c>
      <c r="X37" s="178">
        <f t="shared" si="10"/>
        <v>0</v>
      </c>
      <c r="Y37" s="178">
        <f t="shared" si="9"/>
        <v>0</v>
      </c>
      <c r="Z37" s="175">
        <f t="shared" si="2"/>
        <v>0</v>
      </c>
      <c r="AA37" s="179"/>
      <c r="AB37" s="467">
        <f t="shared" si="3"/>
        <v>0</v>
      </c>
      <c r="AC37" s="466">
        <f t="shared" si="4"/>
        <v>0</v>
      </c>
    </row>
    <row r="38" spans="2:29" ht="20.100000000000001" customHeight="1">
      <c r="B38" s="172"/>
      <c r="C38" s="172"/>
      <c r="D38" s="172"/>
      <c r="E38" s="181"/>
      <c r="F38" s="173"/>
      <c r="G38" s="174"/>
      <c r="H38" s="284"/>
      <c r="I38" s="221"/>
      <c r="J38" s="177">
        <f>IF(H38=0,0,IF(F38="MXN",1/HLOOKUP(YEAR(G38)+(MONTH(G38)/100),TC!$5:$37,DAY(G38)+2,FALSE),VLOOKUP(F38,Equivalencia!$5:$23,((MAX(Equivalencia!$3:$3)-YEAR(G38))*14)+MONTH(G38)+2,FALSE)))</f>
        <v>0</v>
      </c>
      <c r="K38" s="217">
        <f t="shared" si="5"/>
        <v>0</v>
      </c>
      <c r="L38" s="462">
        <f>IF(G38=0,0,VLOOKUP(YEAR(G38),INPC!$B$4:$O$29,MONTH(G38)+1))</f>
        <v>0</v>
      </c>
      <c r="M38" s="462">
        <f>IF(T38=0,0,VLOOKUP(YEAR(T38),INPC!$B$4:$O$29,MONTH(T38)+1))</f>
        <v>0</v>
      </c>
      <c r="N38" s="463">
        <f t="shared" si="0"/>
        <v>0</v>
      </c>
      <c r="O38" s="464">
        <f t="shared" si="6"/>
        <v>0</v>
      </c>
      <c r="P38" s="465">
        <f t="shared" si="7"/>
        <v>0</v>
      </c>
      <c r="Q38" s="606" t="str">
        <f t="shared" si="8"/>
        <v>NO</v>
      </c>
      <c r="R38" s="180"/>
      <c r="S38" s="173"/>
      <c r="T38" s="174"/>
      <c r="U38" s="173"/>
      <c r="V38" s="220"/>
      <c r="W38" s="177">
        <f>IF(S38=0,0,IF(U38="MXN",1/HLOOKUP(YEAR(T38)+(MONTH(T38)/100),TC!$5:$37,DAY(T38)+2,FALSE),VLOOKUP(U38,Equivalencia!$1:$23,((MAX(Equivalencia!$3:$3)-YEAR(T38))*14)+MONTH(T38)+2,FALSE)))</f>
        <v>0</v>
      </c>
      <c r="X38" s="178">
        <f t="shared" si="10"/>
        <v>0</v>
      </c>
      <c r="Y38" s="178">
        <f t="shared" si="9"/>
        <v>0</v>
      </c>
      <c r="Z38" s="175">
        <f t="shared" si="2"/>
        <v>0</v>
      </c>
      <c r="AA38" s="179"/>
      <c r="AB38" s="467">
        <f t="shared" si="3"/>
        <v>0</v>
      </c>
      <c r="AC38" s="466">
        <f t="shared" si="4"/>
        <v>0</v>
      </c>
    </row>
    <row r="39" spans="2:29" ht="20.100000000000001" customHeight="1">
      <c r="B39" s="172"/>
      <c r="C39" s="172"/>
      <c r="D39" s="172"/>
      <c r="E39" s="181"/>
      <c r="F39" s="173"/>
      <c r="G39" s="174"/>
      <c r="H39" s="284"/>
      <c r="I39" s="221"/>
      <c r="J39" s="177">
        <f>IF(H39=0,0,IF(F39="MXN",1/HLOOKUP(YEAR(G39)+(MONTH(G39)/100),TC!$5:$37,DAY(G39)+2,FALSE),VLOOKUP(F39,Equivalencia!$5:$23,((MAX(Equivalencia!$3:$3)-YEAR(G39))*14)+MONTH(G39)+2,FALSE)))</f>
        <v>0</v>
      </c>
      <c r="K39" s="217">
        <f t="shared" si="5"/>
        <v>0</v>
      </c>
      <c r="L39" s="462">
        <f>IF(G39=0,0,VLOOKUP(YEAR(G39),INPC!$B$4:$O$29,MONTH(G39)+1))</f>
        <v>0</v>
      </c>
      <c r="M39" s="462">
        <f>IF(T39=0,0,VLOOKUP(YEAR(T39),INPC!$B$4:$O$29,MONTH(T39)+1))</f>
        <v>0</v>
      </c>
      <c r="N39" s="463">
        <f t="shared" si="0"/>
        <v>0</v>
      </c>
      <c r="O39" s="464">
        <f t="shared" si="6"/>
        <v>0</v>
      </c>
      <c r="P39" s="465">
        <f t="shared" si="7"/>
        <v>0</v>
      </c>
      <c r="Q39" s="606" t="str">
        <f t="shared" si="8"/>
        <v>NO</v>
      </c>
      <c r="R39" s="180"/>
      <c r="S39" s="173"/>
      <c r="T39" s="174"/>
      <c r="U39" s="173"/>
      <c r="V39" s="220"/>
      <c r="W39" s="177">
        <f>IF(S39=0,0,IF(U39="MXN",1/HLOOKUP(YEAR(T39)+(MONTH(T39)/100),TC!$5:$37,DAY(T39)+2,FALSE),VLOOKUP(U39,Equivalencia!$1:$23,((MAX(Equivalencia!$3:$3)-YEAR(T39))*14)+MONTH(T39)+2,FALSE)))</f>
        <v>0</v>
      </c>
      <c r="X39" s="178">
        <f t="shared" si="10"/>
        <v>0</v>
      </c>
      <c r="Y39" s="178">
        <f t="shared" si="9"/>
        <v>0</v>
      </c>
      <c r="Z39" s="175">
        <f t="shared" si="2"/>
        <v>0</v>
      </c>
      <c r="AA39" s="179"/>
      <c r="AB39" s="467">
        <f t="shared" si="3"/>
        <v>0</v>
      </c>
      <c r="AC39" s="466">
        <f t="shared" si="4"/>
        <v>0</v>
      </c>
    </row>
    <row r="40" spans="2:29" ht="20.100000000000001" customHeight="1">
      <c r="B40" s="172"/>
      <c r="C40" s="172"/>
      <c r="D40" s="172"/>
      <c r="E40" s="181"/>
      <c r="F40" s="173"/>
      <c r="G40" s="174"/>
      <c r="H40" s="284"/>
      <c r="I40" s="221"/>
      <c r="J40" s="177">
        <f>IF(H40=0,0,IF(F40="MXN",1/HLOOKUP(YEAR(G40)+(MONTH(G40)/100),TC!$5:$37,DAY(G40)+2,FALSE),VLOOKUP(F40,Equivalencia!$5:$23,((MAX(Equivalencia!$3:$3)-YEAR(G40))*14)+MONTH(G40)+2,FALSE)))</f>
        <v>0</v>
      </c>
      <c r="K40" s="217">
        <f t="shared" si="5"/>
        <v>0</v>
      </c>
      <c r="L40" s="462">
        <f>IF(G40=0,0,VLOOKUP(YEAR(G40),INPC!$B$4:$O$29,MONTH(G40)+1))</f>
        <v>0</v>
      </c>
      <c r="M40" s="462">
        <f>IF(T40=0,0,VLOOKUP(YEAR(T40),INPC!$B$4:$O$29,MONTH(T40)+1))</f>
        <v>0</v>
      </c>
      <c r="N40" s="463">
        <f t="shared" si="0"/>
        <v>0</v>
      </c>
      <c r="O40" s="464">
        <f t="shared" si="6"/>
        <v>0</v>
      </c>
      <c r="P40" s="465">
        <f t="shared" si="7"/>
        <v>0</v>
      </c>
      <c r="Q40" s="606" t="str">
        <f t="shared" si="8"/>
        <v>NO</v>
      </c>
      <c r="R40" s="180"/>
      <c r="S40" s="173"/>
      <c r="T40" s="174"/>
      <c r="U40" s="173"/>
      <c r="V40" s="220"/>
      <c r="W40" s="177">
        <f>IF(S40=0,0,IF(U40="MXN",1/HLOOKUP(YEAR(T40)+(MONTH(T40)/100),TC!$5:$37,DAY(T40)+2,FALSE),VLOOKUP(U40,Equivalencia!$1:$23,((MAX(Equivalencia!$3:$3)-YEAR(T40))*14)+MONTH(T40)+2,FALSE)))</f>
        <v>0</v>
      </c>
      <c r="X40" s="178">
        <f t="shared" si="10"/>
        <v>0</v>
      </c>
      <c r="Y40" s="178">
        <f t="shared" si="9"/>
        <v>0</v>
      </c>
      <c r="Z40" s="175">
        <f t="shared" si="2"/>
        <v>0</v>
      </c>
      <c r="AA40" s="179"/>
      <c r="AB40" s="467">
        <f t="shared" si="3"/>
        <v>0</v>
      </c>
      <c r="AC40" s="466">
        <f t="shared" si="4"/>
        <v>0</v>
      </c>
    </row>
    <row r="41" spans="2:29" ht="20.100000000000001" customHeight="1">
      <c r="B41" s="172"/>
      <c r="C41" s="172"/>
      <c r="D41" s="172"/>
      <c r="E41" s="181"/>
      <c r="F41" s="173"/>
      <c r="G41" s="174"/>
      <c r="H41" s="284"/>
      <c r="I41" s="221"/>
      <c r="J41" s="177">
        <f>IF(H41=0,0,IF(F41="MXN",1/HLOOKUP(YEAR(G41)+(MONTH(G41)/100),TC!$5:$37,DAY(G41)+2,FALSE),VLOOKUP(F41,Equivalencia!$5:$23,((MAX(Equivalencia!$3:$3)-YEAR(G41))*14)+MONTH(G41)+2,FALSE)))</f>
        <v>0</v>
      </c>
      <c r="K41" s="217">
        <f t="shared" si="5"/>
        <v>0</v>
      </c>
      <c r="L41" s="462">
        <f>IF(G41=0,0,VLOOKUP(YEAR(G41),INPC!$B$4:$O$29,MONTH(G41)+1))</f>
        <v>0</v>
      </c>
      <c r="M41" s="462">
        <f>IF(T41=0,0,VLOOKUP(YEAR(T41),INPC!$B$4:$O$29,MONTH(T41)+1))</f>
        <v>0</v>
      </c>
      <c r="N41" s="463">
        <f t="shared" si="0"/>
        <v>0</v>
      </c>
      <c r="O41" s="464">
        <f t="shared" si="6"/>
        <v>0</v>
      </c>
      <c r="P41" s="465">
        <f t="shared" si="7"/>
        <v>0</v>
      </c>
      <c r="Q41" s="606" t="str">
        <f t="shared" si="8"/>
        <v>NO</v>
      </c>
      <c r="R41" s="180"/>
      <c r="S41" s="173"/>
      <c r="T41" s="174"/>
      <c r="U41" s="173"/>
      <c r="V41" s="220"/>
      <c r="W41" s="177">
        <f>IF(S41=0,0,IF(U41="MXN",1/HLOOKUP(YEAR(T41)+(MONTH(T41)/100),TC!$5:$37,DAY(T41)+2,FALSE),VLOOKUP(U41,Equivalencia!$1:$23,((MAX(Equivalencia!$3:$3)-YEAR(T41))*14)+MONTH(T41)+2,FALSE)))</f>
        <v>0</v>
      </c>
      <c r="X41" s="178">
        <f t="shared" si="10"/>
        <v>0</v>
      </c>
      <c r="Y41" s="178">
        <f t="shared" si="9"/>
        <v>0</v>
      </c>
      <c r="Z41" s="175">
        <f t="shared" si="2"/>
        <v>0</v>
      </c>
      <c r="AA41" s="179"/>
      <c r="AB41" s="467">
        <f t="shared" si="3"/>
        <v>0</v>
      </c>
      <c r="AC41" s="466">
        <f t="shared" si="4"/>
        <v>0</v>
      </c>
    </row>
    <row r="42" spans="2:29" ht="20.100000000000001" customHeight="1">
      <c r="B42" s="172"/>
      <c r="C42" s="172"/>
      <c r="D42" s="172"/>
      <c r="E42" s="181"/>
      <c r="F42" s="173"/>
      <c r="G42" s="174"/>
      <c r="H42" s="284"/>
      <c r="I42" s="221"/>
      <c r="J42" s="177">
        <f>IF(H42=0,0,IF(F42="MXN",1/HLOOKUP(YEAR(G42)+(MONTH(G42)/100),TC!$5:$37,DAY(G42)+2,FALSE),VLOOKUP(F42,Equivalencia!$5:$23,((MAX(Equivalencia!$3:$3)-YEAR(G42))*14)+MONTH(G42)+2,FALSE)))</f>
        <v>0</v>
      </c>
      <c r="K42" s="217">
        <f t="shared" si="5"/>
        <v>0</v>
      </c>
      <c r="L42" s="462">
        <f>IF(G42=0,0,VLOOKUP(YEAR(G42),INPC!$B$4:$O$29,MONTH(G42)+1))</f>
        <v>0</v>
      </c>
      <c r="M42" s="462">
        <f>IF(T42=0,0,VLOOKUP(YEAR(T42),INPC!$B$4:$O$29,MONTH(T42)+1))</f>
        <v>0</v>
      </c>
      <c r="N42" s="463">
        <f t="shared" si="0"/>
        <v>0</v>
      </c>
      <c r="O42" s="464">
        <f t="shared" si="6"/>
        <v>0</v>
      </c>
      <c r="P42" s="465">
        <f t="shared" si="7"/>
        <v>0</v>
      </c>
      <c r="Q42" s="606" t="str">
        <f t="shared" si="8"/>
        <v>NO</v>
      </c>
      <c r="R42" s="180"/>
      <c r="S42" s="173"/>
      <c r="T42" s="174"/>
      <c r="U42" s="173"/>
      <c r="V42" s="220"/>
      <c r="W42" s="177">
        <f>IF(S42=0,0,IF(U42="MXN",1/HLOOKUP(YEAR(T42)+(MONTH(T42)/100),TC!$5:$37,DAY(T42)+2,FALSE),VLOOKUP(U42,Equivalencia!$1:$23,((MAX(Equivalencia!$3:$3)-YEAR(T42))*14)+MONTH(T42)+2,FALSE)))</f>
        <v>0</v>
      </c>
      <c r="X42" s="178">
        <f t="shared" si="10"/>
        <v>0</v>
      </c>
      <c r="Y42" s="178">
        <f t="shared" si="9"/>
        <v>0</v>
      </c>
      <c r="Z42" s="175">
        <f t="shared" si="2"/>
        <v>0</v>
      </c>
      <c r="AA42" s="179"/>
      <c r="AB42" s="467">
        <f t="shared" si="3"/>
        <v>0</v>
      </c>
      <c r="AC42" s="466">
        <f t="shared" si="4"/>
        <v>0</v>
      </c>
    </row>
    <row r="43" spans="2:29" ht="20.100000000000001" customHeight="1">
      <c r="B43" s="172"/>
      <c r="C43" s="172"/>
      <c r="D43" s="172"/>
      <c r="E43" s="181"/>
      <c r="F43" s="173"/>
      <c r="G43" s="174"/>
      <c r="H43" s="284"/>
      <c r="I43" s="221"/>
      <c r="J43" s="177">
        <f>IF(H43=0,0,IF(F43="MXN",1/HLOOKUP(YEAR(G43)+(MONTH(G43)/100),TC!$5:$37,DAY(G43)+2,FALSE),VLOOKUP(F43,Equivalencia!$5:$23,((MAX(Equivalencia!$3:$3)-YEAR(G43))*14)+MONTH(G43)+2,FALSE)))</f>
        <v>0</v>
      </c>
      <c r="K43" s="217">
        <f t="shared" si="5"/>
        <v>0</v>
      </c>
      <c r="L43" s="462">
        <f>IF(G43=0,0,VLOOKUP(YEAR(G43),INPC!$B$4:$O$29,MONTH(G43)+1))</f>
        <v>0</v>
      </c>
      <c r="M43" s="462">
        <f>IF(T43=0,0,VLOOKUP(YEAR(T43),INPC!$B$4:$O$29,MONTH(T43)+1))</f>
        <v>0</v>
      </c>
      <c r="N43" s="463">
        <f t="shared" si="0"/>
        <v>0</v>
      </c>
      <c r="O43" s="464">
        <f t="shared" si="6"/>
        <v>0</v>
      </c>
      <c r="P43" s="465">
        <f t="shared" si="7"/>
        <v>0</v>
      </c>
      <c r="Q43" s="606" t="str">
        <f t="shared" si="8"/>
        <v>NO</v>
      </c>
      <c r="R43" s="180"/>
      <c r="S43" s="173"/>
      <c r="T43" s="174"/>
      <c r="U43" s="173"/>
      <c r="V43" s="220"/>
      <c r="W43" s="177">
        <f>IF(S43=0,0,IF(U43="MXN",1/HLOOKUP(YEAR(T43)+(MONTH(T43)/100),TC!$5:$37,DAY(T43)+2,FALSE),VLOOKUP(U43,Equivalencia!$1:$23,((MAX(Equivalencia!$3:$3)-YEAR(T43))*14)+MONTH(T43)+2,FALSE)))</f>
        <v>0</v>
      </c>
      <c r="X43" s="178">
        <f t="shared" si="10"/>
        <v>0</v>
      </c>
      <c r="Y43" s="178">
        <f t="shared" si="9"/>
        <v>0</v>
      </c>
      <c r="Z43" s="175">
        <f t="shared" si="2"/>
        <v>0</v>
      </c>
      <c r="AA43" s="179"/>
      <c r="AB43" s="467">
        <f t="shared" si="3"/>
        <v>0</v>
      </c>
      <c r="AC43" s="466">
        <f t="shared" si="4"/>
        <v>0</v>
      </c>
    </row>
    <row r="44" spans="2:29" ht="20.100000000000001" customHeight="1">
      <c r="B44" s="172"/>
      <c r="C44" s="172"/>
      <c r="D44" s="172"/>
      <c r="E44" s="181"/>
      <c r="F44" s="173"/>
      <c r="G44" s="174"/>
      <c r="H44" s="284"/>
      <c r="I44" s="221"/>
      <c r="J44" s="177">
        <f>IF(H44=0,0,IF(F44="MXN",1/HLOOKUP(YEAR(G44)+(MONTH(G44)/100),TC!$5:$37,DAY(G44)+2,FALSE),VLOOKUP(F44,Equivalencia!$5:$23,((MAX(Equivalencia!$3:$3)-YEAR(G44))*14)+MONTH(G44)+2,FALSE)))</f>
        <v>0</v>
      </c>
      <c r="K44" s="217">
        <f t="shared" si="5"/>
        <v>0</v>
      </c>
      <c r="L44" s="462">
        <f>IF(G44=0,0,VLOOKUP(YEAR(G44),INPC!$B$4:$O$29,MONTH(G44)+1))</f>
        <v>0</v>
      </c>
      <c r="M44" s="462">
        <f>IF(T44=0,0,VLOOKUP(YEAR(T44),INPC!$B$4:$O$29,MONTH(T44)+1))</f>
        <v>0</v>
      </c>
      <c r="N44" s="463">
        <f t="shared" si="0"/>
        <v>0</v>
      </c>
      <c r="O44" s="464">
        <f t="shared" si="6"/>
        <v>0</v>
      </c>
      <c r="P44" s="465">
        <f t="shared" si="7"/>
        <v>0</v>
      </c>
      <c r="Q44" s="606" t="str">
        <f t="shared" si="8"/>
        <v>NO</v>
      </c>
      <c r="R44" s="180"/>
      <c r="S44" s="173"/>
      <c r="T44" s="174"/>
      <c r="U44" s="173"/>
      <c r="V44" s="220"/>
      <c r="W44" s="177">
        <f>IF(S44=0,0,IF(U44="MXN",1/HLOOKUP(YEAR(T44)+(MONTH(T44)/100),TC!$5:$37,DAY(T44)+2,FALSE),VLOOKUP(U44,Equivalencia!$1:$23,((MAX(Equivalencia!$3:$3)-YEAR(T44))*14)+MONTH(T44)+2,FALSE)))</f>
        <v>0</v>
      </c>
      <c r="X44" s="178">
        <f t="shared" si="10"/>
        <v>0</v>
      </c>
      <c r="Y44" s="178">
        <f t="shared" si="9"/>
        <v>0</v>
      </c>
      <c r="Z44" s="175">
        <f t="shared" si="2"/>
        <v>0</v>
      </c>
      <c r="AA44" s="179"/>
      <c r="AB44" s="467">
        <f t="shared" si="3"/>
        <v>0</v>
      </c>
      <c r="AC44" s="466">
        <f t="shared" si="4"/>
        <v>0</v>
      </c>
    </row>
    <row r="45" spans="2:29" ht="20.100000000000001" customHeight="1">
      <c r="B45" s="172"/>
      <c r="C45" s="172"/>
      <c r="D45" s="172"/>
      <c r="E45" s="181"/>
      <c r="F45" s="173"/>
      <c r="G45" s="174"/>
      <c r="H45" s="284"/>
      <c r="I45" s="221"/>
      <c r="J45" s="177">
        <f>IF(H45=0,0,IF(F45="MXN",1/HLOOKUP(YEAR(G45)+(MONTH(G45)/100),TC!$5:$37,DAY(G45)+2,FALSE),VLOOKUP(F45,Equivalencia!$5:$23,((MAX(Equivalencia!$3:$3)-YEAR(G45))*14)+MONTH(G45)+2,FALSE)))</f>
        <v>0</v>
      </c>
      <c r="K45" s="217">
        <f t="shared" si="5"/>
        <v>0</v>
      </c>
      <c r="L45" s="462">
        <f>IF(G45=0,0,VLOOKUP(YEAR(G45),INPC!$B$4:$O$29,MONTH(G45)+1))</f>
        <v>0</v>
      </c>
      <c r="M45" s="462">
        <f>IF(T45=0,0,VLOOKUP(YEAR(T45),INPC!$B$4:$O$29,MONTH(T45)+1))</f>
        <v>0</v>
      </c>
      <c r="N45" s="463">
        <f t="shared" si="0"/>
        <v>0</v>
      </c>
      <c r="O45" s="464">
        <f t="shared" si="6"/>
        <v>0</v>
      </c>
      <c r="P45" s="465">
        <f t="shared" si="7"/>
        <v>0</v>
      </c>
      <c r="Q45" s="606" t="str">
        <f t="shared" si="8"/>
        <v>NO</v>
      </c>
      <c r="R45" s="180"/>
      <c r="S45" s="173"/>
      <c r="T45" s="174"/>
      <c r="U45" s="173"/>
      <c r="V45" s="220"/>
      <c r="W45" s="177">
        <f>IF(S45=0,0,IF(U45="MXN",1/HLOOKUP(YEAR(T45)+(MONTH(T45)/100),TC!$5:$37,DAY(T45)+2,FALSE),VLOOKUP(U45,Equivalencia!$1:$23,((MAX(Equivalencia!$3:$3)-YEAR(T45))*14)+MONTH(T45)+2,FALSE)))</f>
        <v>0</v>
      </c>
      <c r="X45" s="178">
        <f t="shared" si="10"/>
        <v>0</v>
      </c>
      <c r="Y45" s="178">
        <f t="shared" si="9"/>
        <v>0</v>
      </c>
      <c r="Z45" s="175">
        <f t="shared" si="2"/>
        <v>0</v>
      </c>
      <c r="AA45" s="179"/>
      <c r="AB45" s="467">
        <f t="shared" si="3"/>
        <v>0</v>
      </c>
      <c r="AC45" s="466">
        <f t="shared" si="4"/>
        <v>0</v>
      </c>
    </row>
    <row r="46" spans="2:29" ht="20.100000000000001" customHeight="1">
      <c r="B46" s="172"/>
      <c r="C46" s="172"/>
      <c r="D46" s="172"/>
      <c r="E46" s="181"/>
      <c r="F46" s="173"/>
      <c r="G46" s="174"/>
      <c r="H46" s="284"/>
      <c r="I46" s="221"/>
      <c r="J46" s="177">
        <f>IF(H46=0,0,IF(F46="MXN",1/HLOOKUP(YEAR(G46)+(MONTH(G46)/100),TC!$5:$37,DAY(G46)+2,FALSE),VLOOKUP(F46,Equivalencia!$5:$23,((MAX(Equivalencia!$3:$3)-YEAR(G46))*14)+MONTH(G46)+2,FALSE)))</f>
        <v>0</v>
      </c>
      <c r="K46" s="217">
        <f t="shared" si="5"/>
        <v>0</v>
      </c>
      <c r="L46" s="462">
        <f>IF(G46=0,0,VLOOKUP(YEAR(G46),INPC!$B$4:$O$29,MONTH(G46)+1))</f>
        <v>0</v>
      </c>
      <c r="M46" s="462">
        <f>IF(T46=0,0,VLOOKUP(YEAR(T46),INPC!$B$4:$O$29,MONTH(T46)+1))</f>
        <v>0</v>
      </c>
      <c r="N46" s="463">
        <f t="shared" si="0"/>
        <v>0</v>
      </c>
      <c r="O46" s="464">
        <f t="shared" si="6"/>
        <v>0</v>
      </c>
      <c r="P46" s="465">
        <f t="shared" si="7"/>
        <v>0</v>
      </c>
      <c r="Q46" s="606" t="str">
        <f t="shared" si="8"/>
        <v>NO</v>
      </c>
      <c r="R46" s="180"/>
      <c r="S46" s="173"/>
      <c r="T46" s="174"/>
      <c r="U46" s="173"/>
      <c r="V46" s="220"/>
      <c r="W46" s="177">
        <f>IF(S46=0,0,IF(U46="MXN",1/HLOOKUP(YEAR(T46)+(MONTH(T46)/100),TC!$5:$37,DAY(T46)+2,FALSE),VLOOKUP(U46,Equivalencia!$1:$23,((MAX(Equivalencia!$3:$3)-YEAR(T46))*14)+MONTH(T46)+2,FALSE)))</f>
        <v>0</v>
      </c>
      <c r="X46" s="178">
        <f t="shared" si="10"/>
        <v>0</v>
      </c>
      <c r="Y46" s="178">
        <f t="shared" si="9"/>
        <v>0</v>
      </c>
      <c r="Z46" s="175">
        <f t="shared" si="2"/>
        <v>0</v>
      </c>
      <c r="AA46" s="179"/>
      <c r="AB46" s="467">
        <f t="shared" si="3"/>
        <v>0</v>
      </c>
      <c r="AC46" s="466">
        <f t="shared" si="4"/>
        <v>0</v>
      </c>
    </row>
    <row r="47" spans="2:29" ht="20.100000000000001" customHeight="1">
      <c r="B47" s="172"/>
      <c r="C47" s="172"/>
      <c r="D47" s="172"/>
      <c r="E47" s="181"/>
      <c r="F47" s="173"/>
      <c r="G47" s="174"/>
      <c r="H47" s="284"/>
      <c r="I47" s="221"/>
      <c r="J47" s="177">
        <f>IF(H47=0,0,IF(F47="MXN",1/HLOOKUP(YEAR(G47)+(MONTH(G47)/100),TC!$5:$37,DAY(G47)+2,FALSE),VLOOKUP(F47,Equivalencia!$5:$23,((MAX(Equivalencia!$3:$3)-YEAR(G47))*14)+MONTH(G47)+2,FALSE)))</f>
        <v>0</v>
      </c>
      <c r="K47" s="217">
        <f t="shared" si="5"/>
        <v>0</v>
      </c>
      <c r="L47" s="462">
        <f>IF(G47=0,0,VLOOKUP(YEAR(G47),INPC!$B$4:$O$29,MONTH(G47)+1))</f>
        <v>0</v>
      </c>
      <c r="M47" s="462">
        <f>IF(T47=0,0,VLOOKUP(YEAR(T47),INPC!$B$4:$O$29,MONTH(T47)+1))</f>
        <v>0</v>
      </c>
      <c r="N47" s="463">
        <f t="shared" si="0"/>
        <v>0</v>
      </c>
      <c r="O47" s="464">
        <f t="shared" si="6"/>
        <v>0</v>
      </c>
      <c r="P47" s="465">
        <f t="shared" si="7"/>
        <v>0</v>
      </c>
      <c r="Q47" s="606" t="str">
        <f t="shared" si="8"/>
        <v>NO</v>
      </c>
      <c r="R47" s="180"/>
      <c r="S47" s="173"/>
      <c r="T47" s="174"/>
      <c r="U47" s="173"/>
      <c r="V47" s="220"/>
      <c r="W47" s="177">
        <f>IF(S47=0,0,IF(U47="MXN",1/HLOOKUP(YEAR(T47)+(MONTH(T47)/100),TC!$5:$37,DAY(T47)+2,FALSE),VLOOKUP(U47,Equivalencia!$1:$23,((MAX(Equivalencia!$3:$3)-YEAR(T47))*14)+MONTH(T47)+2,FALSE)))</f>
        <v>0</v>
      </c>
      <c r="X47" s="178">
        <f t="shared" si="10"/>
        <v>0</v>
      </c>
      <c r="Y47" s="178">
        <f t="shared" si="9"/>
        <v>0</v>
      </c>
      <c r="Z47" s="175">
        <f t="shared" si="2"/>
        <v>0</v>
      </c>
      <c r="AA47" s="179"/>
      <c r="AB47" s="467">
        <f t="shared" si="3"/>
        <v>0</v>
      </c>
      <c r="AC47" s="466">
        <f t="shared" si="4"/>
        <v>0</v>
      </c>
    </row>
    <row r="48" spans="2:29" ht="20.100000000000001" customHeight="1">
      <c r="B48" s="172"/>
      <c r="C48" s="172"/>
      <c r="D48" s="172"/>
      <c r="E48" s="181"/>
      <c r="F48" s="173"/>
      <c r="G48" s="174"/>
      <c r="H48" s="284"/>
      <c r="I48" s="221"/>
      <c r="J48" s="177">
        <f>IF(H48=0,0,IF(F48="MXN",1/HLOOKUP(YEAR(G48)+(MONTH(G48)/100),TC!$5:$37,DAY(G48)+2,FALSE),VLOOKUP(F48,Equivalencia!$5:$23,((MAX(Equivalencia!$3:$3)-YEAR(G48))*14)+MONTH(G48)+2,FALSE)))</f>
        <v>0</v>
      </c>
      <c r="K48" s="217">
        <f t="shared" si="5"/>
        <v>0</v>
      </c>
      <c r="L48" s="462">
        <f>IF(G48=0,0,VLOOKUP(YEAR(G48),INPC!$B$4:$O$29,MONTH(G48)+1))</f>
        <v>0</v>
      </c>
      <c r="M48" s="462">
        <f>IF(T48=0,0,VLOOKUP(YEAR(T48),INPC!$B$4:$O$29,MONTH(T48)+1))</f>
        <v>0</v>
      </c>
      <c r="N48" s="463">
        <f t="shared" si="0"/>
        <v>0</v>
      </c>
      <c r="O48" s="464">
        <f t="shared" si="6"/>
        <v>0</v>
      </c>
      <c r="P48" s="465">
        <f t="shared" si="7"/>
        <v>0</v>
      </c>
      <c r="Q48" s="606" t="str">
        <f t="shared" si="8"/>
        <v>NO</v>
      </c>
      <c r="R48" s="180"/>
      <c r="S48" s="173"/>
      <c r="T48" s="174"/>
      <c r="U48" s="173"/>
      <c r="V48" s="220"/>
      <c r="W48" s="177">
        <f>IF(S48=0,0,IF(U48="MXN",1/HLOOKUP(YEAR(T48)+(MONTH(T48)/100),TC!$5:$37,DAY(T48)+2,FALSE),VLOOKUP(U48,Equivalencia!$1:$23,((MAX(Equivalencia!$3:$3)-YEAR(T48))*14)+MONTH(T48)+2,FALSE)))</f>
        <v>0</v>
      </c>
      <c r="X48" s="178">
        <f t="shared" si="10"/>
        <v>0</v>
      </c>
      <c r="Y48" s="178">
        <f t="shared" si="9"/>
        <v>0</v>
      </c>
      <c r="Z48" s="175">
        <f t="shared" si="2"/>
        <v>0</v>
      </c>
      <c r="AA48" s="179"/>
      <c r="AB48" s="467">
        <f t="shared" si="3"/>
        <v>0</v>
      </c>
      <c r="AC48" s="466">
        <f t="shared" si="4"/>
        <v>0</v>
      </c>
    </row>
    <row r="49" spans="2:29" ht="20.100000000000001" customHeight="1">
      <c r="B49" s="172"/>
      <c r="C49" s="172"/>
      <c r="D49" s="172"/>
      <c r="E49" s="181"/>
      <c r="F49" s="173"/>
      <c r="G49" s="174"/>
      <c r="H49" s="284"/>
      <c r="I49" s="221"/>
      <c r="J49" s="177">
        <f>IF(H49=0,0,IF(F49="MXN",1/HLOOKUP(YEAR(G49)+(MONTH(G49)/100),TC!$5:$37,DAY(G49)+2,FALSE),VLOOKUP(F49,Equivalencia!$5:$23,((MAX(Equivalencia!$3:$3)-YEAR(G49))*14)+MONTH(G49)+2,FALSE)))</f>
        <v>0</v>
      </c>
      <c r="K49" s="217">
        <f t="shared" si="5"/>
        <v>0</v>
      </c>
      <c r="L49" s="462">
        <f>IF(G49=0,0,VLOOKUP(YEAR(G49),INPC!$B$4:$O$29,MONTH(G49)+1))</f>
        <v>0</v>
      </c>
      <c r="M49" s="462">
        <f>IF(T49=0,0,VLOOKUP(YEAR(T49),INPC!$B$4:$O$29,MONTH(T49)+1))</f>
        <v>0</v>
      </c>
      <c r="N49" s="463">
        <f t="shared" si="0"/>
        <v>0</v>
      </c>
      <c r="O49" s="464">
        <f t="shared" si="6"/>
        <v>0</v>
      </c>
      <c r="P49" s="465">
        <f t="shared" si="7"/>
        <v>0</v>
      </c>
      <c r="Q49" s="606" t="str">
        <f t="shared" si="8"/>
        <v>NO</v>
      </c>
      <c r="R49" s="180"/>
      <c r="S49" s="173"/>
      <c r="T49" s="174"/>
      <c r="U49" s="173"/>
      <c r="V49" s="220"/>
      <c r="W49" s="177">
        <f>IF(S49=0,0,IF(U49="MXN",1/HLOOKUP(YEAR(T49)+(MONTH(T49)/100),TC!$5:$37,DAY(T49)+2,FALSE),VLOOKUP(U49,Equivalencia!$1:$23,((MAX(Equivalencia!$3:$3)-YEAR(T49))*14)+MONTH(T49)+2,FALSE)))</f>
        <v>0</v>
      </c>
      <c r="X49" s="178">
        <f t="shared" si="10"/>
        <v>0</v>
      </c>
      <c r="Y49" s="178">
        <f t="shared" si="9"/>
        <v>0</v>
      </c>
      <c r="Z49" s="175">
        <f t="shared" si="2"/>
        <v>0</v>
      </c>
      <c r="AA49" s="179"/>
      <c r="AB49" s="467">
        <f t="shared" si="3"/>
        <v>0</v>
      </c>
      <c r="AC49" s="466">
        <f t="shared" si="4"/>
        <v>0</v>
      </c>
    </row>
    <row r="50" spans="2:29" ht="20.100000000000001" customHeight="1">
      <c r="B50" s="172"/>
      <c r="C50" s="172"/>
      <c r="D50" s="172"/>
      <c r="E50" s="181"/>
      <c r="F50" s="173"/>
      <c r="G50" s="174"/>
      <c r="H50" s="284"/>
      <c r="I50" s="221"/>
      <c r="J50" s="177">
        <f>IF(H50=0,0,IF(F50="MXN",1/HLOOKUP(YEAR(G50)+(MONTH(G50)/100),TC!$5:$37,DAY(G50)+2,FALSE),VLOOKUP(F50,Equivalencia!$5:$23,((MAX(Equivalencia!$3:$3)-YEAR(G50))*14)+MONTH(G50)+2,FALSE)))</f>
        <v>0</v>
      </c>
      <c r="K50" s="217">
        <f t="shared" si="5"/>
        <v>0</v>
      </c>
      <c r="L50" s="462">
        <f>IF(G50=0,0,VLOOKUP(YEAR(G50),INPC!$B$4:$O$29,MONTH(G50)+1))</f>
        <v>0</v>
      </c>
      <c r="M50" s="462">
        <f>IF(T50=0,0,VLOOKUP(YEAR(T50),INPC!$B$4:$O$29,MONTH(T50)+1))</f>
        <v>0</v>
      </c>
      <c r="N50" s="463">
        <f t="shared" si="0"/>
        <v>0</v>
      </c>
      <c r="O50" s="464">
        <f t="shared" si="6"/>
        <v>0</v>
      </c>
      <c r="P50" s="465">
        <f t="shared" si="7"/>
        <v>0</v>
      </c>
      <c r="Q50" s="606" t="str">
        <f t="shared" si="8"/>
        <v>NO</v>
      </c>
      <c r="R50" s="180"/>
      <c r="S50" s="173"/>
      <c r="T50" s="174"/>
      <c r="U50" s="173"/>
      <c r="V50" s="220"/>
      <c r="W50" s="177">
        <f>IF(S50=0,0,IF(U50="MXN",1/HLOOKUP(YEAR(T50)+(MONTH(T50)/100),TC!$5:$37,DAY(T50)+2,FALSE),VLOOKUP(U50,Equivalencia!$1:$23,((MAX(Equivalencia!$3:$3)-YEAR(T50))*14)+MONTH(T50)+2,FALSE)))</f>
        <v>0</v>
      </c>
      <c r="X50" s="178">
        <f t="shared" si="10"/>
        <v>0</v>
      </c>
      <c r="Y50" s="178">
        <f t="shared" si="9"/>
        <v>0</v>
      </c>
      <c r="Z50" s="175">
        <f t="shared" si="2"/>
        <v>0</v>
      </c>
      <c r="AA50" s="179"/>
      <c r="AB50" s="467">
        <f t="shared" si="3"/>
        <v>0</v>
      </c>
      <c r="AC50" s="466">
        <f t="shared" si="4"/>
        <v>0</v>
      </c>
    </row>
    <row r="51" spans="2:29" ht="20.100000000000001" customHeight="1">
      <c r="B51" s="172"/>
      <c r="C51" s="172"/>
      <c r="D51" s="172"/>
      <c r="E51" s="181"/>
      <c r="F51" s="173"/>
      <c r="G51" s="174"/>
      <c r="H51" s="284"/>
      <c r="I51" s="221"/>
      <c r="J51" s="177">
        <f>IF(H51=0,0,IF(F51="MXN",1/HLOOKUP(YEAR(G51)+(MONTH(G51)/100),TC!$5:$37,DAY(G51)+2,FALSE),VLOOKUP(F51,Equivalencia!$5:$23,((MAX(Equivalencia!$3:$3)-YEAR(G51))*14)+MONTH(G51)+2,FALSE)))</f>
        <v>0</v>
      </c>
      <c r="K51" s="217">
        <f t="shared" si="5"/>
        <v>0</v>
      </c>
      <c r="L51" s="462">
        <f>IF(G51=0,0,VLOOKUP(YEAR(G51),INPC!$B$4:$O$29,MONTH(G51)+1))</f>
        <v>0</v>
      </c>
      <c r="M51" s="462">
        <f>IF(T51=0,0,VLOOKUP(YEAR(T51),INPC!$B$4:$O$29,MONTH(T51)+1))</f>
        <v>0</v>
      </c>
      <c r="N51" s="463">
        <f t="shared" si="0"/>
        <v>0</v>
      </c>
      <c r="O51" s="464">
        <f t="shared" si="6"/>
        <v>0</v>
      </c>
      <c r="P51" s="465">
        <f t="shared" si="7"/>
        <v>0</v>
      </c>
      <c r="Q51" s="606" t="str">
        <f t="shared" si="8"/>
        <v>NO</v>
      </c>
      <c r="R51" s="180"/>
      <c r="S51" s="173"/>
      <c r="T51" s="174"/>
      <c r="U51" s="173"/>
      <c r="V51" s="220"/>
      <c r="W51" s="177">
        <f>IF(S51=0,0,IF(U51="MXN",1/HLOOKUP(YEAR(T51)+(MONTH(T51)/100),TC!$5:$37,DAY(T51)+2,FALSE),VLOOKUP(U51,Equivalencia!$1:$23,((MAX(Equivalencia!$3:$3)-YEAR(T51))*14)+MONTH(T51)+2,FALSE)))</f>
        <v>0</v>
      </c>
      <c r="X51" s="178">
        <f t="shared" si="10"/>
        <v>0</v>
      </c>
      <c r="Y51" s="178">
        <f t="shared" si="9"/>
        <v>0</v>
      </c>
      <c r="Z51" s="175">
        <f t="shared" si="2"/>
        <v>0</v>
      </c>
      <c r="AA51" s="179"/>
      <c r="AB51" s="467">
        <f t="shared" si="3"/>
        <v>0</v>
      </c>
      <c r="AC51" s="466">
        <f t="shared" si="4"/>
        <v>0</v>
      </c>
    </row>
    <row r="52" spans="2:29" ht="20.100000000000001" customHeight="1">
      <c r="B52" s="172"/>
      <c r="C52" s="172"/>
      <c r="D52" s="172"/>
      <c r="E52" s="181"/>
      <c r="F52" s="173"/>
      <c r="G52" s="174"/>
      <c r="H52" s="284"/>
      <c r="I52" s="221"/>
      <c r="J52" s="177">
        <f>IF(H52=0,0,IF(F52="MXN",1/HLOOKUP(YEAR(G52)+(MONTH(G52)/100),TC!$5:$37,DAY(G52)+2,FALSE),VLOOKUP(F52,Equivalencia!$5:$23,((MAX(Equivalencia!$3:$3)-YEAR(G52))*14)+MONTH(G52)+2,FALSE)))</f>
        <v>0</v>
      </c>
      <c r="K52" s="217">
        <f t="shared" si="5"/>
        <v>0</v>
      </c>
      <c r="L52" s="462">
        <f>IF(G52=0,0,VLOOKUP(YEAR(G52),INPC!$B$4:$O$29,MONTH(G52)+1))</f>
        <v>0</v>
      </c>
      <c r="M52" s="462">
        <f>IF(T52=0,0,VLOOKUP(YEAR(T52),INPC!$B$4:$O$29,MONTH(T52)+1))</f>
        <v>0</v>
      </c>
      <c r="N52" s="463">
        <f t="shared" si="0"/>
        <v>0</v>
      </c>
      <c r="O52" s="464">
        <f t="shared" si="6"/>
        <v>0</v>
      </c>
      <c r="P52" s="465">
        <f t="shared" si="7"/>
        <v>0</v>
      </c>
      <c r="Q52" s="606" t="str">
        <f t="shared" si="8"/>
        <v>NO</v>
      </c>
      <c r="R52" s="180"/>
      <c r="S52" s="173"/>
      <c r="T52" s="174"/>
      <c r="U52" s="173"/>
      <c r="V52" s="220"/>
      <c r="W52" s="177">
        <f>IF(S52=0,0,IF(U52="MXN",1/HLOOKUP(YEAR(T52)+(MONTH(T52)/100),TC!$5:$37,DAY(T52)+2,FALSE),VLOOKUP(U52,Equivalencia!$1:$23,((MAX(Equivalencia!$3:$3)-YEAR(T52))*14)+MONTH(T52)+2,FALSE)))</f>
        <v>0</v>
      </c>
      <c r="X52" s="178">
        <f t="shared" si="10"/>
        <v>0</v>
      </c>
      <c r="Y52" s="178">
        <f t="shared" si="9"/>
        <v>0</v>
      </c>
      <c r="Z52" s="175">
        <f t="shared" si="2"/>
        <v>0</v>
      </c>
      <c r="AA52" s="179"/>
      <c r="AB52" s="467">
        <f t="shared" si="3"/>
        <v>0</v>
      </c>
      <c r="AC52" s="466">
        <f t="shared" si="4"/>
        <v>0</v>
      </c>
    </row>
    <row r="53" spans="2:29" ht="20.100000000000001" customHeight="1">
      <c r="B53" s="172"/>
      <c r="C53" s="172"/>
      <c r="D53" s="172"/>
      <c r="E53" s="181"/>
      <c r="F53" s="173"/>
      <c r="G53" s="174"/>
      <c r="H53" s="284"/>
      <c r="I53" s="221"/>
      <c r="J53" s="177">
        <f>IF(H53=0,0,IF(F53="MXN",1/HLOOKUP(YEAR(G53)+(MONTH(G53)/100),TC!$5:$37,DAY(G53)+2,FALSE),VLOOKUP(F53,Equivalencia!$5:$23,((MAX(Equivalencia!$3:$3)-YEAR(G53))*14)+MONTH(G53)+2,FALSE)))</f>
        <v>0</v>
      </c>
      <c r="K53" s="217">
        <f t="shared" si="5"/>
        <v>0</v>
      </c>
      <c r="L53" s="462">
        <f>IF(G53=0,0,VLOOKUP(YEAR(G53),INPC!$B$4:$O$29,MONTH(G53)+1))</f>
        <v>0</v>
      </c>
      <c r="M53" s="462">
        <f>IF(T53=0,0,VLOOKUP(YEAR(T53),INPC!$B$4:$O$29,MONTH(T53)+1))</f>
        <v>0</v>
      </c>
      <c r="N53" s="463">
        <f t="shared" si="0"/>
        <v>0</v>
      </c>
      <c r="O53" s="464">
        <f t="shared" si="6"/>
        <v>0</v>
      </c>
      <c r="P53" s="465">
        <f t="shared" si="7"/>
        <v>0</v>
      </c>
      <c r="Q53" s="606" t="str">
        <f t="shared" si="8"/>
        <v>NO</v>
      </c>
      <c r="R53" s="180"/>
      <c r="S53" s="173"/>
      <c r="T53" s="174"/>
      <c r="U53" s="173"/>
      <c r="V53" s="220"/>
      <c r="W53" s="177">
        <f>IF(S53=0,0,IF(U53="MXN",1/HLOOKUP(YEAR(T53)+(MONTH(T53)/100),TC!$5:$37,DAY(T53)+2,FALSE),VLOOKUP(U53,Equivalencia!$1:$23,((MAX(Equivalencia!$3:$3)-YEAR(T53))*14)+MONTH(T53)+2,FALSE)))</f>
        <v>0</v>
      </c>
      <c r="X53" s="178">
        <f t="shared" si="10"/>
        <v>0</v>
      </c>
      <c r="Y53" s="178">
        <f t="shared" si="9"/>
        <v>0</v>
      </c>
      <c r="Z53" s="175">
        <f t="shared" si="2"/>
        <v>0</v>
      </c>
      <c r="AA53" s="179"/>
      <c r="AB53" s="467">
        <f t="shared" si="3"/>
        <v>0</v>
      </c>
      <c r="AC53" s="466">
        <f t="shared" si="4"/>
        <v>0</v>
      </c>
    </row>
    <row r="54" spans="2:29" ht="20.100000000000001" customHeight="1">
      <c r="B54" s="172"/>
      <c r="C54" s="172"/>
      <c r="D54" s="172"/>
      <c r="E54" s="181"/>
      <c r="F54" s="173"/>
      <c r="G54" s="174"/>
      <c r="H54" s="284"/>
      <c r="I54" s="221"/>
      <c r="J54" s="177">
        <f>IF(H54=0,0,IF(F54="MXN",1/HLOOKUP(YEAR(G54)+(MONTH(G54)/100),TC!$5:$37,DAY(G54)+2,FALSE),VLOOKUP(F54,Equivalencia!$5:$23,((MAX(Equivalencia!$3:$3)-YEAR(G54))*14)+MONTH(G54)+2,FALSE)))</f>
        <v>0</v>
      </c>
      <c r="K54" s="217">
        <f t="shared" si="5"/>
        <v>0</v>
      </c>
      <c r="L54" s="462">
        <f>IF(G54=0,0,VLOOKUP(YEAR(G54),INPC!$B$4:$O$29,MONTH(G54)+1))</f>
        <v>0</v>
      </c>
      <c r="M54" s="462">
        <f>IF(T54=0,0,VLOOKUP(YEAR(T54),INPC!$B$4:$O$29,MONTH(T54)+1))</f>
        <v>0</v>
      </c>
      <c r="N54" s="463">
        <f t="shared" si="0"/>
        <v>0</v>
      </c>
      <c r="O54" s="464">
        <f t="shared" si="6"/>
        <v>0</v>
      </c>
      <c r="P54" s="465">
        <f t="shared" si="7"/>
        <v>0</v>
      </c>
      <c r="Q54" s="606" t="str">
        <f t="shared" si="8"/>
        <v>NO</v>
      </c>
      <c r="R54" s="180"/>
      <c r="S54" s="173"/>
      <c r="T54" s="174"/>
      <c r="U54" s="173"/>
      <c r="V54" s="220"/>
      <c r="W54" s="177">
        <f>IF(S54=0,0,IF(U54="MXN",1/HLOOKUP(YEAR(T54)+(MONTH(T54)/100),TC!$5:$37,DAY(T54)+2,FALSE),VLOOKUP(U54,Equivalencia!$1:$23,((MAX(Equivalencia!$3:$3)-YEAR(T54))*14)+MONTH(T54)+2,FALSE)))</f>
        <v>0</v>
      </c>
      <c r="X54" s="178">
        <f t="shared" si="10"/>
        <v>0</v>
      </c>
      <c r="Y54" s="178">
        <f t="shared" si="9"/>
        <v>0</v>
      </c>
      <c r="Z54" s="175">
        <f t="shared" si="2"/>
        <v>0</v>
      </c>
      <c r="AA54" s="179"/>
      <c r="AB54" s="467">
        <f t="shared" si="3"/>
        <v>0</v>
      </c>
      <c r="AC54" s="466">
        <f t="shared" si="4"/>
        <v>0</v>
      </c>
    </row>
    <row r="55" spans="2:29" ht="20.100000000000001" customHeight="1">
      <c r="B55" s="172"/>
      <c r="C55" s="172"/>
      <c r="D55" s="172"/>
      <c r="E55" s="181"/>
      <c r="F55" s="173"/>
      <c r="G55" s="174"/>
      <c r="H55" s="284"/>
      <c r="I55" s="221"/>
      <c r="J55" s="177">
        <f>IF(H55=0,0,IF(F55="MXN",1/HLOOKUP(YEAR(G55)+(MONTH(G55)/100),TC!$5:$37,DAY(G55)+2,FALSE),VLOOKUP(F55,Equivalencia!$5:$23,((MAX(Equivalencia!$3:$3)-YEAR(G55))*14)+MONTH(G55)+2,FALSE)))</f>
        <v>0</v>
      </c>
      <c r="K55" s="217">
        <f t="shared" si="5"/>
        <v>0</v>
      </c>
      <c r="L55" s="462">
        <f>IF(G55=0,0,VLOOKUP(YEAR(G55),INPC!$B$4:$O$29,MONTH(G55)+1))</f>
        <v>0</v>
      </c>
      <c r="M55" s="462">
        <f>IF(T55=0,0,VLOOKUP(YEAR(T55),INPC!$B$4:$O$29,MONTH(T55)+1))</f>
        <v>0</v>
      </c>
      <c r="N55" s="463">
        <f t="shared" si="0"/>
        <v>0</v>
      </c>
      <c r="O55" s="464">
        <f t="shared" si="6"/>
        <v>0</v>
      </c>
      <c r="P55" s="465">
        <f t="shared" si="7"/>
        <v>0</v>
      </c>
      <c r="Q55" s="606" t="str">
        <f t="shared" si="8"/>
        <v>NO</v>
      </c>
      <c r="R55" s="180"/>
      <c r="S55" s="173"/>
      <c r="T55" s="174"/>
      <c r="U55" s="173"/>
      <c r="V55" s="220"/>
      <c r="W55" s="177">
        <f>IF(S55=0,0,IF(U55="MXN",1/HLOOKUP(YEAR(T55)+(MONTH(T55)/100),TC!$5:$37,DAY(T55)+2,FALSE),VLOOKUP(U55,Equivalencia!$1:$23,((MAX(Equivalencia!$3:$3)-YEAR(T55))*14)+MONTH(T55)+2,FALSE)))</f>
        <v>0</v>
      </c>
      <c r="X55" s="178">
        <f t="shared" si="10"/>
        <v>0</v>
      </c>
      <c r="Y55" s="178">
        <f t="shared" si="9"/>
        <v>0</v>
      </c>
      <c r="Z55" s="175">
        <f t="shared" si="2"/>
        <v>0</v>
      </c>
      <c r="AA55" s="179"/>
      <c r="AB55" s="467">
        <f t="shared" si="3"/>
        <v>0</v>
      </c>
      <c r="AC55" s="466">
        <f t="shared" si="4"/>
        <v>0</v>
      </c>
    </row>
    <row r="56" spans="2:29" ht="20.100000000000001" customHeight="1">
      <c r="B56" s="172"/>
      <c r="C56" s="172"/>
      <c r="D56" s="172"/>
      <c r="E56" s="181"/>
      <c r="F56" s="173"/>
      <c r="G56" s="174"/>
      <c r="H56" s="284"/>
      <c r="I56" s="221"/>
      <c r="J56" s="177">
        <f>IF(H56=0,0,IF(F56="MXN",1/HLOOKUP(YEAR(G56)+(MONTH(G56)/100),TC!$5:$37,DAY(G56)+2,FALSE),VLOOKUP(F56,Equivalencia!$5:$23,((MAX(Equivalencia!$3:$3)-YEAR(G56))*14)+MONTH(G56)+2,FALSE)))</f>
        <v>0</v>
      </c>
      <c r="K56" s="217">
        <f t="shared" si="5"/>
        <v>0</v>
      </c>
      <c r="L56" s="462">
        <f>IF(G56=0,0,VLOOKUP(YEAR(G56),INPC!$B$4:$O$29,MONTH(G56)+1))</f>
        <v>0</v>
      </c>
      <c r="M56" s="462">
        <f>IF(T56=0,0,VLOOKUP(YEAR(T56),INPC!$B$4:$O$29,MONTH(T56)+1))</f>
        <v>0</v>
      </c>
      <c r="N56" s="463">
        <f t="shared" si="0"/>
        <v>0</v>
      </c>
      <c r="O56" s="464">
        <f t="shared" si="6"/>
        <v>0</v>
      </c>
      <c r="P56" s="465">
        <f t="shared" si="7"/>
        <v>0</v>
      </c>
      <c r="Q56" s="606" t="str">
        <f t="shared" si="8"/>
        <v>NO</v>
      </c>
      <c r="R56" s="180"/>
      <c r="S56" s="173"/>
      <c r="T56" s="174"/>
      <c r="U56" s="173"/>
      <c r="V56" s="220"/>
      <c r="W56" s="177">
        <f>IF(S56=0,0,IF(U56="MXN",1/HLOOKUP(YEAR(T56)+(MONTH(T56)/100),TC!$5:$37,DAY(T56)+2,FALSE),VLOOKUP(U56,Equivalencia!$1:$23,((MAX(Equivalencia!$3:$3)-YEAR(T56))*14)+MONTH(T56)+2,FALSE)))</f>
        <v>0</v>
      </c>
      <c r="X56" s="178">
        <f t="shared" si="10"/>
        <v>0</v>
      </c>
      <c r="Y56" s="178">
        <f t="shared" si="9"/>
        <v>0</v>
      </c>
      <c r="Z56" s="175">
        <f t="shared" si="2"/>
        <v>0</v>
      </c>
      <c r="AA56" s="179"/>
      <c r="AB56" s="467">
        <f t="shared" si="3"/>
        <v>0</v>
      </c>
      <c r="AC56" s="466">
        <f t="shared" si="4"/>
        <v>0</v>
      </c>
    </row>
    <row r="57" spans="2:29" ht="20.100000000000001" customHeight="1">
      <c r="B57" s="172"/>
      <c r="C57" s="172"/>
      <c r="D57" s="172"/>
      <c r="E57" s="181"/>
      <c r="F57" s="173"/>
      <c r="G57" s="174"/>
      <c r="H57" s="284"/>
      <c r="I57" s="221"/>
      <c r="J57" s="177">
        <f>IF(H57=0,0,IF(F57="MXN",1/HLOOKUP(YEAR(G57)+(MONTH(G57)/100),TC!$5:$37,DAY(G57)+2,FALSE),VLOOKUP(F57,Equivalencia!$5:$23,((MAX(Equivalencia!$3:$3)-YEAR(G57))*14)+MONTH(G57)+2,FALSE)))</f>
        <v>0</v>
      </c>
      <c r="K57" s="217">
        <f t="shared" si="5"/>
        <v>0</v>
      </c>
      <c r="L57" s="462">
        <f>IF(G57=0,0,VLOOKUP(YEAR(G57),INPC!$B$4:$O$29,MONTH(G57)+1))</f>
        <v>0</v>
      </c>
      <c r="M57" s="462">
        <f>IF(T57=0,0,VLOOKUP(YEAR(T57),INPC!$B$4:$O$29,MONTH(T57)+1))</f>
        <v>0</v>
      </c>
      <c r="N57" s="463">
        <f t="shared" si="0"/>
        <v>0</v>
      </c>
      <c r="O57" s="464">
        <f t="shared" si="6"/>
        <v>0</v>
      </c>
      <c r="P57" s="465">
        <f t="shared" si="7"/>
        <v>0</v>
      </c>
      <c r="Q57" s="606" t="str">
        <f t="shared" si="8"/>
        <v>NO</v>
      </c>
      <c r="R57" s="180"/>
      <c r="S57" s="173"/>
      <c r="T57" s="174"/>
      <c r="U57" s="173"/>
      <c r="V57" s="220"/>
      <c r="W57" s="177">
        <f>IF(S57=0,0,IF(U57="MXN",1/HLOOKUP(YEAR(T57)+(MONTH(T57)/100),TC!$5:$37,DAY(T57)+2,FALSE),VLOOKUP(U57,Equivalencia!$1:$23,((MAX(Equivalencia!$3:$3)-YEAR(T57))*14)+MONTH(T57)+2,FALSE)))</f>
        <v>0</v>
      </c>
      <c r="X57" s="178">
        <f t="shared" si="10"/>
        <v>0</v>
      </c>
      <c r="Y57" s="178">
        <f t="shared" si="9"/>
        <v>0</v>
      </c>
      <c r="Z57" s="175">
        <f t="shared" si="2"/>
        <v>0</v>
      </c>
      <c r="AA57" s="179"/>
      <c r="AB57" s="467">
        <f t="shared" si="3"/>
        <v>0</v>
      </c>
      <c r="AC57" s="466">
        <f t="shared" si="4"/>
        <v>0</v>
      </c>
    </row>
    <row r="58" spans="2:29" ht="20.100000000000001" customHeight="1">
      <c r="B58" s="172"/>
      <c r="C58" s="172"/>
      <c r="D58" s="172"/>
      <c r="E58" s="181"/>
      <c r="F58" s="173"/>
      <c r="G58" s="174"/>
      <c r="H58" s="284"/>
      <c r="I58" s="221"/>
      <c r="J58" s="177">
        <f>IF(H58=0,0,IF(F58="MXN",1/HLOOKUP(YEAR(G58)+(MONTH(G58)/100),TC!$5:$37,DAY(G58)+2,FALSE),VLOOKUP(F58,Equivalencia!$5:$23,((MAX(Equivalencia!$3:$3)-YEAR(G58))*14)+MONTH(G58)+2,FALSE)))</f>
        <v>0</v>
      </c>
      <c r="K58" s="217">
        <f t="shared" si="5"/>
        <v>0</v>
      </c>
      <c r="L58" s="462">
        <f>IF(G58=0,0,VLOOKUP(YEAR(G58),INPC!$B$4:$O$29,MONTH(G58)+1))</f>
        <v>0</v>
      </c>
      <c r="M58" s="462">
        <f>IF(T58=0,0,VLOOKUP(YEAR(T58),INPC!$B$4:$O$29,MONTH(T58)+1))</f>
        <v>0</v>
      </c>
      <c r="N58" s="463">
        <f t="shared" si="0"/>
        <v>0</v>
      </c>
      <c r="O58" s="464">
        <f t="shared" si="6"/>
        <v>0</v>
      </c>
      <c r="P58" s="465">
        <f t="shared" si="7"/>
        <v>0</v>
      </c>
      <c r="Q58" s="606" t="str">
        <f t="shared" si="8"/>
        <v>NO</v>
      </c>
      <c r="R58" s="180"/>
      <c r="S58" s="173"/>
      <c r="T58" s="174"/>
      <c r="U58" s="173"/>
      <c r="V58" s="220"/>
      <c r="W58" s="177">
        <f>IF(S58=0,0,IF(U58="MXN",1/HLOOKUP(YEAR(T58)+(MONTH(T58)/100),TC!$5:$37,DAY(T58)+2,FALSE),VLOOKUP(U58,Equivalencia!$1:$23,((MAX(Equivalencia!$3:$3)-YEAR(T58))*14)+MONTH(T58)+2,FALSE)))</f>
        <v>0</v>
      </c>
      <c r="X58" s="178">
        <f t="shared" si="10"/>
        <v>0</v>
      </c>
      <c r="Y58" s="178">
        <f t="shared" si="9"/>
        <v>0</v>
      </c>
      <c r="Z58" s="175">
        <f t="shared" si="2"/>
        <v>0</v>
      </c>
      <c r="AA58" s="179"/>
      <c r="AB58" s="467">
        <f t="shared" si="3"/>
        <v>0</v>
      </c>
      <c r="AC58" s="466">
        <f t="shared" si="4"/>
        <v>0</v>
      </c>
    </row>
    <row r="59" spans="2:29" ht="20.100000000000001" customHeight="1">
      <c r="B59" s="172"/>
      <c r="C59" s="172"/>
      <c r="D59" s="172"/>
      <c r="E59" s="181"/>
      <c r="F59" s="173"/>
      <c r="G59" s="174"/>
      <c r="H59" s="284"/>
      <c r="I59" s="221"/>
      <c r="J59" s="177">
        <f>IF(H59=0,0,IF(F59="MXN",1/HLOOKUP(YEAR(G59)+(MONTH(G59)/100),TC!$5:$37,DAY(G59)+2,FALSE),VLOOKUP(F59,Equivalencia!$5:$23,((MAX(Equivalencia!$3:$3)-YEAR(G59))*14)+MONTH(G59)+2,FALSE)))</f>
        <v>0</v>
      </c>
      <c r="K59" s="217">
        <f t="shared" si="5"/>
        <v>0</v>
      </c>
      <c r="L59" s="462">
        <f>IF(G59=0,0,VLOOKUP(YEAR(G59),INPC!$B$4:$O$29,MONTH(G59)+1))</f>
        <v>0</v>
      </c>
      <c r="M59" s="462">
        <f>IF(T59=0,0,VLOOKUP(YEAR(T59),INPC!$B$4:$O$29,MONTH(T59)+1))</f>
        <v>0</v>
      </c>
      <c r="N59" s="463">
        <f t="shared" si="0"/>
        <v>0</v>
      </c>
      <c r="O59" s="464">
        <f t="shared" si="6"/>
        <v>0</v>
      </c>
      <c r="P59" s="465">
        <f t="shared" si="7"/>
        <v>0</v>
      </c>
      <c r="Q59" s="606" t="str">
        <f t="shared" si="8"/>
        <v>NO</v>
      </c>
      <c r="R59" s="180"/>
      <c r="S59" s="173"/>
      <c r="T59" s="174"/>
      <c r="U59" s="173"/>
      <c r="V59" s="220"/>
      <c r="W59" s="177">
        <f>IF(S59=0,0,IF(U59="MXN",1/HLOOKUP(YEAR(T59)+(MONTH(T59)/100),TC!$5:$37,DAY(T59)+2,FALSE),VLOOKUP(U59,Equivalencia!$1:$23,((MAX(Equivalencia!$3:$3)-YEAR(T59))*14)+MONTH(T59)+2,FALSE)))</f>
        <v>0</v>
      </c>
      <c r="X59" s="178">
        <f t="shared" si="10"/>
        <v>0</v>
      </c>
      <c r="Y59" s="178">
        <f t="shared" si="9"/>
        <v>0</v>
      </c>
      <c r="Z59" s="175">
        <f t="shared" si="2"/>
        <v>0</v>
      </c>
      <c r="AA59" s="179"/>
      <c r="AB59" s="467">
        <f t="shared" si="3"/>
        <v>0</v>
      </c>
      <c r="AC59" s="466">
        <f t="shared" si="4"/>
        <v>0</v>
      </c>
    </row>
    <row r="60" spans="2:29" ht="20.100000000000001" customHeight="1">
      <c r="B60" s="172"/>
      <c r="C60" s="172"/>
      <c r="D60" s="172"/>
      <c r="E60" s="181"/>
      <c r="F60" s="173"/>
      <c r="G60" s="174"/>
      <c r="H60" s="284"/>
      <c r="I60" s="221"/>
      <c r="J60" s="177">
        <f>IF(H60=0,0,IF(F60="MXN",1/HLOOKUP(YEAR(G60)+(MONTH(G60)/100),TC!$5:$37,DAY(G60)+2,FALSE),VLOOKUP(F60,Equivalencia!$5:$23,((MAX(Equivalencia!$3:$3)-YEAR(G60))*14)+MONTH(G60)+2,FALSE)))</f>
        <v>0</v>
      </c>
      <c r="K60" s="217">
        <f t="shared" si="5"/>
        <v>0</v>
      </c>
      <c r="L60" s="462">
        <f>IF(G60=0,0,VLOOKUP(YEAR(G60),INPC!$B$4:$O$29,MONTH(G60)+1))</f>
        <v>0</v>
      </c>
      <c r="M60" s="462">
        <f>IF(T60=0,0,VLOOKUP(YEAR(T60),INPC!$B$4:$O$29,MONTH(T60)+1))</f>
        <v>0</v>
      </c>
      <c r="N60" s="463">
        <f t="shared" si="0"/>
        <v>0</v>
      </c>
      <c r="O60" s="464">
        <f t="shared" si="6"/>
        <v>0</v>
      </c>
      <c r="P60" s="465">
        <f t="shared" si="7"/>
        <v>0</v>
      </c>
      <c r="Q60" s="606" t="str">
        <f t="shared" si="8"/>
        <v>NO</v>
      </c>
      <c r="R60" s="180"/>
      <c r="S60" s="173"/>
      <c r="T60" s="174"/>
      <c r="U60" s="173"/>
      <c r="V60" s="220"/>
      <c r="W60" s="177">
        <f>IF(S60=0,0,IF(U60="MXN",1/HLOOKUP(YEAR(T60)+(MONTH(T60)/100),TC!$5:$37,DAY(T60)+2,FALSE),VLOOKUP(U60,Equivalencia!$1:$23,((MAX(Equivalencia!$3:$3)-YEAR(T60))*14)+MONTH(T60)+2,FALSE)))</f>
        <v>0</v>
      </c>
      <c r="X60" s="178">
        <f t="shared" si="10"/>
        <v>0</v>
      </c>
      <c r="Y60" s="178">
        <f t="shared" si="9"/>
        <v>0</v>
      </c>
      <c r="Z60" s="175">
        <f t="shared" si="2"/>
        <v>0</v>
      </c>
      <c r="AA60" s="179"/>
      <c r="AB60" s="467">
        <f t="shared" si="3"/>
        <v>0</v>
      </c>
      <c r="AC60" s="466">
        <f t="shared" si="4"/>
        <v>0</v>
      </c>
    </row>
    <row r="61" spans="2:29" ht="20.100000000000001" customHeight="1">
      <c r="B61" s="172"/>
      <c r="C61" s="172"/>
      <c r="D61" s="172"/>
      <c r="E61" s="181"/>
      <c r="F61" s="173"/>
      <c r="G61" s="174"/>
      <c r="H61" s="284"/>
      <c r="I61" s="221"/>
      <c r="J61" s="177">
        <f>IF(H61=0,0,IF(F61="MXN",1/HLOOKUP(YEAR(G61)+(MONTH(G61)/100),TC!$5:$37,DAY(G61)+2,FALSE),VLOOKUP(F61,Equivalencia!$5:$23,((MAX(Equivalencia!$3:$3)-YEAR(G61))*14)+MONTH(G61)+2,FALSE)))</f>
        <v>0</v>
      </c>
      <c r="K61" s="217">
        <f t="shared" si="5"/>
        <v>0</v>
      </c>
      <c r="L61" s="462">
        <f>IF(G61=0,0,VLOOKUP(YEAR(G61),INPC!$B$4:$O$29,MONTH(G61)+1))</f>
        <v>0</v>
      </c>
      <c r="M61" s="462">
        <f>IF(T61=0,0,VLOOKUP(YEAR(T61),INPC!$B$4:$O$29,MONTH(T61)+1))</f>
        <v>0</v>
      </c>
      <c r="N61" s="463">
        <f t="shared" si="0"/>
        <v>0</v>
      </c>
      <c r="O61" s="464">
        <f t="shared" si="6"/>
        <v>0</v>
      </c>
      <c r="P61" s="465">
        <f t="shared" si="7"/>
        <v>0</v>
      </c>
      <c r="Q61" s="606" t="str">
        <f t="shared" si="8"/>
        <v>NO</v>
      </c>
      <c r="R61" s="180"/>
      <c r="S61" s="173"/>
      <c r="T61" s="174"/>
      <c r="U61" s="173"/>
      <c r="V61" s="220"/>
      <c r="W61" s="177">
        <f>IF(S61=0,0,IF(U61="MXN",1/HLOOKUP(YEAR(T61)+(MONTH(T61)/100),TC!$5:$37,DAY(T61)+2,FALSE),VLOOKUP(U61,Equivalencia!$1:$23,((MAX(Equivalencia!$3:$3)-YEAR(T61))*14)+MONTH(T61)+2,FALSE)))</f>
        <v>0</v>
      </c>
      <c r="X61" s="178">
        <f t="shared" si="10"/>
        <v>0</v>
      </c>
      <c r="Y61" s="178">
        <f t="shared" si="9"/>
        <v>0</v>
      </c>
      <c r="Z61" s="175">
        <f t="shared" si="2"/>
        <v>0</v>
      </c>
      <c r="AA61" s="179"/>
      <c r="AB61" s="467">
        <f t="shared" si="3"/>
        <v>0</v>
      </c>
      <c r="AC61" s="466">
        <f t="shared" si="4"/>
        <v>0</v>
      </c>
    </row>
    <row r="62" spans="2:29" ht="20.100000000000001" customHeight="1">
      <c r="B62" s="172"/>
      <c r="C62" s="172"/>
      <c r="D62" s="172"/>
      <c r="E62" s="181"/>
      <c r="F62" s="173"/>
      <c r="G62" s="174"/>
      <c r="H62" s="284"/>
      <c r="I62" s="221"/>
      <c r="J62" s="177">
        <f>IF(H62=0,0,IF(F62="MXN",1/HLOOKUP(YEAR(G62)+(MONTH(G62)/100),TC!$5:$37,DAY(G62)+2,FALSE),VLOOKUP(F62,Equivalencia!$5:$23,((MAX(Equivalencia!$3:$3)-YEAR(G62))*14)+MONTH(G62)+2,FALSE)))</f>
        <v>0</v>
      </c>
      <c r="K62" s="217">
        <f t="shared" si="5"/>
        <v>0</v>
      </c>
      <c r="L62" s="462">
        <f>IF(G62=0,0,VLOOKUP(YEAR(G62),INPC!$B$4:$O$29,MONTH(G62)+1))</f>
        <v>0</v>
      </c>
      <c r="M62" s="462">
        <f>IF(T62=0,0,VLOOKUP(YEAR(T62),INPC!$B$4:$O$29,MONTH(T62)+1))</f>
        <v>0</v>
      </c>
      <c r="N62" s="463">
        <f t="shared" si="0"/>
        <v>0</v>
      </c>
      <c r="O62" s="464">
        <f t="shared" si="6"/>
        <v>0</v>
      </c>
      <c r="P62" s="465">
        <f t="shared" si="7"/>
        <v>0</v>
      </c>
      <c r="Q62" s="606" t="str">
        <f t="shared" si="8"/>
        <v>NO</v>
      </c>
      <c r="R62" s="180"/>
      <c r="S62" s="173"/>
      <c r="T62" s="174"/>
      <c r="U62" s="173"/>
      <c r="V62" s="220"/>
      <c r="W62" s="177">
        <f>IF(S62=0,0,IF(U62="MXN",1/HLOOKUP(YEAR(T62)+(MONTH(T62)/100),TC!$5:$37,DAY(T62)+2,FALSE),VLOOKUP(U62,Equivalencia!$1:$23,((MAX(Equivalencia!$3:$3)-YEAR(T62))*14)+MONTH(T62)+2,FALSE)))</f>
        <v>0</v>
      </c>
      <c r="X62" s="178">
        <f t="shared" si="10"/>
        <v>0</v>
      </c>
      <c r="Y62" s="178">
        <f t="shared" si="9"/>
        <v>0</v>
      </c>
      <c r="Z62" s="175">
        <f t="shared" si="2"/>
        <v>0</v>
      </c>
      <c r="AA62" s="179"/>
      <c r="AB62" s="467">
        <f t="shared" si="3"/>
        <v>0</v>
      </c>
      <c r="AC62" s="466">
        <f t="shared" si="4"/>
        <v>0</v>
      </c>
    </row>
    <row r="63" spans="2:29" ht="20.100000000000001" customHeight="1">
      <c r="B63" s="172"/>
      <c r="C63" s="172"/>
      <c r="D63" s="172"/>
      <c r="E63" s="181"/>
      <c r="F63" s="173"/>
      <c r="G63" s="174"/>
      <c r="H63" s="284"/>
      <c r="I63" s="221"/>
      <c r="J63" s="177">
        <f>IF(H63=0,0,IF(F63="MXN",1/HLOOKUP(YEAR(G63)+(MONTH(G63)/100),TC!$5:$37,DAY(G63)+2,FALSE),VLOOKUP(F63,Equivalencia!$5:$23,((MAX(Equivalencia!$3:$3)-YEAR(G63))*14)+MONTH(G63)+2,FALSE)))</f>
        <v>0</v>
      </c>
      <c r="K63" s="217">
        <f t="shared" si="5"/>
        <v>0</v>
      </c>
      <c r="L63" s="462">
        <f>IF(G63=0,0,VLOOKUP(YEAR(G63),INPC!$B$4:$O$29,MONTH(G63)+1))</f>
        <v>0</v>
      </c>
      <c r="M63" s="462">
        <f>IF(T63=0,0,VLOOKUP(YEAR(T63),INPC!$B$4:$O$29,MONTH(T63)+1))</f>
        <v>0</v>
      </c>
      <c r="N63" s="463">
        <f t="shared" si="0"/>
        <v>0</v>
      </c>
      <c r="O63" s="464">
        <f t="shared" si="6"/>
        <v>0</v>
      </c>
      <c r="P63" s="465">
        <f t="shared" si="7"/>
        <v>0</v>
      </c>
      <c r="Q63" s="606" t="str">
        <f t="shared" si="8"/>
        <v>NO</v>
      </c>
      <c r="R63" s="180"/>
      <c r="S63" s="173"/>
      <c r="T63" s="174"/>
      <c r="U63" s="173"/>
      <c r="V63" s="220"/>
      <c r="W63" s="177">
        <f>IF(S63=0,0,IF(U63="MXN",1/HLOOKUP(YEAR(T63)+(MONTH(T63)/100),TC!$5:$37,DAY(T63)+2,FALSE),VLOOKUP(U63,Equivalencia!$1:$23,((MAX(Equivalencia!$3:$3)-YEAR(T63))*14)+MONTH(T63)+2,FALSE)))</f>
        <v>0</v>
      </c>
      <c r="X63" s="178">
        <f t="shared" si="10"/>
        <v>0</v>
      </c>
      <c r="Y63" s="178">
        <f t="shared" si="9"/>
        <v>0</v>
      </c>
      <c r="Z63" s="175">
        <f t="shared" si="2"/>
        <v>0</v>
      </c>
      <c r="AA63" s="179"/>
      <c r="AB63" s="467">
        <f t="shared" si="3"/>
        <v>0</v>
      </c>
      <c r="AC63" s="466">
        <f t="shared" si="4"/>
        <v>0</v>
      </c>
    </row>
    <row r="64" spans="2:29" ht="20.100000000000001" customHeight="1">
      <c r="B64" s="172"/>
      <c r="C64" s="172"/>
      <c r="D64" s="172"/>
      <c r="E64" s="181"/>
      <c r="F64" s="173"/>
      <c r="G64" s="174"/>
      <c r="H64" s="284"/>
      <c r="I64" s="221"/>
      <c r="J64" s="177">
        <f>IF(H64=0,0,IF(F64="MXN",1/HLOOKUP(YEAR(G64)+(MONTH(G64)/100),TC!$5:$37,DAY(G64)+2,FALSE),VLOOKUP(F64,Equivalencia!$5:$23,((MAX(Equivalencia!$3:$3)-YEAR(G64))*14)+MONTH(G64)+2,FALSE)))</f>
        <v>0</v>
      </c>
      <c r="K64" s="217">
        <f t="shared" si="5"/>
        <v>0</v>
      </c>
      <c r="L64" s="462">
        <f>IF(G64=0,0,VLOOKUP(YEAR(G64),INPC!$B$4:$O$29,MONTH(G64)+1))</f>
        <v>0</v>
      </c>
      <c r="M64" s="462">
        <f>IF(T64=0,0,VLOOKUP(YEAR(T64),INPC!$B$4:$O$29,MONTH(T64)+1))</f>
        <v>0</v>
      </c>
      <c r="N64" s="463">
        <f t="shared" si="0"/>
        <v>0</v>
      </c>
      <c r="O64" s="464">
        <f t="shared" si="6"/>
        <v>0</v>
      </c>
      <c r="P64" s="465">
        <f t="shared" si="7"/>
        <v>0</v>
      </c>
      <c r="Q64" s="606" t="str">
        <f t="shared" si="8"/>
        <v>NO</v>
      </c>
      <c r="R64" s="180"/>
      <c r="S64" s="173"/>
      <c r="T64" s="174"/>
      <c r="U64" s="173"/>
      <c r="V64" s="220"/>
      <c r="W64" s="177">
        <f>IF(S64=0,0,IF(U64="MXN",1/HLOOKUP(YEAR(T64)+(MONTH(T64)/100),TC!$5:$37,DAY(T64)+2,FALSE),VLOOKUP(U64,Equivalencia!$1:$23,((MAX(Equivalencia!$3:$3)-YEAR(T64))*14)+MONTH(T64)+2,FALSE)))</f>
        <v>0</v>
      </c>
      <c r="X64" s="178">
        <f t="shared" si="10"/>
        <v>0</v>
      </c>
      <c r="Y64" s="178">
        <f t="shared" si="9"/>
        <v>0</v>
      </c>
      <c r="Z64" s="175">
        <f t="shared" si="2"/>
        <v>0</v>
      </c>
      <c r="AA64" s="179"/>
      <c r="AB64" s="467">
        <f t="shared" si="3"/>
        <v>0</v>
      </c>
      <c r="AC64" s="466">
        <f t="shared" si="4"/>
        <v>0</v>
      </c>
    </row>
    <row r="65" spans="2:29" ht="20.100000000000001" customHeight="1">
      <c r="B65" s="172"/>
      <c r="C65" s="172"/>
      <c r="D65" s="172"/>
      <c r="E65" s="181"/>
      <c r="F65" s="173"/>
      <c r="G65" s="174"/>
      <c r="H65" s="284"/>
      <c r="I65" s="221"/>
      <c r="J65" s="177">
        <f>IF(H65=0,0,IF(F65="MXN",1/HLOOKUP(YEAR(G65)+(MONTH(G65)/100),TC!$5:$37,DAY(G65)+2,FALSE),VLOOKUP(F65,Equivalencia!$5:$23,((MAX(Equivalencia!$3:$3)-YEAR(G65))*14)+MONTH(G65)+2,FALSE)))</f>
        <v>0</v>
      </c>
      <c r="K65" s="217">
        <f t="shared" si="5"/>
        <v>0</v>
      </c>
      <c r="L65" s="462">
        <f>IF(G65=0,0,VLOOKUP(YEAR(G65),INPC!$B$4:$O$29,MONTH(G65)+1))</f>
        <v>0</v>
      </c>
      <c r="M65" s="462">
        <f>IF(T65=0,0,VLOOKUP(YEAR(T65),INPC!$B$4:$O$29,MONTH(T65)+1))</f>
        <v>0</v>
      </c>
      <c r="N65" s="463">
        <f t="shared" si="0"/>
        <v>0</v>
      </c>
      <c r="O65" s="464">
        <f t="shared" si="6"/>
        <v>0</v>
      </c>
      <c r="P65" s="465">
        <f t="shared" si="7"/>
        <v>0</v>
      </c>
      <c r="Q65" s="606" t="str">
        <f t="shared" si="8"/>
        <v>NO</v>
      </c>
      <c r="R65" s="180"/>
      <c r="S65" s="173"/>
      <c r="T65" s="174"/>
      <c r="U65" s="173"/>
      <c r="V65" s="220"/>
      <c r="W65" s="177">
        <f>IF(S65=0,0,IF(U65="MXN",1/HLOOKUP(YEAR(T65)+(MONTH(T65)/100),TC!$5:$37,DAY(T65)+2,FALSE),VLOOKUP(U65,Equivalencia!$1:$23,((MAX(Equivalencia!$3:$3)-YEAR(T65))*14)+MONTH(T65)+2,FALSE)))</f>
        <v>0</v>
      </c>
      <c r="X65" s="178">
        <f t="shared" si="10"/>
        <v>0</v>
      </c>
      <c r="Y65" s="178">
        <f t="shared" si="9"/>
        <v>0</v>
      </c>
      <c r="Z65" s="175">
        <f t="shared" si="2"/>
        <v>0</v>
      </c>
      <c r="AA65" s="179"/>
      <c r="AB65" s="467">
        <f t="shared" si="3"/>
        <v>0</v>
      </c>
      <c r="AC65" s="466">
        <f t="shared" si="4"/>
        <v>0</v>
      </c>
    </row>
    <row r="66" spans="2:29" ht="20.100000000000001" customHeight="1">
      <c r="B66" s="172"/>
      <c r="C66" s="172"/>
      <c r="D66" s="172"/>
      <c r="E66" s="181"/>
      <c r="F66" s="173"/>
      <c r="G66" s="174"/>
      <c r="H66" s="284"/>
      <c r="I66" s="221"/>
      <c r="J66" s="177">
        <f>IF(H66=0,0,IF(F66="MXN",1/HLOOKUP(YEAR(G66)+(MONTH(G66)/100),TC!$5:$37,DAY(G66)+2,FALSE),VLOOKUP(F66,Equivalencia!$5:$23,((MAX(Equivalencia!$3:$3)-YEAR(G66))*14)+MONTH(G66)+2,FALSE)))</f>
        <v>0</v>
      </c>
      <c r="K66" s="217">
        <f t="shared" si="5"/>
        <v>0</v>
      </c>
      <c r="L66" s="462">
        <f>IF(G66=0,0,VLOOKUP(YEAR(G66),INPC!$B$4:$O$29,MONTH(G66)+1))</f>
        <v>0</v>
      </c>
      <c r="M66" s="462">
        <f>IF(T66=0,0,VLOOKUP(YEAR(T66),INPC!$B$4:$O$29,MONTH(T66)+1))</f>
        <v>0</v>
      </c>
      <c r="N66" s="463">
        <f t="shared" ref="N66:N129" si="11">IF(T66=0,0,IF(TRUNC(M66/L66,4)&gt;=1,TRUNC(M66/L66,4),1))</f>
        <v>0</v>
      </c>
      <c r="O66" s="464">
        <f t="shared" si="6"/>
        <v>0</v>
      </c>
      <c r="P66" s="465">
        <f t="shared" si="7"/>
        <v>0</v>
      </c>
      <c r="Q66" s="606" t="str">
        <f t="shared" si="8"/>
        <v>NO</v>
      </c>
      <c r="R66" s="180"/>
      <c r="S66" s="173"/>
      <c r="T66" s="174"/>
      <c r="U66" s="173"/>
      <c r="V66" s="220"/>
      <c r="W66" s="177">
        <f>IF(S66=0,0,IF(U66="MXN",1/HLOOKUP(YEAR(T66)+(MONTH(T66)/100),TC!$5:$37,DAY(T66)+2,FALSE),VLOOKUP(U66,Equivalencia!$1:$23,((MAX(Equivalencia!$3:$3)-YEAR(T66))*14)+MONTH(T66)+2,FALSE)))</f>
        <v>0</v>
      </c>
      <c r="X66" s="178">
        <f t="shared" si="10"/>
        <v>0</v>
      </c>
      <c r="Y66" s="178">
        <f t="shared" si="9"/>
        <v>0</v>
      </c>
      <c r="Z66" s="175">
        <f t="shared" ref="Z66:Z129" si="12">+X66+Y66</f>
        <v>0</v>
      </c>
      <c r="AA66" s="179"/>
      <c r="AB66" s="467">
        <f t="shared" ref="AB66:AB129" si="13">+X66+AC66</f>
        <v>0</v>
      </c>
      <c r="AC66" s="466">
        <f t="shared" ref="AC66:AC129" si="14">+R66*P66</f>
        <v>0</v>
      </c>
    </row>
    <row r="67" spans="2:29" ht="20.100000000000001" customHeight="1">
      <c r="B67" s="172"/>
      <c r="C67" s="172"/>
      <c r="D67" s="172"/>
      <c r="E67" s="181"/>
      <c r="F67" s="173"/>
      <c r="G67" s="174"/>
      <c r="H67" s="284"/>
      <c r="I67" s="221"/>
      <c r="J67" s="177">
        <f>IF(H67=0,0,IF(F67="MXN",1/HLOOKUP(YEAR(G67)+(MONTH(G67)/100),TC!$5:$37,DAY(G67)+2,FALSE),VLOOKUP(F67,Equivalencia!$5:$23,((MAX(Equivalencia!$3:$3)-YEAR(G67))*14)+MONTH(G67)+2,FALSE)))</f>
        <v>0</v>
      </c>
      <c r="K67" s="217">
        <f t="shared" ref="K67:K130" si="15">+I67*J67</f>
        <v>0</v>
      </c>
      <c r="L67" s="462">
        <f>IF(G67=0,0,VLOOKUP(YEAR(G67),INPC!$B$4:$O$29,MONTH(G67)+1))</f>
        <v>0</v>
      </c>
      <c r="M67" s="462">
        <f>IF(T67=0,0,VLOOKUP(YEAR(T67),INPC!$B$4:$O$29,MONTH(T67)+1))</f>
        <v>0</v>
      </c>
      <c r="N67" s="463">
        <f t="shared" si="11"/>
        <v>0</v>
      </c>
      <c r="O67" s="464">
        <f t="shared" ref="O67:O130" si="16">+N67*K67</f>
        <v>0</v>
      </c>
      <c r="P67" s="465">
        <f t="shared" ref="P67:P130" si="17">IF(R67=0,0,O67/R67)</f>
        <v>0</v>
      </c>
      <c r="Q67" s="606" t="str">
        <f t="shared" ref="Q67:Q130" si="18">IF(T67=0,"NO","SI")</f>
        <v>NO</v>
      </c>
      <c r="R67" s="180"/>
      <c r="S67" s="173"/>
      <c r="T67" s="174"/>
      <c r="U67" s="173"/>
      <c r="V67" s="220"/>
      <c r="W67" s="177">
        <f>IF(S67=0,0,IF(U67="MXN",1/HLOOKUP(YEAR(T67)+(MONTH(T67)/100),TC!$5:$37,DAY(T67)+2,FALSE),VLOOKUP(U67,Equivalencia!$1:$23,((MAX(Equivalencia!$3:$3)-YEAR(T67))*14)+MONTH(T67)+2,FALSE)))</f>
        <v>0</v>
      </c>
      <c r="X67" s="178">
        <f t="shared" ref="X67:X130" si="19">+W67*V67</f>
        <v>0</v>
      </c>
      <c r="Y67" s="178">
        <f t="shared" ref="Y67:Y130" si="20">+K67</f>
        <v>0</v>
      </c>
      <c r="Z67" s="175">
        <f t="shared" si="12"/>
        <v>0</v>
      </c>
      <c r="AA67" s="179"/>
      <c r="AB67" s="467">
        <f t="shared" si="13"/>
        <v>0</v>
      </c>
      <c r="AC67" s="466">
        <f t="shared" si="14"/>
        <v>0</v>
      </c>
    </row>
    <row r="68" spans="2:29" ht="20.100000000000001" customHeight="1">
      <c r="B68" s="172"/>
      <c r="C68" s="172"/>
      <c r="D68" s="172"/>
      <c r="E68" s="181"/>
      <c r="F68" s="173"/>
      <c r="G68" s="174"/>
      <c r="H68" s="284"/>
      <c r="I68" s="221"/>
      <c r="J68" s="177">
        <f>IF(H68=0,0,IF(F68="MXN",1/HLOOKUP(YEAR(G68)+(MONTH(G68)/100),TC!$5:$37,DAY(G68)+2,FALSE),VLOOKUP(F68,Equivalencia!$5:$23,((MAX(Equivalencia!$3:$3)-YEAR(G68))*14)+MONTH(G68)+2,FALSE)))</f>
        <v>0</v>
      </c>
      <c r="K68" s="217">
        <f t="shared" si="15"/>
        <v>0</v>
      </c>
      <c r="L68" s="462">
        <f>IF(G68=0,0,VLOOKUP(YEAR(G68),INPC!$B$4:$O$29,MONTH(G68)+1))</f>
        <v>0</v>
      </c>
      <c r="M68" s="462">
        <f>IF(T68=0,0,VLOOKUP(YEAR(T68),INPC!$B$4:$O$29,MONTH(T68)+1))</f>
        <v>0</v>
      </c>
      <c r="N68" s="463">
        <f t="shared" si="11"/>
        <v>0</v>
      </c>
      <c r="O68" s="464">
        <f t="shared" si="16"/>
        <v>0</v>
      </c>
      <c r="P68" s="465">
        <f t="shared" si="17"/>
        <v>0</v>
      </c>
      <c r="Q68" s="606" t="str">
        <f t="shared" si="18"/>
        <v>NO</v>
      </c>
      <c r="R68" s="180"/>
      <c r="S68" s="173"/>
      <c r="T68" s="174"/>
      <c r="U68" s="173"/>
      <c r="V68" s="220"/>
      <c r="W68" s="177">
        <f>IF(S68=0,0,IF(U68="MXN",1/HLOOKUP(YEAR(T68)+(MONTH(T68)/100),TC!$5:$37,DAY(T68)+2,FALSE),VLOOKUP(U68,Equivalencia!$1:$23,((MAX(Equivalencia!$3:$3)-YEAR(T68))*14)+MONTH(T68)+2,FALSE)))</f>
        <v>0</v>
      </c>
      <c r="X68" s="178">
        <f t="shared" si="19"/>
        <v>0</v>
      </c>
      <c r="Y68" s="178">
        <f t="shared" si="20"/>
        <v>0</v>
      </c>
      <c r="Z68" s="175">
        <f t="shared" si="12"/>
        <v>0</v>
      </c>
      <c r="AA68" s="179"/>
      <c r="AB68" s="467">
        <f t="shared" si="13"/>
        <v>0</v>
      </c>
      <c r="AC68" s="466">
        <f t="shared" si="14"/>
        <v>0</v>
      </c>
    </row>
    <row r="69" spans="2:29" ht="20.100000000000001" customHeight="1">
      <c r="B69" s="172"/>
      <c r="C69" s="172"/>
      <c r="D69" s="172"/>
      <c r="E69" s="181"/>
      <c r="F69" s="173"/>
      <c r="G69" s="174"/>
      <c r="H69" s="284"/>
      <c r="I69" s="221"/>
      <c r="J69" s="177">
        <f>IF(H69=0,0,IF(F69="MXN",1/HLOOKUP(YEAR(G69)+(MONTH(G69)/100),TC!$5:$37,DAY(G69)+2,FALSE),VLOOKUP(F69,Equivalencia!$5:$23,((MAX(Equivalencia!$3:$3)-YEAR(G69))*14)+MONTH(G69)+2,FALSE)))</f>
        <v>0</v>
      </c>
      <c r="K69" s="217">
        <f t="shared" si="15"/>
        <v>0</v>
      </c>
      <c r="L69" s="462">
        <f>IF(G69=0,0,VLOOKUP(YEAR(G69),INPC!$B$4:$O$29,MONTH(G69)+1))</f>
        <v>0</v>
      </c>
      <c r="M69" s="462">
        <f>IF(T69=0,0,VLOOKUP(YEAR(T69),INPC!$B$4:$O$29,MONTH(T69)+1))</f>
        <v>0</v>
      </c>
      <c r="N69" s="463">
        <f t="shared" si="11"/>
        <v>0</v>
      </c>
      <c r="O69" s="464">
        <f t="shared" si="16"/>
        <v>0</v>
      </c>
      <c r="P69" s="465">
        <f t="shared" si="17"/>
        <v>0</v>
      </c>
      <c r="Q69" s="606" t="str">
        <f t="shared" si="18"/>
        <v>NO</v>
      </c>
      <c r="R69" s="180"/>
      <c r="S69" s="173"/>
      <c r="T69" s="174"/>
      <c r="U69" s="173"/>
      <c r="V69" s="220"/>
      <c r="W69" s="177">
        <f>IF(S69=0,0,IF(U69="MXN",1/HLOOKUP(YEAR(T69)+(MONTH(T69)/100),TC!$5:$37,DAY(T69)+2,FALSE),VLOOKUP(U69,Equivalencia!$1:$23,((MAX(Equivalencia!$3:$3)-YEAR(T69))*14)+MONTH(T69)+2,FALSE)))</f>
        <v>0</v>
      </c>
      <c r="X69" s="178">
        <f t="shared" si="19"/>
        <v>0</v>
      </c>
      <c r="Y69" s="178">
        <f t="shared" si="20"/>
        <v>0</v>
      </c>
      <c r="Z69" s="175">
        <f t="shared" si="12"/>
        <v>0</v>
      </c>
      <c r="AA69" s="179"/>
      <c r="AB69" s="467">
        <f t="shared" si="13"/>
        <v>0</v>
      </c>
      <c r="AC69" s="466">
        <f t="shared" si="14"/>
        <v>0</v>
      </c>
    </row>
    <row r="70" spans="2:29" ht="20.100000000000001" customHeight="1">
      <c r="B70" s="172"/>
      <c r="C70" s="172"/>
      <c r="D70" s="172"/>
      <c r="E70" s="181"/>
      <c r="F70" s="173"/>
      <c r="G70" s="174"/>
      <c r="H70" s="284"/>
      <c r="I70" s="221"/>
      <c r="J70" s="177">
        <f>IF(H70=0,0,IF(F70="MXN",1/HLOOKUP(YEAR(G70)+(MONTH(G70)/100),TC!$5:$37,DAY(G70)+2,FALSE),VLOOKUP(F70,Equivalencia!$5:$23,((MAX(Equivalencia!$3:$3)-YEAR(G70))*14)+MONTH(G70)+2,FALSE)))</f>
        <v>0</v>
      </c>
      <c r="K70" s="217">
        <f t="shared" si="15"/>
        <v>0</v>
      </c>
      <c r="L70" s="462">
        <f>IF(G70=0,0,VLOOKUP(YEAR(G70),INPC!$B$4:$O$29,MONTH(G70)+1))</f>
        <v>0</v>
      </c>
      <c r="M70" s="462">
        <f>IF(T70=0,0,VLOOKUP(YEAR(T70),INPC!$B$4:$O$29,MONTH(T70)+1))</f>
        <v>0</v>
      </c>
      <c r="N70" s="463">
        <f t="shared" si="11"/>
        <v>0</v>
      </c>
      <c r="O70" s="464">
        <f t="shared" si="16"/>
        <v>0</v>
      </c>
      <c r="P70" s="465">
        <f t="shared" si="17"/>
        <v>0</v>
      </c>
      <c r="Q70" s="606" t="str">
        <f t="shared" si="18"/>
        <v>NO</v>
      </c>
      <c r="R70" s="180"/>
      <c r="S70" s="173"/>
      <c r="T70" s="174"/>
      <c r="U70" s="173"/>
      <c r="V70" s="220"/>
      <c r="W70" s="177">
        <f>IF(S70=0,0,IF(U70="MXN",1/HLOOKUP(YEAR(T70)+(MONTH(T70)/100),TC!$5:$37,DAY(T70)+2,FALSE),VLOOKUP(U70,Equivalencia!$1:$23,((MAX(Equivalencia!$3:$3)-YEAR(T70))*14)+MONTH(T70)+2,FALSE)))</f>
        <v>0</v>
      </c>
      <c r="X70" s="178">
        <f t="shared" si="19"/>
        <v>0</v>
      </c>
      <c r="Y70" s="178">
        <f t="shared" si="20"/>
        <v>0</v>
      </c>
      <c r="Z70" s="175">
        <f t="shared" si="12"/>
        <v>0</v>
      </c>
      <c r="AA70" s="179"/>
      <c r="AB70" s="467">
        <f t="shared" si="13"/>
        <v>0</v>
      </c>
      <c r="AC70" s="466">
        <f t="shared" si="14"/>
        <v>0</v>
      </c>
    </row>
    <row r="71" spans="2:29" ht="20.100000000000001" customHeight="1">
      <c r="B71" s="172"/>
      <c r="C71" s="172"/>
      <c r="D71" s="172"/>
      <c r="E71" s="181"/>
      <c r="F71" s="173"/>
      <c r="G71" s="174"/>
      <c r="H71" s="284"/>
      <c r="I71" s="221"/>
      <c r="J71" s="177">
        <f>IF(H71=0,0,IF(F71="MXN",1/HLOOKUP(YEAR(G71)+(MONTH(G71)/100),TC!$5:$37,DAY(G71)+2,FALSE),VLOOKUP(F71,Equivalencia!$5:$23,((MAX(Equivalencia!$3:$3)-YEAR(G71))*14)+MONTH(G71)+2,FALSE)))</f>
        <v>0</v>
      </c>
      <c r="K71" s="217">
        <f t="shared" si="15"/>
        <v>0</v>
      </c>
      <c r="L71" s="462">
        <f>IF(G71=0,0,VLOOKUP(YEAR(G71),INPC!$B$4:$O$29,MONTH(G71)+1))</f>
        <v>0</v>
      </c>
      <c r="M71" s="462">
        <f>IF(T71=0,0,VLOOKUP(YEAR(T71),INPC!$B$4:$O$29,MONTH(T71)+1))</f>
        <v>0</v>
      </c>
      <c r="N71" s="463">
        <f t="shared" si="11"/>
        <v>0</v>
      </c>
      <c r="O71" s="464">
        <f t="shared" si="16"/>
        <v>0</v>
      </c>
      <c r="P71" s="465">
        <f t="shared" si="17"/>
        <v>0</v>
      </c>
      <c r="Q71" s="606" t="str">
        <f t="shared" si="18"/>
        <v>NO</v>
      </c>
      <c r="R71" s="180"/>
      <c r="S71" s="173"/>
      <c r="T71" s="174"/>
      <c r="U71" s="173"/>
      <c r="V71" s="220"/>
      <c r="W71" s="177">
        <f>IF(S71=0,0,IF(U71="MXN",1/HLOOKUP(YEAR(T71)+(MONTH(T71)/100),TC!$5:$37,DAY(T71)+2,FALSE),VLOOKUP(U71,Equivalencia!$1:$23,((MAX(Equivalencia!$3:$3)-YEAR(T71))*14)+MONTH(T71)+2,FALSE)))</f>
        <v>0</v>
      </c>
      <c r="X71" s="178">
        <f t="shared" si="19"/>
        <v>0</v>
      </c>
      <c r="Y71" s="178">
        <f t="shared" si="20"/>
        <v>0</v>
      </c>
      <c r="Z71" s="175">
        <f t="shared" si="12"/>
        <v>0</v>
      </c>
      <c r="AA71" s="179"/>
      <c r="AB71" s="467">
        <f t="shared" si="13"/>
        <v>0</v>
      </c>
      <c r="AC71" s="466">
        <f t="shared" si="14"/>
        <v>0</v>
      </c>
    </row>
    <row r="72" spans="2:29" ht="20.100000000000001" customHeight="1">
      <c r="B72" s="172"/>
      <c r="C72" s="172"/>
      <c r="D72" s="172"/>
      <c r="E72" s="181"/>
      <c r="F72" s="173"/>
      <c r="G72" s="174"/>
      <c r="H72" s="284"/>
      <c r="I72" s="221"/>
      <c r="J72" s="177">
        <f>IF(H72=0,0,IF(F72="MXN",1/HLOOKUP(YEAR(G72)+(MONTH(G72)/100),TC!$5:$37,DAY(G72)+2,FALSE),VLOOKUP(F72,Equivalencia!$5:$23,((MAX(Equivalencia!$3:$3)-YEAR(G72))*14)+MONTH(G72)+2,FALSE)))</f>
        <v>0</v>
      </c>
      <c r="K72" s="217">
        <f t="shared" si="15"/>
        <v>0</v>
      </c>
      <c r="L72" s="462">
        <f>IF(G72=0,0,VLOOKUP(YEAR(G72),INPC!$B$4:$O$29,MONTH(G72)+1))</f>
        <v>0</v>
      </c>
      <c r="M72" s="462">
        <f>IF(T72=0,0,VLOOKUP(YEAR(T72),INPC!$B$4:$O$29,MONTH(T72)+1))</f>
        <v>0</v>
      </c>
      <c r="N72" s="463">
        <f t="shared" si="11"/>
        <v>0</v>
      </c>
      <c r="O72" s="464">
        <f t="shared" si="16"/>
        <v>0</v>
      </c>
      <c r="P72" s="465">
        <f t="shared" si="17"/>
        <v>0</v>
      </c>
      <c r="Q72" s="606" t="str">
        <f t="shared" si="18"/>
        <v>NO</v>
      </c>
      <c r="R72" s="180"/>
      <c r="S72" s="173"/>
      <c r="T72" s="174"/>
      <c r="U72" s="173"/>
      <c r="V72" s="220"/>
      <c r="W72" s="177">
        <f>IF(S72=0,0,IF(U72="MXN",1/HLOOKUP(YEAR(T72)+(MONTH(T72)/100),TC!$5:$37,DAY(T72)+2,FALSE),VLOOKUP(U72,Equivalencia!$1:$23,((MAX(Equivalencia!$3:$3)-YEAR(T72))*14)+MONTH(T72)+2,FALSE)))</f>
        <v>0</v>
      </c>
      <c r="X72" s="178">
        <f t="shared" si="19"/>
        <v>0</v>
      </c>
      <c r="Y72" s="178">
        <f t="shared" si="20"/>
        <v>0</v>
      </c>
      <c r="Z72" s="175">
        <f t="shared" si="12"/>
        <v>0</v>
      </c>
      <c r="AA72" s="179"/>
      <c r="AB72" s="467">
        <f t="shared" si="13"/>
        <v>0</v>
      </c>
      <c r="AC72" s="466">
        <f t="shared" si="14"/>
        <v>0</v>
      </c>
    </row>
    <row r="73" spans="2:29" ht="20.100000000000001" customHeight="1">
      <c r="B73" s="172"/>
      <c r="C73" s="172"/>
      <c r="D73" s="172"/>
      <c r="E73" s="181"/>
      <c r="F73" s="173"/>
      <c r="G73" s="174"/>
      <c r="H73" s="284"/>
      <c r="I73" s="221"/>
      <c r="J73" s="177">
        <f>IF(H73=0,0,IF(F73="MXN",1/HLOOKUP(YEAR(G73)+(MONTH(G73)/100),TC!$5:$37,DAY(G73)+2,FALSE),VLOOKUP(F73,Equivalencia!$5:$23,((MAX(Equivalencia!$3:$3)-YEAR(G73))*14)+MONTH(G73)+2,FALSE)))</f>
        <v>0</v>
      </c>
      <c r="K73" s="217">
        <f t="shared" si="15"/>
        <v>0</v>
      </c>
      <c r="L73" s="462">
        <f>IF(G73=0,0,VLOOKUP(YEAR(G73),INPC!$B$4:$O$29,MONTH(G73)+1))</f>
        <v>0</v>
      </c>
      <c r="M73" s="462">
        <f>IF(T73=0,0,VLOOKUP(YEAR(T73),INPC!$B$4:$O$29,MONTH(T73)+1))</f>
        <v>0</v>
      </c>
      <c r="N73" s="463">
        <f t="shared" si="11"/>
        <v>0</v>
      </c>
      <c r="O73" s="464">
        <f t="shared" si="16"/>
        <v>0</v>
      </c>
      <c r="P73" s="465">
        <f t="shared" si="17"/>
        <v>0</v>
      </c>
      <c r="Q73" s="606" t="str">
        <f t="shared" si="18"/>
        <v>NO</v>
      </c>
      <c r="R73" s="180"/>
      <c r="S73" s="173"/>
      <c r="T73" s="174"/>
      <c r="U73" s="173"/>
      <c r="V73" s="220"/>
      <c r="W73" s="177">
        <f>IF(S73=0,0,IF(U73="MXN",1/HLOOKUP(YEAR(T73)+(MONTH(T73)/100),TC!$5:$37,DAY(T73)+2,FALSE),VLOOKUP(U73,Equivalencia!$1:$23,((MAX(Equivalencia!$3:$3)-YEAR(T73))*14)+MONTH(T73)+2,FALSE)))</f>
        <v>0</v>
      </c>
      <c r="X73" s="178">
        <f t="shared" si="19"/>
        <v>0</v>
      </c>
      <c r="Y73" s="178">
        <f t="shared" si="20"/>
        <v>0</v>
      </c>
      <c r="Z73" s="175">
        <f t="shared" si="12"/>
        <v>0</v>
      </c>
      <c r="AA73" s="179"/>
      <c r="AB73" s="467">
        <f t="shared" si="13"/>
        <v>0</v>
      </c>
      <c r="AC73" s="466">
        <f t="shared" si="14"/>
        <v>0</v>
      </c>
    </row>
    <row r="74" spans="2:29" ht="20.100000000000001" customHeight="1">
      <c r="B74" s="172"/>
      <c r="C74" s="172"/>
      <c r="D74" s="172"/>
      <c r="E74" s="181"/>
      <c r="F74" s="173"/>
      <c r="G74" s="174"/>
      <c r="H74" s="284"/>
      <c r="I74" s="221"/>
      <c r="J74" s="177">
        <f>IF(H74=0,0,IF(F74="MXN",1/HLOOKUP(YEAR(G74)+(MONTH(G74)/100),TC!$5:$37,DAY(G74)+2,FALSE),VLOOKUP(F74,Equivalencia!$5:$23,((MAX(Equivalencia!$3:$3)-YEAR(G74))*14)+MONTH(G74)+2,FALSE)))</f>
        <v>0</v>
      </c>
      <c r="K74" s="217">
        <f t="shared" si="15"/>
        <v>0</v>
      </c>
      <c r="L74" s="462">
        <f>IF(G74=0,0,VLOOKUP(YEAR(G74),INPC!$B$4:$O$29,MONTH(G74)+1))</f>
        <v>0</v>
      </c>
      <c r="M74" s="462">
        <f>IF(T74=0,0,VLOOKUP(YEAR(T74),INPC!$B$4:$O$29,MONTH(T74)+1))</f>
        <v>0</v>
      </c>
      <c r="N74" s="463">
        <f t="shared" si="11"/>
        <v>0</v>
      </c>
      <c r="O74" s="464">
        <f t="shared" si="16"/>
        <v>0</v>
      </c>
      <c r="P74" s="465">
        <f t="shared" si="17"/>
        <v>0</v>
      </c>
      <c r="Q74" s="606" t="str">
        <f t="shared" si="18"/>
        <v>NO</v>
      </c>
      <c r="R74" s="180"/>
      <c r="S74" s="173"/>
      <c r="T74" s="174"/>
      <c r="U74" s="173"/>
      <c r="V74" s="220"/>
      <c r="W74" s="177">
        <f>IF(S74=0,0,IF(U74="MXN",1/HLOOKUP(YEAR(T74)+(MONTH(T74)/100),TC!$5:$37,DAY(T74)+2,FALSE),VLOOKUP(U74,Equivalencia!$1:$23,((MAX(Equivalencia!$3:$3)-YEAR(T74))*14)+MONTH(T74)+2,FALSE)))</f>
        <v>0</v>
      </c>
      <c r="X74" s="178">
        <f t="shared" si="19"/>
        <v>0</v>
      </c>
      <c r="Y74" s="178">
        <f t="shared" si="20"/>
        <v>0</v>
      </c>
      <c r="Z74" s="175">
        <f t="shared" si="12"/>
        <v>0</v>
      </c>
      <c r="AA74" s="179"/>
      <c r="AB74" s="467">
        <f t="shared" si="13"/>
        <v>0</v>
      </c>
      <c r="AC74" s="466">
        <f t="shared" si="14"/>
        <v>0</v>
      </c>
    </row>
    <row r="75" spans="2:29" ht="20.100000000000001" customHeight="1">
      <c r="B75" s="172"/>
      <c r="C75" s="172"/>
      <c r="D75" s="172"/>
      <c r="E75" s="181"/>
      <c r="F75" s="173"/>
      <c r="G75" s="174"/>
      <c r="H75" s="284"/>
      <c r="I75" s="221"/>
      <c r="J75" s="177">
        <f>IF(H75=0,0,IF(F75="MXN",1/HLOOKUP(YEAR(G75)+(MONTH(G75)/100),TC!$5:$37,DAY(G75)+2,FALSE),VLOOKUP(F75,Equivalencia!$5:$23,((MAX(Equivalencia!$3:$3)-YEAR(G75))*14)+MONTH(G75)+2,FALSE)))</f>
        <v>0</v>
      </c>
      <c r="K75" s="217">
        <f t="shared" si="15"/>
        <v>0</v>
      </c>
      <c r="L75" s="462">
        <f>IF(G75=0,0,VLOOKUP(YEAR(G75),INPC!$B$4:$O$29,MONTH(G75)+1))</f>
        <v>0</v>
      </c>
      <c r="M75" s="462">
        <f>IF(T75=0,0,VLOOKUP(YEAR(T75),INPC!$B$4:$O$29,MONTH(T75)+1))</f>
        <v>0</v>
      </c>
      <c r="N75" s="463">
        <f t="shared" si="11"/>
        <v>0</v>
      </c>
      <c r="O75" s="464">
        <f t="shared" si="16"/>
        <v>0</v>
      </c>
      <c r="P75" s="465">
        <f t="shared" si="17"/>
        <v>0</v>
      </c>
      <c r="Q75" s="606" t="str">
        <f t="shared" si="18"/>
        <v>NO</v>
      </c>
      <c r="R75" s="180"/>
      <c r="S75" s="173"/>
      <c r="T75" s="174"/>
      <c r="U75" s="173"/>
      <c r="V75" s="220"/>
      <c r="W75" s="177">
        <f>IF(S75=0,0,IF(U75="MXN",1/HLOOKUP(YEAR(T75)+(MONTH(T75)/100),TC!$5:$37,DAY(T75)+2,FALSE),VLOOKUP(U75,Equivalencia!$1:$23,((MAX(Equivalencia!$3:$3)-YEAR(T75))*14)+MONTH(T75)+2,FALSE)))</f>
        <v>0</v>
      </c>
      <c r="X75" s="178">
        <f t="shared" si="19"/>
        <v>0</v>
      </c>
      <c r="Y75" s="178">
        <f t="shared" si="20"/>
        <v>0</v>
      </c>
      <c r="Z75" s="175">
        <f t="shared" si="12"/>
        <v>0</v>
      </c>
      <c r="AA75" s="179"/>
      <c r="AB75" s="467">
        <f t="shared" si="13"/>
        <v>0</v>
      </c>
      <c r="AC75" s="466">
        <f t="shared" si="14"/>
        <v>0</v>
      </c>
    </row>
    <row r="76" spans="2:29" ht="20.100000000000001" customHeight="1">
      <c r="B76" s="172"/>
      <c r="C76" s="172"/>
      <c r="D76" s="172"/>
      <c r="E76" s="181"/>
      <c r="F76" s="173"/>
      <c r="G76" s="174"/>
      <c r="H76" s="284"/>
      <c r="I76" s="221"/>
      <c r="J76" s="177">
        <f>IF(H76=0,0,IF(F76="MXN",1/HLOOKUP(YEAR(G76)+(MONTH(G76)/100),TC!$5:$37,DAY(G76)+2,FALSE),VLOOKUP(F76,Equivalencia!$5:$23,((MAX(Equivalencia!$3:$3)-YEAR(G76))*14)+MONTH(G76)+2,FALSE)))</f>
        <v>0</v>
      </c>
      <c r="K76" s="217">
        <f t="shared" si="15"/>
        <v>0</v>
      </c>
      <c r="L76" s="462">
        <f>IF(G76=0,0,VLOOKUP(YEAR(G76),INPC!$B$4:$O$29,MONTH(G76)+1))</f>
        <v>0</v>
      </c>
      <c r="M76" s="462">
        <f>IF(T76=0,0,VLOOKUP(YEAR(T76),INPC!$B$4:$O$29,MONTH(T76)+1))</f>
        <v>0</v>
      </c>
      <c r="N76" s="463">
        <f t="shared" si="11"/>
        <v>0</v>
      </c>
      <c r="O76" s="464">
        <f t="shared" si="16"/>
        <v>0</v>
      </c>
      <c r="P76" s="465">
        <f t="shared" si="17"/>
        <v>0</v>
      </c>
      <c r="Q76" s="606" t="str">
        <f t="shared" si="18"/>
        <v>NO</v>
      </c>
      <c r="R76" s="180"/>
      <c r="S76" s="173"/>
      <c r="T76" s="174"/>
      <c r="U76" s="173"/>
      <c r="V76" s="220"/>
      <c r="W76" s="177">
        <f>IF(S76=0,0,IF(U76="MXN",1/HLOOKUP(YEAR(T76)+(MONTH(T76)/100),TC!$5:$37,DAY(T76)+2,FALSE),VLOOKUP(U76,Equivalencia!$1:$23,((MAX(Equivalencia!$3:$3)-YEAR(T76))*14)+MONTH(T76)+2,FALSE)))</f>
        <v>0</v>
      </c>
      <c r="X76" s="178">
        <f t="shared" si="19"/>
        <v>0</v>
      </c>
      <c r="Y76" s="178">
        <f t="shared" si="20"/>
        <v>0</v>
      </c>
      <c r="Z76" s="175">
        <f t="shared" si="12"/>
        <v>0</v>
      </c>
      <c r="AA76" s="179"/>
      <c r="AB76" s="467">
        <f t="shared" si="13"/>
        <v>0</v>
      </c>
      <c r="AC76" s="466">
        <f t="shared" si="14"/>
        <v>0</v>
      </c>
    </row>
    <row r="77" spans="2:29" ht="20.100000000000001" customHeight="1">
      <c r="B77" s="172"/>
      <c r="C77" s="172"/>
      <c r="D77" s="172"/>
      <c r="E77" s="181"/>
      <c r="F77" s="173"/>
      <c r="G77" s="174"/>
      <c r="H77" s="284"/>
      <c r="I77" s="221"/>
      <c r="J77" s="177">
        <f>IF(H77=0,0,IF(F77="MXN",1/HLOOKUP(YEAR(G77)+(MONTH(G77)/100),TC!$5:$37,DAY(G77)+2,FALSE),VLOOKUP(F77,Equivalencia!$5:$23,((MAX(Equivalencia!$3:$3)-YEAR(G77))*14)+MONTH(G77)+2,FALSE)))</f>
        <v>0</v>
      </c>
      <c r="K77" s="217">
        <f t="shared" si="15"/>
        <v>0</v>
      </c>
      <c r="L77" s="462">
        <f>IF(G77=0,0,VLOOKUP(YEAR(G77),INPC!$B$4:$O$29,MONTH(G77)+1))</f>
        <v>0</v>
      </c>
      <c r="M77" s="462">
        <f>IF(T77=0,0,VLOOKUP(YEAR(T77),INPC!$B$4:$O$29,MONTH(T77)+1))</f>
        <v>0</v>
      </c>
      <c r="N77" s="463">
        <f t="shared" si="11"/>
        <v>0</v>
      </c>
      <c r="O77" s="464">
        <f t="shared" si="16"/>
        <v>0</v>
      </c>
      <c r="P77" s="465">
        <f t="shared" si="17"/>
        <v>0</v>
      </c>
      <c r="Q77" s="606" t="str">
        <f t="shared" si="18"/>
        <v>NO</v>
      </c>
      <c r="R77" s="180"/>
      <c r="S77" s="173"/>
      <c r="T77" s="174"/>
      <c r="U77" s="173"/>
      <c r="V77" s="220"/>
      <c r="W77" s="177">
        <f>IF(S77=0,0,IF(U77="MXN",1/HLOOKUP(YEAR(T77)+(MONTH(T77)/100),TC!$5:$37,DAY(T77)+2,FALSE),VLOOKUP(U77,Equivalencia!$1:$23,((MAX(Equivalencia!$3:$3)-YEAR(T77))*14)+MONTH(T77)+2,FALSE)))</f>
        <v>0</v>
      </c>
      <c r="X77" s="178">
        <f t="shared" si="19"/>
        <v>0</v>
      </c>
      <c r="Y77" s="178">
        <f t="shared" si="20"/>
        <v>0</v>
      </c>
      <c r="Z77" s="175">
        <f t="shared" si="12"/>
        <v>0</v>
      </c>
      <c r="AA77" s="179"/>
      <c r="AB77" s="467">
        <f t="shared" si="13"/>
        <v>0</v>
      </c>
      <c r="AC77" s="466">
        <f t="shared" si="14"/>
        <v>0</v>
      </c>
    </row>
    <row r="78" spans="2:29" ht="20.100000000000001" customHeight="1">
      <c r="B78" s="172"/>
      <c r="C78" s="172"/>
      <c r="D78" s="172"/>
      <c r="E78" s="181"/>
      <c r="F78" s="173"/>
      <c r="G78" s="174"/>
      <c r="H78" s="284"/>
      <c r="I78" s="221"/>
      <c r="J78" s="177">
        <f>IF(H78=0,0,IF(F78="MXN",1/HLOOKUP(YEAR(G78)+(MONTH(G78)/100),TC!$5:$37,DAY(G78)+2,FALSE),VLOOKUP(F78,Equivalencia!$5:$23,((MAX(Equivalencia!$3:$3)-YEAR(G78))*14)+MONTH(G78)+2,FALSE)))</f>
        <v>0</v>
      </c>
      <c r="K78" s="217">
        <f t="shared" si="15"/>
        <v>0</v>
      </c>
      <c r="L78" s="462">
        <f>IF(G78=0,0,VLOOKUP(YEAR(G78),INPC!$B$4:$O$29,MONTH(G78)+1))</f>
        <v>0</v>
      </c>
      <c r="M78" s="462">
        <f>IF(T78=0,0,VLOOKUP(YEAR(T78),INPC!$B$4:$O$29,MONTH(T78)+1))</f>
        <v>0</v>
      </c>
      <c r="N78" s="463">
        <f t="shared" si="11"/>
        <v>0</v>
      </c>
      <c r="O78" s="464">
        <f t="shared" si="16"/>
        <v>0</v>
      </c>
      <c r="P78" s="465">
        <f t="shared" si="17"/>
        <v>0</v>
      </c>
      <c r="Q78" s="606" t="str">
        <f t="shared" si="18"/>
        <v>NO</v>
      </c>
      <c r="R78" s="180"/>
      <c r="S78" s="173"/>
      <c r="T78" s="174"/>
      <c r="U78" s="173"/>
      <c r="V78" s="220"/>
      <c r="W78" s="177">
        <f>IF(S78=0,0,IF(U78="MXN",1/HLOOKUP(YEAR(T78)+(MONTH(T78)/100),TC!$5:$37,DAY(T78)+2,FALSE),VLOOKUP(U78,Equivalencia!$1:$23,((MAX(Equivalencia!$3:$3)-YEAR(T78))*14)+MONTH(T78)+2,FALSE)))</f>
        <v>0</v>
      </c>
      <c r="X78" s="178">
        <f t="shared" si="19"/>
        <v>0</v>
      </c>
      <c r="Y78" s="178">
        <f t="shared" si="20"/>
        <v>0</v>
      </c>
      <c r="Z78" s="175">
        <f t="shared" si="12"/>
        <v>0</v>
      </c>
      <c r="AA78" s="179"/>
      <c r="AB78" s="467">
        <f t="shared" si="13"/>
        <v>0</v>
      </c>
      <c r="AC78" s="466">
        <f t="shared" si="14"/>
        <v>0</v>
      </c>
    </row>
    <row r="79" spans="2:29" ht="20.100000000000001" customHeight="1">
      <c r="B79" s="172"/>
      <c r="C79" s="172"/>
      <c r="D79" s="172"/>
      <c r="E79" s="181"/>
      <c r="F79" s="173"/>
      <c r="G79" s="174"/>
      <c r="H79" s="284"/>
      <c r="I79" s="221"/>
      <c r="J79" s="177">
        <f>IF(H79=0,0,IF(F79="MXN",1/HLOOKUP(YEAR(G79)+(MONTH(G79)/100),TC!$5:$37,DAY(G79)+2,FALSE),VLOOKUP(F79,Equivalencia!$5:$23,((MAX(Equivalencia!$3:$3)-YEAR(G79))*14)+MONTH(G79)+2,FALSE)))</f>
        <v>0</v>
      </c>
      <c r="K79" s="217">
        <f t="shared" si="15"/>
        <v>0</v>
      </c>
      <c r="L79" s="462">
        <f>IF(G79=0,0,VLOOKUP(YEAR(G79),INPC!$B$4:$O$29,MONTH(G79)+1))</f>
        <v>0</v>
      </c>
      <c r="M79" s="462">
        <f>IF(T79=0,0,VLOOKUP(YEAR(T79),INPC!$B$4:$O$29,MONTH(T79)+1))</f>
        <v>0</v>
      </c>
      <c r="N79" s="463">
        <f t="shared" si="11"/>
        <v>0</v>
      </c>
      <c r="O79" s="464">
        <f t="shared" si="16"/>
        <v>0</v>
      </c>
      <c r="P79" s="465">
        <f t="shared" si="17"/>
        <v>0</v>
      </c>
      <c r="Q79" s="606" t="str">
        <f t="shared" si="18"/>
        <v>NO</v>
      </c>
      <c r="R79" s="180"/>
      <c r="S79" s="173"/>
      <c r="T79" s="174"/>
      <c r="U79" s="173"/>
      <c r="V79" s="220"/>
      <c r="W79" s="177">
        <f>IF(S79=0,0,IF(U79="MXN",1/HLOOKUP(YEAR(T79)+(MONTH(T79)/100),TC!$5:$37,DAY(T79)+2,FALSE),VLOOKUP(U79,Equivalencia!$1:$23,((MAX(Equivalencia!$3:$3)-YEAR(T79))*14)+MONTH(T79)+2,FALSE)))</f>
        <v>0</v>
      </c>
      <c r="X79" s="178">
        <f t="shared" si="19"/>
        <v>0</v>
      </c>
      <c r="Y79" s="178">
        <f t="shared" si="20"/>
        <v>0</v>
      </c>
      <c r="Z79" s="175">
        <f t="shared" si="12"/>
        <v>0</v>
      </c>
      <c r="AA79" s="179"/>
      <c r="AB79" s="467">
        <f t="shared" si="13"/>
        <v>0</v>
      </c>
      <c r="AC79" s="466">
        <f t="shared" si="14"/>
        <v>0</v>
      </c>
    </row>
    <row r="80" spans="2:29" ht="20.100000000000001" customHeight="1">
      <c r="B80" s="172"/>
      <c r="C80" s="172"/>
      <c r="D80" s="172"/>
      <c r="E80" s="181"/>
      <c r="F80" s="173"/>
      <c r="G80" s="174"/>
      <c r="H80" s="284"/>
      <c r="I80" s="221"/>
      <c r="J80" s="177">
        <f>IF(H80=0,0,IF(F80="MXN",1/HLOOKUP(YEAR(G80)+(MONTH(G80)/100),TC!$5:$37,DAY(G80)+2,FALSE),VLOOKUP(F80,Equivalencia!$5:$23,((MAX(Equivalencia!$3:$3)-YEAR(G80))*14)+MONTH(G80)+2,FALSE)))</f>
        <v>0</v>
      </c>
      <c r="K80" s="217">
        <f t="shared" si="15"/>
        <v>0</v>
      </c>
      <c r="L80" s="462">
        <f>IF(G80=0,0,VLOOKUP(YEAR(G80),INPC!$B$4:$O$29,MONTH(G80)+1))</f>
        <v>0</v>
      </c>
      <c r="M80" s="462">
        <f>IF(T80=0,0,VLOOKUP(YEAR(T80),INPC!$B$4:$O$29,MONTH(T80)+1))</f>
        <v>0</v>
      </c>
      <c r="N80" s="463">
        <f t="shared" si="11"/>
        <v>0</v>
      </c>
      <c r="O80" s="464">
        <f t="shared" si="16"/>
        <v>0</v>
      </c>
      <c r="P80" s="465">
        <f t="shared" si="17"/>
        <v>0</v>
      </c>
      <c r="Q80" s="606" t="str">
        <f t="shared" si="18"/>
        <v>NO</v>
      </c>
      <c r="R80" s="180"/>
      <c r="S80" s="173"/>
      <c r="T80" s="174"/>
      <c r="U80" s="173"/>
      <c r="V80" s="220"/>
      <c r="W80" s="177">
        <f>IF(S80=0,0,IF(U80="MXN",1/HLOOKUP(YEAR(T80)+(MONTH(T80)/100),TC!$5:$37,DAY(T80)+2,FALSE),VLOOKUP(U80,Equivalencia!$1:$23,((MAX(Equivalencia!$3:$3)-YEAR(T80))*14)+MONTH(T80)+2,FALSE)))</f>
        <v>0</v>
      </c>
      <c r="X80" s="178">
        <f t="shared" si="19"/>
        <v>0</v>
      </c>
      <c r="Y80" s="178">
        <f t="shared" si="20"/>
        <v>0</v>
      </c>
      <c r="Z80" s="175">
        <f t="shared" si="12"/>
        <v>0</v>
      </c>
      <c r="AA80" s="179"/>
      <c r="AB80" s="467">
        <f t="shared" si="13"/>
        <v>0</v>
      </c>
      <c r="AC80" s="466">
        <f t="shared" si="14"/>
        <v>0</v>
      </c>
    </row>
    <row r="81" spans="2:29" ht="20.100000000000001" customHeight="1">
      <c r="B81" s="172"/>
      <c r="C81" s="172"/>
      <c r="D81" s="172"/>
      <c r="E81" s="181"/>
      <c r="F81" s="173"/>
      <c r="G81" s="174"/>
      <c r="H81" s="284"/>
      <c r="I81" s="221"/>
      <c r="J81" s="177">
        <f>IF(H81=0,0,IF(F81="MXN",1/HLOOKUP(YEAR(G81)+(MONTH(G81)/100),TC!$5:$37,DAY(G81)+2,FALSE),VLOOKUP(F81,Equivalencia!$5:$23,((MAX(Equivalencia!$3:$3)-YEAR(G81))*14)+MONTH(G81)+2,FALSE)))</f>
        <v>0</v>
      </c>
      <c r="K81" s="217">
        <f t="shared" si="15"/>
        <v>0</v>
      </c>
      <c r="L81" s="462">
        <f>IF(G81=0,0,VLOOKUP(YEAR(G81),INPC!$B$4:$O$29,MONTH(G81)+1))</f>
        <v>0</v>
      </c>
      <c r="M81" s="462">
        <f>IF(T81=0,0,VLOOKUP(YEAR(T81),INPC!$B$4:$O$29,MONTH(T81)+1))</f>
        <v>0</v>
      </c>
      <c r="N81" s="463">
        <f t="shared" si="11"/>
        <v>0</v>
      </c>
      <c r="O81" s="464">
        <f t="shared" si="16"/>
        <v>0</v>
      </c>
      <c r="P81" s="465">
        <f t="shared" si="17"/>
        <v>0</v>
      </c>
      <c r="Q81" s="606" t="str">
        <f t="shared" si="18"/>
        <v>NO</v>
      </c>
      <c r="R81" s="180"/>
      <c r="S81" s="173"/>
      <c r="T81" s="174"/>
      <c r="U81" s="173"/>
      <c r="V81" s="220"/>
      <c r="W81" s="177">
        <f>IF(S81=0,0,IF(U81="MXN",1/HLOOKUP(YEAR(T81)+(MONTH(T81)/100),TC!$5:$37,DAY(T81)+2,FALSE),VLOOKUP(U81,Equivalencia!$1:$23,((MAX(Equivalencia!$3:$3)-YEAR(T81))*14)+MONTH(T81)+2,FALSE)))</f>
        <v>0</v>
      </c>
      <c r="X81" s="178">
        <f t="shared" si="19"/>
        <v>0</v>
      </c>
      <c r="Y81" s="178">
        <f t="shared" si="20"/>
        <v>0</v>
      </c>
      <c r="Z81" s="175">
        <f t="shared" si="12"/>
        <v>0</v>
      </c>
      <c r="AA81" s="179"/>
      <c r="AB81" s="467">
        <f t="shared" si="13"/>
        <v>0</v>
      </c>
      <c r="AC81" s="466">
        <f t="shared" si="14"/>
        <v>0</v>
      </c>
    </row>
    <row r="82" spans="2:29" ht="20.100000000000001" customHeight="1">
      <c r="B82" s="172"/>
      <c r="C82" s="172"/>
      <c r="D82" s="172"/>
      <c r="E82" s="181"/>
      <c r="F82" s="173"/>
      <c r="G82" s="174"/>
      <c r="H82" s="284"/>
      <c r="I82" s="221"/>
      <c r="J82" s="177">
        <f>IF(H82=0,0,IF(F82="MXN",1/HLOOKUP(YEAR(G82)+(MONTH(G82)/100),TC!$5:$37,DAY(G82)+2,FALSE),VLOOKUP(F82,Equivalencia!$5:$23,((MAX(Equivalencia!$3:$3)-YEAR(G82))*14)+MONTH(G82)+2,FALSE)))</f>
        <v>0</v>
      </c>
      <c r="K82" s="217">
        <f t="shared" si="15"/>
        <v>0</v>
      </c>
      <c r="L82" s="462">
        <f>IF(G82=0,0,VLOOKUP(YEAR(G82),INPC!$B$4:$O$29,MONTH(G82)+1))</f>
        <v>0</v>
      </c>
      <c r="M82" s="462">
        <f>IF(T82=0,0,VLOOKUP(YEAR(T82),INPC!$B$4:$O$29,MONTH(T82)+1))</f>
        <v>0</v>
      </c>
      <c r="N82" s="463">
        <f t="shared" si="11"/>
        <v>0</v>
      </c>
      <c r="O82" s="464">
        <f t="shared" si="16"/>
        <v>0</v>
      </c>
      <c r="P82" s="465">
        <f t="shared" si="17"/>
        <v>0</v>
      </c>
      <c r="Q82" s="606" t="str">
        <f t="shared" si="18"/>
        <v>NO</v>
      </c>
      <c r="R82" s="180"/>
      <c r="S82" s="173"/>
      <c r="T82" s="174"/>
      <c r="U82" s="173"/>
      <c r="V82" s="220"/>
      <c r="W82" s="177">
        <f>IF(S82=0,0,IF(U82="MXN",1/HLOOKUP(YEAR(T82)+(MONTH(T82)/100),TC!$5:$37,DAY(T82)+2,FALSE),VLOOKUP(U82,Equivalencia!$1:$23,((MAX(Equivalencia!$3:$3)-YEAR(T82))*14)+MONTH(T82)+2,FALSE)))</f>
        <v>0</v>
      </c>
      <c r="X82" s="178">
        <f t="shared" si="19"/>
        <v>0</v>
      </c>
      <c r="Y82" s="178">
        <f t="shared" si="20"/>
        <v>0</v>
      </c>
      <c r="Z82" s="175">
        <f t="shared" si="12"/>
        <v>0</v>
      </c>
      <c r="AA82" s="179"/>
      <c r="AB82" s="467">
        <f t="shared" si="13"/>
        <v>0</v>
      </c>
      <c r="AC82" s="466">
        <f t="shared" si="14"/>
        <v>0</v>
      </c>
    </row>
    <row r="83" spans="2:29" ht="20.100000000000001" customHeight="1">
      <c r="B83" s="172"/>
      <c r="C83" s="172"/>
      <c r="D83" s="172"/>
      <c r="E83" s="181"/>
      <c r="F83" s="173"/>
      <c r="G83" s="174"/>
      <c r="H83" s="284"/>
      <c r="I83" s="221"/>
      <c r="J83" s="177">
        <f>IF(H83=0,0,IF(F83="MXN",1/HLOOKUP(YEAR(G83)+(MONTH(G83)/100),TC!$5:$37,DAY(G83)+2,FALSE),VLOOKUP(F83,Equivalencia!$5:$23,((MAX(Equivalencia!$3:$3)-YEAR(G83))*14)+MONTH(G83)+2,FALSE)))</f>
        <v>0</v>
      </c>
      <c r="K83" s="217">
        <f t="shared" si="15"/>
        <v>0</v>
      </c>
      <c r="L83" s="462">
        <f>IF(G83=0,0,VLOOKUP(YEAR(G83),INPC!$B$4:$O$29,MONTH(G83)+1))</f>
        <v>0</v>
      </c>
      <c r="M83" s="462">
        <f>IF(T83=0,0,VLOOKUP(YEAR(T83),INPC!$B$4:$O$29,MONTH(T83)+1))</f>
        <v>0</v>
      </c>
      <c r="N83" s="463">
        <f t="shared" si="11"/>
        <v>0</v>
      </c>
      <c r="O83" s="464">
        <f t="shared" si="16"/>
        <v>0</v>
      </c>
      <c r="P83" s="465">
        <f t="shared" si="17"/>
        <v>0</v>
      </c>
      <c r="Q83" s="606" t="str">
        <f t="shared" si="18"/>
        <v>NO</v>
      </c>
      <c r="R83" s="180"/>
      <c r="S83" s="173"/>
      <c r="T83" s="174"/>
      <c r="U83" s="173"/>
      <c r="V83" s="220"/>
      <c r="W83" s="177">
        <f>IF(S83=0,0,IF(U83="MXN",1/HLOOKUP(YEAR(T83)+(MONTH(T83)/100),TC!$5:$37,DAY(T83)+2,FALSE),VLOOKUP(U83,Equivalencia!$1:$23,((MAX(Equivalencia!$3:$3)-YEAR(T83))*14)+MONTH(T83)+2,FALSE)))</f>
        <v>0</v>
      </c>
      <c r="X83" s="178">
        <f t="shared" si="19"/>
        <v>0</v>
      </c>
      <c r="Y83" s="178">
        <f t="shared" si="20"/>
        <v>0</v>
      </c>
      <c r="Z83" s="175">
        <f t="shared" si="12"/>
        <v>0</v>
      </c>
      <c r="AA83" s="179"/>
      <c r="AB83" s="467">
        <f t="shared" si="13"/>
        <v>0</v>
      </c>
      <c r="AC83" s="466">
        <f t="shared" si="14"/>
        <v>0</v>
      </c>
    </row>
    <row r="84" spans="2:29" ht="20.100000000000001" customHeight="1">
      <c r="B84" s="172"/>
      <c r="C84" s="172"/>
      <c r="D84" s="172"/>
      <c r="E84" s="181"/>
      <c r="F84" s="173"/>
      <c r="G84" s="174"/>
      <c r="H84" s="284"/>
      <c r="I84" s="221"/>
      <c r="J84" s="177">
        <f>IF(H84=0,0,IF(F84="MXN",1/HLOOKUP(YEAR(G84)+(MONTH(G84)/100),TC!$5:$37,DAY(G84)+2,FALSE),VLOOKUP(F84,Equivalencia!$5:$23,((MAX(Equivalencia!$3:$3)-YEAR(G84))*14)+MONTH(G84)+2,FALSE)))</f>
        <v>0</v>
      </c>
      <c r="K84" s="217">
        <f t="shared" si="15"/>
        <v>0</v>
      </c>
      <c r="L84" s="462">
        <f>IF(G84=0,0,VLOOKUP(YEAR(G84),INPC!$B$4:$O$29,MONTH(G84)+1))</f>
        <v>0</v>
      </c>
      <c r="M84" s="462">
        <f>IF(T84=0,0,VLOOKUP(YEAR(T84),INPC!$B$4:$O$29,MONTH(T84)+1))</f>
        <v>0</v>
      </c>
      <c r="N84" s="463">
        <f t="shared" si="11"/>
        <v>0</v>
      </c>
      <c r="O84" s="464">
        <f t="shared" si="16"/>
        <v>0</v>
      </c>
      <c r="P84" s="465">
        <f t="shared" si="17"/>
        <v>0</v>
      </c>
      <c r="Q84" s="606" t="str">
        <f t="shared" si="18"/>
        <v>NO</v>
      </c>
      <c r="R84" s="180"/>
      <c r="S84" s="173"/>
      <c r="T84" s="174"/>
      <c r="U84" s="173"/>
      <c r="V84" s="220"/>
      <c r="W84" s="177">
        <f>IF(S84=0,0,IF(U84="MXN",1/HLOOKUP(YEAR(T84)+(MONTH(T84)/100),TC!$5:$37,DAY(T84)+2,FALSE),VLOOKUP(U84,Equivalencia!$1:$23,((MAX(Equivalencia!$3:$3)-YEAR(T84))*14)+MONTH(T84)+2,FALSE)))</f>
        <v>0</v>
      </c>
      <c r="X84" s="178">
        <f t="shared" si="19"/>
        <v>0</v>
      </c>
      <c r="Y84" s="178">
        <f t="shared" si="20"/>
        <v>0</v>
      </c>
      <c r="Z84" s="175">
        <f t="shared" si="12"/>
        <v>0</v>
      </c>
      <c r="AA84" s="179"/>
      <c r="AB84" s="467">
        <f t="shared" si="13"/>
        <v>0</v>
      </c>
      <c r="AC84" s="466">
        <f t="shared" si="14"/>
        <v>0</v>
      </c>
    </row>
    <row r="85" spans="2:29" ht="20.100000000000001" customHeight="1">
      <c r="B85" s="172"/>
      <c r="C85" s="172"/>
      <c r="D85" s="172"/>
      <c r="E85" s="181"/>
      <c r="F85" s="173"/>
      <c r="G85" s="174"/>
      <c r="H85" s="284"/>
      <c r="I85" s="221"/>
      <c r="J85" s="177">
        <f>IF(H85=0,0,IF(F85="MXN",1/HLOOKUP(YEAR(G85)+(MONTH(G85)/100),TC!$5:$37,DAY(G85)+2,FALSE),VLOOKUP(F85,Equivalencia!$5:$23,((MAX(Equivalencia!$3:$3)-YEAR(G85))*14)+MONTH(G85)+2,FALSE)))</f>
        <v>0</v>
      </c>
      <c r="K85" s="217">
        <f t="shared" si="15"/>
        <v>0</v>
      </c>
      <c r="L85" s="462">
        <f>IF(G85=0,0,VLOOKUP(YEAR(G85),INPC!$B$4:$O$29,MONTH(G85)+1))</f>
        <v>0</v>
      </c>
      <c r="M85" s="462">
        <f>IF(T85=0,0,VLOOKUP(YEAR(T85),INPC!$B$4:$O$29,MONTH(T85)+1))</f>
        <v>0</v>
      </c>
      <c r="N85" s="463">
        <f t="shared" si="11"/>
        <v>0</v>
      </c>
      <c r="O85" s="464">
        <f t="shared" si="16"/>
        <v>0</v>
      </c>
      <c r="P85" s="465">
        <f t="shared" si="17"/>
        <v>0</v>
      </c>
      <c r="Q85" s="606" t="str">
        <f t="shared" si="18"/>
        <v>NO</v>
      </c>
      <c r="R85" s="180"/>
      <c r="S85" s="173"/>
      <c r="T85" s="174"/>
      <c r="U85" s="173"/>
      <c r="V85" s="220"/>
      <c r="W85" s="177">
        <f>IF(S85=0,0,IF(U85="MXN",1/HLOOKUP(YEAR(T85)+(MONTH(T85)/100),TC!$5:$37,DAY(T85)+2,FALSE),VLOOKUP(U85,Equivalencia!$1:$23,((MAX(Equivalencia!$3:$3)-YEAR(T85))*14)+MONTH(T85)+2,FALSE)))</f>
        <v>0</v>
      </c>
      <c r="X85" s="178">
        <f t="shared" si="19"/>
        <v>0</v>
      </c>
      <c r="Y85" s="178">
        <f t="shared" si="20"/>
        <v>0</v>
      </c>
      <c r="Z85" s="175">
        <f t="shared" si="12"/>
        <v>0</v>
      </c>
      <c r="AA85" s="179"/>
      <c r="AB85" s="467">
        <f t="shared" si="13"/>
        <v>0</v>
      </c>
      <c r="AC85" s="466">
        <f t="shared" si="14"/>
        <v>0</v>
      </c>
    </row>
    <row r="86" spans="2:29" ht="20.100000000000001" customHeight="1">
      <c r="B86" s="172"/>
      <c r="C86" s="172"/>
      <c r="D86" s="172"/>
      <c r="E86" s="181"/>
      <c r="F86" s="173"/>
      <c r="G86" s="174"/>
      <c r="H86" s="284"/>
      <c r="I86" s="221"/>
      <c r="J86" s="177">
        <f>IF(H86=0,0,IF(F86="MXN",1/HLOOKUP(YEAR(G86)+(MONTH(G86)/100),TC!$5:$37,DAY(G86)+2,FALSE),VLOOKUP(F86,Equivalencia!$5:$23,((MAX(Equivalencia!$3:$3)-YEAR(G86))*14)+MONTH(G86)+2,FALSE)))</f>
        <v>0</v>
      </c>
      <c r="K86" s="217">
        <f t="shared" si="15"/>
        <v>0</v>
      </c>
      <c r="L86" s="462">
        <f>IF(G86=0,0,VLOOKUP(YEAR(G86),INPC!$B$4:$O$29,MONTH(G86)+1))</f>
        <v>0</v>
      </c>
      <c r="M86" s="462">
        <f>IF(T86=0,0,VLOOKUP(YEAR(T86),INPC!$B$4:$O$29,MONTH(T86)+1))</f>
        <v>0</v>
      </c>
      <c r="N86" s="463">
        <f t="shared" si="11"/>
        <v>0</v>
      </c>
      <c r="O86" s="464">
        <f t="shared" si="16"/>
        <v>0</v>
      </c>
      <c r="P86" s="465">
        <f t="shared" si="17"/>
        <v>0</v>
      </c>
      <c r="Q86" s="606" t="str">
        <f t="shared" si="18"/>
        <v>NO</v>
      </c>
      <c r="R86" s="180"/>
      <c r="S86" s="173"/>
      <c r="T86" s="174"/>
      <c r="U86" s="173"/>
      <c r="V86" s="220"/>
      <c r="W86" s="177">
        <f>IF(S86=0,0,IF(U86="MXN",1/HLOOKUP(YEAR(T86)+(MONTH(T86)/100),TC!$5:$37,DAY(T86)+2,FALSE),VLOOKUP(U86,Equivalencia!$1:$23,((MAX(Equivalencia!$3:$3)-YEAR(T86))*14)+MONTH(T86)+2,FALSE)))</f>
        <v>0</v>
      </c>
      <c r="X86" s="178">
        <f t="shared" si="19"/>
        <v>0</v>
      </c>
      <c r="Y86" s="178">
        <f t="shared" si="20"/>
        <v>0</v>
      </c>
      <c r="Z86" s="175">
        <f t="shared" si="12"/>
        <v>0</v>
      </c>
      <c r="AA86" s="179"/>
      <c r="AB86" s="467">
        <f t="shared" si="13"/>
        <v>0</v>
      </c>
      <c r="AC86" s="466">
        <f t="shared" si="14"/>
        <v>0</v>
      </c>
    </row>
    <row r="87" spans="2:29" ht="20.100000000000001" customHeight="1">
      <c r="B87" s="172"/>
      <c r="C87" s="172"/>
      <c r="D87" s="172"/>
      <c r="E87" s="181"/>
      <c r="F87" s="173"/>
      <c r="G87" s="174"/>
      <c r="H87" s="284"/>
      <c r="I87" s="221"/>
      <c r="J87" s="177">
        <f>IF(H87=0,0,IF(F87="MXN",1/HLOOKUP(YEAR(G87)+(MONTH(G87)/100),TC!$5:$37,DAY(G87)+2,FALSE),VLOOKUP(F87,Equivalencia!$5:$23,((MAX(Equivalencia!$3:$3)-YEAR(G87))*14)+MONTH(G87)+2,FALSE)))</f>
        <v>0</v>
      </c>
      <c r="K87" s="217">
        <f t="shared" si="15"/>
        <v>0</v>
      </c>
      <c r="L87" s="462">
        <f>IF(G87=0,0,VLOOKUP(YEAR(G87),INPC!$B$4:$O$29,MONTH(G87)+1))</f>
        <v>0</v>
      </c>
      <c r="M87" s="462">
        <f>IF(T87=0,0,VLOOKUP(YEAR(T87),INPC!$B$4:$O$29,MONTH(T87)+1))</f>
        <v>0</v>
      </c>
      <c r="N87" s="463">
        <f t="shared" si="11"/>
        <v>0</v>
      </c>
      <c r="O87" s="464">
        <f t="shared" si="16"/>
        <v>0</v>
      </c>
      <c r="P87" s="465">
        <f t="shared" si="17"/>
        <v>0</v>
      </c>
      <c r="Q87" s="606" t="str">
        <f t="shared" si="18"/>
        <v>NO</v>
      </c>
      <c r="R87" s="180"/>
      <c r="S87" s="173"/>
      <c r="T87" s="174"/>
      <c r="U87" s="173"/>
      <c r="V87" s="220"/>
      <c r="W87" s="177">
        <f>IF(S87=0,0,IF(U87="MXN",1/HLOOKUP(YEAR(T87)+(MONTH(T87)/100),TC!$5:$37,DAY(T87)+2,FALSE),VLOOKUP(U87,Equivalencia!$1:$23,((MAX(Equivalencia!$3:$3)-YEAR(T87))*14)+MONTH(T87)+2,FALSE)))</f>
        <v>0</v>
      </c>
      <c r="X87" s="178">
        <f t="shared" si="19"/>
        <v>0</v>
      </c>
      <c r="Y87" s="178">
        <f t="shared" si="20"/>
        <v>0</v>
      </c>
      <c r="Z87" s="175">
        <f t="shared" si="12"/>
        <v>0</v>
      </c>
      <c r="AA87" s="179"/>
      <c r="AB87" s="467">
        <f t="shared" si="13"/>
        <v>0</v>
      </c>
      <c r="AC87" s="466">
        <f t="shared" si="14"/>
        <v>0</v>
      </c>
    </row>
    <row r="88" spans="2:29" ht="20.100000000000001" customHeight="1">
      <c r="B88" s="172"/>
      <c r="C88" s="172"/>
      <c r="D88" s="172"/>
      <c r="E88" s="181"/>
      <c r="F88" s="173"/>
      <c r="G88" s="174"/>
      <c r="H88" s="284"/>
      <c r="I88" s="221"/>
      <c r="J88" s="177">
        <f>IF(H88=0,0,IF(F88="MXN",1/HLOOKUP(YEAR(G88)+(MONTH(G88)/100),TC!$5:$37,DAY(G88)+2,FALSE),VLOOKUP(F88,Equivalencia!$5:$23,((MAX(Equivalencia!$3:$3)-YEAR(G88))*14)+MONTH(G88)+2,FALSE)))</f>
        <v>0</v>
      </c>
      <c r="K88" s="217">
        <f t="shared" si="15"/>
        <v>0</v>
      </c>
      <c r="L88" s="462">
        <f>IF(G88=0,0,VLOOKUP(YEAR(G88),INPC!$B$4:$O$29,MONTH(G88)+1))</f>
        <v>0</v>
      </c>
      <c r="M88" s="462">
        <f>IF(T88=0,0,VLOOKUP(YEAR(T88),INPC!$B$4:$O$29,MONTH(T88)+1))</f>
        <v>0</v>
      </c>
      <c r="N88" s="463">
        <f t="shared" si="11"/>
        <v>0</v>
      </c>
      <c r="O88" s="464">
        <f t="shared" si="16"/>
        <v>0</v>
      </c>
      <c r="P88" s="465">
        <f t="shared" si="17"/>
        <v>0</v>
      </c>
      <c r="Q88" s="606" t="str">
        <f t="shared" si="18"/>
        <v>NO</v>
      </c>
      <c r="R88" s="180"/>
      <c r="S88" s="173"/>
      <c r="T88" s="174"/>
      <c r="U88" s="173"/>
      <c r="V88" s="220"/>
      <c r="W88" s="177">
        <f>IF(S88=0,0,IF(U88="MXN",1/HLOOKUP(YEAR(T88)+(MONTH(T88)/100),TC!$5:$37,DAY(T88)+2,FALSE),VLOOKUP(U88,Equivalencia!$1:$23,((MAX(Equivalencia!$3:$3)-YEAR(T88))*14)+MONTH(T88)+2,FALSE)))</f>
        <v>0</v>
      </c>
      <c r="X88" s="178">
        <f t="shared" si="19"/>
        <v>0</v>
      </c>
      <c r="Y88" s="178">
        <f t="shared" si="20"/>
        <v>0</v>
      </c>
      <c r="Z88" s="175">
        <f t="shared" si="12"/>
        <v>0</v>
      </c>
      <c r="AA88" s="179"/>
      <c r="AB88" s="467">
        <f t="shared" si="13"/>
        <v>0</v>
      </c>
      <c r="AC88" s="466">
        <f t="shared" si="14"/>
        <v>0</v>
      </c>
    </row>
    <row r="89" spans="2:29" ht="20.100000000000001" customHeight="1">
      <c r="B89" s="172"/>
      <c r="C89" s="172"/>
      <c r="D89" s="172"/>
      <c r="E89" s="181"/>
      <c r="F89" s="173"/>
      <c r="G89" s="174"/>
      <c r="H89" s="284"/>
      <c r="I89" s="221"/>
      <c r="J89" s="177">
        <f>IF(H89=0,0,IF(F89="MXN",1/HLOOKUP(YEAR(G89)+(MONTH(G89)/100),TC!$5:$37,DAY(G89)+2,FALSE),VLOOKUP(F89,Equivalencia!$5:$23,((MAX(Equivalencia!$3:$3)-YEAR(G89))*14)+MONTH(G89)+2,FALSE)))</f>
        <v>0</v>
      </c>
      <c r="K89" s="217">
        <f t="shared" si="15"/>
        <v>0</v>
      </c>
      <c r="L89" s="462">
        <f>IF(G89=0,0,VLOOKUP(YEAR(G89),INPC!$B$4:$O$29,MONTH(G89)+1))</f>
        <v>0</v>
      </c>
      <c r="M89" s="462">
        <f>IF(T89=0,0,VLOOKUP(YEAR(T89),INPC!$B$4:$O$29,MONTH(T89)+1))</f>
        <v>0</v>
      </c>
      <c r="N89" s="463">
        <f t="shared" si="11"/>
        <v>0</v>
      </c>
      <c r="O89" s="464">
        <f t="shared" si="16"/>
        <v>0</v>
      </c>
      <c r="P89" s="465">
        <f t="shared" si="17"/>
        <v>0</v>
      </c>
      <c r="Q89" s="606" t="str">
        <f t="shared" si="18"/>
        <v>NO</v>
      </c>
      <c r="R89" s="180"/>
      <c r="S89" s="173"/>
      <c r="T89" s="174"/>
      <c r="U89" s="173"/>
      <c r="V89" s="220"/>
      <c r="W89" s="177">
        <f>IF(S89=0,0,IF(U89="MXN",1/HLOOKUP(YEAR(T89)+(MONTH(T89)/100),TC!$5:$37,DAY(T89)+2,FALSE),VLOOKUP(U89,Equivalencia!$1:$23,((MAX(Equivalencia!$3:$3)-YEAR(T89))*14)+MONTH(T89)+2,FALSE)))</f>
        <v>0</v>
      </c>
      <c r="X89" s="178">
        <f t="shared" si="19"/>
        <v>0</v>
      </c>
      <c r="Y89" s="178">
        <f t="shared" si="20"/>
        <v>0</v>
      </c>
      <c r="Z89" s="175">
        <f t="shared" si="12"/>
        <v>0</v>
      </c>
      <c r="AA89" s="179"/>
      <c r="AB89" s="467">
        <f t="shared" si="13"/>
        <v>0</v>
      </c>
      <c r="AC89" s="466">
        <f t="shared" si="14"/>
        <v>0</v>
      </c>
    </row>
    <row r="90" spans="2:29" ht="20.100000000000001" customHeight="1">
      <c r="B90" s="172"/>
      <c r="C90" s="172"/>
      <c r="D90" s="172"/>
      <c r="E90" s="181"/>
      <c r="F90" s="173"/>
      <c r="G90" s="174"/>
      <c r="H90" s="284"/>
      <c r="I90" s="221"/>
      <c r="J90" s="177">
        <f>IF(H90=0,0,IF(F90="MXN",1/HLOOKUP(YEAR(G90)+(MONTH(G90)/100),TC!$5:$37,DAY(G90)+2,FALSE),VLOOKUP(F90,Equivalencia!$5:$23,((MAX(Equivalencia!$3:$3)-YEAR(G90))*14)+MONTH(G90)+2,FALSE)))</f>
        <v>0</v>
      </c>
      <c r="K90" s="217">
        <f t="shared" si="15"/>
        <v>0</v>
      </c>
      <c r="L90" s="462">
        <f>IF(G90=0,0,VLOOKUP(YEAR(G90),INPC!$B$4:$O$29,MONTH(G90)+1))</f>
        <v>0</v>
      </c>
      <c r="M90" s="462">
        <f>IF(T90=0,0,VLOOKUP(YEAR(T90),INPC!$B$4:$O$29,MONTH(T90)+1))</f>
        <v>0</v>
      </c>
      <c r="N90" s="463">
        <f t="shared" si="11"/>
        <v>0</v>
      </c>
      <c r="O90" s="464">
        <f t="shared" si="16"/>
        <v>0</v>
      </c>
      <c r="P90" s="465">
        <f t="shared" si="17"/>
        <v>0</v>
      </c>
      <c r="Q90" s="606" t="str">
        <f t="shared" si="18"/>
        <v>NO</v>
      </c>
      <c r="R90" s="180"/>
      <c r="S90" s="173"/>
      <c r="T90" s="174"/>
      <c r="U90" s="173"/>
      <c r="V90" s="220"/>
      <c r="W90" s="177">
        <f>IF(S90=0,0,IF(U90="MXN",1/HLOOKUP(YEAR(T90)+(MONTH(T90)/100),TC!$5:$37,DAY(T90)+2,FALSE),VLOOKUP(U90,Equivalencia!$1:$23,((MAX(Equivalencia!$3:$3)-YEAR(T90))*14)+MONTH(T90)+2,FALSE)))</f>
        <v>0</v>
      </c>
      <c r="X90" s="178">
        <f t="shared" si="19"/>
        <v>0</v>
      </c>
      <c r="Y90" s="178">
        <f t="shared" si="20"/>
        <v>0</v>
      </c>
      <c r="Z90" s="175">
        <f t="shared" si="12"/>
        <v>0</v>
      </c>
      <c r="AA90" s="179"/>
      <c r="AB90" s="467">
        <f t="shared" si="13"/>
        <v>0</v>
      </c>
      <c r="AC90" s="466">
        <f t="shared" si="14"/>
        <v>0</v>
      </c>
    </row>
    <row r="91" spans="2:29" ht="20.100000000000001" customHeight="1">
      <c r="B91" s="172"/>
      <c r="C91" s="172"/>
      <c r="D91" s="172"/>
      <c r="E91" s="181"/>
      <c r="F91" s="173"/>
      <c r="G91" s="174"/>
      <c r="H91" s="284"/>
      <c r="I91" s="221"/>
      <c r="J91" s="177">
        <f>IF(H91=0,0,IF(F91="MXN",1/HLOOKUP(YEAR(G91)+(MONTH(G91)/100),TC!$5:$37,DAY(G91)+2,FALSE),VLOOKUP(F91,Equivalencia!$5:$23,((MAX(Equivalencia!$3:$3)-YEAR(G91))*14)+MONTH(G91)+2,FALSE)))</f>
        <v>0</v>
      </c>
      <c r="K91" s="217">
        <f t="shared" si="15"/>
        <v>0</v>
      </c>
      <c r="L91" s="462">
        <f>IF(G91=0,0,VLOOKUP(YEAR(G91),INPC!$B$4:$O$29,MONTH(G91)+1))</f>
        <v>0</v>
      </c>
      <c r="M91" s="462">
        <f>IF(T91=0,0,VLOOKUP(YEAR(T91),INPC!$B$4:$O$29,MONTH(T91)+1))</f>
        <v>0</v>
      </c>
      <c r="N91" s="463">
        <f t="shared" si="11"/>
        <v>0</v>
      </c>
      <c r="O91" s="464">
        <f t="shared" si="16"/>
        <v>0</v>
      </c>
      <c r="P91" s="465">
        <f t="shared" si="17"/>
        <v>0</v>
      </c>
      <c r="Q91" s="606" t="str">
        <f t="shared" si="18"/>
        <v>NO</v>
      </c>
      <c r="R91" s="180"/>
      <c r="S91" s="173"/>
      <c r="T91" s="174"/>
      <c r="U91" s="173"/>
      <c r="V91" s="220"/>
      <c r="W91" s="177">
        <f>IF(S91=0,0,IF(U91="MXN",1/HLOOKUP(YEAR(T91)+(MONTH(T91)/100),TC!$5:$37,DAY(T91)+2,FALSE),VLOOKUP(U91,Equivalencia!$1:$23,((MAX(Equivalencia!$3:$3)-YEAR(T91))*14)+MONTH(T91)+2,FALSE)))</f>
        <v>0</v>
      </c>
      <c r="X91" s="178">
        <f t="shared" si="19"/>
        <v>0</v>
      </c>
      <c r="Y91" s="178">
        <f t="shared" si="20"/>
        <v>0</v>
      </c>
      <c r="Z91" s="175">
        <f t="shared" si="12"/>
        <v>0</v>
      </c>
      <c r="AA91" s="179"/>
      <c r="AB91" s="467">
        <f t="shared" si="13"/>
        <v>0</v>
      </c>
      <c r="AC91" s="466">
        <f t="shared" si="14"/>
        <v>0</v>
      </c>
    </row>
    <row r="92" spans="2:29" ht="20.100000000000001" customHeight="1">
      <c r="B92" s="172"/>
      <c r="C92" s="172"/>
      <c r="D92" s="172"/>
      <c r="E92" s="181"/>
      <c r="F92" s="173"/>
      <c r="G92" s="174"/>
      <c r="H92" s="284"/>
      <c r="I92" s="221"/>
      <c r="J92" s="177">
        <f>IF(H92=0,0,IF(F92="MXN",1/HLOOKUP(YEAR(G92)+(MONTH(G92)/100),TC!$5:$37,DAY(G92)+2,FALSE),VLOOKUP(F92,Equivalencia!$5:$23,((MAX(Equivalencia!$3:$3)-YEAR(G92))*14)+MONTH(G92)+2,FALSE)))</f>
        <v>0</v>
      </c>
      <c r="K92" s="217">
        <f t="shared" si="15"/>
        <v>0</v>
      </c>
      <c r="L92" s="462">
        <f>IF(G92=0,0,VLOOKUP(YEAR(G92),INPC!$B$4:$O$29,MONTH(G92)+1))</f>
        <v>0</v>
      </c>
      <c r="M92" s="462">
        <f>IF(T92=0,0,VLOOKUP(YEAR(T92),INPC!$B$4:$O$29,MONTH(T92)+1))</f>
        <v>0</v>
      </c>
      <c r="N92" s="463">
        <f t="shared" si="11"/>
        <v>0</v>
      </c>
      <c r="O92" s="464">
        <f t="shared" si="16"/>
        <v>0</v>
      </c>
      <c r="P92" s="465">
        <f t="shared" si="17"/>
        <v>0</v>
      </c>
      <c r="Q92" s="606" t="str">
        <f t="shared" si="18"/>
        <v>NO</v>
      </c>
      <c r="R92" s="180"/>
      <c r="S92" s="173"/>
      <c r="T92" s="174"/>
      <c r="U92" s="173"/>
      <c r="V92" s="220"/>
      <c r="W92" s="177">
        <f>IF(S92=0,0,IF(U92="MXN",1/HLOOKUP(YEAR(T92)+(MONTH(T92)/100),TC!$5:$37,DAY(T92)+2,FALSE),VLOOKUP(U92,Equivalencia!$1:$23,((MAX(Equivalencia!$3:$3)-YEAR(T92))*14)+MONTH(T92)+2,FALSE)))</f>
        <v>0</v>
      </c>
      <c r="X92" s="178">
        <f t="shared" si="19"/>
        <v>0</v>
      </c>
      <c r="Y92" s="178">
        <f t="shared" si="20"/>
        <v>0</v>
      </c>
      <c r="Z92" s="175">
        <f t="shared" si="12"/>
        <v>0</v>
      </c>
      <c r="AA92" s="179"/>
      <c r="AB92" s="467">
        <f t="shared" si="13"/>
        <v>0</v>
      </c>
      <c r="AC92" s="466">
        <f t="shared" si="14"/>
        <v>0</v>
      </c>
    </row>
    <row r="93" spans="2:29" ht="20.100000000000001" customHeight="1">
      <c r="B93" s="172"/>
      <c r="C93" s="172"/>
      <c r="D93" s="172"/>
      <c r="E93" s="181"/>
      <c r="F93" s="173"/>
      <c r="G93" s="174"/>
      <c r="H93" s="284"/>
      <c r="I93" s="221"/>
      <c r="J93" s="177">
        <f>IF(H93=0,0,IF(F93="MXN",1/HLOOKUP(YEAR(G93)+(MONTH(G93)/100),TC!$5:$37,DAY(G93)+2,FALSE),VLOOKUP(F93,Equivalencia!$5:$23,((MAX(Equivalencia!$3:$3)-YEAR(G93))*14)+MONTH(G93)+2,FALSE)))</f>
        <v>0</v>
      </c>
      <c r="K93" s="217">
        <f t="shared" si="15"/>
        <v>0</v>
      </c>
      <c r="L93" s="462">
        <f>IF(G93=0,0,VLOOKUP(YEAR(G93),INPC!$B$4:$O$29,MONTH(G93)+1))</f>
        <v>0</v>
      </c>
      <c r="M93" s="462">
        <f>IF(T93=0,0,VLOOKUP(YEAR(T93),INPC!$B$4:$O$29,MONTH(T93)+1))</f>
        <v>0</v>
      </c>
      <c r="N93" s="463">
        <f t="shared" si="11"/>
        <v>0</v>
      </c>
      <c r="O93" s="464">
        <f t="shared" si="16"/>
        <v>0</v>
      </c>
      <c r="P93" s="465">
        <f t="shared" si="17"/>
        <v>0</v>
      </c>
      <c r="Q93" s="606" t="str">
        <f t="shared" si="18"/>
        <v>NO</v>
      </c>
      <c r="R93" s="180"/>
      <c r="S93" s="173"/>
      <c r="T93" s="174"/>
      <c r="U93" s="173"/>
      <c r="V93" s="220"/>
      <c r="W93" s="177">
        <f>IF(S93=0,0,IF(U93="MXN",1/HLOOKUP(YEAR(T93)+(MONTH(T93)/100),TC!$5:$37,DAY(T93)+2,FALSE),VLOOKUP(U93,Equivalencia!$1:$23,((MAX(Equivalencia!$3:$3)-YEAR(T93))*14)+MONTH(T93)+2,FALSE)))</f>
        <v>0</v>
      </c>
      <c r="X93" s="178">
        <f t="shared" si="19"/>
        <v>0</v>
      </c>
      <c r="Y93" s="178">
        <f t="shared" si="20"/>
        <v>0</v>
      </c>
      <c r="Z93" s="175">
        <f t="shared" si="12"/>
        <v>0</v>
      </c>
      <c r="AA93" s="179"/>
      <c r="AB93" s="467">
        <f t="shared" si="13"/>
        <v>0</v>
      </c>
      <c r="AC93" s="466">
        <f t="shared" si="14"/>
        <v>0</v>
      </c>
    </row>
    <row r="94" spans="2:29" ht="20.100000000000001" customHeight="1">
      <c r="B94" s="172"/>
      <c r="C94" s="172"/>
      <c r="D94" s="172"/>
      <c r="E94" s="181"/>
      <c r="F94" s="173"/>
      <c r="G94" s="174"/>
      <c r="H94" s="284"/>
      <c r="I94" s="221"/>
      <c r="J94" s="177">
        <f>IF(H94=0,0,IF(F94="MXN",1/HLOOKUP(YEAR(G94)+(MONTH(G94)/100),TC!$5:$37,DAY(G94)+2,FALSE),VLOOKUP(F94,Equivalencia!$5:$23,((MAX(Equivalencia!$3:$3)-YEAR(G94))*14)+MONTH(G94)+2,FALSE)))</f>
        <v>0</v>
      </c>
      <c r="K94" s="217">
        <f t="shared" si="15"/>
        <v>0</v>
      </c>
      <c r="L94" s="462">
        <f>IF(G94=0,0,VLOOKUP(YEAR(G94),INPC!$B$4:$O$29,MONTH(G94)+1))</f>
        <v>0</v>
      </c>
      <c r="M94" s="462">
        <f>IF(T94=0,0,VLOOKUP(YEAR(T94),INPC!$B$4:$O$29,MONTH(T94)+1))</f>
        <v>0</v>
      </c>
      <c r="N94" s="463">
        <f t="shared" si="11"/>
        <v>0</v>
      </c>
      <c r="O94" s="464">
        <f t="shared" si="16"/>
        <v>0</v>
      </c>
      <c r="P94" s="465">
        <f t="shared" si="17"/>
        <v>0</v>
      </c>
      <c r="Q94" s="606" t="str">
        <f t="shared" si="18"/>
        <v>NO</v>
      </c>
      <c r="R94" s="180"/>
      <c r="S94" s="173"/>
      <c r="T94" s="174"/>
      <c r="U94" s="173"/>
      <c r="V94" s="220"/>
      <c r="W94" s="177">
        <f>IF(S94=0,0,IF(U94="MXN",1/HLOOKUP(YEAR(T94)+(MONTH(T94)/100),TC!$5:$37,DAY(T94)+2,FALSE),VLOOKUP(U94,Equivalencia!$1:$23,((MAX(Equivalencia!$3:$3)-YEAR(T94))*14)+MONTH(T94)+2,FALSE)))</f>
        <v>0</v>
      </c>
      <c r="X94" s="178">
        <f t="shared" si="19"/>
        <v>0</v>
      </c>
      <c r="Y94" s="178">
        <f t="shared" si="20"/>
        <v>0</v>
      </c>
      <c r="Z94" s="175">
        <f t="shared" si="12"/>
        <v>0</v>
      </c>
      <c r="AA94" s="179"/>
      <c r="AB94" s="467">
        <f t="shared" si="13"/>
        <v>0</v>
      </c>
      <c r="AC94" s="466">
        <f t="shared" si="14"/>
        <v>0</v>
      </c>
    </row>
    <row r="95" spans="2:29" ht="20.100000000000001" customHeight="1">
      <c r="B95" s="172"/>
      <c r="C95" s="172"/>
      <c r="D95" s="172"/>
      <c r="E95" s="181"/>
      <c r="F95" s="173"/>
      <c r="G95" s="174"/>
      <c r="H95" s="284"/>
      <c r="I95" s="221"/>
      <c r="J95" s="177">
        <f>IF(H95=0,0,IF(F95="MXN",1/HLOOKUP(YEAR(G95)+(MONTH(G95)/100),TC!$5:$37,DAY(G95)+2,FALSE),VLOOKUP(F95,Equivalencia!$5:$23,((MAX(Equivalencia!$3:$3)-YEAR(G95))*14)+MONTH(G95)+2,FALSE)))</f>
        <v>0</v>
      </c>
      <c r="K95" s="217">
        <f t="shared" si="15"/>
        <v>0</v>
      </c>
      <c r="L95" s="462">
        <f>IF(G95=0,0,VLOOKUP(YEAR(G95),INPC!$B$4:$O$29,MONTH(G95)+1))</f>
        <v>0</v>
      </c>
      <c r="M95" s="462">
        <f>IF(T95=0,0,VLOOKUP(YEAR(T95),INPC!$B$4:$O$29,MONTH(T95)+1))</f>
        <v>0</v>
      </c>
      <c r="N95" s="463">
        <f t="shared" si="11"/>
        <v>0</v>
      </c>
      <c r="O95" s="464">
        <f t="shared" si="16"/>
        <v>0</v>
      </c>
      <c r="P95" s="465">
        <f t="shared" si="17"/>
        <v>0</v>
      </c>
      <c r="Q95" s="606" t="str">
        <f t="shared" si="18"/>
        <v>NO</v>
      </c>
      <c r="R95" s="180"/>
      <c r="S95" s="173"/>
      <c r="T95" s="174"/>
      <c r="U95" s="173"/>
      <c r="V95" s="220"/>
      <c r="W95" s="177">
        <f>IF(S95=0,0,IF(U95="MXN",1/HLOOKUP(YEAR(T95)+(MONTH(T95)/100),TC!$5:$37,DAY(T95)+2,FALSE),VLOOKUP(U95,Equivalencia!$1:$23,((MAX(Equivalencia!$3:$3)-YEAR(T95))*14)+MONTH(T95)+2,FALSE)))</f>
        <v>0</v>
      </c>
      <c r="X95" s="178">
        <f t="shared" si="19"/>
        <v>0</v>
      </c>
      <c r="Y95" s="178">
        <f t="shared" si="20"/>
        <v>0</v>
      </c>
      <c r="Z95" s="175">
        <f t="shared" si="12"/>
        <v>0</v>
      </c>
      <c r="AA95" s="179"/>
      <c r="AB95" s="467">
        <f t="shared" si="13"/>
        <v>0</v>
      </c>
      <c r="AC95" s="466">
        <f t="shared" si="14"/>
        <v>0</v>
      </c>
    </row>
    <row r="96" spans="2:29" ht="20.100000000000001" customHeight="1">
      <c r="B96" s="172"/>
      <c r="C96" s="172"/>
      <c r="D96" s="172"/>
      <c r="E96" s="181"/>
      <c r="F96" s="173"/>
      <c r="G96" s="174"/>
      <c r="H96" s="284"/>
      <c r="I96" s="221"/>
      <c r="J96" s="177">
        <f>IF(H96=0,0,IF(F96="MXN",1/HLOOKUP(YEAR(G96)+(MONTH(G96)/100),TC!$5:$37,DAY(G96)+2,FALSE),VLOOKUP(F96,Equivalencia!$5:$23,((MAX(Equivalencia!$3:$3)-YEAR(G96))*14)+MONTH(G96)+2,FALSE)))</f>
        <v>0</v>
      </c>
      <c r="K96" s="217">
        <f t="shared" si="15"/>
        <v>0</v>
      </c>
      <c r="L96" s="462">
        <f>IF(G96=0,0,VLOOKUP(YEAR(G96),INPC!$B$4:$O$29,MONTH(G96)+1))</f>
        <v>0</v>
      </c>
      <c r="M96" s="462">
        <f>IF(T96=0,0,VLOOKUP(YEAR(T96),INPC!$B$4:$O$29,MONTH(T96)+1))</f>
        <v>0</v>
      </c>
      <c r="N96" s="463">
        <f t="shared" si="11"/>
        <v>0</v>
      </c>
      <c r="O96" s="464">
        <f t="shared" si="16"/>
        <v>0</v>
      </c>
      <c r="P96" s="465">
        <f t="shared" si="17"/>
        <v>0</v>
      </c>
      <c r="Q96" s="606" t="str">
        <f t="shared" si="18"/>
        <v>NO</v>
      </c>
      <c r="R96" s="180"/>
      <c r="S96" s="173"/>
      <c r="T96" s="174"/>
      <c r="U96" s="173"/>
      <c r="V96" s="220"/>
      <c r="W96" s="177">
        <f>IF(S96=0,0,IF(U96="MXN",1/HLOOKUP(YEAR(T96)+(MONTH(T96)/100),TC!$5:$37,DAY(T96)+2,FALSE),VLOOKUP(U96,Equivalencia!$1:$23,((MAX(Equivalencia!$3:$3)-YEAR(T96))*14)+MONTH(T96)+2,FALSE)))</f>
        <v>0</v>
      </c>
      <c r="X96" s="178">
        <f t="shared" si="19"/>
        <v>0</v>
      </c>
      <c r="Y96" s="178">
        <f t="shared" si="20"/>
        <v>0</v>
      </c>
      <c r="Z96" s="175">
        <f t="shared" si="12"/>
        <v>0</v>
      </c>
      <c r="AA96" s="179"/>
      <c r="AB96" s="467">
        <f t="shared" si="13"/>
        <v>0</v>
      </c>
      <c r="AC96" s="466">
        <f t="shared" si="14"/>
        <v>0</v>
      </c>
    </row>
    <row r="97" spans="2:29" ht="20.100000000000001" customHeight="1">
      <c r="B97" s="172"/>
      <c r="C97" s="172"/>
      <c r="D97" s="172"/>
      <c r="E97" s="181"/>
      <c r="F97" s="173"/>
      <c r="G97" s="174"/>
      <c r="H97" s="284"/>
      <c r="I97" s="221"/>
      <c r="J97" s="177">
        <f>IF(H97=0,0,IF(F97="MXN",1/HLOOKUP(YEAR(G97)+(MONTH(G97)/100),TC!$5:$37,DAY(G97)+2,FALSE),VLOOKUP(F97,Equivalencia!$5:$23,((MAX(Equivalencia!$3:$3)-YEAR(G97))*14)+MONTH(G97)+2,FALSE)))</f>
        <v>0</v>
      </c>
      <c r="K97" s="217">
        <f t="shared" si="15"/>
        <v>0</v>
      </c>
      <c r="L97" s="462">
        <f>IF(G97=0,0,VLOOKUP(YEAR(G97),INPC!$B$4:$O$29,MONTH(G97)+1))</f>
        <v>0</v>
      </c>
      <c r="M97" s="462">
        <f>IF(T97=0,0,VLOOKUP(YEAR(T97),INPC!$B$4:$O$29,MONTH(T97)+1))</f>
        <v>0</v>
      </c>
      <c r="N97" s="463">
        <f t="shared" si="11"/>
        <v>0</v>
      </c>
      <c r="O97" s="464">
        <f t="shared" si="16"/>
        <v>0</v>
      </c>
      <c r="P97" s="465">
        <f t="shared" si="17"/>
        <v>0</v>
      </c>
      <c r="Q97" s="606" t="str">
        <f t="shared" si="18"/>
        <v>NO</v>
      </c>
      <c r="R97" s="180"/>
      <c r="S97" s="173"/>
      <c r="T97" s="174"/>
      <c r="U97" s="173"/>
      <c r="V97" s="220"/>
      <c r="W97" s="177">
        <f>IF(S97=0,0,IF(U97="MXN",1/HLOOKUP(YEAR(T97)+(MONTH(T97)/100),TC!$5:$37,DAY(T97)+2,FALSE),VLOOKUP(U97,Equivalencia!$1:$23,((MAX(Equivalencia!$3:$3)-YEAR(T97))*14)+MONTH(T97)+2,FALSE)))</f>
        <v>0</v>
      </c>
      <c r="X97" s="178">
        <f t="shared" si="19"/>
        <v>0</v>
      </c>
      <c r="Y97" s="178">
        <f t="shared" si="20"/>
        <v>0</v>
      </c>
      <c r="Z97" s="175">
        <f t="shared" si="12"/>
        <v>0</v>
      </c>
      <c r="AA97" s="179"/>
      <c r="AB97" s="467">
        <f t="shared" si="13"/>
        <v>0</v>
      </c>
      <c r="AC97" s="466">
        <f t="shared" si="14"/>
        <v>0</v>
      </c>
    </row>
    <row r="98" spans="2:29" ht="20.100000000000001" customHeight="1">
      <c r="B98" s="172"/>
      <c r="C98" s="172"/>
      <c r="D98" s="172"/>
      <c r="E98" s="181"/>
      <c r="F98" s="173"/>
      <c r="G98" s="174"/>
      <c r="H98" s="284"/>
      <c r="I98" s="221"/>
      <c r="J98" s="177">
        <f>IF(H98=0,0,IF(F98="MXN",1/HLOOKUP(YEAR(G98)+(MONTH(G98)/100),TC!$5:$37,DAY(G98)+2,FALSE),VLOOKUP(F98,Equivalencia!$5:$23,((MAX(Equivalencia!$3:$3)-YEAR(G98))*14)+MONTH(G98)+2,FALSE)))</f>
        <v>0</v>
      </c>
      <c r="K98" s="217">
        <f t="shared" si="15"/>
        <v>0</v>
      </c>
      <c r="L98" s="462">
        <f>IF(G98=0,0,VLOOKUP(YEAR(G98),INPC!$B$4:$O$29,MONTH(G98)+1))</f>
        <v>0</v>
      </c>
      <c r="M98" s="462">
        <f>IF(T98=0,0,VLOOKUP(YEAR(T98),INPC!$B$4:$O$29,MONTH(T98)+1))</f>
        <v>0</v>
      </c>
      <c r="N98" s="463">
        <f t="shared" si="11"/>
        <v>0</v>
      </c>
      <c r="O98" s="464">
        <f t="shared" si="16"/>
        <v>0</v>
      </c>
      <c r="P98" s="465">
        <f t="shared" si="17"/>
        <v>0</v>
      </c>
      <c r="Q98" s="606" t="str">
        <f t="shared" si="18"/>
        <v>NO</v>
      </c>
      <c r="R98" s="180"/>
      <c r="S98" s="173"/>
      <c r="T98" s="174"/>
      <c r="U98" s="173"/>
      <c r="V98" s="220"/>
      <c r="W98" s="177">
        <f>IF(S98=0,0,IF(U98="MXN",1/HLOOKUP(YEAR(T98)+(MONTH(T98)/100),TC!$5:$37,DAY(T98)+2,FALSE),VLOOKUP(U98,Equivalencia!$1:$23,((MAX(Equivalencia!$3:$3)-YEAR(T98))*14)+MONTH(T98)+2,FALSE)))</f>
        <v>0</v>
      </c>
      <c r="X98" s="178">
        <f t="shared" si="19"/>
        <v>0</v>
      </c>
      <c r="Y98" s="178">
        <f t="shared" si="20"/>
        <v>0</v>
      </c>
      <c r="Z98" s="175">
        <f t="shared" si="12"/>
        <v>0</v>
      </c>
      <c r="AA98" s="179"/>
      <c r="AB98" s="467">
        <f t="shared" si="13"/>
        <v>0</v>
      </c>
      <c r="AC98" s="466">
        <f t="shared" si="14"/>
        <v>0</v>
      </c>
    </row>
    <row r="99" spans="2:29" ht="20.100000000000001" customHeight="1">
      <c r="B99" s="172"/>
      <c r="C99" s="172"/>
      <c r="D99" s="172"/>
      <c r="E99" s="181"/>
      <c r="F99" s="173"/>
      <c r="G99" s="174"/>
      <c r="H99" s="284"/>
      <c r="I99" s="221"/>
      <c r="J99" s="177">
        <f>IF(H99=0,0,IF(F99="MXN",1/HLOOKUP(YEAR(G99)+(MONTH(G99)/100),TC!$5:$37,DAY(G99)+2,FALSE),VLOOKUP(F99,Equivalencia!$5:$23,((MAX(Equivalencia!$3:$3)-YEAR(G99))*14)+MONTH(G99)+2,FALSE)))</f>
        <v>0</v>
      </c>
      <c r="K99" s="217">
        <f t="shared" si="15"/>
        <v>0</v>
      </c>
      <c r="L99" s="462">
        <f>IF(G99=0,0,VLOOKUP(YEAR(G99),INPC!$B$4:$O$29,MONTH(G99)+1))</f>
        <v>0</v>
      </c>
      <c r="M99" s="462">
        <f>IF(T99=0,0,VLOOKUP(YEAR(T99),INPC!$B$4:$O$29,MONTH(T99)+1))</f>
        <v>0</v>
      </c>
      <c r="N99" s="463">
        <f t="shared" si="11"/>
        <v>0</v>
      </c>
      <c r="O99" s="464">
        <f t="shared" si="16"/>
        <v>0</v>
      </c>
      <c r="P99" s="465">
        <f t="shared" si="17"/>
        <v>0</v>
      </c>
      <c r="Q99" s="606" t="str">
        <f t="shared" si="18"/>
        <v>NO</v>
      </c>
      <c r="R99" s="180"/>
      <c r="S99" s="173"/>
      <c r="T99" s="174"/>
      <c r="U99" s="173"/>
      <c r="V99" s="220"/>
      <c r="W99" s="177">
        <f>IF(S99=0,0,IF(U99="MXN",1/HLOOKUP(YEAR(T99)+(MONTH(T99)/100),TC!$5:$37,DAY(T99)+2,FALSE),VLOOKUP(U99,Equivalencia!$1:$23,((MAX(Equivalencia!$3:$3)-YEAR(T99))*14)+MONTH(T99)+2,FALSE)))</f>
        <v>0</v>
      </c>
      <c r="X99" s="178">
        <f t="shared" si="19"/>
        <v>0</v>
      </c>
      <c r="Y99" s="178">
        <f t="shared" si="20"/>
        <v>0</v>
      </c>
      <c r="Z99" s="175">
        <f t="shared" si="12"/>
        <v>0</v>
      </c>
      <c r="AA99" s="179"/>
      <c r="AB99" s="467">
        <f t="shared" si="13"/>
        <v>0</v>
      </c>
      <c r="AC99" s="466">
        <f t="shared" si="14"/>
        <v>0</v>
      </c>
    </row>
    <row r="100" spans="2:29" ht="20.100000000000001" customHeight="1">
      <c r="B100" s="172"/>
      <c r="C100" s="172"/>
      <c r="D100" s="172"/>
      <c r="E100" s="181"/>
      <c r="F100" s="173"/>
      <c r="G100" s="174"/>
      <c r="H100" s="284"/>
      <c r="I100" s="221"/>
      <c r="J100" s="177">
        <f>IF(H100=0,0,IF(F100="MXN",1/HLOOKUP(YEAR(G100)+(MONTH(G100)/100),TC!$5:$37,DAY(G100)+2,FALSE),VLOOKUP(F100,Equivalencia!$5:$23,((MAX(Equivalencia!$3:$3)-YEAR(G100))*14)+MONTH(G100)+2,FALSE)))</f>
        <v>0</v>
      </c>
      <c r="K100" s="217">
        <f t="shared" si="15"/>
        <v>0</v>
      </c>
      <c r="L100" s="462">
        <f>IF(G100=0,0,VLOOKUP(YEAR(G100),INPC!$B$4:$O$29,MONTH(G100)+1))</f>
        <v>0</v>
      </c>
      <c r="M100" s="462">
        <f>IF(T100=0,0,VLOOKUP(YEAR(T100),INPC!$B$4:$O$29,MONTH(T100)+1))</f>
        <v>0</v>
      </c>
      <c r="N100" s="463">
        <f t="shared" si="11"/>
        <v>0</v>
      </c>
      <c r="O100" s="464">
        <f t="shared" si="16"/>
        <v>0</v>
      </c>
      <c r="P100" s="465">
        <f t="shared" si="17"/>
        <v>0</v>
      </c>
      <c r="Q100" s="606" t="str">
        <f t="shared" si="18"/>
        <v>NO</v>
      </c>
      <c r="R100" s="180"/>
      <c r="S100" s="173"/>
      <c r="T100" s="174"/>
      <c r="U100" s="173"/>
      <c r="V100" s="220"/>
      <c r="W100" s="177">
        <f>IF(S100=0,0,IF(U100="MXN",1/HLOOKUP(YEAR(T100)+(MONTH(T100)/100),TC!$5:$37,DAY(T100)+2,FALSE),VLOOKUP(U100,Equivalencia!$1:$23,((MAX(Equivalencia!$3:$3)-YEAR(T100))*14)+MONTH(T100)+2,FALSE)))</f>
        <v>0</v>
      </c>
      <c r="X100" s="178">
        <f t="shared" si="19"/>
        <v>0</v>
      </c>
      <c r="Y100" s="178">
        <f t="shared" si="20"/>
        <v>0</v>
      </c>
      <c r="Z100" s="175">
        <f t="shared" si="12"/>
        <v>0</v>
      </c>
      <c r="AA100" s="179"/>
      <c r="AB100" s="467">
        <f t="shared" si="13"/>
        <v>0</v>
      </c>
      <c r="AC100" s="466">
        <f t="shared" si="14"/>
        <v>0</v>
      </c>
    </row>
    <row r="101" spans="2:29" ht="20.100000000000001" customHeight="1">
      <c r="B101" s="172"/>
      <c r="C101" s="172"/>
      <c r="D101" s="172"/>
      <c r="E101" s="181"/>
      <c r="F101" s="173"/>
      <c r="G101" s="174"/>
      <c r="H101" s="284"/>
      <c r="I101" s="221"/>
      <c r="J101" s="177">
        <f>IF(H101=0,0,IF(F101="MXN",1/HLOOKUP(YEAR(G101)+(MONTH(G101)/100),TC!$5:$37,DAY(G101)+2,FALSE),VLOOKUP(F101,Equivalencia!$5:$23,((MAX(Equivalencia!$3:$3)-YEAR(G101))*14)+MONTH(G101)+2,FALSE)))</f>
        <v>0</v>
      </c>
      <c r="K101" s="217">
        <f t="shared" si="15"/>
        <v>0</v>
      </c>
      <c r="L101" s="462">
        <f>IF(G101=0,0,VLOOKUP(YEAR(G101),INPC!$B$4:$O$29,MONTH(G101)+1))</f>
        <v>0</v>
      </c>
      <c r="M101" s="462">
        <f>IF(T101=0,0,VLOOKUP(YEAR(T101),INPC!$B$4:$O$29,MONTH(T101)+1))</f>
        <v>0</v>
      </c>
      <c r="N101" s="463">
        <f t="shared" si="11"/>
        <v>0</v>
      </c>
      <c r="O101" s="464">
        <f t="shared" si="16"/>
        <v>0</v>
      </c>
      <c r="P101" s="465">
        <f t="shared" si="17"/>
        <v>0</v>
      </c>
      <c r="Q101" s="606" t="str">
        <f t="shared" si="18"/>
        <v>NO</v>
      </c>
      <c r="R101" s="180"/>
      <c r="S101" s="173"/>
      <c r="T101" s="174"/>
      <c r="U101" s="173"/>
      <c r="V101" s="220"/>
      <c r="W101" s="177">
        <f>IF(S101=0,0,IF(U101="MXN",1/HLOOKUP(YEAR(T101)+(MONTH(T101)/100),TC!$5:$37,DAY(T101)+2,FALSE),VLOOKUP(U101,Equivalencia!$1:$23,((MAX(Equivalencia!$3:$3)-YEAR(T101))*14)+MONTH(T101)+2,FALSE)))</f>
        <v>0</v>
      </c>
      <c r="X101" s="178">
        <f t="shared" si="19"/>
        <v>0</v>
      </c>
      <c r="Y101" s="178">
        <f t="shared" si="20"/>
        <v>0</v>
      </c>
      <c r="Z101" s="175">
        <f t="shared" si="12"/>
        <v>0</v>
      </c>
      <c r="AA101" s="179"/>
      <c r="AB101" s="467">
        <f t="shared" si="13"/>
        <v>0</v>
      </c>
      <c r="AC101" s="466">
        <f t="shared" si="14"/>
        <v>0</v>
      </c>
    </row>
    <row r="102" spans="2:29" ht="20.100000000000001" customHeight="1">
      <c r="B102" s="172"/>
      <c r="C102" s="172"/>
      <c r="D102" s="172"/>
      <c r="E102" s="181"/>
      <c r="F102" s="173"/>
      <c r="G102" s="174"/>
      <c r="H102" s="284"/>
      <c r="I102" s="221"/>
      <c r="J102" s="177">
        <f>IF(H102=0,0,IF(F102="MXN",1/HLOOKUP(YEAR(G102)+(MONTH(G102)/100),TC!$5:$37,DAY(G102)+2,FALSE),VLOOKUP(F102,Equivalencia!$5:$23,((MAX(Equivalencia!$3:$3)-YEAR(G102))*14)+MONTH(G102)+2,FALSE)))</f>
        <v>0</v>
      </c>
      <c r="K102" s="217">
        <f t="shared" si="15"/>
        <v>0</v>
      </c>
      <c r="L102" s="462">
        <f>IF(G102=0,0,VLOOKUP(YEAR(G102),INPC!$B$4:$O$29,MONTH(G102)+1))</f>
        <v>0</v>
      </c>
      <c r="M102" s="462">
        <f>IF(T102=0,0,VLOOKUP(YEAR(T102),INPC!$B$4:$O$29,MONTH(T102)+1))</f>
        <v>0</v>
      </c>
      <c r="N102" s="463">
        <f t="shared" si="11"/>
        <v>0</v>
      </c>
      <c r="O102" s="464">
        <f t="shared" si="16"/>
        <v>0</v>
      </c>
      <c r="P102" s="465">
        <f t="shared" si="17"/>
        <v>0</v>
      </c>
      <c r="Q102" s="606" t="str">
        <f t="shared" si="18"/>
        <v>NO</v>
      </c>
      <c r="R102" s="180"/>
      <c r="S102" s="173"/>
      <c r="T102" s="174"/>
      <c r="U102" s="173"/>
      <c r="V102" s="220"/>
      <c r="W102" s="177">
        <f>IF(S102=0,0,IF(U102="MXN",1/HLOOKUP(YEAR(T102)+(MONTH(T102)/100),TC!$5:$37,DAY(T102)+2,FALSE),VLOOKUP(U102,Equivalencia!$1:$23,((MAX(Equivalencia!$3:$3)-YEAR(T102))*14)+MONTH(T102)+2,FALSE)))</f>
        <v>0</v>
      </c>
      <c r="X102" s="178">
        <f t="shared" si="19"/>
        <v>0</v>
      </c>
      <c r="Y102" s="178">
        <f t="shared" si="20"/>
        <v>0</v>
      </c>
      <c r="Z102" s="175">
        <f t="shared" si="12"/>
        <v>0</v>
      </c>
      <c r="AA102" s="179"/>
      <c r="AB102" s="467">
        <f t="shared" si="13"/>
        <v>0</v>
      </c>
      <c r="AC102" s="466">
        <f t="shared" si="14"/>
        <v>0</v>
      </c>
    </row>
    <row r="103" spans="2:29" ht="20.100000000000001" customHeight="1">
      <c r="B103" s="172"/>
      <c r="C103" s="172"/>
      <c r="D103" s="172"/>
      <c r="E103" s="181"/>
      <c r="F103" s="173"/>
      <c r="G103" s="174"/>
      <c r="H103" s="284"/>
      <c r="I103" s="221"/>
      <c r="J103" s="177">
        <f>IF(H103=0,0,IF(F103="MXN",1/HLOOKUP(YEAR(G103)+(MONTH(G103)/100),TC!$5:$37,DAY(G103)+2,FALSE),VLOOKUP(F103,Equivalencia!$5:$23,((MAX(Equivalencia!$3:$3)-YEAR(G103))*14)+MONTH(G103)+2,FALSE)))</f>
        <v>0</v>
      </c>
      <c r="K103" s="217">
        <f t="shared" si="15"/>
        <v>0</v>
      </c>
      <c r="L103" s="462">
        <f>IF(G103=0,0,VLOOKUP(YEAR(G103),INPC!$B$4:$O$29,MONTH(G103)+1))</f>
        <v>0</v>
      </c>
      <c r="M103" s="462">
        <f>IF(T103=0,0,VLOOKUP(YEAR(T103),INPC!$B$4:$O$29,MONTH(T103)+1))</f>
        <v>0</v>
      </c>
      <c r="N103" s="463">
        <f t="shared" si="11"/>
        <v>0</v>
      </c>
      <c r="O103" s="464">
        <f t="shared" si="16"/>
        <v>0</v>
      </c>
      <c r="P103" s="465">
        <f t="shared" si="17"/>
        <v>0</v>
      </c>
      <c r="Q103" s="606" t="str">
        <f t="shared" si="18"/>
        <v>NO</v>
      </c>
      <c r="R103" s="180"/>
      <c r="S103" s="173"/>
      <c r="T103" s="174"/>
      <c r="U103" s="173"/>
      <c r="V103" s="220"/>
      <c r="W103" s="177">
        <f>IF(S103=0,0,IF(U103="MXN",1/HLOOKUP(YEAR(T103)+(MONTH(T103)/100),TC!$5:$37,DAY(T103)+2,FALSE),VLOOKUP(U103,Equivalencia!$1:$23,((MAX(Equivalencia!$3:$3)-YEAR(T103))*14)+MONTH(T103)+2,FALSE)))</f>
        <v>0</v>
      </c>
      <c r="X103" s="178">
        <f t="shared" si="19"/>
        <v>0</v>
      </c>
      <c r="Y103" s="178">
        <f t="shared" si="20"/>
        <v>0</v>
      </c>
      <c r="Z103" s="175">
        <f t="shared" si="12"/>
        <v>0</v>
      </c>
      <c r="AA103" s="179"/>
      <c r="AB103" s="467">
        <f t="shared" si="13"/>
        <v>0</v>
      </c>
      <c r="AC103" s="466">
        <f t="shared" si="14"/>
        <v>0</v>
      </c>
    </row>
    <row r="104" spans="2:29" ht="20.100000000000001" customHeight="1">
      <c r="B104" s="172"/>
      <c r="C104" s="172"/>
      <c r="D104" s="172"/>
      <c r="E104" s="181"/>
      <c r="F104" s="173"/>
      <c r="G104" s="174"/>
      <c r="H104" s="284"/>
      <c r="I104" s="221"/>
      <c r="J104" s="177">
        <f>IF(H104=0,0,IF(F104="MXN",1/HLOOKUP(YEAR(G104)+(MONTH(G104)/100),TC!$5:$37,DAY(G104)+2,FALSE),VLOOKUP(F104,Equivalencia!$5:$23,((MAX(Equivalencia!$3:$3)-YEAR(G104))*14)+MONTH(G104)+2,FALSE)))</f>
        <v>0</v>
      </c>
      <c r="K104" s="217">
        <f t="shared" si="15"/>
        <v>0</v>
      </c>
      <c r="L104" s="462">
        <f>IF(G104=0,0,VLOOKUP(YEAR(G104),INPC!$B$4:$O$29,MONTH(G104)+1))</f>
        <v>0</v>
      </c>
      <c r="M104" s="462">
        <f>IF(T104=0,0,VLOOKUP(YEAR(T104),INPC!$B$4:$O$29,MONTH(T104)+1))</f>
        <v>0</v>
      </c>
      <c r="N104" s="463">
        <f t="shared" si="11"/>
        <v>0</v>
      </c>
      <c r="O104" s="464">
        <f t="shared" si="16"/>
        <v>0</v>
      </c>
      <c r="P104" s="465">
        <f t="shared" si="17"/>
        <v>0</v>
      </c>
      <c r="Q104" s="606" t="str">
        <f t="shared" si="18"/>
        <v>NO</v>
      </c>
      <c r="R104" s="180"/>
      <c r="S104" s="173"/>
      <c r="T104" s="174"/>
      <c r="U104" s="173"/>
      <c r="V104" s="220"/>
      <c r="W104" s="177">
        <f>IF(S104=0,0,IF(U104="MXN",1/HLOOKUP(YEAR(T104)+(MONTH(T104)/100),TC!$5:$37,DAY(T104)+2,FALSE),VLOOKUP(U104,Equivalencia!$1:$23,((MAX(Equivalencia!$3:$3)-YEAR(T104))*14)+MONTH(T104)+2,FALSE)))</f>
        <v>0</v>
      </c>
      <c r="X104" s="178">
        <f t="shared" si="19"/>
        <v>0</v>
      </c>
      <c r="Y104" s="178">
        <f t="shared" si="20"/>
        <v>0</v>
      </c>
      <c r="Z104" s="175">
        <f t="shared" si="12"/>
        <v>0</v>
      </c>
      <c r="AA104" s="179"/>
      <c r="AB104" s="467">
        <f t="shared" si="13"/>
        <v>0</v>
      </c>
      <c r="AC104" s="466">
        <f t="shared" si="14"/>
        <v>0</v>
      </c>
    </row>
    <row r="105" spans="2:29" ht="20.100000000000001" customHeight="1">
      <c r="B105" s="172"/>
      <c r="C105" s="172"/>
      <c r="D105" s="172"/>
      <c r="E105" s="181"/>
      <c r="F105" s="173"/>
      <c r="G105" s="174"/>
      <c r="H105" s="284"/>
      <c r="I105" s="221"/>
      <c r="J105" s="177">
        <f>IF(H105=0,0,IF(F105="MXN",1/HLOOKUP(YEAR(G105)+(MONTH(G105)/100),TC!$5:$37,DAY(G105)+2,FALSE),VLOOKUP(F105,Equivalencia!$5:$23,((MAX(Equivalencia!$3:$3)-YEAR(G105))*14)+MONTH(G105)+2,FALSE)))</f>
        <v>0</v>
      </c>
      <c r="K105" s="217">
        <f t="shared" si="15"/>
        <v>0</v>
      </c>
      <c r="L105" s="462">
        <f>IF(G105=0,0,VLOOKUP(YEAR(G105),INPC!$B$4:$O$29,MONTH(G105)+1))</f>
        <v>0</v>
      </c>
      <c r="M105" s="462">
        <f>IF(T105=0,0,VLOOKUP(YEAR(T105),INPC!$B$4:$O$29,MONTH(T105)+1))</f>
        <v>0</v>
      </c>
      <c r="N105" s="463">
        <f t="shared" si="11"/>
        <v>0</v>
      </c>
      <c r="O105" s="464">
        <f t="shared" si="16"/>
        <v>0</v>
      </c>
      <c r="P105" s="465">
        <f t="shared" si="17"/>
        <v>0</v>
      </c>
      <c r="Q105" s="606" t="str">
        <f t="shared" si="18"/>
        <v>NO</v>
      </c>
      <c r="R105" s="180"/>
      <c r="S105" s="173"/>
      <c r="T105" s="174"/>
      <c r="U105" s="173"/>
      <c r="V105" s="220"/>
      <c r="W105" s="177">
        <f>IF(S105=0,0,IF(U105="MXN",1/HLOOKUP(YEAR(T105)+(MONTH(T105)/100),TC!$5:$37,DAY(T105)+2,FALSE),VLOOKUP(U105,Equivalencia!$1:$23,((MAX(Equivalencia!$3:$3)-YEAR(T105))*14)+MONTH(T105)+2,FALSE)))</f>
        <v>0</v>
      </c>
      <c r="X105" s="178">
        <f t="shared" si="19"/>
        <v>0</v>
      </c>
      <c r="Y105" s="178">
        <f t="shared" si="20"/>
        <v>0</v>
      </c>
      <c r="Z105" s="175">
        <f t="shared" si="12"/>
        <v>0</v>
      </c>
      <c r="AA105" s="179"/>
      <c r="AB105" s="467">
        <f t="shared" si="13"/>
        <v>0</v>
      </c>
      <c r="AC105" s="466">
        <f t="shared" si="14"/>
        <v>0</v>
      </c>
    </row>
    <row r="106" spans="2:29" ht="20.100000000000001" customHeight="1">
      <c r="B106" s="172"/>
      <c r="C106" s="172"/>
      <c r="D106" s="172"/>
      <c r="E106" s="181"/>
      <c r="F106" s="173"/>
      <c r="G106" s="174"/>
      <c r="H106" s="284"/>
      <c r="I106" s="221"/>
      <c r="J106" s="177">
        <f>IF(H106=0,0,IF(F106="MXN",1/HLOOKUP(YEAR(G106)+(MONTH(G106)/100),TC!$5:$37,DAY(G106)+2,FALSE),VLOOKUP(F106,Equivalencia!$5:$23,((MAX(Equivalencia!$3:$3)-YEAR(G106))*14)+MONTH(G106)+2,FALSE)))</f>
        <v>0</v>
      </c>
      <c r="K106" s="217">
        <f t="shared" si="15"/>
        <v>0</v>
      </c>
      <c r="L106" s="462">
        <f>IF(G106=0,0,VLOOKUP(YEAR(G106),INPC!$B$4:$O$29,MONTH(G106)+1))</f>
        <v>0</v>
      </c>
      <c r="M106" s="462">
        <f>IF(T106=0,0,VLOOKUP(YEAR(T106),INPC!$B$4:$O$29,MONTH(T106)+1))</f>
        <v>0</v>
      </c>
      <c r="N106" s="463">
        <f t="shared" si="11"/>
        <v>0</v>
      </c>
      <c r="O106" s="464">
        <f t="shared" si="16"/>
        <v>0</v>
      </c>
      <c r="P106" s="465">
        <f t="shared" si="17"/>
        <v>0</v>
      </c>
      <c r="Q106" s="606" t="str">
        <f t="shared" si="18"/>
        <v>NO</v>
      </c>
      <c r="R106" s="180"/>
      <c r="S106" s="173"/>
      <c r="T106" s="174"/>
      <c r="U106" s="173"/>
      <c r="V106" s="220"/>
      <c r="W106" s="177">
        <f>IF(S106=0,0,IF(U106="MXN",1/HLOOKUP(YEAR(T106)+(MONTH(T106)/100),TC!$5:$37,DAY(T106)+2,FALSE),VLOOKUP(U106,Equivalencia!$1:$23,((MAX(Equivalencia!$3:$3)-YEAR(T106))*14)+MONTH(T106)+2,FALSE)))</f>
        <v>0</v>
      </c>
      <c r="X106" s="178">
        <f t="shared" si="19"/>
        <v>0</v>
      </c>
      <c r="Y106" s="178">
        <f t="shared" si="20"/>
        <v>0</v>
      </c>
      <c r="Z106" s="175">
        <f t="shared" si="12"/>
        <v>0</v>
      </c>
      <c r="AA106" s="179"/>
      <c r="AB106" s="467">
        <f t="shared" si="13"/>
        <v>0</v>
      </c>
      <c r="AC106" s="466">
        <f t="shared" si="14"/>
        <v>0</v>
      </c>
    </row>
    <row r="107" spans="2:29" ht="20.100000000000001" customHeight="1">
      <c r="B107" s="172"/>
      <c r="C107" s="172"/>
      <c r="D107" s="172"/>
      <c r="E107" s="181"/>
      <c r="F107" s="173"/>
      <c r="G107" s="174"/>
      <c r="H107" s="284"/>
      <c r="I107" s="221"/>
      <c r="J107" s="177">
        <f>IF(H107=0,0,IF(F107="MXN",1/HLOOKUP(YEAR(G107)+(MONTH(G107)/100),TC!$5:$37,DAY(G107)+2,FALSE),VLOOKUP(F107,Equivalencia!$5:$23,((MAX(Equivalencia!$3:$3)-YEAR(G107))*14)+MONTH(G107)+2,FALSE)))</f>
        <v>0</v>
      </c>
      <c r="K107" s="217">
        <f t="shared" si="15"/>
        <v>0</v>
      </c>
      <c r="L107" s="462">
        <f>IF(G107=0,0,VLOOKUP(YEAR(G107),INPC!$B$4:$O$29,MONTH(G107)+1))</f>
        <v>0</v>
      </c>
      <c r="M107" s="462">
        <f>IF(T107=0,0,VLOOKUP(YEAR(T107),INPC!$B$4:$O$29,MONTH(T107)+1))</f>
        <v>0</v>
      </c>
      <c r="N107" s="463">
        <f t="shared" si="11"/>
        <v>0</v>
      </c>
      <c r="O107" s="464">
        <f t="shared" si="16"/>
        <v>0</v>
      </c>
      <c r="P107" s="465">
        <f t="shared" si="17"/>
        <v>0</v>
      </c>
      <c r="Q107" s="606" t="str">
        <f t="shared" si="18"/>
        <v>NO</v>
      </c>
      <c r="R107" s="180"/>
      <c r="S107" s="173"/>
      <c r="T107" s="174"/>
      <c r="U107" s="173"/>
      <c r="V107" s="220"/>
      <c r="W107" s="177">
        <f>IF(S107=0,0,IF(U107="MXN",1/HLOOKUP(YEAR(T107)+(MONTH(T107)/100),TC!$5:$37,DAY(T107)+2,FALSE),VLOOKUP(U107,Equivalencia!$1:$23,((MAX(Equivalencia!$3:$3)-YEAR(T107))*14)+MONTH(T107)+2,FALSE)))</f>
        <v>0</v>
      </c>
      <c r="X107" s="178">
        <f t="shared" si="19"/>
        <v>0</v>
      </c>
      <c r="Y107" s="178">
        <f t="shared" si="20"/>
        <v>0</v>
      </c>
      <c r="Z107" s="175">
        <f t="shared" si="12"/>
        <v>0</v>
      </c>
      <c r="AA107" s="179"/>
      <c r="AB107" s="467">
        <f t="shared" si="13"/>
        <v>0</v>
      </c>
      <c r="AC107" s="466">
        <f t="shared" si="14"/>
        <v>0</v>
      </c>
    </row>
    <row r="108" spans="2:29" ht="20.100000000000001" customHeight="1">
      <c r="B108" s="172"/>
      <c r="C108" s="172"/>
      <c r="D108" s="172"/>
      <c r="E108" s="181"/>
      <c r="F108" s="173"/>
      <c r="G108" s="174"/>
      <c r="H108" s="284"/>
      <c r="I108" s="221"/>
      <c r="J108" s="177">
        <f>IF(H108=0,0,IF(F108="MXN",1/HLOOKUP(YEAR(G108)+(MONTH(G108)/100),TC!$5:$37,DAY(G108)+2,FALSE),VLOOKUP(F108,Equivalencia!$5:$23,((MAX(Equivalencia!$3:$3)-YEAR(G108))*14)+MONTH(G108)+2,FALSE)))</f>
        <v>0</v>
      </c>
      <c r="K108" s="217">
        <f t="shared" si="15"/>
        <v>0</v>
      </c>
      <c r="L108" s="462">
        <f>IF(G108=0,0,VLOOKUP(YEAR(G108),INPC!$B$4:$O$29,MONTH(G108)+1))</f>
        <v>0</v>
      </c>
      <c r="M108" s="462">
        <f>IF(T108=0,0,VLOOKUP(YEAR(T108),INPC!$B$4:$O$29,MONTH(T108)+1))</f>
        <v>0</v>
      </c>
      <c r="N108" s="463">
        <f t="shared" si="11"/>
        <v>0</v>
      </c>
      <c r="O108" s="464">
        <f t="shared" si="16"/>
        <v>0</v>
      </c>
      <c r="P108" s="465">
        <f t="shared" si="17"/>
        <v>0</v>
      </c>
      <c r="Q108" s="606" t="str">
        <f t="shared" si="18"/>
        <v>NO</v>
      </c>
      <c r="R108" s="180"/>
      <c r="S108" s="173"/>
      <c r="T108" s="174"/>
      <c r="U108" s="173"/>
      <c r="V108" s="220"/>
      <c r="W108" s="177">
        <f>IF(S108=0,0,IF(U108="MXN",1/HLOOKUP(YEAR(T108)+(MONTH(T108)/100),TC!$5:$37,DAY(T108)+2,FALSE),VLOOKUP(U108,Equivalencia!$1:$23,((MAX(Equivalencia!$3:$3)-YEAR(T108))*14)+MONTH(T108)+2,FALSE)))</f>
        <v>0</v>
      </c>
      <c r="X108" s="178">
        <f t="shared" si="19"/>
        <v>0</v>
      </c>
      <c r="Y108" s="178">
        <f t="shared" si="20"/>
        <v>0</v>
      </c>
      <c r="Z108" s="175">
        <f t="shared" si="12"/>
        <v>0</v>
      </c>
      <c r="AA108" s="179"/>
      <c r="AB108" s="467">
        <f t="shared" si="13"/>
        <v>0</v>
      </c>
      <c r="AC108" s="466">
        <f t="shared" si="14"/>
        <v>0</v>
      </c>
    </row>
    <row r="109" spans="2:29" ht="20.100000000000001" customHeight="1">
      <c r="B109" s="172"/>
      <c r="C109" s="172"/>
      <c r="D109" s="172"/>
      <c r="E109" s="181"/>
      <c r="F109" s="173"/>
      <c r="G109" s="174"/>
      <c r="H109" s="284"/>
      <c r="I109" s="221"/>
      <c r="J109" s="177">
        <f>IF(H109=0,0,IF(F109="MXN",1/HLOOKUP(YEAR(G109)+(MONTH(G109)/100),TC!$5:$37,DAY(G109)+2,FALSE),VLOOKUP(F109,Equivalencia!$5:$23,((MAX(Equivalencia!$3:$3)-YEAR(G109))*14)+MONTH(G109)+2,FALSE)))</f>
        <v>0</v>
      </c>
      <c r="K109" s="217">
        <f t="shared" si="15"/>
        <v>0</v>
      </c>
      <c r="L109" s="462">
        <f>IF(G109=0,0,VLOOKUP(YEAR(G109),INPC!$B$4:$O$29,MONTH(G109)+1))</f>
        <v>0</v>
      </c>
      <c r="M109" s="462">
        <f>IF(T109=0,0,VLOOKUP(YEAR(T109),INPC!$B$4:$O$29,MONTH(T109)+1))</f>
        <v>0</v>
      </c>
      <c r="N109" s="463">
        <f t="shared" si="11"/>
        <v>0</v>
      </c>
      <c r="O109" s="464">
        <f t="shared" si="16"/>
        <v>0</v>
      </c>
      <c r="P109" s="465">
        <f t="shared" si="17"/>
        <v>0</v>
      </c>
      <c r="Q109" s="606" t="str">
        <f t="shared" si="18"/>
        <v>NO</v>
      </c>
      <c r="R109" s="180"/>
      <c r="S109" s="173"/>
      <c r="T109" s="174"/>
      <c r="U109" s="173"/>
      <c r="V109" s="220"/>
      <c r="W109" s="177">
        <f>IF(S109=0,0,IF(U109="MXN",1/HLOOKUP(YEAR(T109)+(MONTH(T109)/100),TC!$5:$37,DAY(T109)+2,FALSE),VLOOKUP(U109,Equivalencia!$1:$23,((MAX(Equivalencia!$3:$3)-YEAR(T109))*14)+MONTH(T109)+2,FALSE)))</f>
        <v>0</v>
      </c>
      <c r="X109" s="178">
        <f t="shared" si="19"/>
        <v>0</v>
      </c>
      <c r="Y109" s="178">
        <f t="shared" si="20"/>
        <v>0</v>
      </c>
      <c r="Z109" s="175">
        <f t="shared" si="12"/>
        <v>0</v>
      </c>
      <c r="AA109" s="179"/>
      <c r="AB109" s="467">
        <f t="shared" si="13"/>
        <v>0</v>
      </c>
      <c r="AC109" s="466">
        <f t="shared" si="14"/>
        <v>0</v>
      </c>
    </row>
    <row r="110" spans="2:29" ht="20.100000000000001" customHeight="1">
      <c r="B110" s="172"/>
      <c r="C110" s="172"/>
      <c r="D110" s="172"/>
      <c r="E110" s="181"/>
      <c r="F110" s="173"/>
      <c r="G110" s="174"/>
      <c r="H110" s="284"/>
      <c r="I110" s="221"/>
      <c r="J110" s="177">
        <f>IF(H110=0,0,IF(F110="MXN",1/HLOOKUP(YEAR(G110)+(MONTH(G110)/100),TC!$5:$37,DAY(G110)+2,FALSE),VLOOKUP(F110,Equivalencia!$5:$23,((MAX(Equivalencia!$3:$3)-YEAR(G110))*14)+MONTH(G110)+2,FALSE)))</f>
        <v>0</v>
      </c>
      <c r="K110" s="217">
        <f t="shared" si="15"/>
        <v>0</v>
      </c>
      <c r="L110" s="462">
        <f>IF(G110=0,0,VLOOKUP(YEAR(G110),INPC!$B$4:$O$29,MONTH(G110)+1))</f>
        <v>0</v>
      </c>
      <c r="M110" s="462">
        <f>IF(T110=0,0,VLOOKUP(YEAR(T110),INPC!$B$4:$O$29,MONTH(T110)+1))</f>
        <v>0</v>
      </c>
      <c r="N110" s="463">
        <f t="shared" si="11"/>
        <v>0</v>
      </c>
      <c r="O110" s="464">
        <f t="shared" si="16"/>
        <v>0</v>
      </c>
      <c r="P110" s="465">
        <f t="shared" si="17"/>
        <v>0</v>
      </c>
      <c r="Q110" s="606" t="str">
        <f t="shared" si="18"/>
        <v>NO</v>
      </c>
      <c r="R110" s="180"/>
      <c r="S110" s="173"/>
      <c r="T110" s="174"/>
      <c r="U110" s="173"/>
      <c r="V110" s="220"/>
      <c r="W110" s="177">
        <f>IF(S110=0,0,IF(U110="MXN",1/HLOOKUP(YEAR(T110)+(MONTH(T110)/100),TC!$5:$37,DAY(T110)+2,FALSE),VLOOKUP(U110,Equivalencia!$1:$23,((MAX(Equivalencia!$3:$3)-YEAR(T110))*14)+MONTH(T110)+2,FALSE)))</f>
        <v>0</v>
      </c>
      <c r="X110" s="178">
        <f t="shared" si="19"/>
        <v>0</v>
      </c>
      <c r="Y110" s="178">
        <f t="shared" si="20"/>
        <v>0</v>
      </c>
      <c r="Z110" s="175">
        <f t="shared" si="12"/>
        <v>0</v>
      </c>
      <c r="AA110" s="179"/>
      <c r="AB110" s="467">
        <f t="shared" si="13"/>
        <v>0</v>
      </c>
      <c r="AC110" s="466">
        <f t="shared" si="14"/>
        <v>0</v>
      </c>
    </row>
    <row r="111" spans="2:29" ht="20.100000000000001" customHeight="1">
      <c r="B111" s="172"/>
      <c r="C111" s="172"/>
      <c r="D111" s="172"/>
      <c r="E111" s="181"/>
      <c r="F111" s="173"/>
      <c r="G111" s="174"/>
      <c r="H111" s="284"/>
      <c r="I111" s="221"/>
      <c r="J111" s="177">
        <f>IF(H111=0,0,IF(F111="MXN",1/HLOOKUP(YEAR(G111)+(MONTH(G111)/100),TC!$5:$37,DAY(G111)+2,FALSE),VLOOKUP(F111,Equivalencia!$5:$23,((MAX(Equivalencia!$3:$3)-YEAR(G111))*14)+MONTH(G111)+2,FALSE)))</f>
        <v>0</v>
      </c>
      <c r="K111" s="217">
        <f t="shared" si="15"/>
        <v>0</v>
      </c>
      <c r="L111" s="462">
        <f>IF(G111=0,0,VLOOKUP(YEAR(G111),INPC!$B$4:$O$29,MONTH(G111)+1))</f>
        <v>0</v>
      </c>
      <c r="M111" s="462">
        <f>IF(T111=0,0,VLOOKUP(YEAR(T111),INPC!$B$4:$O$29,MONTH(T111)+1))</f>
        <v>0</v>
      </c>
      <c r="N111" s="463">
        <f t="shared" si="11"/>
        <v>0</v>
      </c>
      <c r="O111" s="464">
        <f t="shared" si="16"/>
        <v>0</v>
      </c>
      <c r="P111" s="465">
        <f t="shared" si="17"/>
        <v>0</v>
      </c>
      <c r="Q111" s="606" t="str">
        <f t="shared" si="18"/>
        <v>NO</v>
      </c>
      <c r="R111" s="180"/>
      <c r="S111" s="173"/>
      <c r="T111" s="174"/>
      <c r="U111" s="173"/>
      <c r="V111" s="220"/>
      <c r="W111" s="177">
        <f>IF(S111=0,0,IF(U111="MXN",1/HLOOKUP(YEAR(T111)+(MONTH(T111)/100),TC!$5:$37,DAY(T111)+2,FALSE),VLOOKUP(U111,Equivalencia!$1:$23,((MAX(Equivalencia!$3:$3)-YEAR(T111))*14)+MONTH(T111)+2,FALSE)))</f>
        <v>0</v>
      </c>
      <c r="X111" s="178">
        <f t="shared" si="19"/>
        <v>0</v>
      </c>
      <c r="Y111" s="178">
        <f t="shared" si="20"/>
        <v>0</v>
      </c>
      <c r="Z111" s="175">
        <f t="shared" si="12"/>
        <v>0</v>
      </c>
      <c r="AA111" s="179"/>
      <c r="AB111" s="467">
        <f t="shared" si="13"/>
        <v>0</v>
      </c>
      <c r="AC111" s="466">
        <f t="shared" si="14"/>
        <v>0</v>
      </c>
    </row>
    <row r="112" spans="2:29" ht="20.100000000000001" customHeight="1">
      <c r="B112" s="172"/>
      <c r="C112" s="172"/>
      <c r="D112" s="172"/>
      <c r="E112" s="181"/>
      <c r="F112" s="173"/>
      <c r="G112" s="174"/>
      <c r="H112" s="284"/>
      <c r="I112" s="221"/>
      <c r="J112" s="177">
        <f>IF(H112=0,0,IF(F112="MXN",1/HLOOKUP(YEAR(G112)+(MONTH(G112)/100),TC!$5:$37,DAY(G112)+2,FALSE),VLOOKUP(F112,Equivalencia!$5:$23,((MAX(Equivalencia!$3:$3)-YEAR(G112))*14)+MONTH(G112)+2,FALSE)))</f>
        <v>0</v>
      </c>
      <c r="K112" s="217">
        <f t="shared" si="15"/>
        <v>0</v>
      </c>
      <c r="L112" s="462">
        <f>IF(G112=0,0,VLOOKUP(YEAR(G112),INPC!$B$4:$O$29,MONTH(G112)+1))</f>
        <v>0</v>
      </c>
      <c r="M112" s="462">
        <f>IF(T112=0,0,VLOOKUP(YEAR(T112),INPC!$B$4:$O$29,MONTH(T112)+1))</f>
        <v>0</v>
      </c>
      <c r="N112" s="463">
        <f t="shared" si="11"/>
        <v>0</v>
      </c>
      <c r="O112" s="464">
        <f t="shared" si="16"/>
        <v>0</v>
      </c>
      <c r="P112" s="465">
        <f t="shared" si="17"/>
        <v>0</v>
      </c>
      <c r="Q112" s="606" t="str">
        <f t="shared" si="18"/>
        <v>NO</v>
      </c>
      <c r="R112" s="180"/>
      <c r="S112" s="173"/>
      <c r="T112" s="174"/>
      <c r="U112" s="173"/>
      <c r="V112" s="220"/>
      <c r="W112" s="177">
        <f>IF(S112=0,0,IF(U112="MXN",1/HLOOKUP(YEAR(T112)+(MONTH(T112)/100),TC!$5:$37,DAY(T112)+2,FALSE),VLOOKUP(U112,Equivalencia!$1:$23,((MAX(Equivalencia!$3:$3)-YEAR(T112))*14)+MONTH(T112)+2,FALSE)))</f>
        <v>0</v>
      </c>
      <c r="X112" s="178">
        <f t="shared" si="19"/>
        <v>0</v>
      </c>
      <c r="Y112" s="178">
        <f t="shared" si="20"/>
        <v>0</v>
      </c>
      <c r="Z112" s="175">
        <f t="shared" si="12"/>
        <v>0</v>
      </c>
      <c r="AA112" s="179"/>
      <c r="AB112" s="467">
        <f t="shared" si="13"/>
        <v>0</v>
      </c>
      <c r="AC112" s="466">
        <f t="shared" si="14"/>
        <v>0</v>
      </c>
    </row>
    <row r="113" spans="2:29" ht="20.100000000000001" customHeight="1">
      <c r="B113" s="172"/>
      <c r="C113" s="172"/>
      <c r="D113" s="172"/>
      <c r="E113" s="181"/>
      <c r="F113" s="173"/>
      <c r="G113" s="174"/>
      <c r="H113" s="284"/>
      <c r="I113" s="221"/>
      <c r="J113" s="177">
        <f>IF(H113=0,0,IF(F113="MXN",1/HLOOKUP(YEAR(G113)+(MONTH(G113)/100),TC!$5:$37,DAY(G113)+2,FALSE),VLOOKUP(F113,Equivalencia!$5:$23,((MAX(Equivalencia!$3:$3)-YEAR(G113))*14)+MONTH(G113)+2,FALSE)))</f>
        <v>0</v>
      </c>
      <c r="K113" s="217">
        <f t="shared" si="15"/>
        <v>0</v>
      </c>
      <c r="L113" s="462">
        <f>IF(G113=0,0,VLOOKUP(YEAR(G113),INPC!$B$4:$O$29,MONTH(G113)+1))</f>
        <v>0</v>
      </c>
      <c r="M113" s="462">
        <f>IF(T113=0,0,VLOOKUP(YEAR(T113),INPC!$B$4:$O$29,MONTH(T113)+1))</f>
        <v>0</v>
      </c>
      <c r="N113" s="463">
        <f t="shared" si="11"/>
        <v>0</v>
      </c>
      <c r="O113" s="464">
        <f t="shared" si="16"/>
        <v>0</v>
      </c>
      <c r="P113" s="465">
        <f t="shared" si="17"/>
        <v>0</v>
      </c>
      <c r="Q113" s="606" t="str">
        <f t="shared" si="18"/>
        <v>NO</v>
      </c>
      <c r="R113" s="180"/>
      <c r="S113" s="173"/>
      <c r="T113" s="174"/>
      <c r="U113" s="173"/>
      <c r="V113" s="220"/>
      <c r="W113" s="177">
        <f>IF(S113=0,0,IF(U113="MXN",1/HLOOKUP(YEAR(T113)+(MONTH(T113)/100),TC!$5:$37,DAY(T113)+2,FALSE),VLOOKUP(U113,Equivalencia!$1:$23,((MAX(Equivalencia!$3:$3)-YEAR(T113))*14)+MONTH(T113)+2,FALSE)))</f>
        <v>0</v>
      </c>
      <c r="X113" s="178">
        <f t="shared" si="19"/>
        <v>0</v>
      </c>
      <c r="Y113" s="178">
        <f t="shared" si="20"/>
        <v>0</v>
      </c>
      <c r="Z113" s="175">
        <f t="shared" si="12"/>
        <v>0</v>
      </c>
      <c r="AA113" s="179"/>
      <c r="AB113" s="467">
        <f t="shared" si="13"/>
        <v>0</v>
      </c>
      <c r="AC113" s="466">
        <f t="shared" si="14"/>
        <v>0</v>
      </c>
    </row>
    <row r="114" spans="2:29" ht="20.100000000000001" customHeight="1">
      <c r="B114" s="172"/>
      <c r="C114" s="172"/>
      <c r="D114" s="172"/>
      <c r="E114" s="181"/>
      <c r="F114" s="173"/>
      <c r="G114" s="174"/>
      <c r="H114" s="284"/>
      <c r="I114" s="221"/>
      <c r="J114" s="177">
        <f>IF(H114=0,0,IF(F114="MXN",1/HLOOKUP(YEAR(G114)+(MONTH(G114)/100),TC!$5:$37,DAY(G114)+2,FALSE),VLOOKUP(F114,Equivalencia!$5:$23,((MAX(Equivalencia!$3:$3)-YEAR(G114))*14)+MONTH(G114)+2,FALSE)))</f>
        <v>0</v>
      </c>
      <c r="K114" s="217">
        <f t="shared" si="15"/>
        <v>0</v>
      </c>
      <c r="L114" s="462">
        <f>IF(G114=0,0,VLOOKUP(YEAR(G114),INPC!$B$4:$O$29,MONTH(G114)+1))</f>
        <v>0</v>
      </c>
      <c r="M114" s="462">
        <f>IF(T114=0,0,VLOOKUP(YEAR(T114),INPC!$B$4:$O$29,MONTH(T114)+1))</f>
        <v>0</v>
      </c>
      <c r="N114" s="463">
        <f t="shared" si="11"/>
        <v>0</v>
      </c>
      <c r="O114" s="464">
        <f t="shared" si="16"/>
        <v>0</v>
      </c>
      <c r="P114" s="465">
        <f t="shared" si="17"/>
        <v>0</v>
      </c>
      <c r="Q114" s="606" t="str">
        <f t="shared" si="18"/>
        <v>NO</v>
      </c>
      <c r="R114" s="180"/>
      <c r="S114" s="173"/>
      <c r="T114" s="174"/>
      <c r="U114" s="173"/>
      <c r="V114" s="220"/>
      <c r="W114" s="177">
        <f>IF(S114=0,0,IF(U114="MXN",1/HLOOKUP(YEAR(T114)+(MONTH(T114)/100),TC!$5:$37,DAY(T114)+2,FALSE),VLOOKUP(U114,Equivalencia!$1:$23,((MAX(Equivalencia!$3:$3)-YEAR(T114))*14)+MONTH(T114)+2,FALSE)))</f>
        <v>0</v>
      </c>
      <c r="X114" s="178">
        <f t="shared" si="19"/>
        <v>0</v>
      </c>
      <c r="Y114" s="178">
        <f t="shared" si="20"/>
        <v>0</v>
      </c>
      <c r="Z114" s="175">
        <f t="shared" si="12"/>
        <v>0</v>
      </c>
      <c r="AA114" s="179"/>
      <c r="AB114" s="467">
        <f t="shared" si="13"/>
        <v>0</v>
      </c>
      <c r="AC114" s="466">
        <f t="shared" si="14"/>
        <v>0</v>
      </c>
    </row>
    <row r="115" spans="2:29" ht="20.100000000000001" customHeight="1">
      <c r="B115" s="172"/>
      <c r="C115" s="172"/>
      <c r="D115" s="172"/>
      <c r="E115" s="181"/>
      <c r="F115" s="173"/>
      <c r="G115" s="174"/>
      <c r="H115" s="284"/>
      <c r="I115" s="221"/>
      <c r="J115" s="177">
        <f>IF(H115=0,0,IF(F115="MXN",1/HLOOKUP(YEAR(G115)+(MONTH(G115)/100),TC!$5:$37,DAY(G115)+2,FALSE),VLOOKUP(F115,Equivalencia!$5:$23,((MAX(Equivalencia!$3:$3)-YEAR(G115))*14)+MONTH(G115)+2,FALSE)))</f>
        <v>0</v>
      </c>
      <c r="K115" s="217">
        <f t="shared" si="15"/>
        <v>0</v>
      </c>
      <c r="L115" s="462">
        <f>IF(G115=0,0,VLOOKUP(YEAR(G115),INPC!$B$4:$O$29,MONTH(G115)+1))</f>
        <v>0</v>
      </c>
      <c r="M115" s="462">
        <f>IF(T115=0,0,VLOOKUP(YEAR(T115),INPC!$B$4:$O$29,MONTH(T115)+1))</f>
        <v>0</v>
      </c>
      <c r="N115" s="463">
        <f t="shared" si="11"/>
        <v>0</v>
      </c>
      <c r="O115" s="464">
        <f t="shared" si="16"/>
        <v>0</v>
      </c>
      <c r="P115" s="465">
        <f t="shared" si="17"/>
        <v>0</v>
      </c>
      <c r="Q115" s="606" t="str">
        <f t="shared" si="18"/>
        <v>NO</v>
      </c>
      <c r="R115" s="180"/>
      <c r="S115" s="173"/>
      <c r="T115" s="174"/>
      <c r="U115" s="173"/>
      <c r="V115" s="220"/>
      <c r="W115" s="177">
        <f>IF(S115=0,0,IF(U115="MXN",1/HLOOKUP(YEAR(T115)+(MONTH(T115)/100),TC!$5:$37,DAY(T115)+2,FALSE),VLOOKUP(U115,Equivalencia!$1:$23,((MAX(Equivalencia!$3:$3)-YEAR(T115))*14)+MONTH(T115)+2,FALSE)))</f>
        <v>0</v>
      </c>
      <c r="X115" s="178">
        <f t="shared" si="19"/>
        <v>0</v>
      </c>
      <c r="Y115" s="178">
        <f t="shared" si="20"/>
        <v>0</v>
      </c>
      <c r="Z115" s="175">
        <f t="shared" si="12"/>
        <v>0</v>
      </c>
      <c r="AA115" s="179"/>
      <c r="AB115" s="467">
        <f t="shared" si="13"/>
        <v>0</v>
      </c>
      <c r="AC115" s="466">
        <f t="shared" si="14"/>
        <v>0</v>
      </c>
    </row>
    <row r="116" spans="2:29" ht="20.100000000000001" customHeight="1">
      <c r="B116" s="172"/>
      <c r="C116" s="172"/>
      <c r="D116" s="172"/>
      <c r="E116" s="181"/>
      <c r="F116" s="173"/>
      <c r="G116" s="174"/>
      <c r="H116" s="284"/>
      <c r="I116" s="221"/>
      <c r="J116" s="177">
        <f>IF(H116=0,0,IF(F116="MXN",1/HLOOKUP(YEAR(G116)+(MONTH(G116)/100),TC!$5:$37,DAY(G116)+2,FALSE),VLOOKUP(F116,Equivalencia!$5:$23,((MAX(Equivalencia!$3:$3)-YEAR(G116))*14)+MONTH(G116)+2,FALSE)))</f>
        <v>0</v>
      </c>
      <c r="K116" s="217">
        <f t="shared" si="15"/>
        <v>0</v>
      </c>
      <c r="L116" s="462">
        <f>IF(G116=0,0,VLOOKUP(YEAR(G116),INPC!$B$4:$O$29,MONTH(G116)+1))</f>
        <v>0</v>
      </c>
      <c r="M116" s="462">
        <f>IF(T116=0,0,VLOOKUP(YEAR(T116),INPC!$B$4:$O$29,MONTH(T116)+1))</f>
        <v>0</v>
      </c>
      <c r="N116" s="463">
        <f t="shared" si="11"/>
        <v>0</v>
      </c>
      <c r="O116" s="464">
        <f t="shared" si="16"/>
        <v>0</v>
      </c>
      <c r="P116" s="465">
        <f t="shared" si="17"/>
        <v>0</v>
      </c>
      <c r="Q116" s="606" t="str">
        <f t="shared" si="18"/>
        <v>NO</v>
      </c>
      <c r="R116" s="180"/>
      <c r="S116" s="173"/>
      <c r="T116" s="174"/>
      <c r="U116" s="173"/>
      <c r="V116" s="220"/>
      <c r="W116" s="177">
        <f>IF(S116=0,0,IF(U116="MXN",1/HLOOKUP(YEAR(T116)+(MONTH(T116)/100),TC!$5:$37,DAY(T116)+2,FALSE),VLOOKUP(U116,Equivalencia!$1:$23,((MAX(Equivalencia!$3:$3)-YEAR(T116))*14)+MONTH(T116)+2,FALSE)))</f>
        <v>0</v>
      </c>
      <c r="X116" s="178">
        <f t="shared" si="19"/>
        <v>0</v>
      </c>
      <c r="Y116" s="178">
        <f t="shared" si="20"/>
        <v>0</v>
      </c>
      <c r="Z116" s="175">
        <f t="shared" si="12"/>
        <v>0</v>
      </c>
      <c r="AA116" s="179"/>
      <c r="AB116" s="467">
        <f t="shared" si="13"/>
        <v>0</v>
      </c>
      <c r="AC116" s="466">
        <f t="shared" si="14"/>
        <v>0</v>
      </c>
    </row>
    <row r="117" spans="2:29" ht="20.100000000000001" customHeight="1">
      <c r="B117" s="172"/>
      <c r="C117" s="172"/>
      <c r="D117" s="172"/>
      <c r="E117" s="181"/>
      <c r="F117" s="173"/>
      <c r="G117" s="174"/>
      <c r="H117" s="284"/>
      <c r="I117" s="221"/>
      <c r="J117" s="177">
        <f>IF(H117=0,0,IF(F117="MXN",1/HLOOKUP(YEAR(G117)+(MONTH(G117)/100),TC!$5:$37,DAY(G117)+2,FALSE),VLOOKUP(F117,Equivalencia!$5:$23,((MAX(Equivalencia!$3:$3)-YEAR(G117))*14)+MONTH(G117)+2,FALSE)))</f>
        <v>0</v>
      </c>
      <c r="K117" s="217">
        <f t="shared" si="15"/>
        <v>0</v>
      </c>
      <c r="L117" s="462">
        <f>IF(G117=0,0,VLOOKUP(YEAR(G117),INPC!$B$4:$O$29,MONTH(G117)+1))</f>
        <v>0</v>
      </c>
      <c r="M117" s="462">
        <f>IF(T117=0,0,VLOOKUP(YEAR(T117),INPC!$B$4:$O$29,MONTH(T117)+1))</f>
        <v>0</v>
      </c>
      <c r="N117" s="463">
        <f t="shared" si="11"/>
        <v>0</v>
      </c>
      <c r="O117" s="464">
        <f t="shared" si="16"/>
        <v>0</v>
      </c>
      <c r="P117" s="465">
        <f t="shared" si="17"/>
        <v>0</v>
      </c>
      <c r="Q117" s="606" t="str">
        <f t="shared" si="18"/>
        <v>NO</v>
      </c>
      <c r="R117" s="180"/>
      <c r="S117" s="173"/>
      <c r="T117" s="174"/>
      <c r="U117" s="173"/>
      <c r="V117" s="220"/>
      <c r="W117" s="177">
        <f>IF(S117=0,0,IF(U117="MXN",1/HLOOKUP(YEAR(T117)+(MONTH(T117)/100),TC!$5:$37,DAY(T117)+2,FALSE),VLOOKUP(U117,Equivalencia!$1:$23,((MAX(Equivalencia!$3:$3)-YEAR(T117))*14)+MONTH(T117)+2,FALSE)))</f>
        <v>0</v>
      </c>
      <c r="X117" s="178">
        <f t="shared" si="19"/>
        <v>0</v>
      </c>
      <c r="Y117" s="178">
        <f t="shared" si="20"/>
        <v>0</v>
      </c>
      <c r="Z117" s="175">
        <f t="shared" si="12"/>
        <v>0</v>
      </c>
      <c r="AA117" s="179"/>
      <c r="AB117" s="467">
        <f t="shared" si="13"/>
        <v>0</v>
      </c>
      <c r="AC117" s="466">
        <f t="shared" si="14"/>
        <v>0</v>
      </c>
    </row>
    <row r="118" spans="2:29" ht="20.100000000000001" customHeight="1">
      <c r="B118" s="172"/>
      <c r="C118" s="172"/>
      <c r="D118" s="172"/>
      <c r="E118" s="181"/>
      <c r="F118" s="173"/>
      <c r="G118" s="174"/>
      <c r="H118" s="284"/>
      <c r="I118" s="221"/>
      <c r="J118" s="177">
        <f>IF(H118=0,0,IF(F118="MXN",1/HLOOKUP(YEAR(G118)+(MONTH(G118)/100),TC!$5:$37,DAY(G118)+2,FALSE),VLOOKUP(F118,Equivalencia!$5:$23,((MAX(Equivalencia!$3:$3)-YEAR(G118))*14)+MONTH(G118)+2,FALSE)))</f>
        <v>0</v>
      </c>
      <c r="K118" s="217">
        <f t="shared" si="15"/>
        <v>0</v>
      </c>
      <c r="L118" s="462">
        <f>IF(G118=0,0,VLOOKUP(YEAR(G118),INPC!$B$4:$O$29,MONTH(G118)+1))</f>
        <v>0</v>
      </c>
      <c r="M118" s="462">
        <f>IF(T118=0,0,VLOOKUP(YEAR(T118),INPC!$B$4:$O$29,MONTH(T118)+1))</f>
        <v>0</v>
      </c>
      <c r="N118" s="463">
        <f t="shared" si="11"/>
        <v>0</v>
      </c>
      <c r="O118" s="464">
        <f t="shared" si="16"/>
        <v>0</v>
      </c>
      <c r="P118" s="465">
        <f t="shared" si="17"/>
        <v>0</v>
      </c>
      <c r="Q118" s="606" t="str">
        <f t="shared" si="18"/>
        <v>NO</v>
      </c>
      <c r="R118" s="180"/>
      <c r="S118" s="173"/>
      <c r="T118" s="174"/>
      <c r="U118" s="173"/>
      <c r="V118" s="220"/>
      <c r="W118" s="177">
        <f>IF(S118=0,0,IF(U118="MXN",1/HLOOKUP(YEAR(T118)+(MONTH(T118)/100),TC!$5:$37,DAY(T118)+2,FALSE),VLOOKUP(U118,Equivalencia!$1:$23,((MAX(Equivalencia!$3:$3)-YEAR(T118))*14)+MONTH(T118)+2,FALSE)))</f>
        <v>0</v>
      </c>
      <c r="X118" s="178">
        <f t="shared" si="19"/>
        <v>0</v>
      </c>
      <c r="Y118" s="178">
        <f t="shared" si="20"/>
        <v>0</v>
      </c>
      <c r="Z118" s="175">
        <f t="shared" si="12"/>
        <v>0</v>
      </c>
      <c r="AA118" s="179"/>
      <c r="AB118" s="467">
        <f t="shared" si="13"/>
        <v>0</v>
      </c>
      <c r="AC118" s="466">
        <f t="shared" si="14"/>
        <v>0</v>
      </c>
    </row>
    <row r="119" spans="2:29" ht="20.100000000000001" customHeight="1">
      <c r="B119" s="172"/>
      <c r="C119" s="172"/>
      <c r="D119" s="172"/>
      <c r="E119" s="181"/>
      <c r="F119" s="173"/>
      <c r="G119" s="174"/>
      <c r="H119" s="284"/>
      <c r="I119" s="221"/>
      <c r="J119" s="177">
        <f>IF(H119=0,0,IF(F119="MXN",1/HLOOKUP(YEAR(G119)+(MONTH(G119)/100),TC!$5:$37,DAY(G119)+2,FALSE),VLOOKUP(F119,Equivalencia!$5:$23,((MAX(Equivalencia!$3:$3)-YEAR(G119))*14)+MONTH(G119)+2,FALSE)))</f>
        <v>0</v>
      </c>
      <c r="K119" s="217">
        <f t="shared" si="15"/>
        <v>0</v>
      </c>
      <c r="L119" s="462">
        <f>IF(G119=0,0,VLOOKUP(YEAR(G119),INPC!$B$4:$O$29,MONTH(G119)+1))</f>
        <v>0</v>
      </c>
      <c r="M119" s="462">
        <f>IF(T119=0,0,VLOOKUP(YEAR(T119),INPC!$B$4:$O$29,MONTH(T119)+1))</f>
        <v>0</v>
      </c>
      <c r="N119" s="463">
        <f t="shared" si="11"/>
        <v>0</v>
      </c>
      <c r="O119" s="464">
        <f t="shared" si="16"/>
        <v>0</v>
      </c>
      <c r="P119" s="465">
        <f t="shared" si="17"/>
        <v>0</v>
      </c>
      <c r="Q119" s="606" t="str">
        <f t="shared" si="18"/>
        <v>NO</v>
      </c>
      <c r="R119" s="180"/>
      <c r="S119" s="173"/>
      <c r="T119" s="174"/>
      <c r="U119" s="173"/>
      <c r="V119" s="220"/>
      <c r="W119" s="177">
        <f>IF(S119=0,0,IF(U119="MXN",1/HLOOKUP(YEAR(T119)+(MONTH(T119)/100),TC!$5:$37,DAY(T119)+2,FALSE),VLOOKUP(U119,Equivalencia!$1:$23,((MAX(Equivalencia!$3:$3)-YEAR(T119))*14)+MONTH(T119)+2,FALSE)))</f>
        <v>0</v>
      </c>
      <c r="X119" s="178">
        <f t="shared" si="19"/>
        <v>0</v>
      </c>
      <c r="Y119" s="178">
        <f t="shared" si="20"/>
        <v>0</v>
      </c>
      <c r="Z119" s="175">
        <f t="shared" si="12"/>
        <v>0</v>
      </c>
      <c r="AA119" s="179"/>
      <c r="AB119" s="467">
        <f t="shared" si="13"/>
        <v>0</v>
      </c>
      <c r="AC119" s="466">
        <f t="shared" si="14"/>
        <v>0</v>
      </c>
    </row>
    <row r="120" spans="2:29" ht="20.100000000000001" customHeight="1">
      <c r="B120" s="172"/>
      <c r="C120" s="172"/>
      <c r="D120" s="172"/>
      <c r="E120" s="181"/>
      <c r="F120" s="173"/>
      <c r="G120" s="174"/>
      <c r="H120" s="284"/>
      <c r="I120" s="221"/>
      <c r="J120" s="177">
        <f>IF(H120=0,0,IF(F120="MXN",1/HLOOKUP(YEAR(G120)+(MONTH(G120)/100),TC!$5:$37,DAY(G120)+2,FALSE),VLOOKUP(F120,Equivalencia!$5:$23,((MAX(Equivalencia!$3:$3)-YEAR(G120))*14)+MONTH(G120)+2,FALSE)))</f>
        <v>0</v>
      </c>
      <c r="K120" s="217">
        <f t="shared" si="15"/>
        <v>0</v>
      </c>
      <c r="L120" s="462">
        <f>IF(G120=0,0,VLOOKUP(YEAR(G120),INPC!$B$4:$O$29,MONTH(G120)+1))</f>
        <v>0</v>
      </c>
      <c r="M120" s="462">
        <f>IF(T120=0,0,VLOOKUP(YEAR(T120),INPC!$B$4:$O$29,MONTH(T120)+1))</f>
        <v>0</v>
      </c>
      <c r="N120" s="463">
        <f t="shared" si="11"/>
        <v>0</v>
      </c>
      <c r="O120" s="464">
        <f t="shared" si="16"/>
        <v>0</v>
      </c>
      <c r="P120" s="465">
        <f t="shared" si="17"/>
        <v>0</v>
      </c>
      <c r="Q120" s="606" t="str">
        <f t="shared" si="18"/>
        <v>NO</v>
      </c>
      <c r="R120" s="180"/>
      <c r="S120" s="173"/>
      <c r="T120" s="174"/>
      <c r="U120" s="173"/>
      <c r="V120" s="220"/>
      <c r="W120" s="177">
        <f>IF(S120=0,0,IF(U120="MXN",1/HLOOKUP(YEAR(T120)+(MONTH(T120)/100),TC!$5:$37,DAY(T120)+2,FALSE),VLOOKUP(U120,Equivalencia!$1:$23,((MAX(Equivalencia!$3:$3)-YEAR(T120))*14)+MONTH(T120)+2,FALSE)))</f>
        <v>0</v>
      </c>
      <c r="X120" s="178">
        <f t="shared" si="19"/>
        <v>0</v>
      </c>
      <c r="Y120" s="178">
        <f t="shared" si="20"/>
        <v>0</v>
      </c>
      <c r="Z120" s="175">
        <f t="shared" si="12"/>
        <v>0</v>
      </c>
      <c r="AA120" s="179"/>
      <c r="AB120" s="467">
        <f t="shared" si="13"/>
        <v>0</v>
      </c>
      <c r="AC120" s="466">
        <f t="shared" si="14"/>
        <v>0</v>
      </c>
    </row>
    <row r="121" spans="2:29" ht="20.100000000000001" customHeight="1">
      <c r="B121" s="172"/>
      <c r="C121" s="172"/>
      <c r="D121" s="172"/>
      <c r="E121" s="181"/>
      <c r="F121" s="173"/>
      <c r="G121" s="174"/>
      <c r="H121" s="284"/>
      <c r="I121" s="221"/>
      <c r="J121" s="177">
        <f>IF(H121=0,0,IF(F121="MXN",1/HLOOKUP(YEAR(G121)+(MONTH(G121)/100),TC!$5:$37,DAY(G121)+2,FALSE),VLOOKUP(F121,Equivalencia!$5:$23,((MAX(Equivalencia!$3:$3)-YEAR(G121))*14)+MONTH(G121)+2,FALSE)))</f>
        <v>0</v>
      </c>
      <c r="K121" s="217">
        <f t="shared" si="15"/>
        <v>0</v>
      </c>
      <c r="L121" s="462">
        <f>IF(G121=0,0,VLOOKUP(YEAR(G121),INPC!$B$4:$O$29,MONTH(G121)+1))</f>
        <v>0</v>
      </c>
      <c r="M121" s="462">
        <f>IF(T121=0,0,VLOOKUP(YEAR(T121),INPC!$B$4:$O$29,MONTH(T121)+1))</f>
        <v>0</v>
      </c>
      <c r="N121" s="463">
        <f t="shared" si="11"/>
        <v>0</v>
      </c>
      <c r="O121" s="464">
        <f t="shared" si="16"/>
        <v>0</v>
      </c>
      <c r="P121" s="465">
        <f t="shared" si="17"/>
        <v>0</v>
      </c>
      <c r="Q121" s="606" t="str">
        <f t="shared" si="18"/>
        <v>NO</v>
      </c>
      <c r="R121" s="180"/>
      <c r="S121" s="173"/>
      <c r="T121" s="174"/>
      <c r="U121" s="173"/>
      <c r="V121" s="220"/>
      <c r="W121" s="177">
        <f>IF(S121=0,0,IF(U121="MXN",1/HLOOKUP(YEAR(T121)+(MONTH(T121)/100),TC!$5:$37,DAY(T121)+2,FALSE),VLOOKUP(U121,Equivalencia!$1:$23,((MAX(Equivalencia!$3:$3)-YEAR(T121))*14)+MONTH(T121)+2,FALSE)))</f>
        <v>0</v>
      </c>
      <c r="X121" s="178">
        <f t="shared" si="19"/>
        <v>0</v>
      </c>
      <c r="Y121" s="178">
        <f t="shared" si="20"/>
        <v>0</v>
      </c>
      <c r="Z121" s="175">
        <f t="shared" si="12"/>
        <v>0</v>
      </c>
      <c r="AA121" s="179"/>
      <c r="AB121" s="467">
        <f t="shared" si="13"/>
        <v>0</v>
      </c>
      <c r="AC121" s="466">
        <f t="shared" si="14"/>
        <v>0</v>
      </c>
    </row>
    <row r="122" spans="2:29" ht="20.100000000000001" customHeight="1">
      <c r="B122" s="172"/>
      <c r="C122" s="172"/>
      <c r="D122" s="172"/>
      <c r="E122" s="181"/>
      <c r="F122" s="173"/>
      <c r="G122" s="174"/>
      <c r="H122" s="284"/>
      <c r="I122" s="221"/>
      <c r="J122" s="177">
        <f>IF(H122=0,0,IF(F122="MXN",1/HLOOKUP(YEAR(G122)+(MONTH(G122)/100),TC!$5:$37,DAY(G122)+2,FALSE),VLOOKUP(F122,Equivalencia!$5:$23,((MAX(Equivalencia!$3:$3)-YEAR(G122))*14)+MONTH(G122)+2,FALSE)))</f>
        <v>0</v>
      </c>
      <c r="K122" s="217">
        <f t="shared" si="15"/>
        <v>0</v>
      </c>
      <c r="L122" s="462">
        <f>IF(G122=0,0,VLOOKUP(YEAR(G122),INPC!$B$4:$O$29,MONTH(G122)+1))</f>
        <v>0</v>
      </c>
      <c r="M122" s="462">
        <f>IF(T122=0,0,VLOOKUP(YEAR(T122),INPC!$B$4:$O$29,MONTH(T122)+1))</f>
        <v>0</v>
      </c>
      <c r="N122" s="463">
        <f t="shared" si="11"/>
        <v>0</v>
      </c>
      <c r="O122" s="464">
        <f t="shared" si="16"/>
        <v>0</v>
      </c>
      <c r="P122" s="465">
        <f t="shared" si="17"/>
        <v>0</v>
      </c>
      <c r="Q122" s="606" t="str">
        <f t="shared" si="18"/>
        <v>NO</v>
      </c>
      <c r="R122" s="180"/>
      <c r="S122" s="173"/>
      <c r="T122" s="174"/>
      <c r="U122" s="173"/>
      <c r="V122" s="220"/>
      <c r="W122" s="177">
        <f>IF(S122=0,0,IF(U122="MXN",1/HLOOKUP(YEAR(T122)+(MONTH(T122)/100),TC!$5:$37,DAY(T122)+2,FALSE),VLOOKUP(U122,Equivalencia!$1:$23,((MAX(Equivalencia!$3:$3)-YEAR(T122))*14)+MONTH(T122)+2,FALSE)))</f>
        <v>0</v>
      </c>
      <c r="X122" s="178">
        <f t="shared" si="19"/>
        <v>0</v>
      </c>
      <c r="Y122" s="178">
        <f t="shared" si="20"/>
        <v>0</v>
      </c>
      <c r="Z122" s="175">
        <f t="shared" si="12"/>
        <v>0</v>
      </c>
      <c r="AA122" s="179"/>
      <c r="AB122" s="467">
        <f t="shared" si="13"/>
        <v>0</v>
      </c>
      <c r="AC122" s="466">
        <f t="shared" si="14"/>
        <v>0</v>
      </c>
    </row>
    <row r="123" spans="2:29" ht="20.100000000000001" customHeight="1">
      <c r="B123" s="172"/>
      <c r="C123" s="172"/>
      <c r="D123" s="172"/>
      <c r="E123" s="181"/>
      <c r="F123" s="173"/>
      <c r="G123" s="174"/>
      <c r="H123" s="284"/>
      <c r="I123" s="221"/>
      <c r="J123" s="177">
        <f>IF(H123=0,0,IF(F123="MXN",1/HLOOKUP(YEAR(G123)+(MONTH(G123)/100),TC!$5:$37,DAY(G123)+2,FALSE),VLOOKUP(F123,Equivalencia!$5:$23,((MAX(Equivalencia!$3:$3)-YEAR(G123))*14)+MONTH(G123)+2,FALSE)))</f>
        <v>0</v>
      </c>
      <c r="K123" s="217">
        <f t="shared" si="15"/>
        <v>0</v>
      </c>
      <c r="L123" s="462">
        <f>IF(G123=0,0,VLOOKUP(YEAR(G123),INPC!$B$4:$O$29,MONTH(G123)+1))</f>
        <v>0</v>
      </c>
      <c r="M123" s="462">
        <f>IF(T123=0,0,VLOOKUP(YEAR(T123),INPC!$B$4:$O$29,MONTH(T123)+1))</f>
        <v>0</v>
      </c>
      <c r="N123" s="463">
        <f t="shared" si="11"/>
        <v>0</v>
      </c>
      <c r="O123" s="464">
        <f t="shared" si="16"/>
        <v>0</v>
      </c>
      <c r="P123" s="465">
        <f t="shared" si="17"/>
        <v>0</v>
      </c>
      <c r="Q123" s="606" t="str">
        <f t="shared" si="18"/>
        <v>NO</v>
      </c>
      <c r="R123" s="180"/>
      <c r="S123" s="173"/>
      <c r="T123" s="174"/>
      <c r="U123" s="173"/>
      <c r="V123" s="220"/>
      <c r="W123" s="177">
        <f>IF(S123=0,0,IF(U123="MXN",1/HLOOKUP(YEAR(T123)+(MONTH(T123)/100),TC!$5:$37,DAY(T123)+2,FALSE),VLOOKUP(U123,Equivalencia!$1:$23,((MAX(Equivalencia!$3:$3)-YEAR(T123))*14)+MONTH(T123)+2,FALSE)))</f>
        <v>0</v>
      </c>
      <c r="X123" s="178">
        <f t="shared" si="19"/>
        <v>0</v>
      </c>
      <c r="Y123" s="178">
        <f t="shared" si="20"/>
        <v>0</v>
      </c>
      <c r="Z123" s="175">
        <f t="shared" si="12"/>
        <v>0</v>
      </c>
      <c r="AA123" s="179"/>
      <c r="AB123" s="467">
        <f t="shared" si="13"/>
        <v>0</v>
      </c>
      <c r="AC123" s="466">
        <f t="shared" si="14"/>
        <v>0</v>
      </c>
    </row>
    <row r="124" spans="2:29" ht="20.100000000000001" customHeight="1">
      <c r="B124" s="172"/>
      <c r="C124" s="172"/>
      <c r="D124" s="172"/>
      <c r="E124" s="181"/>
      <c r="F124" s="173"/>
      <c r="G124" s="174"/>
      <c r="H124" s="284"/>
      <c r="I124" s="221"/>
      <c r="J124" s="177">
        <f>IF(H124=0,0,IF(F124="MXN",1/HLOOKUP(YEAR(G124)+(MONTH(G124)/100),TC!$5:$37,DAY(G124)+2,FALSE),VLOOKUP(F124,Equivalencia!$5:$23,((MAX(Equivalencia!$3:$3)-YEAR(G124))*14)+MONTH(G124)+2,FALSE)))</f>
        <v>0</v>
      </c>
      <c r="K124" s="217">
        <f t="shared" si="15"/>
        <v>0</v>
      </c>
      <c r="L124" s="462">
        <f>IF(G124=0,0,VLOOKUP(YEAR(G124),INPC!$B$4:$O$29,MONTH(G124)+1))</f>
        <v>0</v>
      </c>
      <c r="M124" s="462">
        <f>IF(T124=0,0,VLOOKUP(YEAR(T124),INPC!$B$4:$O$29,MONTH(T124)+1))</f>
        <v>0</v>
      </c>
      <c r="N124" s="463">
        <f t="shared" si="11"/>
        <v>0</v>
      </c>
      <c r="O124" s="464">
        <f t="shared" si="16"/>
        <v>0</v>
      </c>
      <c r="P124" s="465">
        <f t="shared" si="17"/>
        <v>0</v>
      </c>
      <c r="Q124" s="606" t="str">
        <f t="shared" si="18"/>
        <v>NO</v>
      </c>
      <c r="R124" s="180"/>
      <c r="S124" s="173"/>
      <c r="T124" s="174"/>
      <c r="U124" s="173"/>
      <c r="V124" s="220"/>
      <c r="W124" s="177">
        <f>IF(S124=0,0,IF(U124="MXN",1/HLOOKUP(YEAR(T124)+(MONTH(T124)/100),TC!$5:$37,DAY(T124)+2,FALSE),VLOOKUP(U124,Equivalencia!$1:$23,((MAX(Equivalencia!$3:$3)-YEAR(T124))*14)+MONTH(T124)+2,FALSE)))</f>
        <v>0</v>
      </c>
      <c r="X124" s="178">
        <f t="shared" si="19"/>
        <v>0</v>
      </c>
      <c r="Y124" s="178">
        <f t="shared" si="20"/>
        <v>0</v>
      </c>
      <c r="Z124" s="175">
        <f t="shared" si="12"/>
        <v>0</v>
      </c>
      <c r="AA124" s="179"/>
      <c r="AB124" s="467">
        <f t="shared" si="13"/>
        <v>0</v>
      </c>
      <c r="AC124" s="466">
        <f t="shared" si="14"/>
        <v>0</v>
      </c>
    </row>
    <row r="125" spans="2:29" ht="20.100000000000001" customHeight="1">
      <c r="B125" s="172"/>
      <c r="C125" s="172"/>
      <c r="D125" s="172"/>
      <c r="E125" s="181"/>
      <c r="F125" s="173"/>
      <c r="G125" s="174"/>
      <c r="H125" s="284"/>
      <c r="I125" s="221"/>
      <c r="J125" s="177">
        <f>IF(H125=0,0,IF(F125="MXN",1/HLOOKUP(YEAR(G125)+(MONTH(G125)/100),TC!$5:$37,DAY(G125)+2,FALSE),VLOOKUP(F125,Equivalencia!$5:$23,((MAX(Equivalencia!$3:$3)-YEAR(G125))*14)+MONTH(G125)+2,FALSE)))</f>
        <v>0</v>
      </c>
      <c r="K125" s="217">
        <f t="shared" si="15"/>
        <v>0</v>
      </c>
      <c r="L125" s="462">
        <f>IF(G125=0,0,VLOOKUP(YEAR(G125),INPC!$B$4:$O$29,MONTH(G125)+1))</f>
        <v>0</v>
      </c>
      <c r="M125" s="462">
        <f>IF(T125=0,0,VLOOKUP(YEAR(T125),INPC!$B$4:$O$29,MONTH(T125)+1))</f>
        <v>0</v>
      </c>
      <c r="N125" s="463">
        <f t="shared" si="11"/>
        <v>0</v>
      </c>
      <c r="O125" s="464">
        <f t="shared" si="16"/>
        <v>0</v>
      </c>
      <c r="P125" s="465">
        <f t="shared" si="17"/>
        <v>0</v>
      </c>
      <c r="Q125" s="606" t="str">
        <f t="shared" si="18"/>
        <v>NO</v>
      </c>
      <c r="R125" s="180"/>
      <c r="S125" s="173"/>
      <c r="T125" s="174"/>
      <c r="U125" s="173"/>
      <c r="V125" s="220"/>
      <c r="W125" s="177">
        <f>IF(S125=0,0,IF(U125="MXN",1/HLOOKUP(YEAR(T125)+(MONTH(T125)/100),TC!$5:$37,DAY(T125)+2,FALSE),VLOOKUP(U125,Equivalencia!$1:$23,((MAX(Equivalencia!$3:$3)-YEAR(T125))*14)+MONTH(T125)+2,FALSE)))</f>
        <v>0</v>
      </c>
      <c r="X125" s="178">
        <f t="shared" si="19"/>
        <v>0</v>
      </c>
      <c r="Y125" s="178">
        <f t="shared" si="20"/>
        <v>0</v>
      </c>
      <c r="Z125" s="175">
        <f t="shared" si="12"/>
        <v>0</v>
      </c>
      <c r="AA125" s="179"/>
      <c r="AB125" s="467">
        <f t="shared" si="13"/>
        <v>0</v>
      </c>
      <c r="AC125" s="466">
        <f t="shared" si="14"/>
        <v>0</v>
      </c>
    </row>
    <row r="126" spans="2:29" ht="20.100000000000001" customHeight="1">
      <c r="B126" s="172"/>
      <c r="C126" s="172"/>
      <c r="D126" s="172"/>
      <c r="E126" s="181"/>
      <c r="F126" s="173"/>
      <c r="G126" s="174"/>
      <c r="H126" s="284"/>
      <c r="I126" s="221"/>
      <c r="J126" s="177">
        <f>IF(H126=0,0,IF(F126="MXN",1/HLOOKUP(YEAR(G126)+(MONTH(G126)/100),TC!$5:$37,DAY(G126)+2,FALSE),VLOOKUP(F126,Equivalencia!$5:$23,((MAX(Equivalencia!$3:$3)-YEAR(G126))*14)+MONTH(G126)+2,FALSE)))</f>
        <v>0</v>
      </c>
      <c r="K126" s="217">
        <f t="shared" si="15"/>
        <v>0</v>
      </c>
      <c r="L126" s="462">
        <f>IF(G126=0,0,VLOOKUP(YEAR(G126),INPC!$B$4:$O$29,MONTH(G126)+1))</f>
        <v>0</v>
      </c>
      <c r="M126" s="462">
        <f>IF(T126=0,0,VLOOKUP(YEAR(T126),INPC!$B$4:$O$29,MONTH(T126)+1))</f>
        <v>0</v>
      </c>
      <c r="N126" s="463">
        <f t="shared" si="11"/>
        <v>0</v>
      </c>
      <c r="O126" s="464">
        <f t="shared" si="16"/>
        <v>0</v>
      </c>
      <c r="P126" s="465">
        <f t="shared" si="17"/>
        <v>0</v>
      </c>
      <c r="Q126" s="606" t="str">
        <f t="shared" si="18"/>
        <v>NO</v>
      </c>
      <c r="R126" s="180"/>
      <c r="S126" s="173"/>
      <c r="T126" s="174"/>
      <c r="U126" s="173"/>
      <c r="V126" s="220"/>
      <c r="W126" s="177">
        <f>IF(S126=0,0,IF(U126="MXN",1/HLOOKUP(YEAR(T126)+(MONTH(T126)/100),TC!$5:$37,DAY(T126)+2,FALSE),VLOOKUP(U126,Equivalencia!$1:$23,((MAX(Equivalencia!$3:$3)-YEAR(T126))*14)+MONTH(T126)+2,FALSE)))</f>
        <v>0</v>
      </c>
      <c r="X126" s="178">
        <f t="shared" si="19"/>
        <v>0</v>
      </c>
      <c r="Y126" s="178">
        <f t="shared" si="20"/>
        <v>0</v>
      </c>
      <c r="Z126" s="175">
        <f t="shared" si="12"/>
        <v>0</v>
      </c>
      <c r="AA126" s="179"/>
      <c r="AB126" s="467">
        <f t="shared" si="13"/>
        <v>0</v>
      </c>
      <c r="AC126" s="466">
        <f t="shared" si="14"/>
        <v>0</v>
      </c>
    </row>
    <row r="127" spans="2:29" ht="20.100000000000001" customHeight="1">
      <c r="B127" s="172"/>
      <c r="C127" s="172"/>
      <c r="D127" s="172"/>
      <c r="E127" s="181"/>
      <c r="F127" s="173"/>
      <c r="G127" s="174"/>
      <c r="H127" s="284"/>
      <c r="I127" s="221"/>
      <c r="J127" s="177">
        <f>IF(H127=0,0,IF(F127="MXN",1/HLOOKUP(YEAR(G127)+(MONTH(G127)/100),TC!$5:$37,DAY(G127)+2,FALSE),VLOOKUP(F127,Equivalencia!$5:$23,((MAX(Equivalencia!$3:$3)-YEAR(G127))*14)+MONTH(G127)+2,FALSE)))</f>
        <v>0</v>
      </c>
      <c r="K127" s="217">
        <f t="shared" si="15"/>
        <v>0</v>
      </c>
      <c r="L127" s="462">
        <f>IF(G127=0,0,VLOOKUP(YEAR(G127),INPC!$B$4:$O$29,MONTH(G127)+1))</f>
        <v>0</v>
      </c>
      <c r="M127" s="462">
        <f>IF(T127=0,0,VLOOKUP(YEAR(T127),INPC!$B$4:$O$29,MONTH(T127)+1))</f>
        <v>0</v>
      </c>
      <c r="N127" s="463">
        <f t="shared" si="11"/>
        <v>0</v>
      </c>
      <c r="O127" s="464">
        <f t="shared" si="16"/>
        <v>0</v>
      </c>
      <c r="P127" s="465">
        <f t="shared" si="17"/>
        <v>0</v>
      </c>
      <c r="Q127" s="606" t="str">
        <f t="shared" si="18"/>
        <v>NO</v>
      </c>
      <c r="R127" s="180"/>
      <c r="S127" s="173"/>
      <c r="T127" s="174"/>
      <c r="U127" s="173"/>
      <c r="V127" s="220"/>
      <c r="W127" s="177">
        <f>IF(S127=0,0,IF(U127="MXN",1/HLOOKUP(YEAR(T127)+(MONTH(T127)/100),TC!$5:$37,DAY(T127)+2,FALSE),VLOOKUP(U127,Equivalencia!$1:$23,((MAX(Equivalencia!$3:$3)-YEAR(T127))*14)+MONTH(T127)+2,FALSE)))</f>
        <v>0</v>
      </c>
      <c r="X127" s="178">
        <f t="shared" si="19"/>
        <v>0</v>
      </c>
      <c r="Y127" s="178">
        <f t="shared" si="20"/>
        <v>0</v>
      </c>
      <c r="Z127" s="175">
        <f t="shared" si="12"/>
        <v>0</v>
      </c>
      <c r="AA127" s="179"/>
      <c r="AB127" s="467">
        <f t="shared" si="13"/>
        <v>0</v>
      </c>
      <c r="AC127" s="466">
        <f t="shared" si="14"/>
        <v>0</v>
      </c>
    </row>
    <row r="128" spans="2:29" ht="20.100000000000001" customHeight="1">
      <c r="B128" s="172"/>
      <c r="C128" s="172"/>
      <c r="D128" s="172"/>
      <c r="E128" s="181"/>
      <c r="F128" s="173"/>
      <c r="G128" s="174"/>
      <c r="H128" s="284"/>
      <c r="I128" s="221"/>
      <c r="J128" s="177">
        <f>IF(H128=0,0,IF(F128="MXN",1/HLOOKUP(YEAR(G128)+(MONTH(G128)/100),TC!$5:$37,DAY(G128)+2,FALSE),VLOOKUP(F128,Equivalencia!$5:$23,((MAX(Equivalencia!$3:$3)-YEAR(G128))*14)+MONTH(G128)+2,FALSE)))</f>
        <v>0</v>
      </c>
      <c r="K128" s="217">
        <f t="shared" si="15"/>
        <v>0</v>
      </c>
      <c r="L128" s="462">
        <f>IF(G128=0,0,VLOOKUP(YEAR(G128),INPC!$B$4:$O$29,MONTH(G128)+1))</f>
        <v>0</v>
      </c>
      <c r="M128" s="462">
        <f>IF(T128=0,0,VLOOKUP(YEAR(T128),INPC!$B$4:$O$29,MONTH(T128)+1))</f>
        <v>0</v>
      </c>
      <c r="N128" s="463">
        <f t="shared" si="11"/>
        <v>0</v>
      </c>
      <c r="O128" s="464">
        <f t="shared" si="16"/>
        <v>0</v>
      </c>
      <c r="P128" s="465">
        <f t="shared" si="17"/>
        <v>0</v>
      </c>
      <c r="Q128" s="606" t="str">
        <f t="shared" si="18"/>
        <v>NO</v>
      </c>
      <c r="R128" s="180"/>
      <c r="S128" s="173"/>
      <c r="T128" s="174"/>
      <c r="U128" s="173"/>
      <c r="V128" s="220"/>
      <c r="W128" s="177">
        <f>IF(S128=0,0,IF(U128="MXN",1/HLOOKUP(YEAR(T128)+(MONTH(T128)/100),TC!$5:$37,DAY(T128)+2,FALSE),VLOOKUP(U128,Equivalencia!$1:$23,((MAX(Equivalencia!$3:$3)-YEAR(T128))*14)+MONTH(T128)+2,FALSE)))</f>
        <v>0</v>
      </c>
      <c r="X128" s="178">
        <f t="shared" si="19"/>
        <v>0</v>
      </c>
      <c r="Y128" s="178">
        <f t="shared" si="20"/>
        <v>0</v>
      </c>
      <c r="Z128" s="175">
        <f t="shared" si="12"/>
        <v>0</v>
      </c>
      <c r="AA128" s="179"/>
      <c r="AB128" s="467">
        <f t="shared" si="13"/>
        <v>0</v>
      </c>
      <c r="AC128" s="466">
        <f t="shared" si="14"/>
        <v>0</v>
      </c>
    </row>
    <row r="129" spans="2:29" ht="20.100000000000001" customHeight="1">
      <c r="B129" s="172"/>
      <c r="C129" s="172"/>
      <c r="D129" s="172"/>
      <c r="E129" s="181"/>
      <c r="F129" s="173"/>
      <c r="G129" s="174"/>
      <c r="H129" s="284"/>
      <c r="I129" s="221"/>
      <c r="J129" s="177">
        <f>IF(H129=0,0,IF(F129="MXN",1/HLOOKUP(YEAR(G129)+(MONTH(G129)/100),TC!$5:$37,DAY(G129)+2,FALSE),VLOOKUP(F129,Equivalencia!$5:$23,((MAX(Equivalencia!$3:$3)-YEAR(G129))*14)+MONTH(G129)+2,FALSE)))</f>
        <v>0</v>
      </c>
      <c r="K129" s="217">
        <f t="shared" si="15"/>
        <v>0</v>
      </c>
      <c r="L129" s="462">
        <f>IF(G129=0,0,VLOOKUP(YEAR(G129),INPC!$B$4:$O$29,MONTH(G129)+1))</f>
        <v>0</v>
      </c>
      <c r="M129" s="462">
        <f>IF(T129=0,0,VLOOKUP(YEAR(T129),INPC!$B$4:$O$29,MONTH(T129)+1))</f>
        <v>0</v>
      </c>
      <c r="N129" s="463">
        <f t="shared" si="11"/>
        <v>0</v>
      </c>
      <c r="O129" s="464">
        <f t="shared" si="16"/>
        <v>0</v>
      </c>
      <c r="P129" s="465">
        <f t="shared" si="17"/>
        <v>0</v>
      </c>
      <c r="Q129" s="606" t="str">
        <f t="shared" si="18"/>
        <v>NO</v>
      </c>
      <c r="R129" s="180"/>
      <c r="S129" s="173"/>
      <c r="T129" s="174"/>
      <c r="U129" s="173"/>
      <c r="V129" s="220"/>
      <c r="W129" s="177">
        <f>IF(S129=0,0,IF(U129="MXN",1/HLOOKUP(YEAR(T129)+(MONTH(T129)/100),TC!$5:$37,DAY(T129)+2,FALSE),VLOOKUP(U129,Equivalencia!$1:$23,((MAX(Equivalencia!$3:$3)-YEAR(T129))*14)+MONTH(T129)+2,FALSE)))</f>
        <v>0</v>
      </c>
      <c r="X129" s="178">
        <f t="shared" si="19"/>
        <v>0</v>
      </c>
      <c r="Y129" s="178">
        <f t="shared" si="20"/>
        <v>0</v>
      </c>
      <c r="Z129" s="175">
        <f t="shared" si="12"/>
        <v>0</v>
      </c>
      <c r="AA129" s="179"/>
      <c r="AB129" s="467">
        <f t="shared" si="13"/>
        <v>0</v>
      </c>
      <c r="AC129" s="466">
        <f t="shared" si="14"/>
        <v>0</v>
      </c>
    </row>
    <row r="130" spans="2:29" ht="20.100000000000001" customHeight="1">
      <c r="B130" s="172"/>
      <c r="C130" s="172"/>
      <c r="D130" s="172"/>
      <c r="E130" s="181"/>
      <c r="F130" s="173"/>
      <c r="G130" s="174"/>
      <c r="H130" s="284"/>
      <c r="I130" s="221"/>
      <c r="J130" s="177">
        <f>IF(H130=0,0,IF(F130="MXN",1/HLOOKUP(YEAR(G130)+(MONTH(G130)/100),TC!$5:$37,DAY(G130)+2,FALSE),VLOOKUP(F130,Equivalencia!$5:$23,((MAX(Equivalencia!$3:$3)-YEAR(G130))*14)+MONTH(G130)+2,FALSE)))</f>
        <v>0</v>
      </c>
      <c r="K130" s="217">
        <f t="shared" si="15"/>
        <v>0</v>
      </c>
      <c r="L130" s="462">
        <f>IF(G130=0,0,VLOOKUP(YEAR(G130),INPC!$B$4:$O$29,MONTH(G130)+1))</f>
        <v>0</v>
      </c>
      <c r="M130" s="462">
        <f>IF(T130=0,0,VLOOKUP(YEAR(T130),INPC!$B$4:$O$29,MONTH(T130)+1))</f>
        <v>0</v>
      </c>
      <c r="N130" s="463">
        <f t="shared" ref="N130:N193" si="21">IF(T130=0,0,IF(TRUNC(M130/L130,4)&gt;=1,TRUNC(M130/L130,4),1))</f>
        <v>0</v>
      </c>
      <c r="O130" s="464">
        <f t="shared" si="16"/>
        <v>0</v>
      </c>
      <c r="P130" s="465">
        <f t="shared" si="17"/>
        <v>0</v>
      </c>
      <c r="Q130" s="606" t="str">
        <f t="shared" si="18"/>
        <v>NO</v>
      </c>
      <c r="R130" s="180"/>
      <c r="S130" s="173"/>
      <c r="T130" s="174"/>
      <c r="U130" s="173"/>
      <c r="V130" s="220"/>
      <c r="W130" s="177">
        <f>IF(S130=0,0,IF(U130="MXN",1/HLOOKUP(YEAR(T130)+(MONTH(T130)/100),TC!$5:$37,DAY(T130)+2,FALSE),VLOOKUP(U130,Equivalencia!$1:$23,((MAX(Equivalencia!$3:$3)-YEAR(T130))*14)+MONTH(T130)+2,FALSE)))</f>
        <v>0</v>
      </c>
      <c r="X130" s="178">
        <f t="shared" si="19"/>
        <v>0</v>
      </c>
      <c r="Y130" s="178">
        <f t="shared" si="20"/>
        <v>0</v>
      </c>
      <c r="Z130" s="175">
        <f t="shared" ref="Z130:Z193" si="22">+X130+Y130</f>
        <v>0</v>
      </c>
      <c r="AA130" s="179"/>
      <c r="AB130" s="467">
        <f t="shared" ref="AB130:AB193" si="23">+X130+AC130</f>
        <v>0</v>
      </c>
      <c r="AC130" s="466">
        <f t="shared" ref="AC130:AC193" si="24">+R130*P130</f>
        <v>0</v>
      </c>
    </row>
    <row r="131" spans="2:29" ht="20.100000000000001" customHeight="1">
      <c r="B131" s="172"/>
      <c r="C131" s="172"/>
      <c r="D131" s="172"/>
      <c r="E131" s="181"/>
      <c r="F131" s="173"/>
      <c r="G131" s="174"/>
      <c r="H131" s="284"/>
      <c r="I131" s="221"/>
      <c r="J131" s="177">
        <f>IF(H131=0,0,IF(F131="MXN",1/HLOOKUP(YEAR(G131)+(MONTH(G131)/100),TC!$5:$37,DAY(G131)+2,FALSE),VLOOKUP(F131,Equivalencia!$5:$23,((MAX(Equivalencia!$3:$3)-YEAR(G131))*14)+MONTH(G131)+2,FALSE)))</f>
        <v>0</v>
      </c>
      <c r="K131" s="217">
        <f t="shared" ref="K131:K194" si="25">+I131*J131</f>
        <v>0</v>
      </c>
      <c r="L131" s="462">
        <f>IF(G131=0,0,VLOOKUP(YEAR(G131),INPC!$B$4:$O$29,MONTH(G131)+1))</f>
        <v>0</v>
      </c>
      <c r="M131" s="462">
        <f>IF(T131=0,0,VLOOKUP(YEAR(T131),INPC!$B$4:$O$29,MONTH(T131)+1))</f>
        <v>0</v>
      </c>
      <c r="N131" s="463">
        <f t="shared" si="21"/>
        <v>0</v>
      </c>
      <c r="O131" s="464">
        <f t="shared" ref="O131:O194" si="26">+N131*K131</f>
        <v>0</v>
      </c>
      <c r="P131" s="465">
        <f t="shared" ref="P131:P194" si="27">IF(R131=0,0,O131/R131)</f>
        <v>0</v>
      </c>
      <c r="Q131" s="606" t="str">
        <f t="shared" ref="Q131:Q194" si="28">IF(T131=0,"NO","SI")</f>
        <v>NO</v>
      </c>
      <c r="R131" s="180"/>
      <c r="S131" s="173"/>
      <c r="T131" s="174"/>
      <c r="U131" s="173"/>
      <c r="V131" s="220"/>
      <c r="W131" s="177">
        <f>IF(S131=0,0,IF(U131="MXN",1/HLOOKUP(YEAR(T131)+(MONTH(T131)/100),TC!$5:$37,DAY(T131)+2,FALSE),VLOOKUP(U131,Equivalencia!$1:$23,((MAX(Equivalencia!$3:$3)-YEAR(T131))*14)+MONTH(T131)+2,FALSE)))</f>
        <v>0</v>
      </c>
      <c r="X131" s="178">
        <f t="shared" ref="X131:X194" si="29">+W131*V131</f>
        <v>0</v>
      </c>
      <c r="Y131" s="178">
        <f t="shared" ref="Y131:Y194" si="30">+K131</f>
        <v>0</v>
      </c>
      <c r="Z131" s="175">
        <f t="shared" si="22"/>
        <v>0</v>
      </c>
      <c r="AA131" s="179"/>
      <c r="AB131" s="467">
        <f t="shared" si="23"/>
        <v>0</v>
      </c>
      <c r="AC131" s="466">
        <f t="shared" si="24"/>
        <v>0</v>
      </c>
    </row>
    <row r="132" spans="2:29" ht="20.100000000000001" customHeight="1">
      <c r="B132" s="172"/>
      <c r="C132" s="172"/>
      <c r="D132" s="172"/>
      <c r="E132" s="181"/>
      <c r="F132" s="173"/>
      <c r="G132" s="174"/>
      <c r="H132" s="284"/>
      <c r="I132" s="221"/>
      <c r="J132" s="177">
        <f>IF(H132=0,0,IF(F132="MXN",1/HLOOKUP(YEAR(G132)+(MONTH(G132)/100),TC!$5:$37,DAY(G132)+2,FALSE),VLOOKUP(F132,Equivalencia!$5:$23,((MAX(Equivalencia!$3:$3)-YEAR(G132))*14)+MONTH(G132)+2,FALSE)))</f>
        <v>0</v>
      </c>
      <c r="K132" s="217">
        <f t="shared" si="25"/>
        <v>0</v>
      </c>
      <c r="L132" s="462">
        <f>IF(G132=0,0,VLOOKUP(YEAR(G132),INPC!$B$4:$O$29,MONTH(G132)+1))</f>
        <v>0</v>
      </c>
      <c r="M132" s="462">
        <f>IF(T132=0,0,VLOOKUP(YEAR(T132),INPC!$B$4:$O$29,MONTH(T132)+1))</f>
        <v>0</v>
      </c>
      <c r="N132" s="463">
        <f t="shared" si="21"/>
        <v>0</v>
      </c>
      <c r="O132" s="464">
        <f t="shared" si="26"/>
        <v>0</v>
      </c>
      <c r="P132" s="465">
        <f t="shared" si="27"/>
        <v>0</v>
      </c>
      <c r="Q132" s="606" t="str">
        <f t="shared" si="28"/>
        <v>NO</v>
      </c>
      <c r="R132" s="180"/>
      <c r="S132" s="173"/>
      <c r="T132" s="174"/>
      <c r="U132" s="173"/>
      <c r="V132" s="220"/>
      <c r="W132" s="177">
        <f>IF(S132=0,0,IF(U132="MXN",1/HLOOKUP(YEAR(T132)+(MONTH(T132)/100),TC!$5:$37,DAY(T132)+2,FALSE),VLOOKUP(U132,Equivalencia!$1:$23,((MAX(Equivalencia!$3:$3)-YEAR(T132))*14)+MONTH(T132)+2,FALSE)))</f>
        <v>0</v>
      </c>
      <c r="X132" s="178">
        <f t="shared" si="29"/>
        <v>0</v>
      </c>
      <c r="Y132" s="178">
        <f t="shared" si="30"/>
        <v>0</v>
      </c>
      <c r="Z132" s="175">
        <f t="shared" si="22"/>
        <v>0</v>
      </c>
      <c r="AA132" s="179"/>
      <c r="AB132" s="467">
        <f t="shared" si="23"/>
        <v>0</v>
      </c>
      <c r="AC132" s="466">
        <f t="shared" si="24"/>
        <v>0</v>
      </c>
    </row>
    <row r="133" spans="2:29" ht="20.100000000000001" customHeight="1">
      <c r="B133" s="172"/>
      <c r="C133" s="172"/>
      <c r="D133" s="172"/>
      <c r="E133" s="181"/>
      <c r="F133" s="173"/>
      <c r="G133" s="174"/>
      <c r="H133" s="284"/>
      <c r="I133" s="221"/>
      <c r="J133" s="177">
        <f>IF(H133=0,0,IF(F133="MXN",1/HLOOKUP(YEAR(G133)+(MONTH(G133)/100),TC!$5:$37,DAY(G133)+2,FALSE),VLOOKUP(F133,Equivalencia!$5:$23,((MAX(Equivalencia!$3:$3)-YEAR(G133))*14)+MONTH(G133)+2,FALSE)))</f>
        <v>0</v>
      </c>
      <c r="K133" s="217">
        <f t="shared" si="25"/>
        <v>0</v>
      </c>
      <c r="L133" s="462">
        <f>IF(G133=0,0,VLOOKUP(YEAR(G133),INPC!$B$4:$O$29,MONTH(G133)+1))</f>
        <v>0</v>
      </c>
      <c r="M133" s="462">
        <f>IF(T133=0,0,VLOOKUP(YEAR(T133),INPC!$B$4:$O$29,MONTH(T133)+1))</f>
        <v>0</v>
      </c>
      <c r="N133" s="463">
        <f t="shared" si="21"/>
        <v>0</v>
      </c>
      <c r="O133" s="464">
        <f t="shared" si="26"/>
        <v>0</v>
      </c>
      <c r="P133" s="465">
        <f t="shared" si="27"/>
        <v>0</v>
      </c>
      <c r="Q133" s="606" t="str">
        <f t="shared" si="28"/>
        <v>NO</v>
      </c>
      <c r="R133" s="180"/>
      <c r="S133" s="173"/>
      <c r="T133" s="174"/>
      <c r="U133" s="173"/>
      <c r="V133" s="220"/>
      <c r="W133" s="177">
        <f>IF(S133=0,0,IF(U133="MXN",1/HLOOKUP(YEAR(T133)+(MONTH(T133)/100),TC!$5:$37,DAY(T133)+2,FALSE),VLOOKUP(U133,Equivalencia!$1:$23,((MAX(Equivalencia!$3:$3)-YEAR(T133))*14)+MONTH(T133)+2,FALSE)))</f>
        <v>0</v>
      </c>
      <c r="X133" s="178">
        <f t="shared" si="29"/>
        <v>0</v>
      </c>
      <c r="Y133" s="178">
        <f t="shared" si="30"/>
        <v>0</v>
      </c>
      <c r="Z133" s="175">
        <f t="shared" si="22"/>
        <v>0</v>
      </c>
      <c r="AA133" s="179"/>
      <c r="AB133" s="467">
        <f t="shared" si="23"/>
        <v>0</v>
      </c>
      <c r="AC133" s="466">
        <f t="shared" si="24"/>
        <v>0</v>
      </c>
    </row>
    <row r="134" spans="2:29" ht="20.100000000000001" customHeight="1">
      <c r="B134" s="172"/>
      <c r="C134" s="172"/>
      <c r="D134" s="172"/>
      <c r="E134" s="181"/>
      <c r="F134" s="173"/>
      <c r="G134" s="174"/>
      <c r="H134" s="284"/>
      <c r="I134" s="221"/>
      <c r="J134" s="177">
        <f>IF(H134=0,0,IF(F134="MXN",1/HLOOKUP(YEAR(G134)+(MONTH(G134)/100),TC!$5:$37,DAY(G134)+2,FALSE),VLOOKUP(F134,Equivalencia!$5:$23,((MAX(Equivalencia!$3:$3)-YEAR(G134))*14)+MONTH(G134)+2,FALSE)))</f>
        <v>0</v>
      </c>
      <c r="K134" s="217">
        <f t="shared" si="25"/>
        <v>0</v>
      </c>
      <c r="L134" s="462">
        <f>IF(G134=0,0,VLOOKUP(YEAR(G134),INPC!$B$4:$O$29,MONTH(G134)+1))</f>
        <v>0</v>
      </c>
      <c r="M134" s="462">
        <f>IF(T134=0,0,VLOOKUP(YEAR(T134),INPC!$B$4:$O$29,MONTH(T134)+1))</f>
        <v>0</v>
      </c>
      <c r="N134" s="463">
        <f t="shared" si="21"/>
        <v>0</v>
      </c>
      <c r="O134" s="464">
        <f t="shared" si="26"/>
        <v>0</v>
      </c>
      <c r="P134" s="465">
        <f t="shared" si="27"/>
        <v>0</v>
      </c>
      <c r="Q134" s="606" t="str">
        <f t="shared" si="28"/>
        <v>NO</v>
      </c>
      <c r="R134" s="180"/>
      <c r="S134" s="173"/>
      <c r="T134" s="174"/>
      <c r="U134" s="173"/>
      <c r="V134" s="220"/>
      <c r="W134" s="177">
        <f>IF(S134=0,0,IF(U134="MXN",1/HLOOKUP(YEAR(T134)+(MONTH(T134)/100),TC!$5:$37,DAY(T134)+2,FALSE),VLOOKUP(U134,Equivalencia!$1:$23,((MAX(Equivalencia!$3:$3)-YEAR(T134))*14)+MONTH(T134)+2,FALSE)))</f>
        <v>0</v>
      </c>
      <c r="X134" s="178">
        <f t="shared" si="29"/>
        <v>0</v>
      </c>
      <c r="Y134" s="178">
        <f t="shared" si="30"/>
        <v>0</v>
      </c>
      <c r="Z134" s="175">
        <f t="shared" si="22"/>
        <v>0</v>
      </c>
      <c r="AA134" s="179"/>
      <c r="AB134" s="467">
        <f t="shared" si="23"/>
        <v>0</v>
      </c>
      <c r="AC134" s="466">
        <f t="shared" si="24"/>
        <v>0</v>
      </c>
    </row>
    <row r="135" spans="2:29" ht="20.100000000000001" customHeight="1">
      <c r="B135" s="172"/>
      <c r="C135" s="172"/>
      <c r="D135" s="172"/>
      <c r="E135" s="181"/>
      <c r="F135" s="173"/>
      <c r="G135" s="174"/>
      <c r="H135" s="284"/>
      <c r="I135" s="221"/>
      <c r="J135" s="177">
        <f>IF(H135=0,0,IF(F135="MXN",1/HLOOKUP(YEAR(G135)+(MONTH(G135)/100),TC!$5:$37,DAY(G135)+2,FALSE),VLOOKUP(F135,Equivalencia!$5:$23,((MAX(Equivalencia!$3:$3)-YEAR(G135))*14)+MONTH(G135)+2,FALSE)))</f>
        <v>0</v>
      </c>
      <c r="K135" s="217">
        <f t="shared" si="25"/>
        <v>0</v>
      </c>
      <c r="L135" s="462">
        <f>IF(G135=0,0,VLOOKUP(YEAR(G135),INPC!$B$4:$O$29,MONTH(G135)+1))</f>
        <v>0</v>
      </c>
      <c r="M135" s="462">
        <f>IF(T135=0,0,VLOOKUP(YEAR(T135),INPC!$B$4:$O$29,MONTH(T135)+1))</f>
        <v>0</v>
      </c>
      <c r="N135" s="463">
        <f t="shared" si="21"/>
        <v>0</v>
      </c>
      <c r="O135" s="464">
        <f t="shared" si="26"/>
        <v>0</v>
      </c>
      <c r="P135" s="465">
        <f t="shared" si="27"/>
        <v>0</v>
      </c>
      <c r="Q135" s="606" t="str">
        <f t="shared" si="28"/>
        <v>NO</v>
      </c>
      <c r="R135" s="180"/>
      <c r="S135" s="173"/>
      <c r="T135" s="174"/>
      <c r="U135" s="173"/>
      <c r="V135" s="220"/>
      <c r="W135" s="177">
        <f>IF(S135=0,0,IF(U135="MXN",1/HLOOKUP(YEAR(T135)+(MONTH(T135)/100),TC!$5:$37,DAY(T135)+2,FALSE),VLOOKUP(U135,Equivalencia!$1:$23,((MAX(Equivalencia!$3:$3)-YEAR(T135))*14)+MONTH(T135)+2,FALSE)))</f>
        <v>0</v>
      </c>
      <c r="X135" s="178">
        <f t="shared" si="29"/>
        <v>0</v>
      </c>
      <c r="Y135" s="178">
        <f t="shared" si="30"/>
        <v>0</v>
      </c>
      <c r="Z135" s="175">
        <f t="shared" si="22"/>
        <v>0</v>
      </c>
      <c r="AA135" s="179"/>
      <c r="AB135" s="467">
        <f t="shared" si="23"/>
        <v>0</v>
      </c>
      <c r="AC135" s="466">
        <f t="shared" si="24"/>
        <v>0</v>
      </c>
    </row>
    <row r="136" spans="2:29" ht="20.100000000000001" customHeight="1">
      <c r="B136" s="172"/>
      <c r="C136" s="172"/>
      <c r="D136" s="172"/>
      <c r="E136" s="181"/>
      <c r="F136" s="173"/>
      <c r="G136" s="174"/>
      <c r="H136" s="284"/>
      <c r="I136" s="221"/>
      <c r="J136" s="177">
        <f>IF(H136=0,0,IF(F136="MXN",1/HLOOKUP(YEAR(G136)+(MONTH(G136)/100),TC!$5:$37,DAY(G136)+2,FALSE),VLOOKUP(F136,Equivalencia!$5:$23,((MAX(Equivalencia!$3:$3)-YEAR(G136))*14)+MONTH(G136)+2,FALSE)))</f>
        <v>0</v>
      </c>
      <c r="K136" s="217">
        <f t="shared" si="25"/>
        <v>0</v>
      </c>
      <c r="L136" s="462">
        <f>IF(G136=0,0,VLOOKUP(YEAR(G136),INPC!$B$4:$O$29,MONTH(G136)+1))</f>
        <v>0</v>
      </c>
      <c r="M136" s="462">
        <f>IF(T136=0,0,VLOOKUP(YEAR(T136),INPC!$B$4:$O$29,MONTH(T136)+1))</f>
        <v>0</v>
      </c>
      <c r="N136" s="463">
        <f t="shared" si="21"/>
        <v>0</v>
      </c>
      <c r="O136" s="464">
        <f t="shared" si="26"/>
        <v>0</v>
      </c>
      <c r="P136" s="465">
        <f t="shared" si="27"/>
        <v>0</v>
      </c>
      <c r="Q136" s="606" t="str">
        <f t="shared" si="28"/>
        <v>NO</v>
      </c>
      <c r="R136" s="180"/>
      <c r="S136" s="173"/>
      <c r="T136" s="174"/>
      <c r="U136" s="173"/>
      <c r="V136" s="220"/>
      <c r="W136" s="177">
        <f>IF(S136=0,0,IF(U136="MXN",1/HLOOKUP(YEAR(T136)+(MONTH(T136)/100),TC!$5:$37,DAY(T136)+2,FALSE),VLOOKUP(U136,Equivalencia!$1:$23,((MAX(Equivalencia!$3:$3)-YEAR(T136))*14)+MONTH(T136)+2,FALSE)))</f>
        <v>0</v>
      </c>
      <c r="X136" s="178">
        <f t="shared" si="29"/>
        <v>0</v>
      </c>
      <c r="Y136" s="178">
        <f t="shared" si="30"/>
        <v>0</v>
      </c>
      <c r="Z136" s="175">
        <f t="shared" si="22"/>
        <v>0</v>
      </c>
      <c r="AA136" s="179"/>
      <c r="AB136" s="467">
        <f t="shared" si="23"/>
        <v>0</v>
      </c>
      <c r="AC136" s="466">
        <f t="shared" si="24"/>
        <v>0</v>
      </c>
    </row>
    <row r="137" spans="2:29" ht="20.100000000000001" customHeight="1">
      <c r="B137" s="172"/>
      <c r="C137" s="172"/>
      <c r="D137" s="172"/>
      <c r="E137" s="181"/>
      <c r="F137" s="173"/>
      <c r="G137" s="174"/>
      <c r="H137" s="284"/>
      <c r="I137" s="221"/>
      <c r="J137" s="177">
        <f>IF(H137=0,0,IF(F137="MXN",1/HLOOKUP(YEAR(G137)+(MONTH(G137)/100),TC!$5:$37,DAY(G137)+2,FALSE),VLOOKUP(F137,Equivalencia!$5:$23,((MAX(Equivalencia!$3:$3)-YEAR(G137))*14)+MONTH(G137)+2,FALSE)))</f>
        <v>0</v>
      </c>
      <c r="K137" s="217">
        <f t="shared" si="25"/>
        <v>0</v>
      </c>
      <c r="L137" s="462">
        <f>IF(G137=0,0,VLOOKUP(YEAR(G137),INPC!$B$4:$O$29,MONTH(G137)+1))</f>
        <v>0</v>
      </c>
      <c r="M137" s="462">
        <f>IF(T137=0,0,VLOOKUP(YEAR(T137),INPC!$B$4:$O$29,MONTH(T137)+1))</f>
        <v>0</v>
      </c>
      <c r="N137" s="463">
        <f t="shared" si="21"/>
        <v>0</v>
      </c>
      <c r="O137" s="464">
        <f t="shared" si="26"/>
        <v>0</v>
      </c>
      <c r="P137" s="465">
        <f t="shared" si="27"/>
        <v>0</v>
      </c>
      <c r="Q137" s="606" t="str">
        <f t="shared" si="28"/>
        <v>NO</v>
      </c>
      <c r="R137" s="180"/>
      <c r="S137" s="173"/>
      <c r="T137" s="174"/>
      <c r="U137" s="173"/>
      <c r="V137" s="220"/>
      <c r="W137" s="177">
        <f>IF(S137=0,0,IF(U137="MXN",1/HLOOKUP(YEAR(T137)+(MONTH(T137)/100),TC!$5:$37,DAY(T137)+2,FALSE),VLOOKUP(U137,Equivalencia!$1:$23,((MAX(Equivalencia!$3:$3)-YEAR(T137))*14)+MONTH(T137)+2,FALSE)))</f>
        <v>0</v>
      </c>
      <c r="X137" s="178">
        <f t="shared" si="29"/>
        <v>0</v>
      </c>
      <c r="Y137" s="178">
        <f t="shared" si="30"/>
        <v>0</v>
      </c>
      <c r="Z137" s="175">
        <f t="shared" si="22"/>
        <v>0</v>
      </c>
      <c r="AA137" s="179"/>
      <c r="AB137" s="467">
        <f t="shared" si="23"/>
        <v>0</v>
      </c>
      <c r="AC137" s="466">
        <f t="shared" si="24"/>
        <v>0</v>
      </c>
    </row>
    <row r="138" spans="2:29" ht="20.100000000000001" customHeight="1">
      <c r="B138" s="172"/>
      <c r="C138" s="172"/>
      <c r="D138" s="172"/>
      <c r="E138" s="181"/>
      <c r="F138" s="173"/>
      <c r="G138" s="174"/>
      <c r="H138" s="284"/>
      <c r="I138" s="221"/>
      <c r="J138" s="177">
        <f>IF(H138=0,0,IF(F138="MXN",1/HLOOKUP(YEAR(G138)+(MONTH(G138)/100),TC!$5:$37,DAY(G138)+2,FALSE),VLOOKUP(F138,Equivalencia!$5:$23,((MAX(Equivalencia!$3:$3)-YEAR(G138))*14)+MONTH(G138)+2,FALSE)))</f>
        <v>0</v>
      </c>
      <c r="K138" s="217">
        <f t="shared" si="25"/>
        <v>0</v>
      </c>
      <c r="L138" s="462">
        <f>IF(G138=0,0,VLOOKUP(YEAR(G138),INPC!$B$4:$O$29,MONTH(G138)+1))</f>
        <v>0</v>
      </c>
      <c r="M138" s="462">
        <f>IF(T138=0,0,VLOOKUP(YEAR(T138),INPC!$B$4:$O$29,MONTH(T138)+1))</f>
        <v>0</v>
      </c>
      <c r="N138" s="463">
        <f t="shared" si="21"/>
        <v>0</v>
      </c>
      <c r="O138" s="464">
        <f t="shared" si="26"/>
        <v>0</v>
      </c>
      <c r="P138" s="465">
        <f t="shared" si="27"/>
        <v>0</v>
      </c>
      <c r="Q138" s="606" t="str">
        <f t="shared" si="28"/>
        <v>NO</v>
      </c>
      <c r="R138" s="180"/>
      <c r="S138" s="173"/>
      <c r="T138" s="174"/>
      <c r="U138" s="173"/>
      <c r="V138" s="220"/>
      <c r="W138" s="177">
        <f>IF(S138=0,0,IF(U138="MXN",1/HLOOKUP(YEAR(T138)+(MONTH(T138)/100),TC!$5:$37,DAY(T138)+2,FALSE),VLOOKUP(U138,Equivalencia!$1:$23,((MAX(Equivalencia!$3:$3)-YEAR(T138))*14)+MONTH(T138)+2,FALSE)))</f>
        <v>0</v>
      </c>
      <c r="X138" s="178">
        <f t="shared" si="29"/>
        <v>0</v>
      </c>
      <c r="Y138" s="178">
        <f t="shared" si="30"/>
        <v>0</v>
      </c>
      <c r="Z138" s="175">
        <f t="shared" si="22"/>
        <v>0</v>
      </c>
      <c r="AA138" s="179"/>
      <c r="AB138" s="467">
        <f t="shared" si="23"/>
        <v>0</v>
      </c>
      <c r="AC138" s="466">
        <f t="shared" si="24"/>
        <v>0</v>
      </c>
    </row>
    <row r="139" spans="2:29" ht="20.100000000000001" customHeight="1">
      <c r="B139" s="172"/>
      <c r="C139" s="172"/>
      <c r="D139" s="172"/>
      <c r="E139" s="181"/>
      <c r="F139" s="173"/>
      <c r="G139" s="174"/>
      <c r="H139" s="284"/>
      <c r="I139" s="221"/>
      <c r="J139" s="177">
        <f>IF(H139=0,0,IF(F139="MXN",1/HLOOKUP(YEAR(G139)+(MONTH(G139)/100),TC!$5:$37,DAY(G139)+2,FALSE),VLOOKUP(F139,Equivalencia!$5:$23,((MAX(Equivalencia!$3:$3)-YEAR(G139))*14)+MONTH(G139)+2,FALSE)))</f>
        <v>0</v>
      </c>
      <c r="K139" s="217">
        <f t="shared" si="25"/>
        <v>0</v>
      </c>
      <c r="L139" s="462">
        <f>IF(G139=0,0,VLOOKUP(YEAR(G139),INPC!$B$4:$O$29,MONTH(G139)+1))</f>
        <v>0</v>
      </c>
      <c r="M139" s="462">
        <f>IF(T139=0,0,VLOOKUP(YEAR(T139),INPC!$B$4:$O$29,MONTH(T139)+1))</f>
        <v>0</v>
      </c>
      <c r="N139" s="463">
        <f t="shared" si="21"/>
        <v>0</v>
      </c>
      <c r="O139" s="464">
        <f t="shared" si="26"/>
        <v>0</v>
      </c>
      <c r="P139" s="465">
        <f t="shared" si="27"/>
        <v>0</v>
      </c>
      <c r="Q139" s="606" t="str">
        <f t="shared" si="28"/>
        <v>NO</v>
      </c>
      <c r="R139" s="180"/>
      <c r="S139" s="173"/>
      <c r="T139" s="174"/>
      <c r="U139" s="173"/>
      <c r="V139" s="220"/>
      <c r="W139" s="177">
        <f>IF(S139=0,0,IF(U139="MXN",1/HLOOKUP(YEAR(T139)+(MONTH(T139)/100),TC!$5:$37,DAY(T139)+2,FALSE),VLOOKUP(U139,Equivalencia!$1:$23,((MAX(Equivalencia!$3:$3)-YEAR(T139))*14)+MONTH(T139)+2,FALSE)))</f>
        <v>0</v>
      </c>
      <c r="X139" s="178">
        <f t="shared" si="29"/>
        <v>0</v>
      </c>
      <c r="Y139" s="178">
        <f t="shared" si="30"/>
        <v>0</v>
      </c>
      <c r="Z139" s="175">
        <f t="shared" si="22"/>
        <v>0</v>
      </c>
      <c r="AA139" s="179"/>
      <c r="AB139" s="467">
        <f t="shared" si="23"/>
        <v>0</v>
      </c>
      <c r="AC139" s="466">
        <f t="shared" si="24"/>
        <v>0</v>
      </c>
    </row>
    <row r="140" spans="2:29" ht="20.100000000000001" customHeight="1">
      <c r="B140" s="172"/>
      <c r="C140" s="172"/>
      <c r="D140" s="172"/>
      <c r="E140" s="181"/>
      <c r="F140" s="173"/>
      <c r="G140" s="174"/>
      <c r="H140" s="284"/>
      <c r="I140" s="221"/>
      <c r="J140" s="177">
        <f>IF(H140=0,0,IF(F140="MXN",1/HLOOKUP(YEAR(G140)+(MONTH(G140)/100),TC!$5:$37,DAY(G140)+2,FALSE),VLOOKUP(F140,Equivalencia!$5:$23,((MAX(Equivalencia!$3:$3)-YEAR(G140))*14)+MONTH(G140)+2,FALSE)))</f>
        <v>0</v>
      </c>
      <c r="K140" s="217">
        <f t="shared" si="25"/>
        <v>0</v>
      </c>
      <c r="L140" s="462">
        <f>IF(G140=0,0,VLOOKUP(YEAR(G140),INPC!$B$4:$O$29,MONTH(G140)+1))</f>
        <v>0</v>
      </c>
      <c r="M140" s="462">
        <f>IF(T140=0,0,VLOOKUP(YEAR(T140),INPC!$B$4:$O$29,MONTH(T140)+1))</f>
        <v>0</v>
      </c>
      <c r="N140" s="463">
        <f t="shared" si="21"/>
        <v>0</v>
      </c>
      <c r="O140" s="464">
        <f t="shared" si="26"/>
        <v>0</v>
      </c>
      <c r="P140" s="465">
        <f t="shared" si="27"/>
        <v>0</v>
      </c>
      <c r="Q140" s="606" t="str">
        <f t="shared" si="28"/>
        <v>NO</v>
      </c>
      <c r="R140" s="180"/>
      <c r="S140" s="173"/>
      <c r="T140" s="174"/>
      <c r="U140" s="173"/>
      <c r="V140" s="220"/>
      <c r="W140" s="177">
        <f>IF(S140=0,0,IF(U140="MXN",1/HLOOKUP(YEAR(T140)+(MONTH(T140)/100),TC!$5:$37,DAY(T140)+2,FALSE),VLOOKUP(U140,Equivalencia!$1:$23,((MAX(Equivalencia!$3:$3)-YEAR(T140))*14)+MONTH(T140)+2,FALSE)))</f>
        <v>0</v>
      </c>
      <c r="X140" s="178">
        <f t="shared" si="29"/>
        <v>0</v>
      </c>
      <c r="Y140" s="178">
        <f t="shared" si="30"/>
        <v>0</v>
      </c>
      <c r="Z140" s="175">
        <f t="shared" si="22"/>
        <v>0</v>
      </c>
      <c r="AA140" s="179"/>
      <c r="AB140" s="467">
        <f t="shared" si="23"/>
        <v>0</v>
      </c>
      <c r="AC140" s="466">
        <f t="shared" si="24"/>
        <v>0</v>
      </c>
    </row>
    <row r="141" spans="2:29" ht="20.100000000000001" customHeight="1">
      <c r="B141" s="172"/>
      <c r="C141" s="172"/>
      <c r="D141" s="172"/>
      <c r="E141" s="181"/>
      <c r="F141" s="173"/>
      <c r="G141" s="174"/>
      <c r="H141" s="284"/>
      <c r="I141" s="221"/>
      <c r="J141" s="177">
        <f>IF(H141=0,0,IF(F141="MXN",1/HLOOKUP(YEAR(G141)+(MONTH(G141)/100),TC!$5:$37,DAY(G141)+2,FALSE),VLOOKUP(F141,Equivalencia!$5:$23,((MAX(Equivalencia!$3:$3)-YEAR(G141))*14)+MONTH(G141)+2,FALSE)))</f>
        <v>0</v>
      </c>
      <c r="K141" s="217">
        <f t="shared" si="25"/>
        <v>0</v>
      </c>
      <c r="L141" s="462">
        <f>IF(G141=0,0,VLOOKUP(YEAR(G141),INPC!$B$4:$O$29,MONTH(G141)+1))</f>
        <v>0</v>
      </c>
      <c r="M141" s="462">
        <f>IF(T141=0,0,VLOOKUP(YEAR(T141),INPC!$B$4:$O$29,MONTH(T141)+1))</f>
        <v>0</v>
      </c>
      <c r="N141" s="463">
        <f t="shared" si="21"/>
        <v>0</v>
      </c>
      <c r="O141" s="464">
        <f t="shared" si="26"/>
        <v>0</v>
      </c>
      <c r="P141" s="465">
        <f t="shared" si="27"/>
        <v>0</v>
      </c>
      <c r="Q141" s="606" t="str">
        <f t="shared" si="28"/>
        <v>NO</v>
      </c>
      <c r="R141" s="180"/>
      <c r="S141" s="173"/>
      <c r="T141" s="174"/>
      <c r="U141" s="173"/>
      <c r="V141" s="220"/>
      <c r="W141" s="177">
        <f>IF(S141=0,0,IF(U141="MXN",1/HLOOKUP(YEAR(T141)+(MONTH(T141)/100),TC!$5:$37,DAY(T141)+2,FALSE),VLOOKUP(U141,Equivalencia!$1:$23,((MAX(Equivalencia!$3:$3)-YEAR(T141))*14)+MONTH(T141)+2,FALSE)))</f>
        <v>0</v>
      </c>
      <c r="X141" s="178">
        <f t="shared" si="29"/>
        <v>0</v>
      </c>
      <c r="Y141" s="178">
        <f t="shared" si="30"/>
        <v>0</v>
      </c>
      <c r="Z141" s="175">
        <f t="shared" si="22"/>
        <v>0</v>
      </c>
      <c r="AA141" s="179"/>
      <c r="AB141" s="467">
        <f t="shared" si="23"/>
        <v>0</v>
      </c>
      <c r="AC141" s="466">
        <f t="shared" si="24"/>
        <v>0</v>
      </c>
    </row>
    <row r="142" spans="2:29" ht="20.100000000000001" customHeight="1">
      <c r="B142" s="172"/>
      <c r="C142" s="172"/>
      <c r="D142" s="172"/>
      <c r="E142" s="181"/>
      <c r="F142" s="173"/>
      <c r="G142" s="174"/>
      <c r="H142" s="284"/>
      <c r="I142" s="221"/>
      <c r="J142" s="177">
        <f>IF(H142=0,0,IF(F142="MXN",1/HLOOKUP(YEAR(G142)+(MONTH(G142)/100),TC!$5:$37,DAY(G142)+2,FALSE),VLOOKUP(F142,Equivalencia!$5:$23,((MAX(Equivalencia!$3:$3)-YEAR(G142))*14)+MONTH(G142)+2,FALSE)))</f>
        <v>0</v>
      </c>
      <c r="K142" s="217">
        <f t="shared" si="25"/>
        <v>0</v>
      </c>
      <c r="L142" s="462">
        <f>IF(G142=0,0,VLOOKUP(YEAR(G142),INPC!$B$4:$O$29,MONTH(G142)+1))</f>
        <v>0</v>
      </c>
      <c r="M142" s="462">
        <f>IF(T142=0,0,VLOOKUP(YEAR(T142),INPC!$B$4:$O$29,MONTH(T142)+1))</f>
        <v>0</v>
      </c>
      <c r="N142" s="463">
        <f t="shared" si="21"/>
        <v>0</v>
      </c>
      <c r="O142" s="464">
        <f t="shared" si="26"/>
        <v>0</v>
      </c>
      <c r="P142" s="465">
        <f t="shared" si="27"/>
        <v>0</v>
      </c>
      <c r="Q142" s="606" t="str">
        <f t="shared" si="28"/>
        <v>NO</v>
      </c>
      <c r="R142" s="180"/>
      <c r="S142" s="173"/>
      <c r="T142" s="174"/>
      <c r="U142" s="173"/>
      <c r="V142" s="220"/>
      <c r="W142" s="177">
        <f>IF(S142=0,0,IF(U142="MXN",1/HLOOKUP(YEAR(T142)+(MONTH(T142)/100),TC!$5:$37,DAY(T142)+2,FALSE),VLOOKUP(U142,Equivalencia!$1:$23,((MAX(Equivalencia!$3:$3)-YEAR(T142))*14)+MONTH(T142)+2,FALSE)))</f>
        <v>0</v>
      </c>
      <c r="X142" s="178">
        <f t="shared" si="29"/>
        <v>0</v>
      </c>
      <c r="Y142" s="178">
        <f t="shared" si="30"/>
        <v>0</v>
      </c>
      <c r="Z142" s="175">
        <f t="shared" si="22"/>
        <v>0</v>
      </c>
      <c r="AA142" s="179"/>
      <c r="AB142" s="467">
        <f t="shared" si="23"/>
        <v>0</v>
      </c>
      <c r="AC142" s="466">
        <f t="shared" si="24"/>
        <v>0</v>
      </c>
    </row>
    <row r="143" spans="2:29" ht="20.100000000000001" customHeight="1">
      <c r="B143" s="172"/>
      <c r="C143" s="172"/>
      <c r="D143" s="172"/>
      <c r="E143" s="181"/>
      <c r="F143" s="173"/>
      <c r="G143" s="174"/>
      <c r="H143" s="284"/>
      <c r="I143" s="221"/>
      <c r="J143" s="177">
        <f>IF(H143=0,0,IF(F143="MXN",1/HLOOKUP(YEAR(G143)+(MONTH(G143)/100),TC!$5:$37,DAY(G143)+2,FALSE),VLOOKUP(F143,Equivalencia!$5:$23,((MAX(Equivalencia!$3:$3)-YEAR(G143))*14)+MONTH(G143)+2,FALSE)))</f>
        <v>0</v>
      </c>
      <c r="K143" s="217">
        <f t="shared" si="25"/>
        <v>0</v>
      </c>
      <c r="L143" s="462">
        <f>IF(G143=0,0,VLOOKUP(YEAR(G143),INPC!$B$4:$O$29,MONTH(G143)+1))</f>
        <v>0</v>
      </c>
      <c r="M143" s="462">
        <f>IF(T143=0,0,VLOOKUP(YEAR(T143),INPC!$B$4:$O$29,MONTH(T143)+1))</f>
        <v>0</v>
      </c>
      <c r="N143" s="463">
        <f t="shared" si="21"/>
        <v>0</v>
      </c>
      <c r="O143" s="464">
        <f t="shared" si="26"/>
        <v>0</v>
      </c>
      <c r="P143" s="465">
        <f t="shared" si="27"/>
        <v>0</v>
      </c>
      <c r="Q143" s="606" t="str">
        <f t="shared" si="28"/>
        <v>NO</v>
      </c>
      <c r="R143" s="180"/>
      <c r="S143" s="173"/>
      <c r="T143" s="174"/>
      <c r="U143" s="173"/>
      <c r="V143" s="220"/>
      <c r="W143" s="177">
        <f>IF(S143=0,0,IF(U143="MXN",1/HLOOKUP(YEAR(T143)+(MONTH(T143)/100),TC!$5:$37,DAY(T143)+2,FALSE),VLOOKUP(U143,Equivalencia!$1:$23,((MAX(Equivalencia!$3:$3)-YEAR(T143))*14)+MONTH(T143)+2,FALSE)))</f>
        <v>0</v>
      </c>
      <c r="X143" s="178">
        <f t="shared" si="29"/>
        <v>0</v>
      </c>
      <c r="Y143" s="178">
        <f t="shared" si="30"/>
        <v>0</v>
      </c>
      <c r="Z143" s="175">
        <f t="shared" si="22"/>
        <v>0</v>
      </c>
      <c r="AA143" s="179"/>
      <c r="AB143" s="467">
        <f t="shared" si="23"/>
        <v>0</v>
      </c>
      <c r="AC143" s="466">
        <f t="shared" si="24"/>
        <v>0</v>
      </c>
    </row>
    <row r="144" spans="2:29" ht="20.100000000000001" customHeight="1">
      <c r="B144" s="172"/>
      <c r="C144" s="172"/>
      <c r="D144" s="172"/>
      <c r="E144" s="181"/>
      <c r="F144" s="173"/>
      <c r="G144" s="174"/>
      <c r="H144" s="284"/>
      <c r="I144" s="221"/>
      <c r="J144" s="177">
        <f>IF(H144=0,0,IF(F144="MXN",1/HLOOKUP(YEAR(G144)+(MONTH(G144)/100),TC!$5:$37,DAY(G144)+2,FALSE),VLOOKUP(F144,Equivalencia!$5:$23,((MAX(Equivalencia!$3:$3)-YEAR(G144))*14)+MONTH(G144)+2,FALSE)))</f>
        <v>0</v>
      </c>
      <c r="K144" s="217">
        <f t="shared" si="25"/>
        <v>0</v>
      </c>
      <c r="L144" s="462">
        <f>IF(G144=0,0,VLOOKUP(YEAR(G144),INPC!$B$4:$O$29,MONTH(G144)+1))</f>
        <v>0</v>
      </c>
      <c r="M144" s="462">
        <f>IF(T144=0,0,VLOOKUP(YEAR(T144),INPC!$B$4:$O$29,MONTH(T144)+1))</f>
        <v>0</v>
      </c>
      <c r="N144" s="463">
        <f t="shared" si="21"/>
        <v>0</v>
      </c>
      <c r="O144" s="464">
        <f t="shared" si="26"/>
        <v>0</v>
      </c>
      <c r="P144" s="465">
        <f t="shared" si="27"/>
        <v>0</v>
      </c>
      <c r="Q144" s="606" t="str">
        <f t="shared" si="28"/>
        <v>NO</v>
      </c>
      <c r="R144" s="180"/>
      <c r="S144" s="173"/>
      <c r="T144" s="174"/>
      <c r="U144" s="173"/>
      <c r="V144" s="220"/>
      <c r="W144" s="177">
        <f>IF(S144=0,0,IF(U144="MXN",1/HLOOKUP(YEAR(T144)+(MONTH(T144)/100),TC!$5:$37,DAY(T144)+2,FALSE),VLOOKUP(U144,Equivalencia!$1:$23,((MAX(Equivalencia!$3:$3)-YEAR(T144))*14)+MONTH(T144)+2,FALSE)))</f>
        <v>0</v>
      </c>
      <c r="X144" s="178">
        <f t="shared" si="29"/>
        <v>0</v>
      </c>
      <c r="Y144" s="178">
        <f t="shared" si="30"/>
        <v>0</v>
      </c>
      <c r="Z144" s="175">
        <f t="shared" si="22"/>
        <v>0</v>
      </c>
      <c r="AA144" s="179"/>
      <c r="AB144" s="467">
        <f t="shared" si="23"/>
        <v>0</v>
      </c>
      <c r="AC144" s="466">
        <f t="shared" si="24"/>
        <v>0</v>
      </c>
    </row>
    <row r="145" spans="2:29" ht="20.100000000000001" customHeight="1">
      <c r="B145" s="172"/>
      <c r="C145" s="172"/>
      <c r="D145" s="172"/>
      <c r="E145" s="181"/>
      <c r="F145" s="173"/>
      <c r="G145" s="174"/>
      <c r="H145" s="284"/>
      <c r="I145" s="221"/>
      <c r="J145" s="177">
        <f>IF(H145=0,0,IF(F145="MXN",1/HLOOKUP(YEAR(G145)+(MONTH(G145)/100),TC!$5:$37,DAY(G145)+2,FALSE),VLOOKUP(F145,Equivalencia!$5:$23,((MAX(Equivalencia!$3:$3)-YEAR(G145))*14)+MONTH(G145)+2,FALSE)))</f>
        <v>0</v>
      </c>
      <c r="K145" s="217">
        <f t="shared" si="25"/>
        <v>0</v>
      </c>
      <c r="L145" s="462">
        <f>IF(G145=0,0,VLOOKUP(YEAR(G145),INPC!$B$4:$O$29,MONTH(G145)+1))</f>
        <v>0</v>
      </c>
      <c r="M145" s="462">
        <f>IF(T145=0,0,VLOOKUP(YEAR(T145),INPC!$B$4:$O$29,MONTH(T145)+1))</f>
        <v>0</v>
      </c>
      <c r="N145" s="463">
        <f t="shared" si="21"/>
        <v>0</v>
      </c>
      <c r="O145" s="464">
        <f t="shared" si="26"/>
        <v>0</v>
      </c>
      <c r="P145" s="465">
        <f t="shared" si="27"/>
        <v>0</v>
      </c>
      <c r="Q145" s="606" t="str">
        <f t="shared" si="28"/>
        <v>NO</v>
      </c>
      <c r="R145" s="180"/>
      <c r="S145" s="173"/>
      <c r="T145" s="174"/>
      <c r="U145" s="173"/>
      <c r="V145" s="220"/>
      <c r="W145" s="177">
        <f>IF(S145=0,0,IF(U145="MXN",1/HLOOKUP(YEAR(T145)+(MONTH(T145)/100),TC!$5:$37,DAY(T145)+2,FALSE),VLOOKUP(U145,Equivalencia!$1:$23,((MAX(Equivalencia!$3:$3)-YEAR(T145))*14)+MONTH(T145)+2,FALSE)))</f>
        <v>0</v>
      </c>
      <c r="X145" s="178">
        <f t="shared" si="29"/>
        <v>0</v>
      </c>
      <c r="Y145" s="178">
        <f t="shared" si="30"/>
        <v>0</v>
      </c>
      <c r="Z145" s="175">
        <f t="shared" si="22"/>
        <v>0</v>
      </c>
      <c r="AA145" s="179"/>
      <c r="AB145" s="467">
        <f t="shared" si="23"/>
        <v>0</v>
      </c>
      <c r="AC145" s="466">
        <f t="shared" si="24"/>
        <v>0</v>
      </c>
    </row>
    <row r="146" spans="2:29" ht="20.100000000000001" customHeight="1">
      <c r="B146" s="172"/>
      <c r="C146" s="172"/>
      <c r="D146" s="172"/>
      <c r="E146" s="181"/>
      <c r="F146" s="173"/>
      <c r="G146" s="174"/>
      <c r="H146" s="284"/>
      <c r="I146" s="221"/>
      <c r="J146" s="177">
        <f>IF(H146=0,0,IF(F146="MXN",1/HLOOKUP(YEAR(G146)+(MONTH(G146)/100),TC!$5:$37,DAY(G146)+2,FALSE),VLOOKUP(F146,Equivalencia!$5:$23,((MAX(Equivalencia!$3:$3)-YEAR(G146))*14)+MONTH(G146)+2,FALSE)))</f>
        <v>0</v>
      </c>
      <c r="K146" s="217">
        <f t="shared" si="25"/>
        <v>0</v>
      </c>
      <c r="L146" s="462">
        <f>IF(G146=0,0,VLOOKUP(YEAR(G146),INPC!$B$4:$O$29,MONTH(G146)+1))</f>
        <v>0</v>
      </c>
      <c r="M146" s="462">
        <f>IF(T146=0,0,VLOOKUP(YEAR(T146),INPC!$B$4:$O$29,MONTH(T146)+1))</f>
        <v>0</v>
      </c>
      <c r="N146" s="463">
        <f t="shared" si="21"/>
        <v>0</v>
      </c>
      <c r="O146" s="464">
        <f t="shared" si="26"/>
        <v>0</v>
      </c>
      <c r="P146" s="465">
        <f t="shared" si="27"/>
        <v>0</v>
      </c>
      <c r="Q146" s="606" t="str">
        <f t="shared" si="28"/>
        <v>NO</v>
      </c>
      <c r="R146" s="180"/>
      <c r="S146" s="173"/>
      <c r="T146" s="174"/>
      <c r="U146" s="173"/>
      <c r="V146" s="220"/>
      <c r="W146" s="177">
        <f>IF(S146=0,0,IF(U146="MXN",1/HLOOKUP(YEAR(T146)+(MONTH(T146)/100),TC!$5:$37,DAY(T146)+2,FALSE),VLOOKUP(U146,Equivalencia!$1:$23,((MAX(Equivalencia!$3:$3)-YEAR(T146))*14)+MONTH(T146)+2,FALSE)))</f>
        <v>0</v>
      </c>
      <c r="X146" s="178">
        <f t="shared" si="29"/>
        <v>0</v>
      </c>
      <c r="Y146" s="178">
        <f t="shared" si="30"/>
        <v>0</v>
      </c>
      <c r="Z146" s="175">
        <f t="shared" si="22"/>
        <v>0</v>
      </c>
      <c r="AA146" s="179"/>
      <c r="AB146" s="467">
        <f t="shared" si="23"/>
        <v>0</v>
      </c>
      <c r="AC146" s="466">
        <f t="shared" si="24"/>
        <v>0</v>
      </c>
    </row>
    <row r="147" spans="2:29" ht="20.100000000000001" customHeight="1">
      <c r="B147" s="172"/>
      <c r="C147" s="172"/>
      <c r="D147" s="172"/>
      <c r="E147" s="181"/>
      <c r="F147" s="173"/>
      <c r="G147" s="174"/>
      <c r="H147" s="284"/>
      <c r="I147" s="221"/>
      <c r="J147" s="177">
        <f>IF(H147=0,0,IF(F147="MXN",1/HLOOKUP(YEAR(G147)+(MONTH(G147)/100),TC!$5:$37,DAY(G147)+2,FALSE),VLOOKUP(F147,Equivalencia!$5:$23,((MAX(Equivalencia!$3:$3)-YEAR(G147))*14)+MONTH(G147)+2,FALSE)))</f>
        <v>0</v>
      </c>
      <c r="K147" s="217">
        <f t="shared" si="25"/>
        <v>0</v>
      </c>
      <c r="L147" s="462">
        <f>IF(G147=0,0,VLOOKUP(YEAR(G147),INPC!$B$4:$O$29,MONTH(G147)+1))</f>
        <v>0</v>
      </c>
      <c r="M147" s="462">
        <f>IF(T147=0,0,VLOOKUP(YEAR(T147),INPC!$B$4:$O$29,MONTH(T147)+1))</f>
        <v>0</v>
      </c>
      <c r="N147" s="463">
        <f t="shared" si="21"/>
        <v>0</v>
      </c>
      <c r="O147" s="464">
        <f t="shared" si="26"/>
        <v>0</v>
      </c>
      <c r="P147" s="465">
        <f t="shared" si="27"/>
        <v>0</v>
      </c>
      <c r="Q147" s="606" t="str">
        <f t="shared" si="28"/>
        <v>NO</v>
      </c>
      <c r="R147" s="180"/>
      <c r="S147" s="173"/>
      <c r="T147" s="174"/>
      <c r="U147" s="173"/>
      <c r="V147" s="220"/>
      <c r="W147" s="177">
        <f>IF(S147=0,0,IF(U147="MXN",1/HLOOKUP(YEAR(T147)+(MONTH(T147)/100),TC!$5:$37,DAY(T147)+2,FALSE),VLOOKUP(U147,Equivalencia!$1:$23,((MAX(Equivalencia!$3:$3)-YEAR(T147))*14)+MONTH(T147)+2,FALSE)))</f>
        <v>0</v>
      </c>
      <c r="X147" s="178">
        <f t="shared" si="29"/>
        <v>0</v>
      </c>
      <c r="Y147" s="178">
        <f t="shared" si="30"/>
        <v>0</v>
      </c>
      <c r="Z147" s="175">
        <f t="shared" si="22"/>
        <v>0</v>
      </c>
      <c r="AA147" s="179"/>
      <c r="AB147" s="467">
        <f t="shared" si="23"/>
        <v>0</v>
      </c>
      <c r="AC147" s="466">
        <f t="shared" si="24"/>
        <v>0</v>
      </c>
    </row>
    <row r="148" spans="2:29" ht="20.100000000000001" customHeight="1">
      <c r="B148" s="172"/>
      <c r="C148" s="172"/>
      <c r="D148" s="172"/>
      <c r="E148" s="181"/>
      <c r="F148" s="173"/>
      <c r="G148" s="174"/>
      <c r="H148" s="284"/>
      <c r="I148" s="221"/>
      <c r="J148" s="177">
        <f>IF(H148=0,0,IF(F148="MXN",1/HLOOKUP(YEAR(G148)+(MONTH(G148)/100),TC!$5:$37,DAY(G148)+2,FALSE),VLOOKUP(F148,Equivalencia!$5:$23,((MAX(Equivalencia!$3:$3)-YEAR(G148))*14)+MONTH(G148)+2,FALSE)))</f>
        <v>0</v>
      </c>
      <c r="K148" s="217">
        <f t="shared" si="25"/>
        <v>0</v>
      </c>
      <c r="L148" s="462">
        <f>IF(G148=0,0,VLOOKUP(YEAR(G148),INPC!$B$4:$O$29,MONTH(G148)+1))</f>
        <v>0</v>
      </c>
      <c r="M148" s="462">
        <f>IF(T148=0,0,VLOOKUP(YEAR(T148),INPC!$B$4:$O$29,MONTH(T148)+1))</f>
        <v>0</v>
      </c>
      <c r="N148" s="463">
        <f t="shared" si="21"/>
        <v>0</v>
      </c>
      <c r="O148" s="464">
        <f t="shared" si="26"/>
        <v>0</v>
      </c>
      <c r="P148" s="465">
        <f t="shared" si="27"/>
        <v>0</v>
      </c>
      <c r="Q148" s="606" t="str">
        <f t="shared" si="28"/>
        <v>NO</v>
      </c>
      <c r="R148" s="180"/>
      <c r="S148" s="173"/>
      <c r="T148" s="174"/>
      <c r="U148" s="173"/>
      <c r="V148" s="220"/>
      <c r="W148" s="177">
        <f>IF(S148=0,0,IF(U148="MXN",1/HLOOKUP(YEAR(T148)+(MONTH(T148)/100),TC!$5:$37,DAY(T148)+2,FALSE),VLOOKUP(U148,Equivalencia!$1:$23,((MAX(Equivalencia!$3:$3)-YEAR(T148))*14)+MONTH(T148)+2,FALSE)))</f>
        <v>0</v>
      </c>
      <c r="X148" s="178">
        <f t="shared" si="29"/>
        <v>0</v>
      </c>
      <c r="Y148" s="178">
        <f t="shared" si="30"/>
        <v>0</v>
      </c>
      <c r="Z148" s="175">
        <f t="shared" si="22"/>
        <v>0</v>
      </c>
      <c r="AA148" s="179"/>
      <c r="AB148" s="467">
        <f t="shared" si="23"/>
        <v>0</v>
      </c>
      <c r="AC148" s="466">
        <f t="shared" si="24"/>
        <v>0</v>
      </c>
    </row>
    <row r="149" spans="2:29" ht="20.100000000000001" customHeight="1">
      <c r="B149" s="172"/>
      <c r="C149" s="172"/>
      <c r="D149" s="172"/>
      <c r="E149" s="181"/>
      <c r="F149" s="173"/>
      <c r="G149" s="174"/>
      <c r="H149" s="284"/>
      <c r="I149" s="221"/>
      <c r="J149" s="177">
        <f>IF(H149=0,0,IF(F149="MXN",1/HLOOKUP(YEAR(G149)+(MONTH(G149)/100),TC!$5:$37,DAY(G149)+2,FALSE),VLOOKUP(F149,Equivalencia!$5:$23,((MAX(Equivalencia!$3:$3)-YEAR(G149))*14)+MONTH(G149)+2,FALSE)))</f>
        <v>0</v>
      </c>
      <c r="K149" s="217">
        <f t="shared" si="25"/>
        <v>0</v>
      </c>
      <c r="L149" s="462">
        <f>IF(G149=0,0,VLOOKUP(YEAR(G149),INPC!$B$4:$O$29,MONTH(G149)+1))</f>
        <v>0</v>
      </c>
      <c r="M149" s="462">
        <f>IF(T149=0,0,VLOOKUP(YEAR(T149),INPC!$B$4:$O$29,MONTH(T149)+1))</f>
        <v>0</v>
      </c>
      <c r="N149" s="463">
        <f t="shared" si="21"/>
        <v>0</v>
      </c>
      <c r="O149" s="464">
        <f t="shared" si="26"/>
        <v>0</v>
      </c>
      <c r="P149" s="465">
        <f t="shared" si="27"/>
        <v>0</v>
      </c>
      <c r="Q149" s="606" t="str">
        <f t="shared" si="28"/>
        <v>NO</v>
      </c>
      <c r="R149" s="180"/>
      <c r="S149" s="173"/>
      <c r="T149" s="174"/>
      <c r="U149" s="173"/>
      <c r="V149" s="220"/>
      <c r="W149" s="177">
        <f>IF(S149=0,0,IF(U149="MXN",1/HLOOKUP(YEAR(T149)+(MONTH(T149)/100),TC!$5:$37,DAY(T149)+2,FALSE),VLOOKUP(U149,Equivalencia!$1:$23,((MAX(Equivalencia!$3:$3)-YEAR(T149))*14)+MONTH(T149)+2,FALSE)))</f>
        <v>0</v>
      </c>
      <c r="X149" s="178">
        <f t="shared" si="29"/>
        <v>0</v>
      </c>
      <c r="Y149" s="178">
        <f t="shared" si="30"/>
        <v>0</v>
      </c>
      <c r="Z149" s="175">
        <f t="shared" si="22"/>
        <v>0</v>
      </c>
      <c r="AA149" s="179"/>
      <c r="AB149" s="467">
        <f t="shared" si="23"/>
        <v>0</v>
      </c>
      <c r="AC149" s="466">
        <f t="shared" si="24"/>
        <v>0</v>
      </c>
    </row>
    <row r="150" spans="2:29" ht="20.100000000000001" customHeight="1">
      <c r="B150" s="172"/>
      <c r="C150" s="172"/>
      <c r="D150" s="172"/>
      <c r="E150" s="181"/>
      <c r="F150" s="173"/>
      <c r="G150" s="174"/>
      <c r="H150" s="284"/>
      <c r="I150" s="221"/>
      <c r="J150" s="177">
        <f>IF(H150=0,0,IF(F150="MXN",1/HLOOKUP(YEAR(G150)+(MONTH(G150)/100),TC!$5:$37,DAY(G150)+2,FALSE),VLOOKUP(F150,Equivalencia!$5:$23,((MAX(Equivalencia!$3:$3)-YEAR(G150))*14)+MONTH(G150)+2,FALSE)))</f>
        <v>0</v>
      </c>
      <c r="K150" s="217">
        <f t="shared" si="25"/>
        <v>0</v>
      </c>
      <c r="L150" s="462">
        <f>IF(G150=0,0,VLOOKUP(YEAR(G150),INPC!$B$4:$O$29,MONTH(G150)+1))</f>
        <v>0</v>
      </c>
      <c r="M150" s="462">
        <f>IF(T150=0,0,VLOOKUP(YEAR(T150),INPC!$B$4:$O$29,MONTH(T150)+1))</f>
        <v>0</v>
      </c>
      <c r="N150" s="463">
        <f t="shared" si="21"/>
        <v>0</v>
      </c>
      <c r="O150" s="464">
        <f t="shared" si="26"/>
        <v>0</v>
      </c>
      <c r="P150" s="465">
        <f t="shared" si="27"/>
        <v>0</v>
      </c>
      <c r="Q150" s="606" t="str">
        <f t="shared" si="28"/>
        <v>NO</v>
      </c>
      <c r="R150" s="180"/>
      <c r="S150" s="173"/>
      <c r="T150" s="174"/>
      <c r="U150" s="173"/>
      <c r="V150" s="220"/>
      <c r="W150" s="177">
        <f>IF(S150=0,0,IF(U150="MXN",1/HLOOKUP(YEAR(T150)+(MONTH(T150)/100),TC!$5:$37,DAY(T150)+2,FALSE),VLOOKUP(U150,Equivalencia!$1:$23,((MAX(Equivalencia!$3:$3)-YEAR(T150))*14)+MONTH(T150)+2,FALSE)))</f>
        <v>0</v>
      </c>
      <c r="X150" s="178">
        <f t="shared" si="29"/>
        <v>0</v>
      </c>
      <c r="Y150" s="178">
        <f t="shared" si="30"/>
        <v>0</v>
      </c>
      <c r="Z150" s="175">
        <f t="shared" si="22"/>
        <v>0</v>
      </c>
      <c r="AA150" s="179"/>
      <c r="AB150" s="467">
        <f t="shared" si="23"/>
        <v>0</v>
      </c>
      <c r="AC150" s="466">
        <f t="shared" si="24"/>
        <v>0</v>
      </c>
    </row>
    <row r="151" spans="2:29" ht="20.100000000000001" customHeight="1">
      <c r="B151" s="172"/>
      <c r="C151" s="172"/>
      <c r="D151" s="172"/>
      <c r="E151" s="181"/>
      <c r="F151" s="173"/>
      <c r="G151" s="174"/>
      <c r="H151" s="284"/>
      <c r="I151" s="221"/>
      <c r="J151" s="177">
        <f>IF(H151=0,0,IF(F151="MXN",1/HLOOKUP(YEAR(G151)+(MONTH(G151)/100),TC!$5:$37,DAY(G151)+2,FALSE),VLOOKUP(F151,Equivalencia!$5:$23,((MAX(Equivalencia!$3:$3)-YEAR(G151))*14)+MONTH(G151)+2,FALSE)))</f>
        <v>0</v>
      </c>
      <c r="K151" s="217">
        <f t="shared" si="25"/>
        <v>0</v>
      </c>
      <c r="L151" s="462">
        <f>IF(G151=0,0,VLOOKUP(YEAR(G151),INPC!$B$4:$O$29,MONTH(G151)+1))</f>
        <v>0</v>
      </c>
      <c r="M151" s="462">
        <f>IF(T151=0,0,VLOOKUP(YEAR(T151),INPC!$B$4:$O$29,MONTH(T151)+1))</f>
        <v>0</v>
      </c>
      <c r="N151" s="463">
        <f t="shared" si="21"/>
        <v>0</v>
      </c>
      <c r="O151" s="464">
        <f t="shared" si="26"/>
        <v>0</v>
      </c>
      <c r="P151" s="465">
        <f t="shared" si="27"/>
        <v>0</v>
      </c>
      <c r="Q151" s="606" t="str">
        <f t="shared" si="28"/>
        <v>NO</v>
      </c>
      <c r="R151" s="180"/>
      <c r="S151" s="173"/>
      <c r="T151" s="174"/>
      <c r="U151" s="173"/>
      <c r="V151" s="220"/>
      <c r="W151" s="177">
        <f>IF(S151=0,0,IF(U151="MXN",1/HLOOKUP(YEAR(T151)+(MONTH(T151)/100),TC!$5:$37,DAY(T151)+2,FALSE),VLOOKUP(U151,Equivalencia!$1:$23,((MAX(Equivalencia!$3:$3)-YEAR(T151))*14)+MONTH(T151)+2,FALSE)))</f>
        <v>0</v>
      </c>
      <c r="X151" s="178">
        <f t="shared" si="29"/>
        <v>0</v>
      </c>
      <c r="Y151" s="178">
        <f t="shared" si="30"/>
        <v>0</v>
      </c>
      <c r="Z151" s="175">
        <f t="shared" si="22"/>
        <v>0</v>
      </c>
      <c r="AA151" s="179"/>
      <c r="AB151" s="467">
        <f t="shared" si="23"/>
        <v>0</v>
      </c>
      <c r="AC151" s="466">
        <f t="shared" si="24"/>
        <v>0</v>
      </c>
    </row>
    <row r="152" spans="2:29" ht="20.100000000000001" customHeight="1">
      <c r="B152" s="172"/>
      <c r="C152" s="172"/>
      <c r="D152" s="172"/>
      <c r="E152" s="181"/>
      <c r="F152" s="173"/>
      <c r="G152" s="174"/>
      <c r="H152" s="284"/>
      <c r="I152" s="221"/>
      <c r="J152" s="177">
        <f>IF(H152=0,0,IF(F152="MXN",1/HLOOKUP(YEAR(G152)+(MONTH(G152)/100),TC!$5:$37,DAY(G152)+2,FALSE),VLOOKUP(F152,Equivalencia!$5:$23,((MAX(Equivalencia!$3:$3)-YEAR(G152))*14)+MONTH(G152)+2,FALSE)))</f>
        <v>0</v>
      </c>
      <c r="K152" s="217">
        <f t="shared" si="25"/>
        <v>0</v>
      </c>
      <c r="L152" s="462">
        <f>IF(G152=0,0,VLOOKUP(YEAR(G152),INPC!$B$4:$O$29,MONTH(G152)+1))</f>
        <v>0</v>
      </c>
      <c r="M152" s="462">
        <f>IF(T152=0,0,VLOOKUP(YEAR(T152),INPC!$B$4:$O$29,MONTH(T152)+1))</f>
        <v>0</v>
      </c>
      <c r="N152" s="463">
        <f t="shared" si="21"/>
        <v>0</v>
      </c>
      <c r="O152" s="464">
        <f t="shared" si="26"/>
        <v>0</v>
      </c>
      <c r="P152" s="465">
        <f t="shared" si="27"/>
        <v>0</v>
      </c>
      <c r="Q152" s="606" t="str">
        <f t="shared" si="28"/>
        <v>NO</v>
      </c>
      <c r="R152" s="180"/>
      <c r="S152" s="173"/>
      <c r="T152" s="174"/>
      <c r="U152" s="173"/>
      <c r="V152" s="220"/>
      <c r="W152" s="177">
        <f>IF(S152=0,0,IF(U152="MXN",1/HLOOKUP(YEAR(T152)+(MONTH(T152)/100),TC!$5:$37,DAY(T152)+2,FALSE),VLOOKUP(U152,Equivalencia!$1:$23,((MAX(Equivalencia!$3:$3)-YEAR(T152))*14)+MONTH(T152)+2,FALSE)))</f>
        <v>0</v>
      </c>
      <c r="X152" s="178">
        <f t="shared" si="29"/>
        <v>0</v>
      </c>
      <c r="Y152" s="178">
        <f t="shared" si="30"/>
        <v>0</v>
      </c>
      <c r="Z152" s="175">
        <f t="shared" si="22"/>
        <v>0</v>
      </c>
      <c r="AA152" s="179"/>
      <c r="AB152" s="467">
        <f t="shared" si="23"/>
        <v>0</v>
      </c>
      <c r="AC152" s="466">
        <f t="shared" si="24"/>
        <v>0</v>
      </c>
    </row>
    <row r="153" spans="2:29" ht="20.100000000000001" customHeight="1">
      <c r="B153" s="172"/>
      <c r="C153" s="172"/>
      <c r="D153" s="172"/>
      <c r="E153" s="181"/>
      <c r="F153" s="173"/>
      <c r="G153" s="174"/>
      <c r="H153" s="284"/>
      <c r="I153" s="221"/>
      <c r="J153" s="177">
        <f>IF(H153=0,0,IF(F153="MXN",1/HLOOKUP(YEAR(G153)+(MONTH(G153)/100),TC!$5:$37,DAY(G153)+2,FALSE),VLOOKUP(F153,Equivalencia!$5:$23,((MAX(Equivalencia!$3:$3)-YEAR(G153))*14)+MONTH(G153)+2,FALSE)))</f>
        <v>0</v>
      </c>
      <c r="K153" s="217">
        <f t="shared" si="25"/>
        <v>0</v>
      </c>
      <c r="L153" s="462">
        <f>IF(G153=0,0,VLOOKUP(YEAR(G153),INPC!$B$4:$O$29,MONTH(G153)+1))</f>
        <v>0</v>
      </c>
      <c r="M153" s="462">
        <f>IF(T153=0,0,VLOOKUP(YEAR(T153),INPC!$B$4:$O$29,MONTH(T153)+1))</f>
        <v>0</v>
      </c>
      <c r="N153" s="463">
        <f t="shared" si="21"/>
        <v>0</v>
      </c>
      <c r="O153" s="464">
        <f t="shared" si="26"/>
        <v>0</v>
      </c>
      <c r="P153" s="465">
        <f t="shared" si="27"/>
        <v>0</v>
      </c>
      <c r="Q153" s="606" t="str">
        <f t="shared" si="28"/>
        <v>NO</v>
      </c>
      <c r="R153" s="180"/>
      <c r="S153" s="173"/>
      <c r="T153" s="174"/>
      <c r="U153" s="173"/>
      <c r="V153" s="220"/>
      <c r="W153" s="177">
        <f>IF(S153=0,0,IF(U153="MXN",1/HLOOKUP(YEAR(T153)+(MONTH(T153)/100),TC!$5:$37,DAY(T153)+2,FALSE),VLOOKUP(U153,Equivalencia!$1:$23,((MAX(Equivalencia!$3:$3)-YEAR(T153))*14)+MONTH(T153)+2,FALSE)))</f>
        <v>0</v>
      </c>
      <c r="X153" s="178">
        <f t="shared" si="29"/>
        <v>0</v>
      </c>
      <c r="Y153" s="178">
        <f t="shared" si="30"/>
        <v>0</v>
      </c>
      <c r="Z153" s="175">
        <f t="shared" si="22"/>
        <v>0</v>
      </c>
      <c r="AA153" s="179"/>
      <c r="AB153" s="467">
        <f t="shared" si="23"/>
        <v>0</v>
      </c>
      <c r="AC153" s="466">
        <f t="shared" si="24"/>
        <v>0</v>
      </c>
    </row>
    <row r="154" spans="2:29" ht="20.100000000000001" customHeight="1">
      <c r="B154" s="172"/>
      <c r="C154" s="172"/>
      <c r="D154" s="172"/>
      <c r="E154" s="181"/>
      <c r="F154" s="173"/>
      <c r="G154" s="174"/>
      <c r="H154" s="284"/>
      <c r="I154" s="221"/>
      <c r="J154" s="177">
        <f>IF(H154=0,0,IF(F154="MXN",1/HLOOKUP(YEAR(G154)+(MONTH(G154)/100),TC!$5:$37,DAY(G154)+2,FALSE),VLOOKUP(F154,Equivalencia!$5:$23,((MAX(Equivalencia!$3:$3)-YEAR(G154))*14)+MONTH(G154)+2,FALSE)))</f>
        <v>0</v>
      </c>
      <c r="K154" s="217">
        <f t="shared" si="25"/>
        <v>0</v>
      </c>
      <c r="L154" s="462">
        <f>IF(G154=0,0,VLOOKUP(YEAR(G154),INPC!$B$4:$O$29,MONTH(G154)+1))</f>
        <v>0</v>
      </c>
      <c r="M154" s="462">
        <f>IF(T154=0,0,VLOOKUP(YEAR(T154),INPC!$B$4:$O$29,MONTH(T154)+1))</f>
        <v>0</v>
      </c>
      <c r="N154" s="463">
        <f t="shared" si="21"/>
        <v>0</v>
      </c>
      <c r="O154" s="464">
        <f t="shared" si="26"/>
        <v>0</v>
      </c>
      <c r="P154" s="465">
        <f t="shared" si="27"/>
        <v>0</v>
      </c>
      <c r="Q154" s="606" t="str">
        <f t="shared" si="28"/>
        <v>NO</v>
      </c>
      <c r="R154" s="180"/>
      <c r="S154" s="173"/>
      <c r="T154" s="174"/>
      <c r="U154" s="173"/>
      <c r="V154" s="220"/>
      <c r="W154" s="177">
        <f>IF(S154=0,0,IF(U154="MXN",1/HLOOKUP(YEAR(T154)+(MONTH(T154)/100),TC!$5:$37,DAY(T154)+2,FALSE),VLOOKUP(U154,Equivalencia!$1:$23,((MAX(Equivalencia!$3:$3)-YEAR(T154))*14)+MONTH(T154)+2,FALSE)))</f>
        <v>0</v>
      </c>
      <c r="X154" s="178">
        <f t="shared" si="29"/>
        <v>0</v>
      </c>
      <c r="Y154" s="178">
        <f t="shared" si="30"/>
        <v>0</v>
      </c>
      <c r="Z154" s="175">
        <f t="shared" si="22"/>
        <v>0</v>
      </c>
      <c r="AA154" s="179"/>
      <c r="AB154" s="467">
        <f t="shared" si="23"/>
        <v>0</v>
      </c>
      <c r="AC154" s="466">
        <f t="shared" si="24"/>
        <v>0</v>
      </c>
    </row>
    <row r="155" spans="2:29" ht="20.100000000000001" customHeight="1">
      <c r="B155" s="172"/>
      <c r="C155" s="172"/>
      <c r="D155" s="172"/>
      <c r="E155" s="181"/>
      <c r="F155" s="173"/>
      <c r="G155" s="174"/>
      <c r="H155" s="284"/>
      <c r="I155" s="221"/>
      <c r="J155" s="177">
        <f>IF(H155=0,0,IF(F155="MXN",1/HLOOKUP(YEAR(G155)+(MONTH(G155)/100),TC!$5:$37,DAY(G155)+2,FALSE),VLOOKUP(F155,Equivalencia!$5:$23,((MAX(Equivalencia!$3:$3)-YEAR(G155))*14)+MONTH(G155)+2,FALSE)))</f>
        <v>0</v>
      </c>
      <c r="K155" s="217">
        <f t="shared" si="25"/>
        <v>0</v>
      </c>
      <c r="L155" s="462">
        <f>IF(G155=0,0,VLOOKUP(YEAR(G155),INPC!$B$4:$O$29,MONTH(G155)+1))</f>
        <v>0</v>
      </c>
      <c r="M155" s="462">
        <f>IF(T155=0,0,VLOOKUP(YEAR(T155),INPC!$B$4:$O$29,MONTH(T155)+1))</f>
        <v>0</v>
      </c>
      <c r="N155" s="463">
        <f t="shared" si="21"/>
        <v>0</v>
      </c>
      <c r="O155" s="464">
        <f t="shared" si="26"/>
        <v>0</v>
      </c>
      <c r="P155" s="465">
        <f t="shared" si="27"/>
        <v>0</v>
      </c>
      <c r="Q155" s="606" t="str">
        <f t="shared" si="28"/>
        <v>NO</v>
      </c>
      <c r="R155" s="180"/>
      <c r="S155" s="173"/>
      <c r="T155" s="174"/>
      <c r="U155" s="173"/>
      <c r="V155" s="220"/>
      <c r="W155" s="177">
        <f>IF(S155=0,0,IF(U155="MXN",1/HLOOKUP(YEAR(T155)+(MONTH(T155)/100),TC!$5:$37,DAY(T155)+2,FALSE),VLOOKUP(U155,Equivalencia!$1:$23,((MAX(Equivalencia!$3:$3)-YEAR(T155))*14)+MONTH(T155)+2,FALSE)))</f>
        <v>0</v>
      </c>
      <c r="X155" s="178">
        <f t="shared" si="29"/>
        <v>0</v>
      </c>
      <c r="Y155" s="178">
        <f t="shared" si="30"/>
        <v>0</v>
      </c>
      <c r="Z155" s="175">
        <f t="shared" si="22"/>
        <v>0</v>
      </c>
      <c r="AA155" s="179"/>
      <c r="AB155" s="467">
        <f t="shared" si="23"/>
        <v>0</v>
      </c>
      <c r="AC155" s="466">
        <f t="shared" si="24"/>
        <v>0</v>
      </c>
    </row>
    <row r="156" spans="2:29" ht="20.100000000000001" customHeight="1">
      <c r="B156" s="172"/>
      <c r="C156" s="172"/>
      <c r="D156" s="172"/>
      <c r="E156" s="181"/>
      <c r="F156" s="173"/>
      <c r="G156" s="174"/>
      <c r="H156" s="284"/>
      <c r="I156" s="221"/>
      <c r="J156" s="177">
        <f>IF(H156=0,0,IF(F156="MXN",1/HLOOKUP(YEAR(G156)+(MONTH(G156)/100),TC!$5:$37,DAY(G156)+2,FALSE),VLOOKUP(F156,Equivalencia!$5:$23,((MAX(Equivalencia!$3:$3)-YEAR(G156))*14)+MONTH(G156)+2,FALSE)))</f>
        <v>0</v>
      </c>
      <c r="K156" s="217">
        <f t="shared" si="25"/>
        <v>0</v>
      </c>
      <c r="L156" s="462">
        <f>IF(G156=0,0,VLOOKUP(YEAR(G156),INPC!$B$4:$O$29,MONTH(G156)+1))</f>
        <v>0</v>
      </c>
      <c r="M156" s="462">
        <f>IF(T156=0,0,VLOOKUP(YEAR(T156),INPC!$B$4:$O$29,MONTH(T156)+1))</f>
        <v>0</v>
      </c>
      <c r="N156" s="463">
        <f t="shared" si="21"/>
        <v>0</v>
      </c>
      <c r="O156" s="464">
        <f t="shared" si="26"/>
        <v>0</v>
      </c>
      <c r="P156" s="465">
        <f t="shared" si="27"/>
        <v>0</v>
      </c>
      <c r="Q156" s="606" t="str">
        <f t="shared" si="28"/>
        <v>NO</v>
      </c>
      <c r="R156" s="180"/>
      <c r="S156" s="173"/>
      <c r="T156" s="174"/>
      <c r="U156" s="173"/>
      <c r="V156" s="220"/>
      <c r="W156" s="177">
        <f>IF(S156=0,0,IF(U156="MXN",1/HLOOKUP(YEAR(T156)+(MONTH(T156)/100),TC!$5:$37,DAY(T156)+2,FALSE),VLOOKUP(U156,Equivalencia!$1:$23,((MAX(Equivalencia!$3:$3)-YEAR(T156))*14)+MONTH(T156)+2,FALSE)))</f>
        <v>0</v>
      </c>
      <c r="X156" s="178">
        <f t="shared" si="29"/>
        <v>0</v>
      </c>
      <c r="Y156" s="178">
        <f t="shared" si="30"/>
        <v>0</v>
      </c>
      <c r="Z156" s="175">
        <f t="shared" si="22"/>
        <v>0</v>
      </c>
      <c r="AA156" s="179"/>
      <c r="AB156" s="467">
        <f t="shared" si="23"/>
        <v>0</v>
      </c>
      <c r="AC156" s="466">
        <f t="shared" si="24"/>
        <v>0</v>
      </c>
    </row>
    <row r="157" spans="2:29" ht="20.100000000000001" customHeight="1">
      <c r="B157" s="172"/>
      <c r="C157" s="172"/>
      <c r="D157" s="172"/>
      <c r="E157" s="181"/>
      <c r="F157" s="173"/>
      <c r="G157" s="174"/>
      <c r="H157" s="284"/>
      <c r="I157" s="221"/>
      <c r="J157" s="177">
        <f>IF(H157=0,0,IF(F157="MXN",1/HLOOKUP(YEAR(G157)+(MONTH(G157)/100),TC!$5:$37,DAY(G157)+2,FALSE),VLOOKUP(F157,Equivalencia!$5:$23,((MAX(Equivalencia!$3:$3)-YEAR(G157))*14)+MONTH(G157)+2,FALSE)))</f>
        <v>0</v>
      </c>
      <c r="K157" s="217">
        <f t="shared" si="25"/>
        <v>0</v>
      </c>
      <c r="L157" s="462">
        <f>IF(G157=0,0,VLOOKUP(YEAR(G157),INPC!$B$4:$O$29,MONTH(G157)+1))</f>
        <v>0</v>
      </c>
      <c r="M157" s="462">
        <f>IF(T157=0,0,VLOOKUP(YEAR(T157),INPC!$B$4:$O$29,MONTH(T157)+1))</f>
        <v>0</v>
      </c>
      <c r="N157" s="463">
        <f t="shared" si="21"/>
        <v>0</v>
      </c>
      <c r="O157" s="464">
        <f t="shared" si="26"/>
        <v>0</v>
      </c>
      <c r="P157" s="465">
        <f t="shared" si="27"/>
        <v>0</v>
      </c>
      <c r="Q157" s="606" t="str">
        <f t="shared" si="28"/>
        <v>NO</v>
      </c>
      <c r="R157" s="180"/>
      <c r="S157" s="173"/>
      <c r="T157" s="174"/>
      <c r="U157" s="173"/>
      <c r="V157" s="220"/>
      <c r="W157" s="177">
        <f>IF(S157=0,0,IF(U157="MXN",1/HLOOKUP(YEAR(T157)+(MONTH(T157)/100),TC!$5:$37,DAY(T157)+2,FALSE),VLOOKUP(U157,Equivalencia!$1:$23,((MAX(Equivalencia!$3:$3)-YEAR(T157))*14)+MONTH(T157)+2,FALSE)))</f>
        <v>0</v>
      </c>
      <c r="X157" s="178">
        <f t="shared" si="29"/>
        <v>0</v>
      </c>
      <c r="Y157" s="178">
        <f t="shared" si="30"/>
        <v>0</v>
      </c>
      <c r="Z157" s="175">
        <f t="shared" si="22"/>
        <v>0</v>
      </c>
      <c r="AA157" s="179"/>
      <c r="AB157" s="467">
        <f t="shared" si="23"/>
        <v>0</v>
      </c>
      <c r="AC157" s="466">
        <f t="shared" si="24"/>
        <v>0</v>
      </c>
    </row>
    <row r="158" spans="2:29" ht="20.100000000000001" customHeight="1">
      <c r="B158" s="172"/>
      <c r="C158" s="172"/>
      <c r="D158" s="172"/>
      <c r="E158" s="181"/>
      <c r="F158" s="173"/>
      <c r="G158" s="174"/>
      <c r="H158" s="284"/>
      <c r="I158" s="221"/>
      <c r="J158" s="177">
        <f>IF(H158=0,0,IF(F158="MXN",1/HLOOKUP(YEAR(G158)+(MONTH(G158)/100),TC!$5:$37,DAY(G158)+2,FALSE),VLOOKUP(F158,Equivalencia!$5:$23,((MAX(Equivalencia!$3:$3)-YEAR(G158))*14)+MONTH(G158)+2,FALSE)))</f>
        <v>0</v>
      </c>
      <c r="K158" s="217">
        <f t="shared" si="25"/>
        <v>0</v>
      </c>
      <c r="L158" s="462">
        <f>IF(G158=0,0,VLOOKUP(YEAR(G158),INPC!$B$4:$O$29,MONTH(G158)+1))</f>
        <v>0</v>
      </c>
      <c r="M158" s="462">
        <f>IF(T158=0,0,VLOOKUP(YEAR(T158),INPC!$B$4:$O$29,MONTH(T158)+1))</f>
        <v>0</v>
      </c>
      <c r="N158" s="463">
        <f t="shared" si="21"/>
        <v>0</v>
      </c>
      <c r="O158" s="464">
        <f t="shared" si="26"/>
        <v>0</v>
      </c>
      <c r="P158" s="465">
        <f t="shared" si="27"/>
        <v>0</v>
      </c>
      <c r="Q158" s="606" t="str">
        <f t="shared" si="28"/>
        <v>NO</v>
      </c>
      <c r="R158" s="180"/>
      <c r="S158" s="173"/>
      <c r="T158" s="174"/>
      <c r="U158" s="173"/>
      <c r="V158" s="220"/>
      <c r="W158" s="177">
        <f>IF(S158=0,0,IF(U158="MXN",1/HLOOKUP(YEAR(T158)+(MONTH(T158)/100),TC!$5:$37,DAY(T158)+2,FALSE),VLOOKUP(U158,Equivalencia!$1:$23,((MAX(Equivalencia!$3:$3)-YEAR(T158))*14)+MONTH(T158)+2,FALSE)))</f>
        <v>0</v>
      </c>
      <c r="X158" s="178">
        <f t="shared" si="29"/>
        <v>0</v>
      </c>
      <c r="Y158" s="178">
        <f t="shared" si="30"/>
        <v>0</v>
      </c>
      <c r="Z158" s="175">
        <f t="shared" si="22"/>
        <v>0</v>
      </c>
      <c r="AA158" s="179"/>
      <c r="AB158" s="467">
        <f t="shared" si="23"/>
        <v>0</v>
      </c>
      <c r="AC158" s="466">
        <f t="shared" si="24"/>
        <v>0</v>
      </c>
    </row>
    <row r="159" spans="2:29" ht="20.100000000000001" customHeight="1">
      <c r="B159" s="172"/>
      <c r="C159" s="172"/>
      <c r="D159" s="172"/>
      <c r="E159" s="181"/>
      <c r="F159" s="173"/>
      <c r="G159" s="174"/>
      <c r="H159" s="284"/>
      <c r="I159" s="221"/>
      <c r="J159" s="177">
        <f>IF(H159=0,0,IF(F159="MXN",1/HLOOKUP(YEAR(G159)+(MONTH(G159)/100),TC!$5:$37,DAY(G159)+2,FALSE),VLOOKUP(F159,Equivalencia!$5:$23,((MAX(Equivalencia!$3:$3)-YEAR(G159))*14)+MONTH(G159)+2,FALSE)))</f>
        <v>0</v>
      </c>
      <c r="K159" s="217">
        <f t="shared" si="25"/>
        <v>0</v>
      </c>
      <c r="L159" s="462">
        <f>IF(G159=0,0,VLOOKUP(YEAR(G159),INPC!$B$4:$O$29,MONTH(G159)+1))</f>
        <v>0</v>
      </c>
      <c r="M159" s="462">
        <f>IF(T159=0,0,VLOOKUP(YEAR(T159),INPC!$B$4:$O$29,MONTH(T159)+1))</f>
        <v>0</v>
      </c>
      <c r="N159" s="463">
        <f t="shared" si="21"/>
        <v>0</v>
      </c>
      <c r="O159" s="464">
        <f t="shared" si="26"/>
        <v>0</v>
      </c>
      <c r="P159" s="465">
        <f t="shared" si="27"/>
        <v>0</v>
      </c>
      <c r="Q159" s="606" t="str">
        <f t="shared" si="28"/>
        <v>NO</v>
      </c>
      <c r="R159" s="180"/>
      <c r="S159" s="173"/>
      <c r="T159" s="174"/>
      <c r="U159" s="173"/>
      <c r="V159" s="220"/>
      <c r="W159" s="177">
        <f>IF(S159=0,0,IF(U159="MXN",1/HLOOKUP(YEAR(T159)+(MONTH(T159)/100),TC!$5:$37,DAY(T159)+2,FALSE),VLOOKUP(U159,Equivalencia!$1:$23,((MAX(Equivalencia!$3:$3)-YEAR(T159))*14)+MONTH(T159)+2,FALSE)))</f>
        <v>0</v>
      </c>
      <c r="X159" s="178">
        <f t="shared" si="29"/>
        <v>0</v>
      </c>
      <c r="Y159" s="178">
        <f t="shared" si="30"/>
        <v>0</v>
      </c>
      <c r="Z159" s="175">
        <f t="shared" si="22"/>
        <v>0</v>
      </c>
      <c r="AA159" s="179"/>
      <c r="AB159" s="467">
        <f t="shared" si="23"/>
        <v>0</v>
      </c>
      <c r="AC159" s="466">
        <f t="shared" si="24"/>
        <v>0</v>
      </c>
    </row>
    <row r="160" spans="2:29" ht="20.100000000000001" customHeight="1">
      <c r="B160" s="172"/>
      <c r="C160" s="172"/>
      <c r="D160" s="172"/>
      <c r="E160" s="181"/>
      <c r="F160" s="173"/>
      <c r="G160" s="174"/>
      <c r="H160" s="284"/>
      <c r="I160" s="221"/>
      <c r="J160" s="177">
        <f>IF(H160=0,0,IF(F160="MXN",1/HLOOKUP(YEAR(G160)+(MONTH(G160)/100),TC!$5:$37,DAY(G160)+2,FALSE),VLOOKUP(F160,Equivalencia!$5:$23,((MAX(Equivalencia!$3:$3)-YEAR(G160))*14)+MONTH(G160)+2,FALSE)))</f>
        <v>0</v>
      </c>
      <c r="K160" s="217">
        <f t="shared" si="25"/>
        <v>0</v>
      </c>
      <c r="L160" s="462">
        <f>IF(G160=0,0,VLOOKUP(YEAR(G160),INPC!$B$4:$O$29,MONTH(G160)+1))</f>
        <v>0</v>
      </c>
      <c r="M160" s="462">
        <f>IF(T160=0,0,VLOOKUP(YEAR(T160),INPC!$B$4:$O$29,MONTH(T160)+1))</f>
        <v>0</v>
      </c>
      <c r="N160" s="463">
        <f t="shared" si="21"/>
        <v>0</v>
      </c>
      <c r="O160" s="464">
        <f t="shared" si="26"/>
        <v>0</v>
      </c>
      <c r="P160" s="465">
        <f t="shared" si="27"/>
        <v>0</v>
      </c>
      <c r="Q160" s="606" t="str">
        <f t="shared" si="28"/>
        <v>NO</v>
      </c>
      <c r="R160" s="180"/>
      <c r="S160" s="173"/>
      <c r="T160" s="174"/>
      <c r="U160" s="173"/>
      <c r="V160" s="220"/>
      <c r="W160" s="177">
        <f>IF(S160=0,0,IF(U160="MXN",1/HLOOKUP(YEAR(T160)+(MONTH(T160)/100),TC!$5:$37,DAY(T160)+2,FALSE),VLOOKUP(U160,Equivalencia!$1:$23,((MAX(Equivalencia!$3:$3)-YEAR(T160))*14)+MONTH(T160)+2,FALSE)))</f>
        <v>0</v>
      </c>
      <c r="X160" s="178">
        <f t="shared" si="29"/>
        <v>0</v>
      </c>
      <c r="Y160" s="178">
        <f t="shared" si="30"/>
        <v>0</v>
      </c>
      <c r="Z160" s="175">
        <f t="shared" si="22"/>
        <v>0</v>
      </c>
      <c r="AA160" s="179"/>
      <c r="AB160" s="467">
        <f t="shared" si="23"/>
        <v>0</v>
      </c>
      <c r="AC160" s="466">
        <f t="shared" si="24"/>
        <v>0</v>
      </c>
    </row>
    <row r="161" spans="2:29" ht="20.100000000000001" customHeight="1">
      <c r="B161" s="172"/>
      <c r="C161" s="172"/>
      <c r="D161" s="172"/>
      <c r="E161" s="181"/>
      <c r="F161" s="173"/>
      <c r="G161" s="174"/>
      <c r="H161" s="284"/>
      <c r="I161" s="221"/>
      <c r="J161" s="177">
        <f>IF(H161=0,0,IF(F161="MXN",1/HLOOKUP(YEAR(G161)+(MONTH(G161)/100),TC!$5:$37,DAY(G161)+2,FALSE),VLOOKUP(F161,Equivalencia!$5:$23,((MAX(Equivalencia!$3:$3)-YEAR(G161))*14)+MONTH(G161)+2,FALSE)))</f>
        <v>0</v>
      </c>
      <c r="K161" s="217">
        <f t="shared" si="25"/>
        <v>0</v>
      </c>
      <c r="L161" s="462">
        <f>IF(G161=0,0,VLOOKUP(YEAR(G161),INPC!$B$4:$O$29,MONTH(G161)+1))</f>
        <v>0</v>
      </c>
      <c r="M161" s="462">
        <f>IF(T161=0,0,VLOOKUP(YEAR(T161),INPC!$B$4:$O$29,MONTH(T161)+1))</f>
        <v>0</v>
      </c>
      <c r="N161" s="463">
        <f t="shared" si="21"/>
        <v>0</v>
      </c>
      <c r="O161" s="464">
        <f t="shared" si="26"/>
        <v>0</v>
      </c>
      <c r="P161" s="465">
        <f t="shared" si="27"/>
        <v>0</v>
      </c>
      <c r="Q161" s="606" t="str">
        <f t="shared" si="28"/>
        <v>NO</v>
      </c>
      <c r="R161" s="180"/>
      <c r="S161" s="173"/>
      <c r="T161" s="174"/>
      <c r="U161" s="173"/>
      <c r="V161" s="220"/>
      <c r="W161" s="177">
        <f>IF(S161=0,0,IF(U161="MXN",1/HLOOKUP(YEAR(T161)+(MONTH(T161)/100),TC!$5:$37,DAY(T161)+2,FALSE),VLOOKUP(U161,Equivalencia!$1:$23,((MAX(Equivalencia!$3:$3)-YEAR(T161))*14)+MONTH(T161)+2,FALSE)))</f>
        <v>0</v>
      </c>
      <c r="X161" s="178">
        <f t="shared" si="29"/>
        <v>0</v>
      </c>
      <c r="Y161" s="178">
        <f t="shared" si="30"/>
        <v>0</v>
      </c>
      <c r="Z161" s="175">
        <f t="shared" si="22"/>
        <v>0</v>
      </c>
      <c r="AA161" s="179"/>
      <c r="AB161" s="467">
        <f t="shared" si="23"/>
        <v>0</v>
      </c>
      <c r="AC161" s="466">
        <f t="shared" si="24"/>
        <v>0</v>
      </c>
    </row>
    <row r="162" spans="2:29" ht="20.100000000000001" customHeight="1">
      <c r="B162" s="172"/>
      <c r="C162" s="172"/>
      <c r="D162" s="172"/>
      <c r="E162" s="181"/>
      <c r="F162" s="173"/>
      <c r="G162" s="174"/>
      <c r="H162" s="284"/>
      <c r="I162" s="221"/>
      <c r="J162" s="177">
        <f>IF(H162=0,0,IF(F162="MXN",1/HLOOKUP(YEAR(G162)+(MONTH(G162)/100),TC!$5:$37,DAY(G162)+2,FALSE),VLOOKUP(F162,Equivalencia!$5:$23,((MAX(Equivalencia!$3:$3)-YEAR(G162))*14)+MONTH(G162)+2,FALSE)))</f>
        <v>0</v>
      </c>
      <c r="K162" s="217">
        <f t="shared" si="25"/>
        <v>0</v>
      </c>
      <c r="L162" s="462">
        <f>IF(G162=0,0,VLOOKUP(YEAR(G162),INPC!$B$4:$O$29,MONTH(G162)+1))</f>
        <v>0</v>
      </c>
      <c r="M162" s="462">
        <f>IF(T162=0,0,VLOOKUP(YEAR(T162),INPC!$B$4:$O$29,MONTH(T162)+1))</f>
        <v>0</v>
      </c>
      <c r="N162" s="463">
        <f t="shared" si="21"/>
        <v>0</v>
      </c>
      <c r="O162" s="464">
        <f t="shared" si="26"/>
        <v>0</v>
      </c>
      <c r="P162" s="465">
        <f t="shared" si="27"/>
        <v>0</v>
      </c>
      <c r="Q162" s="606" t="str">
        <f t="shared" si="28"/>
        <v>NO</v>
      </c>
      <c r="R162" s="180"/>
      <c r="S162" s="173"/>
      <c r="T162" s="174"/>
      <c r="U162" s="173"/>
      <c r="V162" s="220"/>
      <c r="W162" s="177">
        <f>IF(S162=0,0,IF(U162="MXN",1/HLOOKUP(YEAR(T162)+(MONTH(T162)/100),TC!$5:$37,DAY(T162)+2,FALSE),VLOOKUP(U162,Equivalencia!$1:$23,((MAX(Equivalencia!$3:$3)-YEAR(T162))*14)+MONTH(T162)+2,FALSE)))</f>
        <v>0</v>
      </c>
      <c r="X162" s="178">
        <f t="shared" si="29"/>
        <v>0</v>
      </c>
      <c r="Y162" s="178">
        <f t="shared" si="30"/>
        <v>0</v>
      </c>
      <c r="Z162" s="175">
        <f t="shared" si="22"/>
        <v>0</v>
      </c>
      <c r="AA162" s="179"/>
      <c r="AB162" s="467">
        <f t="shared" si="23"/>
        <v>0</v>
      </c>
      <c r="AC162" s="466">
        <f t="shared" si="24"/>
        <v>0</v>
      </c>
    </row>
    <row r="163" spans="2:29" ht="20.100000000000001" customHeight="1">
      <c r="B163" s="172"/>
      <c r="C163" s="172"/>
      <c r="D163" s="172"/>
      <c r="E163" s="181"/>
      <c r="F163" s="173"/>
      <c r="G163" s="174"/>
      <c r="H163" s="284"/>
      <c r="I163" s="221"/>
      <c r="J163" s="177">
        <f>IF(H163=0,0,IF(F163="MXN",1/HLOOKUP(YEAR(G163)+(MONTH(G163)/100),TC!$5:$37,DAY(G163)+2,FALSE),VLOOKUP(F163,Equivalencia!$5:$23,((MAX(Equivalencia!$3:$3)-YEAR(G163))*14)+MONTH(G163)+2,FALSE)))</f>
        <v>0</v>
      </c>
      <c r="K163" s="217">
        <f t="shared" si="25"/>
        <v>0</v>
      </c>
      <c r="L163" s="462">
        <f>IF(G163=0,0,VLOOKUP(YEAR(G163),INPC!$B$4:$O$29,MONTH(G163)+1))</f>
        <v>0</v>
      </c>
      <c r="M163" s="462">
        <f>IF(T163=0,0,VLOOKUP(YEAR(T163),INPC!$B$4:$O$29,MONTH(T163)+1))</f>
        <v>0</v>
      </c>
      <c r="N163" s="463">
        <f t="shared" si="21"/>
        <v>0</v>
      </c>
      <c r="O163" s="464">
        <f t="shared" si="26"/>
        <v>0</v>
      </c>
      <c r="P163" s="465">
        <f t="shared" si="27"/>
        <v>0</v>
      </c>
      <c r="Q163" s="606" t="str">
        <f t="shared" si="28"/>
        <v>NO</v>
      </c>
      <c r="R163" s="180"/>
      <c r="S163" s="173"/>
      <c r="T163" s="174"/>
      <c r="U163" s="173"/>
      <c r="V163" s="220"/>
      <c r="W163" s="177">
        <f>IF(S163=0,0,IF(U163="MXN",1/HLOOKUP(YEAR(T163)+(MONTH(T163)/100),TC!$5:$37,DAY(T163)+2,FALSE),VLOOKUP(U163,Equivalencia!$1:$23,((MAX(Equivalencia!$3:$3)-YEAR(T163))*14)+MONTH(T163)+2,FALSE)))</f>
        <v>0</v>
      </c>
      <c r="X163" s="178">
        <f t="shared" si="29"/>
        <v>0</v>
      </c>
      <c r="Y163" s="178">
        <f t="shared" si="30"/>
        <v>0</v>
      </c>
      <c r="Z163" s="175">
        <f t="shared" si="22"/>
        <v>0</v>
      </c>
      <c r="AA163" s="179"/>
      <c r="AB163" s="467">
        <f t="shared" si="23"/>
        <v>0</v>
      </c>
      <c r="AC163" s="466">
        <f t="shared" si="24"/>
        <v>0</v>
      </c>
    </row>
    <row r="164" spans="2:29" ht="20.100000000000001" customHeight="1">
      <c r="B164" s="172"/>
      <c r="C164" s="172"/>
      <c r="D164" s="172"/>
      <c r="E164" s="181"/>
      <c r="F164" s="173"/>
      <c r="G164" s="174"/>
      <c r="H164" s="284"/>
      <c r="I164" s="221"/>
      <c r="J164" s="177">
        <f>IF(H164=0,0,IF(F164="MXN",1/HLOOKUP(YEAR(G164)+(MONTH(G164)/100),TC!$5:$37,DAY(G164)+2,FALSE),VLOOKUP(F164,Equivalencia!$5:$23,((MAX(Equivalencia!$3:$3)-YEAR(G164))*14)+MONTH(G164)+2,FALSE)))</f>
        <v>0</v>
      </c>
      <c r="K164" s="217">
        <f t="shared" si="25"/>
        <v>0</v>
      </c>
      <c r="L164" s="462">
        <f>IF(G164=0,0,VLOOKUP(YEAR(G164),INPC!$B$4:$O$29,MONTH(G164)+1))</f>
        <v>0</v>
      </c>
      <c r="M164" s="462">
        <f>IF(T164=0,0,VLOOKUP(YEAR(T164),INPC!$B$4:$O$29,MONTH(T164)+1))</f>
        <v>0</v>
      </c>
      <c r="N164" s="463">
        <f t="shared" si="21"/>
        <v>0</v>
      </c>
      <c r="O164" s="464">
        <f t="shared" si="26"/>
        <v>0</v>
      </c>
      <c r="P164" s="465">
        <f t="shared" si="27"/>
        <v>0</v>
      </c>
      <c r="Q164" s="606" t="str">
        <f t="shared" si="28"/>
        <v>NO</v>
      </c>
      <c r="R164" s="180"/>
      <c r="S164" s="173"/>
      <c r="T164" s="174"/>
      <c r="U164" s="173"/>
      <c r="V164" s="220"/>
      <c r="W164" s="177">
        <f>IF(S164=0,0,IF(U164="MXN",1/HLOOKUP(YEAR(T164)+(MONTH(T164)/100),TC!$5:$37,DAY(T164)+2,FALSE),VLOOKUP(U164,Equivalencia!$1:$23,((MAX(Equivalencia!$3:$3)-YEAR(T164))*14)+MONTH(T164)+2,FALSE)))</f>
        <v>0</v>
      </c>
      <c r="X164" s="178">
        <f t="shared" si="29"/>
        <v>0</v>
      </c>
      <c r="Y164" s="178">
        <f t="shared" si="30"/>
        <v>0</v>
      </c>
      <c r="Z164" s="175">
        <f t="shared" si="22"/>
        <v>0</v>
      </c>
      <c r="AA164" s="179"/>
      <c r="AB164" s="467">
        <f t="shared" si="23"/>
        <v>0</v>
      </c>
      <c r="AC164" s="466">
        <f t="shared" si="24"/>
        <v>0</v>
      </c>
    </row>
    <row r="165" spans="2:29" ht="20.100000000000001" customHeight="1">
      <c r="B165" s="172"/>
      <c r="C165" s="172"/>
      <c r="D165" s="172"/>
      <c r="E165" s="181"/>
      <c r="F165" s="173"/>
      <c r="G165" s="174"/>
      <c r="H165" s="284"/>
      <c r="I165" s="221"/>
      <c r="J165" s="177">
        <f>IF(H165=0,0,IF(F165="MXN",1/HLOOKUP(YEAR(G165)+(MONTH(G165)/100),TC!$5:$37,DAY(G165)+2,FALSE),VLOOKUP(F165,Equivalencia!$5:$23,((MAX(Equivalencia!$3:$3)-YEAR(G165))*14)+MONTH(G165)+2,FALSE)))</f>
        <v>0</v>
      </c>
      <c r="K165" s="217">
        <f t="shared" si="25"/>
        <v>0</v>
      </c>
      <c r="L165" s="462">
        <f>IF(G165=0,0,VLOOKUP(YEAR(G165),INPC!$B$4:$O$29,MONTH(G165)+1))</f>
        <v>0</v>
      </c>
      <c r="M165" s="462">
        <f>IF(T165=0,0,VLOOKUP(YEAR(T165),INPC!$B$4:$O$29,MONTH(T165)+1))</f>
        <v>0</v>
      </c>
      <c r="N165" s="463">
        <f t="shared" si="21"/>
        <v>0</v>
      </c>
      <c r="O165" s="464">
        <f t="shared" si="26"/>
        <v>0</v>
      </c>
      <c r="P165" s="465">
        <f t="shared" si="27"/>
        <v>0</v>
      </c>
      <c r="Q165" s="606" t="str">
        <f t="shared" si="28"/>
        <v>NO</v>
      </c>
      <c r="R165" s="180"/>
      <c r="S165" s="173"/>
      <c r="T165" s="174"/>
      <c r="U165" s="173"/>
      <c r="V165" s="220"/>
      <c r="W165" s="177">
        <f>IF(S165=0,0,IF(U165="MXN",1/HLOOKUP(YEAR(T165)+(MONTH(T165)/100),TC!$5:$37,DAY(T165)+2,FALSE),VLOOKUP(U165,Equivalencia!$1:$23,((MAX(Equivalencia!$3:$3)-YEAR(T165))*14)+MONTH(T165)+2,FALSE)))</f>
        <v>0</v>
      </c>
      <c r="X165" s="178">
        <f t="shared" si="29"/>
        <v>0</v>
      </c>
      <c r="Y165" s="178">
        <f t="shared" si="30"/>
        <v>0</v>
      </c>
      <c r="Z165" s="175">
        <f t="shared" si="22"/>
        <v>0</v>
      </c>
      <c r="AA165" s="179"/>
      <c r="AB165" s="467">
        <f t="shared" si="23"/>
        <v>0</v>
      </c>
      <c r="AC165" s="466">
        <f t="shared" si="24"/>
        <v>0</v>
      </c>
    </row>
    <row r="166" spans="2:29" ht="20.100000000000001" customHeight="1">
      <c r="B166" s="172"/>
      <c r="C166" s="172"/>
      <c r="D166" s="172"/>
      <c r="E166" s="181"/>
      <c r="F166" s="173"/>
      <c r="G166" s="174"/>
      <c r="H166" s="284"/>
      <c r="I166" s="221"/>
      <c r="J166" s="177">
        <f>IF(H166=0,0,IF(F166="MXN",1/HLOOKUP(YEAR(G166)+(MONTH(G166)/100),TC!$5:$37,DAY(G166)+2,FALSE),VLOOKUP(F166,Equivalencia!$5:$23,((MAX(Equivalencia!$3:$3)-YEAR(G166))*14)+MONTH(G166)+2,FALSE)))</f>
        <v>0</v>
      </c>
      <c r="K166" s="217">
        <f t="shared" si="25"/>
        <v>0</v>
      </c>
      <c r="L166" s="462">
        <f>IF(G166=0,0,VLOOKUP(YEAR(G166),INPC!$B$4:$O$29,MONTH(G166)+1))</f>
        <v>0</v>
      </c>
      <c r="M166" s="462">
        <f>IF(T166=0,0,VLOOKUP(YEAR(T166),INPC!$B$4:$O$29,MONTH(T166)+1))</f>
        <v>0</v>
      </c>
      <c r="N166" s="463">
        <f t="shared" si="21"/>
        <v>0</v>
      </c>
      <c r="O166" s="464">
        <f t="shared" si="26"/>
        <v>0</v>
      </c>
      <c r="P166" s="465">
        <f t="shared" si="27"/>
        <v>0</v>
      </c>
      <c r="Q166" s="606" t="str">
        <f t="shared" si="28"/>
        <v>NO</v>
      </c>
      <c r="R166" s="180"/>
      <c r="S166" s="173"/>
      <c r="T166" s="174"/>
      <c r="U166" s="173"/>
      <c r="V166" s="220"/>
      <c r="W166" s="177">
        <f>IF(S166=0,0,IF(U166="MXN",1/HLOOKUP(YEAR(T166)+(MONTH(T166)/100),TC!$5:$37,DAY(T166)+2,FALSE),VLOOKUP(U166,Equivalencia!$1:$23,((MAX(Equivalencia!$3:$3)-YEAR(T166))*14)+MONTH(T166)+2,FALSE)))</f>
        <v>0</v>
      </c>
      <c r="X166" s="178">
        <f t="shared" si="29"/>
        <v>0</v>
      </c>
      <c r="Y166" s="178">
        <f t="shared" si="30"/>
        <v>0</v>
      </c>
      <c r="Z166" s="175">
        <f t="shared" si="22"/>
        <v>0</v>
      </c>
      <c r="AA166" s="179"/>
      <c r="AB166" s="467">
        <f t="shared" si="23"/>
        <v>0</v>
      </c>
      <c r="AC166" s="466">
        <f t="shared" si="24"/>
        <v>0</v>
      </c>
    </row>
    <row r="167" spans="2:29" ht="20.100000000000001" customHeight="1">
      <c r="B167" s="172"/>
      <c r="C167" s="172"/>
      <c r="D167" s="172"/>
      <c r="E167" s="181"/>
      <c r="F167" s="173"/>
      <c r="G167" s="174"/>
      <c r="H167" s="284"/>
      <c r="I167" s="221"/>
      <c r="J167" s="177">
        <f>IF(H167=0,0,IF(F167="MXN",1/HLOOKUP(YEAR(G167)+(MONTH(G167)/100),TC!$5:$37,DAY(G167)+2,FALSE),VLOOKUP(F167,Equivalencia!$5:$23,((MAX(Equivalencia!$3:$3)-YEAR(G167))*14)+MONTH(G167)+2,FALSE)))</f>
        <v>0</v>
      </c>
      <c r="K167" s="217">
        <f t="shared" si="25"/>
        <v>0</v>
      </c>
      <c r="L167" s="462">
        <f>IF(G167=0,0,VLOOKUP(YEAR(G167),INPC!$B$4:$O$29,MONTH(G167)+1))</f>
        <v>0</v>
      </c>
      <c r="M167" s="462">
        <f>IF(T167=0,0,VLOOKUP(YEAR(T167),INPC!$B$4:$O$29,MONTH(T167)+1))</f>
        <v>0</v>
      </c>
      <c r="N167" s="463">
        <f t="shared" si="21"/>
        <v>0</v>
      </c>
      <c r="O167" s="464">
        <f t="shared" si="26"/>
        <v>0</v>
      </c>
      <c r="P167" s="465">
        <f t="shared" si="27"/>
        <v>0</v>
      </c>
      <c r="Q167" s="606" t="str">
        <f t="shared" si="28"/>
        <v>NO</v>
      </c>
      <c r="R167" s="180"/>
      <c r="S167" s="173"/>
      <c r="T167" s="174"/>
      <c r="U167" s="173"/>
      <c r="V167" s="220"/>
      <c r="W167" s="177">
        <f>IF(S167=0,0,IF(U167="MXN",1/HLOOKUP(YEAR(T167)+(MONTH(T167)/100),TC!$5:$37,DAY(T167)+2,FALSE),VLOOKUP(U167,Equivalencia!$1:$23,((MAX(Equivalencia!$3:$3)-YEAR(T167))*14)+MONTH(T167)+2,FALSE)))</f>
        <v>0</v>
      </c>
      <c r="X167" s="178">
        <f t="shared" si="29"/>
        <v>0</v>
      </c>
      <c r="Y167" s="178">
        <f t="shared" si="30"/>
        <v>0</v>
      </c>
      <c r="Z167" s="175">
        <f t="shared" si="22"/>
        <v>0</v>
      </c>
      <c r="AA167" s="179"/>
      <c r="AB167" s="467">
        <f t="shared" si="23"/>
        <v>0</v>
      </c>
      <c r="AC167" s="466">
        <f t="shared" si="24"/>
        <v>0</v>
      </c>
    </row>
    <row r="168" spans="2:29" ht="20.100000000000001" customHeight="1">
      <c r="B168" s="172"/>
      <c r="C168" s="172"/>
      <c r="D168" s="172"/>
      <c r="E168" s="181"/>
      <c r="F168" s="173"/>
      <c r="G168" s="174"/>
      <c r="H168" s="284"/>
      <c r="I168" s="221"/>
      <c r="J168" s="177">
        <f>IF(H168=0,0,IF(F168="MXN",1/HLOOKUP(YEAR(G168)+(MONTH(G168)/100),TC!$5:$37,DAY(G168)+2,FALSE),VLOOKUP(F168,Equivalencia!$5:$23,((MAX(Equivalencia!$3:$3)-YEAR(G168))*14)+MONTH(G168)+2,FALSE)))</f>
        <v>0</v>
      </c>
      <c r="K168" s="217">
        <f t="shared" si="25"/>
        <v>0</v>
      </c>
      <c r="L168" s="462">
        <f>IF(G168=0,0,VLOOKUP(YEAR(G168),INPC!$B$4:$O$29,MONTH(G168)+1))</f>
        <v>0</v>
      </c>
      <c r="M168" s="462">
        <f>IF(T168=0,0,VLOOKUP(YEAR(T168),INPC!$B$4:$O$29,MONTH(T168)+1))</f>
        <v>0</v>
      </c>
      <c r="N168" s="463">
        <f t="shared" si="21"/>
        <v>0</v>
      </c>
      <c r="O168" s="464">
        <f t="shared" si="26"/>
        <v>0</v>
      </c>
      <c r="P168" s="465">
        <f t="shared" si="27"/>
        <v>0</v>
      </c>
      <c r="Q168" s="606" t="str">
        <f t="shared" si="28"/>
        <v>NO</v>
      </c>
      <c r="R168" s="180"/>
      <c r="S168" s="173"/>
      <c r="T168" s="174"/>
      <c r="U168" s="173"/>
      <c r="V168" s="220"/>
      <c r="W168" s="177">
        <f>IF(S168=0,0,IF(U168="MXN",1/HLOOKUP(YEAR(T168)+(MONTH(T168)/100),TC!$5:$37,DAY(T168)+2,FALSE),VLOOKUP(U168,Equivalencia!$1:$23,((MAX(Equivalencia!$3:$3)-YEAR(T168))*14)+MONTH(T168)+2,FALSE)))</f>
        <v>0</v>
      </c>
      <c r="X168" s="178">
        <f t="shared" si="29"/>
        <v>0</v>
      </c>
      <c r="Y168" s="178">
        <f t="shared" si="30"/>
        <v>0</v>
      </c>
      <c r="Z168" s="175">
        <f t="shared" si="22"/>
        <v>0</v>
      </c>
      <c r="AA168" s="179"/>
      <c r="AB168" s="467">
        <f t="shared" si="23"/>
        <v>0</v>
      </c>
      <c r="AC168" s="466">
        <f t="shared" si="24"/>
        <v>0</v>
      </c>
    </row>
    <row r="169" spans="2:29" ht="20.100000000000001" customHeight="1">
      <c r="B169" s="172"/>
      <c r="C169" s="172"/>
      <c r="D169" s="172"/>
      <c r="E169" s="181"/>
      <c r="F169" s="173"/>
      <c r="G169" s="174"/>
      <c r="H169" s="284"/>
      <c r="I169" s="221"/>
      <c r="J169" s="177">
        <f>IF(H169=0,0,IF(F169="MXN",1/HLOOKUP(YEAR(G169)+(MONTH(G169)/100),TC!$5:$37,DAY(G169)+2,FALSE),VLOOKUP(F169,Equivalencia!$5:$23,((MAX(Equivalencia!$3:$3)-YEAR(G169))*14)+MONTH(G169)+2,FALSE)))</f>
        <v>0</v>
      </c>
      <c r="K169" s="217">
        <f t="shared" si="25"/>
        <v>0</v>
      </c>
      <c r="L169" s="462">
        <f>IF(G169=0,0,VLOOKUP(YEAR(G169),INPC!$B$4:$O$29,MONTH(G169)+1))</f>
        <v>0</v>
      </c>
      <c r="M169" s="462">
        <f>IF(T169=0,0,VLOOKUP(YEAR(T169),INPC!$B$4:$O$29,MONTH(T169)+1))</f>
        <v>0</v>
      </c>
      <c r="N169" s="463">
        <f t="shared" si="21"/>
        <v>0</v>
      </c>
      <c r="O169" s="464">
        <f t="shared" si="26"/>
        <v>0</v>
      </c>
      <c r="P169" s="465">
        <f t="shared" si="27"/>
        <v>0</v>
      </c>
      <c r="Q169" s="606" t="str">
        <f t="shared" si="28"/>
        <v>NO</v>
      </c>
      <c r="R169" s="180"/>
      <c r="S169" s="173"/>
      <c r="T169" s="174"/>
      <c r="U169" s="173"/>
      <c r="V169" s="220"/>
      <c r="W169" s="177">
        <f>IF(S169=0,0,IF(U169="MXN",1/HLOOKUP(YEAR(T169)+(MONTH(T169)/100),TC!$5:$37,DAY(T169)+2,FALSE),VLOOKUP(U169,Equivalencia!$1:$23,((MAX(Equivalencia!$3:$3)-YEAR(T169))*14)+MONTH(T169)+2,FALSE)))</f>
        <v>0</v>
      </c>
      <c r="X169" s="178">
        <f t="shared" si="29"/>
        <v>0</v>
      </c>
      <c r="Y169" s="178">
        <f t="shared" si="30"/>
        <v>0</v>
      </c>
      <c r="Z169" s="175">
        <f t="shared" si="22"/>
        <v>0</v>
      </c>
      <c r="AA169" s="179"/>
      <c r="AB169" s="467">
        <f t="shared" si="23"/>
        <v>0</v>
      </c>
      <c r="AC169" s="466">
        <f t="shared" si="24"/>
        <v>0</v>
      </c>
    </row>
    <row r="170" spans="2:29" ht="20.100000000000001" customHeight="1">
      <c r="B170" s="172"/>
      <c r="C170" s="172"/>
      <c r="D170" s="172"/>
      <c r="E170" s="181"/>
      <c r="F170" s="173"/>
      <c r="G170" s="174"/>
      <c r="H170" s="284"/>
      <c r="I170" s="221"/>
      <c r="J170" s="177">
        <f>IF(H170=0,0,IF(F170="MXN",1/HLOOKUP(YEAR(G170)+(MONTH(G170)/100),TC!$5:$37,DAY(G170)+2,FALSE),VLOOKUP(F170,Equivalencia!$5:$23,((MAX(Equivalencia!$3:$3)-YEAR(G170))*14)+MONTH(G170)+2,FALSE)))</f>
        <v>0</v>
      </c>
      <c r="K170" s="217">
        <f t="shared" si="25"/>
        <v>0</v>
      </c>
      <c r="L170" s="462">
        <f>IF(G170=0,0,VLOOKUP(YEAR(G170),INPC!$B$4:$O$29,MONTH(G170)+1))</f>
        <v>0</v>
      </c>
      <c r="M170" s="462">
        <f>IF(T170=0,0,VLOOKUP(YEAR(T170),INPC!$B$4:$O$29,MONTH(T170)+1))</f>
        <v>0</v>
      </c>
      <c r="N170" s="463">
        <f t="shared" si="21"/>
        <v>0</v>
      </c>
      <c r="O170" s="464">
        <f t="shared" si="26"/>
        <v>0</v>
      </c>
      <c r="P170" s="465">
        <f t="shared" si="27"/>
        <v>0</v>
      </c>
      <c r="Q170" s="606" t="str">
        <f t="shared" si="28"/>
        <v>NO</v>
      </c>
      <c r="R170" s="180"/>
      <c r="S170" s="173"/>
      <c r="T170" s="174"/>
      <c r="U170" s="173"/>
      <c r="V170" s="220"/>
      <c r="W170" s="177">
        <f>IF(S170=0,0,IF(U170="MXN",1/HLOOKUP(YEAR(T170)+(MONTH(T170)/100),TC!$5:$37,DAY(T170)+2,FALSE),VLOOKUP(U170,Equivalencia!$1:$23,((MAX(Equivalencia!$3:$3)-YEAR(T170))*14)+MONTH(T170)+2,FALSE)))</f>
        <v>0</v>
      </c>
      <c r="X170" s="178">
        <f t="shared" si="29"/>
        <v>0</v>
      </c>
      <c r="Y170" s="178">
        <f t="shared" si="30"/>
        <v>0</v>
      </c>
      <c r="Z170" s="175">
        <f t="shared" si="22"/>
        <v>0</v>
      </c>
      <c r="AA170" s="179"/>
      <c r="AB170" s="467">
        <f t="shared" si="23"/>
        <v>0</v>
      </c>
      <c r="AC170" s="466">
        <f t="shared" si="24"/>
        <v>0</v>
      </c>
    </row>
    <row r="171" spans="2:29" ht="20.100000000000001" customHeight="1">
      <c r="B171" s="172"/>
      <c r="C171" s="172"/>
      <c r="D171" s="172"/>
      <c r="E171" s="181"/>
      <c r="F171" s="173"/>
      <c r="G171" s="174"/>
      <c r="H171" s="284"/>
      <c r="I171" s="221"/>
      <c r="J171" s="177">
        <f>IF(H171=0,0,IF(F171="MXN",1/HLOOKUP(YEAR(G171)+(MONTH(G171)/100),TC!$5:$37,DAY(G171)+2,FALSE),VLOOKUP(F171,Equivalencia!$5:$23,((MAX(Equivalencia!$3:$3)-YEAR(G171))*14)+MONTH(G171)+2,FALSE)))</f>
        <v>0</v>
      </c>
      <c r="K171" s="217">
        <f t="shared" si="25"/>
        <v>0</v>
      </c>
      <c r="L171" s="462">
        <f>IF(G171=0,0,VLOOKUP(YEAR(G171),INPC!$B$4:$O$29,MONTH(G171)+1))</f>
        <v>0</v>
      </c>
      <c r="M171" s="462">
        <f>IF(T171=0,0,VLOOKUP(YEAR(T171),INPC!$B$4:$O$29,MONTH(T171)+1))</f>
        <v>0</v>
      </c>
      <c r="N171" s="463">
        <f t="shared" si="21"/>
        <v>0</v>
      </c>
      <c r="O171" s="464">
        <f t="shared" si="26"/>
        <v>0</v>
      </c>
      <c r="P171" s="465">
        <f t="shared" si="27"/>
        <v>0</v>
      </c>
      <c r="Q171" s="606" t="str">
        <f t="shared" si="28"/>
        <v>NO</v>
      </c>
      <c r="R171" s="180"/>
      <c r="S171" s="173"/>
      <c r="T171" s="174"/>
      <c r="U171" s="173"/>
      <c r="V171" s="220"/>
      <c r="W171" s="177">
        <f>IF(S171=0,0,IF(U171="MXN",1/HLOOKUP(YEAR(T171)+(MONTH(T171)/100),TC!$5:$37,DAY(T171)+2,FALSE),VLOOKUP(U171,Equivalencia!$1:$23,((MAX(Equivalencia!$3:$3)-YEAR(T171))*14)+MONTH(T171)+2,FALSE)))</f>
        <v>0</v>
      </c>
      <c r="X171" s="178">
        <f t="shared" si="29"/>
        <v>0</v>
      </c>
      <c r="Y171" s="178">
        <f t="shared" si="30"/>
        <v>0</v>
      </c>
      <c r="Z171" s="175">
        <f t="shared" si="22"/>
        <v>0</v>
      </c>
      <c r="AA171" s="179"/>
      <c r="AB171" s="467">
        <f t="shared" si="23"/>
        <v>0</v>
      </c>
      <c r="AC171" s="466">
        <f t="shared" si="24"/>
        <v>0</v>
      </c>
    </row>
    <row r="172" spans="2:29" ht="20.100000000000001" customHeight="1">
      <c r="B172" s="172"/>
      <c r="C172" s="172"/>
      <c r="D172" s="172"/>
      <c r="E172" s="181"/>
      <c r="F172" s="173"/>
      <c r="G172" s="174"/>
      <c r="H172" s="284"/>
      <c r="I172" s="221"/>
      <c r="J172" s="177">
        <f>IF(H172=0,0,IF(F172="MXN",1/HLOOKUP(YEAR(G172)+(MONTH(G172)/100),TC!$5:$37,DAY(G172)+2,FALSE),VLOOKUP(F172,Equivalencia!$5:$23,((MAX(Equivalencia!$3:$3)-YEAR(G172))*14)+MONTH(G172)+2,FALSE)))</f>
        <v>0</v>
      </c>
      <c r="K172" s="217">
        <f t="shared" si="25"/>
        <v>0</v>
      </c>
      <c r="L172" s="462">
        <f>IF(G172=0,0,VLOOKUP(YEAR(G172),INPC!$B$4:$O$29,MONTH(G172)+1))</f>
        <v>0</v>
      </c>
      <c r="M172" s="462">
        <f>IF(T172=0,0,VLOOKUP(YEAR(T172),INPC!$B$4:$O$29,MONTH(T172)+1))</f>
        <v>0</v>
      </c>
      <c r="N172" s="463">
        <f t="shared" si="21"/>
        <v>0</v>
      </c>
      <c r="O172" s="464">
        <f t="shared" si="26"/>
        <v>0</v>
      </c>
      <c r="P172" s="465">
        <f t="shared" si="27"/>
        <v>0</v>
      </c>
      <c r="Q172" s="606" t="str">
        <f t="shared" si="28"/>
        <v>NO</v>
      </c>
      <c r="R172" s="180"/>
      <c r="S172" s="173"/>
      <c r="T172" s="174"/>
      <c r="U172" s="173"/>
      <c r="V172" s="220"/>
      <c r="W172" s="177">
        <f>IF(S172=0,0,IF(U172="MXN",1/HLOOKUP(YEAR(T172)+(MONTH(T172)/100),TC!$5:$37,DAY(T172)+2,FALSE),VLOOKUP(U172,Equivalencia!$1:$23,((MAX(Equivalencia!$3:$3)-YEAR(T172))*14)+MONTH(T172)+2,FALSE)))</f>
        <v>0</v>
      </c>
      <c r="X172" s="178">
        <f t="shared" si="29"/>
        <v>0</v>
      </c>
      <c r="Y172" s="178">
        <f t="shared" si="30"/>
        <v>0</v>
      </c>
      <c r="Z172" s="175">
        <f t="shared" si="22"/>
        <v>0</v>
      </c>
      <c r="AA172" s="179"/>
      <c r="AB172" s="467">
        <f t="shared" si="23"/>
        <v>0</v>
      </c>
      <c r="AC172" s="466">
        <f t="shared" si="24"/>
        <v>0</v>
      </c>
    </row>
    <row r="173" spans="2:29" ht="20.100000000000001" customHeight="1">
      <c r="B173" s="172"/>
      <c r="C173" s="172"/>
      <c r="D173" s="172"/>
      <c r="E173" s="181"/>
      <c r="F173" s="173"/>
      <c r="G173" s="174"/>
      <c r="H173" s="284"/>
      <c r="I173" s="221"/>
      <c r="J173" s="177">
        <f>IF(H173=0,0,IF(F173="MXN",1/HLOOKUP(YEAR(G173)+(MONTH(G173)/100),TC!$5:$37,DAY(G173)+2,FALSE),VLOOKUP(F173,Equivalencia!$5:$23,((MAX(Equivalencia!$3:$3)-YEAR(G173))*14)+MONTH(G173)+2,FALSE)))</f>
        <v>0</v>
      </c>
      <c r="K173" s="217">
        <f t="shared" si="25"/>
        <v>0</v>
      </c>
      <c r="L173" s="462">
        <f>IF(G173=0,0,VLOOKUP(YEAR(G173),INPC!$B$4:$O$29,MONTH(G173)+1))</f>
        <v>0</v>
      </c>
      <c r="M173" s="462">
        <f>IF(T173=0,0,VLOOKUP(YEAR(T173),INPC!$B$4:$O$29,MONTH(T173)+1))</f>
        <v>0</v>
      </c>
      <c r="N173" s="463">
        <f t="shared" si="21"/>
        <v>0</v>
      </c>
      <c r="O173" s="464">
        <f t="shared" si="26"/>
        <v>0</v>
      </c>
      <c r="P173" s="465">
        <f t="shared" si="27"/>
        <v>0</v>
      </c>
      <c r="Q173" s="606" t="str">
        <f t="shared" si="28"/>
        <v>NO</v>
      </c>
      <c r="R173" s="180"/>
      <c r="S173" s="173"/>
      <c r="T173" s="174"/>
      <c r="U173" s="173"/>
      <c r="V173" s="220"/>
      <c r="W173" s="177">
        <f>IF(S173=0,0,IF(U173="MXN",1/HLOOKUP(YEAR(T173)+(MONTH(T173)/100),TC!$5:$37,DAY(T173)+2,FALSE),VLOOKUP(U173,Equivalencia!$1:$23,((MAX(Equivalencia!$3:$3)-YEAR(T173))*14)+MONTH(T173)+2,FALSE)))</f>
        <v>0</v>
      </c>
      <c r="X173" s="178">
        <f t="shared" si="29"/>
        <v>0</v>
      </c>
      <c r="Y173" s="178">
        <f t="shared" si="30"/>
        <v>0</v>
      </c>
      <c r="Z173" s="175">
        <f t="shared" si="22"/>
        <v>0</v>
      </c>
      <c r="AA173" s="179"/>
      <c r="AB173" s="467">
        <f t="shared" si="23"/>
        <v>0</v>
      </c>
      <c r="AC173" s="466">
        <f t="shared" si="24"/>
        <v>0</v>
      </c>
    </row>
    <row r="174" spans="2:29" ht="20.100000000000001" customHeight="1">
      <c r="B174" s="172"/>
      <c r="C174" s="172"/>
      <c r="D174" s="172"/>
      <c r="E174" s="181"/>
      <c r="F174" s="173"/>
      <c r="G174" s="174"/>
      <c r="H174" s="284"/>
      <c r="I174" s="221"/>
      <c r="J174" s="177">
        <f>IF(H174=0,0,IF(F174="MXN",1/HLOOKUP(YEAR(G174)+(MONTH(G174)/100),TC!$5:$37,DAY(G174)+2,FALSE),VLOOKUP(F174,Equivalencia!$5:$23,((MAX(Equivalencia!$3:$3)-YEAR(G174))*14)+MONTH(G174)+2,FALSE)))</f>
        <v>0</v>
      </c>
      <c r="K174" s="217">
        <f t="shared" si="25"/>
        <v>0</v>
      </c>
      <c r="L174" s="462">
        <f>IF(G174=0,0,VLOOKUP(YEAR(G174),INPC!$B$4:$O$29,MONTH(G174)+1))</f>
        <v>0</v>
      </c>
      <c r="M174" s="462">
        <f>IF(T174=0,0,VLOOKUP(YEAR(T174),INPC!$B$4:$O$29,MONTH(T174)+1))</f>
        <v>0</v>
      </c>
      <c r="N174" s="463">
        <f t="shared" si="21"/>
        <v>0</v>
      </c>
      <c r="O174" s="464">
        <f t="shared" si="26"/>
        <v>0</v>
      </c>
      <c r="P174" s="465">
        <f t="shared" si="27"/>
        <v>0</v>
      </c>
      <c r="Q174" s="606" t="str">
        <f t="shared" si="28"/>
        <v>NO</v>
      </c>
      <c r="R174" s="180"/>
      <c r="S174" s="173"/>
      <c r="T174" s="174"/>
      <c r="U174" s="173"/>
      <c r="V174" s="220"/>
      <c r="W174" s="177">
        <f>IF(S174=0,0,IF(U174="MXN",1/HLOOKUP(YEAR(T174)+(MONTH(T174)/100),TC!$5:$37,DAY(T174)+2,FALSE),VLOOKUP(U174,Equivalencia!$1:$23,((MAX(Equivalencia!$3:$3)-YEAR(T174))*14)+MONTH(T174)+2,FALSE)))</f>
        <v>0</v>
      </c>
      <c r="X174" s="178">
        <f t="shared" si="29"/>
        <v>0</v>
      </c>
      <c r="Y174" s="178">
        <f t="shared" si="30"/>
        <v>0</v>
      </c>
      <c r="Z174" s="175">
        <f t="shared" si="22"/>
        <v>0</v>
      </c>
      <c r="AA174" s="179"/>
      <c r="AB174" s="467">
        <f t="shared" si="23"/>
        <v>0</v>
      </c>
      <c r="AC174" s="466">
        <f t="shared" si="24"/>
        <v>0</v>
      </c>
    </row>
    <row r="175" spans="2:29" ht="20.100000000000001" customHeight="1">
      <c r="B175" s="172"/>
      <c r="C175" s="172"/>
      <c r="D175" s="172"/>
      <c r="E175" s="181"/>
      <c r="F175" s="173"/>
      <c r="G175" s="174"/>
      <c r="H175" s="284"/>
      <c r="I175" s="221"/>
      <c r="J175" s="177">
        <f>IF(H175=0,0,IF(F175="MXN",1/HLOOKUP(YEAR(G175)+(MONTH(G175)/100),TC!$5:$37,DAY(G175)+2,FALSE),VLOOKUP(F175,Equivalencia!$5:$23,((MAX(Equivalencia!$3:$3)-YEAR(G175))*14)+MONTH(G175)+2,FALSE)))</f>
        <v>0</v>
      </c>
      <c r="K175" s="217">
        <f t="shared" si="25"/>
        <v>0</v>
      </c>
      <c r="L175" s="462">
        <f>IF(G175=0,0,VLOOKUP(YEAR(G175),INPC!$B$4:$O$29,MONTH(G175)+1))</f>
        <v>0</v>
      </c>
      <c r="M175" s="462">
        <f>IF(T175=0,0,VLOOKUP(YEAR(T175),INPC!$B$4:$O$29,MONTH(T175)+1))</f>
        <v>0</v>
      </c>
      <c r="N175" s="463">
        <f t="shared" si="21"/>
        <v>0</v>
      </c>
      <c r="O175" s="464">
        <f t="shared" si="26"/>
        <v>0</v>
      </c>
      <c r="P175" s="465">
        <f t="shared" si="27"/>
        <v>0</v>
      </c>
      <c r="Q175" s="606" t="str">
        <f t="shared" si="28"/>
        <v>NO</v>
      </c>
      <c r="R175" s="180"/>
      <c r="S175" s="173"/>
      <c r="T175" s="174"/>
      <c r="U175" s="173"/>
      <c r="V175" s="220"/>
      <c r="W175" s="177">
        <f>IF(S175=0,0,IF(U175="MXN",1/HLOOKUP(YEAR(T175)+(MONTH(T175)/100),TC!$5:$37,DAY(T175)+2,FALSE),VLOOKUP(U175,Equivalencia!$1:$23,((MAX(Equivalencia!$3:$3)-YEAR(T175))*14)+MONTH(T175)+2,FALSE)))</f>
        <v>0</v>
      </c>
      <c r="X175" s="178">
        <f t="shared" si="29"/>
        <v>0</v>
      </c>
      <c r="Y175" s="178">
        <f t="shared" si="30"/>
        <v>0</v>
      </c>
      <c r="Z175" s="175">
        <f t="shared" si="22"/>
        <v>0</v>
      </c>
      <c r="AA175" s="179"/>
      <c r="AB175" s="467">
        <f t="shared" si="23"/>
        <v>0</v>
      </c>
      <c r="AC175" s="466">
        <f t="shared" si="24"/>
        <v>0</v>
      </c>
    </row>
    <row r="176" spans="2:29" ht="20.100000000000001" customHeight="1">
      <c r="B176" s="172"/>
      <c r="C176" s="172"/>
      <c r="D176" s="172"/>
      <c r="E176" s="181"/>
      <c r="F176" s="173"/>
      <c r="G176" s="174"/>
      <c r="H176" s="284"/>
      <c r="I176" s="221"/>
      <c r="J176" s="177">
        <f>IF(H176=0,0,IF(F176="MXN",1/HLOOKUP(YEAR(G176)+(MONTH(G176)/100),TC!$5:$37,DAY(G176)+2,FALSE),VLOOKUP(F176,Equivalencia!$5:$23,((MAX(Equivalencia!$3:$3)-YEAR(G176))*14)+MONTH(G176)+2,FALSE)))</f>
        <v>0</v>
      </c>
      <c r="K176" s="217">
        <f t="shared" si="25"/>
        <v>0</v>
      </c>
      <c r="L176" s="462">
        <f>IF(G176=0,0,VLOOKUP(YEAR(G176),INPC!$B$4:$O$29,MONTH(G176)+1))</f>
        <v>0</v>
      </c>
      <c r="M176" s="462">
        <f>IF(T176=0,0,VLOOKUP(YEAR(T176),INPC!$B$4:$O$29,MONTH(T176)+1))</f>
        <v>0</v>
      </c>
      <c r="N176" s="463">
        <f t="shared" si="21"/>
        <v>0</v>
      </c>
      <c r="O176" s="464">
        <f t="shared" si="26"/>
        <v>0</v>
      </c>
      <c r="P176" s="465">
        <f t="shared" si="27"/>
        <v>0</v>
      </c>
      <c r="Q176" s="606" t="str">
        <f t="shared" si="28"/>
        <v>NO</v>
      </c>
      <c r="R176" s="180"/>
      <c r="S176" s="173"/>
      <c r="T176" s="174"/>
      <c r="U176" s="173"/>
      <c r="V176" s="220"/>
      <c r="W176" s="177">
        <f>IF(S176=0,0,IF(U176="MXN",1/HLOOKUP(YEAR(T176)+(MONTH(T176)/100),TC!$5:$37,DAY(T176)+2,FALSE),VLOOKUP(U176,Equivalencia!$1:$23,((MAX(Equivalencia!$3:$3)-YEAR(T176))*14)+MONTH(T176)+2,FALSE)))</f>
        <v>0</v>
      </c>
      <c r="X176" s="178">
        <f t="shared" si="29"/>
        <v>0</v>
      </c>
      <c r="Y176" s="178">
        <f t="shared" si="30"/>
        <v>0</v>
      </c>
      <c r="Z176" s="175">
        <f t="shared" si="22"/>
        <v>0</v>
      </c>
      <c r="AA176" s="179"/>
      <c r="AB176" s="467">
        <f t="shared" si="23"/>
        <v>0</v>
      </c>
      <c r="AC176" s="466">
        <f t="shared" si="24"/>
        <v>0</v>
      </c>
    </row>
    <row r="177" spans="2:29" ht="20.100000000000001" customHeight="1">
      <c r="B177" s="172"/>
      <c r="C177" s="172"/>
      <c r="D177" s="172"/>
      <c r="E177" s="181"/>
      <c r="F177" s="173"/>
      <c r="G177" s="174"/>
      <c r="H177" s="284"/>
      <c r="I177" s="221"/>
      <c r="J177" s="177">
        <f>IF(H177=0,0,IF(F177="MXN",1/HLOOKUP(YEAR(G177)+(MONTH(G177)/100),TC!$5:$37,DAY(G177)+2,FALSE),VLOOKUP(F177,Equivalencia!$5:$23,((MAX(Equivalencia!$3:$3)-YEAR(G177))*14)+MONTH(G177)+2,FALSE)))</f>
        <v>0</v>
      </c>
      <c r="K177" s="217">
        <f t="shared" si="25"/>
        <v>0</v>
      </c>
      <c r="L177" s="462">
        <f>IF(G177=0,0,VLOOKUP(YEAR(G177),INPC!$B$4:$O$29,MONTH(G177)+1))</f>
        <v>0</v>
      </c>
      <c r="M177" s="462">
        <f>IF(T177=0,0,VLOOKUP(YEAR(T177),INPC!$B$4:$O$29,MONTH(T177)+1))</f>
        <v>0</v>
      </c>
      <c r="N177" s="463">
        <f t="shared" si="21"/>
        <v>0</v>
      </c>
      <c r="O177" s="464">
        <f t="shared" si="26"/>
        <v>0</v>
      </c>
      <c r="P177" s="465">
        <f t="shared" si="27"/>
        <v>0</v>
      </c>
      <c r="Q177" s="606" t="str">
        <f t="shared" si="28"/>
        <v>NO</v>
      </c>
      <c r="R177" s="180"/>
      <c r="S177" s="173"/>
      <c r="T177" s="174"/>
      <c r="U177" s="173"/>
      <c r="V177" s="220"/>
      <c r="W177" s="177">
        <f>IF(S177=0,0,IF(U177="MXN",1/HLOOKUP(YEAR(T177)+(MONTH(T177)/100),TC!$5:$37,DAY(T177)+2,FALSE),VLOOKUP(U177,Equivalencia!$1:$23,((MAX(Equivalencia!$3:$3)-YEAR(T177))*14)+MONTH(T177)+2,FALSE)))</f>
        <v>0</v>
      </c>
      <c r="X177" s="178">
        <f t="shared" si="29"/>
        <v>0</v>
      </c>
      <c r="Y177" s="178">
        <f t="shared" si="30"/>
        <v>0</v>
      </c>
      <c r="Z177" s="175">
        <f t="shared" si="22"/>
        <v>0</v>
      </c>
      <c r="AA177" s="179"/>
      <c r="AB177" s="467">
        <f t="shared" si="23"/>
        <v>0</v>
      </c>
      <c r="AC177" s="466">
        <f t="shared" si="24"/>
        <v>0</v>
      </c>
    </row>
    <row r="178" spans="2:29" ht="20.100000000000001" customHeight="1">
      <c r="B178" s="172"/>
      <c r="C178" s="172"/>
      <c r="D178" s="172"/>
      <c r="E178" s="181"/>
      <c r="F178" s="173"/>
      <c r="G178" s="174"/>
      <c r="H178" s="284"/>
      <c r="I178" s="221"/>
      <c r="J178" s="177">
        <f>IF(H178=0,0,IF(F178="MXN",1/HLOOKUP(YEAR(G178)+(MONTH(G178)/100),TC!$5:$37,DAY(G178)+2,FALSE),VLOOKUP(F178,Equivalencia!$5:$23,((MAX(Equivalencia!$3:$3)-YEAR(G178))*14)+MONTH(G178)+2,FALSE)))</f>
        <v>0</v>
      </c>
      <c r="K178" s="217">
        <f t="shared" si="25"/>
        <v>0</v>
      </c>
      <c r="L178" s="462">
        <f>IF(G178=0,0,VLOOKUP(YEAR(G178),INPC!$B$4:$O$29,MONTH(G178)+1))</f>
        <v>0</v>
      </c>
      <c r="M178" s="462">
        <f>IF(T178=0,0,VLOOKUP(YEAR(T178),INPC!$B$4:$O$29,MONTH(T178)+1))</f>
        <v>0</v>
      </c>
      <c r="N178" s="463">
        <f t="shared" si="21"/>
        <v>0</v>
      </c>
      <c r="O178" s="464">
        <f t="shared" si="26"/>
        <v>0</v>
      </c>
      <c r="P178" s="465">
        <f t="shared" si="27"/>
        <v>0</v>
      </c>
      <c r="Q178" s="606" t="str">
        <f t="shared" si="28"/>
        <v>NO</v>
      </c>
      <c r="R178" s="180"/>
      <c r="S178" s="173"/>
      <c r="T178" s="174"/>
      <c r="U178" s="173"/>
      <c r="V178" s="220"/>
      <c r="W178" s="177">
        <f>IF(S178=0,0,IF(U178="MXN",1/HLOOKUP(YEAR(T178)+(MONTH(T178)/100),TC!$5:$37,DAY(T178)+2,FALSE),VLOOKUP(U178,Equivalencia!$1:$23,((MAX(Equivalencia!$3:$3)-YEAR(T178))*14)+MONTH(T178)+2,FALSE)))</f>
        <v>0</v>
      </c>
      <c r="X178" s="178">
        <f t="shared" si="29"/>
        <v>0</v>
      </c>
      <c r="Y178" s="178">
        <f t="shared" si="30"/>
        <v>0</v>
      </c>
      <c r="Z178" s="175">
        <f t="shared" si="22"/>
        <v>0</v>
      </c>
      <c r="AA178" s="179"/>
      <c r="AB178" s="467">
        <f t="shared" si="23"/>
        <v>0</v>
      </c>
      <c r="AC178" s="466">
        <f t="shared" si="24"/>
        <v>0</v>
      </c>
    </row>
    <row r="179" spans="2:29" ht="20.100000000000001" customHeight="1">
      <c r="B179" s="172"/>
      <c r="C179" s="172"/>
      <c r="D179" s="172"/>
      <c r="E179" s="181"/>
      <c r="F179" s="173"/>
      <c r="G179" s="174"/>
      <c r="H179" s="284"/>
      <c r="I179" s="221"/>
      <c r="J179" s="177">
        <f>IF(H179=0,0,IF(F179="MXN",1/HLOOKUP(YEAR(G179)+(MONTH(G179)/100),TC!$5:$37,DAY(G179)+2,FALSE),VLOOKUP(F179,Equivalencia!$5:$23,((MAX(Equivalencia!$3:$3)-YEAR(G179))*14)+MONTH(G179)+2,FALSE)))</f>
        <v>0</v>
      </c>
      <c r="K179" s="217">
        <f t="shared" si="25"/>
        <v>0</v>
      </c>
      <c r="L179" s="462">
        <f>IF(G179=0,0,VLOOKUP(YEAR(G179),INPC!$B$4:$O$29,MONTH(G179)+1))</f>
        <v>0</v>
      </c>
      <c r="M179" s="462">
        <f>IF(T179=0,0,VLOOKUP(YEAR(T179),INPC!$B$4:$O$29,MONTH(T179)+1))</f>
        <v>0</v>
      </c>
      <c r="N179" s="463">
        <f t="shared" si="21"/>
        <v>0</v>
      </c>
      <c r="O179" s="464">
        <f t="shared" si="26"/>
        <v>0</v>
      </c>
      <c r="P179" s="465">
        <f t="shared" si="27"/>
        <v>0</v>
      </c>
      <c r="Q179" s="606" t="str">
        <f t="shared" si="28"/>
        <v>NO</v>
      </c>
      <c r="R179" s="180"/>
      <c r="S179" s="173"/>
      <c r="T179" s="174"/>
      <c r="U179" s="173"/>
      <c r="V179" s="220"/>
      <c r="W179" s="177">
        <f>IF(S179=0,0,IF(U179="MXN",1/HLOOKUP(YEAR(T179)+(MONTH(T179)/100),TC!$5:$37,DAY(T179)+2,FALSE),VLOOKUP(U179,Equivalencia!$1:$23,((MAX(Equivalencia!$3:$3)-YEAR(T179))*14)+MONTH(T179)+2,FALSE)))</f>
        <v>0</v>
      </c>
      <c r="X179" s="178">
        <f t="shared" si="29"/>
        <v>0</v>
      </c>
      <c r="Y179" s="178">
        <f t="shared" si="30"/>
        <v>0</v>
      </c>
      <c r="Z179" s="175">
        <f t="shared" si="22"/>
        <v>0</v>
      </c>
      <c r="AA179" s="179"/>
      <c r="AB179" s="467">
        <f t="shared" si="23"/>
        <v>0</v>
      </c>
      <c r="AC179" s="466">
        <f t="shared" si="24"/>
        <v>0</v>
      </c>
    </row>
    <row r="180" spans="2:29" ht="20.100000000000001" customHeight="1">
      <c r="B180" s="172"/>
      <c r="C180" s="172"/>
      <c r="D180" s="172"/>
      <c r="E180" s="181"/>
      <c r="F180" s="173"/>
      <c r="G180" s="174"/>
      <c r="H180" s="284"/>
      <c r="I180" s="221"/>
      <c r="J180" s="177">
        <f>IF(H180=0,0,IF(F180="MXN",1/HLOOKUP(YEAR(G180)+(MONTH(G180)/100),TC!$5:$37,DAY(G180)+2,FALSE),VLOOKUP(F180,Equivalencia!$5:$23,((MAX(Equivalencia!$3:$3)-YEAR(G180))*14)+MONTH(G180)+2,FALSE)))</f>
        <v>0</v>
      </c>
      <c r="K180" s="217">
        <f t="shared" si="25"/>
        <v>0</v>
      </c>
      <c r="L180" s="462">
        <f>IF(G180=0,0,VLOOKUP(YEAR(G180),INPC!$B$4:$O$29,MONTH(G180)+1))</f>
        <v>0</v>
      </c>
      <c r="M180" s="462">
        <f>IF(T180=0,0,VLOOKUP(YEAR(T180),INPC!$B$4:$O$29,MONTH(T180)+1))</f>
        <v>0</v>
      </c>
      <c r="N180" s="463">
        <f t="shared" si="21"/>
        <v>0</v>
      </c>
      <c r="O180" s="464">
        <f t="shared" si="26"/>
        <v>0</v>
      </c>
      <c r="P180" s="465">
        <f t="shared" si="27"/>
        <v>0</v>
      </c>
      <c r="Q180" s="606" t="str">
        <f t="shared" si="28"/>
        <v>NO</v>
      </c>
      <c r="R180" s="180"/>
      <c r="S180" s="173"/>
      <c r="T180" s="174"/>
      <c r="U180" s="173"/>
      <c r="V180" s="220"/>
      <c r="W180" s="177">
        <f>IF(S180=0,0,IF(U180="MXN",1/HLOOKUP(YEAR(T180)+(MONTH(T180)/100),TC!$5:$37,DAY(T180)+2,FALSE),VLOOKUP(U180,Equivalencia!$1:$23,((MAX(Equivalencia!$3:$3)-YEAR(T180))*14)+MONTH(T180)+2,FALSE)))</f>
        <v>0</v>
      </c>
      <c r="X180" s="178">
        <f t="shared" si="29"/>
        <v>0</v>
      </c>
      <c r="Y180" s="178">
        <f t="shared" si="30"/>
        <v>0</v>
      </c>
      <c r="Z180" s="175">
        <f t="shared" si="22"/>
        <v>0</v>
      </c>
      <c r="AA180" s="179"/>
      <c r="AB180" s="467">
        <f t="shared" si="23"/>
        <v>0</v>
      </c>
      <c r="AC180" s="466">
        <f t="shared" si="24"/>
        <v>0</v>
      </c>
    </row>
    <row r="181" spans="2:29" ht="20.100000000000001" customHeight="1">
      <c r="B181" s="172"/>
      <c r="C181" s="172"/>
      <c r="D181" s="172"/>
      <c r="E181" s="181"/>
      <c r="F181" s="173"/>
      <c r="G181" s="174"/>
      <c r="H181" s="284"/>
      <c r="I181" s="221"/>
      <c r="J181" s="177">
        <f>IF(H181=0,0,IF(F181="MXN",1/HLOOKUP(YEAR(G181)+(MONTH(G181)/100),TC!$5:$37,DAY(G181)+2,FALSE),VLOOKUP(F181,Equivalencia!$5:$23,((MAX(Equivalencia!$3:$3)-YEAR(G181))*14)+MONTH(G181)+2,FALSE)))</f>
        <v>0</v>
      </c>
      <c r="K181" s="217">
        <f t="shared" si="25"/>
        <v>0</v>
      </c>
      <c r="L181" s="462">
        <f>IF(G181=0,0,VLOOKUP(YEAR(G181),INPC!$B$4:$O$29,MONTH(G181)+1))</f>
        <v>0</v>
      </c>
      <c r="M181" s="462">
        <f>IF(T181=0,0,VLOOKUP(YEAR(T181),INPC!$B$4:$O$29,MONTH(T181)+1))</f>
        <v>0</v>
      </c>
      <c r="N181" s="463">
        <f t="shared" si="21"/>
        <v>0</v>
      </c>
      <c r="O181" s="464">
        <f t="shared" si="26"/>
        <v>0</v>
      </c>
      <c r="P181" s="465">
        <f t="shared" si="27"/>
        <v>0</v>
      </c>
      <c r="Q181" s="606" t="str">
        <f t="shared" si="28"/>
        <v>NO</v>
      </c>
      <c r="R181" s="180"/>
      <c r="S181" s="173"/>
      <c r="T181" s="174"/>
      <c r="U181" s="173"/>
      <c r="V181" s="220"/>
      <c r="W181" s="177">
        <f>IF(S181=0,0,IF(U181="MXN",1/HLOOKUP(YEAR(T181)+(MONTH(T181)/100),TC!$5:$37,DAY(T181)+2,FALSE),VLOOKUP(U181,Equivalencia!$1:$23,((MAX(Equivalencia!$3:$3)-YEAR(T181))*14)+MONTH(T181)+2,FALSE)))</f>
        <v>0</v>
      </c>
      <c r="X181" s="178">
        <f t="shared" si="29"/>
        <v>0</v>
      </c>
      <c r="Y181" s="178">
        <f t="shared" si="30"/>
        <v>0</v>
      </c>
      <c r="Z181" s="175">
        <f t="shared" si="22"/>
        <v>0</v>
      </c>
      <c r="AA181" s="179"/>
      <c r="AB181" s="467">
        <f t="shared" si="23"/>
        <v>0</v>
      </c>
      <c r="AC181" s="466">
        <f t="shared" si="24"/>
        <v>0</v>
      </c>
    </row>
    <row r="182" spans="2:29" ht="20.100000000000001" customHeight="1">
      <c r="B182" s="172"/>
      <c r="C182" s="172"/>
      <c r="D182" s="172"/>
      <c r="E182" s="181"/>
      <c r="F182" s="173"/>
      <c r="G182" s="174"/>
      <c r="H182" s="284"/>
      <c r="I182" s="221"/>
      <c r="J182" s="177">
        <f>IF(H182=0,0,IF(F182="MXN",1/HLOOKUP(YEAR(G182)+(MONTH(G182)/100),TC!$5:$37,DAY(G182)+2,FALSE),VLOOKUP(F182,Equivalencia!$5:$23,((MAX(Equivalencia!$3:$3)-YEAR(G182))*14)+MONTH(G182)+2,FALSE)))</f>
        <v>0</v>
      </c>
      <c r="K182" s="217">
        <f t="shared" si="25"/>
        <v>0</v>
      </c>
      <c r="L182" s="462">
        <f>IF(G182=0,0,VLOOKUP(YEAR(G182),INPC!$B$4:$O$29,MONTH(G182)+1))</f>
        <v>0</v>
      </c>
      <c r="M182" s="462">
        <f>IF(T182=0,0,VLOOKUP(YEAR(T182),INPC!$B$4:$O$29,MONTH(T182)+1))</f>
        <v>0</v>
      </c>
      <c r="N182" s="463">
        <f t="shared" si="21"/>
        <v>0</v>
      </c>
      <c r="O182" s="464">
        <f t="shared" si="26"/>
        <v>0</v>
      </c>
      <c r="P182" s="465">
        <f t="shared" si="27"/>
        <v>0</v>
      </c>
      <c r="Q182" s="606" t="str">
        <f t="shared" si="28"/>
        <v>NO</v>
      </c>
      <c r="R182" s="180"/>
      <c r="S182" s="173"/>
      <c r="T182" s="174"/>
      <c r="U182" s="173"/>
      <c r="V182" s="220"/>
      <c r="W182" s="177">
        <f>IF(S182=0,0,IF(U182="MXN",1/HLOOKUP(YEAR(T182)+(MONTH(T182)/100),TC!$5:$37,DAY(T182)+2,FALSE),VLOOKUP(U182,Equivalencia!$1:$23,((MAX(Equivalencia!$3:$3)-YEAR(T182))*14)+MONTH(T182)+2,FALSE)))</f>
        <v>0</v>
      </c>
      <c r="X182" s="178">
        <f t="shared" si="29"/>
        <v>0</v>
      </c>
      <c r="Y182" s="178">
        <f t="shared" si="30"/>
        <v>0</v>
      </c>
      <c r="Z182" s="175">
        <f t="shared" si="22"/>
        <v>0</v>
      </c>
      <c r="AA182" s="179"/>
      <c r="AB182" s="467">
        <f t="shared" si="23"/>
        <v>0</v>
      </c>
      <c r="AC182" s="466">
        <f t="shared" si="24"/>
        <v>0</v>
      </c>
    </row>
    <row r="183" spans="2:29" ht="20.100000000000001" customHeight="1">
      <c r="B183" s="172"/>
      <c r="C183" s="172"/>
      <c r="D183" s="172"/>
      <c r="E183" s="181"/>
      <c r="F183" s="173"/>
      <c r="G183" s="174"/>
      <c r="H183" s="284"/>
      <c r="I183" s="221"/>
      <c r="J183" s="177">
        <f>IF(H183=0,0,IF(F183="MXN",1/HLOOKUP(YEAR(G183)+(MONTH(G183)/100),TC!$5:$37,DAY(G183)+2,FALSE),VLOOKUP(F183,Equivalencia!$5:$23,((MAX(Equivalencia!$3:$3)-YEAR(G183))*14)+MONTH(G183)+2,FALSE)))</f>
        <v>0</v>
      </c>
      <c r="K183" s="217">
        <f t="shared" si="25"/>
        <v>0</v>
      </c>
      <c r="L183" s="462">
        <f>IF(G183=0,0,VLOOKUP(YEAR(G183),INPC!$B$4:$O$29,MONTH(G183)+1))</f>
        <v>0</v>
      </c>
      <c r="M183" s="462">
        <f>IF(T183=0,0,VLOOKUP(YEAR(T183),INPC!$B$4:$O$29,MONTH(T183)+1))</f>
        <v>0</v>
      </c>
      <c r="N183" s="463">
        <f t="shared" si="21"/>
        <v>0</v>
      </c>
      <c r="O183" s="464">
        <f t="shared" si="26"/>
        <v>0</v>
      </c>
      <c r="P183" s="465">
        <f t="shared" si="27"/>
        <v>0</v>
      </c>
      <c r="Q183" s="606" t="str">
        <f t="shared" si="28"/>
        <v>NO</v>
      </c>
      <c r="R183" s="180"/>
      <c r="S183" s="173"/>
      <c r="T183" s="174"/>
      <c r="U183" s="173"/>
      <c r="V183" s="220"/>
      <c r="W183" s="177">
        <f>IF(S183=0,0,IF(U183="MXN",1/HLOOKUP(YEAR(T183)+(MONTH(T183)/100),TC!$5:$37,DAY(T183)+2,FALSE),VLOOKUP(U183,Equivalencia!$1:$23,((MAX(Equivalencia!$3:$3)-YEAR(T183))*14)+MONTH(T183)+2,FALSE)))</f>
        <v>0</v>
      </c>
      <c r="X183" s="178">
        <f t="shared" si="29"/>
        <v>0</v>
      </c>
      <c r="Y183" s="178">
        <f t="shared" si="30"/>
        <v>0</v>
      </c>
      <c r="Z183" s="175">
        <f t="shared" si="22"/>
        <v>0</v>
      </c>
      <c r="AA183" s="179"/>
      <c r="AB183" s="467">
        <f t="shared" si="23"/>
        <v>0</v>
      </c>
      <c r="AC183" s="466">
        <f t="shared" si="24"/>
        <v>0</v>
      </c>
    </row>
    <row r="184" spans="2:29" ht="20.100000000000001" customHeight="1">
      <c r="B184" s="172"/>
      <c r="C184" s="172"/>
      <c r="D184" s="172"/>
      <c r="E184" s="181"/>
      <c r="F184" s="173"/>
      <c r="G184" s="174"/>
      <c r="H184" s="284"/>
      <c r="I184" s="221"/>
      <c r="J184" s="177">
        <f>IF(H184=0,0,IF(F184="MXN",1/HLOOKUP(YEAR(G184)+(MONTH(G184)/100),TC!$5:$37,DAY(G184)+2,FALSE),VLOOKUP(F184,Equivalencia!$5:$23,((MAX(Equivalencia!$3:$3)-YEAR(G184))*14)+MONTH(G184)+2,FALSE)))</f>
        <v>0</v>
      </c>
      <c r="K184" s="217">
        <f t="shared" si="25"/>
        <v>0</v>
      </c>
      <c r="L184" s="462">
        <f>IF(G184=0,0,VLOOKUP(YEAR(G184),INPC!$B$4:$O$29,MONTH(G184)+1))</f>
        <v>0</v>
      </c>
      <c r="M184" s="462">
        <f>IF(T184=0,0,VLOOKUP(YEAR(T184),INPC!$B$4:$O$29,MONTH(T184)+1))</f>
        <v>0</v>
      </c>
      <c r="N184" s="463">
        <f t="shared" si="21"/>
        <v>0</v>
      </c>
      <c r="O184" s="464">
        <f t="shared" si="26"/>
        <v>0</v>
      </c>
      <c r="P184" s="465">
        <f t="shared" si="27"/>
        <v>0</v>
      </c>
      <c r="Q184" s="606" t="str">
        <f t="shared" si="28"/>
        <v>NO</v>
      </c>
      <c r="R184" s="180"/>
      <c r="S184" s="173"/>
      <c r="T184" s="174"/>
      <c r="U184" s="173"/>
      <c r="V184" s="220"/>
      <c r="W184" s="177">
        <f>IF(S184=0,0,IF(U184="MXN",1/HLOOKUP(YEAR(T184)+(MONTH(T184)/100),TC!$5:$37,DAY(T184)+2,FALSE),VLOOKUP(U184,Equivalencia!$1:$23,((MAX(Equivalencia!$3:$3)-YEAR(T184))*14)+MONTH(T184)+2,FALSE)))</f>
        <v>0</v>
      </c>
      <c r="X184" s="178">
        <f t="shared" si="29"/>
        <v>0</v>
      </c>
      <c r="Y184" s="178">
        <f t="shared" si="30"/>
        <v>0</v>
      </c>
      <c r="Z184" s="175">
        <f t="shared" si="22"/>
        <v>0</v>
      </c>
      <c r="AA184" s="179"/>
      <c r="AB184" s="467">
        <f t="shared" si="23"/>
        <v>0</v>
      </c>
      <c r="AC184" s="466">
        <f t="shared" si="24"/>
        <v>0</v>
      </c>
    </row>
    <row r="185" spans="2:29" ht="20.100000000000001" customHeight="1">
      <c r="B185" s="172"/>
      <c r="C185" s="172"/>
      <c r="D185" s="172"/>
      <c r="E185" s="181"/>
      <c r="F185" s="173"/>
      <c r="G185" s="174"/>
      <c r="H185" s="284"/>
      <c r="I185" s="221"/>
      <c r="J185" s="177">
        <f>IF(H185=0,0,IF(F185="MXN",1/HLOOKUP(YEAR(G185)+(MONTH(G185)/100),TC!$5:$37,DAY(G185)+2,FALSE),VLOOKUP(F185,Equivalencia!$5:$23,((MAX(Equivalencia!$3:$3)-YEAR(G185))*14)+MONTH(G185)+2,FALSE)))</f>
        <v>0</v>
      </c>
      <c r="K185" s="217">
        <f t="shared" si="25"/>
        <v>0</v>
      </c>
      <c r="L185" s="462">
        <f>IF(G185=0,0,VLOOKUP(YEAR(G185),INPC!$B$4:$O$29,MONTH(G185)+1))</f>
        <v>0</v>
      </c>
      <c r="M185" s="462">
        <f>IF(T185=0,0,VLOOKUP(YEAR(T185),INPC!$B$4:$O$29,MONTH(T185)+1))</f>
        <v>0</v>
      </c>
      <c r="N185" s="463">
        <f t="shared" si="21"/>
        <v>0</v>
      </c>
      <c r="O185" s="464">
        <f t="shared" si="26"/>
        <v>0</v>
      </c>
      <c r="P185" s="465">
        <f t="shared" si="27"/>
        <v>0</v>
      </c>
      <c r="Q185" s="606" t="str">
        <f t="shared" si="28"/>
        <v>NO</v>
      </c>
      <c r="R185" s="180"/>
      <c r="S185" s="173"/>
      <c r="T185" s="174"/>
      <c r="U185" s="173"/>
      <c r="V185" s="220"/>
      <c r="W185" s="177">
        <f>IF(S185=0,0,IF(U185="MXN",1/HLOOKUP(YEAR(T185)+(MONTH(T185)/100),TC!$5:$37,DAY(T185)+2,FALSE),VLOOKUP(U185,Equivalencia!$1:$23,((MAX(Equivalencia!$3:$3)-YEAR(T185))*14)+MONTH(T185)+2,FALSE)))</f>
        <v>0</v>
      </c>
      <c r="X185" s="178">
        <f t="shared" si="29"/>
        <v>0</v>
      </c>
      <c r="Y185" s="178">
        <f t="shared" si="30"/>
        <v>0</v>
      </c>
      <c r="Z185" s="175">
        <f t="shared" si="22"/>
        <v>0</v>
      </c>
      <c r="AA185" s="179"/>
      <c r="AB185" s="467">
        <f t="shared" si="23"/>
        <v>0</v>
      </c>
      <c r="AC185" s="466">
        <f t="shared" si="24"/>
        <v>0</v>
      </c>
    </row>
    <row r="186" spans="2:29" ht="20.100000000000001" customHeight="1">
      <c r="B186" s="172"/>
      <c r="C186" s="172"/>
      <c r="D186" s="172"/>
      <c r="E186" s="181"/>
      <c r="F186" s="173"/>
      <c r="G186" s="174"/>
      <c r="H186" s="284"/>
      <c r="I186" s="221"/>
      <c r="J186" s="177">
        <f>IF(H186=0,0,IF(F186="MXN",1/HLOOKUP(YEAR(G186)+(MONTH(G186)/100),TC!$5:$37,DAY(G186)+2,FALSE),VLOOKUP(F186,Equivalencia!$5:$23,((MAX(Equivalencia!$3:$3)-YEAR(G186))*14)+MONTH(G186)+2,FALSE)))</f>
        <v>0</v>
      </c>
      <c r="K186" s="217">
        <f t="shared" si="25"/>
        <v>0</v>
      </c>
      <c r="L186" s="462">
        <f>IF(G186=0,0,VLOOKUP(YEAR(G186),INPC!$B$4:$O$29,MONTH(G186)+1))</f>
        <v>0</v>
      </c>
      <c r="M186" s="462">
        <f>IF(T186=0,0,VLOOKUP(YEAR(T186),INPC!$B$4:$O$29,MONTH(T186)+1))</f>
        <v>0</v>
      </c>
      <c r="N186" s="463">
        <f t="shared" si="21"/>
        <v>0</v>
      </c>
      <c r="O186" s="464">
        <f t="shared" si="26"/>
        <v>0</v>
      </c>
      <c r="P186" s="465">
        <f t="shared" si="27"/>
        <v>0</v>
      </c>
      <c r="Q186" s="606" t="str">
        <f t="shared" si="28"/>
        <v>NO</v>
      </c>
      <c r="R186" s="180"/>
      <c r="S186" s="173"/>
      <c r="T186" s="174"/>
      <c r="U186" s="173"/>
      <c r="V186" s="220"/>
      <c r="W186" s="177">
        <f>IF(S186=0,0,IF(U186="MXN",1/HLOOKUP(YEAR(T186)+(MONTH(T186)/100),TC!$5:$37,DAY(T186)+2,FALSE),VLOOKUP(U186,Equivalencia!$1:$23,((MAX(Equivalencia!$3:$3)-YEAR(T186))*14)+MONTH(T186)+2,FALSE)))</f>
        <v>0</v>
      </c>
      <c r="X186" s="178">
        <f t="shared" si="29"/>
        <v>0</v>
      </c>
      <c r="Y186" s="178">
        <f t="shared" si="30"/>
        <v>0</v>
      </c>
      <c r="Z186" s="175">
        <f t="shared" si="22"/>
        <v>0</v>
      </c>
      <c r="AA186" s="179"/>
      <c r="AB186" s="467">
        <f t="shared" si="23"/>
        <v>0</v>
      </c>
      <c r="AC186" s="466">
        <f t="shared" si="24"/>
        <v>0</v>
      </c>
    </row>
    <row r="187" spans="2:29" ht="20.100000000000001" customHeight="1">
      <c r="B187" s="172"/>
      <c r="C187" s="172"/>
      <c r="D187" s="172"/>
      <c r="E187" s="181"/>
      <c r="F187" s="173"/>
      <c r="G187" s="174"/>
      <c r="H187" s="284"/>
      <c r="I187" s="221"/>
      <c r="J187" s="177">
        <f>IF(H187=0,0,IF(F187="MXN",1/HLOOKUP(YEAR(G187)+(MONTH(G187)/100),TC!$5:$37,DAY(G187)+2,FALSE),VLOOKUP(F187,Equivalencia!$5:$23,((MAX(Equivalencia!$3:$3)-YEAR(G187))*14)+MONTH(G187)+2,FALSE)))</f>
        <v>0</v>
      </c>
      <c r="K187" s="217">
        <f t="shared" si="25"/>
        <v>0</v>
      </c>
      <c r="L187" s="462">
        <f>IF(G187=0,0,VLOOKUP(YEAR(G187),INPC!$B$4:$O$29,MONTH(G187)+1))</f>
        <v>0</v>
      </c>
      <c r="M187" s="462">
        <f>IF(T187=0,0,VLOOKUP(YEAR(T187),INPC!$B$4:$O$29,MONTH(T187)+1))</f>
        <v>0</v>
      </c>
      <c r="N187" s="463">
        <f t="shared" si="21"/>
        <v>0</v>
      </c>
      <c r="O187" s="464">
        <f t="shared" si="26"/>
        <v>0</v>
      </c>
      <c r="P187" s="465">
        <f t="shared" si="27"/>
        <v>0</v>
      </c>
      <c r="Q187" s="606" t="str">
        <f t="shared" si="28"/>
        <v>NO</v>
      </c>
      <c r="R187" s="180"/>
      <c r="S187" s="173"/>
      <c r="T187" s="174"/>
      <c r="U187" s="173"/>
      <c r="V187" s="220"/>
      <c r="W187" s="177">
        <f>IF(S187=0,0,IF(U187="MXN",1/HLOOKUP(YEAR(T187)+(MONTH(T187)/100),TC!$5:$37,DAY(T187)+2,FALSE),VLOOKUP(U187,Equivalencia!$1:$23,((MAX(Equivalencia!$3:$3)-YEAR(T187))*14)+MONTH(T187)+2,FALSE)))</f>
        <v>0</v>
      </c>
      <c r="X187" s="178">
        <f t="shared" si="29"/>
        <v>0</v>
      </c>
      <c r="Y187" s="178">
        <f t="shared" si="30"/>
        <v>0</v>
      </c>
      <c r="Z187" s="175">
        <f t="shared" si="22"/>
        <v>0</v>
      </c>
      <c r="AA187" s="179"/>
      <c r="AB187" s="467">
        <f t="shared" si="23"/>
        <v>0</v>
      </c>
      <c r="AC187" s="466">
        <f t="shared" si="24"/>
        <v>0</v>
      </c>
    </row>
    <row r="188" spans="2:29" ht="20.100000000000001" customHeight="1">
      <c r="B188" s="172"/>
      <c r="C188" s="172"/>
      <c r="D188" s="172"/>
      <c r="E188" s="181"/>
      <c r="F188" s="173"/>
      <c r="G188" s="174"/>
      <c r="H188" s="284"/>
      <c r="I188" s="221"/>
      <c r="J188" s="177">
        <f>IF(H188=0,0,IF(F188="MXN",1/HLOOKUP(YEAR(G188)+(MONTH(G188)/100),TC!$5:$37,DAY(G188)+2,FALSE),VLOOKUP(F188,Equivalencia!$5:$23,((MAX(Equivalencia!$3:$3)-YEAR(G188))*14)+MONTH(G188)+2,FALSE)))</f>
        <v>0</v>
      </c>
      <c r="K188" s="217">
        <f t="shared" si="25"/>
        <v>0</v>
      </c>
      <c r="L188" s="462">
        <f>IF(G188=0,0,VLOOKUP(YEAR(G188),INPC!$B$4:$O$29,MONTH(G188)+1))</f>
        <v>0</v>
      </c>
      <c r="M188" s="462">
        <f>IF(T188=0,0,VLOOKUP(YEAR(T188),INPC!$B$4:$O$29,MONTH(T188)+1))</f>
        <v>0</v>
      </c>
      <c r="N188" s="463">
        <f t="shared" si="21"/>
        <v>0</v>
      </c>
      <c r="O188" s="464">
        <f t="shared" si="26"/>
        <v>0</v>
      </c>
      <c r="P188" s="465">
        <f t="shared" si="27"/>
        <v>0</v>
      </c>
      <c r="Q188" s="606" t="str">
        <f t="shared" si="28"/>
        <v>NO</v>
      </c>
      <c r="R188" s="180"/>
      <c r="S188" s="173"/>
      <c r="T188" s="174"/>
      <c r="U188" s="173"/>
      <c r="V188" s="220"/>
      <c r="W188" s="177">
        <f>IF(S188=0,0,IF(U188="MXN",1/HLOOKUP(YEAR(T188)+(MONTH(T188)/100),TC!$5:$37,DAY(T188)+2,FALSE),VLOOKUP(U188,Equivalencia!$1:$23,((MAX(Equivalencia!$3:$3)-YEAR(T188))*14)+MONTH(T188)+2,FALSE)))</f>
        <v>0</v>
      </c>
      <c r="X188" s="178">
        <f t="shared" si="29"/>
        <v>0</v>
      </c>
      <c r="Y188" s="178">
        <f t="shared" si="30"/>
        <v>0</v>
      </c>
      <c r="Z188" s="175">
        <f t="shared" si="22"/>
        <v>0</v>
      </c>
      <c r="AA188" s="179"/>
      <c r="AB188" s="467">
        <f t="shared" si="23"/>
        <v>0</v>
      </c>
      <c r="AC188" s="466">
        <f t="shared" si="24"/>
        <v>0</v>
      </c>
    </row>
    <row r="189" spans="2:29" ht="20.100000000000001" customHeight="1">
      <c r="B189" s="172"/>
      <c r="C189" s="172"/>
      <c r="D189" s="172"/>
      <c r="E189" s="181"/>
      <c r="F189" s="173"/>
      <c r="G189" s="174"/>
      <c r="H189" s="284"/>
      <c r="I189" s="221"/>
      <c r="J189" s="177">
        <f>IF(H189=0,0,IF(F189="MXN",1/HLOOKUP(YEAR(G189)+(MONTH(G189)/100),TC!$5:$37,DAY(G189)+2,FALSE),VLOOKUP(F189,Equivalencia!$5:$23,((MAX(Equivalencia!$3:$3)-YEAR(G189))*14)+MONTH(G189)+2,FALSE)))</f>
        <v>0</v>
      </c>
      <c r="K189" s="217">
        <f t="shared" si="25"/>
        <v>0</v>
      </c>
      <c r="L189" s="462">
        <f>IF(G189=0,0,VLOOKUP(YEAR(G189),INPC!$B$4:$O$29,MONTH(G189)+1))</f>
        <v>0</v>
      </c>
      <c r="M189" s="462">
        <f>IF(T189=0,0,VLOOKUP(YEAR(T189),INPC!$B$4:$O$29,MONTH(T189)+1))</f>
        <v>0</v>
      </c>
      <c r="N189" s="463">
        <f t="shared" si="21"/>
        <v>0</v>
      </c>
      <c r="O189" s="464">
        <f t="shared" si="26"/>
        <v>0</v>
      </c>
      <c r="P189" s="465">
        <f t="shared" si="27"/>
        <v>0</v>
      </c>
      <c r="Q189" s="606" t="str">
        <f t="shared" si="28"/>
        <v>NO</v>
      </c>
      <c r="R189" s="180"/>
      <c r="S189" s="173"/>
      <c r="T189" s="174"/>
      <c r="U189" s="173"/>
      <c r="V189" s="220"/>
      <c r="W189" s="177">
        <f>IF(S189=0,0,IF(U189="MXN",1/HLOOKUP(YEAR(T189)+(MONTH(T189)/100),TC!$5:$37,DAY(T189)+2,FALSE),VLOOKUP(U189,Equivalencia!$1:$23,((MAX(Equivalencia!$3:$3)-YEAR(T189))*14)+MONTH(T189)+2,FALSE)))</f>
        <v>0</v>
      </c>
      <c r="X189" s="178">
        <f t="shared" si="29"/>
        <v>0</v>
      </c>
      <c r="Y189" s="178">
        <f t="shared" si="30"/>
        <v>0</v>
      </c>
      <c r="Z189" s="175">
        <f t="shared" si="22"/>
        <v>0</v>
      </c>
      <c r="AA189" s="179"/>
      <c r="AB189" s="467">
        <f t="shared" si="23"/>
        <v>0</v>
      </c>
      <c r="AC189" s="466">
        <f t="shared" si="24"/>
        <v>0</v>
      </c>
    </row>
    <row r="190" spans="2:29" ht="20.100000000000001" customHeight="1">
      <c r="B190" s="172"/>
      <c r="C190" s="172"/>
      <c r="D190" s="172"/>
      <c r="E190" s="181"/>
      <c r="F190" s="173"/>
      <c r="G190" s="174"/>
      <c r="H190" s="284"/>
      <c r="I190" s="221"/>
      <c r="J190" s="177">
        <f>IF(H190=0,0,IF(F190="MXN",1/HLOOKUP(YEAR(G190)+(MONTH(G190)/100),TC!$5:$37,DAY(G190)+2,FALSE),VLOOKUP(F190,Equivalencia!$5:$23,((MAX(Equivalencia!$3:$3)-YEAR(G190))*14)+MONTH(G190)+2,FALSE)))</f>
        <v>0</v>
      </c>
      <c r="K190" s="217">
        <f t="shared" si="25"/>
        <v>0</v>
      </c>
      <c r="L190" s="462">
        <f>IF(G190=0,0,VLOOKUP(YEAR(G190),INPC!$B$4:$O$29,MONTH(G190)+1))</f>
        <v>0</v>
      </c>
      <c r="M190" s="462">
        <f>IF(T190=0,0,VLOOKUP(YEAR(T190),INPC!$B$4:$O$29,MONTH(T190)+1))</f>
        <v>0</v>
      </c>
      <c r="N190" s="463">
        <f t="shared" si="21"/>
        <v>0</v>
      </c>
      <c r="O190" s="464">
        <f t="shared" si="26"/>
        <v>0</v>
      </c>
      <c r="P190" s="465">
        <f t="shared" si="27"/>
        <v>0</v>
      </c>
      <c r="Q190" s="606" t="str">
        <f t="shared" si="28"/>
        <v>NO</v>
      </c>
      <c r="R190" s="180"/>
      <c r="S190" s="173"/>
      <c r="T190" s="174"/>
      <c r="U190" s="173"/>
      <c r="V190" s="220"/>
      <c r="W190" s="177">
        <f>IF(S190=0,0,IF(U190="MXN",1/HLOOKUP(YEAR(T190)+(MONTH(T190)/100),TC!$5:$37,DAY(T190)+2,FALSE),VLOOKUP(U190,Equivalencia!$1:$23,((MAX(Equivalencia!$3:$3)-YEAR(T190))*14)+MONTH(T190)+2,FALSE)))</f>
        <v>0</v>
      </c>
      <c r="X190" s="178">
        <f t="shared" si="29"/>
        <v>0</v>
      </c>
      <c r="Y190" s="178">
        <f t="shared" si="30"/>
        <v>0</v>
      </c>
      <c r="Z190" s="175">
        <f t="shared" si="22"/>
        <v>0</v>
      </c>
      <c r="AA190" s="179"/>
      <c r="AB190" s="467">
        <f t="shared" si="23"/>
        <v>0</v>
      </c>
      <c r="AC190" s="466">
        <f t="shared" si="24"/>
        <v>0</v>
      </c>
    </row>
    <row r="191" spans="2:29" ht="20.100000000000001" customHeight="1">
      <c r="B191" s="172"/>
      <c r="C191" s="172"/>
      <c r="D191" s="172"/>
      <c r="E191" s="181"/>
      <c r="F191" s="173"/>
      <c r="G191" s="174"/>
      <c r="H191" s="284"/>
      <c r="I191" s="221"/>
      <c r="J191" s="177">
        <f>IF(H191=0,0,IF(F191="MXN",1/HLOOKUP(YEAR(G191)+(MONTH(G191)/100),TC!$5:$37,DAY(G191)+2,FALSE),VLOOKUP(F191,Equivalencia!$5:$23,((MAX(Equivalencia!$3:$3)-YEAR(G191))*14)+MONTH(G191)+2,FALSE)))</f>
        <v>0</v>
      </c>
      <c r="K191" s="217">
        <f t="shared" si="25"/>
        <v>0</v>
      </c>
      <c r="L191" s="462">
        <f>IF(G191=0,0,VLOOKUP(YEAR(G191),INPC!$B$4:$O$29,MONTH(G191)+1))</f>
        <v>0</v>
      </c>
      <c r="M191" s="462">
        <f>IF(T191=0,0,VLOOKUP(YEAR(T191),INPC!$B$4:$O$29,MONTH(T191)+1))</f>
        <v>0</v>
      </c>
      <c r="N191" s="463">
        <f t="shared" si="21"/>
        <v>0</v>
      </c>
      <c r="O191" s="464">
        <f t="shared" si="26"/>
        <v>0</v>
      </c>
      <c r="P191" s="465">
        <f t="shared" si="27"/>
        <v>0</v>
      </c>
      <c r="Q191" s="606" t="str">
        <f t="shared" si="28"/>
        <v>NO</v>
      </c>
      <c r="R191" s="180"/>
      <c r="S191" s="173"/>
      <c r="T191" s="174"/>
      <c r="U191" s="173"/>
      <c r="V191" s="220"/>
      <c r="W191" s="177">
        <f>IF(S191=0,0,IF(U191="MXN",1/HLOOKUP(YEAR(T191)+(MONTH(T191)/100),TC!$5:$37,DAY(T191)+2,FALSE),VLOOKUP(U191,Equivalencia!$1:$23,((MAX(Equivalencia!$3:$3)-YEAR(T191))*14)+MONTH(T191)+2,FALSE)))</f>
        <v>0</v>
      </c>
      <c r="X191" s="178">
        <f t="shared" si="29"/>
        <v>0</v>
      </c>
      <c r="Y191" s="178">
        <f t="shared" si="30"/>
        <v>0</v>
      </c>
      <c r="Z191" s="175">
        <f t="shared" si="22"/>
        <v>0</v>
      </c>
      <c r="AA191" s="179"/>
      <c r="AB191" s="467">
        <f t="shared" si="23"/>
        <v>0</v>
      </c>
      <c r="AC191" s="466">
        <f t="shared" si="24"/>
        <v>0</v>
      </c>
    </row>
    <row r="192" spans="2:29" ht="20.100000000000001" customHeight="1">
      <c r="B192" s="172"/>
      <c r="C192" s="172"/>
      <c r="D192" s="172"/>
      <c r="E192" s="181"/>
      <c r="F192" s="173"/>
      <c r="G192" s="174"/>
      <c r="H192" s="284"/>
      <c r="I192" s="221"/>
      <c r="J192" s="177">
        <f>IF(H192=0,0,IF(F192="MXN",1/HLOOKUP(YEAR(G192)+(MONTH(G192)/100),TC!$5:$37,DAY(G192)+2,FALSE),VLOOKUP(F192,Equivalencia!$5:$23,((MAX(Equivalencia!$3:$3)-YEAR(G192))*14)+MONTH(G192)+2,FALSE)))</f>
        <v>0</v>
      </c>
      <c r="K192" s="217">
        <f t="shared" si="25"/>
        <v>0</v>
      </c>
      <c r="L192" s="462">
        <f>IF(G192=0,0,VLOOKUP(YEAR(G192),INPC!$B$4:$O$29,MONTH(G192)+1))</f>
        <v>0</v>
      </c>
      <c r="M192" s="462">
        <f>IF(T192=0,0,VLOOKUP(YEAR(T192),INPC!$B$4:$O$29,MONTH(T192)+1))</f>
        <v>0</v>
      </c>
      <c r="N192" s="463">
        <f t="shared" si="21"/>
        <v>0</v>
      </c>
      <c r="O192" s="464">
        <f t="shared" si="26"/>
        <v>0</v>
      </c>
      <c r="P192" s="465">
        <f t="shared" si="27"/>
        <v>0</v>
      </c>
      <c r="Q192" s="606" t="str">
        <f t="shared" si="28"/>
        <v>NO</v>
      </c>
      <c r="R192" s="180"/>
      <c r="S192" s="173"/>
      <c r="T192" s="174"/>
      <c r="U192" s="173"/>
      <c r="V192" s="220"/>
      <c r="W192" s="177">
        <f>IF(S192=0,0,IF(U192="MXN",1/HLOOKUP(YEAR(T192)+(MONTH(T192)/100),TC!$5:$37,DAY(T192)+2,FALSE),VLOOKUP(U192,Equivalencia!$1:$23,((MAX(Equivalencia!$3:$3)-YEAR(T192))*14)+MONTH(T192)+2,FALSE)))</f>
        <v>0</v>
      </c>
      <c r="X192" s="178">
        <f t="shared" si="29"/>
        <v>0</v>
      </c>
      <c r="Y192" s="178">
        <f t="shared" si="30"/>
        <v>0</v>
      </c>
      <c r="Z192" s="175">
        <f t="shared" si="22"/>
        <v>0</v>
      </c>
      <c r="AA192" s="179"/>
      <c r="AB192" s="467">
        <f t="shared" si="23"/>
        <v>0</v>
      </c>
      <c r="AC192" s="466">
        <f t="shared" si="24"/>
        <v>0</v>
      </c>
    </row>
    <row r="193" spans="2:29" ht="20.100000000000001" customHeight="1">
      <c r="B193" s="172"/>
      <c r="C193" s="172"/>
      <c r="D193" s="172"/>
      <c r="E193" s="181"/>
      <c r="F193" s="173"/>
      <c r="G193" s="174"/>
      <c r="H193" s="284"/>
      <c r="I193" s="221"/>
      <c r="J193" s="177">
        <f>IF(H193=0,0,IF(F193="MXN",1/HLOOKUP(YEAR(G193)+(MONTH(G193)/100),TC!$5:$37,DAY(G193)+2,FALSE),VLOOKUP(F193,Equivalencia!$5:$23,((MAX(Equivalencia!$3:$3)-YEAR(G193))*14)+MONTH(G193)+2,FALSE)))</f>
        <v>0</v>
      </c>
      <c r="K193" s="217">
        <f t="shared" si="25"/>
        <v>0</v>
      </c>
      <c r="L193" s="462">
        <f>IF(G193=0,0,VLOOKUP(YEAR(G193),INPC!$B$4:$O$29,MONTH(G193)+1))</f>
        <v>0</v>
      </c>
      <c r="M193" s="462">
        <f>IF(T193=0,0,VLOOKUP(YEAR(T193),INPC!$B$4:$O$29,MONTH(T193)+1))</f>
        <v>0</v>
      </c>
      <c r="N193" s="463">
        <f t="shared" si="21"/>
        <v>0</v>
      </c>
      <c r="O193" s="464">
        <f t="shared" si="26"/>
        <v>0</v>
      </c>
      <c r="P193" s="465">
        <f t="shared" si="27"/>
        <v>0</v>
      </c>
      <c r="Q193" s="606" t="str">
        <f t="shared" si="28"/>
        <v>NO</v>
      </c>
      <c r="R193" s="180"/>
      <c r="S193" s="173"/>
      <c r="T193" s="174"/>
      <c r="U193" s="173"/>
      <c r="V193" s="220"/>
      <c r="W193" s="177">
        <f>IF(S193=0,0,IF(U193="MXN",1/HLOOKUP(YEAR(T193)+(MONTH(T193)/100),TC!$5:$37,DAY(T193)+2,FALSE),VLOOKUP(U193,Equivalencia!$1:$23,((MAX(Equivalencia!$3:$3)-YEAR(T193))*14)+MONTH(T193)+2,FALSE)))</f>
        <v>0</v>
      </c>
      <c r="X193" s="178">
        <f t="shared" si="29"/>
        <v>0</v>
      </c>
      <c r="Y193" s="178">
        <f t="shared" si="30"/>
        <v>0</v>
      </c>
      <c r="Z193" s="175">
        <f t="shared" si="22"/>
        <v>0</v>
      </c>
      <c r="AA193" s="179"/>
      <c r="AB193" s="467">
        <f t="shared" si="23"/>
        <v>0</v>
      </c>
      <c r="AC193" s="466">
        <f t="shared" si="24"/>
        <v>0</v>
      </c>
    </row>
    <row r="194" spans="2:29" ht="20.100000000000001" customHeight="1">
      <c r="B194" s="172"/>
      <c r="C194" s="172"/>
      <c r="D194" s="172"/>
      <c r="E194" s="181"/>
      <c r="F194" s="173"/>
      <c r="G194" s="174"/>
      <c r="H194" s="284"/>
      <c r="I194" s="221"/>
      <c r="J194" s="177">
        <f>IF(H194=0,0,IF(F194="MXN",1/HLOOKUP(YEAR(G194)+(MONTH(G194)/100),TC!$5:$37,DAY(G194)+2,FALSE),VLOOKUP(F194,Equivalencia!$5:$23,((MAX(Equivalencia!$3:$3)-YEAR(G194))*14)+MONTH(G194)+2,FALSE)))</f>
        <v>0</v>
      </c>
      <c r="K194" s="217">
        <f t="shared" si="25"/>
        <v>0</v>
      </c>
      <c r="L194" s="462">
        <f>IF(G194=0,0,VLOOKUP(YEAR(G194),INPC!$B$4:$O$29,MONTH(G194)+1))</f>
        <v>0</v>
      </c>
      <c r="M194" s="462">
        <f>IF(T194=0,0,VLOOKUP(YEAR(T194),INPC!$B$4:$O$29,MONTH(T194)+1))</f>
        <v>0</v>
      </c>
      <c r="N194" s="463">
        <f t="shared" ref="N194:N257" si="31">IF(T194=0,0,IF(TRUNC(M194/L194,4)&gt;=1,TRUNC(M194/L194,4),1))</f>
        <v>0</v>
      </c>
      <c r="O194" s="464">
        <f t="shared" si="26"/>
        <v>0</v>
      </c>
      <c r="P194" s="465">
        <f t="shared" si="27"/>
        <v>0</v>
      </c>
      <c r="Q194" s="606" t="str">
        <f t="shared" si="28"/>
        <v>NO</v>
      </c>
      <c r="R194" s="180"/>
      <c r="S194" s="173"/>
      <c r="T194" s="174"/>
      <c r="U194" s="173"/>
      <c r="V194" s="220"/>
      <c r="W194" s="177">
        <f>IF(S194=0,0,IF(U194="MXN",1/HLOOKUP(YEAR(T194)+(MONTH(T194)/100),TC!$5:$37,DAY(T194)+2,FALSE),VLOOKUP(U194,Equivalencia!$1:$23,((MAX(Equivalencia!$3:$3)-YEAR(T194))*14)+MONTH(T194)+2,FALSE)))</f>
        <v>0</v>
      </c>
      <c r="X194" s="178">
        <f t="shared" si="29"/>
        <v>0</v>
      </c>
      <c r="Y194" s="178">
        <f t="shared" si="30"/>
        <v>0</v>
      </c>
      <c r="Z194" s="175">
        <f t="shared" ref="Z194:Z257" si="32">+X194+Y194</f>
        <v>0</v>
      </c>
      <c r="AA194" s="179"/>
      <c r="AB194" s="467">
        <f t="shared" ref="AB194:AB257" si="33">+X194+AC194</f>
        <v>0</v>
      </c>
      <c r="AC194" s="466">
        <f t="shared" ref="AC194:AC257" si="34">+R194*P194</f>
        <v>0</v>
      </c>
    </row>
    <row r="195" spans="2:29" ht="20.100000000000001" customHeight="1">
      <c r="B195" s="172"/>
      <c r="C195" s="172"/>
      <c r="D195" s="172"/>
      <c r="E195" s="181"/>
      <c r="F195" s="173"/>
      <c r="G195" s="174"/>
      <c r="H195" s="284"/>
      <c r="I195" s="221"/>
      <c r="J195" s="177">
        <f>IF(H195=0,0,IF(F195="MXN",1/HLOOKUP(YEAR(G195)+(MONTH(G195)/100),TC!$5:$37,DAY(G195)+2,FALSE),VLOOKUP(F195,Equivalencia!$5:$23,((MAX(Equivalencia!$3:$3)-YEAR(G195))*14)+MONTH(G195)+2,FALSE)))</f>
        <v>0</v>
      </c>
      <c r="K195" s="217">
        <f t="shared" ref="K195:K258" si="35">+I195*J195</f>
        <v>0</v>
      </c>
      <c r="L195" s="462">
        <f>IF(G195=0,0,VLOOKUP(YEAR(G195),INPC!$B$4:$O$29,MONTH(G195)+1))</f>
        <v>0</v>
      </c>
      <c r="M195" s="462">
        <f>IF(T195=0,0,VLOOKUP(YEAR(T195),INPC!$B$4:$O$29,MONTH(T195)+1))</f>
        <v>0</v>
      </c>
      <c r="N195" s="463">
        <f t="shared" si="31"/>
        <v>0</v>
      </c>
      <c r="O195" s="464">
        <f t="shared" ref="O195:O258" si="36">+N195*K195</f>
        <v>0</v>
      </c>
      <c r="P195" s="465">
        <f t="shared" ref="P195:P258" si="37">IF(R195=0,0,O195/R195)</f>
        <v>0</v>
      </c>
      <c r="Q195" s="606" t="str">
        <f t="shared" ref="Q195:Q258" si="38">IF(T195=0,"NO","SI")</f>
        <v>NO</v>
      </c>
      <c r="R195" s="180"/>
      <c r="S195" s="173"/>
      <c r="T195" s="174"/>
      <c r="U195" s="173"/>
      <c r="V195" s="220"/>
      <c r="W195" s="177">
        <f>IF(S195=0,0,IF(U195="MXN",1/HLOOKUP(YEAR(T195)+(MONTH(T195)/100),TC!$5:$37,DAY(T195)+2,FALSE),VLOOKUP(U195,Equivalencia!$1:$23,((MAX(Equivalencia!$3:$3)-YEAR(T195))*14)+MONTH(T195)+2,FALSE)))</f>
        <v>0</v>
      </c>
      <c r="X195" s="178">
        <f t="shared" ref="X195:X258" si="39">+W195*V195</f>
        <v>0</v>
      </c>
      <c r="Y195" s="178">
        <f t="shared" ref="Y195:Y258" si="40">+K195</f>
        <v>0</v>
      </c>
      <c r="Z195" s="175">
        <f t="shared" si="32"/>
        <v>0</v>
      </c>
      <c r="AA195" s="179"/>
      <c r="AB195" s="467">
        <f t="shared" si="33"/>
        <v>0</v>
      </c>
      <c r="AC195" s="466">
        <f t="shared" si="34"/>
        <v>0</v>
      </c>
    </row>
    <row r="196" spans="2:29" ht="20.100000000000001" customHeight="1">
      <c r="B196" s="172"/>
      <c r="C196" s="172"/>
      <c r="D196" s="172"/>
      <c r="E196" s="181"/>
      <c r="F196" s="173"/>
      <c r="G196" s="174"/>
      <c r="H196" s="284"/>
      <c r="I196" s="221"/>
      <c r="J196" s="177">
        <f>IF(H196=0,0,IF(F196="MXN",1/HLOOKUP(YEAR(G196)+(MONTH(G196)/100),TC!$5:$37,DAY(G196)+2,FALSE),VLOOKUP(F196,Equivalencia!$5:$23,((MAX(Equivalencia!$3:$3)-YEAR(G196))*14)+MONTH(G196)+2,FALSE)))</f>
        <v>0</v>
      </c>
      <c r="K196" s="217">
        <f t="shared" si="35"/>
        <v>0</v>
      </c>
      <c r="L196" s="462">
        <f>IF(G196=0,0,VLOOKUP(YEAR(G196),INPC!$B$4:$O$29,MONTH(G196)+1))</f>
        <v>0</v>
      </c>
      <c r="M196" s="462">
        <f>IF(T196=0,0,VLOOKUP(YEAR(T196),INPC!$B$4:$O$29,MONTH(T196)+1))</f>
        <v>0</v>
      </c>
      <c r="N196" s="463">
        <f t="shared" si="31"/>
        <v>0</v>
      </c>
      <c r="O196" s="464">
        <f t="shared" si="36"/>
        <v>0</v>
      </c>
      <c r="P196" s="465">
        <f t="shared" si="37"/>
        <v>0</v>
      </c>
      <c r="Q196" s="606" t="str">
        <f t="shared" si="38"/>
        <v>NO</v>
      </c>
      <c r="R196" s="180"/>
      <c r="S196" s="173"/>
      <c r="T196" s="174"/>
      <c r="U196" s="173"/>
      <c r="V196" s="220"/>
      <c r="W196" s="177">
        <f>IF(S196=0,0,IF(U196="MXN",1/HLOOKUP(YEAR(T196)+(MONTH(T196)/100),TC!$5:$37,DAY(T196)+2,FALSE),VLOOKUP(U196,Equivalencia!$1:$23,((MAX(Equivalencia!$3:$3)-YEAR(T196))*14)+MONTH(T196)+2,FALSE)))</f>
        <v>0</v>
      </c>
      <c r="X196" s="178">
        <f t="shared" si="39"/>
        <v>0</v>
      </c>
      <c r="Y196" s="178">
        <f t="shared" si="40"/>
        <v>0</v>
      </c>
      <c r="Z196" s="175">
        <f t="shared" si="32"/>
        <v>0</v>
      </c>
      <c r="AA196" s="179"/>
      <c r="AB196" s="467">
        <f t="shared" si="33"/>
        <v>0</v>
      </c>
      <c r="AC196" s="466">
        <f t="shared" si="34"/>
        <v>0</v>
      </c>
    </row>
    <row r="197" spans="2:29" ht="20.100000000000001" customHeight="1">
      <c r="B197" s="172"/>
      <c r="C197" s="172"/>
      <c r="D197" s="172"/>
      <c r="E197" s="181"/>
      <c r="F197" s="173"/>
      <c r="G197" s="174"/>
      <c r="H197" s="284"/>
      <c r="I197" s="221"/>
      <c r="J197" s="177">
        <f>IF(H197=0,0,IF(F197="MXN",1/HLOOKUP(YEAR(G197)+(MONTH(G197)/100),TC!$5:$37,DAY(G197)+2,FALSE),VLOOKUP(F197,Equivalencia!$5:$23,((MAX(Equivalencia!$3:$3)-YEAR(G197))*14)+MONTH(G197)+2,FALSE)))</f>
        <v>0</v>
      </c>
      <c r="K197" s="217">
        <f t="shared" si="35"/>
        <v>0</v>
      </c>
      <c r="L197" s="462">
        <f>IF(G197=0,0,VLOOKUP(YEAR(G197),INPC!$B$4:$O$29,MONTH(G197)+1))</f>
        <v>0</v>
      </c>
      <c r="M197" s="462">
        <f>IF(T197=0,0,VLOOKUP(YEAR(T197),INPC!$B$4:$O$29,MONTH(T197)+1))</f>
        <v>0</v>
      </c>
      <c r="N197" s="463">
        <f t="shared" si="31"/>
        <v>0</v>
      </c>
      <c r="O197" s="464">
        <f t="shared" si="36"/>
        <v>0</v>
      </c>
      <c r="P197" s="465">
        <f t="shared" si="37"/>
        <v>0</v>
      </c>
      <c r="Q197" s="606" t="str">
        <f t="shared" si="38"/>
        <v>NO</v>
      </c>
      <c r="R197" s="180"/>
      <c r="S197" s="173"/>
      <c r="T197" s="174"/>
      <c r="U197" s="173"/>
      <c r="V197" s="220"/>
      <c r="W197" s="177">
        <f>IF(S197=0,0,IF(U197="MXN",1/HLOOKUP(YEAR(T197)+(MONTH(T197)/100),TC!$5:$37,DAY(T197)+2,FALSE),VLOOKUP(U197,Equivalencia!$1:$23,((MAX(Equivalencia!$3:$3)-YEAR(T197))*14)+MONTH(T197)+2,FALSE)))</f>
        <v>0</v>
      </c>
      <c r="X197" s="178">
        <f t="shared" si="39"/>
        <v>0</v>
      </c>
      <c r="Y197" s="178">
        <f t="shared" si="40"/>
        <v>0</v>
      </c>
      <c r="Z197" s="175">
        <f t="shared" si="32"/>
        <v>0</v>
      </c>
      <c r="AA197" s="179"/>
      <c r="AB197" s="467">
        <f t="shared" si="33"/>
        <v>0</v>
      </c>
      <c r="AC197" s="466">
        <f t="shared" si="34"/>
        <v>0</v>
      </c>
    </row>
    <row r="198" spans="2:29" ht="20.100000000000001" customHeight="1">
      <c r="B198" s="172"/>
      <c r="C198" s="172"/>
      <c r="D198" s="172"/>
      <c r="E198" s="181"/>
      <c r="F198" s="173"/>
      <c r="G198" s="174"/>
      <c r="H198" s="284"/>
      <c r="I198" s="221"/>
      <c r="J198" s="177">
        <f>IF(H198=0,0,IF(F198="MXN",1/HLOOKUP(YEAR(G198)+(MONTH(G198)/100),TC!$5:$37,DAY(G198)+2,FALSE),VLOOKUP(F198,Equivalencia!$5:$23,((MAX(Equivalencia!$3:$3)-YEAR(G198))*14)+MONTH(G198)+2,FALSE)))</f>
        <v>0</v>
      </c>
      <c r="K198" s="217">
        <f t="shared" si="35"/>
        <v>0</v>
      </c>
      <c r="L198" s="462">
        <f>IF(G198=0,0,VLOOKUP(YEAR(G198),INPC!$B$4:$O$29,MONTH(G198)+1))</f>
        <v>0</v>
      </c>
      <c r="M198" s="462">
        <f>IF(T198=0,0,VLOOKUP(YEAR(T198),INPC!$B$4:$O$29,MONTH(T198)+1))</f>
        <v>0</v>
      </c>
      <c r="N198" s="463">
        <f t="shared" si="31"/>
        <v>0</v>
      </c>
      <c r="O198" s="464">
        <f t="shared" si="36"/>
        <v>0</v>
      </c>
      <c r="P198" s="465">
        <f t="shared" si="37"/>
        <v>0</v>
      </c>
      <c r="Q198" s="606" t="str">
        <f t="shared" si="38"/>
        <v>NO</v>
      </c>
      <c r="R198" s="180"/>
      <c r="S198" s="173"/>
      <c r="T198" s="174"/>
      <c r="U198" s="173"/>
      <c r="V198" s="220"/>
      <c r="W198" s="177">
        <f>IF(S198=0,0,IF(U198="MXN",1/HLOOKUP(YEAR(T198)+(MONTH(T198)/100),TC!$5:$37,DAY(T198)+2,FALSE),VLOOKUP(U198,Equivalencia!$1:$23,((MAX(Equivalencia!$3:$3)-YEAR(T198))*14)+MONTH(T198)+2,FALSE)))</f>
        <v>0</v>
      </c>
      <c r="X198" s="178">
        <f t="shared" si="39"/>
        <v>0</v>
      </c>
      <c r="Y198" s="178">
        <f t="shared" si="40"/>
        <v>0</v>
      </c>
      <c r="Z198" s="175">
        <f t="shared" si="32"/>
        <v>0</v>
      </c>
      <c r="AA198" s="179"/>
      <c r="AB198" s="467">
        <f t="shared" si="33"/>
        <v>0</v>
      </c>
      <c r="AC198" s="466">
        <f t="shared" si="34"/>
        <v>0</v>
      </c>
    </row>
    <row r="199" spans="2:29" ht="20.100000000000001" customHeight="1">
      <c r="B199" s="172"/>
      <c r="C199" s="172"/>
      <c r="D199" s="172"/>
      <c r="E199" s="181"/>
      <c r="F199" s="173"/>
      <c r="G199" s="174"/>
      <c r="H199" s="284"/>
      <c r="I199" s="221"/>
      <c r="J199" s="177">
        <f>IF(H199=0,0,IF(F199="MXN",1/HLOOKUP(YEAR(G199)+(MONTH(G199)/100),TC!$5:$37,DAY(G199)+2,FALSE),VLOOKUP(F199,Equivalencia!$5:$23,((MAX(Equivalencia!$3:$3)-YEAR(G199))*14)+MONTH(G199)+2,FALSE)))</f>
        <v>0</v>
      </c>
      <c r="K199" s="217">
        <f t="shared" si="35"/>
        <v>0</v>
      </c>
      <c r="L199" s="462">
        <f>IF(G199=0,0,VLOOKUP(YEAR(G199),INPC!$B$4:$O$29,MONTH(G199)+1))</f>
        <v>0</v>
      </c>
      <c r="M199" s="462">
        <f>IF(T199=0,0,VLOOKUP(YEAR(T199),INPC!$B$4:$O$29,MONTH(T199)+1))</f>
        <v>0</v>
      </c>
      <c r="N199" s="463">
        <f t="shared" si="31"/>
        <v>0</v>
      </c>
      <c r="O199" s="464">
        <f t="shared" si="36"/>
        <v>0</v>
      </c>
      <c r="P199" s="465">
        <f t="shared" si="37"/>
        <v>0</v>
      </c>
      <c r="Q199" s="606" t="str">
        <f t="shared" si="38"/>
        <v>NO</v>
      </c>
      <c r="R199" s="180"/>
      <c r="S199" s="173"/>
      <c r="T199" s="174"/>
      <c r="U199" s="173"/>
      <c r="V199" s="220"/>
      <c r="W199" s="177">
        <f>IF(S199=0,0,IF(U199="MXN",1/HLOOKUP(YEAR(T199)+(MONTH(T199)/100),TC!$5:$37,DAY(T199)+2,FALSE),VLOOKUP(U199,Equivalencia!$1:$23,((MAX(Equivalencia!$3:$3)-YEAR(T199))*14)+MONTH(T199)+2,FALSE)))</f>
        <v>0</v>
      </c>
      <c r="X199" s="178">
        <f t="shared" si="39"/>
        <v>0</v>
      </c>
      <c r="Y199" s="178">
        <f t="shared" si="40"/>
        <v>0</v>
      </c>
      <c r="Z199" s="175">
        <f t="shared" si="32"/>
        <v>0</v>
      </c>
      <c r="AA199" s="179"/>
      <c r="AB199" s="467">
        <f t="shared" si="33"/>
        <v>0</v>
      </c>
      <c r="AC199" s="466">
        <f t="shared" si="34"/>
        <v>0</v>
      </c>
    </row>
    <row r="200" spans="2:29" ht="20.100000000000001" customHeight="1">
      <c r="B200" s="172"/>
      <c r="C200" s="172"/>
      <c r="D200" s="172"/>
      <c r="E200" s="181"/>
      <c r="F200" s="173"/>
      <c r="G200" s="174"/>
      <c r="H200" s="284"/>
      <c r="I200" s="221"/>
      <c r="J200" s="177">
        <f>IF(H200=0,0,IF(F200="MXN",1/HLOOKUP(YEAR(G200)+(MONTH(G200)/100),TC!$5:$37,DAY(G200)+2,FALSE),VLOOKUP(F200,Equivalencia!$5:$23,((MAX(Equivalencia!$3:$3)-YEAR(G200))*14)+MONTH(G200)+2,FALSE)))</f>
        <v>0</v>
      </c>
      <c r="K200" s="217">
        <f t="shared" si="35"/>
        <v>0</v>
      </c>
      <c r="L200" s="462">
        <f>IF(G200=0,0,VLOOKUP(YEAR(G200),INPC!$B$4:$O$29,MONTH(G200)+1))</f>
        <v>0</v>
      </c>
      <c r="M200" s="462">
        <f>IF(T200=0,0,VLOOKUP(YEAR(T200),INPC!$B$4:$O$29,MONTH(T200)+1))</f>
        <v>0</v>
      </c>
      <c r="N200" s="463">
        <f t="shared" si="31"/>
        <v>0</v>
      </c>
      <c r="O200" s="464">
        <f t="shared" si="36"/>
        <v>0</v>
      </c>
      <c r="P200" s="465">
        <f t="shared" si="37"/>
        <v>0</v>
      </c>
      <c r="Q200" s="606" t="str">
        <f t="shared" si="38"/>
        <v>NO</v>
      </c>
      <c r="R200" s="180"/>
      <c r="S200" s="173"/>
      <c r="T200" s="174"/>
      <c r="U200" s="173"/>
      <c r="V200" s="220"/>
      <c r="W200" s="177">
        <f>IF(S200=0,0,IF(U200="MXN",1/HLOOKUP(YEAR(T200)+(MONTH(T200)/100),TC!$5:$37,DAY(T200)+2,FALSE),VLOOKUP(U200,Equivalencia!$1:$23,((MAX(Equivalencia!$3:$3)-YEAR(T200))*14)+MONTH(T200)+2,FALSE)))</f>
        <v>0</v>
      </c>
      <c r="X200" s="178">
        <f t="shared" si="39"/>
        <v>0</v>
      </c>
      <c r="Y200" s="178">
        <f t="shared" si="40"/>
        <v>0</v>
      </c>
      <c r="Z200" s="175">
        <f t="shared" si="32"/>
        <v>0</v>
      </c>
      <c r="AA200" s="179"/>
      <c r="AB200" s="467">
        <f t="shared" si="33"/>
        <v>0</v>
      </c>
      <c r="AC200" s="466">
        <f t="shared" si="34"/>
        <v>0</v>
      </c>
    </row>
    <row r="201" spans="2:29" ht="20.100000000000001" customHeight="1">
      <c r="B201" s="172"/>
      <c r="C201" s="172"/>
      <c r="D201" s="172"/>
      <c r="E201" s="181"/>
      <c r="F201" s="173"/>
      <c r="G201" s="174"/>
      <c r="H201" s="284"/>
      <c r="I201" s="221"/>
      <c r="J201" s="177">
        <f>IF(H201=0,0,IF(F201="MXN",1/HLOOKUP(YEAR(G201)+(MONTH(G201)/100),TC!$5:$37,DAY(G201)+2,FALSE),VLOOKUP(F201,Equivalencia!$5:$23,((MAX(Equivalencia!$3:$3)-YEAR(G201))*14)+MONTH(G201)+2,FALSE)))</f>
        <v>0</v>
      </c>
      <c r="K201" s="217">
        <f t="shared" si="35"/>
        <v>0</v>
      </c>
      <c r="L201" s="462">
        <f>IF(G201=0,0,VLOOKUP(YEAR(G201),INPC!$B$4:$O$29,MONTH(G201)+1))</f>
        <v>0</v>
      </c>
      <c r="M201" s="462">
        <f>IF(T201=0,0,VLOOKUP(YEAR(T201),INPC!$B$4:$O$29,MONTH(T201)+1))</f>
        <v>0</v>
      </c>
      <c r="N201" s="463">
        <f t="shared" si="31"/>
        <v>0</v>
      </c>
      <c r="O201" s="464">
        <f t="shared" si="36"/>
        <v>0</v>
      </c>
      <c r="P201" s="465">
        <f t="shared" si="37"/>
        <v>0</v>
      </c>
      <c r="Q201" s="606" t="str">
        <f t="shared" si="38"/>
        <v>NO</v>
      </c>
      <c r="R201" s="180"/>
      <c r="S201" s="173"/>
      <c r="T201" s="174"/>
      <c r="U201" s="173"/>
      <c r="V201" s="220"/>
      <c r="W201" s="177">
        <f>IF(S201=0,0,IF(U201="MXN",1/HLOOKUP(YEAR(T201)+(MONTH(T201)/100),TC!$5:$37,DAY(T201)+2,FALSE),VLOOKUP(U201,Equivalencia!$1:$23,((MAX(Equivalencia!$3:$3)-YEAR(T201))*14)+MONTH(T201)+2,FALSE)))</f>
        <v>0</v>
      </c>
      <c r="X201" s="178">
        <f t="shared" si="39"/>
        <v>0</v>
      </c>
      <c r="Y201" s="178">
        <f t="shared" si="40"/>
        <v>0</v>
      </c>
      <c r="Z201" s="175">
        <f t="shared" si="32"/>
        <v>0</v>
      </c>
      <c r="AA201" s="179"/>
      <c r="AB201" s="467">
        <f t="shared" si="33"/>
        <v>0</v>
      </c>
      <c r="AC201" s="466">
        <f t="shared" si="34"/>
        <v>0</v>
      </c>
    </row>
    <row r="202" spans="2:29" ht="20.100000000000001" customHeight="1">
      <c r="B202" s="172"/>
      <c r="C202" s="172"/>
      <c r="D202" s="172"/>
      <c r="E202" s="181"/>
      <c r="F202" s="173"/>
      <c r="G202" s="174"/>
      <c r="H202" s="284"/>
      <c r="I202" s="221"/>
      <c r="J202" s="177">
        <f>IF(H202=0,0,IF(F202="MXN",1/HLOOKUP(YEAR(G202)+(MONTH(G202)/100),TC!$5:$37,DAY(G202)+2,FALSE),VLOOKUP(F202,Equivalencia!$5:$23,((MAX(Equivalencia!$3:$3)-YEAR(G202))*14)+MONTH(G202)+2,FALSE)))</f>
        <v>0</v>
      </c>
      <c r="K202" s="217">
        <f t="shared" si="35"/>
        <v>0</v>
      </c>
      <c r="L202" s="462">
        <f>IF(G202=0,0,VLOOKUP(YEAR(G202),INPC!$B$4:$O$29,MONTH(G202)+1))</f>
        <v>0</v>
      </c>
      <c r="M202" s="462">
        <f>IF(T202=0,0,VLOOKUP(YEAR(T202),INPC!$B$4:$O$29,MONTH(T202)+1))</f>
        <v>0</v>
      </c>
      <c r="N202" s="463">
        <f t="shared" si="31"/>
        <v>0</v>
      </c>
      <c r="O202" s="464">
        <f t="shared" si="36"/>
        <v>0</v>
      </c>
      <c r="P202" s="465">
        <f t="shared" si="37"/>
        <v>0</v>
      </c>
      <c r="Q202" s="606" t="str">
        <f t="shared" si="38"/>
        <v>NO</v>
      </c>
      <c r="R202" s="180"/>
      <c r="S202" s="173"/>
      <c r="T202" s="174"/>
      <c r="U202" s="173"/>
      <c r="V202" s="220"/>
      <c r="W202" s="177">
        <f>IF(S202=0,0,IF(U202="MXN",1/HLOOKUP(YEAR(T202)+(MONTH(T202)/100),TC!$5:$37,DAY(T202)+2,FALSE),VLOOKUP(U202,Equivalencia!$1:$23,((MAX(Equivalencia!$3:$3)-YEAR(T202))*14)+MONTH(T202)+2,FALSE)))</f>
        <v>0</v>
      </c>
      <c r="X202" s="178">
        <f t="shared" si="39"/>
        <v>0</v>
      </c>
      <c r="Y202" s="178">
        <f t="shared" si="40"/>
        <v>0</v>
      </c>
      <c r="Z202" s="175">
        <f t="shared" si="32"/>
        <v>0</v>
      </c>
      <c r="AA202" s="179"/>
      <c r="AB202" s="467">
        <f t="shared" si="33"/>
        <v>0</v>
      </c>
      <c r="AC202" s="466">
        <f t="shared" si="34"/>
        <v>0</v>
      </c>
    </row>
    <row r="203" spans="2:29" ht="20.100000000000001" customHeight="1">
      <c r="B203" s="172"/>
      <c r="C203" s="172"/>
      <c r="D203" s="172"/>
      <c r="E203" s="181"/>
      <c r="F203" s="173"/>
      <c r="G203" s="174"/>
      <c r="H203" s="284"/>
      <c r="I203" s="221"/>
      <c r="J203" s="177">
        <f>IF(H203=0,0,IF(F203="MXN",1/HLOOKUP(YEAR(G203)+(MONTH(G203)/100),TC!$5:$37,DAY(G203)+2,FALSE),VLOOKUP(F203,Equivalencia!$5:$23,((MAX(Equivalencia!$3:$3)-YEAR(G203))*14)+MONTH(G203)+2,FALSE)))</f>
        <v>0</v>
      </c>
      <c r="K203" s="217">
        <f t="shared" si="35"/>
        <v>0</v>
      </c>
      <c r="L203" s="462">
        <f>IF(G203=0,0,VLOOKUP(YEAR(G203),INPC!$B$4:$O$29,MONTH(G203)+1))</f>
        <v>0</v>
      </c>
      <c r="M203" s="462">
        <f>IF(T203=0,0,VLOOKUP(YEAR(T203),INPC!$B$4:$O$29,MONTH(T203)+1))</f>
        <v>0</v>
      </c>
      <c r="N203" s="463">
        <f t="shared" si="31"/>
        <v>0</v>
      </c>
      <c r="O203" s="464">
        <f t="shared" si="36"/>
        <v>0</v>
      </c>
      <c r="P203" s="465">
        <f t="shared" si="37"/>
        <v>0</v>
      </c>
      <c r="Q203" s="606" t="str">
        <f t="shared" si="38"/>
        <v>NO</v>
      </c>
      <c r="R203" s="180"/>
      <c r="S203" s="173"/>
      <c r="T203" s="174"/>
      <c r="U203" s="173"/>
      <c r="V203" s="220"/>
      <c r="W203" s="177">
        <f>IF(S203=0,0,IF(U203="MXN",1/HLOOKUP(YEAR(T203)+(MONTH(T203)/100),TC!$5:$37,DAY(T203)+2,FALSE),VLOOKUP(U203,Equivalencia!$1:$23,((MAX(Equivalencia!$3:$3)-YEAR(T203))*14)+MONTH(T203)+2,FALSE)))</f>
        <v>0</v>
      </c>
      <c r="X203" s="178">
        <f t="shared" si="39"/>
        <v>0</v>
      </c>
      <c r="Y203" s="178">
        <f t="shared" si="40"/>
        <v>0</v>
      </c>
      <c r="Z203" s="175">
        <f t="shared" si="32"/>
        <v>0</v>
      </c>
      <c r="AA203" s="179"/>
      <c r="AB203" s="467">
        <f t="shared" si="33"/>
        <v>0</v>
      </c>
      <c r="AC203" s="466">
        <f t="shared" si="34"/>
        <v>0</v>
      </c>
    </row>
    <row r="204" spans="2:29" ht="20.100000000000001" customHeight="1">
      <c r="B204" s="172"/>
      <c r="C204" s="172"/>
      <c r="D204" s="172"/>
      <c r="E204" s="181"/>
      <c r="F204" s="173"/>
      <c r="G204" s="174"/>
      <c r="H204" s="284"/>
      <c r="I204" s="221"/>
      <c r="J204" s="177">
        <f>IF(H204=0,0,IF(F204="MXN",1/HLOOKUP(YEAR(G204)+(MONTH(G204)/100),TC!$5:$37,DAY(G204)+2,FALSE),VLOOKUP(F204,Equivalencia!$5:$23,((MAX(Equivalencia!$3:$3)-YEAR(G204))*14)+MONTH(G204)+2,FALSE)))</f>
        <v>0</v>
      </c>
      <c r="K204" s="217">
        <f t="shared" si="35"/>
        <v>0</v>
      </c>
      <c r="L204" s="462">
        <f>IF(G204=0,0,VLOOKUP(YEAR(G204),INPC!$B$4:$O$29,MONTH(G204)+1))</f>
        <v>0</v>
      </c>
      <c r="M204" s="462">
        <f>IF(T204=0,0,VLOOKUP(YEAR(T204),INPC!$B$4:$O$29,MONTH(T204)+1))</f>
        <v>0</v>
      </c>
      <c r="N204" s="463">
        <f t="shared" si="31"/>
        <v>0</v>
      </c>
      <c r="O204" s="464">
        <f t="shared" si="36"/>
        <v>0</v>
      </c>
      <c r="P204" s="465">
        <f t="shared" si="37"/>
        <v>0</v>
      </c>
      <c r="Q204" s="606" t="str">
        <f t="shared" si="38"/>
        <v>NO</v>
      </c>
      <c r="R204" s="180"/>
      <c r="S204" s="173"/>
      <c r="T204" s="174"/>
      <c r="U204" s="173"/>
      <c r="V204" s="220"/>
      <c r="W204" s="177">
        <f>IF(S204=0,0,IF(U204="MXN",1/HLOOKUP(YEAR(T204)+(MONTH(T204)/100),TC!$5:$37,DAY(T204)+2,FALSE),VLOOKUP(U204,Equivalencia!$1:$23,((MAX(Equivalencia!$3:$3)-YEAR(T204))*14)+MONTH(T204)+2,FALSE)))</f>
        <v>0</v>
      </c>
      <c r="X204" s="178">
        <f t="shared" si="39"/>
        <v>0</v>
      </c>
      <c r="Y204" s="178">
        <f t="shared" si="40"/>
        <v>0</v>
      </c>
      <c r="Z204" s="175">
        <f t="shared" si="32"/>
        <v>0</v>
      </c>
      <c r="AA204" s="179"/>
      <c r="AB204" s="467">
        <f t="shared" si="33"/>
        <v>0</v>
      </c>
      <c r="AC204" s="466">
        <f t="shared" si="34"/>
        <v>0</v>
      </c>
    </row>
    <row r="205" spans="2:29" ht="20.100000000000001" customHeight="1">
      <c r="B205" s="172"/>
      <c r="C205" s="172"/>
      <c r="D205" s="172"/>
      <c r="E205" s="181"/>
      <c r="F205" s="173"/>
      <c r="G205" s="174"/>
      <c r="H205" s="284"/>
      <c r="I205" s="221"/>
      <c r="J205" s="177">
        <f>IF(H205=0,0,IF(F205="MXN",1/HLOOKUP(YEAR(G205)+(MONTH(G205)/100),TC!$5:$37,DAY(G205)+2,FALSE),VLOOKUP(F205,Equivalencia!$5:$23,((MAX(Equivalencia!$3:$3)-YEAR(G205))*14)+MONTH(G205)+2,FALSE)))</f>
        <v>0</v>
      </c>
      <c r="K205" s="217">
        <f t="shared" si="35"/>
        <v>0</v>
      </c>
      <c r="L205" s="462">
        <f>IF(G205=0,0,VLOOKUP(YEAR(G205),INPC!$B$4:$O$29,MONTH(G205)+1))</f>
        <v>0</v>
      </c>
      <c r="M205" s="462">
        <f>IF(T205=0,0,VLOOKUP(YEAR(T205),INPC!$B$4:$O$29,MONTH(T205)+1))</f>
        <v>0</v>
      </c>
      <c r="N205" s="463">
        <f t="shared" si="31"/>
        <v>0</v>
      </c>
      <c r="O205" s="464">
        <f t="shared" si="36"/>
        <v>0</v>
      </c>
      <c r="P205" s="465">
        <f t="shared" si="37"/>
        <v>0</v>
      </c>
      <c r="Q205" s="606" t="str">
        <f t="shared" si="38"/>
        <v>NO</v>
      </c>
      <c r="R205" s="180"/>
      <c r="S205" s="173"/>
      <c r="T205" s="174"/>
      <c r="U205" s="173"/>
      <c r="V205" s="220"/>
      <c r="W205" s="177">
        <f>IF(S205=0,0,IF(U205="MXN",1/HLOOKUP(YEAR(T205)+(MONTH(T205)/100),TC!$5:$37,DAY(T205)+2,FALSE),VLOOKUP(U205,Equivalencia!$1:$23,((MAX(Equivalencia!$3:$3)-YEAR(T205))*14)+MONTH(T205)+2,FALSE)))</f>
        <v>0</v>
      </c>
      <c r="X205" s="178">
        <f t="shared" si="39"/>
        <v>0</v>
      </c>
      <c r="Y205" s="178">
        <f t="shared" si="40"/>
        <v>0</v>
      </c>
      <c r="Z205" s="175">
        <f t="shared" si="32"/>
        <v>0</v>
      </c>
      <c r="AA205" s="179"/>
      <c r="AB205" s="467">
        <f t="shared" si="33"/>
        <v>0</v>
      </c>
      <c r="AC205" s="466">
        <f t="shared" si="34"/>
        <v>0</v>
      </c>
    </row>
    <row r="206" spans="2:29" ht="20.100000000000001" customHeight="1">
      <c r="B206" s="172"/>
      <c r="C206" s="172"/>
      <c r="D206" s="172"/>
      <c r="E206" s="181"/>
      <c r="F206" s="173"/>
      <c r="G206" s="174"/>
      <c r="H206" s="284"/>
      <c r="I206" s="221"/>
      <c r="J206" s="177">
        <f>IF(H206=0,0,IF(F206="MXN",1/HLOOKUP(YEAR(G206)+(MONTH(G206)/100),TC!$5:$37,DAY(G206)+2,FALSE),VLOOKUP(F206,Equivalencia!$5:$23,((MAX(Equivalencia!$3:$3)-YEAR(G206))*14)+MONTH(G206)+2,FALSE)))</f>
        <v>0</v>
      </c>
      <c r="K206" s="217">
        <f t="shared" si="35"/>
        <v>0</v>
      </c>
      <c r="L206" s="462">
        <f>IF(G206=0,0,VLOOKUP(YEAR(G206),INPC!$B$4:$O$29,MONTH(G206)+1))</f>
        <v>0</v>
      </c>
      <c r="M206" s="462">
        <f>IF(T206=0,0,VLOOKUP(YEAR(T206),INPC!$B$4:$O$29,MONTH(T206)+1))</f>
        <v>0</v>
      </c>
      <c r="N206" s="463">
        <f t="shared" si="31"/>
        <v>0</v>
      </c>
      <c r="O206" s="464">
        <f t="shared" si="36"/>
        <v>0</v>
      </c>
      <c r="P206" s="465">
        <f t="shared" si="37"/>
        <v>0</v>
      </c>
      <c r="Q206" s="606" t="str">
        <f t="shared" si="38"/>
        <v>NO</v>
      </c>
      <c r="R206" s="180"/>
      <c r="S206" s="173"/>
      <c r="T206" s="174"/>
      <c r="U206" s="173"/>
      <c r="V206" s="220"/>
      <c r="W206" s="177">
        <f>IF(S206=0,0,IF(U206="MXN",1/HLOOKUP(YEAR(T206)+(MONTH(T206)/100),TC!$5:$37,DAY(T206)+2,FALSE),VLOOKUP(U206,Equivalencia!$1:$23,((MAX(Equivalencia!$3:$3)-YEAR(T206))*14)+MONTH(T206)+2,FALSE)))</f>
        <v>0</v>
      </c>
      <c r="X206" s="178">
        <f t="shared" si="39"/>
        <v>0</v>
      </c>
      <c r="Y206" s="178">
        <f t="shared" si="40"/>
        <v>0</v>
      </c>
      <c r="Z206" s="175">
        <f t="shared" si="32"/>
        <v>0</v>
      </c>
      <c r="AA206" s="179"/>
      <c r="AB206" s="467">
        <f t="shared" si="33"/>
        <v>0</v>
      </c>
      <c r="AC206" s="466">
        <f t="shared" si="34"/>
        <v>0</v>
      </c>
    </row>
    <row r="207" spans="2:29" ht="20.100000000000001" customHeight="1">
      <c r="B207" s="172"/>
      <c r="C207" s="172"/>
      <c r="D207" s="172"/>
      <c r="E207" s="181"/>
      <c r="F207" s="173"/>
      <c r="G207" s="174"/>
      <c r="H207" s="284"/>
      <c r="I207" s="221"/>
      <c r="J207" s="177">
        <f>IF(H207=0,0,IF(F207="MXN",1/HLOOKUP(YEAR(G207)+(MONTH(G207)/100),TC!$5:$37,DAY(G207)+2,FALSE),VLOOKUP(F207,Equivalencia!$5:$23,((MAX(Equivalencia!$3:$3)-YEAR(G207))*14)+MONTH(G207)+2,FALSE)))</f>
        <v>0</v>
      </c>
      <c r="K207" s="217">
        <f t="shared" si="35"/>
        <v>0</v>
      </c>
      <c r="L207" s="462">
        <f>IF(G207=0,0,VLOOKUP(YEAR(G207),INPC!$B$4:$O$29,MONTH(G207)+1))</f>
        <v>0</v>
      </c>
      <c r="M207" s="462">
        <f>IF(T207=0,0,VLOOKUP(YEAR(T207),INPC!$B$4:$O$29,MONTH(T207)+1))</f>
        <v>0</v>
      </c>
      <c r="N207" s="463">
        <f t="shared" si="31"/>
        <v>0</v>
      </c>
      <c r="O207" s="464">
        <f t="shared" si="36"/>
        <v>0</v>
      </c>
      <c r="P207" s="465">
        <f t="shared" si="37"/>
        <v>0</v>
      </c>
      <c r="Q207" s="606" t="str">
        <f t="shared" si="38"/>
        <v>NO</v>
      </c>
      <c r="R207" s="180"/>
      <c r="S207" s="173"/>
      <c r="T207" s="174"/>
      <c r="U207" s="173"/>
      <c r="V207" s="220"/>
      <c r="W207" s="177">
        <f>IF(S207=0,0,IF(U207="MXN",1/HLOOKUP(YEAR(T207)+(MONTH(T207)/100),TC!$5:$37,DAY(T207)+2,FALSE),VLOOKUP(U207,Equivalencia!$1:$23,((MAX(Equivalencia!$3:$3)-YEAR(T207))*14)+MONTH(T207)+2,FALSE)))</f>
        <v>0</v>
      </c>
      <c r="X207" s="178">
        <f t="shared" si="39"/>
        <v>0</v>
      </c>
      <c r="Y207" s="178">
        <f t="shared" si="40"/>
        <v>0</v>
      </c>
      <c r="Z207" s="175">
        <f t="shared" si="32"/>
        <v>0</v>
      </c>
      <c r="AA207" s="179"/>
      <c r="AB207" s="467">
        <f t="shared" si="33"/>
        <v>0</v>
      </c>
      <c r="AC207" s="466">
        <f t="shared" si="34"/>
        <v>0</v>
      </c>
    </row>
    <row r="208" spans="2:29" ht="20.100000000000001" customHeight="1">
      <c r="B208" s="172"/>
      <c r="C208" s="172"/>
      <c r="D208" s="172"/>
      <c r="E208" s="181"/>
      <c r="F208" s="173"/>
      <c r="G208" s="174"/>
      <c r="H208" s="284"/>
      <c r="I208" s="221"/>
      <c r="J208" s="177">
        <f>IF(H208=0,0,IF(F208="MXN",1/HLOOKUP(YEAR(G208)+(MONTH(G208)/100),TC!$5:$37,DAY(G208)+2,FALSE),VLOOKUP(F208,Equivalencia!$5:$23,((MAX(Equivalencia!$3:$3)-YEAR(G208))*14)+MONTH(G208)+2,FALSE)))</f>
        <v>0</v>
      </c>
      <c r="K208" s="217">
        <f t="shared" si="35"/>
        <v>0</v>
      </c>
      <c r="L208" s="462">
        <f>IF(G208=0,0,VLOOKUP(YEAR(G208),INPC!$B$4:$O$29,MONTH(G208)+1))</f>
        <v>0</v>
      </c>
      <c r="M208" s="462">
        <f>IF(T208=0,0,VLOOKUP(YEAR(T208),INPC!$B$4:$O$29,MONTH(T208)+1))</f>
        <v>0</v>
      </c>
      <c r="N208" s="463">
        <f t="shared" si="31"/>
        <v>0</v>
      </c>
      <c r="O208" s="464">
        <f t="shared" si="36"/>
        <v>0</v>
      </c>
      <c r="P208" s="465">
        <f t="shared" si="37"/>
        <v>0</v>
      </c>
      <c r="Q208" s="606" t="str">
        <f t="shared" si="38"/>
        <v>NO</v>
      </c>
      <c r="R208" s="180"/>
      <c r="S208" s="173"/>
      <c r="T208" s="174"/>
      <c r="U208" s="173"/>
      <c r="V208" s="220"/>
      <c r="W208" s="177">
        <f>IF(S208=0,0,IF(U208="MXN",1/HLOOKUP(YEAR(T208)+(MONTH(T208)/100),TC!$5:$37,DAY(T208)+2,FALSE),VLOOKUP(U208,Equivalencia!$1:$23,((MAX(Equivalencia!$3:$3)-YEAR(T208))*14)+MONTH(T208)+2,FALSE)))</f>
        <v>0</v>
      </c>
      <c r="X208" s="178">
        <f t="shared" si="39"/>
        <v>0</v>
      </c>
      <c r="Y208" s="178">
        <f t="shared" si="40"/>
        <v>0</v>
      </c>
      <c r="Z208" s="175">
        <f t="shared" si="32"/>
        <v>0</v>
      </c>
      <c r="AA208" s="179"/>
      <c r="AB208" s="467">
        <f t="shared" si="33"/>
        <v>0</v>
      </c>
      <c r="AC208" s="466">
        <f t="shared" si="34"/>
        <v>0</v>
      </c>
    </row>
    <row r="209" spans="2:29" ht="20.100000000000001" customHeight="1">
      <c r="B209" s="172"/>
      <c r="C209" s="172"/>
      <c r="D209" s="172"/>
      <c r="E209" s="181"/>
      <c r="F209" s="173"/>
      <c r="G209" s="174"/>
      <c r="H209" s="284"/>
      <c r="I209" s="221"/>
      <c r="J209" s="177">
        <f>IF(H209=0,0,IF(F209="MXN",1/HLOOKUP(YEAR(G209)+(MONTH(G209)/100),TC!$5:$37,DAY(G209)+2,FALSE),VLOOKUP(F209,Equivalencia!$5:$23,((MAX(Equivalencia!$3:$3)-YEAR(G209))*14)+MONTH(G209)+2,FALSE)))</f>
        <v>0</v>
      </c>
      <c r="K209" s="217">
        <f t="shared" si="35"/>
        <v>0</v>
      </c>
      <c r="L209" s="462">
        <f>IF(G209=0,0,VLOOKUP(YEAR(G209),INPC!$B$4:$O$29,MONTH(G209)+1))</f>
        <v>0</v>
      </c>
      <c r="M209" s="462">
        <f>IF(T209=0,0,VLOOKUP(YEAR(T209),INPC!$B$4:$O$29,MONTH(T209)+1))</f>
        <v>0</v>
      </c>
      <c r="N209" s="463">
        <f t="shared" si="31"/>
        <v>0</v>
      </c>
      <c r="O209" s="464">
        <f t="shared" si="36"/>
        <v>0</v>
      </c>
      <c r="P209" s="465">
        <f t="shared" si="37"/>
        <v>0</v>
      </c>
      <c r="Q209" s="606" t="str">
        <f t="shared" si="38"/>
        <v>NO</v>
      </c>
      <c r="R209" s="180"/>
      <c r="S209" s="173"/>
      <c r="T209" s="174"/>
      <c r="U209" s="173"/>
      <c r="V209" s="220"/>
      <c r="W209" s="177">
        <f>IF(S209=0,0,IF(U209="MXN",1/HLOOKUP(YEAR(T209)+(MONTH(T209)/100),TC!$5:$37,DAY(T209)+2,FALSE),VLOOKUP(U209,Equivalencia!$1:$23,((MAX(Equivalencia!$3:$3)-YEAR(T209))*14)+MONTH(T209)+2,FALSE)))</f>
        <v>0</v>
      </c>
      <c r="X209" s="178">
        <f t="shared" si="39"/>
        <v>0</v>
      </c>
      <c r="Y209" s="178">
        <f t="shared" si="40"/>
        <v>0</v>
      </c>
      <c r="Z209" s="175">
        <f t="shared" si="32"/>
        <v>0</v>
      </c>
      <c r="AA209" s="179"/>
      <c r="AB209" s="467">
        <f t="shared" si="33"/>
        <v>0</v>
      </c>
      <c r="AC209" s="466">
        <f t="shared" si="34"/>
        <v>0</v>
      </c>
    </row>
    <row r="210" spans="2:29" ht="20.100000000000001" customHeight="1">
      <c r="B210" s="172"/>
      <c r="C210" s="172"/>
      <c r="D210" s="172"/>
      <c r="E210" s="181"/>
      <c r="F210" s="173"/>
      <c r="G210" s="174"/>
      <c r="H210" s="284"/>
      <c r="I210" s="221"/>
      <c r="J210" s="177">
        <f>IF(H210=0,0,IF(F210="MXN",1/HLOOKUP(YEAR(G210)+(MONTH(G210)/100),TC!$5:$37,DAY(G210)+2,FALSE),VLOOKUP(F210,Equivalencia!$5:$23,((MAX(Equivalencia!$3:$3)-YEAR(G210))*14)+MONTH(G210)+2,FALSE)))</f>
        <v>0</v>
      </c>
      <c r="K210" s="217">
        <f t="shared" si="35"/>
        <v>0</v>
      </c>
      <c r="L210" s="462">
        <f>IF(G210=0,0,VLOOKUP(YEAR(G210),INPC!$B$4:$O$29,MONTH(G210)+1))</f>
        <v>0</v>
      </c>
      <c r="M210" s="462">
        <f>IF(T210=0,0,VLOOKUP(YEAR(T210),INPC!$B$4:$O$29,MONTH(T210)+1))</f>
        <v>0</v>
      </c>
      <c r="N210" s="463">
        <f t="shared" si="31"/>
        <v>0</v>
      </c>
      <c r="O210" s="464">
        <f t="shared" si="36"/>
        <v>0</v>
      </c>
      <c r="P210" s="465">
        <f t="shared" si="37"/>
        <v>0</v>
      </c>
      <c r="Q210" s="606" t="str">
        <f t="shared" si="38"/>
        <v>NO</v>
      </c>
      <c r="R210" s="180"/>
      <c r="S210" s="173"/>
      <c r="T210" s="174"/>
      <c r="U210" s="173"/>
      <c r="V210" s="220"/>
      <c r="W210" s="177">
        <f>IF(S210=0,0,IF(U210="MXN",1/HLOOKUP(YEAR(T210)+(MONTH(T210)/100),TC!$5:$37,DAY(T210)+2,FALSE),VLOOKUP(U210,Equivalencia!$1:$23,((MAX(Equivalencia!$3:$3)-YEAR(T210))*14)+MONTH(T210)+2,FALSE)))</f>
        <v>0</v>
      </c>
      <c r="X210" s="178">
        <f t="shared" si="39"/>
        <v>0</v>
      </c>
      <c r="Y210" s="178">
        <f t="shared" si="40"/>
        <v>0</v>
      </c>
      <c r="Z210" s="175">
        <f t="shared" si="32"/>
        <v>0</v>
      </c>
      <c r="AA210" s="179"/>
      <c r="AB210" s="467">
        <f t="shared" si="33"/>
        <v>0</v>
      </c>
      <c r="AC210" s="466">
        <f t="shared" si="34"/>
        <v>0</v>
      </c>
    </row>
    <row r="211" spans="2:29" ht="20.100000000000001" customHeight="1">
      <c r="B211" s="172"/>
      <c r="C211" s="172"/>
      <c r="D211" s="172"/>
      <c r="E211" s="181"/>
      <c r="F211" s="173"/>
      <c r="G211" s="174"/>
      <c r="H211" s="284"/>
      <c r="I211" s="221"/>
      <c r="J211" s="177">
        <f>IF(H211=0,0,IF(F211="MXN",1/HLOOKUP(YEAR(G211)+(MONTH(G211)/100),TC!$5:$37,DAY(G211)+2,FALSE),VLOOKUP(F211,Equivalencia!$5:$23,((MAX(Equivalencia!$3:$3)-YEAR(G211))*14)+MONTH(G211)+2,FALSE)))</f>
        <v>0</v>
      </c>
      <c r="K211" s="217">
        <f t="shared" si="35"/>
        <v>0</v>
      </c>
      <c r="L211" s="462">
        <f>IF(G211=0,0,VLOOKUP(YEAR(G211),INPC!$B$4:$O$29,MONTH(G211)+1))</f>
        <v>0</v>
      </c>
      <c r="M211" s="462">
        <f>IF(T211=0,0,VLOOKUP(YEAR(T211),INPC!$B$4:$O$29,MONTH(T211)+1))</f>
        <v>0</v>
      </c>
      <c r="N211" s="463">
        <f t="shared" si="31"/>
        <v>0</v>
      </c>
      <c r="O211" s="464">
        <f t="shared" si="36"/>
        <v>0</v>
      </c>
      <c r="P211" s="465">
        <f t="shared" si="37"/>
        <v>0</v>
      </c>
      <c r="Q211" s="606" t="str">
        <f t="shared" si="38"/>
        <v>NO</v>
      </c>
      <c r="R211" s="180"/>
      <c r="S211" s="173"/>
      <c r="T211" s="174"/>
      <c r="U211" s="173"/>
      <c r="V211" s="220"/>
      <c r="W211" s="177">
        <f>IF(S211=0,0,IF(U211="MXN",1/HLOOKUP(YEAR(T211)+(MONTH(T211)/100),TC!$5:$37,DAY(T211)+2,FALSE),VLOOKUP(U211,Equivalencia!$1:$23,((MAX(Equivalencia!$3:$3)-YEAR(T211))*14)+MONTH(T211)+2,FALSE)))</f>
        <v>0</v>
      </c>
      <c r="X211" s="178">
        <f t="shared" si="39"/>
        <v>0</v>
      </c>
      <c r="Y211" s="178">
        <f t="shared" si="40"/>
        <v>0</v>
      </c>
      <c r="Z211" s="175">
        <f t="shared" si="32"/>
        <v>0</v>
      </c>
      <c r="AA211" s="179"/>
      <c r="AB211" s="467">
        <f t="shared" si="33"/>
        <v>0</v>
      </c>
      <c r="AC211" s="466">
        <f t="shared" si="34"/>
        <v>0</v>
      </c>
    </row>
    <row r="212" spans="2:29" ht="20.100000000000001" customHeight="1">
      <c r="B212" s="172"/>
      <c r="C212" s="172"/>
      <c r="D212" s="172"/>
      <c r="E212" s="181"/>
      <c r="F212" s="173"/>
      <c r="G212" s="174"/>
      <c r="H212" s="284"/>
      <c r="I212" s="221"/>
      <c r="J212" s="177">
        <f>IF(H212=0,0,IF(F212="MXN",1/HLOOKUP(YEAR(G212)+(MONTH(G212)/100),TC!$5:$37,DAY(G212)+2,FALSE),VLOOKUP(F212,Equivalencia!$5:$23,((MAX(Equivalencia!$3:$3)-YEAR(G212))*14)+MONTH(G212)+2,FALSE)))</f>
        <v>0</v>
      </c>
      <c r="K212" s="217">
        <f t="shared" si="35"/>
        <v>0</v>
      </c>
      <c r="L212" s="462">
        <f>IF(G212=0,0,VLOOKUP(YEAR(G212),INPC!$B$4:$O$29,MONTH(G212)+1))</f>
        <v>0</v>
      </c>
      <c r="M212" s="462">
        <f>IF(T212=0,0,VLOOKUP(YEAR(T212),INPC!$B$4:$O$29,MONTH(T212)+1))</f>
        <v>0</v>
      </c>
      <c r="N212" s="463">
        <f t="shared" si="31"/>
        <v>0</v>
      </c>
      <c r="O212" s="464">
        <f t="shared" si="36"/>
        <v>0</v>
      </c>
      <c r="P212" s="465">
        <f t="shared" si="37"/>
        <v>0</v>
      </c>
      <c r="Q212" s="606" t="str">
        <f t="shared" si="38"/>
        <v>NO</v>
      </c>
      <c r="R212" s="180"/>
      <c r="S212" s="173"/>
      <c r="T212" s="174"/>
      <c r="U212" s="173"/>
      <c r="V212" s="220"/>
      <c r="W212" s="177">
        <f>IF(S212=0,0,IF(U212="MXN",1/HLOOKUP(YEAR(T212)+(MONTH(T212)/100),TC!$5:$37,DAY(T212)+2,FALSE),VLOOKUP(U212,Equivalencia!$1:$23,((MAX(Equivalencia!$3:$3)-YEAR(T212))*14)+MONTH(T212)+2,FALSE)))</f>
        <v>0</v>
      </c>
      <c r="X212" s="178">
        <f t="shared" si="39"/>
        <v>0</v>
      </c>
      <c r="Y212" s="178">
        <f t="shared" si="40"/>
        <v>0</v>
      </c>
      <c r="Z212" s="175">
        <f t="shared" si="32"/>
        <v>0</v>
      </c>
      <c r="AA212" s="179"/>
      <c r="AB212" s="467">
        <f t="shared" si="33"/>
        <v>0</v>
      </c>
      <c r="AC212" s="466">
        <f t="shared" si="34"/>
        <v>0</v>
      </c>
    </row>
    <row r="213" spans="2:29" ht="20.100000000000001" customHeight="1">
      <c r="B213" s="172"/>
      <c r="C213" s="172"/>
      <c r="D213" s="172"/>
      <c r="E213" s="181"/>
      <c r="F213" s="173"/>
      <c r="G213" s="174"/>
      <c r="H213" s="284"/>
      <c r="I213" s="221"/>
      <c r="J213" s="177">
        <f>IF(H213=0,0,IF(F213="MXN",1/HLOOKUP(YEAR(G213)+(MONTH(G213)/100),TC!$5:$37,DAY(G213)+2,FALSE),VLOOKUP(F213,Equivalencia!$5:$23,((MAX(Equivalencia!$3:$3)-YEAR(G213))*14)+MONTH(G213)+2,FALSE)))</f>
        <v>0</v>
      </c>
      <c r="K213" s="217">
        <f t="shared" si="35"/>
        <v>0</v>
      </c>
      <c r="L213" s="462">
        <f>IF(G213=0,0,VLOOKUP(YEAR(G213),INPC!$B$4:$O$29,MONTH(G213)+1))</f>
        <v>0</v>
      </c>
      <c r="M213" s="462">
        <f>IF(T213=0,0,VLOOKUP(YEAR(T213),INPC!$B$4:$O$29,MONTH(T213)+1))</f>
        <v>0</v>
      </c>
      <c r="N213" s="463">
        <f t="shared" si="31"/>
        <v>0</v>
      </c>
      <c r="O213" s="464">
        <f t="shared" si="36"/>
        <v>0</v>
      </c>
      <c r="P213" s="465">
        <f t="shared" si="37"/>
        <v>0</v>
      </c>
      <c r="Q213" s="606" t="str">
        <f t="shared" si="38"/>
        <v>NO</v>
      </c>
      <c r="R213" s="180"/>
      <c r="S213" s="173"/>
      <c r="T213" s="174"/>
      <c r="U213" s="173"/>
      <c r="V213" s="220"/>
      <c r="W213" s="177">
        <f>IF(S213=0,0,IF(U213="MXN",1/HLOOKUP(YEAR(T213)+(MONTH(T213)/100),TC!$5:$37,DAY(T213)+2,FALSE),VLOOKUP(U213,Equivalencia!$1:$23,((MAX(Equivalencia!$3:$3)-YEAR(T213))*14)+MONTH(T213)+2,FALSE)))</f>
        <v>0</v>
      </c>
      <c r="X213" s="178">
        <f t="shared" si="39"/>
        <v>0</v>
      </c>
      <c r="Y213" s="178">
        <f t="shared" si="40"/>
        <v>0</v>
      </c>
      <c r="Z213" s="175">
        <f t="shared" si="32"/>
        <v>0</v>
      </c>
      <c r="AA213" s="179"/>
      <c r="AB213" s="467">
        <f t="shared" si="33"/>
        <v>0</v>
      </c>
      <c r="AC213" s="466">
        <f t="shared" si="34"/>
        <v>0</v>
      </c>
    </row>
    <row r="214" spans="2:29" ht="20.100000000000001" customHeight="1">
      <c r="B214" s="172"/>
      <c r="C214" s="172"/>
      <c r="D214" s="172"/>
      <c r="E214" s="181"/>
      <c r="F214" s="173"/>
      <c r="G214" s="174"/>
      <c r="H214" s="284"/>
      <c r="I214" s="221"/>
      <c r="J214" s="177">
        <f>IF(H214=0,0,IF(F214="MXN",1/HLOOKUP(YEAR(G214)+(MONTH(G214)/100),TC!$5:$37,DAY(G214)+2,FALSE),VLOOKUP(F214,Equivalencia!$5:$23,((MAX(Equivalencia!$3:$3)-YEAR(G214))*14)+MONTH(G214)+2,FALSE)))</f>
        <v>0</v>
      </c>
      <c r="K214" s="217">
        <f t="shared" si="35"/>
        <v>0</v>
      </c>
      <c r="L214" s="462">
        <f>IF(G214=0,0,VLOOKUP(YEAR(G214),INPC!$B$4:$O$29,MONTH(G214)+1))</f>
        <v>0</v>
      </c>
      <c r="M214" s="462">
        <f>IF(T214=0,0,VLOOKUP(YEAR(T214),INPC!$B$4:$O$29,MONTH(T214)+1))</f>
        <v>0</v>
      </c>
      <c r="N214" s="463">
        <f t="shared" si="31"/>
        <v>0</v>
      </c>
      <c r="O214" s="464">
        <f t="shared" si="36"/>
        <v>0</v>
      </c>
      <c r="P214" s="465">
        <f t="shared" si="37"/>
        <v>0</v>
      </c>
      <c r="Q214" s="606" t="str">
        <f t="shared" si="38"/>
        <v>NO</v>
      </c>
      <c r="R214" s="180"/>
      <c r="S214" s="173"/>
      <c r="T214" s="174"/>
      <c r="U214" s="173"/>
      <c r="V214" s="220"/>
      <c r="W214" s="177">
        <f>IF(S214=0,0,IF(U214="MXN",1/HLOOKUP(YEAR(T214)+(MONTH(T214)/100),TC!$5:$37,DAY(T214)+2,FALSE),VLOOKUP(U214,Equivalencia!$1:$23,((MAX(Equivalencia!$3:$3)-YEAR(T214))*14)+MONTH(T214)+2,FALSE)))</f>
        <v>0</v>
      </c>
      <c r="X214" s="178">
        <f t="shared" si="39"/>
        <v>0</v>
      </c>
      <c r="Y214" s="178">
        <f t="shared" si="40"/>
        <v>0</v>
      </c>
      <c r="Z214" s="175">
        <f t="shared" si="32"/>
        <v>0</v>
      </c>
      <c r="AA214" s="179"/>
      <c r="AB214" s="467">
        <f t="shared" si="33"/>
        <v>0</v>
      </c>
      <c r="AC214" s="466">
        <f t="shared" si="34"/>
        <v>0</v>
      </c>
    </row>
    <row r="215" spans="2:29" ht="20.100000000000001" customHeight="1">
      <c r="B215" s="172"/>
      <c r="C215" s="172"/>
      <c r="D215" s="172"/>
      <c r="E215" s="181"/>
      <c r="F215" s="173"/>
      <c r="G215" s="174"/>
      <c r="H215" s="284"/>
      <c r="I215" s="221"/>
      <c r="J215" s="177">
        <f>IF(H215=0,0,IF(F215="MXN",1/HLOOKUP(YEAR(G215)+(MONTH(G215)/100),TC!$5:$37,DAY(G215)+2,FALSE),VLOOKUP(F215,Equivalencia!$5:$23,((MAX(Equivalencia!$3:$3)-YEAR(G215))*14)+MONTH(G215)+2,FALSE)))</f>
        <v>0</v>
      </c>
      <c r="K215" s="217">
        <f t="shared" si="35"/>
        <v>0</v>
      </c>
      <c r="L215" s="462">
        <f>IF(G215=0,0,VLOOKUP(YEAR(G215),INPC!$B$4:$O$29,MONTH(G215)+1))</f>
        <v>0</v>
      </c>
      <c r="M215" s="462">
        <f>IF(T215=0,0,VLOOKUP(YEAR(T215),INPC!$B$4:$O$29,MONTH(T215)+1))</f>
        <v>0</v>
      </c>
      <c r="N215" s="463">
        <f t="shared" si="31"/>
        <v>0</v>
      </c>
      <c r="O215" s="464">
        <f t="shared" si="36"/>
        <v>0</v>
      </c>
      <c r="P215" s="465">
        <f t="shared" si="37"/>
        <v>0</v>
      </c>
      <c r="Q215" s="606" t="str">
        <f t="shared" si="38"/>
        <v>NO</v>
      </c>
      <c r="R215" s="180"/>
      <c r="S215" s="173"/>
      <c r="T215" s="174"/>
      <c r="U215" s="173"/>
      <c r="V215" s="220"/>
      <c r="W215" s="177">
        <f>IF(S215=0,0,IF(U215="MXN",1/HLOOKUP(YEAR(T215)+(MONTH(T215)/100),TC!$5:$37,DAY(T215)+2,FALSE),VLOOKUP(U215,Equivalencia!$1:$23,((MAX(Equivalencia!$3:$3)-YEAR(T215))*14)+MONTH(T215)+2,FALSE)))</f>
        <v>0</v>
      </c>
      <c r="X215" s="178">
        <f t="shared" si="39"/>
        <v>0</v>
      </c>
      <c r="Y215" s="178">
        <f t="shared" si="40"/>
        <v>0</v>
      </c>
      <c r="Z215" s="175">
        <f t="shared" si="32"/>
        <v>0</v>
      </c>
      <c r="AA215" s="179"/>
      <c r="AB215" s="467">
        <f t="shared" si="33"/>
        <v>0</v>
      </c>
      <c r="AC215" s="466">
        <f t="shared" si="34"/>
        <v>0</v>
      </c>
    </row>
    <row r="216" spans="2:29" ht="20.100000000000001" customHeight="1">
      <c r="B216" s="172"/>
      <c r="C216" s="172"/>
      <c r="D216" s="172"/>
      <c r="E216" s="181"/>
      <c r="F216" s="173"/>
      <c r="G216" s="174"/>
      <c r="H216" s="284"/>
      <c r="I216" s="221"/>
      <c r="J216" s="177">
        <f>IF(H216=0,0,IF(F216="MXN",1/HLOOKUP(YEAR(G216)+(MONTH(G216)/100),TC!$5:$37,DAY(G216)+2,FALSE),VLOOKUP(F216,Equivalencia!$5:$23,((MAX(Equivalencia!$3:$3)-YEAR(G216))*14)+MONTH(G216)+2,FALSE)))</f>
        <v>0</v>
      </c>
      <c r="K216" s="217">
        <f t="shared" si="35"/>
        <v>0</v>
      </c>
      <c r="L216" s="462">
        <f>IF(G216=0,0,VLOOKUP(YEAR(G216),INPC!$B$4:$O$29,MONTH(G216)+1))</f>
        <v>0</v>
      </c>
      <c r="M216" s="462">
        <f>IF(T216=0,0,VLOOKUP(YEAR(T216),INPC!$B$4:$O$29,MONTH(T216)+1))</f>
        <v>0</v>
      </c>
      <c r="N216" s="463">
        <f t="shared" si="31"/>
        <v>0</v>
      </c>
      <c r="O216" s="464">
        <f t="shared" si="36"/>
        <v>0</v>
      </c>
      <c r="P216" s="465">
        <f t="shared" si="37"/>
        <v>0</v>
      </c>
      <c r="Q216" s="606" t="str">
        <f t="shared" si="38"/>
        <v>NO</v>
      </c>
      <c r="R216" s="180"/>
      <c r="S216" s="173"/>
      <c r="T216" s="174"/>
      <c r="U216" s="173"/>
      <c r="V216" s="220"/>
      <c r="W216" s="177">
        <f>IF(S216=0,0,IF(U216="MXN",1/HLOOKUP(YEAR(T216)+(MONTH(T216)/100),TC!$5:$37,DAY(T216)+2,FALSE),VLOOKUP(U216,Equivalencia!$1:$23,((MAX(Equivalencia!$3:$3)-YEAR(T216))*14)+MONTH(T216)+2,FALSE)))</f>
        <v>0</v>
      </c>
      <c r="X216" s="178">
        <f t="shared" si="39"/>
        <v>0</v>
      </c>
      <c r="Y216" s="178">
        <f t="shared" si="40"/>
        <v>0</v>
      </c>
      <c r="Z216" s="175">
        <f t="shared" si="32"/>
        <v>0</v>
      </c>
      <c r="AA216" s="179"/>
      <c r="AB216" s="467">
        <f t="shared" si="33"/>
        <v>0</v>
      </c>
      <c r="AC216" s="466">
        <f t="shared" si="34"/>
        <v>0</v>
      </c>
    </row>
    <row r="217" spans="2:29" ht="20.100000000000001" customHeight="1">
      <c r="B217" s="172"/>
      <c r="C217" s="172"/>
      <c r="D217" s="172"/>
      <c r="E217" s="181"/>
      <c r="F217" s="173"/>
      <c r="G217" s="174"/>
      <c r="H217" s="284"/>
      <c r="I217" s="221"/>
      <c r="J217" s="177">
        <f>IF(H217=0,0,IF(F217="MXN",1/HLOOKUP(YEAR(G217)+(MONTH(G217)/100),TC!$5:$37,DAY(G217)+2,FALSE),VLOOKUP(F217,Equivalencia!$5:$23,((MAX(Equivalencia!$3:$3)-YEAR(G217))*14)+MONTH(G217)+2,FALSE)))</f>
        <v>0</v>
      </c>
      <c r="K217" s="217">
        <f t="shared" si="35"/>
        <v>0</v>
      </c>
      <c r="L217" s="462">
        <f>IF(G217=0,0,VLOOKUP(YEAR(G217),INPC!$B$4:$O$29,MONTH(G217)+1))</f>
        <v>0</v>
      </c>
      <c r="M217" s="462">
        <f>IF(T217=0,0,VLOOKUP(YEAR(T217),INPC!$B$4:$O$29,MONTH(T217)+1))</f>
        <v>0</v>
      </c>
      <c r="N217" s="463">
        <f t="shared" si="31"/>
        <v>0</v>
      </c>
      <c r="O217" s="464">
        <f t="shared" si="36"/>
        <v>0</v>
      </c>
      <c r="P217" s="465">
        <f t="shared" si="37"/>
        <v>0</v>
      </c>
      <c r="Q217" s="606" t="str">
        <f t="shared" si="38"/>
        <v>NO</v>
      </c>
      <c r="R217" s="180"/>
      <c r="S217" s="173"/>
      <c r="T217" s="174"/>
      <c r="U217" s="173"/>
      <c r="V217" s="220"/>
      <c r="W217" s="177">
        <f>IF(S217=0,0,IF(U217="MXN",1/HLOOKUP(YEAR(T217)+(MONTH(T217)/100),TC!$5:$37,DAY(T217)+2,FALSE),VLOOKUP(U217,Equivalencia!$1:$23,((MAX(Equivalencia!$3:$3)-YEAR(T217))*14)+MONTH(T217)+2,FALSE)))</f>
        <v>0</v>
      </c>
      <c r="X217" s="178">
        <f t="shared" si="39"/>
        <v>0</v>
      </c>
      <c r="Y217" s="178">
        <f t="shared" si="40"/>
        <v>0</v>
      </c>
      <c r="Z217" s="175">
        <f t="shared" si="32"/>
        <v>0</v>
      </c>
      <c r="AA217" s="179"/>
      <c r="AB217" s="467">
        <f t="shared" si="33"/>
        <v>0</v>
      </c>
      <c r="AC217" s="466">
        <f t="shared" si="34"/>
        <v>0</v>
      </c>
    </row>
    <row r="218" spans="2:29" ht="20.100000000000001" customHeight="1">
      <c r="B218" s="172"/>
      <c r="C218" s="172"/>
      <c r="D218" s="172"/>
      <c r="E218" s="181"/>
      <c r="F218" s="173"/>
      <c r="G218" s="174"/>
      <c r="H218" s="284"/>
      <c r="I218" s="221"/>
      <c r="J218" s="177">
        <f>IF(H218=0,0,IF(F218="MXN",1/HLOOKUP(YEAR(G218)+(MONTH(G218)/100),TC!$5:$37,DAY(G218)+2,FALSE),VLOOKUP(F218,Equivalencia!$5:$23,((MAX(Equivalencia!$3:$3)-YEAR(G218))*14)+MONTH(G218)+2,FALSE)))</f>
        <v>0</v>
      </c>
      <c r="K218" s="217">
        <f t="shared" si="35"/>
        <v>0</v>
      </c>
      <c r="L218" s="462">
        <f>IF(G218=0,0,VLOOKUP(YEAR(G218),INPC!$B$4:$O$29,MONTH(G218)+1))</f>
        <v>0</v>
      </c>
      <c r="M218" s="462">
        <f>IF(T218=0,0,VLOOKUP(YEAR(T218),INPC!$B$4:$O$29,MONTH(T218)+1))</f>
        <v>0</v>
      </c>
      <c r="N218" s="463">
        <f t="shared" si="31"/>
        <v>0</v>
      </c>
      <c r="O218" s="464">
        <f t="shared" si="36"/>
        <v>0</v>
      </c>
      <c r="P218" s="465">
        <f t="shared" si="37"/>
        <v>0</v>
      </c>
      <c r="Q218" s="606" t="str">
        <f t="shared" si="38"/>
        <v>NO</v>
      </c>
      <c r="R218" s="180"/>
      <c r="S218" s="173"/>
      <c r="T218" s="174"/>
      <c r="U218" s="173"/>
      <c r="V218" s="220"/>
      <c r="W218" s="177">
        <f>IF(S218=0,0,IF(U218="MXN",1/HLOOKUP(YEAR(T218)+(MONTH(T218)/100),TC!$5:$37,DAY(T218)+2,FALSE),VLOOKUP(U218,Equivalencia!$1:$23,((MAX(Equivalencia!$3:$3)-YEAR(T218))*14)+MONTH(T218)+2,FALSE)))</f>
        <v>0</v>
      </c>
      <c r="X218" s="178">
        <f t="shared" si="39"/>
        <v>0</v>
      </c>
      <c r="Y218" s="178">
        <f t="shared" si="40"/>
        <v>0</v>
      </c>
      <c r="Z218" s="175">
        <f t="shared" si="32"/>
        <v>0</v>
      </c>
      <c r="AA218" s="179"/>
      <c r="AB218" s="467">
        <f t="shared" si="33"/>
        <v>0</v>
      </c>
      <c r="AC218" s="466">
        <f t="shared" si="34"/>
        <v>0</v>
      </c>
    </row>
    <row r="219" spans="2:29" ht="20.100000000000001" customHeight="1">
      <c r="B219" s="172"/>
      <c r="C219" s="172"/>
      <c r="D219" s="172"/>
      <c r="E219" s="181"/>
      <c r="F219" s="173"/>
      <c r="G219" s="174"/>
      <c r="H219" s="284"/>
      <c r="I219" s="221"/>
      <c r="J219" s="177">
        <f>IF(H219=0,0,IF(F219="MXN",1/HLOOKUP(YEAR(G219)+(MONTH(G219)/100),TC!$5:$37,DAY(G219)+2,FALSE),VLOOKUP(F219,Equivalencia!$5:$23,((MAX(Equivalencia!$3:$3)-YEAR(G219))*14)+MONTH(G219)+2,FALSE)))</f>
        <v>0</v>
      </c>
      <c r="K219" s="217">
        <f t="shared" si="35"/>
        <v>0</v>
      </c>
      <c r="L219" s="462">
        <f>IF(G219=0,0,VLOOKUP(YEAR(G219),INPC!$B$4:$O$29,MONTH(G219)+1))</f>
        <v>0</v>
      </c>
      <c r="M219" s="462">
        <f>IF(T219=0,0,VLOOKUP(YEAR(T219),INPC!$B$4:$O$29,MONTH(T219)+1))</f>
        <v>0</v>
      </c>
      <c r="N219" s="463">
        <f t="shared" si="31"/>
        <v>0</v>
      </c>
      <c r="O219" s="464">
        <f t="shared" si="36"/>
        <v>0</v>
      </c>
      <c r="P219" s="465">
        <f t="shared" si="37"/>
        <v>0</v>
      </c>
      <c r="Q219" s="606" t="str">
        <f t="shared" si="38"/>
        <v>NO</v>
      </c>
      <c r="R219" s="180"/>
      <c r="S219" s="173"/>
      <c r="T219" s="174"/>
      <c r="U219" s="173"/>
      <c r="V219" s="220"/>
      <c r="W219" s="177">
        <f>IF(S219=0,0,IF(U219="MXN",1/HLOOKUP(YEAR(T219)+(MONTH(T219)/100),TC!$5:$37,DAY(T219)+2,FALSE),VLOOKUP(U219,Equivalencia!$1:$23,((MAX(Equivalencia!$3:$3)-YEAR(T219))*14)+MONTH(T219)+2,FALSE)))</f>
        <v>0</v>
      </c>
      <c r="X219" s="178">
        <f t="shared" si="39"/>
        <v>0</v>
      </c>
      <c r="Y219" s="178">
        <f t="shared" si="40"/>
        <v>0</v>
      </c>
      <c r="Z219" s="175">
        <f t="shared" si="32"/>
        <v>0</v>
      </c>
      <c r="AA219" s="179"/>
      <c r="AB219" s="467">
        <f t="shared" si="33"/>
        <v>0</v>
      </c>
      <c r="AC219" s="466">
        <f t="shared" si="34"/>
        <v>0</v>
      </c>
    </row>
    <row r="220" spans="2:29" ht="20.100000000000001" customHeight="1">
      <c r="B220" s="172"/>
      <c r="C220" s="172"/>
      <c r="D220" s="172"/>
      <c r="E220" s="181"/>
      <c r="F220" s="173"/>
      <c r="G220" s="174"/>
      <c r="H220" s="284"/>
      <c r="I220" s="221"/>
      <c r="J220" s="177">
        <f>IF(H220=0,0,IF(F220="MXN",1/HLOOKUP(YEAR(G220)+(MONTH(G220)/100),TC!$5:$37,DAY(G220)+2,FALSE),VLOOKUP(F220,Equivalencia!$5:$23,((MAX(Equivalencia!$3:$3)-YEAR(G220))*14)+MONTH(G220)+2,FALSE)))</f>
        <v>0</v>
      </c>
      <c r="K220" s="217">
        <f t="shared" si="35"/>
        <v>0</v>
      </c>
      <c r="L220" s="462">
        <f>IF(G220=0,0,VLOOKUP(YEAR(G220),INPC!$B$4:$O$29,MONTH(G220)+1))</f>
        <v>0</v>
      </c>
      <c r="M220" s="462">
        <f>IF(T220=0,0,VLOOKUP(YEAR(T220),INPC!$B$4:$O$29,MONTH(T220)+1))</f>
        <v>0</v>
      </c>
      <c r="N220" s="463">
        <f t="shared" si="31"/>
        <v>0</v>
      </c>
      <c r="O220" s="464">
        <f t="shared" si="36"/>
        <v>0</v>
      </c>
      <c r="P220" s="465">
        <f t="shared" si="37"/>
        <v>0</v>
      </c>
      <c r="Q220" s="606" t="str">
        <f t="shared" si="38"/>
        <v>NO</v>
      </c>
      <c r="R220" s="180"/>
      <c r="S220" s="173"/>
      <c r="T220" s="174"/>
      <c r="U220" s="173"/>
      <c r="V220" s="220"/>
      <c r="W220" s="177">
        <f>IF(S220=0,0,IF(U220="MXN",1/HLOOKUP(YEAR(T220)+(MONTH(T220)/100),TC!$5:$37,DAY(T220)+2,FALSE),VLOOKUP(U220,Equivalencia!$1:$23,((MAX(Equivalencia!$3:$3)-YEAR(T220))*14)+MONTH(T220)+2,FALSE)))</f>
        <v>0</v>
      </c>
      <c r="X220" s="178">
        <f t="shared" si="39"/>
        <v>0</v>
      </c>
      <c r="Y220" s="178">
        <f t="shared" si="40"/>
        <v>0</v>
      </c>
      <c r="Z220" s="175">
        <f t="shared" si="32"/>
        <v>0</v>
      </c>
      <c r="AA220" s="179"/>
      <c r="AB220" s="467">
        <f t="shared" si="33"/>
        <v>0</v>
      </c>
      <c r="AC220" s="466">
        <f t="shared" si="34"/>
        <v>0</v>
      </c>
    </row>
    <row r="221" spans="2:29" ht="20.100000000000001" customHeight="1">
      <c r="B221" s="172"/>
      <c r="C221" s="172"/>
      <c r="D221" s="172"/>
      <c r="E221" s="181"/>
      <c r="F221" s="173"/>
      <c r="G221" s="174"/>
      <c r="H221" s="284"/>
      <c r="I221" s="221"/>
      <c r="J221" s="177">
        <f>IF(H221=0,0,IF(F221="MXN",1/HLOOKUP(YEAR(G221)+(MONTH(G221)/100),TC!$5:$37,DAY(G221)+2,FALSE),VLOOKUP(F221,Equivalencia!$5:$23,((MAX(Equivalencia!$3:$3)-YEAR(G221))*14)+MONTH(G221)+2,FALSE)))</f>
        <v>0</v>
      </c>
      <c r="K221" s="217">
        <f t="shared" si="35"/>
        <v>0</v>
      </c>
      <c r="L221" s="462">
        <f>IF(G221=0,0,VLOOKUP(YEAR(G221),INPC!$B$4:$O$29,MONTH(G221)+1))</f>
        <v>0</v>
      </c>
      <c r="M221" s="462">
        <f>IF(T221=0,0,VLOOKUP(YEAR(T221),INPC!$B$4:$O$29,MONTH(T221)+1))</f>
        <v>0</v>
      </c>
      <c r="N221" s="463">
        <f t="shared" si="31"/>
        <v>0</v>
      </c>
      <c r="O221" s="464">
        <f t="shared" si="36"/>
        <v>0</v>
      </c>
      <c r="P221" s="465">
        <f t="shared" si="37"/>
        <v>0</v>
      </c>
      <c r="Q221" s="606" t="str">
        <f t="shared" si="38"/>
        <v>NO</v>
      </c>
      <c r="R221" s="180"/>
      <c r="S221" s="173"/>
      <c r="T221" s="174"/>
      <c r="U221" s="173"/>
      <c r="V221" s="220"/>
      <c r="W221" s="177">
        <f>IF(S221=0,0,IF(U221="MXN",1/HLOOKUP(YEAR(T221)+(MONTH(T221)/100),TC!$5:$37,DAY(T221)+2,FALSE),VLOOKUP(U221,Equivalencia!$1:$23,((MAX(Equivalencia!$3:$3)-YEAR(T221))*14)+MONTH(T221)+2,FALSE)))</f>
        <v>0</v>
      </c>
      <c r="X221" s="178">
        <f t="shared" si="39"/>
        <v>0</v>
      </c>
      <c r="Y221" s="178">
        <f t="shared" si="40"/>
        <v>0</v>
      </c>
      <c r="Z221" s="175">
        <f t="shared" si="32"/>
        <v>0</v>
      </c>
      <c r="AA221" s="179"/>
      <c r="AB221" s="467">
        <f t="shared" si="33"/>
        <v>0</v>
      </c>
      <c r="AC221" s="466">
        <f t="shared" si="34"/>
        <v>0</v>
      </c>
    </row>
    <row r="222" spans="2:29" ht="20.100000000000001" customHeight="1">
      <c r="B222" s="172"/>
      <c r="C222" s="172"/>
      <c r="D222" s="172"/>
      <c r="E222" s="181"/>
      <c r="F222" s="173"/>
      <c r="G222" s="174"/>
      <c r="H222" s="284"/>
      <c r="I222" s="221"/>
      <c r="J222" s="177">
        <f>IF(H222=0,0,IF(F222="MXN",1/HLOOKUP(YEAR(G222)+(MONTH(G222)/100),TC!$5:$37,DAY(G222)+2,FALSE),VLOOKUP(F222,Equivalencia!$5:$23,((MAX(Equivalencia!$3:$3)-YEAR(G222))*14)+MONTH(G222)+2,FALSE)))</f>
        <v>0</v>
      </c>
      <c r="K222" s="217">
        <f t="shared" si="35"/>
        <v>0</v>
      </c>
      <c r="L222" s="462">
        <f>IF(G222=0,0,VLOOKUP(YEAR(G222),INPC!$B$4:$O$29,MONTH(G222)+1))</f>
        <v>0</v>
      </c>
      <c r="M222" s="462">
        <f>IF(T222=0,0,VLOOKUP(YEAR(T222),INPC!$B$4:$O$29,MONTH(T222)+1))</f>
        <v>0</v>
      </c>
      <c r="N222" s="463">
        <f t="shared" si="31"/>
        <v>0</v>
      </c>
      <c r="O222" s="464">
        <f t="shared" si="36"/>
        <v>0</v>
      </c>
      <c r="P222" s="465">
        <f t="shared" si="37"/>
        <v>0</v>
      </c>
      <c r="Q222" s="606" t="str">
        <f t="shared" si="38"/>
        <v>NO</v>
      </c>
      <c r="R222" s="180"/>
      <c r="S222" s="173"/>
      <c r="T222" s="174"/>
      <c r="U222" s="173"/>
      <c r="V222" s="220"/>
      <c r="W222" s="177">
        <f>IF(S222=0,0,IF(U222="MXN",1/HLOOKUP(YEAR(T222)+(MONTH(T222)/100),TC!$5:$37,DAY(T222)+2,FALSE),VLOOKUP(U222,Equivalencia!$1:$23,((MAX(Equivalencia!$3:$3)-YEAR(T222))*14)+MONTH(T222)+2,FALSE)))</f>
        <v>0</v>
      </c>
      <c r="X222" s="178">
        <f t="shared" si="39"/>
        <v>0</v>
      </c>
      <c r="Y222" s="178">
        <f t="shared" si="40"/>
        <v>0</v>
      </c>
      <c r="Z222" s="175">
        <f t="shared" si="32"/>
        <v>0</v>
      </c>
      <c r="AA222" s="179"/>
      <c r="AB222" s="467">
        <f t="shared" si="33"/>
        <v>0</v>
      </c>
      <c r="AC222" s="466">
        <f t="shared" si="34"/>
        <v>0</v>
      </c>
    </row>
    <row r="223" spans="2:29" ht="20.100000000000001" customHeight="1">
      <c r="B223" s="172"/>
      <c r="C223" s="172"/>
      <c r="D223" s="172"/>
      <c r="E223" s="181"/>
      <c r="F223" s="173"/>
      <c r="G223" s="174"/>
      <c r="H223" s="284"/>
      <c r="I223" s="221"/>
      <c r="J223" s="177">
        <f>IF(H223=0,0,IF(F223="MXN",1/HLOOKUP(YEAR(G223)+(MONTH(G223)/100),TC!$5:$37,DAY(G223)+2,FALSE),VLOOKUP(F223,Equivalencia!$5:$23,((MAX(Equivalencia!$3:$3)-YEAR(G223))*14)+MONTH(G223)+2,FALSE)))</f>
        <v>0</v>
      </c>
      <c r="K223" s="217">
        <f t="shared" si="35"/>
        <v>0</v>
      </c>
      <c r="L223" s="462">
        <f>IF(G223=0,0,VLOOKUP(YEAR(G223),INPC!$B$4:$O$29,MONTH(G223)+1))</f>
        <v>0</v>
      </c>
      <c r="M223" s="462">
        <f>IF(T223=0,0,VLOOKUP(YEAR(T223),INPC!$B$4:$O$29,MONTH(T223)+1))</f>
        <v>0</v>
      </c>
      <c r="N223" s="463">
        <f t="shared" si="31"/>
        <v>0</v>
      </c>
      <c r="O223" s="464">
        <f t="shared" si="36"/>
        <v>0</v>
      </c>
      <c r="P223" s="465">
        <f t="shared" si="37"/>
        <v>0</v>
      </c>
      <c r="Q223" s="606" t="str">
        <f t="shared" si="38"/>
        <v>NO</v>
      </c>
      <c r="R223" s="180"/>
      <c r="S223" s="173"/>
      <c r="T223" s="174"/>
      <c r="U223" s="173"/>
      <c r="V223" s="220"/>
      <c r="W223" s="177">
        <f>IF(S223=0,0,IF(U223="MXN",1/HLOOKUP(YEAR(T223)+(MONTH(T223)/100),TC!$5:$37,DAY(T223)+2,FALSE),VLOOKUP(U223,Equivalencia!$1:$23,((MAX(Equivalencia!$3:$3)-YEAR(T223))*14)+MONTH(T223)+2,FALSE)))</f>
        <v>0</v>
      </c>
      <c r="X223" s="178">
        <f t="shared" si="39"/>
        <v>0</v>
      </c>
      <c r="Y223" s="178">
        <f t="shared" si="40"/>
        <v>0</v>
      </c>
      <c r="Z223" s="175">
        <f t="shared" si="32"/>
        <v>0</v>
      </c>
      <c r="AA223" s="179"/>
      <c r="AB223" s="467">
        <f t="shared" si="33"/>
        <v>0</v>
      </c>
      <c r="AC223" s="466">
        <f t="shared" si="34"/>
        <v>0</v>
      </c>
    </row>
    <row r="224" spans="2:29" ht="20.100000000000001" customHeight="1">
      <c r="B224" s="172"/>
      <c r="C224" s="172"/>
      <c r="D224" s="172"/>
      <c r="E224" s="181"/>
      <c r="F224" s="173"/>
      <c r="G224" s="174"/>
      <c r="H224" s="284"/>
      <c r="I224" s="221"/>
      <c r="J224" s="177">
        <f>IF(H224=0,0,IF(F224="MXN",1/HLOOKUP(YEAR(G224)+(MONTH(G224)/100),TC!$5:$37,DAY(G224)+2,FALSE),VLOOKUP(F224,Equivalencia!$5:$23,((MAX(Equivalencia!$3:$3)-YEAR(G224))*14)+MONTH(G224)+2,FALSE)))</f>
        <v>0</v>
      </c>
      <c r="K224" s="217">
        <f t="shared" si="35"/>
        <v>0</v>
      </c>
      <c r="L224" s="462">
        <f>IF(G224=0,0,VLOOKUP(YEAR(G224),INPC!$B$4:$O$29,MONTH(G224)+1))</f>
        <v>0</v>
      </c>
      <c r="M224" s="462">
        <f>IF(T224=0,0,VLOOKUP(YEAR(T224),INPC!$B$4:$O$29,MONTH(T224)+1))</f>
        <v>0</v>
      </c>
      <c r="N224" s="463">
        <f t="shared" si="31"/>
        <v>0</v>
      </c>
      <c r="O224" s="464">
        <f t="shared" si="36"/>
        <v>0</v>
      </c>
      <c r="P224" s="465">
        <f t="shared" si="37"/>
        <v>0</v>
      </c>
      <c r="Q224" s="606" t="str">
        <f t="shared" si="38"/>
        <v>NO</v>
      </c>
      <c r="R224" s="180"/>
      <c r="S224" s="173"/>
      <c r="T224" s="174"/>
      <c r="U224" s="173"/>
      <c r="V224" s="220"/>
      <c r="W224" s="177">
        <f>IF(S224=0,0,IF(U224="MXN",1/HLOOKUP(YEAR(T224)+(MONTH(T224)/100),TC!$5:$37,DAY(T224)+2,FALSE),VLOOKUP(U224,Equivalencia!$1:$23,((MAX(Equivalencia!$3:$3)-YEAR(T224))*14)+MONTH(T224)+2,FALSE)))</f>
        <v>0</v>
      </c>
      <c r="X224" s="178">
        <f t="shared" si="39"/>
        <v>0</v>
      </c>
      <c r="Y224" s="178">
        <f t="shared" si="40"/>
        <v>0</v>
      </c>
      <c r="Z224" s="175">
        <f t="shared" si="32"/>
        <v>0</v>
      </c>
      <c r="AA224" s="179"/>
      <c r="AB224" s="467">
        <f t="shared" si="33"/>
        <v>0</v>
      </c>
      <c r="AC224" s="466">
        <f t="shared" si="34"/>
        <v>0</v>
      </c>
    </row>
    <row r="225" spans="2:29" ht="20.100000000000001" customHeight="1">
      <c r="B225" s="172"/>
      <c r="C225" s="172"/>
      <c r="D225" s="172"/>
      <c r="E225" s="181"/>
      <c r="F225" s="173"/>
      <c r="G225" s="174"/>
      <c r="H225" s="284"/>
      <c r="I225" s="221"/>
      <c r="J225" s="177">
        <f>IF(H225=0,0,IF(F225="MXN",1/HLOOKUP(YEAR(G225)+(MONTH(G225)/100),TC!$5:$37,DAY(G225)+2,FALSE),VLOOKUP(F225,Equivalencia!$5:$23,((MAX(Equivalencia!$3:$3)-YEAR(G225))*14)+MONTH(G225)+2,FALSE)))</f>
        <v>0</v>
      </c>
      <c r="K225" s="217">
        <f t="shared" si="35"/>
        <v>0</v>
      </c>
      <c r="L225" s="462">
        <f>IF(G225=0,0,VLOOKUP(YEAR(G225),INPC!$B$4:$O$29,MONTH(G225)+1))</f>
        <v>0</v>
      </c>
      <c r="M225" s="462">
        <f>IF(T225=0,0,VLOOKUP(YEAR(T225),INPC!$B$4:$O$29,MONTH(T225)+1))</f>
        <v>0</v>
      </c>
      <c r="N225" s="463">
        <f t="shared" si="31"/>
        <v>0</v>
      </c>
      <c r="O225" s="464">
        <f t="shared" si="36"/>
        <v>0</v>
      </c>
      <c r="P225" s="465">
        <f t="shared" si="37"/>
        <v>0</v>
      </c>
      <c r="Q225" s="606" t="str">
        <f t="shared" si="38"/>
        <v>NO</v>
      </c>
      <c r="R225" s="180"/>
      <c r="S225" s="173"/>
      <c r="T225" s="174"/>
      <c r="U225" s="173"/>
      <c r="V225" s="220"/>
      <c r="W225" s="177">
        <f>IF(S225=0,0,IF(U225="MXN",1/HLOOKUP(YEAR(T225)+(MONTH(T225)/100),TC!$5:$37,DAY(T225)+2,FALSE),VLOOKUP(U225,Equivalencia!$1:$23,((MAX(Equivalencia!$3:$3)-YEAR(T225))*14)+MONTH(T225)+2,FALSE)))</f>
        <v>0</v>
      </c>
      <c r="X225" s="178">
        <f t="shared" si="39"/>
        <v>0</v>
      </c>
      <c r="Y225" s="178">
        <f t="shared" si="40"/>
        <v>0</v>
      </c>
      <c r="Z225" s="175">
        <f t="shared" si="32"/>
        <v>0</v>
      </c>
      <c r="AA225" s="179"/>
      <c r="AB225" s="467">
        <f t="shared" si="33"/>
        <v>0</v>
      </c>
      <c r="AC225" s="466">
        <f t="shared" si="34"/>
        <v>0</v>
      </c>
    </row>
    <row r="226" spans="2:29" ht="20.100000000000001" customHeight="1">
      <c r="B226" s="172"/>
      <c r="C226" s="172"/>
      <c r="D226" s="172"/>
      <c r="E226" s="181"/>
      <c r="F226" s="173"/>
      <c r="G226" s="174"/>
      <c r="H226" s="284"/>
      <c r="I226" s="221"/>
      <c r="J226" s="177">
        <f>IF(H226=0,0,IF(F226="MXN",1/HLOOKUP(YEAR(G226)+(MONTH(G226)/100),TC!$5:$37,DAY(G226)+2,FALSE),VLOOKUP(F226,Equivalencia!$5:$23,((MAX(Equivalencia!$3:$3)-YEAR(G226))*14)+MONTH(G226)+2,FALSE)))</f>
        <v>0</v>
      </c>
      <c r="K226" s="217">
        <f t="shared" si="35"/>
        <v>0</v>
      </c>
      <c r="L226" s="462">
        <f>IF(G226=0,0,VLOOKUP(YEAR(G226),INPC!$B$4:$O$29,MONTH(G226)+1))</f>
        <v>0</v>
      </c>
      <c r="M226" s="462">
        <f>IF(T226=0,0,VLOOKUP(YEAR(T226),INPC!$B$4:$O$29,MONTH(T226)+1))</f>
        <v>0</v>
      </c>
      <c r="N226" s="463">
        <f t="shared" si="31"/>
        <v>0</v>
      </c>
      <c r="O226" s="464">
        <f t="shared" si="36"/>
        <v>0</v>
      </c>
      <c r="P226" s="465">
        <f t="shared" si="37"/>
        <v>0</v>
      </c>
      <c r="Q226" s="606" t="str">
        <f t="shared" si="38"/>
        <v>NO</v>
      </c>
      <c r="R226" s="180"/>
      <c r="S226" s="173"/>
      <c r="T226" s="174"/>
      <c r="U226" s="173"/>
      <c r="V226" s="220"/>
      <c r="W226" s="177">
        <f>IF(S226=0,0,IF(U226="MXN",1/HLOOKUP(YEAR(T226)+(MONTH(T226)/100),TC!$5:$37,DAY(T226)+2,FALSE),VLOOKUP(U226,Equivalencia!$1:$23,((MAX(Equivalencia!$3:$3)-YEAR(T226))*14)+MONTH(T226)+2,FALSE)))</f>
        <v>0</v>
      </c>
      <c r="X226" s="178">
        <f t="shared" si="39"/>
        <v>0</v>
      </c>
      <c r="Y226" s="178">
        <f t="shared" si="40"/>
        <v>0</v>
      </c>
      <c r="Z226" s="175">
        <f t="shared" si="32"/>
        <v>0</v>
      </c>
      <c r="AA226" s="179"/>
      <c r="AB226" s="467">
        <f t="shared" si="33"/>
        <v>0</v>
      </c>
      <c r="AC226" s="466">
        <f t="shared" si="34"/>
        <v>0</v>
      </c>
    </row>
    <row r="227" spans="2:29" ht="20.100000000000001" customHeight="1">
      <c r="B227" s="172"/>
      <c r="C227" s="172"/>
      <c r="D227" s="172"/>
      <c r="E227" s="181"/>
      <c r="F227" s="173"/>
      <c r="G227" s="174"/>
      <c r="H227" s="284"/>
      <c r="I227" s="221"/>
      <c r="J227" s="177">
        <f>IF(H227=0,0,IF(F227="MXN",1/HLOOKUP(YEAR(G227)+(MONTH(G227)/100),TC!$5:$37,DAY(G227)+2,FALSE),VLOOKUP(F227,Equivalencia!$5:$23,((MAX(Equivalencia!$3:$3)-YEAR(G227))*14)+MONTH(G227)+2,FALSE)))</f>
        <v>0</v>
      </c>
      <c r="K227" s="217">
        <f t="shared" si="35"/>
        <v>0</v>
      </c>
      <c r="L227" s="462">
        <f>IF(G227=0,0,VLOOKUP(YEAR(G227),INPC!$B$4:$O$29,MONTH(G227)+1))</f>
        <v>0</v>
      </c>
      <c r="M227" s="462">
        <f>IF(T227=0,0,VLOOKUP(YEAR(T227),INPC!$B$4:$O$29,MONTH(T227)+1))</f>
        <v>0</v>
      </c>
      <c r="N227" s="463">
        <f t="shared" si="31"/>
        <v>0</v>
      </c>
      <c r="O227" s="464">
        <f t="shared" si="36"/>
        <v>0</v>
      </c>
      <c r="P227" s="465">
        <f t="shared" si="37"/>
        <v>0</v>
      </c>
      <c r="Q227" s="606" t="str">
        <f t="shared" si="38"/>
        <v>NO</v>
      </c>
      <c r="R227" s="180"/>
      <c r="S227" s="173"/>
      <c r="T227" s="174"/>
      <c r="U227" s="173"/>
      <c r="V227" s="220"/>
      <c r="W227" s="177">
        <f>IF(S227=0,0,IF(U227="MXN",1/HLOOKUP(YEAR(T227)+(MONTH(T227)/100),TC!$5:$37,DAY(T227)+2,FALSE),VLOOKUP(U227,Equivalencia!$1:$23,((MAX(Equivalencia!$3:$3)-YEAR(T227))*14)+MONTH(T227)+2,FALSE)))</f>
        <v>0</v>
      </c>
      <c r="X227" s="178">
        <f t="shared" si="39"/>
        <v>0</v>
      </c>
      <c r="Y227" s="178">
        <f t="shared" si="40"/>
        <v>0</v>
      </c>
      <c r="Z227" s="175">
        <f t="shared" si="32"/>
        <v>0</v>
      </c>
      <c r="AA227" s="179"/>
      <c r="AB227" s="467">
        <f t="shared" si="33"/>
        <v>0</v>
      </c>
      <c r="AC227" s="466">
        <f t="shared" si="34"/>
        <v>0</v>
      </c>
    </row>
    <row r="228" spans="2:29" ht="20.100000000000001" customHeight="1">
      <c r="B228" s="172"/>
      <c r="C228" s="172"/>
      <c r="D228" s="172"/>
      <c r="E228" s="181"/>
      <c r="F228" s="173"/>
      <c r="G228" s="174"/>
      <c r="H228" s="284"/>
      <c r="I228" s="221"/>
      <c r="J228" s="177">
        <f>IF(H228=0,0,IF(F228="MXN",1/HLOOKUP(YEAR(G228)+(MONTH(G228)/100),TC!$5:$37,DAY(G228)+2,FALSE),VLOOKUP(F228,Equivalencia!$5:$23,((MAX(Equivalencia!$3:$3)-YEAR(G228))*14)+MONTH(G228)+2,FALSE)))</f>
        <v>0</v>
      </c>
      <c r="K228" s="217">
        <f t="shared" si="35"/>
        <v>0</v>
      </c>
      <c r="L228" s="462">
        <f>IF(G228=0,0,VLOOKUP(YEAR(G228),INPC!$B$4:$O$29,MONTH(G228)+1))</f>
        <v>0</v>
      </c>
      <c r="M228" s="462">
        <f>IF(T228=0,0,VLOOKUP(YEAR(T228),INPC!$B$4:$O$29,MONTH(T228)+1))</f>
        <v>0</v>
      </c>
      <c r="N228" s="463">
        <f t="shared" si="31"/>
        <v>0</v>
      </c>
      <c r="O228" s="464">
        <f t="shared" si="36"/>
        <v>0</v>
      </c>
      <c r="P228" s="465">
        <f t="shared" si="37"/>
        <v>0</v>
      </c>
      <c r="Q228" s="606" t="str">
        <f t="shared" si="38"/>
        <v>NO</v>
      </c>
      <c r="R228" s="180"/>
      <c r="S228" s="173"/>
      <c r="T228" s="174"/>
      <c r="U228" s="173"/>
      <c r="V228" s="220"/>
      <c r="W228" s="177">
        <f>IF(S228=0,0,IF(U228="MXN",1/HLOOKUP(YEAR(T228)+(MONTH(T228)/100),TC!$5:$37,DAY(T228)+2,FALSE),VLOOKUP(U228,Equivalencia!$1:$23,((MAX(Equivalencia!$3:$3)-YEAR(T228))*14)+MONTH(T228)+2,FALSE)))</f>
        <v>0</v>
      </c>
      <c r="X228" s="178">
        <f t="shared" si="39"/>
        <v>0</v>
      </c>
      <c r="Y228" s="178">
        <f t="shared" si="40"/>
        <v>0</v>
      </c>
      <c r="Z228" s="175">
        <f t="shared" si="32"/>
        <v>0</v>
      </c>
      <c r="AA228" s="179"/>
      <c r="AB228" s="467">
        <f t="shared" si="33"/>
        <v>0</v>
      </c>
      <c r="AC228" s="466">
        <f t="shared" si="34"/>
        <v>0</v>
      </c>
    </row>
    <row r="229" spans="2:29" ht="20.100000000000001" customHeight="1">
      <c r="B229" s="172"/>
      <c r="C229" s="172"/>
      <c r="D229" s="172"/>
      <c r="E229" s="181"/>
      <c r="F229" s="173"/>
      <c r="G229" s="174"/>
      <c r="H229" s="284"/>
      <c r="I229" s="221"/>
      <c r="J229" s="177">
        <f>IF(H229=0,0,IF(F229="MXN",1/HLOOKUP(YEAR(G229)+(MONTH(G229)/100),TC!$5:$37,DAY(G229)+2,FALSE),VLOOKUP(F229,Equivalencia!$5:$23,((MAX(Equivalencia!$3:$3)-YEAR(G229))*14)+MONTH(G229)+2,FALSE)))</f>
        <v>0</v>
      </c>
      <c r="K229" s="217">
        <f t="shared" si="35"/>
        <v>0</v>
      </c>
      <c r="L229" s="462">
        <f>IF(G229=0,0,VLOOKUP(YEAR(G229),INPC!$B$4:$O$29,MONTH(G229)+1))</f>
        <v>0</v>
      </c>
      <c r="M229" s="462">
        <f>IF(T229=0,0,VLOOKUP(YEAR(T229),INPC!$B$4:$O$29,MONTH(T229)+1))</f>
        <v>0</v>
      </c>
      <c r="N229" s="463">
        <f t="shared" si="31"/>
        <v>0</v>
      </c>
      <c r="O229" s="464">
        <f t="shared" si="36"/>
        <v>0</v>
      </c>
      <c r="P229" s="465">
        <f t="shared" si="37"/>
        <v>0</v>
      </c>
      <c r="Q229" s="606" t="str">
        <f t="shared" si="38"/>
        <v>NO</v>
      </c>
      <c r="R229" s="180"/>
      <c r="S229" s="173"/>
      <c r="T229" s="174"/>
      <c r="U229" s="173"/>
      <c r="V229" s="220"/>
      <c r="W229" s="177">
        <f>IF(S229=0,0,IF(U229="MXN",1/HLOOKUP(YEAR(T229)+(MONTH(T229)/100),TC!$5:$37,DAY(T229)+2,FALSE),VLOOKUP(U229,Equivalencia!$1:$23,((MAX(Equivalencia!$3:$3)-YEAR(T229))*14)+MONTH(T229)+2,FALSE)))</f>
        <v>0</v>
      </c>
      <c r="X229" s="178">
        <f t="shared" si="39"/>
        <v>0</v>
      </c>
      <c r="Y229" s="178">
        <f t="shared" si="40"/>
        <v>0</v>
      </c>
      <c r="Z229" s="175">
        <f t="shared" si="32"/>
        <v>0</v>
      </c>
      <c r="AA229" s="179"/>
      <c r="AB229" s="467">
        <f t="shared" si="33"/>
        <v>0</v>
      </c>
      <c r="AC229" s="466">
        <f t="shared" si="34"/>
        <v>0</v>
      </c>
    </row>
    <row r="230" spans="2:29" ht="20.100000000000001" customHeight="1">
      <c r="B230" s="172"/>
      <c r="C230" s="172"/>
      <c r="D230" s="172"/>
      <c r="E230" s="181"/>
      <c r="F230" s="173"/>
      <c r="G230" s="174"/>
      <c r="H230" s="284"/>
      <c r="I230" s="221"/>
      <c r="J230" s="177">
        <f>IF(H230=0,0,IF(F230="MXN",1/HLOOKUP(YEAR(G230)+(MONTH(G230)/100),TC!$5:$37,DAY(G230)+2,FALSE),VLOOKUP(F230,Equivalencia!$5:$23,((MAX(Equivalencia!$3:$3)-YEAR(G230))*14)+MONTH(G230)+2,FALSE)))</f>
        <v>0</v>
      </c>
      <c r="K230" s="217">
        <f t="shared" si="35"/>
        <v>0</v>
      </c>
      <c r="L230" s="462">
        <f>IF(G230=0,0,VLOOKUP(YEAR(G230),INPC!$B$4:$O$29,MONTH(G230)+1))</f>
        <v>0</v>
      </c>
      <c r="M230" s="462">
        <f>IF(T230=0,0,VLOOKUP(YEAR(T230),INPC!$B$4:$O$29,MONTH(T230)+1))</f>
        <v>0</v>
      </c>
      <c r="N230" s="463">
        <f t="shared" si="31"/>
        <v>0</v>
      </c>
      <c r="O230" s="464">
        <f t="shared" si="36"/>
        <v>0</v>
      </c>
      <c r="P230" s="465">
        <f t="shared" si="37"/>
        <v>0</v>
      </c>
      <c r="Q230" s="606" t="str">
        <f t="shared" si="38"/>
        <v>NO</v>
      </c>
      <c r="R230" s="180"/>
      <c r="S230" s="173"/>
      <c r="T230" s="174"/>
      <c r="U230" s="173"/>
      <c r="V230" s="220"/>
      <c r="W230" s="177">
        <f>IF(S230=0,0,IF(U230="MXN",1/HLOOKUP(YEAR(T230)+(MONTH(T230)/100),TC!$5:$37,DAY(T230)+2,FALSE),VLOOKUP(U230,Equivalencia!$1:$23,((MAX(Equivalencia!$3:$3)-YEAR(T230))*14)+MONTH(T230)+2,FALSE)))</f>
        <v>0</v>
      </c>
      <c r="X230" s="178">
        <f t="shared" si="39"/>
        <v>0</v>
      </c>
      <c r="Y230" s="178">
        <f t="shared" si="40"/>
        <v>0</v>
      </c>
      <c r="Z230" s="175">
        <f t="shared" si="32"/>
        <v>0</v>
      </c>
      <c r="AA230" s="179"/>
      <c r="AB230" s="467">
        <f t="shared" si="33"/>
        <v>0</v>
      </c>
      <c r="AC230" s="466">
        <f t="shared" si="34"/>
        <v>0</v>
      </c>
    </row>
    <row r="231" spans="2:29" ht="20.100000000000001" customHeight="1">
      <c r="B231" s="172"/>
      <c r="C231" s="172"/>
      <c r="D231" s="172"/>
      <c r="E231" s="181"/>
      <c r="F231" s="173"/>
      <c r="G231" s="174"/>
      <c r="H231" s="284"/>
      <c r="I231" s="221"/>
      <c r="J231" s="177">
        <f>IF(H231=0,0,IF(F231="MXN",1/HLOOKUP(YEAR(G231)+(MONTH(G231)/100),TC!$5:$37,DAY(G231)+2,FALSE),VLOOKUP(F231,Equivalencia!$5:$23,((MAX(Equivalencia!$3:$3)-YEAR(G231))*14)+MONTH(G231)+2,FALSE)))</f>
        <v>0</v>
      </c>
      <c r="K231" s="217">
        <f t="shared" si="35"/>
        <v>0</v>
      </c>
      <c r="L231" s="462">
        <f>IF(G231=0,0,VLOOKUP(YEAR(G231),INPC!$B$4:$O$29,MONTH(G231)+1))</f>
        <v>0</v>
      </c>
      <c r="M231" s="462">
        <f>IF(T231=0,0,VLOOKUP(YEAR(T231),INPC!$B$4:$O$29,MONTH(T231)+1))</f>
        <v>0</v>
      </c>
      <c r="N231" s="463">
        <f t="shared" si="31"/>
        <v>0</v>
      </c>
      <c r="O231" s="464">
        <f t="shared" si="36"/>
        <v>0</v>
      </c>
      <c r="P231" s="465">
        <f t="shared" si="37"/>
        <v>0</v>
      </c>
      <c r="Q231" s="606" t="str">
        <f t="shared" si="38"/>
        <v>NO</v>
      </c>
      <c r="R231" s="180"/>
      <c r="S231" s="173"/>
      <c r="T231" s="174"/>
      <c r="U231" s="173"/>
      <c r="V231" s="220"/>
      <c r="W231" s="177">
        <f>IF(S231=0,0,IF(U231="MXN",1/HLOOKUP(YEAR(T231)+(MONTH(T231)/100),TC!$5:$37,DAY(T231)+2,FALSE),VLOOKUP(U231,Equivalencia!$1:$23,((MAX(Equivalencia!$3:$3)-YEAR(T231))*14)+MONTH(T231)+2,FALSE)))</f>
        <v>0</v>
      </c>
      <c r="X231" s="178">
        <f t="shared" si="39"/>
        <v>0</v>
      </c>
      <c r="Y231" s="178">
        <f t="shared" si="40"/>
        <v>0</v>
      </c>
      <c r="Z231" s="175">
        <f t="shared" si="32"/>
        <v>0</v>
      </c>
      <c r="AA231" s="179"/>
      <c r="AB231" s="467">
        <f t="shared" si="33"/>
        <v>0</v>
      </c>
      <c r="AC231" s="466">
        <f t="shared" si="34"/>
        <v>0</v>
      </c>
    </row>
    <row r="232" spans="2:29" ht="20.100000000000001" customHeight="1">
      <c r="B232" s="172"/>
      <c r="C232" s="172"/>
      <c r="D232" s="172"/>
      <c r="E232" s="181"/>
      <c r="F232" s="173"/>
      <c r="G232" s="174"/>
      <c r="H232" s="284"/>
      <c r="I232" s="221"/>
      <c r="J232" s="177">
        <f>IF(H232=0,0,IF(F232="MXN",1/HLOOKUP(YEAR(G232)+(MONTH(G232)/100),TC!$5:$37,DAY(G232)+2,FALSE),VLOOKUP(F232,Equivalencia!$5:$23,((MAX(Equivalencia!$3:$3)-YEAR(G232))*14)+MONTH(G232)+2,FALSE)))</f>
        <v>0</v>
      </c>
      <c r="K232" s="217">
        <f t="shared" si="35"/>
        <v>0</v>
      </c>
      <c r="L232" s="462">
        <f>IF(G232=0,0,VLOOKUP(YEAR(G232),INPC!$B$4:$O$29,MONTH(G232)+1))</f>
        <v>0</v>
      </c>
      <c r="M232" s="462">
        <f>IF(T232=0,0,VLOOKUP(YEAR(T232),INPC!$B$4:$O$29,MONTH(T232)+1))</f>
        <v>0</v>
      </c>
      <c r="N232" s="463">
        <f t="shared" si="31"/>
        <v>0</v>
      </c>
      <c r="O232" s="464">
        <f t="shared" si="36"/>
        <v>0</v>
      </c>
      <c r="P232" s="465">
        <f t="shared" si="37"/>
        <v>0</v>
      </c>
      <c r="Q232" s="606" t="str">
        <f t="shared" si="38"/>
        <v>NO</v>
      </c>
      <c r="R232" s="180"/>
      <c r="S232" s="173"/>
      <c r="T232" s="174"/>
      <c r="U232" s="173"/>
      <c r="V232" s="220"/>
      <c r="W232" s="177">
        <f>IF(S232=0,0,IF(U232="MXN",1/HLOOKUP(YEAR(T232)+(MONTH(T232)/100),TC!$5:$37,DAY(T232)+2,FALSE),VLOOKUP(U232,Equivalencia!$1:$23,((MAX(Equivalencia!$3:$3)-YEAR(T232))*14)+MONTH(T232)+2,FALSE)))</f>
        <v>0</v>
      </c>
      <c r="X232" s="178">
        <f t="shared" si="39"/>
        <v>0</v>
      </c>
      <c r="Y232" s="178">
        <f t="shared" si="40"/>
        <v>0</v>
      </c>
      <c r="Z232" s="175">
        <f t="shared" si="32"/>
        <v>0</v>
      </c>
      <c r="AA232" s="179"/>
      <c r="AB232" s="467">
        <f t="shared" si="33"/>
        <v>0</v>
      </c>
      <c r="AC232" s="466">
        <f t="shared" si="34"/>
        <v>0</v>
      </c>
    </row>
    <row r="233" spans="2:29" ht="20.100000000000001" customHeight="1">
      <c r="B233" s="172"/>
      <c r="C233" s="172"/>
      <c r="D233" s="172"/>
      <c r="E233" s="181"/>
      <c r="F233" s="173"/>
      <c r="G233" s="174"/>
      <c r="H233" s="284"/>
      <c r="I233" s="221"/>
      <c r="J233" s="177">
        <f>IF(H233=0,0,IF(F233="MXN",1/HLOOKUP(YEAR(G233)+(MONTH(G233)/100),TC!$5:$37,DAY(G233)+2,FALSE),VLOOKUP(F233,Equivalencia!$5:$23,((MAX(Equivalencia!$3:$3)-YEAR(G233))*14)+MONTH(G233)+2,FALSE)))</f>
        <v>0</v>
      </c>
      <c r="K233" s="217">
        <f t="shared" si="35"/>
        <v>0</v>
      </c>
      <c r="L233" s="462">
        <f>IF(G233=0,0,VLOOKUP(YEAR(G233),INPC!$B$4:$O$29,MONTH(G233)+1))</f>
        <v>0</v>
      </c>
      <c r="M233" s="462">
        <f>IF(T233=0,0,VLOOKUP(YEAR(T233),INPC!$B$4:$O$29,MONTH(T233)+1))</f>
        <v>0</v>
      </c>
      <c r="N233" s="463">
        <f t="shared" si="31"/>
        <v>0</v>
      </c>
      <c r="O233" s="464">
        <f t="shared" si="36"/>
        <v>0</v>
      </c>
      <c r="P233" s="465">
        <f t="shared" si="37"/>
        <v>0</v>
      </c>
      <c r="Q233" s="606" t="str">
        <f t="shared" si="38"/>
        <v>NO</v>
      </c>
      <c r="R233" s="180"/>
      <c r="S233" s="173"/>
      <c r="T233" s="174"/>
      <c r="U233" s="173"/>
      <c r="V233" s="220"/>
      <c r="W233" s="177">
        <f>IF(S233=0,0,IF(U233="MXN",1/HLOOKUP(YEAR(T233)+(MONTH(T233)/100),TC!$5:$37,DAY(T233)+2,FALSE),VLOOKUP(U233,Equivalencia!$1:$23,((MAX(Equivalencia!$3:$3)-YEAR(T233))*14)+MONTH(T233)+2,FALSE)))</f>
        <v>0</v>
      </c>
      <c r="X233" s="178">
        <f t="shared" si="39"/>
        <v>0</v>
      </c>
      <c r="Y233" s="178">
        <f t="shared" si="40"/>
        <v>0</v>
      </c>
      <c r="Z233" s="175">
        <f t="shared" si="32"/>
        <v>0</v>
      </c>
      <c r="AA233" s="179"/>
      <c r="AB233" s="467">
        <f t="shared" si="33"/>
        <v>0</v>
      </c>
      <c r="AC233" s="466">
        <f t="shared" si="34"/>
        <v>0</v>
      </c>
    </row>
    <row r="234" spans="2:29" ht="20.100000000000001" customHeight="1">
      <c r="B234" s="172"/>
      <c r="C234" s="172"/>
      <c r="D234" s="172"/>
      <c r="E234" s="181"/>
      <c r="F234" s="173"/>
      <c r="G234" s="174"/>
      <c r="H234" s="284"/>
      <c r="I234" s="221"/>
      <c r="J234" s="177">
        <f>IF(H234=0,0,IF(F234="MXN",1/HLOOKUP(YEAR(G234)+(MONTH(G234)/100),TC!$5:$37,DAY(G234)+2,FALSE),VLOOKUP(F234,Equivalencia!$5:$23,((MAX(Equivalencia!$3:$3)-YEAR(G234))*14)+MONTH(G234)+2,FALSE)))</f>
        <v>0</v>
      </c>
      <c r="K234" s="217">
        <f t="shared" si="35"/>
        <v>0</v>
      </c>
      <c r="L234" s="462">
        <f>IF(G234=0,0,VLOOKUP(YEAR(G234),INPC!$B$4:$O$29,MONTH(G234)+1))</f>
        <v>0</v>
      </c>
      <c r="M234" s="462">
        <f>IF(T234=0,0,VLOOKUP(YEAR(T234),INPC!$B$4:$O$29,MONTH(T234)+1))</f>
        <v>0</v>
      </c>
      <c r="N234" s="463">
        <f t="shared" si="31"/>
        <v>0</v>
      </c>
      <c r="O234" s="464">
        <f t="shared" si="36"/>
        <v>0</v>
      </c>
      <c r="P234" s="465">
        <f t="shared" si="37"/>
        <v>0</v>
      </c>
      <c r="Q234" s="606" t="str">
        <f t="shared" si="38"/>
        <v>NO</v>
      </c>
      <c r="R234" s="180"/>
      <c r="S234" s="173"/>
      <c r="T234" s="174"/>
      <c r="U234" s="173"/>
      <c r="V234" s="220"/>
      <c r="W234" s="177">
        <f>IF(S234=0,0,IF(U234="MXN",1/HLOOKUP(YEAR(T234)+(MONTH(T234)/100),TC!$5:$37,DAY(T234)+2,FALSE),VLOOKUP(U234,Equivalencia!$1:$23,((MAX(Equivalencia!$3:$3)-YEAR(T234))*14)+MONTH(T234)+2,FALSE)))</f>
        <v>0</v>
      </c>
      <c r="X234" s="178">
        <f t="shared" si="39"/>
        <v>0</v>
      </c>
      <c r="Y234" s="178">
        <f t="shared" si="40"/>
        <v>0</v>
      </c>
      <c r="Z234" s="175">
        <f t="shared" si="32"/>
        <v>0</v>
      </c>
      <c r="AA234" s="179"/>
      <c r="AB234" s="467">
        <f t="shared" si="33"/>
        <v>0</v>
      </c>
      <c r="AC234" s="466">
        <f t="shared" si="34"/>
        <v>0</v>
      </c>
    </row>
    <row r="235" spans="2:29" ht="20.100000000000001" customHeight="1">
      <c r="B235" s="172"/>
      <c r="C235" s="172"/>
      <c r="D235" s="172"/>
      <c r="E235" s="181"/>
      <c r="F235" s="173"/>
      <c r="G235" s="174"/>
      <c r="H235" s="284"/>
      <c r="I235" s="221"/>
      <c r="J235" s="177">
        <f>IF(H235=0,0,IF(F235="MXN",1/HLOOKUP(YEAR(G235)+(MONTH(G235)/100),TC!$5:$37,DAY(G235)+2,FALSE),VLOOKUP(F235,Equivalencia!$5:$23,((MAX(Equivalencia!$3:$3)-YEAR(G235))*14)+MONTH(G235)+2,FALSE)))</f>
        <v>0</v>
      </c>
      <c r="K235" s="217">
        <f t="shared" si="35"/>
        <v>0</v>
      </c>
      <c r="L235" s="462">
        <f>IF(G235=0,0,VLOOKUP(YEAR(G235),INPC!$B$4:$O$29,MONTH(G235)+1))</f>
        <v>0</v>
      </c>
      <c r="M235" s="462">
        <f>IF(T235=0,0,VLOOKUP(YEAR(T235),INPC!$B$4:$O$29,MONTH(T235)+1))</f>
        <v>0</v>
      </c>
      <c r="N235" s="463">
        <f t="shared" si="31"/>
        <v>0</v>
      </c>
      <c r="O235" s="464">
        <f t="shared" si="36"/>
        <v>0</v>
      </c>
      <c r="P235" s="465">
        <f t="shared" si="37"/>
        <v>0</v>
      </c>
      <c r="Q235" s="606" t="str">
        <f t="shared" si="38"/>
        <v>NO</v>
      </c>
      <c r="R235" s="180"/>
      <c r="S235" s="173"/>
      <c r="T235" s="174"/>
      <c r="U235" s="173"/>
      <c r="V235" s="220"/>
      <c r="W235" s="177">
        <f>IF(S235=0,0,IF(U235="MXN",1/HLOOKUP(YEAR(T235)+(MONTH(T235)/100),TC!$5:$37,DAY(T235)+2,FALSE),VLOOKUP(U235,Equivalencia!$1:$23,((MAX(Equivalencia!$3:$3)-YEAR(T235))*14)+MONTH(T235)+2,FALSE)))</f>
        <v>0</v>
      </c>
      <c r="X235" s="178">
        <f t="shared" si="39"/>
        <v>0</v>
      </c>
      <c r="Y235" s="178">
        <f t="shared" si="40"/>
        <v>0</v>
      </c>
      <c r="Z235" s="175">
        <f t="shared" si="32"/>
        <v>0</v>
      </c>
      <c r="AA235" s="179"/>
      <c r="AB235" s="467">
        <f t="shared" si="33"/>
        <v>0</v>
      </c>
      <c r="AC235" s="466">
        <f t="shared" si="34"/>
        <v>0</v>
      </c>
    </row>
    <row r="236" spans="2:29" ht="20.100000000000001" customHeight="1">
      <c r="B236" s="172"/>
      <c r="C236" s="172"/>
      <c r="D236" s="172"/>
      <c r="E236" s="181"/>
      <c r="F236" s="173"/>
      <c r="G236" s="174"/>
      <c r="H236" s="284"/>
      <c r="I236" s="221"/>
      <c r="J236" s="177">
        <f>IF(H236=0,0,IF(F236="MXN",1/HLOOKUP(YEAR(G236)+(MONTH(G236)/100),TC!$5:$37,DAY(G236)+2,FALSE),VLOOKUP(F236,Equivalencia!$5:$23,((MAX(Equivalencia!$3:$3)-YEAR(G236))*14)+MONTH(G236)+2,FALSE)))</f>
        <v>0</v>
      </c>
      <c r="K236" s="217">
        <f t="shared" si="35"/>
        <v>0</v>
      </c>
      <c r="L236" s="462">
        <f>IF(G236=0,0,VLOOKUP(YEAR(G236),INPC!$B$4:$O$29,MONTH(G236)+1))</f>
        <v>0</v>
      </c>
      <c r="M236" s="462">
        <f>IF(T236=0,0,VLOOKUP(YEAR(T236),INPC!$B$4:$O$29,MONTH(T236)+1))</f>
        <v>0</v>
      </c>
      <c r="N236" s="463">
        <f t="shared" si="31"/>
        <v>0</v>
      </c>
      <c r="O236" s="464">
        <f t="shared" si="36"/>
        <v>0</v>
      </c>
      <c r="P236" s="465">
        <f t="shared" si="37"/>
        <v>0</v>
      </c>
      <c r="Q236" s="606" t="str">
        <f t="shared" si="38"/>
        <v>NO</v>
      </c>
      <c r="R236" s="180"/>
      <c r="S236" s="173"/>
      <c r="T236" s="174"/>
      <c r="U236" s="173"/>
      <c r="V236" s="220"/>
      <c r="W236" s="177">
        <f>IF(S236=0,0,IF(U236="MXN",1/HLOOKUP(YEAR(T236)+(MONTH(T236)/100),TC!$5:$37,DAY(T236)+2,FALSE),VLOOKUP(U236,Equivalencia!$1:$23,((MAX(Equivalencia!$3:$3)-YEAR(T236))*14)+MONTH(T236)+2,FALSE)))</f>
        <v>0</v>
      </c>
      <c r="X236" s="178">
        <f t="shared" si="39"/>
        <v>0</v>
      </c>
      <c r="Y236" s="178">
        <f t="shared" si="40"/>
        <v>0</v>
      </c>
      <c r="Z236" s="175">
        <f t="shared" si="32"/>
        <v>0</v>
      </c>
      <c r="AA236" s="179"/>
      <c r="AB236" s="467">
        <f t="shared" si="33"/>
        <v>0</v>
      </c>
      <c r="AC236" s="466">
        <f t="shared" si="34"/>
        <v>0</v>
      </c>
    </row>
    <row r="237" spans="2:29" ht="20.100000000000001" customHeight="1">
      <c r="B237" s="172"/>
      <c r="C237" s="172"/>
      <c r="D237" s="172"/>
      <c r="E237" s="181"/>
      <c r="F237" s="173"/>
      <c r="G237" s="174"/>
      <c r="H237" s="284"/>
      <c r="I237" s="221"/>
      <c r="J237" s="177">
        <f>IF(H237=0,0,IF(F237="MXN",1/HLOOKUP(YEAR(G237)+(MONTH(G237)/100),TC!$5:$37,DAY(G237)+2,FALSE),VLOOKUP(F237,Equivalencia!$5:$23,((MAX(Equivalencia!$3:$3)-YEAR(G237))*14)+MONTH(G237)+2,FALSE)))</f>
        <v>0</v>
      </c>
      <c r="K237" s="217">
        <f t="shared" si="35"/>
        <v>0</v>
      </c>
      <c r="L237" s="462">
        <f>IF(G237=0,0,VLOOKUP(YEAR(G237),INPC!$B$4:$O$29,MONTH(G237)+1))</f>
        <v>0</v>
      </c>
      <c r="M237" s="462">
        <f>IF(T237=0,0,VLOOKUP(YEAR(T237),INPC!$B$4:$O$29,MONTH(T237)+1))</f>
        <v>0</v>
      </c>
      <c r="N237" s="463">
        <f t="shared" si="31"/>
        <v>0</v>
      </c>
      <c r="O237" s="464">
        <f t="shared" si="36"/>
        <v>0</v>
      </c>
      <c r="P237" s="465">
        <f t="shared" si="37"/>
        <v>0</v>
      </c>
      <c r="Q237" s="606" t="str">
        <f t="shared" si="38"/>
        <v>NO</v>
      </c>
      <c r="R237" s="180"/>
      <c r="S237" s="173"/>
      <c r="T237" s="174"/>
      <c r="U237" s="173"/>
      <c r="V237" s="220"/>
      <c r="W237" s="177">
        <f>IF(S237=0,0,IF(U237="MXN",1/HLOOKUP(YEAR(T237)+(MONTH(T237)/100),TC!$5:$37,DAY(T237)+2,FALSE),VLOOKUP(U237,Equivalencia!$1:$23,((MAX(Equivalencia!$3:$3)-YEAR(T237))*14)+MONTH(T237)+2,FALSE)))</f>
        <v>0</v>
      </c>
      <c r="X237" s="178">
        <f t="shared" si="39"/>
        <v>0</v>
      </c>
      <c r="Y237" s="178">
        <f t="shared" si="40"/>
        <v>0</v>
      </c>
      <c r="Z237" s="175">
        <f t="shared" si="32"/>
        <v>0</v>
      </c>
      <c r="AA237" s="179"/>
      <c r="AB237" s="467">
        <f t="shared" si="33"/>
        <v>0</v>
      </c>
      <c r="AC237" s="466">
        <f t="shared" si="34"/>
        <v>0</v>
      </c>
    </row>
    <row r="238" spans="2:29" ht="20.100000000000001" customHeight="1">
      <c r="B238" s="172"/>
      <c r="C238" s="172"/>
      <c r="D238" s="172"/>
      <c r="E238" s="181"/>
      <c r="F238" s="173"/>
      <c r="G238" s="174"/>
      <c r="H238" s="284"/>
      <c r="I238" s="221"/>
      <c r="J238" s="177">
        <f>IF(H238=0,0,IF(F238="MXN",1/HLOOKUP(YEAR(G238)+(MONTH(G238)/100),TC!$5:$37,DAY(G238)+2,FALSE),VLOOKUP(F238,Equivalencia!$5:$23,((MAX(Equivalencia!$3:$3)-YEAR(G238))*14)+MONTH(G238)+2,FALSE)))</f>
        <v>0</v>
      </c>
      <c r="K238" s="217">
        <f t="shared" si="35"/>
        <v>0</v>
      </c>
      <c r="L238" s="462">
        <f>IF(G238=0,0,VLOOKUP(YEAR(G238),INPC!$B$4:$O$29,MONTH(G238)+1))</f>
        <v>0</v>
      </c>
      <c r="M238" s="462">
        <f>IF(T238=0,0,VLOOKUP(YEAR(T238),INPC!$B$4:$O$29,MONTH(T238)+1))</f>
        <v>0</v>
      </c>
      <c r="N238" s="463">
        <f t="shared" si="31"/>
        <v>0</v>
      </c>
      <c r="O238" s="464">
        <f t="shared" si="36"/>
        <v>0</v>
      </c>
      <c r="P238" s="465">
        <f t="shared" si="37"/>
        <v>0</v>
      </c>
      <c r="Q238" s="606" t="str">
        <f t="shared" si="38"/>
        <v>NO</v>
      </c>
      <c r="R238" s="180"/>
      <c r="S238" s="173"/>
      <c r="T238" s="174"/>
      <c r="U238" s="173"/>
      <c r="V238" s="220"/>
      <c r="W238" s="177">
        <f>IF(S238=0,0,IF(U238="MXN",1/HLOOKUP(YEAR(T238)+(MONTH(T238)/100),TC!$5:$37,DAY(T238)+2,FALSE),VLOOKUP(U238,Equivalencia!$1:$23,((MAX(Equivalencia!$3:$3)-YEAR(T238))*14)+MONTH(T238)+2,FALSE)))</f>
        <v>0</v>
      </c>
      <c r="X238" s="178">
        <f t="shared" si="39"/>
        <v>0</v>
      </c>
      <c r="Y238" s="178">
        <f t="shared" si="40"/>
        <v>0</v>
      </c>
      <c r="Z238" s="175">
        <f t="shared" si="32"/>
        <v>0</v>
      </c>
      <c r="AA238" s="179"/>
      <c r="AB238" s="467">
        <f t="shared" si="33"/>
        <v>0</v>
      </c>
      <c r="AC238" s="466">
        <f t="shared" si="34"/>
        <v>0</v>
      </c>
    </row>
    <row r="239" spans="2:29" ht="20.100000000000001" customHeight="1">
      <c r="B239" s="172"/>
      <c r="C239" s="172"/>
      <c r="D239" s="172"/>
      <c r="E239" s="181"/>
      <c r="F239" s="173"/>
      <c r="G239" s="174"/>
      <c r="H239" s="284"/>
      <c r="I239" s="221"/>
      <c r="J239" s="177">
        <f>IF(H239=0,0,IF(F239="MXN",1/HLOOKUP(YEAR(G239)+(MONTH(G239)/100),TC!$5:$37,DAY(G239)+2,FALSE),VLOOKUP(F239,Equivalencia!$5:$23,((MAX(Equivalencia!$3:$3)-YEAR(G239))*14)+MONTH(G239)+2,FALSE)))</f>
        <v>0</v>
      </c>
      <c r="K239" s="217">
        <f t="shared" si="35"/>
        <v>0</v>
      </c>
      <c r="L239" s="462">
        <f>IF(G239=0,0,VLOOKUP(YEAR(G239),INPC!$B$4:$O$29,MONTH(G239)+1))</f>
        <v>0</v>
      </c>
      <c r="M239" s="462">
        <f>IF(T239=0,0,VLOOKUP(YEAR(T239),INPC!$B$4:$O$29,MONTH(T239)+1))</f>
        <v>0</v>
      </c>
      <c r="N239" s="463">
        <f t="shared" si="31"/>
        <v>0</v>
      </c>
      <c r="O239" s="464">
        <f t="shared" si="36"/>
        <v>0</v>
      </c>
      <c r="P239" s="465">
        <f t="shared" si="37"/>
        <v>0</v>
      </c>
      <c r="Q239" s="606" t="str">
        <f t="shared" si="38"/>
        <v>NO</v>
      </c>
      <c r="R239" s="180"/>
      <c r="S239" s="173"/>
      <c r="T239" s="174"/>
      <c r="U239" s="173"/>
      <c r="V239" s="220"/>
      <c r="W239" s="177">
        <f>IF(S239=0,0,IF(U239="MXN",1/HLOOKUP(YEAR(T239)+(MONTH(T239)/100),TC!$5:$37,DAY(T239)+2,FALSE),VLOOKUP(U239,Equivalencia!$1:$23,((MAX(Equivalencia!$3:$3)-YEAR(T239))*14)+MONTH(T239)+2,FALSE)))</f>
        <v>0</v>
      </c>
      <c r="X239" s="178">
        <f t="shared" si="39"/>
        <v>0</v>
      </c>
      <c r="Y239" s="178">
        <f t="shared" si="40"/>
        <v>0</v>
      </c>
      <c r="Z239" s="175">
        <f t="shared" si="32"/>
        <v>0</v>
      </c>
      <c r="AA239" s="179"/>
      <c r="AB239" s="467">
        <f t="shared" si="33"/>
        <v>0</v>
      </c>
      <c r="AC239" s="466">
        <f t="shared" si="34"/>
        <v>0</v>
      </c>
    </row>
    <row r="240" spans="2:29" ht="20.100000000000001" customHeight="1">
      <c r="B240" s="172"/>
      <c r="C240" s="172"/>
      <c r="D240" s="172"/>
      <c r="E240" s="181"/>
      <c r="F240" s="173"/>
      <c r="G240" s="174"/>
      <c r="H240" s="284"/>
      <c r="I240" s="221"/>
      <c r="J240" s="177">
        <f>IF(H240=0,0,IF(F240="MXN",1/HLOOKUP(YEAR(G240)+(MONTH(G240)/100),TC!$5:$37,DAY(G240)+2,FALSE),VLOOKUP(F240,Equivalencia!$5:$23,((MAX(Equivalencia!$3:$3)-YEAR(G240))*14)+MONTH(G240)+2,FALSE)))</f>
        <v>0</v>
      </c>
      <c r="K240" s="217">
        <f t="shared" si="35"/>
        <v>0</v>
      </c>
      <c r="L240" s="462">
        <f>IF(G240=0,0,VLOOKUP(YEAR(G240),INPC!$B$4:$O$29,MONTH(G240)+1))</f>
        <v>0</v>
      </c>
      <c r="M240" s="462">
        <f>IF(T240=0,0,VLOOKUP(YEAR(T240),INPC!$B$4:$O$29,MONTH(T240)+1))</f>
        <v>0</v>
      </c>
      <c r="N240" s="463">
        <f t="shared" si="31"/>
        <v>0</v>
      </c>
      <c r="O240" s="464">
        <f t="shared" si="36"/>
        <v>0</v>
      </c>
      <c r="P240" s="465">
        <f t="shared" si="37"/>
        <v>0</v>
      </c>
      <c r="Q240" s="606" t="str">
        <f t="shared" si="38"/>
        <v>NO</v>
      </c>
      <c r="R240" s="180"/>
      <c r="S240" s="173"/>
      <c r="T240" s="174"/>
      <c r="U240" s="173"/>
      <c r="V240" s="220"/>
      <c r="W240" s="177">
        <f>IF(S240=0,0,IF(U240="MXN",1/HLOOKUP(YEAR(T240)+(MONTH(T240)/100),TC!$5:$37,DAY(T240)+2,FALSE),VLOOKUP(U240,Equivalencia!$1:$23,((MAX(Equivalencia!$3:$3)-YEAR(T240))*14)+MONTH(T240)+2,FALSE)))</f>
        <v>0</v>
      </c>
      <c r="X240" s="178">
        <f t="shared" si="39"/>
        <v>0</v>
      </c>
      <c r="Y240" s="178">
        <f t="shared" si="40"/>
        <v>0</v>
      </c>
      <c r="Z240" s="175">
        <f t="shared" si="32"/>
        <v>0</v>
      </c>
      <c r="AA240" s="179"/>
      <c r="AB240" s="467">
        <f t="shared" si="33"/>
        <v>0</v>
      </c>
      <c r="AC240" s="466">
        <f t="shared" si="34"/>
        <v>0</v>
      </c>
    </row>
    <row r="241" spans="2:29" ht="20.100000000000001" customHeight="1">
      <c r="B241" s="172"/>
      <c r="C241" s="172"/>
      <c r="D241" s="172"/>
      <c r="E241" s="181"/>
      <c r="F241" s="173"/>
      <c r="G241" s="174"/>
      <c r="H241" s="284"/>
      <c r="I241" s="221"/>
      <c r="J241" s="177">
        <f>IF(H241=0,0,IF(F241="MXN",1/HLOOKUP(YEAR(G241)+(MONTH(G241)/100),TC!$5:$37,DAY(G241)+2,FALSE),VLOOKUP(F241,Equivalencia!$5:$23,((MAX(Equivalencia!$3:$3)-YEAR(G241))*14)+MONTH(G241)+2,FALSE)))</f>
        <v>0</v>
      </c>
      <c r="K241" s="217">
        <f t="shared" si="35"/>
        <v>0</v>
      </c>
      <c r="L241" s="462">
        <f>IF(G241=0,0,VLOOKUP(YEAR(G241),INPC!$B$4:$O$29,MONTH(G241)+1))</f>
        <v>0</v>
      </c>
      <c r="M241" s="462">
        <f>IF(T241=0,0,VLOOKUP(YEAR(T241),INPC!$B$4:$O$29,MONTH(T241)+1))</f>
        <v>0</v>
      </c>
      <c r="N241" s="463">
        <f t="shared" si="31"/>
        <v>0</v>
      </c>
      <c r="O241" s="464">
        <f t="shared" si="36"/>
        <v>0</v>
      </c>
      <c r="P241" s="465">
        <f t="shared" si="37"/>
        <v>0</v>
      </c>
      <c r="Q241" s="606" t="str">
        <f t="shared" si="38"/>
        <v>NO</v>
      </c>
      <c r="R241" s="180"/>
      <c r="S241" s="173"/>
      <c r="T241" s="174"/>
      <c r="U241" s="173"/>
      <c r="V241" s="220"/>
      <c r="W241" s="177">
        <f>IF(S241=0,0,IF(U241="MXN",1/HLOOKUP(YEAR(T241)+(MONTH(T241)/100),TC!$5:$37,DAY(T241)+2,FALSE),VLOOKUP(U241,Equivalencia!$1:$23,((MAX(Equivalencia!$3:$3)-YEAR(T241))*14)+MONTH(T241)+2,FALSE)))</f>
        <v>0</v>
      </c>
      <c r="X241" s="178">
        <f t="shared" si="39"/>
        <v>0</v>
      </c>
      <c r="Y241" s="178">
        <f t="shared" si="40"/>
        <v>0</v>
      </c>
      <c r="Z241" s="175">
        <f t="shared" si="32"/>
        <v>0</v>
      </c>
      <c r="AA241" s="179"/>
      <c r="AB241" s="467">
        <f t="shared" si="33"/>
        <v>0</v>
      </c>
      <c r="AC241" s="466">
        <f t="shared" si="34"/>
        <v>0</v>
      </c>
    </row>
    <row r="242" spans="2:29" ht="20.100000000000001" customHeight="1">
      <c r="B242" s="172"/>
      <c r="C242" s="172"/>
      <c r="D242" s="172"/>
      <c r="E242" s="181"/>
      <c r="F242" s="173"/>
      <c r="G242" s="174"/>
      <c r="H242" s="284"/>
      <c r="I242" s="221"/>
      <c r="J242" s="177">
        <f>IF(H242=0,0,IF(F242="MXN",1/HLOOKUP(YEAR(G242)+(MONTH(G242)/100),TC!$5:$37,DAY(G242)+2,FALSE),VLOOKUP(F242,Equivalencia!$5:$23,((MAX(Equivalencia!$3:$3)-YEAR(G242))*14)+MONTH(G242)+2,FALSE)))</f>
        <v>0</v>
      </c>
      <c r="K242" s="217">
        <f t="shared" si="35"/>
        <v>0</v>
      </c>
      <c r="L242" s="462">
        <f>IF(G242=0,0,VLOOKUP(YEAR(G242),INPC!$B$4:$O$29,MONTH(G242)+1))</f>
        <v>0</v>
      </c>
      <c r="M242" s="462">
        <f>IF(T242=0,0,VLOOKUP(YEAR(T242),INPC!$B$4:$O$29,MONTH(T242)+1))</f>
        <v>0</v>
      </c>
      <c r="N242" s="463">
        <f t="shared" si="31"/>
        <v>0</v>
      </c>
      <c r="O242" s="464">
        <f t="shared" si="36"/>
        <v>0</v>
      </c>
      <c r="P242" s="465">
        <f t="shared" si="37"/>
        <v>0</v>
      </c>
      <c r="Q242" s="606" t="str">
        <f t="shared" si="38"/>
        <v>NO</v>
      </c>
      <c r="R242" s="180"/>
      <c r="S242" s="173"/>
      <c r="T242" s="174"/>
      <c r="U242" s="173"/>
      <c r="V242" s="220"/>
      <c r="W242" s="177">
        <f>IF(S242=0,0,IF(U242="MXN",1/HLOOKUP(YEAR(T242)+(MONTH(T242)/100),TC!$5:$37,DAY(T242)+2,FALSE),VLOOKUP(U242,Equivalencia!$1:$23,((MAX(Equivalencia!$3:$3)-YEAR(T242))*14)+MONTH(T242)+2,FALSE)))</f>
        <v>0</v>
      </c>
      <c r="X242" s="178">
        <f t="shared" si="39"/>
        <v>0</v>
      </c>
      <c r="Y242" s="178">
        <f t="shared" si="40"/>
        <v>0</v>
      </c>
      <c r="Z242" s="175">
        <f t="shared" si="32"/>
        <v>0</v>
      </c>
      <c r="AA242" s="179"/>
      <c r="AB242" s="467">
        <f t="shared" si="33"/>
        <v>0</v>
      </c>
      <c r="AC242" s="466">
        <f t="shared" si="34"/>
        <v>0</v>
      </c>
    </row>
    <row r="243" spans="2:29" ht="20.100000000000001" customHeight="1">
      <c r="B243" s="172"/>
      <c r="C243" s="172"/>
      <c r="D243" s="172"/>
      <c r="E243" s="181"/>
      <c r="F243" s="173"/>
      <c r="G243" s="174"/>
      <c r="H243" s="284"/>
      <c r="I243" s="221"/>
      <c r="J243" s="177">
        <f>IF(H243=0,0,IF(F243="MXN",1/HLOOKUP(YEAR(G243)+(MONTH(G243)/100),TC!$5:$37,DAY(G243)+2,FALSE),VLOOKUP(F243,Equivalencia!$5:$23,((MAX(Equivalencia!$3:$3)-YEAR(G243))*14)+MONTH(G243)+2,FALSE)))</f>
        <v>0</v>
      </c>
      <c r="K243" s="217">
        <f t="shared" si="35"/>
        <v>0</v>
      </c>
      <c r="L243" s="462">
        <f>IF(G243=0,0,VLOOKUP(YEAR(G243),INPC!$B$4:$O$29,MONTH(G243)+1))</f>
        <v>0</v>
      </c>
      <c r="M243" s="462">
        <f>IF(T243=0,0,VLOOKUP(YEAR(T243),INPC!$B$4:$O$29,MONTH(T243)+1))</f>
        <v>0</v>
      </c>
      <c r="N243" s="463">
        <f t="shared" si="31"/>
        <v>0</v>
      </c>
      <c r="O243" s="464">
        <f t="shared" si="36"/>
        <v>0</v>
      </c>
      <c r="P243" s="465">
        <f t="shared" si="37"/>
        <v>0</v>
      </c>
      <c r="Q243" s="606" t="str">
        <f t="shared" si="38"/>
        <v>NO</v>
      </c>
      <c r="R243" s="180"/>
      <c r="S243" s="173"/>
      <c r="T243" s="174"/>
      <c r="U243" s="173"/>
      <c r="V243" s="220"/>
      <c r="W243" s="177">
        <f>IF(S243=0,0,IF(U243="MXN",1/HLOOKUP(YEAR(T243)+(MONTH(T243)/100),TC!$5:$37,DAY(T243)+2,FALSE),VLOOKUP(U243,Equivalencia!$1:$23,((MAX(Equivalencia!$3:$3)-YEAR(T243))*14)+MONTH(T243)+2,FALSE)))</f>
        <v>0</v>
      </c>
      <c r="X243" s="178">
        <f t="shared" si="39"/>
        <v>0</v>
      </c>
      <c r="Y243" s="178">
        <f t="shared" si="40"/>
        <v>0</v>
      </c>
      <c r="Z243" s="175">
        <f t="shared" si="32"/>
        <v>0</v>
      </c>
      <c r="AA243" s="179"/>
      <c r="AB243" s="467">
        <f t="shared" si="33"/>
        <v>0</v>
      </c>
      <c r="AC243" s="466">
        <f t="shared" si="34"/>
        <v>0</v>
      </c>
    </row>
    <row r="244" spans="2:29" ht="20.100000000000001" customHeight="1">
      <c r="B244" s="172"/>
      <c r="C244" s="172"/>
      <c r="D244" s="172"/>
      <c r="E244" s="181"/>
      <c r="F244" s="173"/>
      <c r="G244" s="174"/>
      <c r="H244" s="284"/>
      <c r="I244" s="221"/>
      <c r="J244" s="177">
        <f>IF(H244=0,0,IF(F244="MXN",1/HLOOKUP(YEAR(G244)+(MONTH(G244)/100),TC!$5:$37,DAY(G244)+2,FALSE),VLOOKUP(F244,Equivalencia!$5:$23,((MAX(Equivalencia!$3:$3)-YEAR(G244))*14)+MONTH(G244)+2,FALSE)))</f>
        <v>0</v>
      </c>
      <c r="K244" s="217">
        <f t="shared" si="35"/>
        <v>0</v>
      </c>
      <c r="L244" s="462">
        <f>IF(G244=0,0,VLOOKUP(YEAR(G244),INPC!$B$4:$O$29,MONTH(G244)+1))</f>
        <v>0</v>
      </c>
      <c r="M244" s="462">
        <f>IF(T244=0,0,VLOOKUP(YEAR(T244),INPC!$B$4:$O$29,MONTH(T244)+1))</f>
        <v>0</v>
      </c>
      <c r="N244" s="463">
        <f t="shared" si="31"/>
        <v>0</v>
      </c>
      <c r="O244" s="464">
        <f t="shared" si="36"/>
        <v>0</v>
      </c>
      <c r="P244" s="465">
        <f t="shared" si="37"/>
        <v>0</v>
      </c>
      <c r="Q244" s="606" t="str">
        <f t="shared" si="38"/>
        <v>NO</v>
      </c>
      <c r="R244" s="180"/>
      <c r="S244" s="173"/>
      <c r="T244" s="174"/>
      <c r="U244" s="173"/>
      <c r="V244" s="220"/>
      <c r="W244" s="177">
        <f>IF(S244=0,0,IF(U244="MXN",1/HLOOKUP(YEAR(T244)+(MONTH(T244)/100),TC!$5:$37,DAY(T244)+2,FALSE),VLOOKUP(U244,Equivalencia!$1:$23,((MAX(Equivalencia!$3:$3)-YEAR(T244))*14)+MONTH(T244)+2,FALSE)))</f>
        <v>0</v>
      </c>
      <c r="X244" s="178">
        <f t="shared" si="39"/>
        <v>0</v>
      </c>
      <c r="Y244" s="178">
        <f t="shared" si="40"/>
        <v>0</v>
      </c>
      <c r="Z244" s="175">
        <f t="shared" si="32"/>
        <v>0</v>
      </c>
      <c r="AA244" s="179"/>
      <c r="AB244" s="467">
        <f t="shared" si="33"/>
        <v>0</v>
      </c>
      <c r="AC244" s="466">
        <f t="shared" si="34"/>
        <v>0</v>
      </c>
    </row>
    <row r="245" spans="2:29" ht="20.100000000000001" customHeight="1">
      <c r="B245" s="172"/>
      <c r="C245" s="172"/>
      <c r="D245" s="172"/>
      <c r="E245" s="181"/>
      <c r="F245" s="173"/>
      <c r="G245" s="174"/>
      <c r="H245" s="284"/>
      <c r="I245" s="221"/>
      <c r="J245" s="177">
        <f>IF(H245=0,0,IF(F245="MXN",1/HLOOKUP(YEAR(G245)+(MONTH(G245)/100),TC!$5:$37,DAY(G245)+2,FALSE),VLOOKUP(F245,Equivalencia!$5:$23,((MAX(Equivalencia!$3:$3)-YEAR(G245))*14)+MONTH(G245)+2,FALSE)))</f>
        <v>0</v>
      </c>
      <c r="K245" s="217">
        <f t="shared" si="35"/>
        <v>0</v>
      </c>
      <c r="L245" s="462">
        <f>IF(G245=0,0,VLOOKUP(YEAR(G245),INPC!$B$4:$O$29,MONTH(G245)+1))</f>
        <v>0</v>
      </c>
      <c r="M245" s="462">
        <f>IF(T245=0,0,VLOOKUP(YEAR(T245),INPC!$B$4:$O$29,MONTH(T245)+1))</f>
        <v>0</v>
      </c>
      <c r="N245" s="463">
        <f t="shared" si="31"/>
        <v>0</v>
      </c>
      <c r="O245" s="464">
        <f t="shared" si="36"/>
        <v>0</v>
      </c>
      <c r="P245" s="465">
        <f t="shared" si="37"/>
        <v>0</v>
      </c>
      <c r="Q245" s="606" t="str">
        <f t="shared" si="38"/>
        <v>NO</v>
      </c>
      <c r="R245" s="180"/>
      <c r="S245" s="173"/>
      <c r="T245" s="174"/>
      <c r="U245" s="173"/>
      <c r="V245" s="220"/>
      <c r="W245" s="177">
        <f>IF(S245=0,0,IF(U245="MXN",1/HLOOKUP(YEAR(T245)+(MONTH(T245)/100),TC!$5:$37,DAY(T245)+2,FALSE),VLOOKUP(U245,Equivalencia!$1:$23,((MAX(Equivalencia!$3:$3)-YEAR(T245))*14)+MONTH(T245)+2,FALSE)))</f>
        <v>0</v>
      </c>
      <c r="X245" s="178">
        <f t="shared" si="39"/>
        <v>0</v>
      </c>
      <c r="Y245" s="178">
        <f t="shared" si="40"/>
        <v>0</v>
      </c>
      <c r="Z245" s="175">
        <f t="shared" si="32"/>
        <v>0</v>
      </c>
      <c r="AA245" s="179"/>
      <c r="AB245" s="467">
        <f t="shared" si="33"/>
        <v>0</v>
      </c>
      <c r="AC245" s="466">
        <f t="shared" si="34"/>
        <v>0</v>
      </c>
    </row>
    <row r="246" spans="2:29" ht="20.100000000000001" customHeight="1">
      <c r="B246" s="172"/>
      <c r="C246" s="172"/>
      <c r="D246" s="172"/>
      <c r="E246" s="181"/>
      <c r="F246" s="173"/>
      <c r="G246" s="174"/>
      <c r="H246" s="284"/>
      <c r="I246" s="221"/>
      <c r="J246" s="177">
        <f>IF(H246=0,0,IF(F246="MXN",1/HLOOKUP(YEAR(G246)+(MONTH(G246)/100),TC!$5:$37,DAY(G246)+2,FALSE),VLOOKUP(F246,Equivalencia!$5:$23,((MAX(Equivalencia!$3:$3)-YEAR(G246))*14)+MONTH(G246)+2,FALSE)))</f>
        <v>0</v>
      </c>
      <c r="K246" s="217">
        <f t="shared" si="35"/>
        <v>0</v>
      </c>
      <c r="L246" s="462">
        <f>IF(G246=0,0,VLOOKUP(YEAR(G246),INPC!$B$4:$O$29,MONTH(G246)+1))</f>
        <v>0</v>
      </c>
      <c r="M246" s="462">
        <f>IF(T246=0,0,VLOOKUP(YEAR(T246),INPC!$B$4:$O$29,MONTH(T246)+1))</f>
        <v>0</v>
      </c>
      <c r="N246" s="463">
        <f t="shared" si="31"/>
        <v>0</v>
      </c>
      <c r="O246" s="464">
        <f t="shared" si="36"/>
        <v>0</v>
      </c>
      <c r="P246" s="465">
        <f t="shared" si="37"/>
        <v>0</v>
      </c>
      <c r="Q246" s="606" t="str">
        <f t="shared" si="38"/>
        <v>NO</v>
      </c>
      <c r="R246" s="180"/>
      <c r="S246" s="173"/>
      <c r="T246" s="174"/>
      <c r="U246" s="173"/>
      <c r="V246" s="220"/>
      <c r="W246" s="177">
        <f>IF(S246=0,0,IF(U246="MXN",1/HLOOKUP(YEAR(T246)+(MONTH(T246)/100),TC!$5:$37,DAY(T246)+2,FALSE),VLOOKUP(U246,Equivalencia!$1:$23,((MAX(Equivalencia!$3:$3)-YEAR(T246))*14)+MONTH(T246)+2,FALSE)))</f>
        <v>0</v>
      </c>
      <c r="X246" s="178">
        <f t="shared" si="39"/>
        <v>0</v>
      </c>
      <c r="Y246" s="178">
        <f t="shared" si="40"/>
        <v>0</v>
      </c>
      <c r="Z246" s="175">
        <f t="shared" si="32"/>
        <v>0</v>
      </c>
      <c r="AA246" s="179"/>
      <c r="AB246" s="467">
        <f t="shared" si="33"/>
        <v>0</v>
      </c>
      <c r="AC246" s="466">
        <f t="shared" si="34"/>
        <v>0</v>
      </c>
    </row>
    <row r="247" spans="2:29" ht="20.100000000000001" customHeight="1">
      <c r="B247" s="172"/>
      <c r="C247" s="172"/>
      <c r="D247" s="172"/>
      <c r="E247" s="181"/>
      <c r="F247" s="173"/>
      <c r="G247" s="174"/>
      <c r="H247" s="284"/>
      <c r="I247" s="221"/>
      <c r="J247" s="177">
        <f>IF(H247=0,0,IF(F247="MXN",1/HLOOKUP(YEAR(G247)+(MONTH(G247)/100),TC!$5:$37,DAY(G247)+2,FALSE),VLOOKUP(F247,Equivalencia!$5:$23,((MAX(Equivalencia!$3:$3)-YEAR(G247))*14)+MONTH(G247)+2,FALSE)))</f>
        <v>0</v>
      </c>
      <c r="K247" s="217">
        <f t="shared" si="35"/>
        <v>0</v>
      </c>
      <c r="L247" s="462">
        <f>IF(G247=0,0,VLOOKUP(YEAR(G247),INPC!$B$4:$O$29,MONTH(G247)+1))</f>
        <v>0</v>
      </c>
      <c r="M247" s="462">
        <f>IF(T247=0,0,VLOOKUP(YEAR(T247),INPC!$B$4:$O$29,MONTH(T247)+1))</f>
        <v>0</v>
      </c>
      <c r="N247" s="463">
        <f t="shared" si="31"/>
        <v>0</v>
      </c>
      <c r="O247" s="464">
        <f t="shared" si="36"/>
        <v>0</v>
      </c>
      <c r="P247" s="465">
        <f t="shared" si="37"/>
        <v>0</v>
      </c>
      <c r="Q247" s="606" t="str">
        <f t="shared" si="38"/>
        <v>NO</v>
      </c>
      <c r="R247" s="180"/>
      <c r="S247" s="173"/>
      <c r="T247" s="174"/>
      <c r="U247" s="173"/>
      <c r="V247" s="220"/>
      <c r="W247" s="177">
        <f>IF(S247=0,0,IF(U247="MXN",1/HLOOKUP(YEAR(T247)+(MONTH(T247)/100),TC!$5:$37,DAY(T247)+2,FALSE),VLOOKUP(U247,Equivalencia!$1:$23,((MAX(Equivalencia!$3:$3)-YEAR(T247))*14)+MONTH(T247)+2,FALSE)))</f>
        <v>0</v>
      </c>
      <c r="X247" s="178">
        <f t="shared" si="39"/>
        <v>0</v>
      </c>
      <c r="Y247" s="178">
        <f t="shared" si="40"/>
        <v>0</v>
      </c>
      <c r="Z247" s="175">
        <f t="shared" si="32"/>
        <v>0</v>
      </c>
      <c r="AA247" s="179"/>
      <c r="AB247" s="467">
        <f t="shared" si="33"/>
        <v>0</v>
      </c>
      <c r="AC247" s="466">
        <f t="shared" si="34"/>
        <v>0</v>
      </c>
    </row>
    <row r="248" spans="2:29" ht="20.100000000000001" customHeight="1">
      <c r="B248" s="172"/>
      <c r="C248" s="172"/>
      <c r="D248" s="172"/>
      <c r="E248" s="181"/>
      <c r="F248" s="173"/>
      <c r="G248" s="174"/>
      <c r="H248" s="284"/>
      <c r="I248" s="221"/>
      <c r="J248" s="177">
        <f>IF(H248=0,0,IF(F248="MXN",1/HLOOKUP(YEAR(G248)+(MONTH(G248)/100),TC!$5:$37,DAY(G248)+2,FALSE),VLOOKUP(F248,Equivalencia!$5:$23,((MAX(Equivalencia!$3:$3)-YEAR(G248))*14)+MONTH(G248)+2,FALSE)))</f>
        <v>0</v>
      </c>
      <c r="K248" s="217">
        <f t="shared" si="35"/>
        <v>0</v>
      </c>
      <c r="L248" s="462">
        <f>IF(G248=0,0,VLOOKUP(YEAR(G248),INPC!$B$4:$O$29,MONTH(G248)+1))</f>
        <v>0</v>
      </c>
      <c r="M248" s="462">
        <f>IF(T248=0,0,VLOOKUP(YEAR(T248),INPC!$B$4:$O$29,MONTH(T248)+1))</f>
        <v>0</v>
      </c>
      <c r="N248" s="463">
        <f t="shared" si="31"/>
        <v>0</v>
      </c>
      <c r="O248" s="464">
        <f t="shared" si="36"/>
        <v>0</v>
      </c>
      <c r="P248" s="465">
        <f t="shared" si="37"/>
        <v>0</v>
      </c>
      <c r="Q248" s="606" t="str">
        <f t="shared" si="38"/>
        <v>NO</v>
      </c>
      <c r="R248" s="180"/>
      <c r="S248" s="173"/>
      <c r="T248" s="174"/>
      <c r="U248" s="173"/>
      <c r="V248" s="220"/>
      <c r="W248" s="177">
        <f>IF(S248=0,0,IF(U248="MXN",1/HLOOKUP(YEAR(T248)+(MONTH(T248)/100),TC!$5:$37,DAY(T248)+2,FALSE),VLOOKUP(U248,Equivalencia!$1:$23,((MAX(Equivalencia!$3:$3)-YEAR(T248))*14)+MONTH(T248)+2,FALSE)))</f>
        <v>0</v>
      </c>
      <c r="X248" s="178">
        <f t="shared" si="39"/>
        <v>0</v>
      </c>
      <c r="Y248" s="178">
        <f t="shared" si="40"/>
        <v>0</v>
      </c>
      <c r="Z248" s="175">
        <f t="shared" si="32"/>
        <v>0</v>
      </c>
      <c r="AA248" s="179"/>
      <c r="AB248" s="467">
        <f t="shared" si="33"/>
        <v>0</v>
      </c>
      <c r="AC248" s="466">
        <f t="shared" si="34"/>
        <v>0</v>
      </c>
    </row>
    <row r="249" spans="2:29" ht="20.100000000000001" customHeight="1">
      <c r="B249" s="172"/>
      <c r="C249" s="172"/>
      <c r="D249" s="172"/>
      <c r="E249" s="181"/>
      <c r="F249" s="173"/>
      <c r="G249" s="174"/>
      <c r="H249" s="284"/>
      <c r="I249" s="221"/>
      <c r="J249" s="177">
        <f>IF(H249=0,0,IF(F249="MXN",1/HLOOKUP(YEAR(G249)+(MONTH(G249)/100),TC!$5:$37,DAY(G249)+2,FALSE),VLOOKUP(F249,Equivalencia!$5:$23,((MAX(Equivalencia!$3:$3)-YEAR(G249))*14)+MONTH(G249)+2,FALSE)))</f>
        <v>0</v>
      </c>
      <c r="K249" s="217">
        <f t="shared" si="35"/>
        <v>0</v>
      </c>
      <c r="L249" s="462">
        <f>IF(G249=0,0,VLOOKUP(YEAR(G249),INPC!$B$4:$O$29,MONTH(G249)+1))</f>
        <v>0</v>
      </c>
      <c r="M249" s="462">
        <f>IF(T249=0,0,VLOOKUP(YEAR(T249),INPC!$B$4:$O$29,MONTH(T249)+1))</f>
        <v>0</v>
      </c>
      <c r="N249" s="463">
        <f t="shared" si="31"/>
        <v>0</v>
      </c>
      <c r="O249" s="464">
        <f t="shared" si="36"/>
        <v>0</v>
      </c>
      <c r="P249" s="465">
        <f t="shared" si="37"/>
        <v>0</v>
      </c>
      <c r="Q249" s="606" t="str">
        <f t="shared" si="38"/>
        <v>NO</v>
      </c>
      <c r="R249" s="180"/>
      <c r="S249" s="173"/>
      <c r="T249" s="174"/>
      <c r="U249" s="173"/>
      <c r="V249" s="220"/>
      <c r="W249" s="177">
        <f>IF(S249=0,0,IF(U249="MXN",1/HLOOKUP(YEAR(T249)+(MONTH(T249)/100),TC!$5:$37,DAY(T249)+2,FALSE),VLOOKUP(U249,Equivalencia!$1:$23,((MAX(Equivalencia!$3:$3)-YEAR(T249))*14)+MONTH(T249)+2,FALSE)))</f>
        <v>0</v>
      </c>
      <c r="X249" s="178">
        <f t="shared" si="39"/>
        <v>0</v>
      </c>
      <c r="Y249" s="178">
        <f t="shared" si="40"/>
        <v>0</v>
      </c>
      <c r="Z249" s="175">
        <f t="shared" si="32"/>
        <v>0</v>
      </c>
      <c r="AA249" s="179"/>
      <c r="AB249" s="467">
        <f t="shared" si="33"/>
        <v>0</v>
      </c>
      <c r="AC249" s="466">
        <f t="shared" si="34"/>
        <v>0</v>
      </c>
    </row>
    <row r="250" spans="2:29" ht="20.100000000000001" customHeight="1">
      <c r="B250" s="172"/>
      <c r="C250" s="172"/>
      <c r="D250" s="172"/>
      <c r="E250" s="181"/>
      <c r="F250" s="173"/>
      <c r="G250" s="174"/>
      <c r="H250" s="284"/>
      <c r="I250" s="221"/>
      <c r="J250" s="177">
        <f>IF(H250=0,0,IF(F250="MXN",1/HLOOKUP(YEAR(G250)+(MONTH(G250)/100),TC!$5:$37,DAY(G250)+2,FALSE),VLOOKUP(F250,Equivalencia!$5:$23,((MAX(Equivalencia!$3:$3)-YEAR(G250))*14)+MONTH(G250)+2,FALSE)))</f>
        <v>0</v>
      </c>
      <c r="K250" s="217">
        <f t="shared" si="35"/>
        <v>0</v>
      </c>
      <c r="L250" s="462">
        <f>IF(G250=0,0,VLOOKUP(YEAR(G250),INPC!$B$4:$O$29,MONTH(G250)+1))</f>
        <v>0</v>
      </c>
      <c r="M250" s="462">
        <f>IF(T250=0,0,VLOOKUP(YEAR(T250),INPC!$B$4:$O$29,MONTH(T250)+1))</f>
        <v>0</v>
      </c>
      <c r="N250" s="463">
        <f t="shared" si="31"/>
        <v>0</v>
      </c>
      <c r="O250" s="464">
        <f t="shared" si="36"/>
        <v>0</v>
      </c>
      <c r="P250" s="465">
        <f t="shared" si="37"/>
        <v>0</v>
      </c>
      <c r="Q250" s="606" t="str">
        <f t="shared" si="38"/>
        <v>NO</v>
      </c>
      <c r="R250" s="180"/>
      <c r="S250" s="173"/>
      <c r="T250" s="174"/>
      <c r="U250" s="173"/>
      <c r="V250" s="220"/>
      <c r="W250" s="177">
        <f>IF(S250=0,0,IF(U250="MXN",1/HLOOKUP(YEAR(T250)+(MONTH(T250)/100),TC!$5:$37,DAY(T250)+2,FALSE),VLOOKUP(U250,Equivalencia!$1:$23,((MAX(Equivalencia!$3:$3)-YEAR(T250))*14)+MONTH(T250)+2,FALSE)))</f>
        <v>0</v>
      </c>
      <c r="X250" s="178">
        <f t="shared" si="39"/>
        <v>0</v>
      </c>
      <c r="Y250" s="178">
        <f t="shared" si="40"/>
        <v>0</v>
      </c>
      <c r="Z250" s="175">
        <f t="shared" si="32"/>
        <v>0</v>
      </c>
      <c r="AA250" s="179"/>
      <c r="AB250" s="467">
        <f t="shared" si="33"/>
        <v>0</v>
      </c>
      <c r="AC250" s="466">
        <f t="shared" si="34"/>
        <v>0</v>
      </c>
    </row>
    <row r="251" spans="2:29" ht="20.100000000000001" customHeight="1">
      <c r="B251" s="172"/>
      <c r="C251" s="172"/>
      <c r="D251" s="172"/>
      <c r="E251" s="181"/>
      <c r="F251" s="173"/>
      <c r="G251" s="174"/>
      <c r="H251" s="284"/>
      <c r="I251" s="221"/>
      <c r="J251" s="177">
        <f>IF(H251=0,0,IF(F251="MXN",1/HLOOKUP(YEAR(G251)+(MONTH(G251)/100),TC!$5:$37,DAY(G251)+2,FALSE),VLOOKUP(F251,Equivalencia!$5:$23,((MAX(Equivalencia!$3:$3)-YEAR(G251))*14)+MONTH(G251)+2,FALSE)))</f>
        <v>0</v>
      </c>
      <c r="K251" s="217">
        <f t="shared" si="35"/>
        <v>0</v>
      </c>
      <c r="L251" s="462">
        <f>IF(G251=0,0,VLOOKUP(YEAR(G251),INPC!$B$4:$O$29,MONTH(G251)+1))</f>
        <v>0</v>
      </c>
      <c r="M251" s="462">
        <f>IF(T251=0,0,VLOOKUP(YEAR(T251),INPC!$B$4:$O$29,MONTH(T251)+1))</f>
        <v>0</v>
      </c>
      <c r="N251" s="463">
        <f t="shared" si="31"/>
        <v>0</v>
      </c>
      <c r="O251" s="464">
        <f t="shared" si="36"/>
        <v>0</v>
      </c>
      <c r="P251" s="465">
        <f t="shared" si="37"/>
        <v>0</v>
      </c>
      <c r="Q251" s="606" t="str">
        <f t="shared" si="38"/>
        <v>NO</v>
      </c>
      <c r="R251" s="180"/>
      <c r="S251" s="173"/>
      <c r="T251" s="174"/>
      <c r="U251" s="173"/>
      <c r="V251" s="220"/>
      <c r="W251" s="177">
        <f>IF(S251=0,0,IF(U251="MXN",1/HLOOKUP(YEAR(T251)+(MONTH(T251)/100),TC!$5:$37,DAY(T251)+2,FALSE),VLOOKUP(U251,Equivalencia!$1:$23,((MAX(Equivalencia!$3:$3)-YEAR(T251))*14)+MONTH(T251)+2,FALSE)))</f>
        <v>0</v>
      </c>
      <c r="X251" s="178">
        <f t="shared" si="39"/>
        <v>0</v>
      </c>
      <c r="Y251" s="178">
        <f t="shared" si="40"/>
        <v>0</v>
      </c>
      <c r="Z251" s="175">
        <f t="shared" si="32"/>
        <v>0</v>
      </c>
      <c r="AA251" s="179"/>
      <c r="AB251" s="467">
        <f t="shared" si="33"/>
        <v>0</v>
      </c>
      <c r="AC251" s="466">
        <f t="shared" si="34"/>
        <v>0</v>
      </c>
    </row>
    <row r="252" spans="2:29" ht="20.100000000000001" customHeight="1">
      <c r="B252" s="172"/>
      <c r="C252" s="172"/>
      <c r="D252" s="172"/>
      <c r="E252" s="181"/>
      <c r="F252" s="173"/>
      <c r="G252" s="174"/>
      <c r="H252" s="284"/>
      <c r="I252" s="221"/>
      <c r="J252" s="177">
        <f>IF(H252=0,0,IF(F252="MXN",1/HLOOKUP(YEAR(G252)+(MONTH(G252)/100),TC!$5:$37,DAY(G252)+2,FALSE),VLOOKUP(F252,Equivalencia!$5:$23,((MAX(Equivalencia!$3:$3)-YEAR(G252))*14)+MONTH(G252)+2,FALSE)))</f>
        <v>0</v>
      </c>
      <c r="K252" s="217">
        <f t="shared" si="35"/>
        <v>0</v>
      </c>
      <c r="L252" s="462">
        <f>IF(G252=0,0,VLOOKUP(YEAR(G252),INPC!$B$4:$O$29,MONTH(G252)+1))</f>
        <v>0</v>
      </c>
      <c r="M252" s="462">
        <f>IF(T252=0,0,VLOOKUP(YEAR(T252),INPC!$B$4:$O$29,MONTH(T252)+1))</f>
        <v>0</v>
      </c>
      <c r="N252" s="463">
        <f t="shared" si="31"/>
        <v>0</v>
      </c>
      <c r="O252" s="464">
        <f t="shared" si="36"/>
        <v>0</v>
      </c>
      <c r="P252" s="465">
        <f t="shared" si="37"/>
        <v>0</v>
      </c>
      <c r="Q252" s="606" t="str">
        <f t="shared" si="38"/>
        <v>NO</v>
      </c>
      <c r="R252" s="180"/>
      <c r="S252" s="173"/>
      <c r="T252" s="174"/>
      <c r="U252" s="173"/>
      <c r="V252" s="220"/>
      <c r="W252" s="177">
        <f>IF(S252=0,0,IF(U252="MXN",1/HLOOKUP(YEAR(T252)+(MONTH(T252)/100),TC!$5:$37,DAY(T252)+2,FALSE),VLOOKUP(U252,Equivalencia!$1:$23,((MAX(Equivalencia!$3:$3)-YEAR(T252))*14)+MONTH(T252)+2,FALSE)))</f>
        <v>0</v>
      </c>
      <c r="X252" s="178">
        <f t="shared" si="39"/>
        <v>0</v>
      </c>
      <c r="Y252" s="178">
        <f t="shared" si="40"/>
        <v>0</v>
      </c>
      <c r="Z252" s="175">
        <f t="shared" si="32"/>
        <v>0</v>
      </c>
      <c r="AA252" s="179"/>
      <c r="AB252" s="467">
        <f t="shared" si="33"/>
        <v>0</v>
      </c>
      <c r="AC252" s="466">
        <f t="shared" si="34"/>
        <v>0</v>
      </c>
    </row>
    <row r="253" spans="2:29" ht="20.100000000000001" customHeight="1">
      <c r="B253" s="172"/>
      <c r="C253" s="172"/>
      <c r="D253" s="172"/>
      <c r="E253" s="181"/>
      <c r="F253" s="173"/>
      <c r="G253" s="174"/>
      <c r="H253" s="284"/>
      <c r="I253" s="221"/>
      <c r="J253" s="177">
        <f>IF(H253=0,0,IF(F253="MXN",1/HLOOKUP(YEAR(G253)+(MONTH(G253)/100),TC!$5:$37,DAY(G253)+2,FALSE),VLOOKUP(F253,Equivalencia!$5:$23,((MAX(Equivalencia!$3:$3)-YEAR(G253))*14)+MONTH(G253)+2,FALSE)))</f>
        <v>0</v>
      </c>
      <c r="K253" s="217">
        <f t="shared" si="35"/>
        <v>0</v>
      </c>
      <c r="L253" s="462">
        <f>IF(G253=0,0,VLOOKUP(YEAR(G253),INPC!$B$4:$O$29,MONTH(G253)+1))</f>
        <v>0</v>
      </c>
      <c r="M253" s="462">
        <f>IF(T253=0,0,VLOOKUP(YEAR(T253),INPC!$B$4:$O$29,MONTH(T253)+1))</f>
        <v>0</v>
      </c>
      <c r="N253" s="463">
        <f t="shared" si="31"/>
        <v>0</v>
      </c>
      <c r="O253" s="464">
        <f t="shared" si="36"/>
        <v>0</v>
      </c>
      <c r="P253" s="465">
        <f t="shared" si="37"/>
        <v>0</v>
      </c>
      <c r="Q253" s="606" t="str">
        <f t="shared" si="38"/>
        <v>NO</v>
      </c>
      <c r="R253" s="180"/>
      <c r="S253" s="173"/>
      <c r="T253" s="174"/>
      <c r="U253" s="173"/>
      <c r="V253" s="220"/>
      <c r="W253" s="177">
        <f>IF(S253=0,0,IF(U253="MXN",1/HLOOKUP(YEAR(T253)+(MONTH(T253)/100),TC!$5:$37,DAY(T253)+2,FALSE),VLOOKUP(U253,Equivalencia!$1:$23,((MAX(Equivalencia!$3:$3)-YEAR(T253))*14)+MONTH(T253)+2,FALSE)))</f>
        <v>0</v>
      </c>
      <c r="X253" s="178">
        <f t="shared" si="39"/>
        <v>0</v>
      </c>
      <c r="Y253" s="178">
        <f t="shared" si="40"/>
        <v>0</v>
      </c>
      <c r="Z253" s="175">
        <f t="shared" si="32"/>
        <v>0</v>
      </c>
      <c r="AA253" s="179"/>
      <c r="AB253" s="467">
        <f t="shared" si="33"/>
        <v>0</v>
      </c>
      <c r="AC253" s="466">
        <f t="shared" si="34"/>
        <v>0</v>
      </c>
    </row>
    <row r="254" spans="2:29" ht="20.100000000000001" customHeight="1">
      <c r="B254" s="172"/>
      <c r="C254" s="172"/>
      <c r="D254" s="172"/>
      <c r="E254" s="181"/>
      <c r="F254" s="173"/>
      <c r="G254" s="174"/>
      <c r="H254" s="284"/>
      <c r="I254" s="221"/>
      <c r="J254" s="177">
        <f>IF(H254=0,0,IF(F254="MXN",1/HLOOKUP(YEAR(G254)+(MONTH(G254)/100),TC!$5:$37,DAY(G254)+2,FALSE),VLOOKUP(F254,Equivalencia!$5:$23,((MAX(Equivalencia!$3:$3)-YEAR(G254))*14)+MONTH(G254)+2,FALSE)))</f>
        <v>0</v>
      </c>
      <c r="K254" s="217">
        <f t="shared" si="35"/>
        <v>0</v>
      </c>
      <c r="L254" s="462">
        <f>IF(G254=0,0,VLOOKUP(YEAR(G254),INPC!$B$4:$O$29,MONTH(G254)+1))</f>
        <v>0</v>
      </c>
      <c r="M254" s="462">
        <f>IF(T254=0,0,VLOOKUP(YEAR(T254),INPC!$B$4:$O$29,MONTH(T254)+1))</f>
        <v>0</v>
      </c>
      <c r="N254" s="463">
        <f t="shared" si="31"/>
        <v>0</v>
      </c>
      <c r="O254" s="464">
        <f t="shared" si="36"/>
        <v>0</v>
      </c>
      <c r="P254" s="465">
        <f t="shared" si="37"/>
        <v>0</v>
      </c>
      <c r="Q254" s="606" t="str">
        <f t="shared" si="38"/>
        <v>NO</v>
      </c>
      <c r="R254" s="180"/>
      <c r="S254" s="173"/>
      <c r="T254" s="174"/>
      <c r="U254" s="173"/>
      <c r="V254" s="220"/>
      <c r="W254" s="177">
        <f>IF(S254=0,0,IF(U254="MXN",1/HLOOKUP(YEAR(T254)+(MONTH(T254)/100),TC!$5:$37,DAY(T254)+2,FALSE),VLOOKUP(U254,Equivalencia!$1:$23,((MAX(Equivalencia!$3:$3)-YEAR(T254))*14)+MONTH(T254)+2,FALSE)))</f>
        <v>0</v>
      </c>
      <c r="X254" s="178">
        <f t="shared" si="39"/>
        <v>0</v>
      </c>
      <c r="Y254" s="178">
        <f t="shared" si="40"/>
        <v>0</v>
      </c>
      <c r="Z254" s="175">
        <f t="shared" si="32"/>
        <v>0</v>
      </c>
      <c r="AA254" s="179"/>
      <c r="AB254" s="467">
        <f t="shared" si="33"/>
        <v>0</v>
      </c>
      <c r="AC254" s="466">
        <f t="shared" si="34"/>
        <v>0</v>
      </c>
    </row>
    <row r="255" spans="2:29" ht="20.100000000000001" customHeight="1">
      <c r="B255" s="172"/>
      <c r="C255" s="172"/>
      <c r="D255" s="172"/>
      <c r="E255" s="181"/>
      <c r="F255" s="173"/>
      <c r="G255" s="174"/>
      <c r="H255" s="284"/>
      <c r="I255" s="221"/>
      <c r="J255" s="177">
        <f>IF(H255=0,0,IF(F255="MXN",1/HLOOKUP(YEAR(G255)+(MONTH(G255)/100),TC!$5:$37,DAY(G255)+2,FALSE),VLOOKUP(F255,Equivalencia!$5:$23,((MAX(Equivalencia!$3:$3)-YEAR(G255))*14)+MONTH(G255)+2,FALSE)))</f>
        <v>0</v>
      </c>
      <c r="K255" s="217">
        <f t="shared" si="35"/>
        <v>0</v>
      </c>
      <c r="L255" s="462">
        <f>IF(G255=0,0,VLOOKUP(YEAR(G255),INPC!$B$4:$O$29,MONTH(G255)+1))</f>
        <v>0</v>
      </c>
      <c r="M255" s="462">
        <f>IF(T255=0,0,VLOOKUP(YEAR(T255),INPC!$B$4:$O$29,MONTH(T255)+1))</f>
        <v>0</v>
      </c>
      <c r="N255" s="463">
        <f t="shared" si="31"/>
        <v>0</v>
      </c>
      <c r="O255" s="464">
        <f t="shared" si="36"/>
        <v>0</v>
      </c>
      <c r="P255" s="465">
        <f t="shared" si="37"/>
        <v>0</v>
      </c>
      <c r="Q255" s="606" t="str">
        <f t="shared" si="38"/>
        <v>NO</v>
      </c>
      <c r="R255" s="180"/>
      <c r="S255" s="173"/>
      <c r="T255" s="174"/>
      <c r="U255" s="173"/>
      <c r="V255" s="220"/>
      <c r="W255" s="177">
        <f>IF(S255=0,0,IF(U255="MXN",1/HLOOKUP(YEAR(T255)+(MONTH(T255)/100),TC!$5:$37,DAY(T255)+2,FALSE),VLOOKUP(U255,Equivalencia!$1:$23,((MAX(Equivalencia!$3:$3)-YEAR(T255))*14)+MONTH(T255)+2,FALSE)))</f>
        <v>0</v>
      </c>
      <c r="X255" s="178">
        <f t="shared" si="39"/>
        <v>0</v>
      </c>
      <c r="Y255" s="178">
        <f t="shared" si="40"/>
        <v>0</v>
      </c>
      <c r="Z255" s="175">
        <f t="shared" si="32"/>
        <v>0</v>
      </c>
      <c r="AA255" s="179"/>
      <c r="AB255" s="467">
        <f t="shared" si="33"/>
        <v>0</v>
      </c>
      <c r="AC255" s="466">
        <f t="shared" si="34"/>
        <v>0</v>
      </c>
    </row>
    <row r="256" spans="2:29" ht="20.100000000000001" customHeight="1">
      <c r="B256" s="172"/>
      <c r="C256" s="172"/>
      <c r="D256" s="172"/>
      <c r="E256" s="181"/>
      <c r="F256" s="173"/>
      <c r="G256" s="174"/>
      <c r="H256" s="284"/>
      <c r="I256" s="221"/>
      <c r="J256" s="177">
        <f>IF(H256=0,0,IF(F256="MXN",1/HLOOKUP(YEAR(G256)+(MONTH(G256)/100),TC!$5:$37,DAY(G256)+2,FALSE),VLOOKUP(F256,Equivalencia!$5:$23,((MAX(Equivalencia!$3:$3)-YEAR(G256))*14)+MONTH(G256)+2,FALSE)))</f>
        <v>0</v>
      </c>
      <c r="K256" s="217">
        <f t="shared" si="35"/>
        <v>0</v>
      </c>
      <c r="L256" s="462">
        <f>IF(G256=0,0,VLOOKUP(YEAR(G256),INPC!$B$4:$O$29,MONTH(G256)+1))</f>
        <v>0</v>
      </c>
      <c r="M256" s="462">
        <f>IF(T256=0,0,VLOOKUP(YEAR(T256),INPC!$B$4:$O$29,MONTH(T256)+1))</f>
        <v>0</v>
      </c>
      <c r="N256" s="463">
        <f t="shared" si="31"/>
        <v>0</v>
      </c>
      <c r="O256" s="464">
        <f t="shared" si="36"/>
        <v>0</v>
      </c>
      <c r="P256" s="465">
        <f t="shared" si="37"/>
        <v>0</v>
      </c>
      <c r="Q256" s="606" t="str">
        <f t="shared" si="38"/>
        <v>NO</v>
      </c>
      <c r="R256" s="180"/>
      <c r="S256" s="173"/>
      <c r="T256" s="174"/>
      <c r="U256" s="173"/>
      <c r="V256" s="220"/>
      <c r="W256" s="177">
        <f>IF(S256=0,0,IF(U256="MXN",1/HLOOKUP(YEAR(T256)+(MONTH(T256)/100),TC!$5:$37,DAY(T256)+2,FALSE),VLOOKUP(U256,Equivalencia!$1:$23,((MAX(Equivalencia!$3:$3)-YEAR(T256))*14)+MONTH(T256)+2,FALSE)))</f>
        <v>0</v>
      </c>
      <c r="X256" s="178">
        <f t="shared" si="39"/>
        <v>0</v>
      </c>
      <c r="Y256" s="178">
        <f t="shared" si="40"/>
        <v>0</v>
      </c>
      <c r="Z256" s="175">
        <f t="shared" si="32"/>
        <v>0</v>
      </c>
      <c r="AA256" s="179"/>
      <c r="AB256" s="467">
        <f t="shared" si="33"/>
        <v>0</v>
      </c>
      <c r="AC256" s="466">
        <f t="shared" si="34"/>
        <v>0</v>
      </c>
    </row>
    <row r="257" spans="2:29" ht="20.100000000000001" customHeight="1">
      <c r="B257" s="172"/>
      <c r="C257" s="172"/>
      <c r="D257" s="172"/>
      <c r="E257" s="181"/>
      <c r="F257" s="173"/>
      <c r="G257" s="174"/>
      <c r="H257" s="284"/>
      <c r="I257" s="221"/>
      <c r="J257" s="177">
        <f>IF(H257=0,0,IF(F257="MXN",1/HLOOKUP(YEAR(G257)+(MONTH(G257)/100),TC!$5:$37,DAY(G257)+2,FALSE),VLOOKUP(F257,Equivalencia!$5:$23,((MAX(Equivalencia!$3:$3)-YEAR(G257))*14)+MONTH(G257)+2,FALSE)))</f>
        <v>0</v>
      </c>
      <c r="K257" s="217">
        <f t="shared" si="35"/>
        <v>0</v>
      </c>
      <c r="L257" s="462">
        <f>IF(G257=0,0,VLOOKUP(YEAR(G257),INPC!$B$4:$O$29,MONTH(G257)+1))</f>
        <v>0</v>
      </c>
      <c r="M257" s="462">
        <f>IF(T257=0,0,VLOOKUP(YEAR(T257),INPC!$B$4:$O$29,MONTH(T257)+1))</f>
        <v>0</v>
      </c>
      <c r="N257" s="463">
        <f t="shared" si="31"/>
        <v>0</v>
      </c>
      <c r="O257" s="464">
        <f t="shared" si="36"/>
        <v>0</v>
      </c>
      <c r="P257" s="465">
        <f t="shared" si="37"/>
        <v>0</v>
      </c>
      <c r="Q257" s="606" t="str">
        <f t="shared" si="38"/>
        <v>NO</v>
      </c>
      <c r="R257" s="180"/>
      <c r="S257" s="173"/>
      <c r="T257" s="174"/>
      <c r="U257" s="173"/>
      <c r="V257" s="220"/>
      <c r="W257" s="177">
        <f>IF(S257=0,0,IF(U257="MXN",1/HLOOKUP(YEAR(T257)+(MONTH(T257)/100),TC!$5:$37,DAY(T257)+2,FALSE),VLOOKUP(U257,Equivalencia!$1:$23,((MAX(Equivalencia!$3:$3)-YEAR(T257))*14)+MONTH(T257)+2,FALSE)))</f>
        <v>0</v>
      </c>
      <c r="X257" s="178">
        <f t="shared" si="39"/>
        <v>0</v>
      </c>
      <c r="Y257" s="178">
        <f t="shared" si="40"/>
        <v>0</v>
      </c>
      <c r="Z257" s="175">
        <f t="shared" si="32"/>
        <v>0</v>
      </c>
      <c r="AA257" s="179"/>
      <c r="AB257" s="467">
        <f t="shared" si="33"/>
        <v>0</v>
      </c>
      <c r="AC257" s="466">
        <f t="shared" si="34"/>
        <v>0</v>
      </c>
    </row>
    <row r="258" spans="2:29" ht="20.100000000000001" customHeight="1">
      <c r="B258" s="172"/>
      <c r="C258" s="172"/>
      <c r="D258" s="172"/>
      <c r="E258" s="181"/>
      <c r="F258" s="173"/>
      <c r="G258" s="174"/>
      <c r="H258" s="284"/>
      <c r="I258" s="221"/>
      <c r="J258" s="177">
        <f>IF(H258=0,0,IF(F258="MXN",1/HLOOKUP(YEAR(G258)+(MONTH(G258)/100),TC!$5:$37,DAY(G258)+2,FALSE),VLOOKUP(F258,Equivalencia!$5:$23,((MAX(Equivalencia!$3:$3)-YEAR(G258))*14)+MONTH(G258)+2,FALSE)))</f>
        <v>0</v>
      </c>
      <c r="K258" s="217">
        <f t="shared" si="35"/>
        <v>0</v>
      </c>
      <c r="L258" s="462">
        <f>IF(G258=0,0,VLOOKUP(YEAR(G258),INPC!$B$4:$O$29,MONTH(G258)+1))</f>
        <v>0</v>
      </c>
      <c r="M258" s="462">
        <f>IF(T258=0,0,VLOOKUP(YEAR(T258),INPC!$B$4:$O$29,MONTH(T258)+1))</f>
        <v>0</v>
      </c>
      <c r="N258" s="463">
        <f t="shared" ref="N258:N321" si="41">IF(T258=0,0,IF(TRUNC(M258/L258,4)&gt;=1,TRUNC(M258/L258,4),1))</f>
        <v>0</v>
      </c>
      <c r="O258" s="464">
        <f t="shared" si="36"/>
        <v>0</v>
      </c>
      <c r="P258" s="465">
        <f t="shared" si="37"/>
        <v>0</v>
      </c>
      <c r="Q258" s="606" t="str">
        <f t="shared" si="38"/>
        <v>NO</v>
      </c>
      <c r="R258" s="180"/>
      <c r="S258" s="173"/>
      <c r="T258" s="174"/>
      <c r="U258" s="173"/>
      <c r="V258" s="220"/>
      <c r="W258" s="177">
        <f>IF(S258=0,0,IF(U258="MXN",1/HLOOKUP(YEAR(T258)+(MONTH(T258)/100),TC!$5:$37,DAY(T258)+2,FALSE),VLOOKUP(U258,Equivalencia!$1:$23,((MAX(Equivalencia!$3:$3)-YEAR(T258))*14)+MONTH(T258)+2,FALSE)))</f>
        <v>0</v>
      </c>
      <c r="X258" s="178">
        <f t="shared" si="39"/>
        <v>0</v>
      </c>
      <c r="Y258" s="178">
        <f t="shared" si="40"/>
        <v>0</v>
      </c>
      <c r="Z258" s="175">
        <f t="shared" ref="Z258:Z321" si="42">+X258+Y258</f>
        <v>0</v>
      </c>
      <c r="AA258" s="179"/>
      <c r="AB258" s="467">
        <f t="shared" ref="AB258:AB321" si="43">+X258+AC258</f>
        <v>0</v>
      </c>
      <c r="AC258" s="466">
        <f t="shared" ref="AC258:AC321" si="44">+R258*P258</f>
        <v>0</v>
      </c>
    </row>
    <row r="259" spans="2:29" ht="20.100000000000001" customHeight="1">
      <c r="B259" s="172"/>
      <c r="C259" s="172"/>
      <c r="D259" s="172"/>
      <c r="E259" s="181"/>
      <c r="F259" s="173"/>
      <c r="G259" s="174"/>
      <c r="H259" s="284"/>
      <c r="I259" s="221"/>
      <c r="J259" s="177">
        <f>IF(H259=0,0,IF(F259="MXN",1/HLOOKUP(YEAR(G259)+(MONTH(G259)/100),TC!$5:$37,DAY(G259)+2,FALSE),VLOOKUP(F259,Equivalencia!$5:$23,((MAX(Equivalencia!$3:$3)-YEAR(G259))*14)+MONTH(G259)+2,FALSE)))</f>
        <v>0</v>
      </c>
      <c r="K259" s="217">
        <f t="shared" ref="K259:K322" si="45">+I259*J259</f>
        <v>0</v>
      </c>
      <c r="L259" s="462">
        <f>IF(G259=0,0,VLOOKUP(YEAR(G259),INPC!$B$4:$O$29,MONTH(G259)+1))</f>
        <v>0</v>
      </c>
      <c r="M259" s="462">
        <f>IF(T259=0,0,VLOOKUP(YEAR(T259),INPC!$B$4:$O$29,MONTH(T259)+1))</f>
        <v>0</v>
      </c>
      <c r="N259" s="463">
        <f t="shared" si="41"/>
        <v>0</v>
      </c>
      <c r="O259" s="464">
        <f t="shared" ref="O259:O322" si="46">+N259*K259</f>
        <v>0</v>
      </c>
      <c r="P259" s="465">
        <f t="shared" ref="P259:P322" si="47">IF(R259=0,0,O259/R259)</f>
        <v>0</v>
      </c>
      <c r="Q259" s="606" t="str">
        <f t="shared" ref="Q259:Q322" si="48">IF(T259=0,"NO","SI")</f>
        <v>NO</v>
      </c>
      <c r="R259" s="180"/>
      <c r="S259" s="173"/>
      <c r="T259" s="174"/>
      <c r="U259" s="173"/>
      <c r="V259" s="220"/>
      <c r="W259" s="177">
        <f>IF(S259=0,0,IF(U259="MXN",1/HLOOKUP(YEAR(T259)+(MONTH(T259)/100),TC!$5:$37,DAY(T259)+2,FALSE),VLOOKUP(U259,Equivalencia!$1:$23,((MAX(Equivalencia!$3:$3)-YEAR(T259))*14)+MONTH(T259)+2,FALSE)))</f>
        <v>0</v>
      </c>
      <c r="X259" s="178">
        <f t="shared" ref="X259:X322" si="49">+W259*V259</f>
        <v>0</v>
      </c>
      <c r="Y259" s="178">
        <f t="shared" ref="Y259:Y322" si="50">+K259</f>
        <v>0</v>
      </c>
      <c r="Z259" s="175">
        <f t="shared" si="42"/>
        <v>0</v>
      </c>
      <c r="AA259" s="179"/>
      <c r="AB259" s="467">
        <f t="shared" si="43"/>
        <v>0</v>
      </c>
      <c r="AC259" s="466">
        <f t="shared" si="44"/>
        <v>0</v>
      </c>
    </row>
    <row r="260" spans="2:29" ht="20.100000000000001" customHeight="1">
      <c r="B260" s="172"/>
      <c r="C260" s="172"/>
      <c r="D260" s="172"/>
      <c r="E260" s="181"/>
      <c r="F260" s="173"/>
      <c r="G260" s="174"/>
      <c r="H260" s="284"/>
      <c r="I260" s="221"/>
      <c r="J260" s="177">
        <f>IF(H260=0,0,IF(F260="MXN",1/HLOOKUP(YEAR(G260)+(MONTH(G260)/100),TC!$5:$37,DAY(G260)+2,FALSE),VLOOKUP(F260,Equivalencia!$5:$23,((MAX(Equivalencia!$3:$3)-YEAR(G260))*14)+MONTH(G260)+2,FALSE)))</f>
        <v>0</v>
      </c>
      <c r="K260" s="217">
        <f t="shared" si="45"/>
        <v>0</v>
      </c>
      <c r="L260" s="462">
        <f>IF(G260=0,0,VLOOKUP(YEAR(G260),INPC!$B$4:$O$29,MONTH(G260)+1))</f>
        <v>0</v>
      </c>
      <c r="M260" s="462">
        <f>IF(T260=0,0,VLOOKUP(YEAR(T260),INPC!$B$4:$O$29,MONTH(T260)+1))</f>
        <v>0</v>
      </c>
      <c r="N260" s="463">
        <f t="shared" si="41"/>
        <v>0</v>
      </c>
      <c r="O260" s="464">
        <f t="shared" si="46"/>
        <v>0</v>
      </c>
      <c r="P260" s="465">
        <f t="shared" si="47"/>
        <v>0</v>
      </c>
      <c r="Q260" s="606" t="str">
        <f t="shared" si="48"/>
        <v>NO</v>
      </c>
      <c r="R260" s="180"/>
      <c r="S260" s="173"/>
      <c r="T260" s="174"/>
      <c r="U260" s="173"/>
      <c r="V260" s="220"/>
      <c r="W260" s="177">
        <f>IF(S260=0,0,IF(U260="MXN",1/HLOOKUP(YEAR(T260)+(MONTH(T260)/100),TC!$5:$37,DAY(T260)+2,FALSE),VLOOKUP(U260,Equivalencia!$1:$23,((MAX(Equivalencia!$3:$3)-YEAR(T260))*14)+MONTH(T260)+2,FALSE)))</f>
        <v>0</v>
      </c>
      <c r="X260" s="178">
        <f t="shared" si="49"/>
        <v>0</v>
      </c>
      <c r="Y260" s="178">
        <f t="shared" si="50"/>
        <v>0</v>
      </c>
      <c r="Z260" s="175">
        <f t="shared" si="42"/>
        <v>0</v>
      </c>
      <c r="AA260" s="179"/>
      <c r="AB260" s="467">
        <f t="shared" si="43"/>
        <v>0</v>
      </c>
      <c r="AC260" s="466">
        <f t="shared" si="44"/>
        <v>0</v>
      </c>
    </row>
    <row r="261" spans="2:29" ht="20.100000000000001" customHeight="1">
      <c r="B261" s="172"/>
      <c r="C261" s="172"/>
      <c r="D261" s="172"/>
      <c r="E261" s="181"/>
      <c r="F261" s="173"/>
      <c r="G261" s="174"/>
      <c r="H261" s="284"/>
      <c r="I261" s="221"/>
      <c r="J261" s="177">
        <f>IF(H261=0,0,IF(F261="MXN",1/HLOOKUP(YEAR(G261)+(MONTH(G261)/100),TC!$5:$37,DAY(G261)+2,FALSE),VLOOKUP(F261,Equivalencia!$5:$23,((MAX(Equivalencia!$3:$3)-YEAR(G261))*14)+MONTH(G261)+2,FALSE)))</f>
        <v>0</v>
      </c>
      <c r="K261" s="217">
        <f t="shared" si="45"/>
        <v>0</v>
      </c>
      <c r="L261" s="462">
        <f>IF(G261=0,0,VLOOKUP(YEAR(G261),INPC!$B$4:$O$29,MONTH(G261)+1))</f>
        <v>0</v>
      </c>
      <c r="M261" s="462">
        <f>IF(T261=0,0,VLOOKUP(YEAR(T261),INPC!$B$4:$O$29,MONTH(T261)+1))</f>
        <v>0</v>
      </c>
      <c r="N261" s="463">
        <f t="shared" si="41"/>
        <v>0</v>
      </c>
      <c r="O261" s="464">
        <f t="shared" si="46"/>
        <v>0</v>
      </c>
      <c r="P261" s="465">
        <f t="shared" si="47"/>
        <v>0</v>
      </c>
      <c r="Q261" s="606" t="str">
        <f t="shared" si="48"/>
        <v>NO</v>
      </c>
      <c r="R261" s="180"/>
      <c r="S261" s="173"/>
      <c r="T261" s="174"/>
      <c r="U261" s="173"/>
      <c r="V261" s="220"/>
      <c r="W261" s="177">
        <f>IF(S261=0,0,IF(U261="MXN",1/HLOOKUP(YEAR(T261)+(MONTH(T261)/100),TC!$5:$37,DAY(T261)+2,FALSE),VLOOKUP(U261,Equivalencia!$1:$23,((MAX(Equivalencia!$3:$3)-YEAR(T261))*14)+MONTH(T261)+2,FALSE)))</f>
        <v>0</v>
      </c>
      <c r="X261" s="178">
        <f t="shared" si="49"/>
        <v>0</v>
      </c>
      <c r="Y261" s="178">
        <f t="shared" si="50"/>
        <v>0</v>
      </c>
      <c r="Z261" s="175">
        <f t="shared" si="42"/>
        <v>0</v>
      </c>
      <c r="AA261" s="179"/>
      <c r="AB261" s="467">
        <f t="shared" si="43"/>
        <v>0</v>
      </c>
      <c r="AC261" s="466">
        <f t="shared" si="44"/>
        <v>0</v>
      </c>
    </row>
    <row r="262" spans="2:29" ht="20.100000000000001" customHeight="1">
      <c r="B262" s="172"/>
      <c r="C262" s="172"/>
      <c r="D262" s="172"/>
      <c r="E262" s="181"/>
      <c r="F262" s="173"/>
      <c r="G262" s="174"/>
      <c r="H262" s="284"/>
      <c r="I262" s="221"/>
      <c r="J262" s="177">
        <f>IF(H262=0,0,IF(F262="MXN",1/HLOOKUP(YEAR(G262)+(MONTH(G262)/100),TC!$5:$37,DAY(G262)+2,FALSE),VLOOKUP(F262,Equivalencia!$5:$23,((MAX(Equivalencia!$3:$3)-YEAR(G262))*14)+MONTH(G262)+2,FALSE)))</f>
        <v>0</v>
      </c>
      <c r="K262" s="217">
        <f t="shared" si="45"/>
        <v>0</v>
      </c>
      <c r="L262" s="462">
        <f>IF(G262=0,0,VLOOKUP(YEAR(G262),INPC!$B$4:$O$29,MONTH(G262)+1))</f>
        <v>0</v>
      </c>
      <c r="M262" s="462">
        <f>IF(T262=0,0,VLOOKUP(YEAR(T262),INPC!$B$4:$O$29,MONTH(T262)+1))</f>
        <v>0</v>
      </c>
      <c r="N262" s="463">
        <f t="shared" si="41"/>
        <v>0</v>
      </c>
      <c r="O262" s="464">
        <f t="shared" si="46"/>
        <v>0</v>
      </c>
      <c r="P262" s="465">
        <f t="shared" si="47"/>
        <v>0</v>
      </c>
      <c r="Q262" s="606" t="str">
        <f t="shared" si="48"/>
        <v>NO</v>
      </c>
      <c r="R262" s="180"/>
      <c r="S262" s="173"/>
      <c r="T262" s="174"/>
      <c r="U262" s="173"/>
      <c r="V262" s="220"/>
      <c r="W262" s="177">
        <f>IF(S262=0,0,IF(U262="MXN",1/HLOOKUP(YEAR(T262)+(MONTH(T262)/100),TC!$5:$37,DAY(T262)+2,FALSE),VLOOKUP(U262,Equivalencia!$1:$23,((MAX(Equivalencia!$3:$3)-YEAR(T262))*14)+MONTH(T262)+2,FALSE)))</f>
        <v>0</v>
      </c>
      <c r="X262" s="178">
        <f t="shared" si="49"/>
        <v>0</v>
      </c>
      <c r="Y262" s="178">
        <f t="shared" si="50"/>
        <v>0</v>
      </c>
      <c r="Z262" s="175">
        <f t="shared" si="42"/>
        <v>0</v>
      </c>
      <c r="AA262" s="179"/>
      <c r="AB262" s="467">
        <f t="shared" si="43"/>
        <v>0</v>
      </c>
      <c r="AC262" s="466">
        <f t="shared" si="44"/>
        <v>0</v>
      </c>
    </row>
    <row r="263" spans="2:29" ht="20.100000000000001" customHeight="1">
      <c r="B263" s="172"/>
      <c r="C263" s="172"/>
      <c r="D263" s="172"/>
      <c r="E263" s="181"/>
      <c r="F263" s="173"/>
      <c r="G263" s="174"/>
      <c r="H263" s="284"/>
      <c r="I263" s="221"/>
      <c r="J263" s="177">
        <f>IF(H263=0,0,IF(F263="MXN",1/HLOOKUP(YEAR(G263)+(MONTH(G263)/100),TC!$5:$37,DAY(G263)+2,FALSE),VLOOKUP(F263,Equivalencia!$5:$23,((MAX(Equivalencia!$3:$3)-YEAR(G263))*14)+MONTH(G263)+2,FALSE)))</f>
        <v>0</v>
      </c>
      <c r="K263" s="217">
        <f t="shared" si="45"/>
        <v>0</v>
      </c>
      <c r="L263" s="462">
        <f>IF(G263=0,0,VLOOKUP(YEAR(G263),INPC!$B$4:$O$29,MONTH(G263)+1))</f>
        <v>0</v>
      </c>
      <c r="M263" s="462">
        <f>IF(T263=0,0,VLOOKUP(YEAR(T263),INPC!$B$4:$O$29,MONTH(T263)+1))</f>
        <v>0</v>
      </c>
      <c r="N263" s="463">
        <f t="shared" si="41"/>
        <v>0</v>
      </c>
      <c r="O263" s="464">
        <f t="shared" si="46"/>
        <v>0</v>
      </c>
      <c r="P263" s="465">
        <f t="shared" si="47"/>
        <v>0</v>
      </c>
      <c r="Q263" s="606" t="str">
        <f t="shared" si="48"/>
        <v>NO</v>
      </c>
      <c r="R263" s="180"/>
      <c r="S263" s="173"/>
      <c r="T263" s="174"/>
      <c r="U263" s="173"/>
      <c r="V263" s="220"/>
      <c r="W263" s="177">
        <f>IF(S263=0,0,IF(U263="MXN",1/HLOOKUP(YEAR(T263)+(MONTH(T263)/100),TC!$5:$37,DAY(T263)+2,FALSE),VLOOKUP(U263,Equivalencia!$1:$23,((MAX(Equivalencia!$3:$3)-YEAR(T263))*14)+MONTH(T263)+2,FALSE)))</f>
        <v>0</v>
      </c>
      <c r="X263" s="178">
        <f t="shared" si="49"/>
        <v>0</v>
      </c>
      <c r="Y263" s="178">
        <f t="shared" si="50"/>
        <v>0</v>
      </c>
      <c r="Z263" s="175">
        <f t="shared" si="42"/>
        <v>0</v>
      </c>
      <c r="AA263" s="179"/>
      <c r="AB263" s="467">
        <f t="shared" si="43"/>
        <v>0</v>
      </c>
      <c r="AC263" s="466">
        <f t="shared" si="44"/>
        <v>0</v>
      </c>
    </row>
    <row r="264" spans="2:29" ht="20.100000000000001" customHeight="1">
      <c r="B264" s="172"/>
      <c r="C264" s="172"/>
      <c r="D264" s="172"/>
      <c r="E264" s="181"/>
      <c r="F264" s="173"/>
      <c r="G264" s="174"/>
      <c r="H264" s="284"/>
      <c r="I264" s="221"/>
      <c r="J264" s="177">
        <f>IF(H264=0,0,IF(F264="MXN",1/HLOOKUP(YEAR(G264)+(MONTH(G264)/100),TC!$5:$37,DAY(G264)+2,FALSE),VLOOKUP(F264,Equivalencia!$5:$23,((MAX(Equivalencia!$3:$3)-YEAR(G264))*14)+MONTH(G264)+2,FALSE)))</f>
        <v>0</v>
      </c>
      <c r="K264" s="217">
        <f t="shared" si="45"/>
        <v>0</v>
      </c>
      <c r="L264" s="462">
        <f>IF(G264=0,0,VLOOKUP(YEAR(G264),INPC!$B$4:$O$29,MONTH(G264)+1))</f>
        <v>0</v>
      </c>
      <c r="M264" s="462">
        <f>IF(T264=0,0,VLOOKUP(YEAR(T264),INPC!$B$4:$O$29,MONTH(T264)+1))</f>
        <v>0</v>
      </c>
      <c r="N264" s="463">
        <f t="shared" si="41"/>
        <v>0</v>
      </c>
      <c r="O264" s="464">
        <f t="shared" si="46"/>
        <v>0</v>
      </c>
      <c r="P264" s="465">
        <f t="shared" si="47"/>
        <v>0</v>
      </c>
      <c r="Q264" s="606" t="str">
        <f t="shared" si="48"/>
        <v>NO</v>
      </c>
      <c r="R264" s="180"/>
      <c r="S264" s="173"/>
      <c r="T264" s="174"/>
      <c r="U264" s="173"/>
      <c r="V264" s="220"/>
      <c r="W264" s="177">
        <f>IF(S264=0,0,IF(U264="MXN",1/HLOOKUP(YEAR(T264)+(MONTH(T264)/100),TC!$5:$37,DAY(T264)+2,FALSE),VLOOKUP(U264,Equivalencia!$1:$23,((MAX(Equivalencia!$3:$3)-YEAR(T264))*14)+MONTH(T264)+2,FALSE)))</f>
        <v>0</v>
      </c>
      <c r="X264" s="178">
        <f t="shared" si="49"/>
        <v>0</v>
      </c>
      <c r="Y264" s="178">
        <f t="shared" si="50"/>
        <v>0</v>
      </c>
      <c r="Z264" s="175">
        <f t="shared" si="42"/>
        <v>0</v>
      </c>
      <c r="AA264" s="179"/>
      <c r="AB264" s="467">
        <f t="shared" si="43"/>
        <v>0</v>
      </c>
      <c r="AC264" s="466">
        <f t="shared" si="44"/>
        <v>0</v>
      </c>
    </row>
    <row r="265" spans="2:29" ht="20.100000000000001" customHeight="1">
      <c r="B265" s="172"/>
      <c r="C265" s="172"/>
      <c r="D265" s="172"/>
      <c r="E265" s="181"/>
      <c r="F265" s="173"/>
      <c r="G265" s="174"/>
      <c r="H265" s="284"/>
      <c r="I265" s="221"/>
      <c r="J265" s="177">
        <f>IF(H265=0,0,IF(F265="MXN",1/HLOOKUP(YEAR(G265)+(MONTH(G265)/100),TC!$5:$37,DAY(G265)+2,FALSE),VLOOKUP(F265,Equivalencia!$5:$23,((MAX(Equivalencia!$3:$3)-YEAR(G265))*14)+MONTH(G265)+2,FALSE)))</f>
        <v>0</v>
      </c>
      <c r="K265" s="217">
        <f t="shared" si="45"/>
        <v>0</v>
      </c>
      <c r="L265" s="462">
        <f>IF(G265=0,0,VLOOKUP(YEAR(G265),INPC!$B$4:$O$29,MONTH(G265)+1))</f>
        <v>0</v>
      </c>
      <c r="M265" s="462">
        <f>IF(T265=0,0,VLOOKUP(YEAR(T265),INPC!$B$4:$O$29,MONTH(T265)+1))</f>
        <v>0</v>
      </c>
      <c r="N265" s="463">
        <f t="shared" si="41"/>
        <v>0</v>
      </c>
      <c r="O265" s="464">
        <f t="shared" si="46"/>
        <v>0</v>
      </c>
      <c r="P265" s="465">
        <f t="shared" si="47"/>
        <v>0</v>
      </c>
      <c r="Q265" s="606" t="str">
        <f t="shared" si="48"/>
        <v>NO</v>
      </c>
      <c r="R265" s="180"/>
      <c r="S265" s="173"/>
      <c r="T265" s="174"/>
      <c r="U265" s="173"/>
      <c r="V265" s="220"/>
      <c r="W265" s="177">
        <f>IF(S265=0,0,IF(U265="MXN",1/HLOOKUP(YEAR(T265)+(MONTH(T265)/100),TC!$5:$37,DAY(T265)+2,FALSE),VLOOKUP(U265,Equivalencia!$1:$23,((MAX(Equivalencia!$3:$3)-YEAR(T265))*14)+MONTH(T265)+2,FALSE)))</f>
        <v>0</v>
      </c>
      <c r="X265" s="178">
        <f t="shared" si="49"/>
        <v>0</v>
      </c>
      <c r="Y265" s="178">
        <f t="shared" si="50"/>
        <v>0</v>
      </c>
      <c r="Z265" s="175">
        <f t="shared" si="42"/>
        <v>0</v>
      </c>
      <c r="AA265" s="179"/>
      <c r="AB265" s="467">
        <f t="shared" si="43"/>
        <v>0</v>
      </c>
      <c r="AC265" s="466">
        <f t="shared" si="44"/>
        <v>0</v>
      </c>
    </row>
    <row r="266" spans="2:29" ht="20.100000000000001" customHeight="1">
      <c r="B266" s="172"/>
      <c r="C266" s="172"/>
      <c r="D266" s="172"/>
      <c r="E266" s="181"/>
      <c r="F266" s="173"/>
      <c r="G266" s="174"/>
      <c r="H266" s="284"/>
      <c r="I266" s="221"/>
      <c r="J266" s="177">
        <f>IF(H266=0,0,IF(F266="MXN",1/HLOOKUP(YEAR(G266)+(MONTH(G266)/100),TC!$5:$37,DAY(G266)+2,FALSE),VLOOKUP(F266,Equivalencia!$5:$23,((MAX(Equivalencia!$3:$3)-YEAR(G266))*14)+MONTH(G266)+2,FALSE)))</f>
        <v>0</v>
      </c>
      <c r="K266" s="217">
        <f t="shared" si="45"/>
        <v>0</v>
      </c>
      <c r="L266" s="462">
        <f>IF(G266=0,0,VLOOKUP(YEAR(G266),INPC!$B$4:$O$29,MONTH(G266)+1))</f>
        <v>0</v>
      </c>
      <c r="M266" s="462">
        <f>IF(T266=0,0,VLOOKUP(YEAR(T266),INPC!$B$4:$O$29,MONTH(T266)+1))</f>
        <v>0</v>
      </c>
      <c r="N266" s="463">
        <f t="shared" si="41"/>
        <v>0</v>
      </c>
      <c r="O266" s="464">
        <f t="shared" si="46"/>
        <v>0</v>
      </c>
      <c r="P266" s="465">
        <f t="shared" si="47"/>
        <v>0</v>
      </c>
      <c r="Q266" s="606" t="str">
        <f t="shared" si="48"/>
        <v>NO</v>
      </c>
      <c r="R266" s="180"/>
      <c r="S266" s="173"/>
      <c r="T266" s="174"/>
      <c r="U266" s="173"/>
      <c r="V266" s="220"/>
      <c r="W266" s="177">
        <f>IF(S266=0,0,IF(U266="MXN",1/HLOOKUP(YEAR(T266)+(MONTH(T266)/100),TC!$5:$37,DAY(T266)+2,FALSE),VLOOKUP(U266,Equivalencia!$1:$23,((MAX(Equivalencia!$3:$3)-YEAR(T266))*14)+MONTH(T266)+2,FALSE)))</f>
        <v>0</v>
      </c>
      <c r="X266" s="178">
        <f t="shared" si="49"/>
        <v>0</v>
      </c>
      <c r="Y266" s="178">
        <f t="shared" si="50"/>
        <v>0</v>
      </c>
      <c r="Z266" s="175">
        <f t="shared" si="42"/>
        <v>0</v>
      </c>
      <c r="AA266" s="179"/>
      <c r="AB266" s="467">
        <f t="shared" si="43"/>
        <v>0</v>
      </c>
      <c r="AC266" s="466">
        <f t="shared" si="44"/>
        <v>0</v>
      </c>
    </row>
    <row r="267" spans="2:29" ht="20.100000000000001" customHeight="1">
      <c r="B267" s="172"/>
      <c r="C267" s="172"/>
      <c r="D267" s="172"/>
      <c r="E267" s="181"/>
      <c r="F267" s="173"/>
      <c r="G267" s="174"/>
      <c r="H267" s="284"/>
      <c r="I267" s="221"/>
      <c r="J267" s="177">
        <f>IF(H267=0,0,IF(F267="MXN",1/HLOOKUP(YEAR(G267)+(MONTH(G267)/100),TC!$5:$37,DAY(G267)+2,FALSE),VLOOKUP(F267,Equivalencia!$5:$23,((MAX(Equivalencia!$3:$3)-YEAR(G267))*14)+MONTH(G267)+2,FALSE)))</f>
        <v>0</v>
      </c>
      <c r="K267" s="217">
        <f t="shared" si="45"/>
        <v>0</v>
      </c>
      <c r="L267" s="462">
        <f>IF(G267=0,0,VLOOKUP(YEAR(G267),INPC!$B$4:$O$29,MONTH(G267)+1))</f>
        <v>0</v>
      </c>
      <c r="M267" s="462">
        <f>IF(T267=0,0,VLOOKUP(YEAR(T267),INPC!$B$4:$O$29,MONTH(T267)+1))</f>
        <v>0</v>
      </c>
      <c r="N267" s="463">
        <f t="shared" si="41"/>
        <v>0</v>
      </c>
      <c r="O267" s="464">
        <f t="shared" si="46"/>
        <v>0</v>
      </c>
      <c r="P267" s="465">
        <f t="shared" si="47"/>
        <v>0</v>
      </c>
      <c r="Q267" s="606" t="str">
        <f t="shared" si="48"/>
        <v>NO</v>
      </c>
      <c r="R267" s="180"/>
      <c r="S267" s="173"/>
      <c r="T267" s="174"/>
      <c r="U267" s="173"/>
      <c r="V267" s="220"/>
      <c r="W267" s="177">
        <f>IF(S267=0,0,IF(U267="MXN",1/HLOOKUP(YEAR(T267)+(MONTH(T267)/100),TC!$5:$37,DAY(T267)+2,FALSE),VLOOKUP(U267,Equivalencia!$1:$23,((MAX(Equivalencia!$3:$3)-YEAR(T267))*14)+MONTH(T267)+2,FALSE)))</f>
        <v>0</v>
      </c>
      <c r="X267" s="178">
        <f t="shared" si="49"/>
        <v>0</v>
      </c>
      <c r="Y267" s="178">
        <f t="shared" si="50"/>
        <v>0</v>
      </c>
      <c r="Z267" s="175">
        <f t="shared" si="42"/>
        <v>0</v>
      </c>
      <c r="AA267" s="179"/>
      <c r="AB267" s="467">
        <f t="shared" si="43"/>
        <v>0</v>
      </c>
      <c r="AC267" s="466">
        <f t="shared" si="44"/>
        <v>0</v>
      </c>
    </row>
    <row r="268" spans="2:29" ht="20.100000000000001" customHeight="1">
      <c r="B268" s="172"/>
      <c r="C268" s="172"/>
      <c r="D268" s="172"/>
      <c r="E268" s="181"/>
      <c r="F268" s="173"/>
      <c r="G268" s="174"/>
      <c r="H268" s="284"/>
      <c r="I268" s="221"/>
      <c r="J268" s="177">
        <f>IF(H268=0,0,IF(F268="MXN",1/HLOOKUP(YEAR(G268)+(MONTH(G268)/100),TC!$5:$37,DAY(G268)+2,FALSE),VLOOKUP(F268,Equivalencia!$5:$23,((MAX(Equivalencia!$3:$3)-YEAR(G268))*14)+MONTH(G268)+2,FALSE)))</f>
        <v>0</v>
      </c>
      <c r="K268" s="217">
        <f t="shared" si="45"/>
        <v>0</v>
      </c>
      <c r="L268" s="462">
        <f>IF(G268=0,0,VLOOKUP(YEAR(G268),INPC!$B$4:$O$29,MONTH(G268)+1))</f>
        <v>0</v>
      </c>
      <c r="M268" s="462">
        <f>IF(T268=0,0,VLOOKUP(YEAR(T268),INPC!$B$4:$O$29,MONTH(T268)+1))</f>
        <v>0</v>
      </c>
      <c r="N268" s="463">
        <f t="shared" si="41"/>
        <v>0</v>
      </c>
      <c r="O268" s="464">
        <f t="shared" si="46"/>
        <v>0</v>
      </c>
      <c r="P268" s="465">
        <f t="shared" si="47"/>
        <v>0</v>
      </c>
      <c r="Q268" s="606" t="str">
        <f t="shared" si="48"/>
        <v>NO</v>
      </c>
      <c r="R268" s="180"/>
      <c r="S268" s="173"/>
      <c r="T268" s="174"/>
      <c r="U268" s="173"/>
      <c r="V268" s="220"/>
      <c r="W268" s="177">
        <f>IF(S268=0,0,IF(U268="MXN",1/HLOOKUP(YEAR(T268)+(MONTH(T268)/100),TC!$5:$37,DAY(T268)+2,FALSE),VLOOKUP(U268,Equivalencia!$1:$23,((MAX(Equivalencia!$3:$3)-YEAR(T268))*14)+MONTH(T268)+2,FALSE)))</f>
        <v>0</v>
      </c>
      <c r="X268" s="178">
        <f t="shared" si="49"/>
        <v>0</v>
      </c>
      <c r="Y268" s="178">
        <f t="shared" si="50"/>
        <v>0</v>
      </c>
      <c r="Z268" s="175">
        <f t="shared" si="42"/>
        <v>0</v>
      </c>
      <c r="AA268" s="179"/>
      <c r="AB268" s="467">
        <f t="shared" si="43"/>
        <v>0</v>
      </c>
      <c r="AC268" s="466">
        <f t="shared" si="44"/>
        <v>0</v>
      </c>
    </row>
    <row r="269" spans="2:29" ht="20.100000000000001" customHeight="1">
      <c r="B269" s="172"/>
      <c r="C269" s="172"/>
      <c r="D269" s="172"/>
      <c r="E269" s="181"/>
      <c r="F269" s="173"/>
      <c r="G269" s="174"/>
      <c r="H269" s="284"/>
      <c r="I269" s="221"/>
      <c r="J269" s="177">
        <f>IF(H269=0,0,IF(F269="MXN",1/HLOOKUP(YEAR(G269)+(MONTH(G269)/100),TC!$5:$37,DAY(G269)+2,FALSE),VLOOKUP(F269,Equivalencia!$5:$23,((MAX(Equivalencia!$3:$3)-YEAR(G269))*14)+MONTH(G269)+2,FALSE)))</f>
        <v>0</v>
      </c>
      <c r="K269" s="217">
        <f t="shared" si="45"/>
        <v>0</v>
      </c>
      <c r="L269" s="462">
        <f>IF(G269=0,0,VLOOKUP(YEAR(G269),INPC!$B$4:$O$29,MONTH(G269)+1))</f>
        <v>0</v>
      </c>
      <c r="M269" s="462">
        <f>IF(T269=0,0,VLOOKUP(YEAR(T269),INPC!$B$4:$O$29,MONTH(T269)+1))</f>
        <v>0</v>
      </c>
      <c r="N269" s="463">
        <f t="shared" si="41"/>
        <v>0</v>
      </c>
      <c r="O269" s="464">
        <f t="shared" si="46"/>
        <v>0</v>
      </c>
      <c r="P269" s="465">
        <f t="shared" si="47"/>
        <v>0</v>
      </c>
      <c r="Q269" s="606" t="str">
        <f t="shared" si="48"/>
        <v>NO</v>
      </c>
      <c r="R269" s="180"/>
      <c r="S269" s="173"/>
      <c r="T269" s="174"/>
      <c r="U269" s="173"/>
      <c r="V269" s="220"/>
      <c r="W269" s="177">
        <f>IF(S269=0,0,IF(U269="MXN",1/HLOOKUP(YEAR(T269)+(MONTH(T269)/100),TC!$5:$37,DAY(T269)+2,FALSE),VLOOKUP(U269,Equivalencia!$1:$23,((MAX(Equivalencia!$3:$3)-YEAR(T269))*14)+MONTH(T269)+2,FALSE)))</f>
        <v>0</v>
      </c>
      <c r="X269" s="178">
        <f t="shared" si="49"/>
        <v>0</v>
      </c>
      <c r="Y269" s="178">
        <f t="shared" si="50"/>
        <v>0</v>
      </c>
      <c r="Z269" s="175">
        <f t="shared" si="42"/>
        <v>0</v>
      </c>
      <c r="AA269" s="179"/>
      <c r="AB269" s="467">
        <f t="shared" si="43"/>
        <v>0</v>
      </c>
      <c r="AC269" s="466">
        <f t="shared" si="44"/>
        <v>0</v>
      </c>
    </row>
    <row r="270" spans="2:29" ht="20.100000000000001" customHeight="1">
      <c r="B270" s="172"/>
      <c r="C270" s="172"/>
      <c r="D270" s="172"/>
      <c r="E270" s="181"/>
      <c r="F270" s="173"/>
      <c r="G270" s="174"/>
      <c r="H270" s="284"/>
      <c r="I270" s="221"/>
      <c r="J270" s="177">
        <f>IF(H270=0,0,IF(F270="MXN",1/HLOOKUP(YEAR(G270)+(MONTH(G270)/100),TC!$5:$37,DAY(G270)+2,FALSE),VLOOKUP(F270,Equivalencia!$5:$23,((MAX(Equivalencia!$3:$3)-YEAR(G270))*14)+MONTH(G270)+2,FALSE)))</f>
        <v>0</v>
      </c>
      <c r="K270" s="217">
        <f t="shared" si="45"/>
        <v>0</v>
      </c>
      <c r="L270" s="462">
        <f>IF(G270=0,0,VLOOKUP(YEAR(G270),INPC!$B$4:$O$29,MONTH(G270)+1))</f>
        <v>0</v>
      </c>
      <c r="M270" s="462">
        <f>IF(T270=0,0,VLOOKUP(YEAR(T270),INPC!$B$4:$O$29,MONTH(T270)+1))</f>
        <v>0</v>
      </c>
      <c r="N270" s="463">
        <f t="shared" si="41"/>
        <v>0</v>
      </c>
      <c r="O270" s="464">
        <f t="shared" si="46"/>
        <v>0</v>
      </c>
      <c r="P270" s="465">
        <f t="shared" si="47"/>
        <v>0</v>
      </c>
      <c r="Q270" s="606" t="str">
        <f t="shared" si="48"/>
        <v>NO</v>
      </c>
      <c r="R270" s="180"/>
      <c r="S270" s="173"/>
      <c r="T270" s="174"/>
      <c r="U270" s="173"/>
      <c r="V270" s="220"/>
      <c r="W270" s="177">
        <f>IF(S270=0,0,IF(U270="MXN",1/HLOOKUP(YEAR(T270)+(MONTH(T270)/100),TC!$5:$37,DAY(T270)+2,FALSE),VLOOKUP(U270,Equivalencia!$1:$23,((MAX(Equivalencia!$3:$3)-YEAR(T270))*14)+MONTH(T270)+2,FALSE)))</f>
        <v>0</v>
      </c>
      <c r="X270" s="178">
        <f t="shared" si="49"/>
        <v>0</v>
      </c>
      <c r="Y270" s="178">
        <f t="shared" si="50"/>
        <v>0</v>
      </c>
      <c r="Z270" s="175">
        <f t="shared" si="42"/>
        <v>0</v>
      </c>
      <c r="AA270" s="179"/>
      <c r="AB270" s="467">
        <f t="shared" si="43"/>
        <v>0</v>
      </c>
      <c r="AC270" s="466">
        <f t="shared" si="44"/>
        <v>0</v>
      </c>
    </row>
    <row r="271" spans="2:29" ht="20.100000000000001" customHeight="1">
      <c r="B271" s="172"/>
      <c r="C271" s="172"/>
      <c r="D271" s="172"/>
      <c r="E271" s="181"/>
      <c r="F271" s="173"/>
      <c r="G271" s="174"/>
      <c r="H271" s="284"/>
      <c r="I271" s="221"/>
      <c r="J271" s="177">
        <f>IF(H271=0,0,IF(F271="MXN",1/HLOOKUP(YEAR(G271)+(MONTH(G271)/100),TC!$5:$37,DAY(G271)+2,FALSE),VLOOKUP(F271,Equivalencia!$5:$23,((MAX(Equivalencia!$3:$3)-YEAR(G271))*14)+MONTH(G271)+2,FALSE)))</f>
        <v>0</v>
      </c>
      <c r="K271" s="217">
        <f t="shared" si="45"/>
        <v>0</v>
      </c>
      <c r="L271" s="462">
        <f>IF(G271=0,0,VLOOKUP(YEAR(G271),INPC!$B$4:$O$29,MONTH(G271)+1))</f>
        <v>0</v>
      </c>
      <c r="M271" s="462">
        <f>IF(T271=0,0,VLOOKUP(YEAR(T271),INPC!$B$4:$O$29,MONTH(T271)+1))</f>
        <v>0</v>
      </c>
      <c r="N271" s="463">
        <f t="shared" si="41"/>
        <v>0</v>
      </c>
      <c r="O271" s="464">
        <f t="shared" si="46"/>
        <v>0</v>
      </c>
      <c r="P271" s="465">
        <f t="shared" si="47"/>
        <v>0</v>
      </c>
      <c r="Q271" s="606" t="str">
        <f t="shared" si="48"/>
        <v>NO</v>
      </c>
      <c r="R271" s="180"/>
      <c r="S271" s="173"/>
      <c r="T271" s="174"/>
      <c r="U271" s="173"/>
      <c r="V271" s="220"/>
      <c r="W271" s="177">
        <f>IF(S271=0,0,IF(U271="MXN",1/HLOOKUP(YEAR(T271)+(MONTH(T271)/100),TC!$5:$37,DAY(T271)+2,FALSE),VLOOKUP(U271,Equivalencia!$1:$23,((MAX(Equivalencia!$3:$3)-YEAR(T271))*14)+MONTH(T271)+2,FALSE)))</f>
        <v>0</v>
      </c>
      <c r="X271" s="178">
        <f t="shared" si="49"/>
        <v>0</v>
      </c>
      <c r="Y271" s="178">
        <f t="shared" si="50"/>
        <v>0</v>
      </c>
      <c r="Z271" s="175">
        <f t="shared" si="42"/>
        <v>0</v>
      </c>
      <c r="AA271" s="179"/>
      <c r="AB271" s="467">
        <f t="shared" si="43"/>
        <v>0</v>
      </c>
      <c r="AC271" s="466">
        <f t="shared" si="44"/>
        <v>0</v>
      </c>
    </row>
    <row r="272" spans="2:29" ht="20.100000000000001" customHeight="1">
      <c r="B272" s="172"/>
      <c r="C272" s="172"/>
      <c r="D272" s="172"/>
      <c r="E272" s="181"/>
      <c r="F272" s="173"/>
      <c r="G272" s="174"/>
      <c r="H272" s="284"/>
      <c r="I272" s="221"/>
      <c r="J272" s="177">
        <f>IF(H272=0,0,IF(F272="MXN",1/HLOOKUP(YEAR(G272)+(MONTH(G272)/100),TC!$5:$37,DAY(G272)+2,FALSE),VLOOKUP(F272,Equivalencia!$5:$23,((MAX(Equivalencia!$3:$3)-YEAR(G272))*14)+MONTH(G272)+2,FALSE)))</f>
        <v>0</v>
      </c>
      <c r="K272" s="217">
        <f t="shared" si="45"/>
        <v>0</v>
      </c>
      <c r="L272" s="462">
        <f>IF(G272=0,0,VLOOKUP(YEAR(G272),INPC!$B$4:$O$29,MONTH(G272)+1))</f>
        <v>0</v>
      </c>
      <c r="M272" s="462">
        <f>IF(T272=0,0,VLOOKUP(YEAR(T272),INPC!$B$4:$O$29,MONTH(T272)+1))</f>
        <v>0</v>
      </c>
      <c r="N272" s="463">
        <f t="shared" si="41"/>
        <v>0</v>
      </c>
      <c r="O272" s="464">
        <f t="shared" si="46"/>
        <v>0</v>
      </c>
      <c r="P272" s="465">
        <f t="shared" si="47"/>
        <v>0</v>
      </c>
      <c r="Q272" s="606" t="str">
        <f t="shared" si="48"/>
        <v>NO</v>
      </c>
      <c r="R272" s="180"/>
      <c r="S272" s="173"/>
      <c r="T272" s="174"/>
      <c r="U272" s="173"/>
      <c r="V272" s="220"/>
      <c r="W272" s="177">
        <f>IF(S272=0,0,IF(U272="MXN",1/HLOOKUP(YEAR(T272)+(MONTH(T272)/100),TC!$5:$37,DAY(T272)+2,FALSE),VLOOKUP(U272,Equivalencia!$1:$23,((MAX(Equivalencia!$3:$3)-YEAR(T272))*14)+MONTH(T272)+2,FALSE)))</f>
        <v>0</v>
      </c>
      <c r="X272" s="178">
        <f t="shared" si="49"/>
        <v>0</v>
      </c>
      <c r="Y272" s="178">
        <f t="shared" si="50"/>
        <v>0</v>
      </c>
      <c r="Z272" s="175">
        <f t="shared" si="42"/>
        <v>0</v>
      </c>
      <c r="AA272" s="179"/>
      <c r="AB272" s="467">
        <f t="shared" si="43"/>
        <v>0</v>
      </c>
      <c r="AC272" s="466">
        <f t="shared" si="44"/>
        <v>0</v>
      </c>
    </row>
    <row r="273" spans="2:29" ht="20.100000000000001" customHeight="1">
      <c r="B273" s="172"/>
      <c r="C273" s="172"/>
      <c r="D273" s="172"/>
      <c r="E273" s="181"/>
      <c r="F273" s="173"/>
      <c r="G273" s="174"/>
      <c r="H273" s="284"/>
      <c r="I273" s="221"/>
      <c r="J273" s="177">
        <f>IF(H273=0,0,IF(F273="MXN",1/HLOOKUP(YEAR(G273)+(MONTH(G273)/100),TC!$5:$37,DAY(G273)+2,FALSE),VLOOKUP(F273,Equivalencia!$5:$23,((MAX(Equivalencia!$3:$3)-YEAR(G273))*14)+MONTH(G273)+2,FALSE)))</f>
        <v>0</v>
      </c>
      <c r="K273" s="217">
        <f t="shared" si="45"/>
        <v>0</v>
      </c>
      <c r="L273" s="462">
        <f>IF(G273=0,0,VLOOKUP(YEAR(G273),INPC!$B$4:$O$29,MONTH(G273)+1))</f>
        <v>0</v>
      </c>
      <c r="M273" s="462">
        <f>IF(T273=0,0,VLOOKUP(YEAR(T273),INPC!$B$4:$O$29,MONTH(T273)+1))</f>
        <v>0</v>
      </c>
      <c r="N273" s="463">
        <f t="shared" si="41"/>
        <v>0</v>
      </c>
      <c r="O273" s="464">
        <f t="shared" si="46"/>
        <v>0</v>
      </c>
      <c r="P273" s="465">
        <f t="shared" si="47"/>
        <v>0</v>
      </c>
      <c r="Q273" s="606" t="str">
        <f t="shared" si="48"/>
        <v>NO</v>
      </c>
      <c r="R273" s="180"/>
      <c r="S273" s="173"/>
      <c r="T273" s="174"/>
      <c r="U273" s="173"/>
      <c r="V273" s="220"/>
      <c r="W273" s="177">
        <f>IF(S273=0,0,IF(U273="MXN",1/HLOOKUP(YEAR(T273)+(MONTH(T273)/100),TC!$5:$37,DAY(T273)+2,FALSE),VLOOKUP(U273,Equivalencia!$1:$23,((MAX(Equivalencia!$3:$3)-YEAR(T273))*14)+MONTH(T273)+2,FALSE)))</f>
        <v>0</v>
      </c>
      <c r="X273" s="178">
        <f t="shared" si="49"/>
        <v>0</v>
      </c>
      <c r="Y273" s="178">
        <f t="shared" si="50"/>
        <v>0</v>
      </c>
      <c r="Z273" s="175">
        <f t="shared" si="42"/>
        <v>0</v>
      </c>
      <c r="AA273" s="179"/>
      <c r="AB273" s="467">
        <f t="shared" si="43"/>
        <v>0</v>
      </c>
      <c r="AC273" s="466">
        <f t="shared" si="44"/>
        <v>0</v>
      </c>
    </row>
    <row r="274" spans="2:29" ht="20.100000000000001" customHeight="1">
      <c r="B274" s="172"/>
      <c r="C274" s="172"/>
      <c r="D274" s="172"/>
      <c r="E274" s="181"/>
      <c r="F274" s="173"/>
      <c r="G274" s="174"/>
      <c r="H274" s="284"/>
      <c r="I274" s="221"/>
      <c r="J274" s="177">
        <f>IF(H274=0,0,IF(F274="MXN",1/HLOOKUP(YEAR(G274)+(MONTH(G274)/100),TC!$5:$37,DAY(G274)+2,FALSE),VLOOKUP(F274,Equivalencia!$5:$23,((MAX(Equivalencia!$3:$3)-YEAR(G274))*14)+MONTH(G274)+2,FALSE)))</f>
        <v>0</v>
      </c>
      <c r="K274" s="217">
        <f t="shared" si="45"/>
        <v>0</v>
      </c>
      <c r="L274" s="462">
        <f>IF(G274=0,0,VLOOKUP(YEAR(G274),INPC!$B$4:$O$29,MONTH(G274)+1))</f>
        <v>0</v>
      </c>
      <c r="M274" s="462">
        <f>IF(T274=0,0,VLOOKUP(YEAR(T274),INPC!$B$4:$O$29,MONTH(T274)+1))</f>
        <v>0</v>
      </c>
      <c r="N274" s="463">
        <f t="shared" si="41"/>
        <v>0</v>
      </c>
      <c r="O274" s="464">
        <f t="shared" si="46"/>
        <v>0</v>
      </c>
      <c r="P274" s="465">
        <f t="shared" si="47"/>
        <v>0</v>
      </c>
      <c r="Q274" s="606" t="str">
        <f t="shared" si="48"/>
        <v>NO</v>
      </c>
      <c r="R274" s="180"/>
      <c r="S274" s="173"/>
      <c r="T274" s="174"/>
      <c r="U274" s="173"/>
      <c r="V274" s="220"/>
      <c r="W274" s="177">
        <f>IF(S274=0,0,IF(U274="MXN",1/HLOOKUP(YEAR(T274)+(MONTH(T274)/100),TC!$5:$37,DAY(T274)+2,FALSE),VLOOKUP(U274,Equivalencia!$1:$23,((MAX(Equivalencia!$3:$3)-YEAR(T274))*14)+MONTH(T274)+2,FALSE)))</f>
        <v>0</v>
      </c>
      <c r="X274" s="178">
        <f t="shared" si="49"/>
        <v>0</v>
      </c>
      <c r="Y274" s="178">
        <f t="shared" si="50"/>
        <v>0</v>
      </c>
      <c r="Z274" s="175">
        <f t="shared" si="42"/>
        <v>0</v>
      </c>
      <c r="AA274" s="179"/>
      <c r="AB274" s="467">
        <f t="shared" si="43"/>
        <v>0</v>
      </c>
      <c r="AC274" s="466">
        <f t="shared" si="44"/>
        <v>0</v>
      </c>
    </row>
    <row r="275" spans="2:29" ht="20.100000000000001" customHeight="1">
      <c r="B275" s="172"/>
      <c r="C275" s="172"/>
      <c r="D275" s="172"/>
      <c r="E275" s="181"/>
      <c r="F275" s="173"/>
      <c r="G275" s="174"/>
      <c r="H275" s="284"/>
      <c r="I275" s="221"/>
      <c r="J275" s="177">
        <f>IF(H275=0,0,IF(F275="MXN",1/HLOOKUP(YEAR(G275)+(MONTH(G275)/100),TC!$5:$37,DAY(G275)+2,FALSE),VLOOKUP(F275,Equivalencia!$5:$23,((MAX(Equivalencia!$3:$3)-YEAR(G275))*14)+MONTH(G275)+2,FALSE)))</f>
        <v>0</v>
      </c>
      <c r="K275" s="217">
        <f t="shared" si="45"/>
        <v>0</v>
      </c>
      <c r="L275" s="462">
        <f>IF(G275=0,0,VLOOKUP(YEAR(G275),INPC!$B$4:$O$29,MONTH(G275)+1))</f>
        <v>0</v>
      </c>
      <c r="M275" s="462">
        <f>IF(T275=0,0,VLOOKUP(YEAR(T275),INPC!$B$4:$O$29,MONTH(T275)+1))</f>
        <v>0</v>
      </c>
      <c r="N275" s="463">
        <f t="shared" si="41"/>
        <v>0</v>
      </c>
      <c r="O275" s="464">
        <f t="shared" si="46"/>
        <v>0</v>
      </c>
      <c r="P275" s="465">
        <f t="shared" si="47"/>
        <v>0</v>
      </c>
      <c r="Q275" s="606" t="str">
        <f t="shared" si="48"/>
        <v>NO</v>
      </c>
      <c r="R275" s="180"/>
      <c r="S275" s="173"/>
      <c r="T275" s="174"/>
      <c r="U275" s="173"/>
      <c r="V275" s="220"/>
      <c r="W275" s="177">
        <f>IF(S275=0,0,IF(U275="MXN",1/HLOOKUP(YEAR(T275)+(MONTH(T275)/100),TC!$5:$37,DAY(T275)+2,FALSE),VLOOKUP(U275,Equivalencia!$1:$23,((MAX(Equivalencia!$3:$3)-YEAR(T275))*14)+MONTH(T275)+2,FALSE)))</f>
        <v>0</v>
      </c>
      <c r="X275" s="178">
        <f t="shared" si="49"/>
        <v>0</v>
      </c>
      <c r="Y275" s="178">
        <f t="shared" si="50"/>
        <v>0</v>
      </c>
      <c r="Z275" s="175">
        <f t="shared" si="42"/>
        <v>0</v>
      </c>
      <c r="AA275" s="179"/>
      <c r="AB275" s="467">
        <f t="shared" si="43"/>
        <v>0</v>
      </c>
      <c r="AC275" s="466">
        <f t="shared" si="44"/>
        <v>0</v>
      </c>
    </row>
    <row r="276" spans="2:29" ht="20.100000000000001" customHeight="1">
      <c r="B276" s="172"/>
      <c r="C276" s="172"/>
      <c r="D276" s="172"/>
      <c r="E276" s="181"/>
      <c r="F276" s="173"/>
      <c r="G276" s="174"/>
      <c r="H276" s="284"/>
      <c r="I276" s="221"/>
      <c r="J276" s="177">
        <f>IF(H276=0,0,IF(F276="MXN",1/HLOOKUP(YEAR(G276)+(MONTH(G276)/100),TC!$5:$37,DAY(G276)+2,FALSE),VLOOKUP(F276,Equivalencia!$5:$23,((MAX(Equivalencia!$3:$3)-YEAR(G276))*14)+MONTH(G276)+2,FALSE)))</f>
        <v>0</v>
      </c>
      <c r="K276" s="217">
        <f t="shared" si="45"/>
        <v>0</v>
      </c>
      <c r="L276" s="462">
        <f>IF(G276=0,0,VLOOKUP(YEAR(G276),INPC!$B$4:$O$29,MONTH(G276)+1))</f>
        <v>0</v>
      </c>
      <c r="M276" s="462">
        <f>IF(T276=0,0,VLOOKUP(YEAR(T276),INPC!$B$4:$O$29,MONTH(T276)+1))</f>
        <v>0</v>
      </c>
      <c r="N276" s="463">
        <f t="shared" si="41"/>
        <v>0</v>
      </c>
      <c r="O276" s="464">
        <f t="shared" si="46"/>
        <v>0</v>
      </c>
      <c r="P276" s="465">
        <f t="shared" si="47"/>
        <v>0</v>
      </c>
      <c r="Q276" s="606" t="str">
        <f t="shared" si="48"/>
        <v>NO</v>
      </c>
      <c r="R276" s="180"/>
      <c r="S276" s="173"/>
      <c r="T276" s="174"/>
      <c r="U276" s="173"/>
      <c r="V276" s="220"/>
      <c r="W276" s="177">
        <f>IF(S276=0,0,IF(U276="MXN",1/HLOOKUP(YEAR(T276)+(MONTH(T276)/100),TC!$5:$37,DAY(T276)+2,FALSE),VLOOKUP(U276,Equivalencia!$1:$23,((MAX(Equivalencia!$3:$3)-YEAR(T276))*14)+MONTH(T276)+2,FALSE)))</f>
        <v>0</v>
      </c>
      <c r="X276" s="178">
        <f t="shared" si="49"/>
        <v>0</v>
      </c>
      <c r="Y276" s="178">
        <f t="shared" si="50"/>
        <v>0</v>
      </c>
      <c r="Z276" s="175">
        <f t="shared" si="42"/>
        <v>0</v>
      </c>
      <c r="AA276" s="179"/>
      <c r="AB276" s="467">
        <f t="shared" si="43"/>
        <v>0</v>
      </c>
      <c r="AC276" s="466">
        <f t="shared" si="44"/>
        <v>0</v>
      </c>
    </row>
    <row r="277" spans="2:29" ht="20.100000000000001" customHeight="1">
      <c r="B277" s="172"/>
      <c r="C277" s="172"/>
      <c r="D277" s="172"/>
      <c r="E277" s="181"/>
      <c r="F277" s="173"/>
      <c r="G277" s="174"/>
      <c r="H277" s="284"/>
      <c r="I277" s="221"/>
      <c r="J277" s="177">
        <f>IF(H277=0,0,IF(F277="MXN",1/HLOOKUP(YEAR(G277)+(MONTH(G277)/100),TC!$5:$37,DAY(G277)+2,FALSE),VLOOKUP(F277,Equivalencia!$5:$23,((MAX(Equivalencia!$3:$3)-YEAR(G277))*14)+MONTH(G277)+2,FALSE)))</f>
        <v>0</v>
      </c>
      <c r="K277" s="217">
        <f t="shared" si="45"/>
        <v>0</v>
      </c>
      <c r="L277" s="462">
        <f>IF(G277=0,0,VLOOKUP(YEAR(G277),INPC!$B$4:$O$29,MONTH(G277)+1))</f>
        <v>0</v>
      </c>
      <c r="M277" s="462">
        <f>IF(T277=0,0,VLOOKUP(YEAR(T277),INPC!$B$4:$O$29,MONTH(T277)+1))</f>
        <v>0</v>
      </c>
      <c r="N277" s="463">
        <f t="shared" si="41"/>
        <v>0</v>
      </c>
      <c r="O277" s="464">
        <f t="shared" si="46"/>
        <v>0</v>
      </c>
      <c r="P277" s="465">
        <f t="shared" si="47"/>
        <v>0</v>
      </c>
      <c r="Q277" s="606" t="str">
        <f t="shared" si="48"/>
        <v>NO</v>
      </c>
      <c r="R277" s="180"/>
      <c r="S277" s="173"/>
      <c r="T277" s="174"/>
      <c r="U277" s="173"/>
      <c r="V277" s="220"/>
      <c r="W277" s="177">
        <f>IF(S277=0,0,IF(U277="MXN",1/HLOOKUP(YEAR(T277)+(MONTH(T277)/100),TC!$5:$37,DAY(T277)+2,FALSE),VLOOKUP(U277,Equivalencia!$1:$23,((MAX(Equivalencia!$3:$3)-YEAR(T277))*14)+MONTH(T277)+2,FALSE)))</f>
        <v>0</v>
      </c>
      <c r="X277" s="178">
        <f t="shared" si="49"/>
        <v>0</v>
      </c>
      <c r="Y277" s="178">
        <f t="shared" si="50"/>
        <v>0</v>
      </c>
      <c r="Z277" s="175">
        <f t="shared" si="42"/>
        <v>0</v>
      </c>
      <c r="AA277" s="179"/>
      <c r="AB277" s="467">
        <f t="shared" si="43"/>
        <v>0</v>
      </c>
      <c r="AC277" s="466">
        <f t="shared" si="44"/>
        <v>0</v>
      </c>
    </row>
    <row r="278" spans="2:29" ht="20.100000000000001" customHeight="1">
      <c r="B278" s="172"/>
      <c r="C278" s="172"/>
      <c r="D278" s="172"/>
      <c r="E278" s="181"/>
      <c r="F278" s="173"/>
      <c r="G278" s="174"/>
      <c r="H278" s="284"/>
      <c r="I278" s="221"/>
      <c r="J278" s="177">
        <f>IF(H278=0,0,IF(F278="MXN",1/HLOOKUP(YEAR(G278)+(MONTH(G278)/100),TC!$5:$37,DAY(G278)+2,FALSE),VLOOKUP(F278,Equivalencia!$5:$23,((MAX(Equivalencia!$3:$3)-YEAR(G278))*14)+MONTH(G278)+2,FALSE)))</f>
        <v>0</v>
      </c>
      <c r="K278" s="217">
        <f t="shared" si="45"/>
        <v>0</v>
      </c>
      <c r="L278" s="462">
        <f>IF(G278=0,0,VLOOKUP(YEAR(G278),INPC!$B$4:$O$29,MONTH(G278)+1))</f>
        <v>0</v>
      </c>
      <c r="M278" s="462">
        <f>IF(T278=0,0,VLOOKUP(YEAR(T278),INPC!$B$4:$O$29,MONTH(T278)+1))</f>
        <v>0</v>
      </c>
      <c r="N278" s="463">
        <f t="shared" si="41"/>
        <v>0</v>
      </c>
      <c r="O278" s="464">
        <f t="shared" si="46"/>
        <v>0</v>
      </c>
      <c r="P278" s="465">
        <f t="shared" si="47"/>
        <v>0</v>
      </c>
      <c r="Q278" s="606" t="str">
        <f t="shared" si="48"/>
        <v>NO</v>
      </c>
      <c r="R278" s="180"/>
      <c r="S278" s="173"/>
      <c r="T278" s="174"/>
      <c r="U278" s="173"/>
      <c r="V278" s="220"/>
      <c r="W278" s="177">
        <f>IF(S278=0,0,IF(U278="MXN",1/HLOOKUP(YEAR(T278)+(MONTH(T278)/100),TC!$5:$37,DAY(T278)+2,FALSE),VLOOKUP(U278,Equivalencia!$1:$23,((MAX(Equivalencia!$3:$3)-YEAR(T278))*14)+MONTH(T278)+2,FALSE)))</f>
        <v>0</v>
      </c>
      <c r="X278" s="178">
        <f t="shared" si="49"/>
        <v>0</v>
      </c>
      <c r="Y278" s="178">
        <f t="shared" si="50"/>
        <v>0</v>
      </c>
      <c r="Z278" s="175">
        <f t="shared" si="42"/>
        <v>0</v>
      </c>
      <c r="AA278" s="179"/>
      <c r="AB278" s="467">
        <f t="shared" si="43"/>
        <v>0</v>
      </c>
      <c r="AC278" s="466">
        <f t="shared" si="44"/>
        <v>0</v>
      </c>
    </row>
    <row r="279" spans="2:29" ht="20.100000000000001" customHeight="1">
      <c r="B279" s="172"/>
      <c r="C279" s="172"/>
      <c r="D279" s="172"/>
      <c r="E279" s="181"/>
      <c r="F279" s="173"/>
      <c r="G279" s="174"/>
      <c r="H279" s="284"/>
      <c r="I279" s="221"/>
      <c r="J279" s="177">
        <f>IF(H279=0,0,IF(F279="MXN",1/HLOOKUP(YEAR(G279)+(MONTH(G279)/100),TC!$5:$37,DAY(G279)+2,FALSE),VLOOKUP(F279,Equivalencia!$5:$23,((MAX(Equivalencia!$3:$3)-YEAR(G279))*14)+MONTH(G279)+2,FALSE)))</f>
        <v>0</v>
      </c>
      <c r="K279" s="217">
        <f t="shared" si="45"/>
        <v>0</v>
      </c>
      <c r="L279" s="462">
        <f>IF(G279=0,0,VLOOKUP(YEAR(G279),INPC!$B$4:$O$29,MONTH(G279)+1))</f>
        <v>0</v>
      </c>
      <c r="M279" s="462">
        <f>IF(T279=0,0,VLOOKUP(YEAR(T279),INPC!$B$4:$O$29,MONTH(T279)+1))</f>
        <v>0</v>
      </c>
      <c r="N279" s="463">
        <f t="shared" si="41"/>
        <v>0</v>
      </c>
      <c r="O279" s="464">
        <f t="shared" si="46"/>
        <v>0</v>
      </c>
      <c r="P279" s="465">
        <f t="shared" si="47"/>
        <v>0</v>
      </c>
      <c r="Q279" s="606" t="str">
        <f t="shared" si="48"/>
        <v>NO</v>
      </c>
      <c r="R279" s="180"/>
      <c r="S279" s="173"/>
      <c r="T279" s="174"/>
      <c r="U279" s="173"/>
      <c r="V279" s="220"/>
      <c r="W279" s="177">
        <f>IF(S279=0,0,IF(U279="MXN",1/HLOOKUP(YEAR(T279)+(MONTH(T279)/100),TC!$5:$37,DAY(T279)+2,FALSE),VLOOKUP(U279,Equivalencia!$1:$23,((MAX(Equivalencia!$3:$3)-YEAR(T279))*14)+MONTH(T279)+2,FALSE)))</f>
        <v>0</v>
      </c>
      <c r="X279" s="178">
        <f t="shared" si="49"/>
        <v>0</v>
      </c>
      <c r="Y279" s="178">
        <f t="shared" si="50"/>
        <v>0</v>
      </c>
      <c r="Z279" s="175">
        <f t="shared" si="42"/>
        <v>0</v>
      </c>
      <c r="AA279" s="179"/>
      <c r="AB279" s="467">
        <f t="shared" si="43"/>
        <v>0</v>
      </c>
      <c r="AC279" s="466">
        <f t="shared" si="44"/>
        <v>0</v>
      </c>
    </row>
    <row r="280" spans="2:29" ht="20.100000000000001" customHeight="1">
      <c r="B280" s="172"/>
      <c r="C280" s="172"/>
      <c r="D280" s="172"/>
      <c r="E280" s="181"/>
      <c r="F280" s="173"/>
      <c r="G280" s="174"/>
      <c r="H280" s="284"/>
      <c r="I280" s="221"/>
      <c r="J280" s="177">
        <f>IF(H280=0,0,IF(F280="MXN",1/HLOOKUP(YEAR(G280)+(MONTH(G280)/100),TC!$5:$37,DAY(G280)+2,FALSE),VLOOKUP(F280,Equivalencia!$5:$23,((MAX(Equivalencia!$3:$3)-YEAR(G280))*14)+MONTH(G280)+2,FALSE)))</f>
        <v>0</v>
      </c>
      <c r="K280" s="217">
        <f t="shared" si="45"/>
        <v>0</v>
      </c>
      <c r="L280" s="462">
        <f>IF(G280=0,0,VLOOKUP(YEAR(G280),INPC!$B$4:$O$29,MONTH(G280)+1))</f>
        <v>0</v>
      </c>
      <c r="M280" s="462">
        <f>IF(T280=0,0,VLOOKUP(YEAR(T280),INPC!$B$4:$O$29,MONTH(T280)+1))</f>
        <v>0</v>
      </c>
      <c r="N280" s="463">
        <f t="shared" si="41"/>
        <v>0</v>
      </c>
      <c r="O280" s="464">
        <f t="shared" si="46"/>
        <v>0</v>
      </c>
      <c r="P280" s="465">
        <f t="shared" si="47"/>
        <v>0</v>
      </c>
      <c r="Q280" s="606" t="str">
        <f t="shared" si="48"/>
        <v>NO</v>
      </c>
      <c r="R280" s="180"/>
      <c r="S280" s="173"/>
      <c r="T280" s="174"/>
      <c r="U280" s="173"/>
      <c r="V280" s="220"/>
      <c r="W280" s="177">
        <f>IF(S280=0,0,IF(U280="MXN",1/HLOOKUP(YEAR(T280)+(MONTH(T280)/100),TC!$5:$37,DAY(T280)+2,FALSE),VLOOKUP(U280,Equivalencia!$1:$23,((MAX(Equivalencia!$3:$3)-YEAR(T280))*14)+MONTH(T280)+2,FALSE)))</f>
        <v>0</v>
      </c>
      <c r="X280" s="178">
        <f t="shared" si="49"/>
        <v>0</v>
      </c>
      <c r="Y280" s="178">
        <f t="shared" si="50"/>
        <v>0</v>
      </c>
      <c r="Z280" s="175">
        <f t="shared" si="42"/>
        <v>0</v>
      </c>
      <c r="AA280" s="179"/>
      <c r="AB280" s="467">
        <f t="shared" si="43"/>
        <v>0</v>
      </c>
      <c r="AC280" s="466">
        <f t="shared" si="44"/>
        <v>0</v>
      </c>
    </row>
    <row r="281" spans="2:29" ht="20.100000000000001" customHeight="1">
      <c r="B281" s="172"/>
      <c r="C281" s="172"/>
      <c r="D281" s="172"/>
      <c r="E281" s="181"/>
      <c r="F281" s="173"/>
      <c r="G281" s="174"/>
      <c r="H281" s="284"/>
      <c r="I281" s="221"/>
      <c r="J281" s="177">
        <f>IF(H281=0,0,IF(F281="MXN",1/HLOOKUP(YEAR(G281)+(MONTH(G281)/100),TC!$5:$37,DAY(G281)+2,FALSE),VLOOKUP(F281,Equivalencia!$5:$23,((MAX(Equivalencia!$3:$3)-YEAR(G281))*14)+MONTH(G281)+2,FALSE)))</f>
        <v>0</v>
      </c>
      <c r="K281" s="217">
        <f t="shared" si="45"/>
        <v>0</v>
      </c>
      <c r="L281" s="462">
        <f>IF(G281=0,0,VLOOKUP(YEAR(G281),INPC!$B$4:$O$29,MONTH(G281)+1))</f>
        <v>0</v>
      </c>
      <c r="M281" s="462">
        <f>IF(T281=0,0,VLOOKUP(YEAR(T281),INPC!$B$4:$O$29,MONTH(T281)+1))</f>
        <v>0</v>
      </c>
      <c r="N281" s="463">
        <f t="shared" si="41"/>
        <v>0</v>
      </c>
      <c r="O281" s="464">
        <f t="shared" si="46"/>
        <v>0</v>
      </c>
      <c r="P281" s="465">
        <f t="shared" si="47"/>
        <v>0</v>
      </c>
      <c r="Q281" s="606" t="str">
        <f t="shared" si="48"/>
        <v>NO</v>
      </c>
      <c r="R281" s="180"/>
      <c r="S281" s="173"/>
      <c r="T281" s="174"/>
      <c r="U281" s="173"/>
      <c r="V281" s="220"/>
      <c r="W281" s="177">
        <f>IF(S281=0,0,IF(U281="MXN",1/HLOOKUP(YEAR(T281)+(MONTH(T281)/100),TC!$5:$37,DAY(T281)+2,FALSE),VLOOKUP(U281,Equivalencia!$1:$23,((MAX(Equivalencia!$3:$3)-YEAR(T281))*14)+MONTH(T281)+2,FALSE)))</f>
        <v>0</v>
      </c>
      <c r="X281" s="178">
        <f t="shared" si="49"/>
        <v>0</v>
      </c>
      <c r="Y281" s="178">
        <f t="shared" si="50"/>
        <v>0</v>
      </c>
      <c r="Z281" s="175">
        <f t="shared" si="42"/>
        <v>0</v>
      </c>
      <c r="AA281" s="179"/>
      <c r="AB281" s="467">
        <f t="shared" si="43"/>
        <v>0</v>
      </c>
      <c r="AC281" s="466">
        <f t="shared" si="44"/>
        <v>0</v>
      </c>
    </row>
    <row r="282" spans="2:29" ht="20.100000000000001" customHeight="1">
      <c r="B282" s="172"/>
      <c r="C282" s="172"/>
      <c r="D282" s="172"/>
      <c r="E282" s="181"/>
      <c r="F282" s="173"/>
      <c r="G282" s="174"/>
      <c r="H282" s="284"/>
      <c r="I282" s="221"/>
      <c r="J282" s="177">
        <f>IF(H282=0,0,IF(F282="MXN",1/HLOOKUP(YEAR(G282)+(MONTH(G282)/100),TC!$5:$37,DAY(G282)+2,FALSE),VLOOKUP(F282,Equivalencia!$5:$23,((MAX(Equivalencia!$3:$3)-YEAR(G282))*14)+MONTH(G282)+2,FALSE)))</f>
        <v>0</v>
      </c>
      <c r="K282" s="217">
        <f t="shared" si="45"/>
        <v>0</v>
      </c>
      <c r="L282" s="462">
        <f>IF(G282=0,0,VLOOKUP(YEAR(G282),INPC!$B$4:$O$29,MONTH(G282)+1))</f>
        <v>0</v>
      </c>
      <c r="M282" s="462">
        <f>IF(T282=0,0,VLOOKUP(YEAR(T282),INPC!$B$4:$O$29,MONTH(T282)+1))</f>
        <v>0</v>
      </c>
      <c r="N282" s="463">
        <f t="shared" si="41"/>
        <v>0</v>
      </c>
      <c r="O282" s="464">
        <f t="shared" si="46"/>
        <v>0</v>
      </c>
      <c r="P282" s="465">
        <f t="shared" si="47"/>
        <v>0</v>
      </c>
      <c r="Q282" s="606" t="str">
        <f t="shared" si="48"/>
        <v>NO</v>
      </c>
      <c r="R282" s="180"/>
      <c r="S282" s="173"/>
      <c r="T282" s="174"/>
      <c r="U282" s="173"/>
      <c r="V282" s="220"/>
      <c r="W282" s="177">
        <f>IF(S282=0,0,IF(U282="MXN",1/HLOOKUP(YEAR(T282)+(MONTH(T282)/100),TC!$5:$37,DAY(T282)+2,FALSE),VLOOKUP(U282,Equivalencia!$1:$23,((MAX(Equivalencia!$3:$3)-YEAR(T282))*14)+MONTH(T282)+2,FALSE)))</f>
        <v>0</v>
      </c>
      <c r="X282" s="178">
        <f t="shared" si="49"/>
        <v>0</v>
      </c>
      <c r="Y282" s="178">
        <f t="shared" si="50"/>
        <v>0</v>
      </c>
      <c r="Z282" s="175">
        <f t="shared" si="42"/>
        <v>0</v>
      </c>
      <c r="AA282" s="179"/>
      <c r="AB282" s="467">
        <f t="shared" si="43"/>
        <v>0</v>
      </c>
      <c r="AC282" s="466">
        <f t="shared" si="44"/>
        <v>0</v>
      </c>
    </row>
    <row r="283" spans="2:29" ht="20.100000000000001" customHeight="1">
      <c r="B283" s="172"/>
      <c r="C283" s="172"/>
      <c r="D283" s="172"/>
      <c r="E283" s="181"/>
      <c r="F283" s="173"/>
      <c r="G283" s="174"/>
      <c r="H283" s="284"/>
      <c r="I283" s="221"/>
      <c r="J283" s="177">
        <f>IF(H283=0,0,IF(F283="MXN",1/HLOOKUP(YEAR(G283)+(MONTH(G283)/100),TC!$5:$37,DAY(G283)+2,FALSE),VLOOKUP(F283,Equivalencia!$5:$23,((MAX(Equivalencia!$3:$3)-YEAR(G283))*14)+MONTH(G283)+2,FALSE)))</f>
        <v>0</v>
      </c>
      <c r="K283" s="217">
        <f t="shared" si="45"/>
        <v>0</v>
      </c>
      <c r="L283" s="462">
        <f>IF(G283=0,0,VLOOKUP(YEAR(G283),INPC!$B$4:$O$29,MONTH(G283)+1))</f>
        <v>0</v>
      </c>
      <c r="M283" s="462">
        <f>IF(T283=0,0,VLOOKUP(YEAR(T283),INPC!$B$4:$O$29,MONTH(T283)+1))</f>
        <v>0</v>
      </c>
      <c r="N283" s="463">
        <f t="shared" si="41"/>
        <v>0</v>
      </c>
      <c r="O283" s="464">
        <f t="shared" si="46"/>
        <v>0</v>
      </c>
      <c r="P283" s="465">
        <f t="shared" si="47"/>
        <v>0</v>
      </c>
      <c r="Q283" s="606" t="str">
        <f t="shared" si="48"/>
        <v>NO</v>
      </c>
      <c r="R283" s="180"/>
      <c r="S283" s="173"/>
      <c r="T283" s="174"/>
      <c r="U283" s="173"/>
      <c r="V283" s="220"/>
      <c r="W283" s="177">
        <f>IF(S283=0,0,IF(U283="MXN",1/HLOOKUP(YEAR(T283)+(MONTH(T283)/100),TC!$5:$37,DAY(T283)+2,FALSE),VLOOKUP(U283,Equivalencia!$1:$23,((MAX(Equivalencia!$3:$3)-YEAR(T283))*14)+MONTH(T283)+2,FALSE)))</f>
        <v>0</v>
      </c>
      <c r="X283" s="178">
        <f t="shared" si="49"/>
        <v>0</v>
      </c>
      <c r="Y283" s="178">
        <f t="shared" si="50"/>
        <v>0</v>
      </c>
      <c r="Z283" s="175">
        <f t="shared" si="42"/>
        <v>0</v>
      </c>
      <c r="AA283" s="179"/>
      <c r="AB283" s="467">
        <f t="shared" si="43"/>
        <v>0</v>
      </c>
      <c r="AC283" s="466">
        <f t="shared" si="44"/>
        <v>0</v>
      </c>
    </row>
    <row r="284" spans="2:29" ht="20.100000000000001" customHeight="1">
      <c r="B284" s="172"/>
      <c r="C284" s="172"/>
      <c r="D284" s="172"/>
      <c r="E284" s="181"/>
      <c r="F284" s="173"/>
      <c r="G284" s="174"/>
      <c r="H284" s="284"/>
      <c r="I284" s="221"/>
      <c r="J284" s="177">
        <f>IF(H284=0,0,IF(F284="MXN",1/HLOOKUP(YEAR(G284)+(MONTH(G284)/100),TC!$5:$37,DAY(G284)+2,FALSE),VLOOKUP(F284,Equivalencia!$5:$23,((MAX(Equivalencia!$3:$3)-YEAR(G284))*14)+MONTH(G284)+2,FALSE)))</f>
        <v>0</v>
      </c>
      <c r="K284" s="217">
        <f t="shared" si="45"/>
        <v>0</v>
      </c>
      <c r="L284" s="462">
        <f>IF(G284=0,0,VLOOKUP(YEAR(G284),INPC!$B$4:$O$29,MONTH(G284)+1))</f>
        <v>0</v>
      </c>
      <c r="M284" s="462">
        <f>IF(T284=0,0,VLOOKUP(YEAR(T284),INPC!$B$4:$O$29,MONTH(T284)+1))</f>
        <v>0</v>
      </c>
      <c r="N284" s="463">
        <f t="shared" si="41"/>
        <v>0</v>
      </c>
      <c r="O284" s="464">
        <f t="shared" si="46"/>
        <v>0</v>
      </c>
      <c r="P284" s="465">
        <f t="shared" si="47"/>
        <v>0</v>
      </c>
      <c r="Q284" s="606" t="str">
        <f t="shared" si="48"/>
        <v>NO</v>
      </c>
      <c r="R284" s="180"/>
      <c r="S284" s="173"/>
      <c r="T284" s="174"/>
      <c r="U284" s="173"/>
      <c r="V284" s="220"/>
      <c r="W284" s="177">
        <f>IF(S284=0,0,IF(U284="MXN",1/HLOOKUP(YEAR(T284)+(MONTH(T284)/100),TC!$5:$37,DAY(T284)+2,FALSE),VLOOKUP(U284,Equivalencia!$1:$23,((MAX(Equivalencia!$3:$3)-YEAR(T284))*14)+MONTH(T284)+2,FALSE)))</f>
        <v>0</v>
      </c>
      <c r="X284" s="178">
        <f t="shared" si="49"/>
        <v>0</v>
      </c>
      <c r="Y284" s="178">
        <f t="shared" si="50"/>
        <v>0</v>
      </c>
      <c r="Z284" s="175">
        <f t="shared" si="42"/>
        <v>0</v>
      </c>
      <c r="AA284" s="179"/>
      <c r="AB284" s="467">
        <f t="shared" si="43"/>
        <v>0</v>
      </c>
      <c r="AC284" s="466">
        <f t="shared" si="44"/>
        <v>0</v>
      </c>
    </row>
    <row r="285" spans="2:29" ht="20.100000000000001" customHeight="1">
      <c r="B285" s="172"/>
      <c r="C285" s="172"/>
      <c r="D285" s="172"/>
      <c r="E285" s="181"/>
      <c r="F285" s="173"/>
      <c r="G285" s="174"/>
      <c r="H285" s="284"/>
      <c r="I285" s="221"/>
      <c r="J285" s="177">
        <f>IF(H285=0,0,IF(F285="MXN",1/HLOOKUP(YEAR(G285)+(MONTH(G285)/100),TC!$5:$37,DAY(G285)+2,FALSE),VLOOKUP(F285,Equivalencia!$5:$23,((MAX(Equivalencia!$3:$3)-YEAR(G285))*14)+MONTH(G285)+2,FALSE)))</f>
        <v>0</v>
      </c>
      <c r="K285" s="217">
        <f t="shared" si="45"/>
        <v>0</v>
      </c>
      <c r="L285" s="462">
        <f>IF(G285=0,0,VLOOKUP(YEAR(G285),INPC!$B$4:$O$29,MONTH(G285)+1))</f>
        <v>0</v>
      </c>
      <c r="M285" s="462">
        <f>IF(T285=0,0,VLOOKUP(YEAR(T285),INPC!$B$4:$O$29,MONTH(T285)+1))</f>
        <v>0</v>
      </c>
      <c r="N285" s="463">
        <f t="shared" si="41"/>
        <v>0</v>
      </c>
      <c r="O285" s="464">
        <f t="shared" si="46"/>
        <v>0</v>
      </c>
      <c r="P285" s="465">
        <f t="shared" si="47"/>
        <v>0</v>
      </c>
      <c r="Q285" s="606" t="str">
        <f t="shared" si="48"/>
        <v>NO</v>
      </c>
      <c r="R285" s="180"/>
      <c r="S285" s="173"/>
      <c r="T285" s="174"/>
      <c r="U285" s="173"/>
      <c r="V285" s="220"/>
      <c r="W285" s="177">
        <f>IF(S285=0,0,IF(U285="MXN",1/HLOOKUP(YEAR(T285)+(MONTH(T285)/100),TC!$5:$37,DAY(T285)+2,FALSE),VLOOKUP(U285,Equivalencia!$1:$23,((MAX(Equivalencia!$3:$3)-YEAR(T285))*14)+MONTH(T285)+2,FALSE)))</f>
        <v>0</v>
      </c>
      <c r="X285" s="178">
        <f t="shared" si="49"/>
        <v>0</v>
      </c>
      <c r="Y285" s="178">
        <f t="shared" si="50"/>
        <v>0</v>
      </c>
      <c r="Z285" s="175">
        <f t="shared" si="42"/>
        <v>0</v>
      </c>
      <c r="AA285" s="179"/>
      <c r="AB285" s="467">
        <f t="shared" si="43"/>
        <v>0</v>
      </c>
      <c r="AC285" s="466">
        <f t="shared" si="44"/>
        <v>0</v>
      </c>
    </row>
    <row r="286" spans="2:29" ht="20.100000000000001" customHeight="1">
      <c r="B286" s="172"/>
      <c r="C286" s="172"/>
      <c r="D286" s="172"/>
      <c r="E286" s="181"/>
      <c r="F286" s="173"/>
      <c r="G286" s="174"/>
      <c r="H286" s="284"/>
      <c r="I286" s="221"/>
      <c r="J286" s="177">
        <f>IF(H286=0,0,IF(F286="MXN",1/HLOOKUP(YEAR(G286)+(MONTH(G286)/100),TC!$5:$37,DAY(G286)+2,FALSE),VLOOKUP(F286,Equivalencia!$5:$23,((MAX(Equivalencia!$3:$3)-YEAR(G286))*14)+MONTH(G286)+2,FALSE)))</f>
        <v>0</v>
      </c>
      <c r="K286" s="217">
        <f t="shared" si="45"/>
        <v>0</v>
      </c>
      <c r="L286" s="462">
        <f>IF(G286=0,0,VLOOKUP(YEAR(G286),INPC!$B$4:$O$29,MONTH(G286)+1))</f>
        <v>0</v>
      </c>
      <c r="M286" s="462">
        <f>IF(T286=0,0,VLOOKUP(YEAR(T286),INPC!$B$4:$O$29,MONTH(T286)+1))</f>
        <v>0</v>
      </c>
      <c r="N286" s="463">
        <f t="shared" si="41"/>
        <v>0</v>
      </c>
      <c r="O286" s="464">
        <f t="shared" si="46"/>
        <v>0</v>
      </c>
      <c r="P286" s="465">
        <f t="shared" si="47"/>
        <v>0</v>
      </c>
      <c r="Q286" s="606" t="str">
        <f t="shared" si="48"/>
        <v>NO</v>
      </c>
      <c r="R286" s="180"/>
      <c r="S286" s="173"/>
      <c r="T286" s="174"/>
      <c r="U286" s="173"/>
      <c r="V286" s="220"/>
      <c r="W286" s="177">
        <f>IF(S286=0,0,IF(U286="MXN",1/HLOOKUP(YEAR(T286)+(MONTH(T286)/100),TC!$5:$37,DAY(T286)+2,FALSE),VLOOKUP(U286,Equivalencia!$1:$23,((MAX(Equivalencia!$3:$3)-YEAR(T286))*14)+MONTH(T286)+2,FALSE)))</f>
        <v>0</v>
      </c>
      <c r="X286" s="178">
        <f t="shared" si="49"/>
        <v>0</v>
      </c>
      <c r="Y286" s="178">
        <f t="shared" si="50"/>
        <v>0</v>
      </c>
      <c r="Z286" s="175">
        <f t="shared" si="42"/>
        <v>0</v>
      </c>
      <c r="AA286" s="179"/>
      <c r="AB286" s="467">
        <f t="shared" si="43"/>
        <v>0</v>
      </c>
      <c r="AC286" s="466">
        <f t="shared" si="44"/>
        <v>0</v>
      </c>
    </row>
    <row r="287" spans="2:29" ht="20.100000000000001" customHeight="1">
      <c r="B287" s="172"/>
      <c r="C287" s="172"/>
      <c r="D287" s="172"/>
      <c r="E287" s="181"/>
      <c r="F287" s="173"/>
      <c r="G287" s="174"/>
      <c r="H287" s="284"/>
      <c r="I287" s="221"/>
      <c r="J287" s="177">
        <f>IF(H287=0,0,IF(F287="MXN",1/HLOOKUP(YEAR(G287)+(MONTH(G287)/100),TC!$5:$37,DAY(G287)+2,FALSE),VLOOKUP(F287,Equivalencia!$5:$23,((MAX(Equivalencia!$3:$3)-YEAR(G287))*14)+MONTH(G287)+2,FALSE)))</f>
        <v>0</v>
      </c>
      <c r="K287" s="217">
        <f t="shared" si="45"/>
        <v>0</v>
      </c>
      <c r="L287" s="462">
        <f>IF(G287=0,0,VLOOKUP(YEAR(G287),INPC!$B$4:$O$29,MONTH(G287)+1))</f>
        <v>0</v>
      </c>
      <c r="M287" s="462">
        <f>IF(T287=0,0,VLOOKUP(YEAR(T287),INPC!$B$4:$O$29,MONTH(T287)+1))</f>
        <v>0</v>
      </c>
      <c r="N287" s="463">
        <f t="shared" si="41"/>
        <v>0</v>
      </c>
      <c r="O287" s="464">
        <f t="shared" si="46"/>
        <v>0</v>
      </c>
      <c r="P287" s="465">
        <f t="shared" si="47"/>
        <v>0</v>
      </c>
      <c r="Q287" s="606" t="str">
        <f t="shared" si="48"/>
        <v>NO</v>
      </c>
      <c r="R287" s="180"/>
      <c r="S287" s="173"/>
      <c r="T287" s="174"/>
      <c r="U287" s="173"/>
      <c r="V287" s="220"/>
      <c r="W287" s="177">
        <f>IF(S287=0,0,IF(U287="MXN",1/HLOOKUP(YEAR(T287)+(MONTH(T287)/100),TC!$5:$37,DAY(T287)+2,FALSE),VLOOKUP(U287,Equivalencia!$1:$23,((MAX(Equivalencia!$3:$3)-YEAR(T287))*14)+MONTH(T287)+2,FALSE)))</f>
        <v>0</v>
      </c>
      <c r="X287" s="178">
        <f t="shared" si="49"/>
        <v>0</v>
      </c>
      <c r="Y287" s="178">
        <f t="shared" si="50"/>
        <v>0</v>
      </c>
      <c r="Z287" s="175">
        <f t="shared" si="42"/>
        <v>0</v>
      </c>
      <c r="AA287" s="179"/>
      <c r="AB287" s="467">
        <f t="shared" si="43"/>
        <v>0</v>
      </c>
      <c r="AC287" s="466">
        <f t="shared" si="44"/>
        <v>0</v>
      </c>
    </row>
    <row r="288" spans="2:29" ht="20.100000000000001" customHeight="1">
      <c r="B288" s="172"/>
      <c r="C288" s="172"/>
      <c r="D288" s="172"/>
      <c r="E288" s="181"/>
      <c r="F288" s="173"/>
      <c r="G288" s="174"/>
      <c r="H288" s="284"/>
      <c r="I288" s="221"/>
      <c r="J288" s="177">
        <f>IF(H288=0,0,IF(F288="MXN",1/HLOOKUP(YEAR(G288)+(MONTH(G288)/100),TC!$5:$37,DAY(G288)+2,FALSE),VLOOKUP(F288,Equivalencia!$5:$23,((MAX(Equivalencia!$3:$3)-YEAR(G288))*14)+MONTH(G288)+2,FALSE)))</f>
        <v>0</v>
      </c>
      <c r="K288" s="217">
        <f t="shared" si="45"/>
        <v>0</v>
      </c>
      <c r="L288" s="462">
        <f>IF(G288=0,0,VLOOKUP(YEAR(G288),INPC!$B$4:$O$29,MONTH(G288)+1))</f>
        <v>0</v>
      </c>
      <c r="M288" s="462">
        <f>IF(T288=0,0,VLOOKUP(YEAR(T288),INPC!$B$4:$O$29,MONTH(T288)+1))</f>
        <v>0</v>
      </c>
      <c r="N288" s="463">
        <f t="shared" si="41"/>
        <v>0</v>
      </c>
      <c r="O288" s="464">
        <f t="shared" si="46"/>
        <v>0</v>
      </c>
      <c r="P288" s="465">
        <f t="shared" si="47"/>
        <v>0</v>
      </c>
      <c r="Q288" s="606" t="str">
        <f t="shared" si="48"/>
        <v>NO</v>
      </c>
      <c r="R288" s="180"/>
      <c r="S288" s="173"/>
      <c r="T288" s="174"/>
      <c r="U288" s="173"/>
      <c r="V288" s="220"/>
      <c r="W288" s="177">
        <f>IF(S288=0,0,IF(U288="MXN",1/HLOOKUP(YEAR(T288)+(MONTH(T288)/100),TC!$5:$37,DAY(T288)+2,FALSE),VLOOKUP(U288,Equivalencia!$1:$23,((MAX(Equivalencia!$3:$3)-YEAR(T288))*14)+MONTH(T288)+2,FALSE)))</f>
        <v>0</v>
      </c>
      <c r="X288" s="178">
        <f t="shared" si="49"/>
        <v>0</v>
      </c>
      <c r="Y288" s="178">
        <f t="shared" si="50"/>
        <v>0</v>
      </c>
      <c r="Z288" s="175">
        <f t="shared" si="42"/>
        <v>0</v>
      </c>
      <c r="AA288" s="179"/>
      <c r="AB288" s="467">
        <f t="shared" si="43"/>
        <v>0</v>
      </c>
      <c r="AC288" s="466">
        <f t="shared" si="44"/>
        <v>0</v>
      </c>
    </row>
    <row r="289" spans="2:29" ht="20.100000000000001" customHeight="1">
      <c r="B289" s="172"/>
      <c r="C289" s="172"/>
      <c r="D289" s="172"/>
      <c r="E289" s="181"/>
      <c r="F289" s="173"/>
      <c r="G289" s="174"/>
      <c r="H289" s="284"/>
      <c r="I289" s="221"/>
      <c r="J289" s="177">
        <f>IF(H289=0,0,IF(F289="MXN",1/HLOOKUP(YEAR(G289)+(MONTH(G289)/100),TC!$5:$37,DAY(G289)+2,FALSE),VLOOKUP(F289,Equivalencia!$5:$23,((MAX(Equivalencia!$3:$3)-YEAR(G289))*14)+MONTH(G289)+2,FALSE)))</f>
        <v>0</v>
      </c>
      <c r="K289" s="217">
        <f t="shared" si="45"/>
        <v>0</v>
      </c>
      <c r="L289" s="462">
        <f>IF(G289=0,0,VLOOKUP(YEAR(G289),INPC!$B$4:$O$29,MONTH(G289)+1))</f>
        <v>0</v>
      </c>
      <c r="M289" s="462">
        <f>IF(T289=0,0,VLOOKUP(YEAR(T289),INPC!$B$4:$O$29,MONTH(T289)+1))</f>
        <v>0</v>
      </c>
      <c r="N289" s="463">
        <f t="shared" si="41"/>
        <v>0</v>
      </c>
      <c r="O289" s="464">
        <f t="shared" si="46"/>
        <v>0</v>
      </c>
      <c r="P289" s="465">
        <f t="shared" si="47"/>
        <v>0</v>
      </c>
      <c r="Q289" s="606" t="str">
        <f t="shared" si="48"/>
        <v>NO</v>
      </c>
      <c r="R289" s="180"/>
      <c r="S289" s="173"/>
      <c r="T289" s="174"/>
      <c r="U289" s="173"/>
      <c r="V289" s="220"/>
      <c r="W289" s="177">
        <f>IF(S289=0,0,IF(U289="MXN",1/HLOOKUP(YEAR(T289)+(MONTH(T289)/100),TC!$5:$37,DAY(T289)+2,FALSE),VLOOKUP(U289,Equivalencia!$1:$23,((MAX(Equivalencia!$3:$3)-YEAR(T289))*14)+MONTH(T289)+2,FALSE)))</f>
        <v>0</v>
      </c>
      <c r="X289" s="178">
        <f t="shared" si="49"/>
        <v>0</v>
      </c>
      <c r="Y289" s="178">
        <f t="shared" si="50"/>
        <v>0</v>
      </c>
      <c r="Z289" s="175">
        <f t="shared" si="42"/>
        <v>0</v>
      </c>
      <c r="AA289" s="179"/>
      <c r="AB289" s="467">
        <f t="shared" si="43"/>
        <v>0</v>
      </c>
      <c r="AC289" s="466">
        <f t="shared" si="44"/>
        <v>0</v>
      </c>
    </row>
    <row r="290" spans="2:29" ht="20.100000000000001" customHeight="1">
      <c r="B290" s="172"/>
      <c r="C290" s="172"/>
      <c r="D290" s="172"/>
      <c r="E290" s="181"/>
      <c r="F290" s="173"/>
      <c r="G290" s="174"/>
      <c r="H290" s="284"/>
      <c r="I290" s="221"/>
      <c r="J290" s="177">
        <f>IF(H290=0,0,IF(F290="MXN",1/HLOOKUP(YEAR(G290)+(MONTH(G290)/100),TC!$5:$37,DAY(G290)+2,FALSE),VLOOKUP(F290,Equivalencia!$5:$23,((MAX(Equivalencia!$3:$3)-YEAR(G290))*14)+MONTH(G290)+2,FALSE)))</f>
        <v>0</v>
      </c>
      <c r="K290" s="217">
        <f t="shared" si="45"/>
        <v>0</v>
      </c>
      <c r="L290" s="462">
        <f>IF(G290=0,0,VLOOKUP(YEAR(G290),INPC!$B$4:$O$29,MONTH(G290)+1))</f>
        <v>0</v>
      </c>
      <c r="M290" s="462">
        <f>IF(T290=0,0,VLOOKUP(YEAR(T290),INPC!$B$4:$O$29,MONTH(T290)+1))</f>
        <v>0</v>
      </c>
      <c r="N290" s="463">
        <f t="shared" si="41"/>
        <v>0</v>
      </c>
      <c r="O290" s="464">
        <f t="shared" si="46"/>
        <v>0</v>
      </c>
      <c r="P290" s="465">
        <f t="shared" si="47"/>
        <v>0</v>
      </c>
      <c r="Q290" s="606" t="str">
        <f t="shared" si="48"/>
        <v>NO</v>
      </c>
      <c r="R290" s="180"/>
      <c r="S290" s="173"/>
      <c r="T290" s="174"/>
      <c r="U290" s="173"/>
      <c r="V290" s="220"/>
      <c r="W290" s="177">
        <f>IF(S290=0,0,IF(U290="MXN",1/HLOOKUP(YEAR(T290)+(MONTH(T290)/100),TC!$5:$37,DAY(T290)+2,FALSE),VLOOKUP(U290,Equivalencia!$1:$23,((MAX(Equivalencia!$3:$3)-YEAR(T290))*14)+MONTH(T290)+2,FALSE)))</f>
        <v>0</v>
      </c>
      <c r="X290" s="178">
        <f t="shared" si="49"/>
        <v>0</v>
      </c>
      <c r="Y290" s="178">
        <f t="shared" si="50"/>
        <v>0</v>
      </c>
      <c r="Z290" s="175">
        <f t="shared" si="42"/>
        <v>0</v>
      </c>
      <c r="AA290" s="179"/>
      <c r="AB290" s="467">
        <f t="shared" si="43"/>
        <v>0</v>
      </c>
      <c r="AC290" s="466">
        <f t="shared" si="44"/>
        <v>0</v>
      </c>
    </row>
    <row r="291" spans="2:29" ht="20.100000000000001" customHeight="1">
      <c r="B291" s="172"/>
      <c r="C291" s="172"/>
      <c r="D291" s="172"/>
      <c r="E291" s="181"/>
      <c r="F291" s="173"/>
      <c r="G291" s="174"/>
      <c r="H291" s="284"/>
      <c r="I291" s="221"/>
      <c r="J291" s="177">
        <f>IF(H291=0,0,IF(F291="MXN",1/HLOOKUP(YEAR(G291)+(MONTH(G291)/100),TC!$5:$37,DAY(G291)+2,FALSE),VLOOKUP(F291,Equivalencia!$5:$23,((MAX(Equivalencia!$3:$3)-YEAR(G291))*14)+MONTH(G291)+2,FALSE)))</f>
        <v>0</v>
      </c>
      <c r="K291" s="217">
        <f t="shared" si="45"/>
        <v>0</v>
      </c>
      <c r="L291" s="462">
        <f>IF(G291=0,0,VLOOKUP(YEAR(G291),INPC!$B$4:$O$29,MONTH(G291)+1))</f>
        <v>0</v>
      </c>
      <c r="M291" s="462">
        <f>IF(T291=0,0,VLOOKUP(YEAR(T291),INPC!$B$4:$O$29,MONTH(T291)+1))</f>
        <v>0</v>
      </c>
      <c r="N291" s="463">
        <f t="shared" si="41"/>
        <v>0</v>
      </c>
      <c r="O291" s="464">
        <f t="shared" si="46"/>
        <v>0</v>
      </c>
      <c r="P291" s="465">
        <f t="shared" si="47"/>
        <v>0</v>
      </c>
      <c r="Q291" s="606" t="str">
        <f t="shared" si="48"/>
        <v>NO</v>
      </c>
      <c r="R291" s="180"/>
      <c r="S291" s="173"/>
      <c r="T291" s="174"/>
      <c r="U291" s="173"/>
      <c r="V291" s="220"/>
      <c r="W291" s="177">
        <f>IF(S291=0,0,IF(U291="MXN",1/HLOOKUP(YEAR(T291)+(MONTH(T291)/100),TC!$5:$37,DAY(T291)+2,FALSE),VLOOKUP(U291,Equivalencia!$1:$23,((MAX(Equivalencia!$3:$3)-YEAR(T291))*14)+MONTH(T291)+2,FALSE)))</f>
        <v>0</v>
      </c>
      <c r="X291" s="178">
        <f t="shared" si="49"/>
        <v>0</v>
      </c>
      <c r="Y291" s="178">
        <f t="shared" si="50"/>
        <v>0</v>
      </c>
      <c r="Z291" s="175">
        <f t="shared" si="42"/>
        <v>0</v>
      </c>
      <c r="AA291" s="179"/>
      <c r="AB291" s="467">
        <f t="shared" si="43"/>
        <v>0</v>
      </c>
      <c r="AC291" s="466">
        <f t="shared" si="44"/>
        <v>0</v>
      </c>
    </row>
    <row r="292" spans="2:29" ht="20.100000000000001" customHeight="1">
      <c r="B292" s="172"/>
      <c r="C292" s="172"/>
      <c r="D292" s="172"/>
      <c r="E292" s="181"/>
      <c r="F292" s="173"/>
      <c r="G292" s="174"/>
      <c r="H292" s="284"/>
      <c r="I292" s="221"/>
      <c r="J292" s="177">
        <f>IF(H292=0,0,IF(F292="MXN",1/HLOOKUP(YEAR(G292)+(MONTH(G292)/100),TC!$5:$37,DAY(G292)+2,FALSE),VLOOKUP(F292,Equivalencia!$5:$23,((MAX(Equivalencia!$3:$3)-YEAR(G292))*14)+MONTH(G292)+2,FALSE)))</f>
        <v>0</v>
      </c>
      <c r="K292" s="217">
        <f t="shared" si="45"/>
        <v>0</v>
      </c>
      <c r="L292" s="462">
        <f>IF(G292=0,0,VLOOKUP(YEAR(G292),INPC!$B$4:$O$29,MONTH(G292)+1))</f>
        <v>0</v>
      </c>
      <c r="M292" s="462">
        <f>IF(T292=0,0,VLOOKUP(YEAR(T292),INPC!$B$4:$O$29,MONTH(T292)+1))</f>
        <v>0</v>
      </c>
      <c r="N292" s="463">
        <f t="shared" si="41"/>
        <v>0</v>
      </c>
      <c r="O292" s="464">
        <f t="shared" si="46"/>
        <v>0</v>
      </c>
      <c r="P292" s="465">
        <f t="shared" si="47"/>
        <v>0</v>
      </c>
      <c r="Q292" s="606" t="str">
        <f t="shared" si="48"/>
        <v>NO</v>
      </c>
      <c r="R292" s="180"/>
      <c r="S292" s="173"/>
      <c r="T292" s="174"/>
      <c r="U292" s="173"/>
      <c r="V292" s="220"/>
      <c r="W292" s="177">
        <f>IF(S292=0,0,IF(U292="MXN",1/HLOOKUP(YEAR(T292)+(MONTH(T292)/100),TC!$5:$37,DAY(T292)+2,FALSE),VLOOKUP(U292,Equivalencia!$1:$23,((MAX(Equivalencia!$3:$3)-YEAR(T292))*14)+MONTH(T292)+2,FALSE)))</f>
        <v>0</v>
      </c>
      <c r="X292" s="178">
        <f t="shared" si="49"/>
        <v>0</v>
      </c>
      <c r="Y292" s="178">
        <f t="shared" si="50"/>
        <v>0</v>
      </c>
      <c r="Z292" s="175">
        <f t="shared" si="42"/>
        <v>0</v>
      </c>
      <c r="AA292" s="179"/>
      <c r="AB292" s="467">
        <f t="shared" si="43"/>
        <v>0</v>
      </c>
      <c r="AC292" s="466">
        <f t="shared" si="44"/>
        <v>0</v>
      </c>
    </row>
    <row r="293" spans="2:29" ht="20.100000000000001" customHeight="1">
      <c r="B293" s="172"/>
      <c r="C293" s="172"/>
      <c r="D293" s="172"/>
      <c r="E293" s="181"/>
      <c r="F293" s="173"/>
      <c r="G293" s="174"/>
      <c r="H293" s="284"/>
      <c r="I293" s="221"/>
      <c r="J293" s="177">
        <f>IF(H293=0,0,IF(F293="MXN",1/HLOOKUP(YEAR(G293)+(MONTH(G293)/100),TC!$5:$37,DAY(G293)+2,FALSE),VLOOKUP(F293,Equivalencia!$5:$23,((MAX(Equivalencia!$3:$3)-YEAR(G293))*14)+MONTH(G293)+2,FALSE)))</f>
        <v>0</v>
      </c>
      <c r="K293" s="217">
        <f t="shared" si="45"/>
        <v>0</v>
      </c>
      <c r="L293" s="462">
        <f>IF(G293=0,0,VLOOKUP(YEAR(G293),INPC!$B$4:$O$29,MONTH(G293)+1))</f>
        <v>0</v>
      </c>
      <c r="M293" s="462">
        <f>IF(T293=0,0,VLOOKUP(YEAR(T293),INPC!$B$4:$O$29,MONTH(T293)+1))</f>
        <v>0</v>
      </c>
      <c r="N293" s="463">
        <f t="shared" si="41"/>
        <v>0</v>
      </c>
      <c r="O293" s="464">
        <f t="shared" si="46"/>
        <v>0</v>
      </c>
      <c r="P293" s="465">
        <f t="shared" si="47"/>
        <v>0</v>
      </c>
      <c r="Q293" s="606" t="str">
        <f t="shared" si="48"/>
        <v>NO</v>
      </c>
      <c r="R293" s="180"/>
      <c r="S293" s="173"/>
      <c r="T293" s="174"/>
      <c r="U293" s="173"/>
      <c r="V293" s="220"/>
      <c r="W293" s="177">
        <f>IF(S293=0,0,IF(U293="MXN",1/HLOOKUP(YEAR(T293)+(MONTH(T293)/100),TC!$5:$37,DAY(T293)+2,FALSE),VLOOKUP(U293,Equivalencia!$1:$23,((MAX(Equivalencia!$3:$3)-YEAR(T293))*14)+MONTH(T293)+2,FALSE)))</f>
        <v>0</v>
      </c>
      <c r="X293" s="178">
        <f t="shared" si="49"/>
        <v>0</v>
      </c>
      <c r="Y293" s="178">
        <f t="shared" si="50"/>
        <v>0</v>
      </c>
      <c r="Z293" s="175">
        <f t="shared" si="42"/>
        <v>0</v>
      </c>
      <c r="AA293" s="179"/>
      <c r="AB293" s="467">
        <f t="shared" si="43"/>
        <v>0</v>
      </c>
      <c r="AC293" s="466">
        <f t="shared" si="44"/>
        <v>0</v>
      </c>
    </row>
    <row r="294" spans="2:29" ht="20.100000000000001" customHeight="1">
      <c r="B294" s="172"/>
      <c r="C294" s="172"/>
      <c r="D294" s="172"/>
      <c r="E294" s="181"/>
      <c r="F294" s="173"/>
      <c r="G294" s="174"/>
      <c r="H294" s="284"/>
      <c r="I294" s="221"/>
      <c r="J294" s="177">
        <f>IF(H294=0,0,IF(F294="MXN",1/HLOOKUP(YEAR(G294)+(MONTH(G294)/100),TC!$5:$37,DAY(G294)+2,FALSE),VLOOKUP(F294,Equivalencia!$5:$23,((MAX(Equivalencia!$3:$3)-YEAR(G294))*14)+MONTH(G294)+2,FALSE)))</f>
        <v>0</v>
      </c>
      <c r="K294" s="217">
        <f t="shared" si="45"/>
        <v>0</v>
      </c>
      <c r="L294" s="462">
        <f>IF(G294=0,0,VLOOKUP(YEAR(G294),INPC!$B$4:$O$29,MONTH(G294)+1))</f>
        <v>0</v>
      </c>
      <c r="M294" s="462">
        <f>IF(T294=0,0,VLOOKUP(YEAR(T294),INPC!$B$4:$O$29,MONTH(T294)+1))</f>
        <v>0</v>
      </c>
      <c r="N294" s="463">
        <f t="shared" si="41"/>
        <v>0</v>
      </c>
      <c r="O294" s="464">
        <f t="shared" si="46"/>
        <v>0</v>
      </c>
      <c r="P294" s="465">
        <f t="shared" si="47"/>
        <v>0</v>
      </c>
      <c r="Q294" s="606" t="str">
        <f t="shared" si="48"/>
        <v>NO</v>
      </c>
      <c r="R294" s="180"/>
      <c r="S294" s="173"/>
      <c r="T294" s="174"/>
      <c r="U294" s="173"/>
      <c r="V294" s="220"/>
      <c r="W294" s="177">
        <f>IF(S294=0,0,IF(U294="MXN",1/HLOOKUP(YEAR(T294)+(MONTH(T294)/100),TC!$5:$37,DAY(T294)+2,FALSE),VLOOKUP(U294,Equivalencia!$1:$23,((MAX(Equivalencia!$3:$3)-YEAR(T294))*14)+MONTH(T294)+2,FALSE)))</f>
        <v>0</v>
      </c>
      <c r="X294" s="178">
        <f t="shared" si="49"/>
        <v>0</v>
      </c>
      <c r="Y294" s="178">
        <f t="shared" si="50"/>
        <v>0</v>
      </c>
      <c r="Z294" s="175">
        <f t="shared" si="42"/>
        <v>0</v>
      </c>
      <c r="AA294" s="179"/>
      <c r="AB294" s="467">
        <f t="shared" si="43"/>
        <v>0</v>
      </c>
      <c r="AC294" s="466">
        <f t="shared" si="44"/>
        <v>0</v>
      </c>
    </row>
    <row r="295" spans="2:29" ht="20.100000000000001" customHeight="1">
      <c r="B295" s="172"/>
      <c r="C295" s="172"/>
      <c r="D295" s="172"/>
      <c r="E295" s="181"/>
      <c r="F295" s="173"/>
      <c r="G295" s="174"/>
      <c r="H295" s="284"/>
      <c r="I295" s="221"/>
      <c r="J295" s="177">
        <f>IF(H295=0,0,IF(F295="MXN",1/HLOOKUP(YEAR(G295)+(MONTH(G295)/100),TC!$5:$37,DAY(G295)+2,FALSE),VLOOKUP(F295,Equivalencia!$5:$23,((MAX(Equivalencia!$3:$3)-YEAR(G295))*14)+MONTH(G295)+2,FALSE)))</f>
        <v>0</v>
      </c>
      <c r="K295" s="217">
        <f t="shared" si="45"/>
        <v>0</v>
      </c>
      <c r="L295" s="462">
        <f>IF(G295=0,0,VLOOKUP(YEAR(G295),INPC!$B$4:$O$29,MONTH(G295)+1))</f>
        <v>0</v>
      </c>
      <c r="M295" s="462">
        <f>IF(T295=0,0,VLOOKUP(YEAR(T295),INPC!$B$4:$O$29,MONTH(T295)+1))</f>
        <v>0</v>
      </c>
      <c r="N295" s="463">
        <f t="shared" si="41"/>
        <v>0</v>
      </c>
      <c r="O295" s="464">
        <f t="shared" si="46"/>
        <v>0</v>
      </c>
      <c r="P295" s="465">
        <f t="shared" si="47"/>
        <v>0</v>
      </c>
      <c r="Q295" s="606" t="str">
        <f t="shared" si="48"/>
        <v>NO</v>
      </c>
      <c r="R295" s="180"/>
      <c r="S295" s="173"/>
      <c r="T295" s="174"/>
      <c r="U295" s="173"/>
      <c r="V295" s="220"/>
      <c r="W295" s="177">
        <f>IF(S295=0,0,IF(U295="MXN",1/HLOOKUP(YEAR(T295)+(MONTH(T295)/100),TC!$5:$37,DAY(T295)+2,FALSE),VLOOKUP(U295,Equivalencia!$1:$23,((MAX(Equivalencia!$3:$3)-YEAR(T295))*14)+MONTH(T295)+2,FALSE)))</f>
        <v>0</v>
      </c>
      <c r="X295" s="178">
        <f t="shared" si="49"/>
        <v>0</v>
      </c>
      <c r="Y295" s="178">
        <f t="shared" si="50"/>
        <v>0</v>
      </c>
      <c r="Z295" s="175">
        <f t="shared" si="42"/>
        <v>0</v>
      </c>
      <c r="AA295" s="179"/>
      <c r="AB295" s="467">
        <f t="shared" si="43"/>
        <v>0</v>
      </c>
      <c r="AC295" s="466">
        <f t="shared" si="44"/>
        <v>0</v>
      </c>
    </row>
    <row r="296" spans="2:29" ht="20.100000000000001" customHeight="1">
      <c r="B296" s="172"/>
      <c r="C296" s="172"/>
      <c r="D296" s="172"/>
      <c r="E296" s="181"/>
      <c r="F296" s="173"/>
      <c r="G296" s="174"/>
      <c r="H296" s="284"/>
      <c r="I296" s="221"/>
      <c r="J296" s="177">
        <f>IF(H296=0,0,IF(F296="MXN",1/HLOOKUP(YEAR(G296)+(MONTH(G296)/100),TC!$5:$37,DAY(G296)+2,FALSE),VLOOKUP(F296,Equivalencia!$5:$23,((MAX(Equivalencia!$3:$3)-YEAR(G296))*14)+MONTH(G296)+2,FALSE)))</f>
        <v>0</v>
      </c>
      <c r="K296" s="217">
        <f t="shared" si="45"/>
        <v>0</v>
      </c>
      <c r="L296" s="462">
        <f>IF(G296=0,0,VLOOKUP(YEAR(G296),INPC!$B$4:$O$29,MONTH(G296)+1))</f>
        <v>0</v>
      </c>
      <c r="M296" s="462">
        <f>IF(T296=0,0,VLOOKUP(YEAR(T296),INPC!$B$4:$O$29,MONTH(T296)+1))</f>
        <v>0</v>
      </c>
      <c r="N296" s="463">
        <f t="shared" si="41"/>
        <v>0</v>
      </c>
      <c r="O296" s="464">
        <f t="shared" si="46"/>
        <v>0</v>
      </c>
      <c r="P296" s="465">
        <f t="shared" si="47"/>
        <v>0</v>
      </c>
      <c r="Q296" s="606" t="str">
        <f t="shared" si="48"/>
        <v>NO</v>
      </c>
      <c r="R296" s="180"/>
      <c r="S296" s="173"/>
      <c r="T296" s="174"/>
      <c r="U296" s="173"/>
      <c r="V296" s="220"/>
      <c r="W296" s="177">
        <f>IF(S296=0,0,IF(U296="MXN",1/HLOOKUP(YEAR(T296)+(MONTH(T296)/100),TC!$5:$37,DAY(T296)+2,FALSE),VLOOKUP(U296,Equivalencia!$1:$23,((MAX(Equivalencia!$3:$3)-YEAR(T296))*14)+MONTH(T296)+2,FALSE)))</f>
        <v>0</v>
      </c>
      <c r="X296" s="178">
        <f t="shared" si="49"/>
        <v>0</v>
      </c>
      <c r="Y296" s="178">
        <f t="shared" si="50"/>
        <v>0</v>
      </c>
      <c r="Z296" s="175">
        <f t="shared" si="42"/>
        <v>0</v>
      </c>
      <c r="AA296" s="179"/>
      <c r="AB296" s="467">
        <f t="shared" si="43"/>
        <v>0</v>
      </c>
      <c r="AC296" s="466">
        <f t="shared" si="44"/>
        <v>0</v>
      </c>
    </row>
    <row r="297" spans="2:29" ht="20.100000000000001" customHeight="1">
      <c r="B297" s="172"/>
      <c r="C297" s="172"/>
      <c r="D297" s="172"/>
      <c r="E297" s="181"/>
      <c r="F297" s="173"/>
      <c r="G297" s="174"/>
      <c r="H297" s="284"/>
      <c r="I297" s="221"/>
      <c r="J297" s="177">
        <f>IF(H297=0,0,IF(F297="MXN",1/HLOOKUP(YEAR(G297)+(MONTH(G297)/100),TC!$5:$37,DAY(G297)+2,FALSE),VLOOKUP(F297,Equivalencia!$5:$23,((MAX(Equivalencia!$3:$3)-YEAR(G297))*14)+MONTH(G297)+2,FALSE)))</f>
        <v>0</v>
      </c>
      <c r="K297" s="217">
        <f t="shared" si="45"/>
        <v>0</v>
      </c>
      <c r="L297" s="462">
        <f>IF(G297=0,0,VLOOKUP(YEAR(G297),INPC!$B$4:$O$29,MONTH(G297)+1))</f>
        <v>0</v>
      </c>
      <c r="M297" s="462">
        <f>IF(T297=0,0,VLOOKUP(YEAR(T297),INPC!$B$4:$O$29,MONTH(T297)+1))</f>
        <v>0</v>
      </c>
      <c r="N297" s="463">
        <f t="shared" si="41"/>
        <v>0</v>
      </c>
      <c r="O297" s="464">
        <f t="shared" si="46"/>
        <v>0</v>
      </c>
      <c r="P297" s="465">
        <f t="shared" si="47"/>
        <v>0</v>
      </c>
      <c r="Q297" s="606" t="str">
        <f t="shared" si="48"/>
        <v>NO</v>
      </c>
      <c r="R297" s="180"/>
      <c r="S297" s="173"/>
      <c r="T297" s="174"/>
      <c r="U297" s="173"/>
      <c r="V297" s="220"/>
      <c r="W297" s="177">
        <f>IF(S297=0,0,IF(U297="MXN",1/HLOOKUP(YEAR(T297)+(MONTH(T297)/100),TC!$5:$37,DAY(T297)+2,FALSE),VLOOKUP(U297,Equivalencia!$1:$23,((MAX(Equivalencia!$3:$3)-YEAR(T297))*14)+MONTH(T297)+2,FALSE)))</f>
        <v>0</v>
      </c>
      <c r="X297" s="178">
        <f t="shared" si="49"/>
        <v>0</v>
      </c>
      <c r="Y297" s="178">
        <f t="shared" si="50"/>
        <v>0</v>
      </c>
      <c r="Z297" s="175">
        <f t="shared" si="42"/>
        <v>0</v>
      </c>
      <c r="AA297" s="179"/>
      <c r="AB297" s="467">
        <f t="shared" si="43"/>
        <v>0</v>
      </c>
      <c r="AC297" s="466">
        <f t="shared" si="44"/>
        <v>0</v>
      </c>
    </row>
    <row r="298" spans="2:29" ht="20.100000000000001" customHeight="1">
      <c r="B298" s="172"/>
      <c r="C298" s="172"/>
      <c r="D298" s="172"/>
      <c r="E298" s="181"/>
      <c r="F298" s="173"/>
      <c r="G298" s="174"/>
      <c r="H298" s="284"/>
      <c r="I298" s="221"/>
      <c r="J298" s="177">
        <f>IF(H298=0,0,IF(F298="MXN",1/HLOOKUP(YEAR(G298)+(MONTH(G298)/100),TC!$5:$37,DAY(G298)+2,FALSE),VLOOKUP(F298,Equivalencia!$5:$23,((MAX(Equivalencia!$3:$3)-YEAR(G298))*14)+MONTH(G298)+2,FALSE)))</f>
        <v>0</v>
      </c>
      <c r="K298" s="217">
        <f t="shared" si="45"/>
        <v>0</v>
      </c>
      <c r="L298" s="462">
        <f>IF(G298=0,0,VLOOKUP(YEAR(G298),INPC!$B$4:$O$29,MONTH(G298)+1))</f>
        <v>0</v>
      </c>
      <c r="M298" s="462">
        <f>IF(T298=0,0,VLOOKUP(YEAR(T298),INPC!$B$4:$O$29,MONTH(T298)+1))</f>
        <v>0</v>
      </c>
      <c r="N298" s="463">
        <f t="shared" si="41"/>
        <v>0</v>
      </c>
      <c r="O298" s="464">
        <f t="shared" si="46"/>
        <v>0</v>
      </c>
      <c r="P298" s="465">
        <f t="shared" si="47"/>
        <v>0</v>
      </c>
      <c r="Q298" s="606" t="str">
        <f t="shared" si="48"/>
        <v>NO</v>
      </c>
      <c r="R298" s="180"/>
      <c r="S298" s="173"/>
      <c r="T298" s="174"/>
      <c r="U298" s="173"/>
      <c r="V298" s="220"/>
      <c r="W298" s="177">
        <f>IF(S298=0,0,IF(U298="MXN",1/HLOOKUP(YEAR(T298)+(MONTH(T298)/100),TC!$5:$37,DAY(T298)+2,FALSE),VLOOKUP(U298,Equivalencia!$1:$23,((MAX(Equivalencia!$3:$3)-YEAR(T298))*14)+MONTH(T298)+2,FALSE)))</f>
        <v>0</v>
      </c>
      <c r="X298" s="178">
        <f t="shared" si="49"/>
        <v>0</v>
      </c>
      <c r="Y298" s="178">
        <f t="shared" si="50"/>
        <v>0</v>
      </c>
      <c r="Z298" s="175">
        <f t="shared" si="42"/>
        <v>0</v>
      </c>
      <c r="AA298" s="179"/>
      <c r="AB298" s="467">
        <f t="shared" si="43"/>
        <v>0</v>
      </c>
      <c r="AC298" s="466">
        <f t="shared" si="44"/>
        <v>0</v>
      </c>
    </row>
    <row r="299" spans="2:29" ht="20.100000000000001" customHeight="1">
      <c r="B299" s="172"/>
      <c r="C299" s="172"/>
      <c r="D299" s="172"/>
      <c r="E299" s="181"/>
      <c r="F299" s="173"/>
      <c r="G299" s="174"/>
      <c r="H299" s="284"/>
      <c r="I299" s="221"/>
      <c r="J299" s="177">
        <f>IF(H299=0,0,IF(F299="MXN",1/HLOOKUP(YEAR(G299)+(MONTH(G299)/100),TC!$5:$37,DAY(G299)+2,FALSE),VLOOKUP(F299,Equivalencia!$5:$23,((MAX(Equivalencia!$3:$3)-YEAR(G299))*14)+MONTH(G299)+2,FALSE)))</f>
        <v>0</v>
      </c>
      <c r="K299" s="217">
        <f t="shared" si="45"/>
        <v>0</v>
      </c>
      <c r="L299" s="462">
        <f>IF(G299=0,0,VLOOKUP(YEAR(G299),INPC!$B$4:$O$29,MONTH(G299)+1))</f>
        <v>0</v>
      </c>
      <c r="M299" s="462">
        <f>IF(T299=0,0,VLOOKUP(YEAR(T299),INPC!$B$4:$O$29,MONTH(T299)+1))</f>
        <v>0</v>
      </c>
      <c r="N299" s="463">
        <f t="shared" si="41"/>
        <v>0</v>
      </c>
      <c r="O299" s="464">
        <f t="shared" si="46"/>
        <v>0</v>
      </c>
      <c r="P299" s="465">
        <f t="shared" si="47"/>
        <v>0</v>
      </c>
      <c r="Q299" s="606" t="str">
        <f t="shared" si="48"/>
        <v>NO</v>
      </c>
      <c r="R299" s="180"/>
      <c r="S299" s="173"/>
      <c r="T299" s="174"/>
      <c r="U299" s="173"/>
      <c r="V299" s="220"/>
      <c r="W299" s="177">
        <f>IF(S299=0,0,IF(U299="MXN",1/HLOOKUP(YEAR(T299)+(MONTH(T299)/100),TC!$5:$37,DAY(T299)+2,FALSE),VLOOKUP(U299,Equivalencia!$1:$23,((MAX(Equivalencia!$3:$3)-YEAR(T299))*14)+MONTH(T299)+2,FALSE)))</f>
        <v>0</v>
      </c>
      <c r="X299" s="178">
        <f t="shared" si="49"/>
        <v>0</v>
      </c>
      <c r="Y299" s="178">
        <f t="shared" si="50"/>
        <v>0</v>
      </c>
      <c r="Z299" s="175">
        <f t="shared" si="42"/>
        <v>0</v>
      </c>
      <c r="AA299" s="179"/>
      <c r="AB299" s="467">
        <f t="shared" si="43"/>
        <v>0</v>
      </c>
      <c r="AC299" s="466">
        <f t="shared" si="44"/>
        <v>0</v>
      </c>
    </row>
    <row r="300" spans="2:29" ht="20.100000000000001" customHeight="1">
      <c r="B300" s="172"/>
      <c r="C300" s="172"/>
      <c r="D300" s="172"/>
      <c r="E300" s="181"/>
      <c r="F300" s="173"/>
      <c r="G300" s="174"/>
      <c r="H300" s="284"/>
      <c r="I300" s="221"/>
      <c r="J300" s="177">
        <f>IF(H300=0,0,IF(F300="MXN",1/HLOOKUP(YEAR(G300)+(MONTH(G300)/100),TC!$5:$37,DAY(G300)+2,FALSE),VLOOKUP(F300,Equivalencia!$5:$23,((MAX(Equivalencia!$3:$3)-YEAR(G300))*14)+MONTH(G300)+2,FALSE)))</f>
        <v>0</v>
      </c>
      <c r="K300" s="217">
        <f t="shared" si="45"/>
        <v>0</v>
      </c>
      <c r="L300" s="462">
        <f>IF(G300=0,0,VLOOKUP(YEAR(G300),INPC!$B$4:$O$29,MONTH(G300)+1))</f>
        <v>0</v>
      </c>
      <c r="M300" s="462">
        <f>IF(T300=0,0,VLOOKUP(YEAR(T300),INPC!$B$4:$O$29,MONTH(T300)+1))</f>
        <v>0</v>
      </c>
      <c r="N300" s="463">
        <f t="shared" si="41"/>
        <v>0</v>
      </c>
      <c r="O300" s="464">
        <f t="shared" si="46"/>
        <v>0</v>
      </c>
      <c r="P300" s="465">
        <f t="shared" si="47"/>
        <v>0</v>
      </c>
      <c r="Q300" s="606" t="str">
        <f t="shared" si="48"/>
        <v>NO</v>
      </c>
      <c r="R300" s="180"/>
      <c r="S300" s="173"/>
      <c r="T300" s="174"/>
      <c r="U300" s="173"/>
      <c r="V300" s="220"/>
      <c r="W300" s="177">
        <f>IF(S300=0,0,IF(U300="MXN",1/HLOOKUP(YEAR(T300)+(MONTH(T300)/100),TC!$5:$37,DAY(T300)+2,FALSE),VLOOKUP(U300,Equivalencia!$1:$23,((MAX(Equivalencia!$3:$3)-YEAR(T300))*14)+MONTH(T300)+2,FALSE)))</f>
        <v>0</v>
      </c>
      <c r="X300" s="178">
        <f t="shared" si="49"/>
        <v>0</v>
      </c>
      <c r="Y300" s="178">
        <f t="shared" si="50"/>
        <v>0</v>
      </c>
      <c r="Z300" s="175">
        <f t="shared" si="42"/>
        <v>0</v>
      </c>
      <c r="AA300" s="179"/>
      <c r="AB300" s="467">
        <f t="shared" si="43"/>
        <v>0</v>
      </c>
      <c r="AC300" s="466">
        <f t="shared" si="44"/>
        <v>0</v>
      </c>
    </row>
    <row r="301" spans="2:29" ht="20.100000000000001" customHeight="1">
      <c r="B301" s="172"/>
      <c r="C301" s="172"/>
      <c r="D301" s="172"/>
      <c r="E301" s="181"/>
      <c r="F301" s="173"/>
      <c r="G301" s="174"/>
      <c r="H301" s="284"/>
      <c r="I301" s="221"/>
      <c r="J301" s="177">
        <f>IF(H301=0,0,IF(F301="MXN",1/HLOOKUP(YEAR(G301)+(MONTH(G301)/100),TC!$5:$37,DAY(G301)+2,FALSE),VLOOKUP(F301,Equivalencia!$5:$23,((MAX(Equivalencia!$3:$3)-YEAR(G301))*14)+MONTH(G301)+2,FALSE)))</f>
        <v>0</v>
      </c>
      <c r="K301" s="217">
        <f t="shared" si="45"/>
        <v>0</v>
      </c>
      <c r="L301" s="462">
        <f>IF(G301=0,0,VLOOKUP(YEAR(G301),INPC!$B$4:$O$29,MONTH(G301)+1))</f>
        <v>0</v>
      </c>
      <c r="M301" s="462">
        <f>IF(T301=0,0,VLOOKUP(YEAR(T301),INPC!$B$4:$O$29,MONTH(T301)+1))</f>
        <v>0</v>
      </c>
      <c r="N301" s="463">
        <f t="shared" si="41"/>
        <v>0</v>
      </c>
      <c r="O301" s="464">
        <f t="shared" si="46"/>
        <v>0</v>
      </c>
      <c r="P301" s="465">
        <f t="shared" si="47"/>
        <v>0</v>
      </c>
      <c r="Q301" s="606" t="str">
        <f t="shared" si="48"/>
        <v>NO</v>
      </c>
      <c r="R301" s="180"/>
      <c r="S301" s="173"/>
      <c r="T301" s="174"/>
      <c r="U301" s="173"/>
      <c r="V301" s="220"/>
      <c r="W301" s="177">
        <f>IF(S301=0,0,IF(U301="MXN",1/HLOOKUP(YEAR(T301)+(MONTH(T301)/100),TC!$5:$37,DAY(T301)+2,FALSE),VLOOKUP(U301,Equivalencia!$1:$23,((MAX(Equivalencia!$3:$3)-YEAR(T301))*14)+MONTH(T301)+2,FALSE)))</f>
        <v>0</v>
      </c>
      <c r="X301" s="178">
        <f t="shared" si="49"/>
        <v>0</v>
      </c>
      <c r="Y301" s="178">
        <f t="shared" si="50"/>
        <v>0</v>
      </c>
      <c r="Z301" s="175">
        <f t="shared" si="42"/>
        <v>0</v>
      </c>
      <c r="AA301" s="179"/>
      <c r="AB301" s="467">
        <f t="shared" si="43"/>
        <v>0</v>
      </c>
      <c r="AC301" s="466">
        <f t="shared" si="44"/>
        <v>0</v>
      </c>
    </row>
    <row r="302" spans="2:29" ht="20.100000000000001" customHeight="1">
      <c r="B302" s="172"/>
      <c r="C302" s="172"/>
      <c r="D302" s="172"/>
      <c r="E302" s="181"/>
      <c r="F302" s="173"/>
      <c r="G302" s="174"/>
      <c r="H302" s="284"/>
      <c r="I302" s="221"/>
      <c r="J302" s="177">
        <f>IF(H302=0,0,IF(F302="MXN",1/HLOOKUP(YEAR(G302)+(MONTH(G302)/100),TC!$5:$37,DAY(G302)+2,FALSE),VLOOKUP(F302,Equivalencia!$5:$23,((MAX(Equivalencia!$3:$3)-YEAR(G302))*14)+MONTH(G302)+2,FALSE)))</f>
        <v>0</v>
      </c>
      <c r="K302" s="217">
        <f t="shared" si="45"/>
        <v>0</v>
      </c>
      <c r="L302" s="462">
        <f>IF(G302=0,0,VLOOKUP(YEAR(G302),INPC!$B$4:$O$29,MONTH(G302)+1))</f>
        <v>0</v>
      </c>
      <c r="M302" s="462">
        <f>IF(T302=0,0,VLOOKUP(YEAR(T302),INPC!$B$4:$O$29,MONTH(T302)+1))</f>
        <v>0</v>
      </c>
      <c r="N302" s="463">
        <f t="shared" si="41"/>
        <v>0</v>
      </c>
      <c r="O302" s="464">
        <f t="shared" si="46"/>
        <v>0</v>
      </c>
      <c r="P302" s="465">
        <f t="shared" si="47"/>
        <v>0</v>
      </c>
      <c r="Q302" s="606" t="str">
        <f t="shared" si="48"/>
        <v>NO</v>
      </c>
      <c r="R302" s="180"/>
      <c r="S302" s="173"/>
      <c r="T302" s="174"/>
      <c r="U302" s="173"/>
      <c r="V302" s="220"/>
      <c r="W302" s="177">
        <f>IF(S302=0,0,IF(U302="MXN",1/HLOOKUP(YEAR(T302)+(MONTH(T302)/100),TC!$5:$37,DAY(T302)+2,FALSE),VLOOKUP(U302,Equivalencia!$1:$23,((MAX(Equivalencia!$3:$3)-YEAR(T302))*14)+MONTH(T302)+2,FALSE)))</f>
        <v>0</v>
      </c>
      <c r="X302" s="178">
        <f t="shared" si="49"/>
        <v>0</v>
      </c>
      <c r="Y302" s="178">
        <f t="shared" si="50"/>
        <v>0</v>
      </c>
      <c r="Z302" s="175">
        <f t="shared" si="42"/>
        <v>0</v>
      </c>
      <c r="AA302" s="179"/>
      <c r="AB302" s="467">
        <f t="shared" si="43"/>
        <v>0</v>
      </c>
      <c r="AC302" s="466">
        <f t="shared" si="44"/>
        <v>0</v>
      </c>
    </row>
    <row r="303" spans="2:29" ht="20.100000000000001" customHeight="1">
      <c r="B303" s="172"/>
      <c r="C303" s="172"/>
      <c r="D303" s="172"/>
      <c r="E303" s="181"/>
      <c r="F303" s="173"/>
      <c r="G303" s="174"/>
      <c r="H303" s="284"/>
      <c r="I303" s="221"/>
      <c r="J303" s="177">
        <f>IF(H303=0,0,IF(F303="MXN",1/HLOOKUP(YEAR(G303)+(MONTH(G303)/100),TC!$5:$37,DAY(G303)+2,FALSE),VLOOKUP(F303,Equivalencia!$5:$23,((MAX(Equivalencia!$3:$3)-YEAR(G303))*14)+MONTH(G303)+2,FALSE)))</f>
        <v>0</v>
      </c>
      <c r="K303" s="217">
        <f t="shared" si="45"/>
        <v>0</v>
      </c>
      <c r="L303" s="462">
        <f>IF(G303=0,0,VLOOKUP(YEAR(G303),INPC!$B$4:$O$29,MONTH(G303)+1))</f>
        <v>0</v>
      </c>
      <c r="M303" s="462">
        <f>IF(T303=0,0,VLOOKUP(YEAR(T303),INPC!$B$4:$O$29,MONTH(T303)+1))</f>
        <v>0</v>
      </c>
      <c r="N303" s="463">
        <f t="shared" si="41"/>
        <v>0</v>
      </c>
      <c r="O303" s="464">
        <f t="shared" si="46"/>
        <v>0</v>
      </c>
      <c r="P303" s="465">
        <f t="shared" si="47"/>
        <v>0</v>
      </c>
      <c r="Q303" s="606" t="str">
        <f t="shared" si="48"/>
        <v>NO</v>
      </c>
      <c r="R303" s="180"/>
      <c r="S303" s="173"/>
      <c r="T303" s="174"/>
      <c r="U303" s="173"/>
      <c r="V303" s="220"/>
      <c r="W303" s="177">
        <f>IF(S303=0,0,IF(U303="MXN",1/HLOOKUP(YEAR(T303)+(MONTH(T303)/100),TC!$5:$37,DAY(T303)+2,FALSE),VLOOKUP(U303,Equivalencia!$1:$23,((MAX(Equivalencia!$3:$3)-YEAR(T303))*14)+MONTH(T303)+2,FALSE)))</f>
        <v>0</v>
      </c>
      <c r="X303" s="178">
        <f t="shared" si="49"/>
        <v>0</v>
      </c>
      <c r="Y303" s="178">
        <f t="shared" si="50"/>
        <v>0</v>
      </c>
      <c r="Z303" s="175">
        <f t="shared" si="42"/>
        <v>0</v>
      </c>
      <c r="AA303" s="179"/>
      <c r="AB303" s="467">
        <f t="shared" si="43"/>
        <v>0</v>
      </c>
      <c r="AC303" s="466">
        <f t="shared" si="44"/>
        <v>0</v>
      </c>
    </row>
    <row r="304" spans="2:29" ht="20.100000000000001" customHeight="1">
      <c r="B304" s="172"/>
      <c r="C304" s="172"/>
      <c r="D304" s="172"/>
      <c r="E304" s="181"/>
      <c r="F304" s="173"/>
      <c r="G304" s="174"/>
      <c r="H304" s="284"/>
      <c r="I304" s="221"/>
      <c r="J304" s="177">
        <f>IF(H304=0,0,IF(F304="MXN",1/HLOOKUP(YEAR(G304)+(MONTH(G304)/100),TC!$5:$37,DAY(G304)+2,FALSE),VLOOKUP(F304,Equivalencia!$5:$23,((MAX(Equivalencia!$3:$3)-YEAR(G304))*14)+MONTH(G304)+2,FALSE)))</f>
        <v>0</v>
      </c>
      <c r="K304" s="217">
        <f t="shared" si="45"/>
        <v>0</v>
      </c>
      <c r="L304" s="462">
        <f>IF(G304=0,0,VLOOKUP(YEAR(G304),INPC!$B$4:$O$29,MONTH(G304)+1))</f>
        <v>0</v>
      </c>
      <c r="M304" s="462">
        <f>IF(T304=0,0,VLOOKUP(YEAR(T304),INPC!$B$4:$O$29,MONTH(T304)+1))</f>
        <v>0</v>
      </c>
      <c r="N304" s="463">
        <f t="shared" si="41"/>
        <v>0</v>
      </c>
      <c r="O304" s="464">
        <f t="shared" si="46"/>
        <v>0</v>
      </c>
      <c r="P304" s="465">
        <f t="shared" si="47"/>
        <v>0</v>
      </c>
      <c r="Q304" s="606" t="str">
        <f t="shared" si="48"/>
        <v>NO</v>
      </c>
      <c r="R304" s="180"/>
      <c r="S304" s="173"/>
      <c r="T304" s="174"/>
      <c r="U304" s="173"/>
      <c r="V304" s="220"/>
      <c r="W304" s="177">
        <f>IF(S304=0,0,IF(U304="MXN",1/HLOOKUP(YEAR(T304)+(MONTH(T304)/100),TC!$5:$37,DAY(T304)+2,FALSE),VLOOKUP(U304,Equivalencia!$1:$23,((MAX(Equivalencia!$3:$3)-YEAR(T304))*14)+MONTH(T304)+2,FALSE)))</f>
        <v>0</v>
      </c>
      <c r="X304" s="178">
        <f t="shared" si="49"/>
        <v>0</v>
      </c>
      <c r="Y304" s="178">
        <f t="shared" si="50"/>
        <v>0</v>
      </c>
      <c r="Z304" s="175">
        <f t="shared" si="42"/>
        <v>0</v>
      </c>
      <c r="AA304" s="179"/>
      <c r="AB304" s="467">
        <f t="shared" si="43"/>
        <v>0</v>
      </c>
      <c r="AC304" s="466">
        <f t="shared" si="44"/>
        <v>0</v>
      </c>
    </row>
    <row r="305" spans="2:29" ht="20.100000000000001" customHeight="1">
      <c r="B305" s="172"/>
      <c r="C305" s="172"/>
      <c r="D305" s="172"/>
      <c r="E305" s="181"/>
      <c r="F305" s="173"/>
      <c r="G305" s="174"/>
      <c r="H305" s="284"/>
      <c r="I305" s="221"/>
      <c r="J305" s="177">
        <f>IF(H305=0,0,IF(F305="MXN",1/HLOOKUP(YEAR(G305)+(MONTH(G305)/100),TC!$5:$37,DAY(G305)+2,FALSE),VLOOKUP(F305,Equivalencia!$5:$23,((MAX(Equivalencia!$3:$3)-YEAR(G305))*14)+MONTH(G305)+2,FALSE)))</f>
        <v>0</v>
      </c>
      <c r="K305" s="217">
        <f t="shared" si="45"/>
        <v>0</v>
      </c>
      <c r="L305" s="462">
        <f>IF(G305=0,0,VLOOKUP(YEAR(G305),INPC!$B$4:$O$29,MONTH(G305)+1))</f>
        <v>0</v>
      </c>
      <c r="M305" s="462">
        <f>IF(T305=0,0,VLOOKUP(YEAR(T305),INPC!$B$4:$O$29,MONTH(T305)+1))</f>
        <v>0</v>
      </c>
      <c r="N305" s="463">
        <f t="shared" si="41"/>
        <v>0</v>
      </c>
      <c r="O305" s="464">
        <f t="shared" si="46"/>
        <v>0</v>
      </c>
      <c r="P305" s="465">
        <f t="shared" si="47"/>
        <v>0</v>
      </c>
      <c r="Q305" s="606" t="str">
        <f t="shared" si="48"/>
        <v>NO</v>
      </c>
      <c r="R305" s="180"/>
      <c r="S305" s="173"/>
      <c r="T305" s="174"/>
      <c r="U305" s="173"/>
      <c r="V305" s="220"/>
      <c r="W305" s="177">
        <f>IF(S305=0,0,IF(U305="MXN",1/HLOOKUP(YEAR(T305)+(MONTH(T305)/100),TC!$5:$37,DAY(T305)+2,FALSE),VLOOKUP(U305,Equivalencia!$1:$23,((MAX(Equivalencia!$3:$3)-YEAR(T305))*14)+MONTH(T305)+2,FALSE)))</f>
        <v>0</v>
      </c>
      <c r="X305" s="178">
        <f t="shared" si="49"/>
        <v>0</v>
      </c>
      <c r="Y305" s="178">
        <f t="shared" si="50"/>
        <v>0</v>
      </c>
      <c r="Z305" s="175">
        <f t="shared" si="42"/>
        <v>0</v>
      </c>
      <c r="AA305" s="179"/>
      <c r="AB305" s="467">
        <f t="shared" si="43"/>
        <v>0</v>
      </c>
      <c r="AC305" s="466">
        <f t="shared" si="44"/>
        <v>0</v>
      </c>
    </row>
    <row r="306" spans="2:29" ht="20.100000000000001" customHeight="1">
      <c r="B306" s="172"/>
      <c r="C306" s="172"/>
      <c r="D306" s="172"/>
      <c r="E306" s="181"/>
      <c r="F306" s="173"/>
      <c r="G306" s="174"/>
      <c r="H306" s="284"/>
      <c r="I306" s="221"/>
      <c r="J306" s="177">
        <f>IF(H306=0,0,IF(F306="MXN",1/HLOOKUP(YEAR(G306)+(MONTH(G306)/100),TC!$5:$37,DAY(G306)+2,FALSE),VLOOKUP(F306,Equivalencia!$5:$23,((MAX(Equivalencia!$3:$3)-YEAR(G306))*14)+MONTH(G306)+2,FALSE)))</f>
        <v>0</v>
      </c>
      <c r="K306" s="217">
        <f t="shared" si="45"/>
        <v>0</v>
      </c>
      <c r="L306" s="462">
        <f>IF(G306=0,0,VLOOKUP(YEAR(G306),INPC!$B$4:$O$29,MONTH(G306)+1))</f>
        <v>0</v>
      </c>
      <c r="M306" s="462">
        <f>IF(T306=0,0,VLOOKUP(YEAR(T306),INPC!$B$4:$O$29,MONTH(T306)+1))</f>
        <v>0</v>
      </c>
      <c r="N306" s="463">
        <f t="shared" si="41"/>
        <v>0</v>
      </c>
      <c r="O306" s="464">
        <f t="shared" si="46"/>
        <v>0</v>
      </c>
      <c r="P306" s="465">
        <f t="shared" si="47"/>
        <v>0</v>
      </c>
      <c r="Q306" s="606" t="str">
        <f t="shared" si="48"/>
        <v>NO</v>
      </c>
      <c r="R306" s="180"/>
      <c r="S306" s="173"/>
      <c r="T306" s="174"/>
      <c r="U306" s="173"/>
      <c r="V306" s="220"/>
      <c r="W306" s="177">
        <f>IF(S306=0,0,IF(U306="MXN",1/HLOOKUP(YEAR(T306)+(MONTH(T306)/100),TC!$5:$37,DAY(T306)+2,FALSE),VLOOKUP(U306,Equivalencia!$1:$23,((MAX(Equivalencia!$3:$3)-YEAR(T306))*14)+MONTH(T306)+2,FALSE)))</f>
        <v>0</v>
      </c>
      <c r="X306" s="178">
        <f t="shared" si="49"/>
        <v>0</v>
      </c>
      <c r="Y306" s="178">
        <f t="shared" si="50"/>
        <v>0</v>
      </c>
      <c r="Z306" s="175">
        <f t="shared" si="42"/>
        <v>0</v>
      </c>
      <c r="AA306" s="179"/>
      <c r="AB306" s="467">
        <f t="shared" si="43"/>
        <v>0</v>
      </c>
      <c r="AC306" s="466">
        <f t="shared" si="44"/>
        <v>0</v>
      </c>
    </row>
    <row r="307" spans="2:29" ht="20.100000000000001" customHeight="1">
      <c r="B307" s="172"/>
      <c r="C307" s="172"/>
      <c r="D307" s="172"/>
      <c r="E307" s="181"/>
      <c r="F307" s="173"/>
      <c r="G307" s="174"/>
      <c r="H307" s="284"/>
      <c r="I307" s="221"/>
      <c r="J307" s="177">
        <f>IF(H307=0,0,IF(F307="MXN",1/HLOOKUP(YEAR(G307)+(MONTH(G307)/100),TC!$5:$37,DAY(G307)+2,FALSE),VLOOKUP(F307,Equivalencia!$5:$23,((MAX(Equivalencia!$3:$3)-YEAR(G307))*14)+MONTH(G307)+2,FALSE)))</f>
        <v>0</v>
      </c>
      <c r="K307" s="217">
        <f t="shared" si="45"/>
        <v>0</v>
      </c>
      <c r="L307" s="462">
        <f>IF(G307=0,0,VLOOKUP(YEAR(G307),INPC!$B$4:$O$29,MONTH(G307)+1))</f>
        <v>0</v>
      </c>
      <c r="M307" s="462">
        <f>IF(T307=0,0,VLOOKUP(YEAR(T307),INPC!$B$4:$O$29,MONTH(T307)+1))</f>
        <v>0</v>
      </c>
      <c r="N307" s="463">
        <f t="shared" si="41"/>
        <v>0</v>
      </c>
      <c r="O307" s="464">
        <f t="shared" si="46"/>
        <v>0</v>
      </c>
      <c r="P307" s="465">
        <f t="shared" si="47"/>
        <v>0</v>
      </c>
      <c r="Q307" s="606" t="str">
        <f t="shared" si="48"/>
        <v>NO</v>
      </c>
      <c r="R307" s="180"/>
      <c r="S307" s="173"/>
      <c r="T307" s="174"/>
      <c r="U307" s="173"/>
      <c r="V307" s="220"/>
      <c r="W307" s="177">
        <f>IF(S307=0,0,IF(U307="MXN",1/HLOOKUP(YEAR(T307)+(MONTH(T307)/100),TC!$5:$37,DAY(T307)+2,FALSE),VLOOKUP(U307,Equivalencia!$1:$23,((MAX(Equivalencia!$3:$3)-YEAR(T307))*14)+MONTH(T307)+2,FALSE)))</f>
        <v>0</v>
      </c>
      <c r="X307" s="178">
        <f t="shared" si="49"/>
        <v>0</v>
      </c>
      <c r="Y307" s="178">
        <f t="shared" si="50"/>
        <v>0</v>
      </c>
      <c r="Z307" s="175">
        <f t="shared" si="42"/>
        <v>0</v>
      </c>
      <c r="AA307" s="179"/>
      <c r="AB307" s="467">
        <f t="shared" si="43"/>
        <v>0</v>
      </c>
      <c r="AC307" s="466">
        <f t="shared" si="44"/>
        <v>0</v>
      </c>
    </row>
    <row r="308" spans="2:29" ht="20.100000000000001" customHeight="1">
      <c r="B308" s="172"/>
      <c r="C308" s="172"/>
      <c r="D308" s="172"/>
      <c r="E308" s="181"/>
      <c r="F308" s="173"/>
      <c r="G308" s="174"/>
      <c r="H308" s="284"/>
      <c r="I308" s="221"/>
      <c r="J308" s="177">
        <f>IF(H308=0,0,IF(F308="MXN",1/HLOOKUP(YEAR(G308)+(MONTH(G308)/100),TC!$5:$37,DAY(G308)+2,FALSE),VLOOKUP(F308,Equivalencia!$5:$23,((MAX(Equivalencia!$3:$3)-YEAR(G308))*14)+MONTH(G308)+2,FALSE)))</f>
        <v>0</v>
      </c>
      <c r="K308" s="217">
        <f t="shared" si="45"/>
        <v>0</v>
      </c>
      <c r="L308" s="462">
        <f>IF(G308=0,0,VLOOKUP(YEAR(G308),INPC!$B$4:$O$29,MONTH(G308)+1))</f>
        <v>0</v>
      </c>
      <c r="M308" s="462">
        <f>IF(T308=0,0,VLOOKUP(YEAR(T308),INPC!$B$4:$O$29,MONTH(T308)+1))</f>
        <v>0</v>
      </c>
      <c r="N308" s="463">
        <f t="shared" si="41"/>
        <v>0</v>
      </c>
      <c r="O308" s="464">
        <f t="shared" si="46"/>
        <v>0</v>
      </c>
      <c r="P308" s="465">
        <f t="shared" si="47"/>
        <v>0</v>
      </c>
      <c r="Q308" s="606" t="str">
        <f t="shared" si="48"/>
        <v>NO</v>
      </c>
      <c r="R308" s="180"/>
      <c r="S308" s="173"/>
      <c r="T308" s="174"/>
      <c r="U308" s="173"/>
      <c r="V308" s="220"/>
      <c r="W308" s="177">
        <f>IF(S308=0,0,IF(U308="MXN",1/HLOOKUP(YEAR(T308)+(MONTH(T308)/100),TC!$5:$37,DAY(T308)+2,FALSE),VLOOKUP(U308,Equivalencia!$1:$23,((MAX(Equivalencia!$3:$3)-YEAR(T308))*14)+MONTH(T308)+2,FALSE)))</f>
        <v>0</v>
      </c>
      <c r="X308" s="178">
        <f t="shared" si="49"/>
        <v>0</v>
      </c>
      <c r="Y308" s="178">
        <f t="shared" si="50"/>
        <v>0</v>
      </c>
      <c r="Z308" s="175">
        <f t="shared" si="42"/>
        <v>0</v>
      </c>
      <c r="AA308" s="179"/>
      <c r="AB308" s="467">
        <f t="shared" si="43"/>
        <v>0</v>
      </c>
      <c r="AC308" s="466">
        <f t="shared" si="44"/>
        <v>0</v>
      </c>
    </row>
    <row r="309" spans="2:29" ht="20.100000000000001" customHeight="1">
      <c r="B309" s="172"/>
      <c r="C309" s="172"/>
      <c r="D309" s="172"/>
      <c r="E309" s="181"/>
      <c r="F309" s="173"/>
      <c r="G309" s="174"/>
      <c r="H309" s="284"/>
      <c r="I309" s="221"/>
      <c r="J309" s="177">
        <f>IF(H309=0,0,IF(F309="MXN",1/HLOOKUP(YEAR(G309)+(MONTH(G309)/100),TC!$5:$37,DAY(G309)+2,FALSE),VLOOKUP(F309,Equivalencia!$5:$23,((MAX(Equivalencia!$3:$3)-YEAR(G309))*14)+MONTH(G309)+2,FALSE)))</f>
        <v>0</v>
      </c>
      <c r="K309" s="217">
        <f t="shared" si="45"/>
        <v>0</v>
      </c>
      <c r="L309" s="462">
        <f>IF(G309=0,0,VLOOKUP(YEAR(G309),INPC!$B$4:$O$29,MONTH(G309)+1))</f>
        <v>0</v>
      </c>
      <c r="M309" s="462">
        <f>IF(T309=0,0,VLOOKUP(YEAR(T309),INPC!$B$4:$O$29,MONTH(T309)+1))</f>
        <v>0</v>
      </c>
      <c r="N309" s="463">
        <f t="shared" si="41"/>
        <v>0</v>
      </c>
      <c r="O309" s="464">
        <f t="shared" si="46"/>
        <v>0</v>
      </c>
      <c r="P309" s="465">
        <f t="shared" si="47"/>
        <v>0</v>
      </c>
      <c r="Q309" s="606" t="str">
        <f t="shared" si="48"/>
        <v>NO</v>
      </c>
      <c r="R309" s="180"/>
      <c r="S309" s="173"/>
      <c r="T309" s="174"/>
      <c r="U309" s="173"/>
      <c r="V309" s="220"/>
      <c r="W309" s="177">
        <f>IF(S309=0,0,IF(U309="MXN",1/HLOOKUP(YEAR(T309)+(MONTH(T309)/100),TC!$5:$37,DAY(T309)+2,FALSE),VLOOKUP(U309,Equivalencia!$1:$23,((MAX(Equivalencia!$3:$3)-YEAR(T309))*14)+MONTH(T309)+2,FALSE)))</f>
        <v>0</v>
      </c>
      <c r="X309" s="178">
        <f t="shared" si="49"/>
        <v>0</v>
      </c>
      <c r="Y309" s="178">
        <f t="shared" si="50"/>
        <v>0</v>
      </c>
      <c r="Z309" s="175">
        <f t="shared" si="42"/>
        <v>0</v>
      </c>
      <c r="AA309" s="179"/>
      <c r="AB309" s="467">
        <f t="shared" si="43"/>
        <v>0</v>
      </c>
      <c r="AC309" s="466">
        <f t="shared" si="44"/>
        <v>0</v>
      </c>
    </row>
    <row r="310" spans="2:29" ht="20.100000000000001" customHeight="1">
      <c r="B310" s="172"/>
      <c r="C310" s="172"/>
      <c r="D310" s="172"/>
      <c r="E310" s="181"/>
      <c r="F310" s="173"/>
      <c r="G310" s="174"/>
      <c r="H310" s="284"/>
      <c r="I310" s="221"/>
      <c r="J310" s="177">
        <f>IF(H310=0,0,IF(F310="MXN",1/HLOOKUP(YEAR(G310)+(MONTH(G310)/100),TC!$5:$37,DAY(G310)+2,FALSE),VLOOKUP(F310,Equivalencia!$5:$23,((MAX(Equivalencia!$3:$3)-YEAR(G310))*14)+MONTH(G310)+2,FALSE)))</f>
        <v>0</v>
      </c>
      <c r="K310" s="217">
        <f t="shared" si="45"/>
        <v>0</v>
      </c>
      <c r="L310" s="462">
        <f>IF(G310=0,0,VLOOKUP(YEAR(G310),INPC!$B$4:$O$29,MONTH(G310)+1))</f>
        <v>0</v>
      </c>
      <c r="M310" s="462">
        <f>IF(T310=0,0,VLOOKUP(YEAR(T310),INPC!$B$4:$O$29,MONTH(T310)+1))</f>
        <v>0</v>
      </c>
      <c r="N310" s="463">
        <f t="shared" si="41"/>
        <v>0</v>
      </c>
      <c r="O310" s="464">
        <f t="shared" si="46"/>
        <v>0</v>
      </c>
      <c r="P310" s="465">
        <f t="shared" si="47"/>
        <v>0</v>
      </c>
      <c r="Q310" s="606" t="str">
        <f t="shared" si="48"/>
        <v>NO</v>
      </c>
      <c r="R310" s="180"/>
      <c r="S310" s="173"/>
      <c r="T310" s="174"/>
      <c r="U310" s="173"/>
      <c r="V310" s="220"/>
      <c r="W310" s="177">
        <f>IF(S310=0,0,IF(U310="MXN",1/HLOOKUP(YEAR(T310)+(MONTH(T310)/100),TC!$5:$37,DAY(T310)+2,FALSE),VLOOKUP(U310,Equivalencia!$1:$23,((MAX(Equivalencia!$3:$3)-YEAR(T310))*14)+MONTH(T310)+2,FALSE)))</f>
        <v>0</v>
      </c>
      <c r="X310" s="178">
        <f t="shared" si="49"/>
        <v>0</v>
      </c>
      <c r="Y310" s="178">
        <f t="shared" si="50"/>
        <v>0</v>
      </c>
      <c r="Z310" s="175">
        <f t="shared" si="42"/>
        <v>0</v>
      </c>
      <c r="AA310" s="179"/>
      <c r="AB310" s="467">
        <f t="shared" si="43"/>
        <v>0</v>
      </c>
      <c r="AC310" s="466">
        <f t="shared" si="44"/>
        <v>0</v>
      </c>
    </row>
    <row r="311" spans="2:29" ht="20.100000000000001" customHeight="1">
      <c r="B311" s="172"/>
      <c r="C311" s="172"/>
      <c r="D311" s="172"/>
      <c r="E311" s="181"/>
      <c r="F311" s="173"/>
      <c r="G311" s="174"/>
      <c r="H311" s="284"/>
      <c r="I311" s="221"/>
      <c r="J311" s="177">
        <f>IF(H311=0,0,IF(F311="MXN",1/HLOOKUP(YEAR(G311)+(MONTH(G311)/100),TC!$5:$37,DAY(G311)+2,FALSE),VLOOKUP(F311,Equivalencia!$5:$23,((MAX(Equivalencia!$3:$3)-YEAR(G311))*14)+MONTH(G311)+2,FALSE)))</f>
        <v>0</v>
      </c>
      <c r="K311" s="217">
        <f t="shared" si="45"/>
        <v>0</v>
      </c>
      <c r="L311" s="462">
        <f>IF(G311=0,0,VLOOKUP(YEAR(G311),INPC!$B$4:$O$29,MONTH(G311)+1))</f>
        <v>0</v>
      </c>
      <c r="M311" s="462">
        <f>IF(T311=0,0,VLOOKUP(YEAR(T311),INPC!$B$4:$O$29,MONTH(T311)+1))</f>
        <v>0</v>
      </c>
      <c r="N311" s="463">
        <f t="shared" si="41"/>
        <v>0</v>
      </c>
      <c r="O311" s="464">
        <f t="shared" si="46"/>
        <v>0</v>
      </c>
      <c r="P311" s="465">
        <f t="shared" si="47"/>
        <v>0</v>
      </c>
      <c r="Q311" s="606" t="str">
        <f t="shared" si="48"/>
        <v>NO</v>
      </c>
      <c r="R311" s="180"/>
      <c r="S311" s="173"/>
      <c r="T311" s="174"/>
      <c r="U311" s="173"/>
      <c r="V311" s="220"/>
      <c r="W311" s="177">
        <f>IF(S311=0,0,IF(U311="MXN",1/HLOOKUP(YEAR(T311)+(MONTH(T311)/100),TC!$5:$37,DAY(T311)+2,FALSE),VLOOKUP(U311,Equivalencia!$1:$23,((MAX(Equivalencia!$3:$3)-YEAR(T311))*14)+MONTH(T311)+2,FALSE)))</f>
        <v>0</v>
      </c>
      <c r="X311" s="178">
        <f t="shared" si="49"/>
        <v>0</v>
      </c>
      <c r="Y311" s="178">
        <f t="shared" si="50"/>
        <v>0</v>
      </c>
      <c r="Z311" s="175">
        <f t="shared" si="42"/>
        <v>0</v>
      </c>
      <c r="AA311" s="179"/>
      <c r="AB311" s="467">
        <f t="shared" si="43"/>
        <v>0</v>
      </c>
      <c r="AC311" s="466">
        <f t="shared" si="44"/>
        <v>0</v>
      </c>
    </row>
    <row r="312" spans="2:29" ht="20.100000000000001" customHeight="1">
      <c r="B312" s="172"/>
      <c r="C312" s="172"/>
      <c r="D312" s="172"/>
      <c r="E312" s="181"/>
      <c r="F312" s="173"/>
      <c r="G312" s="174"/>
      <c r="H312" s="284"/>
      <c r="I312" s="221"/>
      <c r="J312" s="177">
        <f>IF(H312=0,0,IF(F312="MXN",1/HLOOKUP(YEAR(G312)+(MONTH(G312)/100),TC!$5:$37,DAY(G312)+2,FALSE),VLOOKUP(F312,Equivalencia!$5:$23,((MAX(Equivalencia!$3:$3)-YEAR(G312))*14)+MONTH(G312)+2,FALSE)))</f>
        <v>0</v>
      </c>
      <c r="K312" s="217">
        <f t="shared" si="45"/>
        <v>0</v>
      </c>
      <c r="L312" s="462">
        <f>IF(G312=0,0,VLOOKUP(YEAR(G312),INPC!$B$4:$O$29,MONTH(G312)+1))</f>
        <v>0</v>
      </c>
      <c r="M312" s="462">
        <f>IF(T312=0,0,VLOOKUP(YEAR(T312),INPC!$B$4:$O$29,MONTH(T312)+1))</f>
        <v>0</v>
      </c>
      <c r="N312" s="463">
        <f t="shared" si="41"/>
        <v>0</v>
      </c>
      <c r="O312" s="464">
        <f t="shared" si="46"/>
        <v>0</v>
      </c>
      <c r="P312" s="465">
        <f t="shared" si="47"/>
        <v>0</v>
      </c>
      <c r="Q312" s="606" t="str">
        <f t="shared" si="48"/>
        <v>NO</v>
      </c>
      <c r="R312" s="180"/>
      <c r="S312" s="173"/>
      <c r="T312" s="174"/>
      <c r="U312" s="173"/>
      <c r="V312" s="220"/>
      <c r="W312" s="177">
        <f>IF(S312=0,0,IF(U312="MXN",1/HLOOKUP(YEAR(T312)+(MONTH(T312)/100),TC!$5:$37,DAY(T312)+2,FALSE),VLOOKUP(U312,Equivalencia!$1:$23,((MAX(Equivalencia!$3:$3)-YEAR(T312))*14)+MONTH(T312)+2,FALSE)))</f>
        <v>0</v>
      </c>
      <c r="X312" s="178">
        <f t="shared" si="49"/>
        <v>0</v>
      </c>
      <c r="Y312" s="178">
        <f t="shared" si="50"/>
        <v>0</v>
      </c>
      <c r="Z312" s="175">
        <f t="shared" si="42"/>
        <v>0</v>
      </c>
      <c r="AA312" s="179"/>
      <c r="AB312" s="467">
        <f t="shared" si="43"/>
        <v>0</v>
      </c>
      <c r="AC312" s="466">
        <f t="shared" si="44"/>
        <v>0</v>
      </c>
    </row>
    <row r="313" spans="2:29" ht="20.100000000000001" customHeight="1">
      <c r="B313" s="172"/>
      <c r="C313" s="172"/>
      <c r="D313" s="172"/>
      <c r="E313" s="181"/>
      <c r="F313" s="173"/>
      <c r="G313" s="174"/>
      <c r="H313" s="284"/>
      <c r="I313" s="221"/>
      <c r="J313" s="177">
        <f>IF(H313=0,0,IF(F313="MXN",1/HLOOKUP(YEAR(G313)+(MONTH(G313)/100),TC!$5:$37,DAY(G313)+2,FALSE),VLOOKUP(F313,Equivalencia!$5:$23,((MAX(Equivalencia!$3:$3)-YEAR(G313))*14)+MONTH(G313)+2,FALSE)))</f>
        <v>0</v>
      </c>
      <c r="K313" s="217">
        <f t="shared" si="45"/>
        <v>0</v>
      </c>
      <c r="L313" s="462">
        <f>IF(G313=0,0,VLOOKUP(YEAR(G313),INPC!$B$4:$O$29,MONTH(G313)+1))</f>
        <v>0</v>
      </c>
      <c r="M313" s="462">
        <f>IF(T313=0,0,VLOOKUP(YEAR(T313),INPC!$B$4:$O$29,MONTH(T313)+1))</f>
        <v>0</v>
      </c>
      <c r="N313" s="463">
        <f t="shared" si="41"/>
        <v>0</v>
      </c>
      <c r="O313" s="464">
        <f t="shared" si="46"/>
        <v>0</v>
      </c>
      <c r="P313" s="465">
        <f t="shared" si="47"/>
        <v>0</v>
      </c>
      <c r="Q313" s="606" t="str">
        <f t="shared" si="48"/>
        <v>NO</v>
      </c>
      <c r="R313" s="180"/>
      <c r="S313" s="173"/>
      <c r="T313" s="174"/>
      <c r="U313" s="173"/>
      <c r="V313" s="220"/>
      <c r="W313" s="177">
        <f>IF(S313=0,0,IF(U313="MXN",1/HLOOKUP(YEAR(T313)+(MONTH(T313)/100),TC!$5:$37,DAY(T313)+2,FALSE),VLOOKUP(U313,Equivalencia!$1:$23,((MAX(Equivalencia!$3:$3)-YEAR(T313))*14)+MONTH(T313)+2,FALSE)))</f>
        <v>0</v>
      </c>
      <c r="X313" s="178">
        <f t="shared" si="49"/>
        <v>0</v>
      </c>
      <c r="Y313" s="178">
        <f t="shared" si="50"/>
        <v>0</v>
      </c>
      <c r="Z313" s="175">
        <f t="shared" si="42"/>
        <v>0</v>
      </c>
      <c r="AA313" s="179"/>
      <c r="AB313" s="467">
        <f t="shared" si="43"/>
        <v>0</v>
      </c>
      <c r="AC313" s="466">
        <f t="shared" si="44"/>
        <v>0</v>
      </c>
    </row>
    <row r="314" spans="2:29" ht="20.100000000000001" customHeight="1">
      <c r="B314" s="172"/>
      <c r="C314" s="172"/>
      <c r="D314" s="172"/>
      <c r="E314" s="181"/>
      <c r="F314" s="173"/>
      <c r="G314" s="174"/>
      <c r="H314" s="284"/>
      <c r="I314" s="221"/>
      <c r="J314" s="177">
        <f>IF(H314=0,0,IF(F314="MXN",1/HLOOKUP(YEAR(G314)+(MONTH(G314)/100),TC!$5:$37,DAY(G314)+2,FALSE),VLOOKUP(F314,Equivalencia!$5:$23,((MAX(Equivalencia!$3:$3)-YEAR(G314))*14)+MONTH(G314)+2,FALSE)))</f>
        <v>0</v>
      </c>
      <c r="K314" s="217">
        <f t="shared" si="45"/>
        <v>0</v>
      </c>
      <c r="L314" s="462">
        <f>IF(G314=0,0,VLOOKUP(YEAR(G314),INPC!$B$4:$O$29,MONTH(G314)+1))</f>
        <v>0</v>
      </c>
      <c r="M314" s="462">
        <f>IF(T314=0,0,VLOOKUP(YEAR(T314),INPC!$B$4:$O$29,MONTH(T314)+1))</f>
        <v>0</v>
      </c>
      <c r="N314" s="463">
        <f t="shared" si="41"/>
        <v>0</v>
      </c>
      <c r="O314" s="464">
        <f t="shared" si="46"/>
        <v>0</v>
      </c>
      <c r="P314" s="465">
        <f t="shared" si="47"/>
        <v>0</v>
      </c>
      <c r="Q314" s="606" t="str">
        <f t="shared" si="48"/>
        <v>NO</v>
      </c>
      <c r="R314" s="180"/>
      <c r="S314" s="173"/>
      <c r="T314" s="174"/>
      <c r="U314" s="173"/>
      <c r="V314" s="220"/>
      <c r="W314" s="177">
        <f>IF(S314=0,0,IF(U314="MXN",1/HLOOKUP(YEAR(T314)+(MONTH(T314)/100),TC!$5:$37,DAY(T314)+2,FALSE),VLOOKUP(U314,Equivalencia!$1:$23,((MAX(Equivalencia!$3:$3)-YEAR(T314))*14)+MONTH(T314)+2,FALSE)))</f>
        <v>0</v>
      </c>
      <c r="X314" s="178">
        <f t="shared" si="49"/>
        <v>0</v>
      </c>
      <c r="Y314" s="178">
        <f t="shared" si="50"/>
        <v>0</v>
      </c>
      <c r="Z314" s="175">
        <f t="shared" si="42"/>
        <v>0</v>
      </c>
      <c r="AA314" s="179"/>
      <c r="AB314" s="467">
        <f t="shared" si="43"/>
        <v>0</v>
      </c>
      <c r="AC314" s="466">
        <f t="shared" si="44"/>
        <v>0</v>
      </c>
    </row>
    <row r="315" spans="2:29" ht="20.100000000000001" customHeight="1">
      <c r="B315" s="172"/>
      <c r="C315" s="172"/>
      <c r="D315" s="172"/>
      <c r="E315" s="181"/>
      <c r="F315" s="173"/>
      <c r="G315" s="174"/>
      <c r="H315" s="284"/>
      <c r="I315" s="221"/>
      <c r="J315" s="177">
        <f>IF(H315=0,0,IF(F315="MXN",1/HLOOKUP(YEAR(G315)+(MONTH(G315)/100),TC!$5:$37,DAY(G315)+2,FALSE),VLOOKUP(F315,Equivalencia!$5:$23,((MAX(Equivalencia!$3:$3)-YEAR(G315))*14)+MONTH(G315)+2,FALSE)))</f>
        <v>0</v>
      </c>
      <c r="K315" s="217">
        <f t="shared" si="45"/>
        <v>0</v>
      </c>
      <c r="L315" s="462">
        <f>IF(G315=0,0,VLOOKUP(YEAR(G315),INPC!$B$4:$O$29,MONTH(G315)+1))</f>
        <v>0</v>
      </c>
      <c r="M315" s="462">
        <f>IF(T315=0,0,VLOOKUP(YEAR(T315),INPC!$B$4:$O$29,MONTH(T315)+1))</f>
        <v>0</v>
      </c>
      <c r="N315" s="463">
        <f t="shared" si="41"/>
        <v>0</v>
      </c>
      <c r="O315" s="464">
        <f t="shared" si="46"/>
        <v>0</v>
      </c>
      <c r="P315" s="465">
        <f t="shared" si="47"/>
        <v>0</v>
      </c>
      <c r="Q315" s="606" t="str">
        <f t="shared" si="48"/>
        <v>NO</v>
      </c>
      <c r="R315" s="180"/>
      <c r="S315" s="173"/>
      <c r="T315" s="174"/>
      <c r="U315" s="173"/>
      <c r="V315" s="220"/>
      <c r="W315" s="177">
        <f>IF(S315=0,0,IF(U315="MXN",1/HLOOKUP(YEAR(T315)+(MONTH(T315)/100),TC!$5:$37,DAY(T315)+2,FALSE),VLOOKUP(U315,Equivalencia!$1:$23,((MAX(Equivalencia!$3:$3)-YEAR(T315))*14)+MONTH(T315)+2,FALSE)))</f>
        <v>0</v>
      </c>
      <c r="X315" s="178">
        <f t="shared" si="49"/>
        <v>0</v>
      </c>
      <c r="Y315" s="178">
        <f t="shared" si="50"/>
        <v>0</v>
      </c>
      <c r="Z315" s="175">
        <f t="shared" si="42"/>
        <v>0</v>
      </c>
      <c r="AA315" s="179"/>
      <c r="AB315" s="467">
        <f t="shared" si="43"/>
        <v>0</v>
      </c>
      <c r="AC315" s="466">
        <f t="shared" si="44"/>
        <v>0</v>
      </c>
    </row>
    <row r="316" spans="2:29" ht="20.100000000000001" customHeight="1">
      <c r="B316" s="172"/>
      <c r="C316" s="172"/>
      <c r="D316" s="172"/>
      <c r="E316" s="181"/>
      <c r="F316" s="173"/>
      <c r="G316" s="174"/>
      <c r="H316" s="284"/>
      <c r="I316" s="221"/>
      <c r="J316" s="177">
        <f>IF(H316=0,0,IF(F316="MXN",1/HLOOKUP(YEAR(G316)+(MONTH(G316)/100),TC!$5:$37,DAY(G316)+2,FALSE),VLOOKUP(F316,Equivalencia!$5:$23,((MAX(Equivalencia!$3:$3)-YEAR(G316))*14)+MONTH(G316)+2,FALSE)))</f>
        <v>0</v>
      </c>
      <c r="K316" s="217">
        <f t="shared" si="45"/>
        <v>0</v>
      </c>
      <c r="L316" s="462">
        <f>IF(G316=0,0,VLOOKUP(YEAR(G316),INPC!$B$4:$O$29,MONTH(G316)+1))</f>
        <v>0</v>
      </c>
      <c r="M316" s="462">
        <f>IF(T316=0,0,VLOOKUP(YEAR(T316),INPC!$B$4:$O$29,MONTH(T316)+1))</f>
        <v>0</v>
      </c>
      <c r="N316" s="463">
        <f t="shared" si="41"/>
        <v>0</v>
      </c>
      <c r="O316" s="464">
        <f t="shared" si="46"/>
        <v>0</v>
      </c>
      <c r="P316" s="465">
        <f t="shared" si="47"/>
        <v>0</v>
      </c>
      <c r="Q316" s="606" t="str">
        <f t="shared" si="48"/>
        <v>NO</v>
      </c>
      <c r="R316" s="180"/>
      <c r="S316" s="173"/>
      <c r="T316" s="174"/>
      <c r="U316" s="173"/>
      <c r="V316" s="220"/>
      <c r="W316" s="177">
        <f>IF(S316=0,0,IF(U316="MXN",1/HLOOKUP(YEAR(T316)+(MONTH(T316)/100),TC!$5:$37,DAY(T316)+2,FALSE),VLOOKUP(U316,Equivalencia!$1:$23,((MAX(Equivalencia!$3:$3)-YEAR(T316))*14)+MONTH(T316)+2,FALSE)))</f>
        <v>0</v>
      </c>
      <c r="X316" s="178">
        <f t="shared" si="49"/>
        <v>0</v>
      </c>
      <c r="Y316" s="178">
        <f t="shared" si="50"/>
        <v>0</v>
      </c>
      <c r="Z316" s="175">
        <f t="shared" si="42"/>
        <v>0</v>
      </c>
      <c r="AA316" s="179"/>
      <c r="AB316" s="467">
        <f t="shared" si="43"/>
        <v>0</v>
      </c>
      <c r="AC316" s="466">
        <f t="shared" si="44"/>
        <v>0</v>
      </c>
    </row>
    <row r="317" spans="2:29" ht="20.100000000000001" customHeight="1">
      <c r="B317" s="172"/>
      <c r="C317" s="172"/>
      <c r="D317" s="172"/>
      <c r="E317" s="181"/>
      <c r="F317" s="173"/>
      <c r="G317" s="174"/>
      <c r="H317" s="284"/>
      <c r="I317" s="221"/>
      <c r="J317" s="177">
        <f>IF(H317=0,0,IF(F317="MXN",1/HLOOKUP(YEAR(G317)+(MONTH(G317)/100),TC!$5:$37,DAY(G317)+2,FALSE),VLOOKUP(F317,Equivalencia!$5:$23,((MAX(Equivalencia!$3:$3)-YEAR(G317))*14)+MONTH(G317)+2,FALSE)))</f>
        <v>0</v>
      </c>
      <c r="K317" s="217">
        <f t="shared" si="45"/>
        <v>0</v>
      </c>
      <c r="L317" s="462">
        <f>IF(G317=0,0,VLOOKUP(YEAR(G317),INPC!$B$4:$O$29,MONTH(G317)+1))</f>
        <v>0</v>
      </c>
      <c r="M317" s="462">
        <f>IF(T317=0,0,VLOOKUP(YEAR(T317),INPC!$B$4:$O$29,MONTH(T317)+1))</f>
        <v>0</v>
      </c>
      <c r="N317" s="463">
        <f t="shared" si="41"/>
        <v>0</v>
      </c>
      <c r="O317" s="464">
        <f t="shared" si="46"/>
        <v>0</v>
      </c>
      <c r="P317" s="465">
        <f t="shared" si="47"/>
        <v>0</v>
      </c>
      <c r="Q317" s="606" t="str">
        <f t="shared" si="48"/>
        <v>NO</v>
      </c>
      <c r="R317" s="180"/>
      <c r="S317" s="173"/>
      <c r="T317" s="174"/>
      <c r="U317" s="173"/>
      <c r="V317" s="220"/>
      <c r="W317" s="177">
        <f>IF(S317=0,0,IF(U317="MXN",1/HLOOKUP(YEAR(T317)+(MONTH(T317)/100),TC!$5:$37,DAY(T317)+2,FALSE),VLOOKUP(U317,Equivalencia!$1:$23,((MAX(Equivalencia!$3:$3)-YEAR(T317))*14)+MONTH(T317)+2,FALSE)))</f>
        <v>0</v>
      </c>
      <c r="X317" s="178">
        <f t="shared" si="49"/>
        <v>0</v>
      </c>
      <c r="Y317" s="178">
        <f t="shared" si="50"/>
        <v>0</v>
      </c>
      <c r="Z317" s="175">
        <f t="shared" si="42"/>
        <v>0</v>
      </c>
      <c r="AA317" s="179"/>
      <c r="AB317" s="467">
        <f t="shared" si="43"/>
        <v>0</v>
      </c>
      <c r="AC317" s="466">
        <f t="shared" si="44"/>
        <v>0</v>
      </c>
    </row>
    <row r="318" spans="2:29" ht="20.100000000000001" customHeight="1">
      <c r="B318" s="172"/>
      <c r="C318" s="172"/>
      <c r="D318" s="172"/>
      <c r="E318" s="181"/>
      <c r="F318" s="173"/>
      <c r="G318" s="174"/>
      <c r="H318" s="284"/>
      <c r="I318" s="221"/>
      <c r="J318" s="177">
        <f>IF(H318=0,0,IF(F318="MXN",1/HLOOKUP(YEAR(G318)+(MONTH(G318)/100),TC!$5:$37,DAY(G318)+2,FALSE),VLOOKUP(F318,Equivalencia!$5:$23,((MAX(Equivalencia!$3:$3)-YEAR(G318))*14)+MONTH(G318)+2,FALSE)))</f>
        <v>0</v>
      </c>
      <c r="K318" s="217">
        <f t="shared" si="45"/>
        <v>0</v>
      </c>
      <c r="L318" s="462">
        <f>IF(G318=0,0,VLOOKUP(YEAR(G318),INPC!$B$4:$O$29,MONTH(G318)+1))</f>
        <v>0</v>
      </c>
      <c r="M318" s="462">
        <f>IF(T318=0,0,VLOOKUP(YEAR(T318),INPC!$B$4:$O$29,MONTH(T318)+1))</f>
        <v>0</v>
      </c>
      <c r="N318" s="463">
        <f t="shared" si="41"/>
        <v>0</v>
      </c>
      <c r="O318" s="464">
        <f t="shared" si="46"/>
        <v>0</v>
      </c>
      <c r="P318" s="465">
        <f t="shared" si="47"/>
        <v>0</v>
      </c>
      <c r="Q318" s="606" t="str">
        <f t="shared" si="48"/>
        <v>NO</v>
      </c>
      <c r="R318" s="180"/>
      <c r="S318" s="173"/>
      <c r="T318" s="174"/>
      <c r="U318" s="173"/>
      <c r="V318" s="220"/>
      <c r="W318" s="177">
        <f>IF(S318=0,0,IF(U318="MXN",1/HLOOKUP(YEAR(T318)+(MONTH(T318)/100),TC!$5:$37,DAY(T318)+2,FALSE),VLOOKUP(U318,Equivalencia!$1:$23,((MAX(Equivalencia!$3:$3)-YEAR(T318))*14)+MONTH(T318)+2,FALSE)))</f>
        <v>0</v>
      </c>
      <c r="X318" s="178">
        <f t="shared" si="49"/>
        <v>0</v>
      </c>
      <c r="Y318" s="178">
        <f t="shared" si="50"/>
        <v>0</v>
      </c>
      <c r="Z318" s="175">
        <f t="shared" si="42"/>
        <v>0</v>
      </c>
      <c r="AA318" s="179"/>
      <c r="AB318" s="467">
        <f t="shared" si="43"/>
        <v>0</v>
      </c>
      <c r="AC318" s="466">
        <f t="shared" si="44"/>
        <v>0</v>
      </c>
    </row>
    <row r="319" spans="2:29" ht="20.100000000000001" customHeight="1">
      <c r="B319" s="172"/>
      <c r="C319" s="172"/>
      <c r="D319" s="172"/>
      <c r="E319" s="181"/>
      <c r="F319" s="173"/>
      <c r="G319" s="174"/>
      <c r="H319" s="284"/>
      <c r="I319" s="221"/>
      <c r="J319" s="177">
        <f>IF(H319=0,0,IF(F319="MXN",1/HLOOKUP(YEAR(G319)+(MONTH(G319)/100),TC!$5:$37,DAY(G319)+2,FALSE),VLOOKUP(F319,Equivalencia!$5:$23,((MAX(Equivalencia!$3:$3)-YEAR(G319))*14)+MONTH(G319)+2,FALSE)))</f>
        <v>0</v>
      </c>
      <c r="K319" s="217">
        <f t="shared" si="45"/>
        <v>0</v>
      </c>
      <c r="L319" s="462">
        <f>IF(G319=0,0,VLOOKUP(YEAR(G319),INPC!$B$4:$O$29,MONTH(G319)+1))</f>
        <v>0</v>
      </c>
      <c r="M319" s="462">
        <f>IF(T319=0,0,VLOOKUP(YEAR(T319),INPC!$B$4:$O$29,MONTH(T319)+1))</f>
        <v>0</v>
      </c>
      <c r="N319" s="463">
        <f t="shared" si="41"/>
        <v>0</v>
      </c>
      <c r="O319" s="464">
        <f t="shared" si="46"/>
        <v>0</v>
      </c>
      <c r="P319" s="465">
        <f t="shared" si="47"/>
        <v>0</v>
      </c>
      <c r="Q319" s="606" t="str">
        <f t="shared" si="48"/>
        <v>NO</v>
      </c>
      <c r="R319" s="180"/>
      <c r="S319" s="173"/>
      <c r="T319" s="174"/>
      <c r="U319" s="173"/>
      <c r="V319" s="220"/>
      <c r="W319" s="177">
        <f>IF(S319=0,0,IF(U319="MXN",1/HLOOKUP(YEAR(T319)+(MONTH(T319)/100),TC!$5:$37,DAY(T319)+2,FALSE),VLOOKUP(U319,Equivalencia!$1:$23,((MAX(Equivalencia!$3:$3)-YEAR(T319))*14)+MONTH(T319)+2,FALSE)))</f>
        <v>0</v>
      </c>
      <c r="X319" s="178">
        <f t="shared" si="49"/>
        <v>0</v>
      </c>
      <c r="Y319" s="178">
        <f t="shared" si="50"/>
        <v>0</v>
      </c>
      <c r="Z319" s="175">
        <f t="shared" si="42"/>
        <v>0</v>
      </c>
      <c r="AA319" s="179"/>
      <c r="AB319" s="467">
        <f t="shared" si="43"/>
        <v>0</v>
      </c>
      <c r="AC319" s="466">
        <f t="shared" si="44"/>
        <v>0</v>
      </c>
    </row>
    <row r="320" spans="2:29" ht="20.100000000000001" customHeight="1">
      <c r="B320" s="172"/>
      <c r="C320" s="172"/>
      <c r="D320" s="172"/>
      <c r="E320" s="181"/>
      <c r="F320" s="173"/>
      <c r="G320" s="174"/>
      <c r="H320" s="284"/>
      <c r="I320" s="221"/>
      <c r="J320" s="177">
        <f>IF(H320=0,0,IF(F320="MXN",1/HLOOKUP(YEAR(G320)+(MONTH(G320)/100),TC!$5:$37,DAY(G320)+2,FALSE),VLOOKUP(F320,Equivalencia!$5:$23,((MAX(Equivalencia!$3:$3)-YEAR(G320))*14)+MONTH(G320)+2,FALSE)))</f>
        <v>0</v>
      </c>
      <c r="K320" s="217">
        <f t="shared" si="45"/>
        <v>0</v>
      </c>
      <c r="L320" s="462">
        <f>IF(G320=0,0,VLOOKUP(YEAR(G320),INPC!$B$4:$O$29,MONTH(G320)+1))</f>
        <v>0</v>
      </c>
      <c r="M320" s="462">
        <f>IF(T320=0,0,VLOOKUP(YEAR(T320),INPC!$B$4:$O$29,MONTH(T320)+1))</f>
        <v>0</v>
      </c>
      <c r="N320" s="463">
        <f t="shared" si="41"/>
        <v>0</v>
      </c>
      <c r="O320" s="464">
        <f t="shared" si="46"/>
        <v>0</v>
      </c>
      <c r="P320" s="465">
        <f t="shared" si="47"/>
        <v>0</v>
      </c>
      <c r="Q320" s="606" t="str">
        <f t="shared" si="48"/>
        <v>NO</v>
      </c>
      <c r="R320" s="180"/>
      <c r="S320" s="173"/>
      <c r="T320" s="174"/>
      <c r="U320" s="173"/>
      <c r="V320" s="220"/>
      <c r="W320" s="177">
        <f>IF(S320=0,0,IF(U320="MXN",1/HLOOKUP(YEAR(T320)+(MONTH(T320)/100),TC!$5:$37,DAY(T320)+2,FALSE),VLOOKUP(U320,Equivalencia!$1:$23,((MAX(Equivalencia!$3:$3)-YEAR(T320))*14)+MONTH(T320)+2,FALSE)))</f>
        <v>0</v>
      </c>
      <c r="X320" s="178">
        <f t="shared" si="49"/>
        <v>0</v>
      </c>
      <c r="Y320" s="178">
        <f t="shared" si="50"/>
        <v>0</v>
      </c>
      <c r="Z320" s="175">
        <f t="shared" si="42"/>
        <v>0</v>
      </c>
      <c r="AA320" s="179"/>
      <c r="AB320" s="467">
        <f t="shared" si="43"/>
        <v>0</v>
      </c>
      <c r="AC320" s="466">
        <f t="shared" si="44"/>
        <v>0</v>
      </c>
    </row>
    <row r="321" spans="2:29" ht="20.100000000000001" customHeight="1">
      <c r="B321" s="172"/>
      <c r="C321" s="172"/>
      <c r="D321" s="172"/>
      <c r="E321" s="181"/>
      <c r="F321" s="173"/>
      <c r="G321" s="174"/>
      <c r="H321" s="284"/>
      <c r="I321" s="221"/>
      <c r="J321" s="177">
        <f>IF(H321=0,0,IF(F321="MXN",1/HLOOKUP(YEAR(G321)+(MONTH(G321)/100),TC!$5:$37,DAY(G321)+2,FALSE),VLOOKUP(F321,Equivalencia!$5:$23,((MAX(Equivalencia!$3:$3)-YEAR(G321))*14)+MONTH(G321)+2,FALSE)))</f>
        <v>0</v>
      </c>
      <c r="K321" s="217">
        <f t="shared" si="45"/>
        <v>0</v>
      </c>
      <c r="L321" s="462">
        <f>IF(G321=0,0,VLOOKUP(YEAR(G321),INPC!$B$4:$O$29,MONTH(G321)+1))</f>
        <v>0</v>
      </c>
      <c r="M321" s="462">
        <f>IF(T321=0,0,VLOOKUP(YEAR(T321),INPC!$B$4:$O$29,MONTH(T321)+1))</f>
        <v>0</v>
      </c>
      <c r="N321" s="463">
        <f t="shared" si="41"/>
        <v>0</v>
      </c>
      <c r="O321" s="464">
        <f t="shared" si="46"/>
        <v>0</v>
      </c>
      <c r="P321" s="465">
        <f t="shared" si="47"/>
        <v>0</v>
      </c>
      <c r="Q321" s="606" t="str">
        <f t="shared" si="48"/>
        <v>NO</v>
      </c>
      <c r="R321" s="180"/>
      <c r="S321" s="173"/>
      <c r="T321" s="174"/>
      <c r="U321" s="173"/>
      <c r="V321" s="220"/>
      <c r="W321" s="177">
        <f>IF(S321=0,0,IF(U321="MXN",1/HLOOKUP(YEAR(T321)+(MONTH(T321)/100),TC!$5:$37,DAY(T321)+2,FALSE),VLOOKUP(U321,Equivalencia!$1:$23,((MAX(Equivalencia!$3:$3)-YEAR(T321))*14)+MONTH(T321)+2,FALSE)))</f>
        <v>0</v>
      </c>
      <c r="X321" s="178">
        <f t="shared" si="49"/>
        <v>0</v>
      </c>
      <c r="Y321" s="178">
        <f t="shared" si="50"/>
        <v>0</v>
      </c>
      <c r="Z321" s="175">
        <f t="shared" si="42"/>
        <v>0</v>
      </c>
      <c r="AA321" s="179"/>
      <c r="AB321" s="467">
        <f t="shared" si="43"/>
        <v>0</v>
      </c>
      <c r="AC321" s="466">
        <f t="shared" si="44"/>
        <v>0</v>
      </c>
    </row>
    <row r="322" spans="2:29" ht="20.100000000000001" customHeight="1">
      <c r="B322" s="172"/>
      <c r="C322" s="172"/>
      <c r="D322" s="172"/>
      <c r="E322" s="181"/>
      <c r="F322" s="173"/>
      <c r="G322" s="174"/>
      <c r="H322" s="284"/>
      <c r="I322" s="221"/>
      <c r="J322" s="177">
        <f>IF(H322=0,0,IF(F322="MXN",1/HLOOKUP(YEAR(G322)+(MONTH(G322)/100),TC!$5:$37,DAY(G322)+2,FALSE),VLOOKUP(F322,Equivalencia!$5:$23,((MAX(Equivalencia!$3:$3)-YEAR(G322))*14)+MONTH(G322)+2,FALSE)))</f>
        <v>0</v>
      </c>
      <c r="K322" s="217">
        <f t="shared" si="45"/>
        <v>0</v>
      </c>
      <c r="L322" s="462">
        <f>IF(G322=0,0,VLOOKUP(YEAR(G322),INPC!$B$4:$O$29,MONTH(G322)+1))</f>
        <v>0</v>
      </c>
      <c r="M322" s="462">
        <f>IF(T322=0,0,VLOOKUP(YEAR(T322),INPC!$B$4:$O$29,MONTH(T322)+1))</f>
        <v>0</v>
      </c>
      <c r="N322" s="463">
        <f t="shared" ref="N322:N385" si="51">IF(T322=0,0,IF(TRUNC(M322/L322,4)&gt;=1,TRUNC(M322/L322,4),1))</f>
        <v>0</v>
      </c>
      <c r="O322" s="464">
        <f t="shared" si="46"/>
        <v>0</v>
      </c>
      <c r="P322" s="465">
        <f t="shared" si="47"/>
        <v>0</v>
      </c>
      <c r="Q322" s="606" t="str">
        <f t="shared" si="48"/>
        <v>NO</v>
      </c>
      <c r="R322" s="180"/>
      <c r="S322" s="173"/>
      <c r="T322" s="174"/>
      <c r="U322" s="173"/>
      <c r="V322" s="220"/>
      <c r="W322" s="177">
        <f>IF(S322=0,0,IF(U322="MXN",1/HLOOKUP(YEAR(T322)+(MONTH(T322)/100),TC!$5:$37,DAY(T322)+2,FALSE),VLOOKUP(U322,Equivalencia!$1:$23,((MAX(Equivalencia!$3:$3)-YEAR(T322))*14)+MONTH(T322)+2,FALSE)))</f>
        <v>0</v>
      </c>
      <c r="X322" s="178">
        <f t="shared" si="49"/>
        <v>0</v>
      </c>
      <c r="Y322" s="178">
        <f t="shared" si="50"/>
        <v>0</v>
      </c>
      <c r="Z322" s="175">
        <f t="shared" ref="Z322:Z385" si="52">+X322+Y322</f>
        <v>0</v>
      </c>
      <c r="AA322" s="179"/>
      <c r="AB322" s="467">
        <f t="shared" ref="AB322:AB385" si="53">+X322+AC322</f>
        <v>0</v>
      </c>
      <c r="AC322" s="466">
        <f t="shared" ref="AC322:AC385" si="54">+R322*P322</f>
        <v>0</v>
      </c>
    </row>
    <row r="323" spans="2:29" ht="20.100000000000001" customHeight="1">
      <c r="B323" s="172"/>
      <c r="C323" s="172"/>
      <c r="D323" s="172"/>
      <c r="E323" s="181"/>
      <c r="F323" s="173"/>
      <c r="G323" s="174"/>
      <c r="H323" s="284"/>
      <c r="I323" s="221"/>
      <c r="J323" s="177">
        <f>IF(H323=0,0,IF(F323="MXN",1/HLOOKUP(YEAR(G323)+(MONTH(G323)/100),TC!$5:$37,DAY(G323)+2,FALSE),VLOOKUP(F323,Equivalencia!$5:$23,((MAX(Equivalencia!$3:$3)-YEAR(G323))*14)+MONTH(G323)+2,FALSE)))</f>
        <v>0</v>
      </c>
      <c r="K323" s="217">
        <f t="shared" ref="K323:K386" si="55">+I323*J323</f>
        <v>0</v>
      </c>
      <c r="L323" s="462">
        <f>IF(G323=0,0,VLOOKUP(YEAR(G323),INPC!$B$4:$O$29,MONTH(G323)+1))</f>
        <v>0</v>
      </c>
      <c r="M323" s="462">
        <f>IF(T323=0,0,VLOOKUP(YEAR(T323),INPC!$B$4:$O$29,MONTH(T323)+1))</f>
        <v>0</v>
      </c>
      <c r="N323" s="463">
        <f t="shared" si="51"/>
        <v>0</v>
      </c>
      <c r="O323" s="464">
        <f t="shared" ref="O323:O386" si="56">+N323*K323</f>
        <v>0</v>
      </c>
      <c r="P323" s="465">
        <f t="shared" ref="P323:P386" si="57">IF(R323=0,0,O323/R323)</f>
        <v>0</v>
      </c>
      <c r="Q323" s="606" t="str">
        <f t="shared" ref="Q323:Q386" si="58">IF(T323=0,"NO","SI")</f>
        <v>NO</v>
      </c>
      <c r="R323" s="180"/>
      <c r="S323" s="173"/>
      <c r="T323" s="174"/>
      <c r="U323" s="173"/>
      <c r="V323" s="220"/>
      <c r="W323" s="177">
        <f>IF(S323=0,0,IF(U323="MXN",1/HLOOKUP(YEAR(T323)+(MONTH(T323)/100),TC!$5:$37,DAY(T323)+2,FALSE),VLOOKUP(U323,Equivalencia!$1:$23,((MAX(Equivalencia!$3:$3)-YEAR(T323))*14)+MONTH(T323)+2,FALSE)))</f>
        <v>0</v>
      </c>
      <c r="X323" s="178">
        <f t="shared" ref="X323:X386" si="59">+W323*V323</f>
        <v>0</v>
      </c>
      <c r="Y323" s="178">
        <f t="shared" ref="Y323:Y386" si="60">+K323</f>
        <v>0</v>
      </c>
      <c r="Z323" s="175">
        <f t="shared" si="52"/>
        <v>0</v>
      </c>
      <c r="AA323" s="179"/>
      <c r="AB323" s="467">
        <f t="shared" si="53"/>
        <v>0</v>
      </c>
      <c r="AC323" s="466">
        <f t="shared" si="54"/>
        <v>0</v>
      </c>
    </row>
    <row r="324" spans="2:29" ht="20.100000000000001" customHeight="1">
      <c r="B324" s="172"/>
      <c r="C324" s="172"/>
      <c r="D324" s="172"/>
      <c r="E324" s="181"/>
      <c r="F324" s="173"/>
      <c r="G324" s="174"/>
      <c r="H324" s="284"/>
      <c r="I324" s="221"/>
      <c r="J324" s="177">
        <f>IF(H324=0,0,IF(F324="MXN",1/HLOOKUP(YEAR(G324)+(MONTH(G324)/100),TC!$5:$37,DAY(G324)+2,FALSE),VLOOKUP(F324,Equivalencia!$5:$23,((MAX(Equivalencia!$3:$3)-YEAR(G324))*14)+MONTH(G324)+2,FALSE)))</f>
        <v>0</v>
      </c>
      <c r="K324" s="217">
        <f t="shared" si="55"/>
        <v>0</v>
      </c>
      <c r="L324" s="462">
        <f>IF(G324=0,0,VLOOKUP(YEAR(G324),INPC!$B$4:$O$29,MONTH(G324)+1))</f>
        <v>0</v>
      </c>
      <c r="M324" s="462">
        <f>IF(T324=0,0,VLOOKUP(YEAR(T324),INPC!$B$4:$O$29,MONTH(T324)+1))</f>
        <v>0</v>
      </c>
      <c r="N324" s="463">
        <f t="shared" si="51"/>
        <v>0</v>
      </c>
      <c r="O324" s="464">
        <f t="shared" si="56"/>
        <v>0</v>
      </c>
      <c r="P324" s="465">
        <f t="shared" si="57"/>
        <v>0</v>
      </c>
      <c r="Q324" s="606" t="str">
        <f t="shared" si="58"/>
        <v>NO</v>
      </c>
      <c r="R324" s="180"/>
      <c r="S324" s="173"/>
      <c r="T324" s="174"/>
      <c r="U324" s="173"/>
      <c r="V324" s="220"/>
      <c r="W324" s="177">
        <f>IF(S324=0,0,IF(U324="MXN",1/HLOOKUP(YEAR(T324)+(MONTH(T324)/100),TC!$5:$37,DAY(T324)+2,FALSE),VLOOKUP(U324,Equivalencia!$1:$23,((MAX(Equivalencia!$3:$3)-YEAR(T324))*14)+MONTH(T324)+2,FALSE)))</f>
        <v>0</v>
      </c>
      <c r="X324" s="178">
        <f t="shared" si="59"/>
        <v>0</v>
      </c>
      <c r="Y324" s="178">
        <f t="shared" si="60"/>
        <v>0</v>
      </c>
      <c r="Z324" s="175">
        <f t="shared" si="52"/>
        <v>0</v>
      </c>
      <c r="AA324" s="179"/>
      <c r="AB324" s="467">
        <f t="shared" si="53"/>
        <v>0</v>
      </c>
      <c r="AC324" s="466">
        <f t="shared" si="54"/>
        <v>0</v>
      </c>
    </row>
    <row r="325" spans="2:29" ht="20.100000000000001" customHeight="1">
      <c r="B325" s="172"/>
      <c r="C325" s="172"/>
      <c r="D325" s="172"/>
      <c r="E325" s="181"/>
      <c r="F325" s="173"/>
      <c r="G325" s="174"/>
      <c r="H325" s="284"/>
      <c r="I325" s="221"/>
      <c r="J325" s="177">
        <f>IF(H325=0,0,IF(F325="MXN",1/HLOOKUP(YEAR(G325)+(MONTH(G325)/100),TC!$5:$37,DAY(G325)+2,FALSE),VLOOKUP(F325,Equivalencia!$5:$23,((MAX(Equivalencia!$3:$3)-YEAR(G325))*14)+MONTH(G325)+2,FALSE)))</f>
        <v>0</v>
      </c>
      <c r="K325" s="217">
        <f t="shared" si="55"/>
        <v>0</v>
      </c>
      <c r="L325" s="462">
        <f>IF(G325=0,0,VLOOKUP(YEAR(G325),INPC!$B$4:$O$29,MONTH(G325)+1))</f>
        <v>0</v>
      </c>
      <c r="M325" s="462">
        <f>IF(T325=0,0,VLOOKUP(YEAR(T325),INPC!$B$4:$O$29,MONTH(T325)+1))</f>
        <v>0</v>
      </c>
      <c r="N325" s="463">
        <f t="shared" si="51"/>
        <v>0</v>
      </c>
      <c r="O325" s="464">
        <f t="shared" si="56"/>
        <v>0</v>
      </c>
      <c r="P325" s="465">
        <f t="shared" si="57"/>
        <v>0</v>
      </c>
      <c r="Q325" s="606" t="str">
        <f t="shared" si="58"/>
        <v>NO</v>
      </c>
      <c r="R325" s="180"/>
      <c r="S325" s="173"/>
      <c r="T325" s="174"/>
      <c r="U325" s="173"/>
      <c r="V325" s="220"/>
      <c r="W325" s="177">
        <f>IF(S325=0,0,IF(U325="MXN",1/HLOOKUP(YEAR(T325)+(MONTH(T325)/100),TC!$5:$37,DAY(T325)+2,FALSE),VLOOKUP(U325,Equivalencia!$1:$23,((MAX(Equivalencia!$3:$3)-YEAR(T325))*14)+MONTH(T325)+2,FALSE)))</f>
        <v>0</v>
      </c>
      <c r="X325" s="178">
        <f t="shared" si="59"/>
        <v>0</v>
      </c>
      <c r="Y325" s="178">
        <f t="shared" si="60"/>
        <v>0</v>
      </c>
      <c r="Z325" s="175">
        <f t="shared" si="52"/>
        <v>0</v>
      </c>
      <c r="AA325" s="179"/>
      <c r="AB325" s="467">
        <f t="shared" si="53"/>
        <v>0</v>
      </c>
      <c r="AC325" s="466">
        <f t="shared" si="54"/>
        <v>0</v>
      </c>
    </row>
    <row r="326" spans="2:29" ht="20.100000000000001" customHeight="1">
      <c r="B326" s="172"/>
      <c r="C326" s="172"/>
      <c r="D326" s="172"/>
      <c r="E326" s="181"/>
      <c r="F326" s="173"/>
      <c r="G326" s="174"/>
      <c r="H326" s="284"/>
      <c r="I326" s="221"/>
      <c r="J326" s="177">
        <f>IF(H326=0,0,IF(F326="MXN",1/HLOOKUP(YEAR(G326)+(MONTH(G326)/100),TC!$5:$37,DAY(G326)+2,FALSE),VLOOKUP(F326,Equivalencia!$5:$23,((MAX(Equivalencia!$3:$3)-YEAR(G326))*14)+MONTH(G326)+2,FALSE)))</f>
        <v>0</v>
      </c>
      <c r="K326" s="217">
        <f t="shared" si="55"/>
        <v>0</v>
      </c>
      <c r="L326" s="462">
        <f>IF(G326=0,0,VLOOKUP(YEAR(G326),INPC!$B$4:$O$29,MONTH(G326)+1))</f>
        <v>0</v>
      </c>
      <c r="M326" s="462">
        <f>IF(T326=0,0,VLOOKUP(YEAR(T326),INPC!$B$4:$O$29,MONTH(T326)+1))</f>
        <v>0</v>
      </c>
      <c r="N326" s="463">
        <f t="shared" si="51"/>
        <v>0</v>
      </c>
      <c r="O326" s="464">
        <f t="shared" si="56"/>
        <v>0</v>
      </c>
      <c r="P326" s="465">
        <f t="shared" si="57"/>
        <v>0</v>
      </c>
      <c r="Q326" s="606" t="str">
        <f t="shared" si="58"/>
        <v>NO</v>
      </c>
      <c r="R326" s="180"/>
      <c r="S326" s="173"/>
      <c r="T326" s="174"/>
      <c r="U326" s="173"/>
      <c r="V326" s="220"/>
      <c r="W326" s="177">
        <f>IF(S326=0,0,IF(U326="MXN",1/HLOOKUP(YEAR(T326)+(MONTH(T326)/100),TC!$5:$37,DAY(T326)+2,FALSE),VLOOKUP(U326,Equivalencia!$1:$23,((MAX(Equivalencia!$3:$3)-YEAR(T326))*14)+MONTH(T326)+2,FALSE)))</f>
        <v>0</v>
      </c>
      <c r="X326" s="178">
        <f t="shared" si="59"/>
        <v>0</v>
      </c>
      <c r="Y326" s="178">
        <f t="shared" si="60"/>
        <v>0</v>
      </c>
      <c r="Z326" s="175">
        <f t="shared" si="52"/>
        <v>0</v>
      </c>
      <c r="AA326" s="179"/>
      <c r="AB326" s="467">
        <f t="shared" si="53"/>
        <v>0</v>
      </c>
      <c r="AC326" s="466">
        <f t="shared" si="54"/>
        <v>0</v>
      </c>
    </row>
    <row r="327" spans="2:29" ht="20.100000000000001" customHeight="1">
      <c r="B327" s="172"/>
      <c r="C327" s="172"/>
      <c r="D327" s="172"/>
      <c r="E327" s="181"/>
      <c r="F327" s="173"/>
      <c r="G327" s="174"/>
      <c r="H327" s="284"/>
      <c r="I327" s="221"/>
      <c r="J327" s="177">
        <f>IF(H327=0,0,IF(F327="MXN",1/HLOOKUP(YEAR(G327)+(MONTH(G327)/100),TC!$5:$37,DAY(G327)+2,FALSE),VLOOKUP(F327,Equivalencia!$5:$23,((MAX(Equivalencia!$3:$3)-YEAR(G327))*14)+MONTH(G327)+2,FALSE)))</f>
        <v>0</v>
      </c>
      <c r="K327" s="217">
        <f t="shared" si="55"/>
        <v>0</v>
      </c>
      <c r="L327" s="462">
        <f>IF(G327=0,0,VLOOKUP(YEAR(G327),INPC!$B$4:$O$29,MONTH(G327)+1))</f>
        <v>0</v>
      </c>
      <c r="M327" s="462">
        <f>IF(T327=0,0,VLOOKUP(YEAR(T327),INPC!$B$4:$O$29,MONTH(T327)+1))</f>
        <v>0</v>
      </c>
      <c r="N327" s="463">
        <f t="shared" si="51"/>
        <v>0</v>
      </c>
      <c r="O327" s="464">
        <f t="shared" si="56"/>
        <v>0</v>
      </c>
      <c r="P327" s="465">
        <f t="shared" si="57"/>
        <v>0</v>
      </c>
      <c r="Q327" s="606" t="str">
        <f t="shared" si="58"/>
        <v>NO</v>
      </c>
      <c r="R327" s="180"/>
      <c r="S327" s="173"/>
      <c r="T327" s="174"/>
      <c r="U327" s="173"/>
      <c r="V327" s="220"/>
      <c r="W327" s="177">
        <f>IF(S327=0,0,IF(U327="MXN",1/HLOOKUP(YEAR(T327)+(MONTH(T327)/100),TC!$5:$37,DAY(T327)+2,FALSE),VLOOKUP(U327,Equivalencia!$1:$23,((MAX(Equivalencia!$3:$3)-YEAR(T327))*14)+MONTH(T327)+2,FALSE)))</f>
        <v>0</v>
      </c>
      <c r="X327" s="178">
        <f t="shared" si="59"/>
        <v>0</v>
      </c>
      <c r="Y327" s="178">
        <f t="shared" si="60"/>
        <v>0</v>
      </c>
      <c r="Z327" s="175">
        <f t="shared" si="52"/>
        <v>0</v>
      </c>
      <c r="AA327" s="179"/>
      <c r="AB327" s="467">
        <f t="shared" si="53"/>
        <v>0</v>
      </c>
      <c r="AC327" s="466">
        <f t="shared" si="54"/>
        <v>0</v>
      </c>
    </row>
    <row r="328" spans="2:29" ht="20.100000000000001" customHeight="1">
      <c r="B328" s="172"/>
      <c r="C328" s="172"/>
      <c r="D328" s="172"/>
      <c r="E328" s="181"/>
      <c r="F328" s="173"/>
      <c r="G328" s="174"/>
      <c r="H328" s="284"/>
      <c r="I328" s="221"/>
      <c r="J328" s="177">
        <f>IF(H328=0,0,IF(F328="MXN",1/HLOOKUP(YEAR(G328)+(MONTH(G328)/100),TC!$5:$37,DAY(G328)+2,FALSE),VLOOKUP(F328,Equivalencia!$5:$23,((MAX(Equivalencia!$3:$3)-YEAR(G328))*14)+MONTH(G328)+2,FALSE)))</f>
        <v>0</v>
      </c>
      <c r="K328" s="217">
        <f t="shared" si="55"/>
        <v>0</v>
      </c>
      <c r="L328" s="462">
        <f>IF(G328=0,0,VLOOKUP(YEAR(G328),INPC!$B$4:$O$29,MONTH(G328)+1))</f>
        <v>0</v>
      </c>
      <c r="M328" s="462">
        <f>IF(T328=0,0,VLOOKUP(YEAR(T328),INPC!$B$4:$O$29,MONTH(T328)+1))</f>
        <v>0</v>
      </c>
      <c r="N328" s="463">
        <f t="shared" si="51"/>
        <v>0</v>
      </c>
      <c r="O328" s="464">
        <f t="shared" si="56"/>
        <v>0</v>
      </c>
      <c r="P328" s="465">
        <f t="shared" si="57"/>
        <v>0</v>
      </c>
      <c r="Q328" s="606" t="str">
        <f t="shared" si="58"/>
        <v>NO</v>
      </c>
      <c r="R328" s="180"/>
      <c r="S328" s="173"/>
      <c r="T328" s="174"/>
      <c r="U328" s="173"/>
      <c r="V328" s="220"/>
      <c r="W328" s="177">
        <f>IF(S328=0,0,IF(U328="MXN",1/HLOOKUP(YEAR(T328)+(MONTH(T328)/100),TC!$5:$37,DAY(T328)+2,FALSE),VLOOKUP(U328,Equivalencia!$1:$23,((MAX(Equivalencia!$3:$3)-YEAR(T328))*14)+MONTH(T328)+2,FALSE)))</f>
        <v>0</v>
      </c>
      <c r="X328" s="178">
        <f t="shared" si="59"/>
        <v>0</v>
      </c>
      <c r="Y328" s="178">
        <f t="shared" si="60"/>
        <v>0</v>
      </c>
      <c r="Z328" s="175">
        <f t="shared" si="52"/>
        <v>0</v>
      </c>
      <c r="AA328" s="179"/>
      <c r="AB328" s="467">
        <f t="shared" si="53"/>
        <v>0</v>
      </c>
      <c r="AC328" s="466">
        <f t="shared" si="54"/>
        <v>0</v>
      </c>
    </row>
    <row r="329" spans="2:29" ht="20.100000000000001" customHeight="1">
      <c r="B329" s="172"/>
      <c r="C329" s="172"/>
      <c r="D329" s="172"/>
      <c r="E329" s="181"/>
      <c r="F329" s="173"/>
      <c r="G329" s="174"/>
      <c r="H329" s="284"/>
      <c r="I329" s="221"/>
      <c r="J329" s="177">
        <f>IF(H329=0,0,IF(F329="MXN",1/HLOOKUP(YEAR(G329)+(MONTH(G329)/100),TC!$5:$37,DAY(G329)+2,FALSE),VLOOKUP(F329,Equivalencia!$5:$23,((MAX(Equivalencia!$3:$3)-YEAR(G329))*14)+MONTH(G329)+2,FALSE)))</f>
        <v>0</v>
      </c>
      <c r="K329" s="217">
        <f t="shared" si="55"/>
        <v>0</v>
      </c>
      <c r="L329" s="462">
        <f>IF(G329=0,0,VLOOKUP(YEAR(G329),INPC!$B$4:$O$29,MONTH(G329)+1))</f>
        <v>0</v>
      </c>
      <c r="M329" s="462">
        <f>IF(T329=0,0,VLOOKUP(YEAR(T329),INPC!$B$4:$O$29,MONTH(T329)+1))</f>
        <v>0</v>
      </c>
      <c r="N329" s="463">
        <f t="shared" si="51"/>
        <v>0</v>
      </c>
      <c r="O329" s="464">
        <f t="shared" si="56"/>
        <v>0</v>
      </c>
      <c r="P329" s="465">
        <f t="shared" si="57"/>
        <v>0</v>
      </c>
      <c r="Q329" s="606" t="str">
        <f t="shared" si="58"/>
        <v>NO</v>
      </c>
      <c r="R329" s="180"/>
      <c r="S329" s="173"/>
      <c r="T329" s="174"/>
      <c r="U329" s="173"/>
      <c r="V329" s="220"/>
      <c r="W329" s="177">
        <f>IF(S329=0,0,IF(U329="MXN",1/HLOOKUP(YEAR(T329)+(MONTH(T329)/100),TC!$5:$37,DAY(T329)+2,FALSE),VLOOKUP(U329,Equivalencia!$1:$23,((MAX(Equivalencia!$3:$3)-YEAR(T329))*14)+MONTH(T329)+2,FALSE)))</f>
        <v>0</v>
      </c>
      <c r="X329" s="178">
        <f t="shared" si="59"/>
        <v>0</v>
      </c>
      <c r="Y329" s="178">
        <f t="shared" si="60"/>
        <v>0</v>
      </c>
      <c r="Z329" s="175">
        <f t="shared" si="52"/>
        <v>0</v>
      </c>
      <c r="AA329" s="179"/>
      <c r="AB329" s="467">
        <f t="shared" si="53"/>
        <v>0</v>
      </c>
      <c r="AC329" s="466">
        <f t="shared" si="54"/>
        <v>0</v>
      </c>
    </row>
    <row r="330" spans="2:29" ht="20.100000000000001" customHeight="1">
      <c r="B330" s="172"/>
      <c r="C330" s="172"/>
      <c r="D330" s="172"/>
      <c r="E330" s="181"/>
      <c r="F330" s="173"/>
      <c r="G330" s="174"/>
      <c r="H330" s="284"/>
      <c r="I330" s="221"/>
      <c r="J330" s="177">
        <f>IF(H330=0,0,IF(F330="MXN",1/HLOOKUP(YEAR(G330)+(MONTH(G330)/100),TC!$5:$37,DAY(G330)+2,FALSE),VLOOKUP(F330,Equivalencia!$5:$23,((MAX(Equivalencia!$3:$3)-YEAR(G330))*14)+MONTH(G330)+2,FALSE)))</f>
        <v>0</v>
      </c>
      <c r="K330" s="217">
        <f t="shared" si="55"/>
        <v>0</v>
      </c>
      <c r="L330" s="462">
        <f>IF(G330=0,0,VLOOKUP(YEAR(G330),INPC!$B$4:$O$29,MONTH(G330)+1))</f>
        <v>0</v>
      </c>
      <c r="M330" s="462">
        <f>IF(T330=0,0,VLOOKUP(YEAR(T330),INPC!$B$4:$O$29,MONTH(T330)+1))</f>
        <v>0</v>
      </c>
      <c r="N330" s="463">
        <f t="shared" si="51"/>
        <v>0</v>
      </c>
      <c r="O330" s="464">
        <f t="shared" si="56"/>
        <v>0</v>
      </c>
      <c r="P330" s="465">
        <f t="shared" si="57"/>
        <v>0</v>
      </c>
      <c r="Q330" s="606" t="str">
        <f t="shared" si="58"/>
        <v>NO</v>
      </c>
      <c r="R330" s="180"/>
      <c r="S330" s="173"/>
      <c r="T330" s="174"/>
      <c r="U330" s="173"/>
      <c r="V330" s="220"/>
      <c r="W330" s="177">
        <f>IF(S330=0,0,IF(U330="MXN",1/HLOOKUP(YEAR(T330)+(MONTH(T330)/100),TC!$5:$37,DAY(T330)+2,FALSE),VLOOKUP(U330,Equivalencia!$1:$23,((MAX(Equivalencia!$3:$3)-YEAR(T330))*14)+MONTH(T330)+2,FALSE)))</f>
        <v>0</v>
      </c>
      <c r="X330" s="178">
        <f t="shared" si="59"/>
        <v>0</v>
      </c>
      <c r="Y330" s="178">
        <f t="shared" si="60"/>
        <v>0</v>
      </c>
      <c r="Z330" s="175">
        <f t="shared" si="52"/>
        <v>0</v>
      </c>
      <c r="AA330" s="179"/>
      <c r="AB330" s="467">
        <f t="shared" si="53"/>
        <v>0</v>
      </c>
      <c r="AC330" s="466">
        <f t="shared" si="54"/>
        <v>0</v>
      </c>
    </row>
    <row r="331" spans="2:29" ht="20.100000000000001" customHeight="1">
      <c r="B331" s="172"/>
      <c r="C331" s="172"/>
      <c r="D331" s="172"/>
      <c r="E331" s="181"/>
      <c r="F331" s="173"/>
      <c r="G331" s="174"/>
      <c r="H331" s="284"/>
      <c r="I331" s="221"/>
      <c r="J331" s="177">
        <f>IF(H331=0,0,IF(F331="MXN",1/HLOOKUP(YEAR(G331)+(MONTH(G331)/100),TC!$5:$37,DAY(G331)+2,FALSE),VLOOKUP(F331,Equivalencia!$5:$23,((MAX(Equivalencia!$3:$3)-YEAR(G331))*14)+MONTH(G331)+2,FALSE)))</f>
        <v>0</v>
      </c>
      <c r="K331" s="217">
        <f t="shared" si="55"/>
        <v>0</v>
      </c>
      <c r="L331" s="462">
        <f>IF(G331=0,0,VLOOKUP(YEAR(G331),INPC!$B$4:$O$29,MONTH(G331)+1))</f>
        <v>0</v>
      </c>
      <c r="M331" s="462">
        <f>IF(T331=0,0,VLOOKUP(YEAR(T331),INPC!$B$4:$O$29,MONTH(T331)+1))</f>
        <v>0</v>
      </c>
      <c r="N331" s="463">
        <f t="shared" si="51"/>
        <v>0</v>
      </c>
      <c r="O331" s="464">
        <f t="shared" si="56"/>
        <v>0</v>
      </c>
      <c r="P331" s="465">
        <f t="shared" si="57"/>
        <v>0</v>
      </c>
      <c r="Q331" s="606" t="str">
        <f t="shared" si="58"/>
        <v>NO</v>
      </c>
      <c r="R331" s="180"/>
      <c r="S331" s="173"/>
      <c r="T331" s="174"/>
      <c r="U331" s="173"/>
      <c r="V331" s="220"/>
      <c r="W331" s="177">
        <f>IF(S331=0,0,IF(U331="MXN",1/HLOOKUP(YEAR(T331)+(MONTH(T331)/100),TC!$5:$37,DAY(T331)+2,FALSE),VLOOKUP(U331,Equivalencia!$1:$23,((MAX(Equivalencia!$3:$3)-YEAR(T331))*14)+MONTH(T331)+2,FALSE)))</f>
        <v>0</v>
      </c>
      <c r="X331" s="178">
        <f t="shared" si="59"/>
        <v>0</v>
      </c>
      <c r="Y331" s="178">
        <f t="shared" si="60"/>
        <v>0</v>
      </c>
      <c r="Z331" s="175">
        <f t="shared" si="52"/>
        <v>0</v>
      </c>
      <c r="AA331" s="179"/>
      <c r="AB331" s="467">
        <f t="shared" si="53"/>
        <v>0</v>
      </c>
      <c r="AC331" s="466">
        <f t="shared" si="54"/>
        <v>0</v>
      </c>
    </row>
    <row r="332" spans="2:29" ht="20.100000000000001" customHeight="1">
      <c r="B332" s="172"/>
      <c r="C332" s="172"/>
      <c r="D332" s="172"/>
      <c r="E332" s="181"/>
      <c r="F332" s="173"/>
      <c r="G332" s="174"/>
      <c r="H332" s="284"/>
      <c r="I332" s="221"/>
      <c r="J332" s="177">
        <f>IF(H332=0,0,IF(F332="MXN",1/HLOOKUP(YEAR(G332)+(MONTH(G332)/100),TC!$5:$37,DAY(G332)+2,FALSE),VLOOKUP(F332,Equivalencia!$5:$23,((MAX(Equivalencia!$3:$3)-YEAR(G332))*14)+MONTH(G332)+2,FALSE)))</f>
        <v>0</v>
      </c>
      <c r="K332" s="217">
        <f t="shared" si="55"/>
        <v>0</v>
      </c>
      <c r="L332" s="462">
        <f>IF(G332=0,0,VLOOKUP(YEAR(G332),INPC!$B$4:$O$29,MONTH(G332)+1))</f>
        <v>0</v>
      </c>
      <c r="M332" s="462">
        <f>IF(T332=0,0,VLOOKUP(YEAR(T332),INPC!$B$4:$O$29,MONTH(T332)+1))</f>
        <v>0</v>
      </c>
      <c r="N332" s="463">
        <f t="shared" si="51"/>
        <v>0</v>
      </c>
      <c r="O332" s="464">
        <f t="shared" si="56"/>
        <v>0</v>
      </c>
      <c r="P332" s="465">
        <f t="shared" si="57"/>
        <v>0</v>
      </c>
      <c r="Q332" s="606" t="str">
        <f t="shared" si="58"/>
        <v>NO</v>
      </c>
      <c r="R332" s="180"/>
      <c r="S332" s="173"/>
      <c r="T332" s="174"/>
      <c r="U332" s="173"/>
      <c r="V332" s="220"/>
      <c r="W332" s="177">
        <f>IF(S332=0,0,IF(U332="MXN",1/HLOOKUP(YEAR(T332)+(MONTH(T332)/100),TC!$5:$37,DAY(T332)+2,FALSE),VLOOKUP(U332,Equivalencia!$1:$23,((MAX(Equivalencia!$3:$3)-YEAR(T332))*14)+MONTH(T332)+2,FALSE)))</f>
        <v>0</v>
      </c>
      <c r="X332" s="178">
        <f t="shared" si="59"/>
        <v>0</v>
      </c>
      <c r="Y332" s="178">
        <f t="shared" si="60"/>
        <v>0</v>
      </c>
      <c r="Z332" s="175">
        <f t="shared" si="52"/>
        <v>0</v>
      </c>
      <c r="AA332" s="179"/>
      <c r="AB332" s="467">
        <f t="shared" si="53"/>
        <v>0</v>
      </c>
      <c r="AC332" s="466">
        <f t="shared" si="54"/>
        <v>0</v>
      </c>
    </row>
    <row r="333" spans="2:29" ht="20.100000000000001" customHeight="1">
      <c r="B333" s="172"/>
      <c r="C333" s="172"/>
      <c r="D333" s="172"/>
      <c r="E333" s="181"/>
      <c r="F333" s="173"/>
      <c r="G333" s="174"/>
      <c r="H333" s="284"/>
      <c r="I333" s="221"/>
      <c r="J333" s="177">
        <f>IF(H333=0,0,IF(F333="MXN",1/HLOOKUP(YEAR(G333)+(MONTH(G333)/100),TC!$5:$37,DAY(G333)+2,FALSE),VLOOKUP(F333,Equivalencia!$5:$23,((MAX(Equivalencia!$3:$3)-YEAR(G333))*14)+MONTH(G333)+2,FALSE)))</f>
        <v>0</v>
      </c>
      <c r="K333" s="217">
        <f t="shared" si="55"/>
        <v>0</v>
      </c>
      <c r="L333" s="462">
        <f>IF(G333=0,0,VLOOKUP(YEAR(G333),INPC!$B$4:$O$29,MONTH(G333)+1))</f>
        <v>0</v>
      </c>
      <c r="M333" s="462">
        <f>IF(T333=0,0,VLOOKUP(YEAR(T333),INPC!$B$4:$O$29,MONTH(T333)+1))</f>
        <v>0</v>
      </c>
      <c r="N333" s="463">
        <f t="shared" si="51"/>
        <v>0</v>
      </c>
      <c r="O333" s="464">
        <f t="shared" si="56"/>
        <v>0</v>
      </c>
      <c r="P333" s="465">
        <f t="shared" si="57"/>
        <v>0</v>
      </c>
      <c r="Q333" s="606" t="str">
        <f t="shared" si="58"/>
        <v>NO</v>
      </c>
      <c r="R333" s="180"/>
      <c r="S333" s="173"/>
      <c r="T333" s="174"/>
      <c r="U333" s="173"/>
      <c r="V333" s="220"/>
      <c r="W333" s="177">
        <f>IF(S333=0,0,IF(U333="MXN",1/HLOOKUP(YEAR(T333)+(MONTH(T333)/100),TC!$5:$37,DAY(T333)+2,FALSE),VLOOKUP(U333,Equivalencia!$1:$23,((MAX(Equivalencia!$3:$3)-YEAR(T333))*14)+MONTH(T333)+2,FALSE)))</f>
        <v>0</v>
      </c>
      <c r="X333" s="178">
        <f t="shared" si="59"/>
        <v>0</v>
      </c>
      <c r="Y333" s="178">
        <f t="shared" si="60"/>
        <v>0</v>
      </c>
      <c r="Z333" s="175">
        <f t="shared" si="52"/>
        <v>0</v>
      </c>
      <c r="AA333" s="179"/>
      <c r="AB333" s="467">
        <f t="shared" si="53"/>
        <v>0</v>
      </c>
      <c r="AC333" s="466">
        <f t="shared" si="54"/>
        <v>0</v>
      </c>
    </row>
    <row r="334" spans="2:29" ht="20.100000000000001" customHeight="1">
      <c r="B334" s="172"/>
      <c r="C334" s="172"/>
      <c r="D334" s="172"/>
      <c r="E334" s="181"/>
      <c r="F334" s="173"/>
      <c r="G334" s="174"/>
      <c r="H334" s="284"/>
      <c r="I334" s="221"/>
      <c r="J334" s="177">
        <f>IF(H334=0,0,IF(F334="MXN",1/HLOOKUP(YEAR(G334)+(MONTH(G334)/100),TC!$5:$37,DAY(G334)+2,FALSE),VLOOKUP(F334,Equivalencia!$5:$23,((MAX(Equivalencia!$3:$3)-YEAR(G334))*14)+MONTH(G334)+2,FALSE)))</f>
        <v>0</v>
      </c>
      <c r="K334" s="217">
        <f t="shared" si="55"/>
        <v>0</v>
      </c>
      <c r="L334" s="462">
        <f>IF(G334=0,0,VLOOKUP(YEAR(G334),INPC!$B$4:$O$29,MONTH(G334)+1))</f>
        <v>0</v>
      </c>
      <c r="M334" s="462">
        <f>IF(T334=0,0,VLOOKUP(YEAR(T334),INPC!$B$4:$O$29,MONTH(T334)+1))</f>
        <v>0</v>
      </c>
      <c r="N334" s="463">
        <f t="shared" si="51"/>
        <v>0</v>
      </c>
      <c r="O334" s="464">
        <f t="shared" si="56"/>
        <v>0</v>
      </c>
      <c r="P334" s="465">
        <f t="shared" si="57"/>
        <v>0</v>
      </c>
      <c r="Q334" s="606" t="str">
        <f t="shared" si="58"/>
        <v>NO</v>
      </c>
      <c r="R334" s="180"/>
      <c r="S334" s="173"/>
      <c r="T334" s="174"/>
      <c r="U334" s="173"/>
      <c r="V334" s="220"/>
      <c r="W334" s="177">
        <f>IF(S334=0,0,IF(U334="MXN",1/HLOOKUP(YEAR(T334)+(MONTH(T334)/100),TC!$5:$37,DAY(T334)+2,FALSE),VLOOKUP(U334,Equivalencia!$1:$23,((MAX(Equivalencia!$3:$3)-YEAR(T334))*14)+MONTH(T334)+2,FALSE)))</f>
        <v>0</v>
      </c>
      <c r="X334" s="178">
        <f t="shared" si="59"/>
        <v>0</v>
      </c>
      <c r="Y334" s="178">
        <f t="shared" si="60"/>
        <v>0</v>
      </c>
      <c r="Z334" s="175">
        <f t="shared" si="52"/>
        <v>0</v>
      </c>
      <c r="AA334" s="179"/>
      <c r="AB334" s="467">
        <f t="shared" si="53"/>
        <v>0</v>
      </c>
      <c r="AC334" s="466">
        <f t="shared" si="54"/>
        <v>0</v>
      </c>
    </row>
    <row r="335" spans="2:29" ht="20.100000000000001" customHeight="1">
      <c r="B335" s="172"/>
      <c r="C335" s="172"/>
      <c r="D335" s="172"/>
      <c r="E335" s="181"/>
      <c r="F335" s="173"/>
      <c r="G335" s="174"/>
      <c r="H335" s="284"/>
      <c r="I335" s="221"/>
      <c r="J335" s="177">
        <f>IF(H335=0,0,IF(F335="MXN",1/HLOOKUP(YEAR(G335)+(MONTH(G335)/100),TC!$5:$37,DAY(G335)+2,FALSE),VLOOKUP(F335,Equivalencia!$5:$23,((MAX(Equivalencia!$3:$3)-YEAR(G335))*14)+MONTH(G335)+2,FALSE)))</f>
        <v>0</v>
      </c>
      <c r="K335" s="217">
        <f t="shared" si="55"/>
        <v>0</v>
      </c>
      <c r="L335" s="462">
        <f>IF(G335=0,0,VLOOKUP(YEAR(G335),INPC!$B$4:$O$29,MONTH(G335)+1))</f>
        <v>0</v>
      </c>
      <c r="M335" s="462">
        <f>IF(T335=0,0,VLOOKUP(YEAR(T335),INPC!$B$4:$O$29,MONTH(T335)+1))</f>
        <v>0</v>
      </c>
      <c r="N335" s="463">
        <f t="shared" si="51"/>
        <v>0</v>
      </c>
      <c r="O335" s="464">
        <f t="shared" si="56"/>
        <v>0</v>
      </c>
      <c r="P335" s="465">
        <f t="shared" si="57"/>
        <v>0</v>
      </c>
      <c r="Q335" s="606" t="str">
        <f t="shared" si="58"/>
        <v>NO</v>
      </c>
      <c r="R335" s="180"/>
      <c r="S335" s="173"/>
      <c r="T335" s="174"/>
      <c r="U335" s="173"/>
      <c r="V335" s="220"/>
      <c r="W335" s="177">
        <f>IF(S335=0,0,IF(U335="MXN",1/HLOOKUP(YEAR(T335)+(MONTH(T335)/100),TC!$5:$37,DAY(T335)+2,FALSE),VLOOKUP(U335,Equivalencia!$1:$23,((MAX(Equivalencia!$3:$3)-YEAR(T335))*14)+MONTH(T335)+2,FALSE)))</f>
        <v>0</v>
      </c>
      <c r="X335" s="178">
        <f t="shared" si="59"/>
        <v>0</v>
      </c>
      <c r="Y335" s="178">
        <f t="shared" si="60"/>
        <v>0</v>
      </c>
      <c r="Z335" s="175">
        <f t="shared" si="52"/>
        <v>0</v>
      </c>
      <c r="AA335" s="179"/>
      <c r="AB335" s="467">
        <f t="shared" si="53"/>
        <v>0</v>
      </c>
      <c r="AC335" s="466">
        <f t="shared" si="54"/>
        <v>0</v>
      </c>
    </row>
    <row r="336" spans="2:29" ht="20.100000000000001" customHeight="1">
      <c r="B336" s="172"/>
      <c r="C336" s="172"/>
      <c r="D336" s="172"/>
      <c r="E336" s="181"/>
      <c r="F336" s="173"/>
      <c r="G336" s="174"/>
      <c r="H336" s="284"/>
      <c r="I336" s="221"/>
      <c r="J336" s="177">
        <f>IF(H336=0,0,IF(F336="MXN",1/HLOOKUP(YEAR(G336)+(MONTH(G336)/100),TC!$5:$37,DAY(G336)+2,FALSE),VLOOKUP(F336,Equivalencia!$5:$23,((MAX(Equivalencia!$3:$3)-YEAR(G336))*14)+MONTH(G336)+2,FALSE)))</f>
        <v>0</v>
      </c>
      <c r="K336" s="217">
        <f t="shared" si="55"/>
        <v>0</v>
      </c>
      <c r="L336" s="462">
        <f>IF(G336=0,0,VLOOKUP(YEAR(G336),INPC!$B$4:$O$29,MONTH(G336)+1))</f>
        <v>0</v>
      </c>
      <c r="M336" s="462">
        <f>IF(T336=0,0,VLOOKUP(YEAR(T336),INPC!$B$4:$O$29,MONTH(T336)+1))</f>
        <v>0</v>
      </c>
      <c r="N336" s="463">
        <f t="shared" si="51"/>
        <v>0</v>
      </c>
      <c r="O336" s="464">
        <f t="shared" si="56"/>
        <v>0</v>
      </c>
      <c r="P336" s="465">
        <f t="shared" si="57"/>
        <v>0</v>
      </c>
      <c r="Q336" s="606" t="str">
        <f t="shared" si="58"/>
        <v>NO</v>
      </c>
      <c r="R336" s="180"/>
      <c r="S336" s="173"/>
      <c r="T336" s="174"/>
      <c r="U336" s="173"/>
      <c r="V336" s="220"/>
      <c r="W336" s="177">
        <f>IF(S336=0,0,IF(U336="MXN",1/HLOOKUP(YEAR(T336)+(MONTH(T336)/100),TC!$5:$37,DAY(T336)+2,FALSE),VLOOKUP(U336,Equivalencia!$1:$23,((MAX(Equivalencia!$3:$3)-YEAR(T336))*14)+MONTH(T336)+2,FALSE)))</f>
        <v>0</v>
      </c>
      <c r="X336" s="178">
        <f t="shared" si="59"/>
        <v>0</v>
      </c>
      <c r="Y336" s="178">
        <f t="shared" si="60"/>
        <v>0</v>
      </c>
      <c r="Z336" s="175">
        <f t="shared" si="52"/>
        <v>0</v>
      </c>
      <c r="AA336" s="179"/>
      <c r="AB336" s="467">
        <f t="shared" si="53"/>
        <v>0</v>
      </c>
      <c r="AC336" s="466">
        <f t="shared" si="54"/>
        <v>0</v>
      </c>
    </row>
    <row r="337" spans="2:29" ht="20.100000000000001" customHeight="1">
      <c r="B337" s="172"/>
      <c r="C337" s="172"/>
      <c r="D337" s="172"/>
      <c r="E337" s="181"/>
      <c r="F337" s="173"/>
      <c r="G337" s="174"/>
      <c r="H337" s="284"/>
      <c r="I337" s="221"/>
      <c r="J337" s="177">
        <f>IF(H337=0,0,IF(F337="MXN",1/HLOOKUP(YEAR(G337)+(MONTH(G337)/100),TC!$5:$37,DAY(G337)+2,FALSE),VLOOKUP(F337,Equivalencia!$5:$23,((MAX(Equivalencia!$3:$3)-YEAR(G337))*14)+MONTH(G337)+2,FALSE)))</f>
        <v>0</v>
      </c>
      <c r="K337" s="217">
        <f t="shared" si="55"/>
        <v>0</v>
      </c>
      <c r="L337" s="462">
        <f>IF(G337=0,0,VLOOKUP(YEAR(G337),INPC!$B$4:$O$29,MONTH(G337)+1))</f>
        <v>0</v>
      </c>
      <c r="M337" s="462">
        <f>IF(T337=0,0,VLOOKUP(YEAR(T337),INPC!$B$4:$O$29,MONTH(T337)+1))</f>
        <v>0</v>
      </c>
      <c r="N337" s="463">
        <f t="shared" si="51"/>
        <v>0</v>
      </c>
      <c r="O337" s="464">
        <f t="shared" si="56"/>
        <v>0</v>
      </c>
      <c r="P337" s="465">
        <f t="shared" si="57"/>
        <v>0</v>
      </c>
      <c r="Q337" s="606" t="str">
        <f t="shared" si="58"/>
        <v>NO</v>
      </c>
      <c r="R337" s="180"/>
      <c r="S337" s="173"/>
      <c r="T337" s="174"/>
      <c r="U337" s="173"/>
      <c r="V337" s="220"/>
      <c r="W337" s="177">
        <f>IF(S337=0,0,IF(U337="MXN",1/HLOOKUP(YEAR(T337)+(MONTH(T337)/100),TC!$5:$37,DAY(T337)+2,FALSE),VLOOKUP(U337,Equivalencia!$1:$23,((MAX(Equivalencia!$3:$3)-YEAR(T337))*14)+MONTH(T337)+2,FALSE)))</f>
        <v>0</v>
      </c>
      <c r="X337" s="178">
        <f t="shared" si="59"/>
        <v>0</v>
      </c>
      <c r="Y337" s="178">
        <f t="shared" si="60"/>
        <v>0</v>
      </c>
      <c r="Z337" s="175">
        <f t="shared" si="52"/>
        <v>0</v>
      </c>
      <c r="AA337" s="179"/>
      <c r="AB337" s="467">
        <f t="shared" si="53"/>
        <v>0</v>
      </c>
      <c r="AC337" s="466">
        <f t="shared" si="54"/>
        <v>0</v>
      </c>
    </row>
    <row r="338" spans="2:29" ht="20.100000000000001" customHeight="1">
      <c r="B338" s="172"/>
      <c r="C338" s="172"/>
      <c r="D338" s="172"/>
      <c r="E338" s="181"/>
      <c r="F338" s="173"/>
      <c r="G338" s="174"/>
      <c r="H338" s="284"/>
      <c r="I338" s="221"/>
      <c r="J338" s="177">
        <f>IF(H338=0,0,IF(F338="MXN",1/HLOOKUP(YEAR(G338)+(MONTH(G338)/100),TC!$5:$37,DAY(G338)+2,FALSE),VLOOKUP(F338,Equivalencia!$5:$23,((MAX(Equivalencia!$3:$3)-YEAR(G338))*14)+MONTH(G338)+2,FALSE)))</f>
        <v>0</v>
      </c>
      <c r="K338" s="217">
        <f t="shared" si="55"/>
        <v>0</v>
      </c>
      <c r="L338" s="462">
        <f>IF(G338=0,0,VLOOKUP(YEAR(G338),INPC!$B$4:$O$29,MONTH(G338)+1))</f>
        <v>0</v>
      </c>
      <c r="M338" s="462">
        <f>IF(T338=0,0,VLOOKUP(YEAR(T338),INPC!$B$4:$O$29,MONTH(T338)+1))</f>
        <v>0</v>
      </c>
      <c r="N338" s="463">
        <f t="shared" si="51"/>
        <v>0</v>
      </c>
      <c r="O338" s="464">
        <f t="shared" si="56"/>
        <v>0</v>
      </c>
      <c r="P338" s="465">
        <f t="shared" si="57"/>
        <v>0</v>
      </c>
      <c r="Q338" s="606" t="str">
        <f t="shared" si="58"/>
        <v>NO</v>
      </c>
      <c r="R338" s="180"/>
      <c r="S338" s="173"/>
      <c r="T338" s="174"/>
      <c r="U338" s="173"/>
      <c r="V338" s="220"/>
      <c r="W338" s="177">
        <f>IF(S338=0,0,IF(U338="MXN",1/HLOOKUP(YEAR(T338)+(MONTH(T338)/100),TC!$5:$37,DAY(T338)+2,FALSE),VLOOKUP(U338,Equivalencia!$1:$23,((MAX(Equivalencia!$3:$3)-YEAR(T338))*14)+MONTH(T338)+2,FALSE)))</f>
        <v>0</v>
      </c>
      <c r="X338" s="178">
        <f t="shared" si="59"/>
        <v>0</v>
      </c>
      <c r="Y338" s="178">
        <f t="shared" si="60"/>
        <v>0</v>
      </c>
      <c r="Z338" s="175">
        <f t="shared" si="52"/>
        <v>0</v>
      </c>
      <c r="AA338" s="179"/>
      <c r="AB338" s="467">
        <f t="shared" si="53"/>
        <v>0</v>
      </c>
      <c r="AC338" s="466">
        <f t="shared" si="54"/>
        <v>0</v>
      </c>
    </row>
    <row r="339" spans="2:29" ht="20.100000000000001" customHeight="1">
      <c r="B339" s="172"/>
      <c r="C339" s="172"/>
      <c r="D339" s="172"/>
      <c r="E339" s="181"/>
      <c r="F339" s="173"/>
      <c r="G339" s="174"/>
      <c r="H339" s="284"/>
      <c r="I339" s="221"/>
      <c r="J339" s="177">
        <f>IF(H339=0,0,IF(F339="MXN",1/HLOOKUP(YEAR(G339)+(MONTH(G339)/100),TC!$5:$37,DAY(G339)+2,FALSE),VLOOKUP(F339,Equivalencia!$5:$23,((MAX(Equivalencia!$3:$3)-YEAR(G339))*14)+MONTH(G339)+2,FALSE)))</f>
        <v>0</v>
      </c>
      <c r="K339" s="217">
        <f t="shared" si="55"/>
        <v>0</v>
      </c>
      <c r="L339" s="462">
        <f>IF(G339=0,0,VLOOKUP(YEAR(G339),INPC!$B$4:$O$29,MONTH(G339)+1))</f>
        <v>0</v>
      </c>
      <c r="M339" s="462">
        <f>IF(T339=0,0,VLOOKUP(YEAR(T339),INPC!$B$4:$O$29,MONTH(T339)+1))</f>
        <v>0</v>
      </c>
      <c r="N339" s="463">
        <f t="shared" si="51"/>
        <v>0</v>
      </c>
      <c r="O339" s="464">
        <f t="shared" si="56"/>
        <v>0</v>
      </c>
      <c r="P339" s="465">
        <f t="shared" si="57"/>
        <v>0</v>
      </c>
      <c r="Q339" s="606" t="str">
        <f t="shared" si="58"/>
        <v>NO</v>
      </c>
      <c r="R339" s="180"/>
      <c r="S339" s="173"/>
      <c r="T339" s="174"/>
      <c r="U339" s="173"/>
      <c r="V339" s="220"/>
      <c r="W339" s="177">
        <f>IF(S339=0,0,IF(U339="MXN",1/HLOOKUP(YEAR(T339)+(MONTH(T339)/100),TC!$5:$37,DAY(T339)+2,FALSE),VLOOKUP(U339,Equivalencia!$1:$23,((MAX(Equivalencia!$3:$3)-YEAR(T339))*14)+MONTH(T339)+2,FALSE)))</f>
        <v>0</v>
      </c>
      <c r="X339" s="178">
        <f t="shared" si="59"/>
        <v>0</v>
      </c>
      <c r="Y339" s="178">
        <f t="shared" si="60"/>
        <v>0</v>
      </c>
      <c r="Z339" s="175">
        <f t="shared" si="52"/>
        <v>0</v>
      </c>
      <c r="AA339" s="179"/>
      <c r="AB339" s="467">
        <f t="shared" si="53"/>
        <v>0</v>
      </c>
      <c r="AC339" s="466">
        <f t="shared" si="54"/>
        <v>0</v>
      </c>
    </row>
    <row r="340" spans="2:29" ht="20.100000000000001" customHeight="1">
      <c r="B340" s="172"/>
      <c r="C340" s="172"/>
      <c r="D340" s="172"/>
      <c r="E340" s="181"/>
      <c r="F340" s="173"/>
      <c r="G340" s="174"/>
      <c r="H340" s="284"/>
      <c r="I340" s="221"/>
      <c r="J340" s="177">
        <f>IF(H340=0,0,IF(F340="MXN",1/HLOOKUP(YEAR(G340)+(MONTH(G340)/100),TC!$5:$37,DAY(G340)+2,FALSE),VLOOKUP(F340,Equivalencia!$5:$23,((MAX(Equivalencia!$3:$3)-YEAR(G340))*14)+MONTH(G340)+2,FALSE)))</f>
        <v>0</v>
      </c>
      <c r="K340" s="217">
        <f t="shared" si="55"/>
        <v>0</v>
      </c>
      <c r="L340" s="462">
        <f>IF(G340=0,0,VLOOKUP(YEAR(G340),INPC!$B$4:$O$29,MONTH(G340)+1))</f>
        <v>0</v>
      </c>
      <c r="M340" s="462">
        <f>IF(T340=0,0,VLOOKUP(YEAR(T340),INPC!$B$4:$O$29,MONTH(T340)+1))</f>
        <v>0</v>
      </c>
      <c r="N340" s="463">
        <f t="shared" si="51"/>
        <v>0</v>
      </c>
      <c r="O340" s="464">
        <f t="shared" si="56"/>
        <v>0</v>
      </c>
      <c r="P340" s="465">
        <f t="shared" si="57"/>
        <v>0</v>
      </c>
      <c r="Q340" s="606" t="str">
        <f t="shared" si="58"/>
        <v>NO</v>
      </c>
      <c r="R340" s="180"/>
      <c r="S340" s="173"/>
      <c r="T340" s="174"/>
      <c r="U340" s="173"/>
      <c r="V340" s="220"/>
      <c r="W340" s="177">
        <f>IF(S340=0,0,IF(U340="MXN",1/HLOOKUP(YEAR(T340)+(MONTH(T340)/100),TC!$5:$37,DAY(T340)+2,FALSE),VLOOKUP(U340,Equivalencia!$1:$23,((MAX(Equivalencia!$3:$3)-YEAR(T340))*14)+MONTH(T340)+2,FALSE)))</f>
        <v>0</v>
      </c>
      <c r="X340" s="178">
        <f t="shared" si="59"/>
        <v>0</v>
      </c>
      <c r="Y340" s="178">
        <f t="shared" si="60"/>
        <v>0</v>
      </c>
      <c r="Z340" s="175">
        <f t="shared" si="52"/>
        <v>0</v>
      </c>
      <c r="AA340" s="179"/>
      <c r="AB340" s="467">
        <f t="shared" si="53"/>
        <v>0</v>
      </c>
      <c r="AC340" s="466">
        <f t="shared" si="54"/>
        <v>0</v>
      </c>
    </row>
    <row r="341" spans="2:29" ht="20.100000000000001" customHeight="1">
      <c r="B341" s="172"/>
      <c r="C341" s="172"/>
      <c r="D341" s="172"/>
      <c r="E341" s="181"/>
      <c r="F341" s="173"/>
      <c r="G341" s="174"/>
      <c r="H341" s="284"/>
      <c r="I341" s="221"/>
      <c r="J341" s="177">
        <f>IF(H341=0,0,IF(F341="MXN",1/HLOOKUP(YEAR(G341)+(MONTH(G341)/100),TC!$5:$37,DAY(G341)+2,FALSE),VLOOKUP(F341,Equivalencia!$5:$23,((MAX(Equivalencia!$3:$3)-YEAR(G341))*14)+MONTH(G341)+2,FALSE)))</f>
        <v>0</v>
      </c>
      <c r="K341" s="217">
        <f t="shared" si="55"/>
        <v>0</v>
      </c>
      <c r="L341" s="462">
        <f>IF(G341=0,0,VLOOKUP(YEAR(G341),INPC!$B$4:$O$29,MONTH(G341)+1))</f>
        <v>0</v>
      </c>
      <c r="M341" s="462">
        <f>IF(T341=0,0,VLOOKUP(YEAR(T341),INPC!$B$4:$O$29,MONTH(T341)+1))</f>
        <v>0</v>
      </c>
      <c r="N341" s="463">
        <f t="shared" si="51"/>
        <v>0</v>
      </c>
      <c r="O341" s="464">
        <f t="shared" si="56"/>
        <v>0</v>
      </c>
      <c r="P341" s="465">
        <f t="shared" si="57"/>
        <v>0</v>
      </c>
      <c r="Q341" s="606" t="str">
        <f t="shared" si="58"/>
        <v>NO</v>
      </c>
      <c r="R341" s="180"/>
      <c r="S341" s="173"/>
      <c r="T341" s="174"/>
      <c r="U341" s="173"/>
      <c r="V341" s="220"/>
      <c r="W341" s="177">
        <f>IF(S341=0,0,IF(U341="MXN",1/HLOOKUP(YEAR(T341)+(MONTH(T341)/100),TC!$5:$37,DAY(T341)+2,FALSE),VLOOKUP(U341,Equivalencia!$1:$23,((MAX(Equivalencia!$3:$3)-YEAR(T341))*14)+MONTH(T341)+2,FALSE)))</f>
        <v>0</v>
      </c>
      <c r="X341" s="178">
        <f t="shared" si="59"/>
        <v>0</v>
      </c>
      <c r="Y341" s="178">
        <f t="shared" si="60"/>
        <v>0</v>
      </c>
      <c r="Z341" s="175">
        <f t="shared" si="52"/>
        <v>0</v>
      </c>
      <c r="AA341" s="179"/>
      <c r="AB341" s="467">
        <f t="shared" si="53"/>
        <v>0</v>
      </c>
      <c r="AC341" s="466">
        <f t="shared" si="54"/>
        <v>0</v>
      </c>
    </row>
    <row r="342" spans="2:29" ht="20.100000000000001" customHeight="1">
      <c r="B342" s="172"/>
      <c r="C342" s="172"/>
      <c r="D342" s="172"/>
      <c r="E342" s="181"/>
      <c r="F342" s="173"/>
      <c r="G342" s="174"/>
      <c r="H342" s="284"/>
      <c r="I342" s="221"/>
      <c r="J342" s="177">
        <f>IF(H342=0,0,IF(F342="MXN",1/HLOOKUP(YEAR(G342)+(MONTH(G342)/100),TC!$5:$37,DAY(G342)+2,FALSE),VLOOKUP(F342,Equivalencia!$5:$23,((MAX(Equivalencia!$3:$3)-YEAR(G342))*14)+MONTH(G342)+2,FALSE)))</f>
        <v>0</v>
      </c>
      <c r="K342" s="217">
        <f t="shared" si="55"/>
        <v>0</v>
      </c>
      <c r="L342" s="462">
        <f>IF(G342=0,0,VLOOKUP(YEAR(G342),INPC!$B$4:$O$29,MONTH(G342)+1))</f>
        <v>0</v>
      </c>
      <c r="M342" s="462">
        <f>IF(T342=0,0,VLOOKUP(YEAR(T342),INPC!$B$4:$O$29,MONTH(T342)+1))</f>
        <v>0</v>
      </c>
      <c r="N342" s="463">
        <f t="shared" si="51"/>
        <v>0</v>
      </c>
      <c r="O342" s="464">
        <f t="shared" si="56"/>
        <v>0</v>
      </c>
      <c r="P342" s="465">
        <f t="shared" si="57"/>
        <v>0</v>
      </c>
      <c r="Q342" s="606" t="str">
        <f t="shared" si="58"/>
        <v>NO</v>
      </c>
      <c r="R342" s="180"/>
      <c r="S342" s="173"/>
      <c r="T342" s="174"/>
      <c r="U342" s="173"/>
      <c r="V342" s="220"/>
      <c r="W342" s="177">
        <f>IF(S342=0,0,IF(U342="MXN",1/HLOOKUP(YEAR(T342)+(MONTH(T342)/100),TC!$5:$37,DAY(T342)+2,FALSE),VLOOKUP(U342,Equivalencia!$1:$23,((MAX(Equivalencia!$3:$3)-YEAR(T342))*14)+MONTH(T342)+2,FALSE)))</f>
        <v>0</v>
      </c>
      <c r="X342" s="178">
        <f t="shared" si="59"/>
        <v>0</v>
      </c>
      <c r="Y342" s="178">
        <f t="shared" si="60"/>
        <v>0</v>
      </c>
      <c r="Z342" s="175">
        <f t="shared" si="52"/>
        <v>0</v>
      </c>
      <c r="AA342" s="179"/>
      <c r="AB342" s="467">
        <f t="shared" si="53"/>
        <v>0</v>
      </c>
      <c r="AC342" s="466">
        <f t="shared" si="54"/>
        <v>0</v>
      </c>
    </row>
    <row r="343" spans="2:29" ht="20.100000000000001" customHeight="1">
      <c r="B343" s="172"/>
      <c r="C343" s="172"/>
      <c r="D343" s="172"/>
      <c r="E343" s="181"/>
      <c r="F343" s="173"/>
      <c r="G343" s="174"/>
      <c r="H343" s="284"/>
      <c r="I343" s="221"/>
      <c r="J343" s="177">
        <f>IF(H343=0,0,IF(F343="MXN",1/HLOOKUP(YEAR(G343)+(MONTH(G343)/100),TC!$5:$37,DAY(G343)+2,FALSE),VLOOKUP(F343,Equivalencia!$5:$23,((MAX(Equivalencia!$3:$3)-YEAR(G343))*14)+MONTH(G343)+2,FALSE)))</f>
        <v>0</v>
      </c>
      <c r="K343" s="217">
        <f t="shared" si="55"/>
        <v>0</v>
      </c>
      <c r="L343" s="462">
        <f>IF(G343=0,0,VLOOKUP(YEAR(G343),INPC!$B$4:$O$29,MONTH(G343)+1))</f>
        <v>0</v>
      </c>
      <c r="M343" s="462">
        <f>IF(T343=0,0,VLOOKUP(YEAR(T343),INPC!$B$4:$O$29,MONTH(T343)+1))</f>
        <v>0</v>
      </c>
      <c r="N343" s="463">
        <f t="shared" si="51"/>
        <v>0</v>
      </c>
      <c r="O343" s="464">
        <f t="shared" si="56"/>
        <v>0</v>
      </c>
      <c r="P343" s="465">
        <f t="shared" si="57"/>
        <v>0</v>
      </c>
      <c r="Q343" s="606" t="str">
        <f t="shared" si="58"/>
        <v>NO</v>
      </c>
      <c r="R343" s="180"/>
      <c r="S343" s="173"/>
      <c r="T343" s="174"/>
      <c r="U343" s="173"/>
      <c r="V343" s="220"/>
      <c r="W343" s="177">
        <f>IF(S343=0,0,IF(U343="MXN",1/HLOOKUP(YEAR(T343)+(MONTH(T343)/100),TC!$5:$37,DAY(T343)+2,FALSE),VLOOKUP(U343,Equivalencia!$1:$23,((MAX(Equivalencia!$3:$3)-YEAR(T343))*14)+MONTH(T343)+2,FALSE)))</f>
        <v>0</v>
      </c>
      <c r="X343" s="178">
        <f t="shared" si="59"/>
        <v>0</v>
      </c>
      <c r="Y343" s="178">
        <f t="shared" si="60"/>
        <v>0</v>
      </c>
      <c r="Z343" s="175">
        <f t="shared" si="52"/>
        <v>0</v>
      </c>
      <c r="AA343" s="179"/>
      <c r="AB343" s="467">
        <f t="shared" si="53"/>
        <v>0</v>
      </c>
      <c r="AC343" s="466">
        <f t="shared" si="54"/>
        <v>0</v>
      </c>
    </row>
    <row r="344" spans="2:29" ht="20.100000000000001" customHeight="1">
      <c r="B344" s="172"/>
      <c r="C344" s="172"/>
      <c r="D344" s="172"/>
      <c r="E344" s="181"/>
      <c r="F344" s="173"/>
      <c r="G344" s="174"/>
      <c r="H344" s="284"/>
      <c r="I344" s="221"/>
      <c r="J344" s="177">
        <f>IF(H344=0,0,IF(F344="MXN",1/HLOOKUP(YEAR(G344)+(MONTH(G344)/100),TC!$5:$37,DAY(G344)+2,FALSE),VLOOKUP(F344,Equivalencia!$5:$23,((MAX(Equivalencia!$3:$3)-YEAR(G344))*14)+MONTH(G344)+2,FALSE)))</f>
        <v>0</v>
      </c>
      <c r="K344" s="217">
        <f t="shared" si="55"/>
        <v>0</v>
      </c>
      <c r="L344" s="462">
        <f>IF(G344=0,0,VLOOKUP(YEAR(G344),INPC!$B$4:$O$29,MONTH(G344)+1))</f>
        <v>0</v>
      </c>
      <c r="M344" s="462">
        <f>IF(T344=0,0,VLOOKUP(YEAR(T344),INPC!$B$4:$O$29,MONTH(T344)+1))</f>
        <v>0</v>
      </c>
      <c r="N344" s="463">
        <f t="shared" si="51"/>
        <v>0</v>
      </c>
      <c r="O344" s="464">
        <f t="shared" si="56"/>
        <v>0</v>
      </c>
      <c r="P344" s="465">
        <f t="shared" si="57"/>
        <v>0</v>
      </c>
      <c r="Q344" s="606" t="str">
        <f t="shared" si="58"/>
        <v>NO</v>
      </c>
      <c r="R344" s="180"/>
      <c r="S344" s="173"/>
      <c r="T344" s="174"/>
      <c r="U344" s="173"/>
      <c r="V344" s="220"/>
      <c r="W344" s="177">
        <f>IF(S344=0,0,IF(U344="MXN",1/HLOOKUP(YEAR(T344)+(MONTH(T344)/100),TC!$5:$37,DAY(T344)+2,FALSE),VLOOKUP(U344,Equivalencia!$1:$23,((MAX(Equivalencia!$3:$3)-YEAR(T344))*14)+MONTH(T344)+2,FALSE)))</f>
        <v>0</v>
      </c>
      <c r="X344" s="178">
        <f t="shared" si="59"/>
        <v>0</v>
      </c>
      <c r="Y344" s="178">
        <f t="shared" si="60"/>
        <v>0</v>
      </c>
      <c r="Z344" s="175">
        <f t="shared" si="52"/>
        <v>0</v>
      </c>
      <c r="AA344" s="179"/>
      <c r="AB344" s="467">
        <f t="shared" si="53"/>
        <v>0</v>
      </c>
      <c r="AC344" s="466">
        <f t="shared" si="54"/>
        <v>0</v>
      </c>
    </row>
    <row r="345" spans="2:29" ht="20.100000000000001" customHeight="1">
      <c r="B345" s="172"/>
      <c r="C345" s="172"/>
      <c r="D345" s="172"/>
      <c r="E345" s="181"/>
      <c r="F345" s="173"/>
      <c r="G345" s="174"/>
      <c r="H345" s="284"/>
      <c r="I345" s="221"/>
      <c r="J345" s="177">
        <f>IF(H345=0,0,IF(F345="MXN",1/HLOOKUP(YEAR(G345)+(MONTH(G345)/100),TC!$5:$37,DAY(G345)+2,FALSE),VLOOKUP(F345,Equivalencia!$5:$23,((MAX(Equivalencia!$3:$3)-YEAR(G345))*14)+MONTH(G345)+2,FALSE)))</f>
        <v>0</v>
      </c>
      <c r="K345" s="217">
        <f t="shared" si="55"/>
        <v>0</v>
      </c>
      <c r="L345" s="462">
        <f>IF(G345=0,0,VLOOKUP(YEAR(G345),INPC!$B$4:$O$29,MONTH(G345)+1))</f>
        <v>0</v>
      </c>
      <c r="M345" s="462">
        <f>IF(T345=0,0,VLOOKUP(YEAR(T345),INPC!$B$4:$O$29,MONTH(T345)+1))</f>
        <v>0</v>
      </c>
      <c r="N345" s="463">
        <f t="shared" si="51"/>
        <v>0</v>
      </c>
      <c r="O345" s="464">
        <f t="shared" si="56"/>
        <v>0</v>
      </c>
      <c r="P345" s="465">
        <f t="shared" si="57"/>
        <v>0</v>
      </c>
      <c r="Q345" s="606" t="str">
        <f t="shared" si="58"/>
        <v>NO</v>
      </c>
      <c r="R345" s="180"/>
      <c r="S345" s="173"/>
      <c r="T345" s="174"/>
      <c r="U345" s="173"/>
      <c r="V345" s="220"/>
      <c r="W345" s="177">
        <f>IF(S345=0,0,IF(U345="MXN",1/HLOOKUP(YEAR(T345)+(MONTH(T345)/100),TC!$5:$37,DAY(T345)+2,FALSE),VLOOKUP(U345,Equivalencia!$1:$23,((MAX(Equivalencia!$3:$3)-YEAR(T345))*14)+MONTH(T345)+2,FALSE)))</f>
        <v>0</v>
      </c>
      <c r="X345" s="178">
        <f t="shared" si="59"/>
        <v>0</v>
      </c>
      <c r="Y345" s="178">
        <f t="shared" si="60"/>
        <v>0</v>
      </c>
      <c r="Z345" s="175">
        <f t="shared" si="52"/>
        <v>0</v>
      </c>
      <c r="AA345" s="179"/>
      <c r="AB345" s="467">
        <f t="shared" si="53"/>
        <v>0</v>
      </c>
      <c r="AC345" s="466">
        <f t="shared" si="54"/>
        <v>0</v>
      </c>
    </row>
    <row r="346" spans="2:29" ht="20.100000000000001" customHeight="1">
      <c r="B346" s="172"/>
      <c r="C346" s="172"/>
      <c r="D346" s="172"/>
      <c r="E346" s="181"/>
      <c r="F346" s="173"/>
      <c r="G346" s="174"/>
      <c r="H346" s="284"/>
      <c r="I346" s="221"/>
      <c r="J346" s="177">
        <f>IF(H346=0,0,IF(F346="MXN",1/HLOOKUP(YEAR(G346)+(MONTH(G346)/100),TC!$5:$37,DAY(G346)+2,FALSE),VLOOKUP(F346,Equivalencia!$5:$23,((MAX(Equivalencia!$3:$3)-YEAR(G346))*14)+MONTH(G346)+2,FALSE)))</f>
        <v>0</v>
      </c>
      <c r="K346" s="217">
        <f t="shared" si="55"/>
        <v>0</v>
      </c>
      <c r="L346" s="462">
        <f>IF(G346=0,0,VLOOKUP(YEAR(G346),INPC!$B$4:$O$29,MONTH(G346)+1))</f>
        <v>0</v>
      </c>
      <c r="M346" s="462">
        <f>IF(T346=0,0,VLOOKUP(YEAR(T346),INPC!$B$4:$O$29,MONTH(T346)+1))</f>
        <v>0</v>
      </c>
      <c r="N346" s="463">
        <f t="shared" si="51"/>
        <v>0</v>
      </c>
      <c r="O346" s="464">
        <f t="shared" si="56"/>
        <v>0</v>
      </c>
      <c r="P346" s="465">
        <f t="shared" si="57"/>
        <v>0</v>
      </c>
      <c r="Q346" s="606" t="str">
        <f t="shared" si="58"/>
        <v>NO</v>
      </c>
      <c r="R346" s="180"/>
      <c r="S346" s="173"/>
      <c r="T346" s="174"/>
      <c r="U346" s="173"/>
      <c r="V346" s="220"/>
      <c r="W346" s="177">
        <f>IF(S346=0,0,IF(U346="MXN",1/HLOOKUP(YEAR(T346)+(MONTH(T346)/100),TC!$5:$37,DAY(T346)+2,FALSE),VLOOKUP(U346,Equivalencia!$1:$23,((MAX(Equivalencia!$3:$3)-YEAR(T346))*14)+MONTH(T346)+2,FALSE)))</f>
        <v>0</v>
      </c>
      <c r="X346" s="178">
        <f t="shared" si="59"/>
        <v>0</v>
      </c>
      <c r="Y346" s="178">
        <f t="shared" si="60"/>
        <v>0</v>
      </c>
      <c r="Z346" s="175">
        <f t="shared" si="52"/>
        <v>0</v>
      </c>
      <c r="AA346" s="179"/>
      <c r="AB346" s="467">
        <f t="shared" si="53"/>
        <v>0</v>
      </c>
      <c r="AC346" s="466">
        <f t="shared" si="54"/>
        <v>0</v>
      </c>
    </row>
    <row r="347" spans="2:29" ht="20.100000000000001" customHeight="1">
      <c r="B347" s="172"/>
      <c r="C347" s="172"/>
      <c r="D347" s="172"/>
      <c r="E347" s="181"/>
      <c r="F347" s="173"/>
      <c r="G347" s="174"/>
      <c r="H347" s="284"/>
      <c r="I347" s="221"/>
      <c r="J347" s="177">
        <f>IF(H347=0,0,IF(F347="MXN",1/HLOOKUP(YEAR(G347)+(MONTH(G347)/100),TC!$5:$37,DAY(G347)+2,FALSE),VLOOKUP(F347,Equivalencia!$5:$23,((MAX(Equivalencia!$3:$3)-YEAR(G347))*14)+MONTH(G347)+2,FALSE)))</f>
        <v>0</v>
      </c>
      <c r="K347" s="217">
        <f t="shared" si="55"/>
        <v>0</v>
      </c>
      <c r="L347" s="462">
        <f>IF(G347=0,0,VLOOKUP(YEAR(G347),INPC!$B$4:$O$29,MONTH(G347)+1))</f>
        <v>0</v>
      </c>
      <c r="M347" s="462">
        <f>IF(T347=0,0,VLOOKUP(YEAR(T347),INPC!$B$4:$O$29,MONTH(T347)+1))</f>
        <v>0</v>
      </c>
      <c r="N347" s="463">
        <f t="shared" si="51"/>
        <v>0</v>
      </c>
      <c r="O347" s="464">
        <f t="shared" si="56"/>
        <v>0</v>
      </c>
      <c r="P347" s="465">
        <f t="shared" si="57"/>
        <v>0</v>
      </c>
      <c r="Q347" s="606" t="str">
        <f t="shared" si="58"/>
        <v>NO</v>
      </c>
      <c r="R347" s="180"/>
      <c r="S347" s="173"/>
      <c r="T347" s="174"/>
      <c r="U347" s="173"/>
      <c r="V347" s="220"/>
      <c r="W347" s="177">
        <f>IF(S347=0,0,IF(U347="MXN",1/HLOOKUP(YEAR(T347)+(MONTH(T347)/100),TC!$5:$37,DAY(T347)+2,FALSE),VLOOKUP(U347,Equivalencia!$1:$23,((MAX(Equivalencia!$3:$3)-YEAR(T347))*14)+MONTH(T347)+2,FALSE)))</f>
        <v>0</v>
      </c>
      <c r="X347" s="178">
        <f t="shared" si="59"/>
        <v>0</v>
      </c>
      <c r="Y347" s="178">
        <f t="shared" si="60"/>
        <v>0</v>
      </c>
      <c r="Z347" s="175">
        <f t="shared" si="52"/>
        <v>0</v>
      </c>
      <c r="AA347" s="179"/>
      <c r="AB347" s="467">
        <f t="shared" si="53"/>
        <v>0</v>
      </c>
      <c r="AC347" s="466">
        <f t="shared" si="54"/>
        <v>0</v>
      </c>
    </row>
    <row r="348" spans="2:29" ht="20.100000000000001" customHeight="1">
      <c r="B348" s="172"/>
      <c r="C348" s="172"/>
      <c r="D348" s="172"/>
      <c r="E348" s="181"/>
      <c r="F348" s="173"/>
      <c r="G348" s="174"/>
      <c r="H348" s="284"/>
      <c r="I348" s="221"/>
      <c r="J348" s="177">
        <f>IF(H348=0,0,IF(F348="MXN",1/HLOOKUP(YEAR(G348)+(MONTH(G348)/100),TC!$5:$37,DAY(G348)+2,FALSE),VLOOKUP(F348,Equivalencia!$5:$23,((MAX(Equivalencia!$3:$3)-YEAR(G348))*14)+MONTH(G348)+2,FALSE)))</f>
        <v>0</v>
      </c>
      <c r="K348" s="217">
        <f t="shared" si="55"/>
        <v>0</v>
      </c>
      <c r="L348" s="462">
        <f>IF(G348=0,0,VLOOKUP(YEAR(G348),INPC!$B$4:$O$29,MONTH(G348)+1))</f>
        <v>0</v>
      </c>
      <c r="M348" s="462">
        <f>IF(T348=0,0,VLOOKUP(YEAR(T348),INPC!$B$4:$O$29,MONTH(T348)+1))</f>
        <v>0</v>
      </c>
      <c r="N348" s="463">
        <f t="shared" si="51"/>
        <v>0</v>
      </c>
      <c r="O348" s="464">
        <f t="shared" si="56"/>
        <v>0</v>
      </c>
      <c r="P348" s="465">
        <f t="shared" si="57"/>
        <v>0</v>
      </c>
      <c r="Q348" s="606" t="str">
        <f t="shared" si="58"/>
        <v>NO</v>
      </c>
      <c r="R348" s="180"/>
      <c r="S348" s="173"/>
      <c r="T348" s="174"/>
      <c r="U348" s="173"/>
      <c r="V348" s="220"/>
      <c r="W348" s="177">
        <f>IF(S348=0,0,IF(U348="MXN",1/HLOOKUP(YEAR(T348)+(MONTH(T348)/100),TC!$5:$37,DAY(T348)+2,FALSE),VLOOKUP(U348,Equivalencia!$1:$23,((MAX(Equivalencia!$3:$3)-YEAR(T348))*14)+MONTH(T348)+2,FALSE)))</f>
        <v>0</v>
      </c>
      <c r="X348" s="178">
        <f t="shared" si="59"/>
        <v>0</v>
      </c>
      <c r="Y348" s="178">
        <f t="shared" si="60"/>
        <v>0</v>
      </c>
      <c r="Z348" s="175">
        <f t="shared" si="52"/>
        <v>0</v>
      </c>
      <c r="AA348" s="179"/>
      <c r="AB348" s="467">
        <f t="shared" si="53"/>
        <v>0</v>
      </c>
      <c r="AC348" s="466">
        <f t="shared" si="54"/>
        <v>0</v>
      </c>
    </row>
    <row r="349" spans="2:29" ht="20.100000000000001" customHeight="1">
      <c r="B349" s="172"/>
      <c r="C349" s="172"/>
      <c r="D349" s="172"/>
      <c r="E349" s="181"/>
      <c r="F349" s="173"/>
      <c r="G349" s="174"/>
      <c r="H349" s="284"/>
      <c r="I349" s="221"/>
      <c r="J349" s="177">
        <f>IF(H349=0,0,IF(F349="MXN",1/HLOOKUP(YEAR(G349)+(MONTH(G349)/100),TC!$5:$37,DAY(G349)+2,FALSE),VLOOKUP(F349,Equivalencia!$5:$23,((MAX(Equivalencia!$3:$3)-YEAR(G349))*14)+MONTH(G349)+2,FALSE)))</f>
        <v>0</v>
      </c>
      <c r="K349" s="217">
        <f t="shared" si="55"/>
        <v>0</v>
      </c>
      <c r="L349" s="462">
        <f>IF(G349=0,0,VLOOKUP(YEAR(G349),INPC!$B$4:$O$29,MONTH(G349)+1))</f>
        <v>0</v>
      </c>
      <c r="M349" s="462">
        <f>IF(T349=0,0,VLOOKUP(YEAR(T349),INPC!$B$4:$O$29,MONTH(T349)+1))</f>
        <v>0</v>
      </c>
      <c r="N349" s="463">
        <f t="shared" si="51"/>
        <v>0</v>
      </c>
      <c r="O349" s="464">
        <f t="shared" si="56"/>
        <v>0</v>
      </c>
      <c r="P349" s="465">
        <f t="shared" si="57"/>
        <v>0</v>
      </c>
      <c r="Q349" s="606" t="str">
        <f t="shared" si="58"/>
        <v>NO</v>
      </c>
      <c r="R349" s="180"/>
      <c r="S349" s="173"/>
      <c r="T349" s="174"/>
      <c r="U349" s="173"/>
      <c r="V349" s="220"/>
      <c r="W349" s="177">
        <f>IF(S349=0,0,IF(U349="MXN",1/HLOOKUP(YEAR(T349)+(MONTH(T349)/100),TC!$5:$37,DAY(T349)+2,FALSE),VLOOKUP(U349,Equivalencia!$1:$23,((MAX(Equivalencia!$3:$3)-YEAR(T349))*14)+MONTH(T349)+2,FALSE)))</f>
        <v>0</v>
      </c>
      <c r="X349" s="178">
        <f t="shared" si="59"/>
        <v>0</v>
      </c>
      <c r="Y349" s="178">
        <f t="shared" si="60"/>
        <v>0</v>
      </c>
      <c r="Z349" s="175">
        <f t="shared" si="52"/>
        <v>0</v>
      </c>
      <c r="AA349" s="179"/>
      <c r="AB349" s="467">
        <f t="shared" si="53"/>
        <v>0</v>
      </c>
      <c r="AC349" s="466">
        <f t="shared" si="54"/>
        <v>0</v>
      </c>
    </row>
    <row r="350" spans="2:29" ht="20.100000000000001" customHeight="1">
      <c r="B350" s="172"/>
      <c r="C350" s="172"/>
      <c r="D350" s="172"/>
      <c r="E350" s="181"/>
      <c r="F350" s="173"/>
      <c r="G350" s="174"/>
      <c r="H350" s="284"/>
      <c r="I350" s="221"/>
      <c r="J350" s="177">
        <f>IF(H350=0,0,IF(F350="MXN",1/HLOOKUP(YEAR(G350)+(MONTH(G350)/100),TC!$5:$37,DAY(G350)+2,FALSE),VLOOKUP(F350,Equivalencia!$5:$23,((MAX(Equivalencia!$3:$3)-YEAR(G350))*14)+MONTH(G350)+2,FALSE)))</f>
        <v>0</v>
      </c>
      <c r="K350" s="217">
        <f t="shared" si="55"/>
        <v>0</v>
      </c>
      <c r="L350" s="462">
        <f>IF(G350=0,0,VLOOKUP(YEAR(G350),INPC!$B$4:$O$29,MONTH(G350)+1))</f>
        <v>0</v>
      </c>
      <c r="M350" s="462">
        <f>IF(T350=0,0,VLOOKUP(YEAR(T350),INPC!$B$4:$O$29,MONTH(T350)+1))</f>
        <v>0</v>
      </c>
      <c r="N350" s="463">
        <f t="shared" si="51"/>
        <v>0</v>
      </c>
      <c r="O350" s="464">
        <f t="shared" si="56"/>
        <v>0</v>
      </c>
      <c r="P350" s="465">
        <f t="shared" si="57"/>
        <v>0</v>
      </c>
      <c r="Q350" s="606" t="str">
        <f t="shared" si="58"/>
        <v>NO</v>
      </c>
      <c r="R350" s="180"/>
      <c r="S350" s="173"/>
      <c r="T350" s="174"/>
      <c r="U350" s="173"/>
      <c r="V350" s="220"/>
      <c r="W350" s="177">
        <f>IF(S350=0,0,IF(U350="MXN",1/HLOOKUP(YEAR(T350)+(MONTH(T350)/100),TC!$5:$37,DAY(T350)+2,FALSE),VLOOKUP(U350,Equivalencia!$1:$23,((MAX(Equivalencia!$3:$3)-YEAR(T350))*14)+MONTH(T350)+2,FALSE)))</f>
        <v>0</v>
      </c>
      <c r="X350" s="178">
        <f t="shared" si="59"/>
        <v>0</v>
      </c>
      <c r="Y350" s="178">
        <f t="shared" si="60"/>
        <v>0</v>
      </c>
      <c r="Z350" s="175">
        <f t="shared" si="52"/>
        <v>0</v>
      </c>
      <c r="AA350" s="179"/>
      <c r="AB350" s="467">
        <f t="shared" si="53"/>
        <v>0</v>
      </c>
      <c r="AC350" s="466">
        <f t="shared" si="54"/>
        <v>0</v>
      </c>
    </row>
    <row r="351" spans="2:29" ht="20.100000000000001" customHeight="1">
      <c r="B351" s="172"/>
      <c r="C351" s="172"/>
      <c r="D351" s="172"/>
      <c r="E351" s="181"/>
      <c r="F351" s="173"/>
      <c r="G351" s="174"/>
      <c r="H351" s="284"/>
      <c r="I351" s="221"/>
      <c r="J351" s="177">
        <f>IF(H351=0,0,IF(F351="MXN",1/HLOOKUP(YEAR(G351)+(MONTH(G351)/100),TC!$5:$37,DAY(G351)+2,FALSE),VLOOKUP(F351,Equivalencia!$5:$23,((MAX(Equivalencia!$3:$3)-YEAR(G351))*14)+MONTH(G351)+2,FALSE)))</f>
        <v>0</v>
      </c>
      <c r="K351" s="217">
        <f t="shared" si="55"/>
        <v>0</v>
      </c>
      <c r="L351" s="462">
        <f>IF(G351=0,0,VLOOKUP(YEAR(G351),INPC!$B$4:$O$29,MONTH(G351)+1))</f>
        <v>0</v>
      </c>
      <c r="M351" s="462">
        <f>IF(T351=0,0,VLOOKUP(YEAR(T351),INPC!$B$4:$O$29,MONTH(T351)+1))</f>
        <v>0</v>
      </c>
      <c r="N351" s="463">
        <f t="shared" si="51"/>
        <v>0</v>
      </c>
      <c r="O351" s="464">
        <f t="shared" si="56"/>
        <v>0</v>
      </c>
      <c r="P351" s="465">
        <f t="shared" si="57"/>
        <v>0</v>
      </c>
      <c r="Q351" s="606" t="str">
        <f t="shared" si="58"/>
        <v>NO</v>
      </c>
      <c r="R351" s="180"/>
      <c r="S351" s="173"/>
      <c r="T351" s="174"/>
      <c r="U351" s="173"/>
      <c r="V351" s="220"/>
      <c r="W351" s="177">
        <f>IF(S351=0,0,IF(U351="MXN",1/HLOOKUP(YEAR(T351)+(MONTH(T351)/100),TC!$5:$37,DAY(T351)+2,FALSE),VLOOKUP(U351,Equivalencia!$1:$23,((MAX(Equivalencia!$3:$3)-YEAR(T351))*14)+MONTH(T351)+2,FALSE)))</f>
        <v>0</v>
      </c>
      <c r="X351" s="178">
        <f t="shared" si="59"/>
        <v>0</v>
      </c>
      <c r="Y351" s="178">
        <f t="shared" si="60"/>
        <v>0</v>
      </c>
      <c r="Z351" s="175">
        <f t="shared" si="52"/>
        <v>0</v>
      </c>
      <c r="AA351" s="179"/>
      <c r="AB351" s="467">
        <f t="shared" si="53"/>
        <v>0</v>
      </c>
      <c r="AC351" s="466">
        <f t="shared" si="54"/>
        <v>0</v>
      </c>
    </row>
    <row r="352" spans="2:29" ht="20.100000000000001" customHeight="1">
      <c r="B352" s="172"/>
      <c r="C352" s="172"/>
      <c r="D352" s="172"/>
      <c r="E352" s="181"/>
      <c r="F352" s="173"/>
      <c r="G352" s="174"/>
      <c r="H352" s="284"/>
      <c r="I352" s="221"/>
      <c r="J352" s="177">
        <f>IF(H352=0,0,IF(F352="MXN",1/HLOOKUP(YEAR(G352)+(MONTH(G352)/100),TC!$5:$37,DAY(G352)+2,FALSE),VLOOKUP(F352,Equivalencia!$5:$23,((MAX(Equivalencia!$3:$3)-YEAR(G352))*14)+MONTH(G352)+2,FALSE)))</f>
        <v>0</v>
      </c>
      <c r="K352" s="217">
        <f t="shared" si="55"/>
        <v>0</v>
      </c>
      <c r="L352" s="462">
        <f>IF(G352=0,0,VLOOKUP(YEAR(G352),INPC!$B$4:$O$29,MONTH(G352)+1))</f>
        <v>0</v>
      </c>
      <c r="M352" s="462">
        <f>IF(T352=0,0,VLOOKUP(YEAR(T352),INPC!$B$4:$O$29,MONTH(T352)+1))</f>
        <v>0</v>
      </c>
      <c r="N352" s="463">
        <f t="shared" si="51"/>
        <v>0</v>
      </c>
      <c r="O352" s="464">
        <f t="shared" si="56"/>
        <v>0</v>
      </c>
      <c r="P352" s="465">
        <f t="shared" si="57"/>
        <v>0</v>
      </c>
      <c r="Q352" s="606" t="str">
        <f t="shared" si="58"/>
        <v>NO</v>
      </c>
      <c r="R352" s="180"/>
      <c r="S352" s="173"/>
      <c r="T352" s="174"/>
      <c r="U352" s="173"/>
      <c r="V352" s="220"/>
      <c r="W352" s="177">
        <f>IF(S352=0,0,IF(U352="MXN",1/HLOOKUP(YEAR(T352)+(MONTH(T352)/100),TC!$5:$37,DAY(T352)+2,FALSE),VLOOKUP(U352,Equivalencia!$1:$23,((MAX(Equivalencia!$3:$3)-YEAR(T352))*14)+MONTH(T352)+2,FALSE)))</f>
        <v>0</v>
      </c>
      <c r="X352" s="178">
        <f t="shared" si="59"/>
        <v>0</v>
      </c>
      <c r="Y352" s="178">
        <f t="shared" si="60"/>
        <v>0</v>
      </c>
      <c r="Z352" s="175">
        <f t="shared" si="52"/>
        <v>0</v>
      </c>
      <c r="AA352" s="179"/>
      <c r="AB352" s="467">
        <f t="shared" si="53"/>
        <v>0</v>
      </c>
      <c r="AC352" s="466">
        <f t="shared" si="54"/>
        <v>0</v>
      </c>
    </row>
    <row r="353" spans="2:29" ht="20.100000000000001" customHeight="1">
      <c r="B353" s="172"/>
      <c r="C353" s="172"/>
      <c r="D353" s="172"/>
      <c r="E353" s="181"/>
      <c r="F353" s="173"/>
      <c r="G353" s="174"/>
      <c r="H353" s="284"/>
      <c r="I353" s="221"/>
      <c r="J353" s="177">
        <f>IF(H353=0,0,IF(F353="MXN",1/HLOOKUP(YEAR(G353)+(MONTH(G353)/100),TC!$5:$37,DAY(G353)+2,FALSE),VLOOKUP(F353,Equivalencia!$5:$23,((MAX(Equivalencia!$3:$3)-YEAR(G353))*14)+MONTH(G353)+2,FALSE)))</f>
        <v>0</v>
      </c>
      <c r="K353" s="217">
        <f t="shared" si="55"/>
        <v>0</v>
      </c>
      <c r="L353" s="462">
        <f>IF(G353=0,0,VLOOKUP(YEAR(G353),INPC!$B$4:$O$29,MONTH(G353)+1))</f>
        <v>0</v>
      </c>
      <c r="M353" s="462">
        <f>IF(T353=0,0,VLOOKUP(YEAR(T353),INPC!$B$4:$O$29,MONTH(T353)+1))</f>
        <v>0</v>
      </c>
      <c r="N353" s="463">
        <f t="shared" si="51"/>
        <v>0</v>
      </c>
      <c r="O353" s="464">
        <f t="shared" si="56"/>
        <v>0</v>
      </c>
      <c r="P353" s="465">
        <f t="shared" si="57"/>
        <v>0</v>
      </c>
      <c r="Q353" s="606" t="str">
        <f t="shared" si="58"/>
        <v>NO</v>
      </c>
      <c r="R353" s="180"/>
      <c r="S353" s="173"/>
      <c r="T353" s="174"/>
      <c r="U353" s="173"/>
      <c r="V353" s="220"/>
      <c r="W353" s="177">
        <f>IF(S353=0,0,IF(U353="MXN",1/HLOOKUP(YEAR(T353)+(MONTH(T353)/100),TC!$5:$37,DAY(T353)+2,FALSE),VLOOKUP(U353,Equivalencia!$1:$23,((MAX(Equivalencia!$3:$3)-YEAR(T353))*14)+MONTH(T353)+2,FALSE)))</f>
        <v>0</v>
      </c>
      <c r="X353" s="178">
        <f t="shared" si="59"/>
        <v>0</v>
      </c>
      <c r="Y353" s="178">
        <f t="shared" si="60"/>
        <v>0</v>
      </c>
      <c r="Z353" s="175">
        <f t="shared" si="52"/>
        <v>0</v>
      </c>
      <c r="AA353" s="179"/>
      <c r="AB353" s="467">
        <f t="shared" si="53"/>
        <v>0</v>
      </c>
      <c r="AC353" s="466">
        <f t="shared" si="54"/>
        <v>0</v>
      </c>
    </row>
    <row r="354" spans="2:29" ht="20.100000000000001" customHeight="1">
      <c r="B354" s="172"/>
      <c r="C354" s="172"/>
      <c r="D354" s="172"/>
      <c r="E354" s="181"/>
      <c r="F354" s="173"/>
      <c r="G354" s="174"/>
      <c r="H354" s="284"/>
      <c r="I354" s="221"/>
      <c r="J354" s="177">
        <f>IF(H354=0,0,IF(F354="MXN",1/HLOOKUP(YEAR(G354)+(MONTH(G354)/100),TC!$5:$37,DAY(G354)+2,FALSE),VLOOKUP(F354,Equivalencia!$5:$23,((MAX(Equivalencia!$3:$3)-YEAR(G354))*14)+MONTH(G354)+2,FALSE)))</f>
        <v>0</v>
      </c>
      <c r="K354" s="217">
        <f t="shared" si="55"/>
        <v>0</v>
      </c>
      <c r="L354" s="462">
        <f>IF(G354=0,0,VLOOKUP(YEAR(G354),INPC!$B$4:$O$29,MONTH(G354)+1))</f>
        <v>0</v>
      </c>
      <c r="M354" s="462">
        <f>IF(T354=0,0,VLOOKUP(YEAR(T354),INPC!$B$4:$O$29,MONTH(T354)+1))</f>
        <v>0</v>
      </c>
      <c r="N354" s="463">
        <f t="shared" si="51"/>
        <v>0</v>
      </c>
      <c r="O354" s="464">
        <f t="shared" si="56"/>
        <v>0</v>
      </c>
      <c r="P354" s="465">
        <f t="shared" si="57"/>
        <v>0</v>
      </c>
      <c r="Q354" s="606" t="str">
        <f t="shared" si="58"/>
        <v>NO</v>
      </c>
      <c r="R354" s="180"/>
      <c r="S354" s="173"/>
      <c r="T354" s="174"/>
      <c r="U354" s="173"/>
      <c r="V354" s="220"/>
      <c r="W354" s="177">
        <f>IF(S354=0,0,IF(U354="MXN",1/HLOOKUP(YEAR(T354)+(MONTH(T354)/100),TC!$5:$37,DAY(T354)+2,FALSE),VLOOKUP(U354,Equivalencia!$1:$23,((MAX(Equivalencia!$3:$3)-YEAR(T354))*14)+MONTH(T354)+2,FALSE)))</f>
        <v>0</v>
      </c>
      <c r="X354" s="178">
        <f t="shared" si="59"/>
        <v>0</v>
      </c>
      <c r="Y354" s="178">
        <f t="shared" si="60"/>
        <v>0</v>
      </c>
      <c r="Z354" s="175">
        <f t="shared" si="52"/>
        <v>0</v>
      </c>
      <c r="AA354" s="179"/>
      <c r="AB354" s="467">
        <f t="shared" si="53"/>
        <v>0</v>
      </c>
      <c r="AC354" s="466">
        <f t="shared" si="54"/>
        <v>0</v>
      </c>
    </row>
    <row r="355" spans="2:29" ht="20.100000000000001" customHeight="1">
      <c r="B355" s="172"/>
      <c r="C355" s="172"/>
      <c r="D355" s="172"/>
      <c r="E355" s="181"/>
      <c r="F355" s="173"/>
      <c r="G355" s="174"/>
      <c r="H355" s="284"/>
      <c r="I355" s="221"/>
      <c r="J355" s="177">
        <f>IF(H355=0,0,IF(F355="MXN",1/HLOOKUP(YEAR(G355)+(MONTH(G355)/100),TC!$5:$37,DAY(G355)+2,FALSE),VLOOKUP(F355,Equivalencia!$5:$23,((MAX(Equivalencia!$3:$3)-YEAR(G355))*14)+MONTH(G355)+2,FALSE)))</f>
        <v>0</v>
      </c>
      <c r="K355" s="217">
        <f t="shared" si="55"/>
        <v>0</v>
      </c>
      <c r="L355" s="462">
        <f>IF(G355=0,0,VLOOKUP(YEAR(G355),INPC!$B$4:$O$29,MONTH(G355)+1))</f>
        <v>0</v>
      </c>
      <c r="M355" s="462">
        <f>IF(T355=0,0,VLOOKUP(YEAR(T355),INPC!$B$4:$O$29,MONTH(T355)+1))</f>
        <v>0</v>
      </c>
      <c r="N355" s="463">
        <f t="shared" si="51"/>
        <v>0</v>
      </c>
      <c r="O355" s="464">
        <f t="shared" si="56"/>
        <v>0</v>
      </c>
      <c r="P355" s="465">
        <f t="shared" si="57"/>
        <v>0</v>
      </c>
      <c r="Q355" s="606" t="str">
        <f t="shared" si="58"/>
        <v>NO</v>
      </c>
      <c r="R355" s="180"/>
      <c r="S355" s="173"/>
      <c r="T355" s="174"/>
      <c r="U355" s="173"/>
      <c r="V355" s="220"/>
      <c r="W355" s="177">
        <f>IF(S355=0,0,IF(U355="MXN",1/HLOOKUP(YEAR(T355)+(MONTH(T355)/100),TC!$5:$37,DAY(T355)+2,FALSE),VLOOKUP(U355,Equivalencia!$1:$23,((MAX(Equivalencia!$3:$3)-YEAR(T355))*14)+MONTH(T355)+2,FALSE)))</f>
        <v>0</v>
      </c>
      <c r="X355" s="178">
        <f t="shared" si="59"/>
        <v>0</v>
      </c>
      <c r="Y355" s="178">
        <f t="shared" si="60"/>
        <v>0</v>
      </c>
      <c r="Z355" s="175">
        <f t="shared" si="52"/>
        <v>0</v>
      </c>
      <c r="AA355" s="179"/>
      <c r="AB355" s="467">
        <f t="shared" si="53"/>
        <v>0</v>
      </c>
      <c r="AC355" s="466">
        <f t="shared" si="54"/>
        <v>0</v>
      </c>
    </row>
    <row r="356" spans="2:29" ht="20.100000000000001" customHeight="1">
      <c r="B356" s="172"/>
      <c r="C356" s="172"/>
      <c r="D356" s="172"/>
      <c r="E356" s="181"/>
      <c r="F356" s="173"/>
      <c r="G356" s="174"/>
      <c r="H356" s="284"/>
      <c r="I356" s="221"/>
      <c r="J356" s="177">
        <f>IF(H356=0,0,IF(F356="MXN",1/HLOOKUP(YEAR(G356)+(MONTH(G356)/100),TC!$5:$37,DAY(G356)+2,FALSE),VLOOKUP(F356,Equivalencia!$5:$23,((MAX(Equivalencia!$3:$3)-YEAR(G356))*14)+MONTH(G356)+2,FALSE)))</f>
        <v>0</v>
      </c>
      <c r="K356" s="217">
        <f t="shared" si="55"/>
        <v>0</v>
      </c>
      <c r="L356" s="462">
        <f>IF(G356=0,0,VLOOKUP(YEAR(G356),INPC!$B$4:$O$29,MONTH(G356)+1))</f>
        <v>0</v>
      </c>
      <c r="M356" s="462">
        <f>IF(T356=0,0,VLOOKUP(YEAR(T356),INPC!$B$4:$O$29,MONTH(T356)+1))</f>
        <v>0</v>
      </c>
      <c r="N356" s="463">
        <f t="shared" si="51"/>
        <v>0</v>
      </c>
      <c r="O356" s="464">
        <f t="shared" si="56"/>
        <v>0</v>
      </c>
      <c r="P356" s="465">
        <f t="shared" si="57"/>
        <v>0</v>
      </c>
      <c r="Q356" s="606" t="str">
        <f t="shared" si="58"/>
        <v>NO</v>
      </c>
      <c r="R356" s="180"/>
      <c r="S356" s="173"/>
      <c r="T356" s="174"/>
      <c r="U356" s="173"/>
      <c r="V356" s="220"/>
      <c r="W356" s="177">
        <f>IF(S356=0,0,IF(U356="MXN",1/HLOOKUP(YEAR(T356)+(MONTH(T356)/100),TC!$5:$37,DAY(T356)+2,FALSE),VLOOKUP(U356,Equivalencia!$1:$23,((MAX(Equivalencia!$3:$3)-YEAR(T356))*14)+MONTH(T356)+2,FALSE)))</f>
        <v>0</v>
      </c>
      <c r="X356" s="178">
        <f t="shared" si="59"/>
        <v>0</v>
      </c>
      <c r="Y356" s="178">
        <f t="shared" si="60"/>
        <v>0</v>
      </c>
      <c r="Z356" s="175">
        <f t="shared" si="52"/>
        <v>0</v>
      </c>
      <c r="AA356" s="179"/>
      <c r="AB356" s="467">
        <f t="shared" si="53"/>
        <v>0</v>
      </c>
      <c r="AC356" s="466">
        <f t="shared" si="54"/>
        <v>0</v>
      </c>
    </row>
    <row r="357" spans="2:29" ht="20.100000000000001" customHeight="1">
      <c r="B357" s="172"/>
      <c r="C357" s="172"/>
      <c r="D357" s="172"/>
      <c r="E357" s="181"/>
      <c r="F357" s="173"/>
      <c r="G357" s="174"/>
      <c r="H357" s="284"/>
      <c r="I357" s="221"/>
      <c r="J357" s="177">
        <f>IF(H357=0,0,IF(F357="MXN",1/HLOOKUP(YEAR(G357)+(MONTH(G357)/100),TC!$5:$37,DAY(G357)+2,FALSE),VLOOKUP(F357,Equivalencia!$5:$23,((MAX(Equivalencia!$3:$3)-YEAR(G357))*14)+MONTH(G357)+2,FALSE)))</f>
        <v>0</v>
      </c>
      <c r="K357" s="217">
        <f t="shared" si="55"/>
        <v>0</v>
      </c>
      <c r="L357" s="462">
        <f>IF(G357=0,0,VLOOKUP(YEAR(G357),INPC!$B$4:$O$29,MONTH(G357)+1))</f>
        <v>0</v>
      </c>
      <c r="M357" s="462">
        <f>IF(T357=0,0,VLOOKUP(YEAR(T357),INPC!$B$4:$O$29,MONTH(T357)+1))</f>
        <v>0</v>
      </c>
      <c r="N357" s="463">
        <f t="shared" si="51"/>
        <v>0</v>
      </c>
      <c r="O357" s="464">
        <f t="shared" si="56"/>
        <v>0</v>
      </c>
      <c r="P357" s="465">
        <f t="shared" si="57"/>
        <v>0</v>
      </c>
      <c r="Q357" s="606" t="str">
        <f t="shared" si="58"/>
        <v>NO</v>
      </c>
      <c r="R357" s="180"/>
      <c r="S357" s="173"/>
      <c r="T357" s="174"/>
      <c r="U357" s="173"/>
      <c r="V357" s="220"/>
      <c r="W357" s="177">
        <f>IF(S357=0,0,IF(U357="MXN",1/HLOOKUP(YEAR(T357)+(MONTH(T357)/100),TC!$5:$37,DAY(T357)+2,FALSE),VLOOKUP(U357,Equivalencia!$1:$23,((MAX(Equivalencia!$3:$3)-YEAR(T357))*14)+MONTH(T357)+2,FALSE)))</f>
        <v>0</v>
      </c>
      <c r="X357" s="178">
        <f t="shared" si="59"/>
        <v>0</v>
      </c>
      <c r="Y357" s="178">
        <f t="shared" si="60"/>
        <v>0</v>
      </c>
      <c r="Z357" s="175">
        <f t="shared" si="52"/>
        <v>0</v>
      </c>
      <c r="AA357" s="179"/>
      <c r="AB357" s="467">
        <f t="shared" si="53"/>
        <v>0</v>
      </c>
      <c r="AC357" s="466">
        <f t="shared" si="54"/>
        <v>0</v>
      </c>
    </row>
    <row r="358" spans="2:29" ht="20.100000000000001" customHeight="1">
      <c r="B358" s="172"/>
      <c r="C358" s="172"/>
      <c r="D358" s="172"/>
      <c r="E358" s="181"/>
      <c r="F358" s="173"/>
      <c r="G358" s="174"/>
      <c r="H358" s="284"/>
      <c r="I358" s="221"/>
      <c r="J358" s="177">
        <f>IF(H358=0,0,IF(F358="MXN",1/HLOOKUP(YEAR(G358)+(MONTH(G358)/100),TC!$5:$37,DAY(G358)+2,FALSE),VLOOKUP(F358,Equivalencia!$5:$23,((MAX(Equivalencia!$3:$3)-YEAR(G358))*14)+MONTH(G358)+2,FALSE)))</f>
        <v>0</v>
      </c>
      <c r="K358" s="217">
        <f t="shared" si="55"/>
        <v>0</v>
      </c>
      <c r="L358" s="462">
        <f>IF(G358=0,0,VLOOKUP(YEAR(G358),INPC!$B$4:$O$29,MONTH(G358)+1))</f>
        <v>0</v>
      </c>
      <c r="M358" s="462">
        <f>IF(T358=0,0,VLOOKUP(YEAR(T358),INPC!$B$4:$O$29,MONTH(T358)+1))</f>
        <v>0</v>
      </c>
      <c r="N358" s="463">
        <f t="shared" si="51"/>
        <v>0</v>
      </c>
      <c r="O358" s="464">
        <f t="shared" si="56"/>
        <v>0</v>
      </c>
      <c r="P358" s="465">
        <f t="shared" si="57"/>
        <v>0</v>
      </c>
      <c r="Q358" s="606" t="str">
        <f t="shared" si="58"/>
        <v>NO</v>
      </c>
      <c r="R358" s="180"/>
      <c r="S358" s="173"/>
      <c r="T358" s="174"/>
      <c r="U358" s="173"/>
      <c r="V358" s="220"/>
      <c r="W358" s="177">
        <f>IF(S358=0,0,IF(U358="MXN",1/HLOOKUP(YEAR(T358)+(MONTH(T358)/100),TC!$5:$37,DAY(T358)+2,FALSE),VLOOKUP(U358,Equivalencia!$1:$23,((MAX(Equivalencia!$3:$3)-YEAR(T358))*14)+MONTH(T358)+2,FALSE)))</f>
        <v>0</v>
      </c>
      <c r="X358" s="178">
        <f t="shared" si="59"/>
        <v>0</v>
      </c>
      <c r="Y358" s="178">
        <f t="shared" si="60"/>
        <v>0</v>
      </c>
      <c r="Z358" s="175">
        <f t="shared" si="52"/>
        <v>0</v>
      </c>
      <c r="AA358" s="179"/>
      <c r="AB358" s="467">
        <f t="shared" si="53"/>
        <v>0</v>
      </c>
      <c r="AC358" s="466">
        <f t="shared" si="54"/>
        <v>0</v>
      </c>
    </row>
    <row r="359" spans="2:29" ht="20.100000000000001" customHeight="1">
      <c r="B359" s="172"/>
      <c r="C359" s="172"/>
      <c r="D359" s="172"/>
      <c r="E359" s="181"/>
      <c r="F359" s="173"/>
      <c r="G359" s="174"/>
      <c r="H359" s="284"/>
      <c r="I359" s="221"/>
      <c r="J359" s="177">
        <f>IF(H359=0,0,IF(F359="MXN",1/HLOOKUP(YEAR(G359)+(MONTH(G359)/100),TC!$5:$37,DAY(G359)+2,FALSE),VLOOKUP(F359,Equivalencia!$5:$23,((MAX(Equivalencia!$3:$3)-YEAR(G359))*14)+MONTH(G359)+2,FALSE)))</f>
        <v>0</v>
      </c>
      <c r="K359" s="217">
        <f t="shared" si="55"/>
        <v>0</v>
      </c>
      <c r="L359" s="462">
        <f>IF(G359=0,0,VLOOKUP(YEAR(G359),INPC!$B$4:$O$29,MONTH(G359)+1))</f>
        <v>0</v>
      </c>
      <c r="M359" s="462">
        <f>IF(T359=0,0,VLOOKUP(YEAR(T359),INPC!$B$4:$O$29,MONTH(T359)+1))</f>
        <v>0</v>
      </c>
      <c r="N359" s="463">
        <f t="shared" si="51"/>
        <v>0</v>
      </c>
      <c r="O359" s="464">
        <f t="shared" si="56"/>
        <v>0</v>
      </c>
      <c r="P359" s="465">
        <f t="shared" si="57"/>
        <v>0</v>
      </c>
      <c r="Q359" s="606" t="str">
        <f t="shared" si="58"/>
        <v>NO</v>
      </c>
      <c r="R359" s="180"/>
      <c r="S359" s="173"/>
      <c r="T359" s="174"/>
      <c r="U359" s="173"/>
      <c r="V359" s="220"/>
      <c r="W359" s="177">
        <f>IF(S359=0,0,IF(U359="MXN",1/HLOOKUP(YEAR(T359)+(MONTH(T359)/100),TC!$5:$37,DAY(T359)+2,FALSE),VLOOKUP(U359,Equivalencia!$1:$23,((MAX(Equivalencia!$3:$3)-YEAR(T359))*14)+MONTH(T359)+2,FALSE)))</f>
        <v>0</v>
      </c>
      <c r="X359" s="178">
        <f t="shared" si="59"/>
        <v>0</v>
      </c>
      <c r="Y359" s="178">
        <f t="shared" si="60"/>
        <v>0</v>
      </c>
      <c r="Z359" s="175">
        <f t="shared" si="52"/>
        <v>0</v>
      </c>
      <c r="AA359" s="179"/>
      <c r="AB359" s="467">
        <f t="shared" si="53"/>
        <v>0</v>
      </c>
      <c r="AC359" s="466">
        <f t="shared" si="54"/>
        <v>0</v>
      </c>
    </row>
    <row r="360" spans="2:29" ht="20.100000000000001" customHeight="1">
      <c r="B360" s="172"/>
      <c r="C360" s="172"/>
      <c r="D360" s="172"/>
      <c r="E360" s="181"/>
      <c r="F360" s="173"/>
      <c r="G360" s="174"/>
      <c r="H360" s="284"/>
      <c r="I360" s="221"/>
      <c r="J360" s="177">
        <f>IF(H360=0,0,IF(F360="MXN",1/HLOOKUP(YEAR(G360)+(MONTH(G360)/100),TC!$5:$37,DAY(G360)+2,FALSE),VLOOKUP(F360,Equivalencia!$5:$23,((MAX(Equivalencia!$3:$3)-YEAR(G360))*14)+MONTH(G360)+2,FALSE)))</f>
        <v>0</v>
      </c>
      <c r="K360" s="217">
        <f t="shared" si="55"/>
        <v>0</v>
      </c>
      <c r="L360" s="462">
        <f>IF(G360=0,0,VLOOKUP(YEAR(G360),INPC!$B$4:$O$29,MONTH(G360)+1))</f>
        <v>0</v>
      </c>
      <c r="M360" s="462">
        <f>IF(T360=0,0,VLOOKUP(YEAR(T360),INPC!$B$4:$O$29,MONTH(T360)+1))</f>
        <v>0</v>
      </c>
      <c r="N360" s="463">
        <f t="shared" si="51"/>
        <v>0</v>
      </c>
      <c r="O360" s="464">
        <f t="shared" si="56"/>
        <v>0</v>
      </c>
      <c r="P360" s="465">
        <f t="shared" si="57"/>
        <v>0</v>
      </c>
      <c r="Q360" s="606" t="str">
        <f t="shared" si="58"/>
        <v>NO</v>
      </c>
      <c r="R360" s="180"/>
      <c r="S360" s="173"/>
      <c r="T360" s="174"/>
      <c r="U360" s="173"/>
      <c r="V360" s="220"/>
      <c r="W360" s="177">
        <f>IF(S360=0,0,IF(U360="MXN",1/HLOOKUP(YEAR(T360)+(MONTH(T360)/100),TC!$5:$37,DAY(T360)+2,FALSE),VLOOKUP(U360,Equivalencia!$1:$23,((MAX(Equivalencia!$3:$3)-YEAR(T360))*14)+MONTH(T360)+2,FALSE)))</f>
        <v>0</v>
      </c>
      <c r="X360" s="178">
        <f t="shared" si="59"/>
        <v>0</v>
      </c>
      <c r="Y360" s="178">
        <f t="shared" si="60"/>
        <v>0</v>
      </c>
      <c r="Z360" s="175">
        <f t="shared" si="52"/>
        <v>0</v>
      </c>
      <c r="AA360" s="179"/>
      <c r="AB360" s="467">
        <f t="shared" si="53"/>
        <v>0</v>
      </c>
      <c r="AC360" s="466">
        <f t="shared" si="54"/>
        <v>0</v>
      </c>
    </row>
    <row r="361" spans="2:29" ht="20.100000000000001" customHeight="1">
      <c r="B361" s="172"/>
      <c r="C361" s="172"/>
      <c r="D361" s="172"/>
      <c r="E361" s="181"/>
      <c r="F361" s="173"/>
      <c r="G361" s="174"/>
      <c r="H361" s="284"/>
      <c r="I361" s="221"/>
      <c r="J361" s="177">
        <f>IF(H361=0,0,IF(F361="MXN",1/HLOOKUP(YEAR(G361)+(MONTH(G361)/100),TC!$5:$37,DAY(G361)+2,FALSE),VLOOKUP(F361,Equivalencia!$5:$23,((MAX(Equivalencia!$3:$3)-YEAR(G361))*14)+MONTH(G361)+2,FALSE)))</f>
        <v>0</v>
      </c>
      <c r="K361" s="217">
        <f t="shared" si="55"/>
        <v>0</v>
      </c>
      <c r="L361" s="462">
        <f>IF(G361=0,0,VLOOKUP(YEAR(G361),INPC!$B$4:$O$29,MONTH(G361)+1))</f>
        <v>0</v>
      </c>
      <c r="M361" s="462">
        <f>IF(T361=0,0,VLOOKUP(YEAR(T361),INPC!$B$4:$O$29,MONTH(T361)+1))</f>
        <v>0</v>
      </c>
      <c r="N361" s="463">
        <f t="shared" si="51"/>
        <v>0</v>
      </c>
      <c r="O361" s="464">
        <f t="shared" si="56"/>
        <v>0</v>
      </c>
      <c r="P361" s="465">
        <f t="shared" si="57"/>
        <v>0</v>
      </c>
      <c r="Q361" s="606" t="str">
        <f t="shared" si="58"/>
        <v>NO</v>
      </c>
      <c r="R361" s="180"/>
      <c r="S361" s="173"/>
      <c r="T361" s="174"/>
      <c r="U361" s="173"/>
      <c r="V361" s="220"/>
      <c r="W361" s="177">
        <f>IF(S361=0,0,IF(U361="MXN",1/HLOOKUP(YEAR(T361)+(MONTH(T361)/100),TC!$5:$37,DAY(T361)+2,FALSE),VLOOKUP(U361,Equivalencia!$1:$23,((MAX(Equivalencia!$3:$3)-YEAR(T361))*14)+MONTH(T361)+2,FALSE)))</f>
        <v>0</v>
      </c>
      <c r="X361" s="178">
        <f t="shared" si="59"/>
        <v>0</v>
      </c>
      <c r="Y361" s="178">
        <f t="shared" si="60"/>
        <v>0</v>
      </c>
      <c r="Z361" s="175">
        <f t="shared" si="52"/>
        <v>0</v>
      </c>
      <c r="AA361" s="179"/>
      <c r="AB361" s="467">
        <f t="shared" si="53"/>
        <v>0</v>
      </c>
      <c r="AC361" s="466">
        <f t="shared" si="54"/>
        <v>0</v>
      </c>
    </row>
    <row r="362" spans="2:29" ht="20.100000000000001" customHeight="1">
      <c r="B362" s="172"/>
      <c r="C362" s="172"/>
      <c r="D362" s="172"/>
      <c r="E362" s="181"/>
      <c r="F362" s="173"/>
      <c r="G362" s="174"/>
      <c r="H362" s="284"/>
      <c r="I362" s="221"/>
      <c r="J362" s="177">
        <f>IF(H362=0,0,IF(F362="MXN",1/HLOOKUP(YEAR(G362)+(MONTH(G362)/100),TC!$5:$37,DAY(G362)+2,FALSE),VLOOKUP(F362,Equivalencia!$5:$23,((MAX(Equivalencia!$3:$3)-YEAR(G362))*14)+MONTH(G362)+2,FALSE)))</f>
        <v>0</v>
      </c>
      <c r="K362" s="217">
        <f t="shared" si="55"/>
        <v>0</v>
      </c>
      <c r="L362" s="462">
        <f>IF(G362=0,0,VLOOKUP(YEAR(G362),INPC!$B$4:$O$29,MONTH(G362)+1))</f>
        <v>0</v>
      </c>
      <c r="M362" s="462">
        <f>IF(T362=0,0,VLOOKUP(YEAR(T362),INPC!$B$4:$O$29,MONTH(T362)+1))</f>
        <v>0</v>
      </c>
      <c r="N362" s="463">
        <f t="shared" si="51"/>
        <v>0</v>
      </c>
      <c r="O362" s="464">
        <f t="shared" si="56"/>
        <v>0</v>
      </c>
      <c r="P362" s="465">
        <f t="shared" si="57"/>
        <v>0</v>
      </c>
      <c r="Q362" s="606" t="str">
        <f t="shared" si="58"/>
        <v>NO</v>
      </c>
      <c r="R362" s="180"/>
      <c r="S362" s="173"/>
      <c r="T362" s="174"/>
      <c r="U362" s="173"/>
      <c r="V362" s="220"/>
      <c r="W362" s="177">
        <f>IF(S362=0,0,IF(U362="MXN",1/HLOOKUP(YEAR(T362)+(MONTH(T362)/100),TC!$5:$37,DAY(T362)+2,FALSE),VLOOKUP(U362,Equivalencia!$1:$23,((MAX(Equivalencia!$3:$3)-YEAR(T362))*14)+MONTH(T362)+2,FALSE)))</f>
        <v>0</v>
      </c>
      <c r="X362" s="178">
        <f t="shared" si="59"/>
        <v>0</v>
      </c>
      <c r="Y362" s="178">
        <f t="shared" si="60"/>
        <v>0</v>
      </c>
      <c r="Z362" s="175">
        <f t="shared" si="52"/>
        <v>0</v>
      </c>
      <c r="AA362" s="179"/>
      <c r="AB362" s="467">
        <f t="shared" si="53"/>
        <v>0</v>
      </c>
      <c r="AC362" s="466">
        <f t="shared" si="54"/>
        <v>0</v>
      </c>
    </row>
    <row r="363" spans="2:29" ht="20.100000000000001" customHeight="1">
      <c r="B363" s="172"/>
      <c r="C363" s="172"/>
      <c r="D363" s="172"/>
      <c r="E363" s="181"/>
      <c r="F363" s="173"/>
      <c r="G363" s="174"/>
      <c r="H363" s="284"/>
      <c r="I363" s="221"/>
      <c r="J363" s="177">
        <f>IF(H363=0,0,IF(F363="MXN",1/HLOOKUP(YEAR(G363)+(MONTH(G363)/100),TC!$5:$37,DAY(G363)+2,FALSE),VLOOKUP(F363,Equivalencia!$5:$23,((MAX(Equivalencia!$3:$3)-YEAR(G363))*14)+MONTH(G363)+2,FALSE)))</f>
        <v>0</v>
      </c>
      <c r="K363" s="217">
        <f t="shared" si="55"/>
        <v>0</v>
      </c>
      <c r="L363" s="462">
        <f>IF(G363=0,0,VLOOKUP(YEAR(G363),INPC!$B$4:$O$29,MONTH(G363)+1))</f>
        <v>0</v>
      </c>
      <c r="M363" s="462">
        <f>IF(T363=0,0,VLOOKUP(YEAR(T363),INPC!$B$4:$O$29,MONTH(T363)+1))</f>
        <v>0</v>
      </c>
      <c r="N363" s="463">
        <f t="shared" si="51"/>
        <v>0</v>
      </c>
      <c r="O363" s="464">
        <f t="shared" si="56"/>
        <v>0</v>
      </c>
      <c r="P363" s="465">
        <f t="shared" si="57"/>
        <v>0</v>
      </c>
      <c r="Q363" s="606" t="str">
        <f t="shared" si="58"/>
        <v>NO</v>
      </c>
      <c r="R363" s="180"/>
      <c r="S363" s="173"/>
      <c r="T363" s="174"/>
      <c r="U363" s="173"/>
      <c r="V363" s="220"/>
      <c r="W363" s="177">
        <f>IF(S363=0,0,IF(U363="MXN",1/HLOOKUP(YEAR(T363)+(MONTH(T363)/100),TC!$5:$37,DAY(T363)+2,FALSE),VLOOKUP(U363,Equivalencia!$1:$23,((MAX(Equivalencia!$3:$3)-YEAR(T363))*14)+MONTH(T363)+2,FALSE)))</f>
        <v>0</v>
      </c>
      <c r="X363" s="178">
        <f t="shared" si="59"/>
        <v>0</v>
      </c>
      <c r="Y363" s="178">
        <f t="shared" si="60"/>
        <v>0</v>
      </c>
      <c r="Z363" s="175">
        <f t="shared" si="52"/>
        <v>0</v>
      </c>
      <c r="AA363" s="179"/>
      <c r="AB363" s="467">
        <f t="shared" si="53"/>
        <v>0</v>
      </c>
      <c r="AC363" s="466">
        <f t="shared" si="54"/>
        <v>0</v>
      </c>
    </row>
    <row r="364" spans="2:29" ht="20.100000000000001" customHeight="1">
      <c r="B364" s="172"/>
      <c r="C364" s="172"/>
      <c r="D364" s="172"/>
      <c r="E364" s="181"/>
      <c r="F364" s="173"/>
      <c r="G364" s="174"/>
      <c r="H364" s="284"/>
      <c r="I364" s="221"/>
      <c r="J364" s="177">
        <f>IF(H364=0,0,IF(F364="MXN",1/HLOOKUP(YEAR(G364)+(MONTH(G364)/100),TC!$5:$37,DAY(G364)+2,FALSE),VLOOKUP(F364,Equivalencia!$5:$23,((MAX(Equivalencia!$3:$3)-YEAR(G364))*14)+MONTH(G364)+2,FALSE)))</f>
        <v>0</v>
      </c>
      <c r="K364" s="217">
        <f t="shared" si="55"/>
        <v>0</v>
      </c>
      <c r="L364" s="462">
        <f>IF(G364=0,0,VLOOKUP(YEAR(G364),INPC!$B$4:$O$29,MONTH(G364)+1))</f>
        <v>0</v>
      </c>
      <c r="M364" s="462">
        <f>IF(T364=0,0,VLOOKUP(YEAR(T364),INPC!$B$4:$O$29,MONTH(T364)+1))</f>
        <v>0</v>
      </c>
      <c r="N364" s="463">
        <f t="shared" si="51"/>
        <v>0</v>
      </c>
      <c r="O364" s="464">
        <f t="shared" si="56"/>
        <v>0</v>
      </c>
      <c r="P364" s="465">
        <f t="shared" si="57"/>
        <v>0</v>
      </c>
      <c r="Q364" s="606" t="str">
        <f t="shared" si="58"/>
        <v>NO</v>
      </c>
      <c r="R364" s="180"/>
      <c r="S364" s="173"/>
      <c r="T364" s="174"/>
      <c r="U364" s="173"/>
      <c r="V364" s="220"/>
      <c r="W364" s="177">
        <f>IF(S364=0,0,IF(U364="MXN",1/HLOOKUP(YEAR(T364)+(MONTH(T364)/100),TC!$5:$37,DAY(T364)+2,FALSE),VLOOKUP(U364,Equivalencia!$1:$23,((MAX(Equivalencia!$3:$3)-YEAR(T364))*14)+MONTH(T364)+2,FALSE)))</f>
        <v>0</v>
      </c>
      <c r="X364" s="178">
        <f t="shared" si="59"/>
        <v>0</v>
      </c>
      <c r="Y364" s="178">
        <f t="shared" si="60"/>
        <v>0</v>
      </c>
      <c r="Z364" s="175">
        <f t="shared" si="52"/>
        <v>0</v>
      </c>
      <c r="AA364" s="179"/>
      <c r="AB364" s="467">
        <f t="shared" si="53"/>
        <v>0</v>
      </c>
      <c r="AC364" s="466">
        <f t="shared" si="54"/>
        <v>0</v>
      </c>
    </row>
    <row r="365" spans="2:29" ht="20.100000000000001" customHeight="1">
      <c r="B365" s="172"/>
      <c r="C365" s="172"/>
      <c r="D365" s="172"/>
      <c r="E365" s="181"/>
      <c r="F365" s="173"/>
      <c r="G365" s="174"/>
      <c r="H365" s="284"/>
      <c r="I365" s="221"/>
      <c r="J365" s="177">
        <f>IF(H365=0,0,IF(F365="MXN",1/HLOOKUP(YEAR(G365)+(MONTH(G365)/100),TC!$5:$37,DAY(G365)+2,FALSE),VLOOKUP(F365,Equivalencia!$5:$23,((MAX(Equivalencia!$3:$3)-YEAR(G365))*14)+MONTH(G365)+2,FALSE)))</f>
        <v>0</v>
      </c>
      <c r="K365" s="217">
        <f t="shared" si="55"/>
        <v>0</v>
      </c>
      <c r="L365" s="462">
        <f>IF(G365=0,0,VLOOKUP(YEAR(G365),INPC!$B$4:$O$29,MONTH(G365)+1))</f>
        <v>0</v>
      </c>
      <c r="M365" s="462">
        <f>IF(T365=0,0,VLOOKUP(YEAR(T365),INPC!$B$4:$O$29,MONTH(T365)+1))</f>
        <v>0</v>
      </c>
      <c r="N365" s="463">
        <f t="shared" si="51"/>
        <v>0</v>
      </c>
      <c r="O365" s="464">
        <f t="shared" si="56"/>
        <v>0</v>
      </c>
      <c r="P365" s="465">
        <f t="shared" si="57"/>
        <v>0</v>
      </c>
      <c r="Q365" s="606" t="str">
        <f t="shared" si="58"/>
        <v>NO</v>
      </c>
      <c r="R365" s="180"/>
      <c r="S365" s="173"/>
      <c r="T365" s="174"/>
      <c r="U365" s="173"/>
      <c r="V365" s="220"/>
      <c r="W365" s="177">
        <f>IF(S365=0,0,IF(U365="MXN",1/HLOOKUP(YEAR(T365)+(MONTH(T365)/100),TC!$5:$37,DAY(T365)+2,FALSE),VLOOKUP(U365,Equivalencia!$1:$23,((MAX(Equivalencia!$3:$3)-YEAR(T365))*14)+MONTH(T365)+2,FALSE)))</f>
        <v>0</v>
      </c>
      <c r="X365" s="178">
        <f t="shared" si="59"/>
        <v>0</v>
      </c>
      <c r="Y365" s="178">
        <f t="shared" si="60"/>
        <v>0</v>
      </c>
      <c r="Z365" s="175">
        <f t="shared" si="52"/>
        <v>0</v>
      </c>
      <c r="AA365" s="179"/>
      <c r="AB365" s="467">
        <f t="shared" si="53"/>
        <v>0</v>
      </c>
      <c r="AC365" s="466">
        <f t="shared" si="54"/>
        <v>0</v>
      </c>
    </row>
    <row r="366" spans="2:29" ht="20.100000000000001" customHeight="1">
      <c r="B366" s="172"/>
      <c r="C366" s="172"/>
      <c r="D366" s="172"/>
      <c r="E366" s="181"/>
      <c r="F366" s="173"/>
      <c r="G366" s="174"/>
      <c r="H366" s="284"/>
      <c r="I366" s="221"/>
      <c r="J366" s="177">
        <f>IF(H366=0,0,IF(F366="MXN",1/HLOOKUP(YEAR(G366)+(MONTH(G366)/100),TC!$5:$37,DAY(G366)+2,FALSE),VLOOKUP(F366,Equivalencia!$5:$23,((MAX(Equivalencia!$3:$3)-YEAR(G366))*14)+MONTH(G366)+2,FALSE)))</f>
        <v>0</v>
      </c>
      <c r="K366" s="217">
        <f t="shared" si="55"/>
        <v>0</v>
      </c>
      <c r="L366" s="462">
        <f>IF(G366=0,0,VLOOKUP(YEAR(G366),INPC!$B$4:$O$29,MONTH(G366)+1))</f>
        <v>0</v>
      </c>
      <c r="M366" s="462">
        <f>IF(T366=0,0,VLOOKUP(YEAR(T366),INPC!$B$4:$O$29,MONTH(T366)+1))</f>
        <v>0</v>
      </c>
      <c r="N366" s="463">
        <f t="shared" si="51"/>
        <v>0</v>
      </c>
      <c r="O366" s="464">
        <f t="shared" si="56"/>
        <v>0</v>
      </c>
      <c r="P366" s="465">
        <f t="shared" si="57"/>
        <v>0</v>
      </c>
      <c r="Q366" s="606" t="str">
        <f t="shared" si="58"/>
        <v>NO</v>
      </c>
      <c r="R366" s="180"/>
      <c r="S366" s="173"/>
      <c r="T366" s="174"/>
      <c r="U366" s="173"/>
      <c r="V366" s="220"/>
      <c r="W366" s="177">
        <f>IF(S366=0,0,IF(U366="MXN",1/HLOOKUP(YEAR(T366)+(MONTH(T366)/100),TC!$5:$37,DAY(T366)+2,FALSE),VLOOKUP(U366,Equivalencia!$1:$23,((MAX(Equivalencia!$3:$3)-YEAR(T366))*14)+MONTH(T366)+2,FALSE)))</f>
        <v>0</v>
      </c>
      <c r="X366" s="178">
        <f t="shared" si="59"/>
        <v>0</v>
      </c>
      <c r="Y366" s="178">
        <f t="shared" si="60"/>
        <v>0</v>
      </c>
      <c r="Z366" s="175">
        <f t="shared" si="52"/>
        <v>0</v>
      </c>
      <c r="AA366" s="179"/>
      <c r="AB366" s="467">
        <f t="shared" si="53"/>
        <v>0</v>
      </c>
      <c r="AC366" s="466">
        <f t="shared" si="54"/>
        <v>0</v>
      </c>
    </row>
    <row r="367" spans="2:29" ht="20.100000000000001" customHeight="1">
      <c r="B367" s="172"/>
      <c r="C367" s="172"/>
      <c r="D367" s="172"/>
      <c r="E367" s="181"/>
      <c r="F367" s="173"/>
      <c r="G367" s="174"/>
      <c r="H367" s="284"/>
      <c r="I367" s="221"/>
      <c r="J367" s="177">
        <f>IF(H367=0,0,IF(F367="MXN",1/HLOOKUP(YEAR(G367)+(MONTH(G367)/100),TC!$5:$37,DAY(G367)+2,FALSE),VLOOKUP(F367,Equivalencia!$5:$23,((MAX(Equivalencia!$3:$3)-YEAR(G367))*14)+MONTH(G367)+2,FALSE)))</f>
        <v>0</v>
      </c>
      <c r="K367" s="217">
        <f t="shared" si="55"/>
        <v>0</v>
      </c>
      <c r="L367" s="462">
        <f>IF(G367=0,0,VLOOKUP(YEAR(G367),INPC!$B$4:$O$29,MONTH(G367)+1))</f>
        <v>0</v>
      </c>
      <c r="M367" s="462">
        <f>IF(T367=0,0,VLOOKUP(YEAR(T367),INPC!$B$4:$O$29,MONTH(T367)+1))</f>
        <v>0</v>
      </c>
      <c r="N367" s="463">
        <f t="shared" si="51"/>
        <v>0</v>
      </c>
      <c r="O367" s="464">
        <f t="shared" si="56"/>
        <v>0</v>
      </c>
      <c r="P367" s="465">
        <f t="shared" si="57"/>
        <v>0</v>
      </c>
      <c r="Q367" s="606" t="str">
        <f t="shared" si="58"/>
        <v>NO</v>
      </c>
      <c r="R367" s="180"/>
      <c r="S367" s="173"/>
      <c r="T367" s="174"/>
      <c r="U367" s="173"/>
      <c r="V367" s="220"/>
      <c r="W367" s="177">
        <f>IF(S367=0,0,IF(U367="MXN",1/HLOOKUP(YEAR(T367)+(MONTH(T367)/100),TC!$5:$37,DAY(T367)+2,FALSE),VLOOKUP(U367,Equivalencia!$1:$23,((MAX(Equivalencia!$3:$3)-YEAR(T367))*14)+MONTH(T367)+2,FALSE)))</f>
        <v>0</v>
      </c>
      <c r="X367" s="178">
        <f t="shared" si="59"/>
        <v>0</v>
      </c>
      <c r="Y367" s="178">
        <f t="shared" si="60"/>
        <v>0</v>
      </c>
      <c r="Z367" s="175">
        <f t="shared" si="52"/>
        <v>0</v>
      </c>
      <c r="AA367" s="179"/>
      <c r="AB367" s="467">
        <f t="shared" si="53"/>
        <v>0</v>
      </c>
      <c r="AC367" s="466">
        <f t="shared" si="54"/>
        <v>0</v>
      </c>
    </row>
    <row r="368" spans="2:29" ht="20.100000000000001" customHeight="1">
      <c r="B368" s="172"/>
      <c r="C368" s="172"/>
      <c r="D368" s="172"/>
      <c r="E368" s="181"/>
      <c r="F368" s="173"/>
      <c r="G368" s="174"/>
      <c r="H368" s="284"/>
      <c r="I368" s="221"/>
      <c r="J368" s="177">
        <f>IF(H368=0,0,IF(F368="MXN",1/HLOOKUP(YEAR(G368)+(MONTH(G368)/100),TC!$5:$37,DAY(G368)+2,FALSE),VLOOKUP(F368,Equivalencia!$5:$23,((MAX(Equivalencia!$3:$3)-YEAR(G368))*14)+MONTH(G368)+2,FALSE)))</f>
        <v>0</v>
      </c>
      <c r="K368" s="217">
        <f t="shared" si="55"/>
        <v>0</v>
      </c>
      <c r="L368" s="462">
        <f>IF(G368=0,0,VLOOKUP(YEAR(G368),INPC!$B$4:$O$29,MONTH(G368)+1))</f>
        <v>0</v>
      </c>
      <c r="M368" s="462">
        <f>IF(T368=0,0,VLOOKUP(YEAR(T368),INPC!$B$4:$O$29,MONTH(T368)+1))</f>
        <v>0</v>
      </c>
      <c r="N368" s="463">
        <f t="shared" si="51"/>
        <v>0</v>
      </c>
      <c r="O368" s="464">
        <f t="shared" si="56"/>
        <v>0</v>
      </c>
      <c r="P368" s="465">
        <f t="shared" si="57"/>
        <v>0</v>
      </c>
      <c r="Q368" s="606" t="str">
        <f t="shared" si="58"/>
        <v>NO</v>
      </c>
      <c r="R368" s="180"/>
      <c r="S368" s="173"/>
      <c r="T368" s="174"/>
      <c r="U368" s="173"/>
      <c r="V368" s="220"/>
      <c r="W368" s="177">
        <f>IF(S368=0,0,IF(U368="MXN",1/HLOOKUP(YEAR(T368)+(MONTH(T368)/100),TC!$5:$37,DAY(T368)+2,FALSE),VLOOKUP(U368,Equivalencia!$1:$23,((MAX(Equivalencia!$3:$3)-YEAR(T368))*14)+MONTH(T368)+2,FALSE)))</f>
        <v>0</v>
      </c>
      <c r="X368" s="178">
        <f t="shared" si="59"/>
        <v>0</v>
      </c>
      <c r="Y368" s="178">
        <f t="shared" si="60"/>
        <v>0</v>
      </c>
      <c r="Z368" s="175">
        <f t="shared" si="52"/>
        <v>0</v>
      </c>
      <c r="AA368" s="179"/>
      <c r="AB368" s="467">
        <f t="shared" si="53"/>
        <v>0</v>
      </c>
      <c r="AC368" s="466">
        <f t="shared" si="54"/>
        <v>0</v>
      </c>
    </row>
    <row r="369" spans="2:29" ht="20.100000000000001" customHeight="1">
      <c r="B369" s="172"/>
      <c r="C369" s="172"/>
      <c r="D369" s="172"/>
      <c r="E369" s="181"/>
      <c r="F369" s="173"/>
      <c r="G369" s="174"/>
      <c r="H369" s="284"/>
      <c r="I369" s="221"/>
      <c r="J369" s="177">
        <f>IF(H369=0,0,IF(F369="MXN",1/HLOOKUP(YEAR(G369)+(MONTH(G369)/100),TC!$5:$37,DAY(G369)+2,FALSE),VLOOKUP(F369,Equivalencia!$5:$23,((MAX(Equivalencia!$3:$3)-YEAR(G369))*14)+MONTH(G369)+2,FALSE)))</f>
        <v>0</v>
      </c>
      <c r="K369" s="217">
        <f t="shared" si="55"/>
        <v>0</v>
      </c>
      <c r="L369" s="462">
        <f>IF(G369=0,0,VLOOKUP(YEAR(G369),INPC!$B$4:$O$29,MONTH(G369)+1))</f>
        <v>0</v>
      </c>
      <c r="M369" s="462">
        <f>IF(T369=0,0,VLOOKUP(YEAR(T369),INPC!$B$4:$O$29,MONTH(T369)+1))</f>
        <v>0</v>
      </c>
      <c r="N369" s="463">
        <f t="shared" si="51"/>
        <v>0</v>
      </c>
      <c r="O369" s="464">
        <f t="shared" si="56"/>
        <v>0</v>
      </c>
      <c r="P369" s="465">
        <f t="shared" si="57"/>
        <v>0</v>
      </c>
      <c r="Q369" s="606" t="str">
        <f t="shared" si="58"/>
        <v>NO</v>
      </c>
      <c r="R369" s="180"/>
      <c r="S369" s="173"/>
      <c r="T369" s="174"/>
      <c r="U369" s="173"/>
      <c r="V369" s="220"/>
      <c r="W369" s="177">
        <f>IF(S369=0,0,IF(U369="MXN",1/HLOOKUP(YEAR(T369)+(MONTH(T369)/100),TC!$5:$37,DAY(T369)+2,FALSE),VLOOKUP(U369,Equivalencia!$1:$23,((MAX(Equivalencia!$3:$3)-YEAR(T369))*14)+MONTH(T369)+2,FALSE)))</f>
        <v>0</v>
      </c>
      <c r="X369" s="178">
        <f t="shared" si="59"/>
        <v>0</v>
      </c>
      <c r="Y369" s="178">
        <f t="shared" si="60"/>
        <v>0</v>
      </c>
      <c r="Z369" s="175">
        <f t="shared" si="52"/>
        <v>0</v>
      </c>
      <c r="AA369" s="179"/>
      <c r="AB369" s="467">
        <f t="shared" si="53"/>
        <v>0</v>
      </c>
      <c r="AC369" s="466">
        <f t="shared" si="54"/>
        <v>0</v>
      </c>
    </row>
    <row r="370" spans="2:29" ht="20.100000000000001" customHeight="1">
      <c r="B370" s="172"/>
      <c r="C370" s="172"/>
      <c r="D370" s="172"/>
      <c r="E370" s="181"/>
      <c r="F370" s="173"/>
      <c r="G370" s="174"/>
      <c r="H370" s="284"/>
      <c r="I370" s="221"/>
      <c r="J370" s="177">
        <f>IF(H370=0,0,IF(F370="MXN",1/HLOOKUP(YEAR(G370)+(MONTH(G370)/100),TC!$5:$37,DAY(G370)+2,FALSE),VLOOKUP(F370,Equivalencia!$5:$23,((MAX(Equivalencia!$3:$3)-YEAR(G370))*14)+MONTH(G370)+2,FALSE)))</f>
        <v>0</v>
      </c>
      <c r="K370" s="217">
        <f t="shared" si="55"/>
        <v>0</v>
      </c>
      <c r="L370" s="462">
        <f>IF(G370=0,0,VLOOKUP(YEAR(G370),INPC!$B$4:$O$29,MONTH(G370)+1))</f>
        <v>0</v>
      </c>
      <c r="M370" s="462">
        <f>IF(T370=0,0,VLOOKUP(YEAR(T370),INPC!$B$4:$O$29,MONTH(T370)+1))</f>
        <v>0</v>
      </c>
      <c r="N370" s="463">
        <f t="shared" si="51"/>
        <v>0</v>
      </c>
      <c r="O370" s="464">
        <f t="shared" si="56"/>
        <v>0</v>
      </c>
      <c r="P370" s="465">
        <f t="shared" si="57"/>
        <v>0</v>
      </c>
      <c r="Q370" s="606" t="str">
        <f t="shared" si="58"/>
        <v>NO</v>
      </c>
      <c r="R370" s="180"/>
      <c r="S370" s="173"/>
      <c r="T370" s="174"/>
      <c r="U370" s="173"/>
      <c r="V370" s="220"/>
      <c r="W370" s="177">
        <f>IF(S370=0,0,IF(U370="MXN",1/HLOOKUP(YEAR(T370)+(MONTH(T370)/100),TC!$5:$37,DAY(T370)+2,FALSE),VLOOKUP(U370,Equivalencia!$1:$23,((MAX(Equivalencia!$3:$3)-YEAR(T370))*14)+MONTH(T370)+2,FALSE)))</f>
        <v>0</v>
      </c>
      <c r="X370" s="178">
        <f t="shared" si="59"/>
        <v>0</v>
      </c>
      <c r="Y370" s="178">
        <f t="shared" si="60"/>
        <v>0</v>
      </c>
      <c r="Z370" s="175">
        <f t="shared" si="52"/>
        <v>0</v>
      </c>
      <c r="AA370" s="179"/>
      <c r="AB370" s="467">
        <f t="shared" si="53"/>
        <v>0</v>
      </c>
      <c r="AC370" s="466">
        <f t="shared" si="54"/>
        <v>0</v>
      </c>
    </row>
    <row r="371" spans="2:29" ht="20.100000000000001" customHeight="1">
      <c r="B371" s="172"/>
      <c r="C371" s="172"/>
      <c r="D371" s="172"/>
      <c r="E371" s="181"/>
      <c r="F371" s="173"/>
      <c r="G371" s="174"/>
      <c r="H371" s="284"/>
      <c r="I371" s="221"/>
      <c r="J371" s="177">
        <f>IF(H371=0,0,IF(F371="MXN",1/HLOOKUP(YEAR(G371)+(MONTH(G371)/100),TC!$5:$37,DAY(G371)+2,FALSE),VLOOKUP(F371,Equivalencia!$5:$23,((MAX(Equivalencia!$3:$3)-YEAR(G371))*14)+MONTH(G371)+2,FALSE)))</f>
        <v>0</v>
      </c>
      <c r="K371" s="217">
        <f t="shared" si="55"/>
        <v>0</v>
      </c>
      <c r="L371" s="462">
        <f>IF(G371=0,0,VLOOKUP(YEAR(G371),INPC!$B$4:$O$29,MONTH(G371)+1))</f>
        <v>0</v>
      </c>
      <c r="M371" s="462">
        <f>IF(T371=0,0,VLOOKUP(YEAR(T371),INPC!$B$4:$O$29,MONTH(T371)+1))</f>
        <v>0</v>
      </c>
      <c r="N371" s="463">
        <f t="shared" si="51"/>
        <v>0</v>
      </c>
      <c r="O371" s="464">
        <f t="shared" si="56"/>
        <v>0</v>
      </c>
      <c r="P371" s="465">
        <f t="shared" si="57"/>
        <v>0</v>
      </c>
      <c r="Q371" s="606" t="str">
        <f t="shared" si="58"/>
        <v>NO</v>
      </c>
      <c r="R371" s="180"/>
      <c r="S371" s="173"/>
      <c r="T371" s="174"/>
      <c r="U371" s="173"/>
      <c r="V371" s="220"/>
      <c r="W371" s="177">
        <f>IF(S371=0,0,IF(U371="MXN",1/HLOOKUP(YEAR(T371)+(MONTH(T371)/100),TC!$5:$37,DAY(T371)+2,FALSE),VLOOKUP(U371,Equivalencia!$1:$23,((MAX(Equivalencia!$3:$3)-YEAR(T371))*14)+MONTH(T371)+2,FALSE)))</f>
        <v>0</v>
      </c>
      <c r="X371" s="178">
        <f t="shared" si="59"/>
        <v>0</v>
      </c>
      <c r="Y371" s="178">
        <f t="shared" si="60"/>
        <v>0</v>
      </c>
      <c r="Z371" s="175">
        <f t="shared" si="52"/>
        <v>0</v>
      </c>
      <c r="AA371" s="179"/>
      <c r="AB371" s="467">
        <f t="shared" si="53"/>
        <v>0</v>
      </c>
      <c r="AC371" s="466">
        <f t="shared" si="54"/>
        <v>0</v>
      </c>
    </row>
    <row r="372" spans="2:29" ht="20.100000000000001" customHeight="1">
      <c r="B372" s="172"/>
      <c r="C372" s="172"/>
      <c r="D372" s="172"/>
      <c r="E372" s="181"/>
      <c r="F372" s="173"/>
      <c r="G372" s="174"/>
      <c r="H372" s="284"/>
      <c r="I372" s="221"/>
      <c r="J372" s="177">
        <f>IF(H372=0,0,IF(F372="MXN",1/HLOOKUP(YEAR(G372)+(MONTH(G372)/100),TC!$5:$37,DAY(G372)+2,FALSE),VLOOKUP(F372,Equivalencia!$5:$23,((MAX(Equivalencia!$3:$3)-YEAR(G372))*14)+MONTH(G372)+2,FALSE)))</f>
        <v>0</v>
      </c>
      <c r="K372" s="217">
        <f t="shared" si="55"/>
        <v>0</v>
      </c>
      <c r="L372" s="462">
        <f>IF(G372=0,0,VLOOKUP(YEAR(G372),INPC!$B$4:$O$29,MONTH(G372)+1))</f>
        <v>0</v>
      </c>
      <c r="M372" s="462">
        <f>IF(T372=0,0,VLOOKUP(YEAR(T372),INPC!$B$4:$O$29,MONTH(T372)+1))</f>
        <v>0</v>
      </c>
      <c r="N372" s="463">
        <f t="shared" si="51"/>
        <v>0</v>
      </c>
      <c r="O372" s="464">
        <f t="shared" si="56"/>
        <v>0</v>
      </c>
      <c r="P372" s="465">
        <f t="shared" si="57"/>
        <v>0</v>
      </c>
      <c r="Q372" s="606" t="str">
        <f t="shared" si="58"/>
        <v>NO</v>
      </c>
      <c r="R372" s="180"/>
      <c r="S372" s="173"/>
      <c r="T372" s="174"/>
      <c r="U372" s="173"/>
      <c r="V372" s="220"/>
      <c r="W372" s="177">
        <f>IF(S372=0,0,IF(U372="MXN",1/HLOOKUP(YEAR(T372)+(MONTH(T372)/100),TC!$5:$37,DAY(T372)+2,FALSE),VLOOKUP(U372,Equivalencia!$1:$23,((MAX(Equivalencia!$3:$3)-YEAR(T372))*14)+MONTH(T372)+2,FALSE)))</f>
        <v>0</v>
      </c>
      <c r="X372" s="178">
        <f t="shared" si="59"/>
        <v>0</v>
      </c>
      <c r="Y372" s="178">
        <f t="shared" si="60"/>
        <v>0</v>
      </c>
      <c r="Z372" s="175">
        <f t="shared" si="52"/>
        <v>0</v>
      </c>
      <c r="AA372" s="179"/>
      <c r="AB372" s="467">
        <f t="shared" si="53"/>
        <v>0</v>
      </c>
      <c r="AC372" s="466">
        <f t="shared" si="54"/>
        <v>0</v>
      </c>
    </row>
    <row r="373" spans="2:29" ht="20.100000000000001" customHeight="1">
      <c r="B373" s="172"/>
      <c r="C373" s="172"/>
      <c r="D373" s="172"/>
      <c r="E373" s="181"/>
      <c r="F373" s="173"/>
      <c r="G373" s="174"/>
      <c r="H373" s="284"/>
      <c r="I373" s="221"/>
      <c r="J373" s="177">
        <f>IF(H373=0,0,IF(F373="MXN",1/HLOOKUP(YEAR(G373)+(MONTH(G373)/100),TC!$5:$37,DAY(G373)+2,FALSE),VLOOKUP(F373,Equivalencia!$5:$23,((MAX(Equivalencia!$3:$3)-YEAR(G373))*14)+MONTH(G373)+2,FALSE)))</f>
        <v>0</v>
      </c>
      <c r="K373" s="217">
        <f t="shared" si="55"/>
        <v>0</v>
      </c>
      <c r="L373" s="462">
        <f>IF(G373=0,0,VLOOKUP(YEAR(G373),INPC!$B$4:$O$29,MONTH(G373)+1))</f>
        <v>0</v>
      </c>
      <c r="M373" s="462">
        <f>IF(T373=0,0,VLOOKUP(YEAR(T373),INPC!$B$4:$O$29,MONTH(T373)+1))</f>
        <v>0</v>
      </c>
      <c r="N373" s="463">
        <f t="shared" si="51"/>
        <v>0</v>
      </c>
      <c r="O373" s="464">
        <f t="shared" si="56"/>
        <v>0</v>
      </c>
      <c r="P373" s="465">
        <f t="shared" si="57"/>
        <v>0</v>
      </c>
      <c r="Q373" s="606" t="str">
        <f t="shared" si="58"/>
        <v>NO</v>
      </c>
      <c r="R373" s="180"/>
      <c r="S373" s="173"/>
      <c r="T373" s="174"/>
      <c r="U373" s="173"/>
      <c r="V373" s="220"/>
      <c r="W373" s="177">
        <f>IF(S373=0,0,IF(U373="MXN",1/HLOOKUP(YEAR(T373)+(MONTH(T373)/100),TC!$5:$37,DAY(T373)+2,FALSE),VLOOKUP(U373,Equivalencia!$1:$23,((MAX(Equivalencia!$3:$3)-YEAR(T373))*14)+MONTH(T373)+2,FALSE)))</f>
        <v>0</v>
      </c>
      <c r="X373" s="178">
        <f t="shared" si="59"/>
        <v>0</v>
      </c>
      <c r="Y373" s="178">
        <f t="shared" si="60"/>
        <v>0</v>
      </c>
      <c r="Z373" s="175">
        <f t="shared" si="52"/>
        <v>0</v>
      </c>
      <c r="AA373" s="179"/>
      <c r="AB373" s="467">
        <f t="shared" si="53"/>
        <v>0</v>
      </c>
      <c r="AC373" s="466">
        <f t="shared" si="54"/>
        <v>0</v>
      </c>
    </row>
    <row r="374" spans="2:29" ht="20.100000000000001" customHeight="1">
      <c r="B374" s="172"/>
      <c r="C374" s="172"/>
      <c r="D374" s="172"/>
      <c r="E374" s="181"/>
      <c r="F374" s="173"/>
      <c r="G374" s="174"/>
      <c r="H374" s="284"/>
      <c r="I374" s="221"/>
      <c r="J374" s="177">
        <f>IF(H374=0,0,IF(F374="MXN",1/HLOOKUP(YEAR(G374)+(MONTH(G374)/100),TC!$5:$37,DAY(G374)+2,FALSE),VLOOKUP(F374,Equivalencia!$5:$23,((MAX(Equivalencia!$3:$3)-YEAR(G374))*14)+MONTH(G374)+2,FALSE)))</f>
        <v>0</v>
      </c>
      <c r="K374" s="217">
        <f t="shared" si="55"/>
        <v>0</v>
      </c>
      <c r="L374" s="462">
        <f>IF(G374=0,0,VLOOKUP(YEAR(G374),INPC!$B$4:$O$29,MONTH(G374)+1))</f>
        <v>0</v>
      </c>
      <c r="M374" s="462">
        <f>IF(T374=0,0,VLOOKUP(YEAR(T374),INPC!$B$4:$O$29,MONTH(T374)+1))</f>
        <v>0</v>
      </c>
      <c r="N374" s="463">
        <f t="shared" si="51"/>
        <v>0</v>
      </c>
      <c r="O374" s="464">
        <f t="shared" si="56"/>
        <v>0</v>
      </c>
      <c r="P374" s="465">
        <f t="shared" si="57"/>
        <v>0</v>
      </c>
      <c r="Q374" s="606" t="str">
        <f t="shared" si="58"/>
        <v>NO</v>
      </c>
      <c r="R374" s="180"/>
      <c r="S374" s="173"/>
      <c r="T374" s="174"/>
      <c r="U374" s="173"/>
      <c r="V374" s="220"/>
      <c r="W374" s="177">
        <f>IF(S374=0,0,IF(U374="MXN",1/HLOOKUP(YEAR(T374)+(MONTH(T374)/100),TC!$5:$37,DAY(T374)+2,FALSE),VLOOKUP(U374,Equivalencia!$1:$23,((MAX(Equivalencia!$3:$3)-YEAR(T374))*14)+MONTH(T374)+2,FALSE)))</f>
        <v>0</v>
      </c>
      <c r="X374" s="178">
        <f t="shared" si="59"/>
        <v>0</v>
      </c>
      <c r="Y374" s="178">
        <f t="shared" si="60"/>
        <v>0</v>
      </c>
      <c r="Z374" s="175">
        <f t="shared" si="52"/>
        <v>0</v>
      </c>
      <c r="AA374" s="179"/>
      <c r="AB374" s="467">
        <f t="shared" si="53"/>
        <v>0</v>
      </c>
      <c r="AC374" s="466">
        <f t="shared" si="54"/>
        <v>0</v>
      </c>
    </row>
    <row r="375" spans="2:29" ht="20.100000000000001" customHeight="1">
      <c r="B375" s="172"/>
      <c r="C375" s="172"/>
      <c r="D375" s="172"/>
      <c r="E375" s="181"/>
      <c r="F375" s="173"/>
      <c r="G375" s="174"/>
      <c r="H375" s="284"/>
      <c r="I375" s="221"/>
      <c r="J375" s="177">
        <f>IF(H375=0,0,IF(F375="MXN",1/HLOOKUP(YEAR(G375)+(MONTH(G375)/100),TC!$5:$37,DAY(G375)+2,FALSE),VLOOKUP(F375,Equivalencia!$5:$23,((MAX(Equivalencia!$3:$3)-YEAR(G375))*14)+MONTH(G375)+2,FALSE)))</f>
        <v>0</v>
      </c>
      <c r="K375" s="217">
        <f t="shared" si="55"/>
        <v>0</v>
      </c>
      <c r="L375" s="462">
        <f>IF(G375=0,0,VLOOKUP(YEAR(G375),INPC!$B$4:$O$29,MONTH(G375)+1))</f>
        <v>0</v>
      </c>
      <c r="M375" s="462">
        <f>IF(T375=0,0,VLOOKUP(YEAR(T375),INPC!$B$4:$O$29,MONTH(T375)+1))</f>
        <v>0</v>
      </c>
      <c r="N375" s="463">
        <f t="shared" si="51"/>
        <v>0</v>
      </c>
      <c r="O375" s="464">
        <f t="shared" si="56"/>
        <v>0</v>
      </c>
      <c r="P375" s="465">
        <f t="shared" si="57"/>
        <v>0</v>
      </c>
      <c r="Q375" s="606" t="str">
        <f t="shared" si="58"/>
        <v>NO</v>
      </c>
      <c r="R375" s="180"/>
      <c r="S375" s="173"/>
      <c r="T375" s="174"/>
      <c r="U375" s="173"/>
      <c r="V375" s="220"/>
      <c r="W375" s="177">
        <f>IF(S375=0,0,IF(U375="MXN",1/HLOOKUP(YEAR(T375)+(MONTH(T375)/100),TC!$5:$37,DAY(T375)+2,FALSE),VLOOKUP(U375,Equivalencia!$1:$23,((MAX(Equivalencia!$3:$3)-YEAR(T375))*14)+MONTH(T375)+2,FALSE)))</f>
        <v>0</v>
      </c>
      <c r="X375" s="178">
        <f t="shared" si="59"/>
        <v>0</v>
      </c>
      <c r="Y375" s="178">
        <f t="shared" si="60"/>
        <v>0</v>
      </c>
      <c r="Z375" s="175">
        <f t="shared" si="52"/>
        <v>0</v>
      </c>
      <c r="AA375" s="179"/>
      <c r="AB375" s="467">
        <f t="shared" si="53"/>
        <v>0</v>
      </c>
      <c r="AC375" s="466">
        <f t="shared" si="54"/>
        <v>0</v>
      </c>
    </row>
    <row r="376" spans="2:29" ht="20.100000000000001" customHeight="1">
      <c r="B376" s="172"/>
      <c r="C376" s="172"/>
      <c r="D376" s="172"/>
      <c r="E376" s="181"/>
      <c r="F376" s="173"/>
      <c r="G376" s="174"/>
      <c r="H376" s="284"/>
      <c r="I376" s="221"/>
      <c r="J376" s="177">
        <f>IF(H376=0,0,IF(F376="MXN",1/HLOOKUP(YEAR(G376)+(MONTH(G376)/100),TC!$5:$37,DAY(G376)+2,FALSE),VLOOKUP(F376,Equivalencia!$5:$23,((MAX(Equivalencia!$3:$3)-YEAR(G376))*14)+MONTH(G376)+2,FALSE)))</f>
        <v>0</v>
      </c>
      <c r="K376" s="217">
        <f t="shared" si="55"/>
        <v>0</v>
      </c>
      <c r="L376" s="462">
        <f>IF(G376=0,0,VLOOKUP(YEAR(G376),INPC!$B$4:$O$29,MONTH(G376)+1))</f>
        <v>0</v>
      </c>
      <c r="M376" s="462">
        <f>IF(T376=0,0,VLOOKUP(YEAR(T376),INPC!$B$4:$O$29,MONTH(T376)+1))</f>
        <v>0</v>
      </c>
      <c r="N376" s="463">
        <f t="shared" si="51"/>
        <v>0</v>
      </c>
      <c r="O376" s="464">
        <f t="shared" si="56"/>
        <v>0</v>
      </c>
      <c r="P376" s="465">
        <f t="shared" si="57"/>
        <v>0</v>
      </c>
      <c r="Q376" s="606" t="str">
        <f t="shared" si="58"/>
        <v>NO</v>
      </c>
      <c r="R376" s="180"/>
      <c r="S376" s="173"/>
      <c r="T376" s="174"/>
      <c r="U376" s="173"/>
      <c r="V376" s="220"/>
      <c r="W376" s="177">
        <f>IF(S376=0,0,IF(U376="MXN",1/HLOOKUP(YEAR(T376)+(MONTH(T376)/100),TC!$5:$37,DAY(T376)+2,FALSE),VLOOKUP(U376,Equivalencia!$1:$23,((MAX(Equivalencia!$3:$3)-YEAR(T376))*14)+MONTH(T376)+2,FALSE)))</f>
        <v>0</v>
      </c>
      <c r="X376" s="178">
        <f t="shared" si="59"/>
        <v>0</v>
      </c>
      <c r="Y376" s="178">
        <f t="shared" si="60"/>
        <v>0</v>
      </c>
      <c r="Z376" s="175">
        <f t="shared" si="52"/>
        <v>0</v>
      </c>
      <c r="AA376" s="179"/>
      <c r="AB376" s="467">
        <f t="shared" si="53"/>
        <v>0</v>
      </c>
      <c r="AC376" s="466">
        <f t="shared" si="54"/>
        <v>0</v>
      </c>
    </row>
    <row r="377" spans="2:29" ht="20.100000000000001" customHeight="1">
      <c r="B377" s="172"/>
      <c r="C377" s="172"/>
      <c r="D377" s="172"/>
      <c r="E377" s="181"/>
      <c r="F377" s="173"/>
      <c r="G377" s="174"/>
      <c r="H377" s="284"/>
      <c r="I377" s="221"/>
      <c r="J377" s="177">
        <f>IF(H377=0,0,IF(F377="MXN",1/HLOOKUP(YEAR(G377)+(MONTH(G377)/100),TC!$5:$37,DAY(G377)+2,FALSE),VLOOKUP(F377,Equivalencia!$5:$23,((MAX(Equivalencia!$3:$3)-YEAR(G377))*14)+MONTH(G377)+2,FALSE)))</f>
        <v>0</v>
      </c>
      <c r="K377" s="217">
        <f t="shared" si="55"/>
        <v>0</v>
      </c>
      <c r="L377" s="462">
        <f>IF(G377=0,0,VLOOKUP(YEAR(G377),INPC!$B$4:$O$29,MONTH(G377)+1))</f>
        <v>0</v>
      </c>
      <c r="M377" s="462">
        <f>IF(T377=0,0,VLOOKUP(YEAR(T377),INPC!$B$4:$O$29,MONTH(T377)+1))</f>
        <v>0</v>
      </c>
      <c r="N377" s="463">
        <f t="shared" si="51"/>
        <v>0</v>
      </c>
      <c r="O377" s="464">
        <f t="shared" si="56"/>
        <v>0</v>
      </c>
      <c r="P377" s="465">
        <f t="shared" si="57"/>
        <v>0</v>
      </c>
      <c r="Q377" s="606" t="str">
        <f t="shared" si="58"/>
        <v>NO</v>
      </c>
      <c r="R377" s="180"/>
      <c r="S377" s="173"/>
      <c r="T377" s="174"/>
      <c r="U377" s="173"/>
      <c r="V377" s="220"/>
      <c r="W377" s="177">
        <f>IF(S377=0,0,IF(U377="MXN",1/HLOOKUP(YEAR(T377)+(MONTH(T377)/100),TC!$5:$37,DAY(T377)+2,FALSE),VLOOKUP(U377,Equivalencia!$1:$23,((MAX(Equivalencia!$3:$3)-YEAR(T377))*14)+MONTH(T377)+2,FALSE)))</f>
        <v>0</v>
      </c>
      <c r="X377" s="178">
        <f t="shared" si="59"/>
        <v>0</v>
      </c>
      <c r="Y377" s="178">
        <f t="shared" si="60"/>
        <v>0</v>
      </c>
      <c r="Z377" s="175">
        <f t="shared" si="52"/>
        <v>0</v>
      </c>
      <c r="AA377" s="179"/>
      <c r="AB377" s="467">
        <f t="shared" si="53"/>
        <v>0</v>
      </c>
      <c r="AC377" s="466">
        <f t="shared" si="54"/>
        <v>0</v>
      </c>
    </row>
    <row r="378" spans="2:29" ht="20.100000000000001" customHeight="1">
      <c r="B378" s="172"/>
      <c r="C378" s="172"/>
      <c r="D378" s="172"/>
      <c r="E378" s="181"/>
      <c r="F378" s="173"/>
      <c r="G378" s="174"/>
      <c r="H378" s="284"/>
      <c r="I378" s="221"/>
      <c r="J378" s="177">
        <f>IF(H378=0,0,IF(F378="MXN",1/HLOOKUP(YEAR(G378)+(MONTH(G378)/100),TC!$5:$37,DAY(G378)+2,FALSE),VLOOKUP(F378,Equivalencia!$5:$23,((MAX(Equivalencia!$3:$3)-YEAR(G378))*14)+MONTH(G378)+2,FALSE)))</f>
        <v>0</v>
      </c>
      <c r="K378" s="217">
        <f t="shared" si="55"/>
        <v>0</v>
      </c>
      <c r="L378" s="462">
        <f>IF(G378=0,0,VLOOKUP(YEAR(G378),INPC!$B$4:$O$29,MONTH(G378)+1))</f>
        <v>0</v>
      </c>
      <c r="M378" s="462">
        <f>IF(T378=0,0,VLOOKUP(YEAR(T378),INPC!$B$4:$O$29,MONTH(T378)+1))</f>
        <v>0</v>
      </c>
      <c r="N378" s="463">
        <f t="shared" si="51"/>
        <v>0</v>
      </c>
      <c r="O378" s="464">
        <f t="shared" si="56"/>
        <v>0</v>
      </c>
      <c r="P378" s="465">
        <f t="shared" si="57"/>
        <v>0</v>
      </c>
      <c r="Q378" s="606" t="str">
        <f t="shared" si="58"/>
        <v>NO</v>
      </c>
      <c r="R378" s="180"/>
      <c r="S378" s="173"/>
      <c r="T378" s="174"/>
      <c r="U378" s="173"/>
      <c r="V378" s="220"/>
      <c r="W378" s="177">
        <f>IF(S378=0,0,IF(U378="MXN",1/HLOOKUP(YEAR(T378)+(MONTH(T378)/100),TC!$5:$37,DAY(T378)+2,FALSE),VLOOKUP(U378,Equivalencia!$1:$23,((MAX(Equivalencia!$3:$3)-YEAR(T378))*14)+MONTH(T378)+2,FALSE)))</f>
        <v>0</v>
      </c>
      <c r="X378" s="178">
        <f t="shared" si="59"/>
        <v>0</v>
      </c>
      <c r="Y378" s="178">
        <f t="shared" si="60"/>
        <v>0</v>
      </c>
      <c r="Z378" s="175">
        <f t="shared" si="52"/>
        <v>0</v>
      </c>
      <c r="AA378" s="179"/>
      <c r="AB378" s="467">
        <f t="shared" si="53"/>
        <v>0</v>
      </c>
      <c r="AC378" s="466">
        <f t="shared" si="54"/>
        <v>0</v>
      </c>
    </row>
    <row r="379" spans="2:29" ht="20.100000000000001" customHeight="1">
      <c r="B379" s="172"/>
      <c r="C379" s="172"/>
      <c r="D379" s="172"/>
      <c r="E379" s="181"/>
      <c r="F379" s="173"/>
      <c r="G379" s="174"/>
      <c r="H379" s="284"/>
      <c r="I379" s="221"/>
      <c r="J379" s="177">
        <f>IF(H379=0,0,IF(F379="MXN",1/HLOOKUP(YEAR(G379)+(MONTH(G379)/100),TC!$5:$37,DAY(G379)+2,FALSE),VLOOKUP(F379,Equivalencia!$5:$23,((MAX(Equivalencia!$3:$3)-YEAR(G379))*14)+MONTH(G379)+2,FALSE)))</f>
        <v>0</v>
      </c>
      <c r="K379" s="217">
        <f t="shared" si="55"/>
        <v>0</v>
      </c>
      <c r="L379" s="462">
        <f>IF(G379=0,0,VLOOKUP(YEAR(G379),INPC!$B$4:$O$29,MONTH(G379)+1))</f>
        <v>0</v>
      </c>
      <c r="M379" s="462">
        <f>IF(T379=0,0,VLOOKUP(YEAR(T379),INPC!$B$4:$O$29,MONTH(T379)+1))</f>
        <v>0</v>
      </c>
      <c r="N379" s="463">
        <f t="shared" si="51"/>
        <v>0</v>
      </c>
      <c r="O379" s="464">
        <f t="shared" si="56"/>
        <v>0</v>
      </c>
      <c r="P379" s="465">
        <f t="shared" si="57"/>
        <v>0</v>
      </c>
      <c r="Q379" s="606" t="str">
        <f t="shared" si="58"/>
        <v>NO</v>
      </c>
      <c r="R379" s="180"/>
      <c r="S379" s="173"/>
      <c r="T379" s="174"/>
      <c r="U379" s="173"/>
      <c r="V379" s="220"/>
      <c r="W379" s="177">
        <f>IF(S379=0,0,IF(U379="MXN",1/HLOOKUP(YEAR(T379)+(MONTH(T379)/100),TC!$5:$37,DAY(T379)+2,FALSE),VLOOKUP(U379,Equivalencia!$1:$23,((MAX(Equivalencia!$3:$3)-YEAR(T379))*14)+MONTH(T379)+2,FALSE)))</f>
        <v>0</v>
      </c>
      <c r="X379" s="178">
        <f t="shared" si="59"/>
        <v>0</v>
      </c>
      <c r="Y379" s="178">
        <f t="shared" si="60"/>
        <v>0</v>
      </c>
      <c r="Z379" s="175">
        <f t="shared" si="52"/>
        <v>0</v>
      </c>
      <c r="AA379" s="179"/>
      <c r="AB379" s="467">
        <f t="shared" si="53"/>
        <v>0</v>
      </c>
      <c r="AC379" s="466">
        <f t="shared" si="54"/>
        <v>0</v>
      </c>
    </row>
    <row r="380" spans="2:29" ht="20.100000000000001" customHeight="1">
      <c r="B380" s="172"/>
      <c r="C380" s="172"/>
      <c r="D380" s="172"/>
      <c r="E380" s="181"/>
      <c r="F380" s="173"/>
      <c r="G380" s="174"/>
      <c r="H380" s="284"/>
      <c r="I380" s="221"/>
      <c r="J380" s="177">
        <f>IF(H380=0,0,IF(F380="MXN",1/HLOOKUP(YEAR(G380)+(MONTH(G380)/100),TC!$5:$37,DAY(G380)+2,FALSE),VLOOKUP(F380,Equivalencia!$5:$23,((MAX(Equivalencia!$3:$3)-YEAR(G380))*14)+MONTH(G380)+2,FALSE)))</f>
        <v>0</v>
      </c>
      <c r="K380" s="217">
        <f t="shared" si="55"/>
        <v>0</v>
      </c>
      <c r="L380" s="462">
        <f>IF(G380=0,0,VLOOKUP(YEAR(G380),INPC!$B$4:$O$29,MONTH(G380)+1))</f>
        <v>0</v>
      </c>
      <c r="M380" s="462">
        <f>IF(T380=0,0,VLOOKUP(YEAR(T380),INPC!$B$4:$O$29,MONTH(T380)+1))</f>
        <v>0</v>
      </c>
      <c r="N380" s="463">
        <f t="shared" si="51"/>
        <v>0</v>
      </c>
      <c r="O380" s="464">
        <f t="shared" si="56"/>
        <v>0</v>
      </c>
      <c r="P380" s="465">
        <f t="shared" si="57"/>
        <v>0</v>
      </c>
      <c r="Q380" s="606" t="str">
        <f t="shared" si="58"/>
        <v>NO</v>
      </c>
      <c r="R380" s="180"/>
      <c r="S380" s="173"/>
      <c r="T380" s="174"/>
      <c r="U380" s="173"/>
      <c r="V380" s="220"/>
      <c r="W380" s="177">
        <f>IF(S380=0,0,IF(U380="MXN",1/HLOOKUP(YEAR(T380)+(MONTH(T380)/100),TC!$5:$37,DAY(T380)+2,FALSE),VLOOKUP(U380,Equivalencia!$1:$23,((MAX(Equivalencia!$3:$3)-YEAR(T380))*14)+MONTH(T380)+2,FALSE)))</f>
        <v>0</v>
      </c>
      <c r="X380" s="178">
        <f t="shared" si="59"/>
        <v>0</v>
      </c>
      <c r="Y380" s="178">
        <f t="shared" si="60"/>
        <v>0</v>
      </c>
      <c r="Z380" s="175">
        <f t="shared" si="52"/>
        <v>0</v>
      </c>
      <c r="AA380" s="179"/>
      <c r="AB380" s="467">
        <f t="shared" si="53"/>
        <v>0</v>
      </c>
      <c r="AC380" s="466">
        <f t="shared" si="54"/>
        <v>0</v>
      </c>
    </row>
    <row r="381" spans="2:29" ht="20.100000000000001" customHeight="1">
      <c r="B381" s="172"/>
      <c r="C381" s="172"/>
      <c r="D381" s="172"/>
      <c r="E381" s="181"/>
      <c r="F381" s="173"/>
      <c r="G381" s="174"/>
      <c r="H381" s="284"/>
      <c r="I381" s="221"/>
      <c r="J381" s="177">
        <f>IF(H381=0,0,IF(F381="MXN",1/HLOOKUP(YEAR(G381)+(MONTH(G381)/100),TC!$5:$37,DAY(G381)+2,FALSE),VLOOKUP(F381,Equivalencia!$5:$23,((MAX(Equivalencia!$3:$3)-YEAR(G381))*14)+MONTH(G381)+2,FALSE)))</f>
        <v>0</v>
      </c>
      <c r="K381" s="217">
        <f t="shared" si="55"/>
        <v>0</v>
      </c>
      <c r="L381" s="462">
        <f>IF(G381=0,0,VLOOKUP(YEAR(G381),INPC!$B$4:$O$29,MONTH(G381)+1))</f>
        <v>0</v>
      </c>
      <c r="M381" s="462">
        <f>IF(T381=0,0,VLOOKUP(YEAR(T381),INPC!$B$4:$O$29,MONTH(T381)+1))</f>
        <v>0</v>
      </c>
      <c r="N381" s="463">
        <f t="shared" si="51"/>
        <v>0</v>
      </c>
      <c r="O381" s="464">
        <f t="shared" si="56"/>
        <v>0</v>
      </c>
      <c r="P381" s="465">
        <f t="shared" si="57"/>
        <v>0</v>
      </c>
      <c r="Q381" s="606" t="str">
        <f t="shared" si="58"/>
        <v>NO</v>
      </c>
      <c r="R381" s="180"/>
      <c r="S381" s="173"/>
      <c r="T381" s="174"/>
      <c r="U381" s="173"/>
      <c r="V381" s="220"/>
      <c r="W381" s="177">
        <f>IF(S381=0,0,IF(U381="MXN",1/HLOOKUP(YEAR(T381)+(MONTH(T381)/100),TC!$5:$37,DAY(T381)+2,FALSE),VLOOKUP(U381,Equivalencia!$1:$23,((MAX(Equivalencia!$3:$3)-YEAR(T381))*14)+MONTH(T381)+2,FALSE)))</f>
        <v>0</v>
      </c>
      <c r="X381" s="178">
        <f t="shared" si="59"/>
        <v>0</v>
      </c>
      <c r="Y381" s="178">
        <f t="shared" si="60"/>
        <v>0</v>
      </c>
      <c r="Z381" s="175">
        <f t="shared" si="52"/>
        <v>0</v>
      </c>
      <c r="AA381" s="179"/>
      <c r="AB381" s="467">
        <f t="shared" si="53"/>
        <v>0</v>
      </c>
      <c r="AC381" s="466">
        <f t="shared" si="54"/>
        <v>0</v>
      </c>
    </row>
    <row r="382" spans="2:29" ht="20.100000000000001" customHeight="1">
      <c r="B382" s="172"/>
      <c r="C382" s="172"/>
      <c r="D382" s="172"/>
      <c r="E382" s="181"/>
      <c r="F382" s="173"/>
      <c r="G382" s="174"/>
      <c r="H382" s="284"/>
      <c r="I382" s="221"/>
      <c r="J382" s="177">
        <f>IF(H382=0,0,IF(F382="MXN",1/HLOOKUP(YEAR(G382)+(MONTH(G382)/100),TC!$5:$37,DAY(G382)+2,FALSE),VLOOKUP(F382,Equivalencia!$5:$23,((MAX(Equivalencia!$3:$3)-YEAR(G382))*14)+MONTH(G382)+2,FALSE)))</f>
        <v>0</v>
      </c>
      <c r="K382" s="217">
        <f t="shared" si="55"/>
        <v>0</v>
      </c>
      <c r="L382" s="462">
        <f>IF(G382=0,0,VLOOKUP(YEAR(G382),INPC!$B$4:$O$29,MONTH(G382)+1))</f>
        <v>0</v>
      </c>
      <c r="M382" s="462">
        <f>IF(T382=0,0,VLOOKUP(YEAR(T382),INPC!$B$4:$O$29,MONTH(T382)+1))</f>
        <v>0</v>
      </c>
      <c r="N382" s="463">
        <f t="shared" si="51"/>
        <v>0</v>
      </c>
      <c r="O382" s="464">
        <f t="shared" si="56"/>
        <v>0</v>
      </c>
      <c r="P382" s="465">
        <f t="shared" si="57"/>
        <v>0</v>
      </c>
      <c r="Q382" s="606" t="str">
        <f t="shared" si="58"/>
        <v>NO</v>
      </c>
      <c r="R382" s="180"/>
      <c r="S382" s="173"/>
      <c r="T382" s="174"/>
      <c r="U382" s="173"/>
      <c r="V382" s="220"/>
      <c r="W382" s="177">
        <f>IF(S382=0,0,IF(U382="MXN",1/HLOOKUP(YEAR(T382)+(MONTH(T382)/100),TC!$5:$37,DAY(T382)+2,FALSE),VLOOKUP(U382,Equivalencia!$1:$23,((MAX(Equivalencia!$3:$3)-YEAR(T382))*14)+MONTH(T382)+2,FALSE)))</f>
        <v>0</v>
      </c>
      <c r="X382" s="178">
        <f t="shared" si="59"/>
        <v>0</v>
      </c>
      <c r="Y382" s="178">
        <f t="shared" si="60"/>
        <v>0</v>
      </c>
      <c r="Z382" s="175">
        <f t="shared" si="52"/>
        <v>0</v>
      </c>
      <c r="AA382" s="179"/>
      <c r="AB382" s="467">
        <f t="shared" si="53"/>
        <v>0</v>
      </c>
      <c r="AC382" s="466">
        <f t="shared" si="54"/>
        <v>0</v>
      </c>
    </row>
    <row r="383" spans="2:29" ht="20.100000000000001" customHeight="1">
      <c r="B383" s="172"/>
      <c r="C383" s="172"/>
      <c r="D383" s="172"/>
      <c r="E383" s="181"/>
      <c r="F383" s="173"/>
      <c r="G383" s="174"/>
      <c r="H383" s="284"/>
      <c r="I383" s="221"/>
      <c r="J383" s="177">
        <f>IF(H383=0,0,IF(F383="MXN",1/HLOOKUP(YEAR(G383)+(MONTH(G383)/100),TC!$5:$37,DAY(G383)+2,FALSE),VLOOKUP(F383,Equivalencia!$5:$23,((MAX(Equivalencia!$3:$3)-YEAR(G383))*14)+MONTH(G383)+2,FALSE)))</f>
        <v>0</v>
      </c>
      <c r="K383" s="217">
        <f t="shared" si="55"/>
        <v>0</v>
      </c>
      <c r="L383" s="462">
        <f>IF(G383=0,0,VLOOKUP(YEAR(G383),INPC!$B$4:$O$29,MONTH(G383)+1))</f>
        <v>0</v>
      </c>
      <c r="M383" s="462">
        <f>IF(T383=0,0,VLOOKUP(YEAR(T383),INPC!$B$4:$O$29,MONTH(T383)+1))</f>
        <v>0</v>
      </c>
      <c r="N383" s="463">
        <f t="shared" si="51"/>
        <v>0</v>
      </c>
      <c r="O383" s="464">
        <f t="shared" si="56"/>
        <v>0</v>
      </c>
      <c r="P383" s="465">
        <f t="shared" si="57"/>
        <v>0</v>
      </c>
      <c r="Q383" s="606" t="str">
        <f t="shared" si="58"/>
        <v>NO</v>
      </c>
      <c r="R383" s="180"/>
      <c r="S383" s="173"/>
      <c r="T383" s="174"/>
      <c r="U383" s="173"/>
      <c r="V383" s="220"/>
      <c r="W383" s="177">
        <f>IF(S383=0,0,IF(U383="MXN",1/HLOOKUP(YEAR(T383)+(MONTH(T383)/100),TC!$5:$37,DAY(T383)+2,FALSE),VLOOKUP(U383,Equivalencia!$1:$23,((MAX(Equivalencia!$3:$3)-YEAR(T383))*14)+MONTH(T383)+2,FALSE)))</f>
        <v>0</v>
      </c>
      <c r="X383" s="178">
        <f t="shared" si="59"/>
        <v>0</v>
      </c>
      <c r="Y383" s="178">
        <f t="shared" si="60"/>
        <v>0</v>
      </c>
      <c r="Z383" s="175">
        <f t="shared" si="52"/>
        <v>0</v>
      </c>
      <c r="AA383" s="179"/>
      <c r="AB383" s="467">
        <f t="shared" si="53"/>
        <v>0</v>
      </c>
      <c r="AC383" s="466">
        <f t="shared" si="54"/>
        <v>0</v>
      </c>
    </row>
    <row r="384" spans="2:29" ht="20.100000000000001" customHeight="1">
      <c r="B384" s="172"/>
      <c r="C384" s="172"/>
      <c r="D384" s="172"/>
      <c r="E384" s="181"/>
      <c r="F384" s="173"/>
      <c r="G384" s="174"/>
      <c r="H384" s="284"/>
      <c r="I384" s="221"/>
      <c r="J384" s="177">
        <f>IF(H384=0,0,IF(F384="MXN",1/HLOOKUP(YEAR(G384)+(MONTH(G384)/100),TC!$5:$37,DAY(G384)+2,FALSE),VLOOKUP(F384,Equivalencia!$5:$23,((MAX(Equivalencia!$3:$3)-YEAR(G384))*14)+MONTH(G384)+2,FALSE)))</f>
        <v>0</v>
      </c>
      <c r="K384" s="217">
        <f t="shared" si="55"/>
        <v>0</v>
      </c>
      <c r="L384" s="462">
        <f>IF(G384=0,0,VLOOKUP(YEAR(G384),INPC!$B$4:$O$29,MONTH(G384)+1))</f>
        <v>0</v>
      </c>
      <c r="M384" s="462">
        <f>IF(T384=0,0,VLOOKUP(YEAR(T384),INPC!$B$4:$O$29,MONTH(T384)+1))</f>
        <v>0</v>
      </c>
      <c r="N384" s="463">
        <f t="shared" si="51"/>
        <v>0</v>
      </c>
      <c r="O384" s="464">
        <f t="shared" si="56"/>
        <v>0</v>
      </c>
      <c r="P384" s="465">
        <f t="shared" si="57"/>
        <v>0</v>
      </c>
      <c r="Q384" s="606" t="str">
        <f t="shared" si="58"/>
        <v>NO</v>
      </c>
      <c r="R384" s="180"/>
      <c r="S384" s="173"/>
      <c r="T384" s="174"/>
      <c r="U384" s="173"/>
      <c r="V384" s="220"/>
      <c r="W384" s="177">
        <f>IF(S384=0,0,IF(U384="MXN",1/HLOOKUP(YEAR(T384)+(MONTH(T384)/100),TC!$5:$37,DAY(T384)+2,FALSE),VLOOKUP(U384,Equivalencia!$1:$23,((MAX(Equivalencia!$3:$3)-YEAR(T384))*14)+MONTH(T384)+2,FALSE)))</f>
        <v>0</v>
      </c>
      <c r="X384" s="178">
        <f t="shared" si="59"/>
        <v>0</v>
      </c>
      <c r="Y384" s="178">
        <f t="shared" si="60"/>
        <v>0</v>
      </c>
      <c r="Z384" s="175">
        <f t="shared" si="52"/>
        <v>0</v>
      </c>
      <c r="AA384" s="179"/>
      <c r="AB384" s="467">
        <f t="shared" si="53"/>
        <v>0</v>
      </c>
      <c r="AC384" s="466">
        <f t="shared" si="54"/>
        <v>0</v>
      </c>
    </row>
    <row r="385" spans="2:29" ht="20.100000000000001" customHeight="1">
      <c r="B385" s="172"/>
      <c r="C385" s="172"/>
      <c r="D385" s="172"/>
      <c r="E385" s="181"/>
      <c r="F385" s="173"/>
      <c r="G385" s="174"/>
      <c r="H385" s="284"/>
      <c r="I385" s="221"/>
      <c r="J385" s="177">
        <f>IF(H385=0,0,IF(F385="MXN",1/HLOOKUP(YEAR(G385)+(MONTH(G385)/100),TC!$5:$37,DAY(G385)+2,FALSE),VLOOKUP(F385,Equivalencia!$5:$23,((MAX(Equivalencia!$3:$3)-YEAR(G385))*14)+MONTH(G385)+2,FALSE)))</f>
        <v>0</v>
      </c>
      <c r="K385" s="217">
        <f t="shared" si="55"/>
        <v>0</v>
      </c>
      <c r="L385" s="462">
        <f>IF(G385=0,0,VLOOKUP(YEAR(G385),INPC!$B$4:$O$29,MONTH(G385)+1))</f>
        <v>0</v>
      </c>
      <c r="M385" s="462">
        <f>IF(T385=0,0,VLOOKUP(YEAR(T385),INPC!$B$4:$O$29,MONTH(T385)+1))</f>
        <v>0</v>
      </c>
      <c r="N385" s="463">
        <f t="shared" si="51"/>
        <v>0</v>
      </c>
      <c r="O385" s="464">
        <f t="shared" si="56"/>
        <v>0</v>
      </c>
      <c r="P385" s="465">
        <f t="shared" si="57"/>
        <v>0</v>
      </c>
      <c r="Q385" s="606" t="str">
        <f t="shared" si="58"/>
        <v>NO</v>
      </c>
      <c r="R385" s="180"/>
      <c r="S385" s="173"/>
      <c r="T385" s="174"/>
      <c r="U385" s="173"/>
      <c r="V385" s="220"/>
      <c r="W385" s="177">
        <f>IF(S385=0,0,IF(U385="MXN",1/HLOOKUP(YEAR(T385)+(MONTH(T385)/100),TC!$5:$37,DAY(T385)+2,FALSE),VLOOKUP(U385,Equivalencia!$1:$23,((MAX(Equivalencia!$3:$3)-YEAR(T385))*14)+MONTH(T385)+2,FALSE)))</f>
        <v>0</v>
      </c>
      <c r="X385" s="178">
        <f t="shared" si="59"/>
        <v>0</v>
      </c>
      <c r="Y385" s="178">
        <f t="shared" si="60"/>
        <v>0</v>
      </c>
      <c r="Z385" s="175">
        <f t="shared" si="52"/>
        <v>0</v>
      </c>
      <c r="AA385" s="179"/>
      <c r="AB385" s="467">
        <f t="shared" si="53"/>
        <v>0</v>
      </c>
      <c r="AC385" s="466">
        <f t="shared" si="54"/>
        <v>0</v>
      </c>
    </row>
    <row r="386" spans="2:29" ht="20.100000000000001" customHeight="1">
      <c r="B386" s="172"/>
      <c r="C386" s="172"/>
      <c r="D386" s="172"/>
      <c r="E386" s="181"/>
      <c r="F386" s="173"/>
      <c r="G386" s="174"/>
      <c r="H386" s="284"/>
      <c r="I386" s="221"/>
      <c r="J386" s="177">
        <f>IF(H386=0,0,IF(F386="MXN",1/HLOOKUP(YEAR(G386)+(MONTH(G386)/100),TC!$5:$37,DAY(G386)+2,FALSE),VLOOKUP(F386,Equivalencia!$5:$23,((MAX(Equivalencia!$3:$3)-YEAR(G386))*14)+MONTH(G386)+2,FALSE)))</f>
        <v>0</v>
      </c>
      <c r="K386" s="217">
        <f t="shared" si="55"/>
        <v>0</v>
      </c>
      <c r="L386" s="462">
        <f>IF(G386=0,0,VLOOKUP(YEAR(G386),INPC!$B$4:$O$29,MONTH(G386)+1))</f>
        <v>0</v>
      </c>
      <c r="M386" s="462">
        <f>IF(T386=0,0,VLOOKUP(YEAR(T386),INPC!$B$4:$O$29,MONTH(T386)+1))</f>
        <v>0</v>
      </c>
      <c r="N386" s="463">
        <f t="shared" ref="N386:N449" si="61">IF(T386=0,0,IF(TRUNC(M386/L386,4)&gt;=1,TRUNC(M386/L386,4),1))</f>
        <v>0</v>
      </c>
      <c r="O386" s="464">
        <f t="shared" si="56"/>
        <v>0</v>
      </c>
      <c r="P386" s="465">
        <f t="shared" si="57"/>
        <v>0</v>
      </c>
      <c r="Q386" s="606" t="str">
        <f t="shared" si="58"/>
        <v>NO</v>
      </c>
      <c r="R386" s="180"/>
      <c r="S386" s="173"/>
      <c r="T386" s="174"/>
      <c r="U386" s="173"/>
      <c r="V386" s="220"/>
      <c r="W386" s="177">
        <f>IF(S386=0,0,IF(U386="MXN",1/HLOOKUP(YEAR(T386)+(MONTH(T386)/100),TC!$5:$37,DAY(T386)+2,FALSE),VLOOKUP(U386,Equivalencia!$1:$23,((MAX(Equivalencia!$3:$3)-YEAR(T386))*14)+MONTH(T386)+2,FALSE)))</f>
        <v>0</v>
      </c>
      <c r="X386" s="178">
        <f t="shared" si="59"/>
        <v>0</v>
      </c>
      <c r="Y386" s="178">
        <f t="shared" si="60"/>
        <v>0</v>
      </c>
      <c r="Z386" s="175">
        <f t="shared" ref="Z386:Z449" si="62">+X386+Y386</f>
        <v>0</v>
      </c>
      <c r="AA386" s="179"/>
      <c r="AB386" s="467">
        <f t="shared" ref="AB386:AB449" si="63">+X386+AC386</f>
        <v>0</v>
      </c>
      <c r="AC386" s="466">
        <f t="shared" ref="AC386:AC449" si="64">+R386*P386</f>
        <v>0</v>
      </c>
    </row>
    <row r="387" spans="2:29" ht="20.100000000000001" customHeight="1">
      <c r="B387" s="172"/>
      <c r="C387" s="172"/>
      <c r="D387" s="172"/>
      <c r="E387" s="181"/>
      <c r="F387" s="173"/>
      <c r="G387" s="174"/>
      <c r="H387" s="284"/>
      <c r="I387" s="221"/>
      <c r="J387" s="177">
        <f>IF(H387=0,0,IF(F387="MXN",1/HLOOKUP(YEAR(G387)+(MONTH(G387)/100),TC!$5:$37,DAY(G387)+2,FALSE),VLOOKUP(F387,Equivalencia!$5:$23,((MAX(Equivalencia!$3:$3)-YEAR(G387))*14)+MONTH(G387)+2,FALSE)))</f>
        <v>0</v>
      </c>
      <c r="K387" s="217">
        <f t="shared" ref="K387:K450" si="65">+I387*J387</f>
        <v>0</v>
      </c>
      <c r="L387" s="462">
        <f>IF(G387=0,0,VLOOKUP(YEAR(G387),INPC!$B$4:$O$29,MONTH(G387)+1))</f>
        <v>0</v>
      </c>
      <c r="M387" s="462">
        <f>IF(T387=0,0,VLOOKUP(YEAR(T387),INPC!$B$4:$O$29,MONTH(T387)+1))</f>
        <v>0</v>
      </c>
      <c r="N387" s="463">
        <f t="shared" si="61"/>
        <v>0</v>
      </c>
      <c r="O387" s="464">
        <f t="shared" ref="O387:O450" si="66">+N387*K387</f>
        <v>0</v>
      </c>
      <c r="P387" s="465">
        <f t="shared" ref="P387:P450" si="67">IF(R387=0,0,O387/R387)</f>
        <v>0</v>
      </c>
      <c r="Q387" s="606" t="str">
        <f t="shared" ref="Q387:Q450" si="68">IF(T387=0,"NO","SI")</f>
        <v>NO</v>
      </c>
      <c r="R387" s="180"/>
      <c r="S387" s="173"/>
      <c r="T387" s="174"/>
      <c r="U387" s="173"/>
      <c r="V387" s="220"/>
      <c r="W387" s="177">
        <f>IF(S387=0,0,IF(U387="MXN",1/HLOOKUP(YEAR(T387)+(MONTH(T387)/100),TC!$5:$37,DAY(T387)+2,FALSE),VLOOKUP(U387,Equivalencia!$1:$23,((MAX(Equivalencia!$3:$3)-YEAR(T387))*14)+MONTH(T387)+2,FALSE)))</f>
        <v>0</v>
      </c>
      <c r="X387" s="178">
        <f t="shared" ref="X387:X450" si="69">+W387*V387</f>
        <v>0</v>
      </c>
      <c r="Y387" s="178">
        <f t="shared" ref="Y387:Y450" si="70">+K387</f>
        <v>0</v>
      </c>
      <c r="Z387" s="175">
        <f t="shared" si="62"/>
        <v>0</v>
      </c>
      <c r="AA387" s="179"/>
      <c r="AB387" s="467">
        <f t="shared" si="63"/>
        <v>0</v>
      </c>
      <c r="AC387" s="466">
        <f t="shared" si="64"/>
        <v>0</v>
      </c>
    </row>
    <row r="388" spans="2:29" ht="20.100000000000001" customHeight="1">
      <c r="B388" s="172"/>
      <c r="C388" s="172"/>
      <c r="D388" s="172"/>
      <c r="E388" s="181"/>
      <c r="F388" s="173"/>
      <c r="G388" s="174"/>
      <c r="H388" s="284"/>
      <c r="I388" s="221"/>
      <c r="J388" s="177">
        <f>IF(H388=0,0,IF(F388="MXN",1/HLOOKUP(YEAR(G388)+(MONTH(G388)/100),TC!$5:$37,DAY(G388)+2,FALSE),VLOOKUP(F388,Equivalencia!$5:$23,((MAX(Equivalencia!$3:$3)-YEAR(G388))*14)+MONTH(G388)+2,FALSE)))</f>
        <v>0</v>
      </c>
      <c r="K388" s="217">
        <f t="shared" si="65"/>
        <v>0</v>
      </c>
      <c r="L388" s="462">
        <f>IF(G388=0,0,VLOOKUP(YEAR(G388),INPC!$B$4:$O$29,MONTH(G388)+1))</f>
        <v>0</v>
      </c>
      <c r="M388" s="462">
        <f>IF(T388=0,0,VLOOKUP(YEAR(T388),INPC!$B$4:$O$29,MONTH(T388)+1))</f>
        <v>0</v>
      </c>
      <c r="N388" s="463">
        <f t="shared" si="61"/>
        <v>0</v>
      </c>
      <c r="O388" s="464">
        <f t="shared" si="66"/>
        <v>0</v>
      </c>
      <c r="P388" s="465">
        <f t="shared" si="67"/>
        <v>0</v>
      </c>
      <c r="Q388" s="606" t="str">
        <f t="shared" si="68"/>
        <v>NO</v>
      </c>
      <c r="R388" s="180"/>
      <c r="S388" s="173"/>
      <c r="T388" s="174"/>
      <c r="U388" s="173"/>
      <c r="V388" s="220"/>
      <c r="W388" s="177">
        <f>IF(S388=0,0,IF(U388="MXN",1/HLOOKUP(YEAR(T388)+(MONTH(T388)/100),TC!$5:$37,DAY(T388)+2,FALSE),VLOOKUP(U388,Equivalencia!$1:$23,((MAX(Equivalencia!$3:$3)-YEAR(T388))*14)+MONTH(T388)+2,FALSE)))</f>
        <v>0</v>
      </c>
      <c r="X388" s="178">
        <f t="shared" si="69"/>
        <v>0</v>
      </c>
      <c r="Y388" s="178">
        <f t="shared" si="70"/>
        <v>0</v>
      </c>
      <c r="Z388" s="175">
        <f t="shared" si="62"/>
        <v>0</v>
      </c>
      <c r="AA388" s="179"/>
      <c r="AB388" s="467">
        <f t="shared" si="63"/>
        <v>0</v>
      </c>
      <c r="AC388" s="466">
        <f t="shared" si="64"/>
        <v>0</v>
      </c>
    </row>
    <row r="389" spans="2:29" ht="20.100000000000001" customHeight="1">
      <c r="B389" s="172"/>
      <c r="C389" s="172"/>
      <c r="D389" s="172"/>
      <c r="E389" s="181"/>
      <c r="F389" s="173"/>
      <c r="G389" s="174"/>
      <c r="H389" s="284"/>
      <c r="I389" s="221"/>
      <c r="J389" s="177">
        <f>IF(H389=0,0,IF(F389="MXN",1/HLOOKUP(YEAR(G389)+(MONTH(G389)/100),TC!$5:$37,DAY(G389)+2,FALSE),VLOOKUP(F389,Equivalencia!$5:$23,((MAX(Equivalencia!$3:$3)-YEAR(G389))*14)+MONTH(G389)+2,FALSE)))</f>
        <v>0</v>
      </c>
      <c r="K389" s="217">
        <f t="shared" si="65"/>
        <v>0</v>
      </c>
      <c r="L389" s="462">
        <f>IF(G389=0,0,VLOOKUP(YEAR(G389),INPC!$B$4:$O$29,MONTH(G389)+1))</f>
        <v>0</v>
      </c>
      <c r="M389" s="462">
        <f>IF(T389=0,0,VLOOKUP(YEAR(T389),INPC!$B$4:$O$29,MONTH(T389)+1))</f>
        <v>0</v>
      </c>
      <c r="N389" s="463">
        <f t="shared" si="61"/>
        <v>0</v>
      </c>
      <c r="O389" s="464">
        <f t="shared" si="66"/>
        <v>0</v>
      </c>
      <c r="P389" s="465">
        <f t="shared" si="67"/>
        <v>0</v>
      </c>
      <c r="Q389" s="606" t="str">
        <f t="shared" si="68"/>
        <v>NO</v>
      </c>
      <c r="R389" s="180"/>
      <c r="S389" s="173"/>
      <c r="T389" s="174"/>
      <c r="U389" s="173"/>
      <c r="V389" s="220"/>
      <c r="W389" s="177">
        <f>IF(S389=0,0,IF(U389="MXN",1/HLOOKUP(YEAR(T389)+(MONTH(T389)/100),TC!$5:$37,DAY(T389)+2,FALSE),VLOOKUP(U389,Equivalencia!$1:$23,((MAX(Equivalencia!$3:$3)-YEAR(T389))*14)+MONTH(T389)+2,FALSE)))</f>
        <v>0</v>
      </c>
      <c r="X389" s="178">
        <f t="shared" si="69"/>
        <v>0</v>
      </c>
      <c r="Y389" s="178">
        <f t="shared" si="70"/>
        <v>0</v>
      </c>
      <c r="Z389" s="175">
        <f t="shared" si="62"/>
        <v>0</v>
      </c>
      <c r="AA389" s="179"/>
      <c r="AB389" s="467">
        <f t="shared" si="63"/>
        <v>0</v>
      </c>
      <c r="AC389" s="466">
        <f t="shared" si="64"/>
        <v>0</v>
      </c>
    </row>
    <row r="390" spans="2:29" ht="20.100000000000001" customHeight="1">
      <c r="B390" s="172"/>
      <c r="C390" s="172"/>
      <c r="D390" s="172"/>
      <c r="E390" s="181"/>
      <c r="F390" s="173"/>
      <c r="G390" s="174"/>
      <c r="H390" s="284"/>
      <c r="I390" s="221"/>
      <c r="J390" s="177">
        <f>IF(H390=0,0,IF(F390="MXN",1/HLOOKUP(YEAR(G390)+(MONTH(G390)/100),TC!$5:$37,DAY(G390)+2,FALSE),VLOOKUP(F390,Equivalencia!$5:$23,((MAX(Equivalencia!$3:$3)-YEAR(G390))*14)+MONTH(G390)+2,FALSE)))</f>
        <v>0</v>
      </c>
      <c r="K390" s="217">
        <f t="shared" si="65"/>
        <v>0</v>
      </c>
      <c r="L390" s="462">
        <f>IF(G390=0,0,VLOOKUP(YEAR(G390),INPC!$B$4:$O$29,MONTH(G390)+1))</f>
        <v>0</v>
      </c>
      <c r="M390" s="462">
        <f>IF(T390=0,0,VLOOKUP(YEAR(T390),INPC!$B$4:$O$29,MONTH(T390)+1))</f>
        <v>0</v>
      </c>
      <c r="N390" s="463">
        <f t="shared" si="61"/>
        <v>0</v>
      </c>
      <c r="O390" s="464">
        <f t="shared" si="66"/>
        <v>0</v>
      </c>
      <c r="P390" s="465">
        <f t="shared" si="67"/>
        <v>0</v>
      </c>
      <c r="Q390" s="606" t="str">
        <f t="shared" si="68"/>
        <v>NO</v>
      </c>
      <c r="R390" s="180"/>
      <c r="S390" s="173"/>
      <c r="T390" s="174"/>
      <c r="U390" s="173"/>
      <c r="V390" s="220"/>
      <c r="W390" s="177">
        <f>IF(S390=0,0,IF(U390="MXN",1/HLOOKUP(YEAR(T390)+(MONTH(T390)/100),TC!$5:$37,DAY(T390)+2,FALSE),VLOOKUP(U390,Equivalencia!$1:$23,((MAX(Equivalencia!$3:$3)-YEAR(T390))*14)+MONTH(T390)+2,FALSE)))</f>
        <v>0</v>
      </c>
      <c r="X390" s="178">
        <f t="shared" si="69"/>
        <v>0</v>
      </c>
      <c r="Y390" s="178">
        <f t="shared" si="70"/>
        <v>0</v>
      </c>
      <c r="Z390" s="175">
        <f t="shared" si="62"/>
        <v>0</v>
      </c>
      <c r="AA390" s="179"/>
      <c r="AB390" s="467">
        <f t="shared" si="63"/>
        <v>0</v>
      </c>
      <c r="AC390" s="466">
        <f t="shared" si="64"/>
        <v>0</v>
      </c>
    </row>
    <row r="391" spans="2:29" ht="20.100000000000001" customHeight="1">
      <c r="B391" s="172"/>
      <c r="C391" s="172"/>
      <c r="D391" s="172"/>
      <c r="E391" s="181"/>
      <c r="F391" s="173"/>
      <c r="G391" s="174"/>
      <c r="H391" s="284"/>
      <c r="I391" s="221"/>
      <c r="J391" s="177">
        <f>IF(H391=0,0,IF(F391="MXN",1/HLOOKUP(YEAR(G391)+(MONTH(G391)/100),TC!$5:$37,DAY(G391)+2,FALSE),VLOOKUP(F391,Equivalencia!$5:$23,((MAX(Equivalencia!$3:$3)-YEAR(G391))*14)+MONTH(G391)+2,FALSE)))</f>
        <v>0</v>
      </c>
      <c r="K391" s="217">
        <f t="shared" si="65"/>
        <v>0</v>
      </c>
      <c r="L391" s="462">
        <f>IF(G391=0,0,VLOOKUP(YEAR(G391),INPC!$B$4:$O$29,MONTH(G391)+1))</f>
        <v>0</v>
      </c>
      <c r="M391" s="462">
        <f>IF(T391=0,0,VLOOKUP(YEAR(T391),INPC!$B$4:$O$29,MONTH(T391)+1))</f>
        <v>0</v>
      </c>
      <c r="N391" s="463">
        <f t="shared" si="61"/>
        <v>0</v>
      </c>
      <c r="O391" s="464">
        <f t="shared" si="66"/>
        <v>0</v>
      </c>
      <c r="P391" s="465">
        <f t="shared" si="67"/>
        <v>0</v>
      </c>
      <c r="Q391" s="606" t="str">
        <f t="shared" si="68"/>
        <v>NO</v>
      </c>
      <c r="R391" s="180"/>
      <c r="S391" s="173"/>
      <c r="T391" s="174"/>
      <c r="U391" s="173"/>
      <c r="V391" s="220"/>
      <c r="W391" s="177">
        <f>IF(S391=0,0,IF(U391="MXN",1/HLOOKUP(YEAR(T391)+(MONTH(T391)/100),TC!$5:$37,DAY(T391)+2,FALSE),VLOOKUP(U391,Equivalencia!$1:$23,((MAX(Equivalencia!$3:$3)-YEAR(T391))*14)+MONTH(T391)+2,FALSE)))</f>
        <v>0</v>
      </c>
      <c r="X391" s="178">
        <f t="shared" si="69"/>
        <v>0</v>
      </c>
      <c r="Y391" s="178">
        <f t="shared" si="70"/>
        <v>0</v>
      </c>
      <c r="Z391" s="175">
        <f t="shared" si="62"/>
        <v>0</v>
      </c>
      <c r="AA391" s="179"/>
      <c r="AB391" s="467">
        <f t="shared" si="63"/>
        <v>0</v>
      </c>
      <c r="AC391" s="466">
        <f t="shared" si="64"/>
        <v>0</v>
      </c>
    </row>
    <row r="392" spans="2:29" ht="20.100000000000001" customHeight="1">
      <c r="B392" s="172"/>
      <c r="C392" s="172"/>
      <c r="D392" s="172"/>
      <c r="E392" s="181"/>
      <c r="F392" s="173"/>
      <c r="G392" s="174"/>
      <c r="H392" s="284"/>
      <c r="I392" s="221"/>
      <c r="J392" s="177">
        <f>IF(H392=0,0,IF(F392="MXN",1/HLOOKUP(YEAR(G392)+(MONTH(G392)/100),TC!$5:$37,DAY(G392)+2,FALSE),VLOOKUP(F392,Equivalencia!$5:$23,((MAX(Equivalencia!$3:$3)-YEAR(G392))*14)+MONTH(G392)+2,FALSE)))</f>
        <v>0</v>
      </c>
      <c r="K392" s="217">
        <f t="shared" si="65"/>
        <v>0</v>
      </c>
      <c r="L392" s="462">
        <f>IF(G392=0,0,VLOOKUP(YEAR(G392),INPC!$B$4:$O$29,MONTH(G392)+1))</f>
        <v>0</v>
      </c>
      <c r="M392" s="462">
        <f>IF(T392=0,0,VLOOKUP(YEAR(T392),INPC!$B$4:$O$29,MONTH(T392)+1))</f>
        <v>0</v>
      </c>
      <c r="N392" s="463">
        <f t="shared" si="61"/>
        <v>0</v>
      </c>
      <c r="O392" s="464">
        <f t="shared" si="66"/>
        <v>0</v>
      </c>
      <c r="P392" s="465">
        <f t="shared" si="67"/>
        <v>0</v>
      </c>
      <c r="Q392" s="606" t="str">
        <f t="shared" si="68"/>
        <v>NO</v>
      </c>
      <c r="R392" s="180"/>
      <c r="S392" s="173"/>
      <c r="T392" s="174"/>
      <c r="U392" s="173"/>
      <c r="V392" s="220"/>
      <c r="W392" s="177">
        <f>IF(S392=0,0,IF(U392="MXN",1/HLOOKUP(YEAR(T392)+(MONTH(T392)/100),TC!$5:$37,DAY(T392)+2,FALSE),VLOOKUP(U392,Equivalencia!$1:$23,((MAX(Equivalencia!$3:$3)-YEAR(T392))*14)+MONTH(T392)+2,FALSE)))</f>
        <v>0</v>
      </c>
      <c r="X392" s="178">
        <f t="shared" si="69"/>
        <v>0</v>
      </c>
      <c r="Y392" s="178">
        <f t="shared" si="70"/>
        <v>0</v>
      </c>
      <c r="Z392" s="175">
        <f t="shared" si="62"/>
        <v>0</v>
      </c>
      <c r="AA392" s="179"/>
      <c r="AB392" s="467">
        <f t="shared" si="63"/>
        <v>0</v>
      </c>
      <c r="AC392" s="466">
        <f t="shared" si="64"/>
        <v>0</v>
      </c>
    </row>
    <row r="393" spans="2:29" ht="20.100000000000001" customHeight="1">
      <c r="B393" s="172"/>
      <c r="C393" s="172"/>
      <c r="D393" s="172"/>
      <c r="E393" s="181"/>
      <c r="F393" s="173"/>
      <c r="G393" s="174"/>
      <c r="H393" s="284"/>
      <c r="I393" s="221"/>
      <c r="J393" s="177">
        <f>IF(H393=0,0,IF(F393="MXN",1/HLOOKUP(YEAR(G393)+(MONTH(G393)/100),TC!$5:$37,DAY(G393)+2,FALSE),VLOOKUP(F393,Equivalencia!$5:$23,((MAX(Equivalencia!$3:$3)-YEAR(G393))*14)+MONTH(G393)+2,FALSE)))</f>
        <v>0</v>
      </c>
      <c r="K393" s="217">
        <f t="shared" si="65"/>
        <v>0</v>
      </c>
      <c r="L393" s="462">
        <f>IF(G393=0,0,VLOOKUP(YEAR(G393),INPC!$B$4:$O$29,MONTH(G393)+1))</f>
        <v>0</v>
      </c>
      <c r="M393" s="462">
        <f>IF(T393=0,0,VLOOKUP(YEAR(T393),INPC!$B$4:$O$29,MONTH(T393)+1))</f>
        <v>0</v>
      </c>
      <c r="N393" s="463">
        <f t="shared" si="61"/>
        <v>0</v>
      </c>
      <c r="O393" s="464">
        <f t="shared" si="66"/>
        <v>0</v>
      </c>
      <c r="P393" s="465">
        <f t="shared" si="67"/>
        <v>0</v>
      </c>
      <c r="Q393" s="606" t="str">
        <f t="shared" si="68"/>
        <v>NO</v>
      </c>
      <c r="R393" s="180"/>
      <c r="S393" s="173"/>
      <c r="T393" s="174"/>
      <c r="U393" s="173"/>
      <c r="V393" s="220"/>
      <c r="W393" s="177">
        <f>IF(S393=0,0,IF(U393="MXN",1/HLOOKUP(YEAR(T393)+(MONTH(T393)/100),TC!$5:$37,DAY(T393)+2,FALSE),VLOOKUP(U393,Equivalencia!$1:$23,((MAX(Equivalencia!$3:$3)-YEAR(T393))*14)+MONTH(T393)+2,FALSE)))</f>
        <v>0</v>
      </c>
      <c r="X393" s="178">
        <f t="shared" si="69"/>
        <v>0</v>
      </c>
      <c r="Y393" s="178">
        <f t="shared" si="70"/>
        <v>0</v>
      </c>
      <c r="Z393" s="175">
        <f t="shared" si="62"/>
        <v>0</v>
      </c>
      <c r="AA393" s="179"/>
      <c r="AB393" s="467">
        <f t="shared" si="63"/>
        <v>0</v>
      </c>
      <c r="AC393" s="466">
        <f t="shared" si="64"/>
        <v>0</v>
      </c>
    </row>
    <row r="394" spans="2:29" ht="20.100000000000001" customHeight="1">
      <c r="B394" s="172"/>
      <c r="C394" s="172"/>
      <c r="D394" s="172"/>
      <c r="E394" s="181"/>
      <c r="F394" s="173"/>
      <c r="G394" s="174"/>
      <c r="H394" s="284"/>
      <c r="I394" s="221"/>
      <c r="J394" s="177">
        <f>IF(H394=0,0,IF(F394="MXN",1/HLOOKUP(YEAR(G394)+(MONTH(G394)/100),TC!$5:$37,DAY(G394)+2,FALSE),VLOOKUP(F394,Equivalencia!$5:$23,((MAX(Equivalencia!$3:$3)-YEAR(G394))*14)+MONTH(G394)+2,FALSE)))</f>
        <v>0</v>
      </c>
      <c r="K394" s="217">
        <f t="shared" si="65"/>
        <v>0</v>
      </c>
      <c r="L394" s="462">
        <f>IF(G394=0,0,VLOOKUP(YEAR(G394),INPC!$B$4:$O$29,MONTH(G394)+1))</f>
        <v>0</v>
      </c>
      <c r="M394" s="462">
        <f>IF(T394=0,0,VLOOKUP(YEAR(T394),INPC!$B$4:$O$29,MONTH(T394)+1))</f>
        <v>0</v>
      </c>
      <c r="N394" s="463">
        <f t="shared" si="61"/>
        <v>0</v>
      </c>
      <c r="O394" s="464">
        <f t="shared" si="66"/>
        <v>0</v>
      </c>
      <c r="P394" s="465">
        <f t="shared" si="67"/>
        <v>0</v>
      </c>
      <c r="Q394" s="606" t="str">
        <f t="shared" si="68"/>
        <v>NO</v>
      </c>
      <c r="R394" s="180"/>
      <c r="S394" s="173"/>
      <c r="T394" s="174"/>
      <c r="U394" s="173"/>
      <c r="V394" s="220"/>
      <c r="W394" s="177">
        <f>IF(S394=0,0,IF(U394="MXN",1/HLOOKUP(YEAR(T394)+(MONTH(T394)/100),TC!$5:$37,DAY(T394)+2,FALSE),VLOOKUP(U394,Equivalencia!$1:$23,((MAX(Equivalencia!$3:$3)-YEAR(T394))*14)+MONTH(T394)+2,FALSE)))</f>
        <v>0</v>
      </c>
      <c r="X394" s="178">
        <f t="shared" si="69"/>
        <v>0</v>
      </c>
      <c r="Y394" s="178">
        <f t="shared" si="70"/>
        <v>0</v>
      </c>
      <c r="Z394" s="175">
        <f t="shared" si="62"/>
        <v>0</v>
      </c>
      <c r="AA394" s="179"/>
      <c r="AB394" s="467">
        <f t="shared" si="63"/>
        <v>0</v>
      </c>
      <c r="AC394" s="466">
        <f t="shared" si="64"/>
        <v>0</v>
      </c>
    </row>
    <row r="395" spans="2:29" ht="20.100000000000001" customHeight="1">
      <c r="B395" s="172"/>
      <c r="C395" s="172"/>
      <c r="D395" s="172"/>
      <c r="E395" s="181"/>
      <c r="F395" s="173"/>
      <c r="G395" s="174"/>
      <c r="H395" s="284"/>
      <c r="I395" s="221"/>
      <c r="J395" s="177">
        <f>IF(H395=0,0,IF(F395="MXN",1/HLOOKUP(YEAR(G395)+(MONTH(G395)/100),TC!$5:$37,DAY(G395)+2,FALSE),VLOOKUP(F395,Equivalencia!$5:$23,((MAX(Equivalencia!$3:$3)-YEAR(G395))*14)+MONTH(G395)+2,FALSE)))</f>
        <v>0</v>
      </c>
      <c r="K395" s="217">
        <f t="shared" si="65"/>
        <v>0</v>
      </c>
      <c r="L395" s="462">
        <f>IF(G395=0,0,VLOOKUP(YEAR(G395),INPC!$B$4:$O$29,MONTH(G395)+1))</f>
        <v>0</v>
      </c>
      <c r="M395" s="462">
        <f>IF(T395=0,0,VLOOKUP(YEAR(T395),INPC!$B$4:$O$29,MONTH(T395)+1))</f>
        <v>0</v>
      </c>
      <c r="N395" s="463">
        <f t="shared" si="61"/>
        <v>0</v>
      </c>
      <c r="O395" s="464">
        <f t="shared" si="66"/>
        <v>0</v>
      </c>
      <c r="P395" s="465">
        <f t="shared" si="67"/>
        <v>0</v>
      </c>
      <c r="Q395" s="606" t="str">
        <f t="shared" si="68"/>
        <v>NO</v>
      </c>
      <c r="R395" s="180"/>
      <c r="S395" s="173"/>
      <c r="T395" s="174"/>
      <c r="U395" s="173"/>
      <c r="V395" s="220"/>
      <c r="W395" s="177">
        <f>IF(S395=0,0,IF(U395="MXN",1/HLOOKUP(YEAR(T395)+(MONTH(T395)/100),TC!$5:$37,DAY(T395)+2,FALSE),VLOOKUP(U395,Equivalencia!$1:$23,((MAX(Equivalencia!$3:$3)-YEAR(T395))*14)+MONTH(T395)+2,FALSE)))</f>
        <v>0</v>
      </c>
      <c r="X395" s="178">
        <f t="shared" si="69"/>
        <v>0</v>
      </c>
      <c r="Y395" s="178">
        <f t="shared" si="70"/>
        <v>0</v>
      </c>
      <c r="Z395" s="175">
        <f t="shared" si="62"/>
        <v>0</v>
      </c>
      <c r="AA395" s="179"/>
      <c r="AB395" s="467">
        <f t="shared" si="63"/>
        <v>0</v>
      </c>
      <c r="AC395" s="466">
        <f t="shared" si="64"/>
        <v>0</v>
      </c>
    </row>
    <row r="396" spans="2:29" ht="20.100000000000001" customHeight="1">
      <c r="B396" s="172"/>
      <c r="C396" s="172"/>
      <c r="D396" s="172"/>
      <c r="E396" s="181"/>
      <c r="F396" s="173"/>
      <c r="G396" s="174"/>
      <c r="H396" s="284"/>
      <c r="I396" s="221"/>
      <c r="J396" s="177">
        <f>IF(H396=0,0,IF(F396="MXN",1/HLOOKUP(YEAR(G396)+(MONTH(G396)/100),TC!$5:$37,DAY(G396)+2,FALSE),VLOOKUP(F396,Equivalencia!$5:$23,((MAX(Equivalencia!$3:$3)-YEAR(G396))*14)+MONTH(G396)+2,FALSE)))</f>
        <v>0</v>
      </c>
      <c r="K396" s="217">
        <f t="shared" si="65"/>
        <v>0</v>
      </c>
      <c r="L396" s="462">
        <f>IF(G396=0,0,VLOOKUP(YEAR(G396),INPC!$B$4:$O$29,MONTH(G396)+1))</f>
        <v>0</v>
      </c>
      <c r="M396" s="462">
        <f>IF(T396=0,0,VLOOKUP(YEAR(T396),INPC!$B$4:$O$29,MONTH(T396)+1))</f>
        <v>0</v>
      </c>
      <c r="N396" s="463">
        <f t="shared" si="61"/>
        <v>0</v>
      </c>
      <c r="O396" s="464">
        <f t="shared" si="66"/>
        <v>0</v>
      </c>
      <c r="P396" s="465">
        <f t="shared" si="67"/>
        <v>0</v>
      </c>
      <c r="Q396" s="606" t="str">
        <f t="shared" si="68"/>
        <v>NO</v>
      </c>
      <c r="R396" s="180"/>
      <c r="S396" s="173"/>
      <c r="T396" s="174"/>
      <c r="U396" s="173"/>
      <c r="V396" s="220"/>
      <c r="W396" s="177">
        <f>IF(S396=0,0,IF(U396="MXN",1/HLOOKUP(YEAR(T396)+(MONTH(T396)/100),TC!$5:$37,DAY(T396)+2,FALSE),VLOOKUP(U396,Equivalencia!$1:$23,((MAX(Equivalencia!$3:$3)-YEAR(T396))*14)+MONTH(T396)+2,FALSE)))</f>
        <v>0</v>
      </c>
      <c r="X396" s="178">
        <f t="shared" si="69"/>
        <v>0</v>
      </c>
      <c r="Y396" s="178">
        <f t="shared" si="70"/>
        <v>0</v>
      </c>
      <c r="Z396" s="175">
        <f t="shared" si="62"/>
        <v>0</v>
      </c>
      <c r="AA396" s="179"/>
      <c r="AB396" s="467">
        <f t="shared" si="63"/>
        <v>0</v>
      </c>
      <c r="AC396" s="466">
        <f t="shared" si="64"/>
        <v>0</v>
      </c>
    </row>
    <row r="397" spans="2:29" ht="20.100000000000001" customHeight="1">
      <c r="B397" s="172"/>
      <c r="C397" s="172"/>
      <c r="D397" s="172"/>
      <c r="E397" s="181"/>
      <c r="F397" s="173"/>
      <c r="G397" s="174"/>
      <c r="H397" s="284"/>
      <c r="I397" s="221"/>
      <c r="J397" s="177">
        <f>IF(H397=0,0,IF(F397="MXN",1/HLOOKUP(YEAR(G397)+(MONTH(G397)/100),TC!$5:$37,DAY(G397)+2,FALSE),VLOOKUP(F397,Equivalencia!$5:$23,((MAX(Equivalencia!$3:$3)-YEAR(G397))*14)+MONTH(G397)+2,FALSE)))</f>
        <v>0</v>
      </c>
      <c r="K397" s="217">
        <f t="shared" si="65"/>
        <v>0</v>
      </c>
      <c r="L397" s="462">
        <f>IF(G397=0,0,VLOOKUP(YEAR(G397),INPC!$B$4:$O$29,MONTH(G397)+1))</f>
        <v>0</v>
      </c>
      <c r="M397" s="462">
        <f>IF(T397=0,0,VLOOKUP(YEAR(T397),INPC!$B$4:$O$29,MONTH(T397)+1))</f>
        <v>0</v>
      </c>
      <c r="N397" s="463">
        <f t="shared" si="61"/>
        <v>0</v>
      </c>
      <c r="O397" s="464">
        <f t="shared" si="66"/>
        <v>0</v>
      </c>
      <c r="P397" s="465">
        <f t="shared" si="67"/>
        <v>0</v>
      </c>
      <c r="Q397" s="606" t="str">
        <f t="shared" si="68"/>
        <v>NO</v>
      </c>
      <c r="R397" s="180"/>
      <c r="S397" s="173"/>
      <c r="T397" s="174"/>
      <c r="U397" s="173"/>
      <c r="V397" s="220"/>
      <c r="W397" s="177">
        <f>IF(S397=0,0,IF(U397="MXN",1/HLOOKUP(YEAR(T397)+(MONTH(T397)/100),TC!$5:$37,DAY(T397)+2,FALSE),VLOOKUP(U397,Equivalencia!$1:$23,((MAX(Equivalencia!$3:$3)-YEAR(T397))*14)+MONTH(T397)+2,FALSE)))</f>
        <v>0</v>
      </c>
      <c r="X397" s="178">
        <f t="shared" si="69"/>
        <v>0</v>
      </c>
      <c r="Y397" s="178">
        <f t="shared" si="70"/>
        <v>0</v>
      </c>
      <c r="Z397" s="175">
        <f t="shared" si="62"/>
        <v>0</v>
      </c>
      <c r="AA397" s="179"/>
      <c r="AB397" s="467">
        <f t="shared" si="63"/>
        <v>0</v>
      </c>
      <c r="AC397" s="466">
        <f t="shared" si="64"/>
        <v>0</v>
      </c>
    </row>
    <row r="398" spans="2:29" ht="20.100000000000001" customHeight="1">
      <c r="B398" s="172"/>
      <c r="C398" s="172"/>
      <c r="D398" s="172"/>
      <c r="E398" s="181"/>
      <c r="F398" s="173"/>
      <c r="G398" s="174"/>
      <c r="H398" s="284"/>
      <c r="I398" s="221"/>
      <c r="J398" s="177">
        <f>IF(H398=0,0,IF(F398="MXN",1/HLOOKUP(YEAR(G398)+(MONTH(G398)/100),TC!$5:$37,DAY(G398)+2,FALSE),VLOOKUP(F398,Equivalencia!$5:$23,((MAX(Equivalencia!$3:$3)-YEAR(G398))*14)+MONTH(G398)+2,FALSE)))</f>
        <v>0</v>
      </c>
      <c r="K398" s="217">
        <f t="shared" si="65"/>
        <v>0</v>
      </c>
      <c r="L398" s="462">
        <f>IF(G398=0,0,VLOOKUP(YEAR(G398),INPC!$B$4:$O$29,MONTH(G398)+1))</f>
        <v>0</v>
      </c>
      <c r="M398" s="462">
        <f>IF(T398=0,0,VLOOKUP(YEAR(T398),INPC!$B$4:$O$29,MONTH(T398)+1))</f>
        <v>0</v>
      </c>
      <c r="N398" s="463">
        <f t="shared" si="61"/>
        <v>0</v>
      </c>
      <c r="O398" s="464">
        <f t="shared" si="66"/>
        <v>0</v>
      </c>
      <c r="P398" s="465">
        <f t="shared" si="67"/>
        <v>0</v>
      </c>
      <c r="Q398" s="606" t="str">
        <f t="shared" si="68"/>
        <v>NO</v>
      </c>
      <c r="R398" s="180"/>
      <c r="S398" s="173"/>
      <c r="T398" s="174"/>
      <c r="U398" s="173"/>
      <c r="V398" s="220"/>
      <c r="W398" s="177">
        <f>IF(S398=0,0,IF(U398="MXN",1/HLOOKUP(YEAR(T398)+(MONTH(T398)/100),TC!$5:$37,DAY(T398)+2,FALSE),VLOOKUP(U398,Equivalencia!$1:$23,((MAX(Equivalencia!$3:$3)-YEAR(T398))*14)+MONTH(T398)+2,FALSE)))</f>
        <v>0</v>
      </c>
      <c r="X398" s="178">
        <f t="shared" si="69"/>
        <v>0</v>
      </c>
      <c r="Y398" s="178">
        <f t="shared" si="70"/>
        <v>0</v>
      </c>
      <c r="Z398" s="175">
        <f t="shared" si="62"/>
        <v>0</v>
      </c>
      <c r="AA398" s="179"/>
      <c r="AB398" s="467">
        <f t="shared" si="63"/>
        <v>0</v>
      </c>
      <c r="AC398" s="466">
        <f t="shared" si="64"/>
        <v>0</v>
      </c>
    </row>
    <row r="399" spans="2:29" ht="20.100000000000001" customHeight="1">
      <c r="B399" s="172"/>
      <c r="C399" s="172"/>
      <c r="D399" s="172"/>
      <c r="E399" s="181"/>
      <c r="F399" s="173"/>
      <c r="G399" s="174"/>
      <c r="H399" s="284"/>
      <c r="I399" s="221"/>
      <c r="J399" s="177">
        <f>IF(H399=0,0,IF(F399="MXN",1/HLOOKUP(YEAR(G399)+(MONTH(G399)/100),TC!$5:$37,DAY(G399)+2,FALSE),VLOOKUP(F399,Equivalencia!$5:$23,((MAX(Equivalencia!$3:$3)-YEAR(G399))*14)+MONTH(G399)+2,FALSE)))</f>
        <v>0</v>
      </c>
      <c r="K399" s="217">
        <f t="shared" si="65"/>
        <v>0</v>
      </c>
      <c r="L399" s="462">
        <f>IF(G399=0,0,VLOOKUP(YEAR(G399),INPC!$B$4:$O$29,MONTH(G399)+1))</f>
        <v>0</v>
      </c>
      <c r="M399" s="462">
        <f>IF(T399=0,0,VLOOKUP(YEAR(T399),INPC!$B$4:$O$29,MONTH(T399)+1))</f>
        <v>0</v>
      </c>
      <c r="N399" s="463">
        <f t="shared" si="61"/>
        <v>0</v>
      </c>
      <c r="O399" s="464">
        <f t="shared" si="66"/>
        <v>0</v>
      </c>
      <c r="P399" s="465">
        <f t="shared" si="67"/>
        <v>0</v>
      </c>
      <c r="Q399" s="606" t="str">
        <f t="shared" si="68"/>
        <v>NO</v>
      </c>
      <c r="R399" s="180"/>
      <c r="S399" s="173"/>
      <c r="T399" s="174"/>
      <c r="U399" s="173"/>
      <c r="V399" s="220"/>
      <c r="W399" s="177">
        <f>IF(S399=0,0,IF(U399="MXN",1/HLOOKUP(YEAR(T399)+(MONTH(T399)/100),TC!$5:$37,DAY(T399)+2,FALSE),VLOOKUP(U399,Equivalencia!$1:$23,((MAX(Equivalencia!$3:$3)-YEAR(T399))*14)+MONTH(T399)+2,FALSE)))</f>
        <v>0</v>
      </c>
      <c r="X399" s="178">
        <f t="shared" si="69"/>
        <v>0</v>
      </c>
      <c r="Y399" s="178">
        <f t="shared" si="70"/>
        <v>0</v>
      </c>
      <c r="Z399" s="175">
        <f t="shared" si="62"/>
        <v>0</v>
      </c>
      <c r="AA399" s="179"/>
      <c r="AB399" s="467">
        <f t="shared" si="63"/>
        <v>0</v>
      </c>
      <c r="AC399" s="466">
        <f t="shared" si="64"/>
        <v>0</v>
      </c>
    </row>
    <row r="400" spans="2:29" ht="20.100000000000001" customHeight="1">
      <c r="B400" s="172"/>
      <c r="C400" s="172"/>
      <c r="D400" s="172"/>
      <c r="E400" s="181"/>
      <c r="F400" s="173"/>
      <c r="G400" s="174"/>
      <c r="H400" s="284"/>
      <c r="I400" s="221"/>
      <c r="J400" s="177">
        <f>IF(H400=0,0,IF(F400="MXN",1/HLOOKUP(YEAR(G400)+(MONTH(G400)/100),TC!$5:$37,DAY(G400)+2,FALSE),VLOOKUP(F400,Equivalencia!$5:$23,((MAX(Equivalencia!$3:$3)-YEAR(G400))*14)+MONTH(G400)+2,FALSE)))</f>
        <v>0</v>
      </c>
      <c r="K400" s="217">
        <f t="shared" si="65"/>
        <v>0</v>
      </c>
      <c r="L400" s="462">
        <f>IF(G400=0,0,VLOOKUP(YEAR(G400),INPC!$B$4:$O$29,MONTH(G400)+1))</f>
        <v>0</v>
      </c>
      <c r="M400" s="462">
        <f>IF(T400=0,0,VLOOKUP(YEAR(T400),INPC!$B$4:$O$29,MONTH(T400)+1))</f>
        <v>0</v>
      </c>
      <c r="N400" s="463">
        <f t="shared" si="61"/>
        <v>0</v>
      </c>
      <c r="O400" s="464">
        <f t="shared" si="66"/>
        <v>0</v>
      </c>
      <c r="P400" s="465">
        <f t="shared" si="67"/>
        <v>0</v>
      </c>
      <c r="Q400" s="606" t="str">
        <f t="shared" si="68"/>
        <v>NO</v>
      </c>
      <c r="R400" s="180"/>
      <c r="S400" s="173"/>
      <c r="T400" s="174"/>
      <c r="U400" s="173"/>
      <c r="V400" s="220"/>
      <c r="W400" s="177">
        <f>IF(S400=0,0,IF(U400="MXN",1/HLOOKUP(YEAR(T400)+(MONTH(T400)/100),TC!$5:$37,DAY(T400)+2,FALSE),VLOOKUP(U400,Equivalencia!$1:$23,((MAX(Equivalencia!$3:$3)-YEAR(T400))*14)+MONTH(T400)+2,FALSE)))</f>
        <v>0</v>
      </c>
      <c r="X400" s="178">
        <f t="shared" si="69"/>
        <v>0</v>
      </c>
      <c r="Y400" s="178">
        <f t="shared" si="70"/>
        <v>0</v>
      </c>
      <c r="Z400" s="175">
        <f t="shared" si="62"/>
        <v>0</v>
      </c>
      <c r="AA400" s="179"/>
      <c r="AB400" s="467">
        <f t="shared" si="63"/>
        <v>0</v>
      </c>
      <c r="AC400" s="466">
        <f t="shared" si="64"/>
        <v>0</v>
      </c>
    </row>
    <row r="401" spans="2:29" ht="20.100000000000001" customHeight="1">
      <c r="B401" s="172"/>
      <c r="C401" s="172"/>
      <c r="D401" s="172"/>
      <c r="E401" s="181"/>
      <c r="F401" s="173"/>
      <c r="G401" s="174"/>
      <c r="H401" s="284"/>
      <c r="I401" s="221"/>
      <c r="J401" s="177">
        <f>IF(H401=0,0,IF(F401="MXN",1/HLOOKUP(YEAR(G401)+(MONTH(G401)/100),TC!$5:$37,DAY(G401)+2,FALSE),VLOOKUP(F401,Equivalencia!$5:$23,((MAX(Equivalencia!$3:$3)-YEAR(G401))*14)+MONTH(G401)+2,FALSE)))</f>
        <v>0</v>
      </c>
      <c r="K401" s="217">
        <f t="shared" si="65"/>
        <v>0</v>
      </c>
      <c r="L401" s="462">
        <f>IF(G401=0,0,VLOOKUP(YEAR(G401),INPC!$B$4:$O$29,MONTH(G401)+1))</f>
        <v>0</v>
      </c>
      <c r="M401" s="462">
        <f>IF(T401=0,0,VLOOKUP(YEAR(T401),INPC!$B$4:$O$29,MONTH(T401)+1))</f>
        <v>0</v>
      </c>
      <c r="N401" s="463">
        <f t="shared" si="61"/>
        <v>0</v>
      </c>
      <c r="O401" s="464">
        <f t="shared" si="66"/>
        <v>0</v>
      </c>
      <c r="P401" s="465">
        <f t="shared" si="67"/>
        <v>0</v>
      </c>
      <c r="Q401" s="606" t="str">
        <f t="shared" si="68"/>
        <v>NO</v>
      </c>
      <c r="R401" s="180"/>
      <c r="S401" s="173"/>
      <c r="T401" s="174"/>
      <c r="U401" s="173"/>
      <c r="V401" s="220"/>
      <c r="W401" s="177">
        <f>IF(S401=0,0,IF(U401="MXN",1/HLOOKUP(YEAR(T401)+(MONTH(T401)/100),TC!$5:$37,DAY(T401)+2,FALSE),VLOOKUP(U401,Equivalencia!$1:$23,((MAX(Equivalencia!$3:$3)-YEAR(T401))*14)+MONTH(T401)+2,FALSE)))</f>
        <v>0</v>
      </c>
      <c r="X401" s="178">
        <f t="shared" si="69"/>
        <v>0</v>
      </c>
      <c r="Y401" s="178">
        <f t="shared" si="70"/>
        <v>0</v>
      </c>
      <c r="Z401" s="175">
        <f t="shared" si="62"/>
        <v>0</v>
      </c>
      <c r="AA401" s="179"/>
      <c r="AB401" s="467">
        <f t="shared" si="63"/>
        <v>0</v>
      </c>
      <c r="AC401" s="466">
        <f t="shared" si="64"/>
        <v>0</v>
      </c>
    </row>
    <row r="402" spans="2:29" ht="20.100000000000001" customHeight="1">
      <c r="B402" s="172"/>
      <c r="C402" s="172"/>
      <c r="D402" s="172"/>
      <c r="E402" s="181"/>
      <c r="F402" s="173"/>
      <c r="G402" s="174"/>
      <c r="H402" s="284"/>
      <c r="I402" s="221"/>
      <c r="J402" s="177">
        <f>IF(H402=0,0,IF(F402="MXN",1/HLOOKUP(YEAR(G402)+(MONTH(G402)/100),TC!$5:$37,DAY(G402)+2,FALSE),VLOOKUP(F402,Equivalencia!$5:$23,((MAX(Equivalencia!$3:$3)-YEAR(G402))*14)+MONTH(G402)+2,FALSE)))</f>
        <v>0</v>
      </c>
      <c r="K402" s="217">
        <f t="shared" si="65"/>
        <v>0</v>
      </c>
      <c r="L402" s="462">
        <f>IF(G402=0,0,VLOOKUP(YEAR(G402),INPC!$B$4:$O$29,MONTH(G402)+1))</f>
        <v>0</v>
      </c>
      <c r="M402" s="462">
        <f>IF(T402=0,0,VLOOKUP(YEAR(T402),INPC!$B$4:$O$29,MONTH(T402)+1))</f>
        <v>0</v>
      </c>
      <c r="N402" s="463">
        <f t="shared" si="61"/>
        <v>0</v>
      </c>
      <c r="O402" s="464">
        <f t="shared" si="66"/>
        <v>0</v>
      </c>
      <c r="P402" s="465">
        <f t="shared" si="67"/>
        <v>0</v>
      </c>
      <c r="Q402" s="606" t="str">
        <f t="shared" si="68"/>
        <v>NO</v>
      </c>
      <c r="R402" s="180"/>
      <c r="S402" s="173"/>
      <c r="T402" s="174"/>
      <c r="U402" s="173"/>
      <c r="V402" s="220"/>
      <c r="W402" s="177">
        <f>IF(S402=0,0,IF(U402="MXN",1/HLOOKUP(YEAR(T402)+(MONTH(T402)/100),TC!$5:$37,DAY(T402)+2,FALSE),VLOOKUP(U402,Equivalencia!$1:$23,((MAX(Equivalencia!$3:$3)-YEAR(T402))*14)+MONTH(T402)+2,FALSE)))</f>
        <v>0</v>
      </c>
      <c r="X402" s="178">
        <f t="shared" si="69"/>
        <v>0</v>
      </c>
      <c r="Y402" s="178">
        <f t="shared" si="70"/>
        <v>0</v>
      </c>
      <c r="Z402" s="175">
        <f t="shared" si="62"/>
        <v>0</v>
      </c>
      <c r="AA402" s="179"/>
      <c r="AB402" s="467">
        <f t="shared" si="63"/>
        <v>0</v>
      </c>
      <c r="AC402" s="466">
        <f t="shared" si="64"/>
        <v>0</v>
      </c>
    </row>
    <row r="403" spans="2:29" ht="20.100000000000001" customHeight="1">
      <c r="B403" s="172"/>
      <c r="C403" s="172"/>
      <c r="D403" s="172"/>
      <c r="E403" s="181"/>
      <c r="F403" s="173"/>
      <c r="G403" s="174"/>
      <c r="H403" s="284"/>
      <c r="I403" s="221"/>
      <c r="J403" s="177">
        <f>IF(H403=0,0,IF(F403="MXN",1/HLOOKUP(YEAR(G403)+(MONTH(G403)/100),TC!$5:$37,DAY(G403)+2,FALSE),VLOOKUP(F403,Equivalencia!$5:$23,((MAX(Equivalencia!$3:$3)-YEAR(G403))*14)+MONTH(G403)+2,FALSE)))</f>
        <v>0</v>
      </c>
      <c r="K403" s="217">
        <f t="shared" si="65"/>
        <v>0</v>
      </c>
      <c r="L403" s="462">
        <f>IF(G403=0,0,VLOOKUP(YEAR(G403),INPC!$B$4:$O$29,MONTH(G403)+1))</f>
        <v>0</v>
      </c>
      <c r="M403" s="462">
        <f>IF(T403=0,0,VLOOKUP(YEAR(T403),INPC!$B$4:$O$29,MONTH(T403)+1))</f>
        <v>0</v>
      </c>
      <c r="N403" s="463">
        <f t="shared" si="61"/>
        <v>0</v>
      </c>
      <c r="O403" s="464">
        <f t="shared" si="66"/>
        <v>0</v>
      </c>
      <c r="P403" s="465">
        <f t="shared" si="67"/>
        <v>0</v>
      </c>
      <c r="Q403" s="606" t="str">
        <f t="shared" si="68"/>
        <v>NO</v>
      </c>
      <c r="R403" s="180"/>
      <c r="S403" s="173"/>
      <c r="T403" s="174"/>
      <c r="U403" s="173"/>
      <c r="V403" s="220"/>
      <c r="W403" s="177">
        <f>IF(S403=0,0,IF(U403="MXN",1/HLOOKUP(YEAR(T403)+(MONTH(T403)/100),TC!$5:$37,DAY(T403)+2,FALSE),VLOOKUP(U403,Equivalencia!$1:$23,((MAX(Equivalencia!$3:$3)-YEAR(T403))*14)+MONTH(T403)+2,FALSE)))</f>
        <v>0</v>
      </c>
      <c r="X403" s="178">
        <f t="shared" si="69"/>
        <v>0</v>
      </c>
      <c r="Y403" s="178">
        <f t="shared" si="70"/>
        <v>0</v>
      </c>
      <c r="Z403" s="175">
        <f t="shared" si="62"/>
        <v>0</v>
      </c>
      <c r="AA403" s="179"/>
      <c r="AB403" s="467">
        <f t="shared" si="63"/>
        <v>0</v>
      </c>
      <c r="AC403" s="466">
        <f t="shared" si="64"/>
        <v>0</v>
      </c>
    </row>
    <row r="404" spans="2:29" ht="20.100000000000001" customHeight="1">
      <c r="B404" s="172"/>
      <c r="C404" s="172"/>
      <c r="D404" s="172"/>
      <c r="E404" s="181"/>
      <c r="F404" s="173"/>
      <c r="G404" s="174"/>
      <c r="H404" s="284"/>
      <c r="I404" s="221"/>
      <c r="J404" s="177">
        <f>IF(H404=0,0,IF(F404="MXN",1/HLOOKUP(YEAR(G404)+(MONTH(G404)/100),TC!$5:$37,DAY(G404)+2,FALSE),VLOOKUP(F404,Equivalencia!$5:$23,((MAX(Equivalencia!$3:$3)-YEAR(G404))*14)+MONTH(G404)+2,FALSE)))</f>
        <v>0</v>
      </c>
      <c r="K404" s="217">
        <f t="shared" si="65"/>
        <v>0</v>
      </c>
      <c r="L404" s="462">
        <f>IF(G404=0,0,VLOOKUP(YEAR(G404),INPC!$B$4:$O$29,MONTH(G404)+1))</f>
        <v>0</v>
      </c>
      <c r="M404" s="462">
        <f>IF(T404=0,0,VLOOKUP(YEAR(T404),INPC!$B$4:$O$29,MONTH(T404)+1))</f>
        <v>0</v>
      </c>
      <c r="N404" s="463">
        <f t="shared" si="61"/>
        <v>0</v>
      </c>
      <c r="O404" s="464">
        <f t="shared" si="66"/>
        <v>0</v>
      </c>
      <c r="P404" s="465">
        <f t="shared" si="67"/>
        <v>0</v>
      </c>
      <c r="Q404" s="606" t="str">
        <f t="shared" si="68"/>
        <v>NO</v>
      </c>
      <c r="R404" s="180"/>
      <c r="S404" s="173"/>
      <c r="T404" s="174"/>
      <c r="U404" s="173"/>
      <c r="V404" s="220"/>
      <c r="W404" s="177">
        <f>IF(S404=0,0,IF(U404="MXN",1/HLOOKUP(YEAR(T404)+(MONTH(T404)/100),TC!$5:$37,DAY(T404)+2,FALSE),VLOOKUP(U404,Equivalencia!$1:$23,((MAX(Equivalencia!$3:$3)-YEAR(T404))*14)+MONTH(T404)+2,FALSE)))</f>
        <v>0</v>
      </c>
      <c r="X404" s="178">
        <f t="shared" si="69"/>
        <v>0</v>
      </c>
      <c r="Y404" s="178">
        <f t="shared" si="70"/>
        <v>0</v>
      </c>
      <c r="Z404" s="175">
        <f t="shared" si="62"/>
        <v>0</v>
      </c>
      <c r="AA404" s="179"/>
      <c r="AB404" s="467">
        <f t="shared" si="63"/>
        <v>0</v>
      </c>
      <c r="AC404" s="466">
        <f t="shared" si="64"/>
        <v>0</v>
      </c>
    </row>
    <row r="405" spans="2:29" ht="20.100000000000001" customHeight="1">
      <c r="B405" s="172"/>
      <c r="C405" s="172"/>
      <c r="D405" s="172"/>
      <c r="E405" s="181"/>
      <c r="F405" s="173"/>
      <c r="G405" s="174"/>
      <c r="H405" s="284"/>
      <c r="I405" s="221"/>
      <c r="J405" s="177">
        <f>IF(H405=0,0,IF(F405="MXN",1/HLOOKUP(YEAR(G405)+(MONTH(G405)/100),TC!$5:$37,DAY(G405)+2,FALSE),VLOOKUP(F405,Equivalencia!$5:$23,((MAX(Equivalencia!$3:$3)-YEAR(G405))*14)+MONTH(G405)+2,FALSE)))</f>
        <v>0</v>
      </c>
      <c r="K405" s="217">
        <f t="shared" si="65"/>
        <v>0</v>
      </c>
      <c r="L405" s="462">
        <f>IF(G405=0,0,VLOOKUP(YEAR(G405),INPC!$B$4:$O$29,MONTH(G405)+1))</f>
        <v>0</v>
      </c>
      <c r="M405" s="462">
        <f>IF(T405=0,0,VLOOKUP(YEAR(T405),INPC!$B$4:$O$29,MONTH(T405)+1))</f>
        <v>0</v>
      </c>
      <c r="N405" s="463">
        <f t="shared" si="61"/>
        <v>0</v>
      </c>
      <c r="O405" s="464">
        <f t="shared" si="66"/>
        <v>0</v>
      </c>
      <c r="P405" s="465">
        <f t="shared" si="67"/>
        <v>0</v>
      </c>
      <c r="Q405" s="606" t="str">
        <f t="shared" si="68"/>
        <v>NO</v>
      </c>
      <c r="R405" s="180"/>
      <c r="S405" s="173"/>
      <c r="T405" s="174"/>
      <c r="U405" s="173"/>
      <c r="V405" s="220"/>
      <c r="W405" s="177">
        <f>IF(S405=0,0,IF(U405="MXN",1/HLOOKUP(YEAR(T405)+(MONTH(T405)/100),TC!$5:$37,DAY(T405)+2,FALSE),VLOOKUP(U405,Equivalencia!$1:$23,((MAX(Equivalencia!$3:$3)-YEAR(T405))*14)+MONTH(T405)+2,FALSE)))</f>
        <v>0</v>
      </c>
      <c r="X405" s="178">
        <f t="shared" si="69"/>
        <v>0</v>
      </c>
      <c r="Y405" s="178">
        <f t="shared" si="70"/>
        <v>0</v>
      </c>
      <c r="Z405" s="175">
        <f t="shared" si="62"/>
        <v>0</v>
      </c>
      <c r="AA405" s="179"/>
      <c r="AB405" s="467">
        <f t="shared" si="63"/>
        <v>0</v>
      </c>
      <c r="AC405" s="466">
        <f t="shared" si="64"/>
        <v>0</v>
      </c>
    </row>
    <row r="406" spans="2:29" ht="20.100000000000001" customHeight="1">
      <c r="B406" s="172"/>
      <c r="C406" s="172"/>
      <c r="D406" s="172"/>
      <c r="E406" s="181"/>
      <c r="F406" s="173"/>
      <c r="G406" s="174"/>
      <c r="H406" s="284"/>
      <c r="I406" s="221"/>
      <c r="J406" s="177">
        <f>IF(H406=0,0,IF(F406="MXN",1/HLOOKUP(YEAR(G406)+(MONTH(G406)/100),TC!$5:$37,DAY(G406)+2,FALSE),VLOOKUP(F406,Equivalencia!$5:$23,((MAX(Equivalencia!$3:$3)-YEAR(G406))*14)+MONTH(G406)+2,FALSE)))</f>
        <v>0</v>
      </c>
      <c r="K406" s="217">
        <f t="shared" si="65"/>
        <v>0</v>
      </c>
      <c r="L406" s="462">
        <f>IF(G406=0,0,VLOOKUP(YEAR(G406),INPC!$B$4:$O$29,MONTH(G406)+1))</f>
        <v>0</v>
      </c>
      <c r="M406" s="462">
        <f>IF(T406=0,0,VLOOKUP(YEAR(T406),INPC!$B$4:$O$29,MONTH(T406)+1))</f>
        <v>0</v>
      </c>
      <c r="N406" s="463">
        <f t="shared" si="61"/>
        <v>0</v>
      </c>
      <c r="O406" s="464">
        <f t="shared" si="66"/>
        <v>0</v>
      </c>
      <c r="P406" s="465">
        <f t="shared" si="67"/>
        <v>0</v>
      </c>
      <c r="Q406" s="606" t="str">
        <f t="shared" si="68"/>
        <v>NO</v>
      </c>
      <c r="R406" s="180"/>
      <c r="S406" s="173"/>
      <c r="T406" s="174"/>
      <c r="U406" s="173"/>
      <c r="V406" s="220"/>
      <c r="W406" s="177">
        <f>IF(S406=0,0,IF(U406="MXN",1/HLOOKUP(YEAR(T406)+(MONTH(T406)/100),TC!$5:$37,DAY(T406)+2,FALSE),VLOOKUP(U406,Equivalencia!$1:$23,((MAX(Equivalencia!$3:$3)-YEAR(T406))*14)+MONTH(T406)+2,FALSE)))</f>
        <v>0</v>
      </c>
      <c r="X406" s="178">
        <f t="shared" si="69"/>
        <v>0</v>
      </c>
      <c r="Y406" s="178">
        <f t="shared" si="70"/>
        <v>0</v>
      </c>
      <c r="Z406" s="175">
        <f t="shared" si="62"/>
        <v>0</v>
      </c>
      <c r="AA406" s="179"/>
      <c r="AB406" s="467">
        <f t="shared" si="63"/>
        <v>0</v>
      </c>
      <c r="AC406" s="466">
        <f t="shared" si="64"/>
        <v>0</v>
      </c>
    </row>
    <row r="407" spans="2:29" ht="20.100000000000001" customHeight="1">
      <c r="B407" s="172"/>
      <c r="C407" s="172"/>
      <c r="D407" s="172"/>
      <c r="E407" s="181"/>
      <c r="F407" s="173"/>
      <c r="G407" s="174"/>
      <c r="H407" s="284"/>
      <c r="I407" s="221"/>
      <c r="J407" s="177">
        <f>IF(H407=0,0,IF(F407="MXN",1/HLOOKUP(YEAR(G407)+(MONTH(G407)/100),TC!$5:$37,DAY(G407)+2,FALSE),VLOOKUP(F407,Equivalencia!$5:$23,((MAX(Equivalencia!$3:$3)-YEAR(G407))*14)+MONTH(G407)+2,FALSE)))</f>
        <v>0</v>
      </c>
      <c r="K407" s="217">
        <f t="shared" si="65"/>
        <v>0</v>
      </c>
      <c r="L407" s="462">
        <f>IF(G407=0,0,VLOOKUP(YEAR(G407),INPC!$B$4:$O$29,MONTH(G407)+1))</f>
        <v>0</v>
      </c>
      <c r="M407" s="462">
        <f>IF(T407=0,0,VLOOKUP(YEAR(T407),INPC!$B$4:$O$29,MONTH(T407)+1))</f>
        <v>0</v>
      </c>
      <c r="N407" s="463">
        <f t="shared" si="61"/>
        <v>0</v>
      </c>
      <c r="O407" s="464">
        <f t="shared" si="66"/>
        <v>0</v>
      </c>
      <c r="P407" s="465">
        <f t="shared" si="67"/>
        <v>0</v>
      </c>
      <c r="Q407" s="606" t="str">
        <f t="shared" si="68"/>
        <v>NO</v>
      </c>
      <c r="R407" s="180"/>
      <c r="S407" s="173"/>
      <c r="T407" s="174"/>
      <c r="U407" s="173"/>
      <c r="V407" s="220"/>
      <c r="W407" s="177">
        <f>IF(S407=0,0,IF(U407="MXN",1/HLOOKUP(YEAR(T407)+(MONTH(T407)/100),TC!$5:$37,DAY(T407)+2,FALSE),VLOOKUP(U407,Equivalencia!$1:$23,((MAX(Equivalencia!$3:$3)-YEAR(T407))*14)+MONTH(T407)+2,FALSE)))</f>
        <v>0</v>
      </c>
      <c r="X407" s="178">
        <f t="shared" si="69"/>
        <v>0</v>
      </c>
      <c r="Y407" s="178">
        <f t="shared" si="70"/>
        <v>0</v>
      </c>
      <c r="Z407" s="175">
        <f t="shared" si="62"/>
        <v>0</v>
      </c>
      <c r="AA407" s="179"/>
      <c r="AB407" s="467">
        <f t="shared" si="63"/>
        <v>0</v>
      </c>
      <c r="AC407" s="466">
        <f t="shared" si="64"/>
        <v>0</v>
      </c>
    </row>
    <row r="408" spans="2:29" ht="20.100000000000001" customHeight="1">
      <c r="B408" s="172"/>
      <c r="C408" s="172"/>
      <c r="D408" s="172"/>
      <c r="E408" s="181"/>
      <c r="F408" s="173"/>
      <c r="G408" s="174"/>
      <c r="H408" s="284"/>
      <c r="I408" s="221"/>
      <c r="J408" s="177">
        <f>IF(H408=0,0,IF(F408="MXN",1/HLOOKUP(YEAR(G408)+(MONTH(G408)/100),TC!$5:$37,DAY(G408)+2,FALSE),VLOOKUP(F408,Equivalencia!$5:$23,((MAX(Equivalencia!$3:$3)-YEAR(G408))*14)+MONTH(G408)+2,FALSE)))</f>
        <v>0</v>
      </c>
      <c r="K408" s="217">
        <f t="shared" si="65"/>
        <v>0</v>
      </c>
      <c r="L408" s="462">
        <f>IF(G408=0,0,VLOOKUP(YEAR(G408),INPC!$B$4:$O$29,MONTH(G408)+1))</f>
        <v>0</v>
      </c>
      <c r="M408" s="462">
        <f>IF(T408=0,0,VLOOKUP(YEAR(T408),INPC!$B$4:$O$29,MONTH(T408)+1))</f>
        <v>0</v>
      </c>
      <c r="N408" s="463">
        <f t="shared" si="61"/>
        <v>0</v>
      </c>
      <c r="O408" s="464">
        <f t="shared" si="66"/>
        <v>0</v>
      </c>
      <c r="P408" s="465">
        <f t="shared" si="67"/>
        <v>0</v>
      </c>
      <c r="Q408" s="606" t="str">
        <f t="shared" si="68"/>
        <v>NO</v>
      </c>
      <c r="R408" s="180"/>
      <c r="S408" s="173"/>
      <c r="T408" s="174"/>
      <c r="U408" s="173"/>
      <c r="V408" s="220"/>
      <c r="W408" s="177">
        <f>IF(S408=0,0,IF(U408="MXN",1/HLOOKUP(YEAR(T408)+(MONTH(T408)/100),TC!$5:$37,DAY(T408)+2,FALSE),VLOOKUP(U408,Equivalencia!$1:$23,((MAX(Equivalencia!$3:$3)-YEAR(T408))*14)+MONTH(T408)+2,FALSE)))</f>
        <v>0</v>
      </c>
      <c r="X408" s="178">
        <f t="shared" si="69"/>
        <v>0</v>
      </c>
      <c r="Y408" s="178">
        <f t="shared" si="70"/>
        <v>0</v>
      </c>
      <c r="Z408" s="175">
        <f t="shared" si="62"/>
        <v>0</v>
      </c>
      <c r="AA408" s="179"/>
      <c r="AB408" s="467">
        <f t="shared" si="63"/>
        <v>0</v>
      </c>
      <c r="AC408" s="466">
        <f t="shared" si="64"/>
        <v>0</v>
      </c>
    </row>
    <row r="409" spans="2:29" ht="20.100000000000001" customHeight="1">
      <c r="B409" s="172"/>
      <c r="C409" s="172"/>
      <c r="D409" s="172"/>
      <c r="E409" s="181"/>
      <c r="F409" s="173"/>
      <c r="G409" s="174"/>
      <c r="H409" s="284"/>
      <c r="I409" s="221"/>
      <c r="J409" s="177">
        <f>IF(H409=0,0,IF(F409="MXN",1/HLOOKUP(YEAR(G409)+(MONTH(G409)/100),TC!$5:$37,DAY(G409)+2,FALSE),VLOOKUP(F409,Equivalencia!$5:$23,((MAX(Equivalencia!$3:$3)-YEAR(G409))*14)+MONTH(G409)+2,FALSE)))</f>
        <v>0</v>
      </c>
      <c r="K409" s="217">
        <f t="shared" si="65"/>
        <v>0</v>
      </c>
      <c r="L409" s="462">
        <f>IF(G409=0,0,VLOOKUP(YEAR(G409),INPC!$B$4:$O$29,MONTH(G409)+1))</f>
        <v>0</v>
      </c>
      <c r="M409" s="462">
        <f>IF(T409=0,0,VLOOKUP(YEAR(T409),INPC!$B$4:$O$29,MONTH(T409)+1))</f>
        <v>0</v>
      </c>
      <c r="N409" s="463">
        <f t="shared" si="61"/>
        <v>0</v>
      </c>
      <c r="O409" s="464">
        <f t="shared" si="66"/>
        <v>0</v>
      </c>
      <c r="P409" s="465">
        <f t="shared" si="67"/>
        <v>0</v>
      </c>
      <c r="Q409" s="606" t="str">
        <f t="shared" si="68"/>
        <v>NO</v>
      </c>
      <c r="R409" s="180"/>
      <c r="S409" s="173"/>
      <c r="T409" s="174"/>
      <c r="U409" s="173"/>
      <c r="V409" s="220"/>
      <c r="W409" s="177">
        <f>IF(S409=0,0,IF(U409="MXN",1/HLOOKUP(YEAR(T409)+(MONTH(T409)/100),TC!$5:$37,DAY(T409)+2,FALSE),VLOOKUP(U409,Equivalencia!$1:$23,((MAX(Equivalencia!$3:$3)-YEAR(T409))*14)+MONTH(T409)+2,FALSE)))</f>
        <v>0</v>
      </c>
      <c r="X409" s="178">
        <f t="shared" si="69"/>
        <v>0</v>
      </c>
      <c r="Y409" s="178">
        <f t="shared" si="70"/>
        <v>0</v>
      </c>
      <c r="Z409" s="175">
        <f t="shared" si="62"/>
        <v>0</v>
      </c>
      <c r="AA409" s="179"/>
      <c r="AB409" s="467">
        <f t="shared" si="63"/>
        <v>0</v>
      </c>
      <c r="AC409" s="466">
        <f t="shared" si="64"/>
        <v>0</v>
      </c>
    </row>
    <row r="410" spans="2:29" ht="20.100000000000001" customHeight="1">
      <c r="B410" s="172"/>
      <c r="C410" s="172"/>
      <c r="D410" s="172"/>
      <c r="E410" s="181"/>
      <c r="F410" s="173"/>
      <c r="G410" s="174"/>
      <c r="H410" s="284"/>
      <c r="I410" s="221"/>
      <c r="J410" s="177">
        <f>IF(H410=0,0,IF(F410="MXN",1/HLOOKUP(YEAR(G410)+(MONTH(G410)/100),TC!$5:$37,DAY(G410)+2,FALSE),VLOOKUP(F410,Equivalencia!$5:$23,((MAX(Equivalencia!$3:$3)-YEAR(G410))*14)+MONTH(G410)+2,FALSE)))</f>
        <v>0</v>
      </c>
      <c r="K410" s="217">
        <f t="shared" si="65"/>
        <v>0</v>
      </c>
      <c r="L410" s="462">
        <f>IF(G410=0,0,VLOOKUP(YEAR(G410),INPC!$B$4:$O$29,MONTH(G410)+1))</f>
        <v>0</v>
      </c>
      <c r="M410" s="462">
        <f>IF(T410=0,0,VLOOKUP(YEAR(T410),INPC!$B$4:$O$29,MONTH(T410)+1))</f>
        <v>0</v>
      </c>
      <c r="N410" s="463">
        <f t="shared" si="61"/>
        <v>0</v>
      </c>
      <c r="O410" s="464">
        <f t="shared" si="66"/>
        <v>0</v>
      </c>
      <c r="P410" s="465">
        <f t="shared" si="67"/>
        <v>0</v>
      </c>
      <c r="Q410" s="606" t="str">
        <f t="shared" si="68"/>
        <v>NO</v>
      </c>
      <c r="R410" s="180"/>
      <c r="S410" s="173"/>
      <c r="T410" s="174"/>
      <c r="U410" s="173"/>
      <c r="V410" s="220"/>
      <c r="W410" s="177">
        <f>IF(S410=0,0,IF(U410="MXN",1/HLOOKUP(YEAR(T410)+(MONTH(T410)/100),TC!$5:$37,DAY(T410)+2,FALSE),VLOOKUP(U410,Equivalencia!$1:$23,((MAX(Equivalencia!$3:$3)-YEAR(T410))*14)+MONTH(T410)+2,FALSE)))</f>
        <v>0</v>
      </c>
      <c r="X410" s="178">
        <f t="shared" si="69"/>
        <v>0</v>
      </c>
      <c r="Y410" s="178">
        <f t="shared" si="70"/>
        <v>0</v>
      </c>
      <c r="Z410" s="175">
        <f t="shared" si="62"/>
        <v>0</v>
      </c>
      <c r="AA410" s="179"/>
      <c r="AB410" s="467">
        <f t="shared" si="63"/>
        <v>0</v>
      </c>
      <c r="AC410" s="466">
        <f t="shared" si="64"/>
        <v>0</v>
      </c>
    </row>
    <row r="411" spans="2:29" ht="20.100000000000001" customHeight="1">
      <c r="B411" s="172"/>
      <c r="C411" s="172"/>
      <c r="D411" s="172"/>
      <c r="E411" s="181"/>
      <c r="F411" s="173"/>
      <c r="G411" s="174"/>
      <c r="H411" s="284"/>
      <c r="I411" s="221"/>
      <c r="J411" s="177">
        <f>IF(H411=0,0,IF(F411="MXN",1/HLOOKUP(YEAR(G411)+(MONTH(G411)/100),TC!$5:$37,DAY(G411)+2,FALSE),VLOOKUP(F411,Equivalencia!$5:$23,((MAX(Equivalencia!$3:$3)-YEAR(G411))*14)+MONTH(G411)+2,FALSE)))</f>
        <v>0</v>
      </c>
      <c r="K411" s="217">
        <f t="shared" si="65"/>
        <v>0</v>
      </c>
      <c r="L411" s="462">
        <f>IF(G411=0,0,VLOOKUP(YEAR(G411),INPC!$B$4:$O$29,MONTH(G411)+1))</f>
        <v>0</v>
      </c>
      <c r="M411" s="462">
        <f>IF(T411=0,0,VLOOKUP(YEAR(T411),INPC!$B$4:$O$29,MONTH(T411)+1))</f>
        <v>0</v>
      </c>
      <c r="N411" s="463">
        <f t="shared" si="61"/>
        <v>0</v>
      </c>
      <c r="O411" s="464">
        <f t="shared" si="66"/>
        <v>0</v>
      </c>
      <c r="P411" s="465">
        <f t="shared" si="67"/>
        <v>0</v>
      </c>
      <c r="Q411" s="606" t="str">
        <f t="shared" si="68"/>
        <v>NO</v>
      </c>
      <c r="R411" s="180"/>
      <c r="S411" s="173"/>
      <c r="T411" s="174"/>
      <c r="U411" s="173"/>
      <c r="V411" s="220"/>
      <c r="W411" s="177">
        <f>IF(S411=0,0,IF(U411="MXN",1/HLOOKUP(YEAR(T411)+(MONTH(T411)/100),TC!$5:$37,DAY(T411)+2,FALSE),VLOOKUP(U411,Equivalencia!$1:$23,((MAX(Equivalencia!$3:$3)-YEAR(T411))*14)+MONTH(T411)+2,FALSE)))</f>
        <v>0</v>
      </c>
      <c r="X411" s="178">
        <f t="shared" si="69"/>
        <v>0</v>
      </c>
      <c r="Y411" s="178">
        <f t="shared" si="70"/>
        <v>0</v>
      </c>
      <c r="Z411" s="175">
        <f t="shared" si="62"/>
        <v>0</v>
      </c>
      <c r="AA411" s="179"/>
      <c r="AB411" s="467">
        <f t="shared" si="63"/>
        <v>0</v>
      </c>
      <c r="AC411" s="466">
        <f t="shared" si="64"/>
        <v>0</v>
      </c>
    </row>
    <row r="412" spans="2:29" ht="20.100000000000001" customHeight="1">
      <c r="B412" s="172"/>
      <c r="C412" s="172"/>
      <c r="D412" s="172"/>
      <c r="E412" s="181"/>
      <c r="F412" s="173"/>
      <c r="G412" s="174"/>
      <c r="H412" s="284"/>
      <c r="I412" s="221"/>
      <c r="J412" s="177">
        <f>IF(H412=0,0,IF(F412="MXN",1/HLOOKUP(YEAR(G412)+(MONTH(G412)/100),TC!$5:$37,DAY(G412)+2,FALSE),VLOOKUP(F412,Equivalencia!$5:$23,((MAX(Equivalencia!$3:$3)-YEAR(G412))*14)+MONTH(G412)+2,FALSE)))</f>
        <v>0</v>
      </c>
      <c r="K412" s="217">
        <f t="shared" si="65"/>
        <v>0</v>
      </c>
      <c r="L412" s="462">
        <f>IF(G412=0,0,VLOOKUP(YEAR(G412),INPC!$B$4:$O$29,MONTH(G412)+1))</f>
        <v>0</v>
      </c>
      <c r="M412" s="462">
        <f>IF(T412=0,0,VLOOKUP(YEAR(T412),INPC!$B$4:$O$29,MONTH(T412)+1))</f>
        <v>0</v>
      </c>
      <c r="N412" s="463">
        <f t="shared" si="61"/>
        <v>0</v>
      </c>
      <c r="O412" s="464">
        <f t="shared" si="66"/>
        <v>0</v>
      </c>
      <c r="P412" s="465">
        <f t="shared" si="67"/>
        <v>0</v>
      </c>
      <c r="Q412" s="606" t="str">
        <f t="shared" si="68"/>
        <v>NO</v>
      </c>
      <c r="R412" s="180"/>
      <c r="S412" s="173"/>
      <c r="T412" s="174"/>
      <c r="U412" s="173"/>
      <c r="V412" s="220"/>
      <c r="W412" s="177">
        <f>IF(S412=0,0,IF(U412="MXN",1/HLOOKUP(YEAR(T412)+(MONTH(T412)/100),TC!$5:$37,DAY(T412)+2,FALSE),VLOOKUP(U412,Equivalencia!$1:$23,((MAX(Equivalencia!$3:$3)-YEAR(T412))*14)+MONTH(T412)+2,FALSE)))</f>
        <v>0</v>
      </c>
      <c r="X412" s="178">
        <f t="shared" si="69"/>
        <v>0</v>
      </c>
      <c r="Y412" s="178">
        <f t="shared" si="70"/>
        <v>0</v>
      </c>
      <c r="Z412" s="175">
        <f t="shared" si="62"/>
        <v>0</v>
      </c>
      <c r="AA412" s="179"/>
      <c r="AB412" s="467">
        <f t="shared" si="63"/>
        <v>0</v>
      </c>
      <c r="AC412" s="466">
        <f t="shared" si="64"/>
        <v>0</v>
      </c>
    </row>
    <row r="413" spans="2:29" ht="20.100000000000001" customHeight="1">
      <c r="B413" s="172"/>
      <c r="C413" s="172"/>
      <c r="D413" s="172"/>
      <c r="E413" s="181"/>
      <c r="F413" s="173"/>
      <c r="G413" s="174"/>
      <c r="H413" s="284"/>
      <c r="I413" s="221"/>
      <c r="J413" s="177">
        <f>IF(H413=0,0,IF(F413="MXN",1/HLOOKUP(YEAR(G413)+(MONTH(G413)/100),TC!$5:$37,DAY(G413)+2,FALSE),VLOOKUP(F413,Equivalencia!$5:$23,((MAX(Equivalencia!$3:$3)-YEAR(G413))*14)+MONTH(G413)+2,FALSE)))</f>
        <v>0</v>
      </c>
      <c r="K413" s="217">
        <f t="shared" si="65"/>
        <v>0</v>
      </c>
      <c r="L413" s="462">
        <f>IF(G413=0,0,VLOOKUP(YEAR(G413),INPC!$B$4:$O$29,MONTH(G413)+1))</f>
        <v>0</v>
      </c>
      <c r="M413" s="462">
        <f>IF(T413=0,0,VLOOKUP(YEAR(T413),INPC!$B$4:$O$29,MONTH(T413)+1))</f>
        <v>0</v>
      </c>
      <c r="N413" s="463">
        <f t="shared" si="61"/>
        <v>0</v>
      </c>
      <c r="O413" s="464">
        <f t="shared" si="66"/>
        <v>0</v>
      </c>
      <c r="P413" s="465">
        <f t="shared" si="67"/>
        <v>0</v>
      </c>
      <c r="Q413" s="606" t="str">
        <f t="shared" si="68"/>
        <v>NO</v>
      </c>
      <c r="R413" s="180"/>
      <c r="S413" s="173"/>
      <c r="T413" s="174"/>
      <c r="U413" s="173"/>
      <c r="V413" s="220"/>
      <c r="W413" s="177">
        <f>IF(S413=0,0,IF(U413="MXN",1/HLOOKUP(YEAR(T413)+(MONTH(T413)/100),TC!$5:$37,DAY(T413)+2,FALSE),VLOOKUP(U413,Equivalencia!$1:$23,((MAX(Equivalencia!$3:$3)-YEAR(T413))*14)+MONTH(T413)+2,FALSE)))</f>
        <v>0</v>
      </c>
      <c r="X413" s="178">
        <f t="shared" si="69"/>
        <v>0</v>
      </c>
      <c r="Y413" s="178">
        <f t="shared" si="70"/>
        <v>0</v>
      </c>
      <c r="Z413" s="175">
        <f t="shared" si="62"/>
        <v>0</v>
      </c>
      <c r="AA413" s="179"/>
      <c r="AB413" s="467">
        <f t="shared" si="63"/>
        <v>0</v>
      </c>
      <c r="AC413" s="466">
        <f t="shared" si="64"/>
        <v>0</v>
      </c>
    </row>
    <row r="414" spans="2:29" ht="20.100000000000001" customHeight="1">
      <c r="B414" s="172"/>
      <c r="C414" s="172"/>
      <c r="D414" s="172"/>
      <c r="E414" s="181"/>
      <c r="F414" s="173"/>
      <c r="G414" s="174"/>
      <c r="H414" s="284"/>
      <c r="I414" s="221"/>
      <c r="J414" s="177">
        <f>IF(H414=0,0,IF(F414="MXN",1/HLOOKUP(YEAR(G414)+(MONTH(G414)/100),TC!$5:$37,DAY(G414)+2,FALSE),VLOOKUP(F414,Equivalencia!$5:$23,((MAX(Equivalencia!$3:$3)-YEAR(G414))*14)+MONTH(G414)+2,FALSE)))</f>
        <v>0</v>
      </c>
      <c r="K414" s="217">
        <f t="shared" si="65"/>
        <v>0</v>
      </c>
      <c r="L414" s="462">
        <f>IF(G414=0,0,VLOOKUP(YEAR(G414),INPC!$B$4:$O$29,MONTH(G414)+1))</f>
        <v>0</v>
      </c>
      <c r="M414" s="462">
        <f>IF(T414=0,0,VLOOKUP(YEAR(T414),INPC!$B$4:$O$29,MONTH(T414)+1))</f>
        <v>0</v>
      </c>
      <c r="N414" s="463">
        <f t="shared" si="61"/>
        <v>0</v>
      </c>
      <c r="O414" s="464">
        <f t="shared" si="66"/>
        <v>0</v>
      </c>
      <c r="P414" s="465">
        <f t="shared" si="67"/>
        <v>0</v>
      </c>
      <c r="Q414" s="606" t="str">
        <f t="shared" si="68"/>
        <v>NO</v>
      </c>
      <c r="R414" s="180"/>
      <c r="S414" s="173"/>
      <c r="T414" s="174"/>
      <c r="U414" s="173"/>
      <c r="V414" s="220"/>
      <c r="W414" s="177">
        <f>IF(S414=0,0,IF(U414="MXN",1/HLOOKUP(YEAR(T414)+(MONTH(T414)/100),TC!$5:$37,DAY(T414)+2,FALSE),VLOOKUP(U414,Equivalencia!$1:$23,((MAX(Equivalencia!$3:$3)-YEAR(T414))*14)+MONTH(T414)+2,FALSE)))</f>
        <v>0</v>
      </c>
      <c r="X414" s="178">
        <f t="shared" si="69"/>
        <v>0</v>
      </c>
      <c r="Y414" s="178">
        <f t="shared" si="70"/>
        <v>0</v>
      </c>
      <c r="Z414" s="175">
        <f t="shared" si="62"/>
        <v>0</v>
      </c>
      <c r="AA414" s="179"/>
      <c r="AB414" s="467">
        <f t="shared" si="63"/>
        <v>0</v>
      </c>
      <c r="AC414" s="466">
        <f t="shared" si="64"/>
        <v>0</v>
      </c>
    </row>
    <row r="415" spans="2:29" ht="20.100000000000001" customHeight="1">
      <c r="B415" s="172"/>
      <c r="C415" s="172"/>
      <c r="D415" s="172"/>
      <c r="E415" s="181"/>
      <c r="F415" s="173"/>
      <c r="G415" s="174"/>
      <c r="H415" s="284"/>
      <c r="I415" s="221"/>
      <c r="J415" s="177">
        <f>IF(H415=0,0,IF(F415="MXN",1/HLOOKUP(YEAR(G415)+(MONTH(G415)/100),TC!$5:$37,DAY(G415)+2,FALSE),VLOOKUP(F415,Equivalencia!$5:$23,((MAX(Equivalencia!$3:$3)-YEAR(G415))*14)+MONTH(G415)+2,FALSE)))</f>
        <v>0</v>
      </c>
      <c r="K415" s="217">
        <f t="shared" si="65"/>
        <v>0</v>
      </c>
      <c r="L415" s="462">
        <f>IF(G415=0,0,VLOOKUP(YEAR(G415),INPC!$B$4:$O$29,MONTH(G415)+1))</f>
        <v>0</v>
      </c>
      <c r="M415" s="462">
        <f>IF(T415=0,0,VLOOKUP(YEAR(T415),INPC!$B$4:$O$29,MONTH(T415)+1))</f>
        <v>0</v>
      </c>
      <c r="N415" s="463">
        <f t="shared" si="61"/>
        <v>0</v>
      </c>
      <c r="O415" s="464">
        <f t="shared" si="66"/>
        <v>0</v>
      </c>
      <c r="P415" s="465">
        <f t="shared" si="67"/>
        <v>0</v>
      </c>
      <c r="Q415" s="606" t="str">
        <f t="shared" si="68"/>
        <v>NO</v>
      </c>
      <c r="R415" s="180"/>
      <c r="S415" s="173"/>
      <c r="T415" s="174"/>
      <c r="U415" s="173"/>
      <c r="V415" s="220"/>
      <c r="W415" s="177">
        <f>IF(S415=0,0,IF(U415="MXN",1/HLOOKUP(YEAR(T415)+(MONTH(T415)/100),TC!$5:$37,DAY(T415)+2,FALSE),VLOOKUP(U415,Equivalencia!$1:$23,((MAX(Equivalencia!$3:$3)-YEAR(T415))*14)+MONTH(T415)+2,FALSE)))</f>
        <v>0</v>
      </c>
      <c r="X415" s="178">
        <f t="shared" si="69"/>
        <v>0</v>
      </c>
      <c r="Y415" s="178">
        <f t="shared" si="70"/>
        <v>0</v>
      </c>
      <c r="Z415" s="175">
        <f t="shared" si="62"/>
        <v>0</v>
      </c>
      <c r="AA415" s="179"/>
      <c r="AB415" s="467">
        <f t="shared" si="63"/>
        <v>0</v>
      </c>
      <c r="AC415" s="466">
        <f t="shared" si="64"/>
        <v>0</v>
      </c>
    </row>
    <row r="416" spans="2:29" ht="20.100000000000001" customHeight="1">
      <c r="B416" s="172"/>
      <c r="C416" s="172"/>
      <c r="D416" s="172"/>
      <c r="E416" s="181"/>
      <c r="F416" s="173"/>
      <c r="G416" s="174"/>
      <c r="H416" s="284"/>
      <c r="I416" s="221"/>
      <c r="J416" s="177">
        <f>IF(H416=0,0,IF(F416="MXN",1/HLOOKUP(YEAR(G416)+(MONTH(G416)/100),TC!$5:$37,DAY(G416)+2,FALSE),VLOOKUP(F416,Equivalencia!$5:$23,((MAX(Equivalencia!$3:$3)-YEAR(G416))*14)+MONTH(G416)+2,FALSE)))</f>
        <v>0</v>
      </c>
      <c r="K416" s="217">
        <f t="shared" si="65"/>
        <v>0</v>
      </c>
      <c r="L416" s="462">
        <f>IF(G416=0,0,VLOOKUP(YEAR(G416),INPC!$B$4:$O$29,MONTH(G416)+1))</f>
        <v>0</v>
      </c>
      <c r="M416" s="462">
        <f>IF(T416=0,0,VLOOKUP(YEAR(T416),INPC!$B$4:$O$29,MONTH(T416)+1))</f>
        <v>0</v>
      </c>
      <c r="N416" s="463">
        <f t="shared" si="61"/>
        <v>0</v>
      </c>
      <c r="O416" s="464">
        <f t="shared" si="66"/>
        <v>0</v>
      </c>
      <c r="P416" s="465">
        <f t="shared" si="67"/>
        <v>0</v>
      </c>
      <c r="Q416" s="606" t="str">
        <f t="shared" si="68"/>
        <v>NO</v>
      </c>
      <c r="R416" s="180"/>
      <c r="S416" s="173"/>
      <c r="T416" s="174"/>
      <c r="U416" s="173"/>
      <c r="V416" s="220"/>
      <c r="W416" s="177">
        <f>IF(S416=0,0,IF(U416="MXN",1/HLOOKUP(YEAR(T416)+(MONTH(T416)/100),TC!$5:$37,DAY(T416)+2,FALSE),VLOOKUP(U416,Equivalencia!$1:$23,((MAX(Equivalencia!$3:$3)-YEAR(T416))*14)+MONTH(T416)+2,FALSE)))</f>
        <v>0</v>
      </c>
      <c r="X416" s="178">
        <f t="shared" si="69"/>
        <v>0</v>
      </c>
      <c r="Y416" s="178">
        <f t="shared" si="70"/>
        <v>0</v>
      </c>
      <c r="Z416" s="175">
        <f t="shared" si="62"/>
        <v>0</v>
      </c>
      <c r="AA416" s="179"/>
      <c r="AB416" s="467">
        <f t="shared" si="63"/>
        <v>0</v>
      </c>
      <c r="AC416" s="466">
        <f t="shared" si="64"/>
        <v>0</v>
      </c>
    </row>
    <row r="417" spans="2:29" ht="20.100000000000001" customHeight="1">
      <c r="B417" s="172"/>
      <c r="C417" s="172"/>
      <c r="D417" s="172"/>
      <c r="E417" s="181"/>
      <c r="F417" s="173"/>
      <c r="G417" s="174"/>
      <c r="H417" s="284"/>
      <c r="I417" s="221"/>
      <c r="J417" s="177">
        <f>IF(H417=0,0,IF(F417="MXN",1/HLOOKUP(YEAR(G417)+(MONTH(G417)/100),TC!$5:$37,DAY(G417)+2,FALSE),VLOOKUP(F417,Equivalencia!$5:$23,((MAX(Equivalencia!$3:$3)-YEAR(G417))*14)+MONTH(G417)+2,FALSE)))</f>
        <v>0</v>
      </c>
      <c r="K417" s="217">
        <f t="shared" si="65"/>
        <v>0</v>
      </c>
      <c r="L417" s="462">
        <f>IF(G417=0,0,VLOOKUP(YEAR(G417),INPC!$B$4:$O$29,MONTH(G417)+1))</f>
        <v>0</v>
      </c>
      <c r="M417" s="462">
        <f>IF(T417=0,0,VLOOKUP(YEAR(T417),INPC!$B$4:$O$29,MONTH(T417)+1))</f>
        <v>0</v>
      </c>
      <c r="N417" s="463">
        <f t="shared" si="61"/>
        <v>0</v>
      </c>
      <c r="O417" s="464">
        <f t="shared" si="66"/>
        <v>0</v>
      </c>
      <c r="P417" s="465">
        <f t="shared" si="67"/>
        <v>0</v>
      </c>
      <c r="Q417" s="606" t="str">
        <f t="shared" si="68"/>
        <v>NO</v>
      </c>
      <c r="R417" s="180"/>
      <c r="S417" s="173"/>
      <c r="T417" s="174"/>
      <c r="U417" s="173"/>
      <c r="V417" s="220"/>
      <c r="W417" s="177">
        <f>IF(S417=0,0,IF(U417="MXN",1/HLOOKUP(YEAR(T417)+(MONTH(T417)/100),TC!$5:$37,DAY(T417)+2,FALSE),VLOOKUP(U417,Equivalencia!$1:$23,((MAX(Equivalencia!$3:$3)-YEAR(T417))*14)+MONTH(T417)+2,FALSE)))</f>
        <v>0</v>
      </c>
      <c r="X417" s="178">
        <f t="shared" si="69"/>
        <v>0</v>
      </c>
      <c r="Y417" s="178">
        <f t="shared" si="70"/>
        <v>0</v>
      </c>
      <c r="Z417" s="175">
        <f t="shared" si="62"/>
        <v>0</v>
      </c>
      <c r="AA417" s="179"/>
      <c r="AB417" s="467">
        <f t="shared" si="63"/>
        <v>0</v>
      </c>
      <c r="AC417" s="466">
        <f t="shared" si="64"/>
        <v>0</v>
      </c>
    </row>
    <row r="418" spans="2:29" ht="20.100000000000001" customHeight="1">
      <c r="B418" s="172"/>
      <c r="C418" s="172"/>
      <c r="D418" s="172"/>
      <c r="E418" s="181"/>
      <c r="F418" s="173"/>
      <c r="G418" s="174"/>
      <c r="H418" s="284"/>
      <c r="I418" s="221"/>
      <c r="J418" s="177">
        <f>IF(H418=0,0,IF(F418="MXN",1/HLOOKUP(YEAR(G418)+(MONTH(G418)/100),TC!$5:$37,DAY(G418)+2,FALSE),VLOOKUP(F418,Equivalencia!$5:$23,((MAX(Equivalencia!$3:$3)-YEAR(G418))*14)+MONTH(G418)+2,FALSE)))</f>
        <v>0</v>
      </c>
      <c r="K418" s="217">
        <f t="shared" si="65"/>
        <v>0</v>
      </c>
      <c r="L418" s="462">
        <f>IF(G418=0,0,VLOOKUP(YEAR(G418),INPC!$B$4:$O$29,MONTH(G418)+1))</f>
        <v>0</v>
      </c>
      <c r="M418" s="462">
        <f>IF(T418=0,0,VLOOKUP(YEAR(T418),INPC!$B$4:$O$29,MONTH(T418)+1))</f>
        <v>0</v>
      </c>
      <c r="N418" s="463">
        <f t="shared" si="61"/>
        <v>0</v>
      </c>
      <c r="O418" s="464">
        <f t="shared" si="66"/>
        <v>0</v>
      </c>
      <c r="P418" s="465">
        <f t="shared" si="67"/>
        <v>0</v>
      </c>
      <c r="Q418" s="606" t="str">
        <f t="shared" si="68"/>
        <v>NO</v>
      </c>
      <c r="R418" s="180"/>
      <c r="S418" s="173"/>
      <c r="T418" s="174"/>
      <c r="U418" s="173"/>
      <c r="V418" s="220"/>
      <c r="W418" s="177">
        <f>IF(S418=0,0,IF(U418="MXN",1/HLOOKUP(YEAR(T418)+(MONTH(T418)/100),TC!$5:$37,DAY(T418)+2,FALSE),VLOOKUP(U418,Equivalencia!$1:$23,((MAX(Equivalencia!$3:$3)-YEAR(T418))*14)+MONTH(T418)+2,FALSE)))</f>
        <v>0</v>
      </c>
      <c r="X418" s="178">
        <f t="shared" si="69"/>
        <v>0</v>
      </c>
      <c r="Y418" s="178">
        <f t="shared" si="70"/>
        <v>0</v>
      </c>
      <c r="Z418" s="175">
        <f t="shared" si="62"/>
        <v>0</v>
      </c>
      <c r="AA418" s="179"/>
      <c r="AB418" s="467">
        <f t="shared" si="63"/>
        <v>0</v>
      </c>
      <c r="AC418" s="466">
        <f t="shared" si="64"/>
        <v>0</v>
      </c>
    </row>
    <row r="419" spans="2:29" ht="20.100000000000001" customHeight="1">
      <c r="B419" s="172"/>
      <c r="C419" s="172"/>
      <c r="D419" s="172"/>
      <c r="E419" s="181"/>
      <c r="F419" s="173"/>
      <c r="G419" s="174"/>
      <c r="H419" s="284"/>
      <c r="I419" s="221"/>
      <c r="J419" s="177">
        <f>IF(H419=0,0,IF(F419="MXN",1/HLOOKUP(YEAR(G419)+(MONTH(G419)/100),TC!$5:$37,DAY(G419)+2,FALSE),VLOOKUP(F419,Equivalencia!$5:$23,((MAX(Equivalencia!$3:$3)-YEAR(G419))*14)+MONTH(G419)+2,FALSE)))</f>
        <v>0</v>
      </c>
      <c r="K419" s="217">
        <f t="shared" si="65"/>
        <v>0</v>
      </c>
      <c r="L419" s="462">
        <f>IF(G419=0,0,VLOOKUP(YEAR(G419),INPC!$B$4:$O$29,MONTH(G419)+1))</f>
        <v>0</v>
      </c>
      <c r="M419" s="462">
        <f>IF(T419=0,0,VLOOKUP(YEAR(T419),INPC!$B$4:$O$29,MONTH(T419)+1))</f>
        <v>0</v>
      </c>
      <c r="N419" s="463">
        <f t="shared" si="61"/>
        <v>0</v>
      </c>
      <c r="O419" s="464">
        <f t="shared" si="66"/>
        <v>0</v>
      </c>
      <c r="P419" s="465">
        <f t="shared" si="67"/>
        <v>0</v>
      </c>
      <c r="Q419" s="606" t="str">
        <f t="shared" si="68"/>
        <v>NO</v>
      </c>
      <c r="R419" s="180"/>
      <c r="S419" s="173"/>
      <c r="T419" s="174"/>
      <c r="U419" s="173"/>
      <c r="V419" s="220"/>
      <c r="W419" s="177">
        <f>IF(S419=0,0,IF(U419="MXN",1/HLOOKUP(YEAR(T419)+(MONTH(T419)/100),TC!$5:$37,DAY(T419)+2,FALSE),VLOOKUP(U419,Equivalencia!$1:$23,((MAX(Equivalencia!$3:$3)-YEAR(T419))*14)+MONTH(T419)+2,FALSE)))</f>
        <v>0</v>
      </c>
      <c r="X419" s="178">
        <f t="shared" si="69"/>
        <v>0</v>
      </c>
      <c r="Y419" s="178">
        <f t="shared" si="70"/>
        <v>0</v>
      </c>
      <c r="Z419" s="175">
        <f t="shared" si="62"/>
        <v>0</v>
      </c>
      <c r="AA419" s="179"/>
      <c r="AB419" s="467">
        <f t="shared" si="63"/>
        <v>0</v>
      </c>
      <c r="AC419" s="466">
        <f t="shared" si="64"/>
        <v>0</v>
      </c>
    </row>
    <row r="420" spans="2:29" ht="20.100000000000001" customHeight="1">
      <c r="B420" s="172"/>
      <c r="C420" s="172"/>
      <c r="D420" s="172"/>
      <c r="E420" s="181"/>
      <c r="F420" s="173"/>
      <c r="G420" s="174"/>
      <c r="H420" s="284"/>
      <c r="I420" s="221"/>
      <c r="J420" s="177">
        <f>IF(H420=0,0,IF(F420="MXN",1/HLOOKUP(YEAR(G420)+(MONTH(G420)/100),TC!$5:$37,DAY(G420)+2,FALSE),VLOOKUP(F420,Equivalencia!$5:$23,((MAX(Equivalencia!$3:$3)-YEAR(G420))*14)+MONTH(G420)+2,FALSE)))</f>
        <v>0</v>
      </c>
      <c r="K420" s="217">
        <f t="shared" si="65"/>
        <v>0</v>
      </c>
      <c r="L420" s="462">
        <f>IF(G420=0,0,VLOOKUP(YEAR(G420),INPC!$B$4:$O$29,MONTH(G420)+1))</f>
        <v>0</v>
      </c>
      <c r="M420" s="462">
        <f>IF(T420=0,0,VLOOKUP(YEAR(T420),INPC!$B$4:$O$29,MONTH(T420)+1))</f>
        <v>0</v>
      </c>
      <c r="N420" s="463">
        <f t="shared" si="61"/>
        <v>0</v>
      </c>
      <c r="O420" s="464">
        <f t="shared" si="66"/>
        <v>0</v>
      </c>
      <c r="P420" s="465">
        <f t="shared" si="67"/>
        <v>0</v>
      </c>
      <c r="Q420" s="606" t="str">
        <f t="shared" si="68"/>
        <v>NO</v>
      </c>
      <c r="R420" s="180"/>
      <c r="S420" s="173"/>
      <c r="T420" s="174"/>
      <c r="U420" s="173"/>
      <c r="V420" s="220"/>
      <c r="W420" s="177">
        <f>IF(S420=0,0,IF(U420="MXN",1/HLOOKUP(YEAR(T420)+(MONTH(T420)/100),TC!$5:$37,DAY(T420)+2,FALSE),VLOOKUP(U420,Equivalencia!$1:$23,((MAX(Equivalencia!$3:$3)-YEAR(T420))*14)+MONTH(T420)+2,FALSE)))</f>
        <v>0</v>
      </c>
      <c r="X420" s="178">
        <f t="shared" si="69"/>
        <v>0</v>
      </c>
      <c r="Y420" s="178">
        <f t="shared" si="70"/>
        <v>0</v>
      </c>
      <c r="Z420" s="175">
        <f t="shared" si="62"/>
        <v>0</v>
      </c>
      <c r="AA420" s="179"/>
      <c r="AB420" s="467">
        <f t="shared" si="63"/>
        <v>0</v>
      </c>
      <c r="AC420" s="466">
        <f t="shared" si="64"/>
        <v>0</v>
      </c>
    </row>
    <row r="421" spans="2:29" ht="20.100000000000001" customHeight="1">
      <c r="B421" s="172"/>
      <c r="C421" s="172"/>
      <c r="D421" s="172"/>
      <c r="E421" s="181"/>
      <c r="F421" s="173"/>
      <c r="G421" s="174"/>
      <c r="H421" s="284"/>
      <c r="I421" s="221"/>
      <c r="J421" s="177">
        <f>IF(H421=0,0,IF(F421="MXN",1/HLOOKUP(YEAR(G421)+(MONTH(G421)/100),TC!$5:$37,DAY(G421)+2,FALSE),VLOOKUP(F421,Equivalencia!$5:$23,((MAX(Equivalencia!$3:$3)-YEAR(G421))*14)+MONTH(G421)+2,FALSE)))</f>
        <v>0</v>
      </c>
      <c r="K421" s="217">
        <f t="shared" si="65"/>
        <v>0</v>
      </c>
      <c r="L421" s="462">
        <f>IF(G421=0,0,VLOOKUP(YEAR(G421),INPC!$B$4:$O$29,MONTH(G421)+1))</f>
        <v>0</v>
      </c>
      <c r="M421" s="462">
        <f>IF(T421=0,0,VLOOKUP(YEAR(T421),INPC!$B$4:$O$29,MONTH(T421)+1))</f>
        <v>0</v>
      </c>
      <c r="N421" s="463">
        <f t="shared" si="61"/>
        <v>0</v>
      </c>
      <c r="O421" s="464">
        <f t="shared" si="66"/>
        <v>0</v>
      </c>
      <c r="P421" s="465">
        <f t="shared" si="67"/>
        <v>0</v>
      </c>
      <c r="Q421" s="606" t="str">
        <f t="shared" si="68"/>
        <v>NO</v>
      </c>
      <c r="R421" s="180"/>
      <c r="S421" s="173"/>
      <c r="T421" s="174"/>
      <c r="U421" s="173"/>
      <c r="V421" s="220"/>
      <c r="W421" s="177">
        <f>IF(S421=0,0,IF(U421="MXN",1/HLOOKUP(YEAR(T421)+(MONTH(T421)/100),TC!$5:$37,DAY(T421)+2,FALSE),VLOOKUP(U421,Equivalencia!$1:$23,((MAX(Equivalencia!$3:$3)-YEAR(T421))*14)+MONTH(T421)+2,FALSE)))</f>
        <v>0</v>
      </c>
      <c r="X421" s="178">
        <f t="shared" si="69"/>
        <v>0</v>
      </c>
      <c r="Y421" s="178">
        <f t="shared" si="70"/>
        <v>0</v>
      </c>
      <c r="Z421" s="175">
        <f t="shared" si="62"/>
        <v>0</v>
      </c>
      <c r="AA421" s="179"/>
      <c r="AB421" s="467">
        <f t="shared" si="63"/>
        <v>0</v>
      </c>
      <c r="AC421" s="466">
        <f t="shared" si="64"/>
        <v>0</v>
      </c>
    </row>
    <row r="422" spans="2:29" ht="20.100000000000001" customHeight="1">
      <c r="B422" s="172"/>
      <c r="C422" s="172"/>
      <c r="D422" s="172"/>
      <c r="E422" s="181"/>
      <c r="F422" s="173"/>
      <c r="G422" s="174"/>
      <c r="H422" s="284"/>
      <c r="I422" s="221"/>
      <c r="J422" s="177">
        <f>IF(H422=0,0,IF(F422="MXN",1/HLOOKUP(YEAR(G422)+(MONTH(G422)/100),TC!$5:$37,DAY(G422)+2,FALSE),VLOOKUP(F422,Equivalencia!$5:$23,((MAX(Equivalencia!$3:$3)-YEAR(G422))*14)+MONTH(G422)+2,FALSE)))</f>
        <v>0</v>
      </c>
      <c r="K422" s="217">
        <f t="shared" si="65"/>
        <v>0</v>
      </c>
      <c r="L422" s="462">
        <f>IF(G422=0,0,VLOOKUP(YEAR(G422),INPC!$B$4:$O$29,MONTH(G422)+1))</f>
        <v>0</v>
      </c>
      <c r="M422" s="462">
        <f>IF(T422=0,0,VLOOKUP(YEAR(T422),INPC!$B$4:$O$29,MONTH(T422)+1))</f>
        <v>0</v>
      </c>
      <c r="N422" s="463">
        <f t="shared" si="61"/>
        <v>0</v>
      </c>
      <c r="O422" s="464">
        <f t="shared" si="66"/>
        <v>0</v>
      </c>
      <c r="P422" s="465">
        <f t="shared" si="67"/>
        <v>0</v>
      </c>
      <c r="Q422" s="606" t="str">
        <f t="shared" si="68"/>
        <v>NO</v>
      </c>
      <c r="R422" s="180"/>
      <c r="S422" s="173"/>
      <c r="T422" s="174"/>
      <c r="U422" s="173"/>
      <c r="V422" s="220"/>
      <c r="W422" s="177">
        <f>IF(S422=0,0,IF(U422="MXN",1/HLOOKUP(YEAR(T422)+(MONTH(T422)/100),TC!$5:$37,DAY(T422)+2,FALSE),VLOOKUP(U422,Equivalencia!$1:$23,((MAX(Equivalencia!$3:$3)-YEAR(T422))*14)+MONTH(T422)+2,FALSE)))</f>
        <v>0</v>
      </c>
      <c r="X422" s="178">
        <f t="shared" si="69"/>
        <v>0</v>
      </c>
      <c r="Y422" s="178">
        <f t="shared" si="70"/>
        <v>0</v>
      </c>
      <c r="Z422" s="175">
        <f t="shared" si="62"/>
        <v>0</v>
      </c>
      <c r="AA422" s="179"/>
      <c r="AB422" s="467">
        <f t="shared" si="63"/>
        <v>0</v>
      </c>
      <c r="AC422" s="466">
        <f t="shared" si="64"/>
        <v>0</v>
      </c>
    </row>
    <row r="423" spans="2:29" ht="20.100000000000001" customHeight="1">
      <c r="B423" s="172"/>
      <c r="C423" s="172"/>
      <c r="D423" s="172"/>
      <c r="E423" s="181"/>
      <c r="F423" s="173"/>
      <c r="G423" s="174"/>
      <c r="H423" s="284"/>
      <c r="I423" s="221"/>
      <c r="J423" s="177">
        <f>IF(H423=0,0,IF(F423="MXN",1/HLOOKUP(YEAR(G423)+(MONTH(G423)/100),TC!$5:$37,DAY(G423)+2,FALSE),VLOOKUP(F423,Equivalencia!$5:$23,((MAX(Equivalencia!$3:$3)-YEAR(G423))*14)+MONTH(G423)+2,FALSE)))</f>
        <v>0</v>
      </c>
      <c r="K423" s="217">
        <f t="shared" si="65"/>
        <v>0</v>
      </c>
      <c r="L423" s="462">
        <f>IF(G423=0,0,VLOOKUP(YEAR(G423),INPC!$B$4:$O$29,MONTH(G423)+1))</f>
        <v>0</v>
      </c>
      <c r="M423" s="462">
        <f>IF(T423=0,0,VLOOKUP(YEAR(T423),INPC!$B$4:$O$29,MONTH(T423)+1))</f>
        <v>0</v>
      </c>
      <c r="N423" s="463">
        <f t="shared" si="61"/>
        <v>0</v>
      </c>
      <c r="O423" s="464">
        <f t="shared" si="66"/>
        <v>0</v>
      </c>
      <c r="P423" s="465">
        <f t="shared" si="67"/>
        <v>0</v>
      </c>
      <c r="Q423" s="606" t="str">
        <f t="shared" si="68"/>
        <v>NO</v>
      </c>
      <c r="R423" s="180"/>
      <c r="S423" s="173"/>
      <c r="T423" s="174"/>
      <c r="U423" s="173"/>
      <c r="V423" s="220"/>
      <c r="W423" s="177">
        <f>IF(S423=0,0,IF(U423="MXN",1/HLOOKUP(YEAR(T423)+(MONTH(T423)/100),TC!$5:$37,DAY(T423)+2,FALSE),VLOOKUP(U423,Equivalencia!$1:$23,((MAX(Equivalencia!$3:$3)-YEAR(T423))*14)+MONTH(T423)+2,FALSE)))</f>
        <v>0</v>
      </c>
      <c r="X423" s="178">
        <f t="shared" si="69"/>
        <v>0</v>
      </c>
      <c r="Y423" s="178">
        <f t="shared" si="70"/>
        <v>0</v>
      </c>
      <c r="Z423" s="175">
        <f t="shared" si="62"/>
        <v>0</v>
      </c>
      <c r="AA423" s="179"/>
      <c r="AB423" s="467">
        <f t="shared" si="63"/>
        <v>0</v>
      </c>
      <c r="AC423" s="466">
        <f t="shared" si="64"/>
        <v>0</v>
      </c>
    </row>
    <row r="424" spans="2:29" ht="20.100000000000001" customHeight="1">
      <c r="B424" s="172"/>
      <c r="C424" s="172"/>
      <c r="D424" s="172"/>
      <c r="E424" s="181"/>
      <c r="F424" s="173"/>
      <c r="G424" s="174"/>
      <c r="H424" s="284"/>
      <c r="I424" s="221"/>
      <c r="J424" s="177">
        <f>IF(H424=0,0,IF(F424="MXN",1/HLOOKUP(YEAR(G424)+(MONTH(G424)/100),TC!$5:$37,DAY(G424)+2,FALSE),VLOOKUP(F424,Equivalencia!$5:$23,((MAX(Equivalencia!$3:$3)-YEAR(G424))*14)+MONTH(G424)+2,FALSE)))</f>
        <v>0</v>
      </c>
      <c r="K424" s="217">
        <f t="shared" si="65"/>
        <v>0</v>
      </c>
      <c r="L424" s="462">
        <f>IF(G424=0,0,VLOOKUP(YEAR(G424),INPC!$B$4:$O$29,MONTH(G424)+1))</f>
        <v>0</v>
      </c>
      <c r="M424" s="462">
        <f>IF(T424=0,0,VLOOKUP(YEAR(T424),INPC!$B$4:$O$29,MONTH(T424)+1))</f>
        <v>0</v>
      </c>
      <c r="N424" s="463">
        <f t="shared" si="61"/>
        <v>0</v>
      </c>
      <c r="O424" s="464">
        <f t="shared" si="66"/>
        <v>0</v>
      </c>
      <c r="P424" s="465">
        <f t="shared" si="67"/>
        <v>0</v>
      </c>
      <c r="Q424" s="606" t="str">
        <f t="shared" si="68"/>
        <v>NO</v>
      </c>
      <c r="R424" s="180"/>
      <c r="S424" s="173"/>
      <c r="T424" s="174"/>
      <c r="U424" s="173"/>
      <c r="V424" s="220"/>
      <c r="W424" s="177">
        <f>IF(S424=0,0,IF(U424="MXN",1/HLOOKUP(YEAR(T424)+(MONTH(T424)/100),TC!$5:$37,DAY(T424)+2,FALSE),VLOOKUP(U424,Equivalencia!$1:$23,((MAX(Equivalencia!$3:$3)-YEAR(T424))*14)+MONTH(T424)+2,FALSE)))</f>
        <v>0</v>
      </c>
      <c r="X424" s="178">
        <f t="shared" si="69"/>
        <v>0</v>
      </c>
      <c r="Y424" s="178">
        <f t="shared" si="70"/>
        <v>0</v>
      </c>
      <c r="Z424" s="175">
        <f t="shared" si="62"/>
        <v>0</v>
      </c>
      <c r="AA424" s="179"/>
      <c r="AB424" s="467">
        <f t="shared" si="63"/>
        <v>0</v>
      </c>
      <c r="AC424" s="466">
        <f t="shared" si="64"/>
        <v>0</v>
      </c>
    </row>
    <row r="425" spans="2:29" ht="20.100000000000001" customHeight="1">
      <c r="B425" s="172"/>
      <c r="C425" s="172"/>
      <c r="D425" s="172"/>
      <c r="E425" s="181"/>
      <c r="F425" s="173"/>
      <c r="G425" s="174"/>
      <c r="H425" s="284"/>
      <c r="I425" s="221"/>
      <c r="J425" s="177">
        <f>IF(H425=0,0,IF(F425="MXN",1/HLOOKUP(YEAR(G425)+(MONTH(G425)/100),TC!$5:$37,DAY(G425)+2,FALSE),VLOOKUP(F425,Equivalencia!$5:$23,((MAX(Equivalencia!$3:$3)-YEAR(G425))*14)+MONTH(G425)+2,FALSE)))</f>
        <v>0</v>
      </c>
      <c r="K425" s="217">
        <f t="shared" si="65"/>
        <v>0</v>
      </c>
      <c r="L425" s="462">
        <f>IF(G425=0,0,VLOOKUP(YEAR(G425),INPC!$B$4:$O$29,MONTH(G425)+1))</f>
        <v>0</v>
      </c>
      <c r="M425" s="462">
        <f>IF(T425=0,0,VLOOKUP(YEAR(T425),INPC!$B$4:$O$29,MONTH(T425)+1))</f>
        <v>0</v>
      </c>
      <c r="N425" s="463">
        <f t="shared" si="61"/>
        <v>0</v>
      </c>
      <c r="O425" s="464">
        <f t="shared" si="66"/>
        <v>0</v>
      </c>
      <c r="P425" s="465">
        <f t="shared" si="67"/>
        <v>0</v>
      </c>
      <c r="Q425" s="606" t="str">
        <f t="shared" si="68"/>
        <v>NO</v>
      </c>
      <c r="R425" s="180"/>
      <c r="S425" s="173"/>
      <c r="T425" s="174"/>
      <c r="U425" s="173"/>
      <c r="V425" s="220"/>
      <c r="W425" s="177">
        <f>IF(S425=0,0,IF(U425="MXN",1/HLOOKUP(YEAR(T425)+(MONTH(T425)/100),TC!$5:$37,DAY(T425)+2,FALSE),VLOOKUP(U425,Equivalencia!$1:$23,((MAX(Equivalencia!$3:$3)-YEAR(T425))*14)+MONTH(T425)+2,FALSE)))</f>
        <v>0</v>
      </c>
      <c r="X425" s="178">
        <f t="shared" si="69"/>
        <v>0</v>
      </c>
      <c r="Y425" s="178">
        <f t="shared" si="70"/>
        <v>0</v>
      </c>
      <c r="Z425" s="175">
        <f t="shared" si="62"/>
        <v>0</v>
      </c>
      <c r="AA425" s="179"/>
      <c r="AB425" s="467">
        <f t="shared" si="63"/>
        <v>0</v>
      </c>
      <c r="AC425" s="466">
        <f t="shared" si="64"/>
        <v>0</v>
      </c>
    </row>
    <row r="426" spans="2:29" ht="20.100000000000001" customHeight="1">
      <c r="B426" s="172"/>
      <c r="C426" s="172"/>
      <c r="D426" s="172"/>
      <c r="E426" s="181"/>
      <c r="F426" s="173"/>
      <c r="G426" s="174"/>
      <c r="H426" s="284"/>
      <c r="I426" s="221"/>
      <c r="J426" s="177">
        <f>IF(H426=0,0,IF(F426="MXN",1/HLOOKUP(YEAR(G426)+(MONTH(G426)/100),TC!$5:$37,DAY(G426)+2,FALSE),VLOOKUP(F426,Equivalencia!$5:$23,((MAX(Equivalencia!$3:$3)-YEAR(G426))*14)+MONTH(G426)+2,FALSE)))</f>
        <v>0</v>
      </c>
      <c r="K426" s="217">
        <f t="shared" si="65"/>
        <v>0</v>
      </c>
      <c r="L426" s="462">
        <f>IF(G426=0,0,VLOOKUP(YEAR(G426),INPC!$B$4:$O$29,MONTH(G426)+1))</f>
        <v>0</v>
      </c>
      <c r="M426" s="462">
        <f>IF(T426=0,0,VLOOKUP(YEAR(T426),INPC!$B$4:$O$29,MONTH(T426)+1))</f>
        <v>0</v>
      </c>
      <c r="N426" s="463">
        <f t="shared" si="61"/>
        <v>0</v>
      </c>
      <c r="O426" s="464">
        <f t="shared" si="66"/>
        <v>0</v>
      </c>
      <c r="P426" s="465">
        <f t="shared" si="67"/>
        <v>0</v>
      </c>
      <c r="Q426" s="606" t="str">
        <f t="shared" si="68"/>
        <v>NO</v>
      </c>
      <c r="R426" s="180"/>
      <c r="S426" s="173"/>
      <c r="T426" s="174"/>
      <c r="U426" s="173"/>
      <c r="V426" s="220"/>
      <c r="W426" s="177">
        <f>IF(S426=0,0,IF(U426="MXN",1/HLOOKUP(YEAR(T426)+(MONTH(T426)/100),TC!$5:$37,DAY(T426)+2,FALSE),VLOOKUP(U426,Equivalencia!$1:$23,((MAX(Equivalencia!$3:$3)-YEAR(T426))*14)+MONTH(T426)+2,FALSE)))</f>
        <v>0</v>
      </c>
      <c r="X426" s="178">
        <f t="shared" si="69"/>
        <v>0</v>
      </c>
      <c r="Y426" s="178">
        <f t="shared" si="70"/>
        <v>0</v>
      </c>
      <c r="Z426" s="175">
        <f t="shared" si="62"/>
        <v>0</v>
      </c>
      <c r="AA426" s="179"/>
      <c r="AB426" s="467">
        <f t="shared" si="63"/>
        <v>0</v>
      </c>
      <c r="AC426" s="466">
        <f t="shared" si="64"/>
        <v>0</v>
      </c>
    </row>
    <row r="427" spans="2:29" ht="20.100000000000001" customHeight="1">
      <c r="B427" s="172"/>
      <c r="C427" s="172"/>
      <c r="D427" s="172"/>
      <c r="E427" s="181"/>
      <c r="F427" s="173"/>
      <c r="G427" s="174"/>
      <c r="H427" s="284"/>
      <c r="I427" s="221"/>
      <c r="J427" s="177">
        <f>IF(H427=0,0,IF(F427="MXN",1/HLOOKUP(YEAR(G427)+(MONTH(G427)/100),TC!$5:$37,DAY(G427)+2,FALSE),VLOOKUP(F427,Equivalencia!$5:$23,((MAX(Equivalencia!$3:$3)-YEAR(G427))*14)+MONTH(G427)+2,FALSE)))</f>
        <v>0</v>
      </c>
      <c r="K427" s="217">
        <f t="shared" si="65"/>
        <v>0</v>
      </c>
      <c r="L427" s="462">
        <f>IF(G427=0,0,VLOOKUP(YEAR(G427),INPC!$B$4:$O$29,MONTH(G427)+1))</f>
        <v>0</v>
      </c>
      <c r="M427" s="462">
        <f>IF(T427=0,0,VLOOKUP(YEAR(T427),INPC!$B$4:$O$29,MONTH(T427)+1))</f>
        <v>0</v>
      </c>
      <c r="N427" s="463">
        <f t="shared" si="61"/>
        <v>0</v>
      </c>
      <c r="O427" s="464">
        <f t="shared" si="66"/>
        <v>0</v>
      </c>
      <c r="P427" s="465">
        <f t="shared" si="67"/>
        <v>0</v>
      </c>
      <c r="Q427" s="606" t="str">
        <f t="shared" si="68"/>
        <v>NO</v>
      </c>
      <c r="R427" s="180"/>
      <c r="S427" s="173"/>
      <c r="T427" s="174"/>
      <c r="U427" s="173"/>
      <c r="V427" s="220"/>
      <c r="W427" s="177">
        <f>IF(S427=0,0,IF(U427="MXN",1/HLOOKUP(YEAR(T427)+(MONTH(T427)/100),TC!$5:$37,DAY(T427)+2,FALSE),VLOOKUP(U427,Equivalencia!$1:$23,((MAX(Equivalencia!$3:$3)-YEAR(T427))*14)+MONTH(T427)+2,FALSE)))</f>
        <v>0</v>
      </c>
      <c r="X427" s="178">
        <f t="shared" si="69"/>
        <v>0</v>
      </c>
      <c r="Y427" s="178">
        <f t="shared" si="70"/>
        <v>0</v>
      </c>
      <c r="Z427" s="175">
        <f t="shared" si="62"/>
        <v>0</v>
      </c>
      <c r="AA427" s="179"/>
      <c r="AB427" s="467">
        <f t="shared" si="63"/>
        <v>0</v>
      </c>
      <c r="AC427" s="466">
        <f t="shared" si="64"/>
        <v>0</v>
      </c>
    </row>
    <row r="428" spans="2:29" ht="20.100000000000001" customHeight="1">
      <c r="B428" s="172"/>
      <c r="C428" s="172"/>
      <c r="D428" s="172"/>
      <c r="E428" s="181"/>
      <c r="F428" s="173"/>
      <c r="G428" s="174"/>
      <c r="H428" s="284"/>
      <c r="I428" s="221"/>
      <c r="J428" s="177">
        <f>IF(H428=0,0,IF(F428="MXN",1/HLOOKUP(YEAR(G428)+(MONTH(G428)/100),TC!$5:$37,DAY(G428)+2,FALSE),VLOOKUP(F428,Equivalencia!$5:$23,((MAX(Equivalencia!$3:$3)-YEAR(G428))*14)+MONTH(G428)+2,FALSE)))</f>
        <v>0</v>
      </c>
      <c r="K428" s="217">
        <f t="shared" si="65"/>
        <v>0</v>
      </c>
      <c r="L428" s="462">
        <f>IF(G428=0,0,VLOOKUP(YEAR(G428),INPC!$B$4:$O$29,MONTH(G428)+1))</f>
        <v>0</v>
      </c>
      <c r="M428" s="462">
        <f>IF(T428=0,0,VLOOKUP(YEAR(T428),INPC!$B$4:$O$29,MONTH(T428)+1))</f>
        <v>0</v>
      </c>
      <c r="N428" s="463">
        <f t="shared" si="61"/>
        <v>0</v>
      </c>
      <c r="O428" s="464">
        <f t="shared" si="66"/>
        <v>0</v>
      </c>
      <c r="P428" s="465">
        <f t="shared" si="67"/>
        <v>0</v>
      </c>
      <c r="Q428" s="606" t="str">
        <f t="shared" si="68"/>
        <v>NO</v>
      </c>
      <c r="R428" s="180"/>
      <c r="S428" s="173"/>
      <c r="T428" s="174"/>
      <c r="U428" s="173"/>
      <c r="V428" s="220"/>
      <c r="W428" s="177">
        <f>IF(S428=0,0,IF(U428="MXN",1/HLOOKUP(YEAR(T428)+(MONTH(T428)/100),TC!$5:$37,DAY(T428)+2,FALSE),VLOOKUP(U428,Equivalencia!$1:$23,((MAX(Equivalencia!$3:$3)-YEAR(T428))*14)+MONTH(T428)+2,FALSE)))</f>
        <v>0</v>
      </c>
      <c r="X428" s="178">
        <f t="shared" si="69"/>
        <v>0</v>
      </c>
      <c r="Y428" s="178">
        <f t="shared" si="70"/>
        <v>0</v>
      </c>
      <c r="Z428" s="175">
        <f t="shared" si="62"/>
        <v>0</v>
      </c>
      <c r="AA428" s="179"/>
      <c r="AB428" s="467">
        <f t="shared" si="63"/>
        <v>0</v>
      </c>
      <c r="AC428" s="466">
        <f t="shared" si="64"/>
        <v>0</v>
      </c>
    </row>
    <row r="429" spans="2:29" ht="20.100000000000001" customHeight="1">
      <c r="B429" s="172"/>
      <c r="C429" s="172"/>
      <c r="D429" s="172"/>
      <c r="E429" s="181"/>
      <c r="F429" s="173"/>
      <c r="G429" s="174"/>
      <c r="H429" s="284"/>
      <c r="I429" s="221"/>
      <c r="J429" s="177">
        <f>IF(H429=0,0,IF(F429="MXN",1/HLOOKUP(YEAR(G429)+(MONTH(G429)/100),TC!$5:$37,DAY(G429)+2,FALSE),VLOOKUP(F429,Equivalencia!$5:$23,((MAX(Equivalencia!$3:$3)-YEAR(G429))*14)+MONTH(G429)+2,FALSE)))</f>
        <v>0</v>
      </c>
      <c r="K429" s="217">
        <f t="shared" si="65"/>
        <v>0</v>
      </c>
      <c r="L429" s="462">
        <f>IF(G429=0,0,VLOOKUP(YEAR(G429),INPC!$B$4:$O$29,MONTH(G429)+1))</f>
        <v>0</v>
      </c>
      <c r="M429" s="462">
        <f>IF(T429=0,0,VLOOKUP(YEAR(T429),INPC!$B$4:$O$29,MONTH(T429)+1))</f>
        <v>0</v>
      </c>
      <c r="N429" s="463">
        <f t="shared" si="61"/>
        <v>0</v>
      </c>
      <c r="O429" s="464">
        <f t="shared" si="66"/>
        <v>0</v>
      </c>
      <c r="P429" s="465">
        <f t="shared" si="67"/>
        <v>0</v>
      </c>
      <c r="Q429" s="606" t="str">
        <f t="shared" si="68"/>
        <v>NO</v>
      </c>
      <c r="R429" s="180"/>
      <c r="S429" s="173"/>
      <c r="T429" s="174"/>
      <c r="U429" s="173"/>
      <c r="V429" s="220"/>
      <c r="W429" s="177">
        <f>IF(S429=0,0,IF(U429="MXN",1/HLOOKUP(YEAR(T429)+(MONTH(T429)/100),TC!$5:$37,DAY(T429)+2,FALSE),VLOOKUP(U429,Equivalencia!$1:$23,((MAX(Equivalencia!$3:$3)-YEAR(T429))*14)+MONTH(T429)+2,FALSE)))</f>
        <v>0</v>
      </c>
      <c r="X429" s="178">
        <f t="shared" si="69"/>
        <v>0</v>
      </c>
      <c r="Y429" s="178">
        <f t="shared" si="70"/>
        <v>0</v>
      </c>
      <c r="Z429" s="175">
        <f t="shared" si="62"/>
        <v>0</v>
      </c>
      <c r="AA429" s="179"/>
      <c r="AB429" s="467">
        <f t="shared" si="63"/>
        <v>0</v>
      </c>
      <c r="AC429" s="466">
        <f t="shared" si="64"/>
        <v>0</v>
      </c>
    </row>
    <row r="430" spans="2:29" ht="20.100000000000001" customHeight="1">
      <c r="B430" s="172"/>
      <c r="C430" s="172"/>
      <c r="D430" s="172"/>
      <c r="E430" s="181"/>
      <c r="F430" s="173"/>
      <c r="G430" s="174"/>
      <c r="H430" s="284"/>
      <c r="I430" s="221"/>
      <c r="J430" s="177">
        <f>IF(H430=0,0,IF(F430="MXN",1/HLOOKUP(YEAR(G430)+(MONTH(G430)/100),TC!$5:$37,DAY(G430)+2,FALSE),VLOOKUP(F430,Equivalencia!$5:$23,((MAX(Equivalencia!$3:$3)-YEAR(G430))*14)+MONTH(G430)+2,FALSE)))</f>
        <v>0</v>
      </c>
      <c r="K430" s="217">
        <f t="shared" si="65"/>
        <v>0</v>
      </c>
      <c r="L430" s="462">
        <f>IF(G430=0,0,VLOOKUP(YEAR(G430),INPC!$B$4:$O$29,MONTH(G430)+1))</f>
        <v>0</v>
      </c>
      <c r="M430" s="462">
        <f>IF(T430=0,0,VLOOKUP(YEAR(T430),INPC!$B$4:$O$29,MONTH(T430)+1))</f>
        <v>0</v>
      </c>
      <c r="N430" s="463">
        <f t="shared" si="61"/>
        <v>0</v>
      </c>
      <c r="O430" s="464">
        <f t="shared" si="66"/>
        <v>0</v>
      </c>
      <c r="P430" s="465">
        <f t="shared" si="67"/>
        <v>0</v>
      </c>
      <c r="Q430" s="606" t="str">
        <f t="shared" si="68"/>
        <v>NO</v>
      </c>
      <c r="R430" s="180"/>
      <c r="S430" s="173"/>
      <c r="T430" s="174"/>
      <c r="U430" s="173"/>
      <c r="V430" s="220"/>
      <c r="W430" s="177">
        <f>IF(S430=0,0,IF(U430="MXN",1/HLOOKUP(YEAR(T430)+(MONTH(T430)/100),TC!$5:$37,DAY(T430)+2,FALSE),VLOOKUP(U430,Equivalencia!$1:$23,((MAX(Equivalencia!$3:$3)-YEAR(T430))*14)+MONTH(T430)+2,FALSE)))</f>
        <v>0</v>
      </c>
      <c r="X430" s="178">
        <f t="shared" si="69"/>
        <v>0</v>
      </c>
      <c r="Y430" s="178">
        <f t="shared" si="70"/>
        <v>0</v>
      </c>
      <c r="Z430" s="175">
        <f t="shared" si="62"/>
        <v>0</v>
      </c>
      <c r="AA430" s="179"/>
      <c r="AB430" s="467">
        <f t="shared" si="63"/>
        <v>0</v>
      </c>
      <c r="AC430" s="466">
        <f t="shared" si="64"/>
        <v>0</v>
      </c>
    </row>
    <row r="431" spans="2:29" ht="20.100000000000001" customHeight="1">
      <c r="B431" s="172"/>
      <c r="C431" s="172"/>
      <c r="D431" s="172"/>
      <c r="E431" s="181"/>
      <c r="F431" s="173"/>
      <c r="G431" s="174"/>
      <c r="H431" s="284"/>
      <c r="I431" s="221"/>
      <c r="J431" s="177">
        <f>IF(H431=0,0,IF(F431="MXN",1/HLOOKUP(YEAR(G431)+(MONTH(G431)/100),TC!$5:$37,DAY(G431)+2,FALSE),VLOOKUP(F431,Equivalencia!$5:$23,((MAX(Equivalencia!$3:$3)-YEAR(G431))*14)+MONTH(G431)+2,FALSE)))</f>
        <v>0</v>
      </c>
      <c r="K431" s="217">
        <f t="shared" si="65"/>
        <v>0</v>
      </c>
      <c r="L431" s="462">
        <f>IF(G431=0,0,VLOOKUP(YEAR(G431),INPC!$B$4:$O$29,MONTH(G431)+1))</f>
        <v>0</v>
      </c>
      <c r="M431" s="462">
        <f>IF(T431=0,0,VLOOKUP(YEAR(T431),INPC!$B$4:$O$29,MONTH(T431)+1))</f>
        <v>0</v>
      </c>
      <c r="N431" s="463">
        <f t="shared" si="61"/>
        <v>0</v>
      </c>
      <c r="O431" s="464">
        <f t="shared" si="66"/>
        <v>0</v>
      </c>
      <c r="P431" s="465">
        <f t="shared" si="67"/>
        <v>0</v>
      </c>
      <c r="Q431" s="606" t="str">
        <f t="shared" si="68"/>
        <v>NO</v>
      </c>
      <c r="R431" s="180"/>
      <c r="S431" s="173"/>
      <c r="T431" s="174"/>
      <c r="U431" s="173"/>
      <c r="V431" s="220"/>
      <c r="W431" s="177">
        <f>IF(S431=0,0,IF(U431="MXN",1/HLOOKUP(YEAR(T431)+(MONTH(T431)/100),TC!$5:$37,DAY(T431)+2,FALSE),VLOOKUP(U431,Equivalencia!$1:$23,((MAX(Equivalencia!$3:$3)-YEAR(T431))*14)+MONTH(T431)+2,FALSE)))</f>
        <v>0</v>
      </c>
      <c r="X431" s="178">
        <f t="shared" si="69"/>
        <v>0</v>
      </c>
      <c r="Y431" s="178">
        <f t="shared" si="70"/>
        <v>0</v>
      </c>
      <c r="Z431" s="175">
        <f t="shared" si="62"/>
        <v>0</v>
      </c>
      <c r="AA431" s="179"/>
      <c r="AB431" s="467">
        <f t="shared" si="63"/>
        <v>0</v>
      </c>
      <c r="AC431" s="466">
        <f t="shared" si="64"/>
        <v>0</v>
      </c>
    </row>
    <row r="432" spans="2:29" ht="20.100000000000001" customHeight="1">
      <c r="B432" s="172"/>
      <c r="C432" s="172"/>
      <c r="D432" s="172"/>
      <c r="E432" s="181"/>
      <c r="F432" s="173"/>
      <c r="G432" s="174"/>
      <c r="H432" s="284"/>
      <c r="I432" s="221"/>
      <c r="J432" s="177">
        <f>IF(H432=0,0,IF(F432="MXN",1/HLOOKUP(YEAR(G432)+(MONTH(G432)/100),TC!$5:$37,DAY(G432)+2,FALSE),VLOOKUP(F432,Equivalencia!$5:$23,((MAX(Equivalencia!$3:$3)-YEAR(G432))*14)+MONTH(G432)+2,FALSE)))</f>
        <v>0</v>
      </c>
      <c r="K432" s="217">
        <f t="shared" si="65"/>
        <v>0</v>
      </c>
      <c r="L432" s="462">
        <f>IF(G432=0,0,VLOOKUP(YEAR(G432),INPC!$B$4:$O$29,MONTH(G432)+1))</f>
        <v>0</v>
      </c>
      <c r="M432" s="462">
        <f>IF(T432=0,0,VLOOKUP(YEAR(T432),INPC!$B$4:$O$29,MONTH(T432)+1))</f>
        <v>0</v>
      </c>
      <c r="N432" s="463">
        <f t="shared" si="61"/>
        <v>0</v>
      </c>
      <c r="O432" s="464">
        <f t="shared" si="66"/>
        <v>0</v>
      </c>
      <c r="P432" s="465">
        <f t="shared" si="67"/>
        <v>0</v>
      </c>
      <c r="Q432" s="606" t="str">
        <f t="shared" si="68"/>
        <v>NO</v>
      </c>
      <c r="R432" s="180"/>
      <c r="S432" s="173"/>
      <c r="T432" s="174"/>
      <c r="U432" s="173"/>
      <c r="V432" s="220"/>
      <c r="W432" s="177">
        <f>IF(S432=0,0,IF(U432="MXN",1/HLOOKUP(YEAR(T432)+(MONTH(T432)/100),TC!$5:$37,DAY(T432)+2,FALSE),VLOOKUP(U432,Equivalencia!$1:$23,((MAX(Equivalencia!$3:$3)-YEAR(T432))*14)+MONTH(T432)+2,FALSE)))</f>
        <v>0</v>
      </c>
      <c r="X432" s="178">
        <f t="shared" si="69"/>
        <v>0</v>
      </c>
      <c r="Y432" s="178">
        <f t="shared" si="70"/>
        <v>0</v>
      </c>
      <c r="Z432" s="175">
        <f t="shared" si="62"/>
        <v>0</v>
      </c>
      <c r="AA432" s="179"/>
      <c r="AB432" s="467">
        <f t="shared" si="63"/>
        <v>0</v>
      </c>
      <c r="AC432" s="466">
        <f t="shared" si="64"/>
        <v>0</v>
      </c>
    </row>
    <row r="433" spans="2:29" ht="20.100000000000001" customHeight="1">
      <c r="B433" s="172"/>
      <c r="C433" s="172"/>
      <c r="D433" s="172"/>
      <c r="E433" s="181"/>
      <c r="F433" s="173"/>
      <c r="G433" s="174"/>
      <c r="H433" s="284"/>
      <c r="I433" s="221"/>
      <c r="J433" s="177">
        <f>IF(H433=0,0,IF(F433="MXN",1/HLOOKUP(YEAR(G433)+(MONTH(G433)/100),TC!$5:$37,DAY(G433)+2,FALSE),VLOOKUP(F433,Equivalencia!$5:$23,((MAX(Equivalencia!$3:$3)-YEAR(G433))*14)+MONTH(G433)+2,FALSE)))</f>
        <v>0</v>
      </c>
      <c r="K433" s="217">
        <f t="shared" si="65"/>
        <v>0</v>
      </c>
      <c r="L433" s="462">
        <f>IF(G433=0,0,VLOOKUP(YEAR(G433),INPC!$B$4:$O$29,MONTH(G433)+1))</f>
        <v>0</v>
      </c>
      <c r="M433" s="462">
        <f>IF(T433=0,0,VLOOKUP(YEAR(T433),INPC!$B$4:$O$29,MONTH(T433)+1))</f>
        <v>0</v>
      </c>
      <c r="N433" s="463">
        <f t="shared" si="61"/>
        <v>0</v>
      </c>
      <c r="O433" s="464">
        <f t="shared" si="66"/>
        <v>0</v>
      </c>
      <c r="P433" s="465">
        <f t="shared" si="67"/>
        <v>0</v>
      </c>
      <c r="Q433" s="606" t="str">
        <f t="shared" si="68"/>
        <v>NO</v>
      </c>
      <c r="R433" s="180"/>
      <c r="S433" s="173"/>
      <c r="T433" s="174"/>
      <c r="U433" s="173"/>
      <c r="V433" s="220"/>
      <c r="W433" s="177">
        <f>IF(S433=0,0,IF(U433="MXN",1/HLOOKUP(YEAR(T433)+(MONTH(T433)/100),TC!$5:$37,DAY(T433)+2,FALSE),VLOOKUP(U433,Equivalencia!$1:$23,((MAX(Equivalencia!$3:$3)-YEAR(T433))*14)+MONTH(T433)+2,FALSE)))</f>
        <v>0</v>
      </c>
      <c r="X433" s="178">
        <f t="shared" si="69"/>
        <v>0</v>
      </c>
      <c r="Y433" s="178">
        <f t="shared" si="70"/>
        <v>0</v>
      </c>
      <c r="Z433" s="175">
        <f t="shared" si="62"/>
        <v>0</v>
      </c>
      <c r="AA433" s="179"/>
      <c r="AB433" s="467">
        <f t="shared" si="63"/>
        <v>0</v>
      </c>
      <c r="AC433" s="466">
        <f t="shared" si="64"/>
        <v>0</v>
      </c>
    </row>
    <row r="434" spans="2:29" ht="20.100000000000001" customHeight="1">
      <c r="B434" s="172"/>
      <c r="C434" s="172"/>
      <c r="D434" s="172"/>
      <c r="E434" s="181"/>
      <c r="F434" s="173"/>
      <c r="G434" s="174"/>
      <c r="H434" s="284"/>
      <c r="I434" s="221"/>
      <c r="J434" s="177">
        <f>IF(H434=0,0,IF(F434="MXN",1/HLOOKUP(YEAR(G434)+(MONTH(G434)/100),TC!$5:$37,DAY(G434)+2,FALSE),VLOOKUP(F434,Equivalencia!$5:$23,((MAX(Equivalencia!$3:$3)-YEAR(G434))*14)+MONTH(G434)+2,FALSE)))</f>
        <v>0</v>
      </c>
      <c r="K434" s="217">
        <f t="shared" si="65"/>
        <v>0</v>
      </c>
      <c r="L434" s="462">
        <f>IF(G434=0,0,VLOOKUP(YEAR(G434),INPC!$B$4:$O$29,MONTH(G434)+1))</f>
        <v>0</v>
      </c>
      <c r="M434" s="462">
        <f>IF(T434=0,0,VLOOKUP(YEAR(T434),INPC!$B$4:$O$29,MONTH(T434)+1))</f>
        <v>0</v>
      </c>
      <c r="N434" s="463">
        <f t="shared" si="61"/>
        <v>0</v>
      </c>
      <c r="O434" s="464">
        <f t="shared" si="66"/>
        <v>0</v>
      </c>
      <c r="P434" s="465">
        <f t="shared" si="67"/>
        <v>0</v>
      </c>
      <c r="Q434" s="606" t="str">
        <f t="shared" si="68"/>
        <v>NO</v>
      </c>
      <c r="R434" s="180"/>
      <c r="S434" s="173"/>
      <c r="T434" s="174"/>
      <c r="U434" s="173"/>
      <c r="V434" s="220"/>
      <c r="W434" s="177">
        <f>IF(S434=0,0,IF(U434="MXN",1/HLOOKUP(YEAR(T434)+(MONTH(T434)/100),TC!$5:$37,DAY(T434)+2,FALSE),VLOOKUP(U434,Equivalencia!$1:$23,((MAX(Equivalencia!$3:$3)-YEAR(T434))*14)+MONTH(T434)+2,FALSE)))</f>
        <v>0</v>
      </c>
      <c r="X434" s="178">
        <f t="shared" si="69"/>
        <v>0</v>
      </c>
      <c r="Y434" s="178">
        <f t="shared" si="70"/>
        <v>0</v>
      </c>
      <c r="Z434" s="175">
        <f t="shared" si="62"/>
        <v>0</v>
      </c>
      <c r="AA434" s="179"/>
      <c r="AB434" s="467">
        <f t="shared" si="63"/>
        <v>0</v>
      </c>
      <c r="AC434" s="466">
        <f t="shared" si="64"/>
        <v>0</v>
      </c>
    </row>
    <row r="435" spans="2:29" ht="20.100000000000001" customHeight="1">
      <c r="B435" s="172"/>
      <c r="C435" s="172"/>
      <c r="D435" s="172"/>
      <c r="E435" s="181"/>
      <c r="F435" s="173"/>
      <c r="G435" s="174"/>
      <c r="H435" s="284"/>
      <c r="I435" s="221"/>
      <c r="J435" s="177">
        <f>IF(H435=0,0,IF(F435="MXN",1/HLOOKUP(YEAR(G435)+(MONTH(G435)/100),TC!$5:$37,DAY(G435)+2,FALSE),VLOOKUP(F435,Equivalencia!$5:$23,((MAX(Equivalencia!$3:$3)-YEAR(G435))*14)+MONTH(G435)+2,FALSE)))</f>
        <v>0</v>
      </c>
      <c r="K435" s="217">
        <f t="shared" si="65"/>
        <v>0</v>
      </c>
      <c r="L435" s="462">
        <f>IF(G435=0,0,VLOOKUP(YEAR(G435),INPC!$B$4:$O$29,MONTH(G435)+1))</f>
        <v>0</v>
      </c>
      <c r="M435" s="462">
        <f>IF(T435=0,0,VLOOKUP(YEAR(T435),INPC!$B$4:$O$29,MONTH(T435)+1))</f>
        <v>0</v>
      </c>
      <c r="N435" s="463">
        <f t="shared" si="61"/>
        <v>0</v>
      </c>
      <c r="O435" s="464">
        <f t="shared" si="66"/>
        <v>0</v>
      </c>
      <c r="P435" s="465">
        <f t="shared" si="67"/>
        <v>0</v>
      </c>
      <c r="Q435" s="606" t="str">
        <f t="shared" si="68"/>
        <v>NO</v>
      </c>
      <c r="R435" s="180"/>
      <c r="S435" s="173"/>
      <c r="T435" s="174"/>
      <c r="U435" s="173"/>
      <c r="V435" s="220"/>
      <c r="W435" s="177">
        <f>IF(S435=0,0,IF(U435="MXN",1/HLOOKUP(YEAR(T435)+(MONTH(T435)/100),TC!$5:$37,DAY(T435)+2,FALSE),VLOOKUP(U435,Equivalencia!$1:$23,((MAX(Equivalencia!$3:$3)-YEAR(T435))*14)+MONTH(T435)+2,FALSE)))</f>
        <v>0</v>
      </c>
      <c r="X435" s="178">
        <f t="shared" si="69"/>
        <v>0</v>
      </c>
      <c r="Y435" s="178">
        <f t="shared" si="70"/>
        <v>0</v>
      </c>
      <c r="Z435" s="175">
        <f t="shared" si="62"/>
        <v>0</v>
      </c>
      <c r="AA435" s="179"/>
      <c r="AB435" s="467">
        <f t="shared" si="63"/>
        <v>0</v>
      </c>
      <c r="AC435" s="466">
        <f t="shared" si="64"/>
        <v>0</v>
      </c>
    </row>
    <row r="436" spans="2:29" ht="20.100000000000001" customHeight="1">
      <c r="B436" s="172"/>
      <c r="C436" s="172"/>
      <c r="D436" s="172"/>
      <c r="E436" s="181"/>
      <c r="F436" s="173"/>
      <c r="G436" s="174"/>
      <c r="H436" s="284"/>
      <c r="I436" s="221"/>
      <c r="J436" s="177">
        <f>IF(H436=0,0,IF(F436="MXN",1/HLOOKUP(YEAR(G436)+(MONTH(G436)/100),TC!$5:$37,DAY(G436)+2,FALSE),VLOOKUP(F436,Equivalencia!$5:$23,((MAX(Equivalencia!$3:$3)-YEAR(G436))*14)+MONTH(G436)+2,FALSE)))</f>
        <v>0</v>
      </c>
      <c r="K436" s="217">
        <f t="shared" si="65"/>
        <v>0</v>
      </c>
      <c r="L436" s="462">
        <f>IF(G436=0,0,VLOOKUP(YEAR(G436),INPC!$B$4:$O$29,MONTH(G436)+1))</f>
        <v>0</v>
      </c>
      <c r="M436" s="462">
        <f>IF(T436=0,0,VLOOKUP(YEAR(T436),INPC!$B$4:$O$29,MONTH(T436)+1))</f>
        <v>0</v>
      </c>
      <c r="N436" s="463">
        <f t="shared" si="61"/>
        <v>0</v>
      </c>
      <c r="O436" s="464">
        <f t="shared" si="66"/>
        <v>0</v>
      </c>
      <c r="P436" s="465">
        <f t="shared" si="67"/>
        <v>0</v>
      </c>
      <c r="Q436" s="606" t="str">
        <f t="shared" si="68"/>
        <v>NO</v>
      </c>
      <c r="R436" s="180"/>
      <c r="S436" s="173"/>
      <c r="T436" s="174"/>
      <c r="U436" s="173"/>
      <c r="V436" s="220"/>
      <c r="W436" s="177">
        <f>IF(S436=0,0,IF(U436="MXN",1/HLOOKUP(YEAR(T436)+(MONTH(T436)/100),TC!$5:$37,DAY(T436)+2,FALSE),VLOOKUP(U436,Equivalencia!$1:$23,((MAX(Equivalencia!$3:$3)-YEAR(T436))*14)+MONTH(T436)+2,FALSE)))</f>
        <v>0</v>
      </c>
      <c r="X436" s="178">
        <f t="shared" si="69"/>
        <v>0</v>
      </c>
      <c r="Y436" s="178">
        <f t="shared" si="70"/>
        <v>0</v>
      </c>
      <c r="Z436" s="175">
        <f t="shared" si="62"/>
        <v>0</v>
      </c>
      <c r="AA436" s="179"/>
      <c r="AB436" s="467">
        <f t="shared" si="63"/>
        <v>0</v>
      </c>
      <c r="AC436" s="466">
        <f t="shared" si="64"/>
        <v>0</v>
      </c>
    </row>
    <row r="437" spans="2:29" ht="20.100000000000001" customHeight="1">
      <c r="B437" s="172"/>
      <c r="C437" s="172"/>
      <c r="D437" s="172"/>
      <c r="E437" s="181"/>
      <c r="F437" s="173"/>
      <c r="G437" s="174"/>
      <c r="H437" s="284"/>
      <c r="I437" s="221"/>
      <c r="J437" s="177">
        <f>IF(H437=0,0,IF(F437="MXN",1/HLOOKUP(YEAR(G437)+(MONTH(G437)/100),TC!$5:$37,DAY(G437)+2,FALSE),VLOOKUP(F437,Equivalencia!$5:$23,((MAX(Equivalencia!$3:$3)-YEAR(G437))*14)+MONTH(G437)+2,FALSE)))</f>
        <v>0</v>
      </c>
      <c r="K437" s="217">
        <f t="shared" si="65"/>
        <v>0</v>
      </c>
      <c r="L437" s="462">
        <f>IF(G437=0,0,VLOOKUP(YEAR(G437),INPC!$B$4:$O$29,MONTH(G437)+1))</f>
        <v>0</v>
      </c>
      <c r="M437" s="462">
        <f>IF(T437=0,0,VLOOKUP(YEAR(T437),INPC!$B$4:$O$29,MONTH(T437)+1))</f>
        <v>0</v>
      </c>
      <c r="N437" s="463">
        <f t="shared" si="61"/>
        <v>0</v>
      </c>
      <c r="O437" s="464">
        <f t="shared" si="66"/>
        <v>0</v>
      </c>
      <c r="P437" s="465">
        <f t="shared" si="67"/>
        <v>0</v>
      </c>
      <c r="Q437" s="606" t="str">
        <f t="shared" si="68"/>
        <v>NO</v>
      </c>
      <c r="R437" s="180"/>
      <c r="S437" s="173"/>
      <c r="T437" s="174"/>
      <c r="U437" s="173"/>
      <c r="V437" s="220"/>
      <c r="W437" s="177">
        <f>IF(S437=0,0,IF(U437="MXN",1/HLOOKUP(YEAR(T437)+(MONTH(T437)/100),TC!$5:$37,DAY(T437)+2,FALSE),VLOOKUP(U437,Equivalencia!$1:$23,((MAX(Equivalencia!$3:$3)-YEAR(T437))*14)+MONTH(T437)+2,FALSE)))</f>
        <v>0</v>
      </c>
      <c r="X437" s="178">
        <f t="shared" si="69"/>
        <v>0</v>
      </c>
      <c r="Y437" s="178">
        <f t="shared" si="70"/>
        <v>0</v>
      </c>
      <c r="Z437" s="175">
        <f t="shared" si="62"/>
        <v>0</v>
      </c>
      <c r="AA437" s="179"/>
      <c r="AB437" s="467">
        <f t="shared" si="63"/>
        <v>0</v>
      </c>
      <c r="AC437" s="466">
        <f t="shared" si="64"/>
        <v>0</v>
      </c>
    </row>
    <row r="438" spans="2:29" ht="20.100000000000001" customHeight="1">
      <c r="B438" s="172"/>
      <c r="C438" s="172"/>
      <c r="D438" s="172"/>
      <c r="E438" s="181"/>
      <c r="F438" s="173"/>
      <c r="G438" s="174"/>
      <c r="H438" s="284"/>
      <c r="I438" s="221"/>
      <c r="J438" s="177">
        <f>IF(H438=0,0,IF(F438="MXN",1/HLOOKUP(YEAR(G438)+(MONTH(G438)/100),TC!$5:$37,DAY(G438)+2,FALSE),VLOOKUP(F438,Equivalencia!$5:$23,((MAX(Equivalencia!$3:$3)-YEAR(G438))*14)+MONTH(G438)+2,FALSE)))</f>
        <v>0</v>
      </c>
      <c r="K438" s="217">
        <f t="shared" si="65"/>
        <v>0</v>
      </c>
      <c r="L438" s="462">
        <f>IF(G438=0,0,VLOOKUP(YEAR(G438),INPC!$B$4:$O$29,MONTH(G438)+1))</f>
        <v>0</v>
      </c>
      <c r="M438" s="462">
        <f>IF(T438=0,0,VLOOKUP(YEAR(T438),INPC!$B$4:$O$29,MONTH(T438)+1))</f>
        <v>0</v>
      </c>
      <c r="N438" s="463">
        <f t="shared" si="61"/>
        <v>0</v>
      </c>
      <c r="O438" s="464">
        <f t="shared" si="66"/>
        <v>0</v>
      </c>
      <c r="P438" s="465">
        <f t="shared" si="67"/>
        <v>0</v>
      </c>
      <c r="Q438" s="606" t="str">
        <f t="shared" si="68"/>
        <v>NO</v>
      </c>
      <c r="R438" s="180"/>
      <c r="S438" s="173"/>
      <c r="T438" s="174"/>
      <c r="U438" s="173"/>
      <c r="V438" s="220"/>
      <c r="W438" s="177">
        <f>IF(S438=0,0,IF(U438="MXN",1/HLOOKUP(YEAR(T438)+(MONTH(T438)/100),TC!$5:$37,DAY(T438)+2,FALSE),VLOOKUP(U438,Equivalencia!$1:$23,((MAX(Equivalencia!$3:$3)-YEAR(T438))*14)+MONTH(T438)+2,FALSE)))</f>
        <v>0</v>
      </c>
      <c r="X438" s="178">
        <f t="shared" si="69"/>
        <v>0</v>
      </c>
      <c r="Y438" s="178">
        <f t="shared" si="70"/>
        <v>0</v>
      </c>
      <c r="Z438" s="175">
        <f t="shared" si="62"/>
        <v>0</v>
      </c>
      <c r="AA438" s="179"/>
      <c r="AB438" s="467">
        <f t="shared" si="63"/>
        <v>0</v>
      </c>
      <c r="AC438" s="466">
        <f t="shared" si="64"/>
        <v>0</v>
      </c>
    </row>
    <row r="439" spans="2:29" ht="20.100000000000001" customHeight="1">
      <c r="B439" s="172"/>
      <c r="C439" s="172"/>
      <c r="D439" s="172"/>
      <c r="E439" s="181"/>
      <c r="F439" s="173"/>
      <c r="G439" s="174"/>
      <c r="H439" s="284"/>
      <c r="I439" s="221"/>
      <c r="J439" s="177">
        <f>IF(H439=0,0,IF(F439="MXN",1/HLOOKUP(YEAR(G439)+(MONTH(G439)/100),TC!$5:$37,DAY(G439)+2,FALSE),VLOOKUP(F439,Equivalencia!$5:$23,((MAX(Equivalencia!$3:$3)-YEAR(G439))*14)+MONTH(G439)+2,FALSE)))</f>
        <v>0</v>
      </c>
      <c r="K439" s="217">
        <f t="shared" si="65"/>
        <v>0</v>
      </c>
      <c r="L439" s="462">
        <f>IF(G439=0,0,VLOOKUP(YEAR(G439),INPC!$B$4:$O$29,MONTH(G439)+1))</f>
        <v>0</v>
      </c>
      <c r="M439" s="462">
        <f>IF(T439=0,0,VLOOKUP(YEAR(T439),INPC!$B$4:$O$29,MONTH(T439)+1))</f>
        <v>0</v>
      </c>
      <c r="N439" s="463">
        <f t="shared" si="61"/>
        <v>0</v>
      </c>
      <c r="O439" s="464">
        <f t="shared" si="66"/>
        <v>0</v>
      </c>
      <c r="P439" s="465">
        <f t="shared" si="67"/>
        <v>0</v>
      </c>
      <c r="Q439" s="606" t="str">
        <f t="shared" si="68"/>
        <v>NO</v>
      </c>
      <c r="R439" s="180"/>
      <c r="S439" s="173"/>
      <c r="T439" s="174"/>
      <c r="U439" s="173"/>
      <c r="V439" s="220"/>
      <c r="W439" s="177">
        <f>IF(S439=0,0,IF(U439="MXN",1/HLOOKUP(YEAR(T439)+(MONTH(T439)/100),TC!$5:$37,DAY(T439)+2,FALSE),VLOOKUP(U439,Equivalencia!$1:$23,((MAX(Equivalencia!$3:$3)-YEAR(T439))*14)+MONTH(T439)+2,FALSE)))</f>
        <v>0</v>
      </c>
      <c r="X439" s="178">
        <f t="shared" si="69"/>
        <v>0</v>
      </c>
      <c r="Y439" s="178">
        <f t="shared" si="70"/>
        <v>0</v>
      </c>
      <c r="Z439" s="175">
        <f t="shared" si="62"/>
        <v>0</v>
      </c>
      <c r="AA439" s="179"/>
      <c r="AB439" s="467">
        <f t="shared" si="63"/>
        <v>0</v>
      </c>
      <c r="AC439" s="466">
        <f t="shared" si="64"/>
        <v>0</v>
      </c>
    </row>
    <row r="440" spans="2:29" ht="20.100000000000001" customHeight="1">
      <c r="B440" s="172"/>
      <c r="C440" s="172"/>
      <c r="D440" s="172"/>
      <c r="E440" s="181"/>
      <c r="F440" s="173"/>
      <c r="G440" s="174"/>
      <c r="H440" s="284"/>
      <c r="I440" s="221"/>
      <c r="J440" s="177">
        <f>IF(H440=0,0,IF(F440="MXN",1/HLOOKUP(YEAR(G440)+(MONTH(G440)/100),TC!$5:$37,DAY(G440)+2,FALSE),VLOOKUP(F440,Equivalencia!$5:$23,((MAX(Equivalencia!$3:$3)-YEAR(G440))*14)+MONTH(G440)+2,FALSE)))</f>
        <v>0</v>
      </c>
      <c r="K440" s="217">
        <f t="shared" si="65"/>
        <v>0</v>
      </c>
      <c r="L440" s="462">
        <f>IF(G440=0,0,VLOOKUP(YEAR(G440),INPC!$B$4:$O$29,MONTH(G440)+1))</f>
        <v>0</v>
      </c>
      <c r="M440" s="462">
        <f>IF(T440=0,0,VLOOKUP(YEAR(T440),INPC!$B$4:$O$29,MONTH(T440)+1))</f>
        <v>0</v>
      </c>
      <c r="N440" s="463">
        <f t="shared" si="61"/>
        <v>0</v>
      </c>
      <c r="O440" s="464">
        <f t="shared" si="66"/>
        <v>0</v>
      </c>
      <c r="P440" s="465">
        <f t="shared" si="67"/>
        <v>0</v>
      </c>
      <c r="Q440" s="606" t="str">
        <f t="shared" si="68"/>
        <v>NO</v>
      </c>
      <c r="R440" s="180"/>
      <c r="S440" s="173"/>
      <c r="T440" s="174"/>
      <c r="U440" s="173"/>
      <c r="V440" s="220"/>
      <c r="W440" s="177">
        <f>IF(S440=0,0,IF(U440="MXN",1/HLOOKUP(YEAR(T440)+(MONTH(T440)/100),TC!$5:$37,DAY(T440)+2,FALSE),VLOOKUP(U440,Equivalencia!$1:$23,((MAX(Equivalencia!$3:$3)-YEAR(T440))*14)+MONTH(T440)+2,FALSE)))</f>
        <v>0</v>
      </c>
      <c r="X440" s="178">
        <f t="shared" si="69"/>
        <v>0</v>
      </c>
      <c r="Y440" s="178">
        <f t="shared" si="70"/>
        <v>0</v>
      </c>
      <c r="Z440" s="175">
        <f t="shared" si="62"/>
        <v>0</v>
      </c>
      <c r="AA440" s="179"/>
      <c r="AB440" s="467">
        <f t="shared" si="63"/>
        <v>0</v>
      </c>
      <c r="AC440" s="466">
        <f t="shared" si="64"/>
        <v>0</v>
      </c>
    </row>
    <row r="441" spans="2:29" ht="20.100000000000001" customHeight="1">
      <c r="B441" s="172"/>
      <c r="C441" s="172"/>
      <c r="D441" s="172"/>
      <c r="E441" s="181"/>
      <c r="F441" s="173"/>
      <c r="G441" s="174"/>
      <c r="H441" s="284"/>
      <c r="I441" s="221"/>
      <c r="J441" s="177">
        <f>IF(H441=0,0,IF(F441="MXN",1/HLOOKUP(YEAR(G441)+(MONTH(G441)/100),TC!$5:$37,DAY(G441)+2,FALSE),VLOOKUP(F441,Equivalencia!$5:$23,((MAX(Equivalencia!$3:$3)-YEAR(G441))*14)+MONTH(G441)+2,FALSE)))</f>
        <v>0</v>
      </c>
      <c r="K441" s="217">
        <f t="shared" si="65"/>
        <v>0</v>
      </c>
      <c r="L441" s="462">
        <f>IF(G441=0,0,VLOOKUP(YEAR(G441),INPC!$B$4:$O$29,MONTH(G441)+1))</f>
        <v>0</v>
      </c>
      <c r="M441" s="462">
        <f>IF(T441=0,0,VLOOKUP(YEAR(T441),INPC!$B$4:$O$29,MONTH(T441)+1))</f>
        <v>0</v>
      </c>
      <c r="N441" s="463">
        <f t="shared" si="61"/>
        <v>0</v>
      </c>
      <c r="O441" s="464">
        <f t="shared" si="66"/>
        <v>0</v>
      </c>
      <c r="P441" s="465">
        <f t="shared" si="67"/>
        <v>0</v>
      </c>
      <c r="Q441" s="606" t="str">
        <f t="shared" si="68"/>
        <v>NO</v>
      </c>
      <c r="R441" s="180"/>
      <c r="S441" s="173"/>
      <c r="T441" s="174"/>
      <c r="U441" s="173"/>
      <c r="V441" s="220"/>
      <c r="W441" s="177">
        <f>IF(S441=0,0,IF(U441="MXN",1/HLOOKUP(YEAR(T441)+(MONTH(T441)/100),TC!$5:$37,DAY(T441)+2,FALSE),VLOOKUP(U441,Equivalencia!$1:$23,((MAX(Equivalencia!$3:$3)-YEAR(T441))*14)+MONTH(T441)+2,FALSE)))</f>
        <v>0</v>
      </c>
      <c r="X441" s="178">
        <f t="shared" si="69"/>
        <v>0</v>
      </c>
      <c r="Y441" s="178">
        <f t="shared" si="70"/>
        <v>0</v>
      </c>
      <c r="Z441" s="175">
        <f t="shared" si="62"/>
        <v>0</v>
      </c>
      <c r="AA441" s="179"/>
      <c r="AB441" s="467">
        <f t="shared" si="63"/>
        <v>0</v>
      </c>
      <c r="AC441" s="466">
        <f t="shared" si="64"/>
        <v>0</v>
      </c>
    </row>
    <row r="442" spans="2:29" ht="20.100000000000001" customHeight="1">
      <c r="B442" s="172"/>
      <c r="C442" s="172"/>
      <c r="D442" s="172"/>
      <c r="E442" s="181"/>
      <c r="F442" s="173"/>
      <c r="G442" s="174"/>
      <c r="H442" s="284"/>
      <c r="I442" s="221"/>
      <c r="J442" s="177">
        <f>IF(H442=0,0,IF(F442="MXN",1/HLOOKUP(YEAR(G442)+(MONTH(G442)/100),TC!$5:$37,DAY(G442)+2,FALSE),VLOOKUP(F442,Equivalencia!$5:$23,((MAX(Equivalencia!$3:$3)-YEAR(G442))*14)+MONTH(G442)+2,FALSE)))</f>
        <v>0</v>
      </c>
      <c r="K442" s="217">
        <f t="shared" si="65"/>
        <v>0</v>
      </c>
      <c r="L442" s="462">
        <f>IF(G442=0,0,VLOOKUP(YEAR(G442),INPC!$B$4:$O$29,MONTH(G442)+1))</f>
        <v>0</v>
      </c>
      <c r="M442" s="462">
        <f>IF(T442=0,0,VLOOKUP(YEAR(T442),INPC!$B$4:$O$29,MONTH(T442)+1))</f>
        <v>0</v>
      </c>
      <c r="N442" s="463">
        <f t="shared" si="61"/>
        <v>0</v>
      </c>
      <c r="O442" s="464">
        <f t="shared" si="66"/>
        <v>0</v>
      </c>
      <c r="P442" s="465">
        <f t="shared" si="67"/>
        <v>0</v>
      </c>
      <c r="Q442" s="606" t="str">
        <f t="shared" si="68"/>
        <v>NO</v>
      </c>
      <c r="R442" s="180"/>
      <c r="S442" s="173"/>
      <c r="T442" s="174"/>
      <c r="U442" s="173"/>
      <c r="V442" s="220"/>
      <c r="W442" s="177">
        <f>IF(S442=0,0,IF(U442="MXN",1/HLOOKUP(YEAR(T442)+(MONTH(T442)/100),TC!$5:$37,DAY(T442)+2,FALSE),VLOOKUP(U442,Equivalencia!$1:$23,((MAX(Equivalencia!$3:$3)-YEAR(T442))*14)+MONTH(T442)+2,FALSE)))</f>
        <v>0</v>
      </c>
      <c r="X442" s="178">
        <f t="shared" si="69"/>
        <v>0</v>
      </c>
      <c r="Y442" s="178">
        <f t="shared" si="70"/>
        <v>0</v>
      </c>
      <c r="Z442" s="175">
        <f t="shared" si="62"/>
        <v>0</v>
      </c>
      <c r="AA442" s="179"/>
      <c r="AB442" s="467">
        <f t="shared" si="63"/>
        <v>0</v>
      </c>
      <c r="AC442" s="466">
        <f t="shared" si="64"/>
        <v>0</v>
      </c>
    </row>
    <row r="443" spans="2:29" ht="20.100000000000001" customHeight="1">
      <c r="B443" s="172"/>
      <c r="C443" s="172"/>
      <c r="D443" s="172"/>
      <c r="E443" s="181"/>
      <c r="F443" s="173"/>
      <c r="G443" s="174"/>
      <c r="H443" s="284"/>
      <c r="I443" s="221"/>
      <c r="J443" s="177">
        <f>IF(H443=0,0,IF(F443="MXN",1/HLOOKUP(YEAR(G443)+(MONTH(G443)/100),TC!$5:$37,DAY(G443)+2,FALSE),VLOOKUP(F443,Equivalencia!$5:$23,((MAX(Equivalencia!$3:$3)-YEAR(G443))*14)+MONTH(G443)+2,FALSE)))</f>
        <v>0</v>
      </c>
      <c r="K443" s="217">
        <f t="shared" si="65"/>
        <v>0</v>
      </c>
      <c r="L443" s="462">
        <f>IF(G443=0,0,VLOOKUP(YEAR(G443),INPC!$B$4:$O$29,MONTH(G443)+1))</f>
        <v>0</v>
      </c>
      <c r="M443" s="462">
        <f>IF(T443=0,0,VLOOKUP(YEAR(T443),INPC!$B$4:$O$29,MONTH(T443)+1))</f>
        <v>0</v>
      </c>
      <c r="N443" s="463">
        <f t="shared" si="61"/>
        <v>0</v>
      </c>
      <c r="O443" s="464">
        <f t="shared" si="66"/>
        <v>0</v>
      </c>
      <c r="P443" s="465">
        <f t="shared" si="67"/>
        <v>0</v>
      </c>
      <c r="Q443" s="606" t="str">
        <f t="shared" si="68"/>
        <v>NO</v>
      </c>
      <c r="R443" s="180"/>
      <c r="S443" s="173"/>
      <c r="T443" s="174"/>
      <c r="U443" s="173"/>
      <c r="V443" s="220"/>
      <c r="W443" s="177">
        <f>IF(S443=0,0,IF(U443="MXN",1/HLOOKUP(YEAR(T443)+(MONTH(T443)/100),TC!$5:$37,DAY(T443)+2,FALSE),VLOOKUP(U443,Equivalencia!$1:$23,((MAX(Equivalencia!$3:$3)-YEAR(T443))*14)+MONTH(T443)+2,FALSE)))</f>
        <v>0</v>
      </c>
      <c r="X443" s="178">
        <f t="shared" si="69"/>
        <v>0</v>
      </c>
      <c r="Y443" s="178">
        <f t="shared" si="70"/>
        <v>0</v>
      </c>
      <c r="Z443" s="175">
        <f t="shared" si="62"/>
        <v>0</v>
      </c>
      <c r="AA443" s="179"/>
      <c r="AB443" s="467">
        <f t="shared" si="63"/>
        <v>0</v>
      </c>
      <c r="AC443" s="466">
        <f t="shared" si="64"/>
        <v>0</v>
      </c>
    </row>
    <row r="444" spans="2:29" ht="20.100000000000001" customHeight="1">
      <c r="B444" s="172"/>
      <c r="C444" s="172"/>
      <c r="D444" s="172"/>
      <c r="E444" s="181"/>
      <c r="F444" s="173"/>
      <c r="G444" s="174"/>
      <c r="H444" s="284"/>
      <c r="I444" s="221"/>
      <c r="J444" s="177">
        <f>IF(H444=0,0,IF(F444="MXN",1/HLOOKUP(YEAR(G444)+(MONTH(G444)/100),TC!$5:$37,DAY(G444)+2,FALSE),VLOOKUP(F444,Equivalencia!$5:$23,((MAX(Equivalencia!$3:$3)-YEAR(G444))*14)+MONTH(G444)+2,FALSE)))</f>
        <v>0</v>
      </c>
      <c r="K444" s="217">
        <f t="shared" si="65"/>
        <v>0</v>
      </c>
      <c r="L444" s="462">
        <f>IF(G444=0,0,VLOOKUP(YEAR(G444),INPC!$B$4:$O$29,MONTH(G444)+1))</f>
        <v>0</v>
      </c>
      <c r="M444" s="462">
        <f>IF(T444=0,0,VLOOKUP(YEAR(T444),INPC!$B$4:$O$29,MONTH(T444)+1))</f>
        <v>0</v>
      </c>
      <c r="N444" s="463">
        <f t="shared" si="61"/>
        <v>0</v>
      </c>
      <c r="O444" s="464">
        <f t="shared" si="66"/>
        <v>0</v>
      </c>
      <c r="P444" s="465">
        <f t="shared" si="67"/>
        <v>0</v>
      </c>
      <c r="Q444" s="606" t="str">
        <f t="shared" si="68"/>
        <v>NO</v>
      </c>
      <c r="R444" s="180"/>
      <c r="S444" s="173"/>
      <c r="T444" s="174"/>
      <c r="U444" s="173"/>
      <c r="V444" s="220"/>
      <c r="W444" s="177">
        <f>IF(S444=0,0,IF(U444="MXN",1/HLOOKUP(YEAR(T444)+(MONTH(T444)/100),TC!$5:$37,DAY(T444)+2,FALSE),VLOOKUP(U444,Equivalencia!$1:$23,((MAX(Equivalencia!$3:$3)-YEAR(T444))*14)+MONTH(T444)+2,FALSE)))</f>
        <v>0</v>
      </c>
      <c r="X444" s="178">
        <f t="shared" si="69"/>
        <v>0</v>
      </c>
      <c r="Y444" s="178">
        <f t="shared" si="70"/>
        <v>0</v>
      </c>
      <c r="Z444" s="175">
        <f t="shared" si="62"/>
        <v>0</v>
      </c>
      <c r="AA444" s="179"/>
      <c r="AB444" s="467">
        <f t="shared" si="63"/>
        <v>0</v>
      </c>
      <c r="AC444" s="466">
        <f t="shared" si="64"/>
        <v>0</v>
      </c>
    </row>
    <row r="445" spans="2:29" ht="20.100000000000001" customHeight="1">
      <c r="B445" s="172"/>
      <c r="C445" s="172"/>
      <c r="D445" s="172"/>
      <c r="E445" s="181"/>
      <c r="F445" s="173"/>
      <c r="G445" s="174"/>
      <c r="H445" s="284"/>
      <c r="I445" s="221"/>
      <c r="J445" s="177">
        <f>IF(H445=0,0,IF(F445="MXN",1/HLOOKUP(YEAR(G445)+(MONTH(G445)/100),TC!$5:$37,DAY(G445)+2,FALSE),VLOOKUP(F445,Equivalencia!$5:$23,((MAX(Equivalencia!$3:$3)-YEAR(G445))*14)+MONTH(G445)+2,FALSE)))</f>
        <v>0</v>
      </c>
      <c r="K445" s="217">
        <f t="shared" si="65"/>
        <v>0</v>
      </c>
      <c r="L445" s="462">
        <f>IF(G445=0,0,VLOOKUP(YEAR(G445),INPC!$B$4:$O$29,MONTH(G445)+1))</f>
        <v>0</v>
      </c>
      <c r="M445" s="462">
        <f>IF(T445=0,0,VLOOKUP(YEAR(T445),INPC!$B$4:$O$29,MONTH(T445)+1))</f>
        <v>0</v>
      </c>
      <c r="N445" s="463">
        <f t="shared" si="61"/>
        <v>0</v>
      </c>
      <c r="O445" s="464">
        <f t="shared" si="66"/>
        <v>0</v>
      </c>
      <c r="P445" s="465">
        <f t="shared" si="67"/>
        <v>0</v>
      </c>
      <c r="Q445" s="606" t="str">
        <f t="shared" si="68"/>
        <v>NO</v>
      </c>
      <c r="R445" s="180"/>
      <c r="S445" s="173"/>
      <c r="T445" s="174"/>
      <c r="U445" s="173"/>
      <c r="V445" s="220"/>
      <c r="W445" s="177">
        <f>IF(S445=0,0,IF(U445="MXN",1/HLOOKUP(YEAR(T445)+(MONTH(T445)/100),TC!$5:$37,DAY(T445)+2,FALSE),VLOOKUP(U445,Equivalencia!$1:$23,((MAX(Equivalencia!$3:$3)-YEAR(T445))*14)+MONTH(T445)+2,FALSE)))</f>
        <v>0</v>
      </c>
      <c r="X445" s="178">
        <f t="shared" si="69"/>
        <v>0</v>
      </c>
      <c r="Y445" s="178">
        <f t="shared" si="70"/>
        <v>0</v>
      </c>
      <c r="Z445" s="175">
        <f t="shared" si="62"/>
        <v>0</v>
      </c>
      <c r="AA445" s="179"/>
      <c r="AB445" s="467">
        <f t="shared" si="63"/>
        <v>0</v>
      </c>
      <c r="AC445" s="466">
        <f t="shared" si="64"/>
        <v>0</v>
      </c>
    </row>
    <row r="446" spans="2:29" ht="20.100000000000001" customHeight="1">
      <c r="B446" s="172"/>
      <c r="C446" s="172"/>
      <c r="D446" s="172"/>
      <c r="E446" s="181"/>
      <c r="F446" s="173"/>
      <c r="G446" s="174"/>
      <c r="H446" s="284"/>
      <c r="I446" s="221"/>
      <c r="J446" s="177">
        <f>IF(H446=0,0,IF(F446="MXN",1/HLOOKUP(YEAR(G446)+(MONTH(G446)/100),TC!$5:$37,DAY(G446)+2,FALSE),VLOOKUP(F446,Equivalencia!$5:$23,((MAX(Equivalencia!$3:$3)-YEAR(G446))*14)+MONTH(G446)+2,FALSE)))</f>
        <v>0</v>
      </c>
      <c r="K446" s="217">
        <f t="shared" si="65"/>
        <v>0</v>
      </c>
      <c r="L446" s="462">
        <f>IF(G446=0,0,VLOOKUP(YEAR(G446),INPC!$B$4:$O$29,MONTH(G446)+1))</f>
        <v>0</v>
      </c>
      <c r="M446" s="462">
        <f>IF(T446=0,0,VLOOKUP(YEAR(T446),INPC!$B$4:$O$29,MONTH(T446)+1))</f>
        <v>0</v>
      </c>
      <c r="N446" s="463">
        <f t="shared" si="61"/>
        <v>0</v>
      </c>
      <c r="O446" s="464">
        <f t="shared" si="66"/>
        <v>0</v>
      </c>
      <c r="P446" s="465">
        <f t="shared" si="67"/>
        <v>0</v>
      </c>
      <c r="Q446" s="606" t="str">
        <f t="shared" si="68"/>
        <v>NO</v>
      </c>
      <c r="R446" s="180"/>
      <c r="S446" s="173"/>
      <c r="T446" s="174"/>
      <c r="U446" s="173"/>
      <c r="V446" s="220"/>
      <c r="W446" s="177">
        <f>IF(S446=0,0,IF(U446="MXN",1/HLOOKUP(YEAR(T446)+(MONTH(T446)/100),TC!$5:$37,DAY(T446)+2,FALSE),VLOOKUP(U446,Equivalencia!$1:$23,((MAX(Equivalencia!$3:$3)-YEAR(T446))*14)+MONTH(T446)+2,FALSE)))</f>
        <v>0</v>
      </c>
      <c r="X446" s="178">
        <f t="shared" si="69"/>
        <v>0</v>
      </c>
      <c r="Y446" s="178">
        <f t="shared" si="70"/>
        <v>0</v>
      </c>
      <c r="Z446" s="175">
        <f t="shared" si="62"/>
        <v>0</v>
      </c>
      <c r="AA446" s="179"/>
      <c r="AB446" s="467">
        <f t="shared" si="63"/>
        <v>0</v>
      </c>
      <c r="AC446" s="466">
        <f t="shared" si="64"/>
        <v>0</v>
      </c>
    </row>
    <row r="447" spans="2:29" ht="20.100000000000001" customHeight="1">
      <c r="B447" s="172"/>
      <c r="C447" s="172"/>
      <c r="D447" s="172"/>
      <c r="E447" s="181"/>
      <c r="F447" s="173"/>
      <c r="G447" s="174"/>
      <c r="H447" s="284"/>
      <c r="I447" s="221"/>
      <c r="J447" s="177">
        <f>IF(H447=0,0,IF(F447="MXN",1/HLOOKUP(YEAR(G447)+(MONTH(G447)/100),TC!$5:$37,DAY(G447)+2,FALSE),VLOOKUP(F447,Equivalencia!$5:$23,((MAX(Equivalencia!$3:$3)-YEAR(G447))*14)+MONTH(G447)+2,FALSE)))</f>
        <v>0</v>
      </c>
      <c r="K447" s="217">
        <f t="shared" si="65"/>
        <v>0</v>
      </c>
      <c r="L447" s="462">
        <f>IF(G447=0,0,VLOOKUP(YEAR(G447),INPC!$B$4:$O$29,MONTH(G447)+1))</f>
        <v>0</v>
      </c>
      <c r="M447" s="462">
        <f>IF(T447=0,0,VLOOKUP(YEAR(T447),INPC!$B$4:$O$29,MONTH(T447)+1))</f>
        <v>0</v>
      </c>
      <c r="N447" s="463">
        <f t="shared" si="61"/>
        <v>0</v>
      </c>
      <c r="O447" s="464">
        <f t="shared" si="66"/>
        <v>0</v>
      </c>
      <c r="P447" s="465">
        <f t="shared" si="67"/>
        <v>0</v>
      </c>
      <c r="Q447" s="606" t="str">
        <f t="shared" si="68"/>
        <v>NO</v>
      </c>
      <c r="R447" s="180"/>
      <c r="S447" s="173"/>
      <c r="T447" s="174"/>
      <c r="U447" s="173"/>
      <c r="V447" s="220"/>
      <c r="W447" s="177">
        <f>IF(S447=0,0,IF(U447="MXN",1/HLOOKUP(YEAR(T447)+(MONTH(T447)/100),TC!$5:$37,DAY(T447)+2,FALSE),VLOOKUP(U447,Equivalencia!$1:$23,((MAX(Equivalencia!$3:$3)-YEAR(T447))*14)+MONTH(T447)+2,FALSE)))</f>
        <v>0</v>
      </c>
      <c r="X447" s="178">
        <f t="shared" si="69"/>
        <v>0</v>
      </c>
      <c r="Y447" s="178">
        <f t="shared" si="70"/>
        <v>0</v>
      </c>
      <c r="Z447" s="175">
        <f t="shared" si="62"/>
        <v>0</v>
      </c>
      <c r="AA447" s="179"/>
      <c r="AB447" s="467">
        <f t="shared" si="63"/>
        <v>0</v>
      </c>
      <c r="AC447" s="466">
        <f t="shared" si="64"/>
        <v>0</v>
      </c>
    </row>
    <row r="448" spans="2:29" ht="20.100000000000001" customHeight="1">
      <c r="B448" s="172"/>
      <c r="C448" s="172"/>
      <c r="D448" s="172"/>
      <c r="E448" s="181"/>
      <c r="F448" s="173"/>
      <c r="G448" s="174"/>
      <c r="H448" s="284"/>
      <c r="I448" s="221"/>
      <c r="J448" s="177">
        <f>IF(H448=0,0,IF(F448="MXN",1/HLOOKUP(YEAR(G448)+(MONTH(G448)/100),TC!$5:$37,DAY(G448)+2,FALSE),VLOOKUP(F448,Equivalencia!$5:$23,((MAX(Equivalencia!$3:$3)-YEAR(G448))*14)+MONTH(G448)+2,FALSE)))</f>
        <v>0</v>
      </c>
      <c r="K448" s="217">
        <f t="shared" si="65"/>
        <v>0</v>
      </c>
      <c r="L448" s="462">
        <f>IF(G448=0,0,VLOOKUP(YEAR(G448),INPC!$B$4:$O$29,MONTH(G448)+1))</f>
        <v>0</v>
      </c>
      <c r="M448" s="462">
        <f>IF(T448=0,0,VLOOKUP(YEAR(T448),INPC!$B$4:$O$29,MONTH(T448)+1))</f>
        <v>0</v>
      </c>
      <c r="N448" s="463">
        <f t="shared" si="61"/>
        <v>0</v>
      </c>
      <c r="O448" s="464">
        <f t="shared" si="66"/>
        <v>0</v>
      </c>
      <c r="P448" s="465">
        <f t="shared" si="67"/>
        <v>0</v>
      </c>
      <c r="Q448" s="606" t="str">
        <f t="shared" si="68"/>
        <v>NO</v>
      </c>
      <c r="R448" s="180"/>
      <c r="S448" s="173"/>
      <c r="T448" s="174"/>
      <c r="U448" s="173"/>
      <c r="V448" s="220"/>
      <c r="W448" s="177">
        <f>IF(S448=0,0,IF(U448="MXN",1/HLOOKUP(YEAR(T448)+(MONTH(T448)/100),TC!$5:$37,DAY(T448)+2,FALSE),VLOOKUP(U448,Equivalencia!$1:$23,((MAX(Equivalencia!$3:$3)-YEAR(T448))*14)+MONTH(T448)+2,FALSE)))</f>
        <v>0</v>
      </c>
      <c r="X448" s="178">
        <f t="shared" si="69"/>
        <v>0</v>
      </c>
      <c r="Y448" s="178">
        <f t="shared" si="70"/>
        <v>0</v>
      </c>
      <c r="Z448" s="175">
        <f t="shared" si="62"/>
        <v>0</v>
      </c>
      <c r="AA448" s="179"/>
      <c r="AB448" s="467">
        <f t="shared" si="63"/>
        <v>0</v>
      </c>
      <c r="AC448" s="466">
        <f t="shared" si="64"/>
        <v>0</v>
      </c>
    </row>
    <row r="449" spans="2:29" ht="20.100000000000001" customHeight="1">
      <c r="B449" s="172"/>
      <c r="C449" s="172"/>
      <c r="D449" s="172"/>
      <c r="E449" s="181"/>
      <c r="F449" s="173"/>
      <c r="G449" s="174"/>
      <c r="H449" s="284"/>
      <c r="I449" s="221"/>
      <c r="J449" s="177">
        <f>IF(H449=0,0,IF(F449="MXN",1/HLOOKUP(YEAR(G449)+(MONTH(G449)/100),TC!$5:$37,DAY(G449)+2,FALSE),VLOOKUP(F449,Equivalencia!$5:$23,((MAX(Equivalencia!$3:$3)-YEAR(G449))*14)+MONTH(G449)+2,FALSE)))</f>
        <v>0</v>
      </c>
      <c r="K449" s="217">
        <f t="shared" si="65"/>
        <v>0</v>
      </c>
      <c r="L449" s="462">
        <f>IF(G449=0,0,VLOOKUP(YEAR(G449),INPC!$B$4:$O$29,MONTH(G449)+1))</f>
        <v>0</v>
      </c>
      <c r="M449" s="462">
        <f>IF(T449=0,0,VLOOKUP(YEAR(T449),INPC!$B$4:$O$29,MONTH(T449)+1))</f>
        <v>0</v>
      </c>
      <c r="N449" s="463">
        <f t="shared" si="61"/>
        <v>0</v>
      </c>
      <c r="O449" s="464">
        <f t="shared" si="66"/>
        <v>0</v>
      </c>
      <c r="P449" s="465">
        <f t="shared" si="67"/>
        <v>0</v>
      </c>
      <c r="Q449" s="606" t="str">
        <f t="shared" si="68"/>
        <v>NO</v>
      </c>
      <c r="R449" s="180"/>
      <c r="S449" s="173"/>
      <c r="T449" s="174"/>
      <c r="U449" s="173"/>
      <c r="V449" s="220"/>
      <c r="W449" s="177">
        <f>IF(S449=0,0,IF(U449="MXN",1/HLOOKUP(YEAR(T449)+(MONTH(T449)/100),TC!$5:$37,DAY(T449)+2,FALSE),VLOOKUP(U449,Equivalencia!$1:$23,((MAX(Equivalencia!$3:$3)-YEAR(T449))*14)+MONTH(T449)+2,FALSE)))</f>
        <v>0</v>
      </c>
      <c r="X449" s="178">
        <f t="shared" si="69"/>
        <v>0</v>
      </c>
      <c r="Y449" s="178">
        <f t="shared" si="70"/>
        <v>0</v>
      </c>
      <c r="Z449" s="175">
        <f t="shared" si="62"/>
        <v>0</v>
      </c>
      <c r="AA449" s="179"/>
      <c r="AB449" s="467">
        <f t="shared" si="63"/>
        <v>0</v>
      </c>
      <c r="AC449" s="466">
        <f t="shared" si="64"/>
        <v>0</v>
      </c>
    </row>
    <row r="450" spans="2:29" ht="20.100000000000001" customHeight="1">
      <c r="B450" s="172"/>
      <c r="C450" s="172"/>
      <c r="D450" s="172"/>
      <c r="E450" s="181"/>
      <c r="F450" s="173"/>
      <c r="G450" s="174"/>
      <c r="H450" s="284"/>
      <c r="I450" s="221"/>
      <c r="J450" s="177">
        <f>IF(H450=0,0,IF(F450="MXN",1/HLOOKUP(YEAR(G450)+(MONTH(G450)/100),TC!$5:$37,DAY(G450)+2,FALSE),VLOOKUP(F450,Equivalencia!$5:$23,((MAX(Equivalencia!$3:$3)-YEAR(G450))*14)+MONTH(G450)+2,FALSE)))</f>
        <v>0</v>
      </c>
      <c r="K450" s="217">
        <f t="shared" si="65"/>
        <v>0</v>
      </c>
      <c r="L450" s="462">
        <f>IF(G450=0,0,VLOOKUP(YEAR(G450),INPC!$B$4:$O$29,MONTH(G450)+1))</f>
        <v>0</v>
      </c>
      <c r="M450" s="462">
        <f>IF(T450=0,0,VLOOKUP(YEAR(T450),INPC!$B$4:$O$29,MONTH(T450)+1))</f>
        <v>0</v>
      </c>
      <c r="N450" s="463">
        <f t="shared" ref="N450:N513" si="71">IF(T450=0,0,IF(TRUNC(M450/L450,4)&gt;=1,TRUNC(M450/L450,4),1))</f>
        <v>0</v>
      </c>
      <c r="O450" s="464">
        <f t="shared" si="66"/>
        <v>0</v>
      </c>
      <c r="P450" s="465">
        <f t="shared" si="67"/>
        <v>0</v>
      </c>
      <c r="Q450" s="606" t="str">
        <f t="shared" si="68"/>
        <v>NO</v>
      </c>
      <c r="R450" s="180"/>
      <c r="S450" s="173"/>
      <c r="T450" s="174"/>
      <c r="U450" s="173"/>
      <c r="V450" s="220"/>
      <c r="W450" s="177">
        <f>IF(S450=0,0,IF(U450="MXN",1/HLOOKUP(YEAR(T450)+(MONTH(T450)/100),TC!$5:$37,DAY(T450)+2,FALSE),VLOOKUP(U450,Equivalencia!$1:$23,((MAX(Equivalencia!$3:$3)-YEAR(T450))*14)+MONTH(T450)+2,FALSE)))</f>
        <v>0</v>
      </c>
      <c r="X450" s="178">
        <f t="shared" si="69"/>
        <v>0</v>
      </c>
      <c r="Y450" s="178">
        <f t="shared" si="70"/>
        <v>0</v>
      </c>
      <c r="Z450" s="175">
        <f t="shared" ref="Z450:Z513" si="72">+X450+Y450</f>
        <v>0</v>
      </c>
      <c r="AA450" s="179"/>
      <c r="AB450" s="467">
        <f t="shared" ref="AB450:AB513" si="73">+X450+AC450</f>
        <v>0</v>
      </c>
      <c r="AC450" s="466">
        <f t="shared" ref="AC450:AC513" si="74">+R450*P450</f>
        <v>0</v>
      </c>
    </row>
    <row r="451" spans="2:29" ht="20.100000000000001" customHeight="1">
      <c r="B451" s="172"/>
      <c r="C451" s="172"/>
      <c r="D451" s="172"/>
      <c r="E451" s="181"/>
      <c r="F451" s="173"/>
      <c r="G451" s="174"/>
      <c r="H451" s="284"/>
      <c r="I451" s="221"/>
      <c r="J451" s="177">
        <f>IF(H451=0,0,IF(F451="MXN",1/HLOOKUP(YEAR(G451)+(MONTH(G451)/100),TC!$5:$37,DAY(G451)+2,FALSE),VLOOKUP(F451,Equivalencia!$5:$23,((MAX(Equivalencia!$3:$3)-YEAR(G451))*14)+MONTH(G451)+2,FALSE)))</f>
        <v>0</v>
      </c>
      <c r="K451" s="217">
        <f t="shared" ref="K451:K514" si="75">+I451*J451</f>
        <v>0</v>
      </c>
      <c r="L451" s="462">
        <f>IF(G451=0,0,VLOOKUP(YEAR(G451),INPC!$B$4:$O$29,MONTH(G451)+1))</f>
        <v>0</v>
      </c>
      <c r="M451" s="462">
        <f>IF(T451=0,0,VLOOKUP(YEAR(T451),INPC!$B$4:$O$29,MONTH(T451)+1))</f>
        <v>0</v>
      </c>
      <c r="N451" s="463">
        <f t="shared" si="71"/>
        <v>0</v>
      </c>
      <c r="O451" s="464">
        <f t="shared" ref="O451:O514" si="76">+N451*K451</f>
        <v>0</v>
      </c>
      <c r="P451" s="465">
        <f t="shared" ref="P451:P514" si="77">IF(R451=0,0,O451/R451)</f>
        <v>0</v>
      </c>
      <c r="Q451" s="606" t="str">
        <f t="shared" ref="Q451:Q514" si="78">IF(T451=0,"NO","SI")</f>
        <v>NO</v>
      </c>
      <c r="R451" s="180"/>
      <c r="S451" s="173"/>
      <c r="T451" s="174"/>
      <c r="U451" s="173"/>
      <c r="V451" s="220"/>
      <c r="W451" s="177">
        <f>IF(S451=0,0,IF(U451="MXN",1/HLOOKUP(YEAR(T451)+(MONTH(T451)/100),TC!$5:$37,DAY(T451)+2,FALSE),VLOOKUP(U451,Equivalencia!$1:$23,((MAX(Equivalencia!$3:$3)-YEAR(T451))*14)+MONTH(T451)+2,FALSE)))</f>
        <v>0</v>
      </c>
      <c r="X451" s="178">
        <f t="shared" ref="X451:X514" si="79">+W451*V451</f>
        <v>0</v>
      </c>
      <c r="Y451" s="178">
        <f t="shared" ref="Y451:Y514" si="80">+K451</f>
        <v>0</v>
      </c>
      <c r="Z451" s="175">
        <f t="shared" si="72"/>
        <v>0</v>
      </c>
      <c r="AA451" s="179"/>
      <c r="AB451" s="467">
        <f t="shared" si="73"/>
        <v>0</v>
      </c>
      <c r="AC451" s="466">
        <f t="shared" si="74"/>
        <v>0</v>
      </c>
    </row>
    <row r="452" spans="2:29" ht="20.100000000000001" customHeight="1">
      <c r="B452" s="172"/>
      <c r="C452" s="172"/>
      <c r="D452" s="172"/>
      <c r="E452" s="181"/>
      <c r="F452" s="173"/>
      <c r="G452" s="174"/>
      <c r="H452" s="284"/>
      <c r="I452" s="221"/>
      <c r="J452" s="177">
        <f>IF(H452=0,0,IF(F452="MXN",1/HLOOKUP(YEAR(G452)+(MONTH(G452)/100),TC!$5:$37,DAY(G452)+2,FALSE),VLOOKUP(F452,Equivalencia!$5:$23,((MAX(Equivalencia!$3:$3)-YEAR(G452))*14)+MONTH(G452)+2,FALSE)))</f>
        <v>0</v>
      </c>
      <c r="K452" s="217">
        <f t="shared" si="75"/>
        <v>0</v>
      </c>
      <c r="L452" s="462">
        <f>IF(G452=0,0,VLOOKUP(YEAR(G452),INPC!$B$4:$O$29,MONTH(G452)+1))</f>
        <v>0</v>
      </c>
      <c r="M452" s="462">
        <f>IF(T452=0,0,VLOOKUP(YEAR(T452),INPC!$B$4:$O$29,MONTH(T452)+1))</f>
        <v>0</v>
      </c>
      <c r="N452" s="463">
        <f t="shared" si="71"/>
        <v>0</v>
      </c>
      <c r="O452" s="464">
        <f t="shared" si="76"/>
        <v>0</v>
      </c>
      <c r="P452" s="465">
        <f t="shared" si="77"/>
        <v>0</v>
      </c>
      <c r="Q452" s="606" t="str">
        <f t="shared" si="78"/>
        <v>NO</v>
      </c>
      <c r="R452" s="180"/>
      <c r="S452" s="173"/>
      <c r="T452" s="174"/>
      <c r="U452" s="173"/>
      <c r="V452" s="220"/>
      <c r="W452" s="177">
        <f>IF(S452=0,0,IF(U452="MXN",1/HLOOKUP(YEAR(T452)+(MONTH(T452)/100),TC!$5:$37,DAY(T452)+2,FALSE),VLOOKUP(U452,Equivalencia!$1:$23,((MAX(Equivalencia!$3:$3)-YEAR(T452))*14)+MONTH(T452)+2,FALSE)))</f>
        <v>0</v>
      </c>
      <c r="X452" s="178">
        <f t="shared" si="79"/>
        <v>0</v>
      </c>
      <c r="Y452" s="178">
        <f t="shared" si="80"/>
        <v>0</v>
      </c>
      <c r="Z452" s="175">
        <f t="shared" si="72"/>
        <v>0</v>
      </c>
      <c r="AA452" s="179"/>
      <c r="AB452" s="467">
        <f t="shared" si="73"/>
        <v>0</v>
      </c>
      <c r="AC452" s="466">
        <f t="shared" si="74"/>
        <v>0</v>
      </c>
    </row>
    <row r="453" spans="2:29" ht="20.100000000000001" customHeight="1">
      <c r="B453" s="172"/>
      <c r="C453" s="172"/>
      <c r="D453" s="172"/>
      <c r="E453" s="181"/>
      <c r="F453" s="173"/>
      <c r="G453" s="174"/>
      <c r="H453" s="284"/>
      <c r="I453" s="221"/>
      <c r="J453" s="177">
        <f>IF(H453=0,0,IF(F453="MXN",1/HLOOKUP(YEAR(G453)+(MONTH(G453)/100),TC!$5:$37,DAY(G453)+2,FALSE),VLOOKUP(F453,Equivalencia!$5:$23,((MAX(Equivalencia!$3:$3)-YEAR(G453))*14)+MONTH(G453)+2,FALSE)))</f>
        <v>0</v>
      </c>
      <c r="K453" s="217">
        <f t="shared" si="75"/>
        <v>0</v>
      </c>
      <c r="L453" s="462">
        <f>IF(G453=0,0,VLOOKUP(YEAR(G453),INPC!$B$4:$O$29,MONTH(G453)+1))</f>
        <v>0</v>
      </c>
      <c r="M453" s="462">
        <f>IF(T453=0,0,VLOOKUP(YEAR(T453),INPC!$B$4:$O$29,MONTH(T453)+1))</f>
        <v>0</v>
      </c>
      <c r="N453" s="463">
        <f t="shared" si="71"/>
        <v>0</v>
      </c>
      <c r="O453" s="464">
        <f t="shared" si="76"/>
        <v>0</v>
      </c>
      <c r="P453" s="465">
        <f t="shared" si="77"/>
        <v>0</v>
      </c>
      <c r="Q453" s="606" t="str">
        <f t="shared" si="78"/>
        <v>NO</v>
      </c>
      <c r="R453" s="180"/>
      <c r="S453" s="173"/>
      <c r="T453" s="174"/>
      <c r="U453" s="173"/>
      <c r="V453" s="220"/>
      <c r="W453" s="177">
        <f>IF(S453=0,0,IF(U453="MXN",1/HLOOKUP(YEAR(T453)+(MONTH(T453)/100),TC!$5:$37,DAY(T453)+2,FALSE),VLOOKUP(U453,Equivalencia!$1:$23,((MAX(Equivalencia!$3:$3)-YEAR(T453))*14)+MONTH(T453)+2,FALSE)))</f>
        <v>0</v>
      </c>
      <c r="X453" s="178">
        <f t="shared" si="79"/>
        <v>0</v>
      </c>
      <c r="Y453" s="178">
        <f t="shared" si="80"/>
        <v>0</v>
      </c>
      <c r="Z453" s="175">
        <f t="shared" si="72"/>
        <v>0</v>
      </c>
      <c r="AA453" s="179"/>
      <c r="AB453" s="467">
        <f t="shared" si="73"/>
        <v>0</v>
      </c>
      <c r="AC453" s="466">
        <f t="shared" si="74"/>
        <v>0</v>
      </c>
    </row>
    <row r="454" spans="2:29" ht="20.100000000000001" customHeight="1">
      <c r="B454" s="172"/>
      <c r="C454" s="172"/>
      <c r="D454" s="172"/>
      <c r="E454" s="181"/>
      <c r="F454" s="173"/>
      <c r="G454" s="174"/>
      <c r="H454" s="284"/>
      <c r="I454" s="221"/>
      <c r="J454" s="177">
        <f>IF(H454=0,0,IF(F454="MXN",1/HLOOKUP(YEAR(G454)+(MONTH(G454)/100),TC!$5:$37,DAY(G454)+2,FALSE),VLOOKUP(F454,Equivalencia!$5:$23,((MAX(Equivalencia!$3:$3)-YEAR(G454))*14)+MONTH(G454)+2,FALSE)))</f>
        <v>0</v>
      </c>
      <c r="K454" s="217">
        <f t="shared" si="75"/>
        <v>0</v>
      </c>
      <c r="L454" s="462">
        <f>IF(G454=0,0,VLOOKUP(YEAR(G454),INPC!$B$4:$O$29,MONTH(G454)+1))</f>
        <v>0</v>
      </c>
      <c r="M454" s="462">
        <f>IF(T454=0,0,VLOOKUP(YEAR(T454),INPC!$B$4:$O$29,MONTH(T454)+1))</f>
        <v>0</v>
      </c>
      <c r="N454" s="463">
        <f t="shared" si="71"/>
        <v>0</v>
      </c>
      <c r="O454" s="464">
        <f t="shared" si="76"/>
        <v>0</v>
      </c>
      <c r="P454" s="465">
        <f t="shared" si="77"/>
        <v>0</v>
      </c>
      <c r="Q454" s="606" t="str">
        <f t="shared" si="78"/>
        <v>NO</v>
      </c>
      <c r="R454" s="180"/>
      <c r="S454" s="173"/>
      <c r="T454" s="174"/>
      <c r="U454" s="173"/>
      <c r="V454" s="220"/>
      <c r="W454" s="177">
        <f>IF(S454=0,0,IF(U454="MXN",1/HLOOKUP(YEAR(T454)+(MONTH(T454)/100),TC!$5:$37,DAY(T454)+2,FALSE),VLOOKUP(U454,Equivalencia!$1:$23,((MAX(Equivalencia!$3:$3)-YEAR(T454))*14)+MONTH(T454)+2,FALSE)))</f>
        <v>0</v>
      </c>
      <c r="X454" s="178">
        <f t="shared" si="79"/>
        <v>0</v>
      </c>
      <c r="Y454" s="178">
        <f t="shared" si="80"/>
        <v>0</v>
      </c>
      <c r="Z454" s="175">
        <f t="shared" si="72"/>
        <v>0</v>
      </c>
      <c r="AA454" s="179"/>
      <c r="AB454" s="467">
        <f t="shared" si="73"/>
        <v>0</v>
      </c>
      <c r="AC454" s="466">
        <f t="shared" si="74"/>
        <v>0</v>
      </c>
    </row>
    <row r="455" spans="2:29" ht="20.100000000000001" customHeight="1">
      <c r="B455" s="172"/>
      <c r="C455" s="172"/>
      <c r="D455" s="172"/>
      <c r="E455" s="181"/>
      <c r="F455" s="173"/>
      <c r="G455" s="174"/>
      <c r="H455" s="284"/>
      <c r="I455" s="221"/>
      <c r="J455" s="177">
        <f>IF(H455=0,0,IF(F455="MXN",1/HLOOKUP(YEAR(G455)+(MONTH(G455)/100),TC!$5:$37,DAY(G455)+2,FALSE),VLOOKUP(F455,Equivalencia!$5:$23,((MAX(Equivalencia!$3:$3)-YEAR(G455))*14)+MONTH(G455)+2,FALSE)))</f>
        <v>0</v>
      </c>
      <c r="K455" s="217">
        <f t="shared" si="75"/>
        <v>0</v>
      </c>
      <c r="L455" s="462">
        <f>IF(G455=0,0,VLOOKUP(YEAR(G455),INPC!$B$4:$O$29,MONTH(G455)+1))</f>
        <v>0</v>
      </c>
      <c r="M455" s="462">
        <f>IF(T455=0,0,VLOOKUP(YEAR(T455),INPC!$B$4:$O$29,MONTH(T455)+1))</f>
        <v>0</v>
      </c>
      <c r="N455" s="463">
        <f t="shared" si="71"/>
        <v>0</v>
      </c>
      <c r="O455" s="464">
        <f t="shared" si="76"/>
        <v>0</v>
      </c>
      <c r="P455" s="465">
        <f t="shared" si="77"/>
        <v>0</v>
      </c>
      <c r="Q455" s="606" t="str">
        <f t="shared" si="78"/>
        <v>NO</v>
      </c>
      <c r="R455" s="180"/>
      <c r="S455" s="173"/>
      <c r="T455" s="174"/>
      <c r="U455" s="173"/>
      <c r="V455" s="220"/>
      <c r="W455" s="177">
        <f>IF(S455=0,0,IF(U455="MXN",1/HLOOKUP(YEAR(T455)+(MONTH(T455)/100),TC!$5:$37,DAY(T455)+2,FALSE),VLOOKUP(U455,Equivalencia!$1:$23,((MAX(Equivalencia!$3:$3)-YEAR(T455))*14)+MONTH(T455)+2,FALSE)))</f>
        <v>0</v>
      </c>
      <c r="X455" s="178">
        <f t="shared" si="79"/>
        <v>0</v>
      </c>
      <c r="Y455" s="178">
        <f t="shared" si="80"/>
        <v>0</v>
      </c>
      <c r="Z455" s="175">
        <f t="shared" si="72"/>
        <v>0</v>
      </c>
      <c r="AA455" s="179"/>
      <c r="AB455" s="467">
        <f t="shared" si="73"/>
        <v>0</v>
      </c>
      <c r="AC455" s="466">
        <f t="shared" si="74"/>
        <v>0</v>
      </c>
    </row>
    <row r="456" spans="2:29" ht="20.100000000000001" customHeight="1">
      <c r="B456" s="172"/>
      <c r="C456" s="172"/>
      <c r="D456" s="172"/>
      <c r="E456" s="181"/>
      <c r="F456" s="173"/>
      <c r="G456" s="174"/>
      <c r="H456" s="284"/>
      <c r="I456" s="221"/>
      <c r="J456" s="177">
        <f>IF(H456=0,0,IF(F456="MXN",1/HLOOKUP(YEAR(G456)+(MONTH(G456)/100),TC!$5:$37,DAY(G456)+2,FALSE),VLOOKUP(F456,Equivalencia!$5:$23,((MAX(Equivalencia!$3:$3)-YEAR(G456))*14)+MONTH(G456)+2,FALSE)))</f>
        <v>0</v>
      </c>
      <c r="K456" s="217">
        <f t="shared" si="75"/>
        <v>0</v>
      </c>
      <c r="L456" s="462">
        <f>IF(G456=0,0,VLOOKUP(YEAR(G456),INPC!$B$4:$O$29,MONTH(G456)+1))</f>
        <v>0</v>
      </c>
      <c r="M456" s="462">
        <f>IF(T456=0,0,VLOOKUP(YEAR(T456),INPC!$B$4:$O$29,MONTH(T456)+1))</f>
        <v>0</v>
      </c>
      <c r="N456" s="463">
        <f t="shared" si="71"/>
        <v>0</v>
      </c>
      <c r="O456" s="464">
        <f t="shared" si="76"/>
        <v>0</v>
      </c>
      <c r="P456" s="465">
        <f t="shared" si="77"/>
        <v>0</v>
      </c>
      <c r="Q456" s="606" t="str">
        <f t="shared" si="78"/>
        <v>NO</v>
      </c>
      <c r="R456" s="180"/>
      <c r="S456" s="173"/>
      <c r="T456" s="174"/>
      <c r="U456" s="173"/>
      <c r="V456" s="220"/>
      <c r="W456" s="177">
        <f>IF(S456=0,0,IF(U456="MXN",1/HLOOKUP(YEAR(T456)+(MONTH(T456)/100),TC!$5:$37,DAY(T456)+2,FALSE),VLOOKUP(U456,Equivalencia!$1:$23,((MAX(Equivalencia!$3:$3)-YEAR(T456))*14)+MONTH(T456)+2,FALSE)))</f>
        <v>0</v>
      </c>
      <c r="X456" s="178">
        <f t="shared" si="79"/>
        <v>0</v>
      </c>
      <c r="Y456" s="178">
        <f t="shared" si="80"/>
        <v>0</v>
      </c>
      <c r="Z456" s="175">
        <f t="shared" si="72"/>
        <v>0</v>
      </c>
      <c r="AA456" s="179"/>
      <c r="AB456" s="467">
        <f t="shared" si="73"/>
        <v>0</v>
      </c>
      <c r="AC456" s="466">
        <f t="shared" si="74"/>
        <v>0</v>
      </c>
    </row>
    <row r="457" spans="2:29" ht="20.100000000000001" customHeight="1">
      <c r="B457" s="172"/>
      <c r="C457" s="172"/>
      <c r="D457" s="172"/>
      <c r="E457" s="181"/>
      <c r="F457" s="173"/>
      <c r="G457" s="174"/>
      <c r="H457" s="284"/>
      <c r="I457" s="221"/>
      <c r="J457" s="177">
        <f>IF(H457=0,0,IF(F457="MXN",1/HLOOKUP(YEAR(G457)+(MONTH(G457)/100),TC!$5:$37,DAY(G457)+2,FALSE),VLOOKUP(F457,Equivalencia!$5:$23,((MAX(Equivalencia!$3:$3)-YEAR(G457))*14)+MONTH(G457)+2,FALSE)))</f>
        <v>0</v>
      </c>
      <c r="K457" s="217">
        <f t="shared" si="75"/>
        <v>0</v>
      </c>
      <c r="L457" s="462">
        <f>IF(G457=0,0,VLOOKUP(YEAR(G457),INPC!$B$4:$O$29,MONTH(G457)+1))</f>
        <v>0</v>
      </c>
      <c r="M457" s="462">
        <f>IF(T457=0,0,VLOOKUP(YEAR(T457),INPC!$B$4:$O$29,MONTH(T457)+1))</f>
        <v>0</v>
      </c>
      <c r="N457" s="463">
        <f t="shared" si="71"/>
        <v>0</v>
      </c>
      <c r="O457" s="464">
        <f t="shared" si="76"/>
        <v>0</v>
      </c>
      <c r="P457" s="465">
        <f t="shared" si="77"/>
        <v>0</v>
      </c>
      <c r="Q457" s="606" t="str">
        <f t="shared" si="78"/>
        <v>NO</v>
      </c>
      <c r="R457" s="180"/>
      <c r="S457" s="173"/>
      <c r="T457" s="174"/>
      <c r="U457" s="173"/>
      <c r="V457" s="220"/>
      <c r="W457" s="177">
        <f>IF(S457=0,0,IF(U457="MXN",1/HLOOKUP(YEAR(T457)+(MONTH(T457)/100),TC!$5:$37,DAY(T457)+2,FALSE),VLOOKUP(U457,Equivalencia!$1:$23,((MAX(Equivalencia!$3:$3)-YEAR(T457))*14)+MONTH(T457)+2,FALSE)))</f>
        <v>0</v>
      </c>
      <c r="X457" s="178">
        <f t="shared" si="79"/>
        <v>0</v>
      </c>
      <c r="Y457" s="178">
        <f t="shared" si="80"/>
        <v>0</v>
      </c>
      <c r="Z457" s="175">
        <f t="shared" si="72"/>
        <v>0</v>
      </c>
      <c r="AA457" s="179"/>
      <c r="AB457" s="467">
        <f t="shared" si="73"/>
        <v>0</v>
      </c>
      <c r="AC457" s="466">
        <f t="shared" si="74"/>
        <v>0</v>
      </c>
    </row>
    <row r="458" spans="2:29" ht="20.100000000000001" customHeight="1">
      <c r="B458" s="172"/>
      <c r="C458" s="172"/>
      <c r="D458" s="172"/>
      <c r="E458" s="181"/>
      <c r="F458" s="173"/>
      <c r="G458" s="174"/>
      <c r="H458" s="284"/>
      <c r="I458" s="221"/>
      <c r="J458" s="177">
        <f>IF(H458=0,0,IF(F458="MXN",1/HLOOKUP(YEAR(G458)+(MONTH(G458)/100),TC!$5:$37,DAY(G458)+2,FALSE),VLOOKUP(F458,Equivalencia!$5:$23,((MAX(Equivalencia!$3:$3)-YEAR(G458))*14)+MONTH(G458)+2,FALSE)))</f>
        <v>0</v>
      </c>
      <c r="K458" s="217">
        <f t="shared" si="75"/>
        <v>0</v>
      </c>
      <c r="L458" s="462">
        <f>IF(G458=0,0,VLOOKUP(YEAR(G458),INPC!$B$4:$O$29,MONTH(G458)+1))</f>
        <v>0</v>
      </c>
      <c r="M458" s="462">
        <f>IF(T458=0,0,VLOOKUP(YEAR(T458),INPC!$B$4:$O$29,MONTH(T458)+1))</f>
        <v>0</v>
      </c>
      <c r="N458" s="463">
        <f t="shared" si="71"/>
        <v>0</v>
      </c>
      <c r="O458" s="464">
        <f t="shared" si="76"/>
        <v>0</v>
      </c>
      <c r="P458" s="465">
        <f t="shared" si="77"/>
        <v>0</v>
      </c>
      <c r="Q458" s="606" t="str">
        <f t="shared" si="78"/>
        <v>NO</v>
      </c>
      <c r="R458" s="180"/>
      <c r="S458" s="173"/>
      <c r="T458" s="174"/>
      <c r="U458" s="173"/>
      <c r="V458" s="220"/>
      <c r="W458" s="177">
        <f>IF(S458=0,0,IF(U458="MXN",1/HLOOKUP(YEAR(T458)+(MONTH(T458)/100),TC!$5:$37,DAY(T458)+2,FALSE),VLOOKUP(U458,Equivalencia!$1:$23,((MAX(Equivalencia!$3:$3)-YEAR(T458))*14)+MONTH(T458)+2,FALSE)))</f>
        <v>0</v>
      </c>
      <c r="X458" s="178">
        <f t="shared" si="79"/>
        <v>0</v>
      </c>
      <c r="Y458" s="178">
        <f t="shared" si="80"/>
        <v>0</v>
      </c>
      <c r="Z458" s="175">
        <f t="shared" si="72"/>
        <v>0</v>
      </c>
      <c r="AA458" s="179"/>
      <c r="AB458" s="467">
        <f t="shared" si="73"/>
        <v>0</v>
      </c>
      <c r="AC458" s="466">
        <f t="shared" si="74"/>
        <v>0</v>
      </c>
    </row>
    <row r="459" spans="2:29" ht="20.100000000000001" customHeight="1">
      <c r="B459" s="172"/>
      <c r="C459" s="172"/>
      <c r="D459" s="172"/>
      <c r="E459" s="181"/>
      <c r="F459" s="173"/>
      <c r="G459" s="174"/>
      <c r="H459" s="284"/>
      <c r="I459" s="221"/>
      <c r="J459" s="177">
        <f>IF(H459=0,0,IF(F459="MXN",1/HLOOKUP(YEAR(G459)+(MONTH(G459)/100),TC!$5:$37,DAY(G459)+2,FALSE),VLOOKUP(F459,Equivalencia!$5:$23,((MAX(Equivalencia!$3:$3)-YEAR(G459))*14)+MONTH(G459)+2,FALSE)))</f>
        <v>0</v>
      </c>
      <c r="K459" s="217">
        <f t="shared" si="75"/>
        <v>0</v>
      </c>
      <c r="L459" s="462">
        <f>IF(G459=0,0,VLOOKUP(YEAR(G459),INPC!$B$4:$O$29,MONTH(G459)+1))</f>
        <v>0</v>
      </c>
      <c r="M459" s="462">
        <f>IF(T459=0,0,VLOOKUP(YEAR(T459),INPC!$B$4:$O$29,MONTH(T459)+1))</f>
        <v>0</v>
      </c>
      <c r="N459" s="463">
        <f t="shared" si="71"/>
        <v>0</v>
      </c>
      <c r="O459" s="464">
        <f t="shared" si="76"/>
        <v>0</v>
      </c>
      <c r="P459" s="465">
        <f t="shared" si="77"/>
        <v>0</v>
      </c>
      <c r="Q459" s="606" t="str">
        <f t="shared" si="78"/>
        <v>NO</v>
      </c>
      <c r="R459" s="180"/>
      <c r="S459" s="173"/>
      <c r="T459" s="174"/>
      <c r="U459" s="173"/>
      <c r="V459" s="220"/>
      <c r="W459" s="177">
        <f>IF(S459=0,0,IF(U459="MXN",1/HLOOKUP(YEAR(T459)+(MONTH(T459)/100),TC!$5:$37,DAY(T459)+2,FALSE),VLOOKUP(U459,Equivalencia!$1:$23,((MAX(Equivalencia!$3:$3)-YEAR(T459))*14)+MONTH(T459)+2,FALSE)))</f>
        <v>0</v>
      </c>
      <c r="X459" s="178">
        <f t="shared" si="79"/>
        <v>0</v>
      </c>
      <c r="Y459" s="178">
        <f t="shared" si="80"/>
        <v>0</v>
      </c>
      <c r="Z459" s="175">
        <f t="shared" si="72"/>
        <v>0</v>
      </c>
      <c r="AA459" s="179"/>
      <c r="AB459" s="467">
        <f t="shared" si="73"/>
        <v>0</v>
      </c>
      <c r="AC459" s="466">
        <f t="shared" si="74"/>
        <v>0</v>
      </c>
    </row>
    <row r="460" spans="2:29" ht="20.100000000000001" customHeight="1">
      <c r="B460" s="172"/>
      <c r="C460" s="172"/>
      <c r="D460" s="172"/>
      <c r="E460" s="181"/>
      <c r="F460" s="173"/>
      <c r="G460" s="174"/>
      <c r="H460" s="284"/>
      <c r="I460" s="221"/>
      <c r="J460" s="177">
        <f>IF(H460=0,0,IF(F460="MXN",1/HLOOKUP(YEAR(G460)+(MONTH(G460)/100),TC!$5:$37,DAY(G460)+2,FALSE),VLOOKUP(F460,Equivalencia!$5:$23,((MAX(Equivalencia!$3:$3)-YEAR(G460))*14)+MONTH(G460)+2,FALSE)))</f>
        <v>0</v>
      </c>
      <c r="K460" s="217">
        <f t="shared" si="75"/>
        <v>0</v>
      </c>
      <c r="L460" s="462">
        <f>IF(G460=0,0,VLOOKUP(YEAR(G460),INPC!$B$4:$O$29,MONTH(G460)+1))</f>
        <v>0</v>
      </c>
      <c r="M460" s="462">
        <f>IF(T460=0,0,VLOOKUP(YEAR(T460),INPC!$B$4:$O$29,MONTH(T460)+1))</f>
        <v>0</v>
      </c>
      <c r="N460" s="463">
        <f t="shared" si="71"/>
        <v>0</v>
      </c>
      <c r="O460" s="464">
        <f t="shared" si="76"/>
        <v>0</v>
      </c>
      <c r="P460" s="465">
        <f t="shared" si="77"/>
        <v>0</v>
      </c>
      <c r="Q460" s="606" t="str">
        <f t="shared" si="78"/>
        <v>NO</v>
      </c>
      <c r="R460" s="180"/>
      <c r="S460" s="173"/>
      <c r="T460" s="174"/>
      <c r="U460" s="173"/>
      <c r="V460" s="220"/>
      <c r="W460" s="177">
        <f>IF(S460=0,0,IF(U460="MXN",1/HLOOKUP(YEAR(T460)+(MONTH(T460)/100),TC!$5:$37,DAY(T460)+2,FALSE),VLOOKUP(U460,Equivalencia!$1:$23,((MAX(Equivalencia!$3:$3)-YEAR(T460))*14)+MONTH(T460)+2,FALSE)))</f>
        <v>0</v>
      </c>
      <c r="X460" s="178">
        <f t="shared" si="79"/>
        <v>0</v>
      </c>
      <c r="Y460" s="178">
        <f t="shared" si="80"/>
        <v>0</v>
      </c>
      <c r="Z460" s="175">
        <f t="shared" si="72"/>
        <v>0</v>
      </c>
      <c r="AA460" s="179"/>
      <c r="AB460" s="467">
        <f t="shared" si="73"/>
        <v>0</v>
      </c>
      <c r="AC460" s="466">
        <f t="shared" si="74"/>
        <v>0</v>
      </c>
    </row>
    <row r="461" spans="2:29" ht="20.100000000000001" customHeight="1">
      <c r="B461" s="172"/>
      <c r="C461" s="172"/>
      <c r="D461" s="172"/>
      <c r="E461" s="181"/>
      <c r="F461" s="173"/>
      <c r="G461" s="174"/>
      <c r="H461" s="284"/>
      <c r="I461" s="221"/>
      <c r="J461" s="177">
        <f>IF(H461=0,0,IF(F461="MXN",1/HLOOKUP(YEAR(G461)+(MONTH(G461)/100),TC!$5:$37,DAY(G461)+2,FALSE),VLOOKUP(F461,Equivalencia!$5:$23,((MAX(Equivalencia!$3:$3)-YEAR(G461))*14)+MONTH(G461)+2,FALSE)))</f>
        <v>0</v>
      </c>
      <c r="K461" s="217">
        <f t="shared" si="75"/>
        <v>0</v>
      </c>
      <c r="L461" s="462">
        <f>IF(G461=0,0,VLOOKUP(YEAR(G461),INPC!$B$4:$O$29,MONTH(G461)+1))</f>
        <v>0</v>
      </c>
      <c r="M461" s="462">
        <f>IF(T461=0,0,VLOOKUP(YEAR(T461),INPC!$B$4:$O$29,MONTH(T461)+1))</f>
        <v>0</v>
      </c>
      <c r="N461" s="463">
        <f t="shared" si="71"/>
        <v>0</v>
      </c>
      <c r="O461" s="464">
        <f t="shared" si="76"/>
        <v>0</v>
      </c>
      <c r="P461" s="465">
        <f t="shared" si="77"/>
        <v>0</v>
      </c>
      <c r="Q461" s="606" t="str">
        <f t="shared" si="78"/>
        <v>NO</v>
      </c>
      <c r="R461" s="180"/>
      <c r="S461" s="173"/>
      <c r="T461" s="174"/>
      <c r="U461" s="173"/>
      <c r="V461" s="220"/>
      <c r="W461" s="177">
        <f>IF(S461=0,0,IF(U461="MXN",1/HLOOKUP(YEAR(T461)+(MONTH(T461)/100),TC!$5:$37,DAY(T461)+2,FALSE),VLOOKUP(U461,Equivalencia!$1:$23,((MAX(Equivalencia!$3:$3)-YEAR(T461))*14)+MONTH(T461)+2,FALSE)))</f>
        <v>0</v>
      </c>
      <c r="X461" s="178">
        <f t="shared" si="79"/>
        <v>0</v>
      </c>
      <c r="Y461" s="178">
        <f t="shared" si="80"/>
        <v>0</v>
      </c>
      <c r="Z461" s="175">
        <f t="shared" si="72"/>
        <v>0</v>
      </c>
      <c r="AA461" s="179"/>
      <c r="AB461" s="467">
        <f t="shared" si="73"/>
        <v>0</v>
      </c>
      <c r="AC461" s="466">
        <f t="shared" si="74"/>
        <v>0</v>
      </c>
    </row>
    <row r="462" spans="2:29" ht="20.100000000000001" customHeight="1">
      <c r="B462" s="172"/>
      <c r="C462" s="172"/>
      <c r="D462" s="172"/>
      <c r="E462" s="181"/>
      <c r="F462" s="173"/>
      <c r="G462" s="174"/>
      <c r="H462" s="284"/>
      <c r="I462" s="221"/>
      <c r="J462" s="177">
        <f>IF(H462=0,0,IF(F462="MXN",1/HLOOKUP(YEAR(G462)+(MONTH(G462)/100),TC!$5:$37,DAY(G462)+2,FALSE),VLOOKUP(F462,Equivalencia!$5:$23,((MAX(Equivalencia!$3:$3)-YEAR(G462))*14)+MONTH(G462)+2,FALSE)))</f>
        <v>0</v>
      </c>
      <c r="K462" s="217">
        <f t="shared" si="75"/>
        <v>0</v>
      </c>
      <c r="L462" s="462">
        <f>IF(G462=0,0,VLOOKUP(YEAR(G462),INPC!$B$4:$O$29,MONTH(G462)+1))</f>
        <v>0</v>
      </c>
      <c r="M462" s="462">
        <f>IF(T462=0,0,VLOOKUP(YEAR(T462),INPC!$B$4:$O$29,MONTH(T462)+1))</f>
        <v>0</v>
      </c>
      <c r="N462" s="463">
        <f t="shared" si="71"/>
        <v>0</v>
      </c>
      <c r="O462" s="464">
        <f t="shared" si="76"/>
        <v>0</v>
      </c>
      <c r="P462" s="465">
        <f t="shared" si="77"/>
        <v>0</v>
      </c>
      <c r="Q462" s="606" t="str">
        <f t="shared" si="78"/>
        <v>NO</v>
      </c>
      <c r="R462" s="180"/>
      <c r="S462" s="173"/>
      <c r="T462" s="174"/>
      <c r="U462" s="173"/>
      <c r="V462" s="220"/>
      <c r="W462" s="177">
        <f>IF(S462=0,0,IF(U462="MXN",1/HLOOKUP(YEAR(T462)+(MONTH(T462)/100),TC!$5:$37,DAY(T462)+2,FALSE),VLOOKUP(U462,Equivalencia!$1:$23,((MAX(Equivalencia!$3:$3)-YEAR(T462))*14)+MONTH(T462)+2,FALSE)))</f>
        <v>0</v>
      </c>
      <c r="X462" s="178">
        <f t="shared" si="79"/>
        <v>0</v>
      </c>
      <c r="Y462" s="178">
        <f t="shared" si="80"/>
        <v>0</v>
      </c>
      <c r="Z462" s="175">
        <f t="shared" si="72"/>
        <v>0</v>
      </c>
      <c r="AA462" s="179"/>
      <c r="AB462" s="467">
        <f t="shared" si="73"/>
        <v>0</v>
      </c>
      <c r="AC462" s="466">
        <f t="shared" si="74"/>
        <v>0</v>
      </c>
    </row>
    <row r="463" spans="2:29" ht="20.100000000000001" customHeight="1">
      <c r="B463" s="172"/>
      <c r="C463" s="172"/>
      <c r="D463" s="172"/>
      <c r="E463" s="181"/>
      <c r="F463" s="173"/>
      <c r="G463" s="174"/>
      <c r="H463" s="284"/>
      <c r="I463" s="221"/>
      <c r="J463" s="177">
        <f>IF(H463=0,0,IF(F463="MXN",1/HLOOKUP(YEAR(G463)+(MONTH(G463)/100),TC!$5:$37,DAY(G463)+2,FALSE),VLOOKUP(F463,Equivalencia!$5:$23,((MAX(Equivalencia!$3:$3)-YEAR(G463))*14)+MONTH(G463)+2,FALSE)))</f>
        <v>0</v>
      </c>
      <c r="K463" s="217">
        <f t="shared" si="75"/>
        <v>0</v>
      </c>
      <c r="L463" s="462">
        <f>IF(G463=0,0,VLOOKUP(YEAR(G463),INPC!$B$4:$O$29,MONTH(G463)+1))</f>
        <v>0</v>
      </c>
      <c r="M463" s="462">
        <f>IF(T463=0,0,VLOOKUP(YEAR(T463),INPC!$B$4:$O$29,MONTH(T463)+1))</f>
        <v>0</v>
      </c>
      <c r="N463" s="463">
        <f t="shared" si="71"/>
        <v>0</v>
      </c>
      <c r="O463" s="464">
        <f t="shared" si="76"/>
        <v>0</v>
      </c>
      <c r="P463" s="465">
        <f t="shared" si="77"/>
        <v>0</v>
      </c>
      <c r="Q463" s="606" t="str">
        <f t="shared" si="78"/>
        <v>NO</v>
      </c>
      <c r="R463" s="180"/>
      <c r="S463" s="173"/>
      <c r="T463" s="174"/>
      <c r="U463" s="173"/>
      <c r="V463" s="220"/>
      <c r="W463" s="177">
        <f>IF(S463=0,0,IF(U463="MXN",1/HLOOKUP(YEAR(T463)+(MONTH(T463)/100),TC!$5:$37,DAY(T463)+2,FALSE),VLOOKUP(U463,Equivalencia!$1:$23,((MAX(Equivalencia!$3:$3)-YEAR(T463))*14)+MONTH(T463)+2,FALSE)))</f>
        <v>0</v>
      </c>
      <c r="X463" s="178">
        <f t="shared" si="79"/>
        <v>0</v>
      </c>
      <c r="Y463" s="178">
        <f t="shared" si="80"/>
        <v>0</v>
      </c>
      <c r="Z463" s="175">
        <f t="shared" si="72"/>
        <v>0</v>
      </c>
      <c r="AA463" s="179"/>
      <c r="AB463" s="467">
        <f t="shared" si="73"/>
        <v>0</v>
      </c>
      <c r="AC463" s="466">
        <f t="shared" si="74"/>
        <v>0</v>
      </c>
    </row>
    <row r="464" spans="2:29" ht="20.100000000000001" customHeight="1">
      <c r="B464" s="172"/>
      <c r="C464" s="172"/>
      <c r="D464" s="172"/>
      <c r="E464" s="181"/>
      <c r="F464" s="173"/>
      <c r="G464" s="174"/>
      <c r="H464" s="284"/>
      <c r="I464" s="221"/>
      <c r="J464" s="177">
        <f>IF(H464=0,0,IF(F464="MXN",1/HLOOKUP(YEAR(G464)+(MONTH(G464)/100),TC!$5:$37,DAY(G464)+2,FALSE),VLOOKUP(F464,Equivalencia!$5:$23,((MAX(Equivalencia!$3:$3)-YEAR(G464))*14)+MONTH(G464)+2,FALSE)))</f>
        <v>0</v>
      </c>
      <c r="K464" s="217">
        <f t="shared" si="75"/>
        <v>0</v>
      </c>
      <c r="L464" s="462">
        <f>IF(G464=0,0,VLOOKUP(YEAR(G464),INPC!$B$4:$O$29,MONTH(G464)+1))</f>
        <v>0</v>
      </c>
      <c r="M464" s="462">
        <f>IF(T464=0,0,VLOOKUP(YEAR(T464),INPC!$B$4:$O$29,MONTH(T464)+1))</f>
        <v>0</v>
      </c>
      <c r="N464" s="463">
        <f t="shared" si="71"/>
        <v>0</v>
      </c>
      <c r="O464" s="464">
        <f t="shared" si="76"/>
        <v>0</v>
      </c>
      <c r="P464" s="465">
        <f t="shared" si="77"/>
        <v>0</v>
      </c>
      <c r="Q464" s="606" t="str">
        <f t="shared" si="78"/>
        <v>NO</v>
      </c>
      <c r="R464" s="180"/>
      <c r="S464" s="173"/>
      <c r="T464" s="174"/>
      <c r="U464" s="173"/>
      <c r="V464" s="220"/>
      <c r="W464" s="177">
        <f>IF(S464=0,0,IF(U464="MXN",1/HLOOKUP(YEAR(T464)+(MONTH(T464)/100),TC!$5:$37,DAY(T464)+2,FALSE),VLOOKUP(U464,Equivalencia!$1:$23,((MAX(Equivalencia!$3:$3)-YEAR(T464))*14)+MONTH(T464)+2,FALSE)))</f>
        <v>0</v>
      </c>
      <c r="X464" s="178">
        <f t="shared" si="79"/>
        <v>0</v>
      </c>
      <c r="Y464" s="178">
        <f t="shared" si="80"/>
        <v>0</v>
      </c>
      <c r="Z464" s="175">
        <f t="shared" si="72"/>
        <v>0</v>
      </c>
      <c r="AA464" s="179"/>
      <c r="AB464" s="467">
        <f t="shared" si="73"/>
        <v>0</v>
      </c>
      <c r="AC464" s="466">
        <f t="shared" si="74"/>
        <v>0</v>
      </c>
    </row>
    <row r="465" spans="2:29" ht="20.100000000000001" customHeight="1">
      <c r="B465" s="172"/>
      <c r="C465" s="172"/>
      <c r="D465" s="172"/>
      <c r="E465" s="181"/>
      <c r="F465" s="173"/>
      <c r="G465" s="174"/>
      <c r="H465" s="284"/>
      <c r="I465" s="221"/>
      <c r="J465" s="177">
        <f>IF(H465=0,0,IF(F465="MXN",1/HLOOKUP(YEAR(G465)+(MONTH(G465)/100),TC!$5:$37,DAY(G465)+2,FALSE),VLOOKUP(F465,Equivalencia!$5:$23,((MAX(Equivalencia!$3:$3)-YEAR(G465))*14)+MONTH(G465)+2,FALSE)))</f>
        <v>0</v>
      </c>
      <c r="K465" s="217">
        <f t="shared" si="75"/>
        <v>0</v>
      </c>
      <c r="L465" s="462">
        <f>IF(G465=0,0,VLOOKUP(YEAR(G465),INPC!$B$4:$O$29,MONTH(G465)+1))</f>
        <v>0</v>
      </c>
      <c r="M465" s="462">
        <f>IF(T465=0,0,VLOOKUP(YEAR(T465),INPC!$B$4:$O$29,MONTH(T465)+1))</f>
        <v>0</v>
      </c>
      <c r="N465" s="463">
        <f t="shared" si="71"/>
        <v>0</v>
      </c>
      <c r="O465" s="464">
        <f t="shared" si="76"/>
        <v>0</v>
      </c>
      <c r="P465" s="465">
        <f t="shared" si="77"/>
        <v>0</v>
      </c>
      <c r="Q465" s="606" t="str">
        <f t="shared" si="78"/>
        <v>NO</v>
      </c>
      <c r="R465" s="180"/>
      <c r="S465" s="173"/>
      <c r="T465" s="174"/>
      <c r="U465" s="173"/>
      <c r="V465" s="220"/>
      <c r="W465" s="177">
        <f>IF(S465=0,0,IF(U465="MXN",1/HLOOKUP(YEAR(T465)+(MONTH(T465)/100),TC!$5:$37,DAY(T465)+2,FALSE),VLOOKUP(U465,Equivalencia!$1:$23,((MAX(Equivalencia!$3:$3)-YEAR(T465))*14)+MONTH(T465)+2,FALSE)))</f>
        <v>0</v>
      </c>
      <c r="X465" s="178">
        <f t="shared" si="79"/>
        <v>0</v>
      </c>
      <c r="Y465" s="178">
        <f t="shared" si="80"/>
        <v>0</v>
      </c>
      <c r="Z465" s="175">
        <f t="shared" si="72"/>
        <v>0</v>
      </c>
      <c r="AA465" s="179"/>
      <c r="AB465" s="467">
        <f t="shared" si="73"/>
        <v>0</v>
      </c>
      <c r="AC465" s="466">
        <f t="shared" si="74"/>
        <v>0</v>
      </c>
    </row>
    <row r="466" spans="2:29" ht="20.100000000000001" customHeight="1">
      <c r="B466" s="172"/>
      <c r="C466" s="172"/>
      <c r="D466" s="172"/>
      <c r="E466" s="181"/>
      <c r="F466" s="173"/>
      <c r="G466" s="174"/>
      <c r="H466" s="284"/>
      <c r="I466" s="221"/>
      <c r="J466" s="177">
        <f>IF(H466=0,0,IF(F466="MXN",1/HLOOKUP(YEAR(G466)+(MONTH(G466)/100),TC!$5:$37,DAY(G466)+2,FALSE),VLOOKUP(F466,Equivalencia!$5:$23,((MAX(Equivalencia!$3:$3)-YEAR(G466))*14)+MONTH(G466)+2,FALSE)))</f>
        <v>0</v>
      </c>
      <c r="K466" s="217">
        <f t="shared" si="75"/>
        <v>0</v>
      </c>
      <c r="L466" s="462">
        <f>IF(G466=0,0,VLOOKUP(YEAR(G466),INPC!$B$4:$O$29,MONTH(G466)+1))</f>
        <v>0</v>
      </c>
      <c r="M466" s="462">
        <f>IF(T466=0,0,VLOOKUP(YEAR(T466),INPC!$B$4:$O$29,MONTH(T466)+1))</f>
        <v>0</v>
      </c>
      <c r="N466" s="463">
        <f t="shared" si="71"/>
        <v>0</v>
      </c>
      <c r="O466" s="464">
        <f t="shared" si="76"/>
        <v>0</v>
      </c>
      <c r="P466" s="465">
        <f t="shared" si="77"/>
        <v>0</v>
      </c>
      <c r="Q466" s="606" t="str">
        <f t="shared" si="78"/>
        <v>NO</v>
      </c>
      <c r="R466" s="180"/>
      <c r="S466" s="173"/>
      <c r="T466" s="174"/>
      <c r="U466" s="173"/>
      <c r="V466" s="220"/>
      <c r="W466" s="177">
        <f>IF(S466=0,0,IF(U466="MXN",1/HLOOKUP(YEAR(T466)+(MONTH(T466)/100),TC!$5:$37,DAY(T466)+2,FALSE),VLOOKUP(U466,Equivalencia!$1:$23,((MAX(Equivalencia!$3:$3)-YEAR(T466))*14)+MONTH(T466)+2,FALSE)))</f>
        <v>0</v>
      </c>
      <c r="X466" s="178">
        <f t="shared" si="79"/>
        <v>0</v>
      </c>
      <c r="Y466" s="178">
        <f t="shared" si="80"/>
        <v>0</v>
      </c>
      <c r="Z466" s="175">
        <f t="shared" si="72"/>
        <v>0</v>
      </c>
      <c r="AA466" s="179"/>
      <c r="AB466" s="467">
        <f t="shared" si="73"/>
        <v>0</v>
      </c>
      <c r="AC466" s="466">
        <f t="shared" si="74"/>
        <v>0</v>
      </c>
    </row>
    <row r="467" spans="2:29" ht="20.100000000000001" customHeight="1">
      <c r="B467" s="172"/>
      <c r="C467" s="172"/>
      <c r="D467" s="172"/>
      <c r="E467" s="181"/>
      <c r="F467" s="173"/>
      <c r="G467" s="174"/>
      <c r="H467" s="284"/>
      <c r="I467" s="221"/>
      <c r="J467" s="177">
        <f>IF(H467=0,0,IF(F467="MXN",1/HLOOKUP(YEAR(G467)+(MONTH(G467)/100),TC!$5:$37,DAY(G467)+2,FALSE),VLOOKUP(F467,Equivalencia!$5:$23,((MAX(Equivalencia!$3:$3)-YEAR(G467))*14)+MONTH(G467)+2,FALSE)))</f>
        <v>0</v>
      </c>
      <c r="K467" s="217">
        <f t="shared" si="75"/>
        <v>0</v>
      </c>
      <c r="L467" s="462">
        <f>IF(G467=0,0,VLOOKUP(YEAR(G467),INPC!$B$4:$O$29,MONTH(G467)+1))</f>
        <v>0</v>
      </c>
      <c r="M467" s="462">
        <f>IF(T467=0,0,VLOOKUP(YEAR(T467),INPC!$B$4:$O$29,MONTH(T467)+1))</f>
        <v>0</v>
      </c>
      <c r="N467" s="463">
        <f t="shared" si="71"/>
        <v>0</v>
      </c>
      <c r="O467" s="464">
        <f t="shared" si="76"/>
        <v>0</v>
      </c>
      <c r="P467" s="465">
        <f t="shared" si="77"/>
        <v>0</v>
      </c>
      <c r="Q467" s="606" t="str">
        <f t="shared" si="78"/>
        <v>NO</v>
      </c>
      <c r="R467" s="180"/>
      <c r="S467" s="173"/>
      <c r="T467" s="174"/>
      <c r="U467" s="173"/>
      <c r="V467" s="220"/>
      <c r="W467" s="177">
        <f>IF(S467=0,0,IF(U467="MXN",1/HLOOKUP(YEAR(T467)+(MONTH(T467)/100),TC!$5:$37,DAY(T467)+2,FALSE),VLOOKUP(U467,Equivalencia!$1:$23,((MAX(Equivalencia!$3:$3)-YEAR(T467))*14)+MONTH(T467)+2,FALSE)))</f>
        <v>0</v>
      </c>
      <c r="X467" s="178">
        <f t="shared" si="79"/>
        <v>0</v>
      </c>
      <c r="Y467" s="178">
        <f t="shared" si="80"/>
        <v>0</v>
      </c>
      <c r="Z467" s="175">
        <f t="shared" si="72"/>
        <v>0</v>
      </c>
      <c r="AA467" s="179"/>
      <c r="AB467" s="467">
        <f t="shared" si="73"/>
        <v>0</v>
      </c>
      <c r="AC467" s="466">
        <f t="shared" si="74"/>
        <v>0</v>
      </c>
    </row>
    <row r="468" spans="2:29" ht="20.100000000000001" customHeight="1">
      <c r="B468" s="172"/>
      <c r="C468" s="172"/>
      <c r="D468" s="172"/>
      <c r="E468" s="181"/>
      <c r="F468" s="173"/>
      <c r="G468" s="174"/>
      <c r="H468" s="284"/>
      <c r="I468" s="221"/>
      <c r="J468" s="177">
        <f>IF(H468=0,0,IF(F468="MXN",1/HLOOKUP(YEAR(G468)+(MONTH(G468)/100),TC!$5:$37,DAY(G468)+2,FALSE),VLOOKUP(F468,Equivalencia!$5:$23,((MAX(Equivalencia!$3:$3)-YEAR(G468))*14)+MONTH(G468)+2,FALSE)))</f>
        <v>0</v>
      </c>
      <c r="K468" s="217">
        <f t="shared" si="75"/>
        <v>0</v>
      </c>
      <c r="L468" s="462">
        <f>IF(G468=0,0,VLOOKUP(YEAR(G468),INPC!$B$4:$O$29,MONTH(G468)+1))</f>
        <v>0</v>
      </c>
      <c r="M468" s="462">
        <f>IF(T468=0,0,VLOOKUP(YEAR(T468),INPC!$B$4:$O$29,MONTH(T468)+1))</f>
        <v>0</v>
      </c>
      <c r="N468" s="463">
        <f t="shared" si="71"/>
        <v>0</v>
      </c>
      <c r="O468" s="464">
        <f t="shared" si="76"/>
        <v>0</v>
      </c>
      <c r="P468" s="465">
        <f t="shared" si="77"/>
        <v>0</v>
      </c>
      <c r="Q468" s="606" t="str">
        <f t="shared" si="78"/>
        <v>NO</v>
      </c>
      <c r="R468" s="180"/>
      <c r="S468" s="173"/>
      <c r="T468" s="174"/>
      <c r="U468" s="173"/>
      <c r="V468" s="220"/>
      <c r="W468" s="177">
        <f>IF(S468=0,0,IF(U468="MXN",1/HLOOKUP(YEAR(T468)+(MONTH(T468)/100),TC!$5:$37,DAY(T468)+2,FALSE),VLOOKUP(U468,Equivalencia!$1:$23,((MAX(Equivalencia!$3:$3)-YEAR(T468))*14)+MONTH(T468)+2,FALSE)))</f>
        <v>0</v>
      </c>
      <c r="X468" s="178">
        <f t="shared" si="79"/>
        <v>0</v>
      </c>
      <c r="Y468" s="178">
        <f t="shared" si="80"/>
        <v>0</v>
      </c>
      <c r="Z468" s="175">
        <f t="shared" si="72"/>
        <v>0</v>
      </c>
      <c r="AA468" s="179"/>
      <c r="AB468" s="467">
        <f t="shared" si="73"/>
        <v>0</v>
      </c>
      <c r="AC468" s="466">
        <f t="shared" si="74"/>
        <v>0</v>
      </c>
    </row>
    <row r="469" spans="2:29" ht="20.100000000000001" customHeight="1">
      <c r="B469" s="172"/>
      <c r="C469" s="172"/>
      <c r="D469" s="172"/>
      <c r="E469" s="181"/>
      <c r="F469" s="173"/>
      <c r="G469" s="174"/>
      <c r="H469" s="284"/>
      <c r="I469" s="221"/>
      <c r="J469" s="177">
        <f>IF(H469=0,0,IF(F469="MXN",1/HLOOKUP(YEAR(G469)+(MONTH(G469)/100),TC!$5:$37,DAY(G469)+2,FALSE),VLOOKUP(F469,Equivalencia!$5:$23,((MAX(Equivalencia!$3:$3)-YEAR(G469))*14)+MONTH(G469)+2,FALSE)))</f>
        <v>0</v>
      </c>
      <c r="K469" s="217">
        <f t="shared" si="75"/>
        <v>0</v>
      </c>
      <c r="L469" s="462">
        <f>IF(G469=0,0,VLOOKUP(YEAR(G469),INPC!$B$4:$O$29,MONTH(G469)+1))</f>
        <v>0</v>
      </c>
      <c r="M469" s="462">
        <f>IF(T469=0,0,VLOOKUP(YEAR(T469),INPC!$B$4:$O$29,MONTH(T469)+1))</f>
        <v>0</v>
      </c>
      <c r="N469" s="463">
        <f t="shared" si="71"/>
        <v>0</v>
      </c>
      <c r="O469" s="464">
        <f t="shared" si="76"/>
        <v>0</v>
      </c>
      <c r="P469" s="465">
        <f t="shared" si="77"/>
        <v>0</v>
      </c>
      <c r="Q469" s="606" t="str">
        <f t="shared" si="78"/>
        <v>NO</v>
      </c>
      <c r="R469" s="180"/>
      <c r="S469" s="173"/>
      <c r="T469" s="174"/>
      <c r="U469" s="173"/>
      <c r="V469" s="220"/>
      <c r="W469" s="177">
        <f>IF(S469=0,0,IF(U469="MXN",1/HLOOKUP(YEAR(T469)+(MONTH(T469)/100),TC!$5:$37,DAY(T469)+2,FALSE),VLOOKUP(U469,Equivalencia!$1:$23,((MAX(Equivalencia!$3:$3)-YEAR(T469))*14)+MONTH(T469)+2,FALSE)))</f>
        <v>0</v>
      </c>
      <c r="X469" s="178">
        <f t="shared" si="79"/>
        <v>0</v>
      </c>
      <c r="Y469" s="178">
        <f t="shared" si="80"/>
        <v>0</v>
      </c>
      <c r="Z469" s="175">
        <f t="shared" si="72"/>
        <v>0</v>
      </c>
      <c r="AA469" s="179"/>
      <c r="AB469" s="467">
        <f t="shared" si="73"/>
        <v>0</v>
      </c>
      <c r="AC469" s="466">
        <f t="shared" si="74"/>
        <v>0</v>
      </c>
    </row>
    <row r="470" spans="2:29" ht="20.100000000000001" customHeight="1">
      <c r="B470" s="172"/>
      <c r="C470" s="172"/>
      <c r="D470" s="172"/>
      <c r="E470" s="181"/>
      <c r="F470" s="173"/>
      <c r="G470" s="174"/>
      <c r="H470" s="284"/>
      <c r="I470" s="221"/>
      <c r="J470" s="177">
        <f>IF(H470=0,0,IF(F470="MXN",1/HLOOKUP(YEAR(G470)+(MONTH(G470)/100),TC!$5:$37,DAY(G470)+2,FALSE),VLOOKUP(F470,Equivalencia!$5:$23,((MAX(Equivalencia!$3:$3)-YEAR(G470))*14)+MONTH(G470)+2,FALSE)))</f>
        <v>0</v>
      </c>
      <c r="K470" s="217">
        <f t="shared" si="75"/>
        <v>0</v>
      </c>
      <c r="L470" s="462">
        <f>IF(G470=0,0,VLOOKUP(YEAR(G470),INPC!$B$4:$O$29,MONTH(G470)+1))</f>
        <v>0</v>
      </c>
      <c r="M470" s="462">
        <f>IF(T470=0,0,VLOOKUP(YEAR(T470),INPC!$B$4:$O$29,MONTH(T470)+1))</f>
        <v>0</v>
      </c>
      <c r="N470" s="463">
        <f t="shared" si="71"/>
        <v>0</v>
      </c>
      <c r="O470" s="464">
        <f t="shared" si="76"/>
        <v>0</v>
      </c>
      <c r="P470" s="465">
        <f t="shared" si="77"/>
        <v>0</v>
      </c>
      <c r="Q470" s="606" t="str">
        <f t="shared" si="78"/>
        <v>NO</v>
      </c>
      <c r="R470" s="180"/>
      <c r="S470" s="173"/>
      <c r="T470" s="174"/>
      <c r="U470" s="173"/>
      <c r="V470" s="220"/>
      <c r="W470" s="177">
        <f>IF(S470=0,0,IF(U470="MXN",1/HLOOKUP(YEAR(T470)+(MONTH(T470)/100),TC!$5:$37,DAY(T470)+2,FALSE),VLOOKUP(U470,Equivalencia!$1:$23,((MAX(Equivalencia!$3:$3)-YEAR(T470))*14)+MONTH(T470)+2,FALSE)))</f>
        <v>0</v>
      </c>
      <c r="X470" s="178">
        <f t="shared" si="79"/>
        <v>0</v>
      </c>
      <c r="Y470" s="178">
        <f t="shared" si="80"/>
        <v>0</v>
      </c>
      <c r="Z470" s="175">
        <f t="shared" si="72"/>
        <v>0</v>
      </c>
      <c r="AA470" s="179"/>
      <c r="AB470" s="467">
        <f t="shared" si="73"/>
        <v>0</v>
      </c>
      <c r="AC470" s="466">
        <f t="shared" si="74"/>
        <v>0</v>
      </c>
    </row>
    <row r="471" spans="2:29" ht="20.100000000000001" customHeight="1">
      <c r="B471" s="172"/>
      <c r="C471" s="172"/>
      <c r="D471" s="172"/>
      <c r="E471" s="181"/>
      <c r="F471" s="173"/>
      <c r="G471" s="174"/>
      <c r="H471" s="284"/>
      <c r="I471" s="221"/>
      <c r="J471" s="177">
        <f>IF(H471=0,0,IF(F471="MXN",1/HLOOKUP(YEAR(G471)+(MONTH(G471)/100),TC!$5:$37,DAY(G471)+2,FALSE),VLOOKUP(F471,Equivalencia!$5:$23,((MAX(Equivalencia!$3:$3)-YEAR(G471))*14)+MONTH(G471)+2,FALSE)))</f>
        <v>0</v>
      </c>
      <c r="K471" s="217">
        <f t="shared" si="75"/>
        <v>0</v>
      </c>
      <c r="L471" s="462">
        <f>IF(G471=0,0,VLOOKUP(YEAR(G471),INPC!$B$4:$O$29,MONTH(G471)+1))</f>
        <v>0</v>
      </c>
      <c r="M471" s="462">
        <f>IF(T471=0,0,VLOOKUP(YEAR(T471),INPC!$B$4:$O$29,MONTH(T471)+1))</f>
        <v>0</v>
      </c>
      <c r="N471" s="463">
        <f t="shared" si="71"/>
        <v>0</v>
      </c>
      <c r="O471" s="464">
        <f t="shared" si="76"/>
        <v>0</v>
      </c>
      <c r="P471" s="465">
        <f t="shared" si="77"/>
        <v>0</v>
      </c>
      <c r="Q471" s="606" t="str">
        <f t="shared" si="78"/>
        <v>NO</v>
      </c>
      <c r="R471" s="180"/>
      <c r="S471" s="173"/>
      <c r="T471" s="174"/>
      <c r="U471" s="173"/>
      <c r="V471" s="220"/>
      <c r="W471" s="177">
        <f>IF(S471=0,0,IF(U471="MXN",1/HLOOKUP(YEAR(T471)+(MONTH(T471)/100),TC!$5:$37,DAY(T471)+2,FALSE),VLOOKUP(U471,Equivalencia!$1:$23,((MAX(Equivalencia!$3:$3)-YEAR(T471))*14)+MONTH(T471)+2,FALSE)))</f>
        <v>0</v>
      </c>
      <c r="X471" s="178">
        <f t="shared" si="79"/>
        <v>0</v>
      </c>
      <c r="Y471" s="178">
        <f t="shared" si="80"/>
        <v>0</v>
      </c>
      <c r="Z471" s="175">
        <f t="shared" si="72"/>
        <v>0</v>
      </c>
      <c r="AA471" s="179"/>
      <c r="AB471" s="467">
        <f t="shared" si="73"/>
        <v>0</v>
      </c>
      <c r="AC471" s="466">
        <f t="shared" si="74"/>
        <v>0</v>
      </c>
    </row>
    <row r="472" spans="2:29" ht="20.100000000000001" customHeight="1">
      <c r="B472" s="172"/>
      <c r="C472" s="172"/>
      <c r="D472" s="172"/>
      <c r="E472" s="181"/>
      <c r="F472" s="173"/>
      <c r="G472" s="174"/>
      <c r="H472" s="284"/>
      <c r="I472" s="221"/>
      <c r="J472" s="177">
        <f>IF(H472=0,0,IF(F472="MXN",1/HLOOKUP(YEAR(G472)+(MONTH(G472)/100),TC!$5:$37,DAY(G472)+2,FALSE),VLOOKUP(F472,Equivalencia!$5:$23,((MAX(Equivalencia!$3:$3)-YEAR(G472))*14)+MONTH(G472)+2,FALSE)))</f>
        <v>0</v>
      </c>
      <c r="K472" s="217">
        <f t="shared" si="75"/>
        <v>0</v>
      </c>
      <c r="L472" s="462">
        <f>IF(G472=0,0,VLOOKUP(YEAR(G472),INPC!$B$4:$O$29,MONTH(G472)+1))</f>
        <v>0</v>
      </c>
      <c r="M472" s="462">
        <f>IF(T472=0,0,VLOOKUP(YEAR(T472),INPC!$B$4:$O$29,MONTH(T472)+1))</f>
        <v>0</v>
      </c>
      <c r="N472" s="463">
        <f t="shared" si="71"/>
        <v>0</v>
      </c>
      <c r="O472" s="464">
        <f t="shared" si="76"/>
        <v>0</v>
      </c>
      <c r="P472" s="465">
        <f t="shared" si="77"/>
        <v>0</v>
      </c>
      <c r="Q472" s="606" t="str">
        <f t="shared" si="78"/>
        <v>NO</v>
      </c>
      <c r="R472" s="180"/>
      <c r="S472" s="173"/>
      <c r="T472" s="174"/>
      <c r="U472" s="173"/>
      <c r="V472" s="220"/>
      <c r="W472" s="177">
        <f>IF(S472=0,0,IF(U472="MXN",1/HLOOKUP(YEAR(T472)+(MONTH(T472)/100),TC!$5:$37,DAY(T472)+2,FALSE),VLOOKUP(U472,Equivalencia!$1:$23,((MAX(Equivalencia!$3:$3)-YEAR(T472))*14)+MONTH(T472)+2,FALSE)))</f>
        <v>0</v>
      </c>
      <c r="X472" s="178">
        <f t="shared" si="79"/>
        <v>0</v>
      </c>
      <c r="Y472" s="178">
        <f t="shared" si="80"/>
        <v>0</v>
      </c>
      <c r="Z472" s="175">
        <f t="shared" si="72"/>
        <v>0</v>
      </c>
      <c r="AA472" s="179"/>
      <c r="AB472" s="467">
        <f t="shared" si="73"/>
        <v>0</v>
      </c>
      <c r="AC472" s="466">
        <f t="shared" si="74"/>
        <v>0</v>
      </c>
    </row>
    <row r="473" spans="2:29" ht="20.100000000000001" customHeight="1">
      <c r="B473" s="172"/>
      <c r="C473" s="172"/>
      <c r="D473" s="172"/>
      <c r="E473" s="181"/>
      <c r="F473" s="173"/>
      <c r="G473" s="174"/>
      <c r="H473" s="284"/>
      <c r="I473" s="221"/>
      <c r="J473" s="177">
        <f>IF(H473=0,0,IF(F473="MXN",1/HLOOKUP(YEAR(G473)+(MONTH(G473)/100),TC!$5:$37,DAY(G473)+2,FALSE),VLOOKUP(F473,Equivalencia!$5:$23,((MAX(Equivalencia!$3:$3)-YEAR(G473))*14)+MONTH(G473)+2,FALSE)))</f>
        <v>0</v>
      </c>
      <c r="K473" s="217">
        <f t="shared" si="75"/>
        <v>0</v>
      </c>
      <c r="L473" s="462">
        <f>IF(G473=0,0,VLOOKUP(YEAR(G473),INPC!$B$4:$O$29,MONTH(G473)+1))</f>
        <v>0</v>
      </c>
      <c r="M473" s="462">
        <f>IF(T473=0,0,VLOOKUP(YEAR(T473),INPC!$B$4:$O$29,MONTH(T473)+1))</f>
        <v>0</v>
      </c>
      <c r="N473" s="463">
        <f t="shared" si="71"/>
        <v>0</v>
      </c>
      <c r="O473" s="464">
        <f t="shared" si="76"/>
        <v>0</v>
      </c>
      <c r="P473" s="465">
        <f t="shared" si="77"/>
        <v>0</v>
      </c>
      <c r="Q473" s="606" t="str">
        <f t="shared" si="78"/>
        <v>NO</v>
      </c>
      <c r="R473" s="180"/>
      <c r="S473" s="173"/>
      <c r="T473" s="174"/>
      <c r="U473" s="173"/>
      <c r="V473" s="220"/>
      <c r="W473" s="177">
        <f>IF(S473=0,0,IF(U473="MXN",1/HLOOKUP(YEAR(T473)+(MONTH(T473)/100),TC!$5:$37,DAY(T473)+2,FALSE),VLOOKUP(U473,Equivalencia!$1:$23,((MAX(Equivalencia!$3:$3)-YEAR(T473))*14)+MONTH(T473)+2,FALSE)))</f>
        <v>0</v>
      </c>
      <c r="X473" s="178">
        <f t="shared" si="79"/>
        <v>0</v>
      </c>
      <c r="Y473" s="178">
        <f t="shared" si="80"/>
        <v>0</v>
      </c>
      <c r="Z473" s="175">
        <f t="shared" si="72"/>
        <v>0</v>
      </c>
      <c r="AA473" s="179"/>
      <c r="AB473" s="467">
        <f t="shared" si="73"/>
        <v>0</v>
      </c>
      <c r="AC473" s="466">
        <f t="shared" si="74"/>
        <v>0</v>
      </c>
    </row>
    <row r="474" spans="2:29" ht="20.100000000000001" customHeight="1">
      <c r="B474" s="172"/>
      <c r="C474" s="172"/>
      <c r="D474" s="172"/>
      <c r="E474" s="181"/>
      <c r="F474" s="173"/>
      <c r="G474" s="174"/>
      <c r="H474" s="284"/>
      <c r="I474" s="221"/>
      <c r="J474" s="177">
        <f>IF(H474=0,0,IF(F474="MXN",1/HLOOKUP(YEAR(G474)+(MONTH(G474)/100),TC!$5:$37,DAY(G474)+2,FALSE),VLOOKUP(F474,Equivalencia!$5:$23,((MAX(Equivalencia!$3:$3)-YEAR(G474))*14)+MONTH(G474)+2,FALSE)))</f>
        <v>0</v>
      </c>
      <c r="K474" s="217">
        <f t="shared" si="75"/>
        <v>0</v>
      </c>
      <c r="L474" s="462">
        <f>IF(G474=0,0,VLOOKUP(YEAR(G474),INPC!$B$4:$O$29,MONTH(G474)+1))</f>
        <v>0</v>
      </c>
      <c r="M474" s="462">
        <f>IF(T474=0,0,VLOOKUP(YEAR(T474),INPC!$B$4:$O$29,MONTH(T474)+1))</f>
        <v>0</v>
      </c>
      <c r="N474" s="463">
        <f t="shared" si="71"/>
        <v>0</v>
      </c>
      <c r="O474" s="464">
        <f t="shared" si="76"/>
        <v>0</v>
      </c>
      <c r="P474" s="465">
        <f t="shared" si="77"/>
        <v>0</v>
      </c>
      <c r="Q474" s="606" t="str">
        <f t="shared" si="78"/>
        <v>NO</v>
      </c>
      <c r="R474" s="180"/>
      <c r="S474" s="173"/>
      <c r="T474" s="174"/>
      <c r="U474" s="173"/>
      <c r="V474" s="220"/>
      <c r="W474" s="177">
        <f>IF(S474=0,0,IF(U474="MXN",1/HLOOKUP(YEAR(T474)+(MONTH(T474)/100),TC!$5:$37,DAY(T474)+2,FALSE),VLOOKUP(U474,Equivalencia!$1:$23,((MAX(Equivalencia!$3:$3)-YEAR(T474))*14)+MONTH(T474)+2,FALSE)))</f>
        <v>0</v>
      </c>
      <c r="X474" s="178">
        <f t="shared" si="79"/>
        <v>0</v>
      </c>
      <c r="Y474" s="178">
        <f t="shared" si="80"/>
        <v>0</v>
      </c>
      <c r="Z474" s="175">
        <f t="shared" si="72"/>
        <v>0</v>
      </c>
      <c r="AA474" s="179"/>
      <c r="AB474" s="467">
        <f t="shared" si="73"/>
        <v>0</v>
      </c>
      <c r="AC474" s="466">
        <f t="shared" si="74"/>
        <v>0</v>
      </c>
    </row>
    <row r="475" spans="2:29" ht="20.100000000000001" customHeight="1">
      <c r="B475" s="172"/>
      <c r="C475" s="172"/>
      <c r="D475" s="172"/>
      <c r="E475" s="181"/>
      <c r="F475" s="173"/>
      <c r="G475" s="174"/>
      <c r="H475" s="284"/>
      <c r="I475" s="221"/>
      <c r="J475" s="177">
        <f>IF(H475=0,0,IF(F475="MXN",1/HLOOKUP(YEAR(G475)+(MONTH(G475)/100),TC!$5:$37,DAY(G475)+2,FALSE),VLOOKUP(F475,Equivalencia!$5:$23,((MAX(Equivalencia!$3:$3)-YEAR(G475))*14)+MONTH(G475)+2,FALSE)))</f>
        <v>0</v>
      </c>
      <c r="K475" s="217">
        <f t="shared" si="75"/>
        <v>0</v>
      </c>
      <c r="L475" s="462">
        <f>IF(G475=0,0,VLOOKUP(YEAR(G475),INPC!$B$4:$O$29,MONTH(G475)+1))</f>
        <v>0</v>
      </c>
      <c r="M475" s="462">
        <f>IF(T475=0,0,VLOOKUP(YEAR(T475),INPC!$B$4:$O$29,MONTH(T475)+1))</f>
        <v>0</v>
      </c>
      <c r="N475" s="463">
        <f t="shared" si="71"/>
        <v>0</v>
      </c>
      <c r="O475" s="464">
        <f t="shared" si="76"/>
        <v>0</v>
      </c>
      <c r="P475" s="465">
        <f t="shared" si="77"/>
        <v>0</v>
      </c>
      <c r="Q475" s="606" t="str">
        <f t="shared" si="78"/>
        <v>NO</v>
      </c>
      <c r="R475" s="180"/>
      <c r="S475" s="173"/>
      <c r="T475" s="174"/>
      <c r="U475" s="173"/>
      <c r="V475" s="220"/>
      <c r="W475" s="177">
        <f>IF(S475=0,0,IF(U475="MXN",1/HLOOKUP(YEAR(T475)+(MONTH(T475)/100),TC!$5:$37,DAY(T475)+2,FALSE),VLOOKUP(U475,Equivalencia!$1:$23,((MAX(Equivalencia!$3:$3)-YEAR(T475))*14)+MONTH(T475)+2,FALSE)))</f>
        <v>0</v>
      </c>
      <c r="X475" s="178">
        <f t="shared" si="79"/>
        <v>0</v>
      </c>
      <c r="Y475" s="178">
        <f t="shared" si="80"/>
        <v>0</v>
      </c>
      <c r="Z475" s="175">
        <f t="shared" si="72"/>
        <v>0</v>
      </c>
      <c r="AA475" s="179"/>
      <c r="AB475" s="467">
        <f t="shared" si="73"/>
        <v>0</v>
      </c>
      <c r="AC475" s="466">
        <f t="shared" si="74"/>
        <v>0</v>
      </c>
    </row>
    <row r="476" spans="2:29" ht="20.100000000000001" customHeight="1">
      <c r="B476" s="172"/>
      <c r="C476" s="172"/>
      <c r="D476" s="172"/>
      <c r="E476" s="181"/>
      <c r="F476" s="173"/>
      <c r="G476" s="174"/>
      <c r="H476" s="284"/>
      <c r="I476" s="221"/>
      <c r="J476" s="177">
        <f>IF(H476=0,0,IF(F476="MXN",1/HLOOKUP(YEAR(G476)+(MONTH(G476)/100),TC!$5:$37,DAY(G476)+2,FALSE),VLOOKUP(F476,Equivalencia!$5:$23,((MAX(Equivalencia!$3:$3)-YEAR(G476))*14)+MONTH(G476)+2,FALSE)))</f>
        <v>0</v>
      </c>
      <c r="K476" s="217">
        <f t="shared" si="75"/>
        <v>0</v>
      </c>
      <c r="L476" s="462">
        <f>IF(G476=0,0,VLOOKUP(YEAR(G476),INPC!$B$4:$O$29,MONTH(G476)+1))</f>
        <v>0</v>
      </c>
      <c r="M476" s="462">
        <f>IF(T476=0,0,VLOOKUP(YEAR(T476),INPC!$B$4:$O$29,MONTH(T476)+1))</f>
        <v>0</v>
      </c>
      <c r="N476" s="463">
        <f t="shared" si="71"/>
        <v>0</v>
      </c>
      <c r="O476" s="464">
        <f t="shared" si="76"/>
        <v>0</v>
      </c>
      <c r="P476" s="465">
        <f t="shared" si="77"/>
        <v>0</v>
      </c>
      <c r="Q476" s="606" t="str">
        <f t="shared" si="78"/>
        <v>NO</v>
      </c>
      <c r="R476" s="180"/>
      <c r="S476" s="173"/>
      <c r="T476" s="174"/>
      <c r="U476" s="173"/>
      <c r="V476" s="220"/>
      <c r="W476" s="177">
        <f>IF(S476=0,0,IF(U476="MXN",1/HLOOKUP(YEAR(T476)+(MONTH(T476)/100),TC!$5:$37,DAY(T476)+2,FALSE),VLOOKUP(U476,Equivalencia!$1:$23,((MAX(Equivalencia!$3:$3)-YEAR(T476))*14)+MONTH(T476)+2,FALSE)))</f>
        <v>0</v>
      </c>
      <c r="X476" s="178">
        <f t="shared" si="79"/>
        <v>0</v>
      </c>
      <c r="Y476" s="178">
        <f t="shared" si="80"/>
        <v>0</v>
      </c>
      <c r="Z476" s="175">
        <f t="shared" si="72"/>
        <v>0</v>
      </c>
      <c r="AA476" s="179"/>
      <c r="AB476" s="467">
        <f t="shared" si="73"/>
        <v>0</v>
      </c>
      <c r="AC476" s="466">
        <f t="shared" si="74"/>
        <v>0</v>
      </c>
    </row>
    <row r="477" spans="2:29" ht="20.100000000000001" customHeight="1">
      <c r="B477" s="172"/>
      <c r="C477" s="172"/>
      <c r="D477" s="172"/>
      <c r="E477" s="181"/>
      <c r="F477" s="173"/>
      <c r="G477" s="174"/>
      <c r="H477" s="284"/>
      <c r="I477" s="221"/>
      <c r="J477" s="177">
        <f>IF(H477=0,0,IF(F477="MXN",1/HLOOKUP(YEAR(G477)+(MONTH(G477)/100),TC!$5:$37,DAY(G477)+2,FALSE),VLOOKUP(F477,Equivalencia!$5:$23,((MAX(Equivalencia!$3:$3)-YEAR(G477))*14)+MONTH(G477)+2,FALSE)))</f>
        <v>0</v>
      </c>
      <c r="K477" s="217">
        <f t="shared" si="75"/>
        <v>0</v>
      </c>
      <c r="L477" s="462">
        <f>IF(G477=0,0,VLOOKUP(YEAR(G477),INPC!$B$4:$O$29,MONTH(G477)+1))</f>
        <v>0</v>
      </c>
      <c r="M477" s="462">
        <f>IF(T477=0,0,VLOOKUP(YEAR(T477),INPC!$B$4:$O$29,MONTH(T477)+1))</f>
        <v>0</v>
      </c>
      <c r="N477" s="463">
        <f t="shared" si="71"/>
        <v>0</v>
      </c>
      <c r="O477" s="464">
        <f t="shared" si="76"/>
        <v>0</v>
      </c>
      <c r="P477" s="465">
        <f t="shared" si="77"/>
        <v>0</v>
      </c>
      <c r="Q477" s="606" t="str">
        <f t="shared" si="78"/>
        <v>NO</v>
      </c>
      <c r="R477" s="180"/>
      <c r="S477" s="173"/>
      <c r="T477" s="174"/>
      <c r="U477" s="173"/>
      <c r="V477" s="220"/>
      <c r="W477" s="177">
        <f>IF(S477=0,0,IF(U477="MXN",1/HLOOKUP(YEAR(T477)+(MONTH(T477)/100),TC!$5:$37,DAY(T477)+2,FALSE),VLOOKUP(U477,Equivalencia!$1:$23,((MAX(Equivalencia!$3:$3)-YEAR(T477))*14)+MONTH(T477)+2,FALSE)))</f>
        <v>0</v>
      </c>
      <c r="X477" s="178">
        <f t="shared" si="79"/>
        <v>0</v>
      </c>
      <c r="Y477" s="178">
        <f t="shared" si="80"/>
        <v>0</v>
      </c>
      <c r="Z477" s="175">
        <f t="shared" si="72"/>
        <v>0</v>
      </c>
      <c r="AA477" s="179"/>
      <c r="AB477" s="467">
        <f t="shared" si="73"/>
        <v>0</v>
      </c>
      <c r="AC477" s="466">
        <f t="shared" si="74"/>
        <v>0</v>
      </c>
    </row>
    <row r="478" spans="2:29" ht="20.100000000000001" customHeight="1">
      <c r="B478" s="172"/>
      <c r="C478" s="172"/>
      <c r="D478" s="172"/>
      <c r="E478" s="181"/>
      <c r="F478" s="173"/>
      <c r="G478" s="174"/>
      <c r="H478" s="284"/>
      <c r="I478" s="221"/>
      <c r="J478" s="177">
        <f>IF(H478=0,0,IF(F478="MXN",1/HLOOKUP(YEAR(G478)+(MONTH(G478)/100),TC!$5:$37,DAY(G478)+2,FALSE),VLOOKUP(F478,Equivalencia!$5:$23,((MAX(Equivalencia!$3:$3)-YEAR(G478))*14)+MONTH(G478)+2,FALSE)))</f>
        <v>0</v>
      </c>
      <c r="K478" s="217">
        <f t="shared" si="75"/>
        <v>0</v>
      </c>
      <c r="L478" s="462">
        <f>IF(G478=0,0,VLOOKUP(YEAR(G478),INPC!$B$4:$O$29,MONTH(G478)+1))</f>
        <v>0</v>
      </c>
      <c r="M478" s="462">
        <f>IF(T478=0,0,VLOOKUP(YEAR(T478),INPC!$B$4:$O$29,MONTH(T478)+1))</f>
        <v>0</v>
      </c>
      <c r="N478" s="463">
        <f t="shared" si="71"/>
        <v>0</v>
      </c>
      <c r="O478" s="464">
        <f t="shared" si="76"/>
        <v>0</v>
      </c>
      <c r="P478" s="465">
        <f t="shared" si="77"/>
        <v>0</v>
      </c>
      <c r="Q478" s="606" t="str">
        <f t="shared" si="78"/>
        <v>NO</v>
      </c>
      <c r="R478" s="180"/>
      <c r="S478" s="173"/>
      <c r="T478" s="174"/>
      <c r="U478" s="173"/>
      <c r="V478" s="220"/>
      <c r="W478" s="177">
        <f>IF(S478=0,0,IF(U478="MXN",1/HLOOKUP(YEAR(T478)+(MONTH(T478)/100),TC!$5:$37,DAY(T478)+2,FALSE),VLOOKUP(U478,Equivalencia!$1:$23,((MAX(Equivalencia!$3:$3)-YEAR(T478))*14)+MONTH(T478)+2,FALSE)))</f>
        <v>0</v>
      </c>
      <c r="X478" s="178">
        <f t="shared" si="79"/>
        <v>0</v>
      </c>
      <c r="Y478" s="178">
        <f t="shared" si="80"/>
        <v>0</v>
      </c>
      <c r="Z478" s="175">
        <f t="shared" si="72"/>
        <v>0</v>
      </c>
      <c r="AA478" s="179"/>
      <c r="AB478" s="467">
        <f t="shared" si="73"/>
        <v>0</v>
      </c>
      <c r="AC478" s="466">
        <f t="shared" si="74"/>
        <v>0</v>
      </c>
    </row>
    <row r="479" spans="2:29" ht="20.100000000000001" customHeight="1">
      <c r="B479" s="172"/>
      <c r="C479" s="172"/>
      <c r="D479" s="172"/>
      <c r="E479" s="181"/>
      <c r="F479" s="173"/>
      <c r="G479" s="174"/>
      <c r="H479" s="284"/>
      <c r="I479" s="221"/>
      <c r="J479" s="177">
        <f>IF(H479=0,0,IF(F479="MXN",1/HLOOKUP(YEAR(G479)+(MONTH(G479)/100),TC!$5:$37,DAY(G479)+2,FALSE),VLOOKUP(F479,Equivalencia!$5:$23,((MAX(Equivalencia!$3:$3)-YEAR(G479))*14)+MONTH(G479)+2,FALSE)))</f>
        <v>0</v>
      </c>
      <c r="K479" s="217">
        <f t="shared" si="75"/>
        <v>0</v>
      </c>
      <c r="L479" s="462">
        <f>IF(G479=0,0,VLOOKUP(YEAR(G479),INPC!$B$4:$O$29,MONTH(G479)+1))</f>
        <v>0</v>
      </c>
      <c r="M479" s="462">
        <f>IF(T479=0,0,VLOOKUP(YEAR(T479),INPC!$B$4:$O$29,MONTH(T479)+1))</f>
        <v>0</v>
      </c>
      <c r="N479" s="463">
        <f t="shared" si="71"/>
        <v>0</v>
      </c>
      <c r="O479" s="464">
        <f t="shared" si="76"/>
        <v>0</v>
      </c>
      <c r="P479" s="465">
        <f t="shared" si="77"/>
        <v>0</v>
      </c>
      <c r="Q479" s="606" t="str">
        <f t="shared" si="78"/>
        <v>NO</v>
      </c>
      <c r="R479" s="180"/>
      <c r="S479" s="173"/>
      <c r="T479" s="174"/>
      <c r="U479" s="173"/>
      <c r="V479" s="220"/>
      <c r="W479" s="177">
        <f>IF(S479=0,0,IF(U479="MXN",1/HLOOKUP(YEAR(T479)+(MONTH(T479)/100),TC!$5:$37,DAY(T479)+2,FALSE),VLOOKUP(U479,Equivalencia!$1:$23,((MAX(Equivalencia!$3:$3)-YEAR(T479))*14)+MONTH(T479)+2,FALSE)))</f>
        <v>0</v>
      </c>
      <c r="X479" s="178">
        <f t="shared" si="79"/>
        <v>0</v>
      </c>
      <c r="Y479" s="178">
        <f t="shared" si="80"/>
        <v>0</v>
      </c>
      <c r="Z479" s="175">
        <f t="shared" si="72"/>
        <v>0</v>
      </c>
      <c r="AA479" s="179"/>
      <c r="AB479" s="467">
        <f t="shared" si="73"/>
        <v>0</v>
      </c>
      <c r="AC479" s="466">
        <f t="shared" si="74"/>
        <v>0</v>
      </c>
    </row>
    <row r="480" spans="2:29" ht="20.100000000000001" customHeight="1">
      <c r="B480" s="172"/>
      <c r="C480" s="172"/>
      <c r="D480" s="172"/>
      <c r="E480" s="181"/>
      <c r="F480" s="173"/>
      <c r="G480" s="174"/>
      <c r="H480" s="284"/>
      <c r="I480" s="221"/>
      <c r="J480" s="177">
        <f>IF(H480=0,0,IF(F480="MXN",1/HLOOKUP(YEAR(G480)+(MONTH(G480)/100),TC!$5:$37,DAY(G480)+2,FALSE),VLOOKUP(F480,Equivalencia!$5:$23,((MAX(Equivalencia!$3:$3)-YEAR(G480))*14)+MONTH(G480)+2,FALSE)))</f>
        <v>0</v>
      </c>
      <c r="K480" s="217">
        <f t="shared" si="75"/>
        <v>0</v>
      </c>
      <c r="L480" s="462">
        <f>IF(G480=0,0,VLOOKUP(YEAR(G480),INPC!$B$4:$O$29,MONTH(G480)+1))</f>
        <v>0</v>
      </c>
      <c r="M480" s="462">
        <f>IF(T480=0,0,VLOOKUP(YEAR(T480),INPC!$B$4:$O$29,MONTH(T480)+1))</f>
        <v>0</v>
      </c>
      <c r="N480" s="463">
        <f t="shared" si="71"/>
        <v>0</v>
      </c>
      <c r="O480" s="464">
        <f t="shared" si="76"/>
        <v>0</v>
      </c>
      <c r="P480" s="465">
        <f t="shared" si="77"/>
        <v>0</v>
      </c>
      <c r="Q480" s="606" t="str">
        <f t="shared" si="78"/>
        <v>NO</v>
      </c>
      <c r="R480" s="180"/>
      <c r="S480" s="173"/>
      <c r="T480" s="174"/>
      <c r="U480" s="173"/>
      <c r="V480" s="220"/>
      <c r="W480" s="177">
        <f>IF(S480=0,0,IF(U480="MXN",1/HLOOKUP(YEAR(T480)+(MONTH(T480)/100),TC!$5:$37,DAY(T480)+2,FALSE),VLOOKUP(U480,Equivalencia!$1:$23,((MAX(Equivalencia!$3:$3)-YEAR(T480))*14)+MONTH(T480)+2,FALSE)))</f>
        <v>0</v>
      </c>
      <c r="X480" s="178">
        <f t="shared" si="79"/>
        <v>0</v>
      </c>
      <c r="Y480" s="178">
        <f t="shared" si="80"/>
        <v>0</v>
      </c>
      <c r="Z480" s="175">
        <f t="shared" si="72"/>
        <v>0</v>
      </c>
      <c r="AA480" s="179"/>
      <c r="AB480" s="467">
        <f t="shared" si="73"/>
        <v>0</v>
      </c>
      <c r="AC480" s="466">
        <f t="shared" si="74"/>
        <v>0</v>
      </c>
    </row>
    <row r="481" spans="2:29" ht="20.100000000000001" customHeight="1">
      <c r="B481" s="172"/>
      <c r="C481" s="172"/>
      <c r="D481" s="172"/>
      <c r="E481" s="181"/>
      <c r="F481" s="173"/>
      <c r="G481" s="174"/>
      <c r="H481" s="284"/>
      <c r="I481" s="221"/>
      <c r="J481" s="177">
        <f>IF(H481=0,0,IF(F481="MXN",1/HLOOKUP(YEAR(G481)+(MONTH(G481)/100),TC!$5:$37,DAY(G481)+2,FALSE),VLOOKUP(F481,Equivalencia!$5:$23,((MAX(Equivalencia!$3:$3)-YEAR(G481))*14)+MONTH(G481)+2,FALSE)))</f>
        <v>0</v>
      </c>
      <c r="K481" s="217">
        <f t="shared" si="75"/>
        <v>0</v>
      </c>
      <c r="L481" s="462">
        <f>IF(G481=0,0,VLOOKUP(YEAR(G481),INPC!$B$4:$O$29,MONTH(G481)+1))</f>
        <v>0</v>
      </c>
      <c r="M481" s="462">
        <f>IF(T481=0,0,VLOOKUP(YEAR(T481),INPC!$B$4:$O$29,MONTH(T481)+1))</f>
        <v>0</v>
      </c>
      <c r="N481" s="463">
        <f t="shared" si="71"/>
        <v>0</v>
      </c>
      <c r="O481" s="464">
        <f t="shared" si="76"/>
        <v>0</v>
      </c>
      <c r="P481" s="465">
        <f t="shared" si="77"/>
        <v>0</v>
      </c>
      <c r="Q481" s="606" t="str">
        <f t="shared" si="78"/>
        <v>NO</v>
      </c>
      <c r="R481" s="180"/>
      <c r="S481" s="173"/>
      <c r="T481" s="174"/>
      <c r="U481" s="173"/>
      <c r="V481" s="220"/>
      <c r="W481" s="177">
        <f>IF(S481=0,0,IF(U481="MXN",1/HLOOKUP(YEAR(T481)+(MONTH(T481)/100),TC!$5:$37,DAY(T481)+2,FALSE),VLOOKUP(U481,Equivalencia!$1:$23,((MAX(Equivalencia!$3:$3)-YEAR(T481))*14)+MONTH(T481)+2,FALSE)))</f>
        <v>0</v>
      </c>
      <c r="X481" s="178">
        <f t="shared" si="79"/>
        <v>0</v>
      </c>
      <c r="Y481" s="178">
        <f t="shared" si="80"/>
        <v>0</v>
      </c>
      <c r="Z481" s="175">
        <f t="shared" si="72"/>
        <v>0</v>
      </c>
      <c r="AA481" s="179"/>
      <c r="AB481" s="467">
        <f t="shared" si="73"/>
        <v>0</v>
      </c>
      <c r="AC481" s="466">
        <f t="shared" si="74"/>
        <v>0</v>
      </c>
    </row>
    <row r="482" spans="2:29" ht="20.100000000000001" customHeight="1">
      <c r="B482" s="172"/>
      <c r="C482" s="172"/>
      <c r="D482" s="172"/>
      <c r="E482" s="181"/>
      <c r="F482" s="173"/>
      <c r="G482" s="174"/>
      <c r="H482" s="284"/>
      <c r="I482" s="221"/>
      <c r="J482" s="177">
        <f>IF(H482=0,0,IF(F482="MXN",1/HLOOKUP(YEAR(G482)+(MONTH(G482)/100),TC!$5:$37,DAY(G482)+2,FALSE),VLOOKUP(F482,Equivalencia!$5:$23,((MAX(Equivalencia!$3:$3)-YEAR(G482))*14)+MONTH(G482)+2,FALSE)))</f>
        <v>0</v>
      </c>
      <c r="K482" s="217">
        <f t="shared" si="75"/>
        <v>0</v>
      </c>
      <c r="L482" s="462">
        <f>IF(G482=0,0,VLOOKUP(YEAR(G482),INPC!$B$4:$O$29,MONTH(G482)+1))</f>
        <v>0</v>
      </c>
      <c r="M482" s="462">
        <f>IF(T482=0,0,VLOOKUP(YEAR(T482),INPC!$B$4:$O$29,MONTH(T482)+1))</f>
        <v>0</v>
      </c>
      <c r="N482" s="463">
        <f t="shared" si="71"/>
        <v>0</v>
      </c>
      <c r="O482" s="464">
        <f t="shared" si="76"/>
        <v>0</v>
      </c>
      <c r="P482" s="465">
        <f t="shared" si="77"/>
        <v>0</v>
      </c>
      <c r="Q482" s="606" t="str">
        <f t="shared" si="78"/>
        <v>NO</v>
      </c>
      <c r="R482" s="180"/>
      <c r="S482" s="173"/>
      <c r="T482" s="174"/>
      <c r="U482" s="173"/>
      <c r="V482" s="220"/>
      <c r="W482" s="177">
        <f>IF(S482=0,0,IF(U482="MXN",1/HLOOKUP(YEAR(T482)+(MONTH(T482)/100),TC!$5:$37,DAY(T482)+2,FALSE),VLOOKUP(U482,Equivalencia!$1:$23,((MAX(Equivalencia!$3:$3)-YEAR(T482))*14)+MONTH(T482)+2,FALSE)))</f>
        <v>0</v>
      </c>
      <c r="X482" s="178">
        <f t="shared" si="79"/>
        <v>0</v>
      </c>
      <c r="Y482" s="178">
        <f t="shared" si="80"/>
        <v>0</v>
      </c>
      <c r="Z482" s="175">
        <f t="shared" si="72"/>
        <v>0</v>
      </c>
      <c r="AA482" s="179"/>
      <c r="AB482" s="467">
        <f t="shared" si="73"/>
        <v>0</v>
      </c>
      <c r="AC482" s="466">
        <f t="shared" si="74"/>
        <v>0</v>
      </c>
    </row>
    <row r="483" spans="2:29" ht="20.100000000000001" customHeight="1">
      <c r="B483" s="172"/>
      <c r="C483" s="172"/>
      <c r="D483" s="172"/>
      <c r="E483" s="181"/>
      <c r="F483" s="173"/>
      <c r="G483" s="174"/>
      <c r="H483" s="284"/>
      <c r="I483" s="221"/>
      <c r="J483" s="177">
        <f>IF(H483=0,0,IF(F483="MXN",1/HLOOKUP(YEAR(G483)+(MONTH(G483)/100),TC!$5:$37,DAY(G483)+2,FALSE),VLOOKUP(F483,Equivalencia!$5:$23,((MAX(Equivalencia!$3:$3)-YEAR(G483))*14)+MONTH(G483)+2,FALSE)))</f>
        <v>0</v>
      </c>
      <c r="K483" s="217">
        <f t="shared" si="75"/>
        <v>0</v>
      </c>
      <c r="L483" s="462">
        <f>IF(G483=0,0,VLOOKUP(YEAR(G483),INPC!$B$4:$O$29,MONTH(G483)+1))</f>
        <v>0</v>
      </c>
      <c r="M483" s="462">
        <f>IF(T483=0,0,VLOOKUP(YEAR(T483),INPC!$B$4:$O$29,MONTH(T483)+1))</f>
        <v>0</v>
      </c>
      <c r="N483" s="463">
        <f t="shared" si="71"/>
        <v>0</v>
      </c>
      <c r="O483" s="464">
        <f t="shared" si="76"/>
        <v>0</v>
      </c>
      <c r="P483" s="465">
        <f t="shared" si="77"/>
        <v>0</v>
      </c>
      <c r="Q483" s="606" t="str">
        <f t="shared" si="78"/>
        <v>NO</v>
      </c>
      <c r="R483" s="180"/>
      <c r="S483" s="173"/>
      <c r="T483" s="174"/>
      <c r="U483" s="173"/>
      <c r="V483" s="220"/>
      <c r="W483" s="177">
        <f>IF(S483=0,0,IF(U483="MXN",1/HLOOKUP(YEAR(T483)+(MONTH(T483)/100),TC!$5:$37,DAY(T483)+2,FALSE),VLOOKUP(U483,Equivalencia!$1:$23,((MAX(Equivalencia!$3:$3)-YEAR(T483))*14)+MONTH(T483)+2,FALSE)))</f>
        <v>0</v>
      </c>
      <c r="X483" s="178">
        <f t="shared" si="79"/>
        <v>0</v>
      </c>
      <c r="Y483" s="178">
        <f t="shared" si="80"/>
        <v>0</v>
      </c>
      <c r="Z483" s="175">
        <f t="shared" si="72"/>
        <v>0</v>
      </c>
      <c r="AA483" s="179"/>
      <c r="AB483" s="467">
        <f t="shared" si="73"/>
        <v>0</v>
      </c>
      <c r="AC483" s="466">
        <f t="shared" si="74"/>
        <v>0</v>
      </c>
    </row>
    <row r="484" spans="2:29" ht="20.100000000000001" customHeight="1">
      <c r="B484" s="172"/>
      <c r="C484" s="172"/>
      <c r="D484" s="172"/>
      <c r="E484" s="181"/>
      <c r="F484" s="173"/>
      <c r="G484" s="174"/>
      <c r="H484" s="284"/>
      <c r="I484" s="221"/>
      <c r="J484" s="177">
        <f>IF(H484=0,0,IF(F484="MXN",1/HLOOKUP(YEAR(G484)+(MONTH(G484)/100),TC!$5:$37,DAY(G484)+2,FALSE),VLOOKUP(F484,Equivalencia!$5:$23,((MAX(Equivalencia!$3:$3)-YEAR(G484))*14)+MONTH(G484)+2,FALSE)))</f>
        <v>0</v>
      </c>
      <c r="K484" s="217">
        <f t="shared" si="75"/>
        <v>0</v>
      </c>
      <c r="L484" s="462">
        <f>IF(G484=0,0,VLOOKUP(YEAR(G484),INPC!$B$4:$O$29,MONTH(G484)+1))</f>
        <v>0</v>
      </c>
      <c r="M484" s="462">
        <f>IF(T484=0,0,VLOOKUP(YEAR(T484),INPC!$B$4:$O$29,MONTH(T484)+1))</f>
        <v>0</v>
      </c>
      <c r="N484" s="463">
        <f t="shared" si="71"/>
        <v>0</v>
      </c>
      <c r="O484" s="464">
        <f t="shared" si="76"/>
        <v>0</v>
      </c>
      <c r="P484" s="465">
        <f t="shared" si="77"/>
        <v>0</v>
      </c>
      <c r="Q484" s="606" t="str">
        <f t="shared" si="78"/>
        <v>NO</v>
      </c>
      <c r="R484" s="180"/>
      <c r="S484" s="173"/>
      <c r="T484" s="174"/>
      <c r="U484" s="173"/>
      <c r="V484" s="220"/>
      <c r="W484" s="177">
        <f>IF(S484=0,0,IF(U484="MXN",1/HLOOKUP(YEAR(T484)+(MONTH(T484)/100),TC!$5:$37,DAY(T484)+2,FALSE),VLOOKUP(U484,Equivalencia!$1:$23,((MAX(Equivalencia!$3:$3)-YEAR(T484))*14)+MONTH(T484)+2,FALSE)))</f>
        <v>0</v>
      </c>
      <c r="X484" s="178">
        <f t="shared" si="79"/>
        <v>0</v>
      </c>
      <c r="Y484" s="178">
        <f t="shared" si="80"/>
        <v>0</v>
      </c>
      <c r="Z484" s="175">
        <f t="shared" si="72"/>
        <v>0</v>
      </c>
      <c r="AA484" s="179"/>
      <c r="AB484" s="467">
        <f t="shared" si="73"/>
        <v>0</v>
      </c>
      <c r="AC484" s="466">
        <f t="shared" si="74"/>
        <v>0</v>
      </c>
    </row>
    <row r="485" spans="2:29" ht="20.100000000000001" customHeight="1">
      <c r="B485" s="172"/>
      <c r="C485" s="172"/>
      <c r="D485" s="172"/>
      <c r="E485" s="181"/>
      <c r="F485" s="173"/>
      <c r="G485" s="174"/>
      <c r="H485" s="284"/>
      <c r="I485" s="221"/>
      <c r="J485" s="177">
        <f>IF(H485=0,0,IF(F485="MXN",1/HLOOKUP(YEAR(G485)+(MONTH(G485)/100),TC!$5:$37,DAY(G485)+2,FALSE),VLOOKUP(F485,Equivalencia!$5:$23,((MAX(Equivalencia!$3:$3)-YEAR(G485))*14)+MONTH(G485)+2,FALSE)))</f>
        <v>0</v>
      </c>
      <c r="K485" s="217">
        <f t="shared" si="75"/>
        <v>0</v>
      </c>
      <c r="L485" s="462">
        <f>IF(G485=0,0,VLOOKUP(YEAR(G485),INPC!$B$4:$O$29,MONTH(G485)+1))</f>
        <v>0</v>
      </c>
      <c r="M485" s="462">
        <f>IF(T485=0,0,VLOOKUP(YEAR(T485),INPC!$B$4:$O$29,MONTH(T485)+1))</f>
        <v>0</v>
      </c>
      <c r="N485" s="463">
        <f t="shared" si="71"/>
        <v>0</v>
      </c>
      <c r="O485" s="464">
        <f t="shared" si="76"/>
        <v>0</v>
      </c>
      <c r="P485" s="465">
        <f t="shared" si="77"/>
        <v>0</v>
      </c>
      <c r="Q485" s="606" t="str">
        <f t="shared" si="78"/>
        <v>NO</v>
      </c>
      <c r="R485" s="180"/>
      <c r="S485" s="173"/>
      <c r="T485" s="174"/>
      <c r="U485" s="173"/>
      <c r="V485" s="220"/>
      <c r="W485" s="177">
        <f>IF(S485=0,0,IF(U485="MXN",1/HLOOKUP(YEAR(T485)+(MONTH(T485)/100),TC!$5:$37,DAY(T485)+2,FALSE),VLOOKUP(U485,Equivalencia!$1:$23,((MAX(Equivalencia!$3:$3)-YEAR(T485))*14)+MONTH(T485)+2,FALSE)))</f>
        <v>0</v>
      </c>
      <c r="X485" s="178">
        <f t="shared" si="79"/>
        <v>0</v>
      </c>
      <c r="Y485" s="178">
        <f t="shared" si="80"/>
        <v>0</v>
      </c>
      <c r="Z485" s="175">
        <f t="shared" si="72"/>
        <v>0</v>
      </c>
      <c r="AA485" s="179"/>
      <c r="AB485" s="467">
        <f t="shared" si="73"/>
        <v>0</v>
      </c>
      <c r="AC485" s="466">
        <f t="shared" si="74"/>
        <v>0</v>
      </c>
    </row>
    <row r="486" spans="2:29" ht="20.100000000000001" customHeight="1">
      <c r="B486" s="172"/>
      <c r="C486" s="172"/>
      <c r="D486" s="172"/>
      <c r="E486" s="181"/>
      <c r="F486" s="173"/>
      <c r="G486" s="174"/>
      <c r="H486" s="284"/>
      <c r="I486" s="221"/>
      <c r="J486" s="177">
        <f>IF(H486=0,0,IF(F486="MXN",1/HLOOKUP(YEAR(G486)+(MONTH(G486)/100),TC!$5:$37,DAY(G486)+2,FALSE),VLOOKUP(F486,Equivalencia!$5:$23,((MAX(Equivalencia!$3:$3)-YEAR(G486))*14)+MONTH(G486)+2,FALSE)))</f>
        <v>0</v>
      </c>
      <c r="K486" s="217">
        <f t="shared" si="75"/>
        <v>0</v>
      </c>
      <c r="L486" s="462">
        <f>IF(G486=0,0,VLOOKUP(YEAR(G486),INPC!$B$4:$O$29,MONTH(G486)+1))</f>
        <v>0</v>
      </c>
      <c r="M486" s="462">
        <f>IF(T486=0,0,VLOOKUP(YEAR(T486),INPC!$B$4:$O$29,MONTH(T486)+1))</f>
        <v>0</v>
      </c>
      <c r="N486" s="463">
        <f t="shared" si="71"/>
        <v>0</v>
      </c>
      <c r="O486" s="464">
        <f t="shared" si="76"/>
        <v>0</v>
      </c>
      <c r="P486" s="465">
        <f t="shared" si="77"/>
        <v>0</v>
      </c>
      <c r="Q486" s="606" t="str">
        <f t="shared" si="78"/>
        <v>NO</v>
      </c>
      <c r="R486" s="180"/>
      <c r="S486" s="173"/>
      <c r="T486" s="174"/>
      <c r="U486" s="173"/>
      <c r="V486" s="220"/>
      <c r="W486" s="177">
        <f>IF(S486=0,0,IF(U486="MXN",1/HLOOKUP(YEAR(T486)+(MONTH(T486)/100),TC!$5:$37,DAY(T486)+2,FALSE),VLOOKUP(U486,Equivalencia!$1:$23,((MAX(Equivalencia!$3:$3)-YEAR(T486))*14)+MONTH(T486)+2,FALSE)))</f>
        <v>0</v>
      </c>
      <c r="X486" s="178">
        <f t="shared" si="79"/>
        <v>0</v>
      </c>
      <c r="Y486" s="178">
        <f t="shared" si="80"/>
        <v>0</v>
      </c>
      <c r="Z486" s="175">
        <f t="shared" si="72"/>
        <v>0</v>
      </c>
      <c r="AA486" s="179"/>
      <c r="AB486" s="467">
        <f t="shared" si="73"/>
        <v>0</v>
      </c>
      <c r="AC486" s="466">
        <f t="shared" si="74"/>
        <v>0</v>
      </c>
    </row>
    <row r="487" spans="2:29" ht="20.100000000000001" customHeight="1">
      <c r="B487" s="172"/>
      <c r="C487" s="172"/>
      <c r="D487" s="172"/>
      <c r="E487" s="181"/>
      <c r="F487" s="173"/>
      <c r="G487" s="174"/>
      <c r="H487" s="284"/>
      <c r="I487" s="221"/>
      <c r="J487" s="177">
        <f>IF(H487=0,0,IF(F487="MXN",1/HLOOKUP(YEAR(G487)+(MONTH(G487)/100),TC!$5:$37,DAY(G487)+2,FALSE),VLOOKUP(F487,Equivalencia!$5:$23,((MAX(Equivalencia!$3:$3)-YEAR(G487))*14)+MONTH(G487)+2,FALSE)))</f>
        <v>0</v>
      </c>
      <c r="K487" s="217">
        <f t="shared" si="75"/>
        <v>0</v>
      </c>
      <c r="L487" s="462">
        <f>IF(G487=0,0,VLOOKUP(YEAR(G487),INPC!$B$4:$O$29,MONTH(G487)+1))</f>
        <v>0</v>
      </c>
      <c r="M487" s="462">
        <f>IF(T487=0,0,VLOOKUP(YEAR(T487),INPC!$B$4:$O$29,MONTH(T487)+1))</f>
        <v>0</v>
      </c>
      <c r="N487" s="463">
        <f t="shared" si="71"/>
        <v>0</v>
      </c>
      <c r="O487" s="464">
        <f t="shared" si="76"/>
        <v>0</v>
      </c>
      <c r="P487" s="465">
        <f t="shared" si="77"/>
        <v>0</v>
      </c>
      <c r="Q487" s="606" t="str">
        <f t="shared" si="78"/>
        <v>NO</v>
      </c>
      <c r="R487" s="180"/>
      <c r="S487" s="173"/>
      <c r="T487" s="174"/>
      <c r="U487" s="173"/>
      <c r="V487" s="220"/>
      <c r="W487" s="177">
        <f>IF(S487=0,0,IF(U487="MXN",1/HLOOKUP(YEAR(T487)+(MONTH(T487)/100),TC!$5:$37,DAY(T487)+2,FALSE),VLOOKUP(U487,Equivalencia!$1:$23,((MAX(Equivalencia!$3:$3)-YEAR(T487))*14)+MONTH(T487)+2,FALSE)))</f>
        <v>0</v>
      </c>
      <c r="X487" s="178">
        <f t="shared" si="79"/>
        <v>0</v>
      </c>
      <c r="Y487" s="178">
        <f t="shared" si="80"/>
        <v>0</v>
      </c>
      <c r="Z487" s="175">
        <f t="shared" si="72"/>
        <v>0</v>
      </c>
      <c r="AA487" s="179"/>
      <c r="AB487" s="467">
        <f t="shared" si="73"/>
        <v>0</v>
      </c>
      <c r="AC487" s="466">
        <f t="shared" si="74"/>
        <v>0</v>
      </c>
    </row>
    <row r="488" spans="2:29" ht="20.100000000000001" customHeight="1">
      <c r="B488" s="172"/>
      <c r="C488" s="172"/>
      <c r="D488" s="172"/>
      <c r="E488" s="181"/>
      <c r="F488" s="173"/>
      <c r="G488" s="174"/>
      <c r="H488" s="284"/>
      <c r="I488" s="221"/>
      <c r="J488" s="177">
        <f>IF(H488=0,0,IF(F488="MXN",1/HLOOKUP(YEAR(G488)+(MONTH(G488)/100),TC!$5:$37,DAY(G488)+2,FALSE),VLOOKUP(F488,Equivalencia!$5:$23,((MAX(Equivalencia!$3:$3)-YEAR(G488))*14)+MONTH(G488)+2,FALSE)))</f>
        <v>0</v>
      </c>
      <c r="K488" s="217">
        <f t="shared" si="75"/>
        <v>0</v>
      </c>
      <c r="L488" s="462">
        <f>IF(G488=0,0,VLOOKUP(YEAR(G488),INPC!$B$4:$O$29,MONTH(G488)+1))</f>
        <v>0</v>
      </c>
      <c r="M488" s="462">
        <f>IF(T488=0,0,VLOOKUP(YEAR(T488),INPC!$B$4:$O$29,MONTH(T488)+1))</f>
        <v>0</v>
      </c>
      <c r="N488" s="463">
        <f t="shared" si="71"/>
        <v>0</v>
      </c>
      <c r="O488" s="464">
        <f t="shared" si="76"/>
        <v>0</v>
      </c>
      <c r="P488" s="465">
        <f t="shared" si="77"/>
        <v>0</v>
      </c>
      <c r="Q488" s="606" t="str">
        <f t="shared" si="78"/>
        <v>NO</v>
      </c>
      <c r="R488" s="180"/>
      <c r="S488" s="173"/>
      <c r="T488" s="174"/>
      <c r="U488" s="173"/>
      <c r="V488" s="220"/>
      <c r="W488" s="177">
        <f>IF(S488=0,0,IF(U488="MXN",1/HLOOKUP(YEAR(T488)+(MONTH(T488)/100),TC!$5:$37,DAY(T488)+2,FALSE),VLOOKUP(U488,Equivalencia!$1:$23,((MAX(Equivalencia!$3:$3)-YEAR(T488))*14)+MONTH(T488)+2,FALSE)))</f>
        <v>0</v>
      </c>
      <c r="X488" s="178">
        <f t="shared" si="79"/>
        <v>0</v>
      </c>
      <c r="Y488" s="178">
        <f t="shared" si="80"/>
        <v>0</v>
      </c>
      <c r="Z488" s="175">
        <f t="shared" si="72"/>
        <v>0</v>
      </c>
      <c r="AA488" s="179"/>
      <c r="AB488" s="467">
        <f t="shared" si="73"/>
        <v>0</v>
      </c>
      <c r="AC488" s="466">
        <f t="shared" si="74"/>
        <v>0</v>
      </c>
    </row>
    <row r="489" spans="2:29" ht="20.100000000000001" customHeight="1">
      <c r="B489" s="172"/>
      <c r="C489" s="172"/>
      <c r="D489" s="172"/>
      <c r="E489" s="181"/>
      <c r="F489" s="173"/>
      <c r="G489" s="174"/>
      <c r="H489" s="284"/>
      <c r="I489" s="221"/>
      <c r="J489" s="177">
        <f>IF(H489=0,0,IF(F489="MXN",1/HLOOKUP(YEAR(G489)+(MONTH(G489)/100),TC!$5:$37,DAY(G489)+2,FALSE),VLOOKUP(F489,Equivalencia!$5:$23,((MAX(Equivalencia!$3:$3)-YEAR(G489))*14)+MONTH(G489)+2,FALSE)))</f>
        <v>0</v>
      </c>
      <c r="K489" s="217">
        <f t="shared" si="75"/>
        <v>0</v>
      </c>
      <c r="L489" s="462">
        <f>IF(G489=0,0,VLOOKUP(YEAR(G489),INPC!$B$4:$O$29,MONTH(G489)+1))</f>
        <v>0</v>
      </c>
      <c r="M489" s="462">
        <f>IF(T489=0,0,VLOOKUP(YEAR(T489),INPC!$B$4:$O$29,MONTH(T489)+1))</f>
        <v>0</v>
      </c>
      <c r="N489" s="463">
        <f t="shared" si="71"/>
        <v>0</v>
      </c>
      <c r="O489" s="464">
        <f t="shared" si="76"/>
        <v>0</v>
      </c>
      <c r="P489" s="465">
        <f t="shared" si="77"/>
        <v>0</v>
      </c>
      <c r="Q489" s="606" t="str">
        <f t="shared" si="78"/>
        <v>NO</v>
      </c>
      <c r="R489" s="180"/>
      <c r="S489" s="173"/>
      <c r="T489" s="174"/>
      <c r="U489" s="173"/>
      <c r="V489" s="220"/>
      <c r="W489" s="177">
        <f>IF(S489=0,0,IF(U489="MXN",1/HLOOKUP(YEAR(T489)+(MONTH(T489)/100),TC!$5:$37,DAY(T489)+2,FALSE),VLOOKUP(U489,Equivalencia!$1:$23,((MAX(Equivalencia!$3:$3)-YEAR(T489))*14)+MONTH(T489)+2,FALSE)))</f>
        <v>0</v>
      </c>
      <c r="X489" s="178">
        <f t="shared" si="79"/>
        <v>0</v>
      </c>
      <c r="Y489" s="178">
        <f t="shared" si="80"/>
        <v>0</v>
      </c>
      <c r="Z489" s="175">
        <f t="shared" si="72"/>
        <v>0</v>
      </c>
      <c r="AA489" s="179"/>
      <c r="AB489" s="467">
        <f t="shared" si="73"/>
        <v>0</v>
      </c>
      <c r="AC489" s="466">
        <f t="shared" si="74"/>
        <v>0</v>
      </c>
    </row>
    <row r="490" spans="2:29" ht="20.100000000000001" customHeight="1">
      <c r="B490" s="172"/>
      <c r="C490" s="172"/>
      <c r="D490" s="172"/>
      <c r="E490" s="181"/>
      <c r="F490" s="173"/>
      <c r="G490" s="174"/>
      <c r="H490" s="284"/>
      <c r="I490" s="221"/>
      <c r="J490" s="177">
        <f>IF(H490=0,0,IF(F490="MXN",1/HLOOKUP(YEAR(G490)+(MONTH(G490)/100),TC!$5:$37,DAY(G490)+2,FALSE),VLOOKUP(F490,Equivalencia!$5:$23,((MAX(Equivalencia!$3:$3)-YEAR(G490))*14)+MONTH(G490)+2,FALSE)))</f>
        <v>0</v>
      </c>
      <c r="K490" s="217">
        <f t="shared" si="75"/>
        <v>0</v>
      </c>
      <c r="L490" s="462">
        <f>IF(G490=0,0,VLOOKUP(YEAR(G490),INPC!$B$4:$O$29,MONTH(G490)+1))</f>
        <v>0</v>
      </c>
      <c r="M490" s="462">
        <f>IF(T490=0,0,VLOOKUP(YEAR(T490),INPC!$B$4:$O$29,MONTH(T490)+1))</f>
        <v>0</v>
      </c>
      <c r="N490" s="463">
        <f t="shared" si="71"/>
        <v>0</v>
      </c>
      <c r="O490" s="464">
        <f t="shared" si="76"/>
        <v>0</v>
      </c>
      <c r="P490" s="465">
        <f t="shared" si="77"/>
        <v>0</v>
      </c>
      <c r="Q490" s="606" t="str">
        <f t="shared" si="78"/>
        <v>NO</v>
      </c>
      <c r="R490" s="180"/>
      <c r="S490" s="173"/>
      <c r="T490" s="174"/>
      <c r="U490" s="173"/>
      <c r="V490" s="220"/>
      <c r="W490" s="177">
        <f>IF(S490=0,0,IF(U490="MXN",1/HLOOKUP(YEAR(T490)+(MONTH(T490)/100),TC!$5:$37,DAY(T490)+2,FALSE),VLOOKUP(U490,Equivalencia!$1:$23,((MAX(Equivalencia!$3:$3)-YEAR(T490))*14)+MONTH(T490)+2,FALSE)))</f>
        <v>0</v>
      </c>
      <c r="X490" s="178">
        <f t="shared" si="79"/>
        <v>0</v>
      </c>
      <c r="Y490" s="178">
        <f t="shared" si="80"/>
        <v>0</v>
      </c>
      <c r="Z490" s="175">
        <f t="shared" si="72"/>
        <v>0</v>
      </c>
      <c r="AA490" s="179"/>
      <c r="AB490" s="467">
        <f t="shared" si="73"/>
        <v>0</v>
      </c>
      <c r="AC490" s="466">
        <f t="shared" si="74"/>
        <v>0</v>
      </c>
    </row>
    <row r="491" spans="2:29" ht="20.100000000000001" customHeight="1">
      <c r="B491" s="172"/>
      <c r="C491" s="172"/>
      <c r="D491" s="172"/>
      <c r="E491" s="181"/>
      <c r="F491" s="173"/>
      <c r="G491" s="174"/>
      <c r="H491" s="284"/>
      <c r="I491" s="221"/>
      <c r="J491" s="177">
        <f>IF(H491=0,0,IF(F491="MXN",1/HLOOKUP(YEAR(G491)+(MONTH(G491)/100),TC!$5:$37,DAY(G491)+2,FALSE),VLOOKUP(F491,Equivalencia!$5:$23,((MAX(Equivalencia!$3:$3)-YEAR(G491))*14)+MONTH(G491)+2,FALSE)))</f>
        <v>0</v>
      </c>
      <c r="K491" s="217">
        <f t="shared" si="75"/>
        <v>0</v>
      </c>
      <c r="L491" s="462">
        <f>IF(G491=0,0,VLOOKUP(YEAR(G491),INPC!$B$4:$O$29,MONTH(G491)+1))</f>
        <v>0</v>
      </c>
      <c r="M491" s="462">
        <f>IF(T491=0,0,VLOOKUP(YEAR(T491),INPC!$B$4:$O$29,MONTH(T491)+1))</f>
        <v>0</v>
      </c>
      <c r="N491" s="463">
        <f t="shared" si="71"/>
        <v>0</v>
      </c>
      <c r="O491" s="464">
        <f t="shared" si="76"/>
        <v>0</v>
      </c>
      <c r="P491" s="465">
        <f t="shared" si="77"/>
        <v>0</v>
      </c>
      <c r="Q491" s="606" t="str">
        <f t="shared" si="78"/>
        <v>NO</v>
      </c>
      <c r="R491" s="180"/>
      <c r="S491" s="173"/>
      <c r="T491" s="174"/>
      <c r="U491" s="173"/>
      <c r="V491" s="220"/>
      <c r="W491" s="177">
        <f>IF(S491=0,0,IF(U491="MXN",1/HLOOKUP(YEAR(T491)+(MONTH(T491)/100),TC!$5:$37,DAY(T491)+2,FALSE),VLOOKUP(U491,Equivalencia!$1:$23,((MAX(Equivalencia!$3:$3)-YEAR(T491))*14)+MONTH(T491)+2,FALSE)))</f>
        <v>0</v>
      </c>
      <c r="X491" s="178">
        <f t="shared" si="79"/>
        <v>0</v>
      </c>
      <c r="Y491" s="178">
        <f t="shared" si="80"/>
        <v>0</v>
      </c>
      <c r="Z491" s="175">
        <f t="shared" si="72"/>
        <v>0</v>
      </c>
      <c r="AA491" s="179"/>
      <c r="AB491" s="467">
        <f t="shared" si="73"/>
        <v>0</v>
      </c>
      <c r="AC491" s="466">
        <f t="shared" si="74"/>
        <v>0</v>
      </c>
    </row>
    <row r="492" spans="2:29" ht="20.100000000000001" customHeight="1">
      <c r="B492" s="172"/>
      <c r="C492" s="172"/>
      <c r="D492" s="172"/>
      <c r="E492" s="181"/>
      <c r="F492" s="173"/>
      <c r="G492" s="174"/>
      <c r="H492" s="284"/>
      <c r="I492" s="221"/>
      <c r="J492" s="177">
        <f>IF(H492=0,0,IF(F492="MXN",1/HLOOKUP(YEAR(G492)+(MONTH(G492)/100),TC!$5:$37,DAY(G492)+2,FALSE),VLOOKUP(F492,Equivalencia!$5:$23,((MAX(Equivalencia!$3:$3)-YEAR(G492))*14)+MONTH(G492)+2,FALSE)))</f>
        <v>0</v>
      </c>
      <c r="K492" s="217">
        <f t="shared" si="75"/>
        <v>0</v>
      </c>
      <c r="L492" s="462">
        <f>IF(G492=0,0,VLOOKUP(YEAR(G492),INPC!$B$4:$O$29,MONTH(G492)+1))</f>
        <v>0</v>
      </c>
      <c r="M492" s="462">
        <f>IF(T492=0,0,VLOOKUP(YEAR(T492),INPC!$B$4:$O$29,MONTH(T492)+1))</f>
        <v>0</v>
      </c>
      <c r="N492" s="463">
        <f t="shared" si="71"/>
        <v>0</v>
      </c>
      <c r="O492" s="464">
        <f t="shared" si="76"/>
        <v>0</v>
      </c>
      <c r="P492" s="465">
        <f t="shared" si="77"/>
        <v>0</v>
      </c>
      <c r="Q492" s="606" t="str">
        <f t="shared" si="78"/>
        <v>NO</v>
      </c>
      <c r="R492" s="180"/>
      <c r="S492" s="173"/>
      <c r="T492" s="174"/>
      <c r="U492" s="173"/>
      <c r="V492" s="220"/>
      <c r="W492" s="177">
        <f>IF(S492=0,0,IF(U492="MXN",1/HLOOKUP(YEAR(T492)+(MONTH(T492)/100),TC!$5:$37,DAY(T492)+2,FALSE),VLOOKUP(U492,Equivalencia!$1:$23,((MAX(Equivalencia!$3:$3)-YEAR(T492))*14)+MONTH(T492)+2,FALSE)))</f>
        <v>0</v>
      </c>
      <c r="X492" s="178">
        <f t="shared" si="79"/>
        <v>0</v>
      </c>
      <c r="Y492" s="178">
        <f t="shared" si="80"/>
        <v>0</v>
      </c>
      <c r="Z492" s="175">
        <f t="shared" si="72"/>
        <v>0</v>
      </c>
      <c r="AA492" s="179"/>
      <c r="AB492" s="467">
        <f t="shared" si="73"/>
        <v>0</v>
      </c>
      <c r="AC492" s="466">
        <f t="shared" si="74"/>
        <v>0</v>
      </c>
    </row>
    <row r="493" spans="2:29" ht="20.100000000000001" customHeight="1">
      <c r="B493" s="172"/>
      <c r="C493" s="172"/>
      <c r="D493" s="172"/>
      <c r="E493" s="181"/>
      <c r="F493" s="173"/>
      <c r="G493" s="174"/>
      <c r="H493" s="284"/>
      <c r="I493" s="221"/>
      <c r="J493" s="177">
        <f>IF(H493=0,0,IF(F493="MXN",1/HLOOKUP(YEAR(G493)+(MONTH(G493)/100),TC!$5:$37,DAY(G493)+2,FALSE),VLOOKUP(F493,Equivalencia!$5:$23,((MAX(Equivalencia!$3:$3)-YEAR(G493))*14)+MONTH(G493)+2,FALSE)))</f>
        <v>0</v>
      </c>
      <c r="K493" s="217">
        <f t="shared" si="75"/>
        <v>0</v>
      </c>
      <c r="L493" s="462">
        <f>IF(G493=0,0,VLOOKUP(YEAR(G493),INPC!$B$4:$O$29,MONTH(G493)+1))</f>
        <v>0</v>
      </c>
      <c r="M493" s="462">
        <f>IF(T493=0,0,VLOOKUP(YEAR(T493),INPC!$B$4:$O$29,MONTH(T493)+1))</f>
        <v>0</v>
      </c>
      <c r="N493" s="463">
        <f t="shared" si="71"/>
        <v>0</v>
      </c>
      <c r="O493" s="464">
        <f t="shared" si="76"/>
        <v>0</v>
      </c>
      <c r="P493" s="465">
        <f t="shared" si="77"/>
        <v>0</v>
      </c>
      <c r="Q493" s="606" t="str">
        <f t="shared" si="78"/>
        <v>NO</v>
      </c>
      <c r="R493" s="180"/>
      <c r="S493" s="173"/>
      <c r="T493" s="174"/>
      <c r="U493" s="173"/>
      <c r="V493" s="220"/>
      <c r="W493" s="177">
        <f>IF(S493=0,0,IF(U493="MXN",1/HLOOKUP(YEAR(T493)+(MONTH(T493)/100),TC!$5:$37,DAY(T493)+2,FALSE),VLOOKUP(U493,Equivalencia!$1:$23,((MAX(Equivalencia!$3:$3)-YEAR(T493))*14)+MONTH(T493)+2,FALSE)))</f>
        <v>0</v>
      </c>
      <c r="X493" s="178">
        <f t="shared" si="79"/>
        <v>0</v>
      </c>
      <c r="Y493" s="178">
        <f t="shared" si="80"/>
        <v>0</v>
      </c>
      <c r="Z493" s="175">
        <f t="shared" si="72"/>
        <v>0</v>
      </c>
      <c r="AA493" s="179"/>
      <c r="AB493" s="467">
        <f t="shared" si="73"/>
        <v>0</v>
      </c>
      <c r="AC493" s="466">
        <f t="shared" si="74"/>
        <v>0</v>
      </c>
    </row>
    <row r="494" spans="2:29" ht="20.100000000000001" customHeight="1">
      <c r="B494" s="172"/>
      <c r="C494" s="172"/>
      <c r="D494" s="172"/>
      <c r="E494" s="181"/>
      <c r="F494" s="173"/>
      <c r="G494" s="174"/>
      <c r="H494" s="284"/>
      <c r="I494" s="221"/>
      <c r="J494" s="177">
        <f>IF(H494=0,0,IF(F494="MXN",1/HLOOKUP(YEAR(G494)+(MONTH(G494)/100),TC!$5:$37,DAY(G494)+2,FALSE),VLOOKUP(F494,Equivalencia!$5:$23,((MAX(Equivalencia!$3:$3)-YEAR(G494))*14)+MONTH(G494)+2,FALSE)))</f>
        <v>0</v>
      </c>
      <c r="K494" s="217">
        <f t="shared" si="75"/>
        <v>0</v>
      </c>
      <c r="L494" s="462">
        <f>IF(G494=0,0,VLOOKUP(YEAR(G494),INPC!$B$4:$O$29,MONTH(G494)+1))</f>
        <v>0</v>
      </c>
      <c r="M494" s="462">
        <f>IF(T494=0,0,VLOOKUP(YEAR(T494),INPC!$B$4:$O$29,MONTH(T494)+1))</f>
        <v>0</v>
      </c>
      <c r="N494" s="463">
        <f t="shared" si="71"/>
        <v>0</v>
      </c>
      <c r="O494" s="464">
        <f t="shared" si="76"/>
        <v>0</v>
      </c>
      <c r="P494" s="465">
        <f t="shared" si="77"/>
        <v>0</v>
      </c>
      <c r="Q494" s="606" t="str">
        <f t="shared" si="78"/>
        <v>NO</v>
      </c>
      <c r="R494" s="180"/>
      <c r="S494" s="173"/>
      <c r="T494" s="174"/>
      <c r="U494" s="173"/>
      <c r="V494" s="220"/>
      <c r="W494" s="177">
        <f>IF(S494=0,0,IF(U494="MXN",1/HLOOKUP(YEAR(T494)+(MONTH(T494)/100),TC!$5:$37,DAY(T494)+2,FALSE),VLOOKUP(U494,Equivalencia!$1:$23,((MAX(Equivalencia!$3:$3)-YEAR(T494))*14)+MONTH(T494)+2,FALSE)))</f>
        <v>0</v>
      </c>
      <c r="X494" s="178">
        <f t="shared" si="79"/>
        <v>0</v>
      </c>
      <c r="Y494" s="178">
        <f t="shared" si="80"/>
        <v>0</v>
      </c>
      <c r="Z494" s="175">
        <f t="shared" si="72"/>
        <v>0</v>
      </c>
      <c r="AA494" s="179"/>
      <c r="AB494" s="467">
        <f t="shared" si="73"/>
        <v>0</v>
      </c>
      <c r="AC494" s="466">
        <f t="shared" si="74"/>
        <v>0</v>
      </c>
    </row>
    <row r="495" spans="2:29" ht="20.100000000000001" customHeight="1">
      <c r="B495" s="172"/>
      <c r="C495" s="172"/>
      <c r="D495" s="172"/>
      <c r="E495" s="181"/>
      <c r="F495" s="173"/>
      <c r="G495" s="174"/>
      <c r="H495" s="284"/>
      <c r="I495" s="221"/>
      <c r="J495" s="177">
        <f>IF(H495=0,0,IF(F495="MXN",1/HLOOKUP(YEAR(G495)+(MONTH(G495)/100),TC!$5:$37,DAY(G495)+2,FALSE),VLOOKUP(F495,Equivalencia!$5:$23,((MAX(Equivalencia!$3:$3)-YEAR(G495))*14)+MONTH(G495)+2,FALSE)))</f>
        <v>0</v>
      </c>
      <c r="K495" s="217">
        <f t="shared" si="75"/>
        <v>0</v>
      </c>
      <c r="L495" s="462">
        <f>IF(G495=0,0,VLOOKUP(YEAR(G495),INPC!$B$4:$O$29,MONTH(G495)+1))</f>
        <v>0</v>
      </c>
      <c r="M495" s="462">
        <f>IF(T495=0,0,VLOOKUP(YEAR(T495),INPC!$B$4:$O$29,MONTH(T495)+1))</f>
        <v>0</v>
      </c>
      <c r="N495" s="463">
        <f t="shared" si="71"/>
        <v>0</v>
      </c>
      <c r="O495" s="464">
        <f t="shared" si="76"/>
        <v>0</v>
      </c>
      <c r="P495" s="465">
        <f t="shared" si="77"/>
        <v>0</v>
      </c>
      <c r="Q495" s="606" t="str">
        <f t="shared" si="78"/>
        <v>NO</v>
      </c>
      <c r="R495" s="180"/>
      <c r="S495" s="173"/>
      <c r="T495" s="174"/>
      <c r="U495" s="173"/>
      <c r="V495" s="220"/>
      <c r="W495" s="177">
        <f>IF(S495=0,0,IF(U495="MXN",1/HLOOKUP(YEAR(T495)+(MONTH(T495)/100),TC!$5:$37,DAY(T495)+2,FALSE),VLOOKUP(U495,Equivalencia!$1:$23,((MAX(Equivalencia!$3:$3)-YEAR(T495))*14)+MONTH(T495)+2,FALSE)))</f>
        <v>0</v>
      </c>
      <c r="X495" s="178">
        <f t="shared" si="79"/>
        <v>0</v>
      </c>
      <c r="Y495" s="178">
        <f t="shared" si="80"/>
        <v>0</v>
      </c>
      <c r="Z495" s="175">
        <f t="shared" si="72"/>
        <v>0</v>
      </c>
      <c r="AA495" s="179"/>
      <c r="AB495" s="467">
        <f t="shared" si="73"/>
        <v>0</v>
      </c>
      <c r="AC495" s="466">
        <f t="shared" si="74"/>
        <v>0</v>
      </c>
    </row>
    <row r="496" spans="2:29" ht="20.100000000000001" customHeight="1">
      <c r="B496" s="172"/>
      <c r="C496" s="172"/>
      <c r="D496" s="172"/>
      <c r="E496" s="181"/>
      <c r="F496" s="173"/>
      <c r="G496" s="174"/>
      <c r="H496" s="284"/>
      <c r="I496" s="221"/>
      <c r="J496" s="177">
        <f>IF(H496=0,0,IF(F496="MXN",1/HLOOKUP(YEAR(G496)+(MONTH(G496)/100),TC!$5:$37,DAY(G496)+2,FALSE),VLOOKUP(F496,Equivalencia!$5:$23,((MAX(Equivalencia!$3:$3)-YEAR(G496))*14)+MONTH(G496)+2,FALSE)))</f>
        <v>0</v>
      </c>
      <c r="K496" s="217">
        <f t="shared" si="75"/>
        <v>0</v>
      </c>
      <c r="L496" s="462">
        <f>IF(G496=0,0,VLOOKUP(YEAR(G496),INPC!$B$4:$O$29,MONTH(G496)+1))</f>
        <v>0</v>
      </c>
      <c r="M496" s="462">
        <f>IF(T496=0,0,VLOOKUP(YEAR(T496),INPC!$B$4:$O$29,MONTH(T496)+1))</f>
        <v>0</v>
      </c>
      <c r="N496" s="463">
        <f t="shared" si="71"/>
        <v>0</v>
      </c>
      <c r="O496" s="464">
        <f t="shared" si="76"/>
        <v>0</v>
      </c>
      <c r="P496" s="465">
        <f t="shared" si="77"/>
        <v>0</v>
      </c>
      <c r="Q496" s="606" t="str">
        <f t="shared" si="78"/>
        <v>NO</v>
      </c>
      <c r="R496" s="180"/>
      <c r="S496" s="173"/>
      <c r="T496" s="174"/>
      <c r="U496" s="173"/>
      <c r="V496" s="220"/>
      <c r="W496" s="177">
        <f>IF(S496=0,0,IF(U496="MXN",1/HLOOKUP(YEAR(T496)+(MONTH(T496)/100),TC!$5:$37,DAY(T496)+2,FALSE),VLOOKUP(U496,Equivalencia!$1:$23,((MAX(Equivalencia!$3:$3)-YEAR(T496))*14)+MONTH(T496)+2,FALSE)))</f>
        <v>0</v>
      </c>
      <c r="X496" s="178">
        <f t="shared" si="79"/>
        <v>0</v>
      </c>
      <c r="Y496" s="178">
        <f t="shared" si="80"/>
        <v>0</v>
      </c>
      <c r="Z496" s="175">
        <f t="shared" si="72"/>
        <v>0</v>
      </c>
      <c r="AA496" s="179"/>
      <c r="AB496" s="467">
        <f t="shared" si="73"/>
        <v>0</v>
      </c>
      <c r="AC496" s="466">
        <f t="shared" si="74"/>
        <v>0</v>
      </c>
    </row>
    <row r="497" spans="2:29" ht="20.100000000000001" customHeight="1">
      <c r="B497" s="172"/>
      <c r="C497" s="172"/>
      <c r="D497" s="172"/>
      <c r="E497" s="181"/>
      <c r="F497" s="173"/>
      <c r="G497" s="174"/>
      <c r="H497" s="284"/>
      <c r="I497" s="221"/>
      <c r="J497" s="177">
        <f>IF(H497=0,0,IF(F497="MXN",1/HLOOKUP(YEAR(G497)+(MONTH(G497)/100),TC!$5:$37,DAY(G497)+2,FALSE),VLOOKUP(F497,Equivalencia!$5:$23,((MAX(Equivalencia!$3:$3)-YEAR(G497))*14)+MONTH(G497)+2,FALSE)))</f>
        <v>0</v>
      </c>
      <c r="K497" s="217">
        <f t="shared" si="75"/>
        <v>0</v>
      </c>
      <c r="L497" s="462">
        <f>IF(G497=0,0,VLOOKUP(YEAR(G497),INPC!$B$4:$O$29,MONTH(G497)+1))</f>
        <v>0</v>
      </c>
      <c r="M497" s="462">
        <f>IF(T497=0,0,VLOOKUP(YEAR(T497),INPC!$B$4:$O$29,MONTH(T497)+1))</f>
        <v>0</v>
      </c>
      <c r="N497" s="463">
        <f t="shared" si="71"/>
        <v>0</v>
      </c>
      <c r="O497" s="464">
        <f t="shared" si="76"/>
        <v>0</v>
      </c>
      <c r="P497" s="465">
        <f t="shared" si="77"/>
        <v>0</v>
      </c>
      <c r="Q497" s="606" t="str">
        <f t="shared" si="78"/>
        <v>NO</v>
      </c>
      <c r="R497" s="180"/>
      <c r="S497" s="173"/>
      <c r="T497" s="174"/>
      <c r="U497" s="173"/>
      <c r="V497" s="220"/>
      <c r="W497" s="177">
        <f>IF(S497=0,0,IF(U497="MXN",1/HLOOKUP(YEAR(T497)+(MONTH(T497)/100),TC!$5:$37,DAY(T497)+2,FALSE),VLOOKUP(U497,Equivalencia!$1:$23,((MAX(Equivalencia!$3:$3)-YEAR(T497))*14)+MONTH(T497)+2,FALSE)))</f>
        <v>0</v>
      </c>
      <c r="X497" s="178">
        <f t="shared" si="79"/>
        <v>0</v>
      </c>
      <c r="Y497" s="178">
        <f t="shared" si="80"/>
        <v>0</v>
      </c>
      <c r="Z497" s="175">
        <f t="shared" si="72"/>
        <v>0</v>
      </c>
      <c r="AA497" s="179"/>
      <c r="AB497" s="467">
        <f t="shared" si="73"/>
        <v>0</v>
      </c>
      <c r="AC497" s="466">
        <f t="shared" si="74"/>
        <v>0</v>
      </c>
    </row>
    <row r="498" spans="2:29" ht="20.100000000000001" customHeight="1">
      <c r="B498" s="172"/>
      <c r="C498" s="172"/>
      <c r="D498" s="172"/>
      <c r="E498" s="181"/>
      <c r="F498" s="173"/>
      <c r="G498" s="174"/>
      <c r="H498" s="284"/>
      <c r="I498" s="221"/>
      <c r="J498" s="177">
        <f>IF(H498=0,0,IF(F498="MXN",1/HLOOKUP(YEAR(G498)+(MONTH(G498)/100),TC!$5:$37,DAY(G498)+2,FALSE),VLOOKUP(F498,Equivalencia!$5:$23,((MAX(Equivalencia!$3:$3)-YEAR(G498))*14)+MONTH(G498)+2,FALSE)))</f>
        <v>0</v>
      </c>
      <c r="K498" s="217">
        <f t="shared" si="75"/>
        <v>0</v>
      </c>
      <c r="L498" s="462">
        <f>IF(G498=0,0,VLOOKUP(YEAR(G498),INPC!$B$4:$O$29,MONTH(G498)+1))</f>
        <v>0</v>
      </c>
      <c r="M498" s="462">
        <f>IF(T498=0,0,VLOOKUP(YEAR(T498),INPC!$B$4:$O$29,MONTH(T498)+1))</f>
        <v>0</v>
      </c>
      <c r="N498" s="463">
        <f t="shared" si="71"/>
        <v>0</v>
      </c>
      <c r="O498" s="464">
        <f t="shared" si="76"/>
        <v>0</v>
      </c>
      <c r="P498" s="465">
        <f t="shared" si="77"/>
        <v>0</v>
      </c>
      <c r="Q498" s="606" t="str">
        <f t="shared" si="78"/>
        <v>NO</v>
      </c>
      <c r="R498" s="180"/>
      <c r="S498" s="173"/>
      <c r="T498" s="174"/>
      <c r="U498" s="173"/>
      <c r="V498" s="220"/>
      <c r="W498" s="177">
        <f>IF(S498=0,0,IF(U498="MXN",1/HLOOKUP(YEAR(T498)+(MONTH(T498)/100),TC!$5:$37,DAY(T498)+2,FALSE),VLOOKUP(U498,Equivalencia!$1:$23,((MAX(Equivalencia!$3:$3)-YEAR(T498))*14)+MONTH(T498)+2,FALSE)))</f>
        <v>0</v>
      </c>
      <c r="X498" s="178">
        <f t="shared" si="79"/>
        <v>0</v>
      </c>
      <c r="Y498" s="178">
        <f t="shared" si="80"/>
        <v>0</v>
      </c>
      <c r="Z498" s="175">
        <f t="shared" si="72"/>
        <v>0</v>
      </c>
      <c r="AA498" s="179"/>
      <c r="AB498" s="467">
        <f t="shared" si="73"/>
        <v>0</v>
      </c>
      <c r="AC498" s="466">
        <f t="shared" si="74"/>
        <v>0</v>
      </c>
    </row>
    <row r="499" spans="2:29" ht="20.100000000000001" customHeight="1">
      <c r="B499" s="172"/>
      <c r="C499" s="172"/>
      <c r="D499" s="172"/>
      <c r="E499" s="181"/>
      <c r="F499" s="173"/>
      <c r="G499" s="174"/>
      <c r="H499" s="284"/>
      <c r="I499" s="221"/>
      <c r="J499" s="177">
        <f>IF(H499=0,0,IF(F499="MXN",1/HLOOKUP(YEAR(G499)+(MONTH(G499)/100),TC!$5:$37,DAY(G499)+2,FALSE),VLOOKUP(F499,Equivalencia!$5:$23,((MAX(Equivalencia!$3:$3)-YEAR(G499))*14)+MONTH(G499)+2,FALSE)))</f>
        <v>0</v>
      </c>
      <c r="K499" s="217">
        <f t="shared" si="75"/>
        <v>0</v>
      </c>
      <c r="L499" s="462">
        <f>IF(G499=0,0,VLOOKUP(YEAR(G499),INPC!$B$4:$O$29,MONTH(G499)+1))</f>
        <v>0</v>
      </c>
      <c r="M499" s="462">
        <f>IF(T499=0,0,VLOOKUP(YEAR(T499),INPC!$B$4:$O$29,MONTH(T499)+1))</f>
        <v>0</v>
      </c>
      <c r="N499" s="463">
        <f t="shared" si="71"/>
        <v>0</v>
      </c>
      <c r="O499" s="464">
        <f t="shared" si="76"/>
        <v>0</v>
      </c>
      <c r="P499" s="465">
        <f t="shared" si="77"/>
        <v>0</v>
      </c>
      <c r="Q499" s="606" t="str">
        <f t="shared" si="78"/>
        <v>NO</v>
      </c>
      <c r="R499" s="180"/>
      <c r="S499" s="173"/>
      <c r="T499" s="174"/>
      <c r="U499" s="173"/>
      <c r="V499" s="220"/>
      <c r="W499" s="177">
        <f>IF(S499=0,0,IF(U499="MXN",1/HLOOKUP(YEAR(T499)+(MONTH(T499)/100),TC!$5:$37,DAY(T499)+2,FALSE),VLOOKUP(U499,Equivalencia!$1:$23,((MAX(Equivalencia!$3:$3)-YEAR(T499))*14)+MONTH(T499)+2,FALSE)))</f>
        <v>0</v>
      </c>
      <c r="X499" s="178">
        <f t="shared" si="79"/>
        <v>0</v>
      </c>
      <c r="Y499" s="178">
        <f t="shared" si="80"/>
        <v>0</v>
      </c>
      <c r="Z499" s="175">
        <f t="shared" si="72"/>
        <v>0</v>
      </c>
      <c r="AA499" s="179"/>
      <c r="AB499" s="467">
        <f t="shared" si="73"/>
        <v>0</v>
      </c>
      <c r="AC499" s="466">
        <f t="shared" si="74"/>
        <v>0</v>
      </c>
    </row>
    <row r="500" spans="2:29" ht="20.100000000000001" customHeight="1">
      <c r="B500" s="172"/>
      <c r="C500" s="172"/>
      <c r="D500" s="172"/>
      <c r="E500" s="181"/>
      <c r="F500" s="173"/>
      <c r="G500" s="174"/>
      <c r="H500" s="284"/>
      <c r="I500" s="221"/>
      <c r="J500" s="177">
        <f>IF(H500=0,0,IF(F500="MXN",1/HLOOKUP(YEAR(G500)+(MONTH(G500)/100),TC!$5:$37,DAY(G500)+2,FALSE),VLOOKUP(F500,Equivalencia!$5:$23,((MAX(Equivalencia!$3:$3)-YEAR(G500))*14)+MONTH(G500)+2,FALSE)))</f>
        <v>0</v>
      </c>
      <c r="K500" s="217">
        <f t="shared" si="75"/>
        <v>0</v>
      </c>
      <c r="L500" s="462">
        <f>IF(G500=0,0,VLOOKUP(YEAR(G500),INPC!$B$4:$O$29,MONTH(G500)+1))</f>
        <v>0</v>
      </c>
      <c r="M500" s="462">
        <f>IF(T500=0,0,VLOOKUP(YEAR(T500),INPC!$B$4:$O$29,MONTH(T500)+1))</f>
        <v>0</v>
      </c>
      <c r="N500" s="463">
        <f t="shared" si="71"/>
        <v>0</v>
      </c>
      <c r="O500" s="464">
        <f t="shared" si="76"/>
        <v>0</v>
      </c>
      <c r="P500" s="465">
        <f t="shared" si="77"/>
        <v>0</v>
      </c>
      <c r="Q500" s="606" t="str">
        <f t="shared" si="78"/>
        <v>NO</v>
      </c>
      <c r="R500" s="180"/>
      <c r="S500" s="173"/>
      <c r="T500" s="174"/>
      <c r="U500" s="173"/>
      <c r="V500" s="220"/>
      <c r="W500" s="177">
        <f>IF(S500=0,0,IF(U500="MXN",1/HLOOKUP(YEAR(T500)+(MONTH(T500)/100),TC!$5:$37,DAY(T500)+2,FALSE),VLOOKUP(U500,Equivalencia!$1:$23,((MAX(Equivalencia!$3:$3)-YEAR(T500))*14)+MONTH(T500)+2,FALSE)))</f>
        <v>0</v>
      </c>
      <c r="X500" s="178">
        <f t="shared" si="79"/>
        <v>0</v>
      </c>
      <c r="Y500" s="178">
        <f t="shared" si="80"/>
        <v>0</v>
      </c>
      <c r="Z500" s="175">
        <f t="shared" si="72"/>
        <v>0</v>
      </c>
      <c r="AA500" s="179"/>
      <c r="AB500" s="467">
        <f t="shared" si="73"/>
        <v>0</v>
      </c>
      <c r="AC500" s="466">
        <f t="shared" si="74"/>
        <v>0</v>
      </c>
    </row>
    <row r="501" spans="2:29" ht="20.100000000000001" customHeight="1">
      <c r="B501" s="172"/>
      <c r="C501" s="172"/>
      <c r="D501" s="172"/>
      <c r="E501" s="181"/>
      <c r="F501" s="173"/>
      <c r="G501" s="174"/>
      <c r="H501" s="284"/>
      <c r="I501" s="221"/>
      <c r="J501" s="177">
        <f>IF(H501=0,0,IF(F501="MXN",1/HLOOKUP(YEAR(G501)+(MONTH(G501)/100),TC!$5:$37,DAY(G501)+2,FALSE),VLOOKUP(F501,Equivalencia!$5:$23,((MAX(Equivalencia!$3:$3)-YEAR(G501))*14)+MONTH(G501)+2,FALSE)))</f>
        <v>0</v>
      </c>
      <c r="K501" s="217">
        <f t="shared" si="75"/>
        <v>0</v>
      </c>
      <c r="L501" s="462">
        <f>IF(G501=0,0,VLOOKUP(YEAR(G501),INPC!$B$4:$O$29,MONTH(G501)+1))</f>
        <v>0</v>
      </c>
      <c r="M501" s="462">
        <f>IF(T501=0,0,VLOOKUP(YEAR(T501),INPC!$B$4:$O$29,MONTH(T501)+1))</f>
        <v>0</v>
      </c>
      <c r="N501" s="463">
        <f t="shared" si="71"/>
        <v>0</v>
      </c>
      <c r="O501" s="464">
        <f t="shared" si="76"/>
        <v>0</v>
      </c>
      <c r="P501" s="465">
        <f t="shared" si="77"/>
        <v>0</v>
      </c>
      <c r="Q501" s="606" t="str">
        <f t="shared" si="78"/>
        <v>NO</v>
      </c>
      <c r="R501" s="180"/>
      <c r="S501" s="173"/>
      <c r="T501" s="174"/>
      <c r="U501" s="173"/>
      <c r="V501" s="220"/>
      <c r="W501" s="177">
        <f>IF(S501=0,0,IF(U501="MXN",1/HLOOKUP(YEAR(T501)+(MONTH(T501)/100),TC!$5:$37,DAY(T501)+2,FALSE),VLOOKUP(U501,Equivalencia!$1:$23,((MAX(Equivalencia!$3:$3)-YEAR(T501))*14)+MONTH(T501)+2,FALSE)))</f>
        <v>0</v>
      </c>
      <c r="X501" s="178">
        <f t="shared" si="79"/>
        <v>0</v>
      </c>
      <c r="Y501" s="178">
        <f t="shared" si="80"/>
        <v>0</v>
      </c>
      <c r="Z501" s="175">
        <f t="shared" si="72"/>
        <v>0</v>
      </c>
      <c r="AA501" s="179"/>
      <c r="AB501" s="467">
        <f t="shared" si="73"/>
        <v>0</v>
      </c>
      <c r="AC501" s="466">
        <f t="shared" si="74"/>
        <v>0</v>
      </c>
    </row>
    <row r="502" spans="2:29" ht="20.100000000000001" customHeight="1">
      <c r="B502" s="172"/>
      <c r="C502" s="172"/>
      <c r="D502" s="172"/>
      <c r="E502" s="181"/>
      <c r="F502" s="173"/>
      <c r="G502" s="174"/>
      <c r="H502" s="284"/>
      <c r="I502" s="221"/>
      <c r="J502" s="177">
        <f>IF(H502=0,0,IF(F502="MXN",1/HLOOKUP(YEAR(G502)+(MONTH(G502)/100),TC!$5:$37,DAY(G502)+2,FALSE),VLOOKUP(F502,Equivalencia!$5:$23,((MAX(Equivalencia!$3:$3)-YEAR(G502))*14)+MONTH(G502)+2,FALSE)))</f>
        <v>0</v>
      </c>
      <c r="K502" s="217">
        <f t="shared" si="75"/>
        <v>0</v>
      </c>
      <c r="L502" s="462">
        <f>IF(G502=0,0,VLOOKUP(YEAR(G502),INPC!$B$4:$O$29,MONTH(G502)+1))</f>
        <v>0</v>
      </c>
      <c r="M502" s="462">
        <f>IF(T502=0,0,VLOOKUP(YEAR(T502),INPC!$B$4:$O$29,MONTH(T502)+1))</f>
        <v>0</v>
      </c>
      <c r="N502" s="463">
        <f t="shared" si="71"/>
        <v>0</v>
      </c>
      <c r="O502" s="464">
        <f t="shared" si="76"/>
        <v>0</v>
      </c>
      <c r="P502" s="465">
        <f t="shared" si="77"/>
        <v>0</v>
      </c>
      <c r="Q502" s="606" t="str">
        <f t="shared" si="78"/>
        <v>NO</v>
      </c>
      <c r="R502" s="180"/>
      <c r="S502" s="173"/>
      <c r="T502" s="174"/>
      <c r="U502" s="173"/>
      <c r="V502" s="220"/>
      <c r="W502" s="177">
        <f>IF(S502=0,0,IF(U502="MXN",1/HLOOKUP(YEAR(T502)+(MONTH(T502)/100),TC!$5:$37,DAY(T502)+2,FALSE),VLOOKUP(U502,Equivalencia!$1:$23,((MAX(Equivalencia!$3:$3)-YEAR(T502))*14)+MONTH(T502)+2,FALSE)))</f>
        <v>0</v>
      </c>
      <c r="X502" s="178">
        <f t="shared" si="79"/>
        <v>0</v>
      </c>
      <c r="Y502" s="178">
        <f t="shared" si="80"/>
        <v>0</v>
      </c>
      <c r="Z502" s="175">
        <f t="shared" si="72"/>
        <v>0</v>
      </c>
      <c r="AA502" s="179"/>
      <c r="AB502" s="467">
        <f t="shared" si="73"/>
        <v>0</v>
      </c>
      <c r="AC502" s="466">
        <f t="shared" si="74"/>
        <v>0</v>
      </c>
    </row>
    <row r="503" spans="2:29" ht="20.100000000000001" customHeight="1">
      <c r="B503" s="172"/>
      <c r="C503" s="172"/>
      <c r="D503" s="172"/>
      <c r="E503" s="181"/>
      <c r="F503" s="173"/>
      <c r="G503" s="174"/>
      <c r="H503" s="284"/>
      <c r="I503" s="221"/>
      <c r="J503" s="177">
        <f>IF(H503=0,0,IF(F503="MXN",1/HLOOKUP(YEAR(G503)+(MONTH(G503)/100),TC!$5:$37,DAY(G503)+2,FALSE),VLOOKUP(F503,Equivalencia!$5:$23,((MAX(Equivalencia!$3:$3)-YEAR(G503))*14)+MONTH(G503)+2,FALSE)))</f>
        <v>0</v>
      </c>
      <c r="K503" s="217">
        <f t="shared" si="75"/>
        <v>0</v>
      </c>
      <c r="L503" s="462">
        <f>IF(G503=0,0,VLOOKUP(YEAR(G503),INPC!$B$4:$O$29,MONTH(G503)+1))</f>
        <v>0</v>
      </c>
      <c r="M503" s="462">
        <f>IF(T503=0,0,VLOOKUP(YEAR(T503),INPC!$B$4:$O$29,MONTH(T503)+1))</f>
        <v>0</v>
      </c>
      <c r="N503" s="463">
        <f t="shared" si="71"/>
        <v>0</v>
      </c>
      <c r="O503" s="464">
        <f t="shared" si="76"/>
        <v>0</v>
      </c>
      <c r="P503" s="465">
        <f t="shared" si="77"/>
        <v>0</v>
      </c>
      <c r="Q503" s="606" t="str">
        <f t="shared" si="78"/>
        <v>NO</v>
      </c>
      <c r="R503" s="180"/>
      <c r="S503" s="173"/>
      <c r="T503" s="174"/>
      <c r="U503" s="173"/>
      <c r="V503" s="220"/>
      <c r="W503" s="177">
        <f>IF(S503=0,0,IF(U503="MXN",1/HLOOKUP(YEAR(T503)+(MONTH(T503)/100),TC!$5:$37,DAY(T503)+2,FALSE),VLOOKUP(U503,Equivalencia!$1:$23,((MAX(Equivalencia!$3:$3)-YEAR(T503))*14)+MONTH(T503)+2,FALSE)))</f>
        <v>0</v>
      </c>
      <c r="X503" s="178">
        <f t="shared" si="79"/>
        <v>0</v>
      </c>
      <c r="Y503" s="178">
        <f t="shared" si="80"/>
        <v>0</v>
      </c>
      <c r="Z503" s="175">
        <f t="shared" si="72"/>
        <v>0</v>
      </c>
      <c r="AA503" s="179"/>
      <c r="AB503" s="467">
        <f t="shared" si="73"/>
        <v>0</v>
      </c>
      <c r="AC503" s="466">
        <f t="shared" si="74"/>
        <v>0</v>
      </c>
    </row>
    <row r="504" spans="2:29" ht="20.100000000000001" customHeight="1">
      <c r="B504" s="172"/>
      <c r="C504" s="172"/>
      <c r="D504" s="172"/>
      <c r="E504" s="181"/>
      <c r="F504" s="173"/>
      <c r="G504" s="174"/>
      <c r="H504" s="284"/>
      <c r="I504" s="221"/>
      <c r="J504" s="177">
        <f>IF(H504=0,0,IF(F504="MXN",1/HLOOKUP(YEAR(G504)+(MONTH(G504)/100),TC!$5:$37,DAY(G504)+2,FALSE),VLOOKUP(F504,Equivalencia!$5:$23,((MAX(Equivalencia!$3:$3)-YEAR(G504))*14)+MONTH(G504)+2,FALSE)))</f>
        <v>0</v>
      </c>
      <c r="K504" s="217">
        <f t="shared" si="75"/>
        <v>0</v>
      </c>
      <c r="L504" s="462">
        <f>IF(G504=0,0,VLOOKUP(YEAR(G504),INPC!$B$4:$O$29,MONTH(G504)+1))</f>
        <v>0</v>
      </c>
      <c r="M504" s="462">
        <f>IF(T504=0,0,VLOOKUP(YEAR(T504),INPC!$B$4:$O$29,MONTH(T504)+1))</f>
        <v>0</v>
      </c>
      <c r="N504" s="463">
        <f t="shared" si="71"/>
        <v>0</v>
      </c>
      <c r="O504" s="464">
        <f t="shared" si="76"/>
        <v>0</v>
      </c>
      <c r="P504" s="465">
        <f t="shared" si="77"/>
        <v>0</v>
      </c>
      <c r="Q504" s="606" t="str">
        <f t="shared" si="78"/>
        <v>NO</v>
      </c>
      <c r="R504" s="180"/>
      <c r="S504" s="173"/>
      <c r="T504" s="174"/>
      <c r="U504" s="173"/>
      <c r="V504" s="220"/>
      <c r="W504" s="177">
        <f>IF(S504=0,0,IF(U504="MXN",1/HLOOKUP(YEAR(T504)+(MONTH(T504)/100),TC!$5:$37,DAY(T504)+2,FALSE),VLOOKUP(U504,Equivalencia!$1:$23,((MAX(Equivalencia!$3:$3)-YEAR(T504))*14)+MONTH(T504)+2,FALSE)))</f>
        <v>0</v>
      </c>
      <c r="X504" s="178">
        <f t="shared" si="79"/>
        <v>0</v>
      </c>
      <c r="Y504" s="178">
        <f t="shared" si="80"/>
        <v>0</v>
      </c>
      <c r="Z504" s="175">
        <f t="shared" si="72"/>
        <v>0</v>
      </c>
      <c r="AA504" s="179"/>
      <c r="AB504" s="467">
        <f t="shared" si="73"/>
        <v>0</v>
      </c>
      <c r="AC504" s="466">
        <f t="shared" si="74"/>
        <v>0</v>
      </c>
    </row>
    <row r="505" spans="2:29" ht="20.100000000000001" customHeight="1">
      <c r="B505" s="172"/>
      <c r="C505" s="172"/>
      <c r="D505" s="172"/>
      <c r="E505" s="181"/>
      <c r="F505" s="173"/>
      <c r="G505" s="174"/>
      <c r="H505" s="284"/>
      <c r="I505" s="221"/>
      <c r="J505" s="177">
        <f>IF(H505=0,0,IF(F505="MXN",1/HLOOKUP(YEAR(G505)+(MONTH(G505)/100),TC!$5:$37,DAY(G505)+2,FALSE),VLOOKUP(F505,Equivalencia!$5:$23,((MAX(Equivalencia!$3:$3)-YEAR(G505))*14)+MONTH(G505)+2,FALSE)))</f>
        <v>0</v>
      </c>
      <c r="K505" s="217">
        <f t="shared" si="75"/>
        <v>0</v>
      </c>
      <c r="L505" s="462">
        <f>IF(G505=0,0,VLOOKUP(YEAR(G505),INPC!$B$4:$O$29,MONTH(G505)+1))</f>
        <v>0</v>
      </c>
      <c r="M505" s="462">
        <f>IF(T505=0,0,VLOOKUP(YEAR(T505),INPC!$B$4:$O$29,MONTH(T505)+1))</f>
        <v>0</v>
      </c>
      <c r="N505" s="463">
        <f t="shared" si="71"/>
        <v>0</v>
      </c>
      <c r="O505" s="464">
        <f t="shared" si="76"/>
        <v>0</v>
      </c>
      <c r="P505" s="465">
        <f t="shared" si="77"/>
        <v>0</v>
      </c>
      <c r="Q505" s="606" t="str">
        <f t="shared" si="78"/>
        <v>NO</v>
      </c>
      <c r="R505" s="180"/>
      <c r="S505" s="173"/>
      <c r="T505" s="174"/>
      <c r="U505" s="173"/>
      <c r="V505" s="220"/>
      <c r="W505" s="177">
        <f>IF(S505=0,0,IF(U505="MXN",1/HLOOKUP(YEAR(T505)+(MONTH(T505)/100),TC!$5:$37,DAY(T505)+2,FALSE),VLOOKUP(U505,Equivalencia!$1:$23,((MAX(Equivalencia!$3:$3)-YEAR(T505))*14)+MONTH(T505)+2,FALSE)))</f>
        <v>0</v>
      </c>
      <c r="X505" s="178">
        <f t="shared" si="79"/>
        <v>0</v>
      </c>
      <c r="Y505" s="178">
        <f t="shared" si="80"/>
        <v>0</v>
      </c>
      <c r="Z505" s="175">
        <f t="shared" si="72"/>
        <v>0</v>
      </c>
      <c r="AA505" s="179"/>
      <c r="AB505" s="467">
        <f t="shared" si="73"/>
        <v>0</v>
      </c>
      <c r="AC505" s="466">
        <f t="shared" si="74"/>
        <v>0</v>
      </c>
    </row>
    <row r="506" spans="2:29" ht="20.100000000000001" customHeight="1">
      <c r="B506" s="172"/>
      <c r="C506" s="172"/>
      <c r="D506" s="172"/>
      <c r="E506" s="181"/>
      <c r="F506" s="173"/>
      <c r="G506" s="174"/>
      <c r="H506" s="284"/>
      <c r="I506" s="221"/>
      <c r="J506" s="177">
        <f>IF(H506=0,0,IF(F506="MXN",1/HLOOKUP(YEAR(G506)+(MONTH(G506)/100),TC!$5:$37,DAY(G506)+2,FALSE),VLOOKUP(F506,Equivalencia!$5:$23,((MAX(Equivalencia!$3:$3)-YEAR(G506))*14)+MONTH(G506)+2,FALSE)))</f>
        <v>0</v>
      </c>
      <c r="K506" s="217">
        <f t="shared" si="75"/>
        <v>0</v>
      </c>
      <c r="L506" s="462">
        <f>IF(G506=0,0,VLOOKUP(YEAR(G506),INPC!$B$4:$O$29,MONTH(G506)+1))</f>
        <v>0</v>
      </c>
      <c r="M506" s="462">
        <f>IF(T506=0,0,VLOOKUP(YEAR(T506),INPC!$B$4:$O$29,MONTH(T506)+1))</f>
        <v>0</v>
      </c>
      <c r="N506" s="463">
        <f t="shared" si="71"/>
        <v>0</v>
      </c>
      <c r="O506" s="464">
        <f t="shared" si="76"/>
        <v>0</v>
      </c>
      <c r="P506" s="465">
        <f t="shared" si="77"/>
        <v>0</v>
      </c>
      <c r="Q506" s="606" t="str">
        <f t="shared" si="78"/>
        <v>NO</v>
      </c>
      <c r="R506" s="180"/>
      <c r="S506" s="173"/>
      <c r="T506" s="174"/>
      <c r="U506" s="173"/>
      <c r="V506" s="220"/>
      <c r="W506" s="177">
        <f>IF(S506=0,0,IF(U506="MXN",1/HLOOKUP(YEAR(T506)+(MONTH(T506)/100),TC!$5:$37,DAY(T506)+2,FALSE),VLOOKUP(U506,Equivalencia!$1:$23,((MAX(Equivalencia!$3:$3)-YEAR(T506))*14)+MONTH(T506)+2,FALSE)))</f>
        <v>0</v>
      </c>
      <c r="X506" s="178">
        <f t="shared" si="79"/>
        <v>0</v>
      </c>
      <c r="Y506" s="178">
        <f t="shared" si="80"/>
        <v>0</v>
      </c>
      <c r="Z506" s="175">
        <f t="shared" si="72"/>
        <v>0</v>
      </c>
      <c r="AA506" s="179"/>
      <c r="AB506" s="467">
        <f t="shared" si="73"/>
        <v>0</v>
      </c>
      <c r="AC506" s="466">
        <f t="shared" si="74"/>
        <v>0</v>
      </c>
    </row>
    <row r="507" spans="2:29" ht="20.100000000000001" customHeight="1">
      <c r="B507" s="172"/>
      <c r="C507" s="172"/>
      <c r="D507" s="172"/>
      <c r="E507" s="181"/>
      <c r="F507" s="173"/>
      <c r="G507" s="174"/>
      <c r="H507" s="284"/>
      <c r="I507" s="221"/>
      <c r="J507" s="177">
        <f>IF(H507=0,0,IF(F507="MXN",1/HLOOKUP(YEAR(G507)+(MONTH(G507)/100),TC!$5:$37,DAY(G507)+2,FALSE),VLOOKUP(F507,Equivalencia!$5:$23,((MAX(Equivalencia!$3:$3)-YEAR(G507))*14)+MONTH(G507)+2,FALSE)))</f>
        <v>0</v>
      </c>
      <c r="K507" s="217">
        <f t="shared" si="75"/>
        <v>0</v>
      </c>
      <c r="L507" s="462">
        <f>IF(G507=0,0,VLOOKUP(YEAR(G507),INPC!$B$4:$O$29,MONTH(G507)+1))</f>
        <v>0</v>
      </c>
      <c r="M507" s="462">
        <f>IF(T507=0,0,VLOOKUP(YEAR(T507),INPC!$B$4:$O$29,MONTH(T507)+1))</f>
        <v>0</v>
      </c>
      <c r="N507" s="463">
        <f t="shared" si="71"/>
        <v>0</v>
      </c>
      <c r="O507" s="464">
        <f t="shared" si="76"/>
        <v>0</v>
      </c>
      <c r="P507" s="465">
        <f t="shared" si="77"/>
        <v>0</v>
      </c>
      <c r="Q507" s="606" t="str">
        <f t="shared" si="78"/>
        <v>NO</v>
      </c>
      <c r="R507" s="180"/>
      <c r="S507" s="173"/>
      <c r="T507" s="174"/>
      <c r="U507" s="173"/>
      <c r="V507" s="220"/>
      <c r="W507" s="177">
        <f>IF(S507=0,0,IF(U507="MXN",1/HLOOKUP(YEAR(T507)+(MONTH(T507)/100),TC!$5:$37,DAY(T507)+2,FALSE),VLOOKUP(U507,Equivalencia!$1:$23,((MAX(Equivalencia!$3:$3)-YEAR(T507))*14)+MONTH(T507)+2,FALSE)))</f>
        <v>0</v>
      </c>
      <c r="X507" s="178">
        <f t="shared" si="79"/>
        <v>0</v>
      </c>
      <c r="Y507" s="178">
        <f t="shared" si="80"/>
        <v>0</v>
      </c>
      <c r="Z507" s="175">
        <f t="shared" si="72"/>
        <v>0</v>
      </c>
      <c r="AA507" s="179"/>
      <c r="AB507" s="467">
        <f t="shared" si="73"/>
        <v>0</v>
      </c>
      <c r="AC507" s="466">
        <f t="shared" si="74"/>
        <v>0</v>
      </c>
    </row>
    <row r="508" spans="2:29" ht="20.100000000000001" customHeight="1">
      <c r="B508" s="172"/>
      <c r="C508" s="172"/>
      <c r="D508" s="172"/>
      <c r="E508" s="181"/>
      <c r="F508" s="173"/>
      <c r="G508" s="174"/>
      <c r="H508" s="284"/>
      <c r="I508" s="221"/>
      <c r="J508" s="177">
        <f>IF(H508=0,0,IF(F508="MXN",1/HLOOKUP(YEAR(G508)+(MONTH(G508)/100),TC!$5:$37,DAY(G508)+2,FALSE),VLOOKUP(F508,Equivalencia!$5:$23,((MAX(Equivalencia!$3:$3)-YEAR(G508))*14)+MONTH(G508)+2,FALSE)))</f>
        <v>0</v>
      </c>
      <c r="K508" s="217">
        <f t="shared" si="75"/>
        <v>0</v>
      </c>
      <c r="L508" s="462">
        <f>IF(G508=0,0,VLOOKUP(YEAR(G508),INPC!$B$4:$O$29,MONTH(G508)+1))</f>
        <v>0</v>
      </c>
      <c r="M508" s="462">
        <f>IF(T508=0,0,VLOOKUP(YEAR(T508),INPC!$B$4:$O$29,MONTH(T508)+1))</f>
        <v>0</v>
      </c>
      <c r="N508" s="463">
        <f t="shared" si="71"/>
        <v>0</v>
      </c>
      <c r="O508" s="464">
        <f t="shared" si="76"/>
        <v>0</v>
      </c>
      <c r="P508" s="465">
        <f t="shared" si="77"/>
        <v>0</v>
      </c>
      <c r="Q508" s="606" t="str">
        <f t="shared" si="78"/>
        <v>NO</v>
      </c>
      <c r="R508" s="180"/>
      <c r="S508" s="173"/>
      <c r="T508" s="174"/>
      <c r="U508" s="173"/>
      <c r="V508" s="220"/>
      <c r="W508" s="177">
        <f>IF(S508=0,0,IF(U508="MXN",1/HLOOKUP(YEAR(T508)+(MONTH(T508)/100),TC!$5:$37,DAY(T508)+2,FALSE),VLOOKUP(U508,Equivalencia!$1:$23,((MAX(Equivalencia!$3:$3)-YEAR(T508))*14)+MONTH(T508)+2,FALSE)))</f>
        <v>0</v>
      </c>
      <c r="X508" s="178">
        <f t="shared" si="79"/>
        <v>0</v>
      </c>
      <c r="Y508" s="178">
        <f t="shared" si="80"/>
        <v>0</v>
      </c>
      <c r="Z508" s="175">
        <f t="shared" si="72"/>
        <v>0</v>
      </c>
      <c r="AA508" s="179"/>
      <c r="AB508" s="467">
        <f t="shared" si="73"/>
        <v>0</v>
      </c>
      <c r="AC508" s="466">
        <f t="shared" si="74"/>
        <v>0</v>
      </c>
    </row>
    <row r="509" spans="2:29" ht="20.100000000000001" customHeight="1">
      <c r="B509" s="172"/>
      <c r="C509" s="172"/>
      <c r="D509" s="172"/>
      <c r="E509" s="181"/>
      <c r="F509" s="173"/>
      <c r="G509" s="174"/>
      <c r="H509" s="284"/>
      <c r="I509" s="221"/>
      <c r="J509" s="177">
        <f>IF(H509=0,0,IF(F509="MXN",1/HLOOKUP(YEAR(G509)+(MONTH(G509)/100),TC!$5:$37,DAY(G509)+2,FALSE),VLOOKUP(F509,Equivalencia!$5:$23,((MAX(Equivalencia!$3:$3)-YEAR(G509))*14)+MONTH(G509)+2,FALSE)))</f>
        <v>0</v>
      </c>
      <c r="K509" s="217">
        <f t="shared" si="75"/>
        <v>0</v>
      </c>
      <c r="L509" s="462">
        <f>IF(G509=0,0,VLOOKUP(YEAR(G509),INPC!$B$4:$O$29,MONTH(G509)+1))</f>
        <v>0</v>
      </c>
      <c r="M509" s="462">
        <f>IF(T509=0,0,VLOOKUP(YEAR(T509),INPC!$B$4:$O$29,MONTH(T509)+1))</f>
        <v>0</v>
      </c>
      <c r="N509" s="463">
        <f t="shared" si="71"/>
        <v>0</v>
      </c>
      <c r="O509" s="464">
        <f t="shared" si="76"/>
        <v>0</v>
      </c>
      <c r="P509" s="465">
        <f t="shared" si="77"/>
        <v>0</v>
      </c>
      <c r="Q509" s="606" t="str">
        <f t="shared" si="78"/>
        <v>NO</v>
      </c>
      <c r="R509" s="180"/>
      <c r="S509" s="173"/>
      <c r="T509" s="174"/>
      <c r="U509" s="173"/>
      <c r="V509" s="220"/>
      <c r="W509" s="177">
        <f>IF(S509=0,0,IF(U509="MXN",1/HLOOKUP(YEAR(T509)+(MONTH(T509)/100),TC!$5:$37,DAY(T509)+2,FALSE),VLOOKUP(U509,Equivalencia!$1:$23,((MAX(Equivalencia!$3:$3)-YEAR(T509))*14)+MONTH(T509)+2,FALSE)))</f>
        <v>0</v>
      </c>
      <c r="X509" s="178">
        <f t="shared" si="79"/>
        <v>0</v>
      </c>
      <c r="Y509" s="178">
        <f t="shared" si="80"/>
        <v>0</v>
      </c>
      <c r="Z509" s="175">
        <f t="shared" si="72"/>
        <v>0</v>
      </c>
      <c r="AA509" s="179"/>
      <c r="AB509" s="467">
        <f t="shared" si="73"/>
        <v>0</v>
      </c>
      <c r="AC509" s="466">
        <f t="shared" si="74"/>
        <v>0</v>
      </c>
    </row>
    <row r="510" spans="2:29" ht="20.100000000000001" customHeight="1">
      <c r="B510" s="172"/>
      <c r="C510" s="172"/>
      <c r="D510" s="172"/>
      <c r="E510" s="181"/>
      <c r="F510" s="173"/>
      <c r="G510" s="174"/>
      <c r="H510" s="284"/>
      <c r="I510" s="221"/>
      <c r="J510" s="177">
        <f>IF(H510=0,0,IF(F510="MXN",1/HLOOKUP(YEAR(G510)+(MONTH(G510)/100),TC!$5:$37,DAY(G510)+2,FALSE),VLOOKUP(F510,Equivalencia!$5:$23,((MAX(Equivalencia!$3:$3)-YEAR(G510))*14)+MONTH(G510)+2,FALSE)))</f>
        <v>0</v>
      </c>
      <c r="K510" s="217">
        <f t="shared" si="75"/>
        <v>0</v>
      </c>
      <c r="L510" s="462">
        <f>IF(G510=0,0,VLOOKUP(YEAR(G510),INPC!$B$4:$O$29,MONTH(G510)+1))</f>
        <v>0</v>
      </c>
      <c r="M510" s="462">
        <f>IF(T510=0,0,VLOOKUP(YEAR(T510),INPC!$B$4:$O$29,MONTH(T510)+1))</f>
        <v>0</v>
      </c>
      <c r="N510" s="463">
        <f t="shared" si="71"/>
        <v>0</v>
      </c>
      <c r="O510" s="464">
        <f t="shared" si="76"/>
        <v>0</v>
      </c>
      <c r="P510" s="465">
        <f t="shared" si="77"/>
        <v>0</v>
      </c>
      <c r="Q510" s="606" t="str">
        <f t="shared" si="78"/>
        <v>NO</v>
      </c>
      <c r="R510" s="180"/>
      <c r="S510" s="173"/>
      <c r="T510" s="174"/>
      <c r="U510" s="173"/>
      <c r="V510" s="220"/>
      <c r="W510" s="177">
        <f>IF(S510=0,0,IF(U510="MXN",1/HLOOKUP(YEAR(T510)+(MONTH(T510)/100),TC!$5:$37,DAY(T510)+2,FALSE),VLOOKUP(U510,Equivalencia!$1:$23,((MAX(Equivalencia!$3:$3)-YEAR(T510))*14)+MONTH(T510)+2,FALSE)))</f>
        <v>0</v>
      </c>
      <c r="X510" s="178">
        <f t="shared" si="79"/>
        <v>0</v>
      </c>
      <c r="Y510" s="178">
        <f t="shared" si="80"/>
        <v>0</v>
      </c>
      <c r="Z510" s="175">
        <f t="shared" si="72"/>
        <v>0</v>
      </c>
      <c r="AA510" s="179"/>
      <c r="AB510" s="467">
        <f t="shared" si="73"/>
        <v>0</v>
      </c>
      <c r="AC510" s="466">
        <f t="shared" si="74"/>
        <v>0</v>
      </c>
    </row>
    <row r="511" spans="2:29" ht="20.100000000000001" customHeight="1">
      <c r="B511" s="172"/>
      <c r="C511" s="172"/>
      <c r="D511" s="172"/>
      <c r="E511" s="181"/>
      <c r="F511" s="173"/>
      <c r="G511" s="174"/>
      <c r="H511" s="284"/>
      <c r="I511" s="221"/>
      <c r="J511" s="177">
        <f>IF(H511=0,0,IF(F511="MXN",1/HLOOKUP(YEAR(G511)+(MONTH(G511)/100),TC!$5:$37,DAY(G511)+2,FALSE),VLOOKUP(F511,Equivalencia!$5:$23,((MAX(Equivalencia!$3:$3)-YEAR(G511))*14)+MONTH(G511)+2,FALSE)))</f>
        <v>0</v>
      </c>
      <c r="K511" s="217">
        <f t="shared" si="75"/>
        <v>0</v>
      </c>
      <c r="L511" s="462">
        <f>IF(G511=0,0,VLOOKUP(YEAR(G511),INPC!$B$4:$O$29,MONTH(G511)+1))</f>
        <v>0</v>
      </c>
      <c r="M511" s="462">
        <f>IF(T511=0,0,VLOOKUP(YEAR(T511),INPC!$B$4:$O$29,MONTH(T511)+1))</f>
        <v>0</v>
      </c>
      <c r="N511" s="463">
        <f t="shared" si="71"/>
        <v>0</v>
      </c>
      <c r="O511" s="464">
        <f t="shared" si="76"/>
        <v>0</v>
      </c>
      <c r="P511" s="465">
        <f t="shared" si="77"/>
        <v>0</v>
      </c>
      <c r="Q511" s="606" t="str">
        <f t="shared" si="78"/>
        <v>NO</v>
      </c>
      <c r="R511" s="180"/>
      <c r="S511" s="173"/>
      <c r="T511" s="174"/>
      <c r="U511" s="173"/>
      <c r="V511" s="220"/>
      <c r="W511" s="177">
        <f>IF(S511=0,0,IF(U511="MXN",1/HLOOKUP(YEAR(T511)+(MONTH(T511)/100),TC!$5:$37,DAY(T511)+2,FALSE),VLOOKUP(U511,Equivalencia!$1:$23,((MAX(Equivalencia!$3:$3)-YEAR(T511))*14)+MONTH(T511)+2,FALSE)))</f>
        <v>0</v>
      </c>
      <c r="X511" s="178">
        <f t="shared" si="79"/>
        <v>0</v>
      </c>
      <c r="Y511" s="178">
        <f t="shared" si="80"/>
        <v>0</v>
      </c>
      <c r="Z511" s="175">
        <f t="shared" si="72"/>
        <v>0</v>
      </c>
      <c r="AA511" s="179"/>
      <c r="AB511" s="467">
        <f t="shared" si="73"/>
        <v>0</v>
      </c>
      <c r="AC511" s="466">
        <f t="shared" si="74"/>
        <v>0</v>
      </c>
    </row>
    <row r="512" spans="2:29" ht="20.100000000000001" customHeight="1">
      <c r="B512" s="172"/>
      <c r="C512" s="172"/>
      <c r="D512" s="172"/>
      <c r="E512" s="181"/>
      <c r="F512" s="173"/>
      <c r="G512" s="174"/>
      <c r="H512" s="284"/>
      <c r="I512" s="221"/>
      <c r="J512" s="177">
        <f>IF(H512=0,0,IF(F512="MXN",1/HLOOKUP(YEAR(G512)+(MONTH(G512)/100),TC!$5:$37,DAY(G512)+2,FALSE),VLOOKUP(F512,Equivalencia!$5:$23,((MAX(Equivalencia!$3:$3)-YEAR(G512))*14)+MONTH(G512)+2,FALSE)))</f>
        <v>0</v>
      </c>
      <c r="K512" s="217">
        <f t="shared" si="75"/>
        <v>0</v>
      </c>
      <c r="L512" s="462">
        <f>IF(G512=0,0,VLOOKUP(YEAR(G512),INPC!$B$4:$O$29,MONTH(G512)+1))</f>
        <v>0</v>
      </c>
      <c r="M512" s="462">
        <f>IF(T512=0,0,VLOOKUP(YEAR(T512),INPC!$B$4:$O$29,MONTH(T512)+1))</f>
        <v>0</v>
      </c>
      <c r="N512" s="463">
        <f t="shared" si="71"/>
        <v>0</v>
      </c>
      <c r="O512" s="464">
        <f t="shared" si="76"/>
        <v>0</v>
      </c>
      <c r="P512" s="465">
        <f t="shared" si="77"/>
        <v>0</v>
      </c>
      <c r="Q512" s="606" t="str">
        <f t="shared" si="78"/>
        <v>NO</v>
      </c>
      <c r="R512" s="180"/>
      <c r="S512" s="173"/>
      <c r="T512" s="174"/>
      <c r="U512" s="173"/>
      <c r="V512" s="220"/>
      <c r="W512" s="177">
        <f>IF(S512=0,0,IF(U512="MXN",1/HLOOKUP(YEAR(T512)+(MONTH(T512)/100),TC!$5:$37,DAY(T512)+2,FALSE),VLOOKUP(U512,Equivalencia!$1:$23,((MAX(Equivalencia!$3:$3)-YEAR(T512))*14)+MONTH(T512)+2,FALSE)))</f>
        <v>0</v>
      </c>
      <c r="X512" s="178">
        <f t="shared" si="79"/>
        <v>0</v>
      </c>
      <c r="Y512" s="178">
        <f t="shared" si="80"/>
        <v>0</v>
      </c>
      <c r="Z512" s="175">
        <f t="shared" si="72"/>
        <v>0</v>
      </c>
      <c r="AA512" s="179"/>
      <c r="AB512" s="467">
        <f t="shared" si="73"/>
        <v>0</v>
      </c>
      <c r="AC512" s="466">
        <f t="shared" si="74"/>
        <v>0</v>
      </c>
    </row>
    <row r="513" spans="2:29" ht="20.100000000000001" customHeight="1">
      <c r="B513" s="172"/>
      <c r="C513" s="172"/>
      <c r="D513" s="172"/>
      <c r="E513" s="181"/>
      <c r="F513" s="173"/>
      <c r="G513" s="174"/>
      <c r="H513" s="284"/>
      <c r="I513" s="221"/>
      <c r="J513" s="177">
        <f>IF(H513=0,0,IF(F513="MXN",1/HLOOKUP(YEAR(G513)+(MONTH(G513)/100),TC!$5:$37,DAY(G513)+2,FALSE),VLOOKUP(F513,Equivalencia!$5:$23,((MAX(Equivalencia!$3:$3)-YEAR(G513))*14)+MONTH(G513)+2,FALSE)))</f>
        <v>0</v>
      </c>
      <c r="K513" s="217">
        <f t="shared" si="75"/>
        <v>0</v>
      </c>
      <c r="L513" s="462">
        <f>IF(G513=0,0,VLOOKUP(YEAR(G513),INPC!$B$4:$O$29,MONTH(G513)+1))</f>
        <v>0</v>
      </c>
      <c r="M513" s="462">
        <f>IF(T513=0,0,VLOOKUP(YEAR(T513),INPC!$B$4:$O$29,MONTH(T513)+1))</f>
        <v>0</v>
      </c>
      <c r="N513" s="463">
        <f t="shared" si="71"/>
        <v>0</v>
      </c>
      <c r="O513" s="464">
        <f t="shared" si="76"/>
        <v>0</v>
      </c>
      <c r="P513" s="465">
        <f t="shared" si="77"/>
        <v>0</v>
      </c>
      <c r="Q513" s="606" t="str">
        <f t="shared" si="78"/>
        <v>NO</v>
      </c>
      <c r="R513" s="180"/>
      <c r="S513" s="173"/>
      <c r="T513" s="174"/>
      <c r="U513" s="173"/>
      <c r="V513" s="220"/>
      <c r="W513" s="177">
        <f>IF(S513=0,0,IF(U513="MXN",1/HLOOKUP(YEAR(T513)+(MONTH(T513)/100),TC!$5:$37,DAY(T513)+2,FALSE),VLOOKUP(U513,Equivalencia!$1:$23,((MAX(Equivalencia!$3:$3)-YEAR(T513))*14)+MONTH(T513)+2,FALSE)))</f>
        <v>0</v>
      </c>
      <c r="X513" s="178">
        <f t="shared" si="79"/>
        <v>0</v>
      </c>
      <c r="Y513" s="178">
        <f t="shared" si="80"/>
        <v>0</v>
      </c>
      <c r="Z513" s="175">
        <f t="shared" si="72"/>
        <v>0</v>
      </c>
      <c r="AA513" s="179"/>
      <c r="AB513" s="467">
        <f t="shared" si="73"/>
        <v>0</v>
      </c>
      <c r="AC513" s="466">
        <f t="shared" si="74"/>
        <v>0</v>
      </c>
    </row>
    <row r="514" spans="2:29" ht="20.100000000000001" customHeight="1">
      <c r="B514" s="172"/>
      <c r="C514" s="172"/>
      <c r="D514" s="172"/>
      <c r="E514" s="181"/>
      <c r="F514" s="173"/>
      <c r="G514" s="174"/>
      <c r="H514" s="284"/>
      <c r="I514" s="221"/>
      <c r="J514" s="177">
        <f>IF(H514=0,0,IF(F514="MXN",1/HLOOKUP(YEAR(G514)+(MONTH(G514)/100),TC!$5:$37,DAY(G514)+2,FALSE),VLOOKUP(F514,Equivalencia!$5:$23,((MAX(Equivalencia!$3:$3)-YEAR(G514))*14)+MONTH(G514)+2,FALSE)))</f>
        <v>0</v>
      </c>
      <c r="K514" s="217">
        <f t="shared" si="75"/>
        <v>0</v>
      </c>
      <c r="L514" s="462">
        <f>IF(G514=0,0,VLOOKUP(YEAR(G514),INPC!$B$4:$O$29,MONTH(G514)+1))</f>
        <v>0</v>
      </c>
      <c r="M514" s="462">
        <f>IF(T514=0,0,VLOOKUP(YEAR(T514),INPC!$B$4:$O$29,MONTH(T514)+1))</f>
        <v>0</v>
      </c>
      <c r="N514" s="463">
        <f t="shared" ref="N514:N577" si="81">IF(T514=0,0,IF(TRUNC(M514/L514,4)&gt;=1,TRUNC(M514/L514,4),1))</f>
        <v>0</v>
      </c>
      <c r="O514" s="464">
        <f t="shared" si="76"/>
        <v>0</v>
      </c>
      <c r="P514" s="465">
        <f t="shared" si="77"/>
        <v>0</v>
      </c>
      <c r="Q514" s="606" t="str">
        <f t="shared" si="78"/>
        <v>NO</v>
      </c>
      <c r="R514" s="180"/>
      <c r="S514" s="173"/>
      <c r="T514" s="174"/>
      <c r="U514" s="173"/>
      <c r="V514" s="220"/>
      <c r="W514" s="177">
        <f>IF(S514=0,0,IF(U514="MXN",1/HLOOKUP(YEAR(T514)+(MONTH(T514)/100),TC!$5:$37,DAY(T514)+2,FALSE),VLOOKUP(U514,Equivalencia!$1:$23,((MAX(Equivalencia!$3:$3)-YEAR(T514))*14)+MONTH(T514)+2,FALSE)))</f>
        <v>0</v>
      </c>
      <c r="X514" s="178">
        <f t="shared" si="79"/>
        <v>0</v>
      </c>
      <c r="Y514" s="178">
        <f t="shared" si="80"/>
        <v>0</v>
      </c>
      <c r="Z514" s="175">
        <f t="shared" ref="Z514:Z577" si="82">+X514+Y514</f>
        <v>0</v>
      </c>
      <c r="AA514" s="179"/>
      <c r="AB514" s="467">
        <f t="shared" ref="AB514:AB577" si="83">+X514+AC514</f>
        <v>0</v>
      </c>
      <c r="AC514" s="466">
        <f t="shared" ref="AC514:AC577" si="84">+R514*P514</f>
        <v>0</v>
      </c>
    </row>
    <row r="515" spans="2:29" ht="20.100000000000001" customHeight="1">
      <c r="B515" s="172"/>
      <c r="C515" s="172"/>
      <c r="D515" s="172"/>
      <c r="E515" s="181"/>
      <c r="F515" s="173"/>
      <c r="G515" s="174"/>
      <c r="H515" s="284"/>
      <c r="I515" s="221"/>
      <c r="J515" s="177">
        <f>IF(H515=0,0,IF(F515="MXN",1/HLOOKUP(YEAR(G515)+(MONTH(G515)/100),TC!$5:$37,DAY(G515)+2,FALSE),VLOOKUP(F515,Equivalencia!$5:$23,((MAX(Equivalencia!$3:$3)-YEAR(G515))*14)+MONTH(G515)+2,FALSE)))</f>
        <v>0</v>
      </c>
      <c r="K515" s="217">
        <f t="shared" ref="K515:K578" si="85">+I515*J515</f>
        <v>0</v>
      </c>
      <c r="L515" s="462">
        <f>IF(G515=0,0,VLOOKUP(YEAR(G515),INPC!$B$4:$O$29,MONTH(G515)+1))</f>
        <v>0</v>
      </c>
      <c r="M515" s="462">
        <f>IF(T515=0,0,VLOOKUP(YEAR(T515),INPC!$B$4:$O$29,MONTH(T515)+1))</f>
        <v>0</v>
      </c>
      <c r="N515" s="463">
        <f t="shared" si="81"/>
        <v>0</v>
      </c>
      <c r="O515" s="464">
        <f t="shared" ref="O515:O578" si="86">+N515*K515</f>
        <v>0</v>
      </c>
      <c r="P515" s="465">
        <f t="shared" ref="P515:P578" si="87">IF(R515=0,0,O515/R515)</f>
        <v>0</v>
      </c>
      <c r="Q515" s="606" t="str">
        <f t="shared" ref="Q515:Q578" si="88">IF(T515=0,"NO","SI")</f>
        <v>NO</v>
      </c>
      <c r="R515" s="180"/>
      <c r="S515" s="173"/>
      <c r="T515" s="174"/>
      <c r="U515" s="173"/>
      <c r="V515" s="220"/>
      <c r="W515" s="177">
        <f>IF(S515=0,0,IF(U515="MXN",1/HLOOKUP(YEAR(T515)+(MONTH(T515)/100),TC!$5:$37,DAY(T515)+2,FALSE),VLOOKUP(U515,Equivalencia!$1:$23,((MAX(Equivalencia!$3:$3)-YEAR(T515))*14)+MONTH(T515)+2,FALSE)))</f>
        <v>0</v>
      </c>
      <c r="X515" s="178">
        <f t="shared" ref="X515:X578" si="89">+W515*V515</f>
        <v>0</v>
      </c>
      <c r="Y515" s="178">
        <f t="shared" ref="Y515:Y578" si="90">+K515</f>
        <v>0</v>
      </c>
      <c r="Z515" s="175">
        <f t="shared" si="82"/>
        <v>0</v>
      </c>
      <c r="AA515" s="179"/>
      <c r="AB515" s="467">
        <f t="shared" si="83"/>
        <v>0</v>
      </c>
      <c r="AC515" s="466">
        <f t="shared" si="84"/>
        <v>0</v>
      </c>
    </row>
    <row r="516" spans="2:29" ht="20.100000000000001" customHeight="1">
      <c r="B516" s="172"/>
      <c r="C516" s="172"/>
      <c r="D516" s="172"/>
      <c r="E516" s="181"/>
      <c r="F516" s="173"/>
      <c r="G516" s="174"/>
      <c r="H516" s="284"/>
      <c r="I516" s="221"/>
      <c r="J516" s="177">
        <f>IF(H516=0,0,IF(F516="MXN",1/HLOOKUP(YEAR(G516)+(MONTH(G516)/100),TC!$5:$37,DAY(G516)+2,FALSE),VLOOKUP(F516,Equivalencia!$5:$23,((MAX(Equivalencia!$3:$3)-YEAR(G516))*14)+MONTH(G516)+2,FALSE)))</f>
        <v>0</v>
      </c>
      <c r="K516" s="217">
        <f t="shared" si="85"/>
        <v>0</v>
      </c>
      <c r="L516" s="462">
        <f>IF(G516=0,0,VLOOKUP(YEAR(G516),INPC!$B$4:$O$29,MONTH(G516)+1))</f>
        <v>0</v>
      </c>
      <c r="M516" s="462">
        <f>IF(T516=0,0,VLOOKUP(YEAR(T516),INPC!$B$4:$O$29,MONTH(T516)+1))</f>
        <v>0</v>
      </c>
      <c r="N516" s="463">
        <f t="shared" si="81"/>
        <v>0</v>
      </c>
      <c r="O516" s="464">
        <f t="shared" si="86"/>
        <v>0</v>
      </c>
      <c r="P516" s="465">
        <f t="shared" si="87"/>
        <v>0</v>
      </c>
      <c r="Q516" s="606" t="str">
        <f t="shared" si="88"/>
        <v>NO</v>
      </c>
      <c r="R516" s="180"/>
      <c r="S516" s="173"/>
      <c r="T516" s="174"/>
      <c r="U516" s="173"/>
      <c r="V516" s="220"/>
      <c r="W516" s="177">
        <f>IF(S516=0,0,IF(U516="MXN",1/HLOOKUP(YEAR(T516)+(MONTH(T516)/100),TC!$5:$37,DAY(T516)+2,FALSE),VLOOKUP(U516,Equivalencia!$1:$23,((MAX(Equivalencia!$3:$3)-YEAR(T516))*14)+MONTH(T516)+2,FALSE)))</f>
        <v>0</v>
      </c>
      <c r="X516" s="178">
        <f t="shared" si="89"/>
        <v>0</v>
      </c>
      <c r="Y516" s="178">
        <f t="shared" si="90"/>
        <v>0</v>
      </c>
      <c r="Z516" s="175">
        <f t="shared" si="82"/>
        <v>0</v>
      </c>
      <c r="AA516" s="179"/>
      <c r="AB516" s="467">
        <f t="shared" si="83"/>
        <v>0</v>
      </c>
      <c r="AC516" s="466">
        <f t="shared" si="84"/>
        <v>0</v>
      </c>
    </row>
    <row r="517" spans="2:29" ht="20.100000000000001" customHeight="1">
      <c r="B517" s="172"/>
      <c r="C517" s="172"/>
      <c r="D517" s="172"/>
      <c r="E517" s="181"/>
      <c r="F517" s="173"/>
      <c r="G517" s="174"/>
      <c r="H517" s="284"/>
      <c r="I517" s="221"/>
      <c r="J517" s="177">
        <f>IF(H517=0,0,IF(F517="MXN",1/HLOOKUP(YEAR(G517)+(MONTH(G517)/100),TC!$5:$37,DAY(G517)+2,FALSE),VLOOKUP(F517,Equivalencia!$5:$23,((MAX(Equivalencia!$3:$3)-YEAR(G517))*14)+MONTH(G517)+2,FALSE)))</f>
        <v>0</v>
      </c>
      <c r="K517" s="217">
        <f t="shared" si="85"/>
        <v>0</v>
      </c>
      <c r="L517" s="462">
        <f>IF(G517=0,0,VLOOKUP(YEAR(G517),INPC!$B$4:$O$29,MONTH(G517)+1))</f>
        <v>0</v>
      </c>
      <c r="M517" s="462">
        <f>IF(T517=0,0,VLOOKUP(YEAR(T517),INPC!$B$4:$O$29,MONTH(T517)+1))</f>
        <v>0</v>
      </c>
      <c r="N517" s="463">
        <f t="shared" si="81"/>
        <v>0</v>
      </c>
      <c r="O517" s="464">
        <f t="shared" si="86"/>
        <v>0</v>
      </c>
      <c r="P517" s="465">
        <f t="shared" si="87"/>
        <v>0</v>
      </c>
      <c r="Q517" s="606" t="str">
        <f t="shared" si="88"/>
        <v>NO</v>
      </c>
      <c r="R517" s="180"/>
      <c r="S517" s="173"/>
      <c r="T517" s="174"/>
      <c r="U517" s="173"/>
      <c r="V517" s="220"/>
      <c r="W517" s="177">
        <f>IF(S517=0,0,IF(U517="MXN",1/HLOOKUP(YEAR(T517)+(MONTH(T517)/100),TC!$5:$37,DAY(T517)+2,FALSE),VLOOKUP(U517,Equivalencia!$1:$23,((MAX(Equivalencia!$3:$3)-YEAR(T517))*14)+MONTH(T517)+2,FALSE)))</f>
        <v>0</v>
      </c>
      <c r="X517" s="178">
        <f t="shared" si="89"/>
        <v>0</v>
      </c>
      <c r="Y517" s="178">
        <f t="shared" si="90"/>
        <v>0</v>
      </c>
      <c r="Z517" s="175">
        <f t="shared" si="82"/>
        <v>0</v>
      </c>
      <c r="AA517" s="179"/>
      <c r="AB517" s="467">
        <f t="shared" si="83"/>
        <v>0</v>
      </c>
      <c r="AC517" s="466">
        <f t="shared" si="84"/>
        <v>0</v>
      </c>
    </row>
    <row r="518" spans="2:29" ht="20.100000000000001" customHeight="1">
      <c r="B518" s="172"/>
      <c r="C518" s="172"/>
      <c r="D518" s="172"/>
      <c r="E518" s="181"/>
      <c r="F518" s="173"/>
      <c r="G518" s="174"/>
      <c r="H518" s="284"/>
      <c r="I518" s="221"/>
      <c r="J518" s="177">
        <f>IF(H518=0,0,IF(F518="MXN",1/HLOOKUP(YEAR(G518)+(MONTH(G518)/100),TC!$5:$37,DAY(G518)+2,FALSE),VLOOKUP(F518,Equivalencia!$5:$23,((MAX(Equivalencia!$3:$3)-YEAR(G518))*14)+MONTH(G518)+2,FALSE)))</f>
        <v>0</v>
      </c>
      <c r="K518" s="217">
        <f t="shared" si="85"/>
        <v>0</v>
      </c>
      <c r="L518" s="462">
        <f>IF(G518=0,0,VLOOKUP(YEAR(G518),INPC!$B$4:$O$29,MONTH(G518)+1))</f>
        <v>0</v>
      </c>
      <c r="M518" s="462">
        <f>IF(T518=0,0,VLOOKUP(YEAR(T518),INPC!$B$4:$O$29,MONTH(T518)+1))</f>
        <v>0</v>
      </c>
      <c r="N518" s="463">
        <f t="shared" si="81"/>
        <v>0</v>
      </c>
      <c r="O518" s="464">
        <f t="shared" si="86"/>
        <v>0</v>
      </c>
      <c r="P518" s="465">
        <f t="shared" si="87"/>
        <v>0</v>
      </c>
      <c r="Q518" s="606" t="str">
        <f t="shared" si="88"/>
        <v>NO</v>
      </c>
      <c r="R518" s="180"/>
      <c r="S518" s="173"/>
      <c r="T518" s="174"/>
      <c r="U518" s="173"/>
      <c r="V518" s="220"/>
      <c r="W518" s="177">
        <f>IF(S518=0,0,IF(U518="MXN",1/HLOOKUP(YEAR(T518)+(MONTH(T518)/100),TC!$5:$37,DAY(T518)+2,FALSE),VLOOKUP(U518,Equivalencia!$1:$23,((MAX(Equivalencia!$3:$3)-YEAR(T518))*14)+MONTH(T518)+2,FALSE)))</f>
        <v>0</v>
      </c>
      <c r="X518" s="178">
        <f t="shared" si="89"/>
        <v>0</v>
      </c>
      <c r="Y518" s="178">
        <f t="shared" si="90"/>
        <v>0</v>
      </c>
      <c r="Z518" s="175">
        <f t="shared" si="82"/>
        <v>0</v>
      </c>
      <c r="AA518" s="179"/>
      <c r="AB518" s="467">
        <f t="shared" si="83"/>
        <v>0</v>
      </c>
      <c r="AC518" s="466">
        <f t="shared" si="84"/>
        <v>0</v>
      </c>
    </row>
    <row r="519" spans="2:29" ht="20.100000000000001" customHeight="1">
      <c r="B519" s="172"/>
      <c r="C519" s="172"/>
      <c r="D519" s="172"/>
      <c r="E519" s="181"/>
      <c r="F519" s="173"/>
      <c r="G519" s="174"/>
      <c r="H519" s="284"/>
      <c r="I519" s="221"/>
      <c r="J519" s="177">
        <f>IF(H519=0,0,IF(F519="MXN",1/HLOOKUP(YEAR(G519)+(MONTH(G519)/100),TC!$5:$37,DAY(G519)+2,FALSE),VLOOKUP(F519,Equivalencia!$5:$23,((MAX(Equivalencia!$3:$3)-YEAR(G519))*14)+MONTH(G519)+2,FALSE)))</f>
        <v>0</v>
      </c>
      <c r="K519" s="217">
        <f t="shared" si="85"/>
        <v>0</v>
      </c>
      <c r="L519" s="462">
        <f>IF(G519=0,0,VLOOKUP(YEAR(G519),INPC!$B$4:$O$29,MONTH(G519)+1))</f>
        <v>0</v>
      </c>
      <c r="M519" s="462">
        <f>IF(T519=0,0,VLOOKUP(YEAR(T519),INPC!$B$4:$O$29,MONTH(T519)+1))</f>
        <v>0</v>
      </c>
      <c r="N519" s="463">
        <f t="shared" si="81"/>
        <v>0</v>
      </c>
      <c r="O519" s="464">
        <f t="shared" si="86"/>
        <v>0</v>
      </c>
      <c r="P519" s="465">
        <f t="shared" si="87"/>
        <v>0</v>
      </c>
      <c r="Q519" s="606" t="str">
        <f t="shared" si="88"/>
        <v>NO</v>
      </c>
      <c r="R519" s="180"/>
      <c r="S519" s="173"/>
      <c r="T519" s="174"/>
      <c r="U519" s="173"/>
      <c r="V519" s="220"/>
      <c r="W519" s="177">
        <f>IF(S519=0,0,IF(U519="MXN",1/HLOOKUP(YEAR(T519)+(MONTH(T519)/100),TC!$5:$37,DAY(T519)+2,FALSE),VLOOKUP(U519,Equivalencia!$1:$23,((MAX(Equivalencia!$3:$3)-YEAR(T519))*14)+MONTH(T519)+2,FALSE)))</f>
        <v>0</v>
      </c>
      <c r="X519" s="178">
        <f t="shared" si="89"/>
        <v>0</v>
      </c>
      <c r="Y519" s="178">
        <f t="shared" si="90"/>
        <v>0</v>
      </c>
      <c r="Z519" s="175">
        <f t="shared" si="82"/>
        <v>0</v>
      </c>
      <c r="AA519" s="179"/>
      <c r="AB519" s="467">
        <f t="shared" si="83"/>
        <v>0</v>
      </c>
      <c r="AC519" s="466">
        <f t="shared" si="84"/>
        <v>0</v>
      </c>
    </row>
    <row r="520" spans="2:29" ht="20.100000000000001" customHeight="1">
      <c r="B520" s="172"/>
      <c r="C520" s="172"/>
      <c r="D520" s="172"/>
      <c r="E520" s="181"/>
      <c r="F520" s="173"/>
      <c r="G520" s="174"/>
      <c r="H520" s="284"/>
      <c r="I520" s="221"/>
      <c r="J520" s="177">
        <f>IF(H520=0,0,IF(F520="MXN",1/HLOOKUP(YEAR(G520)+(MONTH(G520)/100),TC!$5:$37,DAY(G520)+2,FALSE),VLOOKUP(F520,Equivalencia!$5:$23,((MAX(Equivalencia!$3:$3)-YEAR(G520))*14)+MONTH(G520)+2,FALSE)))</f>
        <v>0</v>
      </c>
      <c r="K520" s="217">
        <f t="shared" si="85"/>
        <v>0</v>
      </c>
      <c r="L520" s="462">
        <f>IF(G520=0,0,VLOOKUP(YEAR(G520),INPC!$B$4:$O$29,MONTH(G520)+1))</f>
        <v>0</v>
      </c>
      <c r="M520" s="462">
        <f>IF(T520=0,0,VLOOKUP(YEAR(T520),INPC!$B$4:$O$29,MONTH(T520)+1))</f>
        <v>0</v>
      </c>
      <c r="N520" s="463">
        <f t="shared" si="81"/>
        <v>0</v>
      </c>
      <c r="O520" s="464">
        <f t="shared" si="86"/>
        <v>0</v>
      </c>
      <c r="P520" s="465">
        <f t="shared" si="87"/>
        <v>0</v>
      </c>
      <c r="Q520" s="606" t="str">
        <f t="shared" si="88"/>
        <v>NO</v>
      </c>
      <c r="R520" s="180"/>
      <c r="S520" s="173"/>
      <c r="T520" s="174"/>
      <c r="U520" s="173"/>
      <c r="V520" s="220"/>
      <c r="W520" s="177">
        <f>IF(S520=0,0,IF(U520="MXN",1/HLOOKUP(YEAR(T520)+(MONTH(T520)/100),TC!$5:$37,DAY(T520)+2,FALSE),VLOOKUP(U520,Equivalencia!$1:$23,((MAX(Equivalencia!$3:$3)-YEAR(T520))*14)+MONTH(T520)+2,FALSE)))</f>
        <v>0</v>
      </c>
      <c r="X520" s="178">
        <f t="shared" si="89"/>
        <v>0</v>
      </c>
      <c r="Y520" s="178">
        <f t="shared" si="90"/>
        <v>0</v>
      </c>
      <c r="Z520" s="175">
        <f t="shared" si="82"/>
        <v>0</v>
      </c>
      <c r="AA520" s="179"/>
      <c r="AB520" s="467">
        <f t="shared" si="83"/>
        <v>0</v>
      </c>
      <c r="AC520" s="466">
        <f t="shared" si="84"/>
        <v>0</v>
      </c>
    </row>
    <row r="521" spans="2:29" ht="20.100000000000001" customHeight="1">
      <c r="B521" s="172"/>
      <c r="C521" s="172"/>
      <c r="D521" s="172"/>
      <c r="E521" s="181"/>
      <c r="F521" s="173"/>
      <c r="G521" s="174"/>
      <c r="H521" s="284"/>
      <c r="I521" s="221"/>
      <c r="J521" s="177">
        <f>IF(H521=0,0,IF(F521="MXN",1/HLOOKUP(YEAR(G521)+(MONTH(G521)/100),TC!$5:$37,DAY(G521)+2,FALSE),VLOOKUP(F521,Equivalencia!$5:$23,((MAX(Equivalencia!$3:$3)-YEAR(G521))*14)+MONTH(G521)+2,FALSE)))</f>
        <v>0</v>
      </c>
      <c r="K521" s="217">
        <f t="shared" si="85"/>
        <v>0</v>
      </c>
      <c r="L521" s="462">
        <f>IF(G521=0,0,VLOOKUP(YEAR(G521),INPC!$B$4:$O$29,MONTH(G521)+1))</f>
        <v>0</v>
      </c>
      <c r="M521" s="462">
        <f>IF(T521=0,0,VLOOKUP(YEAR(T521),INPC!$B$4:$O$29,MONTH(T521)+1))</f>
        <v>0</v>
      </c>
      <c r="N521" s="463">
        <f t="shared" si="81"/>
        <v>0</v>
      </c>
      <c r="O521" s="464">
        <f t="shared" si="86"/>
        <v>0</v>
      </c>
      <c r="P521" s="465">
        <f t="shared" si="87"/>
        <v>0</v>
      </c>
      <c r="Q521" s="606" t="str">
        <f t="shared" si="88"/>
        <v>NO</v>
      </c>
      <c r="R521" s="180"/>
      <c r="S521" s="173"/>
      <c r="T521" s="174"/>
      <c r="U521" s="173"/>
      <c r="V521" s="220"/>
      <c r="W521" s="177">
        <f>IF(S521=0,0,IF(U521="MXN",1/HLOOKUP(YEAR(T521)+(MONTH(T521)/100),TC!$5:$37,DAY(T521)+2,FALSE),VLOOKUP(U521,Equivalencia!$1:$23,((MAX(Equivalencia!$3:$3)-YEAR(T521))*14)+MONTH(T521)+2,FALSE)))</f>
        <v>0</v>
      </c>
      <c r="X521" s="178">
        <f t="shared" si="89"/>
        <v>0</v>
      </c>
      <c r="Y521" s="178">
        <f t="shared" si="90"/>
        <v>0</v>
      </c>
      <c r="Z521" s="175">
        <f t="shared" si="82"/>
        <v>0</v>
      </c>
      <c r="AA521" s="179"/>
      <c r="AB521" s="467">
        <f t="shared" si="83"/>
        <v>0</v>
      </c>
      <c r="AC521" s="466">
        <f t="shared" si="84"/>
        <v>0</v>
      </c>
    </row>
    <row r="522" spans="2:29" ht="20.100000000000001" customHeight="1">
      <c r="B522" s="172"/>
      <c r="C522" s="172"/>
      <c r="D522" s="172"/>
      <c r="E522" s="181"/>
      <c r="F522" s="173"/>
      <c r="G522" s="174"/>
      <c r="H522" s="284"/>
      <c r="I522" s="221"/>
      <c r="J522" s="177">
        <f>IF(H522=0,0,IF(F522="MXN",1/HLOOKUP(YEAR(G522)+(MONTH(G522)/100),TC!$5:$37,DAY(G522)+2,FALSE),VLOOKUP(F522,Equivalencia!$5:$23,((MAX(Equivalencia!$3:$3)-YEAR(G522))*14)+MONTH(G522)+2,FALSE)))</f>
        <v>0</v>
      </c>
      <c r="K522" s="217">
        <f t="shared" si="85"/>
        <v>0</v>
      </c>
      <c r="L522" s="462">
        <f>IF(G522=0,0,VLOOKUP(YEAR(G522),INPC!$B$4:$O$29,MONTH(G522)+1))</f>
        <v>0</v>
      </c>
      <c r="M522" s="462">
        <f>IF(T522=0,0,VLOOKUP(YEAR(T522),INPC!$B$4:$O$29,MONTH(T522)+1))</f>
        <v>0</v>
      </c>
      <c r="N522" s="463">
        <f t="shared" si="81"/>
        <v>0</v>
      </c>
      <c r="O522" s="464">
        <f t="shared" si="86"/>
        <v>0</v>
      </c>
      <c r="P522" s="465">
        <f t="shared" si="87"/>
        <v>0</v>
      </c>
      <c r="Q522" s="606" t="str">
        <f t="shared" si="88"/>
        <v>NO</v>
      </c>
      <c r="R522" s="180"/>
      <c r="S522" s="173"/>
      <c r="T522" s="174"/>
      <c r="U522" s="173"/>
      <c r="V522" s="220"/>
      <c r="W522" s="177">
        <f>IF(S522=0,0,IF(U522="MXN",1/HLOOKUP(YEAR(T522)+(MONTH(T522)/100),TC!$5:$37,DAY(T522)+2,FALSE),VLOOKUP(U522,Equivalencia!$1:$23,((MAX(Equivalencia!$3:$3)-YEAR(T522))*14)+MONTH(T522)+2,FALSE)))</f>
        <v>0</v>
      </c>
      <c r="X522" s="178">
        <f t="shared" si="89"/>
        <v>0</v>
      </c>
      <c r="Y522" s="178">
        <f t="shared" si="90"/>
        <v>0</v>
      </c>
      <c r="Z522" s="175">
        <f t="shared" si="82"/>
        <v>0</v>
      </c>
      <c r="AA522" s="179"/>
      <c r="AB522" s="467">
        <f t="shared" si="83"/>
        <v>0</v>
      </c>
      <c r="AC522" s="466">
        <f t="shared" si="84"/>
        <v>0</v>
      </c>
    </row>
    <row r="523" spans="2:29" ht="20.100000000000001" customHeight="1">
      <c r="B523" s="172"/>
      <c r="C523" s="172"/>
      <c r="D523" s="172"/>
      <c r="E523" s="181"/>
      <c r="F523" s="173"/>
      <c r="G523" s="174"/>
      <c r="H523" s="284"/>
      <c r="I523" s="221"/>
      <c r="J523" s="177">
        <f>IF(H523=0,0,IF(F523="MXN",1/HLOOKUP(YEAR(G523)+(MONTH(G523)/100),TC!$5:$37,DAY(G523)+2,FALSE),VLOOKUP(F523,Equivalencia!$5:$23,((MAX(Equivalencia!$3:$3)-YEAR(G523))*14)+MONTH(G523)+2,FALSE)))</f>
        <v>0</v>
      </c>
      <c r="K523" s="217">
        <f t="shared" si="85"/>
        <v>0</v>
      </c>
      <c r="L523" s="462">
        <f>IF(G523=0,0,VLOOKUP(YEAR(G523),INPC!$B$4:$O$29,MONTH(G523)+1))</f>
        <v>0</v>
      </c>
      <c r="M523" s="462">
        <f>IF(T523=0,0,VLOOKUP(YEAR(T523),INPC!$B$4:$O$29,MONTH(T523)+1))</f>
        <v>0</v>
      </c>
      <c r="N523" s="463">
        <f t="shared" si="81"/>
        <v>0</v>
      </c>
      <c r="O523" s="464">
        <f t="shared" si="86"/>
        <v>0</v>
      </c>
      <c r="P523" s="465">
        <f t="shared" si="87"/>
        <v>0</v>
      </c>
      <c r="Q523" s="606" t="str">
        <f t="shared" si="88"/>
        <v>NO</v>
      </c>
      <c r="R523" s="180"/>
      <c r="S523" s="173"/>
      <c r="T523" s="174"/>
      <c r="U523" s="173"/>
      <c r="V523" s="220"/>
      <c r="W523" s="177">
        <f>IF(S523=0,0,IF(U523="MXN",1/HLOOKUP(YEAR(T523)+(MONTH(T523)/100),TC!$5:$37,DAY(T523)+2,FALSE),VLOOKUP(U523,Equivalencia!$1:$23,((MAX(Equivalencia!$3:$3)-YEAR(T523))*14)+MONTH(T523)+2,FALSE)))</f>
        <v>0</v>
      </c>
      <c r="X523" s="178">
        <f t="shared" si="89"/>
        <v>0</v>
      </c>
      <c r="Y523" s="178">
        <f t="shared" si="90"/>
        <v>0</v>
      </c>
      <c r="Z523" s="175">
        <f t="shared" si="82"/>
        <v>0</v>
      </c>
      <c r="AA523" s="179"/>
      <c r="AB523" s="467">
        <f t="shared" si="83"/>
        <v>0</v>
      </c>
      <c r="AC523" s="466">
        <f t="shared" si="84"/>
        <v>0</v>
      </c>
    </row>
    <row r="524" spans="2:29" ht="20.100000000000001" customHeight="1">
      <c r="B524" s="172"/>
      <c r="C524" s="172"/>
      <c r="D524" s="172"/>
      <c r="E524" s="181"/>
      <c r="F524" s="173"/>
      <c r="G524" s="174"/>
      <c r="H524" s="284"/>
      <c r="I524" s="221"/>
      <c r="J524" s="177">
        <f>IF(H524=0,0,IF(F524="MXN",1/HLOOKUP(YEAR(G524)+(MONTH(G524)/100),TC!$5:$37,DAY(G524)+2,FALSE),VLOOKUP(F524,Equivalencia!$5:$23,((MAX(Equivalencia!$3:$3)-YEAR(G524))*14)+MONTH(G524)+2,FALSE)))</f>
        <v>0</v>
      </c>
      <c r="K524" s="217">
        <f t="shared" si="85"/>
        <v>0</v>
      </c>
      <c r="L524" s="462">
        <f>IF(G524=0,0,VLOOKUP(YEAR(G524),INPC!$B$4:$O$29,MONTH(G524)+1))</f>
        <v>0</v>
      </c>
      <c r="M524" s="462">
        <f>IF(T524=0,0,VLOOKUP(YEAR(T524),INPC!$B$4:$O$29,MONTH(T524)+1))</f>
        <v>0</v>
      </c>
      <c r="N524" s="463">
        <f t="shared" si="81"/>
        <v>0</v>
      </c>
      <c r="O524" s="464">
        <f t="shared" si="86"/>
        <v>0</v>
      </c>
      <c r="P524" s="465">
        <f t="shared" si="87"/>
        <v>0</v>
      </c>
      <c r="Q524" s="606" t="str">
        <f t="shared" si="88"/>
        <v>NO</v>
      </c>
      <c r="R524" s="180"/>
      <c r="S524" s="173"/>
      <c r="T524" s="174"/>
      <c r="U524" s="173"/>
      <c r="V524" s="220"/>
      <c r="W524" s="177">
        <f>IF(S524=0,0,IF(U524="MXN",1/HLOOKUP(YEAR(T524)+(MONTH(T524)/100),TC!$5:$37,DAY(T524)+2,FALSE),VLOOKUP(U524,Equivalencia!$1:$23,((MAX(Equivalencia!$3:$3)-YEAR(T524))*14)+MONTH(T524)+2,FALSE)))</f>
        <v>0</v>
      </c>
      <c r="X524" s="178">
        <f t="shared" si="89"/>
        <v>0</v>
      </c>
      <c r="Y524" s="178">
        <f t="shared" si="90"/>
        <v>0</v>
      </c>
      <c r="Z524" s="175">
        <f t="shared" si="82"/>
        <v>0</v>
      </c>
      <c r="AA524" s="179"/>
      <c r="AB524" s="467">
        <f t="shared" si="83"/>
        <v>0</v>
      </c>
      <c r="AC524" s="466">
        <f t="shared" si="84"/>
        <v>0</v>
      </c>
    </row>
    <row r="525" spans="2:29" ht="20.100000000000001" customHeight="1">
      <c r="B525" s="172"/>
      <c r="C525" s="172"/>
      <c r="D525" s="172"/>
      <c r="E525" s="181"/>
      <c r="F525" s="173"/>
      <c r="G525" s="174"/>
      <c r="H525" s="284"/>
      <c r="I525" s="221"/>
      <c r="J525" s="177">
        <f>IF(H525=0,0,IF(F525="MXN",1/HLOOKUP(YEAR(G525)+(MONTH(G525)/100),TC!$5:$37,DAY(G525)+2,FALSE),VLOOKUP(F525,Equivalencia!$5:$23,((MAX(Equivalencia!$3:$3)-YEAR(G525))*14)+MONTH(G525)+2,FALSE)))</f>
        <v>0</v>
      </c>
      <c r="K525" s="217">
        <f t="shared" si="85"/>
        <v>0</v>
      </c>
      <c r="L525" s="462">
        <f>IF(G525=0,0,VLOOKUP(YEAR(G525),INPC!$B$4:$O$29,MONTH(G525)+1))</f>
        <v>0</v>
      </c>
      <c r="M525" s="462">
        <f>IF(T525=0,0,VLOOKUP(YEAR(T525),INPC!$B$4:$O$29,MONTH(T525)+1))</f>
        <v>0</v>
      </c>
      <c r="N525" s="463">
        <f t="shared" si="81"/>
        <v>0</v>
      </c>
      <c r="O525" s="464">
        <f t="shared" si="86"/>
        <v>0</v>
      </c>
      <c r="P525" s="465">
        <f t="shared" si="87"/>
        <v>0</v>
      </c>
      <c r="Q525" s="606" t="str">
        <f t="shared" si="88"/>
        <v>NO</v>
      </c>
      <c r="R525" s="180"/>
      <c r="S525" s="173"/>
      <c r="T525" s="174"/>
      <c r="U525" s="173"/>
      <c r="V525" s="220"/>
      <c r="W525" s="177">
        <f>IF(S525=0,0,IF(U525="MXN",1/HLOOKUP(YEAR(T525)+(MONTH(T525)/100),TC!$5:$37,DAY(T525)+2,FALSE),VLOOKUP(U525,Equivalencia!$1:$23,((MAX(Equivalencia!$3:$3)-YEAR(T525))*14)+MONTH(T525)+2,FALSE)))</f>
        <v>0</v>
      </c>
      <c r="X525" s="178">
        <f t="shared" si="89"/>
        <v>0</v>
      </c>
      <c r="Y525" s="178">
        <f t="shared" si="90"/>
        <v>0</v>
      </c>
      <c r="Z525" s="175">
        <f t="shared" si="82"/>
        <v>0</v>
      </c>
      <c r="AA525" s="179"/>
      <c r="AB525" s="467">
        <f t="shared" si="83"/>
        <v>0</v>
      </c>
      <c r="AC525" s="466">
        <f t="shared" si="84"/>
        <v>0</v>
      </c>
    </row>
    <row r="526" spans="2:29" ht="20.100000000000001" customHeight="1">
      <c r="B526" s="172"/>
      <c r="C526" s="172"/>
      <c r="D526" s="172"/>
      <c r="E526" s="181"/>
      <c r="F526" s="173"/>
      <c r="G526" s="174"/>
      <c r="H526" s="284"/>
      <c r="I526" s="221"/>
      <c r="J526" s="177">
        <f>IF(H526=0,0,IF(F526="MXN",1/HLOOKUP(YEAR(G526)+(MONTH(G526)/100),TC!$5:$37,DAY(G526)+2,FALSE),VLOOKUP(F526,Equivalencia!$5:$23,((MAX(Equivalencia!$3:$3)-YEAR(G526))*14)+MONTH(G526)+2,FALSE)))</f>
        <v>0</v>
      </c>
      <c r="K526" s="217">
        <f t="shared" si="85"/>
        <v>0</v>
      </c>
      <c r="L526" s="462">
        <f>IF(G526=0,0,VLOOKUP(YEAR(G526),INPC!$B$4:$O$29,MONTH(G526)+1))</f>
        <v>0</v>
      </c>
      <c r="M526" s="462">
        <f>IF(T526=0,0,VLOOKUP(YEAR(T526),INPC!$B$4:$O$29,MONTH(T526)+1))</f>
        <v>0</v>
      </c>
      <c r="N526" s="463">
        <f t="shared" si="81"/>
        <v>0</v>
      </c>
      <c r="O526" s="464">
        <f t="shared" si="86"/>
        <v>0</v>
      </c>
      <c r="P526" s="465">
        <f t="shared" si="87"/>
        <v>0</v>
      </c>
      <c r="Q526" s="606" t="str">
        <f t="shared" si="88"/>
        <v>NO</v>
      </c>
      <c r="R526" s="180"/>
      <c r="S526" s="173"/>
      <c r="T526" s="174"/>
      <c r="U526" s="173"/>
      <c r="V526" s="220"/>
      <c r="W526" s="177">
        <f>IF(S526=0,0,IF(U526="MXN",1/HLOOKUP(YEAR(T526)+(MONTH(T526)/100),TC!$5:$37,DAY(T526)+2,FALSE),VLOOKUP(U526,Equivalencia!$1:$23,((MAX(Equivalencia!$3:$3)-YEAR(T526))*14)+MONTH(T526)+2,FALSE)))</f>
        <v>0</v>
      </c>
      <c r="X526" s="178">
        <f t="shared" si="89"/>
        <v>0</v>
      </c>
      <c r="Y526" s="178">
        <f t="shared" si="90"/>
        <v>0</v>
      </c>
      <c r="Z526" s="175">
        <f t="shared" si="82"/>
        <v>0</v>
      </c>
      <c r="AA526" s="179"/>
      <c r="AB526" s="467">
        <f t="shared" si="83"/>
        <v>0</v>
      </c>
      <c r="AC526" s="466">
        <f t="shared" si="84"/>
        <v>0</v>
      </c>
    </row>
    <row r="527" spans="2:29" ht="20.100000000000001" customHeight="1">
      <c r="B527" s="172"/>
      <c r="C527" s="172"/>
      <c r="D527" s="172"/>
      <c r="E527" s="181"/>
      <c r="F527" s="173"/>
      <c r="G527" s="174"/>
      <c r="H527" s="284"/>
      <c r="I527" s="221"/>
      <c r="J527" s="177">
        <f>IF(H527=0,0,IF(F527="MXN",1/HLOOKUP(YEAR(G527)+(MONTH(G527)/100),TC!$5:$37,DAY(G527)+2,FALSE),VLOOKUP(F527,Equivalencia!$5:$23,((MAX(Equivalencia!$3:$3)-YEAR(G527))*14)+MONTH(G527)+2,FALSE)))</f>
        <v>0</v>
      </c>
      <c r="K527" s="217">
        <f t="shared" si="85"/>
        <v>0</v>
      </c>
      <c r="L527" s="462">
        <f>IF(G527=0,0,VLOOKUP(YEAR(G527),INPC!$B$4:$O$29,MONTH(G527)+1))</f>
        <v>0</v>
      </c>
      <c r="M527" s="462">
        <f>IF(T527=0,0,VLOOKUP(YEAR(T527),INPC!$B$4:$O$29,MONTH(T527)+1))</f>
        <v>0</v>
      </c>
      <c r="N527" s="463">
        <f t="shared" si="81"/>
        <v>0</v>
      </c>
      <c r="O527" s="464">
        <f t="shared" si="86"/>
        <v>0</v>
      </c>
      <c r="P527" s="465">
        <f t="shared" si="87"/>
        <v>0</v>
      </c>
      <c r="Q527" s="606" t="str">
        <f t="shared" si="88"/>
        <v>NO</v>
      </c>
      <c r="R527" s="180"/>
      <c r="S527" s="173"/>
      <c r="T527" s="174"/>
      <c r="U527" s="173"/>
      <c r="V527" s="220"/>
      <c r="W527" s="177">
        <f>IF(S527=0,0,IF(U527="MXN",1/HLOOKUP(YEAR(T527)+(MONTH(T527)/100),TC!$5:$37,DAY(T527)+2,FALSE),VLOOKUP(U527,Equivalencia!$1:$23,((MAX(Equivalencia!$3:$3)-YEAR(T527))*14)+MONTH(T527)+2,FALSE)))</f>
        <v>0</v>
      </c>
      <c r="X527" s="178">
        <f t="shared" si="89"/>
        <v>0</v>
      </c>
      <c r="Y527" s="178">
        <f t="shared" si="90"/>
        <v>0</v>
      </c>
      <c r="Z527" s="175">
        <f t="shared" si="82"/>
        <v>0</v>
      </c>
      <c r="AA527" s="179"/>
      <c r="AB527" s="467">
        <f t="shared" si="83"/>
        <v>0</v>
      </c>
      <c r="AC527" s="466">
        <f t="shared" si="84"/>
        <v>0</v>
      </c>
    </row>
    <row r="528" spans="2:29" ht="20.100000000000001" customHeight="1">
      <c r="B528" s="172"/>
      <c r="C528" s="172"/>
      <c r="D528" s="172"/>
      <c r="E528" s="181"/>
      <c r="F528" s="173"/>
      <c r="G528" s="174"/>
      <c r="H528" s="284"/>
      <c r="I528" s="221"/>
      <c r="J528" s="177">
        <f>IF(H528=0,0,IF(F528="MXN",1/HLOOKUP(YEAR(G528)+(MONTH(G528)/100),TC!$5:$37,DAY(G528)+2,FALSE),VLOOKUP(F528,Equivalencia!$5:$23,((MAX(Equivalencia!$3:$3)-YEAR(G528))*14)+MONTH(G528)+2,FALSE)))</f>
        <v>0</v>
      </c>
      <c r="K528" s="217">
        <f t="shared" si="85"/>
        <v>0</v>
      </c>
      <c r="L528" s="462">
        <f>IF(G528=0,0,VLOOKUP(YEAR(G528),INPC!$B$4:$O$29,MONTH(G528)+1))</f>
        <v>0</v>
      </c>
      <c r="M528" s="462">
        <f>IF(T528=0,0,VLOOKUP(YEAR(T528),INPC!$B$4:$O$29,MONTH(T528)+1))</f>
        <v>0</v>
      </c>
      <c r="N528" s="463">
        <f t="shared" si="81"/>
        <v>0</v>
      </c>
      <c r="O528" s="464">
        <f t="shared" si="86"/>
        <v>0</v>
      </c>
      <c r="P528" s="465">
        <f t="shared" si="87"/>
        <v>0</v>
      </c>
      <c r="Q528" s="606" t="str">
        <f t="shared" si="88"/>
        <v>NO</v>
      </c>
      <c r="R528" s="180"/>
      <c r="S528" s="173"/>
      <c r="T528" s="174"/>
      <c r="U528" s="173"/>
      <c r="V528" s="220"/>
      <c r="W528" s="177">
        <f>IF(S528=0,0,IF(U528="MXN",1/HLOOKUP(YEAR(T528)+(MONTH(T528)/100),TC!$5:$37,DAY(T528)+2,FALSE),VLOOKUP(U528,Equivalencia!$1:$23,((MAX(Equivalencia!$3:$3)-YEAR(T528))*14)+MONTH(T528)+2,FALSE)))</f>
        <v>0</v>
      </c>
      <c r="X528" s="178">
        <f t="shared" si="89"/>
        <v>0</v>
      </c>
      <c r="Y528" s="178">
        <f t="shared" si="90"/>
        <v>0</v>
      </c>
      <c r="Z528" s="175">
        <f t="shared" si="82"/>
        <v>0</v>
      </c>
      <c r="AA528" s="179"/>
      <c r="AB528" s="467">
        <f t="shared" si="83"/>
        <v>0</v>
      </c>
      <c r="AC528" s="466">
        <f t="shared" si="84"/>
        <v>0</v>
      </c>
    </row>
    <row r="529" spans="2:29" ht="20.100000000000001" customHeight="1">
      <c r="B529" s="172"/>
      <c r="C529" s="172"/>
      <c r="D529" s="172"/>
      <c r="E529" s="181"/>
      <c r="F529" s="173"/>
      <c r="G529" s="174"/>
      <c r="H529" s="284"/>
      <c r="I529" s="221"/>
      <c r="J529" s="177">
        <f>IF(H529=0,0,IF(F529="MXN",1/HLOOKUP(YEAR(G529)+(MONTH(G529)/100),TC!$5:$37,DAY(G529)+2,FALSE),VLOOKUP(F529,Equivalencia!$5:$23,((MAX(Equivalencia!$3:$3)-YEAR(G529))*14)+MONTH(G529)+2,FALSE)))</f>
        <v>0</v>
      </c>
      <c r="K529" s="217">
        <f t="shared" si="85"/>
        <v>0</v>
      </c>
      <c r="L529" s="462">
        <f>IF(G529=0,0,VLOOKUP(YEAR(G529),INPC!$B$4:$O$29,MONTH(G529)+1))</f>
        <v>0</v>
      </c>
      <c r="M529" s="462">
        <f>IF(T529=0,0,VLOOKUP(YEAR(T529),INPC!$B$4:$O$29,MONTH(T529)+1))</f>
        <v>0</v>
      </c>
      <c r="N529" s="463">
        <f t="shared" si="81"/>
        <v>0</v>
      </c>
      <c r="O529" s="464">
        <f t="shared" si="86"/>
        <v>0</v>
      </c>
      <c r="P529" s="465">
        <f t="shared" si="87"/>
        <v>0</v>
      </c>
      <c r="Q529" s="606" t="str">
        <f t="shared" si="88"/>
        <v>NO</v>
      </c>
      <c r="R529" s="180"/>
      <c r="S529" s="173"/>
      <c r="T529" s="174"/>
      <c r="U529" s="173"/>
      <c r="V529" s="220"/>
      <c r="W529" s="177">
        <f>IF(S529=0,0,IF(U529="MXN",1/HLOOKUP(YEAR(T529)+(MONTH(T529)/100),TC!$5:$37,DAY(T529)+2,FALSE),VLOOKUP(U529,Equivalencia!$1:$23,((MAX(Equivalencia!$3:$3)-YEAR(T529))*14)+MONTH(T529)+2,FALSE)))</f>
        <v>0</v>
      </c>
      <c r="X529" s="178">
        <f t="shared" si="89"/>
        <v>0</v>
      </c>
      <c r="Y529" s="178">
        <f t="shared" si="90"/>
        <v>0</v>
      </c>
      <c r="Z529" s="175">
        <f t="shared" si="82"/>
        <v>0</v>
      </c>
      <c r="AA529" s="179"/>
      <c r="AB529" s="467">
        <f t="shared" si="83"/>
        <v>0</v>
      </c>
      <c r="AC529" s="466">
        <f t="shared" si="84"/>
        <v>0</v>
      </c>
    </row>
    <row r="530" spans="2:29" ht="20.100000000000001" customHeight="1">
      <c r="B530" s="172"/>
      <c r="C530" s="172"/>
      <c r="D530" s="172"/>
      <c r="E530" s="181"/>
      <c r="F530" s="173"/>
      <c r="G530" s="174"/>
      <c r="H530" s="284"/>
      <c r="I530" s="221"/>
      <c r="J530" s="177">
        <f>IF(H530=0,0,IF(F530="MXN",1/HLOOKUP(YEAR(G530)+(MONTH(G530)/100),TC!$5:$37,DAY(G530)+2,FALSE),VLOOKUP(F530,Equivalencia!$5:$23,((MAX(Equivalencia!$3:$3)-YEAR(G530))*14)+MONTH(G530)+2,FALSE)))</f>
        <v>0</v>
      </c>
      <c r="K530" s="217">
        <f t="shared" si="85"/>
        <v>0</v>
      </c>
      <c r="L530" s="462">
        <f>IF(G530=0,0,VLOOKUP(YEAR(G530),INPC!$B$4:$O$29,MONTH(G530)+1))</f>
        <v>0</v>
      </c>
      <c r="M530" s="462">
        <f>IF(T530=0,0,VLOOKUP(YEAR(T530),INPC!$B$4:$O$29,MONTH(T530)+1))</f>
        <v>0</v>
      </c>
      <c r="N530" s="463">
        <f t="shared" si="81"/>
        <v>0</v>
      </c>
      <c r="O530" s="464">
        <f t="shared" si="86"/>
        <v>0</v>
      </c>
      <c r="P530" s="465">
        <f t="shared" si="87"/>
        <v>0</v>
      </c>
      <c r="Q530" s="606" t="str">
        <f t="shared" si="88"/>
        <v>NO</v>
      </c>
      <c r="R530" s="180"/>
      <c r="S530" s="173"/>
      <c r="T530" s="174"/>
      <c r="U530" s="173"/>
      <c r="V530" s="220"/>
      <c r="W530" s="177">
        <f>IF(S530=0,0,IF(U530="MXN",1/HLOOKUP(YEAR(T530)+(MONTH(T530)/100),TC!$5:$37,DAY(T530)+2,FALSE),VLOOKUP(U530,Equivalencia!$1:$23,((MAX(Equivalencia!$3:$3)-YEAR(T530))*14)+MONTH(T530)+2,FALSE)))</f>
        <v>0</v>
      </c>
      <c r="X530" s="178">
        <f t="shared" si="89"/>
        <v>0</v>
      </c>
      <c r="Y530" s="178">
        <f t="shared" si="90"/>
        <v>0</v>
      </c>
      <c r="Z530" s="175">
        <f t="shared" si="82"/>
        <v>0</v>
      </c>
      <c r="AA530" s="179"/>
      <c r="AB530" s="467">
        <f t="shared" si="83"/>
        <v>0</v>
      </c>
      <c r="AC530" s="466">
        <f t="shared" si="84"/>
        <v>0</v>
      </c>
    </row>
    <row r="531" spans="2:29" ht="20.100000000000001" customHeight="1">
      <c r="B531" s="172"/>
      <c r="C531" s="172"/>
      <c r="D531" s="172"/>
      <c r="E531" s="181"/>
      <c r="F531" s="173"/>
      <c r="G531" s="174"/>
      <c r="H531" s="284"/>
      <c r="I531" s="221"/>
      <c r="J531" s="177">
        <f>IF(H531=0,0,IF(F531="MXN",1/HLOOKUP(YEAR(G531)+(MONTH(G531)/100),TC!$5:$37,DAY(G531)+2,FALSE),VLOOKUP(F531,Equivalencia!$5:$23,((MAX(Equivalencia!$3:$3)-YEAR(G531))*14)+MONTH(G531)+2,FALSE)))</f>
        <v>0</v>
      </c>
      <c r="K531" s="217">
        <f t="shared" si="85"/>
        <v>0</v>
      </c>
      <c r="L531" s="462">
        <f>IF(G531=0,0,VLOOKUP(YEAR(G531),INPC!$B$4:$O$29,MONTH(G531)+1))</f>
        <v>0</v>
      </c>
      <c r="M531" s="462">
        <f>IF(T531=0,0,VLOOKUP(YEAR(T531),INPC!$B$4:$O$29,MONTH(T531)+1))</f>
        <v>0</v>
      </c>
      <c r="N531" s="463">
        <f t="shared" si="81"/>
        <v>0</v>
      </c>
      <c r="O531" s="464">
        <f t="shared" si="86"/>
        <v>0</v>
      </c>
      <c r="P531" s="465">
        <f t="shared" si="87"/>
        <v>0</v>
      </c>
      <c r="Q531" s="606" t="str">
        <f t="shared" si="88"/>
        <v>NO</v>
      </c>
      <c r="R531" s="180"/>
      <c r="S531" s="173"/>
      <c r="T531" s="174"/>
      <c r="U531" s="173"/>
      <c r="V531" s="220"/>
      <c r="W531" s="177">
        <f>IF(S531=0,0,IF(U531="MXN",1/HLOOKUP(YEAR(T531)+(MONTH(T531)/100),TC!$5:$37,DAY(T531)+2,FALSE),VLOOKUP(U531,Equivalencia!$1:$23,((MAX(Equivalencia!$3:$3)-YEAR(T531))*14)+MONTH(T531)+2,FALSE)))</f>
        <v>0</v>
      </c>
      <c r="X531" s="178">
        <f t="shared" si="89"/>
        <v>0</v>
      </c>
      <c r="Y531" s="178">
        <f t="shared" si="90"/>
        <v>0</v>
      </c>
      <c r="Z531" s="175">
        <f t="shared" si="82"/>
        <v>0</v>
      </c>
      <c r="AA531" s="179"/>
      <c r="AB531" s="467">
        <f t="shared" si="83"/>
        <v>0</v>
      </c>
      <c r="AC531" s="466">
        <f t="shared" si="84"/>
        <v>0</v>
      </c>
    </row>
    <row r="532" spans="2:29" ht="20.100000000000001" customHeight="1">
      <c r="B532" s="172"/>
      <c r="C532" s="172"/>
      <c r="D532" s="172"/>
      <c r="E532" s="181"/>
      <c r="F532" s="173"/>
      <c r="G532" s="174"/>
      <c r="H532" s="284"/>
      <c r="I532" s="221"/>
      <c r="J532" s="177">
        <f>IF(H532=0,0,IF(F532="MXN",1/HLOOKUP(YEAR(G532)+(MONTH(G532)/100),TC!$5:$37,DAY(G532)+2,FALSE),VLOOKUP(F532,Equivalencia!$5:$23,((MAX(Equivalencia!$3:$3)-YEAR(G532))*14)+MONTH(G532)+2,FALSE)))</f>
        <v>0</v>
      </c>
      <c r="K532" s="217">
        <f t="shared" si="85"/>
        <v>0</v>
      </c>
      <c r="L532" s="462">
        <f>IF(G532=0,0,VLOOKUP(YEAR(G532),INPC!$B$4:$O$29,MONTH(G532)+1))</f>
        <v>0</v>
      </c>
      <c r="M532" s="462">
        <f>IF(T532=0,0,VLOOKUP(YEAR(T532),INPC!$B$4:$O$29,MONTH(T532)+1))</f>
        <v>0</v>
      </c>
      <c r="N532" s="463">
        <f t="shared" si="81"/>
        <v>0</v>
      </c>
      <c r="O532" s="464">
        <f t="shared" si="86"/>
        <v>0</v>
      </c>
      <c r="P532" s="465">
        <f t="shared" si="87"/>
        <v>0</v>
      </c>
      <c r="Q532" s="606" t="str">
        <f t="shared" si="88"/>
        <v>NO</v>
      </c>
      <c r="R532" s="180"/>
      <c r="S532" s="173"/>
      <c r="T532" s="174"/>
      <c r="U532" s="173"/>
      <c r="V532" s="220"/>
      <c r="W532" s="177">
        <f>IF(S532=0,0,IF(U532="MXN",1/HLOOKUP(YEAR(T532)+(MONTH(T532)/100),TC!$5:$37,DAY(T532)+2,FALSE),VLOOKUP(U532,Equivalencia!$1:$23,((MAX(Equivalencia!$3:$3)-YEAR(T532))*14)+MONTH(T532)+2,FALSE)))</f>
        <v>0</v>
      </c>
      <c r="X532" s="178">
        <f t="shared" si="89"/>
        <v>0</v>
      </c>
      <c r="Y532" s="178">
        <f t="shared" si="90"/>
        <v>0</v>
      </c>
      <c r="Z532" s="175">
        <f t="shared" si="82"/>
        <v>0</v>
      </c>
      <c r="AA532" s="179"/>
      <c r="AB532" s="467">
        <f t="shared" si="83"/>
        <v>0</v>
      </c>
      <c r="AC532" s="466">
        <f t="shared" si="84"/>
        <v>0</v>
      </c>
    </row>
    <row r="533" spans="2:29" ht="20.100000000000001" customHeight="1">
      <c r="B533" s="172"/>
      <c r="C533" s="172"/>
      <c r="D533" s="172"/>
      <c r="E533" s="181"/>
      <c r="F533" s="173"/>
      <c r="G533" s="174"/>
      <c r="H533" s="284"/>
      <c r="I533" s="221"/>
      <c r="J533" s="177">
        <f>IF(H533=0,0,IF(F533="MXN",1/HLOOKUP(YEAR(G533)+(MONTH(G533)/100),TC!$5:$37,DAY(G533)+2,FALSE),VLOOKUP(F533,Equivalencia!$5:$23,((MAX(Equivalencia!$3:$3)-YEAR(G533))*14)+MONTH(G533)+2,FALSE)))</f>
        <v>0</v>
      </c>
      <c r="K533" s="217">
        <f t="shared" si="85"/>
        <v>0</v>
      </c>
      <c r="L533" s="462">
        <f>IF(G533=0,0,VLOOKUP(YEAR(G533),INPC!$B$4:$O$29,MONTH(G533)+1))</f>
        <v>0</v>
      </c>
      <c r="M533" s="462">
        <f>IF(T533=0,0,VLOOKUP(YEAR(T533),INPC!$B$4:$O$29,MONTH(T533)+1))</f>
        <v>0</v>
      </c>
      <c r="N533" s="463">
        <f t="shared" si="81"/>
        <v>0</v>
      </c>
      <c r="O533" s="464">
        <f t="shared" si="86"/>
        <v>0</v>
      </c>
      <c r="P533" s="465">
        <f t="shared" si="87"/>
        <v>0</v>
      </c>
      <c r="Q533" s="606" t="str">
        <f t="shared" si="88"/>
        <v>NO</v>
      </c>
      <c r="R533" s="180"/>
      <c r="S533" s="173"/>
      <c r="T533" s="174"/>
      <c r="U533" s="173"/>
      <c r="V533" s="220"/>
      <c r="W533" s="177">
        <f>IF(S533=0,0,IF(U533="MXN",1/HLOOKUP(YEAR(T533)+(MONTH(T533)/100),TC!$5:$37,DAY(T533)+2,FALSE),VLOOKUP(U533,Equivalencia!$1:$23,((MAX(Equivalencia!$3:$3)-YEAR(T533))*14)+MONTH(T533)+2,FALSE)))</f>
        <v>0</v>
      </c>
      <c r="X533" s="178">
        <f t="shared" si="89"/>
        <v>0</v>
      </c>
      <c r="Y533" s="178">
        <f t="shared" si="90"/>
        <v>0</v>
      </c>
      <c r="Z533" s="175">
        <f t="shared" si="82"/>
        <v>0</v>
      </c>
      <c r="AA533" s="179"/>
      <c r="AB533" s="467">
        <f t="shared" si="83"/>
        <v>0</v>
      </c>
      <c r="AC533" s="466">
        <f t="shared" si="84"/>
        <v>0</v>
      </c>
    </row>
    <row r="534" spans="2:29" ht="20.100000000000001" customHeight="1">
      <c r="B534" s="172"/>
      <c r="C534" s="172"/>
      <c r="D534" s="172"/>
      <c r="E534" s="181"/>
      <c r="F534" s="173"/>
      <c r="G534" s="174"/>
      <c r="H534" s="284"/>
      <c r="I534" s="221"/>
      <c r="J534" s="177">
        <f>IF(H534=0,0,IF(F534="MXN",1/HLOOKUP(YEAR(G534)+(MONTH(G534)/100),TC!$5:$37,DAY(G534)+2,FALSE),VLOOKUP(F534,Equivalencia!$5:$23,((MAX(Equivalencia!$3:$3)-YEAR(G534))*14)+MONTH(G534)+2,FALSE)))</f>
        <v>0</v>
      </c>
      <c r="K534" s="217">
        <f t="shared" si="85"/>
        <v>0</v>
      </c>
      <c r="L534" s="462">
        <f>IF(G534=0,0,VLOOKUP(YEAR(G534),INPC!$B$4:$O$29,MONTH(G534)+1))</f>
        <v>0</v>
      </c>
      <c r="M534" s="462">
        <f>IF(T534=0,0,VLOOKUP(YEAR(T534),INPC!$B$4:$O$29,MONTH(T534)+1))</f>
        <v>0</v>
      </c>
      <c r="N534" s="463">
        <f t="shared" si="81"/>
        <v>0</v>
      </c>
      <c r="O534" s="464">
        <f t="shared" si="86"/>
        <v>0</v>
      </c>
      <c r="P534" s="465">
        <f t="shared" si="87"/>
        <v>0</v>
      </c>
      <c r="Q534" s="606" t="str">
        <f t="shared" si="88"/>
        <v>NO</v>
      </c>
      <c r="R534" s="180"/>
      <c r="S534" s="173"/>
      <c r="T534" s="174"/>
      <c r="U534" s="173"/>
      <c r="V534" s="220"/>
      <c r="W534" s="177">
        <f>IF(S534=0,0,IF(U534="MXN",1/HLOOKUP(YEAR(T534)+(MONTH(T534)/100),TC!$5:$37,DAY(T534)+2,FALSE),VLOOKUP(U534,Equivalencia!$1:$23,((MAX(Equivalencia!$3:$3)-YEAR(T534))*14)+MONTH(T534)+2,FALSE)))</f>
        <v>0</v>
      </c>
      <c r="X534" s="178">
        <f t="shared" si="89"/>
        <v>0</v>
      </c>
      <c r="Y534" s="178">
        <f t="shared" si="90"/>
        <v>0</v>
      </c>
      <c r="Z534" s="175">
        <f t="shared" si="82"/>
        <v>0</v>
      </c>
      <c r="AA534" s="179"/>
      <c r="AB534" s="467">
        <f t="shared" si="83"/>
        <v>0</v>
      </c>
      <c r="AC534" s="466">
        <f t="shared" si="84"/>
        <v>0</v>
      </c>
    </row>
    <row r="535" spans="2:29" ht="20.100000000000001" customHeight="1">
      <c r="B535" s="172"/>
      <c r="C535" s="172"/>
      <c r="D535" s="172"/>
      <c r="E535" s="181"/>
      <c r="F535" s="173"/>
      <c r="G535" s="174"/>
      <c r="H535" s="284"/>
      <c r="I535" s="221"/>
      <c r="J535" s="177">
        <f>IF(H535=0,0,IF(F535="MXN",1/HLOOKUP(YEAR(G535)+(MONTH(G535)/100),TC!$5:$37,DAY(G535)+2,FALSE),VLOOKUP(F535,Equivalencia!$5:$23,((MAX(Equivalencia!$3:$3)-YEAR(G535))*14)+MONTH(G535)+2,FALSE)))</f>
        <v>0</v>
      </c>
      <c r="K535" s="217">
        <f t="shared" si="85"/>
        <v>0</v>
      </c>
      <c r="L535" s="462">
        <f>IF(G535=0,0,VLOOKUP(YEAR(G535),INPC!$B$4:$O$29,MONTH(G535)+1))</f>
        <v>0</v>
      </c>
      <c r="M535" s="462">
        <f>IF(T535=0,0,VLOOKUP(YEAR(T535),INPC!$B$4:$O$29,MONTH(T535)+1))</f>
        <v>0</v>
      </c>
      <c r="N535" s="463">
        <f t="shared" si="81"/>
        <v>0</v>
      </c>
      <c r="O535" s="464">
        <f t="shared" si="86"/>
        <v>0</v>
      </c>
      <c r="P535" s="465">
        <f t="shared" si="87"/>
        <v>0</v>
      </c>
      <c r="Q535" s="606" t="str">
        <f t="shared" si="88"/>
        <v>NO</v>
      </c>
      <c r="R535" s="180"/>
      <c r="S535" s="173"/>
      <c r="T535" s="174"/>
      <c r="U535" s="173"/>
      <c r="V535" s="220"/>
      <c r="W535" s="177">
        <f>IF(S535=0,0,IF(U535="MXN",1/HLOOKUP(YEAR(T535)+(MONTH(T535)/100),TC!$5:$37,DAY(T535)+2,FALSE),VLOOKUP(U535,Equivalencia!$1:$23,((MAX(Equivalencia!$3:$3)-YEAR(T535))*14)+MONTH(T535)+2,FALSE)))</f>
        <v>0</v>
      </c>
      <c r="X535" s="178">
        <f t="shared" si="89"/>
        <v>0</v>
      </c>
      <c r="Y535" s="178">
        <f t="shared" si="90"/>
        <v>0</v>
      </c>
      <c r="Z535" s="175">
        <f t="shared" si="82"/>
        <v>0</v>
      </c>
      <c r="AA535" s="179"/>
      <c r="AB535" s="467">
        <f t="shared" si="83"/>
        <v>0</v>
      </c>
      <c r="AC535" s="466">
        <f t="shared" si="84"/>
        <v>0</v>
      </c>
    </row>
    <row r="536" spans="2:29" ht="20.100000000000001" customHeight="1">
      <c r="B536" s="172"/>
      <c r="C536" s="172"/>
      <c r="D536" s="172"/>
      <c r="E536" s="181"/>
      <c r="F536" s="173"/>
      <c r="G536" s="174"/>
      <c r="H536" s="284"/>
      <c r="I536" s="221"/>
      <c r="J536" s="177">
        <f>IF(H536=0,0,IF(F536="MXN",1/HLOOKUP(YEAR(G536)+(MONTH(G536)/100),TC!$5:$37,DAY(G536)+2,FALSE),VLOOKUP(F536,Equivalencia!$5:$23,((MAX(Equivalencia!$3:$3)-YEAR(G536))*14)+MONTH(G536)+2,FALSE)))</f>
        <v>0</v>
      </c>
      <c r="K536" s="217">
        <f t="shared" si="85"/>
        <v>0</v>
      </c>
      <c r="L536" s="462">
        <f>IF(G536=0,0,VLOOKUP(YEAR(G536),INPC!$B$4:$O$29,MONTH(G536)+1))</f>
        <v>0</v>
      </c>
      <c r="M536" s="462">
        <f>IF(T536=0,0,VLOOKUP(YEAR(T536),INPC!$B$4:$O$29,MONTH(T536)+1))</f>
        <v>0</v>
      </c>
      <c r="N536" s="463">
        <f t="shared" si="81"/>
        <v>0</v>
      </c>
      <c r="O536" s="464">
        <f t="shared" si="86"/>
        <v>0</v>
      </c>
      <c r="P536" s="465">
        <f t="shared" si="87"/>
        <v>0</v>
      </c>
      <c r="Q536" s="606" t="str">
        <f t="shared" si="88"/>
        <v>NO</v>
      </c>
      <c r="R536" s="180"/>
      <c r="S536" s="173"/>
      <c r="T536" s="174"/>
      <c r="U536" s="173"/>
      <c r="V536" s="220"/>
      <c r="W536" s="177">
        <f>IF(S536=0,0,IF(U536="MXN",1/HLOOKUP(YEAR(T536)+(MONTH(T536)/100),TC!$5:$37,DAY(T536)+2,FALSE),VLOOKUP(U536,Equivalencia!$1:$23,((MAX(Equivalencia!$3:$3)-YEAR(T536))*14)+MONTH(T536)+2,FALSE)))</f>
        <v>0</v>
      </c>
      <c r="X536" s="178">
        <f t="shared" si="89"/>
        <v>0</v>
      </c>
      <c r="Y536" s="178">
        <f t="shared" si="90"/>
        <v>0</v>
      </c>
      <c r="Z536" s="175">
        <f t="shared" si="82"/>
        <v>0</v>
      </c>
      <c r="AA536" s="179"/>
      <c r="AB536" s="467">
        <f t="shared" si="83"/>
        <v>0</v>
      </c>
      <c r="AC536" s="466">
        <f t="shared" si="84"/>
        <v>0</v>
      </c>
    </row>
    <row r="537" spans="2:29" ht="20.100000000000001" customHeight="1">
      <c r="B537" s="172"/>
      <c r="C537" s="172"/>
      <c r="D537" s="172"/>
      <c r="E537" s="181"/>
      <c r="F537" s="173"/>
      <c r="G537" s="174"/>
      <c r="H537" s="284"/>
      <c r="I537" s="221"/>
      <c r="J537" s="177">
        <f>IF(H537=0,0,IF(F537="MXN",1/HLOOKUP(YEAR(G537)+(MONTH(G537)/100),TC!$5:$37,DAY(G537)+2,FALSE),VLOOKUP(F537,Equivalencia!$5:$23,((MAX(Equivalencia!$3:$3)-YEAR(G537))*14)+MONTH(G537)+2,FALSE)))</f>
        <v>0</v>
      </c>
      <c r="K537" s="217">
        <f t="shared" si="85"/>
        <v>0</v>
      </c>
      <c r="L537" s="462">
        <f>IF(G537=0,0,VLOOKUP(YEAR(G537),INPC!$B$4:$O$29,MONTH(G537)+1))</f>
        <v>0</v>
      </c>
      <c r="M537" s="462">
        <f>IF(T537=0,0,VLOOKUP(YEAR(T537),INPC!$B$4:$O$29,MONTH(T537)+1))</f>
        <v>0</v>
      </c>
      <c r="N537" s="463">
        <f t="shared" si="81"/>
        <v>0</v>
      </c>
      <c r="O537" s="464">
        <f t="shared" si="86"/>
        <v>0</v>
      </c>
      <c r="P537" s="465">
        <f t="shared" si="87"/>
        <v>0</v>
      </c>
      <c r="Q537" s="606" t="str">
        <f t="shared" si="88"/>
        <v>NO</v>
      </c>
      <c r="R537" s="180"/>
      <c r="S537" s="173"/>
      <c r="T537" s="174"/>
      <c r="U537" s="173"/>
      <c r="V537" s="220"/>
      <c r="W537" s="177">
        <f>IF(S537=0,0,IF(U537="MXN",1/HLOOKUP(YEAR(T537)+(MONTH(T537)/100),TC!$5:$37,DAY(T537)+2,FALSE),VLOOKUP(U537,Equivalencia!$1:$23,((MAX(Equivalencia!$3:$3)-YEAR(T537))*14)+MONTH(T537)+2,FALSE)))</f>
        <v>0</v>
      </c>
      <c r="X537" s="178">
        <f t="shared" si="89"/>
        <v>0</v>
      </c>
      <c r="Y537" s="178">
        <f t="shared" si="90"/>
        <v>0</v>
      </c>
      <c r="Z537" s="175">
        <f t="shared" si="82"/>
        <v>0</v>
      </c>
      <c r="AA537" s="179"/>
      <c r="AB537" s="467">
        <f t="shared" si="83"/>
        <v>0</v>
      </c>
      <c r="AC537" s="466">
        <f t="shared" si="84"/>
        <v>0</v>
      </c>
    </row>
    <row r="538" spans="2:29" ht="20.100000000000001" customHeight="1">
      <c r="B538" s="172"/>
      <c r="C538" s="172"/>
      <c r="D538" s="172"/>
      <c r="E538" s="181"/>
      <c r="F538" s="173"/>
      <c r="G538" s="174"/>
      <c r="H538" s="284"/>
      <c r="I538" s="221"/>
      <c r="J538" s="177">
        <f>IF(H538=0,0,IF(F538="MXN",1/HLOOKUP(YEAR(G538)+(MONTH(G538)/100),TC!$5:$37,DAY(G538)+2,FALSE),VLOOKUP(F538,Equivalencia!$5:$23,((MAX(Equivalencia!$3:$3)-YEAR(G538))*14)+MONTH(G538)+2,FALSE)))</f>
        <v>0</v>
      </c>
      <c r="K538" s="217">
        <f t="shared" si="85"/>
        <v>0</v>
      </c>
      <c r="L538" s="462">
        <f>IF(G538=0,0,VLOOKUP(YEAR(G538),INPC!$B$4:$O$29,MONTH(G538)+1))</f>
        <v>0</v>
      </c>
      <c r="M538" s="462">
        <f>IF(T538=0,0,VLOOKUP(YEAR(T538),INPC!$B$4:$O$29,MONTH(T538)+1))</f>
        <v>0</v>
      </c>
      <c r="N538" s="463">
        <f t="shared" si="81"/>
        <v>0</v>
      </c>
      <c r="O538" s="464">
        <f t="shared" si="86"/>
        <v>0</v>
      </c>
      <c r="P538" s="465">
        <f t="shared" si="87"/>
        <v>0</v>
      </c>
      <c r="Q538" s="606" t="str">
        <f t="shared" si="88"/>
        <v>NO</v>
      </c>
      <c r="R538" s="180"/>
      <c r="S538" s="173"/>
      <c r="T538" s="174"/>
      <c r="U538" s="173"/>
      <c r="V538" s="220"/>
      <c r="W538" s="177">
        <f>IF(S538=0,0,IF(U538="MXN",1/HLOOKUP(YEAR(T538)+(MONTH(T538)/100),TC!$5:$37,DAY(T538)+2,FALSE),VLOOKUP(U538,Equivalencia!$1:$23,((MAX(Equivalencia!$3:$3)-YEAR(T538))*14)+MONTH(T538)+2,FALSE)))</f>
        <v>0</v>
      </c>
      <c r="X538" s="178">
        <f t="shared" si="89"/>
        <v>0</v>
      </c>
      <c r="Y538" s="178">
        <f t="shared" si="90"/>
        <v>0</v>
      </c>
      <c r="Z538" s="175">
        <f t="shared" si="82"/>
        <v>0</v>
      </c>
      <c r="AA538" s="179"/>
      <c r="AB538" s="467">
        <f t="shared" si="83"/>
        <v>0</v>
      </c>
      <c r="AC538" s="466">
        <f t="shared" si="84"/>
        <v>0</v>
      </c>
    </row>
    <row r="539" spans="2:29" ht="20.100000000000001" customHeight="1">
      <c r="B539" s="172"/>
      <c r="C539" s="172"/>
      <c r="D539" s="172"/>
      <c r="E539" s="181"/>
      <c r="F539" s="173"/>
      <c r="G539" s="174"/>
      <c r="H539" s="284"/>
      <c r="I539" s="221"/>
      <c r="J539" s="177">
        <f>IF(H539=0,0,IF(F539="MXN",1/HLOOKUP(YEAR(G539)+(MONTH(G539)/100),TC!$5:$37,DAY(G539)+2,FALSE),VLOOKUP(F539,Equivalencia!$5:$23,((MAX(Equivalencia!$3:$3)-YEAR(G539))*14)+MONTH(G539)+2,FALSE)))</f>
        <v>0</v>
      </c>
      <c r="K539" s="217">
        <f t="shared" si="85"/>
        <v>0</v>
      </c>
      <c r="L539" s="462">
        <f>IF(G539=0,0,VLOOKUP(YEAR(G539),INPC!$B$4:$O$29,MONTH(G539)+1))</f>
        <v>0</v>
      </c>
      <c r="M539" s="462">
        <f>IF(T539=0,0,VLOOKUP(YEAR(T539),INPC!$B$4:$O$29,MONTH(T539)+1))</f>
        <v>0</v>
      </c>
      <c r="N539" s="463">
        <f t="shared" si="81"/>
        <v>0</v>
      </c>
      <c r="O539" s="464">
        <f t="shared" si="86"/>
        <v>0</v>
      </c>
      <c r="P539" s="465">
        <f t="shared" si="87"/>
        <v>0</v>
      </c>
      <c r="Q539" s="606" t="str">
        <f t="shared" si="88"/>
        <v>NO</v>
      </c>
      <c r="R539" s="180"/>
      <c r="S539" s="173"/>
      <c r="T539" s="174"/>
      <c r="U539" s="173"/>
      <c r="V539" s="220"/>
      <c r="W539" s="177">
        <f>IF(S539=0,0,IF(U539="MXN",1/HLOOKUP(YEAR(T539)+(MONTH(T539)/100),TC!$5:$37,DAY(T539)+2,FALSE),VLOOKUP(U539,Equivalencia!$1:$23,((MAX(Equivalencia!$3:$3)-YEAR(T539))*14)+MONTH(T539)+2,FALSE)))</f>
        <v>0</v>
      </c>
      <c r="X539" s="178">
        <f t="shared" si="89"/>
        <v>0</v>
      </c>
      <c r="Y539" s="178">
        <f t="shared" si="90"/>
        <v>0</v>
      </c>
      <c r="Z539" s="175">
        <f t="shared" si="82"/>
        <v>0</v>
      </c>
      <c r="AA539" s="179"/>
      <c r="AB539" s="467">
        <f t="shared" si="83"/>
        <v>0</v>
      </c>
      <c r="AC539" s="466">
        <f t="shared" si="84"/>
        <v>0</v>
      </c>
    </row>
    <row r="540" spans="2:29" ht="20.100000000000001" customHeight="1">
      <c r="B540" s="172"/>
      <c r="C540" s="172"/>
      <c r="D540" s="172"/>
      <c r="E540" s="181"/>
      <c r="F540" s="173"/>
      <c r="G540" s="174"/>
      <c r="H540" s="284"/>
      <c r="I540" s="221"/>
      <c r="J540" s="177">
        <f>IF(H540=0,0,IF(F540="MXN",1/HLOOKUP(YEAR(G540)+(MONTH(G540)/100),TC!$5:$37,DAY(G540)+2,FALSE),VLOOKUP(F540,Equivalencia!$5:$23,((MAX(Equivalencia!$3:$3)-YEAR(G540))*14)+MONTH(G540)+2,FALSE)))</f>
        <v>0</v>
      </c>
      <c r="K540" s="217">
        <f t="shared" si="85"/>
        <v>0</v>
      </c>
      <c r="L540" s="462">
        <f>IF(G540=0,0,VLOOKUP(YEAR(G540),INPC!$B$4:$O$29,MONTH(G540)+1))</f>
        <v>0</v>
      </c>
      <c r="M540" s="462">
        <f>IF(T540=0,0,VLOOKUP(YEAR(T540),INPC!$B$4:$O$29,MONTH(T540)+1))</f>
        <v>0</v>
      </c>
      <c r="N540" s="463">
        <f t="shared" si="81"/>
        <v>0</v>
      </c>
      <c r="O540" s="464">
        <f t="shared" si="86"/>
        <v>0</v>
      </c>
      <c r="P540" s="465">
        <f t="shared" si="87"/>
        <v>0</v>
      </c>
      <c r="Q540" s="606" t="str">
        <f t="shared" si="88"/>
        <v>NO</v>
      </c>
      <c r="R540" s="180"/>
      <c r="S540" s="173"/>
      <c r="T540" s="174"/>
      <c r="U540" s="173"/>
      <c r="V540" s="220"/>
      <c r="W540" s="177">
        <f>IF(S540=0,0,IF(U540="MXN",1/HLOOKUP(YEAR(T540)+(MONTH(T540)/100),TC!$5:$37,DAY(T540)+2,FALSE),VLOOKUP(U540,Equivalencia!$1:$23,((MAX(Equivalencia!$3:$3)-YEAR(T540))*14)+MONTH(T540)+2,FALSE)))</f>
        <v>0</v>
      </c>
      <c r="X540" s="178">
        <f t="shared" si="89"/>
        <v>0</v>
      </c>
      <c r="Y540" s="178">
        <f t="shared" si="90"/>
        <v>0</v>
      </c>
      <c r="Z540" s="175">
        <f t="shared" si="82"/>
        <v>0</v>
      </c>
      <c r="AA540" s="179"/>
      <c r="AB540" s="467">
        <f t="shared" si="83"/>
        <v>0</v>
      </c>
      <c r="AC540" s="466">
        <f t="shared" si="84"/>
        <v>0</v>
      </c>
    </row>
    <row r="541" spans="2:29" ht="20.100000000000001" customHeight="1">
      <c r="B541" s="172"/>
      <c r="C541" s="172"/>
      <c r="D541" s="172"/>
      <c r="E541" s="181"/>
      <c r="F541" s="173"/>
      <c r="G541" s="174"/>
      <c r="H541" s="284"/>
      <c r="I541" s="221"/>
      <c r="J541" s="177">
        <f>IF(H541=0,0,IF(F541="MXN",1/HLOOKUP(YEAR(G541)+(MONTH(G541)/100),TC!$5:$37,DAY(G541)+2,FALSE),VLOOKUP(F541,Equivalencia!$5:$23,((MAX(Equivalencia!$3:$3)-YEAR(G541))*14)+MONTH(G541)+2,FALSE)))</f>
        <v>0</v>
      </c>
      <c r="K541" s="217">
        <f t="shared" si="85"/>
        <v>0</v>
      </c>
      <c r="L541" s="462">
        <f>IF(G541=0,0,VLOOKUP(YEAR(G541),INPC!$B$4:$O$29,MONTH(G541)+1))</f>
        <v>0</v>
      </c>
      <c r="M541" s="462">
        <f>IF(T541=0,0,VLOOKUP(YEAR(T541),INPC!$B$4:$O$29,MONTH(T541)+1))</f>
        <v>0</v>
      </c>
      <c r="N541" s="463">
        <f t="shared" si="81"/>
        <v>0</v>
      </c>
      <c r="O541" s="464">
        <f t="shared" si="86"/>
        <v>0</v>
      </c>
      <c r="P541" s="465">
        <f t="shared" si="87"/>
        <v>0</v>
      </c>
      <c r="Q541" s="606" t="str">
        <f t="shared" si="88"/>
        <v>NO</v>
      </c>
      <c r="R541" s="180"/>
      <c r="S541" s="173"/>
      <c r="T541" s="174"/>
      <c r="U541" s="173"/>
      <c r="V541" s="220"/>
      <c r="W541" s="177">
        <f>IF(S541=0,0,IF(U541="MXN",1/HLOOKUP(YEAR(T541)+(MONTH(T541)/100),TC!$5:$37,DAY(T541)+2,FALSE),VLOOKUP(U541,Equivalencia!$1:$23,((MAX(Equivalencia!$3:$3)-YEAR(T541))*14)+MONTH(T541)+2,FALSE)))</f>
        <v>0</v>
      </c>
      <c r="X541" s="178">
        <f t="shared" si="89"/>
        <v>0</v>
      </c>
      <c r="Y541" s="178">
        <f t="shared" si="90"/>
        <v>0</v>
      </c>
      <c r="Z541" s="175">
        <f t="shared" si="82"/>
        <v>0</v>
      </c>
      <c r="AA541" s="179"/>
      <c r="AB541" s="467">
        <f t="shared" si="83"/>
        <v>0</v>
      </c>
      <c r="AC541" s="466">
        <f t="shared" si="84"/>
        <v>0</v>
      </c>
    </row>
    <row r="542" spans="2:29" ht="20.100000000000001" customHeight="1">
      <c r="B542" s="172"/>
      <c r="C542" s="172"/>
      <c r="D542" s="172"/>
      <c r="E542" s="181"/>
      <c r="F542" s="173"/>
      <c r="G542" s="174"/>
      <c r="H542" s="284"/>
      <c r="I542" s="221"/>
      <c r="J542" s="177">
        <f>IF(H542=0,0,IF(F542="MXN",1/HLOOKUP(YEAR(G542)+(MONTH(G542)/100),TC!$5:$37,DAY(G542)+2,FALSE),VLOOKUP(F542,Equivalencia!$5:$23,((MAX(Equivalencia!$3:$3)-YEAR(G542))*14)+MONTH(G542)+2,FALSE)))</f>
        <v>0</v>
      </c>
      <c r="K542" s="217">
        <f t="shared" si="85"/>
        <v>0</v>
      </c>
      <c r="L542" s="462">
        <f>IF(G542=0,0,VLOOKUP(YEAR(G542),INPC!$B$4:$O$29,MONTH(G542)+1))</f>
        <v>0</v>
      </c>
      <c r="M542" s="462">
        <f>IF(T542=0,0,VLOOKUP(YEAR(T542),INPC!$B$4:$O$29,MONTH(T542)+1))</f>
        <v>0</v>
      </c>
      <c r="N542" s="463">
        <f t="shared" si="81"/>
        <v>0</v>
      </c>
      <c r="O542" s="464">
        <f t="shared" si="86"/>
        <v>0</v>
      </c>
      <c r="P542" s="465">
        <f t="shared" si="87"/>
        <v>0</v>
      </c>
      <c r="Q542" s="606" t="str">
        <f t="shared" si="88"/>
        <v>NO</v>
      </c>
      <c r="R542" s="180"/>
      <c r="S542" s="173"/>
      <c r="T542" s="174"/>
      <c r="U542" s="173"/>
      <c r="V542" s="220"/>
      <c r="W542" s="177">
        <f>IF(S542=0,0,IF(U542="MXN",1/HLOOKUP(YEAR(T542)+(MONTH(T542)/100),TC!$5:$37,DAY(T542)+2,FALSE),VLOOKUP(U542,Equivalencia!$1:$23,((MAX(Equivalencia!$3:$3)-YEAR(T542))*14)+MONTH(T542)+2,FALSE)))</f>
        <v>0</v>
      </c>
      <c r="X542" s="178">
        <f t="shared" si="89"/>
        <v>0</v>
      </c>
      <c r="Y542" s="178">
        <f t="shared" si="90"/>
        <v>0</v>
      </c>
      <c r="Z542" s="175">
        <f t="shared" si="82"/>
        <v>0</v>
      </c>
      <c r="AA542" s="179"/>
      <c r="AB542" s="467">
        <f t="shared" si="83"/>
        <v>0</v>
      </c>
      <c r="AC542" s="466">
        <f t="shared" si="84"/>
        <v>0</v>
      </c>
    </row>
    <row r="543" spans="2:29" ht="20.100000000000001" customHeight="1">
      <c r="B543" s="172"/>
      <c r="C543" s="172"/>
      <c r="D543" s="172"/>
      <c r="E543" s="181"/>
      <c r="F543" s="173"/>
      <c r="G543" s="174"/>
      <c r="H543" s="284"/>
      <c r="I543" s="221"/>
      <c r="J543" s="177">
        <f>IF(H543=0,0,IF(F543="MXN",1/HLOOKUP(YEAR(G543)+(MONTH(G543)/100),TC!$5:$37,DAY(G543)+2,FALSE),VLOOKUP(F543,Equivalencia!$5:$23,((MAX(Equivalencia!$3:$3)-YEAR(G543))*14)+MONTH(G543)+2,FALSE)))</f>
        <v>0</v>
      </c>
      <c r="K543" s="217">
        <f t="shared" si="85"/>
        <v>0</v>
      </c>
      <c r="L543" s="462">
        <f>IF(G543=0,0,VLOOKUP(YEAR(G543),INPC!$B$4:$O$29,MONTH(G543)+1))</f>
        <v>0</v>
      </c>
      <c r="M543" s="462">
        <f>IF(T543=0,0,VLOOKUP(YEAR(T543),INPC!$B$4:$O$29,MONTH(T543)+1))</f>
        <v>0</v>
      </c>
      <c r="N543" s="463">
        <f t="shared" si="81"/>
        <v>0</v>
      </c>
      <c r="O543" s="464">
        <f t="shared" si="86"/>
        <v>0</v>
      </c>
      <c r="P543" s="465">
        <f t="shared" si="87"/>
        <v>0</v>
      </c>
      <c r="Q543" s="606" t="str">
        <f t="shared" si="88"/>
        <v>NO</v>
      </c>
      <c r="R543" s="180"/>
      <c r="S543" s="173"/>
      <c r="T543" s="174"/>
      <c r="U543" s="173"/>
      <c r="V543" s="220"/>
      <c r="W543" s="177">
        <f>IF(S543=0,0,IF(U543="MXN",1/HLOOKUP(YEAR(T543)+(MONTH(T543)/100),TC!$5:$37,DAY(T543)+2,FALSE),VLOOKUP(U543,Equivalencia!$1:$23,((MAX(Equivalencia!$3:$3)-YEAR(T543))*14)+MONTH(T543)+2,FALSE)))</f>
        <v>0</v>
      </c>
      <c r="X543" s="178">
        <f t="shared" si="89"/>
        <v>0</v>
      </c>
      <c r="Y543" s="178">
        <f t="shared" si="90"/>
        <v>0</v>
      </c>
      <c r="Z543" s="175">
        <f t="shared" si="82"/>
        <v>0</v>
      </c>
      <c r="AA543" s="179"/>
      <c r="AB543" s="467">
        <f t="shared" si="83"/>
        <v>0</v>
      </c>
      <c r="AC543" s="466">
        <f t="shared" si="84"/>
        <v>0</v>
      </c>
    </row>
    <row r="544" spans="2:29" ht="20.100000000000001" customHeight="1">
      <c r="B544" s="172"/>
      <c r="C544" s="172"/>
      <c r="D544" s="172"/>
      <c r="E544" s="181"/>
      <c r="F544" s="173"/>
      <c r="G544" s="174"/>
      <c r="H544" s="284"/>
      <c r="I544" s="221"/>
      <c r="J544" s="177">
        <f>IF(H544=0,0,IF(F544="MXN",1/HLOOKUP(YEAR(G544)+(MONTH(G544)/100),TC!$5:$37,DAY(G544)+2,FALSE),VLOOKUP(F544,Equivalencia!$5:$23,((MAX(Equivalencia!$3:$3)-YEAR(G544))*14)+MONTH(G544)+2,FALSE)))</f>
        <v>0</v>
      </c>
      <c r="K544" s="217">
        <f t="shared" si="85"/>
        <v>0</v>
      </c>
      <c r="L544" s="462">
        <f>IF(G544=0,0,VLOOKUP(YEAR(G544),INPC!$B$4:$O$29,MONTH(G544)+1))</f>
        <v>0</v>
      </c>
      <c r="M544" s="462">
        <f>IF(T544=0,0,VLOOKUP(YEAR(T544),INPC!$B$4:$O$29,MONTH(T544)+1))</f>
        <v>0</v>
      </c>
      <c r="N544" s="463">
        <f t="shared" si="81"/>
        <v>0</v>
      </c>
      <c r="O544" s="464">
        <f t="shared" si="86"/>
        <v>0</v>
      </c>
      <c r="P544" s="465">
        <f t="shared" si="87"/>
        <v>0</v>
      </c>
      <c r="Q544" s="606" t="str">
        <f t="shared" si="88"/>
        <v>NO</v>
      </c>
      <c r="R544" s="180"/>
      <c r="S544" s="173"/>
      <c r="T544" s="174"/>
      <c r="U544" s="173"/>
      <c r="V544" s="220"/>
      <c r="W544" s="177">
        <f>IF(S544=0,0,IF(U544="MXN",1/HLOOKUP(YEAR(T544)+(MONTH(T544)/100),TC!$5:$37,DAY(T544)+2,FALSE),VLOOKUP(U544,Equivalencia!$1:$23,((MAX(Equivalencia!$3:$3)-YEAR(T544))*14)+MONTH(T544)+2,FALSE)))</f>
        <v>0</v>
      </c>
      <c r="X544" s="178">
        <f t="shared" si="89"/>
        <v>0</v>
      </c>
      <c r="Y544" s="178">
        <f t="shared" si="90"/>
        <v>0</v>
      </c>
      <c r="Z544" s="175">
        <f t="shared" si="82"/>
        <v>0</v>
      </c>
      <c r="AA544" s="179"/>
      <c r="AB544" s="467">
        <f t="shared" si="83"/>
        <v>0</v>
      </c>
      <c r="AC544" s="466">
        <f t="shared" si="84"/>
        <v>0</v>
      </c>
    </row>
    <row r="545" spans="2:29" ht="20.100000000000001" customHeight="1">
      <c r="B545" s="172"/>
      <c r="C545" s="172"/>
      <c r="D545" s="172"/>
      <c r="E545" s="181"/>
      <c r="F545" s="173"/>
      <c r="G545" s="174"/>
      <c r="H545" s="284"/>
      <c r="I545" s="221"/>
      <c r="J545" s="177">
        <f>IF(H545=0,0,IF(F545="MXN",1/HLOOKUP(YEAR(G545)+(MONTH(G545)/100),TC!$5:$37,DAY(G545)+2,FALSE),VLOOKUP(F545,Equivalencia!$5:$23,((MAX(Equivalencia!$3:$3)-YEAR(G545))*14)+MONTH(G545)+2,FALSE)))</f>
        <v>0</v>
      </c>
      <c r="K545" s="217">
        <f t="shared" si="85"/>
        <v>0</v>
      </c>
      <c r="L545" s="462">
        <f>IF(G545=0,0,VLOOKUP(YEAR(G545),INPC!$B$4:$O$29,MONTH(G545)+1))</f>
        <v>0</v>
      </c>
      <c r="M545" s="462">
        <f>IF(T545=0,0,VLOOKUP(YEAR(T545),INPC!$B$4:$O$29,MONTH(T545)+1))</f>
        <v>0</v>
      </c>
      <c r="N545" s="463">
        <f t="shared" si="81"/>
        <v>0</v>
      </c>
      <c r="O545" s="464">
        <f t="shared" si="86"/>
        <v>0</v>
      </c>
      <c r="P545" s="465">
        <f t="shared" si="87"/>
        <v>0</v>
      </c>
      <c r="Q545" s="606" t="str">
        <f t="shared" si="88"/>
        <v>NO</v>
      </c>
      <c r="R545" s="180"/>
      <c r="S545" s="173"/>
      <c r="T545" s="174"/>
      <c r="U545" s="173"/>
      <c r="V545" s="220"/>
      <c r="W545" s="177">
        <f>IF(S545=0,0,IF(U545="MXN",1/HLOOKUP(YEAR(T545)+(MONTH(T545)/100),TC!$5:$37,DAY(T545)+2,FALSE),VLOOKUP(U545,Equivalencia!$1:$23,((MAX(Equivalencia!$3:$3)-YEAR(T545))*14)+MONTH(T545)+2,FALSE)))</f>
        <v>0</v>
      </c>
      <c r="X545" s="178">
        <f t="shared" si="89"/>
        <v>0</v>
      </c>
      <c r="Y545" s="178">
        <f t="shared" si="90"/>
        <v>0</v>
      </c>
      <c r="Z545" s="175">
        <f t="shared" si="82"/>
        <v>0</v>
      </c>
      <c r="AA545" s="179"/>
      <c r="AB545" s="467">
        <f t="shared" si="83"/>
        <v>0</v>
      </c>
      <c r="AC545" s="466">
        <f t="shared" si="84"/>
        <v>0</v>
      </c>
    </row>
    <row r="546" spans="2:29" ht="20.100000000000001" customHeight="1">
      <c r="B546" s="172"/>
      <c r="C546" s="172"/>
      <c r="D546" s="172"/>
      <c r="E546" s="181"/>
      <c r="F546" s="173"/>
      <c r="G546" s="174"/>
      <c r="H546" s="284"/>
      <c r="I546" s="221"/>
      <c r="J546" s="177">
        <f>IF(H546=0,0,IF(F546="MXN",1/HLOOKUP(YEAR(G546)+(MONTH(G546)/100),TC!$5:$37,DAY(G546)+2,FALSE),VLOOKUP(F546,Equivalencia!$5:$23,((MAX(Equivalencia!$3:$3)-YEAR(G546))*14)+MONTH(G546)+2,FALSE)))</f>
        <v>0</v>
      </c>
      <c r="K546" s="217">
        <f t="shared" si="85"/>
        <v>0</v>
      </c>
      <c r="L546" s="462">
        <f>IF(G546=0,0,VLOOKUP(YEAR(G546),INPC!$B$4:$O$29,MONTH(G546)+1))</f>
        <v>0</v>
      </c>
      <c r="M546" s="462">
        <f>IF(T546=0,0,VLOOKUP(YEAR(T546),INPC!$B$4:$O$29,MONTH(T546)+1))</f>
        <v>0</v>
      </c>
      <c r="N546" s="463">
        <f t="shared" si="81"/>
        <v>0</v>
      </c>
      <c r="O546" s="464">
        <f t="shared" si="86"/>
        <v>0</v>
      </c>
      <c r="P546" s="465">
        <f t="shared" si="87"/>
        <v>0</v>
      </c>
      <c r="Q546" s="606" t="str">
        <f t="shared" si="88"/>
        <v>NO</v>
      </c>
      <c r="R546" s="180"/>
      <c r="S546" s="173"/>
      <c r="T546" s="174"/>
      <c r="U546" s="173"/>
      <c r="V546" s="220"/>
      <c r="W546" s="177">
        <f>IF(S546=0,0,IF(U546="MXN",1/HLOOKUP(YEAR(T546)+(MONTH(T546)/100),TC!$5:$37,DAY(T546)+2,FALSE),VLOOKUP(U546,Equivalencia!$1:$23,((MAX(Equivalencia!$3:$3)-YEAR(T546))*14)+MONTH(T546)+2,FALSE)))</f>
        <v>0</v>
      </c>
      <c r="X546" s="178">
        <f t="shared" si="89"/>
        <v>0</v>
      </c>
      <c r="Y546" s="178">
        <f t="shared" si="90"/>
        <v>0</v>
      </c>
      <c r="Z546" s="175">
        <f t="shared" si="82"/>
        <v>0</v>
      </c>
      <c r="AA546" s="179"/>
      <c r="AB546" s="467">
        <f t="shared" si="83"/>
        <v>0</v>
      </c>
      <c r="AC546" s="466">
        <f t="shared" si="84"/>
        <v>0</v>
      </c>
    </row>
    <row r="547" spans="2:29" ht="20.100000000000001" customHeight="1">
      <c r="B547" s="172"/>
      <c r="C547" s="172"/>
      <c r="D547" s="172"/>
      <c r="E547" s="181"/>
      <c r="F547" s="173"/>
      <c r="G547" s="174"/>
      <c r="H547" s="284"/>
      <c r="I547" s="221"/>
      <c r="J547" s="177">
        <f>IF(H547=0,0,IF(F547="MXN",1/HLOOKUP(YEAR(G547)+(MONTH(G547)/100),TC!$5:$37,DAY(G547)+2,FALSE),VLOOKUP(F547,Equivalencia!$5:$23,((MAX(Equivalencia!$3:$3)-YEAR(G547))*14)+MONTH(G547)+2,FALSE)))</f>
        <v>0</v>
      </c>
      <c r="K547" s="217">
        <f t="shared" si="85"/>
        <v>0</v>
      </c>
      <c r="L547" s="462">
        <f>IF(G547=0,0,VLOOKUP(YEAR(G547),INPC!$B$4:$O$29,MONTH(G547)+1))</f>
        <v>0</v>
      </c>
      <c r="M547" s="462">
        <f>IF(T547=0,0,VLOOKUP(YEAR(T547),INPC!$B$4:$O$29,MONTH(T547)+1))</f>
        <v>0</v>
      </c>
      <c r="N547" s="463">
        <f t="shared" si="81"/>
        <v>0</v>
      </c>
      <c r="O547" s="464">
        <f t="shared" si="86"/>
        <v>0</v>
      </c>
      <c r="P547" s="465">
        <f t="shared" si="87"/>
        <v>0</v>
      </c>
      <c r="Q547" s="606" t="str">
        <f t="shared" si="88"/>
        <v>NO</v>
      </c>
      <c r="R547" s="180"/>
      <c r="S547" s="173"/>
      <c r="T547" s="174"/>
      <c r="U547" s="173"/>
      <c r="V547" s="220"/>
      <c r="W547" s="177">
        <f>IF(S547=0,0,IF(U547="MXN",1/HLOOKUP(YEAR(T547)+(MONTH(T547)/100),TC!$5:$37,DAY(T547)+2,FALSE),VLOOKUP(U547,Equivalencia!$1:$23,((MAX(Equivalencia!$3:$3)-YEAR(T547))*14)+MONTH(T547)+2,FALSE)))</f>
        <v>0</v>
      </c>
      <c r="X547" s="178">
        <f t="shared" si="89"/>
        <v>0</v>
      </c>
      <c r="Y547" s="178">
        <f t="shared" si="90"/>
        <v>0</v>
      </c>
      <c r="Z547" s="175">
        <f t="shared" si="82"/>
        <v>0</v>
      </c>
      <c r="AA547" s="179"/>
      <c r="AB547" s="467">
        <f t="shared" si="83"/>
        <v>0</v>
      </c>
      <c r="AC547" s="466">
        <f t="shared" si="84"/>
        <v>0</v>
      </c>
    </row>
    <row r="548" spans="2:29" ht="20.100000000000001" customHeight="1">
      <c r="B548" s="172"/>
      <c r="C548" s="172"/>
      <c r="D548" s="172"/>
      <c r="E548" s="181"/>
      <c r="F548" s="173"/>
      <c r="G548" s="174"/>
      <c r="H548" s="284"/>
      <c r="I548" s="221"/>
      <c r="J548" s="177">
        <f>IF(H548=0,0,IF(F548="MXN",1/HLOOKUP(YEAR(G548)+(MONTH(G548)/100),TC!$5:$37,DAY(G548)+2,FALSE),VLOOKUP(F548,Equivalencia!$5:$23,((MAX(Equivalencia!$3:$3)-YEAR(G548))*14)+MONTH(G548)+2,FALSE)))</f>
        <v>0</v>
      </c>
      <c r="K548" s="217">
        <f t="shared" si="85"/>
        <v>0</v>
      </c>
      <c r="L548" s="462">
        <f>IF(G548=0,0,VLOOKUP(YEAR(G548),INPC!$B$4:$O$29,MONTH(G548)+1))</f>
        <v>0</v>
      </c>
      <c r="M548" s="462">
        <f>IF(T548=0,0,VLOOKUP(YEAR(T548),INPC!$B$4:$O$29,MONTH(T548)+1))</f>
        <v>0</v>
      </c>
      <c r="N548" s="463">
        <f t="shared" si="81"/>
        <v>0</v>
      </c>
      <c r="O548" s="464">
        <f t="shared" si="86"/>
        <v>0</v>
      </c>
      <c r="P548" s="465">
        <f t="shared" si="87"/>
        <v>0</v>
      </c>
      <c r="Q548" s="606" t="str">
        <f t="shared" si="88"/>
        <v>NO</v>
      </c>
      <c r="R548" s="180"/>
      <c r="S548" s="173"/>
      <c r="T548" s="174"/>
      <c r="U548" s="173"/>
      <c r="V548" s="220"/>
      <c r="W548" s="177">
        <f>IF(S548=0,0,IF(U548="MXN",1/HLOOKUP(YEAR(T548)+(MONTH(T548)/100),TC!$5:$37,DAY(T548)+2,FALSE),VLOOKUP(U548,Equivalencia!$1:$23,((MAX(Equivalencia!$3:$3)-YEAR(T548))*14)+MONTH(T548)+2,FALSE)))</f>
        <v>0</v>
      </c>
      <c r="X548" s="178">
        <f t="shared" si="89"/>
        <v>0</v>
      </c>
      <c r="Y548" s="178">
        <f t="shared" si="90"/>
        <v>0</v>
      </c>
      <c r="Z548" s="175">
        <f t="shared" si="82"/>
        <v>0</v>
      </c>
      <c r="AA548" s="179"/>
      <c r="AB548" s="467">
        <f t="shared" si="83"/>
        <v>0</v>
      </c>
      <c r="AC548" s="466">
        <f t="shared" si="84"/>
        <v>0</v>
      </c>
    </row>
    <row r="549" spans="2:29" ht="20.100000000000001" customHeight="1">
      <c r="B549" s="172"/>
      <c r="C549" s="172"/>
      <c r="D549" s="172"/>
      <c r="E549" s="181"/>
      <c r="F549" s="173"/>
      <c r="G549" s="174"/>
      <c r="H549" s="284"/>
      <c r="I549" s="221"/>
      <c r="J549" s="177">
        <f>IF(H549=0,0,IF(F549="MXN",1/HLOOKUP(YEAR(G549)+(MONTH(G549)/100),TC!$5:$37,DAY(G549)+2,FALSE),VLOOKUP(F549,Equivalencia!$5:$23,((MAX(Equivalencia!$3:$3)-YEAR(G549))*14)+MONTH(G549)+2,FALSE)))</f>
        <v>0</v>
      </c>
      <c r="K549" s="217">
        <f t="shared" si="85"/>
        <v>0</v>
      </c>
      <c r="L549" s="462">
        <f>IF(G549=0,0,VLOOKUP(YEAR(G549),INPC!$B$4:$O$29,MONTH(G549)+1))</f>
        <v>0</v>
      </c>
      <c r="M549" s="462">
        <f>IF(T549=0,0,VLOOKUP(YEAR(T549),INPC!$B$4:$O$29,MONTH(T549)+1))</f>
        <v>0</v>
      </c>
      <c r="N549" s="463">
        <f t="shared" si="81"/>
        <v>0</v>
      </c>
      <c r="O549" s="464">
        <f t="shared" si="86"/>
        <v>0</v>
      </c>
      <c r="P549" s="465">
        <f t="shared" si="87"/>
        <v>0</v>
      </c>
      <c r="Q549" s="606" t="str">
        <f t="shared" si="88"/>
        <v>NO</v>
      </c>
      <c r="R549" s="180"/>
      <c r="S549" s="173"/>
      <c r="T549" s="174"/>
      <c r="U549" s="173"/>
      <c r="V549" s="220"/>
      <c r="W549" s="177">
        <f>IF(S549=0,0,IF(U549="MXN",1/HLOOKUP(YEAR(T549)+(MONTH(T549)/100),TC!$5:$37,DAY(T549)+2,FALSE),VLOOKUP(U549,Equivalencia!$1:$23,((MAX(Equivalencia!$3:$3)-YEAR(T549))*14)+MONTH(T549)+2,FALSE)))</f>
        <v>0</v>
      </c>
      <c r="X549" s="178">
        <f t="shared" si="89"/>
        <v>0</v>
      </c>
      <c r="Y549" s="178">
        <f t="shared" si="90"/>
        <v>0</v>
      </c>
      <c r="Z549" s="175">
        <f t="shared" si="82"/>
        <v>0</v>
      </c>
      <c r="AA549" s="179"/>
      <c r="AB549" s="467">
        <f t="shared" si="83"/>
        <v>0</v>
      </c>
      <c r="AC549" s="466">
        <f t="shared" si="84"/>
        <v>0</v>
      </c>
    </row>
    <row r="550" spans="2:29" ht="20.100000000000001" customHeight="1">
      <c r="B550" s="172"/>
      <c r="C550" s="172"/>
      <c r="D550" s="172"/>
      <c r="E550" s="181"/>
      <c r="F550" s="173"/>
      <c r="G550" s="174"/>
      <c r="H550" s="284"/>
      <c r="I550" s="221"/>
      <c r="J550" s="177">
        <f>IF(H550=0,0,IF(F550="MXN",1/HLOOKUP(YEAR(G550)+(MONTH(G550)/100),TC!$5:$37,DAY(G550)+2,FALSE),VLOOKUP(F550,Equivalencia!$5:$23,((MAX(Equivalencia!$3:$3)-YEAR(G550))*14)+MONTH(G550)+2,FALSE)))</f>
        <v>0</v>
      </c>
      <c r="K550" s="217">
        <f t="shared" si="85"/>
        <v>0</v>
      </c>
      <c r="L550" s="462">
        <f>IF(G550=0,0,VLOOKUP(YEAR(G550),INPC!$B$4:$O$29,MONTH(G550)+1))</f>
        <v>0</v>
      </c>
      <c r="M550" s="462">
        <f>IF(T550=0,0,VLOOKUP(YEAR(T550),INPC!$B$4:$O$29,MONTH(T550)+1))</f>
        <v>0</v>
      </c>
      <c r="N550" s="463">
        <f t="shared" si="81"/>
        <v>0</v>
      </c>
      <c r="O550" s="464">
        <f t="shared" si="86"/>
        <v>0</v>
      </c>
      <c r="P550" s="465">
        <f t="shared" si="87"/>
        <v>0</v>
      </c>
      <c r="Q550" s="606" t="str">
        <f t="shared" si="88"/>
        <v>NO</v>
      </c>
      <c r="R550" s="180"/>
      <c r="S550" s="173"/>
      <c r="T550" s="174"/>
      <c r="U550" s="173"/>
      <c r="V550" s="220"/>
      <c r="W550" s="177">
        <f>IF(S550=0,0,IF(U550="MXN",1/HLOOKUP(YEAR(T550)+(MONTH(T550)/100),TC!$5:$37,DAY(T550)+2,FALSE),VLOOKUP(U550,Equivalencia!$1:$23,((MAX(Equivalencia!$3:$3)-YEAR(T550))*14)+MONTH(T550)+2,FALSE)))</f>
        <v>0</v>
      </c>
      <c r="X550" s="178">
        <f t="shared" si="89"/>
        <v>0</v>
      </c>
      <c r="Y550" s="178">
        <f t="shared" si="90"/>
        <v>0</v>
      </c>
      <c r="Z550" s="175">
        <f t="shared" si="82"/>
        <v>0</v>
      </c>
      <c r="AA550" s="179"/>
      <c r="AB550" s="467">
        <f t="shared" si="83"/>
        <v>0</v>
      </c>
      <c r="AC550" s="466">
        <f t="shared" si="84"/>
        <v>0</v>
      </c>
    </row>
    <row r="551" spans="2:29" ht="20.100000000000001" customHeight="1">
      <c r="B551" s="172"/>
      <c r="C551" s="172"/>
      <c r="D551" s="172"/>
      <c r="E551" s="181"/>
      <c r="F551" s="173"/>
      <c r="G551" s="174"/>
      <c r="H551" s="284"/>
      <c r="I551" s="221"/>
      <c r="J551" s="177">
        <f>IF(H551=0,0,IF(F551="MXN",1/HLOOKUP(YEAR(G551)+(MONTH(G551)/100),TC!$5:$37,DAY(G551)+2,FALSE),VLOOKUP(F551,Equivalencia!$5:$23,((MAX(Equivalencia!$3:$3)-YEAR(G551))*14)+MONTH(G551)+2,FALSE)))</f>
        <v>0</v>
      </c>
      <c r="K551" s="217">
        <f t="shared" si="85"/>
        <v>0</v>
      </c>
      <c r="L551" s="462">
        <f>IF(G551=0,0,VLOOKUP(YEAR(G551),INPC!$B$4:$O$29,MONTH(G551)+1))</f>
        <v>0</v>
      </c>
      <c r="M551" s="462">
        <f>IF(T551=0,0,VLOOKUP(YEAR(T551),INPC!$B$4:$O$29,MONTH(T551)+1))</f>
        <v>0</v>
      </c>
      <c r="N551" s="463">
        <f t="shared" si="81"/>
        <v>0</v>
      </c>
      <c r="O551" s="464">
        <f t="shared" si="86"/>
        <v>0</v>
      </c>
      <c r="P551" s="465">
        <f t="shared" si="87"/>
        <v>0</v>
      </c>
      <c r="Q551" s="606" t="str">
        <f t="shared" si="88"/>
        <v>NO</v>
      </c>
      <c r="R551" s="180"/>
      <c r="S551" s="173"/>
      <c r="T551" s="174"/>
      <c r="U551" s="173"/>
      <c r="V551" s="220"/>
      <c r="W551" s="177">
        <f>IF(S551=0,0,IF(U551="MXN",1/HLOOKUP(YEAR(T551)+(MONTH(T551)/100),TC!$5:$37,DAY(T551)+2,FALSE),VLOOKUP(U551,Equivalencia!$1:$23,((MAX(Equivalencia!$3:$3)-YEAR(T551))*14)+MONTH(T551)+2,FALSE)))</f>
        <v>0</v>
      </c>
      <c r="X551" s="178">
        <f t="shared" si="89"/>
        <v>0</v>
      </c>
      <c r="Y551" s="178">
        <f t="shared" si="90"/>
        <v>0</v>
      </c>
      <c r="Z551" s="175">
        <f t="shared" si="82"/>
        <v>0</v>
      </c>
      <c r="AA551" s="179"/>
      <c r="AB551" s="467">
        <f t="shared" si="83"/>
        <v>0</v>
      </c>
      <c r="AC551" s="466">
        <f t="shared" si="84"/>
        <v>0</v>
      </c>
    </row>
    <row r="552" spans="2:29" ht="20.100000000000001" customHeight="1">
      <c r="B552" s="172"/>
      <c r="C552" s="172"/>
      <c r="D552" s="172"/>
      <c r="E552" s="181"/>
      <c r="F552" s="173"/>
      <c r="G552" s="174"/>
      <c r="H552" s="284"/>
      <c r="I552" s="221"/>
      <c r="J552" s="177">
        <f>IF(H552=0,0,IF(F552="MXN",1/HLOOKUP(YEAR(G552)+(MONTH(G552)/100),TC!$5:$37,DAY(G552)+2,FALSE),VLOOKUP(F552,Equivalencia!$5:$23,((MAX(Equivalencia!$3:$3)-YEAR(G552))*14)+MONTH(G552)+2,FALSE)))</f>
        <v>0</v>
      </c>
      <c r="K552" s="217">
        <f t="shared" si="85"/>
        <v>0</v>
      </c>
      <c r="L552" s="462">
        <f>IF(G552=0,0,VLOOKUP(YEAR(G552),INPC!$B$4:$O$29,MONTH(G552)+1))</f>
        <v>0</v>
      </c>
      <c r="M552" s="462">
        <f>IF(T552=0,0,VLOOKUP(YEAR(T552),INPC!$B$4:$O$29,MONTH(T552)+1))</f>
        <v>0</v>
      </c>
      <c r="N552" s="463">
        <f t="shared" si="81"/>
        <v>0</v>
      </c>
      <c r="O552" s="464">
        <f t="shared" si="86"/>
        <v>0</v>
      </c>
      <c r="P552" s="465">
        <f t="shared" si="87"/>
        <v>0</v>
      </c>
      <c r="Q552" s="606" t="str">
        <f t="shared" si="88"/>
        <v>NO</v>
      </c>
      <c r="R552" s="180"/>
      <c r="S552" s="173"/>
      <c r="T552" s="174"/>
      <c r="U552" s="173"/>
      <c r="V552" s="220"/>
      <c r="W552" s="177">
        <f>IF(S552=0,0,IF(U552="MXN",1/HLOOKUP(YEAR(T552)+(MONTH(T552)/100),TC!$5:$37,DAY(T552)+2,FALSE),VLOOKUP(U552,Equivalencia!$1:$23,((MAX(Equivalencia!$3:$3)-YEAR(T552))*14)+MONTH(T552)+2,FALSE)))</f>
        <v>0</v>
      </c>
      <c r="X552" s="178">
        <f t="shared" si="89"/>
        <v>0</v>
      </c>
      <c r="Y552" s="178">
        <f t="shared" si="90"/>
        <v>0</v>
      </c>
      <c r="Z552" s="175">
        <f t="shared" si="82"/>
        <v>0</v>
      </c>
      <c r="AA552" s="179"/>
      <c r="AB552" s="467">
        <f t="shared" si="83"/>
        <v>0</v>
      </c>
      <c r="AC552" s="466">
        <f t="shared" si="84"/>
        <v>0</v>
      </c>
    </row>
    <row r="553" spans="2:29" ht="20.100000000000001" customHeight="1">
      <c r="B553" s="172"/>
      <c r="C553" s="172"/>
      <c r="D553" s="172"/>
      <c r="E553" s="181"/>
      <c r="F553" s="173"/>
      <c r="G553" s="174"/>
      <c r="H553" s="284"/>
      <c r="I553" s="221"/>
      <c r="J553" s="177">
        <f>IF(H553=0,0,IF(F553="MXN",1/HLOOKUP(YEAR(G553)+(MONTH(G553)/100),TC!$5:$37,DAY(G553)+2,FALSE),VLOOKUP(F553,Equivalencia!$5:$23,((MAX(Equivalencia!$3:$3)-YEAR(G553))*14)+MONTH(G553)+2,FALSE)))</f>
        <v>0</v>
      </c>
      <c r="K553" s="217">
        <f t="shared" si="85"/>
        <v>0</v>
      </c>
      <c r="L553" s="462">
        <f>IF(G553=0,0,VLOOKUP(YEAR(G553),INPC!$B$4:$O$29,MONTH(G553)+1))</f>
        <v>0</v>
      </c>
      <c r="M553" s="462">
        <f>IF(T553=0,0,VLOOKUP(YEAR(T553),INPC!$B$4:$O$29,MONTH(T553)+1))</f>
        <v>0</v>
      </c>
      <c r="N553" s="463">
        <f t="shared" si="81"/>
        <v>0</v>
      </c>
      <c r="O553" s="464">
        <f t="shared" si="86"/>
        <v>0</v>
      </c>
      <c r="P553" s="465">
        <f t="shared" si="87"/>
        <v>0</v>
      </c>
      <c r="Q553" s="606" t="str">
        <f t="shared" si="88"/>
        <v>NO</v>
      </c>
      <c r="R553" s="180"/>
      <c r="S553" s="173"/>
      <c r="T553" s="174"/>
      <c r="U553" s="173"/>
      <c r="V553" s="220"/>
      <c r="W553" s="177">
        <f>IF(S553=0,0,IF(U553="MXN",1/HLOOKUP(YEAR(T553)+(MONTH(T553)/100),TC!$5:$37,DAY(T553)+2,FALSE),VLOOKUP(U553,Equivalencia!$1:$23,((MAX(Equivalencia!$3:$3)-YEAR(T553))*14)+MONTH(T553)+2,FALSE)))</f>
        <v>0</v>
      </c>
      <c r="X553" s="178">
        <f t="shared" si="89"/>
        <v>0</v>
      </c>
      <c r="Y553" s="178">
        <f t="shared" si="90"/>
        <v>0</v>
      </c>
      <c r="Z553" s="175">
        <f t="shared" si="82"/>
        <v>0</v>
      </c>
      <c r="AA553" s="179"/>
      <c r="AB553" s="467">
        <f t="shared" si="83"/>
        <v>0</v>
      </c>
      <c r="AC553" s="466">
        <f t="shared" si="84"/>
        <v>0</v>
      </c>
    </row>
    <row r="554" spans="2:29" ht="20.100000000000001" customHeight="1">
      <c r="B554" s="172"/>
      <c r="C554" s="172"/>
      <c r="D554" s="172"/>
      <c r="E554" s="181"/>
      <c r="F554" s="173"/>
      <c r="G554" s="174"/>
      <c r="H554" s="284"/>
      <c r="I554" s="221"/>
      <c r="J554" s="177">
        <f>IF(H554=0,0,IF(F554="MXN",1/HLOOKUP(YEAR(G554)+(MONTH(G554)/100),TC!$5:$37,DAY(G554)+2,FALSE),VLOOKUP(F554,Equivalencia!$5:$23,((MAX(Equivalencia!$3:$3)-YEAR(G554))*14)+MONTH(G554)+2,FALSE)))</f>
        <v>0</v>
      </c>
      <c r="K554" s="217">
        <f t="shared" si="85"/>
        <v>0</v>
      </c>
      <c r="L554" s="462">
        <f>IF(G554=0,0,VLOOKUP(YEAR(G554),INPC!$B$4:$O$29,MONTH(G554)+1))</f>
        <v>0</v>
      </c>
      <c r="M554" s="462">
        <f>IF(T554=0,0,VLOOKUP(YEAR(T554),INPC!$B$4:$O$29,MONTH(T554)+1))</f>
        <v>0</v>
      </c>
      <c r="N554" s="463">
        <f t="shared" si="81"/>
        <v>0</v>
      </c>
      <c r="O554" s="464">
        <f t="shared" si="86"/>
        <v>0</v>
      </c>
      <c r="P554" s="465">
        <f t="shared" si="87"/>
        <v>0</v>
      </c>
      <c r="Q554" s="606" t="str">
        <f t="shared" si="88"/>
        <v>NO</v>
      </c>
      <c r="R554" s="180"/>
      <c r="S554" s="173"/>
      <c r="T554" s="174"/>
      <c r="U554" s="173"/>
      <c r="V554" s="220"/>
      <c r="W554" s="177">
        <f>IF(S554=0,0,IF(U554="MXN",1/HLOOKUP(YEAR(T554)+(MONTH(T554)/100),TC!$5:$37,DAY(T554)+2,FALSE),VLOOKUP(U554,Equivalencia!$1:$23,((MAX(Equivalencia!$3:$3)-YEAR(T554))*14)+MONTH(T554)+2,FALSE)))</f>
        <v>0</v>
      </c>
      <c r="X554" s="178">
        <f t="shared" si="89"/>
        <v>0</v>
      </c>
      <c r="Y554" s="178">
        <f t="shared" si="90"/>
        <v>0</v>
      </c>
      <c r="Z554" s="175">
        <f t="shared" si="82"/>
        <v>0</v>
      </c>
      <c r="AA554" s="179"/>
      <c r="AB554" s="467">
        <f t="shared" si="83"/>
        <v>0</v>
      </c>
      <c r="AC554" s="466">
        <f t="shared" si="84"/>
        <v>0</v>
      </c>
    </row>
    <row r="555" spans="2:29" ht="20.100000000000001" customHeight="1">
      <c r="B555" s="172"/>
      <c r="C555" s="172"/>
      <c r="D555" s="172"/>
      <c r="E555" s="181"/>
      <c r="F555" s="173"/>
      <c r="G555" s="174"/>
      <c r="H555" s="284"/>
      <c r="I555" s="221"/>
      <c r="J555" s="177">
        <f>IF(H555=0,0,IF(F555="MXN",1/HLOOKUP(YEAR(G555)+(MONTH(G555)/100),TC!$5:$37,DAY(G555)+2,FALSE),VLOOKUP(F555,Equivalencia!$5:$23,((MAX(Equivalencia!$3:$3)-YEAR(G555))*14)+MONTH(G555)+2,FALSE)))</f>
        <v>0</v>
      </c>
      <c r="K555" s="217">
        <f t="shared" si="85"/>
        <v>0</v>
      </c>
      <c r="L555" s="462">
        <f>IF(G555=0,0,VLOOKUP(YEAR(G555),INPC!$B$4:$O$29,MONTH(G555)+1))</f>
        <v>0</v>
      </c>
      <c r="M555" s="462">
        <f>IF(T555=0,0,VLOOKUP(YEAR(T555),INPC!$B$4:$O$29,MONTH(T555)+1))</f>
        <v>0</v>
      </c>
      <c r="N555" s="463">
        <f t="shared" si="81"/>
        <v>0</v>
      </c>
      <c r="O555" s="464">
        <f t="shared" si="86"/>
        <v>0</v>
      </c>
      <c r="P555" s="465">
        <f t="shared" si="87"/>
        <v>0</v>
      </c>
      <c r="Q555" s="606" t="str">
        <f t="shared" si="88"/>
        <v>NO</v>
      </c>
      <c r="R555" s="180"/>
      <c r="S555" s="173"/>
      <c r="T555" s="174"/>
      <c r="U555" s="173"/>
      <c r="V555" s="220"/>
      <c r="W555" s="177">
        <f>IF(S555=0,0,IF(U555="MXN",1/HLOOKUP(YEAR(T555)+(MONTH(T555)/100),TC!$5:$37,DAY(T555)+2,FALSE),VLOOKUP(U555,Equivalencia!$1:$23,((MAX(Equivalencia!$3:$3)-YEAR(T555))*14)+MONTH(T555)+2,FALSE)))</f>
        <v>0</v>
      </c>
      <c r="X555" s="178">
        <f t="shared" si="89"/>
        <v>0</v>
      </c>
      <c r="Y555" s="178">
        <f t="shared" si="90"/>
        <v>0</v>
      </c>
      <c r="Z555" s="175">
        <f t="shared" si="82"/>
        <v>0</v>
      </c>
      <c r="AA555" s="179"/>
      <c r="AB555" s="467">
        <f t="shared" si="83"/>
        <v>0</v>
      </c>
      <c r="AC555" s="466">
        <f t="shared" si="84"/>
        <v>0</v>
      </c>
    </row>
    <row r="556" spans="2:29" ht="20.100000000000001" customHeight="1">
      <c r="B556" s="172"/>
      <c r="C556" s="172"/>
      <c r="D556" s="172"/>
      <c r="E556" s="181"/>
      <c r="F556" s="173"/>
      <c r="G556" s="174"/>
      <c r="H556" s="284"/>
      <c r="I556" s="221"/>
      <c r="J556" s="177">
        <f>IF(H556=0,0,IF(F556="MXN",1/HLOOKUP(YEAR(G556)+(MONTH(G556)/100),TC!$5:$37,DAY(G556)+2,FALSE),VLOOKUP(F556,Equivalencia!$5:$23,((MAX(Equivalencia!$3:$3)-YEAR(G556))*14)+MONTH(G556)+2,FALSE)))</f>
        <v>0</v>
      </c>
      <c r="K556" s="217">
        <f t="shared" si="85"/>
        <v>0</v>
      </c>
      <c r="L556" s="462">
        <f>IF(G556=0,0,VLOOKUP(YEAR(G556),INPC!$B$4:$O$29,MONTH(G556)+1))</f>
        <v>0</v>
      </c>
      <c r="M556" s="462">
        <f>IF(T556=0,0,VLOOKUP(YEAR(T556),INPC!$B$4:$O$29,MONTH(T556)+1))</f>
        <v>0</v>
      </c>
      <c r="N556" s="463">
        <f t="shared" si="81"/>
        <v>0</v>
      </c>
      <c r="O556" s="464">
        <f t="shared" si="86"/>
        <v>0</v>
      </c>
      <c r="P556" s="465">
        <f t="shared" si="87"/>
        <v>0</v>
      </c>
      <c r="Q556" s="606" t="str">
        <f t="shared" si="88"/>
        <v>NO</v>
      </c>
      <c r="R556" s="180"/>
      <c r="S556" s="173"/>
      <c r="T556" s="174"/>
      <c r="U556" s="173"/>
      <c r="V556" s="220"/>
      <c r="W556" s="177">
        <f>IF(S556=0,0,IF(U556="MXN",1/HLOOKUP(YEAR(T556)+(MONTH(T556)/100),TC!$5:$37,DAY(T556)+2,FALSE),VLOOKUP(U556,Equivalencia!$1:$23,((MAX(Equivalencia!$3:$3)-YEAR(T556))*14)+MONTH(T556)+2,FALSE)))</f>
        <v>0</v>
      </c>
      <c r="X556" s="178">
        <f t="shared" si="89"/>
        <v>0</v>
      </c>
      <c r="Y556" s="178">
        <f t="shared" si="90"/>
        <v>0</v>
      </c>
      <c r="Z556" s="175">
        <f t="shared" si="82"/>
        <v>0</v>
      </c>
      <c r="AA556" s="179"/>
      <c r="AB556" s="467">
        <f t="shared" si="83"/>
        <v>0</v>
      </c>
      <c r="AC556" s="466">
        <f t="shared" si="84"/>
        <v>0</v>
      </c>
    </row>
    <row r="557" spans="2:29" ht="20.100000000000001" customHeight="1">
      <c r="B557" s="172"/>
      <c r="C557" s="172"/>
      <c r="D557" s="172"/>
      <c r="E557" s="181"/>
      <c r="F557" s="173"/>
      <c r="G557" s="174"/>
      <c r="H557" s="284"/>
      <c r="I557" s="221"/>
      <c r="J557" s="177">
        <f>IF(H557=0,0,IF(F557="MXN",1/HLOOKUP(YEAR(G557)+(MONTH(G557)/100),TC!$5:$37,DAY(G557)+2,FALSE),VLOOKUP(F557,Equivalencia!$5:$23,((MAX(Equivalencia!$3:$3)-YEAR(G557))*14)+MONTH(G557)+2,FALSE)))</f>
        <v>0</v>
      </c>
      <c r="K557" s="217">
        <f t="shared" si="85"/>
        <v>0</v>
      </c>
      <c r="L557" s="462">
        <f>IF(G557=0,0,VLOOKUP(YEAR(G557),INPC!$B$4:$O$29,MONTH(G557)+1))</f>
        <v>0</v>
      </c>
      <c r="M557" s="462">
        <f>IF(T557=0,0,VLOOKUP(YEAR(T557),INPC!$B$4:$O$29,MONTH(T557)+1))</f>
        <v>0</v>
      </c>
      <c r="N557" s="463">
        <f t="shared" si="81"/>
        <v>0</v>
      </c>
      <c r="O557" s="464">
        <f t="shared" si="86"/>
        <v>0</v>
      </c>
      <c r="P557" s="465">
        <f t="shared" si="87"/>
        <v>0</v>
      </c>
      <c r="Q557" s="606" t="str">
        <f t="shared" si="88"/>
        <v>NO</v>
      </c>
      <c r="R557" s="180"/>
      <c r="S557" s="173"/>
      <c r="T557" s="174"/>
      <c r="U557" s="173"/>
      <c r="V557" s="220"/>
      <c r="W557" s="177">
        <f>IF(S557=0,0,IF(U557="MXN",1/HLOOKUP(YEAR(T557)+(MONTH(T557)/100),TC!$5:$37,DAY(T557)+2,FALSE),VLOOKUP(U557,Equivalencia!$1:$23,((MAX(Equivalencia!$3:$3)-YEAR(T557))*14)+MONTH(T557)+2,FALSE)))</f>
        <v>0</v>
      </c>
      <c r="X557" s="178">
        <f t="shared" si="89"/>
        <v>0</v>
      </c>
      <c r="Y557" s="178">
        <f t="shared" si="90"/>
        <v>0</v>
      </c>
      <c r="Z557" s="175">
        <f t="shared" si="82"/>
        <v>0</v>
      </c>
      <c r="AA557" s="179"/>
      <c r="AB557" s="467">
        <f t="shared" si="83"/>
        <v>0</v>
      </c>
      <c r="AC557" s="466">
        <f t="shared" si="84"/>
        <v>0</v>
      </c>
    </row>
    <row r="558" spans="2:29" ht="20.100000000000001" customHeight="1">
      <c r="B558" s="172"/>
      <c r="C558" s="172"/>
      <c r="D558" s="172"/>
      <c r="E558" s="181"/>
      <c r="F558" s="173"/>
      <c r="G558" s="174"/>
      <c r="H558" s="284"/>
      <c r="I558" s="221"/>
      <c r="J558" s="177">
        <f>IF(H558=0,0,IF(F558="MXN",1/HLOOKUP(YEAR(G558)+(MONTH(G558)/100),TC!$5:$37,DAY(G558)+2,FALSE),VLOOKUP(F558,Equivalencia!$5:$23,((MAX(Equivalencia!$3:$3)-YEAR(G558))*14)+MONTH(G558)+2,FALSE)))</f>
        <v>0</v>
      </c>
      <c r="K558" s="217">
        <f t="shared" si="85"/>
        <v>0</v>
      </c>
      <c r="L558" s="462">
        <f>IF(G558=0,0,VLOOKUP(YEAR(G558),INPC!$B$4:$O$29,MONTH(G558)+1))</f>
        <v>0</v>
      </c>
      <c r="M558" s="462">
        <f>IF(T558=0,0,VLOOKUP(YEAR(T558),INPC!$B$4:$O$29,MONTH(T558)+1))</f>
        <v>0</v>
      </c>
      <c r="N558" s="463">
        <f t="shared" si="81"/>
        <v>0</v>
      </c>
      <c r="O558" s="464">
        <f t="shared" si="86"/>
        <v>0</v>
      </c>
      <c r="P558" s="465">
        <f t="shared" si="87"/>
        <v>0</v>
      </c>
      <c r="Q558" s="606" t="str">
        <f t="shared" si="88"/>
        <v>NO</v>
      </c>
      <c r="R558" s="180"/>
      <c r="S558" s="173"/>
      <c r="T558" s="174"/>
      <c r="U558" s="173"/>
      <c r="V558" s="220"/>
      <c r="W558" s="177">
        <f>IF(S558=0,0,IF(U558="MXN",1/HLOOKUP(YEAR(T558)+(MONTH(T558)/100),TC!$5:$37,DAY(T558)+2,FALSE),VLOOKUP(U558,Equivalencia!$1:$23,((MAX(Equivalencia!$3:$3)-YEAR(T558))*14)+MONTH(T558)+2,FALSE)))</f>
        <v>0</v>
      </c>
      <c r="X558" s="178">
        <f t="shared" si="89"/>
        <v>0</v>
      </c>
      <c r="Y558" s="178">
        <f t="shared" si="90"/>
        <v>0</v>
      </c>
      <c r="Z558" s="175">
        <f t="shared" si="82"/>
        <v>0</v>
      </c>
      <c r="AA558" s="179"/>
      <c r="AB558" s="467">
        <f t="shared" si="83"/>
        <v>0</v>
      </c>
      <c r="AC558" s="466">
        <f t="shared" si="84"/>
        <v>0</v>
      </c>
    </row>
    <row r="559" spans="2:29" ht="20.100000000000001" customHeight="1">
      <c r="B559" s="172"/>
      <c r="C559" s="172"/>
      <c r="D559" s="172"/>
      <c r="E559" s="181"/>
      <c r="F559" s="173"/>
      <c r="G559" s="174"/>
      <c r="H559" s="284"/>
      <c r="I559" s="221"/>
      <c r="J559" s="177">
        <f>IF(H559=0,0,IF(F559="MXN",1/HLOOKUP(YEAR(G559)+(MONTH(G559)/100),TC!$5:$37,DAY(G559)+2,FALSE),VLOOKUP(F559,Equivalencia!$5:$23,((MAX(Equivalencia!$3:$3)-YEAR(G559))*14)+MONTH(G559)+2,FALSE)))</f>
        <v>0</v>
      </c>
      <c r="K559" s="217">
        <f t="shared" si="85"/>
        <v>0</v>
      </c>
      <c r="L559" s="462">
        <f>IF(G559=0,0,VLOOKUP(YEAR(G559),INPC!$B$4:$O$29,MONTH(G559)+1))</f>
        <v>0</v>
      </c>
      <c r="M559" s="462">
        <f>IF(T559=0,0,VLOOKUP(YEAR(T559),INPC!$B$4:$O$29,MONTH(T559)+1))</f>
        <v>0</v>
      </c>
      <c r="N559" s="463">
        <f t="shared" si="81"/>
        <v>0</v>
      </c>
      <c r="O559" s="464">
        <f t="shared" si="86"/>
        <v>0</v>
      </c>
      <c r="P559" s="465">
        <f t="shared" si="87"/>
        <v>0</v>
      </c>
      <c r="Q559" s="606" t="str">
        <f t="shared" si="88"/>
        <v>NO</v>
      </c>
      <c r="R559" s="180"/>
      <c r="S559" s="173"/>
      <c r="T559" s="174"/>
      <c r="U559" s="173"/>
      <c r="V559" s="220"/>
      <c r="W559" s="177">
        <f>IF(S559=0,0,IF(U559="MXN",1/HLOOKUP(YEAR(T559)+(MONTH(T559)/100),TC!$5:$37,DAY(T559)+2,FALSE),VLOOKUP(U559,Equivalencia!$1:$23,((MAX(Equivalencia!$3:$3)-YEAR(T559))*14)+MONTH(T559)+2,FALSE)))</f>
        <v>0</v>
      </c>
      <c r="X559" s="178">
        <f t="shared" si="89"/>
        <v>0</v>
      </c>
      <c r="Y559" s="178">
        <f t="shared" si="90"/>
        <v>0</v>
      </c>
      <c r="Z559" s="175">
        <f t="shared" si="82"/>
        <v>0</v>
      </c>
      <c r="AA559" s="179"/>
      <c r="AB559" s="467">
        <f t="shared" si="83"/>
        <v>0</v>
      </c>
      <c r="AC559" s="466">
        <f t="shared" si="84"/>
        <v>0</v>
      </c>
    </row>
    <row r="560" spans="2:29" ht="20.100000000000001" customHeight="1">
      <c r="B560" s="172"/>
      <c r="C560" s="172"/>
      <c r="D560" s="172"/>
      <c r="E560" s="181"/>
      <c r="F560" s="173"/>
      <c r="G560" s="174"/>
      <c r="H560" s="284"/>
      <c r="I560" s="221"/>
      <c r="J560" s="177">
        <f>IF(H560=0,0,IF(F560="MXN",1/HLOOKUP(YEAR(G560)+(MONTH(G560)/100),TC!$5:$37,DAY(G560)+2,FALSE),VLOOKUP(F560,Equivalencia!$5:$23,((MAX(Equivalencia!$3:$3)-YEAR(G560))*14)+MONTH(G560)+2,FALSE)))</f>
        <v>0</v>
      </c>
      <c r="K560" s="217">
        <f t="shared" si="85"/>
        <v>0</v>
      </c>
      <c r="L560" s="462">
        <f>IF(G560=0,0,VLOOKUP(YEAR(G560),INPC!$B$4:$O$29,MONTH(G560)+1))</f>
        <v>0</v>
      </c>
      <c r="M560" s="462">
        <f>IF(T560=0,0,VLOOKUP(YEAR(T560),INPC!$B$4:$O$29,MONTH(T560)+1))</f>
        <v>0</v>
      </c>
      <c r="N560" s="463">
        <f t="shared" si="81"/>
        <v>0</v>
      </c>
      <c r="O560" s="464">
        <f t="shared" si="86"/>
        <v>0</v>
      </c>
      <c r="P560" s="465">
        <f t="shared" si="87"/>
        <v>0</v>
      </c>
      <c r="Q560" s="606" t="str">
        <f t="shared" si="88"/>
        <v>NO</v>
      </c>
      <c r="R560" s="180"/>
      <c r="S560" s="173"/>
      <c r="T560" s="174"/>
      <c r="U560" s="173"/>
      <c r="V560" s="220"/>
      <c r="W560" s="177">
        <f>IF(S560=0,0,IF(U560="MXN",1/HLOOKUP(YEAR(T560)+(MONTH(T560)/100),TC!$5:$37,DAY(T560)+2,FALSE),VLOOKUP(U560,Equivalencia!$1:$23,((MAX(Equivalencia!$3:$3)-YEAR(T560))*14)+MONTH(T560)+2,FALSE)))</f>
        <v>0</v>
      </c>
      <c r="X560" s="178">
        <f t="shared" si="89"/>
        <v>0</v>
      </c>
      <c r="Y560" s="178">
        <f t="shared" si="90"/>
        <v>0</v>
      </c>
      <c r="Z560" s="175">
        <f t="shared" si="82"/>
        <v>0</v>
      </c>
      <c r="AA560" s="179"/>
      <c r="AB560" s="467">
        <f t="shared" si="83"/>
        <v>0</v>
      </c>
      <c r="AC560" s="466">
        <f t="shared" si="84"/>
        <v>0</v>
      </c>
    </row>
    <row r="561" spans="2:29" ht="20.100000000000001" customHeight="1">
      <c r="B561" s="172"/>
      <c r="C561" s="172"/>
      <c r="D561" s="172"/>
      <c r="E561" s="181"/>
      <c r="F561" s="173"/>
      <c r="G561" s="174"/>
      <c r="H561" s="284"/>
      <c r="I561" s="221"/>
      <c r="J561" s="177">
        <f>IF(H561=0,0,IF(F561="MXN",1/HLOOKUP(YEAR(G561)+(MONTH(G561)/100),TC!$5:$37,DAY(G561)+2,FALSE),VLOOKUP(F561,Equivalencia!$5:$23,((MAX(Equivalencia!$3:$3)-YEAR(G561))*14)+MONTH(G561)+2,FALSE)))</f>
        <v>0</v>
      </c>
      <c r="K561" s="217">
        <f t="shared" si="85"/>
        <v>0</v>
      </c>
      <c r="L561" s="462">
        <f>IF(G561=0,0,VLOOKUP(YEAR(G561),INPC!$B$4:$O$29,MONTH(G561)+1))</f>
        <v>0</v>
      </c>
      <c r="M561" s="462">
        <f>IF(T561=0,0,VLOOKUP(YEAR(T561),INPC!$B$4:$O$29,MONTH(T561)+1))</f>
        <v>0</v>
      </c>
      <c r="N561" s="463">
        <f t="shared" si="81"/>
        <v>0</v>
      </c>
      <c r="O561" s="464">
        <f t="shared" si="86"/>
        <v>0</v>
      </c>
      <c r="P561" s="465">
        <f t="shared" si="87"/>
        <v>0</v>
      </c>
      <c r="Q561" s="606" t="str">
        <f t="shared" si="88"/>
        <v>NO</v>
      </c>
      <c r="R561" s="180"/>
      <c r="S561" s="173"/>
      <c r="T561" s="174"/>
      <c r="U561" s="173"/>
      <c r="V561" s="220"/>
      <c r="W561" s="177">
        <f>IF(S561=0,0,IF(U561="MXN",1/HLOOKUP(YEAR(T561)+(MONTH(T561)/100),TC!$5:$37,DAY(T561)+2,FALSE),VLOOKUP(U561,Equivalencia!$1:$23,((MAX(Equivalencia!$3:$3)-YEAR(T561))*14)+MONTH(T561)+2,FALSE)))</f>
        <v>0</v>
      </c>
      <c r="X561" s="178">
        <f t="shared" si="89"/>
        <v>0</v>
      </c>
      <c r="Y561" s="178">
        <f t="shared" si="90"/>
        <v>0</v>
      </c>
      <c r="Z561" s="175">
        <f t="shared" si="82"/>
        <v>0</v>
      </c>
      <c r="AA561" s="179"/>
      <c r="AB561" s="467">
        <f t="shared" si="83"/>
        <v>0</v>
      </c>
      <c r="AC561" s="466">
        <f t="shared" si="84"/>
        <v>0</v>
      </c>
    </row>
    <row r="562" spans="2:29" ht="20.100000000000001" customHeight="1">
      <c r="B562" s="172"/>
      <c r="C562" s="172"/>
      <c r="D562" s="172"/>
      <c r="E562" s="181"/>
      <c r="F562" s="173"/>
      <c r="G562" s="174"/>
      <c r="H562" s="284"/>
      <c r="I562" s="221"/>
      <c r="J562" s="177">
        <f>IF(H562=0,0,IF(F562="MXN",1/HLOOKUP(YEAR(G562)+(MONTH(G562)/100),TC!$5:$37,DAY(G562)+2,FALSE),VLOOKUP(F562,Equivalencia!$5:$23,((MAX(Equivalencia!$3:$3)-YEAR(G562))*14)+MONTH(G562)+2,FALSE)))</f>
        <v>0</v>
      </c>
      <c r="K562" s="217">
        <f t="shared" si="85"/>
        <v>0</v>
      </c>
      <c r="L562" s="462">
        <f>IF(G562=0,0,VLOOKUP(YEAR(G562),INPC!$B$4:$O$29,MONTH(G562)+1))</f>
        <v>0</v>
      </c>
      <c r="M562" s="462">
        <f>IF(T562=0,0,VLOOKUP(YEAR(T562),INPC!$B$4:$O$29,MONTH(T562)+1))</f>
        <v>0</v>
      </c>
      <c r="N562" s="463">
        <f t="shared" si="81"/>
        <v>0</v>
      </c>
      <c r="O562" s="464">
        <f t="shared" si="86"/>
        <v>0</v>
      </c>
      <c r="P562" s="465">
        <f t="shared" si="87"/>
        <v>0</v>
      </c>
      <c r="Q562" s="606" t="str">
        <f t="shared" si="88"/>
        <v>NO</v>
      </c>
      <c r="R562" s="180"/>
      <c r="S562" s="173"/>
      <c r="T562" s="174"/>
      <c r="U562" s="173"/>
      <c r="V562" s="220"/>
      <c r="W562" s="177">
        <f>IF(S562=0,0,IF(U562="MXN",1/HLOOKUP(YEAR(T562)+(MONTH(T562)/100),TC!$5:$37,DAY(T562)+2,FALSE),VLOOKUP(U562,Equivalencia!$1:$23,((MAX(Equivalencia!$3:$3)-YEAR(T562))*14)+MONTH(T562)+2,FALSE)))</f>
        <v>0</v>
      </c>
      <c r="X562" s="178">
        <f t="shared" si="89"/>
        <v>0</v>
      </c>
      <c r="Y562" s="178">
        <f t="shared" si="90"/>
        <v>0</v>
      </c>
      <c r="Z562" s="175">
        <f t="shared" si="82"/>
        <v>0</v>
      </c>
      <c r="AA562" s="179"/>
      <c r="AB562" s="467">
        <f t="shared" si="83"/>
        <v>0</v>
      </c>
      <c r="AC562" s="466">
        <f t="shared" si="84"/>
        <v>0</v>
      </c>
    </row>
    <row r="563" spans="2:29" ht="20.100000000000001" customHeight="1">
      <c r="B563" s="172"/>
      <c r="C563" s="172"/>
      <c r="D563" s="172"/>
      <c r="E563" s="181"/>
      <c r="F563" s="173"/>
      <c r="G563" s="174"/>
      <c r="H563" s="284"/>
      <c r="I563" s="221"/>
      <c r="J563" s="177">
        <f>IF(H563=0,0,IF(F563="MXN",1/HLOOKUP(YEAR(G563)+(MONTH(G563)/100),TC!$5:$37,DAY(G563)+2,FALSE),VLOOKUP(F563,Equivalencia!$5:$23,((MAX(Equivalencia!$3:$3)-YEAR(G563))*14)+MONTH(G563)+2,FALSE)))</f>
        <v>0</v>
      </c>
      <c r="K563" s="217">
        <f t="shared" si="85"/>
        <v>0</v>
      </c>
      <c r="L563" s="462">
        <f>IF(G563=0,0,VLOOKUP(YEAR(G563),INPC!$B$4:$O$29,MONTH(G563)+1))</f>
        <v>0</v>
      </c>
      <c r="M563" s="462">
        <f>IF(T563=0,0,VLOOKUP(YEAR(T563),INPC!$B$4:$O$29,MONTH(T563)+1))</f>
        <v>0</v>
      </c>
      <c r="N563" s="463">
        <f t="shared" si="81"/>
        <v>0</v>
      </c>
      <c r="O563" s="464">
        <f t="shared" si="86"/>
        <v>0</v>
      </c>
      <c r="P563" s="465">
        <f t="shared" si="87"/>
        <v>0</v>
      </c>
      <c r="Q563" s="606" t="str">
        <f t="shared" si="88"/>
        <v>NO</v>
      </c>
      <c r="R563" s="180"/>
      <c r="S563" s="173"/>
      <c r="T563" s="174"/>
      <c r="U563" s="173"/>
      <c r="V563" s="220"/>
      <c r="W563" s="177">
        <f>IF(S563=0,0,IF(U563="MXN",1/HLOOKUP(YEAR(T563)+(MONTH(T563)/100),TC!$5:$37,DAY(T563)+2,FALSE),VLOOKUP(U563,Equivalencia!$1:$23,((MAX(Equivalencia!$3:$3)-YEAR(T563))*14)+MONTH(T563)+2,FALSE)))</f>
        <v>0</v>
      </c>
      <c r="X563" s="178">
        <f t="shared" si="89"/>
        <v>0</v>
      </c>
      <c r="Y563" s="178">
        <f t="shared" si="90"/>
        <v>0</v>
      </c>
      <c r="Z563" s="175">
        <f t="shared" si="82"/>
        <v>0</v>
      </c>
      <c r="AA563" s="179"/>
      <c r="AB563" s="467">
        <f t="shared" si="83"/>
        <v>0</v>
      </c>
      <c r="AC563" s="466">
        <f t="shared" si="84"/>
        <v>0</v>
      </c>
    </row>
    <row r="564" spans="2:29" ht="20.100000000000001" customHeight="1">
      <c r="B564" s="172"/>
      <c r="C564" s="172"/>
      <c r="D564" s="172"/>
      <c r="E564" s="181"/>
      <c r="F564" s="173"/>
      <c r="G564" s="174"/>
      <c r="H564" s="284"/>
      <c r="I564" s="221"/>
      <c r="J564" s="177">
        <f>IF(H564=0,0,IF(F564="MXN",1/HLOOKUP(YEAR(G564)+(MONTH(G564)/100),TC!$5:$37,DAY(G564)+2,FALSE),VLOOKUP(F564,Equivalencia!$5:$23,((MAX(Equivalencia!$3:$3)-YEAR(G564))*14)+MONTH(G564)+2,FALSE)))</f>
        <v>0</v>
      </c>
      <c r="K564" s="217">
        <f t="shared" si="85"/>
        <v>0</v>
      </c>
      <c r="L564" s="462">
        <f>IF(G564=0,0,VLOOKUP(YEAR(G564),INPC!$B$4:$O$29,MONTH(G564)+1))</f>
        <v>0</v>
      </c>
      <c r="M564" s="462">
        <f>IF(T564=0,0,VLOOKUP(YEAR(T564),INPC!$B$4:$O$29,MONTH(T564)+1))</f>
        <v>0</v>
      </c>
      <c r="N564" s="463">
        <f t="shared" si="81"/>
        <v>0</v>
      </c>
      <c r="O564" s="464">
        <f t="shared" si="86"/>
        <v>0</v>
      </c>
      <c r="P564" s="465">
        <f t="shared" si="87"/>
        <v>0</v>
      </c>
      <c r="Q564" s="606" t="str">
        <f t="shared" si="88"/>
        <v>NO</v>
      </c>
      <c r="R564" s="180"/>
      <c r="S564" s="173"/>
      <c r="T564" s="174"/>
      <c r="U564" s="173"/>
      <c r="V564" s="220"/>
      <c r="W564" s="177">
        <f>IF(S564=0,0,IF(U564="MXN",1/HLOOKUP(YEAR(T564)+(MONTH(T564)/100),TC!$5:$37,DAY(T564)+2,FALSE),VLOOKUP(U564,Equivalencia!$1:$23,((MAX(Equivalencia!$3:$3)-YEAR(T564))*14)+MONTH(T564)+2,FALSE)))</f>
        <v>0</v>
      </c>
      <c r="X564" s="178">
        <f t="shared" si="89"/>
        <v>0</v>
      </c>
      <c r="Y564" s="178">
        <f t="shared" si="90"/>
        <v>0</v>
      </c>
      <c r="Z564" s="175">
        <f t="shared" si="82"/>
        <v>0</v>
      </c>
      <c r="AA564" s="179"/>
      <c r="AB564" s="467">
        <f t="shared" si="83"/>
        <v>0</v>
      </c>
      <c r="AC564" s="466">
        <f t="shared" si="84"/>
        <v>0</v>
      </c>
    </row>
    <row r="565" spans="2:29" ht="20.100000000000001" customHeight="1">
      <c r="B565" s="172"/>
      <c r="C565" s="172"/>
      <c r="D565" s="172"/>
      <c r="E565" s="181"/>
      <c r="F565" s="173"/>
      <c r="G565" s="174"/>
      <c r="H565" s="284"/>
      <c r="I565" s="221"/>
      <c r="J565" s="177">
        <f>IF(H565=0,0,IF(F565="MXN",1/HLOOKUP(YEAR(G565)+(MONTH(G565)/100),TC!$5:$37,DAY(G565)+2,FALSE),VLOOKUP(F565,Equivalencia!$5:$23,((MAX(Equivalencia!$3:$3)-YEAR(G565))*14)+MONTH(G565)+2,FALSE)))</f>
        <v>0</v>
      </c>
      <c r="K565" s="217">
        <f t="shared" si="85"/>
        <v>0</v>
      </c>
      <c r="L565" s="462">
        <f>IF(G565=0,0,VLOOKUP(YEAR(G565),INPC!$B$4:$O$29,MONTH(G565)+1))</f>
        <v>0</v>
      </c>
      <c r="M565" s="462">
        <f>IF(T565=0,0,VLOOKUP(YEAR(T565),INPC!$B$4:$O$29,MONTH(T565)+1))</f>
        <v>0</v>
      </c>
      <c r="N565" s="463">
        <f t="shared" si="81"/>
        <v>0</v>
      </c>
      <c r="O565" s="464">
        <f t="shared" si="86"/>
        <v>0</v>
      </c>
      <c r="P565" s="465">
        <f t="shared" si="87"/>
        <v>0</v>
      </c>
      <c r="Q565" s="606" t="str">
        <f t="shared" si="88"/>
        <v>NO</v>
      </c>
      <c r="R565" s="180"/>
      <c r="S565" s="173"/>
      <c r="T565" s="174"/>
      <c r="U565" s="173"/>
      <c r="V565" s="220"/>
      <c r="W565" s="177">
        <f>IF(S565=0,0,IF(U565="MXN",1/HLOOKUP(YEAR(T565)+(MONTH(T565)/100),TC!$5:$37,DAY(T565)+2,FALSE),VLOOKUP(U565,Equivalencia!$1:$23,((MAX(Equivalencia!$3:$3)-YEAR(T565))*14)+MONTH(T565)+2,FALSE)))</f>
        <v>0</v>
      </c>
      <c r="X565" s="178">
        <f t="shared" si="89"/>
        <v>0</v>
      </c>
      <c r="Y565" s="178">
        <f t="shared" si="90"/>
        <v>0</v>
      </c>
      <c r="Z565" s="175">
        <f t="shared" si="82"/>
        <v>0</v>
      </c>
      <c r="AA565" s="179"/>
      <c r="AB565" s="467">
        <f t="shared" si="83"/>
        <v>0</v>
      </c>
      <c r="AC565" s="466">
        <f t="shared" si="84"/>
        <v>0</v>
      </c>
    </row>
    <row r="566" spans="2:29" ht="20.100000000000001" customHeight="1">
      <c r="B566" s="172"/>
      <c r="C566" s="172"/>
      <c r="D566" s="172"/>
      <c r="E566" s="181"/>
      <c r="F566" s="173"/>
      <c r="G566" s="174"/>
      <c r="H566" s="284"/>
      <c r="I566" s="221"/>
      <c r="J566" s="177">
        <f>IF(H566=0,0,IF(F566="MXN",1/HLOOKUP(YEAR(G566)+(MONTH(G566)/100),TC!$5:$37,DAY(G566)+2,FALSE),VLOOKUP(F566,Equivalencia!$5:$23,((MAX(Equivalencia!$3:$3)-YEAR(G566))*14)+MONTH(G566)+2,FALSE)))</f>
        <v>0</v>
      </c>
      <c r="K566" s="217">
        <f t="shared" si="85"/>
        <v>0</v>
      </c>
      <c r="L566" s="462">
        <f>IF(G566=0,0,VLOOKUP(YEAR(G566),INPC!$B$4:$O$29,MONTH(G566)+1))</f>
        <v>0</v>
      </c>
      <c r="M566" s="462">
        <f>IF(T566=0,0,VLOOKUP(YEAR(T566),INPC!$B$4:$O$29,MONTH(T566)+1))</f>
        <v>0</v>
      </c>
      <c r="N566" s="463">
        <f t="shared" si="81"/>
        <v>0</v>
      </c>
      <c r="O566" s="464">
        <f t="shared" si="86"/>
        <v>0</v>
      </c>
      <c r="P566" s="465">
        <f t="shared" si="87"/>
        <v>0</v>
      </c>
      <c r="Q566" s="606" t="str">
        <f t="shared" si="88"/>
        <v>NO</v>
      </c>
      <c r="R566" s="180"/>
      <c r="S566" s="173"/>
      <c r="T566" s="174"/>
      <c r="U566" s="173"/>
      <c r="V566" s="220"/>
      <c r="W566" s="177">
        <f>IF(S566=0,0,IF(U566="MXN",1/HLOOKUP(YEAR(T566)+(MONTH(T566)/100),TC!$5:$37,DAY(T566)+2,FALSE),VLOOKUP(U566,Equivalencia!$1:$23,((MAX(Equivalencia!$3:$3)-YEAR(T566))*14)+MONTH(T566)+2,FALSE)))</f>
        <v>0</v>
      </c>
      <c r="X566" s="178">
        <f t="shared" si="89"/>
        <v>0</v>
      </c>
      <c r="Y566" s="178">
        <f t="shared" si="90"/>
        <v>0</v>
      </c>
      <c r="Z566" s="175">
        <f t="shared" si="82"/>
        <v>0</v>
      </c>
      <c r="AA566" s="179"/>
      <c r="AB566" s="467">
        <f t="shared" si="83"/>
        <v>0</v>
      </c>
      <c r="AC566" s="466">
        <f t="shared" si="84"/>
        <v>0</v>
      </c>
    </row>
    <row r="567" spans="2:29" ht="20.100000000000001" customHeight="1">
      <c r="B567" s="172"/>
      <c r="C567" s="172"/>
      <c r="D567" s="172"/>
      <c r="E567" s="181"/>
      <c r="F567" s="173"/>
      <c r="G567" s="174"/>
      <c r="H567" s="284"/>
      <c r="I567" s="221"/>
      <c r="J567" s="177">
        <f>IF(H567=0,0,IF(F567="MXN",1/HLOOKUP(YEAR(G567)+(MONTH(G567)/100),TC!$5:$37,DAY(G567)+2,FALSE),VLOOKUP(F567,Equivalencia!$5:$23,((MAX(Equivalencia!$3:$3)-YEAR(G567))*14)+MONTH(G567)+2,FALSE)))</f>
        <v>0</v>
      </c>
      <c r="K567" s="217">
        <f t="shared" si="85"/>
        <v>0</v>
      </c>
      <c r="L567" s="462">
        <f>IF(G567=0,0,VLOOKUP(YEAR(G567),INPC!$B$4:$O$29,MONTH(G567)+1))</f>
        <v>0</v>
      </c>
      <c r="M567" s="462">
        <f>IF(T567=0,0,VLOOKUP(YEAR(T567),INPC!$B$4:$O$29,MONTH(T567)+1))</f>
        <v>0</v>
      </c>
      <c r="N567" s="463">
        <f t="shared" si="81"/>
        <v>0</v>
      </c>
      <c r="O567" s="464">
        <f t="shared" si="86"/>
        <v>0</v>
      </c>
      <c r="P567" s="465">
        <f t="shared" si="87"/>
        <v>0</v>
      </c>
      <c r="Q567" s="606" t="str">
        <f t="shared" si="88"/>
        <v>NO</v>
      </c>
      <c r="R567" s="180"/>
      <c r="S567" s="173"/>
      <c r="T567" s="174"/>
      <c r="U567" s="173"/>
      <c r="V567" s="220"/>
      <c r="W567" s="177">
        <f>IF(S567=0,0,IF(U567="MXN",1/HLOOKUP(YEAR(T567)+(MONTH(T567)/100),TC!$5:$37,DAY(T567)+2,FALSE),VLOOKUP(U567,Equivalencia!$1:$23,((MAX(Equivalencia!$3:$3)-YEAR(T567))*14)+MONTH(T567)+2,FALSE)))</f>
        <v>0</v>
      </c>
      <c r="X567" s="178">
        <f t="shared" si="89"/>
        <v>0</v>
      </c>
      <c r="Y567" s="178">
        <f t="shared" si="90"/>
        <v>0</v>
      </c>
      <c r="Z567" s="175">
        <f t="shared" si="82"/>
        <v>0</v>
      </c>
      <c r="AA567" s="179"/>
      <c r="AB567" s="467">
        <f t="shared" si="83"/>
        <v>0</v>
      </c>
      <c r="AC567" s="466">
        <f t="shared" si="84"/>
        <v>0</v>
      </c>
    </row>
    <row r="568" spans="2:29" ht="20.100000000000001" customHeight="1">
      <c r="B568" s="172"/>
      <c r="C568" s="172"/>
      <c r="D568" s="172"/>
      <c r="E568" s="181"/>
      <c r="F568" s="173"/>
      <c r="G568" s="174"/>
      <c r="H568" s="284"/>
      <c r="I568" s="221"/>
      <c r="J568" s="177">
        <f>IF(H568=0,0,IF(F568="MXN",1/HLOOKUP(YEAR(G568)+(MONTH(G568)/100),TC!$5:$37,DAY(G568)+2,FALSE),VLOOKUP(F568,Equivalencia!$5:$23,((MAX(Equivalencia!$3:$3)-YEAR(G568))*14)+MONTH(G568)+2,FALSE)))</f>
        <v>0</v>
      </c>
      <c r="K568" s="217">
        <f t="shared" si="85"/>
        <v>0</v>
      </c>
      <c r="L568" s="462">
        <f>IF(G568=0,0,VLOOKUP(YEAR(G568),INPC!$B$4:$O$29,MONTH(G568)+1))</f>
        <v>0</v>
      </c>
      <c r="M568" s="462">
        <f>IF(T568=0,0,VLOOKUP(YEAR(T568),INPC!$B$4:$O$29,MONTH(T568)+1))</f>
        <v>0</v>
      </c>
      <c r="N568" s="463">
        <f t="shared" si="81"/>
        <v>0</v>
      </c>
      <c r="O568" s="464">
        <f t="shared" si="86"/>
        <v>0</v>
      </c>
      <c r="P568" s="465">
        <f t="shared" si="87"/>
        <v>0</v>
      </c>
      <c r="Q568" s="606" t="str">
        <f t="shared" si="88"/>
        <v>NO</v>
      </c>
      <c r="R568" s="180"/>
      <c r="S568" s="173"/>
      <c r="T568" s="174"/>
      <c r="U568" s="173"/>
      <c r="V568" s="220"/>
      <c r="W568" s="177">
        <f>IF(S568=0,0,IF(U568="MXN",1/HLOOKUP(YEAR(T568)+(MONTH(T568)/100),TC!$5:$37,DAY(T568)+2,FALSE),VLOOKUP(U568,Equivalencia!$1:$23,((MAX(Equivalencia!$3:$3)-YEAR(T568))*14)+MONTH(T568)+2,FALSE)))</f>
        <v>0</v>
      </c>
      <c r="X568" s="178">
        <f t="shared" si="89"/>
        <v>0</v>
      </c>
      <c r="Y568" s="178">
        <f t="shared" si="90"/>
        <v>0</v>
      </c>
      <c r="Z568" s="175">
        <f t="shared" si="82"/>
        <v>0</v>
      </c>
      <c r="AA568" s="179"/>
      <c r="AB568" s="467">
        <f t="shared" si="83"/>
        <v>0</v>
      </c>
      <c r="AC568" s="466">
        <f t="shared" si="84"/>
        <v>0</v>
      </c>
    </row>
    <row r="569" spans="2:29" ht="20.100000000000001" customHeight="1">
      <c r="B569" s="172"/>
      <c r="C569" s="172"/>
      <c r="D569" s="172"/>
      <c r="E569" s="181"/>
      <c r="F569" s="173"/>
      <c r="G569" s="174"/>
      <c r="H569" s="284"/>
      <c r="I569" s="221"/>
      <c r="J569" s="177">
        <f>IF(H569=0,0,IF(F569="MXN",1/HLOOKUP(YEAR(G569)+(MONTH(G569)/100),TC!$5:$37,DAY(G569)+2,FALSE),VLOOKUP(F569,Equivalencia!$5:$23,((MAX(Equivalencia!$3:$3)-YEAR(G569))*14)+MONTH(G569)+2,FALSE)))</f>
        <v>0</v>
      </c>
      <c r="K569" s="217">
        <f t="shared" si="85"/>
        <v>0</v>
      </c>
      <c r="L569" s="462">
        <f>IF(G569=0,0,VLOOKUP(YEAR(G569),INPC!$B$4:$O$29,MONTH(G569)+1))</f>
        <v>0</v>
      </c>
      <c r="M569" s="462">
        <f>IF(T569=0,0,VLOOKUP(YEAR(T569),INPC!$B$4:$O$29,MONTH(T569)+1))</f>
        <v>0</v>
      </c>
      <c r="N569" s="463">
        <f t="shared" si="81"/>
        <v>0</v>
      </c>
      <c r="O569" s="464">
        <f t="shared" si="86"/>
        <v>0</v>
      </c>
      <c r="P569" s="465">
        <f t="shared" si="87"/>
        <v>0</v>
      </c>
      <c r="Q569" s="606" t="str">
        <f t="shared" si="88"/>
        <v>NO</v>
      </c>
      <c r="R569" s="180"/>
      <c r="S569" s="173"/>
      <c r="T569" s="174"/>
      <c r="U569" s="173"/>
      <c r="V569" s="220"/>
      <c r="W569" s="177">
        <f>IF(S569=0,0,IF(U569="MXN",1/HLOOKUP(YEAR(T569)+(MONTH(T569)/100),TC!$5:$37,DAY(T569)+2,FALSE),VLOOKUP(U569,Equivalencia!$1:$23,((MAX(Equivalencia!$3:$3)-YEAR(T569))*14)+MONTH(T569)+2,FALSE)))</f>
        <v>0</v>
      </c>
      <c r="X569" s="178">
        <f t="shared" si="89"/>
        <v>0</v>
      </c>
      <c r="Y569" s="178">
        <f t="shared" si="90"/>
        <v>0</v>
      </c>
      <c r="Z569" s="175">
        <f t="shared" si="82"/>
        <v>0</v>
      </c>
      <c r="AA569" s="179"/>
      <c r="AB569" s="467">
        <f t="shared" si="83"/>
        <v>0</v>
      </c>
      <c r="AC569" s="466">
        <f t="shared" si="84"/>
        <v>0</v>
      </c>
    </row>
    <row r="570" spans="2:29" ht="20.100000000000001" customHeight="1">
      <c r="B570" s="172"/>
      <c r="C570" s="172"/>
      <c r="D570" s="172"/>
      <c r="E570" s="181"/>
      <c r="F570" s="173"/>
      <c r="G570" s="174"/>
      <c r="H570" s="284"/>
      <c r="I570" s="221"/>
      <c r="J570" s="177">
        <f>IF(H570=0,0,IF(F570="MXN",1/HLOOKUP(YEAR(G570)+(MONTH(G570)/100),TC!$5:$37,DAY(G570)+2,FALSE),VLOOKUP(F570,Equivalencia!$5:$23,((MAX(Equivalencia!$3:$3)-YEAR(G570))*14)+MONTH(G570)+2,FALSE)))</f>
        <v>0</v>
      </c>
      <c r="K570" s="217">
        <f t="shared" si="85"/>
        <v>0</v>
      </c>
      <c r="L570" s="462">
        <f>IF(G570=0,0,VLOOKUP(YEAR(G570),INPC!$B$4:$O$29,MONTH(G570)+1))</f>
        <v>0</v>
      </c>
      <c r="M570" s="462">
        <f>IF(T570=0,0,VLOOKUP(YEAR(T570),INPC!$B$4:$O$29,MONTH(T570)+1))</f>
        <v>0</v>
      </c>
      <c r="N570" s="463">
        <f t="shared" si="81"/>
        <v>0</v>
      </c>
      <c r="O570" s="464">
        <f t="shared" si="86"/>
        <v>0</v>
      </c>
      <c r="P570" s="465">
        <f t="shared" si="87"/>
        <v>0</v>
      </c>
      <c r="Q570" s="606" t="str">
        <f t="shared" si="88"/>
        <v>NO</v>
      </c>
      <c r="R570" s="180"/>
      <c r="S570" s="173"/>
      <c r="T570" s="174"/>
      <c r="U570" s="173"/>
      <c r="V570" s="220"/>
      <c r="W570" s="177">
        <f>IF(S570=0,0,IF(U570="MXN",1/HLOOKUP(YEAR(T570)+(MONTH(T570)/100),TC!$5:$37,DAY(T570)+2,FALSE),VLOOKUP(U570,Equivalencia!$1:$23,((MAX(Equivalencia!$3:$3)-YEAR(T570))*14)+MONTH(T570)+2,FALSE)))</f>
        <v>0</v>
      </c>
      <c r="X570" s="178">
        <f t="shared" si="89"/>
        <v>0</v>
      </c>
      <c r="Y570" s="178">
        <f t="shared" si="90"/>
        <v>0</v>
      </c>
      <c r="Z570" s="175">
        <f t="shared" si="82"/>
        <v>0</v>
      </c>
      <c r="AA570" s="179"/>
      <c r="AB570" s="467">
        <f t="shared" si="83"/>
        <v>0</v>
      </c>
      <c r="AC570" s="466">
        <f t="shared" si="84"/>
        <v>0</v>
      </c>
    </row>
    <row r="571" spans="2:29" ht="20.100000000000001" customHeight="1">
      <c r="B571" s="172"/>
      <c r="C571" s="172"/>
      <c r="D571" s="172"/>
      <c r="E571" s="181"/>
      <c r="F571" s="173"/>
      <c r="G571" s="174"/>
      <c r="H571" s="284"/>
      <c r="I571" s="221"/>
      <c r="J571" s="177">
        <f>IF(H571=0,0,IF(F571="MXN",1/HLOOKUP(YEAR(G571)+(MONTH(G571)/100),TC!$5:$37,DAY(G571)+2,FALSE),VLOOKUP(F571,Equivalencia!$5:$23,((MAX(Equivalencia!$3:$3)-YEAR(G571))*14)+MONTH(G571)+2,FALSE)))</f>
        <v>0</v>
      </c>
      <c r="K571" s="217">
        <f t="shared" si="85"/>
        <v>0</v>
      </c>
      <c r="L571" s="462">
        <f>IF(G571=0,0,VLOOKUP(YEAR(G571),INPC!$B$4:$O$29,MONTH(G571)+1))</f>
        <v>0</v>
      </c>
      <c r="M571" s="462">
        <f>IF(T571=0,0,VLOOKUP(YEAR(T571),INPC!$B$4:$O$29,MONTH(T571)+1))</f>
        <v>0</v>
      </c>
      <c r="N571" s="463">
        <f t="shared" si="81"/>
        <v>0</v>
      </c>
      <c r="O571" s="464">
        <f t="shared" si="86"/>
        <v>0</v>
      </c>
      <c r="P571" s="465">
        <f t="shared" si="87"/>
        <v>0</v>
      </c>
      <c r="Q571" s="606" t="str">
        <f t="shared" si="88"/>
        <v>NO</v>
      </c>
      <c r="R571" s="180"/>
      <c r="S571" s="173"/>
      <c r="T571" s="174"/>
      <c r="U571" s="173"/>
      <c r="V571" s="220"/>
      <c r="W571" s="177">
        <f>IF(S571=0,0,IF(U571="MXN",1/HLOOKUP(YEAR(T571)+(MONTH(T571)/100),TC!$5:$37,DAY(T571)+2,FALSE),VLOOKUP(U571,Equivalencia!$1:$23,((MAX(Equivalencia!$3:$3)-YEAR(T571))*14)+MONTH(T571)+2,FALSE)))</f>
        <v>0</v>
      </c>
      <c r="X571" s="178">
        <f t="shared" si="89"/>
        <v>0</v>
      </c>
      <c r="Y571" s="178">
        <f t="shared" si="90"/>
        <v>0</v>
      </c>
      <c r="Z571" s="175">
        <f t="shared" si="82"/>
        <v>0</v>
      </c>
      <c r="AA571" s="179"/>
      <c r="AB571" s="467">
        <f t="shared" si="83"/>
        <v>0</v>
      </c>
      <c r="AC571" s="466">
        <f t="shared" si="84"/>
        <v>0</v>
      </c>
    </row>
    <row r="572" spans="2:29" ht="20.100000000000001" customHeight="1">
      <c r="B572" s="172"/>
      <c r="C572" s="172"/>
      <c r="D572" s="172"/>
      <c r="E572" s="181"/>
      <c r="F572" s="173"/>
      <c r="G572" s="174"/>
      <c r="H572" s="284"/>
      <c r="I572" s="221"/>
      <c r="J572" s="177">
        <f>IF(H572=0,0,IF(F572="MXN",1/HLOOKUP(YEAR(G572)+(MONTH(G572)/100),TC!$5:$37,DAY(G572)+2,FALSE),VLOOKUP(F572,Equivalencia!$5:$23,((MAX(Equivalencia!$3:$3)-YEAR(G572))*14)+MONTH(G572)+2,FALSE)))</f>
        <v>0</v>
      </c>
      <c r="K572" s="217">
        <f t="shared" si="85"/>
        <v>0</v>
      </c>
      <c r="L572" s="462">
        <f>IF(G572=0,0,VLOOKUP(YEAR(G572),INPC!$B$4:$O$29,MONTH(G572)+1))</f>
        <v>0</v>
      </c>
      <c r="M572" s="462">
        <f>IF(T572=0,0,VLOOKUP(YEAR(T572),INPC!$B$4:$O$29,MONTH(T572)+1))</f>
        <v>0</v>
      </c>
      <c r="N572" s="463">
        <f t="shared" si="81"/>
        <v>0</v>
      </c>
      <c r="O572" s="464">
        <f t="shared" si="86"/>
        <v>0</v>
      </c>
      <c r="P572" s="465">
        <f t="shared" si="87"/>
        <v>0</v>
      </c>
      <c r="Q572" s="606" t="str">
        <f t="shared" si="88"/>
        <v>NO</v>
      </c>
      <c r="R572" s="180"/>
      <c r="S572" s="173"/>
      <c r="T572" s="174"/>
      <c r="U572" s="173"/>
      <c r="V572" s="220"/>
      <c r="W572" s="177">
        <f>IF(S572=0,0,IF(U572="MXN",1/HLOOKUP(YEAR(T572)+(MONTH(T572)/100),TC!$5:$37,DAY(T572)+2,FALSE),VLOOKUP(U572,Equivalencia!$1:$23,((MAX(Equivalencia!$3:$3)-YEAR(T572))*14)+MONTH(T572)+2,FALSE)))</f>
        <v>0</v>
      </c>
      <c r="X572" s="178">
        <f t="shared" si="89"/>
        <v>0</v>
      </c>
      <c r="Y572" s="178">
        <f t="shared" si="90"/>
        <v>0</v>
      </c>
      <c r="Z572" s="175">
        <f t="shared" si="82"/>
        <v>0</v>
      </c>
      <c r="AA572" s="179"/>
      <c r="AB572" s="467">
        <f t="shared" si="83"/>
        <v>0</v>
      </c>
      <c r="AC572" s="466">
        <f t="shared" si="84"/>
        <v>0</v>
      </c>
    </row>
    <row r="573" spans="2:29" ht="20.100000000000001" customHeight="1">
      <c r="B573" s="172"/>
      <c r="C573" s="172"/>
      <c r="D573" s="172"/>
      <c r="E573" s="181"/>
      <c r="F573" s="173"/>
      <c r="G573" s="174"/>
      <c r="H573" s="284"/>
      <c r="I573" s="221"/>
      <c r="J573" s="177">
        <f>IF(H573=0,0,IF(F573="MXN",1/HLOOKUP(YEAR(G573)+(MONTH(G573)/100),TC!$5:$37,DAY(G573)+2,FALSE),VLOOKUP(F573,Equivalencia!$5:$23,((MAX(Equivalencia!$3:$3)-YEAR(G573))*14)+MONTH(G573)+2,FALSE)))</f>
        <v>0</v>
      </c>
      <c r="K573" s="217">
        <f t="shared" si="85"/>
        <v>0</v>
      </c>
      <c r="L573" s="462">
        <f>IF(G573=0,0,VLOOKUP(YEAR(G573),INPC!$B$4:$O$29,MONTH(G573)+1))</f>
        <v>0</v>
      </c>
      <c r="M573" s="462">
        <f>IF(T573=0,0,VLOOKUP(YEAR(T573),INPC!$B$4:$O$29,MONTH(T573)+1))</f>
        <v>0</v>
      </c>
      <c r="N573" s="463">
        <f t="shared" si="81"/>
        <v>0</v>
      </c>
      <c r="O573" s="464">
        <f t="shared" si="86"/>
        <v>0</v>
      </c>
      <c r="P573" s="465">
        <f t="shared" si="87"/>
        <v>0</v>
      </c>
      <c r="Q573" s="606" t="str">
        <f t="shared" si="88"/>
        <v>NO</v>
      </c>
      <c r="R573" s="180"/>
      <c r="S573" s="173"/>
      <c r="T573" s="174"/>
      <c r="U573" s="173"/>
      <c r="V573" s="220"/>
      <c r="W573" s="177">
        <f>IF(S573=0,0,IF(U573="MXN",1/HLOOKUP(YEAR(T573)+(MONTH(T573)/100),TC!$5:$37,DAY(T573)+2,FALSE),VLOOKUP(U573,Equivalencia!$1:$23,((MAX(Equivalencia!$3:$3)-YEAR(T573))*14)+MONTH(T573)+2,FALSE)))</f>
        <v>0</v>
      </c>
      <c r="X573" s="178">
        <f t="shared" si="89"/>
        <v>0</v>
      </c>
      <c r="Y573" s="178">
        <f t="shared" si="90"/>
        <v>0</v>
      </c>
      <c r="Z573" s="175">
        <f t="shared" si="82"/>
        <v>0</v>
      </c>
      <c r="AA573" s="179"/>
      <c r="AB573" s="467">
        <f t="shared" si="83"/>
        <v>0</v>
      </c>
      <c r="AC573" s="466">
        <f t="shared" si="84"/>
        <v>0</v>
      </c>
    </row>
    <row r="574" spans="2:29" ht="20.100000000000001" customHeight="1">
      <c r="B574" s="172"/>
      <c r="C574" s="172"/>
      <c r="D574" s="172"/>
      <c r="E574" s="181"/>
      <c r="F574" s="173"/>
      <c r="G574" s="174"/>
      <c r="H574" s="284"/>
      <c r="I574" s="221"/>
      <c r="J574" s="177">
        <f>IF(H574=0,0,IF(F574="MXN",1/HLOOKUP(YEAR(G574)+(MONTH(G574)/100),TC!$5:$37,DAY(G574)+2,FALSE),VLOOKUP(F574,Equivalencia!$5:$23,((MAX(Equivalencia!$3:$3)-YEAR(G574))*14)+MONTH(G574)+2,FALSE)))</f>
        <v>0</v>
      </c>
      <c r="K574" s="217">
        <f t="shared" si="85"/>
        <v>0</v>
      </c>
      <c r="L574" s="462">
        <f>IF(G574=0,0,VLOOKUP(YEAR(G574),INPC!$B$4:$O$29,MONTH(G574)+1))</f>
        <v>0</v>
      </c>
      <c r="M574" s="462">
        <f>IF(T574=0,0,VLOOKUP(YEAR(T574),INPC!$B$4:$O$29,MONTH(T574)+1))</f>
        <v>0</v>
      </c>
      <c r="N574" s="463">
        <f t="shared" si="81"/>
        <v>0</v>
      </c>
      <c r="O574" s="464">
        <f t="shared" si="86"/>
        <v>0</v>
      </c>
      <c r="P574" s="465">
        <f t="shared" si="87"/>
        <v>0</v>
      </c>
      <c r="Q574" s="606" t="str">
        <f t="shared" si="88"/>
        <v>NO</v>
      </c>
      <c r="R574" s="180"/>
      <c r="S574" s="173"/>
      <c r="T574" s="174"/>
      <c r="U574" s="173"/>
      <c r="V574" s="220"/>
      <c r="W574" s="177">
        <f>IF(S574=0,0,IF(U574="MXN",1/HLOOKUP(YEAR(T574)+(MONTH(T574)/100),TC!$5:$37,DAY(T574)+2,FALSE),VLOOKUP(U574,Equivalencia!$1:$23,((MAX(Equivalencia!$3:$3)-YEAR(T574))*14)+MONTH(T574)+2,FALSE)))</f>
        <v>0</v>
      </c>
      <c r="X574" s="178">
        <f t="shared" si="89"/>
        <v>0</v>
      </c>
      <c r="Y574" s="178">
        <f t="shared" si="90"/>
        <v>0</v>
      </c>
      <c r="Z574" s="175">
        <f t="shared" si="82"/>
        <v>0</v>
      </c>
      <c r="AA574" s="179"/>
      <c r="AB574" s="467">
        <f t="shared" si="83"/>
        <v>0</v>
      </c>
      <c r="AC574" s="466">
        <f t="shared" si="84"/>
        <v>0</v>
      </c>
    </row>
    <row r="575" spans="2:29" ht="20.100000000000001" customHeight="1">
      <c r="B575" s="172"/>
      <c r="C575" s="172"/>
      <c r="D575" s="172"/>
      <c r="E575" s="181"/>
      <c r="F575" s="173"/>
      <c r="G575" s="174"/>
      <c r="H575" s="284"/>
      <c r="I575" s="221"/>
      <c r="J575" s="177">
        <f>IF(H575=0,0,IF(F575="MXN",1/HLOOKUP(YEAR(G575)+(MONTH(G575)/100),TC!$5:$37,DAY(G575)+2,FALSE),VLOOKUP(F575,Equivalencia!$5:$23,((MAX(Equivalencia!$3:$3)-YEAR(G575))*14)+MONTH(G575)+2,FALSE)))</f>
        <v>0</v>
      </c>
      <c r="K575" s="217">
        <f t="shared" si="85"/>
        <v>0</v>
      </c>
      <c r="L575" s="462">
        <f>IF(G575=0,0,VLOOKUP(YEAR(G575),INPC!$B$4:$O$29,MONTH(G575)+1))</f>
        <v>0</v>
      </c>
      <c r="M575" s="462">
        <f>IF(T575=0,0,VLOOKUP(YEAR(T575),INPC!$B$4:$O$29,MONTH(T575)+1))</f>
        <v>0</v>
      </c>
      <c r="N575" s="463">
        <f t="shared" si="81"/>
        <v>0</v>
      </c>
      <c r="O575" s="464">
        <f t="shared" si="86"/>
        <v>0</v>
      </c>
      <c r="P575" s="465">
        <f t="shared" si="87"/>
        <v>0</v>
      </c>
      <c r="Q575" s="606" t="str">
        <f t="shared" si="88"/>
        <v>NO</v>
      </c>
      <c r="R575" s="180"/>
      <c r="S575" s="173"/>
      <c r="T575" s="174"/>
      <c r="U575" s="173"/>
      <c r="V575" s="220"/>
      <c r="W575" s="177">
        <f>IF(S575=0,0,IF(U575="MXN",1/HLOOKUP(YEAR(T575)+(MONTH(T575)/100),TC!$5:$37,DAY(T575)+2,FALSE),VLOOKUP(U575,Equivalencia!$1:$23,((MAX(Equivalencia!$3:$3)-YEAR(T575))*14)+MONTH(T575)+2,FALSE)))</f>
        <v>0</v>
      </c>
      <c r="X575" s="178">
        <f t="shared" si="89"/>
        <v>0</v>
      </c>
      <c r="Y575" s="178">
        <f t="shared" si="90"/>
        <v>0</v>
      </c>
      <c r="Z575" s="175">
        <f t="shared" si="82"/>
        <v>0</v>
      </c>
      <c r="AA575" s="179"/>
      <c r="AB575" s="467">
        <f t="shared" si="83"/>
        <v>0</v>
      </c>
      <c r="AC575" s="466">
        <f t="shared" si="84"/>
        <v>0</v>
      </c>
    </row>
    <row r="576" spans="2:29" ht="20.100000000000001" customHeight="1">
      <c r="B576" s="172"/>
      <c r="C576" s="172"/>
      <c r="D576" s="172"/>
      <c r="E576" s="181"/>
      <c r="F576" s="173"/>
      <c r="G576" s="174"/>
      <c r="H576" s="284"/>
      <c r="I576" s="221"/>
      <c r="J576" s="177">
        <f>IF(H576=0,0,IF(F576="MXN",1/HLOOKUP(YEAR(G576)+(MONTH(G576)/100),TC!$5:$37,DAY(G576)+2,FALSE),VLOOKUP(F576,Equivalencia!$5:$23,((MAX(Equivalencia!$3:$3)-YEAR(G576))*14)+MONTH(G576)+2,FALSE)))</f>
        <v>0</v>
      </c>
      <c r="K576" s="217">
        <f t="shared" si="85"/>
        <v>0</v>
      </c>
      <c r="L576" s="462">
        <f>IF(G576=0,0,VLOOKUP(YEAR(G576),INPC!$B$4:$O$29,MONTH(G576)+1))</f>
        <v>0</v>
      </c>
      <c r="M576" s="462">
        <f>IF(T576=0,0,VLOOKUP(YEAR(T576),INPC!$B$4:$O$29,MONTH(T576)+1))</f>
        <v>0</v>
      </c>
      <c r="N576" s="463">
        <f t="shared" si="81"/>
        <v>0</v>
      </c>
      <c r="O576" s="464">
        <f t="shared" si="86"/>
        <v>0</v>
      </c>
      <c r="P576" s="465">
        <f t="shared" si="87"/>
        <v>0</v>
      </c>
      <c r="Q576" s="606" t="str">
        <f t="shared" si="88"/>
        <v>NO</v>
      </c>
      <c r="R576" s="180"/>
      <c r="S576" s="173"/>
      <c r="T576" s="174"/>
      <c r="U576" s="173"/>
      <c r="V576" s="220"/>
      <c r="W576" s="177">
        <f>IF(S576=0,0,IF(U576="MXN",1/HLOOKUP(YEAR(T576)+(MONTH(T576)/100),TC!$5:$37,DAY(T576)+2,FALSE),VLOOKUP(U576,Equivalencia!$1:$23,((MAX(Equivalencia!$3:$3)-YEAR(T576))*14)+MONTH(T576)+2,FALSE)))</f>
        <v>0</v>
      </c>
      <c r="X576" s="178">
        <f t="shared" si="89"/>
        <v>0</v>
      </c>
      <c r="Y576" s="178">
        <f t="shared" si="90"/>
        <v>0</v>
      </c>
      <c r="Z576" s="175">
        <f t="shared" si="82"/>
        <v>0</v>
      </c>
      <c r="AA576" s="179"/>
      <c r="AB576" s="467">
        <f t="shared" si="83"/>
        <v>0</v>
      </c>
      <c r="AC576" s="466">
        <f t="shared" si="84"/>
        <v>0</v>
      </c>
    </row>
    <row r="577" spans="2:29" ht="20.100000000000001" customHeight="1">
      <c r="B577" s="172"/>
      <c r="C577" s="172"/>
      <c r="D577" s="172"/>
      <c r="E577" s="181"/>
      <c r="F577" s="173"/>
      <c r="G577" s="174"/>
      <c r="H577" s="284"/>
      <c r="I577" s="221"/>
      <c r="J577" s="177">
        <f>IF(H577=0,0,IF(F577="MXN",1/HLOOKUP(YEAR(G577)+(MONTH(G577)/100),TC!$5:$37,DAY(G577)+2,FALSE),VLOOKUP(F577,Equivalencia!$5:$23,((MAX(Equivalencia!$3:$3)-YEAR(G577))*14)+MONTH(G577)+2,FALSE)))</f>
        <v>0</v>
      </c>
      <c r="K577" s="217">
        <f t="shared" si="85"/>
        <v>0</v>
      </c>
      <c r="L577" s="462">
        <f>IF(G577=0,0,VLOOKUP(YEAR(G577),INPC!$B$4:$O$29,MONTH(G577)+1))</f>
        <v>0</v>
      </c>
      <c r="M577" s="462">
        <f>IF(T577=0,0,VLOOKUP(YEAR(T577),INPC!$B$4:$O$29,MONTH(T577)+1))</f>
        <v>0</v>
      </c>
      <c r="N577" s="463">
        <f t="shared" si="81"/>
        <v>0</v>
      </c>
      <c r="O577" s="464">
        <f t="shared" si="86"/>
        <v>0</v>
      </c>
      <c r="P577" s="465">
        <f t="shared" si="87"/>
        <v>0</v>
      </c>
      <c r="Q577" s="606" t="str">
        <f t="shared" si="88"/>
        <v>NO</v>
      </c>
      <c r="R577" s="180"/>
      <c r="S577" s="173"/>
      <c r="T577" s="174"/>
      <c r="U577" s="173"/>
      <c r="V577" s="220"/>
      <c r="W577" s="177">
        <f>IF(S577=0,0,IF(U577="MXN",1/HLOOKUP(YEAR(T577)+(MONTH(T577)/100),TC!$5:$37,DAY(T577)+2,FALSE),VLOOKUP(U577,Equivalencia!$1:$23,((MAX(Equivalencia!$3:$3)-YEAR(T577))*14)+MONTH(T577)+2,FALSE)))</f>
        <v>0</v>
      </c>
      <c r="X577" s="178">
        <f t="shared" si="89"/>
        <v>0</v>
      </c>
      <c r="Y577" s="178">
        <f t="shared" si="90"/>
        <v>0</v>
      </c>
      <c r="Z577" s="175">
        <f t="shared" si="82"/>
        <v>0</v>
      </c>
      <c r="AA577" s="179"/>
      <c r="AB577" s="467">
        <f t="shared" si="83"/>
        <v>0</v>
      </c>
      <c r="AC577" s="466">
        <f t="shared" si="84"/>
        <v>0</v>
      </c>
    </row>
    <row r="578" spans="2:29" ht="20.100000000000001" customHeight="1">
      <c r="B578" s="172"/>
      <c r="C578" s="172"/>
      <c r="D578" s="172"/>
      <c r="E578" s="181"/>
      <c r="F578" s="173"/>
      <c r="G578" s="174"/>
      <c r="H578" s="284"/>
      <c r="I578" s="221"/>
      <c r="J578" s="177">
        <f>IF(H578=0,0,IF(F578="MXN",1/HLOOKUP(YEAR(G578)+(MONTH(G578)/100),TC!$5:$37,DAY(G578)+2,FALSE),VLOOKUP(F578,Equivalencia!$5:$23,((MAX(Equivalencia!$3:$3)-YEAR(G578))*14)+MONTH(G578)+2,FALSE)))</f>
        <v>0</v>
      </c>
      <c r="K578" s="217">
        <f t="shared" si="85"/>
        <v>0</v>
      </c>
      <c r="L578" s="462">
        <f>IF(G578=0,0,VLOOKUP(YEAR(G578),INPC!$B$4:$O$29,MONTH(G578)+1))</f>
        <v>0</v>
      </c>
      <c r="M578" s="462">
        <f>IF(T578=0,0,VLOOKUP(YEAR(T578),INPC!$B$4:$O$29,MONTH(T578)+1))</f>
        <v>0</v>
      </c>
      <c r="N578" s="463">
        <f t="shared" ref="N578:N641" si="91">IF(T578=0,0,IF(TRUNC(M578/L578,4)&gt;=1,TRUNC(M578/L578,4),1))</f>
        <v>0</v>
      </c>
      <c r="O578" s="464">
        <f t="shared" si="86"/>
        <v>0</v>
      </c>
      <c r="P578" s="465">
        <f t="shared" si="87"/>
        <v>0</v>
      </c>
      <c r="Q578" s="606" t="str">
        <f t="shared" si="88"/>
        <v>NO</v>
      </c>
      <c r="R578" s="180"/>
      <c r="S578" s="173"/>
      <c r="T578" s="174"/>
      <c r="U578" s="173"/>
      <c r="V578" s="220"/>
      <c r="W578" s="177">
        <f>IF(S578=0,0,IF(U578="MXN",1/HLOOKUP(YEAR(T578)+(MONTH(T578)/100),TC!$5:$37,DAY(T578)+2,FALSE),VLOOKUP(U578,Equivalencia!$1:$23,((MAX(Equivalencia!$3:$3)-YEAR(T578))*14)+MONTH(T578)+2,FALSE)))</f>
        <v>0</v>
      </c>
      <c r="X578" s="178">
        <f t="shared" si="89"/>
        <v>0</v>
      </c>
      <c r="Y578" s="178">
        <f t="shared" si="90"/>
        <v>0</v>
      </c>
      <c r="Z578" s="175">
        <f t="shared" ref="Z578:Z641" si="92">+X578+Y578</f>
        <v>0</v>
      </c>
      <c r="AA578" s="179"/>
      <c r="AB578" s="467">
        <f t="shared" ref="AB578:AB641" si="93">+X578+AC578</f>
        <v>0</v>
      </c>
      <c r="AC578" s="466">
        <f t="shared" ref="AC578:AC641" si="94">+R578*P578</f>
        <v>0</v>
      </c>
    </row>
    <row r="579" spans="2:29" ht="20.100000000000001" customHeight="1">
      <c r="B579" s="172"/>
      <c r="C579" s="172"/>
      <c r="D579" s="172"/>
      <c r="E579" s="181"/>
      <c r="F579" s="173"/>
      <c r="G579" s="174"/>
      <c r="H579" s="284"/>
      <c r="I579" s="221"/>
      <c r="J579" s="177">
        <f>IF(H579=0,0,IF(F579="MXN",1/HLOOKUP(YEAR(G579)+(MONTH(G579)/100),TC!$5:$37,DAY(G579)+2,FALSE),VLOOKUP(F579,Equivalencia!$5:$23,((MAX(Equivalencia!$3:$3)-YEAR(G579))*14)+MONTH(G579)+2,FALSE)))</f>
        <v>0</v>
      </c>
      <c r="K579" s="217">
        <f t="shared" ref="K579:K642" si="95">+I579*J579</f>
        <v>0</v>
      </c>
      <c r="L579" s="462">
        <f>IF(G579=0,0,VLOOKUP(YEAR(G579),INPC!$B$4:$O$29,MONTH(G579)+1))</f>
        <v>0</v>
      </c>
      <c r="M579" s="462">
        <f>IF(T579=0,0,VLOOKUP(YEAR(T579),INPC!$B$4:$O$29,MONTH(T579)+1))</f>
        <v>0</v>
      </c>
      <c r="N579" s="463">
        <f t="shared" si="91"/>
        <v>0</v>
      </c>
      <c r="O579" s="464">
        <f t="shared" ref="O579:O642" si="96">+N579*K579</f>
        <v>0</v>
      </c>
      <c r="P579" s="465">
        <f t="shared" ref="P579:P642" si="97">IF(R579=0,0,O579/R579)</f>
        <v>0</v>
      </c>
      <c r="Q579" s="606" t="str">
        <f t="shared" ref="Q579:Q642" si="98">IF(T579=0,"NO","SI")</f>
        <v>NO</v>
      </c>
      <c r="R579" s="180"/>
      <c r="S579" s="173"/>
      <c r="T579" s="174"/>
      <c r="U579" s="173"/>
      <c r="V579" s="220"/>
      <c r="W579" s="177">
        <f>IF(S579=0,0,IF(U579="MXN",1/HLOOKUP(YEAR(T579)+(MONTH(T579)/100),TC!$5:$37,DAY(T579)+2,FALSE),VLOOKUP(U579,Equivalencia!$1:$23,((MAX(Equivalencia!$3:$3)-YEAR(T579))*14)+MONTH(T579)+2,FALSE)))</f>
        <v>0</v>
      </c>
      <c r="X579" s="178">
        <f t="shared" ref="X579:X642" si="99">+W579*V579</f>
        <v>0</v>
      </c>
      <c r="Y579" s="178">
        <f t="shared" ref="Y579:Y642" si="100">+K579</f>
        <v>0</v>
      </c>
      <c r="Z579" s="175">
        <f t="shared" si="92"/>
        <v>0</v>
      </c>
      <c r="AA579" s="179"/>
      <c r="AB579" s="467">
        <f t="shared" si="93"/>
        <v>0</v>
      </c>
      <c r="AC579" s="466">
        <f t="shared" si="94"/>
        <v>0</v>
      </c>
    </row>
    <row r="580" spans="2:29" ht="20.100000000000001" customHeight="1">
      <c r="B580" s="172"/>
      <c r="C580" s="172"/>
      <c r="D580" s="172"/>
      <c r="E580" s="181"/>
      <c r="F580" s="173"/>
      <c r="G580" s="174"/>
      <c r="H580" s="284"/>
      <c r="I580" s="221"/>
      <c r="J580" s="177">
        <f>IF(H580=0,0,IF(F580="MXN",1/HLOOKUP(YEAR(G580)+(MONTH(G580)/100),TC!$5:$37,DAY(G580)+2,FALSE),VLOOKUP(F580,Equivalencia!$5:$23,((MAX(Equivalencia!$3:$3)-YEAR(G580))*14)+MONTH(G580)+2,FALSE)))</f>
        <v>0</v>
      </c>
      <c r="K580" s="217">
        <f t="shared" si="95"/>
        <v>0</v>
      </c>
      <c r="L580" s="462">
        <f>IF(G580=0,0,VLOOKUP(YEAR(G580),INPC!$B$4:$O$29,MONTH(G580)+1))</f>
        <v>0</v>
      </c>
      <c r="M580" s="462">
        <f>IF(T580=0,0,VLOOKUP(YEAR(T580),INPC!$B$4:$O$29,MONTH(T580)+1))</f>
        <v>0</v>
      </c>
      <c r="N580" s="463">
        <f t="shared" si="91"/>
        <v>0</v>
      </c>
      <c r="O580" s="464">
        <f t="shared" si="96"/>
        <v>0</v>
      </c>
      <c r="P580" s="465">
        <f t="shared" si="97"/>
        <v>0</v>
      </c>
      <c r="Q580" s="606" t="str">
        <f t="shared" si="98"/>
        <v>NO</v>
      </c>
      <c r="R580" s="180"/>
      <c r="S580" s="173"/>
      <c r="T580" s="174"/>
      <c r="U580" s="173"/>
      <c r="V580" s="220"/>
      <c r="W580" s="177">
        <f>IF(S580=0,0,IF(U580="MXN",1/HLOOKUP(YEAR(T580)+(MONTH(T580)/100),TC!$5:$37,DAY(T580)+2,FALSE),VLOOKUP(U580,Equivalencia!$1:$23,((MAX(Equivalencia!$3:$3)-YEAR(T580))*14)+MONTH(T580)+2,FALSE)))</f>
        <v>0</v>
      </c>
      <c r="X580" s="178">
        <f t="shared" si="99"/>
        <v>0</v>
      </c>
      <c r="Y580" s="178">
        <f t="shared" si="100"/>
        <v>0</v>
      </c>
      <c r="Z580" s="175">
        <f t="shared" si="92"/>
        <v>0</v>
      </c>
      <c r="AA580" s="179"/>
      <c r="AB580" s="467">
        <f t="shared" si="93"/>
        <v>0</v>
      </c>
      <c r="AC580" s="466">
        <f t="shared" si="94"/>
        <v>0</v>
      </c>
    </row>
    <row r="581" spans="2:29" ht="20.100000000000001" customHeight="1">
      <c r="B581" s="172"/>
      <c r="C581" s="172"/>
      <c r="D581" s="172"/>
      <c r="E581" s="181"/>
      <c r="F581" s="173"/>
      <c r="G581" s="174"/>
      <c r="H581" s="284"/>
      <c r="I581" s="221"/>
      <c r="J581" s="177">
        <f>IF(H581=0,0,IF(F581="MXN",1/HLOOKUP(YEAR(G581)+(MONTH(G581)/100),TC!$5:$37,DAY(G581)+2,FALSE),VLOOKUP(F581,Equivalencia!$5:$23,((MAX(Equivalencia!$3:$3)-YEAR(G581))*14)+MONTH(G581)+2,FALSE)))</f>
        <v>0</v>
      </c>
      <c r="K581" s="217">
        <f t="shared" si="95"/>
        <v>0</v>
      </c>
      <c r="L581" s="462">
        <f>IF(G581=0,0,VLOOKUP(YEAR(G581),INPC!$B$4:$O$29,MONTH(G581)+1))</f>
        <v>0</v>
      </c>
      <c r="M581" s="462">
        <f>IF(T581=0,0,VLOOKUP(YEAR(T581),INPC!$B$4:$O$29,MONTH(T581)+1))</f>
        <v>0</v>
      </c>
      <c r="N581" s="463">
        <f t="shared" si="91"/>
        <v>0</v>
      </c>
      <c r="O581" s="464">
        <f t="shared" si="96"/>
        <v>0</v>
      </c>
      <c r="P581" s="465">
        <f t="shared" si="97"/>
        <v>0</v>
      </c>
      <c r="Q581" s="606" t="str">
        <f t="shared" si="98"/>
        <v>NO</v>
      </c>
      <c r="R581" s="180"/>
      <c r="S581" s="173"/>
      <c r="T581" s="174"/>
      <c r="U581" s="173"/>
      <c r="V581" s="220"/>
      <c r="W581" s="177">
        <f>IF(S581=0,0,IF(U581="MXN",1/HLOOKUP(YEAR(T581)+(MONTH(T581)/100),TC!$5:$37,DAY(T581)+2,FALSE),VLOOKUP(U581,Equivalencia!$1:$23,((MAX(Equivalencia!$3:$3)-YEAR(T581))*14)+MONTH(T581)+2,FALSE)))</f>
        <v>0</v>
      </c>
      <c r="X581" s="178">
        <f t="shared" si="99"/>
        <v>0</v>
      </c>
      <c r="Y581" s="178">
        <f t="shared" si="100"/>
        <v>0</v>
      </c>
      <c r="Z581" s="175">
        <f t="shared" si="92"/>
        <v>0</v>
      </c>
      <c r="AA581" s="179"/>
      <c r="AB581" s="467">
        <f t="shared" si="93"/>
        <v>0</v>
      </c>
      <c r="AC581" s="466">
        <f t="shared" si="94"/>
        <v>0</v>
      </c>
    </row>
    <row r="582" spans="2:29" ht="20.100000000000001" customHeight="1">
      <c r="B582" s="172"/>
      <c r="C582" s="172"/>
      <c r="D582" s="172"/>
      <c r="E582" s="181"/>
      <c r="F582" s="173"/>
      <c r="G582" s="174"/>
      <c r="H582" s="284"/>
      <c r="I582" s="221"/>
      <c r="J582" s="177">
        <f>IF(H582=0,0,IF(F582="MXN",1/HLOOKUP(YEAR(G582)+(MONTH(G582)/100),TC!$5:$37,DAY(G582)+2,FALSE),VLOOKUP(F582,Equivalencia!$5:$23,((MAX(Equivalencia!$3:$3)-YEAR(G582))*14)+MONTH(G582)+2,FALSE)))</f>
        <v>0</v>
      </c>
      <c r="K582" s="217">
        <f t="shared" si="95"/>
        <v>0</v>
      </c>
      <c r="L582" s="462">
        <f>IF(G582=0,0,VLOOKUP(YEAR(G582),INPC!$B$4:$O$29,MONTH(G582)+1))</f>
        <v>0</v>
      </c>
      <c r="M582" s="462">
        <f>IF(T582=0,0,VLOOKUP(YEAR(T582),INPC!$B$4:$O$29,MONTH(T582)+1))</f>
        <v>0</v>
      </c>
      <c r="N582" s="463">
        <f t="shared" si="91"/>
        <v>0</v>
      </c>
      <c r="O582" s="464">
        <f t="shared" si="96"/>
        <v>0</v>
      </c>
      <c r="P582" s="465">
        <f t="shared" si="97"/>
        <v>0</v>
      </c>
      <c r="Q582" s="606" t="str">
        <f t="shared" si="98"/>
        <v>NO</v>
      </c>
      <c r="R582" s="180"/>
      <c r="S582" s="173"/>
      <c r="T582" s="174"/>
      <c r="U582" s="173"/>
      <c r="V582" s="220"/>
      <c r="W582" s="177">
        <f>IF(S582=0,0,IF(U582="MXN",1/HLOOKUP(YEAR(T582)+(MONTH(T582)/100),TC!$5:$37,DAY(T582)+2,FALSE),VLOOKUP(U582,Equivalencia!$1:$23,((MAX(Equivalencia!$3:$3)-YEAR(T582))*14)+MONTH(T582)+2,FALSE)))</f>
        <v>0</v>
      </c>
      <c r="X582" s="178">
        <f t="shared" si="99"/>
        <v>0</v>
      </c>
      <c r="Y582" s="178">
        <f t="shared" si="100"/>
        <v>0</v>
      </c>
      <c r="Z582" s="175">
        <f t="shared" si="92"/>
        <v>0</v>
      </c>
      <c r="AA582" s="179"/>
      <c r="AB582" s="467">
        <f t="shared" si="93"/>
        <v>0</v>
      </c>
      <c r="AC582" s="466">
        <f t="shared" si="94"/>
        <v>0</v>
      </c>
    </row>
    <row r="583" spans="2:29" ht="20.100000000000001" customHeight="1">
      <c r="B583" s="172"/>
      <c r="C583" s="172"/>
      <c r="D583" s="172"/>
      <c r="E583" s="181"/>
      <c r="F583" s="173"/>
      <c r="G583" s="174"/>
      <c r="H583" s="284"/>
      <c r="I583" s="221"/>
      <c r="J583" s="177">
        <f>IF(H583=0,0,IF(F583="MXN",1/HLOOKUP(YEAR(G583)+(MONTH(G583)/100),TC!$5:$37,DAY(G583)+2,FALSE),VLOOKUP(F583,Equivalencia!$5:$23,((MAX(Equivalencia!$3:$3)-YEAR(G583))*14)+MONTH(G583)+2,FALSE)))</f>
        <v>0</v>
      </c>
      <c r="K583" s="217">
        <f t="shared" si="95"/>
        <v>0</v>
      </c>
      <c r="L583" s="462">
        <f>IF(G583=0,0,VLOOKUP(YEAR(G583),INPC!$B$4:$O$29,MONTH(G583)+1))</f>
        <v>0</v>
      </c>
      <c r="M583" s="462">
        <f>IF(T583=0,0,VLOOKUP(YEAR(T583),INPC!$B$4:$O$29,MONTH(T583)+1))</f>
        <v>0</v>
      </c>
      <c r="N583" s="463">
        <f t="shared" si="91"/>
        <v>0</v>
      </c>
      <c r="O583" s="464">
        <f t="shared" si="96"/>
        <v>0</v>
      </c>
      <c r="P583" s="465">
        <f t="shared" si="97"/>
        <v>0</v>
      </c>
      <c r="Q583" s="606" t="str">
        <f t="shared" si="98"/>
        <v>NO</v>
      </c>
      <c r="R583" s="180"/>
      <c r="S583" s="173"/>
      <c r="T583" s="174"/>
      <c r="U583" s="173"/>
      <c r="V583" s="220"/>
      <c r="W583" s="177">
        <f>IF(S583=0,0,IF(U583="MXN",1/HLOOKUP(YEAR(T583)+(MONTH(T583)/100),TC!$5:$37,DAY(T583)+2,FALSE),VLOOKUP(U583,Equivalencia!$1:$23,((MAX(Equivalencia!$3:$3)-YEAR(T583))*14)+MONTH(T583)+2,FALSE)))</f>
        <v>0</v>
      </c>
      <c r="X583" s="178">
        <f t="shared" si="99"/>
        <v>0</v>
      </c>
      <c r="Y583" s="178">
        <f t="shared" si="100"/>
        <v>0</v>
      </c>
      <c r="Z583" s="175">
        <f t="shared" si="92"/>
        <v>0</v>
      </c>
      <c r="AA583" s="179"/>
      <c r="AB583" s="467">
        <f t="shared" si="93"/>
        <v>0</v>
      </c>
      <c r="AC583" s="466">
        <f t="shared" si="94"/>
        <v>0</v>
      </c>
    </row>
    <row r="584" spans="2:29" ht="20.100000000000001" customHeight="1">
      <c r="B584" s="172"/>
      <c r="C584" s="172"/>
      <c r="D584" s="172"/>
      <c r="E584" s="181"/>
      <c r="F584" s="173"/>
      <c r="G584" s="174"/>
      <c r="H584" s="284"/>
      <c r="I584" s="221"/>
      <c r="J584" s="177">
        <f>IF(H584=0,0,IF(F584="MXN",1/HLOOKUP(YEAR(G584)+(MONTH(G584)/100),TC!$5:$37,DAY(G584)+2,FALSE),VLOOKUP(F584,Equivalencia!$5:$23,((MAX(Equivalencia!$3:$3)-YEAR(G584))*14)+MONTH(G584)+2,FALSE)))</f>
        <v>0</v>
      </c>
      <c r="K584" s="217">
        <f t="shared" si="95"/>
        <v>0</v>
      </c>
      <c r="L584" s="462">
        <f>IF(G584=0,0,VLOOKUP(YEAR(G584),INPC!$B$4:$O$29,MONTH(G584)+1))</f>
        <v>0</v>
      </c>
      <c r="M584" s="462">
        <f>IF(T584=0,0,VLOOKUP(YEAR(T584),INPC!$B$4:$O$29,MONTH(T584)+1))</f>
        <v>0</v>
      </c>
      <c r="N584" s="463">
        <f t="shared" si="91"/>
        <v>0</v>
      </c>
      <c r="O584" s="464">
        <f t="shared" si="96"/>
        <v>0</v>
      </c>
      <c r="P584" s="465">
        <f t="shared" si="97"/>
        <v>0</v>
      </c>
      <c r="Q584" s="606" t="str">
        <f t="shared" si="98"/>
        <v>NO</v>
      </c>
      <c r="R584" s="180"/>
      <c r="S584" s="173"/>
      <c r="T584" s="174"/>
      <c r="U584" s="173"/>
      <c r="V584" s="220"/>
      <c r="W584" s="177">
        <f>IF(S584=0,0,IF(U584="MXN",1/HLOOKUP(YEAR(T584)+(MONTH(T584)/100),TC!$5:$37,DAY(T584)+2,FALSE),VLOOKUP(U584,Equivalencia!$1:$23,((MAX(Equivalencia!$3:$3)-YEAR(T584))*14)+MONTH(T584)+2,FALSE)))</f>
        <v>0</v>
      </c>
      <c r="X584" s="178">
        <f t="shared" si="99"/>
        <v>0</v>
      </c>
      <c r="Y584" s="178">
        <f t="shared" si="100"/>
        <v>0</v>
      </c>
      <c r="Z584" s="175">
        <f t="shared" si="92"/>
        <v>0</v>
      </c>
      <c r="AA584" s="179"/>
      <c r="AB584" s="467">
        <f t="shared" si="93"/>
        <v>0</v>
      </c>
      <c r="AC584" s="466">
        <f t="shared" si="94"/>
        <v>0</v>
      </c>
    </row>
    <row r="585" spans="2:29" ht="20.100000000000001" customHeight="1">
      <c r="B585" s="172"/>
      <c r="C585" s="172"/>
      <c r="D585" s="172"/>
      <c r="E585" s="181"/>
      <c r="F585" s="173"/>
      <c r="G585" s="174"/>
      <c r="H585" s="284"/>
      <c r="I585" s="221"/>
      <c r="J585" s="177">
        <f>IF(H585=0,0,IF(F585="MXN",1/HLOOKUP(YEAR(G585)+(MONTH(G585)/100),TC!$5:$37,DAY(G585)+2,FALSE),VLOOKUP(F585,Equivalencia!$5:$23,((MAX(Equivalencia!$3:$3)-YEAR(G585))*14)+MONTH(G585)+2,FALSE)))</f>
        <v>0</v>
      </c>
      <c r="K585" s="217">
        <f t="shared" si="95"/>
        <v>0</v>
      </c>
      <c r="L585" s="462">
        <f>IF(G585=0,0,VLOOKUP(YEAR(G585),INPC!$B$4:$O$29,MONTH(G585)+1))</f>
        <v>0</v>
      </c>
      <c r="M585" s="462">
        <f>IF(T585=0,0,VLOOKUP(YEAR(T585),INPC!$B$4:$O$29,MONTH(T585)+1))</f>
        <v>0</v>
      </c>
      <c r="N585" s="463">
        <f t="shared" si="91"/>
        <v>0</v>
      </c>
      <c r="O585" s="464">
        <f t="shared" si="96"/>
        <v>0</v>
      </c>
      <c r="P585" s="465">
        <f t="shared" si="97"/>
        <v>0</v>
      </c>
      <c r="Q585" s="606" t="str">
        <f t="shared" si="98"/>
        <v>NO</v>
      </c>
      <c r="R585" s="180"/>
      <c r="S585" s="173"/>
      <c r="T585" s="174"/>
      <c r="U585" s="173"/>
      <c r="V585" s="220"/>
      <c r="W585" s="177">
        <f>IF(S585=0,0,IF(U585="MXN",1/HLOOKUP(YEAR(T585)+(MONTH(T585)/100),TC!$5:$37,DAY(T585)+2,FALSE),VLOOKUP(U585,Equivalencia!$1:$23,((MAX(Equivalencia!$3:$3)-YEAR(T585))*14)+MONTH(T585)+2,FALSE)))</f>
        <v>0</v>
      </c>
      <c r="X585" s="178">
        <f t="shared" si="99"/>
        <v>0</v>
      </c>
      <c r="Y585" s="178">
        <f t="shared" si="100"/>
        <v>0</v>
      </c>
      <c r="Z585" s="175">
        <f t="shared" si="92"/>
        <v>0</v>
      </c>
      <c r="AA585" s="179"/>
      <c r="AB585" s="467">
        <f t="shared" si="93"/>
        <v>0</v>
      </c>
      <c r="AC585" s="466">
        <f t="shared" si="94"/>
        <v>0</v>
      </c>
    </row>
    <row r="586" spans="2:29" ht="20.100000000000001" customHeight="1">
      <c r="B586" s="172"/>
      <c r="C586" s="172"/>
      <c r="D586" s="172"/>
      <c r="E586" s="181"/>
      <c r="F586" s="173"/>
      <c r="G586" s="174"/>
      <c r="H586" s="284"/>
      <c r="I586" s="221"/>
      <c r="J586" s="177">
        <f>IF(H586=0,0,IF(F586="MXN",1/HLOOKUP(YEAR(G586)+(MONTH(G586)/100),TC!$5:$37,DAY(G586)+2,FALSE),VLOOKUP(F586,Equivalencia!$5:$23,((MAX(Equivalencia!$3:$3)-YEAR(G586))*14)+MONTH(G586)+2,FALSE)))</f>
        <v>0</v>
      </c>
      <c r="K586" s="217">
        <f t="shared" si="95"/>
        <v>0</v>
      </c>
      <c r="L586" s="462">
        <f>IF(G586=0,0,VLOOKUP(YEAR(G586),INPC!$B$4:$O$29,MONTH(G586)+1))</f>
        <v>0</v>
      </c>
      <c r="M586" s="462">
        <f>IF(T586=0,0,VLOOKUP(YEAR(T586),INPC!$B$4:$O$29,MONTH(T586)+1))</f>
        <v>0</v>
      </c>
      <c r="N586" s="463">
        <f t="shared" si="91"/>
        <v>0</v>
      </c>
      <c r="O586" s="464">
        <f t="shared" si="96"/>
        <v>0</v>
      </c>
      <c r="P586" s="465">
        <f t="shared" si="97"/>
        <v>0</v>
      </c>
      <c r="Q586" s="606" t="str">
        <f t="shared" si="98"/>
        <v>NO</v>
      </c>
      <c r="R586" s="180"/>
      <c r="S586" s="173"/>
      <c r="T586" s="174"/>
      <c r="U586" s="173"/>
      <c r="V586" s="220"/>
      <c r="W586" s="177">
        <f>IF(S586=0,0,IF(U586="MXN",1/HLOOKUP(YEAR(T586)+(MONTH(T586)/100),TC!$5:$37,DAY(T586)+2,FALSE),VLOOKUP(U586,Equivalencia!$1:$23,((MAX(Equivalencia!$3:$3)-YEAR(T586))*14)+MONTH(T586)+2,FALSE)))</f>
        <v>0</v>
      </c>
      <c r="X586" s="178">
        <f t="shared" si="99"/>
        <v>0</v>
      </c>
      <c r="Y586" s="178">
        <f t="shared" si="100"/>
        <v>0</v>
      </c>
      <c r="Z586" s="175">
        <f t="shared" si="92"/>
        <v>0</v>
      </c>
      <c r="AA586" s="179"/>
      <c r="AB586" s="467">
        <f t="shared" si="93"/>
        <v>0</v>
      </c>
      <c r="AC586" s="466">
        <f t="shared" si="94"/>
        <v>0</v>
      </c>
    </row>
    <row r="587" spans="2:29" ht="20.100000000000001" customHeight="1">
      <c r="B587" s="172"/>
      <c r="C587" s="172"/>
      <c r="D587" s="172"/>
      <c r="E587" s="181"/>
      <c r="F587" s="173"/>
      <c r="G587" s="174"/>
      <c r="H587" s="284"/>
      <c r="I587" s="221"/>
      <c r="J587" s="177">
        <f>IF(H587=0,0,IF(F587="MXN",1/HLOOKUP(YEAR(G587)+(MONTH(G587)/100),TC!$5:$37,DAY(G587)+2,FALSE),VLOOKUP(F587,Equivalencia!$5:$23,((MAX(Equivalencia!$3:$3)-YEAR(G587))*14)+MONTH(G587)+2,FALSE)))</f>
        <v>0</v>
      </c>
      <c r="K587" s="217">
        <f t="shared" si="95"/>
        <v>0</v>
      </c>
      <c r="L587" s="462">
        <f>IF(G587=0,0,VLOOKUP(YEAR(G587),INPC!$B$4:$O$29,MONTH(G587)+1))</f>
        <v>0</v>
      </c>
      <c r="M587" s="462">
        <f>IF(T587=0,0,VLOOKUP(YEAR(T587),INPC!$B$4:$O$29,MONTH(T587)+1))</f>
        <v>0</v>
      </c>
      <c r="N587" s="463">
        <f t="shared" si="91"/>
        <v>0</v>
      </c>
      <c r="O587" s="464">
        <f t="shared" si="96"/>
        <v>0</v>
      </c>
      <c r="P587" s="465">
        <f t="shared" si="97"/>
        <v>0</v>
      </c>
      <c r="Q587" s="606" t="str">
        <f t="shared" si="98"/>
        <v>NO</v>
      </c>
      <c r="R587" s="180"/>
      <c r="S587" s="173"/>
      <c r="T587" s="174"/>
      <c r="U587" s="173"/>
      <c r="V587" s="220"/>
      <c r="W587" s="177">
        <f>IF(S587=0,0,IF(U587="MXN",1/HLOOKUP(YEAR(T587)+(MONTH(T587)/100),TC!$5:$37,DAY(T587)+2,FALSE),VLOOKUP(U587,Equivalencia!$1:$23,((MAX(Equivalencia!$3:$3)-YEAR(T587))*14)+MONTH(T587)+2,FALSE)))</f>
        <v>0</v>
      </c>
      <c r="X587" s="178">
        <f t="shared" si="99"/>
        <v>0</v>
      </c>
      <c r="Y587" s="178">
        <f t="shared" si="100"/>
        <v>0</v>
      </c>
      <c r="Z587" s="175">
        <f t="shared" si="92"/>
        <v>0</v>
      </c>
      <c r="AA587" s="179"/>
      <c r="AB587" s="467">
        <f t="shared" si="93"/>
        <v>0</v>
      </c>
      <c r="AC587" s="466">
        <f t="shared" si="94"/>
        <v>0</v>
      </c>
    </row>
    <row r="588" spans="2:29" ht="20.100000000000001" customHeight="1">
      <c r="B588" s="172"/>
      <c r="C588" s="172"/>
      <c r="D588" s="172"/>
      <c r="E588" s="181"/>
      <c r="F588" s="173"/>
      <c r="G588" s="174"/>
      <c r="H588" s="284"/>
      <c r="I588" s="221"/>
      <c r="J588" s="177">
        <f>IF(H588=0,0,IF(F588="MXN",1/HLOOKUP(YEAR(G588)+(MONTH(G588)/100),TC!$5:$37,DAY(G588)+2,FALSE),VLOOKUP(F588,Equivalencia!$5:$23,((MAX(Equivalencia!$3:$3)-YEAR(G588))*14)+MONTH(G588)+2,FALSE)))</f>
        <v>0</v>
      </c>
      <c r="K588" s="217">
        <f t="shared" si="95"/>
        <v>0</v>
      </c>
      <c r="L588" s="462">
        <f>IF(G588=0,0,VLOOKUP(YEAR(G588),INPC!$B$4:$O$29,MONTH(G588)+1))</f>
        <v>0</v>
      </c>
      <c r="M588" s="462">
        <f>IF(T588=0,0,VLOOKUP(YEAR(T588),INPC!$B$4:$O$29,MONTH(T588)+1))</f>
        <v>0</v>
      </c>
      <c r="N588" s="463">
        <f t="shared" si="91"/>
        <v>0</v>
      </c>
      <c r="O588" s="464">
        <f t="shared" si="96"/>
        <v>0</v>
      </c>
      <c r="P588" s="465">
        <f t="shared" si="97"/>
        <v>0</v>
      </c>
      <c r="Q588" s="606" t="str">
        <f t="shared" si="98"/>
        <v>NO</v>
      </c>
      <c r="R588" s="180"/>
      <c r="S588" s="173"/>
      <c r="T588" s="174"/>
      <c r="U588" s="173"/>
      <c r="V588" s="220"/>
      <c r="W588" s="177">
        <f>IF(S588=0,0,IF(U588="MXN",1/HLOOKUP(YEAR(T588)+(MONTH(T588)/100),TC!$5:$37,DAY(T588)+2,FALSE),VLOOKUP(U588,Equivalencia!$1:$23,((MAX(Equivalencia!$3:$3)-YEAR(T588))*14)+MONTH(T588)+2,FALSE)))</f>
        <v>0</v>
      </c>
      <c r="X588" s="178">
        <f t="shared" si="99"/>
        <v>0</v>
      </c>
      <c r="Y588" s="178">
        <f t="shared" si="100"/>
        <v>0</v>
      </c>
      <c r="Z588" s="175">
        <f t="shared" si="92"/>
        <v>0</v>
      </c>
      <c r="AA588" s="179"/>
      <c r="AB588" s="467">
        <f t="shared" si="93"/>
        <v>0</v>
      </c>
      <c r="AC588" s="466">
        <f t="shared" si="94"/>
        <v>0</v>
      </c>
    </row>
    <row r="589" spans="2:29" ht="20.100000000000001" customHeight="1">
      <c r="B589" s="172"/>
      <c r="C589" s="172"/>
      <c r="D589" s="172"/>
      <c r="E589" s="181"/>
      <c r="F589" s="173"/>
      <c r="G589" s="174"/>
      <c r="H589" s="284"/>
      <c r="I589" s="221"/>
      <c r="J589" s="177">
        <f>IF(H589=0,0,IF(F589="MXN",1/HLOOKUP(YEAR(G589)+(MONTH(G589)/100),TC!$5:$37,DAY(G589)+2,FALSE),VLOOKUP(F589,Equivalencia!$5:$23,((MAX(Equivalencia!$3:$3)-YEAR(G589))*14)+MONTH(G589)+2,FALSE)))</f>
        <v>0</v>
      </c>
      <c r="K589" s="217">
        <f t="shared" si="95"/>
        <v>0</v>
      </c>
      <c r="L589" s="462">
        <f>IF(G589=0,0,VLOOKUP(YEAR(G589),INPC!$B$4:$O$29,MONTH(G589)+1))</f>
        <v>0</v>
      </c>
      <c r="M589" s="462">
        <f>IF(T589=0,0,VLOOKUP(YEAR(T589),INPC!$B$4:$O$29,MONTH(T589)+1))</f>
        <v>0</v>
      </c>
      <c r="N589" s="463">
        <f t="shared" si="91"/>
        <v>0</v>
      </c>
      <c r="O589" s="464">
        <f t="shared" si="96"/>
        <v>0</v>
      </c>
      <c r="P589" s="465">
        <f t="shared" si="97"/>
        <v>0</v>
      </c>
      <c r="Q589" s="606" t="str">
        <f t="shared" si="98"/>
        <v>NO</v>
      </c>
      <c r="R589" s="180"/>
      <c r="S589" s="173"/>
      <c r="T589" s="174"/>
      <c r="U589" s="173"/>
      <c r="V589" s="220"/>
      <c r="W589" s="177">
        <f>IF(S589=0,0,IF(U589="MXN",1/HLOOKUP(YEAR(T589)+(MONTH(T589)/100),TC!$5:$37,DAY(T589)+2,FALSE),VLOOKUP(U589,Equivalencia!$1:$23,((MAX(Equivalencia!$3:$3)-YEAR(T589))*14)+MONTH(T589)+2,FALSE)))</f>
        <v>0</v>
      </c>
      <c r="X589" s="178">
        <f t="shared" si="99"/>
        <v>0</v>
      </c>
      <c r="Y589" s="178">
        <f t="shared" si="100"/>
        <v>0</v>
      </c>
      <c r="Z589" s="175">
        <f t="shared" si="92"/>
        <v>0</v>
      </c>
      <c r="AA589" s="179"/>
      <c r="AB589" s="467">
        <f t="shared" si="93"/>
        <v>0</v>
      </c>
      <c r="AC589" s="466">
        <f t="shared" si="94"/>
        <v>0</v>
      </c>
    </row>
    <row r="590" spans="2:29" ht="20.100000000000001" customHeight="1">
      <c r="B590" s="172"/>
      <c r="C590" s="172"/>
      <c r="D590" s="172"/>
      <c r="E590" s="181"/>
      <c r="F590" s="173"/>
      <c r="G590" s="174"/>
      <c r="H590" s="284"/>
      <c r="I590" s="221"/>
      <c r="J590" s="177">
        <f>IF(H590=0,0,IF(F590="MXN",1/HLOOKUP(YEAR(G590)+(MONTH(G590)/100),TC!$5:$37,DAY(G590)+2,FALSE),VLOOKUP(F590,Equivalencia!$5:$23,((MAX(Equivalencia!$3:$3)-YEAR(G590))*14)+MONTH(G590)+2,FALSE)))</f>
        <v>0</v>
      </c>
      <c r="K590" s="217">
        <f t="shared" si="95"/>
        <v>0</v>
      </c>
      <c r="L590" s="462">
        <f>IF(G590=0,0,VLOOKUP(YEAR(G590),INPC!$B$4:$O$29,MONTH(G590)+1))</f>
        <v>0</v>
      </c>
      <c r="M590" s="462">
        <f>IF(T590=0,0,VLOOKUP(YEAR(T590),INPC!$B$4:$O$29,MONTH(T590)+1))</f>
        <v>0</v>
      </c>
      <c r="N590" s="463">
        <f t="shared" si="91"/>
        <v>0</v>
      </c>
      <c r="O590" s="464">
        <f t="shared" si="96"/>
        <v>0</v>
      </c>
      <c r="P590" s="465">
        <f t="shared" si="97"/>
        <v>0</v>
      </c>
      <c r="Q590" s="606" t="str">
        <f t="shared" si="98"/>
        <v>NO</v>
      </c>
      <c r="R590" s="180"/>
      <c r="S590" s="173"/>
      <c r="T590" s="174"/>
      <c r="U590" s="173"/>
      <c r="V590" s="220"/>
      <c r="W590" s="177">
        <f>IF(S590=0,0,IF(U590="MXN",1/HLOOKUP(YEAR(T590)+(MONTH(T590)/100),TC!$5:$37,DAY(T590)+2,FALSE),VLOOKUP(U590,Equivalencia!$1:$23,((MAX(Equivalencia!$3:$3)-YEAR(T590))*14)+MONTH(T590)+2,FALSE)))</f>
        <v>0</v>
      </c>
      <c r="X590" s="178">
        <f t="shared" si="99"/>
        <v>0</v>
      </c>
      <c r="Y590" s="178">
        <f t="shared" si="100"/>
        <v>0</v>
      </c>
      <c r="Z590" s="175">
        <f t="shared" si="92"/>
        <v>0</v>
      </c>
      <c r="AA590" s="179"/>
      <c r="AB590" s="467">
        <f t="shared" si="93"/>
        <v>0</v>
      </c>
      <c r="AC590" s="466">
        <f t="shared" si="94"/>
        <v>0</v>
      </c>
    </row>
    <row r="591" spans="2:29" ht="20.100000000000001" customHeight="1">
      <c r="B591" s="172"/>
      <c r="C591" s="172"/>
      <c r="D591" s="172"/>
      <c r="E591" s="181"/>
      <c r="F591" s="173"/>
      <c r="G591" s="174"/>
      <c r="H591" s="284"/>
      <c r="I591" s="221"/>
      <c r="J591" s="177">
        <f>IF(H591=0,0,IF(F591="MXN",1/HLOOKUP(YEAR(G591)+(MONTH(G591)/100),TC!$5:$37,DAY(G591)+2,FALSE),VLOOKUP(F591,Equivalencia!$5:$23,((MAX(Equivalencia!$3:$3)-YEAR(G591))*14)+MONTH(G591)+2,FALSE)))</f>
        <v>0</v>
      </c>
      <c r="K591" s="217">
        <f t="shared" si="95"/>
        <v>0</v>
      </c>
      <c r="L591" s="462">
        <f>IF(G591=0,0,VLOOKUP(YEAR(G591),INPC!$B$4:$O$29,MONTH(G591)+1))</f>
        <v>0</v>
      </c>
      <c r="M591" s="462">
        <f>IF(T591=0,0,VLOOKUP(YEAR(T591),INPC!$B$4:$O$29,MONTH(T591)+1))</f>
        <v>0</v>
      </c>
      <c r="N591" s="463">
        <f t="shared" si="91"/>
        <v>0</v>
      </c>
      <c r="O591" s="464">
        <f t="shared" si="96"/>
        <v>0</v>
      </c>
      <c r="P591" s="465">
        <f t="shared" si="97"/>
        <v>0</v>
      </c>
      <c r="Q591" s="606" t="str">
        <f t="shared" si="98"/>
        <v>NO</v>
      </c>
      <c r="R591" s="180"/>
      <c r="S591" s="173"/>
      <c r="T591" s="174"/>
      <c r="U591" s="173"/>
      <c r="V591" s="220"/>
      <c r="W591" s="177">
        <f>IF(S591=0,0,IF(U591="MXN",1/HLOOKUP(YEAR(T591)+(MONTH(T591)/100),TC!$5:$37,DAY(T591)+2,FALSE),VLOOKUP(U591,Equivalencia!$1:$23,((MAX(Equivalencia!$3:$3)-YEAR(T591))*14)+MONTH(T591)+2,FALSE)))</f>
        <v>0</v>
      </c>
      <c r="X591" s="178">
        <f t="shared" si="99"/>
        <v>0</v>
      </c>
      <c r="Y591" s="178">
        <f t="shared" si="100"/>
        <v>0</v>
      </c>
      <c r="Z591" s="175">
        <f t="shared" si="92"/>
        <v>0</v>
      </c>
      <c r="AA591" s="179"/>
      <c r="AB591" s="467">
        <f t="shared" si="93"/>
        <v>0</v>
      </c>
      <c r="AC591" s="466">
        <f t="shared" si="94"/>
        <v>0</v>
      </c>
    </row>
    <row r="592" spans="2:29" ht="20.100000000000001" customHeight="1">
      <c r="B592" s="172"/>
      <c r="C592" s="172"/>
      <c r="D592" s="172"/>
      <c r="E592" s="181"/>
      <c r="F592" s="173"/>
      <c r="G592" s="174"/>
      <c r="H592" s="284"/>
      <c r="I592" s="221"/>
      <c r="J592" s="177">
        <f>IF(H592=0,0,IF(F592="MXN",1/HLOOKUP(YEAR(G592)+(MONTH(G592)/100),TC!$5:$37,DAY(G592)+2,FALSE),VLOOKUP(F592,Equivalencia!$5:$23,((MAX(Equivalencia!$3:$3)-YEAR(G592))*14)+MONTH(G592)+2,FALSE)))</f>
        <v>0</v>
      </c>
      <c r="K592" s="217">
        <f t="shared" si="95"/>
        <v>0</v>
      </c>
      <c r="L592" s="462">
        <f>IF(G592=0,0,VLOOKUP(YEAR(G592),INPC!$B$4:$O$29,MONTH(G592)+1))</f>
        <v>0</v>
      </c>
      <c r="M592" s="462">
        <f>IF(T592=0,0,VLOOKUP(YEAR(T592),INPC!$B$4:$O$29,MONTH(T592)+1))</f>
        <v>0</v>
      </c>
      <c r="N592" s="463">
        <f t="shared" si="91"/>
        <v>0</v>
      </c>
      <c r="O592" s="464">
        <f t="shared" si="96"/>
        <v>0</v>
      </c>
      <c r="P592" s="465">
        <f t="shared" si="97"/>
        <v>0</v>
      </c>
      <c r="Q592" s="606" t="str">
        <f t="shared" si="98"/>
        <v>NO</v>
      </c>
      <c r="R592" s="180"/>
      <c r="S592" s="173"/>
      <c r="T592" s="174"/>
      <c r="U592" s="173"/>
      <c r="V592" s="220"/>
      <c r="W592" s="177">
        <f>IF(S592=0,0,IF(U592="MXN",1/HLOOKUP(YEAR(T592)+(MONTH(T592)/100),TC!$5:$37,DAY(T592)+2,FALSE),VLOOKUP(U592,Equivalencia!$1:$23,((MAX(Equivalencia!$3:$3)-YEAR(T592))*14)+MONTH(T592)+2,FALSE)))</f>
        <v>0</v>
      </c>
      <c r="X592" s="178">
        <f t="shared" si="99"/>
        <v>0</v>
      </c>
      <c r="Y592" s="178">
        <f t="shared" si="100"/>
        <v>0</v>
      </c>
      <c r="Z592" s="175">
        <f t="shared" si="92"/>
        <v>0</v>
      </c>
      <c r="AA592" s="179"/>
      <c r="AB592" s="467">
        <f t="shared" si="93"/>
        <v>0</v>
      </c>
      <c r="AC592" s="466">
        <f t="shared" si="94"/>
        <v>0</v>
      </c>
    </row>
    <row r="593" spans="2:29" ht="20.100000000000001" customHeight="1">
      <c r="B593" s="172"/>
      <c r="C593" s="172"/>
      <c r="D593" s="172"/>
      <c r="E593" s="181"/>
      <c r="F593" s="173"/>
      <c r="G593" s="174"/>
      <c r="H593" s="284"/>
      <c r="I593" s="221"/>
      <c r="J593" s="177">
        <f>IF(H593=0,0,IF(F593="MXN",1/HLOOKUP(YEAR(G593)+(MONTH(G593)/100),TC!$5:$37,DAY(G593)+2,FALSE),VLOOKUP(F593,Equivalencia!$5:$23,((MAX(Equivalencia!$3:$3)-YEAR(G593))*14)+MONTH(G593)+2,FALSE)))</f>
        <v>0</v>
      </c>
      <c r="K593" s="217">
        <f t="shared" si="95"/>
        <v>0</v>
      </c>
      <c r="L593" s="462">
        <f>IF(G593=0,0,VLOOKUP(YEAR(G593),INPC!$B$4:$O$29,MONTH(G593)+1))</f>
        <v>0</v>
      </c>
      <c r="M593" s="462">
        <f>IF(T593=0,0,VLOOKUP(YEAR(T593),INPC!$B$4:$O$29,MONTH(T593)+1))</f>
        <v>0</v>
      </c>
      <c r="N593" s="463">
        <f t="shared" si="91"/>
        <v>0</v>
      </c>
      <c r="O593" s="464">
        <f t="shared" si="96"/>
        <v>0</v>
      </c>
      <c r="P593" s="465">
        <f t="shared" si="97"/>
        <v>0</v>
      </c>
      <c r="Q593" s="606" t="str">
        <f t="shared" si="98"/>
        <v>NO</v>
      </c>
      <c r="R593" s="180"/>
      <c r="S593" s="173"/>
      <c r="T593" s="174"/>
      <c r="U593" s="173"/>
      <c r="V593" s="220"/>
      <c r="W593" s="177">
        <f>IF(S593=0,0,IF(U593="MXN",1/HLOOKUP(YEAR(T593)+(MONTH(T593)/100),TC!$5:$37,DAY(T593)+2,FALSE),VLOOKUP(U593,Equivalencia!$1:$23,((MAX(Equivalencia!$3:$3)-YEAR(T593))*14)+MONTH(T593)+2,FALSE)))</f>
        <v>0</v>
      </c>
      <c r="X593" s="178">
        <f t="shared" si="99"/>
        <v>0</v>
      </c>
      <c r="Y593" s="178">
        <f t="shared" si="100"/>
        <v>0</v>
      </c>
      <c r="Z593" s="175">
        <f t="shared" si="92"/>
        <v>0</v>
      </c>
      <c r="AA593" s="179"/>
      <c r="AB593" s="467">
        <f t="shared" si="93"/>
        <v>0</v>
      </c>
      <c r="AC593" s="466">
        <f t="shared" si="94"/>
        <v>0</v>
      </c>
    </row>
    <row r="594" spans="2:29" ht="20.100000000000001" customHeight="1">
      <c r="B594" s="172"/>
      <c r="C594" s="172"/>
      <c r="D594" s="172"/>
      <c r="E594" s="181"/>
      <c r="F594" s="173"/>
      <c r="G594" s="174"/>
      <c r="H594" s="284"/>
      <c r="I594" s="221"/>
      <c r="J594" s="177">
        <f>IF(H594=0,0,IF(F594="MXN",1/HLOOKUP(YEAR(G594)+(MONTH(G594)/100),TC!$5:$37,DAY(G594)+2,FALSE),VLOOKUP(F594,Equivalencia!$5:$23,((MAX(Equivalencia!$3:$3)-YEAR(G594))*14)+MONTH(G594)+2,FALSE)))</f>
        <v>0</v>
      </c>
      <c r="K594" s="217">
        <f t="shared" si="95"/>
        <v>0</v>
      </c>
      <c r="L594" s="462">
        <f>IF(G594=0,0,VLOOKUP(YEAR(G594),INPC!$B$4:$O$29,MONTH(G594)+1))</f>
        <v>0</v>
      </c>
      <c r="M594" s="462">
        <f>IF(T594=0,0,VLOOKUP(YEAR(T594),INPC!$B$4:$O$29,MONTH(T594)+1))</f>
        <v>0</v>
      </c>
      <c r="N594" s="463">
        <f t="shared" si="91"/>
        <v>0</v>
      </c>
      <c r="O594" s="464">
        <f t="shared" si="96"/>
        <v>0</v>
      </c>
      <c r="P594" s="465">
        <f t="shared" si="97"/>
        <v>0</v>
      </c>
      <c r="Q594" s="606" t="str">
        <f t="shared" si="98"/>
        <v>NO</v>
      </c>
      <c r="R594" s="180"/>
      <c r="S594" s="173"/>
      <c r="T594" s="174"/>
      <c r="U594" s="173"/>
      <c r="V594" s="220"/>
      <c r="W594" s="177">
        <f>IF(S594=0,0,IF(U594="MXN",1/HLOOKUP(YEAR(T594)+(MONTH(T594)/100),TC!$5:$37,DAY(T594)+2,FALSE),VLOOKUP(U594,Equivalencia!$1:$23,((MAX(Equivalencia!$3:$3)-YEAR(T594))*14)+MONTH(T594)+2,FALSE)))</f>
        <v>0</v>
      </c>
      <c r="X594" s="178">
        <f t="shared" si="99"/>
        <v>0</v>
      </c>
      <c r="Y594" s="178">
        <f t="shared" si="100"/>
        <v>0</v>
      </c>
      <c r="Z594" s="175">
        <f t="shared" si="92"/>
        <v>0</v>
      </c>
      <c r="AA594" s="179"/>
      <c r="AB594" s="467">
        <f t="shared" si="93"/>
        <v>0</v>
      </c>
      <c r="AC594" s="466">
        <f t="shared" si="94"/>
        <v>0</v>
      </c>
    </row>
    <row r="595" spans="2:29" ht="20.100000000000001" customHeight="1">
      <c r="B595" s="172"/>
      <c r="C595" s="172"/>
      <c r="D595" s="172"/>
      <c r="E595" s="181"/>
      <c r="F595" s="173"/>
      <c r="G595" s="174"/>
      <c r="H595" s="284"/>
      <c r="I595" s="221"/>
      <c r="J595" s="177">
        <f>IF(H595=0,0,IF(F595="MXN",1/HLOOKUP(YEAR(G595)+(MONTH(G595)/100),TC!$5:$37,DAY(G595)+2,FALSE),VLOOKUP(F595,Equivalencia!$5:$23,((MAX(Equivalencia!$3:$3)-YEAR(G595))*14)+MONTH(G595)+2,FALSE)))</f>
        <v>0</v>
      </c>
      <c r="K595" s="217">
        <f t="shared" si="95"/>
        <v>0</v>
      </c>
      <c r="L595" s="462">
        <f>IF(G595=0,0,VLOOKUP(YEAR(G595),INPC!$B$4:$O$29,MONTH(G595)+1))</f>
        <v>0</v>
      </c>
      <c r="M595" s="462">
        <f>IF(T595=0,0,VLOOKUP(YEAR(T595),INPC!$B$4:$O$29,MONTH(T595)+1))</f>
        <v>0</v>
      </c>
      <c r="N595" s="463">
        <f t="shared" si="91"/>
        <v>0</v>
      </c>
      <c r="O595" s="464">
        <f t="shared" si="96"/>
        <v>0</v>
      </c>
      <c r="P595" s="465">
        <f t="shared" si="97"/>
        <v>0</v>
      </c>
      <c r="Q595" s="606" t="str">
        <f t="shared" si="98"/>
        <v>NO</v>
      </c>
      <c r="R595" s="180"/>
      <c r="S595" s="173"/>
      <c r="T595" s="174"/>
      <c r="U595" s="173"/>
      <c r="V595" s="220"/>
      <c r="W595" s="177">
        <f>IF(S595=0,0,IF(U595="MXN",1/HLOOKUP(YEAR(T595)+(MONTH(T595)/100),TC!$5:$37,DAY(T595)+2,FALSE),VLOOKUP(U595,Equivalencia!$1:$23,((MAX(Equivalencia!$3:$3)-YEAR(T595))*14)+MONTH(T595)+2,FALSE)))</f>
        <v>0</v>
      </c>
      <c r="X595" s="178">
        <f t="shared" si="99"/>
        <v>0</v>
      </c>
      <c r="Y595" s="178">
        <f t="shared" si="100"/>
        <v>0</v>
      </c>
      <c r="Z595" s="175">
        <f t="shared" si="92"/>
        <v>0</v>
      </c>
      <c r="AA595" s="179"/>
      <c r="AB595" s="467">
        <f t="shared" si="93"/>
        <v>0</v>
      </c>
      <c r="AC595" s="466">
        <f t="shared" si="94"/>
        <v>0</v>
      </c>
    </row>
    <row r="596" spans="2:29" ht="20.100000000000001" customHeight="1">
      <c r="B596" s="172"/>
      <c r="C596" s="172"/>
      <c r="D596" s="172"/>
      <c r="E596" s="181"/>
      <c r="F596" s="173"/>
      <c r="G596" s="174"/>
      <c r="H596" s="284"/>
      <c r="I596" s="221"/>
      <c r="J596" s="177">
        <f>IF(H596=0,0,IF(F596="MXN",1/HLOOKUP(YEAR(G596)+(MONTH(G596)/100),TC!$5:$37,DAY(G596)+2,FALSE),VLOOKUP(F596,Equivalencia!$5:$23,((MAX(Equivalencia!$3:$3)-YEAR(G596))*14)+MONTH(G596)+2,FALSE)))</f>
        <v>0</v>
      </c>
      <c r="K596" s="217">
        <f t="shared" si="95"/>
        <v>0</v>
      </c>
      <c r="L596" s="462">
        <f>IF(G596=0,0,VLOOKUP(YEAR(G596),INPC!$B$4:$O$29,MONTH(G596)+1))</f>
        <v>0</v>
      </c>
      <c r="M596" s="462">
        <f>IF(T596=0,0,VLOOKUP(YEAR(T596),INPC!$B$4:$O$29,MONTH(T596)+1))</f>
        <v>0</v>
      </c>
      <c r="N596" s="463">
        <f t="shared" si="91"/>
        <v>0</v>
      </c>
      <c r="O596" s="464">
        <f t="shared" si="96"/>
        <v>0</v>
      </c>
      <c r="P596" s="465">
        <f t="shared" si="97"/>
        <v>0</v>
      </c>
      <c r="Q596" s="606" t="str">
        <f t="shared" si="98"/>
        <v>NO</v>
      </c>
      <c r="R596" s="180"/>
      <c r="S596" s="173"/>
      <c r="T596" s="174"/>
      <c r="U596" s="173"/>
      <c r="V596" s="220"/>
      <c r="W596" s="177">
        <f>IF(S596=0,0,IF(U596="MXN",1/HLOOKUP(YEAR(T596)+(MONTH(T596)/100),TC!$5:$37,DAY(T596)+2,FALSE),VLOOKUP(U596,Equivalencia!$1:$23,((MAX(Equivalencia!$3:$3)-YEAR(T596))*14)+MONTH(T596)+2,FALSE)))</f>
        <v>0</v>
      </c>
      <c r="X596" s="178">
        <f t="shared" si="99"/>
        <v>0</v>
      </c>
      <c r="Y596" s="178">
        <f t="shared" si="100"/>
        <v>0</v>
      </c>
      <c r="Z596" s="175">
        <f t="shared" si="92"/>
        <v>0</v>
      </c>
      <c r="AA596" s="179"/>
      <c r="AB596" s="467">
        <f t="shared" si="93"/>
        <v>0</v>
      </c>
      <c r="AC596" s="466">
        <f t="shared" si="94"/>
        <v>0</v>
      </c>
    </row>
    <row r="597" spans="2:29" ht="20.100000000000001" customHeight="1">
      <c r="B597" s="172"/>
      <c r="C597" s="172"/>
      <c r="D597" s="172"/>
      <c r="E597" s="181"/>
      <c r="F597" s="173"/>
      <c r="G597" s="174"/>
      <c r="H597" s="284"/>
      <c r="I597" s="221"/>
      <c r="J597" s="177">
        <f>IF(H597=0,0,IF(F597="MXN",1/HLOOKUP(YEAR(G597)+(MONTH(G597)/100),TC!$5:$37,DAY(G597)+2,FALSE),VLOOKUP(F597,Equivalencia!$5:$23,((MAX(Equivalencia!$3:$3)-YEAR(G597))*14)+MONTH(G597)+2,FALSE)))</f>
        <v>0</v>
      </c>
      <c r="K597" s="217">
        <f t="shared" si="95"/>
        <v>0</v>
      </c>
      <c r="L597" s="462">
        <f>IF(G597=0,0,VLOOKUP(YEAR(G597),INPC!$B$4:$O$29,MONTH(G597)+1))</f>
        <v>0</v>
      </c>
      <c r="M597" s="462">
        <f>IF(T597=0,0,VLOOKUP(YEAR(T597),INPC!$B$4:$O$29,MONTH(T597)+1))</f>
        <v>0</v>
      </c>
      <c r="N597" s="463">
        <f t="shared" si="91"/>
        <v>0</v>
      </c>
      <c r="O597" s="464">
        <f t="shared" si="96"/>
        <v>0</v>
      </c>
      <c r="P597" s="465">
        <f t="shared" si="97"/>
        <v>0</v>
      </c>
      <c r="Q597" s="606" t="str">
        <f t="shared" si="98"/>
        <v>NO</v>
      </c>
      <c r="R597" s="180"/>
      <c r="S597" s="173"/>
      <c r="T597" s="174"/>
      <c r="U597" s="173"/>
      <c r="V597" s="220"/>
      <c r="W597" s="177">
        <f>IF(S597=0,0,IF(U597="MXN",1/HLOOKUP(YEAR(T597)+(MONTH(T597)/100),TC!$5:$37,DAY(T597)+2,FALSE),VLOOKUP(U597,Equivalencia!$1:$23,((MAX(Equivalencia!$3:$3)-YEAR(T597))*14)+MONTH(T597)+2,FALSE)))</f>
        <v>0</v>
      </c>
      <c r="X597" s="178">
        <f t="shared" si="99"/>
        <v>0</v>
      </c>
      <c r="Y597" s="178">
        <f t="shared" si="100"/>
        <v>0</v>
      </c>
      <c r="Z597" s="175">
        <f t="shared" si="92"/>
        <v>0</v>
      </c>
      <c r="AA597" s="179"/>
      <c r="AB597" s="467">
        <f t="shared" si="93"/>
        <v>0</v>
      </c>
      <c r="AC597" s="466">
        <f t="shared" si="94"/>
        <v>0</v>
      </c>
    </row>
    <row r="598" spans="2:29" ht="20.100000000000001" customHeight="1">
      <c r="B598" s="172"/>
      <c r="C598" s="172"/>
      <c r="D598" s="172"/>
      <c r="E598" s="181"/>
      <c r="F598" s="173"/>
      <c r="G598" s="174"/>
      <c r="H598" s="284"/>
      <c r="I598" s="221"/>
      <c r="J598" s="177">
        <f>IF(H598=0,0,IF(F598="MXN",1/HLOOKUP(YEAR(G598)+(MONTH(G598)/100),TC!$5:$37,DAY(G598)+2,FALSE),VLOOKUP(F598,Equivalencia!$5:$23,((MAX(Equivalencia!$3:$3)-YEAR(G598))*14)+MONTH(G598)+2,FALSE)))</f>
        <v>0</v>
      </c>
      <c r="K598" s="217">
        <f t="shared" si="95"/>
        <v>0</v>
      </c>
      <c r="L598" s="462">
        <f>IF(G598=0,0,VLOOKUP(YEAR(G598),INPC!$B$4:$O$29,MONTH(G598)+1))</f>
        <v>0</v>
      </c>
      <c r="M598" s="462">
        <f>IF(T598=0,0,VLOOKUP(YEAR(T598),INPC!$B$4:$O$29,MONTH(T598)+1))</f>
        <v>0</v>
      </c>
      <c r="N598" s="463">
        <f t="shared" si="91"/>
        <v>0</v>
      </c>
      <c r="O598" s="464">
        <f t="shared" si="96"/>
        <v>0</v>
      </c>
      <c r="P598" s="465">
        <f t="shared" si="97"/>
        <v>0</v>
      </c>
      <c r="Q598" s="606" t="str">
        <f t="shared" si="98"/>
        <v>NO</v>
      </c>
      <c r="R598" s="180"/>
      <c r="S598" s="173"/>
      <c r="T598" s="174"/>
      <c r="U598" s="173"/>
      <c r="V598" s="220"/>
      <c r="W598" s="177">
        <f>IF(S598=0,0,IF(U598="MXN",1/HLOOKUP(YEAR(T598)+(MONTH(T598)/100),TC!$5:$37,DAY(T598)+2,FALSE),VLOOKUP(U598,Equivalencia!$1:$23,((MAX(Equivalencia!$3:$3)-YEAR(T598))*14)+MONTH(T598)+2,FALSE)))</f>
        <v>0</v>
      </c>
      <c r="X598" s="178">
        <f t="shared" si="99"/>
        <v>0</v>
      </c>
      <c r="Y598" s="178">
        <f t="shared" si="100"/>
        <v>0</v>
      </c>
      <c r="Z598" s="175">
        <f t="shared" si="92"/>
        <v>0</v>
      </c>
      <c r="AA598" s="179"/>
      <c r="AB598" s="467">
        <f t="shared" si="93"/>
        <v>0</v>
      </c>
      <c r="AC598" s="466">
        <f t="shared" si="94"/>
        <v>0</v>
      </c>
    </row>
    <row r="599" spans="2:29" ht="20.100000000000001" customHeight="1">
      <c r="B599" s="172"/>
      <c r="C599" s="172"/>
      <c r="D599" s="172"/>
      <c r="E599" s="181"/>
      <c r="F599" s="173"/>
      <c r="G599" s="174"/>
      <c r="H599" s="284"/>
      <c r="I599" s="221"/>
      <c r="J599" s="177">
        <f>IF(H599=0,0,IF(F599="MXN",1/HLOOKUP(YEAR(G599)+(MONTH(G599)/100),TC!$5:$37,DAY(G599)+2,FALSE),VLOOKUP(F599,Equivalencia!$5:$23,((MAX(Equivalencia!$3:$3)-YEAR(G599))*14)+MONTH(G599)+2,FALSE)))</f>
        <v>0</v>
      </c>
      <c r="K599" s="217">
        <f t="shared" si="95"/>
        <v>0</v>
      </c>
      <c r="L599" s="462">
        <f>IF(G599=0,0,VLOOKUP(YEAR(G599),INPC!$B$4:$O$29,MONTH(G599)+1))</f>
        <v>0</v>
      </c>
      <c r="M599" s="462">
        <f>IF(T599=0,0,VLOOKUP(YEAR(T599),INPC!$B$4:$O$29,MONTH(T599)+1))</f>
        <v>0</v>
      </c>
      <c r="N599" s="463">
        <f t="shared" si="91"/>
        <v>0</v>
      </c>
      <c r="O599" s="464">
        <f t="shared" si="96"/>
        <v>0</v>
      </c>
      <c r="P599" s="465">
        <f t="shared" si="97"/>
        <v>0</v>
      </c>
      <c r="Q599" s="606" t="str">
        <f t="shared" si="98"/>
        <v>NO</v>
      </c>
      <c r="R599" s="180"/>
      <c r="S599" s="173"/>
      <c r="T599" s="174"/>
      <c r="U599" s="173"/>
      <c r="V599" s="220"/>
      <c r="W599" s="177">
        <f>IF(S599=0,0,IF(U599="MXN",1/HLOOKUP(YEAR(T599)+(MONTH(T599)/100),TC!$5:$37,DAY(T599)+2,FALSE),VLOOKUP(U599,Equivalencia!$1:$23,((MAX(Equivalencia!$3:$3)-YEAR(T599))*14)+MONTH(T599)+2,FALSE)))</f>
        <v>0</v>
      </c>
      <c r="X599" s="178">
        <f t="shared" si="99"/>
        <v>0</v>
      </c>
      <c r="Y599" s="178">
        <f t="shared" si="100"/>
        <v>0</v>
      </c>
      <c r="Z599" s="175">
        <f t="shared" si="92"/>
        <v>0</v>
      </c>
      <c r="AA599" s="179"/>
      <c r="AB599" s="467">
        <f t="shared" si="93"/>
        <v>0</v>
      </c>
      <c r="AC599" s="466">
        <f t="shared" si="94"/>
        <v>0</v>
      </c>
    </row>
    <row r="600" spans="2:29" ht="20.100000000000001" customHeight="1">
      <c r="B600" s="172"/>
      <c r="C600" s="172"/>
      <c r="D600" s="172"/>
      <c r="E600" s="181"/>
      <c r="F600" s="173"/>
      <c r="G600" s="174"/>
      <c r="H600" s="284"/>
      <c r="I600" s="221"/>
      <c r="J600" s="177">
        <f>IF(H600=0,0,IF(F600="MXN",1/HLOOKUP(YEAR(G600)+(MONTH(G600)/100),TC!$5:$37,DAY(G600)+2,FALSE),VLOOKUP(F600,Equivalencia!$5:$23,((MAX(Equivalencia!$3:$3)-YEAR(G600))*14)+MONTH(G600)+2,FALSE)))</f>
        <v>0</v>
      </c>
      <c r="K600" s="217">
        <f t="shared" si="95"/>
        <v>0</v>
      </c>
      <c r="L600" s="462">
        <f>IF(G600=0,0,VLOOKUP(YEAR(G600),INPC!$B$4:$O$29,MONTH(G600)+1))</f>
        <v>0</v>
      </c>
      <c r="M600" s="462">
        <f>IF(T600=0,0,VLOOKUP(YEAR(T600),INPC!$B$4:$O$29,MONTH(T600)+1))</f>
        <v>0</v>
      </c>
      <c r="N600" s="463">
        <f t="shared" si="91"/>
        <v>0</v>
      </c>
      <c r="O600" s="464">
        <f t="shared" si="96"/>
        <v>0</v>
      </c>
      <c r="P600" s="465">
        <f t="shared" si="97"/>
        <v>0</v>
      </c>
      <c r="Q600" s="606" t="str">
        <f t="shared" si="98"/>
        <v>NO</v>
      </c>
      <c r="R600" s="180"/>
      <c r="S600" s="173"/>
      <c r="T600" s="174"/>
      <c r="U600" s="173"/>
      <c r="V600" s="220"/>
      <c r="W600" s="177">
        <f>IF(S600=0,0,IF(U600="MXN",1/HLOOKUP(YEAR(T600)+(MONTH(T600)/100),TC!$5:$37,DAY(T600)+2,FALSE),VLOOKUP(U600,Equivalencia!$1:$23,((MAX(Equivalencia!$3:$3)-YEAR(T600))*14)+MONTH(T600)+2,FALSE)))</f>
        <v>0</v>
      </c>
      <c r="X600" s="178">
        <f t="shared" si="99"/>
        <v>0</v>
      </c>
      <c r="Y600" s="178">
        <f t="shared" si="100"/>
        <v>0</v>
      </c>
      <c r="Z600" s="175">
        <f t="shared" si="92"/>
        <v>0</v>
      </c>
      <c r="AA600" s="179"/>
      <c r="AB600" s="467">
        <f t="shared" si="93"/>
        <v>0</v>
      </c>
      <c r="AC600" s="466">
        <f t="shared" si="94"/>
        <v>0</v>
      </c>
    </row>
    <row r="601" spans="2:29" ht="20.100000000000001" customHeight="1">
      <c r="B601" s="172"/>
      <c r="C601" s="172"/>
      <c r="D601" s="172"/>
      <c r="E601" s="181"/>
      <c r="F601" s="173"/>
      <c r="G601" s="174"/>
      <c r="H601" s="284"/>
      <c r="I601" s="221"/>
      <c r="J601" s="177">
        <f>IF(H601=0,0,IF(F601="MXN",1/HLOOKUP(YEAR(G601)+(MONTH(G601)/100),TC!$5:$37,DAY(G601)+2,FALSE),VLOOKUP(F601,Equivalencia!$5:$23,((MAX(Equivalencia!$3:$3)-YEAR(G601))*14)+MONTH(G601)+2,FALSE)))</f>
        <v>0</v>
      </c>
      <c r="K601" s="217">
        <f t="shared" si="95"/>
        <v>0</v>
      </c>
      <c r="L601" s="462">
        <f>IF(G601=0,0,VLOOKUP(YEAR(G601),INPC!$B$4:$O$29,MONTH(G601)+1))</f>
        <v>0</v>
      </c>
      <c r="M601" s="462">
        <f>IF(T601=0,0,VLOOKUP(YEAR(T601),INPC!$B$4:$O$29,MONTH(T601)+1))</f>
        <v>0</v>
      </c>
      <c r="N601" s="463">
        <f t="shared" si="91"/>
        <v>0</v>
      </c>
      <c r="O601" s="464">
        <f t="shared" si="96"/>
        <v>0</v>
      </c>
      <c r="P601" s="465">
        <f t="shared" si="97"/>
        <v>0</v>
      </c>
      <c r="Q601" s="606" t="str">
        <f t="shared" si="98"/>
        <v>NO</v>
      </c>
      <c r="R601" s="180"/>
      <c r="S601" s="173"/>
      <c r="T601" s="174"/>
      <c r="U601" s="173"/>
      <c r="V601" s="220"/>
      <c r="W601" s="177">
        <f>IF(S601=0,0,IF(U601="MXN",1/HLOOKUP(YEAR(T601)+(MONTH(T601)/100),TC!$5:$37,DAY(T601)+2,FALSE),VLOOKUP(U601,Equivalencia!$1:$23,((MAX(Equivalencia!$3:$3)-YEAR(T601))*14)+MONTH(T601)+2,FALSE)))</f>
        <v>0</v>
      </c>
      <c r="X601" s="178">
        <f t="shared" si="99"/>
        <v>0</v>
      </c>
      <c r="Y601" s="178">
        <f t="shared" si="100"/>
        <v>0</v>
      </c>
      <c r="Z601" s="175">
        <f t="shared" si="92"/>
        <v>0</v>
      </c>
      <c r="AA601" s="179"/>
      <c r="AB601" s="467">
        <f t="shared" si="93"/>
        <v>0</v>
      </c>
      <c r="AC601" s="466">
        <f t="shared" si="94"/>
        <v>0</v>
      </c>
    </row>
    <row r="602" spans="2:29" ht="20.100000000000001" customHeight="1">
      <c r="B602" s="172"/>
      <c r="C602" s="172"/>
      <c r="D602" s="172"/>
      <c r="E602" s="181"/>
      <c r="F602" s="173"/>
      <c r="G602" s="174"/>
      <c r="H602" s="284"/>
      <c r="I602" s="221"/>
      <c r="J602" s="177">
        <f>IF(H602=0,0,IF(F602="MXN",1/HLOOKUP(YEAR(G602)+(MONTH(G602)/100),TC!$5:$37,DAY(G602)+2,FALSE),VLOOKUP(F602,Equivalencia!$5:$23,((MAX(Equivalencia!$3:$3)-YEAR(G602))*14)+MONTH(G602)+2,FALSE)))</f>
        <v>0</v>
      </c>
      <c r="K602" s="217">
        <f t="shared" si="95"/>
        <v>0</v>
      </c>
      <c r="L602" s="462">
        <f>IF(G602=0,0,VLOOKUP(YEAR(G602),INPC!$B$4:$O$29,MONTH(G602)+1))</f>
        <v>0</v>
      </c>
      <c r="M602" s="462">
        <f>IF(T602=0,0,VLOOKUP(YEAR(T602),INPC!$B$4:$O$29,MONTH(T602)+1))</f>
        <v>0</v>
      </c>
      <c r="N602" s="463">
        <f t="shared" si="91"/>
        <v>0</v>
      </c>
      <c r="O602" s="464">
        <f t="shared" si="96"/>
        <v>0</v>
      </c>
      <c r="P602" s="465">
        <f t="shared" si="97"/>
        <v>0</v>
      </c>
      <c r="Q602" s="606" t="str">
        <f t="shared" si="98"/>
        <v>NO</v>
      </c>
      <c r="R602" s="180"/>
      <c r="S602" s="173"/>
      <c r="T602" s="174"/>
      <c r="U602" s="173"/>
      <c r="V602" s="220"/>
      <c r="W602" s="177">
        <f>IF(S602=0,0,IF(U602="MXN",1/HLOOKUP(YEAR(T602)+(MONTH(T602)/100),TC!$5:$37,DAY(T602)+2,FALSE),VLOOKUP(U602,Equivalencia!$1:$23,((MAX(Equivalencia!$3:$3)-YEAR(T602))*14)+MONTH(T602)+2,FALSE)))</f>
        <v>0</v>
      </c>
      <c r="X602" s="178">
        <f t="shared" si="99"/>
        <v>0</v>
      </c>
      <c r="Y602" s="178">
        <f t="shared" si="100"/>
        <v>0</v>
      </c>
      <c r="Z602" s="175">
        <f t="shared" si="92"/>
        <v>0</v>
      </c>
      <c r="AA602" s="179"/>
      <c r="AB602" s="467">
        <f t="shared" si="93"/>
        <v>0</v>
      </c>
      <c r="AC602" s="466">
        <f t="shared" si="94"/>
        <v>0</v>
      </c>
    </row>
    <row r="603" spans="2:29" ht="20.100000000000001" customHeight="1">
      <c r="B603" s="172"/>
      <c r="C603" s="172"/>
      <c r="D603" s="172"/>
      <c r="E603" s="181"/>
      <c r="F603" s="173"/>
      <c r="G603" s="174"/>
      <c r="H603" s="284"/>
      <c r="I603" s="221"/>
      <c r="J603" s="177">
        <f>IF(H603=0,0,IF(F603="MXN",1/HLOOKUP(YEAR(G603)+(MONTH(G603)/100),TC!$5:$37,DAY(G603)+2,FALSE),VLOOKUP(F603,Equivalencia!$5:$23,((MAX(Equivalencia!$3:$3)-YEAR(G603))*14)+MONTH(G603)+2,FALSE)))</f>
        <v>0</v>
      </c>
      <c r="K603" s="217">
        <f t="shared" si="95"/>
        <v>0</v>
      </c>
      <c r="L603" s="462">
        <f>IF(G603=0,0,VLOOKUP(YEAR(G603),INPC!$B$4:$O$29,MONTH(G603)+1))</f>
        <v>0</v>
      </c>
      <c r="M603" s="462">
        <f>IF(T603=0,0,VLOOKUP(YEAR(T603),INPC!$B$4:$O$29,MONTH(T603)+1))</f>
        <v>0</v>
      </c>
      <c r="N603" s="463">
        <f t="shared" si="91"/>
        <v>0</v>
      </c>
      <c r="O603" s="464">
        <f t="shared" si="96"/>
        <v>0</v>
      </c>
      <c r="P603" s="465">
        <f t="shared" si="97"/>
        <v>0</v>
      </c>
      <c r="Q603" s="606" t="str">
        <f t="shared" si="98"/>
        <v>NO</v>
      </c>
      <c r="R603" s="180"/>
      <c r="S603" s="173"/>
      <c r="T603" s="174"/>
      <c r="U603" s="173"/>
      <c r="V603" s="220"/>
      <c r="W603" s="177">
        <f>IF(S603=0,0,IF(U603="MXN",1/HLOOKUP(YEAR(T603)+(MONTH(T603)/100),TC!$5:$37,DAY(T603)+2,FALSE),VLOOKUP(U603,Equivalencia!$1:$23,((MAX(Equivalencia!$3:$3)-YEAR(T603))*14)+MONTH(T603)+2,FALSE)))</f>
        <v>0</v>
      </c>
      <c r="X603" s="178">
        <f t="shared" si="99"/>
        <v>0</v>
      </c>
      <c r="Y603" s="178">
        <f t="shared" si="100"/>
        <v>0</v>
      </c>
      <c r="Z603" s="175">
        <f t="shared" si="92"/>
        <v>0</v>
      </c>
      <c r="AA603" s="179"/>
      <c r="AB603" s="467">
        <f t="shared" si="93"/>
        <v>0</v>
      </c>
      <c r="AC603" s="466">
        <f t="shared" si="94"/>
        <v>0</v>
      </c>
    </row>
    <row r="604" spans="2:29" ht="20.100000000000001" customHeight="1">
      <c r="B604" s="172"/>
      <c r="C604" s="172"/>
      <c r="D604" s="172"/>
      <c r="E604" s="181"/>
      <c r="F604" s="173"/>
      <c r="G604" s="174"/>
      <c r="H604" s="284"/>
      <c r="I604" s="221"/>
      <c r="J604" s="177">
        <f>IF(H604=0,0,IF(F604="MXN",1/HLOOKUP(YEAR(G604)+(MONTH(G604)/100),TC!$5:$37,DAY(G604)+2,FALSE),VLOOKUP(F604,Equivalencia!$5:$23,((MAX(Equivalencia!$3:$3)-YEAR(G604))*14)+MONTH(G604)+2,FALSE)))</f>
        <v>0</v>
      </c>
      <c r="K604" s="217">
        <f t="shared" si="95"/>
        <v>0</v>
      </c>
      <c r="L604" s="462">
        <f>IF(G604=0,0,VLOOKUP(YEAR(G604),INPC!$B$4:$O$29,MONTH(G604)+1))</f>
        <v>0</v>
      </c>
      <c r="M604" s="462">
        <f>IF(T604=0,0,VLOOKUP(YEAR(T604),INPC!$B$4:$O$29,MONTH(T604)+1))</f>
        <v>0</v>
      </c>
      <c r="N604" s="463">
        <f t="shared" si="91"/>
        <v>0</v>
      </c>
      <c r="O604" s="464">
        <f t="shared" si="96"/>
        <v>0</v>
      </c>
      <c r="P604" s="465">
        <f t="shared" si="97"/>
        <v>0</v>
      </c>
      <c r="Q604" s="606" t="str">
        <f t="shared" si="98"/>
        <v>NO</v>
      </c>
      <c r="R604" s="180"/>
      <c r="S604" s="173"/>
      <c r="T604" s="174"/>
      <c r="U604" s="173"/>
      <c r="V604" s="220"/>
      <c r="W604" s="177">
        <f>IF(S604=0,0,IF(U604="MXN",1/HLOOKUP(YEAR(T604)+(MONTH(T604)/100),TC!$5:$37,DAY(T604)+2,FALSE),VLOOKUP(U604,Equivalencia!$1:$23,((MAX(Equivalencia!$3:$3)-YEAR(T604))*14)+MONTH(T604)+2,FALSE)))</f>
        <v>0</v>
      </c>
      <c r="X604" s="178">
        <f t="shared" si="99"/>
        <v>0</v>
      </c>
      <c r="Y604" s="178">
        <f t="shared" si="100"/>
        <v>0</v>
      </c>
      <c r="Z604" s="175">
        <f t="shared" si="92"/>
        <v>0</v>
      </c>
      <c r="AA604" s="179"/>
      <c r="AB604" s="467">
        <f t="shared" si="93"/>
        <v>0</v>
      </c>
      <c r="AC604" s="466">
        <f t="shared" si="94"/>
        <v>0</v>
      </c>
    </row>
    <row r="605" spans="2:29" ht="20.100000000000001" customHeight="1">
      <c r="B605" s="172"/>
      <c r="C605" s="172"/>
      <c r="D605" s="172"/>
      <c r="E605" s="181"/>
      <c r="F605" s="173"/>
      <c r="G605" s="174"/>
      <c r="H605" s="284"/>
      <c r="I605" s="221"/>
      <c r="J605" s="177">
        <f>IF(H605=0,0,IF(F605="MXN",1/HLOOKUP(YEAR(G605)+(MONTH(G605)/100),TC!$5:$37,DAY(G605)+2,FALSE),VLOOKUP(F605,Equivalencia!$5:$23,((MAX(Equivalencia!$3:$3)-YEAR(G605))*14)+MONTH(G605)+2,FALSE)))</f>
        <v>0</v>
      </c>
      <c r="K605" s="217">
        <f t="shared" si="95"/>
        <v>0</v>
      </c>
      <c r="L605" s="462">
        <f>IF(G605=0,0,VLOOKUP(YEAR(G605),INPC!$B$4:$O$29,MONTH(G605)+1))</f>
        <v>0</v>
      </c>
      <c r="M605" s="462">
        <f>IF(T605=0,0,VLOOKUP(YEAR(T605),INPC!$B$4:$O$29,MONTH(T605)+1))</f>
        <v>0</v>
      </c>
      <c r="N605" s="463">
        <f t="shared" si="91"/>
        <v>0</v>
      </c>
      <c r="O605" s="464">
        <f t="shared" si="96"/>
        <v>0</v>
      </c>
      <c r="P605" s="465">
        <f t="shared" si="97"/>
        <v>0</v>
      </c>
      <c r="Q605" s="606" t="str">
        <f t="shared" si="98"/>
        <v>NO</v>
      </c>
      <c r="R605" s="180"/>
      <c r="S605" s="173"/>
      <c r="T605" s="174"/>
      <c r="U605" s="173"/>
      <c r="V605" s="220"/>
      <c r="W605" s="177">
        <f>IF(S605=0,0,IF(U605="MXN",1/HLOOKUP(YEAR(T605)+(MONTH(T605)/100),TC!$5:$37,DAY(T605)+2,FALSE),VLOOKUP(U605,Equivalencia!$1:$23,((MAX(Equivalencia!$3:$3)-YEAR(T605))*14)+MONTH(T605)+2,FALSE)))</f>
        <v>0</v>
      </c>
      <c r="X605" s="178">
        <f t="shared" si="99"/>
        <v>0</v>
      </c>
      <c r="Y605" s="178">
        <f t="shared" si="100"/>
        <v>0</v>
      </c>
      <c r="Z605" s="175">
        <f t="shared" si="92"/>
        <v>0</v>
      </c>
      <c r="AA605" s="179"/>
      <c r="AB605" s="467">
        <f t="shared" si="93"/>
        <v>0</v>
      </c>
      <c r="AC605" s="466">
        <f t="shared" si="94"/>
        <v>0</v>
      </c>
    </row>
    <row r="606" spans="2:29" ht="20.100000000000001" customHeight="1">
      <c r="B606" s="172"/>
      <c r="C606" s="172"/>
      <c r="D606" s="172"/>
      <c r="E606" s="181"/>
      <c r="F606" s="173"/>
      <c r="G606" s="174"/>
      <c r="H606" s="284"/>
      <c r="I606" s="221"/>
      <c r="J606" s="177">
        <f>IF(H606=0,0,IF(F606="MXN",1/HLOOKUP(YEAR(G606)+(MONTH(G606)/100),TC!$5:$37,DAY(G606)+2,FALSE),VLOOKUP(F606,Equivalencia!$5:$23,((MAX(Equivalencia!$3:$3)-YEAR(G606))*14)+MONTH(G606)+2,FALSE)))</f>
        <v>0</v>
      </c>
      <c r="K606" s="217">
        <f t="shared" si="95"/>
        <v>0</v>
      </c>
      <c r="L606" s="462">
        <f>IF(G606=0,0,VLOOKUP(YEAR(G606),INPC!$B$4:$O$29,MONTH(G606)+1))</f>
        <v>0</v>
      </c>
      <c r="M606" s="462">
        <f>IF(T606=0,0,VLOOKUP(YEAR(T606),INPC!$B$4:$O$29,MONTH(T606)+1))</f>
        <v>0</v>
      </c>
      <c r="N606" s="463">
        <f t="shared" si="91"/>
        <v>0</v>
      </c>
      <c r="O606" s="464">
        <f t="shared" si="96"/>
        <v>0</v>
      </c>
      <c r="P606" s="465">
        <f t="shared" si="97"/>
        <v>0</v>
      </c>
      <c r="Q606" s="606" t="str">
        <f t="shared" si="98"/>
        <v>NO</v>
      </c>
      <c r="R606" s="180"/>
      <c r="S606" s="173"/>
      <c r="T606" s="174"/>
      <c r="U606" s="173"/>
      <c r="V606" s="220"/>
      <c r="W606" s="177">
        <f>IF(S606=0,0,IF(U606="MXN",1/HLOOKUP(YEAR(T606)+(MONTH(T606)/100),TC!$5:$37,DAY(T606)+2,FALSE),VLOOKUP(U606,Equivalencia!$1:$23,((MAX(Equivalencia!$3:$3)-YEAR(T606))*14)+MONTH(T606)+2,FALSE)))</f>
        <v>0</v>
      </c>
      <c r="X606" s="178">
        <f t="shared" si="99"/>
        <v>0</v>
      </c>
      <c r="Y606" s="178">
        <f t="shared" si="100"/>
        <v>0</v>
      </c>
      <c r="Z606" s="175">
        <f t="shared" si="92"/>
        <v>0</v>
      </c>
      <c r="AA606" s="179"/>
      <c r="AB606" s="467">
        <f t="shared" si="93"/>
        <v>0</v>
      </c>
      <c r="AC606" s="466">
        <f t="shared" si="94"/>
        <v>0</v>
      </c>
    </row>
    <row r="607" spans="2:29" ht="20.100000000000001" customHeight="1">
      <c r="B607" s="172"/>
      <c r="C607" s="172"/>
      <c r="D607" s="172"/>
      <c r="E607" s="181"/>
      <c r="F607" s="173"/>
      <c r="G607" s="174"/>
      <c r="H607" s="284"/>
      <c r="I607" s="221"/>
      <c r="J607" s="177">
        <f>IF(H607=0,0,IF(F607="MXN",1/HLOOKUP(YEAR(G607)+(MONTH(G607)/100),TC!$5:$37,DAY(G607)+2,FALSE),VLOOKUP(F607,Equivalencia!$5:$23,((MAX(Equivalencia!$3:$3)-YEAR(G607))*14)+MONTH(G607)+2,FALSE)))</f>
        <v>0</v>
      </c>
      <c r="K607" s="217">
        <f t="shared" si="95"/>
        <v>0</v>
      </c>
      <c r="L607" s="462">
        <f>IF(G607=0,0,VLOOKUP(YEAR(G607),INPC!$B$4:$O$29,MONTH(G607)+1))</f>
        <v>0</v>
      </c>
      <c r="M607" s="462">
        <f>IF(T607=0,0,VLOOKUP(YEAR(T607),INPC!$B$4:$O$29,MONTH(T607)+1))</f>
        <v>0</v>
      </c>
      <c r="N607" s="463">
        <f t="shared" si="91"/>
        <v>0</v>
      </c>
      <c r="O607" s="464">
        <f t="shared" si="96"/>
        <v>0</v>
      </c>
      <c r="P607" s="465">
        <f t="shared" si="97"/>
        <v>0</v>
      </c>
      <c r="Q607" s="606" t="str">
        <f t="shared" si="98"/>
        <v>NO</v>
      </c>
      <c r="R607" s="180"/>
      <c r="S607" s="173"/>
      <c r="T607" s="174"/>
      <c r="U607" s="173"/>
      <c r="V607" s="220"/>
      <c r="W607" s="177">
        <f>IF(S607=0,0,IF(U607="MXN",1/HLOOKUP(YEAR(T607)+(MONTH(T607)/100),TC!$5:$37,DAY(T607)+2,FALSE),VLOOKUP(U607,Equivalencia!$1:$23,((MAX(Equivalencia!$3:$3)-YEAR(T607))*14)+MONTH(T607)+2,FALSE)))</f>
        <v>0</v>
      </c>
      <c r="X607" s="178">
        <f t="shared" si="99"/>
        <v>0</v>
      </c>
      <c r="Y607" s="178">
        <f t="shared" si="100"/>
        <v>0</v>
      </c>
      <c r="Z607" s="175">
        <f t="shared" si="92"/>
        <v>0</v>
      </c>
      <c r="AA607" s="179"/>
      <c r="AB607" s="467">
        <f t="shared" si="93"/>
        <v>0</v>
      </c>
      <c r="AC607" s="466">
        <f t="shared" si="94"/>
        <v>0</v>
      </c>
    </row>
    <row r="608" spans="2:29" ht="20.100000000000001" customHeight="1">
      <c r="B608" s="172"/>
      <c r="C608" s="172"/>
      <c r="D608" s="172"/>
      <c r="E608" s="181"/>
      <c r="F608" s="173"/>
      <c r="G608" s="174"/>
      <c r="H608" s="284"/>
      <c r="I608" s="221"/>
      <c r="J608" s="177">
        <f>IF(H608=0,0,IF(F608="MXN",1/HLOOKUP(YEAR(G608)+(MONTH(G608)/100),TC!$5:$37,DAY(G608)+2,FALSE),VLOOKUP(F608,Equivalencia!$5:$23,((MAX(Equivalencia!$3:$3)-YEAR(G608))*14)+MONTH(G608)+2,FALSE)))</f>
        <v>0</v>
      </c>
      <c r="K608" s="217">
        <f t="shared" si="95"/>
        <v>0</v>
      </c>
      <c r="L608" s="462">
        <f>IF(G608=0,0,VLOOKUP(YEAR(G608),INPC!$B$4:$O$29,MONTH(G608)+1))</f>
        <v>0</v>
      </c>
      <c r="M608" s="462">
        <f>IF(T608=0,0,VLOOKUP(YEAR(T608),INPC!$B$4:$O$29,MONTH(T608)+1))</f>
        <v>0</v>
      </c>
      <c r="N608" s="463">
        <f t="shared" si="91"/>
        <v>0</v>
      </c>
      <c r="O608" s="464">
        <f t="shared" si="96"/>
        <v>0</v>
      </c>
      <c r="P608" s="465">
        <f t="shared" si="97"/>
        <v>0</v>
      </c>
      <c r="Q608" s="606" t="str">
        <f t="shared" si="98"/>
        <v>NO</v>
      </c>
      <c r="R608" s="180"/>
      <c r="S608" s="173"/>
      <c r="T608" s="174"/>
      <c r="U608" s="173"/>
      <c r="V608" s="220"/>
      <c r="W608" s="177">
        <f>IF(S608=0,0,IF(U608="MXN",1/HLOOKUP(YEAR(T608)+(MONTH(T608)/100),TC!$5:$37,DAY(T608)+2,FALSE),VLOOKUP(U608,Equivalencia!$1:$23,((MAX(Equivalencia!$3:$3)-YEAR(T608))*14)+MONTH(T608)+2,FALSE)))</f>
        <v>0</v>
      </c>
      <c r="X608" s="178">
        <f t="shared" si="99"/>
        <v>0</v>
      </c>
      <c r="Y608" s="178">
        <f t="shared" si="100"/>
        <v>0</v>
      </c>
      <c r="Z608" s="175">
        <f t="shared" si="92"/>
        <v>0</v>
      </c>
      <c r="AA608" s="179"/>
      <c r="AB608" s="467">
        <f t="shared" si="93"/>
        <v>0</v>
      </c>
      <c r="AC608" s="466">
        <f t="shared" si="94"/>
        <v>0</v>
      </c>
    </row>
    <row r="609" spans="2:29" ht="20.100000000000001" customHeight="1">
      <c r="B609" s="172"/>
      <c r="C609" s="172"/>
      <c r="D609" s="172"/>
      <c r="E609" s="181"/>
      <c r="F609" s="173"/>
      <c r="G609" s="174"/>
      <c r="H609" s="284"/>
      <c r="I609" s="221"/>
      <c r="J609" s="177">
        <f>IF(H609=0,0,IF(F609="MXN",1/HLOOKUP(YEAR(G609)+(MONTH(G609)/100),TC!$5:$37,DAY(G609)+2,FALSE),VLOOKUP(F609,Equivalencia!$5:$23,((MAX(Equivalencia!$3:$3)-YEAR(G609))*14)+MONTH(G609)+2,FALSE)))</f>
        <v>0</v>
      </c>
      <c r="K609" s="217">
        <f t="shared" si="95"/>
        <v>0</v>
      </c>
      <c r="L609" s="462">
        <f>IF(G609=0,0,VLOOKUP(YEAR(G609),INPC!$B$4:$O$29,MONTH(G609)+1))</f>
        <v>0</v>
      </c>
      <c r="M609" s="462">
        <f>IF(T609=0,0,VLOOKUP(YEAR(T609),INPC!$B$4:$O$29,MONTH(T609)+1))</f>
        <v>0</v>
      </c>
      <c r="N609" s="463">
        <f t="shared" si="91"/>
        <v>0</v>
      </c>
      <c r="O609" s="464">
        <f t="shared" si="96"/>
        <v>0</v>
      </c>
      <c r="P609" s="465">
        <f t="shared" si="97"/>
        <v>0</v>
      </c>
      <c r="Q609" s="606" t="str">
        <f t="shared" si="98"/>
        <v>NO</v>
      </c>
      <c r="R609" s="180"/>
      <c r="S609" s="173"/>
      <c r="T609" s="174"/>
      <c r="U609" s="173"/>
      <c r="V609" s="220"/>
      <c r="W609" s="177">
        <f>IF(S609=0,0,IF(U609="MXN",1/HLOOKUP(YEAR(T609)+(MONTH(T609)/100),TC!$5:$37,DAY(T609)+2,FALSE),VLOOKUP(U609,Equivalencia!$1:$23,((MAX(Equivalencia!$3:$3)-YEAR(T609))*14)+MONTH(T609)+2,FALSE)))</f>
        <v>0</v>
      </c>
      <c r="X609" s="178">
        <f t="shared" si="99"/>
        <v>0</v>
      </c>
      <c r="Y609" s="178">
        <f t="shared" si="100"/>
        <v>0</v>
      </c>
      <c r="Z609" s="175">
        <f t="shared" si="92"/>
        <v>0</v>
      </c>
      <c r="AA609" s="179"/>
      <c r="AB609" s="467">
        <f t="shared" si="93"/>
        <v>0</v>
      </c>
      <c r="AC609" s="466">
        <f t="shared" si="94"/>
        <v>0</v>
      </c>
    </row>
    <row r="610" spans="2:29" ht="20.100000000000001" customHeight="1">
      <c r="B610" s="172"/>
      <c r="C610" s="172"/>
      <c r="D610" s="172"/>
      <c r="E610" s="181"/>
      <c r="F610" s="173"/>
      <c r="G610" s="174"/>
      <c r="H610" s="284"/>
      <c r="I610" s="221"/>
      <c r="J610" s="177">
        <f>IF(H610=0,0,IF(F610="MXN",1/HLOOKUP(YEAR(G610)+(MONTH(G610)/100),TC!$5:$37,DAY(G610)+2,FALSE),VLOOKUP(F610,Equivalencia!$5:$23,((MAX(Equivalencia!$3:$3)-YEAR(G610))*14)+MONTH(G610)+2,FALSE)))</f>
        <v>0</v>
      </c>
      <c r="K610" s="217">
        <f t="shared" si="95"/>
        <v>0</v>
      </c>
      <c r="L610" s="462">
        <f>IF(G610=0,0,VLOOKUP(YEAR(G610),INPC!$B$4:$O$29,MONTH(G610)+1))</f>
        <v>0</v>
      </c>
      <c r="M610" s="462">
        <f>IF(T610=0,0,VLOOKUP(YEAR(T610),INPC!$B$4:$O$29,MONTH(T610)+1))</f>
        <v>0</v>
      </c>
      <c r="N610" s="463">
        <f t="shared" si="91"/>
        <v>0</v>
      </c>
      <c r="O610" s="464">
        <f t="shared" si="96"/>
        <v>0</v>
      </c>
      <c r="P610" s="465">
        <f t="shared" si="97"/>
        <v>0</v>
      </c>
      <c r="Q610" s="606" t="str">
        <f t="shared" si="98"/>
        <v>NO</v>
      </c>
      <c r="R610" s="180"/>
      <c r="S610" s="173"/>
      <c r="T610" s="174"/>
      <c r="U610" s="173"/>
      <c r="V610" s="220"/>
      <c r="W610" s="177">
        <f>IF(S610=0,0,IF(U610="MXN",1/HLOOKUP(YEAR(T610)+(MONTH(T610)/100),TC!$5:$37,DAY(T610)+2,FALSE),VLOOKUP(U610,Equivalencia!$1:$23,((MAX(Equivalencia!$3:$3)-YEAR(T610))*14)+MONTH(T610)+2,FALSE)))</f>
        <v>0</v>
      </c>
      <c r="X610" s="178">
        <f t="shared" si="99"/>
        <v>0</v>
      </c>
      <c r="Y610" s="178">
        <f t="shared" si="100"/>
        <v>0</v>
      </c>
      <c r="Z610" s="175">
        <f t="shared" si="92"/>
        <v>0</v>
      </c>
      <c r="AA610" s="179"/>
      <c r="AB610" s="467">
        <f t="shared" si="93"/>
        <v>0</v>
      </c>
      <c r="AC610" s="466">
        <f t="shared" si="94"/>
        <v>0</v>
      </c>
    </row>
    <row r="611" spans="2:29" ht="20.100000000000001" customHeight="1">
      <c r="B611" s="172"/>
      <c r="C611" s="172"/>
      <c r="D611" s="172"/>
      <c r="E611" s="181"/>
      <c r="F611" s="173"/>
      <c r="G611" s="174"/>
      <c r="H611" s="284"/>
      <c r="I611" s="221"/>
      <c r="J611" s="177">
        <f>IF(H611=0,0,IF(F611="MXN",1/HLOOKUP(YEAR(G611)+(MONTH(G611)/100),TC!$5:$37,DAY(G611)+2,FALSE),VLOOKUP(F611,Equivalencia!$5:$23,((MAX(Equivalencia!$3:$3)-YEAR(G611))*14)+MONTH(G611)+2,FALSE)))</f>
        <v>0</v>
      </c>
      <c r="K611" s="217">
        <f t="shared" si="95"/>
        <v>0</v>
      </c>
      <c r="L611" s="462">
        <f>IF(G611=0,0,VLOOKUP(YEAR(G611),INPC!$B$4:$O$29,MONTH(G611)+1))</f>
        <v>0</v>
      </c>
      <c r="M611" s="462">
        <f>IF(T611=0,0,VLOOKUP(YEAR(T611),INPC!$B$4:$O$29,MONTH(T611)+1))</f>
        <v>0</v>
      </c>
      <c r="N611" s="463">
        <f t="shared" si="91"/>
        <v>0</v>
      </c>
      <c r="O611" s="464">
        <f t="shared" si="96"/>
        <v>0</v>
      </c>
      <c r="P611" s="465">
        <f t="shared" si="97"/>
        <v>0</v>
      </c>
      <c r="Q611" s="606" t="str">
        <f t="shared" si="98"/>
        <v>NO</v>
      </c>
      <c r="R611" s="180"/>
      <c r="S611" s="173"/>
      <c r="T611" s="174"/>
      <c r="U611" s="173"/>
      <c r="V611" s="220"/>
      <c r="W611" s="177">
        <f>IF(S611=0,0,IF(U611="MXN",1/HLOOKUP(YEAR(T611)+(MONTH(T611)/100),TC!$5:$37,DAY(T611)+2,FALSE),VLOOKUP(U611,Equivalencia!$1:$23,((MAX(Equivalencia!$3:$3)-YEAR(T611))*14)+MONTH(T611)+2,FALSE)))</f>
        <v>0</v>
      </c>
      <c r="X611" s="178">
        <f t="shared" si="99"/>
        <v>0</v>
      </c>
      <c r="Y611" s="178">
        <f t="shared" si="100"/>
        <v>0</v>
      </c>
      <c r="Z611" s="175">
        <f t="shared" si="92"/>
        <v>0</v>
      </c>
      <c r="AA611" s="179"/>
      <c r="AB611" s="467">
        <f t="shared" si="93"/>
        <v>0</v>
      </c>
      <c r="AC611" s="466">
        <f t="shared" si="94"/>
        <v>0</v>
      </c>
    </row>
    <row r="612" spans="2:29" ht="20.100000000000001" customHeight="1">
      <c r="B612" s="172"/>
      <c r="C612" s="172"/>
      <c r="D612" s="172"/>
      <c r="E612" s="181"/>
      <c r="F612" s="173"/>
      <c r="G612" s="174"/>
      <c r="H612" s="284"/>
      <c r="I612" s="221"/>
      <c r="J612" s="177">
        <f>IF(H612=0,0,IF(F612="MXN",1/HLOOKUP(YEAR(G612)+(MONTH(G612)/100),TC!$5:$37,DAY(G612)+2,FALSE),VLOOKUP(F612,Equivalencia!$5:$23,((MAX(Equivalencia!$3:$3)-YEAR(G612))*14)+MONTH(G612)+2,FALSE)))</f>
        <v>0</v>
      </c>
      <c r="K612" s="217">
        <f t="shared" si="95"/>
        <v>0</v>
      </c>
      <c r="L612" s="462">
        <f>IF(G612=0,0,VLOOKUP(YEAR(G612),INPC!$B$4:$O$29,MONTH(G612)+1))</f>
        <v>0</v>
      </c>
      <c r="M612" s="462">
        <f>IF(T612=0,0,VLOOKUP(YEAR(T612),INPC!$B$4:$O$29,MONTH(T612)+1))</f>
        <v>0</v>
      </c>
      <c r="N612" s="463">
        <f t="shared" si="91"/>
        <v>0</v>
      </c>
      <c r="O612" s="464">
        <f t="shared" si="96"/>
        <v>0</v>
      </c>
      <c r="P612" s="465">
        <f t="shared" si="97"/>
        <v>0</v>
      </c>
      <c r="Q612" s="606" t="str">
        <f t="shared" si="98"/>
        <v>NO</v>
      </c>
      <c r="R612" s="180"/>
      <c r="S612" s="173"/>
      <c r="T612" s="174"/>
      <c r="U612" s="173"/>
      <c r="V612" s="220"/>
      <c r="W612" s="177">
        <f>IF(S612=0,0,IF(U612="MXN",1/HLOOKUP(YEAR(T612)+(MONTH(T612)/100),TC!$5:$37,DAY(T612)+2,FALSE),VLOOKUP(U612,Equivalencia!$1:$23,((MAX(Equivalencia!$3:$3)-YEAR(T612))*14)+MONTH(T612)+2,FALSE)))</f>
        <v>0</v>
      </c>
      <c r="X612" s="178">
        <f t="shared" si="99"/>
        <v>0</v>
      </c>
      <c r="Y612" s="178">
        <f t="shared" si="100"/>
        <v>0</v>
      </c>
      <c r="Z612" s="175">
        <f t="shared" si="92"/>
        <v>0</v>
      </c>
      <c r="AA612" s="179"/>
      <c r="AB612" s="467">
        <f t="shared" si="93"/>
        <v>0</v>
      </c>
      <c r="AC612" s="466">
        <f t="shared" si="94"/>
        <v>0</v>
      </c>
    </row>
    <row r="613" spans="2:29" ht="20.100000000000001" customHeight="1">
      <c r="B613" s="172"/>
      <c r="C613" s="172"/>
      <c r="D613" s="172"/>
      <c r="E613" s="181"/>
      <c r="F613" s="173"/>
      <c r="G613" s="174"/>
      <c r="H613" s="284"/>
      <c r="I613" s="221"/>
      <c r="J613" s="177">
        <f>IF(H613=0,0,IF(F613="MXN",1/HLOOKUP(YEAR(G613)+(MONTH(G613)/100),TC!$5:$37,DAY(G613)+2,FALSE),VLOOKUP(F613,Equivalencia!$5:$23,((MAX(Equivalencia!$3:$3)-YEAR(G613))*14)+MONTH(G613)+2,FALSE)))</f>
        <v>0</v>
      </c>
      <c r="K613" s="217">
        <f t="shared" si="95"/>
        <v>0</v>
      </c>
      <c r="L613" s="462">
        <f>IF(G613=0,0,VLOOKUP(YEAR(G613),INPC!$B$4:$O$29,MONTH(G613)+1))</f>
        <v>0</v>
      </c>
      <c r="M613" s="462">
        <f>IF(T613=0,0,VLOOKUP(YEAR(T613),INPC!$B$4:$O$29,MONTH(T613)+1))</f>
        <v>0</v>
      </c>
      <c r="N613" s="463">
        <f t="shared" si="91"/>
        <v>0</v>
      </c>
      <c r="O613" s="464">
        <f t="shared" si="96"/>
        <v>0</v>
      </c>
      <c r="P613" s="465">
        <f t="shared" si="97"/>
        <v>0</v>
      </c>
      <c r="Q613" s="606" t="str">
        <f t="shared" si="98"/>
        <v>NO</v>
      </c>
      <c r="R613" s="180"/>
      <c r="S613" s="173"/>
      <c r="T613" s="174"/>
      <c r="U613" s="173"/>
      <c r="V613" s="220"/>
      <c r="W613" s="177">
        <f>IF(S613=0,0,IF(U613="MXN",1/HLOOKUP(YEAR(T613)+(MONTH(T613)/100),TC!$5:$37,DAY(T613)+2,FALSE),VLOOKUP(U613,Equivalencia!$1:$23,((MAX(Equivalencia!$3:$3)-YEAR(T613))*14)+MONTH(T613)+2,FALSE)))</f>
        <v>0</v>
      </c>
      <c r="X613" s="178">
        <f t="shared" si="99"/>
        <v>0</v>
      </c>
      <c r="Y613" s="178">
        <f t="shared" si="100"/>
        <v>0</v>
      </c>
      <c r="Z613" s="175">
        <f t="shared" si="92"/>
        <v>0</v>
      </c>
      <c r="AA613" s="179"/>
      <c r="AB613" s="467">
        <f t="shared" si="93"/>
        <v>0</v>
      </c>
      <c r="AC613" s="466">
        <f t="shared" si="94"/>
        <v>0</v>
      </c>
    </row>
    <row r="614" spans="2:29" ht="20.100000000000001" customHeight="1">
      <c r="B614" s="172"/>
      <c r="C614" s="172"/>
      <c r="D614" s="172"/>
      <c r="E614" s="181"/>
      <c r="F614" s="173"/>
      <c r="G614" s="174"/>
      <c r="H614" s="284"/>
      <c r="I614" s="221"/>
      <c r="J614" s="177">
        <f>IF(H614=0,0,IF(F614="MXN",1/HLOOKUP(YEAR(G614)+(MONTH(G614)/100),TC!$5:$37,DAY(G614)+2,FALSE),VLOOKUP(F614,Equivalencia!$5:$23,((MAX(Equivalencia!$3:$3)-YEAR(G614))*14)+MONTH(G614)+2,FALSE)))</f>
        <v>0</v>
      </c>
      <c r="K614" s="217">
        <f t="shared" si="95"/>
        <v>0</v>
      </c>
      <c r="L614" s="462">
        <f>IF(G614=0,0,VLOOKUP(YEAR(G614),INPC!$B$4:$O$29,MONTH(G614)+1))</f>
        <v>0</v>
      </c>
      <c r="M614" s="462">
        <f>IF(T614=0,0,VLOOKUP(YEAR(T614),INPC!$B$4:$O$29,MONTH(T614)+1))</f>
        <v>0</v>
      </c>
      <c r="N614" s="463">
        <f t="shared" si="91"/>
        <v>0</v>
      </c>
      <c r="O614" s="464">
        <f t="shared" si="96"/>
        <v>0</v>
      </c>
      <c r="P614" s="465">
        <f t="shared" si="97"/>
        <v>0</v>
      </c>
      <c r="Q614" s="606" t="str">
        <f t="shared" si="98"/>
        <v>NO</v>
      </c>
      <c r="R614" s="180"/>
      <c r="S614" s="173"/>
      <c r="T614" s="174"/>
      <c r="U614" s="173"/>
      <c r="V614" s="220"/>
      <c r="W614" s="177">
        <f>IF(S614=0,0,IF(U614="MXN",1/HLOOKUP(YEAR(T614)+(MONTH(T614)/100),TC!$5:$37,DAY(T614)+2,FALSE),VLOOKUP(U614,Equivalencia!$1:$23,((MAX(Equivalencia!$3:$3)-YEAR(T614))*14)+MONTH(T614)+2,FALSE)))</f>
        <v>0</v>
      </c>
      <c r="X614" s="178">
        <f t="shared" si="99"/>
        <v>0</v>
      </c>
      <c r="Y614" s="178">
        <f t="shared" si="100"/>
        <v>0</v>
      </c>
      <c r="Z614" s="175">
        <f t="shared" si="92"/>
        <v>0</v>
      </c>
      <c r="AA614" s="179"/>
      <c r="AB614" s="467">
        <f t="shared" si="93"/>
        <v>0</v>
      </c>
      <c r="AC614" s="466">
        <f t="shared" si="94"/>
        <v>0</v>
      </c>
    </row>
    <row r="615" spans="2:29" ht="20.100000000000001" customHeight="1">
      <c r="B615" s="172"/>
      <c r="C615" s="172"/>
      <c r="D615" s="172"/>
      <c r="E615" s="181"/>
      <c r="F615" s="173"/>
      <c r="G615" s="174"/>
      <c r="H615" s="284"/>
      <c r="I615" s="221"/>
      <c r="J615" s="177">
        <f>IF(H615=0,0,IF(F615="MXN",1/HLOOKUP(YEAR(G615)+(MONTH(G615)/100),TC!$5:$37,DAY(G615)+2,FALSE),VLOOKUP(F615,Equivalencia!$5:$23,((MAX(Equivalencia!$3:$3)-YEAR(G615))*14)+MONTH(G615)+2,FALSE)))</f>
        <v>0</v>
      </c>
      <c r="K615" s="217">
        <f t="shared" si="95"/>
        <v>0</v>
      </c>
      <c r="L615" s="462">
        <f>IF(G615=0,0,VLOOKUP(YEAR(G615),INPC!$B$4:$O$29,MONTH(G615)+1))</f>
        <v>0</v>
      </c>
      <c r="M615" s="462">
        <f>IF(T615=0,0,VLOOKUP(YEAR(T615),INPC!$B$4:$O$29,MONTH(T615)+1))</f>
        <v>0</v>
      </c>
      <c r="N615" s="463">
        <f t="shared" si="91"/>
        <v>0</v>
      </c>
      <c r="O615" s="464">
        <f t="shared" si="96"/>
        <v>0</v>
      </c>
      <c r="P615" s="465">
        <f t="shared" si="97"/>
        <v>0</v>
      </c>
      <c r="Q615" s="606" t="str">
        <f t="shared" si="98"/>
        <v>NO</v>
      </c>
      <c r="R615" s="180"/>
      <c r="S615" s="173"/>
      <c r="T615" s="174"/>
      <c r="U615" s="173"/>
      <c r="V615" s="220"/>
      <c r="W615" s="177">
        <f>IF(S615=0,0,IF(U615="MXN",1/HLOOKUP(YEAR(T615)+(MONTH(T615)/100),TC!$5:$37,DAY(T615)+2,FALSE),VLOOKUP(U615,Equivalencia!$1:$23,((MAX(Equivalencia!$3:$3)-YEAR(T615))*14)+MONTH(T615)+2,FALSE)))</f>
        <v>0</v>
      </c>
      <c r="X615" s="178">
        <f t="shared" si="99"/>
        <v>0</v>
      </c>
      <c r="Y615" s="178">
        <f t="shared" si="100"/>
        <v>0</v>
      </c>
      <c r="Z615" s="175">
        <f t="shared" si="92"/>
        <v>0</v>
      </c>
      <c r="AA615" s="179"/>
      <c r="AB615" s="467">
        <f t="shared" si="93"/>
        <v>0</v>
      </c>
      <c r="AC615" s="466">
        <f t="shared" si="94"/>
        <v>0</v>
      </c>
    </row>
    <row r="616" spans="2:29" ht="20.100000000000001" customHeight="1">
      <c r="B616" s="172"/>
      <c r="C616" s="172"/>
      <c r="D616" s="172"/>
      <c r="E616" s="181"/>
      <c r="F616" s="173"/>
      <c r="G616" s="174"/>
      <c r="H616" s="284"/>
      <c r="I616" s="221"/>
      <c r="J616" s="177">
        <f>IF(H616=0,0,IF(F616="MXN",1/HLOOKUP(YEAR(G616)+(MONTH(G616)/100),TC!$5:$37,DAY(G616)+2,FALSE),VLOOKUP(F616,Equivalencia!$5:$23,((MAX(Equivalencia!$3:$3)-YEAR(G616))*14)+MONTH(G616)+2,FALSE)))</f>
        <v>0</v>
      </c>
      <c r="K616" s="217">
        <f t="shared" si="95"/>
        <v>0</v>
      </c>
      <c r="L616" s="462">
        <f>IF(G616=0,0,VLOOKUP(YEAR(G616),INPC!$B$4:$O$29,MONTH(G616)+1))</f>
        <v>0</v>
      </c>
      <c r="M616" s="462">
        <f>IF(T616=0,0,VLOOKUP(YEAR(T616),INPC!$B$4:$O$29,MONTH(T616)+1))</f>
        <v>0</v>
      </c>
      <c r="N616" s="463">
        <f t="shared" si="91"/>
        <v>0</v>
      </c>
      <c r="O616" s="464">
        <f t="shared" si="96"/>
        <v>0</v>
      </c>
      <c r="P616" s="465">
        <f t="shared" si="97"/>
        <v>0</v>
      </c>
      <c r="Q616" s="606" t="str">
        <f t="shared" si="98"/>
        <v>NO</v>
      </c>
      <c r="R616" s="180"/>
      <c r="S616" s="173"/>
      <c r="T616" s="174"/>
      <c r="U616" s="173"/>
      <c r="V616" s="220"/>
      <c r="W616" s="177">
        <f>IF(S616=0,0,IF(U616="MXN",1/HLOOKUP(YEAR(T616)+(MONTH(T616)/100),TC!$5:$37,DAY(T616)+2,FALSE),VLOOKUP(U616,Equivalencia!$1:$23,((MAX(Equivalencia!$3:$3)-YEAR(T616))*14)+MONTH(T616)+2,FALSE)))</f>
        <v>0</v>
      </c>
      <c r="X616" s="178">
        <f t="shared" si="99"/>
        <v>0</v>
      </c>
      <c r="Y616" s="178">
        <f t="shared" si="100"/>
        <v>0</v>
      </c>
      <c r="Z616" s="175">
        <f t="shared" si="92"/>
        <v>0</v>
      </c>
      <c r="AA616" s="179"/>
      <c r="AB616" s="467">
        <f t="shared" si="93"/>
        <v>0</v>
      </c>
      <c r="AC616" s="466">
        <f t="shared" si="94"/>
        <v>0</v>
      </c>
    </row>
    <row r="617" spans="2:29" ht="20.100000000000001" customHeight="1">
      <c r="B617" s="172"/>
      <c r="C617" s="172"/>
      <c r="D617" s="172"/>
      <c r="E617" s="181"/>
      <c r="F617" s="173"/>
      <c r="G617" s="174"/>
      <c r="H617" s="284"/>
      <c r="I617" s="221"/>
      <c r="J617" s="177">
        <f>IF(H617=0,0,IF(F617="MXN",1/HLOOKUP(YEAR(G617)+(MONTH(G617)/100),TC!$5:$37,DAY(G617)+2,FALSE),VLOOKUP(F617,Equivalencia!$5:$23,((MAX(Equivalencia!$3:$3)-YEAR(G617))*14)+MONTH(G617)+2,FALSE)))</f>
        <v>0</v>
      </c>
      <c r="K617" s="217">
        <f t="shared" si="95"/>
        <v>0</v>
      </c>
      <c r="L617" s="462">
        <f>IF(G617=0,0,VLOOKUP(YEAR(G617),INPC!$B$4:$O$29,MONTH(G617)+1))</f>
        <v>0</v>
      </c>
      <c r="M617" s="462">
        <f>IF(T617=0,0,VLOOKUP(YEAR(T617),INPC!$B$4:$O$29,MONTH(T617)+1))</f>
        <v>0</v>
      </c>
      <c r="N617" s="463">
        <f t="shared" si="91"/>
        <v>0</v>
      </c>
      <c r="O617" s="464">
        <f t="shared" si="96"/>
        <v>0</v>
      </c>
      <c r="P617" s="465">
        <f t="shared" si="97"/>
        <v>0</v>
      </c>
      <c r="Q617" s="606" t="str">
        <f t="shared" si="98"/>
        <v>NO</v>
      </c>
      <c r="R617" s="180"/>
      <c r="S617" s="173"/>
      <c r="T617" s="174"/>
      <c r="U617" s="173"/>
      <c r="V617" s="220"/>
      <c r="W617" s="177">
        <f>IF(S617=0,0,IF(U617="MXN",1/HLOOKUP(YEAR(T617)+(MONTH(T617)/100),TC!$5:$37,DAY(T617)+2,FALSE),VLOOKUP(U617,Equivalencia!$1:$23,((MAX(Equivalencia!$3:$3)-YEAR(T617))*14)+MONTH(T617)+2,FALSE)))</f>
        <v>0</v>
      </c>
      <c r="X617" s="178">
        <f t="shared" si="99"/>
        <v>0</v>
      </c>
      <c r="Y617" s="178">
        <f t="shared" si="100"/>
        <v>0</v>
      </c>
      <c r="Z617" s="175">
        <f t="shared" si="92"/>
        <v>0</v>
      </c>
      <c r="AA617" s="179"/>
      <c r="AB617" s="467">
        <f t="shared" si="93"/>
        <v>0</v>
      </c>
      <c r="AC617" s="466">
        <f t="shared" si="94"/>
        <v>0</v>
      </c>
    </row>
    <row r="618" spans="2:29" ht="20.100000000000001" customHeight="1">
      <c r="B618" s="172"/>
      <c r="C618" s="172"/>
      <c r="D618" s="172"/>
      <c r="E618" s="181"/>
      <c r="F618" s="173"/>
      <c r="G618" s="174"/>
      <c r="H618" s="284"/>
      <c r="I618" s="221"/>
      <c r="J618" s="177">
        <f>IF(H618=0,0,IF(F618="MXN",1/HLOOKUP(YEAR(G618)+(MONTH(G618)/100),TC!$5:$37,DAY(G618)+2,FALSE),VLOOKUP(F618,Equivalencia!$5:$23,((MAX(Equivalencia!$3:$3)-YEAR(G618))*14)+MONTH(G618)+2,FALSE)))</f>
        <v>0</v>
      </c>
      <c r="K618" s="217">
        <f t="shared" si="95"/>
        <v>0</v>
      </c>
      <c r="L618" s="462">
        <f>IF(G618=0,0,VLOOKUP(YEAR(G618),INPC!$B$4:$O$29,MONTH(G618)+1))</f>
        <v>0</v>
      </c>
      <c r="M618" s="462">
        <f>IF(T618=0,0,VLOOKUP(YEAR(T618),INPC!$B$4:$O$29,MONTH(T618)+1))</f>
        <v>0</v>
      </c>
      <c r="N618" s="463">
        <f t="shared" si="91"/>
        <v>0</v>
      </c>
      <c r="O618" s="464">
        <f t="shared" si="96"/>
        <v>0</v>
      </c>
      <c r="P618" s="465">
        <f t="shared" si="97"/>
        <v>0</v>
      </c>
      <c r="Q618" s="606" t="str">
        <f t="shared" si="98"/>
        <v>NO</v>
      </c>
      <c r="R618" s="180"/>
      <c r="S618" s="173"/>
      <c r="T618" s="174"/>
      <c r="U618" s="173"/>
      <c r="V618" s="220"/>
      <c r="W618" s="177">
        <f>IF(S618=0,0,IF(U618="MXN",1/HLOOKUP(YEAR(T618)+(MONTH(T618)/100),TC!$5:$37,DAY(T618)+2,FALSE),VLOOKUP(U618,Equivalencia!$1:$23,((MAX(Equivalencia!$3:$3)-YEAR(T618))*14)+MONTH(T618)+2,FALSE)))</f>
        <v>0</v>
      </c>
      <c r="X618" s="178">
        <f t="shared" si="99"/>
        <v>0</v>
      </c>
      <c r="Y618" s="178">
        <f t="shared" si="100"/>
        <v>0</v>
      </c>
      <c r="Z618" s="175">
        <f t="shared" si="92"/>
        <v>0</v>
      </c>
      <c r="AA618" s="179"/>
      <c r="AB618" s="467">
        <f t="shared" si="93"/>
        <v>0</v>
      </c>
      <c r="AC618" s="466">
        <f t="shared" si="94"/>
        <v>0</v>
      </c>
    </row>
    <row r="619" spans="2:29" ht="20.100000000000001" customHeight="1">
      <c r="B619" s="172"/>
      <c r="C619" s="172"/>
      <c r="D619" s="172"/>
      <c r="E619" s="181"/>
      <c r="F619" s="173"/>
      <c r="G619" s="174"/>
      <c r="H619" s="284"/>
      <c r="I619" s="221"/>
      <c r="J619" s="177">
        <f>IF(H619=0,0,IF(F619="MXN",1/HLOOKUP(YEAR(G619)+(MONTH(G619)/100),TC!$5:$37,DAY(G619)+2,FALSE),VLOOKUP(F619,Equivalencia!$5:$23,((MAX(Equivalencia!$3:$3)-YEAR(G619))*14)+MONTH(G619)+2,FALSE)))</f>
        <v>0</v>
      </c>
      <c r="K619" s="217">
        <f t="shared" si="95"/>
        <v>0</v>
      </c>
      <c r="L619" s="462">
        <f>IF(G619=0,0,VLOOKUP(YEAR(G619),INPC!$B$4:$O$29,MONTH(G619)+1))</f>
        <v>0</v>
      </c>
      <c r="M619" s="462">
        <f>IF(T619=0,0,VLOOKUP(YEAR(T619),INPC!$B$4:$O$29,MONTH(T619)+1))</f>
        <v>0</v>
      </c>
      <c r="N619" s="463">
        <f t="shared" si="91"/>
        <v>0</v>
      </c>
      <c r="O619" s="464">
        <f t="shared" si="96"/>
        <v>0</v>
      </c>
      <c r="P619" s="465">
        <f t="shared" si="97"/>
        <v>0</v>
      </c>
      <c r="Q619" s="606" t="str">
        <f t="shared" si="98"/>
        <v>NO</v>
      </c>
      <c r="R619" s="180"/>
      <c r="S619" s="173"/>
      <c r="T619" s="174"/>
      <c r="U619" s="173"/>
      <c r="V619" s="220"/>
      <c r="W619" s="177">
        <f>IF(S619=0,0,IF(U619="MXN",1/HLOOKUP(YEAR(T619)+(MONTH(T619)/100),TC!$5:$37,DAY(T619)+2,FALSE),VLOOKUP(U619,Equivalencia!$1:$23,((MAX(Equivalencia!$3:$3)-YEAR(T619))*14)+MONTH(T619)+2,FALSE)))</f>
        <v>0</v>
      </c>
      <c r="X619" s="178">
        <f t="shared" si="99"/>
        <v>0</v>
      </c>
      <c r="Y619" s="178">
        <f t="shared" si="100"/>
        <v>0</v>
      </c>
      <c r="Z619" s="175">
        <f t="shared" si="92"/>
        <v>0</v>
      </c>
      <c r="AA619" s="179"/>
      <c r="AB619" s="467">
        <f t="shared" si="93"/>
        <v>0</v>
      </c>
      <c r="AC619" s="466">
        <f t="shared" si="94"/>
        <v>0</v>
      </c>
    </row>
    <row r="620" spans="2:29" ht="20.100000000000001" customHeight="1">
      <c r="B620" s="172"/>
      <c r="C620" s="172"/>
      <c r="D620" s="172"/>
      <c r="E620" s="181"/>
      <c r="F620" s="173"/>
      <c r="G620" s="174"/>
      <c r="H620" s="284"/>
      <c r="I620" s="221"/>
      <c r="J620" s="177">
        <f>IF(H620=0,0,IF(F620="MXN",1/HLOOKUP(YEAR(G620)+(MONTH(G620)/100),TC!$5:$37,DAY(G620)+2,FALSE),VLOOKUP(F620,Equivalencia!$5:$23,((MAX(Equivalencia!$3:$3)-YEAR(G620))*14)+MONTH(G620)+2,FALSE)))</f>
        <v>0</v>
      </c>
      <c r="K620" s="217">
        <f t="shared" si="95"/>
        <v>0</v>
      </c>
      <c r="L620" s="462">
        <f>IF(G620=0,0,VLOOKUP(YEAR(G620),INPC!$B$4:$O$29,MONTH(G620)+1))</f>
        <v>0</v>
      </c>
      <c r="M620" s="462">
        <f>IF(T620=0,0,VLOOKUP(YEAR(T620),INPC!$B$4:$O$29,MONTH(T620)+1))</f>
        <v>0</v>
      </c>
      <c r="N620" s="463">
        <f t="shared" si="91"/>
        <v>0</v>
      </c>
      <c r="O620" s="464">
        <f t="shared" si="96"/>
        <v>0</v>
      </c>
      <c r="P620" s="465">
        <f t="shared" si="97"/>
        <v>0</v>
      </c>
      <c r="Q620" s="606" t="str">
        <f t="shared" si="98"/>
        <v>NO</v>
      </c>
      <c r="R620" s="180"/>
      <c r="S620" s="173"/>
      <c r="T620" s="174"/>
      <c r="U620" s="173"/>
      <c r="V620" s="220"/>
      <c r="W620" s="177">
        <f>IF(S620=0,0,IF(U620="MXN",1/HLOOKUP(YEAR(T620)+(MONTH(T620)/100),TC!$5:$37,DAY(T620)+2,FALSE),VLOOKUP(U620,Equivalencia!$1:$23,((MAX(Equivalencia!$3:$3)-YEAR(T620))*14)+MONTH(T620)+2,FALSE)))</f>
        <v>0</v>
      </c>
      <c r="X620" s="178">
        <f t="shared" si="99"/>
        <v>0</v>
      </c>
      <c r="Y620" s="178">
        <f t="shared" si="100"/>
        <v>0</v>
      </c>
      <c r="Z620" s="175">
        <f t="shared" si="92"/>
        <v>0</v>
      </c>
      <c r="AA620" s="179"/>
      <c r="AB620" s="467">
        <f t="shared" si="93"/>
        <v>0</v>
      </c>
      <c r="AC620" s="466">
        <f t="shared" si="94"/>
        <v>0</v>
      </c>
    </row>
    <row r="621" spans="2:29" ht="20.100000000000001" customHeight="1">
      <c r="B621" s="172"/>
      <c r="C621" s="172"/>
      <c r="D621" s="172"/>
      <c r="E621" s="181"/>
      <c r="F621" s="173"/>
      <c r="G621" s="174"/>
      <c r="H621" s="284"/>
      <c r="I621" s="221"/>
      <c r="J621" s="177">
        <f>IF(H621=0,0,IF(F621="MXN",1/HLOOKUP(YEAR(G621)+(MONTH(G621)/100),TC!$5:$37,DAY(G621)+2,FALSE),VLOOKUP(F621,Equivalencia!$5:$23,((MAX(Equivalencia!$3:$3)-YEAR(G621))*14)+MONTH(G621)+2,FALSE)))</f>
        <v>0</v>
      </c>
      <c r="K621" s="217">
        <f t="shared" si="95"/>
        <v>0</v>
      </c>
      <c r="L621" s="462">
        <f>IF(G621=0,0,VLOOKUP(YEAR(G621),INPC!$B$4:$O$29,MONTH(G621)+1))</f>
        <v>0</v>
      </c>
      <c r="M621" s="462">
        <f>IF(T621=0,0,VLOOKUP(YEAR(T621),INPC!$B$4:$O$29,MONTH(T621)+1))</f>
        <v>0</v>
      </c>
      <c r="N621" s="463">
        <f t="shared" si="91"/>
        <v>0</v>
      </c>
      <c r="O621" s="464">
        <f t="shared" si="96"/>
        <v>0</v>
      </c>
      <c r="P621" s="465">
        <f t="shared" si="97"/>
        <v>0</v>
      </c>
      <c r="Q621" s="606" t="str">
        <f t="shared" si="98"/>
        <v>NO</v>
      </c>
      <c r="R621" s="180"/>
      <c r="S621" s="173"/>
      <c r="T621" s="174"/>
      <c r="U621" s="173"/>
      <c r="V621" s="220"/>
      <c r="W621" s="177">
        <f>IF(S621=0,0,IF(U621="MXN",1/HLOOKUP(YEAR(T621)+(MONTH(T621)/100),TC!$5:$37,DAY(T621)+2,FALSE),VLOOKUP(U621,Equivalencia!$1:$23,((MAX(Equivalencia!$3:$3)-YEAR(T621))*14)+MONTH(T621)+2,FALSE)))</f>
        <v>0</v>
      </c>
      <c r="X621" s="178">
        <f t="shared" si="99"/>
        <v>0</v>
      </c>
      <c r="Y621" s="178">
        <f t="shared" si="100"/>
        <v>0</v>
      </c>
      <c r="Z621" s="175">
        <f t="shared" si="92"/>
        <v>0</v>
      </c>
      <c r="AA621" s="179"/>
      <c r="AB621" s="467">
        <f t="shared" si="93"/>
        <v>0</v>
      </c>
      <c r="AC621" s="466">
        <f t="shared" si="94"/>
        <v>0</v>
      </c>
    </row>
    <row r="622" spans="2:29" ht="20.100000000000001" customHeight="1">
      <c r="B622" s="172"/>
      <c r="C622" s="172"/>
      <c r="D622" s="172"/>
      <c r="E622" s="181"/>
      <c r="F622" s="173"/>
      <c r="G622" s="174"/>
      <c r="H622" s="284"/>
      <c r="I622" s="221"/>
      <c r="J622" s="177">
        <f>IF(H622=0,0,IF(F622="MXN",1/HLOOKUP(YEAR(G622)+(MONTH(G622)/100),TC!$5:$37,DAY(G622)+2,FALSE),VLOOKUP(F622,Equivalencia!$5:$23,((MAX(Equivalencia!$3:$3)-YEAR(G622))*14)+MONTH(G622)+2,FALSE)))</f>
        <v>0</v>
      </c>
      <c r="K622" s="217">
        <f t="shared" si="95"/>
        <v>0</v>
      </c>
      <c r="L622" s="462">
        <f>IF(G622=0,0,VLOOKUP(YEAR(G622),INPC!$B$4:$O$29,MONTH(G622)+1))</f>
        <v>0</v>
      </c>
      <c r="M622" s="462">
        <f>IF(T622=0,0,VLOOKUP(YEAR(T622),INPC!$B$4:$O$29,MONTH(T622)+1))</f>
        <v>0</v>
      </c>
      <c r="N622" s="463">
        <f t="shared" si="91"/>
        <v>0</v>
      </c>
      <c r="O622" s="464">
        <f t="shared" si="96"/>
        <v>0</v>
      </c>
      <c r="P622" s="465">
        <f t="shared" si="97"/>
        <v>0</v>
      </c>
      <c r="Q622" s="606" t="str">
        <f t="shared" si="98"/>
        <v>NO</v>
      </c>
      <c r="R622" s="180"/>
      <c r="S622" s="173"/>
      <c r="T622" s="174"/>
      <c r="U622" s="173"/>
      <c r="V622" s="220"/>
      <c r="W622" s="177">
        <f>IF(S622=0,0,IF(U622="MXN",1/HLOOKUP(YEAR(T622)+(MONTH(T622)/100),TC!$5:$37,DAY(T622)+2,FALSE),VLOOKUP(U622,Equivalencia!$1:$23,((MAX(Equivalencia!$3:$3)-YEAR(T622))*14)+MONTH(T622)+2,FALSE)))</f>
        <v>0</v>
      </c>
      <c r="X622" s="178">
        <f t="shared" si="99"/>
        <v>0</v>
      </c>
      <c r="Y622" s="178">
        <f t="shared" si="100"/>
        <v>0</v>
      </c>
      <c r="Z622" s="175">
        <f t="shared" si="92"/>
        <v>0</v>
      </c>
      <c r="AA622" s="179"/>
      <c r="AB622" s="467">
        <f t="shared" si="93"/>
        <v>0</v>
      </c>
      <c r="AC622" s="466">
        <f t="shared" si="94"/>
        <v>0</v>
      </c>
    </row>
    <row r="623" spans="2:29" ht="20.100000000000001" customHeight="1">
      <c r="B623" s="172"/>
      <c r="C623" s="172"/>
      <c r="D623" s="172"/>
      <c r="E623" s="181"/>
      <c r="F623" s="173"/>
      <c r="G623" s="174"/>
      <c r="H623" s="284"/>
      <c r="I623" s="221"/>
      <c r="J623" s="177">
        <f>IF(H623=0,0,IF(F623="MXN",1/HLOOKUP(YEAR(G623)+(MONTH(G623)/100),TC!$5:$37,DAY(G623)+2,FALSE),VLOOKUP(F623,Equivalencia!$5:$23,((MAX(Equivalencia!$3:$3)-YEAR(G623))*14)+MONTH(G623)+2,FALSE)))</f>
        <v>0</v>
      </c>
      <c r="K623" s="217">
        <f t="shared" si="95"/>
        <v>0</v>
      </c>
      <c r="L623" s="462">
        <f>IF(G623=0,0,VLOOKUP(YEAR(G623),INPC!$B$4:$O$29,MONTH(G623)+1))</f>
        <v>0</v>
      </c>
      <c r="M623" s="462">
        <f>IF(T623=0,0,VLOOKUP(YEAR(T623),INPC!$B$4:$O$29,MONTH(T623)+1))</f>
        <v>0</v>
      </c>
      <c r="N623" s="463">
        <f t="shared" si="91"/>
        <v>0</v>
      </c>
      <c r="O623" s="464">
        <f t="shared" si="96"/>
        <v>0</v>
      </c>
      <c r="P623" s="465">
        <f t="shared" si="97"/>
        <v>0</v>
      </c>
      <c r="Q623" s="606" t="str">
        <f t="shared" si="98"/>
        <v>NO</v>
      </c>
      <c r="R623" s="180"/>
      <c r="S623" s="173"/>
      <c r="T623" s="174"/>
      <c r="U623" s="173"/>
      <c r="V623" s="220"/>
      <c r="W623" s="177">
        <f>IF(S623=0,0,IF(U623="MXN",1/HLOOKUP(YEAR(T623)+(MONTH(T623)/100),TC!$5:$37,DAY(T623)+2,FALSE),VLOOKUP(U623,Equivalencia!$1:$23,((MAX(Equivalencia!$3:$3)-YEAR(T623))*14)+MONTH(T623)+2,FALSE)))</f>
        <v>0</v>
      </c>
      <c r="X623" s="178">
        <f t="shared" si="99"/>
        <v>0</v>
      </c>
      <c r="Y623" s="178">
        <f t="shared" si="100"/>
        <v>0</v>
      </c>
      <c r="Z623" s="175">
        <f t="shared" si="92"/>
        <v>0</v>
      </c>
      <c r="AA623" s="179"/>
      <c r="AB623" s="467">
        <f t="shared" si="93"/>
        <v>0</v>
      </c>
      <c r="AC623" s="466">
        <f t="shared" si="94"/>
        <v>0</v>
      </c>
    </row>
    <row r="624" spans="2:29" ht="20.100000000000001" customHeight="1">
      <c r="B624" s="172"/>
      <c r="C624" s="172"/>
      <c r="D624" s="172"/>
      <c r="E624" s="181"/>
      <c r="F624" s="173"/>
      <c r="G624" s="174"/>
      <c r="H624" s="284"/>
      <c r="I624" s="221"/>
      <c r="J624" s="177">
        <f>IF(H624=0,0,IF(F624="MXN",1/HLOOKUP(YEAR(G624)+(MONTH(G624)/100),TC!$5:$37,DAY(G624)+2,FALSE),VLOOKUP(F624,Equivalencia!$5:$23,((MAX(Equivalencia!$3:$3)-YEAR(G624))*14)+MONTH(G624)+2,FALSE)))</f>
        <v>0</v>
      </c>
      <c r="K624" s="217">
        <f t="shared" si="95"/>
        <v>0</v>
      </c>
      <c r="L624" s="462">
        <f>IF(G624=0,0,VLOOKUP(YEAR(G624),INPC!$B$4:$O$29,MONTH(G624)+1))</f>
        <v>0</v>
      </c>
      <c r="M624" s="462">
        <f>IF(T624=0,0,VLOOKUP(YEAR(T624),INPC!$B$4:$O$29,MONTH(T624)+1))</f>
        <v>0</v>
      </c>
      <c r="N624" s="463">
        <f t="shared" si="91"/>
        <v>0</v>
      </c>
      <c r="O624" s="464">
        <f t="shared" si="96"/>
        <v>0</v>
      </c>
      <c r="P624" s="465">
        <f t="shared" si="97"/>
        <v>0</v>
      </c>
      <c r="Q624" s="606" t="str">
        <f t="shared" si="98"/>
        <v>NO</v>
      </c>
      <c r="R624" s="180"/>
      <c r="S624" s="173"/>
      <c r="T624" s="174"/>
      <c r="U624" s="173"/>
      <c r="V624" s="220"/>
      <c r="W624" s="177">
        <f>IF(S624=0,0,IF(U624="MXN",1/HLOOKUP(YEAR(T624)+(MONTH(T624)/100),TC!$5:$37,DAY(T624)+2,FALSE),VLOOKUP(U624,Equivalencia!$1:$23,((MAX(Equivalencia!$3:$3)-YEAR(T624))*14)+MONTH(T624)+2,FALSE)))</f>
        <v>0</v>
      </c>
      <c r="X624" s="178">
        <f t="shared" si="99"/>
        <v>0</v>
      </c>
      <c r="Y624" s="178">
        <f t="shared" si="100"/>
        <v>0</v>
      </c>
      <c r="Z624" s="175">
        <f t="shared" si="92"/>
        <v>0</v>
      </c>
      <c r="AA624" s="179"/>
      <c r="AB624" s="467">
        <f t="shared" si="93"/>
        <v>0</v>
      </c>
      <c r="AC624" s="466">
        <f t="shared" si="94"/>
        <v>0</v>
      </c>
    </row>
    <row r="625" spans="2:29" ht="20.100000000000001" customHeight="1">
      <c r="B625" s="172"/>
      <c r="C625" s="172"/>
      <c r="D625" s="172"/>
      <c r="E625" s="181"/>
      <c r="F625" s="173"/>
      <c r="G625" s="174"/>
      <c r="H625" s="284"/>
      <c r="I625" s="221"/>
      <c r="J625" s="177">
        <f>IF(H625=0,0,IF(F625="MXN",1/HLOOKUP(YEAR(G625)+(MONTH(G625)/100),TC!$5:$37,DAY(G625)+2,FALSE),VLOOKUP(F625,Equivalencia!$5:$23,((MAX(Equivalencia!$3:$3)-YEAR(G625))*14)+MONTH(G625)+2,FALSE)))</f>
        <v>0</v>
      </c>
      <c r="K625" s="217">
        <f t="shared" si="95"/>
        <v>0</v>
      </c>
      <c r="L625" s="462">
        <f>IF(G625=0,0,VLOOKUP(YEAR(G625),INPC!$B$4:$O$29,MONTH(G625)+1))</f>
        <v>0</v>
      </c>
      <c r="M625" s="462">
        <f>IF(T625=0,0,VLOOKUP(YEAR(T625),INPC!$B$4:$O$29,MONTH(T625)+1))</f>
        <v>0</v>
      </c>
      <c r="N625" s="463">
        <f t="shared" si="91"/>
        <v>0</v>
      </c>
      <c r="O625" s="464">
        <f t="shared" si="96"/>
        <v>0</v>
      </c>
      <c r="P625" s="465">
        <f t="shared" si="97"/>
        <v>0</v>
      </c>
      <c r="Q625" s="606" t="str">
        <f t="shared" si="98"/>
        <v>NO</v>
      </c>
      <c r="R625" s="180"/>
      <c r="S625" s="173"/>
      <c r="T625" s="174"/>
      <c r="U625" s="173"/>
      <c r="V625" s="220"/>
      <c r="W625" s="177">
        <f>IF(S625=0,0,IF(U625="MXN",1/HLOOKUP(YEAR(T625)+(MONTH(T625)/100),TC!$5:$37,DAY(T625)+2,FALSE),VLOOKUP(U625,Equivalencia!$1:$23,((MAX(Equivalencia!$3:$3)-YEAR(T625))*14)+MONTH(T625)+2,FALSE)))</f>
        <v>0</v>
      </c>
      <c r="X625" s="178">
        <f t="shared" si="99"/>
        <v>0</v>
      </c>
      <c r="Y625" s="178">
        <f t="shared" si="100"/>
        <v>0</v>
      </c>
      <c r="Z625" s="175">
        <f t="shared" si="92"/>
        <v>0</v>
      </c>
      <c r="AA625" s="179"/>
      <c r="AB625" s="467">
        <f t="shared" si="93"/>
        <v>0</v>
      </c>
      <c r="AC625" s="466">
        <f t="shared" si="94"/>
        <v>0</v>
      </c>
    </row>
    <row r="626" spans="2:29" ht="20.100000000000001" customHeight="1">
      <c r="B626" s="172"/>
      <c r="C626" s="172"/>
      <c r="D626" s="172"/>
      <c r="E626" s="181"/>
      <c r="F626" s="173"/>
      <c r="G626" s="174"/>
      <c r="H626" s="284"/>
      <c r="I626" s="221"/>
      <c r="J626" s="177">
        <f>IF(H626=0,0,IF(F626="MXN",1/HLOOKUP(YEAR(G626)+(MONTH(G626)/100),TC!$5:$37,DAY(G626)+2,FALSE),VLOOKUP(F626,Equivalencia!$5:$23,((MAX(Equivalencia!$3:$3)-YEAR(G626))*14)+MONTH(G626)+2,FALSE)))</f>
        <v>0</v>
      </c>
      <c r="K626" s="217">
        <f t="shared" si="95"/>
        <v>0</v>
      </c>
      <c r="L626" s="462">
        <f>IF(G626=0,0,VLOOKUP(YEAR(G626),INPC!$B$4:$O$29,MONTH(G626)+1))</f>
        <v>0</v>
      </c>
      <c r="M626" s="462">
        <f>IF(T626=0,0,VLOOKUP(YEAR(T626),INPC!$B$4:$O$29,MONTH(T626)+1))</f>
        <v>0</v>
      </c>
      <c r="N626" s="463">
        <f t="shared" si="91"/>
        <v>0</v>
      </c>
      <c r="O626" s="464">
        <f t="shared" si="96"/>
        <v>0</v>
      </c>
      <c r="P626" s="465">
        <f t="shared" si="97"/>
        <v>0</v>
      </c>
      <c r="Q626" s="606" t="str">
        <f t="shared" si="98"/>
        <v>NO</v>
      </c>
      <c r="R626" s="180"/>
      <c r="S626" s="173"/>
      <c r="T626" s="174"/>
      <c r="U626" s="173"/>
      <c r="V626" s="220"/>
      <c r="W626" s="177">
        <f>IF(S626=0,0,IF(U626="MXN",1/HLOOKUP(YEAR(T626)+(MONTH(T626)/100),TC!$5:$37,DAY(T626)+2,FALSE),VLOOKUP(U626,Equivalencia!$1:$23,((MAX(Equivalencia!$3:$3)-YEAR(T626))*14)+MONTH(T626)+2,FALSE)))</f>
        <v>0</v>
      </c>
      <c r="X626" s="178">
        <f t="shared" si="99"/>
        <v>0</v>
      </c>
      <c r="Y626" s="178">
        <f t="shared" si="100"/>
        <v>0</v>
      </c>
      <c r="Z626" s="175">
        <f t="shared" si="92"/>
        <v>0</v>
      </c>
      <c r="AA626" s="179"/>
      <c r="AB626" s="467">
        <f t="shared" si="93"/>
        <v>0</v>
      </c>
      <c r="AC626" s="466">
        <f t="shared" si="94"/>
        <v>0</v>
      </c>
    </row>
    <row r="627" spans="2:29" ht="20.100000000000001" customHeight="1">
      <c r="B627" s="172"/>
      <c r="C627" s="172"/>
      <c r="D627" s="172"/>
      <c r="E627" s="181"/>
      <c r="F627" s="173"/>
      <c r="G627" s="174"/>
      <c r="H627" s="284"/>
      <c r="I627" s="221"/>
      <c r="J627" s="177">
        <f>IF(H627=0,0,IF(F627="MXN",1/HLOOKUP(YEAR(G627)+(MONTH(G627)/100),TC!$5:$37,DAY(G627)+2,FALSE),VLOOKUP(F627,Equivalencia!$5:$23,((MAX(Equivalencia!$3:$3)-YEAR(G627))*14)+MONTH(G627)+2,FALSE)))</f>
        <v>0</v>
      </c>
      <c r="K627" s="217">
        <f t="shared" si="95"/>
        <v>0</v>
      </c>
      <c r="L627" s="462">
        <f>IF(G627=0,0,VLOOKUP(YEAR(G627),INPC!$B$4:$O$29,MONTH(G627)+1))</f>
        <v>0</v>
      </c>
      <c r="M627" s="462">
        <f>IF(T627=0,0,VLOOKUP(YEAR(T627),INPC!$B$4:$O$29,MONTH(T627)+1))</f>
        <v>0</v>
      </c>
      <c r="N627" s="463">
        <f t="shared" si="91"/>
        <v>0</v>
      </c>
      <c r="O627" s="464">
        <f t="shared" si="96"/>
        <v>0</v>
      </c>
      <c r="P627" s="465">
        <f t="shared" si="97"/>
        <v>0</v>
      </c>
      <c r="Q627" s="606" t="str">
        <f t="shared" si="98"/>
        <v>NO</v>
      </c>
      <c r="R627" s="180"/>
      <c r="S627" s="173"/>
      <c r="T627" s="174"/>
      <c r="U627" s="173"/>
      <c r="V627" s="220"/>
      <c r="W627" s="177">
        <f>IF(S627=0,0,IF(U627="MXN",1/HLOOKUP(YEAR(T627)+(MONTH(T627)/100),TC!$5:$37,DAY(T627)+2,FALSE),VLOOKUP(U627,Equivalencia!$1:$23,((MAX(Equivalencia!$3:$3)-YEAR(T627))*14)+MONTH(T627)+2,FALSE)))</f>
        <v>0</v>
      </c>
      <c r="X627" s="178">
        <f t="shared" si="99"/>
        <v>0</v>
      </c>
      <c r="Y627" s="178">
        <f t="shared" si="100"/>
        <v>0</v>
      </c>
      <c r="Z627" s="175">
        <f t="shared" si="92"/>
        <v>0</v>
      </c>
      <c r="AA627" s="179"/>
      <c r="AB627" s="467">
        <f t="shared" si="93"/>
        <v>0</v>
      </c>
      <c r="AC627" s="466">
        <f t="shared" si="94"/>
        <v>0</v>
      </c>
    </row>
    <row r="628" spans="2:29" ht="20.100000000000001" customHeight="1">
      <c r="B628" s="172"/>
      <c r="C628" s="172"/>
      <c r="D628" s="172"/>
      <c r="E628" s="181"/>
      <c r="F628" s="173"/>
      <c r="G628" s="174"/>
      <c r="H628" s="284"/>
      <c r="I628" s="221"/>
      <c r="J628" s="177">
        <f>IF(H628=0,0,IF(F628="MXN",1/HLOOKUP(YEAR(G628)+(MONTH(G628)/100),TC!$5:$37,DAY(G628)+2,FALSE),VLOOKUP(F628,Equivalencia!$5:$23,((MAX(Equivalencia!$3:$3)-YEAR(G628))*14)+MONTH(G628)+2,FALSE)))</f>
        <v>0</v>
      </c>
      <c r="K628" s="217">
        <f t="shared" si="95"/>
        <v>0</v>
      </c>
      <c r="L628" s="462">
        <f>IF(G628=0,0,VLOOKUP(YEAR(G628),INPC!$B$4:$O$29,MONTH(G628)+1))</f>
        <v>0</v>
      </c>
      <c r="M628" s="462">
        <f>IF(T628=0,0,VLOOKUP(YEAR(T628),INPC!$B$4:$O$29,MONTH(T628)+1))</f>
        <v>0</v>
      </c>
      <c r="N628" s="463">
        <f t="shared" si="91"/>
        <v>0</v>
      </c>
      <c r="O628" s="464">
        <f t="shared" si="96"/>
        <v>0</v>
      </c>
      <c r="P628" s="465">
        <f t="shared" si="97"/>
        <v>0</v>
      </c>
      <c r="Q628" s="606" t="str">
        <f t="shared" si="98"/>
        <v>NO</v>
      </c>
      <c r="R628" s="180"/>
      <c r="S628" s="173"/>
      <c r="T628" s="174"/>
      <c r="U628" s="173"/>
      <c r="V628" s="220"/>
      <c r="W628" s="177">
        <f>IF(S628=0,0,IF(U628="MXN",1/HLOOKUP(YEAR(T628)+(MONTH(T628)/100),TC!$5:$37,DAY(T628)+2,FALSE),VLOOKUP(U628,Equivalencia!$1:$23,((MAX(Equivalencia!$3:$3)-YEAR(T628))*14)+MONTH(T628)+2,FALSE)))</f>
        <v>0</v>
      </c>
      <c r="X628" s="178">
        <f t="shared" si="99"/>
        <v>0</v>
      </c>
      <c r="Y628" s="178">
        <f t="shared" si="100"/>
        <v>0</v>
      </c>
      <c r="Z628" s="175">
        <f t="shared" si="92"/>
        <v>0</v>
      </c>
      <c r="AA628" s="179"/>
      <c r="AB628" s="467">
        <f t="shared" si="93"/>
        <v>0</v>
      </c>
      <c r="AC628" s="466">
        <f t="shared" si="94"/>
        <v>0</v>
      </c>
    </row>
    <row r="629" spans="2:29" ht="20.100000000000001" customHeight="1">
      <c r="B629" s="172"/>
      <c r="C629" s="172"/>
      <c r="D629" s="172"/>
      <c r="E629" s="181"/>
      <c r="F629" s="173"/>
      <c r="G629" s="174"/>
      <c r="H629" s="284"/>
      <c r="I629" s="221"/>
      <c r="J629" s="177">
        <f>IF(H629=0,0,IF(F629="MXN",1/HLOOKUP(YEAR(G629)+(MONTH(G629)/100),TC!$5:$37,DAY(G629)+2,FALSE),VLOOKUP(F629,Equivalencia!$5:$23,((MAX(Equivalencia!$3:$3)-YEAR(G629))*14)+MONTH(G629)+2,FALSE)))</f>
        <v>0</v>
      </c>
      <c r="K629" s="217">
        <f t="shared" si="95"/>
        <v>0</v>
      </c>
      <c r="L629" s="462">
        <f>IF(G629=0,0,VLOOKUP(YEAR(G629),INPC!$B$4:$O$29,MONTH(G629)+1))</f>
        <v>0</v>
      </c>
      <c r="M629" s="462">
        <f>IF(T629=0,0,VLOOKUP(YEAR(T629),INPC!$B$4:$O$29,MONTH(T629)+1))</f>
        <v>0</v>
      </c>
      <c r="N629" s="463">
        <f t="shared" si="91"/>
        <v>0</v>
      </c>
      <c r="O629" s="464">
        <f t="shared" si="96"/>
        <v>0</v>
      </c>
      <c r="P629" s="465">
        <f t="shared" si="97"/>
        <v>0</v>
      </c>
      <c r="Q629" s="606" t="str">
        <f t="shared" si="98"/>
        <v>NO</v>
      </c>
      <c r="R629" s="180"/>
      <c r="S629" s="173"/>
      <c r="T629" s="174"/>
      <c r="U629" s="173"/>
      <c r="V629" s="220"/>
      <c r="W629" s="177">
        <f>IF(S629=0,0,IF(U629="MXN",1/HLOOKUP(YEAR(T629)+(MONTH(T629)/100),TC!$5:$37,DAY(T629)+2,FALSE),VLOOKUP(U629,Equivalencia!$1:$23,((MAX(Equivalencia!$3:$3)-YEAR(T629))*14)+MONTH(T629)+2,FALSE)))</f>
        <v>0</v>
      </c>
      <c r="X629" s="178">
        <f t="shared" si="99"/>
        <v>0</v>
      </c>
      <c r="Y629" s="178">
        <f t="shared" si="100"/>
        <v>0</v>
      </c>
      <c r="Z629" s="175">
        <f t="shared" si="92"/>
        <v>0</v>
      </c>
      <c r="AA629" s="179"/>
      <c r="AB629" s="467">
        <f t="shared" si="93"/>
        <v>0</v>
      </c>
      <c r="AC629" s="466">
        <f t="shared" si="94"/>
        <v>0</v>
      </c>
    </row>
    <row r="630" spans="2:29" ht="20.100000000000001" customHeight="1">
      <c r="B630" s="172"/>
      <c r="C630" s="172"/>
      <c r="D630" s="172"/>
      <c r="E630" s="181"/>
      <c r="F630" s="173"/>
      <c r="G630" s="174"/>
      <c r="H630" s="284"/>
      <c r="I630" s="221"/>
      <c r="J630" s="177">
        <f>IF(H630=0,0,IF(F630="MXN",1/HLOOKUP(YEAR(G630)+(MONTH(G630)/100),TC!$5:$37,DAY(G630)+2,FALSE),VLOOKUP(F630,Equivalencia!$5:$23,((MAX(Equivalencia!$3:$3)-YEAR(G630))*14)+MONTH(G630)+2,FALSE)))</f>
        <v>0</v>
      </c>
      <c r="K630" s="217">
        <f t="shared" si="95"/>
        <v>0</v>
      </c>
      <c r="L630" s="462">
        <f>IF(G630=0,0,VLOOKUP(YEAR(G630),INPC!$B$4:$O$29,MONTH(G630)+1))</f>
        <v>0</v>
      </c>
      <c r="M630" s="462">
        <f>IF(T630=0,0,VLOOKUP(YEAR(T630),INPC!$B$4:$O$29,MONTH(T630)+1))</f>
        <v>0</v>
      </c>
      <c r="N630" s="463">
        <f t="shared" si="91"/>
        <v>0</v>
      </c>
      <c r="O630" s="464">
        <f t="shared" si="96"/>
        <v>0</v>
      </c>
      <c r="P630" s="465">
        <f t="shared" si="97"/>
        <v>0</v>
      </c>
      <c r="Q630" s="606" t="str">
        <f t="shared" si="98"/>
        <v>NO</v>
      </c>
      <c r="R630" s="180"/>
      <c r="S630" s="173"/>
      <c r="T630" s="174"/>
      <c r="U630" s="173"/>
      <c r="V630" s="220"/>
      <c r="W630" s="177">
        <f>IF(S630=0,0,IF(U630="MXN",1/HLOOKUP(YEAR(T630)+(MONTH(T630)/100),TC!$5:$37,DAY(T630)+2,FALSE),VLOOKUP(U630,Equivalencia!$1:$23,((MAX(Equivalencia!$3:$3)-YEAR(T630))*14)+MONTH(T630)+2,FALSE)))</f>
        <v>0</v>
      </c>
      <c r="X630" s="178">
        <f t="shared" si="99"/>
        <v>0</v>
      </c>
      <c r="Y630" s="178">
        <f t="shared" si="100"/>
        <v>0</v>
      </c>
      <c r="Z630" s="175">
        <f t="shared" si="92"/>
        <v>0</v>
      </c>
      <c r="AA630" s="179"/>
      <c r="AB630" s="467">
        <f t="shared" si="93"/>
        <v>0</v>
      </c>
      <c r="AC630" s="466">
        <f t="shared" si="94"/>
        <v>0</v>
      </c>
    </row>
    <row r="631" spans="2:29" ht="20.100000000000001" customHeight="1">
      <c r="B631" s="172"/>
      <c r="C631" s="172"/>
      <c r="D631" s="172"/>
      <c r="E631" s="181"/>
      <c r="F631" s="173"/>
      <c r="G631" s="174"/>
      <c r="H631" s="284"/>
      <c r="I631" s="221"/>
      <c r="J631" s="177">
        <f>IF(H631=0,0,IF(F631="MXN",1/HLOOKUP(YEAR(G631)+(MONTH(G631)/100),TC!$5:$37,DAY(G631)+2,FALSE),VLOOKUP(F631,Equivalencia!$5:$23,((MAX(Equivalencia!$3:$3)-YEAR(G631))*14)+MONTH(G631)+2,FALSE)))</f>
        <v>0</v>
      </c>
      <c r="K631" s="217">
        <f t="shared" si="95"/>
        <v>0</v>
      </c>
      <c r="L631" s="462">
        <f>IF(G631=0,0,VLOOKUP(YEAR(G631),INPC!$B$4:$O$29,MONTH(G631)+1))</f>
        <v>0</v>
      </c>
      <c r="M631" s="462">
        <f>IF(T631=0,0,VLOOKUP(YEAR(T631),INPC!$B$4:$O$29,MONTH(T631)+1))</f>
        <v>0</v>
      </c>
      <c r="N631" s="463">
        <f t="shared" si="91"/>
        <v>0</v>
      </c>
      <c r="O631" s="464">
        <f t="shared" si="96"/>
        <v>0</v>
      </c>
      <c r="P631" s="465">
        <f t="shared" si="97"/>
        <v>0</v>
      </c>
      <c r="Q631" s="606" t="str">
        <f t="shared" si="98"/>
        <v>NO</v>
      </c>
      <c r="R631" s="180"/>
      <c r="S631" s="173"/>
      <c r="T631" s="174"/>
      <c r="U631" s="173"/>
      <c r="V631" s="220"/>
      <c r="W631" s="177">
        <f>IF(S631=0,0,IF(U631="MXN",1/HLOOKUP(YEAR(T631)+(MONTH(T631)/100),TC!$5:$37,DAY(T631)+2,FALSE),VLOOKUP(U631,Equivalencia!$1:$23,((MAX(Equivalencia!$3:$3)-YEAR(T631))*14)+MONTH(T631)+2,FALSE)))</f>
        <v>0</v>
      </c>
      <c r="X631" s="178">
        <f t="shared" si="99"/>
        <v>0</v>
      </c>
      <c r="Y631" s="178">
        <f t="shared" si="100"/>
        <v>0</v>
      </c>
      <c r="Z631" s="175">
        <f t="shared" si="92"/>
        <v>0</v>
      </c>
      <c r="AA631" s="179"/>
      <c r="AB631" s="467">
        <f t="shared" si="93"/>
        <v>0</v>
      </c>
      <c r="AC631" s="466">
        <f t="shared" si="94"/>
        <v>0</v>
      </c>
    </row>
    <row r="632" spans="2:29" ht="20.100000000000001" customHeight="1">
      <c r="B632" s="172"/>
      <c r="C632" s="172"/>
      <c r="D632" s="172"/>
      <c r="E632" s="181"/>
      <c r="F632" s="173"/>
      <c r="G632" s="174"/>
      <c r="H632" s="284"/>
      <c r="I632" s="221"/>
      <c r="J632" s="177">
        <f>IF(H632=0,0,IF(F632="MXN",1/HLOOKUP(YEAR(G632)+(MONTH(G632)/100),TC!$5:$37,DAY(G632)+2,FALSE),VLOOKUP(F632,Equivalencia!$5:$23,((MAX(Equivalencia!$3:$3)-YEAR(G632))*14)+MONTH(G632)+2,FALSE)))</f>
        <v>0</v>
      </c>
      <c r="K632" s="217">
        <f t="shared" si="95"/>
        <v>0</v>
      </c>
      <c r="L632" s="462">
        <f>IF(G632=0,0,VLOOKUP(YEAR(G632),INPC!$B$4:$O$29,MONTH(G632)+1))</f>
        <v>0</v>
      </c>
      <c r="M632" s="462">
        <f>IF(T632=0,0,VLOOKUP(YEAR(T632),INPC!$B$4:$O$29,MONTH(T632)+1))</f>
        <v>0</v>
      </c>
      <c r="N632" s="463">
        <f t="shared" si="91"/>
        <v>0</v>
      </c>
      <c r="O632" s="464">
        <f t="shared" si="96"/>
        <v>0</v>
      </c>
      <c r="P632" s="465">
        <f t="shared" si="97"/>
        <v>0</v>
      </c>
      <c r="Q632" s="606" t="str">
        <f t="shared" si="98"/>
        <v>NO</v>
      </c>
      <c r="R632" s="180"/>
      <c r="S632" s="173"/>
      <c r="T632" s="174"/>
      <c r="U632" s="173"/>
      <c r="V632" s="220"/>
      <c r="W632" s="177">
        <f>IF(S632=0,0,IF(U632="MXN",1/HLOOKUP(YEAR(T632)+(MONTH(T632)/100),TC!$5:$37,DAY(T632)+2,FALSE),VLOOKUP(U632,Equivalencia!$1:$23,((MAX(Equivalencia!$3:$3)-YEAR(T632))*14)+MONTH(T632)+2,FALSE)))</f>
        <v>0</v>
      </c>
      <c r="X632" s="178">
        <f t="shared" si="99"/>
        <v>0</v>
      </c>
      <c r="Y632" s="178">
        <f t="shared" si="100"/>
        <v>0</v>
      </c>
      <c r="Z632" s="175">
        <f t="shared" si="92"/>
        <v>0</v>
      </c>
      <c r="AA632" s="179"/>
      <c r="AB632" s="467">
        <f t="shared" si="93"/>
        <v>0</v>
      </c>
      <c r="AC632" s="466">
        <f t="shared" si="94"/>
        <v>0</v>
      </c>
    </row>
    <row r="633" spans="2:29" ht="20.100000000000001" customHeight="1">
      <c r="B633" s="172"/>
      <c r="C633" s="172"/>
      <c r="D633" s="172"/>
      <c r="E633" s="181"/>
      <c r="F633" s="173"/>
      <c r="G633" s="174"/>
      <c r="H633" s="284"/>
      <c r="I633" s="221"/>
      <c r="J633" s="177">
        <f>IF(H633=0,0,IF(F633="MXN",1/HLOOKUP(YEAR(G633)+(MONTH(G633)/100),TC!$5:$37,DAY(G633)+2,FALSE),VLOOKUP(F633,Equivalencia!$5:$23,((MAX(Equivalencia!$3:$3)-YEAR(G633))*14)+MONTH(G633)+2,FALSE)))</f>
        <v>0</v>
      </c>
      <c r="K633" s="217">
        <f t="shared" si="95"/>
        <v>0</v>
      </c>
      <c r="L633" s="462">
        <f>IF(G633=0,0,VLOOKUP(YEAR(G633),INPC!$B$4:$O$29,MONTH(G633)+1))</f>
        <v>0</v>
      </c>
      <c r="M633" s="462">
        <f>IF(T633=0,0,VLOOKUP(YEAR(T633),INPC!$B$4:$O$29,MONTH(T633)+1))</f>
        <v>0</v>
      </c>
      <c r="N633" s="463">
        <f t="shared" si="91"/>
        <v>0</v>
      </c>
      <c r="O633" s="464">
        <f t="shared" si="96"/>
        <v>0</v>
      </c>
      <c r="P633" s="465">
        <f t="shared" si="97"/>
        <v>0</v>
      </c>
      <c r="Q633" s="606" t="str">
        <f t="shared" si="98"/>
        <v>NO</v>
      </c>
      <c r="R633" s="180"/>
      <c r="S633" s="173"/>
      <c r="T633" s="174"/>
      <c r="U633" s="173"/>
      <c r="V633" s="220"/>
      <c r="W633" s="177">
        <f>IF(S633=0,0,IF(U633="MXN",1/HLOOKUP(YEAR(T633)+(MONTH(T633)/100),TC!$5:$37,DAY(T633)+2,FALSE),VLOOKUP(U633,Equivalencia!$1:$23,((MAX(Equivalencia!$3:$3)-YEAR(T633))*14)+MONTH(T633)+2,FALSE)))</f>
        <v>0</v>
      </c>
      <c r="X633" s="178">
        <f t="shared" si="99"/>
        <v>0</v>
      </c>
      <c r="Y633" s="178">
        <f t="shared" si="100"/>
        <v>0</v>
      </c>
      <c r="Z633" s="175">
        <f t="shared" si="92"/>
        <v>0</v>
      </c>
      <c r="AA633" s="179"/>
      <c r="AB633" s="467">
        <f t="shared" si="93"/>
        <v>0</v>
      </c>
      <c r="AC633" s="466">
        <f t="shared" si="94"/>
        <v>0</v>
      </c>
    </row>
    <row r="634" spans="2:29" ht="20.100000000000001" customHeight="1">
      <c r="B634" s="172"/>
      <c r="C634" s="172"/>
      <c r="D634" s="172"/>
      <c r="E634" s="181"/>
      <c r="F634" s="173"/>
      <c r="G634" s="174"/>
      <c r="H634" s="284"/>
      <c r="I634" s="221"/>
      <c r="J634" s="177">
        <f>IF(H634=0,0,IF(F634="MXN",1/HLOOKUP(YEAR(G634)+(MONTH(G634)/100),TC!$5:$37,DAY(G634)+2,FALSE),VLOOKUP(F634,Equivalencia!$5:$23,((MAX(Equivalencia!$3:$3)-YEAR(G634))*14)+MONTH(G634)+2,FALSE)))</f>
        <v>0</v>
      </c>
      <c r="K634" s="217">
        <f t="shared" si="95"/>
        <v>0</v>
      </c>
      <c r="L634" s="462">
        <f>IF(G634=0,0,VLOOKUP(YEAR(G634),INPC!$B$4:$O$29,MONTH(G634)+1))</f>
        <v>0</v>
      </c>
      <c r="M634" s="462">
        <f>IF(T634=0,0,VLOOKUP(YEAR(T634),INPC!$B$4:$O$29,MONTH(T634)+1))</f>
        <v>0</v>
      </c>
      <c r="N634" s="463">
        <f t="shared" si="91"/>
        <v>0</v>
      </c>
      <c r="O634" s="464">
        <f t="shared" si="96"/>
        <v>0</v>
      </c>
      <c r="P634" s="465">
        <f t="shared" si="97"/>
        <v>0</v>
      </c>
      <c r="Q634" s="606" t="str">
        <f t="shared" si="98"/>
        <v>NO</v>
      </c>
      <c r="R634" s="180"/>
      <c r="S634" s="173"/>
      <c r="T634" s="174"/>
      <c r="U634" s="173"/>
      <c r="V634" s="220"/>
      <c r="W634" s="177">
        <f>IF(S634=0,0,IF(U634="MXN",1/HLOOKUP(YEAR(T634)+(MONTH(T634)/100),TC!$5:$37,DAY(T634)+2,FALSE),VLOOKUP(U634,Equivalencia!$1:$23,((MAX(Equivalencia!$3:$3)-YEAR(T634))*14)+MONTH(T634)+2,FALSE)))</f>
        <v>0</v>
      </c>
      <c r="X634" s="178">
        <f t="shared" si="99"/>
        <v>0</v>
      </c>
      <c r="Y634" s="178">
        <f t="shared" si="100"/>
        <v>0</v>
      </c>
      <c r="Z634" s="175">
        <f t="shared" si="92"/>
        <v>0</v>
      </c>
      <c r="AA634" s="179"/>
      <c r="AB634" s="467">
        <f t="shared" si="93"/>
        <v>0</v>
      </c>
      <c r="AC634" s="466">
        <f t="shared" si="94"/>
        <v>0</v>
      </c>
    </row>
    <row r="635" spans="2:29" ht="20.100000000000001" customHeight="1">
      <c r="B635" s="172"/>
      <c r="C635" s="172"/>
      <c r="D635" s="172"/>
      <c r="E635" s="181"/>
      <c r="F635" s="173"/>
      <c r="G635" s="174"/>
      <c r="H635" s="284"/>
      <c r="I635" s="221"/>
      <c r="J635" s="177">
        <f>IF(H635=0,0,IF(F635="MXN",1/HLOOKUP(YEAR(G635)+(MONTH(G635)/100),TC!$5:$37,DAY(G635)+2,FALSE),VLOOKUP(F635,Equivalencia!$5:$23,((MAX(Equivalencia!$3:$3)-YEAR(G635))*14)+MONTH(G635)+2,FALSE)))</f>
        <v>0</v>
      </c>
      <c r="K635" s="217">
        <f t="shared" si="95"/>
        <v>0</v>
      </c>
      <c r="L635" s="462">
        <f>IF(G635=0,0,VLOOKUP(YEAR(G635),INPC!$B$4:$O$29,MONTH(G635)+1))</f>
        <v>0</v>
      </c>
      <c r="M635" s="462">
        <f>IF(T635=0,0,VLOOKUP(YEAR(T635),INPC!$B$4:$O$29,MONTH(T635)+1))</f>
        <v>0</v>
      </c>
      <c r="N635" s="463">
        <f t="shared" si="91"/>
        <v>0</v>
      </c>
      <c r="O635" s="464">
        <f t="shared" si="96"/>
        <v>0</v>
      </c>
      <c r="P635" s="465">
        <f t="shared" si="97"/>
        <v>0</v>
      </c>
      <c r="Q635" s="606" t="str">
        <f t="shared" si="98"/>
        <v>NO</v>
      </c>
      <c r="R635" s="180"/>
      <c r="S635" s="173"/>
      <c r="T635" s="174"/>
      <c r="U635" s="173"/>
      <c r="V635" s="220"/>
      <c r="W635" s="177">
        <f>IF(S635=0,0,IF(U635="MXN",1/HLOOKUP(YEAR(T635)+(MONTH(T635)/100),TC!$5:$37,DAY(T635)+2,FALSE),VLOOKUP(U635,Equivalencia!$1:$23,((MAX(Equivalencia!$3:$3)-YEAR(T635))*14)+MONTH(T635)+2,FALSE)))</f>
        <v>0</v>
      </c>
      <c r="X635" s="178">
        <f t="shared" si="99"/>
        <v>0</v>
      </c>
      <c r="Y635" s="178">
        <f t="shared" si="100"/>
        <v>0</v>
      </c>
      <c r="Z635" s="175">
        <f t="shared" si="92"/>
        <v>0</v>
      </c>
      <c r="AA635" s="179"/>
      <c r="AB635" s="467">
        <f t="shared" si="93"/>
        <v>0</v>
      </c>
      <c r="AC635" s="466">
        <f t="shared" si="94"/>
        <v>0</v>
      </c>
    </row>
    <row r="636" spans="2:29" ht="20.100000000000001" customHeight="1">
      <c r="B636" s="172"/>
      <c r="C636" s="172"/>
      <c r="D636" s="172"/>
      <c r="E636" s="181"/>
      <c r="F636" s="173"/>
      <c r="G636" s="174"/>
      <c r="H636" s="284"/>
      <c r="I636" s="221"/>
      <c r="J636" s="177">
        <f>IF(H636=0,0,IF(F636="MXN",1/HLOOKUP(YEAR(G636)+(MONTH(G636)/100),TC!$5:$37,DAY(G636)+2,FALSE),VLOOKUP(F636,Equivalencia!$5:$23,((MAX(Equivalencia!$3:$3)-YEAR(G636))*14)+MONTH(G636)+2,FALSE)))</f>
        <v>0</v>
      </c>
      <c r="K636" s="217">
        <f t="shared" si="95"/>
        <v>0</v>
      </c>
      <c r="L636" s="462">
        <f>IF(G636=0,0,VLOOKUP(YEAR(G636),INPC!$B$4:$O$29,MONTH(G636)+1))</f>
        <v>0</v>
      </c>
      <c r="M636" s="462">
        <f>IF(T636=0,0,VLOOKUP(YEAR(T636),INPC!$B$4:$O$29,MONTH(T636)+1))</f>
        <v>0</v>
      </c>
      <c r="N636" s="463">
        <f t="shared" si="91"/>
        <v>0</v>
      </c>
      <c r="O636" s="464">
        <f t="shared" si="96"/>
        <v>0</v>
      </c>
      <c r="P636" s="465">
        <f t="shared" si="97"/>
        <v>0</v>
      </c>
      <c r="Q636" s="606" t="str">
        <f t="shared" si="98"/>
        <v>NO</v>
      </c>
      <c r="R636" s="180"/>
      <c r="S636" s="173"/>
      <c r="T636" s="174"/>
      <c r="U636" s="173"/>
      <c r="V636" s="220"/>
      <c r="W636" s="177">
        <f>IF(S636=0,0,IF(U636="MXN",1/HLOOKUP(YEAR(T636)+(MONTH(T636)/100),TC!$5:$37,DAY(T636)+2,FALSE),VLOOKUP(U636,Equivalencia!$1:$23,((MAX(Equivalencia!$3:$3)-YEAR(T636))*14)+MONTH(T636)+2,FALSE)))</f>
        <v>0</v>
      </c>
      <c r="X636" s="178">
        <f t="shared" si="99"/>
        <v>0</v>
      </c>
      <c r="Y636" s="178">
        <f t="shared" si="100"/>
        <v>0</v>
      </c>
      <c r="Z636" s="175">
        <f t="shared" si="92"/>
        <v>0</v>
      </c>
      <c r="AA636" s="179"/>
      <c r="AB636" s="467">
        <f t="shared" si="93"/>
        <v>0</v>
      </c>
      <c r="AC636" s="466">
        <f t="shared" si="94"/>
        <v>0</v>
      </c>
    </row>
    <row r="637" spans="2:29" ht="20.100000000000001" customHeight="1">
      <c r="B637" s="172"/>
      <c r="C637" s="172"/>
      <c r="D637" s="172"/>
      <c r="E637" s="181"/>
      <c r="F637" s="173"/>
      <c r="G637" s="174"/>
      <c r="H637" s="284"/>
      <c r="I637" s="221"/>
      <c r="J637" s="177">
        <f>IF(H637=0,0,IF(F637="MXN",1/HLOOKUP(YEAR(G637)+(MONTH(G637)/100),TC!$5:$37,DAY(G637)+2,FALSE),VLOOKUP(F637,Equivalencia!$5:$23,((MAX(Equivalencia!$3:$3)-YEAR(G637))*14)+MONTH(G637)+2,FALSE)))</f>
        <v>0</v>
      </c>
      <c r="K637" s="217">
        <f t="shared" si="95"/>
        <v>0</v>
      </c>
      <c r="L637" s="462">
        <f>IF(G637=0,0,VLOOKUP(YEAR(G637),INPC!$B$4:$O$29,MONTH(G637)+1))</f>
        <v>0</v>
      </c>
      <c r="M637" s="462">
        <f>IF(T637=0,0,VLOOKUP(YEAR(T637),INPC!$B$4:$O$29,MONTH(T637)+1))</f>
        <v>0</v>
      </c>
      <c r="N637" s="463">
        <f t="shared" si="91"/>
        <v>0</v>
      </c>
      <c r="O637" s="464">
        <f t="shared" si="96"/>
        <v>0</v>
      </c>
      <c r="P637" s="465">
        <f t="shared" si="97"/>
        <v>0</v>
      </c>
      <c r="Q637" s="606" t="str">
        <f t="shared" si="98"/>
        <v>NO</v>
      </c>
      <c r="R637" s="180"/>
      <c r="S637" s="173"/>
      <c r="T637" s="174"/>
      <c r="U637" s="173"/>
      <c r="V637" s="220"/>
      <c r="W637" s="177">
        <f>IF(S637=0,0,IF(U637="MXN",1/HLOOKUP(YEAR(T637)+(MONTH(T637)/100),TC!$5:$37,DAY(T637)+2,FALSE),VLOOKUP(U637,Equivalencia!$1:$23,((MAX(Equivalencia!$3:$3)-YEAR(T637))*14)+MONTH(T637)+2,FALSE)))</f>
        <v>0</v>
      </c>
      <c r="X637" s="178">
        <f t="shared" si="99"/>
        <v>0</v>
      </c>
      <c r="Y637" s="178">
        <f t="shared" si="100"/>
        <v>0</v>
      </c>
      <c r="Z637" s="175">
        <f t="shared" si="92"/>
        <v>0</v>
      </c>
      <c r="AA637" s="179"/>
      <c r="AB637" s="467">
        <f t="shared" si="93"/>
        <v>0</v>
      </c>
      <c r="AC637" s="466">
        <f t="shared" si="94"/>
        <v>0</v>
      </c>
    </row>
    <row r="638" spans="2:29" ht="20.100000000000001" customHeight="1">
      <c r="B638" s="172"/>
      <c r="C638" s="172"/>
      <c r="D638" s="172"/>
      <c r="E638" s="181"/>
      <c r="F638" s="173"/>
      <c r="G638" s="174"/>
      <c r="H638" s="284"/>
      <c r="I638" s="221"/>
      <c r="J638" s="177">
        <f>IF(H638=0,0,IF(F638="MXN",1/HLOOKUP(YEAR(G638)+(MONTH(G638)/100),TC!$5:$37,DAY(G638)+2,FALSE),VLOOKUP(F638,Equivalencia!$5:$23,((MAX(Equivalencia!$3:$3)-YEAR(G638))*14)+MONTH(G638)+2,FALSE)))</f>
        <v>0</v>
      </c>
      <c r="K638" s="217">
        <f t="shared" si="95"/>
        <v>0</v>
      </c>
      <c r="L638" s="462">
        <f>IF(G638=0,0,VLOOKUP(YEAR(G638),INPC!$B$4:$O$29,MONTH(G638)+1))</f>
        <v>0</v>
      </c>
      <c r="M638" s="462">
        <f>IF(T638=0,0,VLOOKUP(YEAR(T638),INPC!$B$4:$O$29,MONTH(T638)+1))</f>
        <v>0</v>
      </c>
      <c r="N638" s="463">
        <f t="shared" si="91"/>
        <v>0</v>
      </c>
      <c r="O638" s="464">
        <f t="shared" si="96"/>
        <v>0</v>
      </c>
      <c r="P638" s="465">
        <f t="shared" si="97"/>
        <v>0</v>
      </c>
      <c r="Q638" s="606" t="str">
        <f t="shared" si="98"/>
        <v>NO</v>
      </c>
      <c r="R638" s="180"/>
      <c r="S638" s="173"/>
      <c r="T638" s="174"/>
      <c r="U638" s="173"/>
      <c r="V638" s="220"/>
      <c r="W638" s="177">
        <f>IF(S638=0,0,IF(U638="MXN",1/HLOOKUP(YEAR(T638)+(MONTH(T638)/100),TC!$5:$37,DAY(T638)+2,FALSE),VLOOKUP(U638,Equivalencia!$1:$23,((MAX(Equivalencia!$3:$3)-YEAR(T638))*14)+MONTH(T638)+2,FALSE)))</f>
        <v>0</v>
      </c>
      <c r="X638" s="178">
        <f t="shared" si="99"/>
        <v>0</v>
      </c>
      <c r="Y638" s="178">
        <f t="shared" si="100"/>
        <v>0</v>
      </c>
      <c r="Z638" s="175">
        <f t="shared" si="92"/>
        <v>0</v>
      </c>
      <c r="AA638" s="179"/>
      <c r="AB638" s="467">
        <f t="shared" si="93"/>
        <v>0</v>
      </c>
      <c r="AC638" s="466">
        <f t="shared" si="94"/>
        <v>0</v>
      </c>
    </row>
    <row r="639" spans="2:29" ht="20.100000000000001" customHeight="1">
      <c r="B639" s="172"/>
      <c r="C639" s="172"/>
      <c r="D639" s="172"/>
      <c r="E639" s="181"/>
      <c r="F639" s="173"/>
      <c r="G639" s="174"/>
      <c r="H639" s="284"/>
      <c r="I639" s="221"/>
      <c r="J639" s="177">
        <f>IF(H639=0,0,IF(F639="MXN",1/HLOOKUP(YEAR(G639)+(MONTH(G639)/100),TC!$5:$37,DAY(G639)+2,FALSE),VLOOKUP(F639,Equivalencia!$5:$23,((MAX(Equivalencia!$3:$3)-YEAR(G639))*14)+MONTH(G639)+2,FALSE)))</f>
        <v>0</v>
      </c>
      <c r="K639" s="217">
        <f t="shared" si="95"/>
        <v>0</v>
      </c>
      <c r="L639" s="462">
        <f>IF(G639=0,0,VLOOKUP(YEAR(G639),INPC!$B$4:$O$29,MONTH(G639)+1))</f>
        <v>0</v>
      </c>
      <c r="M639" s="462">
        <f>IF(T639=0,0,VLOOKUP(YEAR(T639),INPC!$B$4:$O$29,MONTH(T639)+1))</f>
        <v>0</v>
      </c>
      <c r="N639" s="463">
        <f t="shared" si="91"/>
        <v>0</v>
      </c>
      <c r="O639" s="464">
        <f t="shared" si="96"/>
        <v>0</v>
      </c>
      <c r="P639" s="465">
        <f t="shared" si="97"/>
        <v>0</v>
      </c>
      <c r="Q639" s="606" t="str">
        <f t="shared" si="98"/>
        <v>NO</v>
      </c>
      <c r="R639" s="180"/>
      <c r="S639" s="173"/>
      <c r="T639" s="174"/>
      <c r="U639" s="173"/>
      <c r="V639" s="220"/>
      <c r="W639" s="177">
        <f>IF(S639=0,0,IF(U639="MXN",1/HLOOKUP(YEAR(T639)+(MONTH(T639)/100),TC!$5:$37,DAY(T639)+2,FALSE),VLOOKUP(U639,Equivalencia!$1:$23,((MAX(Equivalencia!$3:$3)-YEAR(T639))*14)+MONTH(T639)+2,FALSE)))</f>
        <v>0</v>
      </c>
      <c r="X639" s="178">
        <f t="shared" si="99"/>
        <v>0</v>
      </c>
      <c r="Y639" s="178">
        <f t="shared" si="100"/>
        <v>0</v>
      </c>
      <c r="Z639" s="175">
        <f t="shared" si="92"/>
        <v>0</v>
      </c>
      <c r="AA639" s="179"/>
      <c r="AB639" s="467">
        <f t="shared" si="93"/>
        <v>0</v>
      </c>
      <c r="AC639" s="466">
        <f t="shared" si="94"/>
        <v>0</v>
      </c>
    </row>
    <row r="640" spans="2:29" ht="20.100000000000001" customHeight="1">
      <c r="B640" s="172"/>
      <c r="C640" s="172"/>
      <c r="D640" s="172"/>
      <c r="E640" s="181"/>
      <c r="F640" s="173"/>
      <c r="G640" s="174"/>
      <c r="H640" s="284"/>
      <c r="I640" s="221"/>
      <c r="J640" s="177">
        <f>IF(H640=0,0,IF(F640="MXN",1/HLOOKUP(YEAR(G640)+(MONTH(G640)/100),TC!$5:$37,DAY(G640)+2,FALSE),VLOOKUP(F640,Equivalencia!$5:$23,((MAX(Equivalencia!$3:$3)-YEAR(G640))*14)+MONTH(G640)+2,FALSE)))</f>
        <v>0</v>
      </c>
      <c r="K640" s="217">
        <f t="shared" si="95"/>
        <v>0</v>
      </c>
      <c r="L640" s="462">
        <f>IF(G640=0,0,VLOOKUP(YEAR(G640),INPC!$B$4:$O$29,MONTH(G640)+1))</f>
        <v>0</v>
      </c>
      <c r="M640" s="462">
        <f>IF(T640=0,0,VLOOKUP(YEAR(T640),INPC!$B$4:$O$29,MONTH(T640)+1))</f>
        <v>0</v>
      </c>
      <c r="N640" s="463">
        <f t="shared" si="91"/>
        <v>0</v>
      </c>
      <c r="O640" s="464">
        <f t="shared" si="96"/>
        <v>0</v>
      </c>
      <c r="P640" s="465">
        <f t="shared" si="97"/>
        <v>0</v>
      </c>
      <c r="Q640" s="606" t="str">
        <f t="shared" si="98"/>
        <v>NO</v>
      </c>
      <c r="R640" s="180"/>
      <c r="S640" s="173"/>
      <c r="T640" s="174"/>
      <c r="U640" s="173"/>
      <c r="V640" s="220"/>
      <c r="W640" s="177">
        <f>IF(S640=0,0,IF(U640="MXN",1/HLOOKUP(YEAR(T640)+(MONTH(T640)/100),TC!$5:$37,DAY(T640)+2,FALSE),VLOOKUP(U640,Equivalencia!$1:$23,((MAX(Equivalencia!$3:$3)-YEAR(T640))*14)+MONTH(T640)+2,FALSE)))</f>
        <v>0</v>
      </c>
      <c r="X640" s="178">
        <f t="shared" si="99"/>
        <v>0</v>
      </c>
      <c r="Y640" s="178">
        <f t="shared" si="100"/>
        <v>0</v>
      </c>
      <c r="Z640" s="175">
        <f t="shared" si="92"/>
        <v>0</v>
      </c>
      <c r="AA640" s="179"/>
      <c r="AB640" s="467">
        <f t="shared" si="93"/>
        <v>0</v>
      </c>
      <c r="AC640" s="466">
        <f t="shared" si="94"/>
        <v>0</v>
      </c>
    </row>
    <row r="641" spans="2:29" ht="20.100000000000001" customHeight="1">
      <c r="B641" s="172"/>
      <c r="C641" s="172"/>
      <c r="D641" s="172"/>
      <c r="E641" s="181"/>
      <c r="F641" s="173"/>
      <c r="G641" s="174"/>
      <c r="H641" s="284"/>
      <c r="I641" s="221"/>
      <c r="J641" s="177">
        <f>IF(H641=0,0,IF(F641="MXN",1/HLOOKUP(YEAR(G641)+(MONTH(G641)/100),TC!$5:$37,DAY(G641)+2,FALSE),VLOOKUP(F641,Equivalencia!$5:$23,((MAX(Equivalencia!$3:$3)-YEAR(G641))*14)+MONTH(G641)+2,FALSE)))</f>
        <v>0</v>
      </c>
      <c r="K641" s="217">
        <f t="shared" si="95"/>
        <v>0</v>
      </c>
      <c r="L641" s="462">
        <f>IF(G641=0,0,VLOOKUP(YEAR(G641),INPC!$B$4:$O$29,MONTH(G641)+1))</f>
        <v>0</v>
      </c>
      <c r="M641" s="462">
        <f>IF(T641=0,0,VLOOKUP(YEAR(T641),INPC!$B$4:$O$29,MONTH(T641)+1))</f>
        <v>0</v>
      </c>
      <c r="N641" s="463">
        <f t="shared" si="91"/>
        <v>0</v>
      </c>
      <c r="O641" s="464">
        <f t="shared" si="96"/>
        <v>0</v>
      </c>
      <c r="P641" s="465">
        <f t="shared" si="97"/>
        <v>0</v>
      </c>
      <c r="Q641" s="606" t="str">
        <f t="shared" si="98"/>
        <v>NO</v>
      </c>
      <c r="R641" s="180"/>
      <c r="S641" s="173"/>
      <c r="T641" s="174"/>
      <c r="U641" s="173"/>
      <c r="V641" s="220"/>
      <c r="W641" s="177">
        <f>IF(S641=0,0,IF(U641="MXN",1/HLOOKUP(YEAR(T641)+(MONTH(T641)/100),TC!$5:$37,DAY(T641)+2,FALSE),VLOOKUP(U641,Equivalencia!$1:$23,((MAX(Equivalencia!$3:$3)-YEAR(T641))*14)+MONTH(T641)+2,FALSE)))</f>
        <v>0</v>
      </c>
      <c r="X641" s="178">
        <f t="shared" si="99"/>
        <v>0</v>
      </c>
      <c r="Y641" s="178">
        <f t="shared" si="100"/>
        <v>0</v>
      </c>
      <c r="Z641" s="175">
        <f t="shared" si="92"/>
        <v>0</v>
      </c>
      <c r="AA641" s="179"/>
      <c r="AB641" s="467">
        <f t="shared" si="93"/>
        <v>0</v>
      </c>
      <c r="AC641" s="466">
        <f t="shared" si="94"/>
        <v>0</v>
      </c>
    </row>
    <row r="642" spans="2:29" ht="20.100000000000001" customHeight="1">
      <c r="B642" s="172"/>
      <c r="C642" s="172"/>
      <c r="D642" s="172"/>
      <c r="E642" s="181"/>
      <c r="F642" s="173"/>
      <c r="G642" s="174"/>
      <c r="H642" s="284"/>
      <c r="I642" s="221"/>
      <c r="J642" s="177">
        <f>IF(H642=0,0,IF(F642="MXN",1/HLOOKUP(YEAR(G642)+(MONTH(G642)/100),TC!$5:$37,DAY(G642)+2,FALSE),VLOOKUP(F642,Equivalencia!$5:$23,((MAX(Equivalencia!$3:$3)-YEAR(G642))*14)+MONTH(G642)+2,FALSE)))</f>
        <v>0</v>
      </c>
      <c r="K642" s="217">
        <f t="shared" si="95"/>
        <v>0</v>
      </c>
      <c r="L642" s="462">
        <f>IF(G642=0,0,VLOOKUP(YEAR(G642),INPC!$B$4:$O$29,MONTH(G642)+1))</f>
        <v>0</v>
      </c>
      <c r="M642" s="462">
        <f>IF(T642=0,0,VLOOKUP(YEAR(T642),INPC!$B$4:$O$29,MONTH(T642)+1))</f>
        <v>0</v>
      </c>
      <c r="N642" s="463">
        <f t="shared" ref="N642:N705" si="101">IF(T642=0,0,IF(TRUNC(M642/L642,4)&gt;=1,TRUNC(M642/L642,4),1))</f>
        <v>0</v>
      </c>
      <c r="O642" s="464">
        <f t="shared" si="96"/>
        <v>0</v>
      </c>
      <c r="P642" s="465">
        <f t="shared" si="97"/>
        <v>0</v>
      </c>
      <c r="Q642" s="606" t="str">
        <f t="shared" si="98"/>
        <v>NO</v>
      </c>
      <c r="R642" s="180"/>
      <c r="S642" s="173"/>
      <c r="T642" s="174"/>
      <c r="U642" s="173"/>
      <c r="V642" s="220"/>
      <c r="W642" s="177">
        <f>IF(S642=0,0,IF(U642="MXN",1/HLOOKUP(YEAR(T642)+(MONTH(T642)/100),TC!$5:$37,DAY(T642)+2,FALSE),VLOOKUP(U642,Equivalencia!$1:$23,((MAX(Equivalencia!$3:$3)-YEAR(T642))*14)+MONTH(T642)+2,FALSE)))</f>
        <v>0</v>
      </c>
      <c r="X642" s="178">
        <f t="shared" si="99"/>
        <v>0</v>
      </c>
      <c r="Y642" s="178">
        <f t="shared" si="100"/>
        <v>0</v>
      </c>
      <c r="Z642" s="175">
        <f t="shared" ref="Z642:Z705" si="102">+X642+Y642</f>
        <v>0</v>
      </c>
      <c r="AA642" s="179"/>
      <c r="AB642" s="467">
        <f t="shared" ref="AB642:AB705" si="103">+X642+AC642</f>
        <v>0</v>
      </c>
      <c r="AC642" s="466">
        <f t="shared" ref="AC642:AC705" si="104">+R642*P642</f>
        <v>0</v>
      </c>
    </row>
    <row r="643" spans="2:29" ht="20.100000000000001" customHeight="1">
      <c r="B643" s="172"/>
      <c r="C643" s="172"/>
      <c r="D643" s="172"/>
      <c r="E643" s="181"/>
      <c r="F643" s="173"/>
      <c r="G643" s="174"/>
      <c r="H643" s="284"/>
      <c r="I643" s="221"/>
      <c r="J643" s="177">
        <f>IF(H643=0,0,IF(F643="MXN",1/HLOOKUP(YEAR(G643)+(MONTH(G643)/100),TC!$5:$37,DAY(G643)+2,FALSE),VLOOKUP(F643,Equivalencia!$5:$23,((MAX(Equivalencia!$3:$3)-YEAR(G643))*14)+MONTH(G643)+2,FALSE)))</f>
        <v>0</v>
      </c>
      <c r="K643" s="217">
        <f t="shared" ref="K643:K706" si="105">+I643*J643</f>
        <v>0</v>
      </c>
      <c r="L643" s="462">
        <f>IF(G643=0,0,VLOOKUP(YEAR(G643),INPC!$B$4:$O$29,MONTH(G643)+1))</f>
        <v>0</v>
      </c>
      <c r="M643" s="462">
        <f>IF(T643=0,0,VLOOKUP(YEAR(T643),INPC!$B$4:$O$29,MONTH(T643)+1))</f>
        <v>0</v>
      </c>
      <c r="N643" s="463">
        <f t="shared" si="101"/>
        <v>0</v>
      </c>
      <c r="O643" s="464">
        <f t="shared" ref="O643:O706" si="106">+N643*K643</f>
        <v>0</v>
      </c>
      <c r="P643" s="465">
        <f t="shared" ref="P643:P706" si="107">IF(R643=0,0,O643/R643)</f>
        <v>0</v>
      </c>
      <c r="Q643" s="606" t="str">
        <f t="shared" ref="Q643:Q706" si="108">IF(T643=0,"NO","SI")</f>
        <v>NO</v>
      </c>
      <c r="R643" s="180"/>
      <c r="S643" s="173"/>
      <c r="T643" s="174"/>
      <c r="U643" s="173"/>
      <c r="V643" s="220"/>
      <c r="W643" s="177">
        <f>IF(S643=0,0,IF(U643="MXN",1/HLOOKUP(YEAR(T643)+(MONTH(T643)/100),TC!$5:$37,DAY(T643)+2,FALSE),VLOOKUP(U643,Equivalencia!$1:$23,((MAX(Equivalencia!$3:$3)-YEAR(T643))*14)+MONTH(T643)+2,FALSE)))</f>
        <v>0</v>
      </c>
      <c r="X643" s="178">
        <f t="shared" ref="X643:X706" si="109">+W643*V643</f>
        <v>0</v>
      </c>
      <c r="Y643" s="178">
        <f t="shared" ref="Y643:Y706" si="110">+K643</f>
        <v>0</v>
      </c>
      <c r="Z643" s="175">
        <f t="shared" si="102"/>
        <v>0</v>
      </c>
      <c r="AA643" s="179"/>
      <c r="AB643" s="467">
        <f t="shared" si="103"/>
        <v>0</v>
      </c>
      <c r="AC643" s="466">
        <f t="shared" si="104"/>
        <v>0</v>
      </c>
    </row>
    <row r="644" spans="2:29" ht="20.100000000000001" customHeight="1">
      <c r="B644" s="172"/>
      <c r="C644" s="172"/>
      <c r="D644" s="172"/>
      <c r="E644" s="181"/>
      <c r="F644" s="173"/>
      <c r="G644" s="174"/>
      <c r="H644" s="284"/>
      <c r="I644" s="221"/>
      <c r="J644" s="177">
        <f>IF(H644=0,0,IF(F644="MXN",1/HLOOKUP(YEAR(G644)+(MONTH(G644)/100),TC!$5:$37,DAY(G644)+2,FALSE),VLOOKUP(F644,Equivalencia!$5:$23,((MAX(Equivalencia!$3:$3)-YEAR(G644))*14)+MONTH(G644)+2,FALSE)))</f>
        <v>0</v>
      </c>
      <c r="K644" s="217">
        <f t="shared" si="105"/>
        <v>0</v>
      </c>
      <c r="L644" s="462">
        <f>IF(G644=0,0,VLOOKUP(YEAR(G644),INPC!$B$4:$O$29,MONTH(G644)+1))</f>
        <v>0</v>
      </c>
      <c r="M644" s="462">
        <f>IF(T644=0,0,VLOOKUP(YEAR(T644),INPC!$B$4:$O$29,MONTH(T644)+1))</f>
        <v>0</v>
      </c>
      <c r="N644" s="463">
        <f t="shared" si="101"/>
        <v>0</v>
      </c>
      <c r="O644" s="464">
        <f t="shared" si="106"/>
        <v>0</v>
      </c>
      <c r="P644" s="465">
        <f t="shared" si="107"/>
        <v>0</v>
      </c>
      <c r="Q644" s="606" t="str">
        <f t="shared" si="108"/>
        <v>NO</v>
      </c>
      <c r="R644" s="180"/>
      <c r="S644" s="173"/>
      <c r="T644" s="174"/>
      <c r="U644" s="173"/>
      <c r="V644" s="220"/>
      <c r="W644" s="177">
        <f>IF(S644=0,0,IF(U644="MXN",1/HLOOKUP(YEAR(T644)+(MONTH(T644)/100),TC!$5:$37,DAY(T644)+2,FALSE),VLOOKUP(U644,Equivalencia!$1:$23,((MAX(Equivalencia!$3:$3)-YEAR(T644))*14)+MONTH(T644)+2,FALSE)))</f>
        <v>0</v>
      </c>
      <c r="X644" s="178">
        <f t="shared" si="109"/>
        <v>0</v>
      </c>
      <c r="Y644" s="178">
        <f t="shared" si="110"/>
        <v>0</v>
      </c>
      <c r="Z644" s="175">
        <f t="shared" si="102"/>
        <v>0</v>
      </c>
      <c r="AA644" s="179"/>
      <c r="AB644" s="467">
        <f t="shared" si="103"/>
        <v>0</v>
      </c>
      <c r="AC644" s="466">
        <f t="shared" si="104"/>
        <v>0</v>
      </c>
    </row>
    <row r="645" spans="2:29" ht="20.100000000000001" customHeight="1">
      <c r="B645" s="172"/>
      <c r="C645" s="172"/>
      <c r="D645" s="172"/>
      <c r="E645" s="181"/>
      <c r="F645" s="173"/>
      <c r="G645" s="174"/>
      <c r="H645" s="284"/>
      <c r="I645" s="221"/>
      <c r="J645" s="177">
        <f>IF(H645=0,0,IF(F645="MXN",1/HLOOKUP(YEAR(G645)+(MONTH(G645)/100),TC!$5:$37,DAY(G645)+2,FALSE),VLOOKUP(F645,Equivalencia!$5:$23,((MAX(Equivalencia!$3:$3)-YEAR(G645))*14)+MONTH(G645)+2,FALSE)))</f>
        <v>0</v>
      </c>
      <c r="K645" s="217">
        <f t="shared" si="105"/>
        <v>0</v>
      </c>
      <c r="L645" s="462">
        <f>IF(G645=0,0,VLOOKUP(YEAR(G645),INPC!$B$4:$O$29,MONTH(G645)+1))</f>
        <v>0</v>
      </c>
      <c r="M645" s="462">
        <f>IF(T645=0,0,VLOOKUP(YEAR(T645),INPC!$B$4:$O$29,MONTH(T645)+1))</f>
        <v>0</v>
      </c>
      <c r="N645" s="463">
        <f t="shared" si="101"/>
        <v>0</v>
      </c>
      <c r="O645" s="464">
        <f t="shared" si="106"/>
        <v>0</v>
      </c>
      <c r="P645" s="465">
        <f t="shared" si="107"/>
        <v>0</v>
      </c>
      <c r="Q645" s="606" t="str">
        <f t="shared" si="108"/>
        <v>NO</v>
      </c>
      <c r="R645" s="180"/>
      <c r="S645" s="173"/>
      <c r="T645" s="174"/>
      <c r="U645" s="173"/>
      <c r="V645" s="220"/>
      <c r="W645" s="177">
        <f>IF(S645=0,0,IF(U645="MXN",1/HLOOKUP(YEAR(T645)+(MONTH(T645)/100),TC!$5:$37,DAY(T645)+2,FALSE),VLOOKUP(U645,Equivalencia!$1:$23,((MAX(Equivalencia!$3:$3)-YEAR(T645))*14)+MONTH(T645)+2,FALSE)))</f>
        <v>0</v>
      </c>
      <c r="X645" s="178">
        <f t="shared" si="109"/>
        <v>0</v>
      </c>
      <c r="Y645" s="178">
        <f t="shared" si="110"/>
        <v>0</v>
      </c>
      <c r="Z645" s="175">
        <f t="shared" si="102"/>
        <v>0</v>
      </c>
      <c r="AA645" s="179"/>
      <c r="AB645" s="467">
        <f t="shared" si="103"/>
        <v>0</v>
      </c>
      <c r="AC645" s="466">
        <f t="shared" si="104"/>
        <v>0</v>
      </c>
    </row>
    <row r="646" spans="2:29" ht="20.100000000000001" customHeight="1">
      <c r="B646" s="172"/>
      <c r="C646" s="172"/>
      <c r="D646" s="172"/>
      <c r="E646" s="181"/>
      <c r="F646" s="173"/>
      <c r="G646" s="174"/>
      <c r="H646" s="284"/>
      <c r="I646" s="221"/>
      <c r="J646" s="177">
        <f>IF(H646=0,0,IF(F646="MXN",1/HLOOKUP(YEAR(G646)+(MONTH(G646)/100),TC!$5:$37,DAY(G646)+2,FALSE),VLOOKUP(F646,Equivalencia!$5:$23,((MAX(Equivalencia!$3:$3)-YEAR(G646))*14)+MONTH(G646)+2,FALSE)))</f>
        <v>0</v>
      </c>
      <c r="K646" s="217">
        <f t="shared" si="105"/>
        <v>0</v>
      </c>
      <c r="L646" s="462">
        <f>IF(G646=0,0,VLOOKUP(YEAR(G646),INPC!$B$4:$O$29,MONTH(G646)+1))</f>
        <v>0</v>
      </c>
      <c r="M646" s="462">
        <f>IF(T646=0,0,VLOOKUP(YEAR(T646),INPC!$B$4:$O$29,MONTH(T646)+1))</f>
        <v>0</v>
      </c>
      <c r="N646" s="463">
        <f t="shared" si="101"/>
        <v>0</v>
      </c>
      <c r="O646" s="464">
        <f t="shared" si="106"/>
        <v>0</v>
      </c>
      <c r="P646" s="465">
        <f t="shared" si="107"/>
        <v>0</v>
      </c>
      <c r="Q646" s="606" t="str">
        <f t="shared" si="108"/>
        <v>NO</v>
      </c>
      <c r="R646" s="180"/>
      <c r="S646" s="173"/>
      <c r="T646" s="174"/>
      <c r="U646" s="173"/>
      <c r="V646" s="220"/>
      <c r="W646" s="177">
        <f>IF(S646=0,0,IF(U646="MXN",1/HLOOKUP(YEAR(T646)+(MONTH(T646)/100),TC!$5:$37,DAY(T646)+2,FALSE),VLOOKUP(U646,Equivalencia!$1:$23,((MAX(Equivalencia!$3:$3)-YEAR(T646))*14)+MONTH(T646)+2,FALSE)))</f>
        <v>0</v>
      </c>
      <c r="X646" s="178">
        <f t="shared" si="109"/>
        <v>0</v>
      </c>
      <c r="Y646" s="178">
        <f t="shared" si="110"/>
        <v>0</v>
      </c>
      <c r="Z646" s="175">
        <f t="shared" si="102"/>
        <v>0</v>
      </c>
      <c r="AA646" s="179"/>
      <c r="AB646" s="467">
        <f t="shared" si="103"/>
        <v>0</v>
      </c>
      <c r="AC646" s="466">
        <f t="shared" si="104"/>
        <v>0</v>
      </c>
    </row>
    <row r="647" spans="2:29" ht="20.100000000000001" customHeight="1">
      <c r="B647" s="172"/>
      <c r="C647" s="172"/>
      <c r="D647" s="172"/>
      <c r="E647" s="181"/>
      <c r="F647" s="173"/>
      <c r="G647" s="174"/>
      <c r="H647" s="284"/>
      <c r="I647" s="221"/>
      <c r="J647" s="177">
        <f>IF(H647=0,0,IF(F647="MXN",1/HLOOKUP(YEAR(G647)+(MONTH(G647)/100),TC!$5:$37,DAY(G647)+2,FALSE),VLOOKUP(F647,Equivalencia!$5:$23,((MAX(Equivalencia!$3:$3)-YEAR(G647))*14)+MONTH(G647)+2,FALSE)))</f>
        <v>0</v>
      </c>
      <c r="K647" s="217">
        <f t="shared" si="105"/>
        <v>0</v>
      </c>
      <c r="L647" s="462">
        <f>IF(G647=0,0,VLOOKUP(YEAR(G647),INPC!$B$4:$O$29,MONTH(G647)+1))</f>
        <v>0</v>
      </c>
      <c r="M647" s="462">
        <f>IF(T647=0,0,VLOOKUP(YEAR(T647),INPC!$B$4:$O$29,MONTH(T647)+1))</f>
        <v>0</v>
      </c>
      <c r="N647" s="463">
        <f t="shared" si="101"/>
        <v>0</v>
      </c>
      <c r="O647" s="464">
        <f t="shared" si="106"/>
        <v>0</v>
      </c>
      <c r="P647" s="465">
        <f t="shared" si="107"/>
        <v>0</v>
      </c>
      <c r="Q647" s="606" t="str">
        <f t="shared" si="108"/>
        <v>NO</v>
      </c>
      <c r="R647" s="180"/>
      <c r="S647" s="173"/>
      <c r="T647" s="174"/>
      <c r="U647" s="173"/>
      <c r="V647" s="220"/>
      <c r="W647" s="177">
        <f>IF(S647=0,0,IF(U647="MXN",1/HLOOKUP(YEAR(T647)+(MONTH(T647)/100),TC!$5:$37,DAY(T647)+2,FALSE),VLOOKUP(U647,Equivalencia!$1:$23,((MAX(Equivalencia!$3:$3)-YEAR(T647))*14)+MONTH(T647)+2,FALSE)))</f>
        <v>0</v>
      </c>
      <c r="X647" s="178">
        <f t="shared" si="109"/>
        <v>0</v>
      </c>
      <c r="Y647" s="178">
        <f t="shared" si="110"/>
        <v>0</v>
      </c>
      <c r="Z647" s="175">
        <f t="shared" si="102"/>
        <v>0</v>
      </c>
      <c r="AA647" s="179"/>
      <c r="AB647" s="467">
        <f t="shared" si="103"/>
        <v>0</v>
      </c>
      <c r="AC647" s="466">
        <f t="shared" si="104"/>
        <v>0</v>
      </c>
    </row>
    <row r="648" spans="2:29" ht="20.100000000000001" customHeight="1">
      <c r="B648" s="172"/>
      <c r="C648" s="172"/>
      <c r="D648" s="172"/>
      <c r="E648" s="181"/>
      <c r="F648" s="173"/>
      <c r="G648" s="174"/>
      <c r="H648" s="284"/>
      <c r="I648" s="221"/>
      <c r="J648" s="177">
        <f>IF(H648=0,0,IF(F648="MXN",1/HLOOKUP(YEAR(G648)+(MONTH(G648)/100),TC!$5:$37,DAY(G648)+2,FALSE),VLOOKUP(F648,Equivalencia!$5:$23,((MAX(Equivalencia!$3:$3)-YEAR(G648))*14)+MONTH(G648)+2,FALSE)))</f>
        <v>0</v>
      </c>
      <c r="K648" s="217">
        <f t="shared" si="105"/>
        <v>0</v>
      </c>
      <c r="L648" s="462">
        <f>IF(G648=0,0,VLOOKUP(YEAR(G648),INPC!$B$4:$O$29,MONTH(G648)+1))</f>
        <v>0</v>
      </c>
      <c r="M648" s="462">
        <f>IF(T648=0,0,VLOOKUP(YEAR(T648),INPC!$B$4:$O$29,MONTH(T648)+1))</f>
        <v>0</v>
      </c>
      <c r="N648" s="463">
        <f t="shared" si="101"/>
        <v>0</v>
      </c>
      <c r="O648" s="464">
        <f t="shared" si="106"/>
        <v>0</v>
      </c>
      <c r="P648" s="465">
        <f t="shared" si="107"/>
        <v>0</v>
      </c>
      <c r="Q648" s="606" t="str">
        <f t="shared" si="108"/>
        <v>NO</v>
      </c>
      <c r="R648" s="180"/>
      <c r="S648" s="173"/>
      <c r="T648" s="174"/>
      <c r="U648" s="173"/>
      <c r="V648" s="220"/>
      <c r="W648" s="177">
        <f>IF(S648=0,0,IF(U648="MXN",1/HLOOKUP(YEAR(T648)+(MONTH(T648)/100),TC!$5:$37,DAY(T648)+2,FALSE),VLOOKUP(U648,Equivalencia!$1:$23,((MAX(Equivalencia!$3:$3)-YEAR(T648))*14)+MONTH(T648)+2,FALSE)))</f>
        <v>0</v>
      </c>
      <c r="X648" s="178">
        <f t="shared" si="109"/>
        <v>0</v>
      </c>
      <c r="Y648" s="178">
        <f t="shared" si="110"/>
        <v>0</v>
      </c>
      <c r="Z648" s="175">
        <f t="shared" si="102"/>
        <v>0</v>
      </c>
      <c r="AA648" s="179"/>
      <c r="AB648" s="467">
        <f t="shared" si="103"/>
        <v>0</v>
      </c>
      <c r="AC648" s="466">
        <f t="shared" si="104"/>
        <v>0</v>
      </c>
    </row>
    <row r="649" spans="2:29" ht="20.100000000000001" customHeight="1">
      <c r="B649" s="172"/>
      <c r="C649" s="172"/>
      <c r="D649" s="172"/>
      <c r="E649" s="181"/>
      <c r="F649" s="173"/>
      <c r="G649" s="174"/>
      <c r="H649" s="284"/>
      <c r="I649" s="221"/>
      <c r="J649" s="177">
        <f>IF(H649=0,0,IF(F649="MXN",1/HLOOKUP(YEAR(G649)+(MONTH(G649)/100),TC!$5:$37,DAY(G649)+2,FALSE),VLOOKUP(F649,Equivalencia!$5:$23,((MAX(Equivalencia!$3:$3)-YEAR(G649))*14)+MONTH(G649)+2,FALSE)))</f>
        <v>0</v>
      </c>
      <c r="K649" s="217">
        <f t="shared" si="105"/>
        <v>0</v>
      </c>
      <c r="L649" s="462">
        <f>IF(G649=0,0,VLOOKUP(YEAR(G649),INPC!$B$4:$O$29,MONTH(G649)+1))</f>
        <v>0</v>
      </c>
      <c r="M649" s="462">
        <f>IF(T649=0,0,VLOOKUP(YEAR(T649),INPC!$B$4:$O$29,MONTH(T649)+1))</f>
        <v>0</v>
      </c>
      <c r="N649" s="463">
        <f t="shared" si="101"/>
        <v>0</v>
      </c>
      <c r="O649" s="464">
        <f t="shared" si="106"/>
        <v>0</v>
      </c>
      <c r="P649" s="465">
        <f t="shared" si="107"/>
        <v>0</v>
      </c>
      <c r="Q649" s="606" t="str">
        <f t="shared" si="108"/>
        <v>NO</v>
      </c>
      <c r="R649" s="180"/>
      <c r="S649" s="173"/>
      <c r="T649" s="174"/>
      <c r="U649" s="173"/>
      <c r="V649" s="220"/>
      <c r="W649" s="177">
        <f>IF(S649=0,0,IF(U649="MXN",1/HLOOKUP(YEAR(T649)+(MONTH(T649)/100),TC!$5:$37,DAY(T649)+2,FALSE),VLOOKUP(U649,Equivalencia!$1:$23,((MAX(Equivalencia!$3:$3)-YEAR(T649))*14)+MONTH(T649)+2,FALSE)))</f>
        <v>0</v>
      </c>
      <c r="X649" s="178">
        <f t="shared" si="109"/>
        <v>0</v>
      </c>
      <c r="Y649" s="178">
        <f t="shared" si="110"/>
        <v>0</v>
      </c>
      <c r="Z649" s="175">
        <f t="shared" si="102"/>
        <v>0</v>
      </c>
      <c r="AA649" s="179"/>
      <c r="AB649" s="467">
        <f t="shared" si="103"/>
        <v>0</v>
      </c>
      <c r="AC649" s="466">
        <f t="shared" si="104"/>
        <v>0</v>
      </c>
    </row>
    <row r="650" spans="2:29" ht="20.100000000000001" customHeight="1">
      <c r="B650" s="172"/>
      <c r="C650" s="172"/>
      <c r="D650" s="172"/>
      <c r="E650" s="181"/>
      <c r="F650" s="173"/>
      <c r="G650" s="174"/>
      <c r="H650" s="284"/>
      <c r="I650" s="221"/>
      <c r="J650" s="177">
        <f>IF(H650=0,0,IF(F650="MXN",1/HLOOKUP(YEAR(G650)+(MONTH(G650)/100),TC!$5:$37,DAY(G650)+2,FALSE),VLOOKUP(F650,Equivalencia!$5:$23,((MAX(Equivalencia!$3:$3)-YEAR(G650))*14)+MONTH(G650)+2,FALSE)))</f>
        <v>0</v>
      </c>
      <c r="K650" s="217">
        <f t="shared" si="105"/>
        <v>0</v>
      </c>
      <c r="L650" s="462">
        <f>IF(G650=0,0,VLOOKUP(YEAR(G650),INPC!$B$4:$O$29,MONTH(G650)+1))</f>
        <v>0</v>
      </c>
      <c r="M650" s="462">
        <f>IF(T650=0,0,VLOOKUP(YEAR(T650),INPC!$B$4:$O$29,MONTH(T650)+1))</f>
        <v>0</v>
      </c>
      <c r="N650" s="463">
        <f t="shared" si="101"/>
        <v>0</v>
      </c>
      <c r="O650" s="464">
        <f t="shared" si="106"/>
        <v>0</v>
      </c>
      <c r="P650" s="465">
        <f t="shared" si="107"/>
        <v>0</v>
      </c>
      <c r="Q650" s="606" t="str">
        <f t="shared" si="108"/>
        <v>NO</v>
      </c>
      <c r="R650" s="180"/>
      <c r="S650" s="173"/>
      <c r="T650" s="174"/>
      <c r="U650" s="173"/>
      <c r="V650" s="220"/>
      <c r="W650" s="177">
        <f>IF(S650=0,0,IF(U650="MXN",1/HLOOKUP(YEAR(T650)+(MONTH(T650)/100),TC!$5:$37,DAY(T650)+2,FALSE),VLOOKUP(U650,Equivalencia!$1:$23,((MAX(Equivalencia!$3:$3)-YEAR(T650))*14)+MONTH(T650)+2,FALSE)))</f>
        <v>0</v>
      </c>
      <c r="X650" s="178">
        <f t="shared" si="109"/>
        <v>0</v>
      </c>
      <c r="Y650" s="178">
        <f t="shared" si="110"/>
        <v>0</v>
      </c>
      <c r="Z650" s="175">
        <f t="shared" si="102"/>
        <v>0</v>
      </c>
      <c r="AA650" s="179"/>
      <c r="AB650" s="467">
        <f t="shared" si="103"/>
        <v>0</v>
      </c>
      <c r="AC650" s="466">
        <f t="shared" si="104"/>
        <v>0</v>
      </c>
    </row>
    <row r="651" spans="2:29" ht="20.100000000000001" customHeight="1">
      <c r="B651" s="172"/>
      <c r="C651" s="172"/>
      <c r="D651" s="172"/>
      <c r="E651" s="181"/>
      <c r="F651" s="173"/>
      <c r="G651" s="174"/>
      <c r="H651" s="284"/>
      <c r="I651" s="221"/>
      <c r="J651" s="177">
        <f>IF(H651=0,0,IF(F651="MXN",1/HLOOKUP(YEAR(G651)+(MONTH(G651)/100),TC!$5:$37,DAY(G651)+2,FALSE),VLOOKUP(F651,Equivalencia!$5:$23,((MAX(Equivalencia!$3:$3)-YEAR(G651))*14)+MONTH(G651)+2,FALSE)))</f>
        <v>0</v>
      </c>
      <c r="K651" s="217">
        <f t="shared" si="105"/>
        <v>0</v>
      </c>
      <c r="L651" s="462">
        <f>IF(G651=0,0,VLOOKUP(YEAR(G651),INPC!$B$4:$O$29,MONTH(G651)+1))</f>
        <v>0</v>
      </c>
      <c r="M651" s="462">
        <f>IF(T651=0,0,VLOOKUP(YEAR(T651),INPC!$B$4:$O$29,MONTH(T651)+1))</f>
        <v>0</v>
      </c>
      <c r="N651" s="463">
        <f t="shared" si="101"/>
        <v>0</v>
      </c>
      <c r="O651" s="464">
        <f t="shared" si="106"/>
        <v>0</v>
      </c>
      <c r="P651" s="465">
        <f t="shared" si="107"/>
        <v>0</v>
      </c>
      <c r="Q651" s="606" t="str">
        <f t="shared" si="108"/>
        <v>NO</v>
      </c>
      <c r="R651" s="180"/>
      <c r="S651" s="173"/>
      <c r="T651" s="174"/>
      <c r="U651" s="173"/>
      <c r="V651" s="220"/>
      <c r="W651" s="177">
        <f>IF(S651=0,0,IF(U651="MXN",1/HLOOKUP(YEAR(T651)+(MONTH(T651)/100),TC!$5:$37,DAY(T651)+2,FALSE),VLOOKUP(U651,Equivalencia!$1:$23,((MAX(Equivalencia!$3:$3)-YEAR(T651))*14)+MONTH(T651)+2,FALSE)))</f>
        <v>0</v>
      </c>
      <c r="X651" s="178">
        <f t="shared" si="109"/>
        <v>0</v>
      </c>
      <c r="Y651" s="178">
        <f t="shared" si="110"/>
        <v>0</v>
      </c>
      <c r="Z651" s="175">
        <f t="shared" si="102"/>
        <v>0</v>
      </c>
      <c r="AA651" s="179"/>
      <c r="AB651" s="467">
        <f t="shared" si="103"/>
        <v>0</v>
      </c>
      <c r="AC651" s="466">
        <f t="shared" si="104"/>
        <v>0</v>
      </c>
    </row>
    <row r="652" spans="2:29" ht="20.100000000000001" customHeight="1">
      <c r="B652" s="172"/>
      <c r="C652" s="172"/>
      <c r="D652" s="172"/>
      <c r="E652" s="181"/>
      <c r="F652" s="173"/>
      <c r="G652" s="174"/>
      <c r="H652" s="284"/>
      <c r="I652" s="221"/>
      <c r="J652" s="177">
        <f>IF(H652=0,0,IF(F652="MXN",1/HLOOKUP(YEAR(G652)+(MONTH(G652)/100),TC!$5:$37,DAY(G652)+2,FALSE),VLOOKUP(F652,Equivalencia!$5:$23,((MAX(Equivalencia!$3:$3)-YEAR(G652))*14)+MONTH(G652)+2,FALSE)))</f>
        <v>0</v>
      </c>
      <c r="K652" s="217">
        <f t="shared" si="105"/>
        <v>0</v>
      </c>
      <c r="L652" s="462">
        <f>IF(G652=0,0,VLOOKUP(YEAR(G652),INPC!$B$4:$O$29,MONTH(G652)+1))</f>
        <v>0</v>
      </c>
      <c r="M652" s="462">
        <f>IF(T652=0,0,VLOOKUP(YEAR(T652),INPC!$B$4:$O$29,MONTH(T652)+1))</f>
        <v>0</v>
      </c>
      <c r="N652" s="463">
        <f t="shared" si="101"/>
        <v>0</v>
      </c>
      <c r="O652" s="464">
        <f t="shared" si="106"/>
        <v>0</v>
      </c>
      <c r="P652" s="465">
        <f t="shared" si="107"/>
        <v>0</v>
      </c>
      <c r="Q652" s="606" t="str">
        <f t="shared" si="108"/>
        <v>NO</v>
      </c>
      <c r="R652" s="180"/>
      <c r="S652" s="173"/>
      <c r="T652" s="174"/>
      <c r="U652" s="173"/>
      <c r="V652" s="220"/>
      <c r="W652" s="177">
        <f>IF(S652=0,0,IF(U652="MXN",1/HLOOKUP(YEAR(T652)+(MONTH(T652)/100),TC!$5:$37,DAY(T652)+2,FALSE),VLOOKUP(U652,Equivalencia!$1:$23,((MAX(Equivalencia!$3:$3)-YEAR(T652))*14)+MONTH(T652)+2,FALSE)))</f>
        <v>0</v>
      </c>
      <c r="X652" s="178">
        <f t="shared" si="109"/>
        <v>0</v>
      </c>
      <c r="Y652" s="178">
        <f t="shared" si="110"/>
        <v>0</v>
      </c>
      <c r="Z652" s="175">
        <f t="shared" si="102"/>
        <v>0</v>
      </c>
      <c r="AA652" s="179"/>
      <c r="AB652" s="467">
        <f t="shared" si="103"/>
        <v>0</v>
      </c>
      <c r="AC652" s="466">
        <f t="shared" si="104"/>
        <v>0</v>
      </c>
    </row>
    <row r="653" spans="2:29" ht="20.100000000000001" customHeight="1">
      <c r="B653" s="172"/>
      <c r="C653" s="172"/>
      <c r="D653" s="172"/>
      <c r="E653" s="181"/>
      <c r="F653" s="173"/>
      <c r="G653" s="174"/>
      <c r="H653" s="284"/>
      <c r="I653" s="221"/>
      <c r="J653" s="177">
        <f>IF(H653=0,0,IF(F653="MXN",1/HLOOKUP(YEAR(G653)+(MONTH(G653)/100),TC!$5:$37,DAY(G653)+2,FALSE),VLOOKUP(F653,Equivalencia!$5:$23,((MAX(Equivalencia!$3:$3)-YEAR(G653))*14)+MONTH(G653)+2,FALSE)))</f>
        <v>0</v>
      </c>
      <c r="K653" s="217">
        <f t="shared" si="105"/>
        <v>0</v>
      </c>
      <c r="L653" s="462">
        <f>IF(G653=0,0,VLOOKUP(YEAR(G653),INPC!$B$4:$O$29,MONTH(G653)+1))</f>
        <v>0</v>
      </c>
      <c r="M653" s="462">
        <f>IF(T653=0,0,VLOOKUP(YEAR(T653),INPC!$B$4:$O$29,MONTH(T653)+1))</f>
        <v>0</v>
      </c>
      <c r="N653" s="463">
        <f t="shared" si="101"/>
        <v>0</v>
      </c>
      <c r="O653" s="464">
        <f t="shared" si="106"/>
        <v>0</v>
      </c>
      <c r="P653" s="465">
        <f t="shared" si="107"/>
        <v>0</v>
      </c>
      <c r="Q653" s="606" t="str">
        <f t="shared" si="108"/>
        <v>NO</v>
      </c>
      <c r="R653" s="180"/>
      <c r="S653" s="173"/>
      <c r="T653" s="174"/>
      <c r="U653" s="173"/>
      <c r="V653" s="220"/>
      <c r="W653" s="177">
        <f>IF(S653=0,0,IF(U653="MXN",1/HLOOKUP(YEAR(T653)+(MONTH(T653)/100),TC!$5:$37,DAY(T653)+2,FALSE),VLOOKUP(U653,Equivalencia!$1:$23,((MAX(Equivalencia!$3:$3)-YEAR(T653))*14)+MONTH(T653)+2,FALSE)))</f>
        <v>0</v>
      </c>
      <c r="X653" s="178">
        <f t="shared" si="109"/>
        <v>0</v>
      </c>
      <c r="Y653" s="178">
        <f t="shared" si="110"/>
        <v>0</v>
      </c>
      <c r="Z653" s="175">
        <f t="shared" si="102"/>
        <v>0</v>
      </c>
      <c r="AA653" s="179"/>
      <c r="AB653" s="467">
        <f t="shared" si="103"/>
        <v>0</v>
      </c>
      <c r="AC653" s="466">
        <f t="shared" si="104"/>
        <v>0</v>
      </c>
    </row>
    <row r="654" spans="2:29" ht="20.100000000000001" customHeight="1">
      <c r="B654" s="172"/>
      <c r="C654" s="172"/>
      <c r="D654" s="172"/>
      <c r="E654" s="181"/>
      <c r="F654" s="173"/>
      <c r="G654" s="174"/>
      <c r="H654" s="284"/>
      <c r="I654" s="221"/>
      <c r="J654" s="177">
        <f>IF(H654=0,0,IF(F654="MXN",1/HLOOKUP(YEAR(G654)+(MONTH(G654)/100),TC!$5:$37,DAY(G654)+2,FALSE),VLOOKUP(F654,Equivalencia!$5:$23,((MAX(Equivalencia!$3:$3)-YEAR(G654))*14)+MONTH(G654)+2,FALSE)))</f>
        <v>0</v>
      </c>
      <c r="K654" s="217">
        <f t="shared" si="105"/>
        <v>0</v>
      </c>
      <c r="L654" s="462">
        <f>IF(G654=0,0,VLOOKUP(YEAR(G654),INPC!$B$4:$O$29,MONTH(G654)+1))</f>
        <v>0</v>
      </c>
      <c r="M654" s="462">
        <f>IF(T654=0,0,VLOOKUP(YEAR(T654),INPC!$B$4:$O$29,MONTH(T654)+1))</f>
        <v>0</v>
      </c>
      <c r="N654" s="463">
        <f t="shared" si="101"/>
        <v>0</v>
      </c>
      <c r="O654" s="464">
        <f t="shared" si="106"/>
        <v>0</v>
      </c>
      <c r="P654" s="465">
        <f t="shared" si="107"/>
        <v>0</v>
      </c>
      <c r="Q654" s="606" t="str">
        <f t="shared" si="108"/>
        <v>NO</v>
      </c>
      <c r="R654" s="180"/>
      <c r="S654" s="173"/>
      <c r="T654" s="174"/>
      <c r="U654" s="173"/>
      <c r="V654" s="220"/>
      <c r="W654" s="177">
        <f>IF(S654=0,0,IF(U654="MXN",1/HLOOKUP(YEAR(T654)+(MONTH(T654)/100),TC!$5:$37,DAY(T654)+2,FALSE),VLOOKUP(U654,Equivalencia!$1:$23,((MAX(Equivalencia!$3:$3)-YEAR(T654))*14)+MONTH(T654)+2,FALSE)))</f>
        <v>0</v>
      </c>
      <c r="X654" s="178">
        <f t="shared" si="109"/>
        <v>0</v>
      </c>
      <c r="Y654" s="178">
        <f t="shared" si="110"/>
        <v>0</v>
      </c>
      <c r="Z654" s="175">
        <f t="shared" si="102"/>
        <v>0</v>
      </c>
      <c r="AA654" s="179"/>
      <c r="AB654" s="467">
        <f t="shared" si="103"/>
        <v>0</v>
      </c>
      <c r="AC654" s="466">
        <f t="shared" si="104"/>
        <v>0</v>
      </c>
    </row>
    <row r="655" spans="2:29" ht="20.100000000000001" customHeight="1">
      <c r="B655" s="172"/>
      <c r="C655" s="172"/>
      <c r="D655" s="172"/>
      <c r="E655" s="181"/>
      <c r="F655" s="173"/>
      <c r="G655" s="174"/>
      <c r="H655" s="284"/>
      <c r="I655" s="221"/>
      <c r="J655" s="177">
        <f>IF(H655=0,0,IF(F655="MXN",1/HLOOKUP(YEAR(G655)+(MONTH(G655)/100),TC!$5:$37,DAY(G655)+2,FALSE),VLOOKUP(F655,Equivalencia!$5:$23,((MAX(Equivalencia!$3:$3)-YEAR(G655))*14)+MONTH(G655)+2,FALSE)))</f>
        <v>0</v>
      </c>
      <c r="K655" s="217">
        <f t="shared" si="105"/>
        <v>0</v>
      </c>
      <c r="L655" s="462">
        <f>IF(G655=0,0,VLOOKUP(YEAR(G655),INPC!$B$4:$O$29,MONTH(G655)+1))</f>
        <v>0</v>
      </c>
      <c r="M655" s="462">
        <f>IF(T655=0,0,VLOOKUP(YEAR(T655),INPC!$B$4:$O$29,MONTH(T655)+1))</f>
        <v>0</v>
      </c>
      <c r="N655" s="463">
        <f t="shared" si="101"/>
        <v>0</v>
      </c>
      <c r="O655" s="464">
        <f t="shared" si="106"/>
        <v>0</v>
      </c>
      <c r="P655" s="465">
        <f t="shared" si="107"/>
        <v>0</v>
      </c>
      <c r="Q655" s="606" t="str">
        <f t="shared" si="108"/>
        <v>NO</v>
      </c>
      <c r="R655" s="180"/>
      <c r="S655" s="173"/>
      <c r="T655" s="174"/>
      <c r="U655" s="173"/>
      <c r="V655" s="220"/>
      <c r="W655" s="177">
        <f>IF(S655=0,0,IF(U655="MXN",1/HLOOKUP(YEAR(T655)+(MONTH(T655)/100),TC!$5:$37,DAY(T655)+2,FALSE),VLOOKUP(U655,Equivalencia!$1:$23,((MAX(Equivalencia!$3:$3)-YEAR(T655))*14)+MONTH(T655)+2,FALSE)))</f>
        <v>0</v>
      </c>
      <c r="X655" s="178">
        <f t="shared" si="109"/>
        <v>0</v>
      </c>
      <c r="Y655" s="178">
        <f t="shared" si="110"/>
        <v>0</v>
      </c>
      <c r="Z655" s="175">
        <f t="shared" si="102"/>
        <v>0</v>
      </c>
      <c r="AA655" s="179"/>
      <c r="AB655" s="467">
        <f t="shared" si="103"/>
        <v>0</v>
      </c>
      <c r="AC655" s="466">
        <f t="shared" si="104"/>
        <v>0</v>
      </c>
    </row>
    <row r="656" spans="2:29" ht="20.100000000000001" customHeight="1">
      <c r="B656" s="172"/>
      <c r="C656" s="172"/>
      <c r="D656" s="172"/>
      <c r="E656" s="181"/>
      <c r="F656" s="173"/>
      <c r="G656" s="174"/>
      <c r="H656" s="284"/>
      <c r="I656" s="221"/>
      <c r="J656" s="177">
        <f>IF(H656=0,0,IF(F656="MXN",1/HLOOKUP(YEAR(G656)+(MONTH(G656)/100),TC!$5:$37,DAY(G656)+2,FALSE),VLOOKUP(F656,Equivalencia!$5:$23,((MAX(Equivalencia!$3:$3)-YEAR(G656))*14)+MONTH(G656)+2,FALSE)))</f>
        <v>0</v>
      </c>
      <c r="K656" s="217">
        <f t="shared" si="105"/>
        <v>0</v>
      </c>
      <c r="L656" s="462">
        <f>IF(G656=0,0,VLOOKUP(YEAR(G656),INPC!$B$4:$O$29,MONTH(G656)+1))</f>
        <v>0</v>
      </c>
      <c r="M656" s="462">
        <f>IF(T656=0,0,VLOOKUP(YEAR(T656),INPC!$B$4:$O$29,MONTH(T656)+1))</f>
        <v>0</v>
      </c>
      <c r="N656" s="463">
        <f t="shared" si="101"/>
        <v>0</v>
      </c>
      <c r="O656" s="464">
        <f t="shared" si="106"/>
        <v>0</v>
      </c>
      <c r="P656" s="465">
        <f t="shared" si="107"/>
        <v>0</v>
      </c>
      <c r="Q656" s="606" t="str">
        <f t="shared" si="108"/>
        <v>NO</v>
      </c>
      <c r="R656" s="180"/>
      <c r="S656" s="173"/>
      <c r="T656" s="174"/>
      <c r="U656" s="173"/>
      <c r="V656" s="220"/>
      <c r="W656" s="177">
        <f>IF(S656=0,0,IF(U656="MXN",1/HLOOKUP(YEAR(T656)+(MONTH(T656)/100),TC!$5:$37,DAY(T656)+2,FALSE),VLOOKUP(U656,Equivalencia!$1:$23,((MAX(Equivalencia!$3:$3)-YEAR(T656))*14)+MONTH(T656)+2,FALSE)))</f>
        <v>0</v>
      </c>
      <c r="X656" s="178">
        <f t="shared" si="109"/>
        <v>0</v>
      </c>
      <c r="Y656" s="178">
        <f t="shared" si="110"/>
        <v>0</v>
      </c>
      <c r="Z656" s="175">
        <f t="shared" si="102"/>
        <v>0</v>
      </c>
      <c r="AA656" s="179"/>
      <c r="AB656" s="467">
        <f t="shared" si="103"/>
        <v>0</v>
      </c>
      <c r="AC656" s="466">
        <f t="shared" si="104"/>
        <v>0</v>
      </c>
    </row>
    <row r="657" spans="2:29" ht="20.100000000000001" customHeight="1">
      <c r="B657" s="172"/>
      <c r="C657" s="172"/>
      <c r="D657" s="172"/>
      <c r="E657" s="181"/>
      <c r="F657" s="173"/>
      <c r="G657" s="174"/>
      <c r="H657" s="284"/>
      <c r="I657" s="221"/>
      <c r="J657" s="177">
        <f>IF(H657=0,0,IF(F657="MXN",1/HLOOKUP(YEAR(G657)+(MONTH(G657)/100),TC!$5:$37,DAY(G657)+2,FALSE),VLOOKUP(F657,Equivalencia!$5:$23,((MAX(Equivalencia!$3:$3)-YEAR(G657))*14)+MONTH(G657)+2,FALSE)))</f>
        <v>0</v>
      </c>
      <c r="K657" s="217">
        <f t="shared" si="105"/>
        <v>0</v>
      </c>
      <c r="L657" s="462">
        <f>IF(G657=0,0,VLOOKUP(YEAR(G657),INPC!$B$4:$O$29,MONTH(G657)+1))</f>
        <v>0</v>
      </c>
      <c r="M657" s="462">
        <f>IF(T657=0,0,VLOOKUP(YEAR(T657),INPC!$B$4:$O$29,MONTH(T657)+1))</f>
        <v>0</v>
      </c>
      <c r="N657" s="463">
        <f t="shared" si="101"/>
        <v>0</v>
      </c>
      <c r="O657" s="464">
        <f t="shared" si="106"/>
        <v>0</v>
      </c>
      <c r="P657" s="465">
        <f t="shared" si="107"/>
        <v>0</v>
      </c>
      <c r="Q657" s="606" t="str">
        <f t="shared" si="108"/>
        <v>NO</v>
      </c>
      <c r="R657" s="180"/>
      <c r="S657" s="173"/>
      <c r="T657" s="174"/>
      <c r="U657" s="173"/>
      <c r="V657" s="220"/>
      <c r="W657" s="177">
        <f>IF(S657=0,0,IF(U657="MXN",1/HLOOKUP(YEAR(T657)+(MONTH(T657)/100),TC!$5:$37,DAY(T657)+2,FALSE),VLOOKUP(U657,Equivalencia!$1:$23,((MAX(Equivalencia!$3:$3)-YEAR(T657))*14)+MONTH(T657)+2,FALSE)))</f>
        <v>0</v>
      </c>
      <c r="X657" s="178">
        <f t="shared" si="109"/>
        <v>0</v>
      </c>
      <c r="Y657" s="178">
        <f t="shared" si="110"/>
        <v>0</v>
      </c>
      <c r="Z657" s="175">
        <f t="shared" si="102"/>
        <v>0</v>
      </c>
      <c r="AA657" s="179"/>
      <c r="AB657" s="467">
        <f t="shared" si="103"/>
        <v>0</v>
      </c>
      <c r="AC657" s="466">
        <f t="shared" si="104"/>
        <v>0</v>
      </c>
    </row>
    <row r="658" spans="2:29" ht="20.100000000000001" customHeight="1">
      <c r="B658" s="172"/>
      <c r="C658" s="172"/>
      <c r="D658" s="172"/>
      <c r="E658" s="181"/>
      <c r="F658" s="173"/>
      <c r="G658" s="174"/>
      <c r="H658" s="284"/>
      <c r="I658" s="221"/>
      <c r="J658" s="177">
        <f>IF(H658=0,0,IF(F658="MXN",1/HLOOKUP(YEAR(G658)+(MONTH(G658)/100),TC!$5:$37,DAY(G658)+2,FALSE),VLOOKUP(F658,Equivalencia!$5:$23,((MAX(Equivalencia!$3:$3)-YEAR(G658))*14)+MONTH(G658)+2,FALSE)))</f>
        <v>0</v>
      </c>
      <c r="K658" s="217">
        <f t="shared" si="105"/>
        <v>0</v>
      </c>
      <c r="L658" s="462">
        <f>IF(G658=0,0,VLOOKUP(YEAR(G658),INPC!$B$4:$O$29,MONTH(G658)+1))</f>
        <v>0</v>
      </c>
      <c r="M658" s="462">
        <f>IF(T658=0,0,VLOOKUP(YEAR(T658),INPC!$B$4:$O$29,MONTH(T658)+1))</f>
        <v>0</v>
      </c>
      <c r="N658" s="463">
        <f t="shared" si="101"/>
        <v>0</v>
      </c>
      <c r="O658" s="464">
        <f t="shared" si="106"/>
        <v>0</v>
      </c>
      <c r="P658" s="465">
        <f t="shared" si="107"/>
        <v>0</v>
      </c>
      <c r="Q658" s="606" t="str">
        <f t="shared" si="108"/>
        <v>NO</v>
      </c>
      <c r="R658" s="180"/>
      <c r="S658" s="173"/>
      <c r="T658" s="174"/>
      <c r="U658" s="173"/>
      <c r="V658" s="220"/>
      <c r="W658" s="177">
        <f>IF(S658=0,0,IF(U658="MXN",1/HLOOKUP(YEAR(T658)+(MONTH(T658)/100),TC!$5:$37,DAY(T658)+2,FALSE),VLOOKUP(U658,Equivalencia!$1:$23,((MAX(Equivalencia!$3:$3)-YEAR(T658))*14)+MONTH(T658)+2,FALSE)))</f>
        <v>0</v>
      </c>
      <c r="X658" s="178">
        <f t="shared" si="109"/>
        <v>0</v>
      </c>
      <c r="Y658" s="178">
        <f t="shared" si="110"/>
        <v>0</v>
      </c>
      <c r="Z658" s="175">
        <f t="shared" si="102"/>
        <v>0</v>
      </c>
      <c r="AA658" s="179"/>
      <c r="AB658" s="467">
        <f t="shared" si="103"/>
        <v>0</v>
      </c>
      <c r="AC658" s="466">
        <f t="shared" si="104"/>
        <v>0</v>
      </c>
    </row>
    <row r="659" spans="2:29" ht="20.100000000000001" customHeight="1">
      <c r="B659" s="172"/>
      <c r="C659" s="172"/>
      <c r="D659" s="172"/>
      <c r="E659" s="181"/>
      <c r="F659" s="173"/>
      <c r="G659" s="174"/>
      <c r="H659" s="284"/>
      <c r="I659" s="221"/>
      <c r="J659" s="177">
        <f>IF(H659=0,0,IF(F659="MXN",1/HLOOKUP(YEAR(G659)+(MONTH(G659)/100),TC!$5:$37,DAY(G659)+2,FALSE),VLOOKUP(F659,Equivalencia!$5:$23,((MAX(Equivalencia!$3:$3)-YEAR(G659))*14)+MONTH(G659)+2,FALSE)))</f>
        <v>0</v>
      </c>
      <c r="K659" s="217">
        <f t="shared" si="105"/>
        <v>0</v>
      </c>
      <c r="L659" s="462">
        <f>IF(G659=0,0,VLOOKUP(YEAR(G659),INPC!$B$4:$O$29,MONTH(G659)+1))</f>
        <v>0</v>
      </c>
      <c r="M659" s="462">
        <f>IF(T659=0,0,VLOOKUP(YEAR(T659),INPC!$B$4:$O$29,MONTH(T659)+1))</f>
        <v>0</v>
      </c>
      <c r="N659" s="463">
        <f t="shared" si="101"/>
        <v>0</v>
      </c>
      <c r="O659" s="464">
        <f t="shared" si="106"/>
        <v>0</v>
      </c>
      <c r="P659" s="465">
        <f t="shared" si="107"/>
        <v>0</v>
      </c>
      <c r="Q659" s="606" t="str">
        <f t="shared" si="108"/>
        <v>NO</v>
      </c>
      <c r="R659" s="180"/>
      <c r="S659" s="173"/>
      <c r="T659" s="174"/>
      <c r="U659" s="173"/>
      <c r="V659" s="220"/>
      <c r="W659" s="177">
        <f>IF(S659=0,0,IF(U659="MXN",1/HLOOKUP(YEAR(T659)+(MONTH(T659)/100),TC!$5:$37,DAY(T659)+2,FALSE),VLOOKUP(U659,Equivalencia!$1:$23,((MAX(Equivalencia!$3:$3)-YEAR(T659))*14)+MONTH(T659)+2,FALSE)))</f>
        <v>0</v>
      </c>
      <c r="X659" s="178">
        <f t="shared" si="109"/>
        <v>0</v>
      </c>
      <c r="Y659" s="178">
        <f t="shared" si="110"/>
        <v>0</v>
      </c>
      <c r="Z659" s="175">
        <f t="shared" si="102"/>
        <v>0</v>
      </c>
      <c r="AA659" s="179"/>
      <c r="AB659" s="467">
        <f t="shared" si="103"/>
        <v>0</v>
      </c>
      <c r="AC659" s="466">
        <f t="shared" si="104"/>
        <v>0</v>
      </c>
    </row>
    <row r="660" spans="2:29" ht="20.100000000000001" customHeight="1">
      <c r="B660" s="172"/>
      <c r="C660" s="172"/>
      <c r="D660" s="172"/>
      <c r="E660" s="181"/>
      <c r="F660" s="173"/>
      <c r="G660" s="174"/>
      <c r="H660" s="284"/>
      <c r="I660" s="221"/>
      <c r="J660" s="177">
        <f>IF(H660=0,0,IF(F660="MXN",1/HLOOKUP(YEAR(G660)+(MONTH(G660)/100),TC!$5:$37,DAY(G660)+2,FALSE),VLOOKUP(F660,Equivalencia!$5:$23,((MAX(Equivalencia!$3:$3)-YEAR(G660))*14)+MONTH(G660)+2,FALSE)))</f>
        <v>0</v>
      </c>
      <c r="K660" s="217">
        <f t="shared" si="105"/>
        <v>0</v>
      </c>
      <c r="L660" s="462">
        <f>IF(G660=0,0,VLOOKUP(YEAR(G660),INPC!$B$4:$O$29,MONTH(G660)+1))</f>
        <v>0</v>
      </c>
      <c r="M660" s="462">
        <f>IF(T660=0,0,VLOOKUP(YEAR(T660),INPC!$B$4:$O$29,MONTH(T660)+1))</f>
        <v>0</v>
      </c>
      <c r="N660" s="463">
        <f t="shared" si="101"/>
        <v>0</v>
      </c>
      <c r="O660" s="464">
        <f t="shared" si="106"/>
        <v>0</v>
      </c>
      <c r="P660" s="465">
        <f t="shared" si="107"/>
        <v>0</v>
      </c>
      <c r="Q660" s="606" t="str">
        <f t="shared" si="108"/>
        <v>NO</v>
      </c>
      <c r="R660" s="180"/>
      <c r="S660" s="173"/>
      <c r="T660" s="174"/>
      <c r="U660" s="173"/>
      <c r="V660" s="220"/>
      <c r="W660" s="177">
        <f>IF(S660=0,0,IF(U660="MXN",1/HLOOKUP(YEAR(T660)+(MONTH(T660)/100),TC!$5:$37,DAY(T660)+2,FALSE),VLOOKUP(U660,Equivalencia!$1:$23,((MAX(Equivalencia!$3:$3)-YEAR(T660))*14)+MONTH(T660)+2,FALSE)))</f>
        <v>0</v>
      </c>
      <c r="X660" s="178">
        <f t="shared" si="109"/>
        <v>0</v>
      </c>
      <c r="Y660" s="178">
        <f t="shared" si="110"/>
        <v>0</v>
      </c>
      <c r="Z660" s="175">
        <f t="shared" si="102"/>
        <v>0</v>
      </c>
      <c r="AA660" s="179"/>
      <c r="AB660" s="467">
        <f t="shared" si="103"/>
        <v>0</v>
      </c>
      <c r="AC660" s="466">
        <f t="shared" si="104"/>
        <v>0</v>
      </c>
    </row>
    <row r="661" spans="2:29" ht="20.100000000000001" customHeight="1">
      <c r="B661" s="172"/>
      <c r="C661" s="172"/>
      <c r="D661" s="172"/>
      <c r="E661" s="181"/>
      <c r="F661" s="173"/>
      <c r="G661" s="174"/>
      <c r="H661" s="284"/>
      <c r="I661" s="221"/>
      <c r="J661" s="177">
        <f>IF(H661=0,0,IF(F661="MXN",1/HLOOKUP(YEAR(G661)+(MONTH(G661)/100),TC!$5:$37,DAY(G661)+2,FALSE),VLOOKUP(F661,Equivalencia!$5:$23,((MAX(Equivalencia!$3:$3)-YEAR(G661))*14)+MONTH(G661)+2,FALSE)))</f>
        <v>0</v>
      </c>
      <c r="K661" s="217">
        <f t="shared" si="105"/>
        <v>0</v>
      </c>
      <c r="L661" s="462">
        <f>IF(G661=0,0,VLOOKUP(YEAR(G661),INPC!$B$4:$O$29,MONTH(G661)+1))</f>
        <v>0</v>
      </c>
      <c r="M661" s="462">
        <f>IF(T661=0,0,VLOOKUP(YEAR(T661),INPC!$B$4:$O$29,MONTH(T661)+1))</f>
        <v>0</v>
      </c>
      <c r="N661" s="463">
        <f t="shared" si="101"/>
        <v>0</v>
      </c>
      <c r="O661" s="464">
        <f t="shared" si="106"/>
        <v>0</v>
      </c>
      <c r="P661" s="465">
        <f t="shared" si="107"/>
        <v>0</v>
      </c>
      <c r="Q661" s="606" t="str">
        <f t="shared" si="108"/>
        <v>NO</v>
      </c>
      <c r="R661" s="180"/>
      <c r="S661" s="173"/>
      <c r="T661" s="174"/>
      <c r="U661" s="173"/>
      <c r="V661" s="220"/>
      <c r="W661" s="177">
        <f>IF(S661=0,0,IF(U661="MXN",1/HLOOKUP(YEAR(T661)+(MONTH(T661)/100),TC!$5:$37,DAY(T661)+2,FALSE),VLOOKUP(U661,Equivalencia!$1:$23,((MAX(Equivalencia!$3:$3)-YEAR(T661))*14)+MONTH(T661)+2,FALSE)))</f>
        <v>0</v>
      </c>
      <c r="X661" s="178">
        <f t="shared" si="109"/>
        <v>0</v>
      </c>
      <c r="Y661" s="178">
        <f t="shared" si="110"/>
        <v>0</v>
      </c>
      <c r="Z661" s="175">
        <f t="shared" si="102"/>
        <v>0</v>
      </c>
      <c r="AA661" s="179"/>
      <c r="AB661" s="467">
        <f t="shared" si="103"/>
        <v>0</v>
      </c>
      <c r="AC661" s="466">
        <f t="shared" si="104"/>
        <v>0</v>
      </c>
    </row>
    <row r="662" spans="2:29" ht="20.100000000000001" customHeight="1">
      <c r="B662" s="172"/>
      <c r="C662" s="172"/>
      <c r="D662" s="172"/>
      <c r="E662" s="181"/>
      <c r="F662" s="173"/>
      <c r="G662" s="174"/>
      <c r="H662" s="284"/>
      <c r="I662" s="221"/>
      <c r="J662" s="177">
        <f>IF(H662=0,0,IF(F662="MXN",1/HLOOKUP(YEAR(G662)+(MONTH(G662)/100),TC!$5:$37,DAY(G662)+2,FALSE),VLOOKUP(F662,Equivalencia!$5:$23,((MAX(Equivalencia!$3:$3)-YEAR(G662))*14)+MONTH(G662)+2,FALSE)))</f>
        <v>0</v>
      </c>
      <c r="K662" s="217">
        <f t="shared" si="105"/>
        <v>0</v>
      </c>
      <c r="L662" s="462">
        <f>IF(G662=0,0,VLOOKUP(YEAR(G662),INPC!$B$4:$O$29,MONTH(G662)+1))</f>
        <v>0</v>
      </c>
      <c r="M662" s="462">
        <f>IF(T662=0,0,VLOOKUP(YEAR(T662),INPC!$B$4:$O$29,MONTH(T662)+1))</f>
        <v>0</v>
      </c>
      <c r="N662" s="463">
        <f t="shared" si="101"/>
        <v>0</v>
      </c>
      <c r="O662" s="464">
        <f t="shared" si="106"/>
        <v>0</v>
      </c>
      <c r="P662" s="465">
        <f t="shared" si="107"/>
        <v>0</v>
      </c>
      <c r="Q662" s="606" t="str">
        <f t="shared" si="108"/>
        <v>NO</v>
      </c>
      <c r="R662" s="180"/>
      <c r="S662" s="173"/>
      <c r="T662" s="174"/>
      <c r="U662" s="173"/>
      <c r="V662" s="220"/>
      <c r="W662" s="177">
        <f>IF(S662=0,0,IF(U662="MXN",1/HLOOKUP(YEAR(T662)+(MONTH(T662)/100),TC!$5:$37,DAY(T662)+2,FALSE),VLOOKUP(U662,Equivalencia!$1:$23,((MAX(Equivalencia!$3:$3)-YEAR(T662))*14)+MONTH(T662)+2,FALSE)))</f>
        <v>0</v>
      </c>
      <c r="X662" s="178">
        <f t="shared" si="109"/>
        <v>0</v>
      </c>
      <c r="Y662" s="178">
        <f t="shared" si="110"/>
        <v>0</v>
      </c>
      <c r="Z662" s="175">
        <f t="shared" si="102"/>
        <v>0</v>
      </c>
      <c r="AA662" s="179"/>
      <c r="AB662" s="467">
        <f t="shared" si="103"/>
        <v>0</v>
      </c>
      <c r="AC662" s="466">
        <f t="shared" si="104"/>
        <v>0</v>
      </c>
    </row>
    <row r="663" spans="2:29" ht="20.100000000000001" customHeight="1">
      <c r="B663" s="172"/>
      <c r="C663" s="172"/>
      <c r="D663" s="172"/>
      <c r="E663" s="181"/>
      <c r="F663" s="173"/>
      <c r="G663" s="174"/>
      <c r="H663" s="284"/>
      <c r="I663" s="221"/>
      <c r="J663" s="177">
        <f>IF(H663=0,0,IF(F663="MXN",1/HLOOKUP(YEAR(G663)+(MONTH(G663)/100),TC!$5:$37,DAY(G663)+2,FALSE),VLOOKUP(F663,Equivalencia!$5:$23,((MAX(Equivalencia!$3:$3)-YEAR(G663))*14)+MONTH(G663)+2,FALSE)))</f>
        <v>0</v>
      </c>
      <c r="K663" s="217">
        <f t="shared" si="105"/>
        <v>0</v>
      </c>
      <c r="L663" s="462">
        <f>IF(G663=0,0,VLOOKUP(YEAR(G663),INPC!$B$4:$O$29,MONTH(G663)+1))</f>
        <v>0</v>
      </c>
      <c r="M663" s="462">
        <f>IF(T663=0,0,VLOOKUP(YEAR(T663),INPC!$B$4:$O$29,MONTH(T663)+1))</f>
        <v>0</v>
      </c>
      <c r="N663" s="463">
        <f t="shared" si="101"/>
        <v>0</v>
      </c>
      <c r="O663" s="464">
        <f t="shared" si="106"/>
        <v>0</v>
      </c>
      <c r="P663" s="465">
        <f t="shared" si="107"/>
        <v>0</v>
      </c>
      <c r="Q663" s="606" t="str">
        <f t="shared" si="108"/>
        <v>NO</v>
      </c>
      <c r="R663" s="180"/>
      <c r="S663" s="173"/>
      <c r="T663" s="174"/>
      <c r="U663" s="173"/>
      <c r="V663" s="220"/>
      <c r="W663" s="177">
        <f>IF(S663=0,0,IF(U663="MXN",1/HLOOKUP(YEAR(T663)+(MONTH(T663)/100),TC!$5:$37,DAY(T663)+2,FALSE),VLOOKUP(U663,Equivalencia!$1:$23,((MAX(Equivalencia!$3:$3)-YEAR(T663))*14)+MONTH(T663)+2,FALSE)))</f>
        <v>0</v>
      </c>
      <c r="X663" s="178">
        <f t="shared" si="109"/>
        <v>0</v>
      </c>
      <c r="Y663" s="178">
        <f t="shared" si="110"/>
        <v>0</v>
      </c>
      <c r="Z663" s="175">
        <f t="shared" si="102"/>
        <v>0</v>
      </c>
      <c r="AA663" s="179"/>
      <c r="AB663" s="467">
        <f t="shared" si="103"/>
        <v>0</v>
      </c>
      <c r="AC663" s="466">
        <f t="shared" si="104"/>
        <v>0</v>
      </c>
    </row>
    <row r="664" spans="2:29" ht="20.100000000000001" customHeight="1">
      <c r="B664" s="172"/>
      <c r="C664" s="172"/>
      <c r="D664" s="172"/>
      <c r="E664" s="181"/>
      <c r="F664" s="173"/>
      <c r="G664" s="174"/>
      <c r="H664" s="284"/>
      <c r="I664" s="221"/>
      <c r="J664" s="177">
        <f>IF(H664=0,0,IF(F664="MXN",1/HLOOKUP(YEAR(G664)+(MONTH(G664)/100),TC!$5:$37,DAY(G664)+2,FALSE),VLOOKUP(F664,Equivalencia!$5:$23,((MAX(Equivalencia!$3:$3)-YEAR(G664))*14)+MONTH(G664)+2,FALSE)))</f>
        <v>0</v>
      </c>
      <c r="K664" s="217">
        <f t="shared" si="105"/>
        <v>0</v>
      </c>
      <c r="L664" s="462">
        <f>IF(G664=0,0,VLOOKUP(YEAR(G664),INPC!$B$4:$O$29,MONTH(G664)+1))</f>
        <v>0</v>
      </c>
      <c r="M664" s="462">
        <f>IF(T664=0,0,VLOOKUP(YEAR(T664),INPC!$B$4:$O$29,MONTH(T664)+1))</f>
        <v>0</v>
      </c>
      <c r="N664" s="463">
        <f t="shared" si="101"/>
        <v>0</v>
      </c>
      <c r="O664" s="464">
        <f t="shared" si="106"/>
        <v>0</v>
      </c>
      <c r="P664" s="465">
        <f t="shared" si="107"/>
        <v>0</v>
      </c>
      <c r="Q664" s="606" t="str">
        <f t="shared" si="108"/>
        <v>NO</v>
      </c>
      <c r="R664" s="180"/>
      <c r="S664" s="173"/>
      <c r="T664" s="174"/>
      <c r="U664" s="173"/>
      <c r="V664" s="220"/>
      <c r="W664" s="177">
        <f>IF(S664=0,0,IF(U664="MXN",1/HLOOKUP(YEAR(T664)+(MONTH(T664)/100),TC!$5:$37,DAY(T664)+2,FALSE),VLOOKUP(U664,Equivalencia!$1:$23,((MAX(Equivalencia!$3:$3)-YEAR(T664))*14)+MONTH(T664)+2,FALSE)))</f>
        <v>0</v>
      </c>
      <c r="X664" s="178">
        <f t="shared" si="109"/>
        <v>0</v>
      </c>
      <c r="Y664" s="178">
        <f t="shared" si="110"/>
        <v>0</v>
      </c>
      <c r="Z664" s="175">
        <f t="shared" si="102"/>
        <v>0</v>
      </c>
      <c r="AA664" s="179"/>
      <c r="AB664" s="467">
        <f t="shared" si="103"/>
        <v>0</v>
      </c>
      <c r="AC664" s="466">
        <f t="shared" si="104"/>
        <v>0</v>
      </c>
    </row>
    <row r="665" spans="2:29" ht="20.100000000000001" customHeight="1">
      <c r="B665" s="172"/>
      <c r="C665" s="172"/>
      <c r="D665" s="172"/>
      <c r="E665" s="181"/>
      <c r="F665" s="173"/>
      <c r="G665" s="174"/>
      <c r="H665" s="284"/>
      <c r="I665" s="221"/>
      <c r="J665" s="177">
        <f>IF(H665=0,0,IF(F665="MXN",1/HLOOKUP(YEAR(G665)+(MONTH(G665)/100),TC!$5:$37,DAY(G665)+2,FALSE),VLOOKUP(F665,Equivalencia!$5:$23,((MAX(Equivalencia!$3:$3)-YEAR(G665))*14)+MONTH(G665)+2,FALSE)))</f>
        <v>0</v>
      </c>
      <c r="K665" s="217">
        <f t="shared" si="105"/>
        <v>0</v>
      </c>
      <c r="L665" s="462">
        <f>IF(G665=0,0,VLOOKUP(YEAR(G665),INPC!$B$4:$O$29,MONTH(G665)+1))</f>
        <v>0</v>
      </c>
      <c r="M665" s="462">
        <f>IF(T665=0,0,VLOOKUP(YEAR(T665),INPC!$B$4:$O$29,MONTH(T665)+1))</f>
        <v>0</v>
      </c>
      <c r="N665" s="463">
        <f t="shared" si="101"/>
        <v>0</v>
      </c>
      <c r="O665" s="464">
        <f t="shared" si="106"/>
        <v>0</v>
      </c>
      <c r="P665" s="465">
        <f t="shared" si="107"/>
        <v>0</v>
      </c>
      <c r="Q665" s="606" t="str">
        <f t="shared" si="108"/>
        <v>NO</v>
      </c>
      <c r="R665" s="180"/>
      <c r="S665" s="173"/>
      <c r="T665" s="174"/>
      <c r="U665" s="173"/>
      <c r="V665" s="220"/>
      <c r="W665" s="177">
        <f>IF(S665=0,0,IF(U665="MXN",1/HLOOKUP(YEAR(T665)+(MONTH(T665)/100),TC!$5:$37,DAY(T665)+2,FALSE),VLOOKUP(U665,Equivalencia!$1:$23,((MAX(Equivalencia!$3:$3)-YEAR(T665))*14)+MONTH(T665)+2,FALSE)))</f>
        <v>0</v>
      </c>
      <c r="X665" s="178">
        <f t="shared" si="109"/>
        <v>0</v>
      </c>
      <c r="Y665" s="178">
        <f t="shared" si="110"/>
        <v>0</v>
      </c>
      <c r="Z665" s="175">
        <f t="shared" si="102"/>
        <v>0</v>
      </c>
      <c r="AA665" s="179"/>
      <c r="AB665" s="467">
        <f t="shared" si="103"/>
        <v>0</v>
      </c>
      <c r="AC665" s="466">
        <f t="shared" si="104"/>
        <v>0</v>
      </c>
    </row>
    <row r="666" spans="2:29" ht="20.100000000000001" customHeight="1">
      <c r="B666" s="172"/>
      <c r="C666" s="172"/>
      <c r="D666" s="172"/>
      <c r="E666" s="181"/>
      <c r="F666" s="173"/>
      <c r="G666" s="174"/>
      <c r="H666" s="284"/>
      <c r="I666" s="221"/>
      <c r="J666" s="177">
        <f>IF(H666=0,0,IF(F666="MXN",1/HLOOKUP(YEAR(G666)+(MONTH(G666)/100),TC!$5:$37,DAY(G666)+2,FALSE),VLOOKUP(F666,Equivalencia!$5:$23,((MAX(Equivalencia!$3:$3)-YEAR(G666))*14)+MONTH(G666)+2,FALSE)))</f>
        <v>0</v>
      </c>
      <c r="K666" s="217">
        <f t="shared" si="105"/>
        <v>0</v>
      </c>
      <c r="L666" s="462">
        <f>IF(G666=0,0,VLOOKUP(YEAR(G666),INPC!$B$4:$O$29,MONTH(G666)+1))</f>
        <v>0</v>
      </c>
      <c r="M666" s="462">
        <f>IF(T666=0,0,VLOOKUP(YEAR(T666),INPC!$B$4:$O$29,MONTH(T666)+1))</f>
        <v>0</v>
      </c>
      <c r="N666" s="463">
        <f t="shared" si="101"/>
        <v>0</v>
      </c>
      <c r="O666" s="464">
        <f t="shared" si="106"/>
        <v>0</v>
      </c>
      <c r="P666" s="465">
        <f t="shared" si="107"/>
        <v>0</v>
      </c>
      <c r="Q666" s="606" t="str">
        <f t="shared" si="108"/>
        <v>NO</v>
      </c>
      <c r="R666" s="180"/>
      <c r="S666" s="173"/>
      <c r="T666" s="174"/>
      <c r="U666" s="173"/>
      <c r="V666" s="220"/>
      <c r="W666" s="177">
        <f>IF(S666=0,0,IF(U666="MXN",1/HLOOKUP(YEAR(T666)+(MONTH(T666)/100),TC!$5:$37,DAY(T666)+2,FALSE),VLOOKUP(U666,Equivalencia!$1:$23,((MAX(Equivalencia!$3:$3)-YEAR(T666))*14)+MONTH(T666)+2,FALSE)))</f>
        <v>0</v>
      </c>
      <c r="X666" s="178">
        <f t="shared" si="109"/>
        <v>0</v>
      </c>
      <c r="Y666" s="178">
        <f t="shared" si="110"/>
        <v>0</v>
      </c>
      <c r="Z666" s="175">
        <f t="shared" si="102"/>
        <v>0</v>
      </c>
      <c r="AA666" s="179"/>
      <c r="AB666" s="467">
        <f t="shared" si="103"/>
        <v>0</v>
      </c>
      <c r="AC666" s="466">
        <f t="shared" si="104"/>
        <v>0</v>
      </c>
    </row>
    <row r="667" spans="2:29" ht="20.100000000000001" customHeight="1">
      <c r="B667" s="172"/>
      <c r="C667" s="172"/>
      <c r="D667" s="172"/>
      <c r="E667" s="181"/>
      <c r="F667" s="173"/>
      <c r="G667" s="174"/>
      <c r="H667" s="284"/>
      <c r="I667" s="221"/>
      <c r="J667" s="177">
        <f>IF(H667=0,0,IF(F667="MXN",1/HLOOKUP(YEAR(G667)+(MONTH(G667)/100),TC!$5:$37,DAY(G667)+2,FALSE),VLOOKUP(F667,Equivalencia!$5:$23,((MAX(Equivalencia!$3:$3)-YEAR(G667))*14)+MONTH(G667)+2,FALSE)))</f>
        <v>0</v>
      </c>
      <c r="K667" s="217">
        <f t="shared" si="105"/>
        <v>0</v>
      </c>
      <c r="L667" s="462">
        <f>IF(G667=0,0,VLOOKUP(YEAR(G667),INPC!$B$4:$O$29,MONTH(G667)+1))</f>
        <v>0</v>
      </c>
      <c r="M667" s="462">
        <f>IF(T667=0,0,VLOOKUP(YEAR(T667),INPC!$B$4:$O$29,MONTH(T667)+1))</f>
        <v>0</v>
      </c>
      <c r="N667" s="463">
        <f t="shared" si="101"/>
        <v>0</v>
      </c>
      <c r="O667" s="464">
        <f t="shared" si="106"/>
        <v>0</v>
      </c>
      <c r="P667" s="465">
        <f t="shared" si="107"/>
        <v>0</v>
      </c>
      <c r="Q667" s="606" t="str">
        <f t="shared" si="108"/>
        <v>NO</v>
      </c>
      <c r="R667" s="180"/>
      <c r="S667" s="173"/>
      <c r="T667" s="174"/>
      <c r="U667" s="173"/>
      <c r="V667" s="220"/>
      <c r="W667" s="177">
        <f>IF(S667=0,0,IF(U667="MXN",1/HLOOKUP(YEAR(T667)+(MONTH(T667)/100),TC!$5:$37,DAY(T667)+2,FALSE),VLOOKUP(U667,Equivalencia!$1:$23,((MAX(Equivalencia!$3:$3)-YEAR(T667))*14)+MONTH(T667)+2,FALSE)))</f>
        <v>0</v>
      </c>
      <c r="X667" s="178">
        <f t="shared" si="109"/>
        <v>0</v>
      </c>
      <c r="Y667" s="178">
        <f t="shared" si="110"/>
        <v>0</v>
      </c>
      <c r="Z667" s="175">
        <f t="shared" si="102"/>
        <v>0</v>
      </c>
      <c r="AA667" s="179"/>
      <c r="AB667" s="467">
        <f t="shared" si="103"/>
        <v>0</v>
      </c>
      <c r="AC667" s="466">
        <f t="shared" si="104"/>
        <v>0</v>
      </c>
    </row>
    <row r="668" spans="2:29" ht="20.100000000000001" customHeight="1">
      <c r="B668" s="172"/>
      <c r="C668" s="172"/>
      <c r="D668" s="172"/>
      <c r="E668" s="181"/>
      <c r="F668" s="173"/>
      <c r="G668" s="174"/>
      <c r="H668" s="284"/>
      <c r="I668" s="221"/>
      <c r="J668" s="177">
        <f>IF(H668=0,0,IF(F668="MXN",1/HLOOKUP(YEAR(G668)+(MONTH(G668)/100),TC!$5:$37,DAY(G668)+2,FALSE),VLOOKUP(F668,Equivalencia!$5:$23,((MAX(Equivalencia!$3:$3)-YEAR(G668))*14)+MONTH(G668)+2,FALSE)))</f>
        <v>0</v>
      </c>
      <c r="K668" s="217">
        <f t="shared" si="105"/>
        <v>0</v>
      </c>
      <c r="L668" s="462">
        <f>IF(G668=0,0,VLOOKUP(YEAR(G668),INPC!$B$4:$O$29,MONTH(G668)+1))</f>
        <v>0</v>
      </c>
      <c r="M668" s="462">
        <f>IF(T668=0,0,VLOOKUP(YEAR(T668),INPC!$B$4:$O$29,MONTH(T668)+1))</f>
        <v>0</v>
      </c>
      <c r="N668" s="463">
        <f t="shared" si="101"/>
        <v>0</v>
      </c>
      <c r="O668" s="464">
        <f t="shared" si="106"/>
        <v>0</v>
      </c>
      <c r="P668" s="465">
        <f t="shared" si="107"/>
        <v>0</v>
      </c>
      <c r="Q668" s="606" t="str">
        <f t="shared" si="108"/>
        <v>NO</v>
      </c>
      <c r="R668" s="180"/>
      <c r="S668" s="173"/>
      <c r="T668" s="174"/>
      <c r="U668" s="173"/>
      <c r="V668" s="220"/>
      <c r="W668" s="177">
        <f>IF(S668=0,0,IF(U668="MXN",1/HLOOKUP(YEAR(T668)+(MONTH(T668)/100),TC!$5:$37,DAY(T668)+2,FALSE),VLOOKUP(U668,Equivalencia!$1:$23,((MAX(Equivalencia!$3:$3)-YEAR(T668))*14)+MONTH(T668)+2,FALSE)))</f>
        <v>0</v>
      </c>
      <c r="X668" s="178">
        <f t="shared" si="109"/>
        <v>0</v>
      </c>
      <c r="Y668" s="178">
        <f t="shared" si="110"/>
        <v>0</v>
      </c>
      <c r="Z668" s="175">
        <f t="shared" si="102"/>
        <v>0</v>
      </c>
      <c r="AA668" s="179"/>
      <c r="AB668" s="467">
        <f t="shared" si="103"/>
        <v>0</v>
      </c>
      <c r="AC668" s="466">
        <f t="shared" si="104"/>
        <v>0</v>
      </c>
    </row>
    <row r="669" spans="2:29" ht="20.100000000000001" customHeight="1">
      <c r="B669" s="172"/>
      <c r="C669" s="172"/>
      <c r="D669" s="172"/>
      <c r="E669" s="181"/>
      <c r="F669" s="173"/>
      <c r="G669" s="174"/>
      <c r="H669" s="284"/>
      <c r="I669" s="221"/>
      <c r="J669" s="177">
        <f>IF(H669=0,0,IF(F669="MXN",1/HLOOKUP(YEAR(G669)+(MONTH(G669)/100),TC!$5:$37,DAY(G669)+2,FALSE),VLOOKUP(F669,Equivalencia!$5:$23,((MAX(Equivalencia!$3:$3)-YEAR(G669))*14)+MONTH(G669)+2,FALSE)))</f>
        <v>0</v>
      </c>
      <c r="K669" s="217">
        <f t="shared" si="105"/>
        <v>0</v>
      </c>
      <c r="L669" s="462">
        <f>IF(G669=0,0,VLOOKUP(YEAR(G669),INPC!$B$4:$O$29,MONTH(G669)+1))</f>
        <v>0</v>
      </c>
      <c r="M669" s="462">
        <f>IF(T669=0,0,VLOOKUP(YEAR(T669),INPC!$B$4:$O$29,MONTH(T669)+1))</f>
        <v>0</v>
      </c>
      <c r="N669" s="463">
        <f t="shared" si="101"/>
        <v>0</v>
      </c>
      <c r="O669" s="464">
        <f t="shared" si="106"/>
        <v>0</v>
      </c>
      <c r="P669" s="465">
        <f t="shared" si="107"/>
        <v>0</v>
      </c>
      <c r="Q669" s="606" t="str">
        <f t="shared" si="108"/>
        <v>NO</v>
      </c>
      <c r="R669" s="180"/>
      <c r="S669" s="173"/>
      <c r="T669" s="174"/>
      <c r="U669" s="173"/>
      <c r="V669" s="220"/>
      <c r="W669" s="177">
        <f>IF(S669=0,0,IF(U669="MXN",1/HLOOKUP(YEAR(T669)+(MONTH(T669)/100),TC!$5:$37,DAY(T669)+2,FALSE),VLOOKUP(U669,Equivalencia!$1:$23,((MAX(Equivalencia!$3:$3)-YEAR(T669))*14)+MONTH(T669)+2,FALSE)))</f>
        <v>0</v>
      </c>
      <c r="X669" s="178">
        <f t="shared" si="109"/>
        <v>0</v>
      </c>
      <c r="Y669" s="178">
        <f t="shared" si="110"/>
        <v>0</v>
      </c>
      <c r="Z669" s="175">
        <f t="shared" si="102"/>
        <v>0</v>
      </c>
      <c r="AA669" s="179"/>
      <c r="AB669" s="467">
        <f t="shared" si="103"/>
        <v>0</v>
      </c>
      <c r="AC669" s="466">
        <f t="shared" si="104"/>
        <v>0</v>
      </c>
    </row>
    <row r="670" spans="2:29" ht="20.100000000000001" customHeight="1">
      <c r="B670" s="172"/>
      <c r="C670" s="172"/>
      <c r="D670" s="172"/>
      <c r="E670" s="181"/>
      <c r="F670" s="173"/>
      <c r="G670" s="174"/>
      <c r="H670" s="284"/>
      <c r="I670" s="221"/>
      <c r="J670" s="177">
        <f>IF(H670=0,0,IF(F670="MXN",1/HLOOKUP(YEAR(G670)+(MONTH(G670)/100),TC!$5:$37,DAY(G670)+2,FALSE),VLOOKUP(F670,Equivalencia!$5:$23,((MAX(Equivalencia!$3:$3)-YEAR(G670))*14)+MONTH(G670)+2,FALSE)))</f>
        <v>0</v>
      </c>
      <c r="K670" s="217">
        <f t="shared" si="105"/>
        <v>0</v>
      </c>
      <c r="L670" s="462">
        <f>IF(G670=0,0,VLOOKUP(YEAR(G670),INPC!$B$4:$O$29,MONTH(G670)+1))</f>
        <v>0</v>
      </c>
      <c r="M670" s="462">
        <f>IF(T670=0,0,VLOOKUP(YEAR(T670),INPC!$B$4:$O$29,MONTH(T670)+1))</f>
        <v>0</v>
      </c>
      <c r="N670" s="463">
        <f t="shared" si="101"/>
        <v>0</v>
      </c>
      <c r="O670" s="464">
        <f t="shared" si="106"/>
        <v>0</v>
      </c>
      <c r="P670" s="465">
        <f t="shared" si="107"/>
        <v>0</v>
      </c>
      <c r="Q670" s="606" t="str">
        <f t="shared" si="108"/>
        <v>NO</v>
      </c>
      <c r="R670" s="180"/>
      <c r="S670" s="173"/>
      <c r="T670" s="174"/>
      <c r="U670" s="173"/>
      <c r="V670" s="220"/>
      <c r="W670" s="177">
        <f>IF(S670=0,0,IF(U670="MXN",1/HLOOKUP(YEAR(T670)+(MONTH(T670)/100),TC!$5:$37,DAY(T670)+2,FALSE),VLOOKUP(U670,Equivalencia!$1:$23,((MAX(Equivalencia!$3:$3)-YEAR(T670))*14)+MONTH(T670)+2,FALSE)))</f>
        <v>0</v>
      </c>
      <c r="X670" s="178">
        <f t="shared" si="109"/>
        <v>0</v>
      </c>
      <c r="Y670" s="178">
        <f t="shared" si="110"/>
        <v>0</v>
      </c>
      <c r="Z670" s="175">
        <f t="shared" si="102"/>
        <v>0</v>
      </c>
      <c r="AA670" s="179"/>
      <c r="AB670" s="467">
        <f t="shared" si="103"/>
        <v>0</v>
      </c>
      <c r="AC670" s="466">
        <f t="shared" si="104"/>
        <v>0</v>
      </c>
    </row>
    <row r="671" spans="2:29" ht="20.100000000000001" customHeight="1">
      <c r="B671" s="172"/>
      <c r="C671" s="172"/>
      <c r="D671" s="172"/>
      <c r="E671" s="181"/>
      <c r="F671" s="173"/>
      <c r="G671" s="174"/>
      <c r="H671" s="284"/>
      <c r="I671" s="221"/>
      <c r="J671" s="177">
        <f>IF(H671=0,0,IF(F671="MXN",1/HLOOKUP(YEAR(G671)+(MONTH(G671)/100),TC!$5:$37,DAY(G671)+2,FALSE),VLOOKUP(F671,Equivalencia!$5:$23,((MAX(Equivalencia!$3:$3)-YEAR(G671))*14)+MONTH(G671)+2,FALSE)))</f>
        <v>0</v>
      </c>
      <c r="K671" s="217">
        <f t="shared" si="105"/>
        <v>0</v>
      </c>
      <c r="L671" s="462">
        <f>IF(G671=0,0,VLOOKUP(YEAR(G671),INPC!$B$4:$O$29,MONTH(G671)+1))</f>
        <v>0</v>
      </c>
      <c r="M671" s="462">
        <f>IF(T671=0,0,VLOOKUP(YEAR(T671),INPC!$B$4:$O$29,MONTH(T671)+1))</f>
        <v>0</v>
      </c>
      <c r="N671" s="463">
        <f t="shared" si="101"/>
        <v>0</v>
      </c>
      <c r="O671" s="464">
        <f t="shared" si="106"/>
        <v>0</v>
      </c>
      <c r="P671" s="465">
        <f t="shared" si="107"/>
        <v>0</v>
      </c>
      <c r="Q671" s="606" t="str">
        <f t="shared" si="108"/>
        <v>NO</v>
      </c>
      <c r="R671" s="180"/>
      <c r="S671" s="173"/>
      <c r="T671" s="174"/>
      <c r="U671" s="173"/>
      <c r="V671" s="220"/>
      <c r="W671" s="177">
        <f>IF(S671=0,0,IF(U671="MXN",1/HLOOKUP(YEAR(T671)+(MONTH(T671)/100),TC!$5:$37,DAY(T671)+2,FALSE),VLOOKUP(U671,Equivalencia!$1:$23,((MAX(Equivalencia!$3:$3)-YEAR(T671))*14)+MONTH(T671)+2,FALSE)))</f>
        <v>0</v>
      </c>
      <c r="X671" s="178">
        <f t="shared" si="109"/>
        <v>0</v>
      </c>
      <c r="Y671" s="178">
        <f t="shared" si="110"/>
        <v>0</v>
      </c>
      <c r="Z671" s="175">
        <f t="shared" si="102"/>
        <v>0</v>
      </c>
      <c r="AA671" s="179"/>
      <c r="AB671" s="467">
        <f t="shared" si="103"/>
        <v>0</v>
      </c>
      <c r="AC671" s="466">
        <f t="shared" si="104"/>
        <v>0</v>
      </c>
    </row>
    <row r="672" spans="2:29" ht="20.100000000000001" customHeight="1">
      <c r="B672" s="172"/>
      <c r="C672" s="172"/>
      <c r="D672" s="172"/>
      <c r="E672" s="181"/>
      <c r="F672" s="173"/>
      <c r="G672" s="174"/>
      <c r="H672" s="284"/>
      <c r="I672" s="221"/>
      <c r="J672" s="177">
        <f>IF(H672=0,0,IF(F672="MXN",1/HLOOKUP(YEAR(G672)+(MONTH(G672)/100),TC!$5:$37,DAY(G672)+2,FALSE),VLOOKUP(F672,Equivalencia!$5:$23,((MAX(Equivalencia!$3:$3)-YEAR(G672))*14)+MONTH(G672)+2,FALSE)))</f>
        <v>0</v>
      </c>
      <c r="K672" s="217">
        <f t="shared" si="105"/>
        <v>0</v>
      </c>
      <c r="L672" s="462">
        <f>IF(G672=0,0,VLOOKUP(YEAR(G672),INPC!$B$4:$O$29,MONTH(G672)+1))</f>
        <v>0</v>
      </c>
      <c r="M672" s="462">
        <f>IF(T672=0,0,VLOOKUP(YEAR(T672),INPC!$B$4:$O$29,MONTH(T672)+1))</f>
        <v>0</v>
      </c>
      <c r="N672" s="463">
        <f t="shared" si="101"/>
        <v>0</v>
      </c>
      <c r="O672" s="464">
        <f t="shared" si="106"/>
        <v>0</v>
      </c>
      <c r="P672" s="465">
        <f t="shared" si="107"/>
        <v>0</v>
      </c>
      <c r="Q672" s="606" t="str">
        <f t="shared" si="108"/>
        <v>NO</v>
      </c>
      <c r="R672" s="180"/>
      <c r="S672" s="173"/>
      <c r="T672" s="174"/>
      <c r="U672" s="173"/>
      <c r="V672" s="220"/>
      <c r="W672" s="177">
        <f>IF(S672=0,0,IF(U672="MXN",1/HLOOKUP(YEAR(T672)+(MONTH(T672)/100),TC!$5:$37,DAY(T672)+2,FALSE),VLOOKUP(U672,Equivalencia!$1:$23,((MAX(Equivalencia!$3:$3)-YEAR(T672))*14)+MONTH(T672)+2,FALSE)))</f>
        <v>0</v>
      </c>
      <c r="X672" s="178">
        <f t="shared" si="109"/>
        <v>0</v>
      </c>
      <c r="Y672" s="178">
        <f t="shared" si="110"/>
        <v>0</v>
      </c>
      <c r="Z672" s="175">
        <f t="shared" si="102"/>
        <v>0</v>
      </c>
      <c r="AA672" s="179"/>
      <c r="AB672" s="467">
        <f t="shared" si="103"/>
        <v>0</v>
      </c>
      <c r="AC672" s="466">
        <f t="shared" si="104"/>
        <v>0</v>
      </c>
    </row>
    <row r="673" spans="2:29" ht="20.100000000000001" customHeight="1">
      <c r="B673" s="172"/>
      <c r="C673" s="172"/>
      <c r="D673" s="172"/>
      <c r="E673" s="181"/>
      <c r="F673" s="173"/>
      <c r="G673" s="174"/>
      <c r="H673" s="284"/>
      <c r="I673" s="221"/>
      <c r="J673" s="177">
        <f>IF(H673=0,0,IF(F673="MXN",1/HLOOKUP(YEAR(G673)+(MONTH(G673)/100),TC!$5:$37,DAY(G673)+2,FALSE),VLOOKUP(F673,Equivalencia!$5:$23,((MAX(Equivalencia!$3:$3)-YEAR(G673))*14)+MONTH(G673)+2,FALSE)))</f>
        <v>0</v>
      </c>
      <c r="K673" s="217">
        <f t="shared" si="105"/>
        <v>0</v>
      </c>
      <c r="L673" s="462">
        <f>IF(G673=0,0,VLOOKUP(YEAR(G673),INPC!$B$4:$O$29,MONTH(G673)+1))</f>
        <v>0</v>
      </c>
      <c r="M673" s="462">
        <f>IF(T673=0,0,VLOOKUP(YEAR(T673),INPC!$B$4:$O$29,MONTH(T673)+1))</f>
        <v>0</v>
      </c>
      <c r="N673" s="463">
        <f t="shared" si="101"/>
        <v>0</v>
      </c>
      <c r="O673" s="464">
        <f t="shared" si="106"/>
        <v>0</v>
      </c>
      <c r="P673" s="465">
        <f t="shared" si="107"/>
        <v>0</v>
      </c>
      <c r="Q673" s="606" t="str">
        <f t="shared" si="108"/>
        <v>NO</v>
      </c>
      <c r="R673" s="180"/>
      <c r="S673" s="173"/>
      <c r="T673" s="174"/>
      <c r="U673" s="173"/>
      <c r="V673" s="220"/>
      <c r="W673" s="177">
        <f>IF(S673=0,0,IF(U673="MXN",1/HLOOKUP(YEAR(T673)+(MONTH(T673)/100),TC!$5:$37,DAY(T673)+2,FALSE),VLOOKUP(U673,Equivalencia!$1:$23,((MAX(Equivalencia!$3:$3)-YEAR(T673))*14)+MONTH(T673)+2,FALSE)))</f>
        <v>0</v>
      </c>
      <c r="X673" s="178">
        <f t="shared" si="109"/>
        <v>0</v>
      </c>
      <c r="Y673" s="178">
        <f t="shared" si="110"/>
        <v>0</v>
      </c>
      <c r="Z673" s="175">
        <f t="shared" si="102"/>
        <v>0</v>
      </c>
      <c r="AA673" s="179"/>
      <c r="AB673" s="467">
        <f t="shared" si="103"/>
        <v>0</v>
      </c>
      <c r="AC673" s="466">
        <f t="shared" si="104"/>
        <v>0</v>
      </c>
    </row>
    <row r="674" spans="2:29" ht="20.100000000000001" customHeight="1">
      <c r="B674" s="172"/>
      <c r="C674" s="172"/>
      <c r="D674" s="172"/>
      <c r="E674" s="181"/>
      <c r="F674" s="173"/>
      <c r="G674" s="174"/>
      <c r="H674" s="284"/>
      <c r="I674" s="221"/>
      <c r="J674" s="177">
        <f>IF(H674=0,0,IF(F674="MXN",1/HLOOKUP(YEAR(G674)+(MONTH(G674)/100),TC!$5:$37,DAY(G674)+2,FALSE),VLOOKUP(F674,Equivalencia!$5:$23,((MAX(Equivalencia!$3:$3)-YEAR(G674))*14)+MONTH(G674)+2,FALSE)))</f>
        <v>0</v>
      </c>
      <c r="K674" s="217">
        <f t="shared" si="105"/>
        <v>0</v>
      </c>
      <c r="L674" s="462">
        <f>IF(G674=0,0,VLOOKUP(YEAR(G674),INPC!$B$4:$O$29,MONTH(G674)+1))</f>
        <v>0</v>
      </c>
      <c r="M674" s="462">
        <f>IF(T674=0,0,VLOOKUP(YEAR(T674),INPC!$B$4:$O$29,MONTH(T674)+1))</f>
        <v>0</v>
      </c>
      <c r="N674" s="463">
        <f t="shared" si="101"/>
        <v>0</v>
      </c>
      <c r="O674" s="464">
        <f t="shared" si="106"/>
        <v>0</v>
      </c>
      <c r="P674" s="465">
        <f t="shared" si="107"/>
        <v>0</v>
      </c>
      <c r="Q674" s="606" t="str">
        <f t="shared" si="108"/>
        <v>NO</v>
      </c>
      <c r="R674" s="180"/>
      <c r="S674" s="173"/>
      <c r="T674" s="174"/>
      <c r="U674" s="173"/>
      <c r="V674" s="220"/>
      <c r="W674" s="177">
        <f>IF(S674=0,0,IF(U674="MXN",1/HLOOKUP(YEAR(T674)+(MONTH(T674)/100),TC!$5:$37,DAY(T674)+2,FALSE),VLOOKUP(U674,Equivalencia!$1:$23,((MAX(Equivalencia!$3:$3)-YEAR(T674))*14)+MONTH(T674)+2,FALSE)))</f>
        <v>0</v>
      </c>
      <c r="X674" s="178">
        <f t="shared" si="109"/>
        <v>0</v>
      </c>
      <c r="Y674" s="178">
        <f t="shared" si="110"/>
        <v>0</v>
      </c>
      <c r="Z674" s="175">
        <f t="shared" si="102"/>
        <v>0</v>
      </c>
      <c r="AA674" s="179"/>
      <c r="AB674" s="467">
        <f t="shared" si="103"/>
        <v>0</v>
      </c>
      <c r="AC674" s="466">
        <f t="shared" si="104"/>
        <v>0</v>
      </c>
    </row>
    <row r="675" spans="2:29" ht="20.100000000000001" customHeight="1">
      <c r="B675" s="172"/>
      <c r="C675" s="172"/>
      <c r="D675" s="172"/>
      <c r="E675" s="181"/>
      <c r="F675" s="173"/>
      <c r="G675" s="174"/>
      <c r="H675" s="284"/>
      <c r="I675" s="221"/>
      <c r="J675" s="177">
        <f>IF(H675=0,0,IF(F675="MXN",1/HLOOKUP(YEAR(G675)+(MONTH(G675)/100),TC!$5:$37,DAY(G675)+2,FALSE),VLOOKUP(F675,Equivalencia!$5:$23,((MAX(Equivalencia!$3:$3)-YEAR(G675))*14)+MONTH(G675)+2,FALSE)))</f>
        <v>0</v>
      </c>
      <c r="K675" s="217">
        <f t="shared" si="105"/>
        <v>0</v>
      </c>
      <c r="L675" s="462">
        <f>IF(G675=0,0,VLOOKUP(YEAR(G675),INPC!$B$4:$O$29,MONTH(G675)+1))</f>
        <v>0</v>
      </c>
      <c r="M675" s="462">
        <f>IF(T675=0,0,VLOOKUP(YEAR(T675),INPC!$B$4:$O$29,MONTH(T675)+1))</f>
        <v>0</v>
      </c>
      <c r="N675" s="463">
        <f t="shared" si="101"/>
        <v>0</v>
      </c>
      <c r="O675" s="464">
        <f t="shared" si="106"/>
        <v>0</v>
      </c>
      <c r="P675" s="465">
        <f t="shared" si="107"/>
        <v>0</v>
      </c>
      <c r="Q675" s="606" t="str">
        <f t="shared" si="108"/>
        <v>NO</v>
      </c>
      <c r="R675" s="180"/>
      <c r="S675" s="173"/>
      <c r="T675" s="174"/>
      <c r="U675" s="173"/>
      <c r="V675" s="220"/>
      <c r="W675" s="177">
        <f>IF(S675=0,0,IF(U675="MXN",1/HLOOKUP(YEAR(T675)+(MONTH(T675)/100),TC!$5:$37,DAY(T675)+2,FALSE),VLOOKUP(U675,Equivalencia!$1:$23,((MAX(Equivalencia!$3:$3)-YEAR(T675))*14)+MONTH(T675)+2,FALSE)))</f>
        <v>0</v>
      </c>
      <c r="X675" s="178">
        <f t="shared" si="109"/>
        <v>0</v>
      </c>
      <c r="Y675" s="178">
        <f t="shared" si="110"/>
        <v>0</v>
      </c>
      <c r="Z675" s="175">
        <f t="shared" si="102"/>
        <v>0</v>
      </c>
      <c r="AA675" s="179"/>
      <c r="AB675" s="467">
        <f t="shared" si="103"/>
        <v>0</v>
      </c>
      <c r="AC675" s="466">
        <f t="shared" si="104"/>
        <v>0</v>
      </c>
    </row>
    <row r="676" spans="2:29" ht="20.100000000000001" customHeight="1">
      <c r="B676" s="172"/>
      <c r="C676" s="172"/>
      <c r="D676" s="172"/>
      <c r="E676" s="181"/>
      <c r="F676" s="173"/>
      <c r="G676" s="174"/>
      <c r="H676" s="284"/>
      <c r="I676" s="221"/>
      <c r="J676" s="177">
        <f>IF(H676=0,0,IF(F676="MXN",1/HLOOKUP(YEAR(G676)+(MONTH(G676)/100),TC!$5:$37,DAY(G676)+2,FALSE),VLOOKUP(F676,Equivalencia!$5:$23,((MAX(Equivalencia!$3:$3)-YEAR(G676))*14)+MONTH(G676)+2,FALSE)))</f>
        <v>0</v>
      </c>
      <c r="K676" s="217">
        <f t="shared" si="105"/>
        <v>0</v>
      </c>
      <c r="L676" s="462">
        <f>IF(G676=0,0,VLOOKUP(YEAR(G676),INPC!$B$4:$O$29,MONTH(G676)+1))</f>
        <v>0</v>
      </c>
      <c r="M676" s="462">
        <f>IF(T676=0,0,VLOOKUP(YEAR(T676),INPC!$B$4:$O$29,MONTH(T676)+1))</f>
        <v>0</v>
      </c>
      <c r="N676" s="463">
        <f t="shared" si="101"/>
        <v>0</v>
      </c>
      <c r="O676" s="464">
        <f t="shared" si="106"/>
        <v>0</v>
      </c>
      <c r="P676" s="465">
        <f t="shared" si="107"/>
        <v>0</v>
      </c>
      <c r="Q676" s="606" t="str">
        <f t="shared" si="108"/>
        <v>NO</v>
      </c>
      <c r="R676" s="180"/>
      <c r="S676" s="173"/>
      <c r="T676" s="174"/>
      <c r="U676" s="173"/>
      <c r="V676" s="220"/>
      <c r="W676" s="177">
        <f>IF(S676=0,0,IF(U676="MXN",1/HLOOKUP(YEAR(T676)+(MONTH(T676)/100),TC!$5:$37,DAY(T676)+2,FALSE),VLOOKUP(U676,Equivalencia!$1:$23,((MAX(Equivalencia!$3:$3)-YEAR(T676))*14)+MONTH(T676)+2,FALSE)))</f>
        <v>0</v>
      </c>
      <c r="X676" s="178">
        <f t="shared" si="109"/>
        <v>0</v>
      </c>
      <c r="Y676" s="178">
        <f t="shared" si="110"/>
        <v>0</v>
      </c>
      <c r="Z676" s="175">
        <f t="shared" si="102"/>
        <v>0</v>
      </c>
      <c r="AA676" s="179"/>
      <c r="AB676" s="467">
        <f t="shared" si="103"/>
        <v>0</v>
      </c>
      <c r="AC676" s="466">
        <f t="shared" si="104"/>
        <v>0</v>
      </c>
    </row>
    <row r="677" spans="2:29" ht="20.100000000000001" customHeight="1">
      <c r="B677" s="172"/>
      <c r="C677" s="172"/>
      <c r="D677" s="172"/>
      <c r="E677" s="181"/>
      <c r="F677" s="173"/>
      <c r="G677" s="174"/>
      <c r="H677" s="284"/>
      <c r="I677" s="221"/>
      <c r="J677" s="177">
        <f>IF(H677=0,0,IF(F677="MXN",1/HLOOKUP(YEAR(G677)+(MONTH(G677)/100),TC!$5:$37,DAY(G677)+2,FALSE),VLOOKUP(F677,Equivalencia!$5:$23,((MAX(Equivalencia!$3:$3)-YEAR(G677))*14)+MONTH(G677)+2,FALSE)))</f>
        <v>0</v>
      </c>
      <c r="K677" s="217">
        <f t="shared" si="105"/>
        <v>0</v>
      </c>
      <c r="L677" s="462">
        <f>IF(G677=0,0,VLOOKUP(YEAR(G677),INPC!$B$4:$O$29,MONTH(G677)+1))</f>
        <v>0</v>
      </c>
      <c r="M677" s="462">
        <f>IF(T677=0,0,VLOOKUP(YEAR(T677),INPC!$B$4:$O$29,MONTH(T677)+1))</f>
        <v>0</v>
      </c>
      <c r="N677" s="463">
        <f t="shared" si="101"/>
        <v>0</v>
      </c>
      <c r="O677" s="464">
        <f t="shared" si="106"/>
        <v>0</v>
      </c>
      <c r="P677" s="465">
        <f t="shared" si="107"/>
        <v>0</v>
      </c>
      <c r="Q677" s="606" t="str">
        <f t="shared" si="108"/>
        <v>NO</v>
      </c>
      <c r="R677" s="180"/>
      <c r="S677" s="173"/>
      <c r="T677" s="174"/>
      <c r="U677" s="173"/>
      <c r="V677" s="220"/>
      <c r="W677" s="177">
        <f>IF(S677=0,0,IF(U677="MXN",1/HLOOKUP(YEAR(T677)+(MONTH(T677)/100),TC!$5:$37,DAY(T677)+2,FALSE),VLOOKUP(U677,Equivalencia!$1:$23,((MAX(Equivalencia!$3:$3)-YEAR(T677))*14)+MONTH(T677)+2,FALSE)))</f>
        <v>0</v>
      </c>
      <c r="X677" s="178">
        <f t="shared" si="109"/>
        <v>0</v>
      </c>
      <c r="Y677" s="178">
        <f t="shared" si="110"/>
        <v>0</v>
      </c>
      <c r="Z677" s="175">
        <f t="shared" si="102"/>
        <v>0</v>
      </c>
      <c r="AA677" s="179"/>
      <c r="AB677" s="467">
        <f t="shared" si="103"/>
        <v>0</v>
      </c>
      <c r="AC677" s="466">
        <f t="shared" si="104"/>
        <v>0</v>
      </c>
    </row>
    <row r="678" spans="2:29" ht="20.100000000000001" customHeight="1">
      <c r="B678" s="172"/>
      <c r="C678" s="172"/>
      <c r="D678" s="172"/>
      <c r="E678" s="181"/>
      <c r="F678" s="173"/>
      <c r="G678" s="174"/>
      <c r="H678" s="284"/>
      <c r="I678" s="221"/>
      <c r="J678" s="177">
        <f>IF(H678=0,0,IF(F678="MXN",1/HLOOKUP(YEAR(G678)+(MONTH(G678)/100),TC!$5:$37,DAY(G678)+2,FALSE),VLOOKUP(F678,Equivalencia!$5:$23,((MAX(Equivalencia!$3:$3)-YEAR(G678))*14)+MONTH(G678)+2,FALSE)))</f>
        <v>0</v>
      </c>
      <c r="K678" s="217">
        <f t="shared" si="105"/>
        <v>0</v>
      </c>
      <c r="L678" s="462">
        <f>IF(G678=0,0,VLOOKUP(YEAR(G678),INPC!$B$4:$O$29,MONTH(G678)+1))</f>
        <v>0</v>
      </c>
      <c r="M678" s="462">
        <f>IF(T678=0,0,VLOOKUP(YEAR(T678),INPC!$B$4:$O$29,MONTH(T678)+1))</f>
        <v>0</v>
      </c>
      <c r="N678" s="463">
        <f t="shared" si="101"/>
        <v>0</v>
      </c>
      <c r="O678" s="464">
        <f t="shared" si="106"/>
        <v>0</v>
      </c>
      <c r="P678" s="465">
        <f t="shared" si="107"/>
        <v>0</v>
      </c>
      <c r="Q678" s="606" t="str">
        <f t="shared" si="108"/>
        <v>NO</v>
      </c>
      <c r="R678" s="180"/>
      <c r="S678" s="173"/>
      <c r="T678" s="174"/>
      <c r="U678" s="173"/>
      <c r="V678" s="220"/>
      <c r="W678" s="177">
        <f>IF(S678=0,0,IF(U678="MXN",1/HLOOKUP(YEAR(T678)+(MONTH(T678)/100),TC!$5:$37,DAY(T678)+2,FALSE),VLOOKUP(U678,Equivalencia!$1:$23,((MAX(Equivalencia!$3:$3)-YEAR(T678))*14)+MONTH(T678)+2,FALSE)))</f>
        <v>0</v>
      </c>
      <c r="X678" s="178">
        <f t="shared" si="109"/>
        <v>0</v>
      </c>
      <c r="Y678" s="178">
        <f t="shared" si="110"/>
        <v>0</v>
      </c>
      <c r="Z678" s="175">
        <f t="shared" si="102"/>
        <v>0</v>
      </c>
      <c r="AA678" s="179"/>
      <c r="AB678" s="467">
        <f t="shared" si="103"/>
        <v>0</v>
      </c>
      <c r="AC678" s="466">
        <f t="shared" si="104"/>
        <v>0</v>
      </c>
    </row>
    <row r="679" spans="2:29" ht="20.100000000000001" customHeight="1">
      <c r="B679" s="172"/>
      <c r="C679" s="172"/>
      <c r="D679" s="172"/>
      <c r="E679" s="181"/>
      <c r="F679" s="173"/>
      <c r="G679" s="174"/>
      <c r="H679" s="284"/>
      <c r="I679" s="221"/>
      <c r="J679" s="177">
        <f>IF(H679=0,0,IF(F679="MXN",1/HLOOKUP(YEAR(G679)+(MONTH(G679)/100),TC!$5:$37,DAY(G679)+2,FALSE),VLOOKUP(F679,Equivalencia!$5:$23,((MAX(Equivalencia!$3:$3)-YEAR(G679))*14)+MONTH(G679)+2,FALSE)))</f>
        <v>0</v>
      </c>
      <c r="K679" s="217">
        <f t="shared" si="105"/>
        <v>0</v>
      </c>
      <c r="L679" s="462">
        <f>IF(G679=0,0,VLOOKUP(YEAR(G679),INPC!$B$4:$O$29,MONTH(G679)+1))</f>
        <v>0</v>
      </c>
      <c r="M679" s="462">
        <f>IF(T679=0,0,VLOOKUP(YEAR(T679),INPC!$B$4:$O$29,MONTH(T679)+1))</f>
        <v>0</v>
      </c>
      <c r="N679" s="463">
        <f t="shared" si="101"/>
        <v>0</v>
      </c>
      <c r="O679" s="464">
        <f t="shared" si="106"/>
        <v>0</v>
      </c>
      <c r="P679" s="465">
        <f t="shared" si="107"/>
        <v>0</v>
      </c>
      <c r="Q679" s="606" t="str">
        <f t="shared" si="108"/>
        <v>NO</v>
      </c>
      <c r="R679" s="180"/>
      <c r="S679" s="173"/>
      <c r="T679" s="174"/>
      <c r="U679" s="173"/>
      <c r="V679" s="220"/>
      <c r="W679" s="177">
        <f>IF(S679=0,0,IF(U679="MXN",1/HLOOKUP(YEAR(T679)+(MONTH(T679)/100),TC!$5:$37,DAY(T679)+2,FALSE),VLOOKUP(U679,Equivalencia!$1:$23,((MAX(Equivalencia!$3:$3)-YEAR(T679))*14)+MONTH(T679)+2,FALSE)))</f>
        <v>0</v>
      </c>
      <c r="X679" s="178">
        <f t="shared" si="109"/>
        <v>0</v>
      </c>
      <c r="Y679" s="178">
        <f t="shared" si="110"/>
        <v>0</v>
      </c>
      <c r="Z679" s="175">
        <f t="shared" si="102"/>
        <v>0</v>
      </c>
      <c r="AA679" s="179"/>
      <c r="AB679" s="467">
        <f t="shared" si="103"/>
        <v>0</v>
      </c>
      <c r="AC679" s="466">
        <f t="shared" si="104"/>
        <v>0</v>
      </c>
    </row>
    <row r="680" spans="2:29" ht="20.100000000000001" customHeight="1">
      <c r="B680" s="172"/>
      <c r="C680" s="172"/>
      <c r="D680" s="172"/>
      <c r="E680" s="181"/>
      <c r="F680" s="173"/>
      <c r="G680" s="174"/>
      <c r="H680" s="284"/>
      <c r="I680" s="221"/>
      <c r="J680" s="177">
        <f>IF(H680=0,0,IF(F680="MXN",1/HLOOKUP(YEAR(G680)+(MONTH(G680)/100),TC!$5:$37,DAY(G680)+2,FALSE),VLOOKUP(F680,Equivalencia!$5:$23,((MAX(Equivalencia!$3:$3)-YEAR(G680))*14)+MONTH(G680)+2,FALSE)))</f>
        <v>0</v>
      </c>
      <c r="K680" s="217">
        <f t="shared" si="105"/>
        <v>0</v>
      </c>
      <c r="L680" s="462">
        <f>IF(G680=0,0,VLOOKUP(YEAR(G680),INPC!$B$4:$O$29,MONTH(G680)+1))</f>
        <v>0</v>
      </c>
      <c r="M680" s="462">
        <f>IF(T680=0,0,VLOOKUP(YEAR(T680),INPC!$B$4:$O$29,MONTH(T680)+1))</f>
        <v>0</v>
      </c>
      <c r="N680" s="463">
        <f t="shared" si="101"/>
        <v>0</v>
      </c>
      <c r="O680" s="464">
        <f t="shared" si="106"/>
        <v>0</v>
      </c>
      <c r="P680" s="465">
        <f t="shared" si="107"/>
        <v>0</v>
      </c>
      <c r="Q680" s="606" t="str">
        <f t="shared" si="108"/>
        <v>NO</v>
      </c>
      <c r="R680" s="180"/>
      <c r="S680" s="173"/>
      <c r="T680" s="174"/>
      <c r="U680" s="173"/>
      <c r="V680" s="220"/>
      <c r="W680" s="177">
        <f>IF(S680=0,0,IF(U680="MXN",1/HLOOKUP(YEAR(T680)+(MONTH(T680)/100),TC!$5:$37,DAY(T680)+2,FALSE),VLOOKUP(U680,Equivalencia!$1:$23,((MAX(Equivalencia!$3:$3)-YEAR(T680))*14)+MONTH(T680)+2,FALSE)))</f>
        <v>0</v>
      </c>
      <c r="X680" s="178">
        <f t="shared" si="109"/>
        <v>0</v>
      </c>
      <c r="Y680" s="178">
        <f t="shared" si="110"/>
        <v>0</v>
      </c>
      <c r="Z680" s="175">
        <f t="shared" si="102"/>
        <v>0</v>
      </c>
      <c r="AA680" s="179"/>
      <c r="AB680" s="467">
        <f t="shared" si="103"/>
        <v>0</v>
      </c>
      <c r="AC680" s="466">
        <f t="shared" si="104"/>
        <v>0</v>
      </c>
    </row>
    <row r="681" spans="2:29" ht="20.100000000000001" customHeight="1">
      <c r="B681" s="172"/>
      <c r="C681" s="172"/>
      <c r="D681" s="172"/>
      <c r="E681" s="181"/>
      <c r="F681" s="173"/>
      <c r="G681" s="174"/>
      <c r="H681" s="284"/>
      <c r="I681" s="221"/>
      <c r="J681" s="177">
        <f>IF(H681=0,0,IF(F681="MXN",1/HLOOKUP(YEAR(G681)+(MONTH(G681)/100),TC!$5:$37,DAY(G681)+2,FALSE),VLOOKUP(F681,Equivalencia!$5:$23,((MAX(Equivalencia!$3:$3)-YEAR(G681))*14)+MONTH(G681)+2,FALSE)))</f>
        <v>0</v>
      </c>
      <c r="K681" s="217">
        <f t="shared" si="105"/>
        <v>0</v>
      </c>
      <c r="L681" s="462">
        <f>IF(G681=0,0,VLOOKUP(YEAR(G681),INPC!$B$4:$O$29,MONTH(G681)+1))</f>
        <v>0</v>
      </c>
      <c r="M681" s="462">
        <f>IF(T681=0,0,VLOOKUP(YEAR(T681),INPC!$B$4:$O$29,MONTH(T681)+1))</f>
        <v>0</v>
      </c>
      <c r="N681" s="463">
        <f t="shared" si="101"/>
        <v>0</v>
      </c>
      <c r="O681" s="464">
        <f t="shared" si="106"/>
        <v>0</v>
      </c>
      <c r="P681" s="465">
        <f t="shared" si="107"/>
        <v>0</v>
      </c>
      <c r="Q681" s="606" t="str">
        <f t="shared" si="108"/>
        <v>NO</v>
      </c>
      <c r="R681" s="180"/>
      <c r="S681" s="173"/>
      <c r="T681" s="174"/>
      <c r="U681" s="173"/>
      <c r="V681" s="220"/>
      <c r="W681" s="177">
        <f>IF(S681=0,0,IF(U681="MXN",1/HLOOKUP(YEAR(T681)+(MONTH(T681)/100),TC!$5:$37,DAY(T681)+2,FALSE),VLOOKUP(U681,Equivalencia!$1:$23,((MAX(Equivalencia!$3:$3)-YEAR(T681))*14)+MONTH(T681)+2,FALSE)))</f>
        <v>0</v>
      </c>
      <c r="X681" s="178">
        <f t="shared" si="109"/>
        <v>0</v>
      </c>
      <c r="Y681" s="178">
        <f t="shared" si="110"/>
        <v>0</v>
      </c>
      <c r="Z681" s="175">
        <f t="shared" si="102"/>
        <v>0</v>
      </c>
      <c r="AA681" s="179"/>
      <c r="AB681" s="467">
        <f t="shared" si="103"/>
        <v>0</v>
      </c>
      <c r="AC681" s="466">
        <f t="shared" si="104"/>
        <v>0</v>
      </c>
    </row>
    <row r="682" spans="2:29" ht="20.100000000000001" customHeight="1">
      <c r="B682" s="172"/>
      <c r="C682" s="172"/>
      <c r="D682" s="172"/>
      <c r="E682" s="181"/>
      <c r="F682" s="173"/>
      <c r="G682" s="174"/>
      <c r="H682" s="284"/>
      <c r="I682" s="221"/>
      <c r="J682" s="177">
        <f>IF(H682=0,0,IF(F682="MXN",1/HLOOKUP(YEAR(G682)+(MONTH(G682)/100),TC!$5:$37,DAY(G682)+2,FALSE),VLOOKUP(F682,Equivalencia!$5:$23,((MAX(Equivalencia!$3:$3)-YEAR(G682))*14)+MONTH(G682)+2,FALSE)))</f>
        <v>0</v>
      </c>
      <c r="K682" s="217">
        <f t="shared" si="105"/>
        <v>0</v>
      </c>
      <c r="L682" s="462">
        <f>IF(G682=0,0,VLOOKUP(YEAR(G682),INPC!$B$4:$O$29,MONTH(G682)+1))</f>
        <v>0</v>
      </c>
      <c r="M682" s="462">
        <f>IF(T682=0,0,VLOOKUP(YEAR(T682),INPC!$B$4:$O$29,MONTH(T682)+1))</f>
        <v>0</v>
      </c>
      <c r="N682" s="463">
        <f t="shared" si="101"/>
        <v>0</v>
      </c>
      <c r="O682" s="464">
        <f t="shared" si="106"/>
        <v>0</v>
      </c>
      <c r="P682" s="465">
        <f t="shared" si="107"/>
        <v>0</v>
      </c>
      <c r="Q682" s="606" t="str">
        <f t="shared" si="108"/>
        <v>NO</v>
      </c>
      <c r="R682" s="180"/>
      <c r="S682" s="173"/>
      <c r="T682" s="174"/>
      <c r="U682" s="173"/>
      <c r="V682" s="220"/>
      <c r="W682" s="177">
        <f>IF(S682=0,0,IF(U682="MXN",1/HLOOKUP(YEAR(T682)+(MONTH(T682)/100),TC!$5:$37,DAY(T682)+2,FALSE),VLOOKUP(U682,Equivalencia!$1:$23,((MAX(Equivalencia!$3:$3)-YEAR(T682))*14)+MONTH(T682)+2,FALSE)))</f>
        <v>0</v>
      </c>
      <c r="X682" s="178">
        <f t="shared" si="109"/>
        <v>0</v>
      </c>
      <c r="Y682" s="178">
        <f t="shared" si="110"/>
        <v>0</v>
      </c>
      <c r="Z682" s="175">
        <f t="shared" si="102"/>
        <v>0</v>
      </c>
      <c r="AA682" s="179"/>
      <c r="AB682" s="467">
        <f t="shared" si="103"/>
        <v>0</v>
      </c>
      <c r="AC682" s="466">
        <f t="shared" si="104"/>
        <v>0</v>
      </c>
    </row>
    <row r="683" spans="2:29" ht="20.100000000000001" customHeight="1">
      <c r="B683" s="172"/>
      <c r="C683" s="172"/>
      <c r="D683" s="172"/>
      <c r="E683" s="181"/>
      <c r="F683" s="173"/>
      <c r="G683" s="174"/>
      <c r="H683" s="284"/>
      <c r="I683" s="221"/>
      <c r="J683" s="177">
        <f>IF(H683=0,0,IF(F683="MXN",1/HLOOKUP(YEAR(G683)+(MONTH(G683)/100),TC!$5:$37,DAY(G683)+2,FALSE),VLOOKUP(F683,Equivalencia!$5:$23,((MAX(Equivalencia!$3:$3)-YEAR(G683))*14)+MONTH(G683)+2,FALSE)))</f>
        <v>0</v>
      </c>
      <c r="K683" s="217">
        <f t="shared" si="105"/>
        <v>0</v>
      </c>
      <c r="L683" s="462">
        <f>IF(G683=0,0,VLOOKUP(YEAR(G683),INPC!$B$4:$O$29,MONTH(G683)+1))</f>
        <v>0</v>
      </c>
      <c r="M683" s="462">
        <f>IF(T683=0,0,VLOOKUP(YEAR(T683),INPC!$B$4:$O$29,MONTH(T683)+1))</f>
        <v>0</v>
      </c>
      <c r="N683" s="463">
        <f t="shared" si="101"/>
        <v>0</v>
      </c>
      <c r="O683" s="464">
        <f t="shared" si="106"/>
        <v>0</v>
      </c>
      <c r="P683" s="465">
        <f t="shared" si="107"/>
        <v>0</v>
      </c>
      <c r="Q683" s="606" t="str">
        <f t="shared" si="108"/>
        <v>NO</v>
      </c>
      <c r="R683" s="180"/>
      <c r="S683" s="173"/>
      <c r="T683" s="174"/>
      <c r="U683" s="173"/>
      <c r="V683" s="220"/>
      <c r="W683" s="177">
        <f>IF(S683=0,0,IF(U683="MXN",1/HLOOKUP(YEAR(T683)+(MONTH(T683)/100),TC!$5:$37,DAY(T683)+2,FALSE),VLOOKUP(U683,Equivalencia!$1:$23,((MAX(Equivalencia!$3:$3)-YEAR(T683))*14)+MONTH(T683)+2,FALSE)))</f>
        <v>0</v>
      </c>
      <c r="X683" s="178">
        <f t="shared" si="109"/>
        <v>0</v>
      </c>
      <c r="Y683" s="178">
        <f t="shared" si="110"/>
        <v>0</v>
      </c>
      <c r="Z683" s="175">
        <f t="shared" si="102"/>
        <v>0</v>
      </c>
      <c r="AA683" s="179"/>
      <c r="AB683" s="467">
        <f t="shared" si="103"/>
        <v>0</v>
      </c>
      <c r="AC683" s="466">
        <f t="shared" si="104"/>
        <v>0</v>
      </c>
    </row>
    <row r="684" spans="2:29" ht="20.100000000000001" customHeight="1">
      <c r="B684" s="172"/>
      <c r="C684" s="172"/>
      <c r="D684" s="172"/>
      <c r="E684" s="181"/>
      <c r="F684" s="173"/>
      <c r="G684" s="174"/>
      <c r="H684" s="284"/>
      <c r="I684" s="221"/>
      <c r="J684" s="177">
        <f>IF(H684=0,0,IF(F684="MXN",1/HLOOKUP(YEAR(G684)+(MONTH(G684)/100),TC!$5:$37,DAY(G684)+2,FALSE),VLOOKUP(F684,Equivalencia!$5:$23,((MAX(Equivalencia!$3:$3)-YEAR(G684))*14)+MONTH(G684)+2,FALSE)))</f>
        <v>0</v>
      </c>
      <c r="K684" s="217">
        <f t="shared" si="105"/>
        <v>0</v>
      </c>
      <c r="L684" s="462">
        <f>IF(G684=0,0,VLOOKUP(YEAR(G684),INPC!$B$4:$O$29,MONTH(G684)+1))</f>
        <v>0</v>
      </c>
      <c r="M684" s="462">
        <f>IF(T684=0,0,VLOOKUP(YEAR(T684),INPC!$B$4:$O$29,MONTH(T684)+1))</f>
        <v>0</v>
      </c>
      <c r="N684" s="463">
        <f t="shared" si="101"/>
        <v>0</v>
      </c>
      <c r="O684" s="464">
        <f t="shared" si="106"/>
        <v>0</v>
      </c>
      <c r="P684" s="465">
        <f t="shared" si="107"/>
        <v>0</v>
      </c>
      <c r="Q684" s="606" t="str">
        <f t="shared" si="108"/>
        <v>NO</v>
      </c>
      <c r="R684" s="180"/>
      <c r="S684" s="173"/>
      <c r="T684" s="174"/>
      <c r="U684" s="173"/>
      <c r="V684" s="220"/>
      <c r="W684" s="177">
        <f>IF(S684=0,0,IF(U684="MXN",1/HLOOKUP(YEAR(T684)+(MONTH(T684)/100),TC!$5:$37,DAY(T684)+2,FALSE),VLOOKUP(U684,Equivalencia!$1:$23,((MAX(Equivalencia!$3:$3)-YEAR(T684))*14)+MONTH(T684)+2,FALSE)))</f>
        <v>0</v>
      </c>
      <c r="X684" s="178">
        <f t="shared" si="109"/>
        <v>0</v>
      </c>
      <c r="Y684" s="178">
        <f t="shared" si="110"/>
        <v>0</v>
      </c>
      <c r="Z684" s="175">
        <f t="shared" si="102"/>
        <v>0</v>
      </c>
      <c r="AA684" s="179"/>
      <c r="AB684" s="467">
        <f t="shared" si="103"/>
        <v>0</v>
      </c>
      <c r="AC684" s="466">
        <f t="shared" si="104"/>
        <v>0</v>
      </c>
    </row>
    <row r="685" spans="2:29" ht="20.100000000000001" customHeight="1">
      <c r="B685" s="172"/>
      <c r="C685" s="172"/>
      <c r="D685" s="172"/>
      <c r="E685" s="181"/>
      <c r="F685" s="173"/>
      <c r="G685" s="174"/>
      <c r="H685" s="284"/>
      <c r="I685" s="221"/>
      <c r="J685" s="177">
        <f>IF(H685=0,0,IF(F685="MXN",1/HLOOKUP(YEAR(G685)+(MONTH(G685)/100),TC!$5:$37,DAY(G685)+2,FALSE),VLOOKUP(F685,Equivalencia!$5:$23,((MAX(Equivalencia!$3:$3)-YEAR(G685))*14)+MONTH(G685)+2,FALSE)))</f>
        <v>0</v>
      </c>
      <c r="K685" s="217">
        <f t="shared" si="105"/>
        <v>0</v>
      </c>
      <c r="L685" s="462">
        <f>IF(G685=0,0,VLOOKUP(YEAR(G685),INPC!$B$4:$O$29,MONTH(G685)+1))</f>
        <v>0</v>
      </c>
      <c r="M685" s="462">
        <f>IF(T685=0,0,VLOOKUP(YEAR(T685),INPC!$B$4:$O$29,MONTH(T685)+1))</f>
        <v>0</v>
      </c>
      <c r="N685" s="463">
        <f t="shared" si="101"/>
        <v>0</v>
      </c>
      <c r="O685" s="464">
        <f t="shared" si="106"/>
        <v>0</v>
      </c>
      <c r="P685" s="465">
        <f t="shared" si="107"/>
        <v>0</v>
      </c>
      <c r="Q685" s="606" t="str">
        <f t="shared" si="108"/>
        <v>NO</v>
      </c>
      <c r="R685" s="180"/>
      <c r="S685" s="173"/>
      <c r="T685" s="174"/>
      <c r="U685" s="173"/>
      <c r="V685" s="220"/>
      <c r="W685" s="177">
        <f>IF(S685=0,0,IF(U685="MXN",1/HLOOKUP(YEAR(T685)+(MONTH(T685)/100),TC!$5:$37,DAY(T685)+2,FALSE),VLOOKUP(U685,Equivalencia!$1:$23,((MAX(Equivalencia!$3:$3)-YEAR(T685))*14)+MONTH(T685)+2,FALSE)))</f>
        <v>0</v>
      </c>
      <c r="X685" s="178">
        <f t="shared" si="109"/>
        <v>0</v>
      </c>
      <c r="Y685" s="178">
        <f t="shared" si="110"/>
        <v>0</v>
      </c>
      <c r="Z685" s="175">
        <f t="shared" si="102"/>
        <v>0</v>
      </c>
      <c r="AA685" s="179"/>
      <c r="AB685" s="467">
        <f t="shared" si="103"/>
        <v>0</v>
      </c>
      <c r="AC685" s="466">
        <f t="shared" si="104"/>
        <v>0</v>
      </c>
    </row>
    <row r="686" spans="2:29" ht="20.100000000000001" customHeight="1">
      <c r="B686" s="172"/>
      <c r="C686" s="172"/>
      <c r="D686" s="172"/>
      <c r="E686" s="181"/>
      <c r="F686" s="173"/>
      <c r="G686" s="174"/>
      <c r="H686" s="284"/>
      <c r="I686" s="221"/>
      <c r="J686" s="177">
        <f>IF(H686=0,0,IF(F686="MXN",1/HLOOKUP(YEAR(G686)+(MONTH(G686)/100),TC!$5:$37,DAY(G686)+2,FALSE),VLOOKUP(F686,Equivalencia!$5:$23,((MAX(Equivalencia!$3:$3)-YEAR(G686))*14)+MONTH(G686)+2,FALSE)))</f>
        <v>0</v>
      </c>
      <c r="K686" s="217">
        <f t="shared" si="105"/>
        <v>0</v>
      </c>
      <c r="L686" s="462">
        <f>IF(G686=0,0,VLOOKUP(YEAR(G686),INPC!$B$4:$O$29,MONTH(G686)+1))</f>
        <v>0</v>
      </c>
      <c r="M686" s="462">
        <f>IF(T686=0,0,VLOOKUP(YEAR(T686),INPC!$B$4:$O$29,MONTH(T686)+1))</f>
        <v>0</v>
      </c>
      <c r="N686" s="463">
        <f t="shared" si="101"/>
        <v>0</v>
      </c>
      <c r="O686" s="464">
        <f t="shared" si="106"/>
        <v>0</v>
      </c>
      <c r="P686" s="465">
        <f t="shared" si="107"/>
        <v>0</v>
      </c>
      <c r="Q686" s="606" t="str">
        <f t="shared" si="108"/>
        <v>NO</v>
      </c>
      <c r="R686" s="180"/>
      <c r="S686" s="173"/>
      <c r="T686" s="174"/>
      <c r="U686" s="173"/>
      <c r="V686" s="220"/>
      <c r="W686" s="177">
        <f>IF(S686=0,0,IF(U686="MXN",1/HLOOKUP(YEAR(T686)+(MONTH(T686)/100),TC!$5:$37,DAY(T686)+2,FALSE),VLOOKUP(U686,Equivalencia!$1:$23,((MAX(Equivalencia!$3:$3)-YEAR(T686))*14)+MONTH(T686)+2,FALSE)))</f>
        <v>0</v>
      </c>
      <c r="X686" s="178">
        <f t="shared" si="109"/>
        <v>0</v>
      </c>
      <c r="Y686" s="178">
        <f t="shared" si="110"/>
        <v>0</v>
      </c>
      <c r="Z686" s="175">
        <f t="shared" si="102"/>
        <v>0</v>
      </c>
      <c r="AA686" s="179"/>
      <c r="AB686" s="467">
        <f t="shared" si="103"/>
        <v>0</v>
      </c>
      <c r="AC686" s="466">
        <f t="shared" si="104"/>
        <v>0</v>
      </c>
    </row>
    <row r="687" spans="2:29" ht="20.100000000000001" customHeight="1">
      <c r="B687" s="172"/>
      <c r="C687" s="172"/>
      <c r="D687" s="172"/>
      <c r="E687" s="181"/>
      <c r="F687" s="173"/>
      <c r="G687" s="174"/>
      <c r="H687" s="284"/>
      <c r="I687" s="221"/>
      <c r="J687" s="177">
        <f>IF(H687=0,0,IF(F687="MXN",1/HLOOKUP(YEAR(G687)+(MONTH(G687)/100),TC!$5:$37,DAY(G687)+2,FALSE),VLOOKUP(F687,Equivalencia!$5:$23,((MAX(Equivalencia!$3:$3)-YEAR(G687))*14)+MONTH(G687)+2,FALSE)))</f>
        <v>0</v>
      </c>
      <c r="K687" s="217">
        <f t="shared" si="105"/>
        <v>0</v>
      </c>
      <c r="L687" s="462">
        <f>IF(G687=0,0,VLOOKUP(YEAR(G687),INPC!$B$4:$O$29,MONTH(G687)+1))</f>
        <v>0</v>
      </c>
      <c r="M687" s="462">
        <f>IF(T687=0,0,VLOOKUP(YEAR(T687),INPC!$B$4:$O$29,MONTH(T687)+1))</f>
        <v>0</v>
      </c>
      <c r="N687" s="463">
        <f t="shared" si="101"/>
        <v>0</v>
      </c>
      <c r="O687" s="464">
        <f t="shared" si="106"/>
        <v>0</v>
      </c>
      <c r="P687" s="465">
        <f t="shared" si="107"/>
        <v>0</v>
      </c>
      <c r="Q687" s="606" t="str">
        <f t="shared" si="108"/>
        <v>NO</v>
      </c>
      <c r="R687" s="180"/>
      <c r="S687" s="173"/>
      <c r="T687" s="174"/>
      <c r="U687" s="173"/>
      <c r="V687" s="220"/>
      <c r="W687" s="177">
        <f>IF(S687=0,0,IF(U687="MXN",1/HLOOKUP(YEAR(T687)+(MONTH(T687)/100),TC!$5:$37,DAY(T687)+2,FALSE),VLOOKUP(U687,Equivalencia!$1:$23,((MAX(Equivalencia!$3:$3)-YEAR(T687))*14)+MONTH(T687)+2,FALSE)))</f>
        <v>0</v>
      </c>
      <c r="X687" s="178">
        <f t="shared" si="109"/>
        <v>0</v>
      </c>
      <c r="Y687" s="178">
        <f t="shared" si="110"/>
        <v>0</v>
      </c>
      <c r="Z687" s="175">
        <f t="shared" si="102"/>
        <v>0</v>
      </c>
      <c r="AA687" s="179"/>
      <c r="AB687" s="467">
        <f t="shared" si="103"/>
        <v>0</v>
      </c>
      <c r="AC687" s="466">
        <f t="shared" si="104"/>
        <v>0</v>
      </c>
    </row>
    <row r="688" spans="2:29" ht="20.100000000000001" customHeight="1">
      <c r="B688" s="172"/>
      <c r="C688" s="172"/>
      <c r="D688" s="172"/>
      <c r="E688" s="181"/>
      <c r="F688" s="173"/>
      <c r="G688" s="174"/>
      <c r="H688" s="284"/>
      <c r="I688" s="221"/>
      <c r="J688" s="177">
        <f>IF(H688=0,0,IF(F688="MXN",1/HLOOKUP(YEAR(G688)+(MONTH(G688)/100),TC!$5:$37,DAY(G688)+2,FALSE),VLOOKUP(F688,Equivalencia!$5:$23,((MAX(Equivalencia!$3:$3)-YEAR(G688))*14)+MONTH(G688)+2,FALSE)))</f>
        <v>0</v>
      </c>
      <c r="K688" s="217">
        <f t="shared" si="105"/>
        <v>0</v>
      </c>
      <c r="L688" s="462">
        <f>IF(G688=0,0,VLOOKUP(YEAR(G688),INPC!$B$4:$O$29,MONTH(G688)+1))</f>
        <v>0</v>
      </c>
      <c r="M688" s="462">
        <f>IF(T688=0,0,VLOOKUP(YEAR(T688),INPC!$B$4:$O$29,MONTH(T688)+1))</f>
        <v>0</v>
      </c>
      <c r="N688" s="463">
        <f t="shared" si="101"/>
        <v>0</v>
      </c>
      <c r="O688" s="464">
        <f t="shared" si="106"/>
        <v>0</v>
      </c>
      <c r="P688" s="465">
        <f t="shared" si="107"/>
        <v>0</v>
      </c>
      <c r="Q688" s="606" t="str">
        <f t="shared" si="108"/>
        <v>NO</v>
      </c>
      <c r="R688" s="180"/>
      <c r="S688" s="173"/>
      <c r="T688" s="174"/>
      <c r="U688" s="173"/>
      <c r="V688" s="220"/>
      <c r="W688" s="177">
        <f>IF(S688=0,0,IF(U688="MXN",1/HLOOKUP(YEAR(T688)+(MONTH(T688)/100),TC!$5:$37,DAY(T688)+2,FALSE),VLOOKUP(U688,Equivalencia!$1:$23,((MAX(Equivalencia!$3:$3)-YEAR(T688))*14)+MONTH(T688)+2,FALSE)))</f>
        <v>0</v>
      </c>
      <c r="X688" s="178">
        <f t="shared" si="109"/>
        <v>0</v>
      </c>
      <c r="Y688" s="178">
        <f t="shared" si="110"/>
        <v>0</v>
      </c>
      <c r="Z688" s="175">
        <f t="shared" si="102"/>
        <v>0</v>
      </c>
      <c r="AA688" s="179"/>
      <c r="AB688" s="467">
        <f t="shared" si="103"/>
        <v>0</v>
      </c>
      <c r="AC688" s="466">
        <f t="shared" si="104"/>
        <v>0</v>
      </c>
    </row>
    <row r="689" spans="2:29" ht="20.100000000000001" customHeight="1">
      <c r="B689" s="172"/>
      <c r="C689" s="172"/>
      <c r="D689" s="172"/>
      <c r="E689" s="181"/>
      <c r="F689" s="173"/>
      <c r="G689" s="174"/>
      <c r="H689" s="284"/>
      <c r="I689" s="221"/>
      <c r="J689" s="177">
        <f>IF(H689=0,0,IF(F689="MXN",1/HLOOKUP(YEAR(G689)+(MONTH(G689)/100),TC!$5:$37,DAY(G689)+2,FALSE),VLOOKUP(F689,Equivalencia!$5:$23,((MAX(Equivalencia!$3:$3)-YEAR(G689))*14)+MONTH(G689)+2,FALSE)))</f>
        <v>0</v>
      </c>
      <c r="K689" s="217">
        <f t="shared" si="105"/>
        <v>0</v>
      </c>
      <c r="L689" s="462">
        <f>IF(G689=0,0,VLOOKUP(YEAR(G689),INPC!$B$4:$O$29,MONTH(G689)+1))</f>
        <v>0</v>
      </c>
      <c r="M689" s="462">
        <f>IF(T689=0,0,VLOOKUP(YEAR(T689),INPC!$B$4:$O$29,MONTH(T689)+1))</f>
        <v>0</v>
      </c>
      <c r="N689" s="463">
        <f t="shared" si="101"/>
        <v>0</v>
      </c>
      <c r="O689" s="464">
        <f t="shared" si="106"/>
        <v>0</v>
      </c>
      <c r="P689" s="465">
        <f t="shared" si="107"/>
        <v>0</v>
      </c>
      <c r="Q689" s="606" t="str">
        <f t="shared" si="108"/>
        <v>NO</v>
      </c>
      <c r="R689" s="180"/>
      <c r="S689" s="173"/>
      <c r="T689" s="174"/>
      <c r="U689" s="173"/>
      <c r="V689" s="220"/>
      <c r="W689" s="177">
        <f>IF(S689=0,0,IF(U689="MXN",1/HLOOKUP(YEAR(T689)+(MONTH(T689)/100),TC!$5:$37,DAY(T689)+2,FALSE),VLOOKUP(U689,Equivalencia!$1:$23,((MAX(Equivalencia!$3:$3)-YEAR(T689))*14)+MONTH(T689)+2,FALSE)))</f>
        <v>0</v>
      </c>
      <c r="X689" s="178">
        <f t="shared" si="109"/>
        <v>0</v>
      </c>
      <c r="Y689" s="178">
        <f t="shared" si="110"/>
        <v>0</v>
      </c>
      <c r="Z689" s="175">
        <f t="shared" si="102"/>
        <v>0</v>
      </c>
      <c r="AA689" s="179"/>
      <c r="AB689" s="467">
        <f t="shared" si="103"/>
        <v>0</v>
      </c>
      <c r="AC689" s="466">
        <f t="shared" si="104"/>
        <v>0</v>
      </c>
    </row>
    <row r="690" spans="2:29" ht="20.100000000000001" customHeight="1">
      <c r="B690" s="172"/>
      <c r="C690" s="172"/>
      <c r="D690" s="172"/>
      <c r="E690" s="181"/>
      <c r="F690" s="173"/>
      <c r="G690" s="174"/>
      <c r="H690" s="284"/>
      <c r="I690" s="221"/>
      <c r="J690" s="177">
        <f>IF(H690=0,0,IF(F690="MXN",1/HLOOKUP(YEAR(G690)+(MONTH(G690)/100),TC!$5:$37,DAY(G690)+2,FALSE),VLOOKUP(F690,Equivalencia!$5:$23,((MAX(Equivalencia!$3:$3)-YEAR(G690))*14)+MONTH(G690)+2,FALSE)))</f>
        <v>0</v>
      </c>
      <c r="K690" s="217">
        <f t="shared" si="105"/>
        <v>0</v>
      </c>
      <c r="L690" s="462">
        <f>IF(G690=0,0,VLOOKUP(YEAR(G690),INPC!$B$4:$O$29,MONTH(G690)+1))</f>
        <v>0</v>
      </c>
      <c r="M690" s="462">
        <f>IF(T690=0,0,VLOOKUP(YEAR(T690),INPC!$B$4:$O$29,MONTH(T690)+1))</f>
        <v>0</v>
      </c>
      <c r="N690" s="463">
        <f t="shared" si="101"/>
        <v>0</v>
      </c>
      <c r="O690" s="464">
        <f t="shared" si="106"/>
        <v>0</v>
      </c>
      <c r="P690" s="465">
        <f t="shared" si="107"/>
        <v>0</v>
      </c>
      <c r="Q690" s="606" t="str">
        <f t="shared" si="108"/>
        <v>NO</v>
      </c>
      <c r="R690" s="180"/>
      <c r="S690" s="173"/>
      <c r="T690" s="174"/>
      <c r="U690" s="173"/>
      <c r="V690" s="220"/>
      <c r="W690" s="177">
        <f>IF(S690=0,0,IF(U690="MXN",1/HLOOKUP(YEAR(T690)+(MONTH(T690)/100),TC!$5:$37,DAY(T690)+2,FALSE),VLOOKUP(U690,Equivalencia!$1:$23,((MAX(Equivalencia!$3:$3)-YEAR(T690))*14)+MONTH(T690)+2,FALSE)))</f>
        <v>0</v>
      </c>
      <c r="X690" s="178">
        <f t="shared" si="109"/>
        <v>0</v>
      </c>
      <c r="Y690" s="178">
        <f t="shared" si="110"/>
        <v>0</v>
      </c>
      <c r="Z690" s="175">
        <f t="shared" si="102"/>
        <v>0</v>
      </c>
      <c r="AA690" s="179"/>
      <c r="AB690" s="467">
        <f t="shared" si="103"/>
        <v>0</v>
      </c>
      <c r="AC690" s="466">
        <f t="shared" si="104"/>
        <v>0</v>
      </c>
    </row>
    <row r="691" spans="2:29" ht="20.100000000000001" customHeight="1">
      <c r="B691" s="172"/>
      <c r="C691" s="172"/>
      <c r="D691" s="172"/>
      <c r="E691" s="181"/>
      <c r="F691" s="173"/>
      <c r="G691" s="174"/>
      <c r="H691" s="284"/>
      <c r="I691" s="221"/>
      <c r="J691" s="177">
        <f>IF(H691=0,0,IF(F691="MXN",1/HLOOKUP(YEAR(G691)+(MONTH(G691)/100),TC!$5:$37,DAY(G691)+2,FALSE),VLOOKUP(F691,Equivalencia!$5:$23,((MAX(Equivalencia!$3:$3)-YEAR(G691))*14)+MONTH(G691)+2,FALSE)))</f>
        <v>0</v>
      </c>
      <c r="K691" s="217">
        <f t="shared" si="105"/>
        <v>0</v>
      </c>
      <c r="L691" s="462">
        <f>IF(G691=0,0,VLOOKUP(YEAR(G691),INPC!$B$4:$O$29,MONTH(G691)+1))</f>
        <v>0</v>
      </c>
      <c r="M691" s="462">
        <f>IF(T691=0,0,VLOOKUP(YEAR(T691),INPC!$B$4:$O$29,MONTH(T691)+1))</f>
        <v>0</v>
      </c>
      <c r="N691" s="463">
        <f t="shared" si="101"/>
        <v>0</v>
      </c>
      <c r="O691" s="464">
        <f t="shared" si="106"/>
        <v>0</v>
      </c>
      <c r="P691" s="465">
        <f t="shared" si="107"/>
        <v>0</v>
      </c>
      <c r="Q691" s="606" t="str">
        <f t="shared" si="108"/>
        <v>NO</v>
      </c>
      <c r="R691" s="180"/>
      <c r="S691" s="173"/>
      <c r="T691" s="174"/>
      <c r="U691" s="173"/>
      <c r="V691" s="220"/>
      <c r="W691" s="177">
        <f>IF(S691=0,0,IF(U691="MXN",1/HLOOKUP(YEAR(T691)+(MONTH(T691)/100),TC!$5:$37,DAY(T691)+2,FALSE),VLOOKUP(U691,Equivalencia!$1:$23,((MAX(Equivalencia!$3:$3)-YEAR(T691))*14)+MONTH(T691)+2,FALSE)))</f>
        <v>0</v>
      </c>
      <c r="X691" s="178">
        <f t="shared" si="109"/>
        <v>0</v>
      </c>
      <c r="Y691" s="178">
        <f t="shared" si="110"/>
        <v>0</v>
      </c>
      <c r="Z691" s="175">
        <f t="shared" si="102"/>
        <v>0</v>
      </c>
      <c r="AA691" s="179"/>
      <c r="AB691" s="467">
        <f t="shared" si="103"/>
        <v>0</v>
      </c>
      <c r="AC691" s="466">
        <f t="shared" si="104"/>
        <v>0</v>
      </c>
    </row>
    <row r="692" spans="2:29" ht="20.100000000000001" customHeight="1">
      <c r="B692" s="172"/>
      <c r="C692" s="172"/>
      <c r="D692" s="172"/>
      <c r="E692" s="181"/>
      <c r="F692" s="173"/>
      <c r="G692" s="174"/>
      <c r="H692" s="284"/>
      <c r="I692" s="221"/>
      <c r="J692" s="177">
        <f>IF(H692=0,0,IF(F692="MXN",1/HLOOKUP(YEAR(G692)+(MONTH(G692)/100),TC!$5:$37,DAY(G692)+2,FALSE),VLOOKUP(F692,Equivalencia!$5:$23,((MAX(Equivalencia!$3:$3)-YEAR(G692))*14)+MONTH(G692)+2,FALSE)))</f>
        <v>0</v>
      </c>
      <c r="K692" s="217">
        <f t="shared" si="105"/>
        <v>0</v>
      </c>
      <c r="L692" s="462">
        <f>IF(G692=0,0,VLOOKUP(YEAR(G692),INPC!$B$4:$O$29,MONTH(G692)+1))</f>
        <v>0</v>
      </c>
      <c r="M692" s="462">
        <f>IF(T692=0,0,VLOOKUP(YEAR(T692),INPC!$B$4:$O$29,MONTH(T692)+1))</f>
        <v>0</v>
      </c>
      <c r="N692" s="463">
        <f t="shared" si="101"/>
        <v>0</v>
      </c>
      <c r="O692" s="464">
        <f t="shared" si="106"/>
        <v>0</v>
      </c>
      <c r="P692" s="465">
        <f t="shared" si="107"/>
        <v>0</v>
      </c>
      <c r="Q692" s="606" t="str">
        <f t="shared" si="108"/>
        <v>NO</v>
      </c>
      <c r="R692" s="180"/>
      <c r="S692" s="173"/>
      <c r="T692" s="174"/>
      <c r="U692" s="173"/>
      <c r="V692" s="220"/>
      <c r="W692" s="177">
        <f>IF(S692=0,0,IF(U692="MXN",1/HLOOKUP(YEAR(T692)+(MONTH(T692)/100),TC!$5:$37,DAY(T692)+2,FALSE),VLOOKUP(U692,Equivalencia!$1:$23,((MAX(Equivalencia!$3:$3)-YEAR(T692))*14)+MONTH(T692)+2,FALSE)))</f>
        <v>0</v>
      </c>
      <c r="X692" s="178">
        <f t="shared" si="109"/>
        <v>0</v>
      </c>
      <c r="Y692" s="178">
        <f t="shared" si="110"/>
        <v>0</v>
      </c>
      <c r="Z692" s="175">
        <f t="shared" si="102"/>
        <v>0</v>
      </c>
      <c r="AA692" s="179"/>
      <c r="AB692" s="467">
        <f t="shared" si="103"/>
        <v>0</v>
      </c>
      <c r="AC692" s="466">
        <f t="shared" si="104"/>
        <v>0</v>
      </c>
    </row>
    <row r="693" spans="2:29" ht="20.100000000000001" customHeight="1">
      <c r="B693" s="172"/>
      <c r="C693" s="172"/>
      <c r="D693" s="172"/>
      <c r="E693" s="181"/>
      <c r="F693" s="173"/>
      <c r="G693" s="174"/>
      <c r="H693" s="284"/>
      <c r="I693" s="221"/>
      <c r="J693" s="177">
        <f>IF(H693=0,0,IF(F693="MXN",1/HLOOKUP(YEAR(G693)+(MONTH(G693)/100),TC!$5:$37,DAY(G693)+2,FALSE),VLOOKUP(F693,Equivalencia!$5:$23,((MAX(Equivalencia!$3:$3)-YEAR(G693))*14)+MONTH(G693)+2,FALSE)))</f>
        <v>0</v>
      </c>
      <c r="K693" s="217">
        <f t="shared" si="105"/>
        <v>0</v>
      </c>
      <c r="L693" s="462">
        <f>IF(G693=0,0,VLOOKUP(YEAR(G693),INPC!$B$4:$O$29,MONTH(G693)+1))</f>
        <v>0</v>
      </c>
      <c r="M693" s="462">
        <f>IF(T693=0,0,VLOOKUP(YEAR(T693),INPC!$B$4:$O$29,MONTH(T693)+1))</f>
        <v>0</v>
      </c>
      <c r="N693" s="463">
        <f t="shared" si="101"/>
        <v>0</v>
      </c>
      <c r="O693" s="464">
        <f t="shared" si="106"/>
        <v>0</v>
      </c>
      <c r="P693" s="465">
        <f t="shared" si="107"/>
        <v>0</v>
      </c>
      <c r="Q693" s="606" t="str">
        <f t="shared" si="108"/>
        <v>NO</v>
      </c>
      <c r="R693" s="180"/>
      <c r="S693" s="173"/>
      <c r="T693" s="174"/>
      <c r="U693" s="173"/>
      <c r="V693" s="220"/>
      <c r="W693" s="177">
        <f>IF(S693=0,0,IF(U693="MXN",1/HLOOKUP(YEAR(T693)+(MONTH(T693)/100),TC!$5:$37,DAY(T693)+2,FALSE),VLOOKUP(U693,Equivalencia!$1:$23,((MAX(Equivalencia!$3:$3)-YEAR(T693))*14)+MONTH(T693)+2,FALSE)))</f>
        <v>0</v>
      </c>
      <c r="X693" s="178">
        <f t="shared" si="109"/>
        <v>0</v>
      </c>
      <c r="Y693" s="178">
        <f t="shared" si="110"/>
        <v>0</v>
      </c>
      <c r="Z693" s="175">
        <f t="shared" si="102"/>
        <v>0</v>
      </c>
      <c r="AA693" s="179"/>
      <c r="AB693" s="467">
        <f t="shared" si="103"/>
        <v>0</v>
      </c>
      <c r="AC693" s="466">
        <f t="shared" si="104"/>
        <v>0</v>
      </c>
    </row>
    <row r="694" spans="2:29" ht="20.100000000000001" customHeight="1">
      <c r="B694" s="172"/>
      <c r="C694" s="172"/>
      <c r="D694" s="172"/>
      <c r="E694" s="181"/>
      <c r="F694" s="173"/>
      <c r="G694" s="174"/>
      <c r="H694" s="284"/>
      <c r="I694" s="221"/>
      <c r="J694" s="177">
        <f>IF(H694=0,0,IF(F694="MXN",1/HLOOKUP(YEAR(G694)+(MONTH(G694)/100),TC!$5:$37,DAY(G694)+2,FALSE),VLOOKUP(F694,Equivalencia!$5:$23,((MAX(Equivalencia!$3:$3)-YEAR(G694))*14)+MONTH(G694)+2,FALSE)))</f>
        <v>0</v>
      </c>
      <c r="K694" s="217">
        <f t="shared" si="105"/>
        <v>0</v>
      </c>
      <c r="L694" s="462">
        <f>IF(G694=0,0,VLOOKUP(YEAR(G694),INPC!$B$4:$O$29,MONTH(G694)+1))</f>
        <v>0</v>
      </c>
      <c r="M694" s="462">
        <f>IF(T694=0,0,VLOOKUP(YEAR(T694),INPC!$B$4:$O$29,MONTH(T694)+1))</f>
        <v>0</v>
      </c>
      <c r="N694" s="463">
        <f t="shared" si="101"/>
        <v>0</v>
      </c>
      <c r="O694" s="464">
        <f t="shared" si="106"/>
        <v>0</v>
      </c>
      <c r="P694" s="465">
        <f t="shared" si="107"/>
        <v>0</v>
      </c>
      <c r="Q694" s="606" t="str">
        <f t="shared" si="108"/>
        <v>NO</v>
      </c>
      <c r="R694" s="180"/>
      <c r="S694" s="173"/>
      <c r="T694" s="174"/>
      <c r="U694" s="173"/>
      <c r="V694" s="220"/>
      <c r="W694" s="177">
        <f>IF(S694=0,0,IF(U694="MXN",1/HLOOKUP(YEAR(T694)+(MONTH(T694)/100),TC!$5:$37,DAY(T694)+2,FALSE),VLOOKUP(U694,Equivalencia!$1:$23,((MAX(Equivalencia!$3:$3)-YEAR(T694))*14)+MONTH(T694)+2,FALSE)))</f>
        <v>0</v>
      </c>
      <c r="X694" s="178">
        <f t="shared" si="109"/>
        <v>0</v>
      </c>
      <c r="Y694" s="178">
        <f t="shared" si="110"/>
        <v>0</v>
      </c>
      <c r="Z694" s="175">
        <f t="shared" si="102"/>
        <v>0</v>
      </c>
      <c r="AA694" s="179"/>
      <c r="AB694" s="467">
        <f t="shared" si="103"/>
        <v>0</v>
      </c>
      <c r="AC694" s="466">
        <f t="shared" si="104"/>
        <v>0</v>
      </c>
    </row>
    <row r="695" spans="2:29" ht="20.100000000000001" customHeight="1">
      <c r="B695" s="172"/>
      <c r="C695" s="172"/>
      <c r="D695" s="172"/>
      <c r="E695" s="181"/>
      <c r="F695" s="173"/>
      <c r="G695" s="174"/>
      <c r="H695" s="284"/>
      <c r="I695" s="221"/>
      <c r="J695" s="177">
        <f>IF(H695=0,0,IF(F695="MXN",1/HLOOKUP(YEAR(G695)+(MONTH(G695)/100),TC!$5:$37,DAY(G695)+2,FALSE),VLOOKUP(F695,Equivalencia!$5:$23,((MAX(Equivalencia!$3:$3)-YEAR(G695))*14)+MONTH(G695)+2,FALSE)))</f>
        <v>0</v>
      </c>
      <c r="K695" s="217">
        <f t="shared" si="105"/>
        <v>0</v>
      </c>
      <c r="L695" s="462">
        <f>IF(G695=0,0,VLOOKUP(YEAR(G695),INPC!$B$4:$O$29,MONTH(G695)+1))</f>
        <v>0</v>
      </c>
      <c r="M695" s="462">
        <f>IF(T695=0,0,VLOOKUP(YEAR(T695),INPC!$B$4:$O$29,MONTH(T695)+1))</f>
        <v>0</v>
      </c>
      <c r="N695" s="463">
        <f t="shared" si="101"/>
        <v>0</v>
      </c>
      <c r="O695" s="464">
        <f t="shared" si="106"/>
        <v>0</v>
      </c>
      <c r="P695" s="465">
        <f t="shared" si="107"/>
        <v>0</v>
      </c>
      <c r="Q695" s="606" t="str">
        <f t="shared" si="108"/>
        <v>NO</v>
      </c>
      <c r="R695" s="180"/>
      <c r="S695" s="173"/>
      <c r="T695" s="174"/>
      <c r="U695" s="173"/>
      <c r="V695" s="220"/>
      <c r="W695" s="177">
        <f>IF(S695=0,0,IF(U695="MXN",1/HLOOKUP(YEAR(T695)+(MONTH(T695)/100),TC!$5:$37,DAY(T695)+2,FALSE),VLOOKUP(U695,Equivalencia!$1:$23,((MAX(Equivalencia!$3:$3)-YEAR(T695))*14)+MONTH(T695)+2,FALSE)))</f>
        <v>0</v>
      </c>
      <c r="X695" s="178">
        <f t="shared" si="109"/>
        <v>0</v>
      </c>
      <c r="Y695" s="178">
        <f t="shared" si="110"/>
        <v>0</v>
      </c>
      <c r="Z695" s="175">
        <f t="shared" si="102"/>
        <v>0</v>
      </c>
      <c r="AA695" s="179"/>
      <c r="AB695" s="467">
        <f t="shared" si="103"/>
        <v>0</v>
      </c>
      <c r="AC695" s="466">
        <f t="shared" si="104"/>
        <v>0</v>
      </c>
    </row>
    <row r="696" spans="2:29" ht="20.100000000000001" customHeight="1">
      <c r="B696" s="172"/>
      <c r="C696" s="172"/>
      <c r="D696" s="172"/>
      <c r="E696" s="181"/>
      <c r="F696" s="173"/>
      <c r="G696" s="174"/>
      <c r="H696" s="284"/>
      <c r="I696" s="221"/>
      <c r="J696" s="177">
        <f>IF(H696=0,0,IF(F696="MXN",1/HLOOKUP(YEAR(G696)+(MONTH(G696)/100),TC!$5:$37,DAY(G696)+2,FALSE),VLOOKUP(F696,Equivalencia!$5:$23,((MAX(Equivalencia!$3:$3)-YEAR(G696))*14)+MONTH(G696)+2,FALSE)))</f>
        <v>0</v>
      </c>
      <c r="K696" s="217">
        <f t="shared" si="105"/>
        <v>0</v>
      </c>
      <c r="L696" s="462">
        <f>IF(G696=0,0,VLOOKUP(YEAR(G696),INPC!$B$4:$O$29,MONTH(G696)+1))</f>
        <v>0</v>
      </c>
      <c r="M696" s="462">
        <f>IF(T696=0,0,VLOOKUP(YEAR(T696),INPC!$B$4:$O$29,MONTH(T696)+1))</f>
        <v>0</v>
      </c>
      <c r="N696" s="463">
        <f t="shared" si="101"/>
        <v>0</v>
      </c>
      <c r="O696" s="464">
        <f t="shared" si="106"/>
        <v>0</v>
      </c>
      <c r="P696" s="465">
        <f t="shared" si="107"/>
        <v>0</v>
      </c>
      <c r="Q696" s="606" t="str">
        <f t="shared" si="108"/>
        <v>NO</v>
      </c>
      <c r="R696" s="180"/>
      <c r="S696" s="173"/>
      <c r="T696" s="174"/>
      <c r="U696" s="173"/>
      <c r="V696" s="220"/>
      <c r="W696" s="177">
        <f>IF(S696=0,0,IF(U696="MXN",1/HLOOKUP(YEAR(T696)+(MONTH(T696)/100),TC!$5:$37,DAY(T696)+2,FALSE),VLOOKUP(U696,Equivalencia!$1:$23,((MAX(Equivalencia!$3:$3)-YEAR(T696))*14)+MONTH(T696)+2,FALSE)))</f>
        <v>0</v>
      </c>
      <c r="X696" s="178">
        <f t="shared" si="109"/>
        <v>0</v>
      </c>
      <c r="Y696" s="178">
        <f t="shared" si="110"/>
        <v>0</v>
      </c>
      <c r="Z696" s="175">
        <f t="shared" si="102"/>
        <v>0</v>
      </c>
      <c r="AA696" s="179"/>
      <c r="AB696" s="467">
        <f t="shared" si="103"/>
        <v>0</v>
      </c>
      <c r="AC696" s="466">
        <f t="shared" si="104"/>
        <v>0</v>
      </c>
    </row>
    <row r="697" spans="2:29" ht="20.100000000000001" customHeight="1">
      <c r="B697" s="172"/>
      <c r="C697" s="172"/>
      <c r="D697" s="172"/>
      <c r="E697" s="181"/>
      <c r="F697" s="173"/>
      <c r="G697" s="174"/>
      <c r="H697" s="284"/>
      <c r="I697" s="221"/>
      <c r="J697" s="177">
        <f>IF(H697=0,0,IF(F697="MXN",1/HLOOKUP(YEAR(G697)+(MONTH(G697)/100),TC!$5:$37,DAY(G697)+2,FALSE),VLOOKUP(F697,Equivalencia!$5:$23,((MAX(Equivalencia!$3:$3)-YEAR(G697))*14)+MONTH(G697)+2,FALSE)))</f>
        <v>0</v>
      </c>
      <c r="K697" s="217">
        <f t="shared" si="105"/>
        <v>0</v>
      </c>
      <c r="L697" s="462">
        <f>IF(G697=0,0,VLOOKUP(YEAR(G697),INPC!$B$4:$O$29,MONTH(G697)+1))</f>
        <v>0</v>
      </c>
      <c r="M697" s="462">
        <f>IF(T697=0,0,VLOOKUP(YEAR(T697),INPC!$B$4:$O$29,MONTH(T697)+1))</f>
        <v>0</v>
      </c>
      <c r="N697" s="463">
        <f t="shared" si="101"/>
        <v>0</v>
      </c>
      <c r="O697" s="464">
        <f t="shared" si="106"/>
        <v>0</v>
      </c>
      <c r="P697" s="465">
        <f t="shared" si="107"/>
        <v>0</v>
      </c>
      <c r="Q697" s="606" t="str">
        <f t="shared" si="108"/>
        <v>NO</v>
      </c>
      <c r="R697" s="180"/>
      <c r="S697" s="173"/>
      <c r="T697" s="174"/>
      <c r="U697" s="173"/>
      <c r="V697" s="220"/>
      <c r="W697" s="177">
        <f>IF(S697=0,0,IF(U697="MXN",1/HLOOKUP(YEAR(T697)+(MONTH(T697)/100),TC!$5:$37,DAY(T697)+2,FALSE),VLOOKUP(U697,Equivalencia!$1:$23,((MAX(Equivalencia!$3:$3)-YEAR(T697))*14)+MONTH(T697)+2,FALSE)))</f>
        <v>0</v>
      </c>
      <c r="X697" s="178">
        <f t="shared" si="109"/>
        <v>0</v>
      </c>
      <c r="Y697" s="178">
        <f t="shared" si="110"/>
        <v>0</v>
      </c>
      <c r="Z697" s="175">
        <f t="shared" si="102"/>
        <v>0</v>
      </c>
      <c r="AA697" s="179"/>
      <c r="AB697" s="467">
        <f t="shared" si="103"/>
        <v>0</v>
      </c>
      <c r="AC697" s="466">
        <f t="shared" si="104"/>
        <v>0</v>
      </c>
    </row>
    <row r="698" spans="2:29" ht="20.100000000000001" customHeight="1">
      <c r="B698" s="172"/>
      <c r="C698" s="172"/>
      <c r="D698" s="172"/>
      <c r="E698" s="181"/>
      <c r="F698" s="173"/>
      <c r="G698" s="174"/>
      <c r="H698" s="284"/>
      <c r="I698" s="221"/>
      <c r="J698" s="177">
        <f>IF(H698=0,0,IF(F698="MXN",1/HLOOKUP(YEAR(G698)+(MONTH(G698)/100),TC!$5:$37,DAY(G698)+2,FALSE),VLOOKUP(F698,Equivalencia!$5:$23,((MAX(Equivalencia!$3:$3)-YEAR(G698))*14)+MONTH(G698)+2,FALSE)))</f>
        <v>0</v>
      </c>
      <c r="K698" s="217">
        <f t="shared" si="105"/>
        <v>0</v>
      </c>
      <c r="L698" s="462">
        <f>IF(G698=0,0,VLOOKUP(YEAR(G698),INPC!$B$4:$O$29,MONTH(G698)+1))</f>
        <v>0</v>
      </c>
      <c r="M698" s="462">
        <f>IF(T698=0,0,VLOOKUP(YEAR(T698),INPC!$B$4:$O$29,MONTH(T698)+1))</f>
        <v>0</v>
      </c>
      <c r="N698" s="463">
        <f t="shared" si="101"/>
        <v>0</v>
      </c>
      <c r="O698" s="464">
        <f t="shared" si="106"/>
        <v>0</v>
      </c>
      <c r="P698" s="465">
        <f t="shared" si="107"/>
        <v>0</v>
      </c>
      <c r="Q698" s="606" t="str">
        <f t="shared" si="108"/>
        <v>NO</v>
      </c>
      <c r="R698" s="180"/>
      <c r="S698" s="173"/>
      <c r="T698" s="174"/>
      <c r="U698" s="173"/>
      <c r="V698" s="220"/>
      <c r="W698" s="177">
        <f>IF(S698=0,0,IF(U698="MXN",1/HLOOKUP(YEAR(T698)+(MONTH(T698)/100),TC!$5:$37,DAY(T698)+2,FALSE),VLOOKUP(U698,Equivalencia!$1:$23,((MAX(Equivalencia!$3:$3)-YEAR(T698))*14)+MONTH(T698)+2,FALSE)))</f>
        <v>0</v>
      </c>
      <c r="X698" s="178">
        <f t="shared" si="109"/>
        <v>0</v>
      </c>
      <c r="Y698" s="178">
        <f t="shared" si="110"/>
        <v>0</v>
      </c>
      <c r="Z698" s="175">
        <f t="shared" si="102"/>
        <v>0</v>
      </c>
      <c r="AA698" s="179"/>
      <c r="AB698" s="467">
        <f t="shared" si="103"/>
        <v>0</v>
      </c>
      <c r="AC698" s="466">
        <f t="shared" si="104"/>
        <v>0</v>
      </c>
    </row>
    <row r="699" spans="2:29" ht="20.100000000000001" customHeight="1">
      <c r="B699" s="172"/>
      <c r="C699" s="172"/>
      <c r="D699" s="172"/>
      <c r="E699" s="181"/>
      <c r="F699" s="173"/>
      <c r="G699" s="174"/>
      <c r="H699" s="284"/>
      <c r="I699" s="221"/>
      <c r="J699" s="177">
        <f>IF(H699=0,0,IF(F699="MXN",1/HLOOKUP(YEAR(G699)+(MONTH(G699)/100),TC!$5:$37,DAY(G699)+2,FALSE),VLOOKUP(F699,Equivalencia!$5:$23,((MAX(Equivalencia!$3:$3)-YEAR(G699))*14)+MONTH(G699)+2,FALSE)))</f>
        <v>0</v>
      </c>
      <c r="K699" s="217">
        <f t="shared" si="105"/>
        <v>0</v>
      </c>
      <c r="L699" s="462">
        <f>IF(G699=0,0,VLOOKUP(YEAR(G699),INPC!$B$4:$O$29,MONTH(G699)+1))</f>
        <v>0</v>
      </c>
      <c r="M699" s="462">
        <f>IF(T699=0,0,VLOOKUP(YEAR(T699),INPC!$B$4:$O$29,MONTH(T699)+1))</f>
        <v>0</v>
      </c>
      <c r="N699" s="463">
        <f t="shared" si="101"/>
        <v>0</v>
      </c>
      <c r="O699" s="464">
        <f t="shared" si="106"/>
        <v>0</v>
      </c>
      <c r="P699" s="465">
        <f t="shared" si="107"/>
        <v>0</v>
      </c>
      <c r="Q699" s="606" t="str">
        <f t="shared" si="108"/>
        <v>NO</v>
      </c>
      <c r="R699" s="180"/>
      <c r="S699" s="173"/>
      <c r="T699" s="174"/>
      <c r="U699" s="173"/>
      <c r="V699" s="220"/>
      <c r="W699" s="177">
        <f>IF(S699=0,0,IF(U699="MXN",1/HLOOKUP(YEAR(T699)+(MONTH(T699)/100),TC!$5:$37,DAY(T699)+2,FALSE),VLOOKUP(U699,Equivalencia!$1:$23,((MAX(Equivalencia!$3:$3)-YEAR(T699))*14)+MONTH(T699)+2,FALSE)))</f>
        <v>0</v>
      </c>
      <c r="X699" s="178">
        <f t="shared" si="109"/>
        <v>0</v>
      </c>
      <c r="Y699" s="178">
        <f t="shared" si="110"/>
        <v>0</v>
      </c>
      <c r="Z699" s="175">
        <f t="shared" si="102"/>
        <v>0</v>
      </c>
      <c r="AA699" s="179"/>
      <c r="AB699" s="467">
        <f t="shared" si="103"/>
        <v>0</v>
      </c>
      <c r="AC699" s="466">
        <f t="shared" si="104"/>
        <v>0</v>
      </c>
    </row>
    <row r="700" spans="2:29" ht="20.100000000000001" customHeight="1">
      <c r="B700" s="172"/>
      <c r="C700" s="172"/>
      <c r="D700" s="172"/>
      <c r="E700" s="181"/>
      <c r="F700" s="173"/>
      <c r="G700" s="174"/>
      <c r="H700" s="284"/>
      <c r="I700" s="221"/>
      <c r="J700" s="177">
        <f>IF(H700=0,0,IF(F700="MXN",1/HLOOKUP(YEAR(G700)+(MONTH(G700)/100),TC!$5:$37,DAY(G700)+2,FALSE),VLOOKUP(F700,Equivalencia!$5:$23,((MAX(Equivalencia!$3:$3)-YEAR(G700))*14)+MONTH(G700)+2,FALSE)))</f>
        <v>0</v>
      </c>
      <c r="K700" s="217">
        <f t="shared" si="105"/>
        <v>0</v>
      </c>
      <c r="L700" s="462">
        <f>IF(G700=0,0,VLOOKUP(YEAR(G700),INPC!$B$4:$O$29,MONTH(G700)+1))</f>
        <v>0</v>
      </c>
      <c r="M700" s="462">
        <f>IF(T700=0,0,VLOOKUP(YEAR(T700),INPC!$B$4:$O$29,MONTH(T700)+1))</f>
        <v>0</v>
      </c>
      <c r="N700" s="463">
        <f t="shared" si="101"/>
        <v>0</v>
      </c>
      <c r="O700" s="464">
        <f t="shared" si="106"/>
        <v>0</v>
      </c>
      <c r="P700" s="465">
        <f t="shared" si="107"/>
        <v>0</v>
      </c>
      <c r="Q700" s="606" t="str">
        <f t="shared" si="108"/>
        <v>NO</v>
      </c>
      <c r="R700" s="180"/>
      <c r="S700" s="173"/>
      <c r="T700" s="174"/>
      <c r="U700" s="173"/>
      <c r="V700" s="220"/>
      <c r="W700" s="177">
        <f>IF(S700=0,0,IF(U700="MXN",1/HLOOKUP(YEAR(T700)+(MONTH(T700)/100),TC!$5:$37,DAY(T700)+2,FALSE),VLOOKUP(U700,Equivalencia!$1:$23,((MAX(Equivalencia!$3:$3)-YEAR(T700))*14)+MONTH(T700)+2,FALSE)))</f>
        <v>0</v>
      </c>
      <c r="X700" s="178">
        <f t="shared" si="109"/>
        <v>0</v>
      </c>
      <c r="Y700" s="178">
        <f t="shared" si="110"/>
        <v>0</v>
      </c>
      <c r="Z700" s="175">
        <f t="shared" si="102"/>
        <v>0</v>
      </c>
      <c r="AA700" s="179"/>
      <c r="AB700" s="467">
        <f t="shared" si="103"/>
        <v>0</v>
      </c>
      <c r="AC700" s="466">
        <f t="shared" si="104"/>
        <v>0</v>
      </c>
    </row>
    <row r="701" spans="2:29" ht="20.100000000000001" customHeight="1">
      <c r="B701" s="172"/>
      <c r="C701" s="172"/>
      <c r="D701" s="172"/>
      <c r="E701" s="181"/>
      <c r="F701" s="173"/>
      <c r="G701" s="174"/>
      <c r="H701" s="284"/>
      <c r="I701" s="221"/>
      <c r="J701" s="177">
        <f>IF(H701=0,0,IF(F701="MXN",1/HLOOKUP(YEAR(G701)+(MONTH(G701)/100),TC!$5:$37,DAY(G701)+2,FALSE),VLOOKUP(F701,Equivalencia!$5:$23,((MAX(Equivalencia!$3:$3)-YEAR(G701))*14)+MONTH(G701)+2,FALSE)))</f>
        <v>0</v>
      </c>
      <c r="K701" s="217">
        <f t="shared" si="105"/>
        <v>0</v>
      </c>
      <c r="L701" s="462">
        <f>IF(G701=0,0,VLOOKUP(YEAR(G701),INPC!$B$4:$O$29,MONTH(G701)+1))</f>
        <v>0</v>
      </c>
      <c r="M701" s="462">
        <f>IF(T701=0,0,VLOOKUP(YEAR(T701),INPC!$B$4:$O$29,MONTH(T701)+1))</f>
        <v>0</v>
      </c>
      <c r="N701" s="463">
        <f t="shared" si="101"/>
        <v>0</v>
      </c>
      <c r="O701" s="464">
        <f t="shared" si="106"/>
        <v>0</v>
      </c>
      <c r="P701" s="465">
        <f t="shared" si="107"/>
        <v>0</v>
      </c>
      <c r="Q701" s="606" t="str">
        <f t="shared" si="108"/>
        <v>NO</v>
      </c>
      <c r="R701" s="180"/>
      <c r="S701" s="173"/>
      <c r="T701" s="174"/>
      <c r="U701" s="173"/>
      <c r="V701" s="220"/>
      <c r="W701" s="177">
        <f>IF(S701=0,0,IF(U701="MXN",1/HLOOKUP(YEAR(T701)+(MONTH(T701)/100),TC!$5:$37,DAY(T701)+2,FALSE),VLOOKUP(U701,Equivalencia!$1:$23,((MAX(Equivalencia!$3:$3)-YEAR(T701))*14)+MONTH(T701)+2,FALSE)))</f>
        <v>0</v>
      </c>
      <c r="X701" s="178">
        <f t="shared" si="109"/>
        <v>0</v>
      </c>
      <c r="Y701" s="178">
        <f t="shared" si="110"/>
        <v>0</v>
      </c>
      <c r="Z701" s="175">
        <f t="shared" si="102"/>
        <v>0</v>
      </c>
      <c r="AA701" s="179"/>
      <c r="AB701" s="467">
        <f t="shared" si="103"/>
        <v>0</v>
      </c>
      <c r="AC701" s="466">
        <f t="shared" si="104"/>
        <v>0</v>
      </c>
    </row>
    <row r="702" spans="2:29" ht="20.100000000000001" customHeight="1">
      <c r="B702" s="172"/>
      <c r="C702" s="172"/>
      <c r="D702" s="172"/>
      <c r="E702" s="181"/>
      <c r="F702" s="173"/>
      <c r="G702" s="174"/>
      <c r="H702" s="284"/>
      <c r="I702" s="221"/>
      <c r="J702" s="177">
        <f>IF(H702=0,0,IF(F702="MXN",1/HLOOKUP(YEAR(G702)+(MONTH(G702)/100),TC!$5:$37,DAY(G702)+2,FALSE),VLOOKUP(F702,Equivalencia!$5:$23,((MAX(Equivalencia!$3:$3)-YEAR(G702))*14)+MONTH(G702)+2,FALSE)))</f>
        <v>0</v>
      </c>
      <c r="K702" s="217">
        <f t="shared" si="105"/>
        <v>0</v>
      </c>
      <c r="L702" s="462">
        <f>IF(G702=0,0,VLOOKUP(YEAR(G702),INPC!$B$4:$O$29,MONTH(G702)+1))</f>
        <v>0</v>
      </c>
      <c r="M702" s="462">
        <f>IF(T702=0,0,VLOOKUP(YEAR(T702),INPC!$B$4:$O$29,MONTH(T702)+1))</f>
        <v>0</v>
      </c>
      <c r="N702" s="463">
        <f t="shared" si="101"/>
        <v>0</v>
      </c>
      <c r="O702" s="464">
        <f t="shared" si="106"/>
        <v>0</v>
      </c>
      <c r="P702" s="465">
        <f t="shared" si="107"/>
        <v>0</v>
      </c>
      <c r="Q702" s="606" t="str">
        <f t="shared" si="108"/>
        <v>NO</v>
      </c>
      <c r="R702" s="180"/>
      <c r="S702" s="173"/>
      <c r="T702" s="174"/>
      <c r="U702" s="173"/>
      <c r="V702" s="220"/>
      <c r="W702" s="177">
        <f>IF(S702=0,0,IF(U702="MXN",1/HLOOKUP(YEAR(T702)+(MONTH(T702)/100),TC!$5:$37,DAY(T702)+2,FALSE),VLOOKUP(U702,Equivalencia!$1:$23,((MAX(Equivalencia!$3:$3)-YEAR(T702))*14)+MONTH(T702)+2,FALSE)))</f>
        <v>0</v>
      </c>
      <c r="X702" s="178">
        <f t="shared" si="109"/>
        <v>0</v>
      </c>
      <c r="Y702" s="178">
        <f t="shared" si="110"/>
        <v>0</v>
      </c>
      <c r="Z702" s="175">
        <f t="shared" si="102"/>
        <v>0</v>
      </c>
      <c r="AA702" s="179"/>
      <c r="AB702" s="467">
        <f t="shared" si="103"/>
        <v>0</v>
      </c>
      <c r="AC702" s="466">
        <f t="shared" si="104"/>
        <v>0</v>
      </c>
    </row>
    <row r="703" spans="2:29" ht="20.100000000000001" customHeight="1">
      <c r="B703" s="172"/>
      <c r="C703" s="172"/>
      <c r="D703" s="172"/>
      <c r="E703" s="181"/>
      <c r="F703" s="173"/>
      <c r="G703" s="174"/>
      <c r="H703" s="284"/>
      <c r="I703" s="221"/>
      <c r="J703" s="177">
        <f>IF(H703=0,0,IF(F703="MXN",1/HLOOKUP(YEAR(G703)+(MONTH(G703)/100),TC!$5:$37,DAY(G703)+2,FALSE),VLOOKUP(F703,Equivalencia!$5:$23,((MAX(Equivalencia!$3:$3)-YEAR(G703))*14)+MONTH(G703)+2,FALSE)))</f>
        <v>0</v>
      </c>
      <c r="K703" s="217">
        <f t="shared" si="105"/>
        <v>0</v>
      </c>
      <c r="L703" s="462">
        <f>IF(G703=0,0,VLOOKUP(YEAR(G703),INPC!$B$4:$O$29,MONTH(G703)+1))</f>
        <v>0</v>
      </c>
      <c r="M703" s="462">
        <f>IF(T703=0,0,VLOOKUP(YEAR(T703),INPC!$B$4:$O$29,MONTH(T703)+1))</f>
        <v>0</v>
      </c>
      <c r="N703" s="463">
        <f t="shared" si="101"/>
        <v>0</v>
      </c>
      <c r="O703" s="464">
        <f t="shared" si="106"/>
        <v>0</v>
      </c>
      <c r="P703" s="465">
        <f t="shared" si="107"/>
        <v>0</v>
      </c>
      <c r="Q703" s="606" t="str">
        <f t="shared" si="108"/>
        <v>NO</v>
      </c>
      <c r="R703" s="180"/>
      <c r="S703" s="173"/>
      <c r="T703" s="174"/>
      <c r="U703" s="173"/>
      <c r="V703" s="220"/>
      <c r="W703" s="177">
        <f>IF(S703=0,0,IF(U703="MXN",1/HLOOKUP(YEAR(T703)+(MONTH(T703)/100),TC!$5:$37,DAY(T703)+2,FALSE),VLOOKUP(U703,Equivalencia!$1:$23,((MAX(Equivalencia!$3:$3)-YEAR(T703))*14)+MONTH(T703)+2,FALSE)))</f>
        <v>0</v>
      </c>
      <c r="X703" s="178">
        <f t="shared" si="109"/>
        <v>0</v>
      </c>
      <c r="Y703" s="178">
        <f t="shared" si="110"/>
        <v>0</v>
      </c>
      <c r="Z703" s="175">
        <f t="shared" si="102"/>
        <v>0</v>
      </c>
      <c r="AA703" s="179"/>
      <c r="AB703" s="467">
        <f t="shared" si="103"/>
        <v>0</v>
      </c>
      <c r="AC703" s="466">
        <f t="shared" si="104"/>
        <v>0</v>
      </c>
    </row>
    <row r="704" spans="2:29" ht="20.100000000000001" customHeight="1">
      <c r="B704" s="172"/>
      <c r="C704" s="172"/>
      <c r="D704" s="172"/>
      <c r="E704" s="181"/>
      <c r="F704" s="173"/>
      <c r="G704" s="174"/>
      <c r="H704" s="284"/>
      <c r="I704" s="221"/>
      <c r="J704" s="177">
        <f>IF(H704=0,0,IF(F704="MXN",1/HLOOKUP(YEAR(G704)+(MONTH(G704)/100),TC!$5:$37,DAY(G704)+2,FALSE),VLOOKUP(F704,Equivalencia!$5:$23,((MAX(Equivalencia!$3:$3)-YEAR(G704))*14)+MONTH(G704)+2,FALSE)))</f>
        <v>0</v>
      </c>
      <c r="K704" s="217">
        <f t="shared" si="105"/>
        <v>0</v>
      </c>
      <c r="L704" s="462">
        <f>IF(G704=0,0,VLOOKUP(YEAR(G704),INPC!$B$4:$O$29,MONTH(G704)+1))</f>
        <v>0</v>
      </c>
      <c r="M704" s="462">
        <f>IF(T704=0,0,VLOOKUP(YEAR(T704),INPC!$B$4:$O$29,MONTH(T704)+1))</f>
        <v>0</v>
      </c>
      <c r="N704" s="463">
        <f t="shared" si="101"/>
        <v>0</v>
      </c>
      <c r="O704" s="464">
        <f t="shared" si="106"/>
        <v>0</v>
      </c>
      <c r="P704" s="465">
        <f t="shared" si="107"/>
        <v>0</v>
      </c>
      <c r="Q704" s="606" t="str">
        <f t="shared" si="108"/>
        <v>NO</v>
      </c>
      <c r="R704" s="180"/>
      <c r="S704" s="173"/>
      <c r="T704" s="174"/>
      <c r="U704" s="173"/>
      <c r="V704" s="220"/>
      <c r="W704" s="177">
        <f>IF(S704=0,0,IF(U704="MXN",1/HLOOKUP(YEAR(T704)+(MONTH(T704)/100),TC!$5:$37,DAY(T704)+2,FALSE),VLOOKUP(U704,Equivalencia!$1:$23,((MAX(Equivalencia!$3:$3)-YEAR(T704))*14)+MONTH(T704)+2,FALSE)))</f>
        <v>0</v>
      </c>
      <c r="X704" s="178">
        <f t="shared" si="109"/>
        <v>0</v>
      </c>
      <c r="Y704" s="178">
        <f t="shared" si="110"/>
        <v>0</v>
      </c>
      <c r="Z704" s="175">
        <f t="shared" si="102"/>
        <v>0</v>
      </c>
      <c r="AA704" s="179"/>
      <c r="AB704" s="467">
        <f t="shared" si="103"/>
        <v>0</v>
      </c>
      <c r="AC704" s="466">
        <f t="shared" si="104"/>
        <v>0</v>
      </c>
    </row>
    <row r="705" spans="2:29" ht="20.100000000000001" customHeight="1">
      <c r="B705" s="172"/>
      <c r="C705" s="172"/>
      <c r="D705" s="172"/>
      <c r="E705" s="181"/>
      <c r="F705" s="173"/>
      <c r="G705" s="174"/>
      <c r="H705" s="284"/>
      <c r="I705" s="221"/>
      <c r="J705" s="177">
        <f>IF(H705=0,0,IF(F705="MXN",1/HLOOKUP(YEAR(G705)+(MONTH(G705)/100),TC!$5:$37,DAY(G705)+2,FALSE),VLOOKUP(F705,Equivalencia!$5:$23,((MAX(Equivalencia!$3:$3)-YEAR(G705))*14)+MONTH(G705)+2,FALSE)))</f>
        <v>0</v>
      </c>
      <c r="K705" s="217">
        <f t="shared" si="105"/>
        <v>0</v>
      </c>
      <c r="L705" s="462">
        <f>IF(G705=0,0,VLOOKUP(YEAR(G705),INPC!$B$4:$O$29,MONTH(G705)+1))</f>
        <v>0</v>
      </c>
      <c r="M705" s="462">
        <f>IF(T705=0,0,VLOOKUP(YEAR(T705),INPC!$B$4:$O$29,MONTH(T705)+1))</f>
        <v>0</v>
      </c>
      <c r="N705" s="463">
        <f t="shared" si="101"/>
        <v>0</v>
      </c>
      <c r="O705" s="464">
        <f t="shared" si="106"/>
        <v>0</v>
      </c>
      <c r="P705" s="465">
        <f t="shared" si="107"/>
        <v>0</v>
      </c>
      <c r="Q705" s="606" t="str">
        <f t="shared" si="108"/>
        <v>NO</v>
      </c>
      <c r="R705" s="180"/>
      <c r="S705" s="173"/>
      <c r="T705" s="174"/>
      <c r="U705" s="173"/>
      <c r="V705" s="220"/>
      <c r="W705" s="177">
        <f>IF(S705=0,0,IF(U705="MXN",1/HLOOKUP(YEAR(T705)+(MONTH(T705)/100),TC!$5:$37,DAY(T705)+2,FALSE),VLOOKUP(U705,Equivalencia!$1:$23,((MAX(Equivalencia!$3:$3)-YEAR(T705))*14)+MONTH(T705)+2,FALSE)))</f>
        <v>0</v>
      </c>
      <c r="X705" s="178">
        <f t="shared" si="109"/>
        <v>0</v>
      </c>
      <c r="Y705" s="178">
        <f t="shared" si="110"/>
        <v>0</v>
      </c>
      <c r="Z705" s="175">
        <f t="shared" si="102"/>
        <v>0</v>
      </c>
      <c r="AA705" s="179"/>
      <c r="AB705" s="467">
        <f t="shared" si="103"/>
        <v>0</v>
      </c>
      <c r="AC705" s="466">
        <f t="shared" si="104"/>
        <v>0</v>
      </c>
    </row>
    <row r="706" spans="2:29" ht="20.100000000000001" customHeight="1">
      <c r="B706" s="172"/>
      <c r="C706" s="172"/>
      <c r="D706" s="172"/>
      <c r="E706" s="181"/>
      <c r="F706" s="173"/>
      <c r="G706" s="174"/>
      <c r="H706" s="284"/>
      <c r="I706" s="221"/>
      <c r="J706" s="177">
        <f>IF(H706=0,0,IF(F706="MXN",1/HLOOKUP(YEAR(G706)+(MONTH(G706)/100),TC!$5:$37,DAY(G706)+2,FALSE),VLOOKUP(F706,Equivalencia!$5:$23,((MAX(Equivalencia!$3:$3)-YEAR(G706))*14)+MONTH(G706)+2,FALSE)))</f>
        <v>0</v>
      </c>
      <c r="K706" s="217">
        <f t="shared" si="105"/>
        <v>0</v>
      </c>
      <c r="L706" s="462">
        <f>IF(G706=0,0,VLOOKUP(YEAR(G706),INPC!$B$4:$O$29,MONTH(G706)+1))</f>
        <v>0</v>
      </c>
      <c r="M706" s="462">
        <f>IF(T706=0,0,VLOOKUP(YEAR(T706),INPC!$B$4:$O$29,MONTH(T706)+1))</f>
        <v>0</v>
      </c>
      <c r="N706" s="463">
        <f t="shared" ref="N706:N769" si="111">IF(T706=0,0,IF(TRUNC(M706/L706,4)&gt;=1,TRUNC(M706/L706,4),1))</f>
        <v>0</v>
      </c>
      <c r="O706" s="464">
        <f t="shared" si="106"/>
        <v>0</v>
      </c>
      <c r="P706" s="465">
        <f t="shared" si="107"/>
        <v>0</v>
      </c>
      <c r="Q706" s="606" t="str">
        <f t="shared" si="108"/>
        <v>NO</v>
      </c>
      <c r="R706" s="180"/>
      <c r="S706" s="173"/>
      <c r="T706" s="174"/>
      <c r="U706" s="173"/>
      <c r="V706" s="220"/>
      <c r="W706" s="177">
        <f>IF(S706=0,0,IF(U706="MXN",1/HLOOKUP(YEAR(T706)+(MONTH(T706)/100),TC!$5:$37,DAY(T706)+2,FALSE),VLOOKUP(U706,Equivalencia!$1:$23,((MAX(Equivalencia!$3:$3)-YEAR(T706))*14)+MONTH(T706)+2,FALSE)))</f>
        <v>0</v>
      </c>
      <c r="X706" s="178">
        <f t="shared" si="109"/>
        <v>0</v>
      </c>
      <c r="Y706" s="178">
        <f t="shared" si="110"/>
        <v>0</v>
      </c>
      <c r="Z706" s="175">
        <f t="shared" ref="Z706:Z769" si="112">+X706+Y706</f>
        <v>0</v>
      </c>
      <c r="AA706" s="179"/>
      <c r="AB706" s="467">
        <f t="shared" ref="AB706:AB769" si="113">+X706+AC706</f>
        <v>0</v>
      </c>
      <c r="AC706" s="466">
        <f t="shared" ref="AC706:AC769" si="114">+R706*P706</f>
        <v>0</v>
      </c>
    </row>
    <row r="707" spans="2:29" ht="20.100000000000001" customHeight="1">
      <c r="B707" s="172"/>
      <c r="C707" s="172"/>
      <c r="D707" s="172"/>
      <c r="E707" s="181"/>
      <c r="F707" s="173"/>
      <c r="G707" s="174"/>
      <c r="H707" s="284"/>
      <c r="I707" s="221"/>
      <c r="J707" s="177">
        <f>IF(H707=0,0,IF(F707="MXN",1/HLOOKUP(YEAR(G707)+(MONTH(G707)/100),TC!$5:$37,DAY(G707)+2,FALSE),VLOOKUP(F707,Equivalencia!$5:$23,((MAX(Equivalencia!$3:$3)-YEAR(G707))*14)+MONTH(G707)+2,FALSE)))</f>
        <v>0</v>
      </c>
      <c r="K707" s="217">
        <f t="shared" ref="K707:K770" si="115">+I707*J707</f>
        <v>0</v>
      </c>
      <c r="L707" s="462">
        <f>IF(G707=0,0,VLOOKUP(YEAR(G707),INPC!$B$4:$O$29,MONTH(G707)+1))</f>
        <v>0</v>
      </c>
      <c r="M707" s="462">
        <f>IF(T707=0,0,VLOOKUP(YEAR(T707),INPC!$B$4:$O$29,MONTH(T707)+1))</f>
        <v>0</v>
      </c>
      <c r="N707" s="463">
        <f t="shared" si="111"/>
        <v>0</v>
      </c>
      <c r="O707" s="464">
        <f t="shared" ref="O707:O770" si="116">+N707*K707</f>
        <v>0</v>
      </c>
      <c r="P707" s="465">
        <f t="shared" ref="P707:P770" si="117">IF(R707=0,0,O707/R707)</f>
        <v>0</v>
      </c>
      <c r="Q707" s="606" t="str">
        <f t="shared" ref="Q707:Q770" si="118">IF(T707=0,"NO","SI")</f>
        <v>NO</v>
      </c>
      <c r="R707" s="180"/>
      <c r="S707" s="173"/>
      <c r="T707" s="174"/>
      <c r="U707" s="173"/>
      <c r="V707" s="220"/>
      <c r="W707" s="177">
        <f>IF(S707=0,0,IF(U707="MXN",1/HLOOKUP(YEAR(T707)+(MONTH(T707)/100),TC!$5:$37,DAY(T707)+2,FALSE),VLOOKUP(U707,Equivalencia!$1:$23,((MAX(Equivalencia!$3:$3)-YEAR(T707))*14)+MONTH(T707)+2,FALSE)))</f>
        <v>0</v>
      </c>
      <c r="X707" s="178">
        <f t="shared" ref="X707:X770" si="119">+W707*V707</f>
        <v>0</v>
      </c>
      <c r="Y707" s="178">
        <f t="shared" ref="Y707:Y770" si="120">+K707</f>
        <v>0</v>
      </c>
      <c r="Z707" s="175">
        <f t="shared" si="112"/>
        <v>0</v>
      </c>
      <c r="AA707" s="179"/>
      <c r="AB707" s="467">
        <f t="shared" si="113"/>
        <v>0</v>
      </c>
      <c r="AC707" s="466">
        <f t="shared" si="114"/>
        <v>0</v>
      </c>
    </row>
    <row r="708" spans="2:29" ht="20.100000000000001" customHeight="1">
      <c r="B708" s="172"/>
      <c r="C708" s="172"/>
      <c r="D708" s="172"/>
      <c r="E708" s="181"/>
      <c r="F708" s="173"/>
      <c r="G708" s="174"/>
      <c r="H708" s="284"/>
      <c r="I708" s="221"/>
      <c r="J708" s="177">
        <f>IF(H708=0,0,IF(F708="MXN",1/HLOOKUP(YEAR(G708)+(MONTH(G708)/100),TC!$5:$37,DAY(G708)+2,FALSE),VLOOKUP(F708,Equivalencia!$5:$23,((MAX(Equivalencia!$3:$3)-YEAR(G708))*14)+MONTH(G708)+2,FALSE)))</f>
        <v>0</v>
      </c>
      <c r="K708" s="217">
        <f t="shared" si="115"/>
        <v>0</v>
      </c>
      <c r="L708" s="462">
        <f>IF(G708=0,0,VLOOKUP(YEAR(G708),INPC!$B$4:$O$29,MONTH(G708)+1))</f>
        <v>0</v>
      </c>
      <c r="M708" s="462">
        <f>IF(T708=0,0,VLOOKUP(YEAR(T708),INPC!$B$4:$O$29,MONTH(T708)+1))</f>
        <v>0</v>
      </c>
      <c r="N708" s="463">
        <f t="shared" si="111"/>
        <v>0</v>
      </c>
      <c r="O708" s="464">
        <f t="shared" si="116"/>
        <v>0</v>
      </c>
      <c r="P708" s="465">
        <f t="shared" si="117"/>
        <v>0</v>
      </c>
      <c r="Q708" s="606" t="str">
        <f t="shared" si="118"/>
        <v>NO</v>
      </c>
      <c r="R708" s="180"/>
      <c r="S708" s="173"/>
      <c r="T708" s="174"/>
      <c r="U708" s="173"/>
      <c r="V708" s="220"/>
      <c r="W708" s="177">
        <f>IF(S708=0,0,IF(U708="MXN",1/HLOOKUP(YEAR(T708)+(MONTH(T708)/100),TC!$5:$37,DAY(T708)+2,FALSE),VLOOKUP(U708,Equivalencia!$1:$23,((MAX(Equivalencia!$3:$3)-YEAR(T708))*14)+MONTH(T708)+2,FALSE)))</f>
        <v>0</v>
      </c>
      <c r="X708" s="178">
        <f t="shared" si="119"/>
        <v>0</v>
      </c>
      <c r="Y708" s="178">
        <f t="shared" si="120"/>
        <v>0</v>
      </c>
      <c r="Z708" s="175">
        <f t="shared" si="112"/>
        <v>0</v>
      </c>
      <c r="AA708" s="179"/>
      <c r="AB708" s="467">
        <f t="shared" si="113"/>
        <v>0</v>
      </c>
      <c r="AC708" s="466">
        <f t="shared" si="114"/>
        <v>0</v>
      </c>
    </row>
    <row r="709" spans="2:29" ht="20.100000000000001" customHeight="1">
      <c r="B709" s="172"/>
      <c r="C709" s="172"/>
      <c r="D709" s="172"/>
      <c r="E709" s="181"/>
      <c r="F709" s="173"/>
      <c r="G709" s="174"/>
      <c r="H709" s="284"/>
      <c r="I709" s="221"/>
      <c r="J709" s="177">
        <f>IF(H709=0,0,IF(F709="MXN",1/HLOOKUP(YEAR(G709)+(MONTH(G709)/100),TC!$5:$37,DAY(G709)+2,FALSE),VLOOKUP(F709,Equivalencia!$5:$23,((MAX(Equivalencia!$3:$3)-YEAR(G709))*14)+MONTH(G709)+2,FALSE)))</f>
        <v>0</v>
      </c>
      <c r="K709" s="217">
        <f t="shared" si="115"/>
        <v>0</v>
      </c>
      <c r="L709" s="462">
        <f>IF(G709=0,0,VLOOKUP(YEAR(G709),INPC!$B$4:$O$29,MONTH(G709)+1))</f>
        <v>0</v>
      </c>
      <c r="M709" s="462">
        <f>IF(T709=0,0,VLOOKUP(YEAR(T709),INPC!$B$4:$O$29,MONTH(T709)+1))</f>
        <v>0</v>
      </c>
      <c r="N709" s="463">
        <f t="shared" si="111"/>
        <v>0</v>
      </c>
      <c r="O709" s="464">
        <f t="shared" si="116"/>
        <v>0</v>
      </c>
      <c r="P709" s="465">
        <f t="shared" si="117"/>
        <v>0</v>
      </c>
      <c r="Q709" s="606" t="str">
        <f t="shared" si="118"/>
        <v>NO</v>
      </c>
      <c r="R709" s="180"/>
      <c r="S709" s="173"/>
      <c r="T709" s="174"/>
      <c r="U709" s="173"/>
      <c r="V709" s="220"/>
      <c r="W709" s="177">
        <f>IF(S709=0,0,IF(U709="MXN",1/HLOOKUP(YEAR(T709)+(MONTH(T709)/100),TC!$5:$37,DAY(T709)+2,FALSE),VLOOKUP(U709,Equivalencia!$1:$23,((MAX(Equivalencia!$3:$3)-YEAR(T709))*14)+MONTH(T709)+2,FALSE)))</f>
        <v>0</v>
      </c>
      <c r="X709" s="178">
        <f t="shared" si="119"/>
        <v>0</v>
      </c>
      <c r="Y709" s="178">
        <f t="shared" si="120"/>
        <v>0</v>
      </c>
      <c r="Z709" s="175">
        <f t="shared" si="112"/>
        <v>0</v>
      </c>
      <c r="AA709" s="179"/>
      <c r="AB709" s="467">
        <f t="shared" si="113"/>
        <v>0</v>
      </c>
      <c r="AC709" s="466">
        <f t="shared" si="114"/>
        <v>0</v>
      </c>
    </row>
    <row r="710" spans="2:29" ht="20.100000000000001" customHeight="1">
      <c r="B710" s="172"/>
      <c r="C710" s="172"/>
      <c r="D710" s="172"/>
      <c r="E710" s="181"/>
      <c r="F710" s="173"/>
      <c r="G710" s="174"/>
      <c r="H710" s="284"/>
      <c r="I710" s="221"/>
      <c r="J710" s="177">
        <f>IF(H710=0,0,IF(F710="MXN",1/HLOOKUP(YEAR(G710)+(MONTH(G710)/100),TC!$5:$37,DAY(G710)+2,FALSE),VLOOKUP(F710,Equivalencia!$5:$23,((MAX(Equivalencia!$3:$3)-YEAR(G710))*14)+MONTH(G710)+2,FALSE)))</f>
        <v>0</v>
      </c>
      <c r="K710" s="217">
        <f t="shared" si="115"/>
        <v>0</v>
      </c>
      <c r="L710" s="462">
        <f>IF(G710=0,0,VLOOKUP(YEAR(G710),INPC!$B$4:$O$29,MONTH(G710)+1))</f>
        <v>0</v>
      </c>
      <c r="M710" s="462">
        <f>IF(T710=0,0,VLOOKUP(YEAR(T710),INPC!$B$4:$O$29,MONTH(T710)+1))</f>
        <v>0</v>
      </c>
      <c r="N710" s="463">
        <f t="shared" si="111"/>
        <v>0</v>
      </c>
      <c r="O710" s="464">
        <f t="shared" si="116"/>
        <v>0</v>
      </c>
      <c r="P710" s="465">
        <f t="shared" si="117"/>
        <v>0</v>
      </c>
      <c r="Q710" s="606" t="str">
        <f t="shared" si="118"/>
        <v>NO</v>
      </c>
      <c r="R710" s="180"/>
      <c r="S710" s="173"/>
      <c r="T710" s="174"/>
      <c r="U710" s="173"/>
      <c r="V710" s="220"/>
      <c r="W710" s="177">
        <f>IF(S710=0,0,IF(U710="MXN",1/HLOOKUP(YEAR(T710)+(MONTH(T710)/100),TC!$5:$37,DAY(T710)+2,FALSE),VLOOKUP(U710,Equivalencia!$1:$23,((MAX(Equivalencia!$3:$3)-YEAR(T710))*14)+MONTH(T710)+2,FALSE)))</f>
        <v>0</v>
      </c>
      <c r="X710" s="178">
        <f t="shared" si="119"/>
        <v>0</v>
      </c>
      <c r="Y710" s="178">
        <f t="shared" si="120"/>
        <v>0</v>
      </c>
      <c r="Z710" s="175">
        <f t="shared" si="112"/>
        <v>0</v>
      </c>
      <c r="AA710" s="179"/>
      <c r="AB710" s="467">
        <f t="shared" si="113"/>
        <v>0</v>
      </c>
      <c r="AC710" s="466">
        <f t="shared" si="114"/>
        <v>0</v>
      </c>
    </row>
    <row r="711" spans="2:29" ht="20.100000000000001" customHeight="1">
      <c r="B711" s="172"/>
      <c r="C711" s="172"/>
      <c r="D711" s="172"/>
      <c r="E711" s="181"/>
      <c r="F711" s="173"/>
      <c r="G711" s="174"/>
      <c r="H711" s="284"/>
      <c r="I711" s="221"/>
      <c r="J711" s="177">
        <f>IF(H711=0,0,IF(F711="MXN",1/HLOOKUP(YEAR(G711)+(MONTH(G711)/100),TC!$5:$37,DAY(G711)+2,FALSE),VLOOKUP(F711,Equivalencia!$5:$23,((MAX(Equivalencia!$3:$3)-YEAR(G711))*14)+MONTH(G711)+2,FALSE)))</f>
        <v>0</v>
      </c>
      <c r="K711" s="217">
        <f t="shared" si="115"/>
        <v>0</v>
      </c>
      <c r="L711" s="462">
        <f>IF(G711=0,0,VLOOKUP(YEAR(G711),INPC!$B$4:$O$29,MONTH(G711)+1))</f>
        <v>0</v>
      </c>
      <c r="M711" s="462">
        <f>IF(T711=0,0,VLOOKUP(YEAR(T711),INPC!$B$4:$O$29,MONTH(T711)+1))</f>
        <v>0</v>
      </c>
      <c r="N711" s="463">
        <f t="shared" si="111"/>
        <v>0</v>
      </c>
      <c r="O711" s="464">
        <f t="shared" si="116"/>
        <v>0</v>
      </c>
      <c r="P711" s="465">
        <f t="shared" si="117"/>
        <v>0</v>
      </c>
      <c r="Q711" s="606" t="str">
        <f t="shared" si="118"/>
        <v>NO</v>
      </c>
      <c r="R711" s="180"/>
      <c r="S711" s="173"/>
      <c r="T711" s="174"/>
      <c r="U711" s="173"/>
      <c r="V711" s="220"/>
      <c r="W711" s="177">
        <f>IF(S711=0,0,IF(U711="MXN",1/HLOOKUP(YEAR(T711)+(MONTH(T711)/100),TC!$5:$37,DAY(T711)+2,FALSE),VLOOKUP(U711,Equivalencia!$1:$23,((MAX(Equivalencia!$3:$3)-YEAR(T711))*14)+MONTH(T711)+2,FALSE)))</f>
        <v>0</v>
      </c>
      <c r="X711" s="178">
        <f t="shared" si="119"/>
        <v>0</v>
      </c>
      <c r="Y711" s="178">
        <f t="shared" si="120"/>
        <v>0</v>
      </c>
      <c r="Z711" s="175">
        <f t="shared" si="112"/>
        <v>0</v>
      </c>
      <c r="AA711" s="179"/>
      <c r="AB711" s="467">
        <f t="shared" si="113"/>
        <v>0</v>
      </c>
      <c r="AC711" s="466">
        <f t="shared" si="114"/>
        <v>0</v>
      </c>
    </row>
    <row r="712" spans="2:29" ht="20.100000000000001" customHeight="1">
      <c r="B712" s="172"/>
      <c r="C712" s="172"/>
      <c r="D712" s="172"/>
      <c r="E712" s="181"/>
      <c r="F712" s="173"/>
      <c r="G712" s="174"/>
      <c r="H712" s="284"/>
      <c r="I712" s="221"/>
      <c r="J712" s="177">
        <f>IF(H712=0,0,IF(F712="MXN",1/HLOOKUP(YEAR(G712)+(MONTH(G712)/100),TC!$5:$37,DAY(G712)+2,FALSE),VLOOKUP(F712,Equivalencia!$5:$23,((MAX(Equivalencia!$3:$3)-YEAR(G712))*14)+MONTH(G712)+2,FALSE)))</f>
        <v>0</v>
      </c>
      <c r="K712" s="217">
        <f t="shared" si="115"/>
        <v>0</v>
      </c>
      <c r="L712" s="462">
        <f>IF(G712=0,0,VLOOKUP(YEAR(G712),INPC!$B$4:$O$29,MONTH(G712)+1))</f>
        <v>0</v>
      </c>
      <c r="M712" s="462">
        <f>IF(T712=0,0,VLOOKUP(YEAR(T712),INPC!$B$4:$O$29,MONTH(T712)+1))</f>
        <v>0</v>
      </c>
      <c r="N712" s="463">
        <f t="shared" si="111"/>
        <v>0</v>
      </c>
      <c r="O712" s="464">
        <f t="shared" si="116"/>
        <v>0</v>
      </c>
      <c r="P712" s="465">
        <f t="shared" si="117"/>
        <v>0</v>
      </c>
      <c r="Q712" s="606" t="str">
        <f t="shared" si="118"/>
        <v>NO</v>
      </c>
      <c r="R712" s="180"/>
      <c r="S712" s="173"/>
      <c r="T712" s="174"/>
      <c r="U712" s="173"/>
      <c r="V712" s="220"/>
      <c r="W712" s="177">
        <f>IF(S712=0,0,IF(U712="MXN",1/HLOOKUP(YEAR(T712)+(MONTH(T712)/100),TC!$5:$37,DAY(T712)+2,FALSE),VLOOKUP(U712,Equivalencia!$1:$23,((MAX(Equivalencia!$3:$3)-YEAR(T712))*14)+MONTH(T712)+2,FALSE)))</f>
        <v>0</v>
      </c>
      <c r="X712" s="178">
        <f t="shared" si="119"/>
        <v>0</v>
      </c>
      <c r="Y712" s="178">
        <f t="shared" si="120"/>
        <v>0</v>
      </c>
      <c r="Z712" s="175">
        <f t="shared" si="112"/>
        <v>0</v>
      </c>
      <c r="AA712" s="179"/>
      <c r="AB712" s="467">
        <f t="shared" si="113"/>
        <v>0</v>
      </c>
      <c r="AC712" s="466">
        <f t="shared" si="114"/>
        <v>0</v>
      </c>
    </row>
    <row r="713" spans="2:29" ht="20.100000000000001" customHeight="1">
      <c r="B713" s="172"/>
      <c r="C713" s="172"/>
      <c r="D713" s="172"/>
      <c r="E713" s="181"/>
      <c r="F713" s="173"/>
      <c r="G713" s="174"/>
      <c r="H713" s="284"/>
      <c r="I713" s="221"/>
      <c r="J713" s="177">
        <f>IF(H713=0,0,IF(F713="MXN",1/HLOOKUP(YEAR(G713)+(MONTH(G713)/100),TC!$5:$37,DAY(G713)+2,FALSE),VLOOKUP(F713,Equivalencia!$5:$23,((MAX(Equivalencia!$3:$3)-YEAR(G713))*14)+MONTH(G713)+2,FALSE)))</f>
        <v>0</v>
      </c>
      <c r="K713" s="217">
        <f t="shared" si="115"/>
        <v>0</v>
      </c>
      <c r="L713" s="462">
        <f>IF(G713=0,0,VLOOKUP(YEAR(G713),INPC!$B$4:$O$29,MONTH(G713)+1))</f>
        <v>0</v>
      </c>
      <c r="M713" s="462">
        <f>IF(T713=0,0,VLOOKUP(YEAR(T713),INPC!$B$4:$O$29,MONTH(T713)+1))</f>
        <v>0</v>
      </c>
      <c r="N713" s="463">
        <f t="shared" si="111"/>
        <v>0</v>
      </c>
      <c r="O713" s="464">
        <f t="shared" si="116"/>
        <v>0</v>
      </c>
      <c r="P713" s="465">
        <f t="shared" si="117"/>
        <v>0</v>
      </c>
      <c r="Q713" s="606" t="str">
        <f t="shared" si="118"/>
        <v>NO</v>
      </c>
      <c r="R713" s="180"/>
      <c r="S713" s="173"/>
      <c r="T713" s="174"/>
      <c r="U713" s="173"/>
      <c r="V713" s="220"/>
      <c r="W713" s="177">
        <f>IF(S713=0,0,IF(U713="MXN",1/HLOOKUP(YEAR(T713)+(MONTH(T713)/100),TC!$5:$37,DAY(T713)+2,FALSE),VLOOKUP(U713,Equivalencia!$1:$23,((MAX(Equivalencia!$3:$3)-YEAR(T713))*14)+MONTH(T713)+2,FALSE)))</f>
        <v>0</v>
      </c>
      <c r="X713" s="178">
        <f t="shared" si="119"/>
        <v>0</v>
      </c>
      <c r="Y713" s="178">
        <f t="shared" si="120"/>
        <v>0</v>
      </c>
      <c r="Z713" s="175">
        <f t="shared" si="112"/>
        <v>0</v>
      </c>
      <c r="AA713" s="179"/>
      <c r="AB713" s="467">
        <f t="shared" si="113"/>
        <v>0</v>
      </c>
      <c r="AC713" s="466">
        <f t="shared" si="114"/>
        <v>0</v>
      </c>
    </row>
    <row r="714" spans="2:29" ht="20.100000000000001" customHeight="1">
      <c r="B714" s="172"/>
      <c r="C714" s="172"/>
      <c r="D714" s="172"/>
      <c r="E714" s="181"/>
      <c r="F714" s="173"/>
      <c r="G714" s="174"/>
      <c r="H714" s="284"/>
      <c r="I714" s="221"/>
      <c r="J714" s="177">
        <f>IF(H714=0,0,IF(F714="MXN",1/HLOOKUP(YEAR(G714)+(MONTH(G714)/100),TC!$5:$37,DAY(G714)+2,FALSE),VLOOKUP(F714,Equivalencia!$5:$23,((MAX(Equivalencia!$3:$3)-YEAR(G714))*14)+MONTH(G714)+2,FALSE)))</f>
        <v>0</v>
      </c>
      <c r="K714" s="217">
        <f t="shared" si="115"/>
        <v>0</v>
      </c>
      <c r="L714" s="462">
        <f>IF(G714=0,0,VLOOKUP(YEAR(G714),INPC!$B$4:$O$29,MONTH(G714)+1))</f>
        <v>0</v>
      </c>
      <c r="M714" s="462">
        <f>IF(T714=0,0,VLOOKUP(YEAR(T714),INPC!$B$4:$O$29,MONTH(T714)+1))</f>
        <v>0</v>
      </c>
      <c r="N714" s="463">
        <f t="shared" si="111"/>
        <v>0</v>
      </c>
      <c r="O714" s="464">
        <f t="shared" si="116"/>
        <v>0</v>
      </c>
      <c r="P714" s="465">
        <f t="shared" si="117"/>
        <v>0</v>
      </c>
      <c r="Q714" s="606" t="str">
        <f t="shared" si="118"/>
        <v>NO</v>
      </c>
      <c r="R714" s="180"/>
      <c r="S714" s="173"/>
      <c r="T714" s="174"/>
      <c r="U714" s="173"/>
      <c r="V714" s="220"/>
      <c r="W714" s="177">
        <f>IF(S714=0,0,IF(U714="MXN",1/HLOOKUP(YEAR(T714)+(MONTH(T714)/100),TC!$5:$37,DAY(T714)+2,FALSE),VLOOKUP(U714,Equivalencia!$1:$23,((MAX(Equivalencia!$3:$3)-YEAR(T714))*14)+MONTH(T714)+2,FALSE)))</f>
        <v>0</v>
      </c>
      <c r="X714" s="178">
        <f t="shared" si="119"/>
        <v>0</v>
      </c>
      <c r="Y714" s="178">
        <f t="shared" si="120"/>
        <v>0</v>
      </c>
      <c r="Z714" s="175">
        <f t="shared" si="112"/>
        <v>0</v>
      </c>
      <c r="AA714" s="179"/>
      <c r="AB714" s="467">
        <f t="shared" si="113"/>
        <v>0</v>
      </c>
      <c r="AC714" s="466">
        <f t="shared" si="114"/>
        <v>0</v>
      </c>
    </row>
    <row r="715" spans="2:29" ht="20.100000000000001" customHeight="1">
      <c r="B715" s="172"/>
      <c r="C715" s="172"/>
      <c r="D715" s="172"/>
      <c r="E715" s="181"/>
      <c r="F715" s="173"/>
      <c r="G715" s="174"/>
      <c r="H715" s="284"/>
      <c r="I715" s="221"/>
      <c r="J715" s="177">
        <f>IF(H715=0,0,IF(F715="MXN",1/HLOOKUP(YEAR(G715)+(MONTH(G715)/100),TC!$5:$37,DAY(G715)+2,FALSE),VLOOKUP(F715,Equivalencia!$5:$23,((MAX(Equivalencia!$3:$3)-YEAR(G715))*14)+MONTH(G715)+2,FALSE)))</f>
        <v>0</v>
      </c>
      <c r="K715" s="217">
        <f t="shared" si="115"/>
        <v>0</v>
      </c>
      <c r="L715" s="462">
        <f>IF(G715=0,0,VLOOKUP(YEAR(G715),INPC!$B$4:$O$29,MONTH(G715)+1))</f>
        <v>0</v>
      </c>
      <c r="M715" s="462">
        <f>IF(T715=0,0,VLOOKUP(YEAR(T715),INPC!$B$4:$O$29,MONTH(T715)+1))</f>
        <v>0</v>
      </c>
      <c r="N715" s="463">
        <f t="shared" si="111"/>
        <v>0</v>
      </c>
      <c r="O715" s="464">
        <f t="shared" si="116"/>
        <v>0</v>
      </c>
      <c r="P715" s="465">
        <f t="shared" si="117"/>
        <v>0</v>
      </c>
      <c r="Q715" s="606" t="str">
        <f t="shared" si="118"/>
        <v>NO</v>
      </c>
      <c r="R715" s="180"/>
      <c r="S715" s="173"/>
      <c r="T715" s="174"/>
      <c r="U715" s="173"/>
      <c r="V715" s="220"/>
      <c r="W715" s="177">
        <f>IF(S715=0,0,IF(U715="MXN",1/HLOOKUP(YEAR(T715)+(MONTH(T715)/100),TC!$5:$37,DAY(T715)+2,FALSE),VLOOKUP(U715,Equivalencia!$1:$23,((MAX(Equivalencia!$3:$3)-YEAR(T715))*14)+MONTH(T715)+2,FALSE)))</f>
        <v>0</v>
      </c>
      <c r="X715" s="178">
        <f t="shared" si="119"/>
        <v>0</v>
      </c>
      <c r="Y715" s="178">
        <f t="shared" si="120"/>
        <v>0</v>
      </c>
      <c r="Z715" s="175">
        <f t="shared" si="112"/>
        <v>0</v>
      </c>
      <c r="AA715" s="179"/>
      <c r="AB715" s="467">
        <f t="shared" si="113"/>
        <v>0</v>
      </c>
      <c r="AC715" s="466">
        <f t="shared" si="114"/>
        <v>0</v>
      </c>
    </row>
    <row r="716" spans="2:29" ht="20.100000000000001" customHeight="1">
      <c r="B716" s="172"/>
      <c r="C716" s="172"/>
      <c r="D716" s="172"/>
      <c r="E716" s="181"/>
      <c r="F716" s="173"/>
      <c r="G716" s="174"/>
      <c r="H716" s="284"/>
      <c r="I716" s="221"/>
      <c r="J716" s="177">
        <f>IF(H716=0,0,IF(F716="MXN",1/HLOOKUP(YEAR(G716)+(MONTH(G716)/100),TC!$5:$37,DAY(G716)+2,FALSE),VLOOKUP(F716,Equivalencia!$5:$23,((MAX(Equivalencia!$3:$3)-YEAR(G716))*14)+MONTH(G716)+2,FALSE)))</f>
        <v>0</v>
      </c>
      <c r="K716" s="217">
        <f t="shared" si="115"/>
        <v>0</v>
      </c>
      <c r="L716" s="462">
        <f>IF(G716=0,0,VLOOKUP(YEAR(G716),INPC!$B$4:$O$29,MONTH(G716)+1))</f>
        <v>0</v>
      </c>
      <c r="M716" s="462">
        <f>IF(T716=0,0,VLOOKUP(YEAR(T716),INPC!$B$4:$O$29,MONTH(T716)+1))</f>
        <v>0</v>
      </c>
      <c r="N716" s="463">
        <f t="shared" si="111"/>
        <v>0</v>
      </c>
      <c r="O716" s="464">
        <f t="shared" si="116"/>
        <v>0</v>
      </c>
      <c r="P716" s="465">
        <f t="shared" si="117"/>
        <v>0</v>
      </c>
      <c r="Q716" s="606" t="str">
        <f t="shared" si="118"/>
        <v>NO</v>
      </c>
      <c r="R716" s="180"/>
      <c r="S716" s="173"/>
      <c r="T716" s="174"/>
      <c r="U716" s="173"/>
      <c r="V716" s="220"/>
      <c r="W716" s="177">
        <f>IF(S716=0,0,IF(U716="MXN",1/HLOOKUP(YEAR(T716)+(MONTH(T716)/100),TC!$5:$37,DAY(T716)+2,FALSE),VLOOKUP(U716,Equivalencia!$1:$23,((MAX(Equivalencia!$3:$3)-YEAR(T716))*14)+MONTH(T716)+2,FALSE)))</f>
        <v>0</v>
      </c>
      <c r="X716" s="178">
        <f t="shared" si="119"/>
        <v>0</v>
      </c>
      <c r="Y716" s="178">
        <f t="shared" si="120"/>
        <v>0</v>
      </c>
      <c r="Z716" s="175">
        <f t="shared" si="112"/>
        <v>0</v>
      </c>
      <c r="AA716" s="179"/>
      <c r="AB716" s="467">
        <f t="shared" si="113"/>
        <v>0</v>
      </c>
      <c r="AC716" s="466">
        <f t="shared" si="114"/>
        <v>0</v>
      </c>
    </row>
    <row r="717" spans="2:29" ht="20.100000000000001" customHeight="1">
      <c r="B717" s="172"/>
      <c r="C717" s="172"/>
      <c r="D717" s="172"/>
      <c r="E717" s="181"/>
      <c r="F717" s="173"/>
      <c r="G717" s="174"/>
      <c r="H717" s="284"/>
      <c r="I717" s="221"/>
      <c r="J717" s="177">
        <f>IF(H717=0,0,IF(F717="MXN",1/HLOOKUP(YEAR(G717)+(MONTH(G717)/100),TC!$5:$37,DAY(G717)+2,FALSE),VLOOKUP(F717,Equivalencia!$5:$23,((MAX(Equivalencia!$3:$3)-YEAR(G717))*14)+MONTH(G717)+2,FALSE)))</f>
        <v>0</v>
      </c>
      <c r="K717" s="217">
        <f t="shared" si="115"/>
        <v>0</v>
      </c>
      <c r="L717" s="462">
        <f>IF(G717=0,0,VLOOKUP(YEAR(G717),INPC!$B$4:$O$29,MONTH(G717)+1))</f>
        <v>0</v>
      </c>
      <c r="M717" s="462">
        <f>IF(T717=0,0,VLOOKUP(YEAR(T717),INPC!$B$4:$O$29,MONTH(T717)+1))</f>
        <v>0</v>
      </c>
      <c r="N717" s="463">
        <f t="shared" si="111"/>
        <v>0</v>
      </c>
      <c r="O717" s="464">
        <f t="shared" si="116"/>
        <v>0</v>
      </c>
      <c r="P717" s="465">
        <f t="shared" si="117"/>
        <v>0</v>
      </c>
      <c r="Q717" s="606" t="str">
        <f t="shared" si="118"/>
        <v>NO</v>
      </c>
      <c r="R717" s="180"/>
      <c r="S717" s="173"/>
      <c r="T717" s="174"/>
      <c r="U717" s="173"/>
      <c r="V717" s="220"/>
      <c r="W717" s="177">
        <f>IF(S717=0,0,IF(U717="MXN",1/HLOOKUP(YEAR(T717)+(MONTH(T717)/100),TC!$5:$37,DAY(T717)+2,FALSE),VLOOKUP(U717,Equivalencia!$1:$23,((MAX(Equivalencia!$3:$3)-YEAR(T717))*14)+MONTH(T717)+2,FALSE)))</f>
        <v>0</v>
      </c>
      <c r="X717" s="178">
        <f t="shared" si="119"/>
        <v>0</v>
      </c>
      <c r="Y717" s="178">
        <f t="shared" si="120"/>
        <v>0</v>
      </c>
      <c r="Z717" s="175">
        <f t="shared" si="112"/>
        <v>0</v>
      </c>
      <c r="AA717" s="179"/>
      <c r="AB717" s="467">
        <f t="shared" si="113"/>
        <v>0</v>
      </c>
      <c r="AC717" s="466">
        <f t="shared" si="114"/>
        <v>0</v>
      </c>
    </row>
    <row r="718" spans="2:29" ht="20.100000000000001" customHeight="1">
      <c r="B718" s="172"/>
      <c r="C718" s="172"/>
      <c r="D718" s="172"/>
      <c r="E718" s="181"/>
      <c r="F718" s="173"/>
      <c r="G718" s="174"/>
      <c r="H718" s="284"/>
      <c r="I718" s="221"/>
      <c r="J718" s="177">
        <f>IF(H718=0,0,IF(F718="MXN",1/HLOOKUP(YEAR(G718)+(MONTH(G718)/100),TC!$5:$37,DAY(G718)+2,FALSE),VLOOKUP(F718,Equivalencia!$5:$23,((MAX(Equivalencia!$3:$3)-YEAR(G718))*14)+MONTH(G718)+2,FALSE)))</f>
        <v>0</v>
      </c>
      <c r="K718" s="217">
        <f t="shared" si="115"/>
        <v>0</v>
      </c>
      <c r="L718" s="462">
        <f>IF(G718=0,0,VLOOKUP(YEAR(G718),INPC!$B$4:$O$29,MONTH(G718)+1))</f>
        <v>0</v>
      </c>
      <c r="M718" s="462">
        <f>IF(T718=0,0,VLOOKUP(YEAR(T718),INPC!$B$4:$O$29,MONTH(T718)+1))</f>
        <v>0</v>
      </c>
      <c r="N718" s="463">
        <f t="shared" si="111"/>
        <v>0</v>
      </c>
      <c r="O718" s="464">
        <f t="shared" si="116"/>
        <v>0</v>
      </c>
      <c r="P718" s="465">
        <f t="shared" si="117"/>
        <v>0</v>
      </c>
      <c r="Q718" s="606" t="str">
        <f t="shared" si="118"/>
        <v>NO</v>
      </c>
      <c r="R718" s="180"/>
      <c r="S718" s="173"/>
      <c r="T718" s="174"/>
      <c r="U718" s="173"/>
      <c r="V718" s="220"/>
      <c r="W718" s="177">
        <f>IF(S718=0,0,IF(U718="MXN",1/HLOOKUP(YEAR(T718)+(MONTH(T718)/100),TC!$5:$37,DAY(T718)+2,FALSE),VLOOKUP(U718,Equivalencia!$1:$23,((MAX(Equivalencia!$3:$3)-YEAR(T718))*14)+MONTH(T718)+2,FALSE)))</f>
        <v>0</v>
      </c>
      <c r="X718" s="178">
        <f t="shared" si="119"/>
        <v>0</v>
      </c>
      <c r="Y718" s="178">
        <f t="shared" si="120"/>
        <v>0</v>
      </c>
      <c r="Z718" s="175">
        <f t="shared" si="112"/>
        <v>0</v>
      </c>
      <c r="AA718" s="179"/>
      <c r="AB718" s="467">
        <f t="shared" si="113"/>
        <v>0</v>
      </c>
      <c r="AC718" s="466">
        <f t="shared" si="114"/>
        <v>0</v>
      </c>
    </row>
    <row r="719" spans="2:29" ht="20.100000000000001" customHeight="1">
      <c r="B719" s="172"/>
      <c r="C719" s="172"/>
      <c r="D719" s="172"/>
      <c r="E719" s="181"/>
      <c r="F719" s="173"/>
      <c r="G719" s="174"/>
      <c r="H719" s="284"/>
      <c r="I719" s="221"/>
      <c r="J719" s="177">
        <f>IF(H719=0,0,IF(F719="MXN",1/HLOOKUP(YEAR(G719)+(MONTH(G719)/100),TC!$5:$37,DAY(G719)+2,FALSE),VLOOKUP(F719,Equivalencia!$5:$23,((MAX(Equivalencia!$3:$3)-YEAR(G719))*14)+MONTH(G719)+2,FALSE)))</f>
        <v>0</v>
      </c>
      <c r="K719" s="217">
        <f t="shared" si="115"/>
        <v>0</v>
      </c>
      <c r="L719" s="462">
        <f>IF(G719=0,0,VLOOKUP(YEAR(G719),INPC!$B$4:$O$29,MONTH(G719)+1))</f>
        <v>0</v>
      </c>
      <c r="M719" s="462">
        <f>IF(T719=0,0,VLOOKUP(YEAR(T719),INPC!$B$4:$O$29,MONTH(T719)+1))</f>
        <v>0</v>
      </c>
      <c r="N719" s="463">
        <f t="shared" si="111"/>
        <v>0</v>
      </c>
      <c r="O719" s="464">
        <f t="shared" si="116"/>
        <v>0</v>
      </c>
      <c r="P719" s="465">
        <f t="shared" si="117"/>
        <v>0</v>
      </c>
      <c r="Q719" s="606" t="str">
        <f t="shared" si="118"/>
        <v>NO</v>
      </c>
      <c r="R719" s="180"/>
      <c r="S719" s="173"/>
      <c r="T719" s="174"/>
      <c r="U719" s="173"/>
      <c r="V719" s="220"/>
      <c r="W719" s="177">
        <f>IF(S719=0,0,IF(U719="MXN",1/HLOOKUP(YEAR(T719)+(MONTH(T719)/100),TC!$5:$37,DAY(T719)+2,FALSE),VLOOKUP(U719,Equivalencia!$1:$23,((MAX(Equivalencia!$3:$3)-YEAR(T719))*14)+MONTH(T719)+2,FALSE)))</f>
        <v>0</v>
      </c>
      <c r="X719" s="178">
        <f t="shared" si="119"/>
        <v>0</v>
      </c>
      <c r="Y719" s="178">
        <f t="shared" si="120"/>
        <v>0</v>
      </c>
      <c r="Z719" s="175">
        <f t="shared" si="112"/>
        <v>0</v>
      </c>
      <c r="AA719" s="179"/>
      <c r="AB719" s="467">
        <f t="shared" si="113"/>
        <v>0</v>
      </c>
      <c r="AC719" s="466">
        <f t="shared" si="114"/>
        <v>0</v>
      </c>
    </row>
    <row r="720" spans="2:29" ht="20.100000000000001" customHeight="1">
      <c r="B720" s="172"/>
      <c r="C720" s="172"/>
      <c r="D720" s="172"/>
      <c r="E720" s="181"/>
      <c r="F720" s="173"/>
      <c r="G720" s="174"/>
      <c r="H720" s="284"/>
      <c r="I720" s="221"/>
      <c r="J720" s="177">
        <f>IF(H720=0,0,IF(F720="MXN",1/HLOOKUP(YEAR(G720)+(MONTH(G720)/100),TC!$5:$37,DAY(G720)+2,FALSE),VLOOKUP(F720,Equivalencia!$5:$23,((MAX(Equivalencia!$3:$3)-YEAR(G720))*14)+MONTH(G720)+2,FALSE)))</f>
        <v>0</v>
      </c>
      <c r="K720" s="217">
        <f t="shared" si="115"/>
        <v>0</v>
      </c>
      <c r="L720" s="462">
        <f>IF(G720=0,0,VLOOKUP(YEAR(G720),INPC!$B$4:$O$29,MONTH(G720)+1))</f>
        <v>0</v>
      </c>
      <c r="M720" s="462">
        <f>IF(T720=0,0,VLOOKUP(YEAR(T720),INPC!$B$4:$O$29,MONTH(T720)+1))</f>
        <v>0</v>
      </c>
      <c r="N720" s="463">
        <f t="shared" si="111"/>
        <v>0</v>
      </c>
      <c r="O720" s="464">
        <f t="shared" si="116"/>
        <v>0</v>
      </c>
      <c r="P720" s="465">
        <f t="shared" si="117"/>
        <v>0</v>
      </c>
      <c r="Q720" s="606" t="str">
        <f t="shared" si="118"/>
        <v>NO</v>
      </c>
      <c r="R720" s="180"/>
      <c r="S720" s="173"/>
      <c r="T720" s="174"/>
      <c r="U720" s="173"/>
      <c r="V720" s="220"/>
      <c r="W720" s="177">
        <f>IF(S720=0,0,IF(U720="MXN",1/HLOOKUP(YEAR(T720)+(MONTH(T720)/100),TC!$5:$37,DAY(T720)+2,FALSE),VLOOKUP(U720,Equivalencia!$1:$23,((MAX(Equivalencia!$3:$3)-YEAR(T720))*14)+MONTH(T720)+2,FALSE)))</f>
        <v>0</v>
      </c>
      <c r="X720" s="178">
        <f t="shared" si="119"/>
        <v>0</v>
      </c>
      <c r="Y720" s="178">
        <f t="shared" si="120"/>
        <v>0</v>
      </c>
      <c r="Z720" s="175">
        <f t="shared" si="112"/>
        <v>0</v>
      </c>
      <c r="AA720" s="179"/>
      <c r="AB720" s="467">
        <f t="shared" si="113"/>
        <v>0</v>
      </c>
      <c r="AC720" s="466">
        <f t="shared" si="114"/>
        <v>0</v>
      </c>
    </row>
    <row r="721" spans="2:29" ht="20.100000000000001" customHeight="1">
      <c r="B721" s="172"/>
      <c r="C721" s="172"/>
      <c r="D721" s="172"/>
      <c r="E721" s="181"/>
      <c r="F721" s="173"/>
      <c r="G721" s="174"/>
      <c r="H721" s="284"/>
      <c r="I721" s="221"/>
      <c r="J721" s="177">
        <f>IF(H721=0,0,IF(F721="MXN",1/HLOOKUP(YEAR(G721)+(MONTH(G721)/100),TC!$5:$37,DAY(G721)+2,FALSE),VLOOKUP(F721,Equivalencia!$5:$23,((MAX(Equivalencia!$3:$3)-YEAR(G721))*14)+MONTH(G721)+2,FALSE)))</f>
        <v>0</v>
      </c>
      <c r="K721" s="217">
        <f t="shared" si="115"/>
        <v>0</v>
      </c>
      <c r="L721" s="462">
        <f>IF(G721=0,0,VLOOKUP(YEAR(G721),INPC!$B$4:$O$29,MONTH(G721)+1))</f>
        <v>0</v>
      </c>
      <c r="M721" s="462">
        <f>IF(T721=0,0,VLOOKUP(YEAR(T721),INPC!$B$4:$O$29,MONTH(T721)+1))</f>
        <v>0</v>
      </c>
      <c r="N721" s="463">
        <f t="shared" si="111"/>
        <v>0</v>
      </c>
      <c r="O721" s="464">
        <f t="shared" si="116"/>
        <v>0</v>
      </c>
      <c r="P721" s="465">
        <f t="shared" si="117"/>
        <v>0</v>
      </c>
      <c r="Q721" s="606" t="str">
        <f t="shared" si="118"/>
        <v>NO</v>
      </c>
      <c r="R721" s="180"/>
      <c r="S721" s="173"/>
      <c r="T721" s="174"/>
      <c r="U721" s="173"/>
      <c r="V721" s="220"/>
      <c r="W721" s="177">
        <f>IF(S721=0,0,IF(U721="MXN",1/HLOOKUP(YEAR(T721)+(MONTH(T721)/100),TC!$5:$37,DAY(T721)+2,FALSE),VLOOKUP(U721,Equivalencia!$1:$23,((MAX(Equivalencia!$3:$3)-YEAR(T721))*14)+MONTH(T721)+2,FALSE)))</f>
        <v>0</v>
      </c>
      <c r="X721" s="178">
        <f t="shared" si="119"/>
        <v>0</v>
      </c>
      <c r="Y721" s="178">
        <f t="shared" si="120"/>
        <v>0</v>
      </c>
      <c r="Z721" s="175">
        <f t="shared" si="112"/>
        <v>0</v>
      </c>
      <c r="AA721" s="179"/>
      <c r="AB721" s="467">
        <f t="shared" si="113"/>
        <v>0</v>
      </c>
      <c r="AC721" s="466">
        <f t="shared" si="114"/>
        <v>0</v>
      </c>
    </row>
    <row r="722" spans="2:29" ht="20.100000000000001" customHeight="1">
      <c r="B722" s="172"/>
      <c r="C722" s="172"/>
      <c r="D722" s="172"/>
      <c r="E722" s="181"/>
      <c r="F722" s="173"/>
      <c r="G722" s="174"/>
      <c r="H722" s="284"/>
      <c r="I722" s="221"/>
      <c r="J722" s="177">
        <f>IF(H722=0,0,IF(F722="MXN",1/HLOOKUP(YEAR(G722)+(MONTH(G722)/100),TC!$5:$37,DAY(G722)+2,FALSE),VLOOKUP(F722,Equivalencia!$5:$23,((MAX(Equivalencia!$3:$3)-YEAR(G722))*14)+MONTH(G722)+2,FALSE)))</f>
        <v>0</v>
      </c>
      <c r="K722" s="217">
        <f t="shared" si="115"/>
        <v>0</v>
      </c>
      <c r="L722" s="462">
        <f>IF(G722=0,0,VLOOKUP(YEAR(G722),INPC!$B$4:$O$29,MONTH(G722)+1))</f>
        <v>0</v>
      </c>
      <c r="M722" s="462">
        <f>IF(T722=0,0,VLOOKUP(YEAR(T722),INPC!$B$4:$O$29,MONTH(T722)+1))</f>
        <v>0</v>
      </c>
      <c r="N722" s="463">
        <f t="shared" si="111"/>
        <v>0</v>
      </c>
      <c r="O722" s="464">
        <f t="shared" si="116"/>
        <v>0</v>
      </c>
      <c r="P722" s="465">
        <f t="shared" si="117"/>
        <v>0</v>
      </c>
      <c r="Q722" s="606" t="str">
        <f t="shared" si="118"/>
        <v>NO</v>
      </c>
      <c r="R722" s="180"/>
      <c r="S722" s="173"/>
      <c r="T722" s="174"/>
      <c r="U722" s="173"/>
      <c r="V722" s="220"/>
      <c r="W722" s="177">
        <f>IF(S722=0,0,IF(U722="MXN",1/HLOOKUP(YEAR(T722)+(MONTH(T722)/100),TC!$5:$37,DAY(T722)+2,FALSE),VLOOKUP(U722,Equivalencia!$1:$23,((MAX(Equivalencia!$3:$3)-YEAR(T722))*14)+MONTH(T722)+2,FALSE)))</f>
        <v>0</v>
      </c>
      <c r="X722" s="178">
        <f t="shared" si="119"/>
        <v>0</v>
      </c>
      <c r="Y722" s="178">
        <f t="shared" si="120"/>
        <v>0</v>
      </c>
      <c r="Z722" s="175">
        <f t="shared" si="112"/>
        <v>0</v>
      </c>
      <c r="AA722" s="179"/>
      <c r="AB722" s="467">
        <f t="shared" si="113"/>
        <v>0</v>
      </c>
      <c r="AC722" s="466">
        <f t="shared" si="114"/>
        <v>0</v>
      </c>
    </row>
    <row r="723" spans="2:29" ht="20.100000000000001" customHeight="1">
      <c r="B723" s="172"/>
      <c r="C723" s="172"/>
      <c r="D723" s="172"/>
      <c r="E723" s="181"/>
      <c r="F723" s="173"/>
      <c r="G723" s="174"/>
      <c r="H723" s="284"/>
      <c r="I723" s="221"/>
      <c r="J723" s="177">
        <f>IF(H723=0,0,IF(F723="MXN",1/HLOOKUP(YEAR(G723)+(MONTH(G723)/100),TC!$5:$37,DAY(G723)+2,FALSE),VLOOKUP(F723,Equivalencia!$5:$23,((MAX(Equivalencia!$3:$3)-YEAR(G723))*14)+MONTH(G723)+2,FALSE)))</f>
        <v>0</v>
      </c>
      <c r="K723" s="217">
        <f t="shared" si="115"/>
        <v>0</v>
      </c>
      <c r="L723" s="462">
        <f>IF(G723=0,0,VLOOKUP(YEAR(G723),INPC!$B$4:$O$29,MONTH(G723)+1))</f>
        <v>0</v>
      </c>
      <c r="M723" s="462">
        <f>IF(T723=0,0,VLOOKUP(YEAR(T723),INPC!$B$4:$O$29,MONTH(T723)+1))</f>
        <v>0</v>
      </c>
      <c r="N723" s="463">
        <f t="shared" si="111"/>
        <v>0</v>
      </c>
      <c r="O723" s="464">
        <f t="shared" si="116"/>
        <v>0</v>
      </c>
      <c r="P723" s="465">
        <f t="shared" si="117"/>
        <v>0</v>
      </c>
      <c r="Q723" s="606" t="str">
        <f t="shared" si="118"/>
        <v>NO</v>
      </c>
      <c r="R723" s="180"/>
      <c r="S723" s="173"/>
      <c r="T723" s="174"/>
      <c r="U723" s="173"/>
      <c r="V723" s="220"/>
      <c r="W723" s="177">
        <f>IF(S723=0,0,IF(U723="MXN",1/HLOOKUP(YEAR(T723)+(MONTH(T723)/100),TC!$5:$37,DAY(T723)+2,FALSE),VLOOKUP(U723,Equivalencia!$1:$23,((MAX(Equivalencia!$3:$3)-YEAR(T723))*14)+MONTH(T723)+2,FALSE)))</f>
        <v>0</v>
      </c>
      <c r="X723" s="178">
        <f t="shared" si="119"/>
        <v>0</v>
      </c>
      <c r="Y723" s="178">
        <f t="shared" si="120"/>
        <v>0</v>
      </c>
      <c r="Z723" s="175">
        <f t="shared" si="112"/>
        <v>0</v>
      </c>
      <c r="AA723" s="179"/>
      <c r="AB723" s="467">
        <f t="shared" si="113"/>
        <v>0</v>
      </c>
      <c r="AC723" s="466">
        <f t="shared" si="114"/>
        <v>0</v>
      </c>
    </row>
    <row r="724" spans="2:29" ht="20.100000000000001" customHeight="1">
      <c r="B724" s="172"/>
      <c r="C724" s="172"/>
      <c r="D724" s="172"/>
      <c r="E724" s="181"/>
      <c r="F724" s="173"/>
      <c r="G724" s="174"/>
      <c r="H724" s="284"/>
      <c r="I724" s="221"/>
      <c r="J724" s="177">
        <f>IF(H724=0,0,IF(F724="MXN",1/HLOOKUP(YEAR(G724)+(MONTH(G724)/100),TC!$5:$37,DAY(G724)+2,FALSE),VLOOKUP(F724,Equivalencia!$5:$23,((MAX(Equivalencia!$3:$3)-YEAR(G724))*14)+MONTH(G724)+2,FALSE)))</f>
        <v>0</v>
      </c>
      <c r="K724" s="217">
        <f t="shared" si="115"/>
        <v>0</v>
      </c>
      <c r="L724" s="462">
        <f>IF(G724=0,0,VLOOKUP(YEAR(G724),INPC!$B$4:$O$29,MONTH(G724)+1))</f>
        <v>0</v>
      </c>
      <c r="M724" s="462">
        <f>IF(T724=0,0,VLOOKUP(YEAR(T724),INPC!$B$4:$O$29,MONTH(T724)+1))</f>
        <v>0</v>
      </c>
      <c r="N724" s="463">
        <f t="shared" si="111"/>
        <v>0</v>
      </c>
      <c r="O724" s="464">
        <f t="shared" si="116"/>
        <v>0</v>
      </c>
      <c r="P724" s="465">
        <f t="shared" si="117"/>
        <v>0</v>
      </c>
      <c r="Q724" s="606" t="str">
        <f t="shared" si="118"/>
        <v>NO</v>
      </c>
      <c r="R724" s="180"/>
      <c r="S724" s="173"/>
      <c r="T724" s="174"/>
      <c r="U724" s="173"/>
      <c r="V724" s="220"/>
      <c r="W724" s="177">
        <f>IF(S724=0,0,IF(U724="MXN",1/HLOOKUP(YEAR(T724)+(MONTH(T724)/100),TC!$5:$37,DAY(T724)+2,FALSE),VLOOKUP(U724,Equivalencia!$1:$23,((MAX(Equivalencia!$3:$3)-YEAR(T724))*14)+MONTH(T724)+2,FALSE)))</f>
        <v>0</v>
      </c>
      <c r="X724" s="178">
        <f t="shared" si="119"/>
        <v>0</v>
      </c>
      <c r="Y724" s="178">
        <f t="shared" si="120"/>
        <v>0</v>
      </c>
      <c r="Z724" s="175">
        <f t="shared" si="112"/>
        <v>0</v>
      </c>
      <c r="AA724" s="179"/>
      <c r="AB724" s="467">
        <f t="shared" si="113"/>
        <v>0</v>
      </c>
      <c r="AC724" s="466">
        <f t="shared" si="114"/>
        <v>0</v>
      </c>
    </row>
    <row r="725" spans="2:29" ht="20.100000000000001" customHeight="1">
      <c r="B725" s="172"/>
      <c r="C725" s="172"/>
      <c r="D725" s="172"/>
      <c r="E725" s="181"/>
      <c r="F725" s="173"/>
      <c r="G725" s="174"/>
      <c r="H725" s="284"/>
      <c r="I725" s="221"/>
      <c r="J725" s="177">
        <f>IF(H725=0,0,IF(F725="MXN",1/HLOOKUP(YEAR(G725)+(MONTH(G725)/100),TC!$5:$37,DAY(G725)+2,FALSE),VLOOKUP(F725,Equivalencia!$5:$23,((MAX(Equivalencia!$3:$3)-YEAR(G725))*14)+MONTH(G725)+2,FALSE)))</f>
        <v>0</v>
      </c>
      <c r="K725" s="217">
        <f t="shared" si="115"/>
        <v>0</v>
      </c>
      <c r="L725" s="462">
        <f>IF(G725=0,0,VLOOKUP(YEAR(G725),INPC!$B$4:$O$29,MONTH(G725)+1))</f>
        <v>0</v>
      </c>
      <c r="M725" s="462">
        <f>IF(T725=0,0,VLOOKUP(YEAR(T725),INPC!$B$4:$O$29,MONTH(T725)+1))</f>
        <v>0</v>
      </c>
      <c r="N725" s="463">
        <f t="shared" si="111"/>
        <v>0</v>
      </c>
      <c r="O725" s="464">
        <f t="shared" si="116"/>
        <v>0</v>
      </c>
      <c r="P725" s="465">
        <f t="shared" si="117"/>
        <v>0</v>
      </c>
      <c r="Q725" s="606" t="str">
        <f t="shared" si="118"/>
        <v>NO</v>
      </c>
      <c r="R725" s="180"/>
      <c r="S725" s="173"/>
      <c r="T725" s="174"/>
      <c r="U725" s="173"/>
      <c r="V725" s="220"/>
      <c r="W725" s="177">
        <f>IF(S725=0,0,IF(U725="MXN",1/HLOOKUP(YEAR(T725)+(MONTH(T725)/100),TC!$5:$37,DAY(T725)+2,FALSE),VLOOKUP(U725,Equivalencia!$1:$23,((MAX(Equivalencia!$3:$3)-YEAR(T725))*14)+MONTH(T725)+2,FALSE)))</f>
        <v>0</v>
      </c>
      <c r="X725" s="178">
        <f t="shared" si="119"/>
        <v>0</v>
      </c>
      <c r="Y725" s="178">
        <f t="shared" si="120"/>
        <v>0</v>
      </c>
      <c r="Z725" s="175">
        <f t="shared" si="112"/>
        <v>0</v>
      </c>
      <c r="AA725" s="179"/>
      <c r="AB725" s="467">
        <f t="shared" si="113"/>
        <v>0</v>
      </c>
      <c r="AC725" s="466">
        <f t="shared" si="114"/>
        <v>0</v>
      </c>
    </row>
    <row r="726" spans="2:29" ht="20.100000000000001" customHeight="1">
      <c r="B726" s="172"/>
      <c r="C726" s="172"/>
      <c r="D726" s="172"/>
      <c r="E726" s="181"/>
      <c r="F726" s="173"/>
      <c r="G726" s="174"/>
      <c r="H726" s="284"/>
      <c r="I726" s="221"/>
      <c r="J726" s="177">
        <f>IF(H726=0,0,IF(F726="MXN",1/HLOOKUP(YEAR(G726)+(MONTH(G726)/100),TC!$5:$37,DAY(G726)+2,FALSE),VLOOKUP(F726,Equivalencia!$5:$23,((MAX(Equivalencia!$3:$3)-YEAR(G726))*14)+MONTH(G726)+2,FALSE)))</f>
        <v>0</v>
      </c>
      <c r="K726" s="217">
        <f t="shared" si="115"/>
        <v>0</v>
      </c>
      <c r="L726" s="462">
        <f>IF(G726=0,0,VLOOKUP(YEAR(G726),INPC!$B$4:$O$29,MONTH(G726)+1))</f>
        <v>0</v>
      </c>
      <c r="M726" s="462">
        <f>IF(T726=0,0,VLOOKUP(YEAR(T726),INPC!$B$4:$O$29,MONTH(T726)+1))</f>
        <v>0</v>
      </c>
      <c r="N726" s="463">
        <f t="shared" si="111"/>
        <v>0</v>
      </c>
      <c r="O726" s="464">
        <f t="shared" si="116"/>
        <v>0</v>
      </c>
      <c r="P726" s="465">
        <f t="shared" si="117"/>
        <v>0</v>
      </c>
      <c r="Q726" s="606" t="str">
        <f t="shared" si="118"/>
        <v>NO</v>
      </c>
      <c r="R726" s="180"/>
      <c r="S726" s="173"/>
      <c r="T726" s="174"/>
      <c r="U726" s="173"/>
      <c r="V726" s="220"/>
      <c r="W726" s="177">
        <f>IF(S726=0,0,IF(U726="MXN",1/HLOOKUP(YEAR(T726)+(MONTH(T726)/100),TC!$5:$37,DAY(T726)+2,FALSE),VLOOKUP(U726,Equivalencia!$1:$23,((MAX(Equivalencia!$3:$3)-YEAR(T726))*14)+MONTH(T726)+2,FALSE)))</f>
        <v>0</v>
      </c>
      <c r="X726" s="178">
        <f t="shared" si="119"/>
        <v>0</v>
      </c>
      <c r="Y726" s="178">
        <f t="shared" si="120"/>
        <v>0</v>
      </c>
      <c r="Z726" s="175">
        <f t="shared" si="112"/>
        <v>0</v>
      </c>
      <c r="AA726" s="179"/>
      <c r="AB726" s="467">
        <f t="shared" si="113"/>
        <v>0</v>
      </c>
      <c r="AC726" s="466">
        <f t="shared" si="114"/>
        <v>0</v>
      </c>
    </row>
    <row r="727" spans="2:29" ht="20.100000000000001" customHeight="1">
      <c r="B727" s="172"/>
      <c r="C727" s="172"/>
      <c r="D727" s="172"/>
      <c r="E727" s="181"/>
      <c r="F727" s="173"/>
      <c r="G727" s="174"/>
      <c r="H727" s="284"/>
      <c r="I727" s="221"/>
      <c r="J727" s="177">
        <f>IF(H727=0,0,IF(F727="MXN",1/HLOOKUP(YEAR(G727)+(MONTH(G727)/100),TC!$5:$37,DAY(G727)+2,FALSE),VLOOKUP(F727,Equivalencia!$5:$23,((MAX(Equivalencia!$3:$3)-YEAR(G727))*14)+MONTH(G727)+2,FALSE)))</f>
        <v>0</v>
      </c>
      <c r="K727" s="217">
        <f t="shared" si="115"/>
        <v>0</v>
      </c>
      <c r="L727" s="462">
        <f>IF(G727=0,0,VLOOKUP(YEAR(G727),INPC!$B$4:$O$29,MONTH(G727)+1))</f>
        <v>0</v>
      </c>
      <c r="M727" s="462">
        <f>IF(T727=0,0,VLOOKUP(YEAR(T727),INPC!$B$4:$O$29,MONTH(T727)+1))</f>
        <v>0</v>
      </c>
      <c r="N727" s="463">
        <f t="shared" si="111"/>
        <v>0</v>
      </c>
      <c r="O727" s="464">
        <f t="shared" si="116"/>
        <v>0</v>
      </c>
      <c r="P727" s="465">
        <f t="shared" si="117"/>
        <v>0</v>
      </c>
      <c r="Q727" s="606" t="str">
        <f t="shared" si="118"/>
        <v>NO</v>
      </c>
      <c r="R727" s="180"/>
      <c r="S727" s="173"/>
      <c r="T727" s="174"/>
      <c r="U727" s="173"/>
      <c r="V727" s="220"/>
      <c r="W727" s="177">
        <f>IF(S727=0,0,IF(U727="MXN",1/HLOOKUP(YEAR(T727)+(MONTH(T727)/100),TC!$5:$37,DAY(T727)+2,FALSE),VLOOKUP(U727,Equivalencia!$1:$23,((MAX(Equivalencia!$3:$3)-YEAR(T727))*14)+MONTH(T727)+2,FALSE)))</f>
        <v>0</v>
      </c>
      <c r="X727" s="178">
        <f t="shared" si="119"/>
        <v>0</v>
      </c>
      <c r="Y727" s="178">
        <f t="shared" si="120"/>
        <v>0</v>
      </c>
      <c r="Z727" s="175">
        <f t="shared" si="112"/>
        <v>0</v>
      </c>
      <c r="AA727" s="179"/>
      <c r="AB727" s="467">
        <f t="shared" si="113"/>
        <v>0</v>
      </c>
      <c r="AC727" s="466">
        <f t="shared" si="114"/>
        <v>0</v>
      </c>
    </row>
    <row r="728" spans="2:29" ht="20.100000000000001" customHeight="1">
      <c r="B728" s="172"/>
      <c r="C728" s="172"/>
      <c r="D728" s="172"/>
      <c r="E728" s="181"/>
      <c r="F728" s="173"/>
      <c r="G728" s="174"/>
      <c r="H728" s="284"/>
      <c r="I728" s="221"/>
      <c r="J728" s="177">
        <f>IF(H728=0,0,IF(F728="MXN",1/HLOOKUP(YEAR(G728)+(MONTH(G728)/100),TC!$5:$37,DAY(G728)+2,FALSE),VLOOKUP(F728,Equivalencia!$5:$23,((MAX(Equivalencia!$3:$3)-YEAR(G728))*14)+MONTH(G728)+2,FALSE)))</f>
        <v>0</v>
      </c>
      <c r="K728" s="217">
        <f t="shared" si="115"/>
        <v>0</v>
      </c>
      <c r="L728" s="462">
        <f>IF(G728=0,0,VLOOKUP(YEAR(G728),INPC!$B$4:$O$29,MONTH(G728)+1))</f>
        <v>0</v>
      </c>
      <c r="M728" s="462">
        <f>IF(T728=0,0,VLOOKUP(YEAR(T728),INPC!$B$4:$O$29,MONTH(T728)+1))</f>
        <v>0</v>
      </c>
      <c r="N728" s="463">
        <f t="shared" si="111"/>
        <v>0</v>
      </c>
      <c r="O728" s="464">
        <f t="shared" si="116"/>
        <v>0</v>
      </c>
      <c r="P728" s="465">
        <f t="shared" si="117"/>
        <v>0</v>
      </c>
      <c r="Q728" s="606" t="str">
        <f t="shared" si="118"/>
        <v>NO</v>
      </c>
      <c r="R728" s="180"/>
      <c r="S728" s="173"/>
      <c r="T728" s="174"/>
      <c r="U728" s="173"/>
      <c r="V728" s="220"/>
      <c r="W728" s="177">
        <f>IF(S728=0,0,IF(U728="MXN",1/HLOOKUP(YEAR(T728)+(MONTH(T728)/100),TC!$5:$37,DAY(T728)+2,FALSE),VLOOKUP(U728,Equivalencia!$1:$23,((MAX(Equivalencia!$3:$3)-YEAR(T728))*14)+MONTH(T728)+2,FALSE)))</f>
        <v>0</v>
      </c>
      <c r="X728" s="178">
        <f t="shared" si="119"/>
        <v>0</v>
      </c>
      <c r="Y728" s="178">
        <f t="shared" si="120"/>
        <v>0</v>
      </c>
      <c r="Z728" s="175">
        <f t="shared" si="112"/>
        <v>0</v>
      </c>
      <c r="AA728" s="179"/>
      <c r="AB728" s="467">
        <f t="shared" si="113"/>
        <v>0</v>
      </c>
      <c r="AC728" s="466">
        <f t="shared" si="114"/>
        <v>0</v>
      </c>
    </row>
    <row r="729" spans="2:29" ht="20.100000000000001" customHeight="1">
      <c r="B729" s="172"/>
      <c r="C729" s="172"/>
      <c r="D729" s="172"/>
      <c r="E729" s="181"/>
      <c r="F729" s="173"/>
      <c r="G729" s="174"/>
      <c r="H729" s="284"/>
      <c r="I729" s="221"/>
      <c r="J729" s="177">
        <f>IF(H729=0,0,IF(F729="MXN",1/HLOOKUP(YEAR(G729)+(MONTH(G729)/100),TC!$5:$37,DAY(G729)+2,FALSE),VLOOKUP(F729,Equivalencia!$5:$23,((MAX(Equivalencia!$3:$3)-YEAR(G729))*14)+MONTH(G729)+2,FALSE)))</f>
        <v>0</v>
      </c>
      <c r="K729" s="217">
        <f t="shared" si="115"/>
        <v>0</v>
      </c>
      <c r="L729" s="462">
        <f>IF(G729=0,0,VLOOKUP(YEAR(G729),INPC!$B$4:$O$29,MONTH(G729)+1))</f>
        <v>0</v>
      </c>
      <c r="M729" s="462">
        <f>IF(T729=0,0,VLOOKUP(YEAR(T729),INPC!$B$4:$O$29,MONTH(T729)+1))</f>
        <v>0</v>
      </c>
      <c r="N729" s="463">
        <f t="shared" si="111"/>
        <v>0</v>
      </c>
      <c r="O729" s="464">
        <f t="shared" si="116"/>
        <v>0</v>
      </c>
      <c r="P729" s="465">
        <f t="shared" si="117"/>
        <v>0</v>
      </c>
      <c r="Q729" s="606" t="str">
        <f t="shared" si="118"/>
        <v>NO</v>
      </c>
      <c r="R729" s="180"/>
      <c r="S729" s="173"/>
      <c r="T729" s="174"/>
      <c r="U729" s="173"/>
      <c r="V729" s="220"/>
      <c r="W729" s="177">
        <f>IF(S729=0,0,IF(U729="MXN",1/HLOOKUP(YEAR(T729)+(MONTH(T729)/100),TC!$5:$37,DAY(T729)+2,FALSE),VLOOKUP(U729,Equivalencia!$1:$23,((MAX(Equivalencia!$3:$3)-YEAR(T729))*14)+MONTH(T729)+2,FALSE)))</f>
        <v>0</v>
      </c>
      <c r="X729" s="178">
        <f t="shared" si="119"/>
        <v>0</v>
      </c>
      <c r="Y729" s="178">
        <f t="shared" si="120"/>
        <v>0</v>
      </c>
      <c r="Z729" s="175">
        <f t="shared" si="112"/>
        <v>0</v>
      </c>
      <c r="AA729" s="179"/>
      <c r="AB729" s="467">
        <f t="shared" si="113"/>
        <v>0</v>
      </c>
      <c r="AC729" s="466">
        <f t="shared" si="114"/>
        <v>0</v>
      </c>
    </row>
    <row r="730" spans="2:29" ht="20.100000000000001" customHeight="1">
      <c r="B730" s="172"/>
      <c r="C730" s="172"/>
      <c r="D730" s="172"/>
      <c r="E730" s="181"/>
      <c r="F730" s="173"/>
      <c r="G730" s="174"/>
      <c r="H730" s="284"/>
      <c r="I730" s="221"/>
      <c r="J730" s="177">
        <f>IF(H730=0,0,IF(F730="MXN",1/HLOOKUP(YEAR(G730)+(MONTH(G730)/100),TC!$5:$37,DAY(G730)+2,FALSE),VLOOKUP(F730,Equivalencia!$5:$23,((MAX(Equivalencia!$3:$3)-YEAR(G730))*14)+MONTH(G730)+2,FALSE)))</f>
        <v>0</v>
      </c>
      <c r="K730" s="217">
        <f t="shared" si="115"/>
        <v>0</v>
      </c>
      <c r="L730" s="462">
        <f>IF(G730=0,0,VLOOKUP(YEAR(G730),INPC!$B$4:$O$29,MONTH(G730)+1))</f>
        <v>0</v>
      </c>
      <c r="M730" s="462">
        <f>IF(T730=0,0,VLOOKUP(YEAR(T730),INPC!$B$4:$O$29,MONTH(T730)+1))</f>
        <v>0</v>
      </c>
      <c r="N730" s="463">
        <f t="shared" si="111"/>
        <v>0</v>
      </c>
      <c r="O730" s="464">
        <f t="shared" si="116"/>
        <v>0</v>
      </c>
      <c r="P730" s="465">
        <f t="shared" si="117"/>
        <v>0</v>
      </c>
      <c r="Q730" s="606" t="str">
        <f t="shared" si="118"/>
        <v>NO</v>
      </c>
      <c r="R730" s="180"/>
      <c r="S730" s="173"/>
      <c r="T730" s="174"/>
      <c r="U730" s="173"/>
      <c r="V730" s="220"/>
      <c r="W730" s="177">
        <f>IF(S730=0,0,IF(U730="MXN",1/HLOOKUP(YEAR(T730)+(MONTH(T730)/100),TC!$5:$37,DAY(T730)+2,FALSE),VLOOKUP(U730,Equivalencia!$1:$23,((MAX(Equivalencia!$3:$3)-YEAR(T730))*14)+MONTH(T730)+2,FALSE)))</f>
        <v>0</v>
      </c>
      <c r="X730" s="178">
        <f t="shared" si="119"/>
        <v>0</v>
      </c>
      <c r="Y730" s="178">
        <f t="shared" si="120"/>
        <v>0</v>
      </c>
      <c r="Z730" s="175">
        <f t="shared" si="112"/>
        <v>0</v>
      </c>
      <c r="AA730" s="179"/>
      <c r="AB730" s="467">
        <f t="shared" si="113"/>
        <v>0</v>
      </c>
      <c r="AC730" s="466">
        <f t="shared" si="114"/>
        <v>0</v>
      </c>
    </row>
    <row r="731" spans="2:29" ht="20.100000000000001" customHeight="1">
      <c r="B731" s="172"/>
      <c r="C731" s="172"/>
      <c r="D731" s="172"/>
      <c r="E731" s="181"/>
      <c r="F731" s="173"/>
      <c r="G731" s="174"/>
      <c r="H731" s="284"/>
      <c r="I731" s="221"/>
      <c r="J731" s="177">
        <f>IF(H731=0,0,IF(F731="MXN",1/HLOOKUP(YEAR(G731)+(MONTH(G731)/100),TC!$5:$37,DAY(G731)+2,FALSE),VLOOKUP(F731,Equivalencia!$5:$23,((MAX(Equivalencia!$3:$3)-YEAR(G731))*14)+MONTH(G731)+2,FALSE)))</f>
        <v>0</v>
      </c>
      <c r="K731" s="217">
        <f t="shared" si="115"/>
        <v>0</v>
      </c>
      <c r="L731" s="462">
        <f>IF(G731=0,0,VLOOKUP(YEAR(G731),INPC!$B$4:$O$29,MONTH(G731)+1))</f>
        <v>0</v>
      </c>
      <c r="M731" s="462">
        <f>IF(T731=0,0,VLOOKUP(YEAR(T731),INPC!$B$4:$O$29,MONTH(T731)+1))</f>
        <v>0</v>
      </c>
      <c r="N731" s="463">
        <f t="shared" si="111"/>
        <v>0</v>
      </c>
      <c r="O731" s="464">
        <f t="shared" si="116"/>
        <v>0</v>
      </c>
      <c r="P731" s="465">
        <f t="shared" si="117"/>
        <v>0</v>
      </c>
      <c r="Q731" s="606" t="str">
        <f t="shared" si="118"/>
        <v>NO</v>
      </c>
      <c r="R731" s="180"/>
      <c r="S731" s="173"/>
      <c r="T731" s="174"/>
      <c r="U731" s="173"/>
      <c r="V731" s="220"/>
      <c r="W731" s="177">
        <f>IF(S731=0,0,IF(U731="MXN",1/HLOOKUP(YEAR(T731)+(MONTH(T731)/100),TC!$5:$37,DAY(T731)+2,FALSE),VLOOKUP(U731,Equivalencia!$1:$23,((MAX(Equivalencia!$3:$3)-YEAR(T731))*14)+MONTH(T731)+2,FALSE)))</f>
        <v>0</v>
      </c>
      <c r="X731" s="178">
        <f t="shared" si="119"/>
        <v>0</v>
      </c>
      <c r="Y731" s="178">
        <f t="shared" si="120"/>
        <v>0</v>
      </c>
      <c r="Z731" s="175">
        <f t="shared" si="112"/>
        <v>0</v>
      </c>
      <c r="AA731" s="179"/>
      <c r="AB731" s="467">
        <f t="shared" si="113"/>
        <v>0</v>
      </c>
      <c r="AC731" s="466">
        <f t="shared" si="114"/>
        <v>0</v>
      </c>
    </row>
    <row r="732" spans="2:29" ht="20.100000000000001" customHeight="1">
      <c r="B732" s="172"/>
      <c r="C732" s="172"/>
      <c r="D732" s="172"/>
      <c r="E732" s="181"/>
      <c r="F732" s="173"/>
      <c r="G732" s="174"/>
      <c r="H732" s="284"/>
      <c r="I732" s="221"/>
      <c r="J732" s="177">
        <f>IF(H732=0,0,IF(F732="MXN",1/HLOOKUP(YEAR(G732)+(MONTH(G732)/100),TC!$5:$37,DAY(G732)+2,FALSE),VLOOKUP(F732,Equivalencia!$5:$23,((MAX(Equivalencia!$3:$3)-YEAR(G732))*14)+MONTH(G732)+2,FALSE)))</f>
        <v>0</v>
      </c>
      <c r="K732" s="217">
        <f t="shared" si="115"/>
        <v>0</v>
      </c>
      <c r="L732" s="462">
        <f>IF(G732=0,0,VLOOKUP(YEAR(G732),INPC!$B$4:$O$29,MONTH(G732)+1))</f>
        <v>0</v>
      </c>
      <c r="M732" s="462">
        <f>IF(T732=0,0,VLOOKUP(YEAR(T732),INPC!$B$4:$O$29,MONTH(T732)+1))</f>
        <v>0</v>
      </c>
      <c r="N732" s="463">
        <f t="shared" si="111"/>
        <v>0</v>
      </c>
      <c r="O732" s="464">
        <f t="shared" si="116"/>
        <v>0</v>
      </c>
      <c r="P732" s="465">
        <f t="shared" si="117"/>
        <v>0</v>
      </c>
      <c r="Q732" s="606" t="str">
        <f t="shared" si="118"/>
        <v>NO</v>
      </c>
      <c r="R732" s="180"/>
      <c r="S732" s="173"/>
      <c r="T732" s="174"/>
      <c r="U732" s="173"/>
      <c r="V732" s="220"/>
      <c r="W732" s="177">
        <f>IF(S732=0,0,IF(U732="MXN",1/HLOOKUP(YEAR(T732)+(MONTH(T732)/100),TC!$5:$37,DAY(T732)+2,FALSE),VLOOKUP(U732,Equivalencia!$1:$23,((MAX(Equivalencia!$3:$3)-YEAR(T732))*14)+MONTH(T732)+2,FALSE)))</f>
        <v>0</v>
      </c>
      <c r="X732" s="178">
        <f t="shared" si="119"/>
        <v>0</v>
      </c>
      <c r="Y732" s="178">
        <f t="shared" si="120"/>
        <v>0</v>
      </c>
      <c r="Z732" s="175">
        <f t="shared" si="112"/>
        <v>0</v>
      </c>
      <c r="AA732" s="179"/>
      <c r="AB732" s="467">
        <f t="shared" si="113"/>
        <v>0</v>
      </c>
      <c r="AC732" s="466">
        <f t="shared" si="114"/>
        <v>0</v>
      </c>
    </row>
    <row r="733" spans="2:29" ht="20.100000000000001" customHeight="1">
      <c r="B733" s="172"/>
      <c r="C733" s="172"/>
      <c r="D733" s="172"/>
      <c r="E733" s="181"/>
      <c r="F733" s="173"/>
      <c r="G733" s="174"/>
      <c r="H733" s="284"/>
      <c r="I733" s="221"/>
      <c r="J733" s="177">
        <f>IF(H733=0,0,IF(F733="MXN",1/HLOOKUP(YEAR(G733)+(MONTH(G733)/100),TC!$5:$37,DAY(G733)+2,FALSE),VLOOKUP(F733,Equivalencia!$5:$23,((MAX(Equivalencia!$3:$3)-YEAR(G733))*14)+MONTH(G733)+2,FALSE)))</f>
        <v>0</v>
      </c>
      <c r="K733" s="217">
        <f t="shared" si="115"/>
        <v>0</v>
      </c>
      <c r="L733" s="462">
        <f>IF(G733=0,0,VLOOKUP(YEAR(G733),INPC!$B$4:$O$29,MONTH(G733)+1))</f>
        <v>0</v>
      </c>
      <c r="M733" s="462">
        <f>IF(T733=0,0,VLOOKUP(YEAR(T733),INPC!$B$4:$O$29,MONTH(T733)+1))</f>
        <v>0</v>
      </c>
      <c r="N733" s="463">
        <f t="shared" si="111"/>
        <v>0</v>
      </c>
      <c r="O733" s="464">
        <f t="shared" si="116"/>
        <v>0</v>
      </c>
      <c r="P733" s="465">
        <f t="shared" si="117"/>
        <v>0</v>
      </c>
      <c r="Q733" s="606" t="str">
        <f t="shared" si="118"/>
        <v>NO</v>
      </c>
      <c r="R733" s="180"/>
      <c r="S733" s="173"/>
      <c r="T733" s="174"/>
      <c r="U733" s="173"/>
      <c r="V733" s="220"/>
      <c r="W733" s="177">
        <f>IF(S733=0,0,IF(U733="MXN",1/HLOOKUP(YEAR(T733)+(MONTH(T733)/100),TC!$5:$37,DAY(T733)+2,FALSE),VLOOKUP(U733,Equivalencia!$1:$23,((MAX(Equivalencia!$3:$3)-YEAR(T733))*14)+MONTH(T733)+2,FALSE)))</f>
        <v>0</v>
      </c>
      <c r="X733" s="178">
        <f t="shared" si="119"/>
        <v>0</v>
      </c>
      <c r="Y733" s="178">
        <f t="shared" si="120"/>
        <v>0</v>
      </c>
      <c r="Z733" s="175">
        <f t="shared" si="112"/>
        <v>0</v>
      </c>
      <c r="AA733" s="179"/>
      <c r="AB733" s="467">
        <f t="shared" si="113"/>
        <v>0</v>
      </c>
      <c r="AC733" s="466">
        <f t="shared" si="114"/>
        <v>0</v>
      </c>
    </row>
    <row r="734" spans="2:29" ht="20.100000000000001" customHeight="1">
      <c r="B734" s="172"/>
      <c r="C734" s="172"/>
      <c r="D734" s="172"/>
      <c r="E734" s="181"/>
      <c r="F734" s="173"/>
      <c r="G734" s="174"/>
      <c r="H734" s="284"/>
      <c r="I734" s="221"/>
      <c r="J734" s="177">
        <f>IF(H734=0,0,IF(F734="MXN",1/HLOOKUP(YEAR(G734)+(MONTH(G734)/100),TC!$5:$37,DAY(G734)+2,FALSE),VLOOKUP(F734,Equivalencia!$5:$23,((MAX(Equivalencia!$3:$3)-YEAR(G734))*14)+MONTH(G734)+2,FALSE)))</f>
        <v>0</v>
      </c>
      <c r="K734" s="217">
        <f t="shared" si="115"/>
        <v>0</v>
      </c>
      <c r="L734" s="462">
        <f>IF(G734=0,0,VLOOKUP(YEAR(G734),INPC!$B$4:$O$29,MONTH(G734)+1))</f>
        <v>0</v>
      </c>
      <c r="M734" s="462">
        <f>IF(T734=0,0,VLOOKUP(YEAR(T734),INPC!$B$4:$O$29,MONTH(T734)+1))</f>
        <v>0</v>
      </c>
      <c r="N734" s="463">
        <f t="shared" si="111"/>
        <v>0</v>
      </c>
      <c r="O734" s="464">
        <f t="shared" si="116"/>
        <v>0</v>
      </c>
      <c r="P734" s="465">
        <f t="shared" si="117"/>
        <v>0</v>
      </c>
      <c r="Q734" s="606" t="str">
        <f t="shared" si="118"/>
        <v>NO</v>
      </c>
      <c r="R734" s="180"/>
      <c r="S734" s="173"/>
      <c r="T734" s="174"/>
      <c r="U734" s="173"/>
      <c r="V734" s="220"/>
      <c r="W734" s="177">
        <f>IF(S734=0,0,IF(U734="MXN",1/HLOOKUP(YEAR(T734)+(MONTH(T734)/100),TC!$5:$37,DAY(T734)+2,FALSE),VLOOKUP(U734,Equivalencia!$1:$23,((MAX(Equivalencia!$3:$3)-YEAR(T734))*14)+MONTH(T734)+2,FALSE)))</f>
        <v>0</v>
      </c>
      <c r="X734" s="178">
        <f t="shared" si="119"/>
        <v>0</v>
      </c>
      <c r="Y734" s="178">
        <f t="shared" si="120"/>
        <v>0</v>
      </c>
      <c r="Z734" s="175">
        <f t="shared" si="112"/>
        <v>0</v>
      </c>
      <c r="AA734" s="179"/>
      <c r="AB734" s="467">
        <f t="shared" si="113"/>
        <v>0</v>
      </c>
      <c r="AC734" s="466">
        <f t="shared" si="114"/>
        <v>0</v>
      </c>
    </row>
    <row r="735" spans="2:29" ht="20.100000000000001" customHeight="1">
      <c r="B735" s="172"/>
      <c r="C735" s="172"/>
      <c r="D735" s="172"/>
      <c r="E735" s="181"/>
      <c r="F735" s="173"/>
      <c r="G735" s="174"/>
      <c r="H735" s="284"/>
      <c r="I735" s="221"/>
      <c r="J735" s="177">
        <f>IF(H735=0,0,IF(F735="MXN",1/HLOOKUP(YEAR(G735)+(MONTH(G735)/100),TC!$5:$37,DAY(G735)+2,FALSE),VLOOKUP(F735,Equivalencia!$5:$23,((MAX(Equivalencia!$3:$3)-YEAR(G735))*14)+MONTH(G735)+2,FALSE)))</f>
        <v>0</v>
      </c>
      <c r="K735" s="217">
        <f t="shared" si="115"/>
        <v>0</v>
      </c>
      <c r="L735" s="462">
        <f>IF(G735=0,0,VLOOKUP(YEAR(G735),INPC!$B$4:$O$29,MONTH(G735)+1))</f>
        <v>0</v>
      </c>
      <c r="M735" s="462">
        <f>IF(T735=0,0,VLOOKUP(YEAR(T735),INPC!$B$4:$O$29,MONTH(T735)+1))</f>
        <v>0</v>
      </c>
      <c r="N735" s="463">
        <f t="shared" si="111"/>
        <v>0</v>
      </c>
      <c r="O735" s="464">
        <f t="shared" si="116"/>
        <v>0</v>
      </c>
      <c r="P735" s="465">
        <f t="shared" si="117"/>
        <v>0</v>
      </c>
      <c r="Q735" s="606" t="str">
        <f t="shared" si="118"/>
        <v>NO</v>
      </c>
      <c r="R735" s="180"/>
      <c r="S735" s="173"/>
      <c r="T735" s="174"/>
      <c r="U735" s="173"/>
      <c r="V735" s="220"/>
      <c r="W735" s="177">
        <f>IF(S735=0,0,IF(U735="MXN",1/HLOOKUP(YEAR(T735)+(MONTH(T735)/100),TC!$5:$37,DAY(T735)+2,FALSE),VLOOKUP(U735,Equivalencia!$1:$23,((MAX(Equivalencia!$3:$3)-YEAR(T735))*14)+MONTH(T735)+2,FALSE)))</f>
        <v>0</v>
      </c>
      <c r="X735" s="178">
        <f t="shared" si="119"/>
        <v>0</v>
      </c>
      <c r="Y735" s="178">
        <f t="shared" si="120"/>
        <v>0</v>
      </c>
      <c r="Z735" s="175">
        <f t="shared" si="112"/>
        <v>0</v>
      </c>
      <c r="AA735" s="179"/>
      <c r="AB735" s="467">
        <f t="shared" si="113"/>
        <v>0</v>
      </c>
      <c r="AC735" s="466">
        <f t="shared" si="114"/>
        <v>0</v>
      </c>
    </row>
    <row r="736" spans="2:29" ht="20.100000000000001" customHeight="1">
      <c r="B736" s="172"/>
      <c r="C736" s="172"/>
      <c r="D736" s="172"/>
      <c r="E736" s="181"/>
      <c r="F736" s="173"/>
      <c r="G736" s="174"/>
      <c r="H736" s="284"/>
      <c r="I736" s="221"/>
      <c r="J736" s="177">
        <f>IF(H736=0,0,IF(F736="MXN",1/HLOOKUP(YEAR(G736)+(MONTH(G736)/100),TC!$5:$37,DAY(G736)+2,FALSE),VLOOKUP(F736,Equivalencia!$5:$23,((MAX(Equivalencia!$3:$3)-YEAR(G736))*14)+MONTH(G736)+2,FALSE)))</f>
        <v>0</v>
      </c>
      <c r="K736" s="217">
        <f t="shared" si="115"/>
        <v>0</v>
      </c>
      <c r="L736" s="462">
        <f>IF(G736=0,0,VLOOKUP(YEAR(G736),INPC!$B$4:$O$29,MONTH(G736)+1))</f>
        <v>0</v>
      </c>
      <c r="M736" s="462">
        <f>IF(T736=0,0,VLOOKUP(YEAR(T736),INPC!$B$4:$O$29,MONTH(T736)+1))</f>
        <v>0</v>
      </c>
      <c r="N736" s="463">
        <f t="shared" si="111"/>
        <v>0</v>
      </c>
      <c r="O736" s="464">
        <f t="shared" si="116"/>
        <v>0</v>
      </c>
      <c r="P736" s="465">
        <f t="shared" si="117"/>
        <v>0</v>
      </c>
      <c r="Q736" s="606" t="str">
        <f t="shared" si="118"/>
        <v>NO</v>
      </c>
      <c r="R736" s="180"/>
      <c r="S736" s="173"/>
      <c r="T736" s="174"/>
      <c r="U736" s="173"/>
      <c r="V736" s="220"/>
      <c r="W736" s="177">
        <f>IF(S736=0,0,IF(U736="MXN",1/HLOOKUP(YEAR(T736)+(MONTH(T736)/100),TC!$5:$37,DAY(T736)+2,FALSE),VLOOKUP(U736,Equivalencia!$1:$23,((MAX(Equivalencia!$3:$3)-YEAR(T736))*14)+MONTH(T736)+2,FALSE)))</f>
        <v>0</v>
      </c>
      <c r="X736" s="178">
        <f t="shared" si="119"/>
        <v>0</v>
      </c>
      <c r="Y736" s="178">
        <f t="shared" si="120"/>
        <v>0</v>
      </c>
      <c r="Z736" s="175">
        <f t="shared" si="112"/>
        <v>0</v>
      </c>
      <c r="AA736" s="179"/>
      <c r="AB736" s="467">
        <f t="shared" si="113"/>
        <v>0</v>
      </c>
      <c r="AC736" s="466">
        <f t="shared" si="114"/>
        <v>0</v>
      </c>
    </row>
    <row r="737" spans="2:29" ht="20.100000000000001" customHeight="1">
      <c r="B737" s="172"/>
      <c r="C737" s="172"/>
      <c r="D737" s="172"/>
      <c r="E737" s="181"/>
      <c r="F737" s="173"/>
      <c r="G737" s="174"/>
      <c r="H737" s="284"/>
      <c r="I737" s="221"/>
      <c r="J737" s="177">
        <f>IF(H737=0,0,IF(F737="MXN",1/HLOOKUP(YEAR(G737)+(MONTH(G737)/100),TC!$5:$37,DAY(G737)+2,FALSE),VLOOKUP(F737,Equivalencia!$5:$23,((MAX(Equivalencia!$3:$3)-YEAR(G737))*14)+MONTH(G737)+2,FALSE)))</f>
        <v>0</v>
      </c>
      <c r="K737" s="217">
        <f t="shared" si="115"/>
        <v>0</v>
      </c>
      <c r="L737" s="462">
        <f>IF(G737=0,0,VLOOKUP(YEAR(G737),INPC!$B$4:$O$29,MONTH(G737)+1))</f>
        <v>0</v>
      </c>
      <c r="M737" s="462">
        <f>IF(T737=0,0,VLOOKUP(YEAR(T737),INPC!$B$4:$O$29,MONTH(T737)+1))</f>
        <v>0</v>
      </c>
      <c r="N737" s="463">
        <f t="shared" si="111"/>
        <v>0</v>
      </c>
      <c r="O737" s="464">
        <f t="shared" si="116"/>
        <v>0</v>
      </c>
      <c r="P737" s="465">
        <f t="shared" si="117"/>
        <v>0</v>
      </c>
      <c r="Q737" s="606" t="str">
        <f t="shared" si="118"/>
        <v>NO</v>
      </c>
      <c r="R737" s="180"/>
      <c r="S737" s="173"/>
      <c r="T737" s="174"/>
      <c r="U737" s="173"/>
      <c r="V737" s="220"/>
      <c r="W737" s="177">
        <f>IF(S737=0,0,IF(U737="MXN",1/HLOOKUP(YEAR(T737)+(MONTH(T737)/100),TC!$5:$37,DAY(T737)+2,FALSE),VLOOKUP(U737,Equivalencia!$1:$23,((MAX(Equivalencia!$3:$3)-YEAR(T737))*14)+MONTH(T737)+2,FALSE)))</f>
        <v>0</v>
      </c>
      <c r="X737" s="178">
        <f t="shared" si="119"/>
        <v>0</v>
      </c>
      <c r="Y737" s="178">
        <f t="shared" si="120"/>
        <v>0</v>
      </c>
      <c r="Z737" s="175">
        <f t="shared" si="112"/>
        <v>0</v>
      </c>
      <c r="AA737" s="179"/>
      <c r="AB737" s="467">
        <f t="shared" si="113"/>
        <v>0</v>
      </c>
      <c r="AC737" s="466">
        <f t="shared" si="114"/>
        <v>0</v>
      </c>
    </row>
    <row r="738" spans="2:29" ht="20.100000000000001" customHeight="1">
      <c r="B738" s="172"/>
      <c r="C738" s="172"/>
      <c r="D738" s="172"/>
      <c r="E738" s="181"/>
      <c r="F738" s="173"/>
      <c r="G738" s="174"/>
      <c r="H738" s="284"/>
      <c r="I738" s="221"/>
      <c r="J738" s="177">
        <f>IF(H738=0,0,IF(F738="MXN",1/HLOOKUP(YEAR(G738)+(MONTH(G738)/100),TC!$5:$37,DAY(G738)+2,FALSE),VLOOKUP(F738,Equivalencia!$5:$23,((MAX(Equivalencia!$3:$3)-YEAR(G738))*14)+MONTH(G738)+2,FALSE)))</f>
        <v>0</v>
      </c>
      <c r="K738" s="217">
        <f t="shared" si="115"/>
        <v>0</v>
      </c>
      <c r="L738" s="462">
        <f>IF(G738=0,0,VLOOKUP(YEAR(G738),INPC!$B$4:$O$29,MONTH(G738)+1))</f>
        <v>0</v>
      </c>
      <c r="M738" s="462">
        <f>IF(T738=0,0,VLOOKUP(YEAR(T738),INPC!$B$4:$O$29,MONTH(T738)+1))</f>
        <v>0</v>
      </c>
      <c r="N738" s="463">
        <f t="shared" si="111"/>
        <v>0</v>
      </c>
      <c r="O738" s="464">
        <f t="shared" si="116"/>
        <v>0</v>
      </c>
      <c r="P738" s="465">
        <f t="shared" si="117"/>
        <v>0</v>
      </c>
      <c r="Q738" s="606" t="str">
        <f t="shared" si="118"/>
        <v>NO</v>
      </c>
      <c r="R738" s="180"/>
      <c r="S738" s="173"/>
      <c r="T738" s="174"/>
      <c r="U738" s="173"/>
      <c r="V738" s="220"/>
      <c r="W738" s="177">
        <f>IF(S738=0,0,IF(U738="MXN",1/HLOOKUP(YEAR(T738)+(MONTH(T738)/100),TC!$5:$37,DAY(T738)+2,FALSE),VLOOKUP(U738,Equivalencia!$1:$23,((MAX(Equivalencia!$3:$3)-YEAR(T738))*14)+MONTH(T738)+2,FALSE)))</f>
        <v>0</v>
      </c>
      <c r="X738" s="178">
        <f t="shared" si="119"/>
        <v>0</v>
      </c>
      <c r="Y738" s="178">
        <f t="shared" si="120"/>
        <v>0</v>
      </c>
      <c r="Z738" s="175">
        <f t="shared" si="112"/>
        <v>0</v>
      </c>
      <c r="AA738" s="179"/>
      <c r="AB738" s="467">
        <f t="shared" si="113"/>
        <v>0</v>
      </c>
      <c r="AC738" s="466">
        <f t="shared" si="114"/>
        <v>0</v>
      </c>
    </row>
    <row r="739" spans="2:29" ht="20.100000000000001" customHeight="1">
      <c r="B739" s="172"/>
      <c r="C739" s="172"/>
      <c r="D739" s="172"/>
      <c r="E739" s="181"/>
      <c r="F739" s="173"/>
      <c r="G739" s="174"/>
      <c r="H739" s="284"/>
      <c r="I739" s="221"/>
      <c r="J739" s="177">
        <f>IF(H739=0,0,IF(F739="MXN",1/HLOOKUP(YEAR(G739)+(MONTH(G739)/100),TC!$5:$37,DAY(G739)+2,FALSE),VLOOKUP(F739,Equivalencia!$5:$23,((MAX(Equivalencia!$3:$3)-YEAR(G739))*14)+MONTH(G739)+2,FALSE)))</f>
        <v>0</v>
      </c>
      <c r="K739" s="217">
        <f t="shared" si="115"/>
        <v>0</v>
      </c>
      <c r="L739" s="462">
        <f>IF(G739=0,0,VLOOKUP(YEAR(G739),INPC!$B$4:$O$29,MONTH(G739)+1))</f>
        <v>0</v>
      </c>
      <c r="M739" s="462">
        <f>IF(T739=0,0,VLOOKUP(YEAR(T739),INPC!$B$4:$O$29,MONTH(T739)+1))</f>
        <v>0</v>
      </c>
      <c r="N739" s="463">
        <f t="shared" si="111"/>
        <v>0</v>
      </c>
      <c r="O739" s="464">
        <f t="shared" si="116"/>
        <v>0</v>
      </c>
      <c r="P739" s="465">
        <f t="shared" si="117"/>
        <v>0</v>
      </c>
      <c r="Q739" s="606" t="str">
        <f t="shared" si="118"/>
        <v>NO</v>
      </c>
      <c r="R739" s="180"/>
      <c r="S739" s="173"/>
      <c r="T739" s="174"/>
      <c r="U739" s="173"/>
      <c r="V739" s="220"/>
      <c r="W739" s="177">
        <f>IF(S739=0,0,IF(U739="MXN",1/HLOOKUP(YEAR(T739)+(MONTH(T739)/100),TC!$5:$37,DAY(T739)+2,FALSE),VLOOKUP(U739,Equivalencia!$1:$23,((MAX(Equivalencia!$3:$3)-YEAR(T739))*14)+MONTH(T739)+2,FALSE)))</f>
        <v>0</v>
      </c>
      <c r="X739" s="178">
        <f t="shared" si="119"/>
        <v>0</v>
      </c>
      <c r="Y739" s="178">
        <f t="shared" si="120"/>
        <v>0</v>
      </c>
      <c r="Z739" s="175">
        <f t="shared" si="112"/>
        <v>0</v>
      </c>
      <c r="AA739" s="179"/>
      <c r="AB739" s="467">
        <f t="shared" si="113"/>
        <v>0</v>
      </c>
      <c r="AC739" s="466">
        <f t="shared" si="114"/>
        <v>0</v>
      </c>
    </row>
    <row r="740" spans="2:29" ht="20.100000000000001" customHeight="1">
      <c r="B740" s="172"/>
      <c r="C740" s="172"/>
      <c r="D740" s="172"/>
      <c r="E740" s="181"/>
      <c r="F740" s="173"/>
      <c r="G740" s="174"/>
      <c r="H740" s="284"/>
      <c r="I740" s="221"/>
      <c r="J740" s="177">
        <f>IF(H740=0,0,IF(F740="MXN",1/HLOOKUP(YEAR(G740)+(MONTH(G740)/100),TC!$5:$37,DAY(G740)+2,FALSE),VLOOKUP(F740,Equivalencia!$5:$23,((MAX(Equivalencia!$3:$3)-YEAR(G740))*14)+MONTH(G740)+2,FALSE)))</f>
        <v>0</v>
      </c>
      <c r="K740" s="217">
        <f t="shared" si="115"/>
        <v>0</v>
      </c>
      <c r="L740" s="462">
        <f>IF(G740=0,0,VLOOKUP(YEAR(G740),INPC!$B$4:$O$29,MONTH(G740)+1))</f>
        <v>0</v>
      </c>
      <c r="M740" s="462">
        <f>IF(T740=0,0,VLOOKUP(YEAR(T740),INPC!$B$4:$O$29,MONTH(T740)+1))</f>
        <v>0</v>
      </c>
      <c r="N740" s="463">
        <f t="shared" si="111"/>
        <v>0</v>
      </c>
      <c r="O740" s="464">
        <f t="shared" si="116"/>
        <v>0</v>
      </c>
      <c r="P740" s="465">
        <f t="shared" si="117"/>
        <v>0</v>
      </c>
      <c r="Q740" s="606" t="str">
        <f t="shared" si="118"/>
        <v>NO</v>
      </c>
      <c r="R740" s="180"/>
      <c r="S740" s="173"/>
      <c r="T740" s="174"/>
      <c r="U740" s="173"/>
      <c r="V740" s="220"/>
      <c r="W740" s="177">
        <f>IF(S740=0,0,IF(U740="MXN",1/HLOOKUP(YEAR(T740)+(MONTH(T740)/100),TC!$5:$37,DAY(T740)+2,FALSE),VLOOKUP(U740,Equivalencia!$1:$23,((MAX(Equivalencia!$3:$3)-YEAR(T740))*14)+MONTH(T740)+2,FALSE)))</f>
        <v>0</v>
      </c>
      <c r="X740" s="178">
        <f t="shared" si="119"/>
        <v>0</v>
      </c>
      <c r="Y740" s="178">
        <f t="shared" si="120"/>
        <v>0</v>
      </c>
      <c r="Z740" s="175">
        <f t="shared" si="112"/>
        <v>0</v>
      </c>
      <c r="AA740" s="179"/>
      <c r="AB740" s="467">
        <f t="shared" si="113"/>
        <v>0</v>
      </c>
      <c r="AC740" s="466">
        <f t="shared" si="114"/>
        <v>0</v>
      </c>
    </row>
    <row r="741" spans="2:29" ht="20.100000000000001" customHeight="1">
      <c r="B741" s="172"/>
      <c r="C741" s="172"/>
      <c r="D741" s="172"/>
      <c r="E741" s="181"/>
      <c r="F741" s="173"/>
      <c r="G741" s="174"/>
      <c r="H741" s="284"/>
      <c r="I741" s="221"/>
      <c r="J741" s="177">
        <f>IF(H741=0,0,IF(F741="MXN",1/HLOOKUP(YEAR(G741)+(MONTH(G741)/100),TC!$5:$37,DAY(G741)+2,FALSE),VLOOKUP(F741,Equivalencia!$5:$23,((MAX(Equivalencia!$3:$3)-YEAR(G741))*14)+MONTH(G741)+2,FALSE)))</f>
        <v>0</v>
      </c>
      <c r="K741" s="217">
        <f t="shared" si="115"/>
        <v>0</v>
      </c>
      <c r="L741" s="462">
        <f>IF(G741=0,0,VLOOKUP(YEAR(G741),INPC!$B$4:$O$29,MONTH(G741)+1))</f>
        <v>0</v>
      </c>
      <c r="M741" s="462">
        <f>IF(T741=0,0,VLOOKUP(YEAR(T741),INPC!$B$4:$O$29,MONTH(T741)+1))</f>
        <v>0</v>
      </c>
      <c r="N741" s="463">
        <f t="shared" si="111"/>
        <v>0</v>
      </c>
      <c r="O741" s="464">
        <f t="shared" si="116"/>
        <v>0</v>
      </c>
      <c r="P741" s="465">
        <f t="shared" si="117"/>
        <v>0</v>
      </c>
      <c r="Q741" s="606" t="str">
        <f t="shared" si="118"/>
        <v>NO</v>
      </c>
      <c r="R741" s="180"/>
      <c r="S741" s="173"/>
      <c r="T741" s="174"/>
      <c r="U741" s="173"/>
      <c r="V741" s="220"/>
      <c r="W741" s="177">
        <f>IF(S741=0,0,IF(U741="MXN",1/HLOOKUP(YEAR(T741)+(MONTH(T741)/100),TC!$5:$37,DAY(T741)+2,FALSE),VLOOKUP(U741,Equivalencia!$1:$23,((MAX(Equivalencia!$3:$3)-YEAR(T741))*14)+MONTH(T741)+2,FALSE)))</f>
        <v>0</v>
      </c>
      <c r="X741" s="178">
        <f t="shared" si="119"/>
        <v>0</v>
      </c>
      <c r="Y741" s="178">
        <f t="shared" si="120"/>
        <v>0</v>
      </c>
      <c r="Z741" s="175">
        <f t="shared" si="112"/>
        <v>0</v>
      </c>
      <c r="AA741" s="179"/>
      <c r="AB741" s="467">
        <f t="shared" si="113"/>
        <v>0</v>
      </c>
      <c r="AC741" s="466">
        <f t="shared" si="114"/>
        <v>0</v>
      </c>
    </row>
    <row r="742" spans="2:29" ht="20.100000000000001" customHeight="1">
      <c r="B742" s="172"/>
      <c r="C742" s="172"/>
      <c r="D742" s="172"/>
      <c r="E742" s="181"/>
      <c r="F742" s="173"/>
      <c r="G742" s="174"/>
      <c r="H742" s="284"/>
      <c r="I742" s="221"/>
      <c r="J742" s="177">
        <f>IF(H742=0,0,IF(F742="MXN",1/HLOOKUP(YEAR(G742)+(MONTH(G742)/100),TC!$5:$37,DAY(G742)+2,FALSE),VLOOKUP(F742,Equivalencia!$5:$23,((MAX(Equivalencia!$3:$3)-YEAR(G742))*14)+MONTH(G742)+2,FALSE)))</f>
        <v>0</v>
      </c>
      <c r="K742" s="217">
        <f t="shared" si="115"/>
        <v>0</v>
      </c>
      <c r="L742" s="462">
        <f>IF(G742=0,0,VLOOKUP(YEAR(G742),INPC!$B$4:$O$29,MONTH(G742)+1))</f>
        <v>0</v>
      </c>
      <c r="M742" s="462">
        <f>IF(T742=0,0,VLOOKUP(YEAR(T742),INPC!$B$4:$O$29,MONTH(T742)+1))</f>
        <v>0</v>
      </c>
      <c r="N742" s="463">
        <f t="shared" si="111"/>
        <v>0</v>
      </c>
      <c r="O742" s="464">
        <f t="shared" si="116"/>
        <v>0</v>
      </c>
      <c r="P742" s="465">
        <f t="shared" si="117"/>
        <v>0</v>
      </c>
      <c r="Q742" s="606" t="str">
        <f t="shared" si="118"/>
        <v>NO</v>
      </c>
      <c r="R742" s="180"/>
      <c r="S742" s="173"/>
      <c r="T742" s="174"/>
      <c r="U742" s="173"/>
      <c r="V742" s="220"/>
      <c r="W742" s="177">
        <f>IF(S742=0,0,IF(U742="MXN",1/HLOOKUP(YEAR(T742)+(MONTH(T742)/100),TC!$5:$37,DAY(T742)+2,FALSE),VLOOKUP(U742,Equivalencia!$1:$23,((MAX(Equivalencia!$3:$3)-YEAR(T742))*14)+MONTH(T742)+2,FALSE)))</f>
        <v>0</v>
      </c>
      <c r="X742" s="178">
        <f t="shared" si="119"/>
        <v>0</v>
      </c>
      <c r="Y742" s="178">
        <f t="shared" si="120"/>
        <v>0</v>
      </c>
      <c r="Z742" s="175">
        <f t="shared" si="112"/>
        <v>0</v>
      </c>
      <c r="AA742" s="179"/>
      <c r="AB742" s="467">
        <f t="shared" si="113"/>
        <v>0</v>
      </c>
      <c r="AC742" s="466">
        <f t="shared" si="114"/>
        <v>0</v>
      </c>
    </row>
    <row r="743" spans="2:29" ht="20.100000000000001" customHeight="1">
      <c r="B743" s="172"/>
      <c r="C743" s="172"/>
      <c r="D743" s="172"/>
      <c r="E743" s="181"/>
      <c r="F743" s="173"/>
      <c r="G743" s="174"/>
      <c r="H743" s="284"/>
      <c r="I743" s="221"/>
      <c r="J743" s="177">
        <f>IF(H743=0,0,IF(F743="MXN",1/HLOOKUP(YEAR(G743)+(MONTH(G743)/100),TC!$5:$37,DAY(G743)+2,FALSE),VLOOKUP(F743,Equivalencia!$5:$23,((MAX(Equivalencia!$3:$3)-YEAR(G743))*14)+MONTH(G743)+2,FALSE)))</f>
        <v>0</v>
      </c>
      <c r="K743" s="217">
        <f t="shared" si="115"/>
        <v>0</v>
      </c>
      <c r="L743" s="462">
        <f>IF(G743=0,0,VLOOKUP(YEAR(G743),INPC!$B$4:$O$29,MONTH(G743)+1))</f>
        <v>0</v>
      </c>
      <c r="M743" s="462">
        <f>IF(T743=0,0,VLOOKUP(YEAR(T743),INPC!$B$4:$O$29,MONTH(T743)+1))</f>
        <v>0</v>
      </c>
      <c r="N743" s="463">
        <f t="shared" si="111"/>
        <v>0</v>
      </c>
      <c r="O743" s="464">
        <f t="shared" si="116"/>
        <v>0</v>
      </c>
      <c r="P743" s="465">
        <f t="shared" si="117"/>
        <v>0</v>
      </c>
      <c r="Q743" s="606" t="str">
        <f t="shared" si="118"/>
        <v>NO</v>
      </c>
      <c r="R743" s="180"/>
      <c r="S743" s="173"/>
      <c r="T743" s="174"/>
      <c r="U743" s="173"/>
      <c r="V743" s="220"/>
      <c r="W743" s="177">
        <f>IF(S743=0,0,IF(U743="MXN",1/HLOOKUP(YEAR(T743)+(MONTH(T743)/100),TC!$5:$37,DAY(T743)+2,FALSE),VLOOKUP(U743,Equivalencia!$1:$23,((MAX(Equivalencia!$3:$3)-YEAR(T743))*14)+MONTH(T743)+2,FALSE)))</f>
        <v>0</v>
      </c>
      <c r="X743" s="178">
        <f t="shared" si="119"/>
        <v>0</v>
      </c>
      <c r="Y743" s="178">
        <f t="shared" si="120"/>
        <v>0</v>
      </c>
      <c r="Z743" s="175">
        <f t="shared" si="112"/>
        <v>0</v>
      </c>
      <c r="AA743" s="179"/>
      <c r="AB743" s="467">
        <f t="shared" si="113"/>
        <v>0</v>
      </c>
      <c r="AC743" s="466">
        <f t="shared" si="114"/>
        <v>0</v>
      </c>
    </row>
    <row r="744" spans="2:29" ht="20.100000000000001" customHeight="1">
      <c r="B744" s="172"/>
      <c r="C744" s="172"/>
      <c r="D744" s="172"/>
      <c r="E744" s="181"/>
      <c r="F744" s="173"/>
      <c r="G744" s="174"/>
      <c r="H744" s="284"/>
      <c r="I744" s="221"/>
      <c r="J744" s="177">
        <f>IF(H744=0,0,IF(F744="MXN",1/HLOOKUP(YEAR(G744)+(MONTH(G744)/100),TC!$5:$37,DAY(G744)+2,FALSE),VLOOKUP(F744,Equivalencia!$5:$23,((MAX(Equivalencia!$3:$3)-YEAR(G744))*14)+MONTH(G744)+2,FALSE)))</f>
        <v>0</v>
      </c>
      <c r="K744" s="217">
        <f t="shared" si="115"/>
        <v>0</v>
      </c>
      <c r="L744" s="462">
        <f>IF(G744=0,0,VLOOKUP(YEAR(G744),INPC!$B$4:$O$29,MONTH(G744)+1))</f>
        <v>0</v>
      </c>
      <c r="M744" s="462">
        <f>IF(T744=0,0,VLOOKUP(YEAR(T744),INPC!$B$4:$O$29,MONTH(T744)+1))</f>
        <v>0</v>
      </c>
      <c r="N744" s="463">
        <f t="shared" si="111"/>
        <v>0</v>
      </c>
      <c r="O744" s="464">
        <f t="shared" si="116"/>
        <v>0</v>
      </c>
      <c r="P744" s="465">
        <f t="shared" si="117"/>
        <v>0</v>
      </c>
      <c r="Q744" s="606" t="str">
        <f t="shared" si="118"/>
        <v>NO</v>
      </c>
      <c r="R744" s="180"/>
      <c r="S744" s="173"/>
      <c r="T744" s="174"/>
      <c r="U744" s="173"/>
      <c r="V744" s="220"/>
      <c r="W744" s="177">
        <f>IF(S744=0,0,IF(U744="MXN",1/HLOOKUP(YEAR(T744)+(MONTH(T744)/100),TC!$5:$37,DAY(T744)+2,FALSE),VLOOKUP(U744,Equivalencia!$1:$23,((MAX(Equivalencia!$3:$3)-YEAR(T744))*14)+MONTH(T744)+2,FALSE)))</f>
        <v>0</v>
      </c>
      <c r="X744" s="178">
        <f t="shared" si="119"/>
        <v>0</v>
      </c>
      <c r="Y744" s="178">
        <f t="shared" si="120"/>
        <v>0</v>
      </c>
      <c r="Z744" s="175">
        <f t="shared" si="112"/>
        <v>0</v>
      </c>
      <c r="AA744" s="179"/>
      <c r="AB744" s="467">
        <f t="shared" si="113"/>
        <v>0</v>
      </c>
      <c r="AC744" s="466">
        <f t="shared" si="114"/>
        <v>0</v>
      </c>
    </row>
    <row r="745" spans="2:29" ht="20.100000000000001" customHeight="1">
      <c r="B745" s="172"/>
      <c r="C745" s="172"/>
      <c r="D745" s="172"/>
      <c r="E745" s="181"/>
      <c r="F745" s="173"/>
      <c r="G745" s="174"/>
      <c r="H745" s="284"/>
      <c r="I745" s="221"/>
      <c r="J745" s="177">
        <f>IF(H745=0,0,IF(F745="MXN",1/HLOOKUP(YEAR(G745)+(MONTH(G745)/100),TC!$5:$37,DAY(G745)+2,FALSE),VLOOKUP(F745,Equivalencia!$5:$23,((MAX(Equivalencia!$3:$3)-YEAR(G745))*14)+MONTH(G745)+2,FALSE)))</f>
        <v>0</v>
      </c>
      <c r="K745" s="217">
        <f t="shared" si="115"/>
        <v>0</v>
      </c>
      <c r="L745" s="462">
        <f>IF(G745=0,0,VLOOKUP(YEAR(G745),INPC!$B$4:$O$29,MONTH(G745)+1))</f>
        <v>0</v>
      </c>
      <c r="M745" s="462">
        <f>IF(T745=0,0,VLOOKUP(YEAR(T745),INPC!$B$4:$O$29,MONTH(T745)+1))</f>
        <v>0</v>
      </c>
      <c r="N745" s="463">
        <f t="shared" si="111"/>
        <v>0</v>
      </c>
      <c r="O745" s="464">
        <f t="shared" si="116"/>
        <v>0</v>
      </c>
      <c r="P745" s="465">
        <f t="shared" si="117"/>
        <v>0</v>
      </c>
      <c r="Q745" s="606" t="str">
        <f t="shared" si="118"/>
        <v>NO</v>
      </c>
      <c r="R745" s="180"/>
      <c r="S745" s="173"/>
      <c r="T745" s="174"/>
      <c r="U745" s="173"/>
      <c r="V745" s="220"/>
      <c r="W745" s="177">
        <f>IF(S745=0,0,IF(U745="MXN",1/HLOOKUP(YEAR(T745)+(MONTH(T745)/100),TC!$5:$37,DAY(T745)+2,FALSE),VLOOKUP(U745,Equivalencia!$1:$23,((MAX(Equivalencia!$3:$3)-YEAR(T745))*14)+MONTH(T745)+2,FALSE)))</f>
        <v>0</v>
      </c>
      <c r="X745" s="178">
        <f t="shared" si="119"/>
        <v>0</v>
      </c>
      <c r="Y745" s="178">
        <f t="shared" si="120"/>
        <v>0</v>
      </c>
      <c r="Z745" s="175">
        <f t="shared" si="112"/>
        <v>0</v>
      </c>
      <c r="AA745" s="179"/>
      <c r="AB745" s="467">
        <f t="shared" si="113"/>
        <v>0</v>
      </c>
      <c r="AC745" s="466">
        <f t="shared" si="114"/>
        <v>0</v>
      </c>
    </row>
    <row r="746" spans="2:29" ht="20.100000000000001" customHeight="1">
      <c r="B746" s="172"/>
      <c r="C746" s="172"/>
      <c r="D746" s="172"/>
      <c r="E746" s="181"/>
      <c r="F746" s="173"/>
      <c r="G746" s="174"/>
      <c r="H746" s="284"/>
      <c r="I746" s="221"/>
      <c r="J746" s="177">
        <f>IF(H746=0,0,IF(F746="MXN",1/HLOOKUP(YEAR(G746)+(MONTH(G746)/100),TC!$5:$37,DAY(G746)+2,FALSE),VLOOKUP(F746,Equivalencia!$5:$23,((MAX(Equivalencia!$3:$3)-YEAR(G746))*14)+MONTH(G746)+2,FALSE)))</f>
        <v>0</v>
      </c>
      <c r="K746" s="217">
        <f t="shared" si="115"/>
        <v>0</v>
      </c>
      <c r="L746" s="462">
        <f>IF(G746=0,0,VLOOKUP(YEAR(G746),INPC!$B$4:$O$29,MONTH(G746)+1))</f>
        <v>0</v>
      </c>
      <c r="M746" s="462">
        <f>IF(T746=0,0,VLOOKUP(YEAR(T746),INPC!$B$4:$O$29,MONTH(T746)+1))</f>
        <v>0</v>
      </c>
      <c r="N746" s="463">
        <f t="shared" si="111"/>
        <v>0</v>
      </c>
      <c r="O746" s="464">
        <f t="shared" si="116"/>
        <v>0</v>
      </c>
      <c r="P746" s="465">
        <f t="shared" si="117"/>
        <v>0</v>
      </c>
      <c r="Q746" s="606" t="str">
        <f t="shared" si="118"/>
        <v>NO</v>
      </c>
      <c r="R746" s="180"/>
      <c r="S746" s="173"/>
      <c r="T746" s="174"/>
      <c r="U746" s="173"/>
      <c r="V746" s="220"/>
      <c r="W746" s="177">
        <f>IF(S746=0,0,IF(U746="MXN",1/HLOOKUP(YEAR(T746)+(MONTH(T746)/100),TC!$5:$37,DAY(T746)+2,FALSE),VLOOKUP(U746,Equivalencia!$1:$23,((MAX(Equivalencia!$3:$3)-YEAR(T746))*14)+MONTH(T746)+2,FALSE)))</f>
        <v>0</v>
      </c>
      <c r="X746" s="178">
        <f t="shared" si="119"/>
        <v>0</v>
      </c>
      <c r="Y746" s="178">
        <f t="shared" si="120"/>
        <v>0</v>
      </c>
      <c r="Z746" s="175">
        <f t="shared" si="112"/>
        <v>0</v>
      </c>
      <c r="AA746" s="179"/>
      <c r="AB746" s="467">
        <f t="shared" si="113"/>
        <v>0</v>
      </c>
      <c r="AC746" s="466">
        <f t="shared" si="114"/>
        <v>0</v>
      </c>
    </row>
    <row r="747" spans="2:29" ht="20.100000000000001" customHeight="1">
      <c r="B747" s="172"/>
      <c r="C747" s="172"/>
      <c r="D747" s="172"/>
      <c r="E747" s="181"/>
      <c r="F747" s="173"/>
      <c r="G747" s="174"/>
      <c r="H747" s="284"/>
      <c r="I747" s="221"/>
      <c r="J747" s="177">
        <f>IF(H747=0,0,IF(F747="MXN",1/HLOOKUP(YEAR(G747)+(MONTH(G747)/100),TC!$5:$37,DAY(G747)+2,FALSE),VLOOKUP(F747,Equivalencia!$5:$23,((MAX(Equivalencia!$3:$3)-YEAR(G747))*14)+MONTH(G747)+2,FALSE)))</f>
        <v>0</v>
      </c>
      <c r="K747" s="217">
        <f t="shared" si="115"/>
        <v>0</v>
      </c>
      <c r="L747" s="462">
        <f>IF(G747=0,0,VLOOKUP(YEAR(G747),INPC!$B$4:$O$29,MONTH(G747)+1))</f>
        <v>0</v>
      </c>
      <c r="M747" s="462">
        <f>IF(T747=0,0,VLOOKUP(YEAR(T747),INPC!$B$4:$O$29,MONTH(T747)+1))</f>
        <v>0</v>
      </c>
      <c r="N747" s="463">
        <f t="shared" si="111"/>
        <v>0</v>
      </c>
      <c r="O747" s="464">
        <f t="shared" si="116"/>
        <v>0</v>
      </c>
      <c r="P747" s="465">
        <f t="shared" si="117"/>
        <v>0</v>
      </c>
      <c r="Q747" s="606" t="str">
        <f t="shared" si="118"/>
        <v>NO</v>
      </c>
      <c r="R747" s="180"/>
      <c r="S747" s="173"/>
      <c r="T747" s="174"/>
      <c r="U747" s="173"/>
      <c r="V747" s="220"/>
      <c r="W747" s="177">
        <f>IF(S747=0,0,IF(U747="MXN",1/HLOOKUP(YEAR(T747)+(MONTH(T747)/100),TC!$5:$37,DAY(T747)+2,FALSE),VLOOKUP(U747,Equivalencia!$1:$23,((MAX(Equivalencia!$3:$3)-YEAR(T747))*14)+MONTH(T747)+2,FALSE)))</f>
        <v>0</v>
      </c>
      <c r="X747" s="178">
        <f t="shared" si="119"/>
        <v>0</v>
      </c>
      <c r="Y747" s="178">
        <f t="shared" si="120"/>
        <v>0</v>
      </c>
      <c r="Z747" s="175">
        <f t="shared" si="112"/>
        <v>0</v>
      </c>
      <c r="AA747" s="179"/>
      <c r="AB747" s="467">
        <f t="shared" si="113"/>
        <v>0</v>
      </c>
      <c r="AC747" s="466">
        <f t="shared" si="114"/>
        <v>0</v>
      </c>
    </row>
    <row r="748" spans="2:29" ht="20.100000000000001" customHeight="1">
      <c r="B748" s="172"/>
      <c r="C748" s="172"/>
      <c r="D748" s="172"/>
      <c r="E748" s="181"/>
      <c r="F748" s="173"/>
      <c r="G748" s="174"/>
      <c r="H748" s="284"/>
      <c r="I748" s="221"/>
      <c r="J748" s="177">
        <f>IF(H748=0,0,IF(F748="MXN",1/HLOOKUP(YEAR(G748)+(MONTH(G748)/100),TC!$5:$37,DAY(G748)+2,FALSE),VLOOKUP(F748,Equivalencia!$5:$23,((MAX(Equivalencia!$3:$3)-YEAR(G748))*14)+MONTH(G748)+2,FALSE)))</f>
        <v>0</v>
      </c>
      <c r="K748" s="217">
        <f t="shared" si="115"/>
        <v>0</v>
      </c>
      <c r="L748" s="462">
        <f>IF(G748=0,0,VLOOKUP(YEAR(G748),INPC!$B$4:$O$29,MONTH(G748)+1))</f>
        <v>0</v>
      </c>
      <c r="M748" s="462">
        <f>IF(T748=0,0,VLOOKUP(YEAR(T748),INPC!$B$4:$O$29,MONTH(T748)+1))</f>
        <v>0</v>
      </c>
      <c r="N748" s="463">
        <f t="shared" si="111"/>
        <v>0</v>
      </c>
      <c r="O748" s="464">
        <f t="shared" si="116"/>
        <v>0</v>
      </c>
      <c r="P748" s="465">
        <f t="shared" si="117"/>
        <v>0</v>
      </c>
      <c r="Q748" s="606" t="str">
        <f t="shared" si="118"/>
        <v>NO</v>
      </c>
      <c r="R748" s="180"/>
      <c r="S748" s="173"/>
      <c r="T748" s="174"/>
      <c r="U748" s="173"/>
      <c r="V748" s="220"/>
      <c r="W748" s="177">
        <f>IF(S748=0,0,IF(U748="MXN",1/HLOOKUP(YEAR(T748)+(MONTH(T748)/100),TC!$5:$37,DAY(T748)+2,FALSE),VLOOKUP(U748,Equivalencia!$1:$23,((MAX(Equivalencia!$3:$3)-YEAR(T748))*14)+MONTH(T748)+2,FALSE)))</f>
        <v>0</v>
      </c>
      <c r="X748" s="178">
        <f t="shared" si="119"/>
        <v>0</v>
      </c>
      <c r="Y748" s="178">
        <f t="shared" si="120"/>
        <v>0</v>
      </c>
      <c r="Z748" s="175">
        <f t="shared" si="112"/>
        <v>0</v>
      </c>
      <c r="AA748" s="179"/>
      <c r="AB748" s="467">
        <f t="shared" si="113"/>
        <v>0</v>
      </c>
      <c r="AC748" s="466">
        <f t="shared" si="114"/>
        <v>0</v>
      </c>
    </row>
    <row r="749" spans="2:29" ht="20.100000000000001" customHeight="1">
      <c r="B749" s="172"/>
      <c r="C749" s="172"/>
      <c r="D749" s="172"/>
      <c r="E749" s="181"/>
      <c r="F749" s="173"/>
      <c r="G749" s="174"/>
      <c r="H749" s="284"/>
      <c r="I749" s="221"/>
      <c r="J749" s="177">
        <f>IF(H749=0,0,IF(F749="MXN",1/HLOOKUP(YEAR(G749)+(MONTH(G749)/100),TC!$5:$37,DAY(G749)+2,FALSE),VLOOKUP(F749,Equivalencia!$5:$23,((MAX(Equivalencia!$3:$3)-YEAR(G749))*14)+MONTH(G749)+2,FALSE)))</f>
        <v>0</v>
      </c>
      <c r="K749" s="217">
        <f t="shared" si="115"/>
        <v>0</v>
      </c>
      <c r="L749" s="462">
        <f>IF(G749=0,0,VLOOKUP(YEAR(G749),INPC!$B$4:$O$29,MONTH(G749)+1))</f>
        <v>0</v>
      </c>
      <c r="M749" s="462">
        <f>IF(T749=0,0,VLOOKUP(YEAR(T749),INPC!$B$4:$O$29,MONTH(T749)+1))</f>
        <v>0</v>
      </c>
      <c r="N749" s="463">
        <f t="shared" si="111"/>
        <v>0</v>
      </c>
      <c r="O749" s="464">
        <f t="shared" si="116"/>
        <v>0</v>
      </c>
      <c r="P749" s="465">
        <f t="shared" si="117"/>
        <v>0</v>
      </c>
      <c r="Q749" s="606" t="str">
        <f t="shared" si="118"/>
        <v>NO</v>
      </c>
      <c r="R749" s="180"/>
      <c r="S749" s="173"/>
      <c r="T749" s="174"/>
      <c r="U749" s="173"/>
      <c r="V749" s="220"/>
      <c r="W749" s="177">
        <f>IF(S749=0,0,IF(U749="MXN",1/HLOOKUP(YEAR(T749)+(MONTH(T749)/100),TC!$5:$37,DAY(T749)+2,FALSE),VLOOKUP(U749,Equivalencia!$1:$23,((MAX(Equivalencia!$3:$3)-YEAR(T749))*14)+MONTH(T749)+2,FALSE)))</f>
        <v>0</v>
      </c>
      <c r="X749" s="178">
        <f t="shared" si="119"/>
        <v>0</v>
      </c>
      <c r="Y749" s="178">
        <f t="shared" si="120"/>
        <v>0</v>
      </c>
      <c r="Z749" s="175">
        <f t="shared" si="112"/>
        <v>0</v>
      </c>
      <c r="AA749" s="179"/>
      <c r="AB749" s="467">
        <f t="shared" si="113"/>
        <v>0</v>
      </c>
      <c r="AC749" s="466">
        <f t="shared" si="114"/>
        <v>0</v>
      </c>
    </row>
    <row r="750" spans="2:29" ht="20.100000000000001" customHeight="1">
      <c r="B750" s="172"/>
      <c r="C750" s="172"/>
      <c r="D750" s="172"/>
      <c r="E750" s="181"/>
      <c r="F750" s="173"/>
      <c r="G750" s="174"/>
      <c r="H750" s="284"/>
      <c r="I750" s="221"/>
      <c r="J750" s="177">
        <f>IF(H750=0,0,IF(F750="MXN",1/HLOOKUP(YEAR(G750)+(MONTH(G750)/100),TC!$5:$37,DAY(G750)+2,FALSE),VLOOKUP(F750,Equivalencia!$5:$23,((MAX(Equivalencia!$3:$3)-YEAR(G750))*14)+MONTH(G750)+2,FALSE)))</f>
        <v>0</v>
      </c>
      <c r="K750" s="217">
        <f t="shared" si="115"/>
        <v>0</v>
      </c>
      <c r="L750" s="462">
        <f>IF(G750=0,0,VLOOKUP(YEAR(G750),INPC!$B$4:$O$29,MONTH(G750)+1))</f>
        <v>0</v>
      </c>
      <c r="M750" s="462">
        <f>IF(T750=0,0,VLOOKUP(YEAR(T750),INPC!$B$4:$O$29,MONTH(T750)+1))</f>
        <v>0</v>
      </c>
      <c r="N750" s="463">
        <f t="shared" si="111"/>
        <v>0</v>
      </c>
      <c r="O750" s="464">
        <f t="shared" si="116"/>
        <v>0</v>
      </c>
      <c r="P750" s="465">
        <f t="shared" si="117"/>
        <v>0</v>
      </c>
      <c r="Q750" s="606" t="str">
        <f t="shared" si="118"/>
        <v>NO</v>
      </c>
      <c r="R750" s="180"/>
      <c r="S750" s="173"/>
      <c r="T750" s="174"/>
      <c r="U750" s="173"/>
      <c r="V750" s="220"/>
      <c r="W750" s="177">
        <f>IF(S750=0,0,IF(U750="MXN",1/HLOOKUP(YEAR(T750)+(MONTH(T750)/100),TC!$5:$37,DAY(T750)+2,FALSE),VLOOKUP(U750,Equivalencia!$1:$23,((MAX(Equivalencia!$3:$3)-YEAR(T750))*14)+MONTH(T750)+2,FALSE)))</f>
        <v>0</v>
      </c>
      <c r="X750" s="178">
        <f t="shared" si="119"/>
        <v>0</v>
      </c>
      <c r="Y750" s="178">
        <f t="shared" si="120"/>
        <v>0</v>
      </c>
      <c r="Z750" s="175">
        <f t="shared" si="112"/>
        <v>0</v>
      </c>
      <c r="AA750" s="179"/>
      <c r="AB750" s="467">
        <f t="shared" si="113"/>
        <v>0</v>
      </c>
      <c r="AC750" s="466">
        <f t="shared" si="114"/>
        <v>0</v>
      </c>
    </row>
    <row r="751" spans="2:29" ht="20.100000000000001" customHeight="1">
      <c r="B751" s="172"/>
      <c r="C751" s="172"/>
      <c r="D751" s="172"/>
      <c r="E751" s="181"/>
      <c r="F751" s="173"/>
      <c r="G751" s="174"/>
      <c r="H751" s="284"/>
      <c r="I751" s="221"/>
      <c r="J751" s="177">
        <f>IF(H751=0,0,IF(F751="MXN",1/HLOOKUP(YEAR(G751)+(MONTH(G751)/100),TC!$5:$37,DAY(G751)+2,FALSE),VLOOKUP(F751,Equivalencia!$5:$23,((MAX(Equivalencia!$3:$3)-YEAR(G751))*14)+MONTH(G751)+2,FALSE)))</f>
        <v>0</v>
      </c>
      <c r="K751" s="217">
        <f t="shared" si="115"/>
        <v>0</v>
      </c>
      <c r="L751" s="462">
        <f>IF(G751=0,0,VLOOKUP(YEAR(G751),INPC!$B$4:$O$29,MONTH(G751)+1))</f>
        <v>0</v>
      </c>
      <c r="M751" s="462">
        <f>IF(T751=0,0,VLOOKUP(YEAR(T751),INPC!$B$4:$O$29,MONTH(T751)+1))</f>
        <v>0</v>
      </c>
      <c r="N751" s="463">
        <f t="shared" si="111"/>
        <v>0</v>
      </c>
      <c r="O751" s="464">
        <f t="shared" si="116"/>
        <v>0</v>
      </c>
      <c r="P751" s="465">
        <f t="shared" si="117"/>
        <v>0</v>
      </c>
      <c r="Q751" s="606" t="str">
        <f t="shared" si="118"/>
        <v>NO</v>
      </c>
      <c r="R751" s="180"/>
      <c r="S751" s="173"/>
      <c r="T751" s="174"/>
      <c r="U751" s="173"/>
      <c r="V751" s="220"/>
      <c r="W751" s="177">
        <f>IF(S751=0,0,IF(U751="MXN",1/HLOOKUP(YEAR(T751)+(MONTH(T751)/100),TC!$5:$37,DAY(T751)+2,FALSE),VLOOKUP(U751,Equivalencia!$1:$23,((MAX(Equivalencia!$3:$3)-YEAR(T751))*14)+MONTH(T751)+2,FALSE)))</f>
        <v>0</v>
      </c>
      <c r="X751" s="178">
        <f t="shared" si="119"/>
        <v>0</v>
      </c>
      <c r="Y751" s="178">
        <f t="shared" si="120"/>
        <v>0</v>
      </c>
      <c r="Z751" s="175">
        <f t="shared" si="112"/>
        <v>0</v>
      </c>
      <c r="AA751" s="179"/>
      <c r="AB751" s="467">
        <f t="shared" si="113"/>
        <v>0</v>
      </c>
      <c r="AC751" s="466">
        <f t="shared" si="114"/>
        <v>0</v>
      </c>
    </row>
    <row r="752" spans="2:29" ht="20.100000000000001" customHeight="1">
      <c r="B752" s="172"/>
      <c r="C752" s="172"/>
      <c r="D752" s="172"/>
      <c r="E752" s="181"/>
      <c r="F752" s="173"/>
      <c r="G752" s="174"/>
      <c r="H752" s="284"/>
      <c r="I752" s="221"/>
      <c r="J752" s="177">
        <f>IF(H752=0,0,IF(F752="MXN",1/HLOOKUP(YEAR(G752)+(MONTH(G752)/100),TC!$5:$37,DAY(G752)+2,FALSE),VLOOKUP(F752,Equivalencia!$5:$23,((MAX(Equivalencia!$3:$3)-YEAR(G752))*14)+MONTH(G752)+2,FALSE)))</f>
        <v>0</v>
      </c>
      <c r="K752" s="217">
        <f t="shared" si="115"/>
        <v>0</v>
      </c>
      <c r="L752" s="462">
        <f>IF(G752=0,0,VLOOKUP(YEAR(G752),INPC!$B$4:$O$29,MONTH(G752)+1))</f>
        <v>0</v>
      </c>
      <c r="M752" s="462">
        <f>IF(T752=0,0,VLOOKUP(YEAR(T752),INPC!$B$4:$O$29,MONTH(T752)+1))</f>
        <v>0</v>
      </c>
      <c r="N752" s="463">
        <f t="shared" si="111"/>
        <v>0</v>
      </c>
      <c r="O752" s="464">
        <f t="shared" si="116"/>
        <v>0</v>
      </c>
      <c r="P752" s="465">
        <f t="shared" si="117"/>
        <v>0</v>
      </c>
      <c r="Q752" s="606" t="str">
        <f t="shared" si="118"/>
        <v>NO</v>
      </c>
      <c r="R752" s="180"/>
      <c r="S752" s="173"/>
      <c r="T752" s="174"/>
      <c r="U752" s="173"/>
      <c r="V752" s="220"/>
      <c r="W752" s="177">
        <f>IF(S752=0,0,IF(U752="MXN",1/HLOOKUP(YEAR(T752)+(MONTH(T752)/100),TC!$5:$37,DAY(T752)+2,FALSE),VLOOKUP(U752,Equivalencia!$1:$23,((MAX(Equivalencia!$3:$3)-YEAR(T752))*14)+MONTH(T752)+2,FALSE)))</f>
        <v>0</v>
      </c>
      <c r="X752" s="178">
        <f t="shared" si="119"/>
        <v>0</v>
      </c>
      <c r="Y752" s="178">
        <f t="shared" si="120"/>
        <v>0</v>
      </c>
      <c r="Z752" s="175">
        <f t="shared" si="112"/>
        <v>0</v>
      </c>
      <c r="AA752" s="179"/>
      <c r="AB752" s="467">
        <f t="shared" si="113"/>
        <v>0</v>
      </c>
      <c r="AC752" s="466">
        <f t="shared" si="114"/>
        <v>0</v>
      </c>
    </row>
    <row r="753" spans="2:29" ht="20.100000000000001" customHeight="1">
      <c r="B753" s="172"/>
      <c r="C753" s="172"/>
      <c r="D753" s="172"/>
      <c r="E753" s="181"/>
      <c r="F753" s="173"/>
      <c r="G753" s="174"/>
      <c r="H753" s="284"/>
      <c r="I753" s="221"/>
      <c r="J753" s="177">
        <f>IF(H753=0,0,IF(F753="MXN",1/HLOOKUP(YEAR(G753)+(MONTH(G753)/100),TC!$5:$37,DAY(G753)+2,FALSE),VLOOKUP(F753,Equivalencia!$5:$23,((MAX(Equivalencia!$3:$3)-YEAR(G753))*14)+MONTH(G753)+2,FALSE)))</f>
        <v>0</v>
      </c>
      <c r="K753" s="217">
        <f t="shared" si="115"/>
        <v>0</v>
      </c>
      <c r="L753" s="462">
        <f>IF(G753=0,0,VLOOKUP(YEAR(G753),INPC!$B$4:$O$29,MONTH(G753)+1))</f>
        <v>0</v>
      </c>
      <c r="M753" s="462">
        <f>IF(T753=0,0,VLOOKUP(YEAR(T753),INPC!$B$4:$O$29,MONTH(T753)+1))</f>
        <v>0</v>
      </c>
      <c r="N753" s="463">
        <f t="shared" si="111"/>
        <v>0</v>
      </c>
      <c r="O753" s="464">
        <f t="shared" si="116"/>
        <v>0</v>
      </c>
      <c r="P753" s="465">
        <f t="shared" si="117"/>
        <v>0</v>
      </c>
      <c r="Q753" s="606" t="str">
        <f t="shared" si="118"/>
        <v>NO</v>
      </c>
      <c r="R753" s="180"/>
      <c r="S753" s="173"/>
      <c r="T753" s="174"/>
      <c r="U753" s="173"/>
      <c r="V753" s="220"/>
      <c r="W753" s="177">
        <f>IF(S753=0,0,IF(U753="MXN",1/HLOOKUP(YEAR(T753)+(MONTH(T753)/100),TC!$5:$37,DAY(T753)+2,FALSE),VLOOKUP(U753,Equivalencia!$1:$23,((MAX(Equivalencia!$3:$3)-YEAR(T753))*14)+MONTH(T753)+2,FALSE)))</f>
        <v>0</v>
      </c>
      <c r="X753" s="178">
        <f t="shared" si="119"/>
        <v>0</v>
      </c>
      <c r="Y753" s="178">
        <f t="shared" si="120"/>
        <v>0</v>
      </c>
      <c r="Z753" s="175">
        <f t="shared" si="112"/>
        <v>0</v>
      </c>
      <c r="AA753" s="179"/>
      <c r="AB753" s="467">
        <f t="shared" si="113"/>
        <v>0</v>
      </c>
      <c r="AC753" s="466">
        <f t="shared" si="114"/>
        <v>0</v>
      </c>
    </row>
    <row r="754" spans="2:29" ht="20.100000000000001" customHeight="1">
      <c r="B754" s="172"/>
      <c r="C754" s="172"/>
      <c r="D754" s="172"/>
      <c r="E754" s="181"/>
      <c r="F754" s="173"/>
      <c r="G754" s="174"/>
      <c r="H754" s="284"/>
      <c r="I754" s="221"/>
      <c r="J754" s="177">
        <f>IF(H754=0,0,IF(F754="MXN",1/HLOOKUP(YEAR(G754)+(MONTH(G754)/100),TC!$5:$37,DAY(G754)+2,FALSE),VLOOKUP(F754,Equivalencia!$5:$23,((MAX(Equivalencia!$3:$3)-YEAR(G754))*14)+MONTH(G754)+2,FALSE)))</f>
        <v>0</v>
      </c>
      <c r="K754" s="217">
        <f t="shared" si="115"/>
        <v>0</v>
      </c>
      <c r="L754" s="462">
        <f>IF(G754=0,0,VLOOKUP(YEAR(G754),INPC!$B$4:$O$29,MONTH(G754)+1))</f>
        <v>0</v>
      </c>
      <c r="M754" s="462">
        <f>IF(T754=0,0,VLOOKUP(YEAR(T754),INPC!$B$4:$O$29,MONTH(T754)+1))</f>
        <v>0</v>
      </c>
      <c r="N754" s="463">
        <f t="shared" si="111"/>
        <v>0</v>
      </c>
      <c r="O754" s="464">
        <f t="shared" si="116"/>
        <v>0</v>
      </c>
      <c r="P754" s="465">
        <f t="shared" si="117"/>
        <v>0</v>
      </c>
      <c r="Q754" s="606" t="str">
        <f t="shared" si="118"/>
        <v>NO</v>
      </c>
      <c r="R754" s="180"/>
      <c r="S754" s="173"/>
      <c r="T754" s="174"/>
      <c r="U754" s="173"/>
      <c r="V754" s="220"/>
      <c r="W754" s="177">
        <f>IF(S754=0,0,IF(U754="MXN",1/HLOOKUP(YEAR(T754)+(MONTH(T754)/100),TC!$5:$37,DAY(T754)+2,FALSE),VLOOKUP(U754,Equivalencia!$1:$23,((MAX(Equivalencia!$3:$3)-YEAR(T754))*14)+MONTH(T754)+2,FALSE)))</f>
        <v>0</v>
      </c>
      <c r="X754" s="178">
        <f t="shared" si="119"/>
        <v>0</v>
      </c>
      <c r="Y754" s="178">
        <f t="shared" si="120"/>
        <v>0</v>
      </c>
      <c r="Z754" s="175">
        <f t="shared" si="112"/>
        <v>0</v>
      </c>
      <c r="AA754" s="179"/>
      <c r="AB754" s="467">
        <f t="shared" si="113"/>
        <v>0</v>
      </c>
      <c r="AC754" s="466">
        <f t="shared" si="114"/>
        <v>0</v>
      </c>
    </row>
    <row r="755" spans="2:29" ht="20.100000000000001" customHeight="1">
      <c r="B755" s="172"/>
      <c r="C755" s="172"/>
      <c r="D755" s="172"/>
      <c r="E755" s="181"/>
      <c r="F755" s="173"/>
      <c r="G755" s="174"/>
      <c r="H755" s="284"/>
      <c r="I755" s="221"/>
      <c r="J755" s="177">
        <f>IF(H755=0,0,IF(F755="MXN",1/HLOOKUP(YEAR(G755)+(MONTH(G755)/100),TC!$5:$37,DAY(G755)+2,FALSE),VLOOKUP(F755,Equivalencia!$5:$23,((MAX(Equivalencia!$3:$3)-YEAR(G755))*14)+MONTH(G755)+2,FALSE)))</f>
        <v>0</v>
      </c>
      <c r="K755" s="217">
        <f t="shared" si="115"/>
        <v>0</v>
      </c>
      <c r="L755" s="462">
        <f>IF(G755=0,0,VLOOKUP(YEAR(G755),INPC!$B$4:$O$29,MONTH(G755)+1))</f>
        <v>0</v>
      </c>
      <c r="M755" s="462">
        <f>IF(T755=0,0,VLOOKUP(YEAR(T755),INPC!$B$4:$O$29,MONTH(T755)+1))</f>
        <v>0</v>
      </c>
      <c r="N755" s="463">
        <f t="shared" si="111"/>
        <v>0</v>
      </c>
      <c r="O755" s="464">
        <f t="shared" si="116"/>
        <v>0</v>
      </c>
      <c r="P755" s="465">
        <f t="shared" si="117"/>
        <v>0</v>
      </c>
      <c r="Q755" s="606" t="str">
        <f t="shared" si="118"/>
        <v>NO</v>
      </c>
      <c r="R755" s="180"/>
      <c r="S755" s="173"/>
      <c r="T755" s="174"/>
      <c r="U755" s="173"/>
      <c r="V755" s="220"/>
      <c r="W755" s="177">
        <f>IF(S755=0,0,IF(U755="MXN",1/HLOOKUP(YEAR(T755)+(MONTH(T755)/100),TC!$5:$37,DAY(T755)+2,FALSE),VLOOKUP(U755,Equivalencia!$1:$23,((MAX(Equivalencia!$3:$3)-YEAR(T755))*14)+MONTH(T755)+2,FALSE)))</f>
        <v>0</v>
      </c>
      <c r="X755" s="178">
        <f t="shared" si="119"/>
        <v>0</v>
      </c>
      <c r="Y755" s="178">
        <f t="shared" si="120"/>
        <v>0</v>
      </c>
      <c r="Z755" s="175">
        <f t="shared" si="112"/>
        <v>0</v>
      </c>
      <c r="AA755" s="179"/>
      <c r="AB755" s="467">
        <f t="shared" si="113"/>
        <v>0</v>
      </c>
      <c r="AC755" s="466">
        <f t="shared" si="114"/>
        <v>0</v>
      </c>
    </row>
    <row r="756" spans="2:29" ht="20.100000000000001" customHeight="1">
      <c r="B756" s="172"/>
      <c r="C756" s="172"/>
      <c r="D756" s="172"/>
      <c r="E756" s="181"/>
      <c r="F756" s="173"/>
      <c r="G756" s="174"/>
      <c r="H756" s="284"/>
      <c r="I756" s="221"/>
      <c r="J756" s="177">
        <f>IF(H756=0,0,IF(F756="MXN",1/HLOOKUP(YEAR(G756)+(MONTH(G756)/100),TC!$5:$37,DAY(G756)+2,FALSE),VLOOKUP(F756,Equivalencia!$5:$23,((MAX(Equivalencia!$3:$3)-YEAR(G756))*14)+MONTH(G756)+2,FALSE)))</f>
        <v>0</v>
      </c>
      <c r="K756" s="217">
        <f t="shared" si="115"/>
        <v>0</v>
      </c>
      <c r="L756" s="462">
        <f>IF(G756=0,0,VLOOKUP(YEAR(G756),INPC!$B$4:$O$29,MONTH(G756)+1))</f>
        <v>0</v>
      </c>
      <c r="M756" s="462">
        <f>IF(T756=0,0,VLOOKUP(YEAR(T756),INPC!$B$4:$O$29,MONTH(T756)+1))</f>
        <v>0</v>
      </c>
      <c r="N756" s="463">
        <f t="shared" si="111"/>
        <v>0</v>
      </c>
      <c r="O756" s="464">
        <f t="shared" si="116"/>
        <v>0</v>
      </c>
      <c r="P756" s="465">
        <f t="shared" si="117"/>
        <v>0</v>
      </c>
      <c r="Q756" s="606" t="str">
        <f t="shared" si="118"/>
        <v>NO</v>
      </c>
      <c r="R756" s="180"/>
      <c r="S756" s="173"/>
      <c r="T756" s="174"/>
      <c r="U756" s="173"/>
      <c r="V756" s="220"/>
      <c r="W756" s="177">
        <f>IF(S756=0,0,IF(U756="MXN",1/HLOOKUP(YEAR(T756)+(MONTH(T756)/100),TC!$5:$37,DAY(T756)+2,FALSE),VLOOKUP(U756,Equivalencia!$1:$23,((MAX(Equivalencia!$3:$3)-YEAR(T756))*14)+MONTH(T756)+2,FALSE)))</f>
        <v>0</v>
      </c>
      <c r="X756" s="178">
        <f t="shared" si="119"/>
        <v>0</v>
      </c>
      <c r="Y756" s="178">
        <f t="shared" si="120"/>
        <v>0</v>
      </c>
      <c r="Z756" s="175">
        <f t="shared" si="112"/>
        <v>0</v>
      </c>
      <c r="AA756" s="179"/>
      <c r="AB756" s="467">
        <f t="shared" si="113"/>
        <v>0</v>
      </c>
      <c r="AC756" s="466">
        <f t="shared" si="114"/>
        <v>0</v>
      </c>
    </row>
    <row r="757" spans="2:29" ht="20.100000000000001" customHeight="1">
      <c r="B757" s="172"/>
      <c r="C757" s="172"/>
      <c r="D757" s="172"/>
      <c r="E757" s="181"/>
      <c r="F757" s="173"/>
      <c r="G757" s="174"/>
      <c r="H757" s="284"/>
      <c r="I757" s="221"/>
      <c r="J757" s="177">
        <f>IF(H757=0,0,IF(F757="MXN",1/HLOOKUP(YEAR(G757)+(MONTH(G757)/100),TC!$5:$37,DAY(G757)+2,FALSE),VLOOKUP(F757,Equivalencia!$5:$23,((MAX(Equivalencia!$3:$3)-YEAR(G757))*14)+MONTH(G757)+2,FALSE)))</f>
        <v>0</v>
      </c>
      <c r="K757" s="217">
        <f t="shared" si="115"/>
        <v>0</v>
      </c>
      <c r="L757" s="462">
        <f>IF(G757=0,0,VLOOKUP(YEAR(G757),INPC!$B$4:$O$29,MONTH(G757)+1))</f>
        <v>0</v>
      </c>
      <c r="M757" s="462">
        <f>IF(T757=0,0,VLOOKUP(YEAR(T757),INPC!$B$4:$O$29,MONTH(T757)+1))</f>
        <v>0</v>
      </c>
      <c r="N757" s="463">
        <f t="shared" si="111"/>
        <v>0</v>
      </c>
      <c r="O757" s="464">
        <f t="shared" si="116"/>
        <v>0</v>
      </c>
      <c r="P757" s="465">
        <f t="shared" si="117"/>
        <v>0</v>
      </c>
      <c r="Q757" s="606" t="str">
        <f t="shared" si="118"/>
        <v>NO</v>
      </c>
      <c r="R757" s="180"/>
      <c r="S757" s="173"/>
      <c r="T757" s="174"/>
      <c r="U757" s="173"/>
      <c r="V757" s="220"/>
      <c r="W757" s="177">
        <f>IF(S757=0,0,IF(U757="MXN",1/HLOOKUP(YEAR(T757)+(MONTH(T757)/100),TC!$5:$37,DAY(T757)+2,FALSE),VLOOKUP(U757,Equivalencia!$1:$23,((MAX(Equivalencia!$3:$3)-YEAR(T757))*14)+MONTH(T757)+2,FALSE)))</f>
        <v>0</v>
      </c>
      <c r="X757" s="178">
        <f t="shared" si="119"/>
        <v>0</v>
      </c>
      <c r="Y757" s="178">
        <f t="shared" si="120"/>
        <v>0</v>
      </c>
      <c r="Z757" s="175">
        <f t="shared" si="112"/>
        <v>0</v>
      </c>
      <c r="AA757" s="179"/>
      <c r="AB757" s="467">
        <f t="shared" si="113"/>
        <v>0</v>
      </c>
      <c r="AC757" s="466">
        <f t="shared" si="114"/>
        <v>0</v>
      </c>
    </row>
    <row r="758" spans="2:29" ht="20.100000000000001" customHeight="1">
      <c r="B758" s="172"/>
      <c r="C758" s="172"/>
      <c r="D758" s="172"/>
      <c r="E758" s="181"/>
      <c r="F758" s="173"/>
      <c r="G758" s="174"/>
      <c r="H758" s="284"/>
      <c r="I758" s="221"/>
      <c r="J758" s="177">
        <f>IF(H758=0,0,IF(F758="MXN",1/HLOOKUP(YEAR(G758)+(MONTH(G758)/100),TC!$5:$37,DAY(G758)+2,FALSE),VLOOKUP(F758,Equivalencia!$5:$23,((MAX(Equivalencia!$3:$3)-YEAR(G758))*14)+MONTH(G758)+2,FALSE)))</f>
        <v>0</v>
      </c>
      <c r="K758" s="217">
        <f t="shared" si="115"/>
        <v>0</v>
      </c>
      <c r="L758" s="462">
        <f>IF(G758=0,0,VLOOKUP(YEAR(G758),INPC!$B$4:$O$29,MONTH(G758)+1))</f>
        <v>0</v>
      </c>
      <c r="M758" s="462">
        <f>IF(T758=0,0,VLOOKUP(YEAR(T758),INPC!$B$4:$O$29,MONTH(T758)+1))</f>
        <v>0</v>
      </c>
      <c r="N758" s="463">
        <f t="shared" si="111"/>
        <v>0</v>
      </c>
      <c r="O758" s="464">
        <f t="shared" si="116"/>
        <v>0</v>
      </c>
      <c r="P758" s="465">
        <f t="shared" si="117"/>
        <v>0</v>
      </c>
      <c r="Q758" s="606" t="str">
        <f t="shared" si="118"/>
        <v>NO</v>
      </c>
      <c r="R758" s="180"/>
      <c r="S758" s="173"/>
      <c r="T758" s="174"/>
      <c r="U758" s="173"/>
      <c r="V758" s="220"/>
      <c r="W758" s="177">
        <f>IF(S758=0,0,IF(U758="MXN",1/HLOOKUP(YEAR(T758)+(MONTH(T758)/100),TC!$5:$37,DAY(T758)+2,FALSE),VLOOKUP(U758,Equivalencia!$1:$23,((MAX(Equivalencia!$3:$3)-YEAR(T758))*14)+MONTH(T758)+2,FALSE)))</f>
        <v>0</v>
      </c>
      <c r="X758" s="178">
        <f t="shared" si="119"/>
        <v>0</v>
      </c>
      <c r="Y758" s="178">
        <f t="shared" si="120"/>
        <v>0</v>
      </c>
      <c r="Z758" s="175">
        <f t="shared" si="112"/>
        <v>0</v>
      </c>
      <c r="AA758" s="179"/>
      <c r="AB758" s="467">
        <f t="shared" si="113"/>
        <v>0</v>
      </c>
      <c r="AC758" s="466">
        <f t="shared" si="114"/>
        <v>0</v>
      </c>
    </row>
    <row r="759" spans="2:29" ht="20.100000000000001" customHeight="1">
      <c r="B759" s="172"/>
      <c r="C759" s="172"/>
      <c r="D759" s="172"/>
      <c r="E759" s="181"/>
      <c r="F759" s="173"/>
      <c r="G759" s="174"/>
      <c r="H759" s="284"/>
      <c r="I759" s="221"/>
      <c r="J759" s="177">
        <f>IF(H759=0,0,IF(F759="MXN",1/HLOOKUP(YEAR(G759)+(MONTH(G759)/100),TC!$5:$37,DAY(G759)+2,FALSE),VLOOKUP(F759,Equivalencia!$5:$23,((MAX(Equivalencia!$3:$3)-YEAR(G759))*14)+MONTH(G759)+2,FALSE)))</f>
        <v>0</v>
      </c>
      <c r="K759" s="217">
        <f t="shared" si="115"/>
        <v>0</v>
      </c>
      <c r="L759" s="462">
        <f>IF(G759=0,0,VLOOKUP(YEAR(G759),INPC!$B$4:$O$29,MONTH(G759)+1))</f>
        <v>0</v>
      </c>
      <c r="M759" s="462">
        <f>IF(T759=0,0,VLOOKUP(YEAR(T759),INPC!$B$4:$O$29,MONTH(T759)+1))</f>
        <v>0</v>
      </c>
      <c r="N759" s="463">
        <f t="shared" si="111"/>
        <v>0</v>
      </c>
      <c r="O759" s="464">
        <f t="shared" si="116"/>
        <v>0</v>
      </c>
      <c r="P759" s="465">
        <f t="shared" si="117"/>
        <v>0</v>
      </c>
      <c r="Q759" s="606" t="str">
        <f t="shared" si="118"/>
        <v>NO</v>
      </c>
      <c r="R759" s="180"/>
      <c r="S759" s="173"/>
      <c r="T759" s="174"/>
      <c r="U759" s="173"/>
      <c r="V759" s="220"/>
      <c r="W759" s="177">
        <f>IF(S759=0,0,IF(U759="MXN",1/HLOOKUP(YEAR(T759)+(MONTH(T759)/100),TC!$5:$37,DAY(T759)+2,FALSE),VLOOKUP(U759,Equivalencia!$1:$23,((MAX(Equivalencia!$3:$3)-YEAR(T759))*14)+MONTH(T759)+2,FALSE)))</f>
        <v>0</v>
      </c>
      <c r="X759" s="178">
        <f t="shared" si="119"/>
        <v>0</v>
      </c>
      <c r="Y759" s="178">
        <f t="shared" si="120"/>
        <v>0</v>
      </c>
      <c r="Z759" s="175">
        <f t="shared" si="112"/>
        <v>0</v>
      </c>
      <c r="AA759" s="179"/>
      <c r="AB759" s="467">
        <f t="shared" si="113"/>
        <v>0</v>
      </c>
      <c r="AC759" s="466">
        <f t="shared" si="114"/>
        <v>0</v>
      </c>
    </row>
    <row r="760" spans="2:29" ht="20.100000000000001" customHeight="1">
      <c r="B760" s="172"/>
      <c r="C760" s="172"/>
      <c r="D760" s="172"/>
      <c r="E760" s="181"/>
      <c r="F760" s="173"/>
      <c r="G760" s="174"/>
      <c r="H760" s="284"/>
      <c r="I760" s="221"/>
      <c r="J760" s="177">
        <f>IF(H760=0,0,IF(F760="MXN",1/HLOOKUP(YEAR(G760)+(MONTH(G760)/100),TC!$5:$37,DAY(G760)+2,FALSE),VLOOKUP(F760,Equivalencia!$5:$23,((MAX(Equivalencia!$3:$3)-YEAR(G760))*14)+MONTH(G760)+2,FALSE)))</f>
        <v>0</v>
      </c>
      <c r="K760" s="217">
        <f t="shared" si="115"/>
        <v>0</v>
      </c>
      <c r="L760" s="462">
        <f>IF(G760=0,0,VLOOKUP(YEAR(G760),INPC!$B$4:$O$29,MONTH(G760)+1))</f>
        <v>0</v>
      </c>
      <c r="M760" s="462">
        <f>IF(T760=0,0,VLOOKUP(YEAR(T760),INPC!$B$4:$O$29,MONTH(T760)+1))</f>
        <v>0</v>
      </c>
      <c r="N760" s="463">
        <f t="shared" si="111"/>
        <v>0</v>
      </c>
      <c r="O760" s="464">
        <f t="shared" si="116"/>
        <v>0</v>
      </c>
      <c r="P760" s="465">
        <f t="shared" si="117"/>
        <v>0</v>
      </c>
      <c r="Q760" s="606" t="str">
        <f t="shared" si="118"/>
        <v>NO</v>
      </c>
      <c r="R760" s="180"/>
      <c r="S760" s="173"/>
      <c r="T760" s="174"/>
      <c r="U760" s="173"/>
      <c r="V760" s="220"/>
      <c r="W760" s="177">
        <f>IF(S760=0,0,IF(U760="MXN",1/HLOOKUP(YEAR(T760)+(MONTH(T760)/100),TC!$5:$37,DAY(T760)+2,FALSE),VLOOKUP(U760,Equivalencia!$1:$23,((MAX(Equivalencia!$3:$3)-YEAR(T760))*14)+MONTH(T760)+2,FALSE)))</f>
        <v>0</v>
      </c>
      <c r="X760" s="178">
        <f t="shared" si="119"/>
        <v>0</v>
      </c>
      <c r="Y760" s="178">
        <f t="shared" si="120"/>
        <v>0</v>
      </c>
      <c r="Z760" s="175">
        <f t="shared" si="112"/>
        <v>0</v>
      </c>
      <c r="AA760" s="179"/>
      <c r="AB760" s="467">
        <f t="shared" si="113"/>
        <v>0</v>
      </c>
      <c r="AC760" s="466">
        <f t="shared" si="114"/>
        <v>0</v>
      </c>
    </row>
    <row r="761" spans="2:29" ht="20.100000000000001" customHeight="1">
      <c r="B761" s="172"/>
      <c r="C761" s="172"/>
      <c r="D761" s="172"/>
      <c r="E761" s="181"/>
      <c r="F761" s="173"/>
      <c r="G761" s="174"/>
      <c r="H761" s="284"/>
      <c r="I761" s="221"/>
      <c r="J761" s="177">
        <f>IF(H761=0,0,IF(F761="MXN",1/HLOOKUP(YEAR(G761)+(MONTH(G761)/100),TC!$5:$37,DAY(G761)+2,FALSE),VLOOKUP(F761,Equivalencia!$5:$23,((MAX(Equivalencia!$3:$3)-YEAR(G761))*14)+MONTH(G761)+2,FALSE)))</f>
        <v>0</v>
      </c>
      <c r="K761" s="217">
        <f t="shared" si="115"/>
        <v>0</v>
      </c>
      <c r="L761" s="462">
        <f>IF(G761=0,0,VLOOKUP(YEAR(G761),INPC!$B$4:$O$29,MONTH(G761)+1))</f>
        <v>0</v>
      </c>
      <c r="M761" s="462">
        <f>IF(T761=0,0,VLOOKUP(YEAR(T761),INPC!$B$4:$O$29,MONTH(T761)+1))</f>
        <v>0</v>
      </c>
      <c r="N761" s="463">
        <f t="shared" si="111"/>
        <v>0</v>
      </c>
      <c r="O761" s="464">
        <f t="shared" si="116"/>
        <v>0</v>
      </c>
      <c r="P761" s="465">
        <f t="shared" si="117"/>
        <v>0</v>
      </c>
      <c r="Q761" s="606" t="str">
        <f t="shared" si="118"/>
        <v>NO</v>
      </c>
      <c r="R761" s="180"/>
      <c r="S761" s="173"/>
      <c r="T761" s="174"/>
      <c r="U761" s="173"/>
      <c r="V761" s="220"/>
      <c r="W761" s="177">
        <f>IF(S761=0,0,IF(U761="MXN",1/HLOOKUP(YEAR(T761)+(MONTH(T761)/100),TC!$5:$37,DAY(T761)+2,FALSE),VLOOKUP(U761,Equivalencia!$1:$23,((MAX(Equivalencia!$3:$3)-YEAR(T761))*14)+MONTH(T761)+2,FALSE)))</f>
        <v>0</v>
      </c>
      <c r="X761" s="178">
        <f t="shared" si="119"/>
        <v>0</v>
      </c>
      <c r="Y761" s="178">
        <f t="shared" si="120"/>
        <v>0</v>
      </c>
      <c r="Z761" s="175">
        <f t="shared" si="112"/>
        <v>0</v>
      </c>
      <c r="AA761" s="179"/>
      <c r="AB761" s="467">
        <f t="shared" si="113"/>
        <v>0</v>
      </c>
      <c r="AC761" s="466">
        <f t="shared" si="114"/>
        <v>0</v>
      </c>
    </row>
    <row r="762" spans="2:29" ht="20.100000000000001" customHeight="1">
      <c r="B762" s="172"/>
      <c r="C762" s="172"/>
      <c r="D762" s="172"/>
      <c r="E762" s="181"/>
      <c r="F762" s="173"/>
      <c r="G762" s="174"/>
      <c r="H762" s="284"/>
      <c r="I762" s="221"/>
      <c r="J762" s="177">
        <f>IF(H762=0,0,IF(F762="MXN",1/HLOOKUP(YEAR(G762)+(MONTH(G762)/100),TC!$5:$37,DAY(G762)+2,FALSE),VLOOKUP(F762,Equivalencia!$5:$23,((MAX(Equivalencia!$3:$3)-YEAR(G762))*14)+MONTH(G762)+2,FALSE)))</f>
        <v>0</v>
      </c>
      <c r="K762" s="217">
        <f t="shared" si="115"/>
        <v>0</v>
      </c>
      <c r="L762" s="462">
        <f>IF(G762=0,0,VLOOKUP(YEAR(G762),INPC!$B$4:$O$29,MONTH(G762)+1))</f>
        <v>0</v>
      </c>
      <c r="M762" s="462">
        <f>IF(T762=0,0,VLOOKUP(YEAR(T762),INPC!$B$4:$O$29,MONTH(T762)+1))</f>
        <v>0</v>
      </c>
      <c r="N762" s="463">
        <f t="shared" si="111"/>
        <v>0</v>
      </c>
      <c r="O762" s="464">
        <f t="shared" si="116"/>
        <v>0</v>
      </c>
      <c r="P762" s="465">
        <f t="shared" si="117"/>
        <v>0</v>
      </c>
      <c r="Q762" s="606" t="str">
        <f t="shared" si="118"/>
        <v>NO</v>
      </c>
      <c r="R762" s="180"/>
      <c r="S762" s="173"/>
      <c r="T762" s="174"/>
      <c r="U762" s="173"/>
      <c r="V762" s="220"/>
      <c r="W762" s="177">
        <f>IF(S762=0,0,IF(U762="MXN",1/HLOOKUP(YEAR(T762)+(MONTH(T762)/100),TC!$5:$37,DAY(T762)+2,FALSE),VLOOKUP(U762,Equivalencia!$1:$23,((MAX(Equivalencia!$3:$3)-YEAR(T762))*14)+MONTH(T762)+2,FALSE)))</f>
        <v>0</v>
      </c>
      <c r="X762" s="178">
        <f t="shared" si="119"/>
        <v>0</v>
      </c>
      <c r="Y762" s="178">
        <f t="shared" si="120"/>
        <v>0</v>
      </c>
      <c r="Z762" s="175">
        <f t="shared" si="112"/>
        <v>0</v>
      </c>
      <c r="AA762" s="179"/>
      <c r="AB762" s="467">
        <f t="shared" si="113"/>
        <v>0</v>
      </c>
      <c r="AC762" s="466">
        <f t="shared" si="114"/>
        <v>0</v>
      </c>
    </row>
    <row r="763" spans="2:29" ht="20.100000000000001" customHeight="1">
      <c r="B763" s="172"/>
      <c r="C763" s="172"/>
      <c r="D763" s="172"/>
      <c r="E763" s="181"/>
      <c r="F763" s="173"/>
      <c r="G763" s="174"/>
      <c r="H763" s="284"/>
      <c r="I763" s="221"/>
      <c r="J763" s="177">
        <f>IF(H763=0,0,IF(F763="MXN",1/HLOOKUP(YEAR(G763)+(MONTH(G763)/100),TC!$5:$37,DAY(G763)+2,FALSE),VLOOKUP(F763,Equivalencia!$5:$23,((MAX(Equivalencia!$3:$3)-YEAR(G763))*14)+MONTH(G763)+2,FALSE)))</f>
        <v>0</v>
      </c>
      <c r="K763" s="217">
        <f t="shared" si="115"/>
        <v>0</v>
      </c>
      <c r="L763" s="462">
        <f>IF(G763=0,0,VLOOKUP(YEAR(G763),INPC!$B$4:$O$29,MONTH(G763)+1))</f>
        <v>0</v>
      </c>
      <c r="M763" s="462">
        <f>IF(T763=0,0,VLOOKUP(YEAR(T763),INPC!$B$4:$O$29,MONTH(T763)+1))</f>
        <v>0</v>
      </c>
      <c r="N763" s="463">
        <f t="shared" si="111"/>
        <v>0</v>
      </c>
      <c r="O763" s="464">
        <f t="shared" si="116"/>
        <v>0</v>
      </c>
      <c r="P763" s="465">
        <f t="shared" si="117"/>
        <v>0</v>
      </c>
      <c r="Q763" s="606" t="str">
        <f t="shared" si="118"/>
        <v>NO</v>
      </c>
      <c r="R763" s="180"/>
      <c r="S763" s="173"/>
      <c r="T763" s="174"/>
      <c r="U763" s="173"/>
      <c r="V763" s="220"/>
      <c r="W763" s="177">
        <f>IF(S763=0,0,IF(U763="MXN",1/HLOOKUP(YEAR(T763)+(MONTH(T763)/100),TC!$5:$37,DAY(T763)+2,FALSE),VLOOKUP(U763,Equivalencia!$1:$23,((MAX(Equivalencia!$3:$3)-YEAR(T763))*14)+MONTH(T763)+2,FALSE)))</f>
        <v>0</v>
      </c>
      <c r="X763" s="178">
        <f t="shared" si="119"/>
        <v>0</v>
      </c>
      <c r="Y763" s="178">
        <f t="shared" si="120"/>
        <v>0</v>
      </c>
      <c r="Z763" s="175">
        <f t="shared" si="112"/>
        <v>0</v>
      </c>
      <c r="AA763" s="179"/>
      <c r="AB763" s="467">
        <f t="shared" si="113"/>
        <v>0</v>
      </c>
      <c r="AC763" s="466">
        <f t="shared" si="114"/>
        <v>0</v>
      </c>
    </row>
    <row r="764" spans="2:29" ht="20.100000000000001" customHeight="1">
      <c r="B764" s="172"/>
      <c r="C764" s="172"/>
      <c r="D764" s="172"/>
      <c r="E764" s="181"/>
      <c r="F764" s="173"/>
      <c r="G764" s="174"/>
      <c r="H764" s="284"/>
      <c r="I764" s="221"/>
      <c r="J764" s="177">
        <f>IF(H764=0,0,IF(F764="MXN",1/HLOOKUP(YEAR(G764)+(MONTH(G764)/100),TC!$5:$37,DAY(G764)+2,FALSE),VLOOKUP(F764,Equivalencia!$5:$23,((MAX(Equivalencia!$3:$3)-YEAR(G764))*14)+MONTH(G764)+2,FALSE)))</f>
        <v>0</v>
      </c>
      <c r="K764" s="217">
        <f t="shared" si="115"/>
        <v>0</v>
      </c>
      <c r="L764" s="462">
        <f>IF(G764=0,0,VLOOKUP(YEAR(G764),INPC!$B$4:$O$29,MONTH(G764)+1))</f>
        <v>0</v>
      </c>
      <c r="M764" s="462">
        <f>IF(T764=0,0,VLOOKUP(YEAR(T764),INPC!$B$4:$O$29,MONTH(T764)+1))</f>
        <v>0</v>
      </c>
      <c r="N764" s="463">
        <f t="shared" si="111"/>
        <v>0</v>
      </c>
      <c r="O764" s="464">
        <f t="shared" si="116"/>
        <v>0</v>
      </c>
      <c r="P764" s="465">
        <f t="shared" si="117"/>
        <v>0</v>
      </c>
      <c r="Q764" s="606" t="str">
        <f t="shared" si="118"/>
        <v>NO</v>
      </c>
      <c r="R764" s="180"/>
      <c r="S764" s="173"/>
      <c r="T764" s="174"/>
      <c r="U764" s="173"/>
      <c r="V764" s="220"/>
      <c r="W764" s="177">
        <f>IF(S764=0,0,IF(U764="MXN",1/HLOOKUP(YEAR(T764)+(MONTH(T764)/100),TC!$5:$37,DAY(T764)+2,FALSE),VLOOKUP(U764,Equivalencia!$1:$23,((MAX(Equivalencia!$3:$3)-YEAR(T764))*14)+MONTH(T764)+2,FALSE)))</f>
        <v>0</v>
      </c>
      <c r="X764" s="178">
        <f t="shared" si="119"/>
        <v>0</v>
      </c>
      <c r="Y764" s="178">
        <f t="shared" si="120"/>
        <v>0</v>
      </c>
      <c r="Z764" s="175">
        <f t="shared" si="112"/>
        <v>0</v>
      </c>
      <c r="AA764" s="179"/>
      <c r="AB764" s="467">
        <f t="shared" si="113"/>
        <v>0</v>
      </c>
      <c r="AC764" s="466">
        <f t="shared" si="114"/>
        <v>0</v>
      </c>
    </row>
    <row r="765" spans="2:29" ht="20.100000000000001" customHeight="1">
      <c r="B765" s="172"/>
      <c r="C765" s="172"/>
      <c r="D765" s="172"/>
      <c r="E765" s="181"/>
      <c r="F765" s="173"/>
      <c r="G765" s="174"/>
      <c r="H765" s="284"/>
      <c r="I765" s="221"/>
      <c r="J765" s="177">
        <f>IF(H765=0,0,IF(F765="MXN",1/HLOOKUP(YEAR(G765)+(MONTH(G765)/100),TC!$5:$37,DAY(G765)+2,FALSE),VLOOKUP(F765,Equivalencia!$5:$23,((MAX(Equivalencia!$3:$3)-YEAR(G765))*14)+MONTH(G765)+2,FALSE)))</f>
        <v>0</v>
      </c>
      <c r="K765" s="217">
        <f t="shared" si="115"/>
        <v>0</v>
      </c>
      <c r="L765" s="462">
        <f>IF(G765=0,0,VLOOKUP(YEAR(G765),INPC!$B$4:$O$29,MONTH(G765)+1))</f>
        <v>0</v>
      </c>
      <c r="M765" s="462">
        <f>IF(T765=0,0,VLOOKUP(YEAR(T765),INPC!$B$4:$O$29,MONTH(T765)+1))</f>
        <v>0</v>
      </c>
      <c r="N765" s="463">
        <f t="shared" si="111"/>
        <v>0</v>
      </c>
      <c r="O765" s="464">
        <f t="shared" si="116"/>
        <v>0</v>
      </c>
      <c r="P765" s="465">
        <f t="shared" si="117"/>
        <v>0</v>
      </c>
      <c r="Q765" s="606" t="str">
        <f t="shared" si="118"/>
        <v>NO</v>
      </c>
      <c r="R765" s="180"/>
      <c r="S765" s="173"/>
      <c r="T765" s="174"/>
      <c r="U765" s="173"/>
      <c r="V765" s="220"/>
      <c r="W765" s="177">
        <f>IF(S765=0,0,IF(U765="MXN",1/HLOOKUP(YEAR(T765)+(MONTH(T765)/100),TC!$5:$37,DAY(T765)+2,FALSE),VLOOKUP(U765,Equivalencia!$1:$23,((MAX(Equivalencia!$3:$3)-YEAR(T765))*14)+MONTH(T765)+2,FALSE)))</f>
        <v>0</v>
      </c>
      <c r="X765" s="178">
        <f t="shared" si="119"/>
        <v>0</v>
      </c>
      <c r="Y765" s="178">
        <f t="shared" si="120"/>
        <v>0</v>
      </c>
      <c r="Z765" s="175">
        <f t="shared" si="112"/>
        <v>0</v>
      </c>
      <c r="AA765" s="179"/>
      <c r="AB765" s="467">
        <f t="shared" si="113"/>
        <v>0</v>
      </c>
      <c r="AC765" s="466">
        <f t="shared" si="114"/>
        <v>0</v>
      </c>
    </row>
    <row r="766" spans="2:29" ht="20.100000000000001" customHeight="1">
      <c r="B766" s="172"/>
      <c r="C766" s="172"/>
      <c r="D766" s="172"/>
      <c r="E766" s="181"/>
      <c r="F766" s="173"/>
      <c r="G766" s="174"/>
      <c r="H766" s="284"/>
      <c r="I766" s="221"/>
      <c r="J766" s="177">
        <f>IF(H766=0,0,IF(F766="MXN",1/HLOOKUP(YEAR(G766)+(MONTH(G766)/100),TC!$5:$37,DAY(G766)+2,FALSE),VLOOKUP(F766,Equivalencia!$5:$23,((MAX(Equivalencia!$3:$3)-YEAR(G766))*14)+MONTH(G766)+2,FALSE)))</f>
        <v>0</v>
      </c>
      <c r="K766" s="217">
        <f t="shared" si="115"/>
        <v>0</v>
      </c>
      <c r="L766" s="462">
        <f>IF(G766=0,0,VLOOKUP(YEAR(G766),INPC!$B$4:$O$29,MONTH(G766)+1))</f>
        <v>0</v>
      </c>
      <c r="M766" s="462">
        <f>IF(T766=0,0,VLOOKUP(YEAR(T766),INPC!$B$4:$O$29,MONTH(T766)+1))</f>
        <v>0</v>
      </c>
      <c r="N766" s="463">
        <f t="shared" si="111"/>
        <v>0</v>
      </c>
      <c r="O766" s="464">
        <f t="shared" si="116"/>
        <v>0</v>
      </c>
      <c r="P766" s="465">
        <f t="shared" si="117"/>
        <v>0</v>
      </c>
      <c r="Q766" s="606" t="str">
        <f t="shared" si="118"/>
        <v>NO</v>
      </c>
      <c r="R766" s="180"/>
      <c r="S766" s="173"/>
      <c r="T766" s="174"/>
      <c r="U766" s="173"/>
      <c r="V766" s="220"/>
      <c r="W766" s="177">
        <f>IF(S766=0,0,IF(U766="MXN",1/HLOOKUP(YEAR(T766)+(MONTH(T766)/100),TC!$5:$37,DAY(T766)+2,FALSE),VLOOKUP(U766,Equivalencia!$1:$23,((MAX(Equivalencia!$3:$3)-YEAR(T766))*14)+MONTH(T766)+2,FALSE)))</f>
        <v>0</v>
      </c>
      <c r="X766" s="178">
        <f t="shared" si="119"/>
        <v>0</v>
      </c>
      <c r="Y766" s="178">
        <f t="shared" si="120"/>
        <v>0</v>
      </c>
      <c r="Z766" s="175">
        <f t="shared" si="112"/>
        <v>0</v>
      </c>
      <c r="AA766" s="179"/>
      <c r="AB766" s="467">
        <f t="shared" si="113"/>
        <v>0</v>
      </c>
      <c r="AC766" s="466">
        <f t="shared" si="114"/>
        <v>0</v>
      </c>
    </row>
    <row r="767" spans="2:29" ht="20.100000000000001" customHeight="1">
      <c r="B767" s="172"/>
      <c r="C767" s="172"/>
      <c r="D767" s="172"/>
      <c r="E767" s="181"/>
      <c r="F767" s="173"/>
      <c r="G767" s="174"/>
      <c r="H767" s="284"/>
      <c r="I767" s="221"/>
      <c r="J767" s="177">
        <f>IF(H767=0,0,IF(F767="MXN",1/HLOOKUP(YEAR(G767)+(MONTH(G767)/100),TC!$5:$37,DAY(G767)+2,FALSE),VLOOKUP(F767,Equivalencia!$5:$23,((MAX(Equivalencia!$3:$3)-YEAR(G767))*14)+MONTH(G767)+2,FALSE)))</f>
        <v>0</v>
      </c>
      <c r="K767" s="217">
        <f t="shared" si="115"/>
        <v>0</v>
      </c>
      <c r="L767" s="462">
        <f>IF(G767=0,0,VLOOKUP(YEAR(G767),INPC!$B$4:$O$29,MONTH(G767)+1))</f>
        <v>0</v>
      </c>
      <c r="M767" s="462">
        <f>IF(T767=0,0,VLOOKUP(YEAR(T767),INPC!$B$4:$O$29,MONTH(T767)+1))</f>
        <v>0</v>
      </c>
      <c r="N767" s="463">
        <f t="shared" si="111"/>
        <v>0</v>
      </c>
      <c r="O767" s="464">
        <f t="shared" si="116"/>
        <v>0</v>
      </c>
      <c r="P767" s="465">
        <f t="shared" si="117"/>
        <v>0</v>
      </c>
      <c r="Q767" s="606" t="str">
        <f t="shared" si="118"/>
        <v>NO</v>
      </c>
      <c r="R767" s="180"/>
      <c r="S767" s="173"/>
      <c r="T767" s="174"/>
      <c r="U767" s="173"/>
      <c r="V767" s="220"/>
      <c r="W767" s="177">
        <f>IF(S767=0,0,IF(U767="MXN",1/HLOOKUP(YEAR(T767)+(MONTH(T767)/100),TC!$5:$37,DAY(T767)+2,FALSE),VLOOKUP(U767,Equivalencia!$1:$23,((MAX(Equivalencia!$3:$3)-YEAR(T767))*14)+MONTH(T767)+2,FALSE)))</f>
        <v>0</v>
      </c>
      <c r="X767" s="178">
        <f t="shared" si="119"/>
        <v>0</v>
      </c>
      <c r="Y767" s="178">
        <f t="shared" si="120"/>
        <v>0</v>
      </c>
      <c r="Z767" s="175">
        <f t="shared" si="112"/>
        <v>0</v>
      </c>
      <c r="AA767" s="179"/>
      <c r="AB767" s="467">
        <f t="shared" si="113"/>
        <v>0</v>
      </c>
      <c r="AC767" s="466">
        <f t="shared" si="114"/>
        <v>0</v>
      </c>
    </row>
    <row r="768" spans="2:29" ht="20.100000000000001" customHeight="1">
      <c r="B768" s="172"/>
      <c r="C768" s="172"/>
      <c r="D768" s="172"/>
      <c r="E768" s="181"/>
      <c r="F768" s="173"/>
      <c r="G768" s="174"/>
      <c r="H768" s="284"/>
      <c r="I768" s="221"/>
      <c r="J768" s="177">
        <f>IF(H768=0,0,IF(F768="MXN",1/HLOOKUP(YEAR(G768)+(MONTH(G768)/100),TC!$5:$37,DAY(G768)+2,FALSE),VLOOKUP(F768,Equivalencia!$5:$23,((MAX(Equivalencia!$3:$3)-YEAR(G768))*14)+MONTH(G768)+2,FALSE)))</f>
        <v>0</v>
      </c>
      <c r="K768" s="217">
        <f t="shared" si="115"/>
        <v>0</v>
      </c>
      <c r="L768" s="462">
        <f>IF(G768=0,0,VLOOKUP(YEAR(G768),INPC!$B$4:$O$29,MONTH(G768)+1))</f>
        <v>0</v>
      </c>
      <c r="M768" s="462">
        <f>IF(T768=0,0,VLOOKUP(YEAR(T768),INPC!$B$4:$O$29,MONTH(T768)+1))</f>
        <v>0</v>
      </c>
      <c r="N768" s="463">
        <f t="shared" si="111"/>
        <v>0</v>
      </c>
      <c r="O768" s="464">
        <f t="shared" si="116"/>
        <v>0</v>
      </c>
      <c r="P768" s="465">
        <f t="shared" si="117"/>
        <v>0</v>
      </c>
      <c r="Q768" s="606" t="str">
        <f t="shared" si="118"/>
        <v>NO</v>
      </c>
      <c r="R768" s="180"/>
      <c r="S768" s="173"/>
      <c r="T768" s="174"/>
      <c r="U768" s="173"/>
      <c r="V768" s="220"/>
      <c r="W768" s="177">
        <f>IF(S768=0,0,IF(U768="MXN",1/HLOOKUP(YEAR(T768)+(MONTH(T768)/100),TC!$5:$37,DAY(T768)+2,FALSE),VLOOKUP(U768,Equivalencia!$1:$23,((MAX(Equivalencia!$3:$3)-YEAR(T768))*14)+MONTH(T768)+2,FALSE)))</f>
        <v>0</v>
      </c>
      <c r="X768" s="178">
        <f t="shared" si="119"/>
        <v>0</v>
      </c>
      <c r="Y768" s="178">
        <f t="shared" si="120"/>
        <v>0</v>
      </c>
      <c r="Z768" s="175">
        <f t="shared" si="112"/>
        <v>0</v>
      </c>
      <c r="AA768" s="179"/>
      <c r="AB768" s="467">
        <f t="shared" si="113"/>
        <v>0</v>
      </c>
      <c r="AC768" s="466">
        <f t="shared" si="114"/>
        <v>0</v>
      </c>
    </row>
    <row r="769" spans="2:29" ht="20.100000000000001" customHeight="1">
      <c r="B769" s="172"/>
      <c r="C769" s="172"/>
      <c r="D769" s="172"/>
      <c r="E769" s="181"/>
      <c r="F769" s="173"/>
      <c r="G769" s="174"/>
      <c r="H769" s="284"/>
      <c r="I769" s="221"/>
      <c r="J769" s="177">
        <f>IF(H769=0,0,IF(F769="MXN",1/HLOOKUP(YEAR(G769)+(MONTH(G769)/100),TC!$5:$37,DAY(G769)+2,FALSE),VLOOKUP(F769,Equivalencia!$5:$23,((MAX(Equivalencia!$3:$3)-YEAR(G769))*14)+MONTH(G769)+2,FALSE)))</f>
        <v>0</v>
      </c>
      <c r="K769" s="217">
        <f t="shared" si="115"/>
        <v>0</v>
      </c>
      <c r="L769" s="462">
        <f>IF(G769=0,0,VLOOKUP(YEAR(G769),INPC!$B$4:$O$29,MONTH(G769)+1))</f>
        <v>0</v>
      </c>
      <c r="M769" s="462">
        <f>IF(T769=0,0,VLOOKUP(YEAR(T769),INPC!$B$4:$O$29,MONTH(T769)+1))</f>
        <v>0</v>
      </c>
      <c r="N769" s="463">
        <f t="shared" si="111"/>
        <v>0</v>
      </c>
      <c r="O769" s="464">
        <f t="shared" si="116"/>
        <v>0</v>
      </c>
      <c r="P769" s="465">
        <f t="shared" si="117"/>
        <v>0</v>
      </c>
      <c r="Q769" s="606" t="str">
        <f t="shared" si="118"/>
        <v>NO</v>
      </c>
      <c r="R769" s="180"/>
      <c r="S769" s="173"/>
      <c r="T769" s="174"/>
      <c r="U769" s="173"/>
      <c r="V769" s="220"/>
      <c r="W769" s="177">
        <f>IF(S769=0,0,IF(U769="MXN",1/HLOOKUP(YEAR(T769)+(MONTH(T769)/100),TC!$5:$37,DAY(T769)+2,FALSE),VLOOKUP(U769,Equivalencia!$1:$23,((MAX(Equivalencia!$3:$3)-YEAR(T769))*14)+MONTH(T769)+2,FALSE)))</f>
        <v>0</v>
      </c>
      <c r="X769" s="178">
        <f t="shared" si="119"/>
        <v>0</v>
      </c>
      <c r="Y769" s="178">
        <f t="shared" si="120"/>
        <v>0</v>
      </c>
      <c r="Z769" s="175">
        <f t="shared" si="112"/>
        <v>0</v>
      </c>
      <c r="AA769" s="179"/>
      <c r="AB769" s="467">
        <f t="shared" si="113"/>
        <v>0</v>
      </c>
      <c r="AC769" s="466">
        <f t="shared" si="114"/>
        <v>0</v>
      </c>
    </row>
    <row r="770" spans="2:29" ht="20.100000000000001" customHeight="1">
      <c r="B770" s="172"/>
      <c r="C770" s="172"/>
      <c r="D770" s="172"/>
      <c r="E770" s="181"/>
      <c r="F770" s="173"/>
      <c r="G770" s="174"/>
      <c r="H770" s="284"/>
      <c r="I770" s="221"/>
      <c r="J770" s="177">
        <f>IF(H770=0,0,IF(F770="MXN",1/HLOOKUP(YEAR(G770)+(MONTH(G770)/100),TC!$5:$37,DAY(G770)+2,FALSE),VLOOKUP(F770,Equivalencia!$5:$23,((MAX(Equivalencia!$3:$3)-YEAR(G770))*14)+MONTH(G770)+2,FALSE)))</f>
        <v>0</v>
      </c>
      <c r="K770" s="217">
        <f t="shared" si="115"/>
        <v>0</v>
      </c>
      <c r="L770" s="462">
        <f>IF(G770=0,0,VLOOKUP(YEAR(G770),INPC!$B$4:$O$29,MONTH(G770)+1))</f>
        <v>0</v>
      </c>
      <c r="M770" s="462">
        <f>IF(T770=0,0,VLOOKUP(YEAR(T770),INPC!$B$4:$O$29,MONTH(T770)+1))</f>
        <v>0</v>
      </c>
      <c r="N770" s="463">
        <f t="shared" ref="N770:N833" si="121">IF(T770=0,0,IF(TRUNC(M770/L770,4)&gt;=1,TRUNC(M770/L770,4),1))</f>
        <v>0</v>
      </c>
      <c r="O770" s="464">
        <f t="shared" si="116"/>
        <v>0</v>
      </c>
      <c r="P770" s="465">
        <f t="shared" si="117"/>
        <v>0</v>
      </c>
      <c r="Q770" s="606" t="str">
        <f t="shared" si="118"/>
        <v>NO</v>
      </c>
      <c r="R770" s="180"/>
      <c r="S770" s="173"/>
      <c r="T770" s="174"/>
      <c r="U770" s="173"/>
      <c r="V770" s="220"/>
      <c r="W770" s="177">
        <f>IF(S770=0,0,IF(U770="MXN",1/HLOOKUP(YEAR(T770)+(MONTH(T770)/100),TC!$5:$37,DAY(T770)+2,FALSE),VLOOKUP(U770,Equivalencia!$1:$23,((MAX(Equivalencia!$3:$3)-YEAR(T770))*14)+MONTH(T770)+2,FALSE)))</f>
        <v>0</v>
      </c>
      <c r="X770" s="178">
        <f t="shared" si="119"/>
        <v>0</v>
      </c>
      <c r="Y770" s="178">
        <f t="shared" si="120"/>
        <v>0</v>
      </c>
      <c r="Z770" s="175">
        <f t="shared" ref="Z770:Z833" si="122">+X770+Y770</f>
        <v>0</v>
      </c>
      <c r="AA770" s="179"/>
      <c r="AB770" s="467">
        <f t="shared" ref="AB770:AB833" si="123">+X770+AC770</f>
        <v>0</v>
      </c>
      <c r="AC770" s="466">
        <f t="shared" ref="AC770:AC833" si="124">+R770*P770</f>
        <v>0</v>
      </c>
    </row>
    <row r="771" spans="2:29" ht="20.100000000000001" customHeight="1">
      <c r="B771" s="172"/>
      <c r="C771" s="172"/>
      <c r="D771" s="172"/>
      <c r="E771" s="181"/>
      <c r="F771" s="173"/>
      <c r="G771" s="174"/>
      <c r="H771" s="284"/>
      <c r="I771" s="221"/>
      <c r="J771" s="177">
        <f>IF(H771=0,0,IF(F771="MXN",1/HLOOKUP(YEAR(G771)+(MONTH(G771)/100),TC!$5:$37,DAY(G771)+2,FALSE),VLOOKUP(F771,Equivalencia!$5:$23,((MAX(Equivalencia!$3:$3)-YEAR(G771))*14)+MONTH(G771)+2,FALSE)))</f>
        <v>0</v>
      </c>
      <c r="K771" s="217">
        <f t="shared" ref="K771:K834" si="125">+I771*J771</f>
        <v>0</v>
      </c>
      <c r="L771" s="462">
        <f>IF(G771=0,0,VLOOKUP(YEAR(G771),INPC!$B$4:$O$29,MONTH(G771)+1))</f>
        <v>0</v>
      </c>
      <c r="M771" s="462">
        <f>IF(T771=0,0,VLOOKUP(YEAR(T771),INPC!$B$4:$O$29,MONTH(T771)+1))</f>
        <v>0</v>
      </c>
      <c r="N771" s="463">
        <f t="shared" si="121"/>
        <v>0</v>
      </c>
      <c r="O771" s="464">
        <f t="shared" ref="O771:O834" si="126">+N771*K771</f>
        <v>0</v>
      </c>
      <c r="P771" s="465">
        <f t="shared" ref="P771:P834" si="127">IF(R771=0,0,O771/R771)</f>
        <v>0</v>
      </c>
      <c r="Q771" s="606" t="str">
        <f t="shared" ref="Q771:Q834" si="128">IF(T771=0,"NO","SI")</f>
        <v>NO</v>
      </c>
      <c r="R771" s="180"/>
      <c r="S771" s="173"/>
      <c r="T771" s="174"/>
      <c r="U771" s="173"/>
      <c r="V771" s="220"/>
      <c r="W771" s="177">
        <f>IF(S771=0,0,IF(U771="MXN",1/HLOOKUP(YEAR(T771)+(MONTH(T771)/100),TC!$5:$37,DAY(T771)+2,FALSE),VLOOKUP(U771,Equivalencia!$1:$23,((MAX(Equivalencia!$3:$3)-YEAR(T771))*14)+MONTH(T771)+2,FALSE)))</f>
        <v>0</v>
      </c>
      <c r="X771" s="178">
        <f t="shared" ref="X771:X834" si="129">+W771*V771</f>
        <v>0</v>
      </c>
      <c r="Y771" s="178">
        <f t="shared" ref="Y771:Y834" si="130">+K771</f>
        <v>0</v>
      </c>
      <c r="Z771" s="175">
        <f t="shared" si="122"/>
        <v>0</v>
      </c>
      <c r="AA771" s="179"/>
      <c r="AB771" s="467">
        <f t="shared" si="123"/>
        <v>0</v>
      </c>
      <c r="AC771" s="466">
        <f t="shared" si="124"/>
        <v>0</v>
      </c>
    </row>
    <row r="772" spans="2:29" ht="20.100000000000001" customHeight="1">
      <c r="B772" s="172"/>
      <c r="C772" s="172"/>
      <c r="D772" s="172"/>
      <c r="E772" s="181"/>
      <c r="F772" s="173"/>
      <c r="G772" s="174"/>
      <c r="H772" s="284"/>
      <c r="I772" s="221"/>
      <c r="J772" s="177">
        <f>IF(H772=0,0,IF(F772="MXN",1/HLOOKUP(YEAR(G772)+(MONTH(G772)/100),TC!$5:$37,DAY(G772)+2,FALSE),VLOOKUP(F772,Equivalencia!$5:$23,((MAX(Equivalencia!$3:$3)-YEAR(G772))*14)+MONTH(G772)+2,FALSE)))</f>
        <v>0</v>
      </c>
      <c r="K772" s="217">
        <f t="shared" si="125"/>
        <v>0</v>
      </c>
      <c r="L772" s="462">
        <f>IF(G772=0,0,VLOOKUP(YEAR(G772),INPC!$B$4:$O$29,MONTH(G772)+1))</f>
        <v>0</v>
      </c>
      <c r="M772" s="462">
        <f>IF(T772=0,0,VLOOKUP(YEAR(T772),INPC!$B$4:$O$29,MONTH(T772)+1))</f>
        <v>0</v>
      </c>
      <c r="N772" s="463">
        <f t="shared" si="121"/>
        <v>0</v>
      </c>
      <c r="O772" s="464">
        <f t="shared" si="126"/>
        <v>0</v>
      </c>
      <c r="P772" s="465">
        <f t="shared" si="127"/>
        <v>0</v>
      </c>
      <c r="Q772" s="606" t="str">
        <f t="shared" si="128"/>
        <v>NO</v>
      </c>
      <c r="R772" s="180"/>
      <c r="S772" s="173"/>
      <c r="T772" s="174"/>
      <c r="U772" s="173"/>
      <c r="V772" s="220"/>
      <c r="W772" s="177">
        <f>IF(S772=0,0,IF(U772="MXN",1/HLOOKUP(YEAR(T772)+(MONTH(T772)/100),TC!$5:$37,DAY(T772)+2,FALSE),VLOOKUP(U772,Equivalencia!$1:$23,((MAX(Equivalencia!$3:$3)-YEAR(T772))*14)+MONTH(T772)+2,FALSE)))</f>
        <v>0</v>
      </c>
      <c r="X772" s="178">
        <f t="shared" si="129"/>
        <v>0</v>
      </c>
      <c r="Y772" s="178">
        <f t="shared" si="130"/>
        <v>0</v>
      </c>
      <c r="Z772" s="175">
        <f t="shared" si="122"/>
        <v>0</v>
      </c>
      <c r="AA772" s="179"/>
      <c r="AB772" s="467">
        <f t="shared" si="123"/>
        <v>0</v>
      </c>
      <c r="AC772" s="466">
        <f t="shared" si="124"/>
        <v>0</v>
      </c>
    </row>
    <row r="773" spans="2:29" ht="20.100000000000001" customHeight="1">
      <c r="B773" s="172"/>
      <c r="C773" s="172"/>
      <c r="D773" s="172"/>
      <c r="E773" s="181"/>
      <c r="F773" s="173"/>
      <c r="G773" s="174"/>
      <c r="H773" s="284"/>
      <c r="I773" s="221"/>
      <c r="J773" s="177">
        <f>IF(H773=0,0,IF(F773="MXN",1/HLOOKUP(YEAR(G773)+(MONTH(G773)/100),TC!$5:$37,DAY(G773)+2,FALSE),VLOOKUP(F773,Equivalencia!$5:$23,((MAX(Equivalencia!$3:$3)-YEAR(G773))*14)+MONTH(G773)+2,FALSE)))</f>
        <v>0</v>
      </c>
      <c r="K773" s="217">
        <f t="shared" si="125"/>
        <v>0</v>
      </c>
      <c r="L773" s="462">
        <f>IF(G773=0,0,VLOOKUP(YEAR(G773),INPC!$B$4:$O$29,MONTH(G773)+1))</f>
        <v>0</v>
      </c>
      <c r="M773" s="462">
        <f>IF(T773=0,0,VLOOKUP(YEAR(T773),INPC!$B$4:$O$29,MONTH(T773)+1))</f>
        <v>0</v>
      </c>
      <c r="N773" s="463">
        <f t="shared" si="121"/>
        <v>0</v>
      </c>
      <c r="O773" s="464">
        <f t="shared" si="126"/>
        <v>0</v>
      </c>
      <c r="P773" s="465">
        <f t="shared" si="127"/>
        <v>0</v>
      </c>
      <c r="Q773" s="606" t="str">
        <f t="shared" si="128"/>
        <v>NO</v>
      </c>
      <c r="R773" s="180"/>
      <c r="S773" s="173"/>
      <c r="T773" s="174"/>
      <c r="U773" s="173"/>
      <c r="V773" s="220"/>
      <c r="W773" s="177">
        <f>IF(S773=0,0,IF(U773="MXN",1/HLOOKUP(YEAR(T773)+(MONTH(T773)/100),TC!$5:$37,DAY(T773)+2,FALSE),VLOOKUP(U773,Equivalencia!$1:$23,((MAX(Equivalencia!$3:$3)-YEAR(T773))*14)+MONTH(T773)+2,FALSE)))</f>
        <v>0</v>
      </c>
      <c r="X773" s="178">
        <f t="shared" si="129"/>
        <v>0</v>
      </c>
      <c r="Y773" s="178">
        <f t="shared" si="130"/>
        <v>0</v>
      </c>
      <c r="Z773" s="175">
        <f t="shared" si="122"/>
        <v>0</v>
      </c>
      <c r="AA773" s="179"/>
      <c r="AB773" s="467">
        <f t="shared" si="123"/>
        <v>0</v>
      </c>
      <c r="AC773" s="466">
        <f t="shared" si="124"/>
        <v>0</v>
      </c>
    </row>
    <row r="774" spans="2:29" ht="20.100000000000001" customHeight="1">
      <c r="B774" s="172"/>
      <c r="C774" s="172"/>
      <c r="D774" s="172"/>
      <c r="E774" s="181"/>
      <c r="F774" s="173"/>
      <c r="G774" s="174"/>
      <c r="H774" s="284"/>
      <c r="I774" s="221"/>
      <c r="J774" s="177">
        <f>IF(H774=0,0,IF(F774="MXN",1/HLOOKUP(YEAR(G774)+(MONTH(G774)/100),TC!$5:$37,DAY(G774)+2,FALSE),VLOOKUP(F774,Equivalencia!$5:$23,((MAX(Equivalencia!$3:$3)-YEAR(G774))*14)+MONTH(G774)+2,FALSE)))</f>
        <v>0</v>
      </c>
      <c r="K774" s="217">
        <f t="shared" si="125"/>
        <v>0</v>
      </c>
      <c r="L774" s="462">
        <f>IF(G774=0,0,VLOOKUP(YEAR(G774),INPC!$B$4:$O$29,MONTH(G774)+1))</f>
        <v>0</v>
      </c>
      <c r="M774" s="462">
        <f>IF(T774=0,0,VLOOKUP(YEAR(T774),INPC!$B$4:$O$29,MONTH(T774)+1))</f>
        <v>0</v>
      </c>
      <c r="N774" s="463">
        <f t="shared" si="121"/>
        <v>0</v>
      </c>
      <c r="O774" s="464">
        <f t="shared" si="126"/>
        <v>0</v>
      </c>
      <c r="P774" s="465">
        <f t="shared" si="127"/>
        <v>0</v>
      </c>
      <c r="Q774" s="606" t="str">
        <f t="shared" si="128"/>
        <v>NO</v>
      </c>
      <c r="R774" s="180"/>
      <c r="S774" s="173"/>
      <c r="T774" s="174"/>
      <c r="U774" s="173"/>
      <c r="V774" s="220"/>
      <c r="W774" s="177">
        <f>IF(S774=0,0,IF(U774="MXN",1/HLOOKUP(YEAR(T774)+(MONTH(T774)/100),TC!$5:$37,DAY(T774)+2,FALSE),VLOOKUP(U774,Equivalencia!$1:$23,((MAX(Equivalencia!$3:$3)-YEAR(T774))*14)+MONTH(T774)+2,FALSE)))</f>
        <v>0</v>
      </c>
      <c r="X774" s="178">
        <f t="shared" si="129"/>
        <v>0</v>
      </c>
      <c r="Y774" s="178">
        <f t="shared" si="130"/>
        <v>0</v>
      </c>
      <c r="Z774" s="175">
        <f t="shared" si="122"/>
        <v>0</v>
      </c>
      <c r="AA774" s="179"/>
      <c r="AB774" s="467">
        <f t="shared" si="123"/>
        <v>0</v>
      </c>
      <c r="AC774" s="466">
        <f t="shared" si="124"/>
        <v>0</v>
      </c>
    </row>
    <row r="775" spans="2:29" ht="20.100000000000001" customHeight="1">
      <c r="B775" s="172"/>
      <c r="C775" s="172"/>
      <c r="D775" s="172"/>
      <c r="E775" s="181"/>
      <c r="F775" s="173"/>
      <c r="G775" s="174"/>
      <c r="H775" s="284"/>
      <c r="I775" s="221"/>
      <c r="J775" s="177">
        <f>IF(H775=0,0,IF(F775="MXN",1/HLOOKUP(YEAR(G775)+(MONTH(G775)/100),TC!$5:$37,DAY(G775)+2,FALSE),VLOOKUP(F775,Equivalencia!$5:$23,((MAX(Equivalencia!$3:$3)-YEAR(G775))*14)+MONTH(G775)+2,FALSE)))</f>
        <v>0</v>
      </c>
      <c r="K775" s="217">
        <f t="shared" si="125"/>
        <v>0</v>
      </c>
      <c r="L775" s="462">
        <f>IF(G775=0,0,VLOOKUP(YEAR(G775),INPC!$B$4:$O$29,MONTH(G775)+1))</f>
        <v>0</v>
      </c>
      <c r="M775" s="462">
        <f>IF(T775=0,0,VLOOKUP(YEAR(T775),INPC!$B$4:$O$29,MONTH(T775)+1))</f>
        <v>0</v>
      </c>
      <c r="N775" s="463">
        <f t="shared" si="121"/>
        <v>0</v>
      </c>
      <c r="O775" s="464">
        <f t="shared" si="126"/>
        <v>0</v>
      </c>
      <c r="P775" s="465">
        <f t="shared" si="127"/>
        <v>0</v>
      </c>
      <c r="Q775" s="606" t="str">
        <f t="shared" si="128"/>
        <v>NO</v>
      </c>
      <c r="R775" s="180"/>
      <c r="S775" s="173"/>
      <c r="T775" s="174"/>
      <c r="U775" s="173"/>
      <c r="V775" s="220"/>
      <c r="W775" s="177">
        <f>IF(S775=0,0,IF(U775="MXN",1/HLOOKUP(YEAR(T775)+(MONTH(T775)/100),TC!$5:$37,DAY(T775)+2,FALSE),VLOOKUP(U775,Equivalencia!$1:$23,((MAX(Equivalencia!$3:$3)-YEAR(T775))*14)+MONTH(T775)+2,FALSE)))</f>
        <v>0</v>
      </c>
      <c r="X775" s="178">
        <f t="shared" si="129"/>
        <v>0</v>
      </c>
      <c r="Y775" s="178">
        <f t="shared" si="130"/>
        <v>0</v>
      </c>
      <c r="Z775" s="175">
        <f t="shared" si="122"/>
        <v>0</v>
      </c>
      <c r="AA775" s="179"/>
      <c r="AB775" s="467">
        <f t="shared" si="123"/>
        <v>0</v>
      </c>
      <c r="AC775" s="466">
        <f t="shared" si="124"/>
        <v>0</v>
      </c>
    </row>
    <row r="776" spans="2:29" ht="20.100000000000001" customHeight="1">
      <c r="B776" s="172"/>
      <c r="C776" s="172"/>
      <c r="D776" s="172"/>
      <c r="E776" s="181"/>
      <c r="F776" s="173"/>
      <c r="G776" s="174"/>
      <c r="H776" s="284"/>
      <c r="I776" s="221"/>
      <c r="J776" s="177">
        <f>IF(H776=0,0,IF(F776="MXN",1/HLOOKUP(YEAR(G776)+(MONTH(G776)/100),TC!$5:$37,DAY(G776)+2,FALSE),VLOOKUP(F776,Equivalencia!$5:$23,((MAX(Equivalencia!$3:$3)-YEAR(G776))*14)+MONTH(G776)+2,FALSE)))</f>
        <v>0</v>
      </c>
      <c r="K776" s="217">
        <f t="shared" si="125"/>
        <v>0</v>
      </c>
      <c r="L776" s="462">
        <f>IF(G776=0,0,VLOOKUP(YEAR(G776),INPC!$B$4:$O$29,MONTH(G776)+1))</f>
        <v>0</v>
      </c>
      <c r="M776" s="462">
        <f>IF(T776=0,0,VLOOKUP(YEAR(T776),INPC!$B$4:$O$29,MONTH(T776)+1))</f>
        <v>0</v>
      </c>
      <c r="N776" s="463">
        <f t="shared" si="121"/>
        <v>0</v>
      </c>
      <c r="O776" s="464">
        <f t="shared" si="126"/>
        <v>0</v>
      </c>
      <c r="P776" s="465">
        <f t="shared" si="127"/>
        <v>0</v>
      </c>
      <c r="Q776" s="606" t="str">
        <f t="shared" si="128"/>
        <v>NO</v>
      </c>
      <c r="R776" s="180"/>
      <c r="S776" s="173"/>
      <c r="T776" s="174"/>
      <c r="U776" s="173"/>
      <c r="V776" s="220"/>
      <c r="W776" s="177">
        <f>IF(S776=0,0,IF(U776="MXN",1/HLOOKUP(YEAR(T776)+(MONTH(T776)/100),TC!$5:$37,DAY(T776)+2,FALSE),VLOOKUP(U776,Equivalencia!$1:$23,((MAX(Equivalencia!$3:$3)-YEAR(T776))*14)+MONTH(T776)+2,FALSE)))</f>
        <v>0</v>
      </c>
      <c r="X776" s="178">
        <f t="shared" si="129"/>
        <v>0</v>
      </c>
      <c r="Y776" s="178">
        <f t="shared" si="130"/>
        <v>0</v>
      </c>
      <c r="Z776" s="175">
        <f t="shared" si="122"/>
        <v>0</v>
      </c>
      <c r="AA776" s="179"/>
      <c r="AB776" s="467">
        <f t="shared" si="123"/>
        <v>0</v>
      </c>
      <c r="AC776" s="466">
        <f t="shared" si="124"/>
        <v>0</v>
      </c>
    </row>
    <row r="777" spans="2:29" ht="20.100000000000001" customHeight="1">
      <c r="B777" s="172"/>
      <c r="C777" s="172"/>
      <c r="D777" s="172"/>
      <c r="E777" s="181"/>
      <c r="F777" s="173"/>
      <c r="G777" s="174"/>
      <c r="H777" s="284"/>
      <c r="I777" s="221"/>
      <c r="J777" s="177">
        <f>IF(H777=0,0,IF(F777="MXN",1/HLOOKUP(YEAR(G777)+(MONTH(G777)/100),TC!$5:$37,DAY(G777)+2,FALSE),VLOOKUP(F777,Equivalencia!$5:$23,((MAX(Equivalencia!$3:$3)-YEAR(G777))*14)+MONTH(G777)+2,FALSE)))</f>
        <v>0</v>
      </c>
      <c r="K777" s="217">
        <f t="shared" si="125"/>
        <v>0</v>
      </c>
      <c r="L777" s="462">
        <f>IF(G777=0,0,VLOOKUP(YEAR(G777),INPC!$B$4:$O$29,MONTH(G777)+1))</f>
        <v>0</v>
      </c>
      <c r="M777" s="462">
        <f>IF(T777=0,0,VLOOKUP(YEAR(T777),INPC!$B$4:$O$29,MONTH(T777)+1))</f>
        <v>0</v>
      </c>
      <c r="N777" s="463">
        <f t="shared" si="121"/>
        <v>0</v>
      </c>
      <c r="O777" s="464">
        <f t="shared" si="126"/>
        <v>0</v>
      </c>
      <c r="P777" s="465">
        <f t="shared" si="127"/>
        <v>0</v>
      </c>
      <c r="Q777" s="606" t="str">
        <f t="shared" si="128"/>
        <v>NO</v>
      </c>
      <c r="R777" s="180"/>
      <c r="S777" s="173"/>
      <c r="T777" s="174"/>
      <c r="U777" s="173"/>
      <c r="V777" s="220"/>
      <c r="W777" s="177">
        <f>IF(S777=0,0,IF(U777="MXN",1/HLOOKUP(YEAR(T777)+(MONTH(T777)/100),TC!$5:$37,DAY(T777)+2,FALSE),VLOOKUP(U777,Equivalencia!$1:$23,((MAX(Equivalencia!$3:$3)-YEAR(T777))*14)+MONTH(T777)+2,FALSE)))</f>
        <v>0</v>
      </c>
      <c r="X777" s="178">
        <f t="shared" si="129"/>
        <v>0</v>
      </c>
      <c r="Y777" s="178">
        <f t="shared" si="130"/>
        <v>0</v>
      </c>
      <c r="Z777" s="175">
        <f t="shared" si="122"/>
        <v>0</v>
      </c>
      <c r="AA777" s="179"/>
      <c r="AB777" s="467">
        <f t="shared" si="123"/>
        <v>0</v>
      </c>
      <c r="AC777" s="466">
        <f t="shared" si="124"/>
        <v>0</v>
      </c>
    </row>
    <row r="778" spans="2:29" ht="20.100000000000001" customHeight="1">
      <c r="B778" s="172"/>
      <c r="C778" s="172"/>
      <c r="D778" s="172"/>
      <c r="E778" s="181"/>
      <c r="F778" s="173"/>
      <c r="G778" s="174"/>
      <c r="H778" s="284"/>
      <c r="I778" s="221"/>
      <c r="J778" s="177">
        <f>IF(H778=0,0,IF(F778="MXN",1/HLOOKUP(YEAR(G778)+(MONTH(G778)/100),TC!$5:$37,DAY(G778)+2,FALSE),VLOOKUP(F778,Equivalencia!$5:$23,((MAX(Equivalencia!$3:$3)-YEAR(G778))*14)+MONTH(G778)+2,FALSE)))</f>
        <v>0</v>
      </c>
      <c r="K778" s="217">
        <f t="shared" si="125"/>
        <v>0</v>
      </c>
      <c r="L778" s="462">
        <f>IF(G778=0,0,VLOOKUP(YEAR(G778),INPC!$B$4:$O$29,MONTH(G778)+1))</f>
        <v>0</v>
      </c>
      <c r="M778" s="462">
        <f>IF(T778=0,0,VLOOKUP(YEAR(T778),INPC!$B$4:$O$29,MONTH(T778)+1))</f>
        <v>0</v>
      </c>
      <c r="N778" s="463">
        <f t="shared" si="121"/>
        <v>0</v>
      </c>
      <c r="O778" s="464">
        <f t="shared" si="126"/>
        <v>0</v>
      </c>
      <c r="P778" s="465">
        <f t="shared" si="127"/>
        <v>0</v>
      </c>
      <c r="Q778" s="606" t="str">
        <f t="shared" si="128"/>
        <v>NO</v>
      </c>
      <c r="R778" s="180"/>
      <c r="S778" s="173"/>
      <c r="T778" s="174"/>
      <c r="U778" s="173"/>
      <c r="V778" s="220"/>
      <c r="W778" s="177">
        <f>IF(S778=0,0,IF(U778="MXN",1/HLOOKUP(YEAR(T778)+(MONTH(T778)/100),TC!$5:$37,DAY(T778)+2,FALSE),VLOOKUP(U778,Equivalencia!$1:$23,((MAX(Equivalencia!$3:$3)-YEAR(T778))*14)+MONTH(T778)+2,FALSE)))</f>
        <v>0</v>
      </c>
      <c r="X778" s="178">
        <f t="shared" si="129"/>
        <v>0</v>
      </c>
      <c r="Y778" s="178">
        <f t="shared" si="130"/>
        <v>0</v>
      </c>
      <c r="Z778" s="175">
        <f t="shared" si="122"/>
        <v>0</v>
      </c>
      <c r="AA778" s="179"/>
      <c r="AB778" s="467">
        <f t="shared" si="123"/>
        <v>0</v>
      </c>
      <c r="AC778" s="466">
        <f t="shared" si="124"/>
        <v>0</v>
      </c>
    </row>
    <row r="779" spans="2:29" ht="20.100000000000001" customHeight="1">
      <c r="B779" s="172"/>
      <c r="C779" s="172"/>
      <c r="D779" s="172"/>
      <c r="E779" s="181"/>
      <c r="F779" s="173"/>
      <c r="G779" s="174"/>
      <c r="H779" s="284"/>
      <c r="I779" s="221"/>
      <c r="J779" s="177">
        <f>IF(H779=0,0,IF(F779="MXN",1/HLOOKUP(YEAR(G779)+(MONTH(G779)/100),TC!$5:$37,DAY(G779)+2,FALSE),VLOOKUP(F779,Equivalencia!$5:$23,((MAX(Equivalencia!$3:$3)-YEAR(G779))*14)+MONTH(G779)+2,FALSE)))</f>
        <v>0</v>
      </c>
      <c r="K779" s="217">
        <f t="shared" si="125"/>
        <v>0</v>
      </c>
      <c r="L779" s="462">
        <f>IF(G779=0,0,VLOOKUP(YEAR(G779),INPC!$B$4:$O$29,MONTH(G779)+1))</f>
        <v>0</v>
      </c>
      <c r="M779" s="462">
        <f>IF(T779=0,0,VLOOKUP(YEAR(T779),INPC!$B$4:$O$29,MONTH(T779)+1))</f>
        <v>0</v>
      </c>
      <c r="N779" s="463">
        <f t="shared" si="121"/>
        <v>0</v>
      </c>
      <c r="O779" s="464">
        <f t="shared" si="126"/>
        <v>0</v>
      </c>
      <c r="P779" s="465">
        <f t="shared" si="127"/>
        <v>0</v>
      </c>
      <c r="Q779" s="606" t="str">
        <f t="shared" si="128"/>
        <v>NO</v>
      </c>
      <c r="R779" s="180"/>
      <c r="S779" s="173"/>
      <c r="T779" s="174"/>
      <c r="U779" s="173"/>
      <c r="V779" s="220"/>
      <c r="W779" s="177">
        <f>IF(S779=0,0,IF(U779="MXN",1/HLOOKUP(YEAR(T779)+(MONTH(T779)/100),TC!$5:$37,DAY(T779)+2,FALSE),VLOOKUP(U779,Equivalencia!$1:$23,((MAX(Equivalencia!$3:$3)-YEAR(T779))*14)+MONTH(T779)+2,FALSE)))</f>
        <v>0</v>
      </c>
      <c r="X779" s="178">
        <f t="shared" si="129"/>
        <v>0</v>
      </c>
      <c r="Y779" s="178">
        <f t="shared" si="130"/>
        <v>0</v>
      </c>
      <c r="Z779" s="175">
        <f t="shared" si="122"/>
        <v>0</v>
      </c>
      <c r="AA779" s="179"/>
      <c r="AB779" s="467">
        <f t="shared" si="123"/>
        <v>0</v>
      </c>
      <c r="AC779" s="466">
        <f t="shared" si="124"/>
        <v>0</v>
      </c>
    </row>
    <row r="780" spans="2:29" ht="20.100000000000001" customHeight="1">
      <c r="B780" s="172"/>
      <c r="C780" s="172"/>
      <c r="D780" s="172"/>
      <c r="E780" s="181"/>
      <c r="F780" s="173"/>
      <c r="G780" s="174"/>
      <c r="H780" s="284"/>
      <c r="I780" s="221"/>
      <c r="J780" s="177">
        <f>IF(H780=0,0,IF(F780="MXN",1/HLOOKUP(YEAR(G780)+(MONTH(G780)/100),TC!$5:$37,DAY(G780)+2,FALSE),VLOOKUP(F780,Equivalencia!$5:$23,((MAX(Equivalencia!$3:$3)-YEAR(G780))*14)+MONTH(G780)+2,FALSE)))</f>
        <v>0</v>
      </c>
      <c r="K780" s="217">
        <f t="shared" si="125"/>
        <v>0</v>
      </c>
      <c r="L780" s="462">
        <f>IF(G780=0,0,VLOOKUP(YEAR(G780),INPC!$B$4:$O$29,MONTH(G780)+1))</f>
        <v>0</v>
      </c>
      <c r="M780" s="462">
        <f>IF(T780=0,0,VLOOKUP(YEAR(T780),INPC!$B$4:$O$29,MONTH(T780)+1))</f>
        <v>0</v>
      </c>
      <c r="N780" s="463">
        <f t="shared" si="121"/>
        <v>0</v>
      </c>
      <c r="O780" s="464">
        <f t="shared" si="126"/>
        <v>0</v>
      </c>
      <c r="P780" s="465">
        <f t="shared" si="127"/>
        <v>0</v>
      </c>
      <c r="Q780" s="606" t="str">
        <f t="shared" si="128"/>
        <v>NO</v>
      </c>
      <c r="R780" s="180"/>
      <c r="S780" s="173"/>
      <c r="T780" s="174"/>
      <c r="U780" s="173"/>
      <c r="V780" s="220"/>
      <c r="W780" s="177">
        <f>IF(S780=0,0,IF(U780="MXN",1/HLOOKUP(YEAR(T780)+(MONTH(T780)/100),TC!$5:$37,DAY(T780)+2,FALSE),VLOOKUP(U780,Equivalencia!$1:$23,((MAX(Equivalencia!$3:$3)-YEAR(T780))*14)+MONTH(T780)+2,FALSE)))</f>
        <v>0</v>
      </c>
      <c r="X780" s="178">
        <f t="shared" si="129"/>
        <v>0</v>
      </c>
      <c r="Y780" s="178">
        <f t="shared" si="130"/>
        <v>0</v>
      </c>
      <c r="Z780" s="175">
        <f t="shared" si="122"/>
        <v>0</v>
      </c>
      <c r="AA780" s="179"/>
      <c r="AB780" s="467">
        <f t="shared" si="123"/>
        <v>0</v>
      </c>
      <c r="AC780" s="466">
        <f t="shared" si="124"/>
        <v>0</v>
      </c>
    </row>
    <row r="781" spans="2:29" ht="20.100000000000001" customHeight="1">
      <c r="B781" s="172"/>
      <c r="C781" s="172"/>
      <c r="D781" s="172"/>
      <c r="E781" s="181"/>
      <c r="F781" s="173"/>
      <c r="G781" s="174"/>
      <c r="H781" s="284"/>
      <c r="I781" s="221"/>
      <c r="J781" s="177">
        <f>IF(H781=0,0,IF(F781="MXN",1/HLOOKUP(YEAR(G781)+(MONTH(G781)/100),TC!$5:$37,DAY(G781)+2,FALSE),VLOOKUP(F781,Equivalencia!$5:$23,((MAX(Equivalencia!$3:$3)-YEAR(G781))*14)+MONTH(G781)+2,FALSE)))</f>
        <v>0</v>
      </c>
      <c r="K781" s="217">
        <f t="shared" si="125"/>
        <v>0</v>
      </c>
      <c r="L781" s="462">
        <f>IF(G781=0,0,VLOOKUP(YEAR(G781),INPC!$B$4:$O$29,MONTH(G781)+1))</f>
        <v>0</v>
      </c>
      <c r="M781" s="462">
        <f>IF(T781=0,0,VLOOKUP(YEAR(T781),INPC!$B$4:$O$29,MONTH(T781)+1))</f>
        <v>0</v>
      </c>
      <c r="N781" s="463">
        <f t="shared" si="121"/>
        <v>0</v>
      </c>
      <c r="O781" s="464">
        <f t="shared" si="126"/>
        <v>0</v>
      </c>
      <c r="P781" s="465">
        <f t="shared" si="127"/>
        <v>0</v>
      </c>
      <c r="Q781" s="606" t="str">
        <f t="shared" si="128"/>
        <v>NO</v>
      </c>
      <c r="R781" s="180"/>
      <c r="S781" s="173"/>
      <c r="T781" s="174"/>
      <c r="U781" s="173"/>
      <c r="V781" s="220"/>
      <c r="W781" s="177">
        <f>IF(S781=0,0,IF(U781="MXN",1/HLOOKUP(YEAR(T781)+(MONTH(T781)/100),TC!$5:$37,DAY(T781)+2,FALSE),VLOOKUP(U781,Equivalencia!$1:$23,((MAX(Equivalencia!$3:$3)-YEAR(T781))*14)+MONTH(T781)+2,FALSE)))</f>
        <v>0</v>
      </c>
      <c r="X781" s="178">
        <f t="shared" si="129"/>
        <v>0</v>
      </c>
      <c r="Y781" s="178">
        <f t="shared" si="130"/>
        <v>0</v>
      </c>
      <c r="Z781" s="175">
        <f t="shared" si="122"/>
        <v>0</v>
      </c>
      <c r="AA781" s="179"/>
      <c r="AB781" s="467">
        <f t="shared" si="123"/>
        <v>0</v>
      </c>
      <c r="AC781" s="466">
        <f t="shared" si="124"/>
        <v>0</v>
      </c>
    </row>
    <row r="782" spans="2:29" ht="20.100000000000001" customHeight="1">
      <c r="B782" s="172"/>
      <c r="C782" s="172"/>
      <c r="D782" s="172"/>
      <c r="E782" s="181"/>
      <c r="F782" s="173"/>
      <c r="G782" s="174"/>
      <c r="H782" s="284"/>
      <c r="I782" s="221"/>
      <c r="J782" s="177">
        <f>IF(H782=0,0,IF(F782="MXN",1/HLOOKUP(YEAR(G782)+(MONTH(G782)/100),TC!$5:$37,DAY(G782)+2,FALSE),VLOOKUP(F782,Equivalencia!$5:$23,((MAX(Equivalencia!$3:$3)-YEAR(G782))*14)+MONTH(G782)+2,FALSE)))</f>
        <v>0</v>
      </c>
      <c r="K782" s="217">
        <f t="shared" si="125"/>
        <v>0</v>
      </c>
      <c r="L782" s="462">
        <f>IF(G782=0,0,VLOOKUP(YEAR(G782),INPC!$B$4:$O$29,MONTH(G782)+1))</f>
        <v>0</v>
      </c>
      <c r="M782" s="462">
        <f>IF(T782=0,0,VLOOKUP(YEAR(T782),INPC!$B$4:$O$29,MONTH(T782)+1))</f>
        <v>0</v>
      </c>
      <c r="N782" s="463">
        <f t="shared" si="121"/>
        <v>0</v>
      </c>
      <c r="O782" s="464">
        <f t="shared" si="126"/>
        <v>0</v>
      </c>
      <c r="P782" s="465">
        <f t="shared" si="127"/>
        <v>0</v>
      </c>
      <c r="Q782" s="606" t="str">
        <f t="shared" si="128"/>
        <v>NO</v>
      </c>
      <c r="R782" s="180"/>
      <c r="S782" s="173"/>
      <c r="T782" s="174"/>
      <c r="U782" s="173"/>
      <c r="V782" s="220"/>
      <c r="W782" s="177">
        <f>IF(S782=0,0,IF(U782="MXN",1/HLOOKUP(YEAR(T782)+(MONTH(T782)/100),TC!$5:$37,DAY(T782)+2,FALSE),VLOOKUP(U782,Equivalencia!$1:$23,((MAX(Equivalencia!$3:$3)-YEAR(T782))*14)+MONTH(T782)+2,FALSE)))</f>
        <v>0</v>
      </c>
      <c r="X782" s="178">
        <f t="shared" si="129"/>
        <v>0</v>
      </c>
      <c r="Y782" s="178">
        <f t="shared" si="130"/>
        <v>0</v>
      </c>
      <c r="Z782" s="175">
        <f t="shared" si="122"/>
        <v>0</v>
      </c>
      <c r="AA782" s="179"/>
      <c r="AB782" s="467">
        <f t="shared" si="123"/>
        <v>0</v>
      </c>
      <c r="AC782" s="466">
        <f t="shared" si="124"/>
        <v>0</v>
      </c>
    </row>
    <row r="783" spans="2:29" ht="20.100000000000001" customHeight="1">
      <c r="B783" s="172"/>
      <c r="C783" s="172"/>
      <c r="D783" s="172"/>
      <c r="E783" s="181"/>
      <c r="F783" s="173"/>
      <c r="G783" s="174"/>
      <c r="H783" s="284"/>
      <c r="I783" s="221"/>
      <c r="J783" s="177">
        <f>IF(H783=0,0,IF(F783="MXN",1/HLOOKUP(YEAR(G783)+(MONTH(G783)/100),TC!$5:$37,DAY(G783)+2,FALSE),VLOOKUP(F783,Equivalencia!$5:$23,((MAX(Equivalencia!$3:$3)-YEAR(G783))*14)+MONTH(G783)+2,FALSE)))</f>
        <v>0</v>
      </c>
      <c r="K783" s="217">
        <f t="shared" si="125"/>
        <v>0</v>
      </c>
      <c r="L783" s="462">
        <f>IF(G783=0,0,VLOOKUP(YEAR(G783),INPC!$B$4:$O$29,MONTH(G783)+1))</f>
        <v>0</v>
      </c>
      <c r="M783" s="462">
        <f>IF(T783=0,0,VLOOKUP(YEAR(T783),INPC!$B$4:$O$29,MONTH(T783)+1))</f>
        <v>0</v>
      </c>
      <c r="N783" s="463">
        <f t="shared" si="121"/>
        <v>0</v>
      </c>
      <c r="O783" s="464">
        <f t="shared" si="126"/>
        <v>0</v>
      </c>
      <c r="P783" s="465">
        <f t="shared" si="127"/>
        <v>0</v>
      </c>
      <c r="Q783" s="606" t="str">
        <f t="shared" si="128"/>
        <v>NO</v>
      </c>
      <c r="R783" s="180"/>
      <c r="S783" s="173"/>
      <c r="T783" s="174"/>
      <c r="U783" s="173"/>
      <c r="V783" s="220"/>
      <c r="W783" s="177">
        <f>IF(S783=0,0,IF(U783="MXN",1/HLOOKUP(YEAR(T783)+(MONTH(T783)/100),TC!$5:$37,DAY(T783)+2,FALSE),VLOOKUP(U783,Equivalencia!$1:$23,((MAX(Equivalencia!$3:$3)-YEAR(T783))*14)+MONTH(T783)+2,FALSE)))</f>
        <v>0</v>
      </c>
      <c r="X783" s="178">
        <f t="shared" si="129"/>
        <v>0</v>
      </c>
      <c r="Y783" s="178">
        <f t="shared" si="130"/>
        <v>0</v>
      </c>
      <c r="Z783" s="175">
        <f t="shared" si="122"/>
        <v>0</v>
      </c>
      <c r="AA783" s="179"/>
      <c r="AB783" s="467">
        <f t="shared" si="123"/>
        <v>0</v>
      </c>
      <c r="AC783" s="466">
        <f t="shared" si="124"/>
        <v>0</v>
      </c>
    </row>
    <row r="784" spans="2:29" ht="20.100000000000001" customHeight="1">
      <c r="B784" s="172"/>
      <c r="C784" s="172"/>
      <c r="D784" s="172"/>
      <c r="E784" s="181"/>
      <c r="F784" s="173"/>
      <c r="G784" s="174"/>
      <c r="H784" s="284"/>
      <c r="I784" s="221"/>
      <c r="J784" s="177">
        <f>IF(H784=0,0,IF(F784="MXN",1/HLOOKUP(YEAR(G784)+(MONTH(G784)/100),TC!$5:$37,DAY(G784)+2,FALSE),VLOOKUP(F784,Equivalencia!$5:$23,((MAX(Equivalencia!$3:$3)-YEAR(G784))*14)+MONTH(G784)+2,FALSE)))</f>
        <v>0</v>
      </c>
      <c r="K784" s="217">
        <f t="shared" si="125"/>
        <v>0</v>
      </c>
      <c r="L784" s="462">
        <f>IF(G784=0,0,VLOOKUP(YEAR(G784),INPC!$B$4:$O$29,MONTH(G784)+1))</f>
        <v>0</v>
      </c>
      <c r="M784" s="462">
        <f>IF(T784=0,0,VLOOKUP(YEAR(T784),INPC!$B$4:$O$29,MONTH(T784)+1))</f>
        <v>0</v>
      </c>
      <c r="N784" s="463">
        <f t="shared" si="121"/>
        <v>0</v>
      </c>
      <c r="O784" s="464">
        <f t="shared" si="126"/>
        <v>0</v>
      </c>
      <c r="P784" s="465">
        <f t="shared" si="127"/>
        <v>0</v>
      </c>
      <c r="Q784" s="606" t="str">
        <f t="shared" si="128"/>
        <v>NO</v>
      </c>
      <c r="R784" s="180"/>
      <c r="S784" s="173"/>
      <c r="T784" s="174"/>
      <c r="U784" s="173"/>
      <c r="V784" s="220"/>
      <c r="W784" s="177">
        <f>IF(S784=0,0,IF(U784="MXN",1/HLOOKUP(YEAR(T784)+(MONTH(T784)/100),TC!$5:$37,DAY(T784)+2,FALSE),VLOOKUP(U784,Equivalencia!$1:$23,((MAX(Equivalencia!$3:$3)-YEAR(T784))*14)+MONTH(T784)+2,FALSE)))</f>
        <v>0</v>
      </c>
      <c r="X784" s="178">
        <f t="shared" si="129"/>
        <v>0</v>
      </c>
      <c r="Y784" s="178">
        <f t="shared" si="130"/>
        <v>0</v>
      </c>
      <c r="Z784" s="175">
        <f t="shared" si="122"/>
        <v>0</v>
      </c>
      <c r="AA784" s="179"/>
      <c r="AB784" s="467">
        <f t="shared" si="123"/>
        <v>0</v>
      </c>
      <c r="AC784" s="466">
        <f t="shared" si="124"/>
        <v>0</v>
      </c>
    </row>
    <row r="785" spans="2:29" ht="20.100000000000001" customHeight="1">
      <c r="B785" s="172"/>
      <c r="C785" s="172"/>
      <c r="D785" s="172"/>
      <c r="E785" s="181"/>
      <c r="F785" s="173"/>
      <c r="G785" s="174"/>
      <c r="H785" s="284"/>
      <c r="I785" s="221"/>
      <c r="J785" s="177">
        <f>IF(H785=0,0,IF(F785="MXN",1/HLOOKUP(YEAR(G785)+(MONTH(G785)/100),TC!$5:$37,DAY(G785)+2,FALSE),VLOOKUP(F785,Equivalencia!$5:$23,((MAX(Equivalencia!$3:$3)-YEAR(G785))*14)+MONTH(G785)+2,FALSE)))</f>
        <v>0</v>
      </c>
      <c r="K785" s="217">
        <f t="shared" si="125"/>
        <v>0</v>
      </c>
      <c r="L785" s="462">
        <f>IF(G785=0,0,VLOOKUP(YEAR(G785),INPC!$B$4:$O$29,MONTH(G785)+1))</f>
        <v>0</v>
      </c>
      <c r="M785" s="462">
        <f>IF(T785=0,0,VLOOKUP(YEAR(T785),INPC!$B$4:$O$29,MONTH(T785)+1))</f>
        <v>0</v>
      </c>
      <c r="N785" s="463">
        <f t="shared" si="121"/>
        <v>0</v>
      </c>
      <c r="O785" s="464">
        <f t="shared" si="126"/>
        <v>0</v>
      </c>
      <c r="P785" s="465">
        <f t="shared" si="127"/>
        <v>0</v>
      </c>
      <c r="Q785" s="606" t="str">
        <f t="shared" si="128"/>
        <v>NO</v>
      </c>
      <c r="R785" s="180"/>
      <c r="S785" s="173"/>
      <c r="T785" s="174"/>
      <c r="U785" s="173"/>
      <c r="V785" s="220"/>
      <c r="W785" s="177">
        <f>IF(S785=0,0,IF(U785="MXN",1/HLOOKUP(YEAR(T785)+(MONTH(T785)/100),TC!$5:$37,DAY(T785)+2,FALSE),VLOOKUP(U785,Equivalencia!$1:$23,((MAX(Equivalencia!$3:$3)-YEAR(T785))*14)+MONTH(T785)+2,FALSE)))</f>
        <v>0</v>
      </c>
      <c r="X785" s="178">
        <f t="shared" si="129"/>
        <v>0</v>
      </c>
      <c r="Y785" s="178">
        <f t="shared" si="130"/>
        <v>0</v>
      </c>
      <c r="Z785" s="175">
        <f t="shared" si="122"/>
        <v>0</v>
      </c>
      <c r="AA785" s="179"/>
      <c r="AB785" s="467">
        <f t="shared" si="123"/>
        <v>0</v>
      </c>
      <c r="AC785" s="466">
        <f t="shared" si="124"/>
        <v>0</v>
      </c>
    </row>
    <row r="786" spans="2:29" ht="20.100000000000001" customHeight="1">
      <c r="B786" s="172"/>
      <c r="C786" s="172"/>
      <c r="D786" s="172"/>
      <c r="E786" s="181"/>
      <c r="F786" s="173"/>
      <c r="G786" s="174"/>
      <c r="H786" s="284"/>
      <c r="I786" s="221"/>
      <c r="J786" s="177">
        <f>IF(H786=0,0,IF(F786="MXN",1/HLOOKUP(YEAR(G786)+(MONTH(G786)/100),TC!$5:$37,DAY(G786)+2,FALSE),VLOOKUP(F786,Equivalencia!$5:$23,((MAX(Equivalencia!$3:$3)-YEAR(G786))*14)+MONTH(G786)+2,FALSE)))</f>
        <v>0</v>
      </c>
      <c r="K786" s="217">
        <f t="shared" si="125"/>
        <v>0</v>
      </c>
      <c r="L786" s="462">
        <f>IF(G786=0,0,VLOOKUP(YEAR(G786),INPC!$B$4:$O$29,MONTH(G786)+1))</f>
        <v>0</v>
      </c>
      <c r="M786" s="462">
        <f>IF(T786=0,0,VLOOKUP(YEAR(T786),INPC!$B$4:$O$29,MONTH(T786)+1))</f>
        <v>0</v>
      </c>
      <c r="N786" s="463">
        <f t="shared" si="121"/>
        <v>0</v>
      </c>
      <c r="O786" s="464">
        <f t="shared" si="126"/>
        <v>0</v>
      </c>
      <c r="P786" s="465">
        <f t="shared" si="127"/>
        <v>0</v>
      </c>
      <c r="Q786" s="606" t="str">
        <f t="shared" si="128"/>
        <v>NO</v>
      </c>
      <c r="R786" s="180"/>
      <c r="S786" s="173"/>
      <c r="T786" s="174"/>
      <c r="U786" s="173"/>
      <c r="V786" s="220"/>
      <c r="W786" s="177">
        <f>IF(S786=0,0,IF(U786="MXN",1/HLOOKUP(YEAR(T786)+(MONTH(T786)/100),TC!$5:$37,DAY(T786)+2,FALSE),VLOOKUP(U786,Equivalencia!$1:$23,((MAX(Equivalencia!$3:$3)-YEAR(T786))*14)+MONTH(T786)+2,FALSE)))</f>
        <v>0</v>
      </c>
      <c r="X786" s="178">
        <f t="shared" si="129"/>
        <v>0</v>
      </c>
      <c r="Y786" s="178">
        <f t="shared" si="130"/>
        <v>0</v>
      </c>
      <c r="Z786" s="175">
        <f t="shared" si="122"/>
        <v>0</v>
      </c>
      <c r="AA786" s="179"/>
      <c r="AB786" s="467">
        <f t="shared" si="123"/>
        <v>0</v>
      </c>
      <c r="AC786" s="466">
        <f t="shared" si="124"/>
        <v>0</v>
      </c>
    </row>
    <row r="787" spans="2:29" ht="20.100000000000001" customHeight="1">
      <c r="B787" s="172"/>
      <c r="C787" s="172"/>
      <c r="D787" s="172"/>
      <c r="E787" s="181"/>
      <c r="F787" s="173"/>
      <c r="G787" s="174"/>
      <c r="H787" s="284"/>
      <c r="I787" s="221"/>
      <c r="J787" s="177">
        <f>IF(H787=0,0,IF(F787="MXN",1/HLOOKUP(YEAR(G787)+(MONTH(G787)/100),TC!$5:$37,DAY(G787)+2,FALSE),VLOOKUP(F787,Equivalencia!$5:$23,((MAX(Equivalencia!$3:$3)-YEAR(G787))*14)+MONTH(G787)+2,FALSE)))</f>
        <v>0</v>
      </c>
      <c r="K787" s="217">
        <f t="shared" si="125"/>
        <v>0</v>
      </c>
      <c r="L787" s="462">
        <f>IF(G787=0,0,VLOOKUP(YEAR(G787),INPC!$B$4:$O$29,MONTH(G787)+1))</f>
        <v>0</v>
      </c>
      <c r="M787" s="462">
        <f>IF(T787=0,0,VLOOKUP(YEAR(T787),INPC!$B$4:$O$29,MONTH(T787)+1))</f>
        <v>0</v>
      </c>
      <c r="N787" s="463">
        <f t="shared" si="121"/>
        <v>0</v>
      </c>
      <c r="O787" s="464">
        <f t="shared" si="126"/>
        <v>0</v>
      </c>
      <c r="P787" s="465">
        <f t="shared" si="127"/>
        <v>0</v>
      </c>
      <c r="Q787" s="606" t="str">
        <f t="shared" si="128"/>
        <v>NO</v>
      </c>
      <c r="R787" s="180"/>
      <c r="S787" s="173"/>
      <c r="T787" s="174"/>
      <c r="U787" s="173"/>
      <c r="V787" s="220"/>
      <c r="W787" s="177">
        <f>IF(S787=0,0,IF(U787="MXN",1/HLOOKUP(YEAR(T787)+(MONTH(T787)/100),TC!$5:$37,DAY(T787)+2,FALSE),VLOOKUP(U787,Equivalencia!$1:$23,((MAX(Equivalencia!$3:$3)-YEAR(T787))*14)+MONTH(T787)+2,FALSE)))</f>
        <v>0</v>
      </c>
      <c r="X787" s="178">
        <f t="shared" si="129"/>
        <v>0</v>
      </c>
      <c r="Y787" s="178">
        <f t="shared" si="130"/>
        <v>0</v>
      </c>
      <c r="Z787" s="175">
        <f t="shared" si="122"/>
        <v>0</v>
      </c>
      <c r="AA787" s="179"/>
      <c r="AB787" s="467">
        <f t="shared" si="123"/>
        <v>0</v>
      </c>
      <c r="AC787" s="466">
        <f t="shared" si="124"/>
        <v>0</v>
      </c>
    </row>
    <row r="788" spans="2:29" ht="20.100000000000001" customHeight="1">
      <c r="B788" s="172"/>
      <c r="C788" s="172"/>
      <c r="D788" s="172"/>
      <c r="E788" s="181"/>
      <c r="F788" s="173"/>
      <c r="G788" s="174"/>
      <c r="H788" s="284"/>
      <c r="I788" s="221"/>
      <c r="J788" s="177">
        <f>IF(H788=0,0,IF(F788="MXN",1/HLOOKUP(YEAR(G788)+(MONTH(G788)/100),TC!$5:$37,DAY(G788)+2,FALSE),VLOOKUP(F788,Equivalencia!$5:$23,((MAX(Equivalencia!$3:$3)-YEAR(G788))*14)+MONTH(G788)+2,FALSE)))</f>
        <v>0</v>
      </c>
      <c r="K788" s="217">
        <f t="shared" si="125"/>
        <v>0</v>
      </c>
      <c r="L788" s="462">
        <f>IF(G788=0,0,VLOOKUP(YEAR(G788),INPC!$B$4:$O$29,MONTH(G788)+1))</f>
        <v>0</v>
      </c>
      <c r="M788" s="462">
        <f>IF(T788=0,0,VLOOKUP(YEAR(T788),INPC!$B$4:$O$29,MONTH(T788)+1))</f>
        <v>0</v>
      </c>
      <c r="N788" s="463">
        <f t="shared" si="121"/>
        <v>0</v>
      </c>
      <c r="O788" s="464">
        <f t="shared" si="126"/>
        <v>0</v>
      </c>
      <c r="P788" s="465">
        <f t="shared" si="127"/>
        <v>0</v>
      </c>
      <c r="Q788" s="606" t="str">
        <f t="shared" si="128"/>
        <v>NO</v>
      </c>
      <c r="R788" s="180"/>
      <c r="S788" s="173"/>
      <c r="T788" s="174"/>
      <c r="U788" s="173"/>
      <c r="V788" s="220"/>
      <c r="W788" s="177">
        <f>IF(S788=0,0,IF(U788="MXN",1/HLOOKUP(YEAR(T788)+(MONTH(T788)/100),TC!$5:$37,DAY(T788)+2,FALSE),VLOOKUP(U788,Equivalencia!$1:$23,((MAX(Equivalencia!$3:$3)-YEAR(T788))*14)+MONTH(T788)+2,FALSE)))</f>
        <v>0</v>
      </c>
      <c r="X788" s="178">
        <f t="shared" si="129"/>
        <v>0</v>
      </c>
      <c r="Y788" s="178">
        <f t="shared" si="130"/>
        <v>0</v>
      </c>
      <c r="Z788" s="175">
        <f t="shared" si="122"/>
        <v>0</v>
      </c>
      <c r="AA788" s="179"/>
      <c r="AB788" s="467">
        <f t="shared" si="123"/>
        <v>0</v>
      </c>
      <c r="AC788" s="466">
        <f t="shared" si="124"/>
        <v>0</v>
      </c>
    </row>
    <row r="789" spans="2:29" ht="20.100000000000001" customHeight="1">
      <c r="B789" s="172"/>
      <c r="C789" s="172"/>
      <c r="D789" s="172"/>
      <c r="E789" s="181"/>
      <c r="F789" s="173"/>
      <c r="G789" s="174"/>
      <c r="H789" s="284"/>
      <c r="I789" s="221"/>
      <c r="J789" s="177">
        <f>IF(H789=0,0,IF(F789="MXN",1/HLOOKUP(YEAR(G789)+(MONTH(G789)/100),TC!$5:$37,DAY(G789)+2,FALSE),VLOOKUP(F789,Equivalencia!$5:$23,((MAX(Equivalencia!$3:$3)-YEAR(G789))*14)+MONTH(G789)+2,FALSE)))</f>
        <v>0</v>
      </c>
      <c r="K789" s="217">
        <f t="shared" si="125"/>
        <v>0</v>
      </c>
      <c r="L789" s="462">
        <f>IF(G789=0,0,VLOOKUP(YEAR(G789),INPC!$B$4:$O$29,MONTH(G789)+1))</f>
        <v>0</v>
      </c>
      <c r="M789" s="462">
        <f>IF(T789=0,0,VLOOKUP(YEAR(T789),INPC!$B$4:$O$29,MONTH(T789)+1))</f>
        <v>0</v>
      </c>
      <c r="N789" s="463">
        <f t="shared" si="121"/>
        <v>0</v>
      </c>
      <c r="O789" s="464">
        <f t="shared" si="126"/>
        <v>0</v>
      </c>
      <c r="P789" s="465">
        <f t="shared" si="127"/>
        <v>0</v>
      </c>
      <c r="Q789" s="606" t="str">
        <f t="shared" si="128"/>
        <v>NO</v>
      </c>
      <c r="R789" s="180"/>
      <c r="S789" s="173"/>
      <c r="T789" s="174"/>
      <c r="U789" s="173"/>
      <c r="V789" s="220"/>
      <c r="W789" s="177">
        <f>IF(S789=0,0,IF(U789="MXN",1/HLOOKUP(YEAR(T789)+(MONTH(T789)/100),TC!$5:$37,DAY(T789)+2,FALSE),VLOOKUP(U789,Equivalencia!$1:$23,((MAX(Equivalencia!$3:$3)-YEAR(T789))*14)+MONTH(T789)+2,FALSE)))</f>
        <v>0</v>
      </c>
      <c r="X789" s="178">
        <f t="shared" si="129"/>
        <v>0</v>
      </c>
      <c r="Y789" s="178">
        <f t="shared" si="130"/>
        <v>0</v>
      </c>
      <c r="Z789" s="175">
        <f t="shared" si="122"/>
        <v>0</v>
      </c>
      <c r="AA789" s="179"/>
      <c r="AB789" s="467">
        <f t="shared" si="123"/>
        <v>0</v>
      </c>
      <c r="AC789" s="466">
        <f t="shared" si="124"/>
        <v>0</v>
      </c>
    </row>
    <row r="790" spans="2:29" ht="20.100000000000001" customHeight="1">
      <c r="B790" s="172"/>
      <c r="C790" s="172"/>
      <c r="D790" s="172"/>
      <c r="E790" s="181"/>
      <c r="F790" s="173"/>
      <c r="G790" s="174"/>
      <c r="H790" s="284"/>
      <c r="I790" s="221"/>
      <c r="J790" s="177">
        <f>IF(H790=0,0,IF(F790="MXN",1/HLOOKUP(YEAR(G790)+(MONTH(G790)/100),TC!$5:$37,DAY(G790)+2,FALSE),VLOOKUP(F790,Equivalencia!$5:$23,((MAX(Equivalencia!$3:$3)-YEAR(G790))*14)+MONTH(G790)+2,FALSE)))</f>
        <v>0</v>
      </c>
      <c r="K790" s="217">
        <f t="shared" si="125"/>
        <v>0</v>
      </c>
      <c r="L790" s="462">
        <f>IF(G790=0,0,VLOOKUP(YEAR(G790),INPC!$B$4:$O$29,MONTH(G790)+1))</f>
        <v>0</v>
      </c>
      <c r="M790" s="462">
        <f>IF(T790=0,0,VLOOKUP(YEAR(T790),INPC!$B$4:$O$29,MONTH(T790)+1))</f>
        <v>0</v>
      </c>
      <c r="N790" s="463">
        <f t="shared" si="121"/>
        <v>0</v>
      </c>
      <c r="O790" s="464">
        <f t="shared" si="126"/>
        <v>0</v>
      </c>
      <c r="P790" s="465">
        <f t="shared" si="127"/>
        <v>0</v>
      </c>
      <c r="Q790" s="606" t="str">
        <f t="shared" si="128"/>
        <v>NO</v>
      </c>
      <c r="R790" s="180"/>
      <c r="S790" s="173"/>
      <c r="T790" s="174"/>
      <c r="U790" s="173"/>
      <c r="V790" s="220"/>
      <c r="W790" s="177">
        <f>IF(S790=0,0,IF(U790="MXN",1/HLOOKUP(YEAR(T790)+(MONTH(T790)/100),TC!$5:$37,DAY(T790)+2,FALSE),VLOOKUP(U790,Equivalencia!$1:$23,((MAX(Equivalencia!$3:$3)-YEAR(T790))*14)+MONTH(T790)+2,FALSE)))</f>
        <v>0</v>
      </c>
      <c r="X790" s="178">
        <f t="shared" si="129"/>
        <v>0</v>
      </c>
      <c r="Y790" s="178">
        <f t="shared" si="130"/>
        <v>0</v>
      </c>
      <c r="Z790" s="175">
        <f t="shared" si="122"/>
        <v>0</v>
      </c>
      <c r="AA790" s="179"/>
      <c r="AB790" s="467">
        <f t="shared" si="123"/>
        <v>0</v>
      </c>
      <c r="AC790" s="466">
        <f t="shared" si="124"/>
        <v>0</v>
      </c>
    </row>
    <row r="791" spans="2:29" ht="20.100000000000001" customHeight="1">
      <c r="B791" s="172"/>
      <c r="C791" s="172"/>
      <c r="D791" s="172"/>
      <c r="E791" s="181"/>
      <c r="F791" s="173"/>
      <c r="G791" s="174"/>
      <c r="H791" s="284"/>
      <c r="I791" s="221"/>
      <c r="J791" s="177">
        <f>IF(H791=0,0,IF(F791="MXN",1/HLOOKUP(YEAR(G791)+(MONTH(G791)/100),TC!$5:$37,DAY(G791)+2,FALSE),VLOOKUP(F791,Equivalencia!$5:$23,((MAX(Equivalencia!$3:$3)-YEAR(G791))*14)+MONTH(G791)+2,FALSE)))</f>
        <v>0</v>
      </c>
      <c r="K791" s="217">
        <f t="shared" si="125"/>
        <v>0</v>
      </c>
      <c r="L791" s="462">
        <f>IF(G791=0,0,VLOOKUP(YEAR(G791),INPC!$B$4:$O$29,MONTH(G791)+1))</f>
        <v>0</v>
      </c>
      <c r="M791" s="462">
        <f>IF(T791=0,0,VLOOKUP(YEAR(T791),INPC!$B$4:$O$29,MONTH(T791)+1))</f>
        <v>0</v>
      </c>
      <c r="N791" s="463">
        <f t="shared" si="121"/>
        <v>0</v>
      </c>
      <c r="O791" s="464">
        <f t="shared" si="126"/>
        <v>0</v>
      </c>
      <c r="P791" s="465">
        <f t="shared" si="127"/>
        <v>0</v>
      </c>
      <c r="Q791" s="606" t="str">
        <f t="shared" si="128"/>
        <v>NO</v>
      </c>
      <c r="R791" s="180"/>
      <c r="S791" s="173"/>
      <c r="T791" s="174"/>
      <c r="U791" s="173"/>
      <c r="V791" s="220"/>
      <c r="W791" s="177">
        <f>IF(S791=0,0,IF(U791="MXN",1/HLOOKUP(YEAR(T791)+(MONTH(T791)/100),TC!$5:$37,DAY(T791)+2,FALSE),VLOOKUP(U791,Equivalencia!$1:$23,((MAX(Equivalencia!$3:$3)-YEAR(T791))*14)+MONTH(T791)+2,FALSE)))</f>
        <v>0</v>
      </c>
      <c r="X791" s="178">
        <f t="shared" si="129"/>
        <v>0</v>
      </c>
      <c r="Y791" s="178">
        <f t="shared" si="130"/>
        <v>0</v>
      </c>
      <c r="Z791" s="175">
        <f t="shared" si="122"/>
        <v>0</v>
      </c>
      <c r="AA791" s="179"/>
      <c r="AB791" s="467">
        <f t="shared" si="123"/>
        <v>0</v>
      </c>
      <c r="AC791" s="466">
        <f t="shared" si="124"/>
        <v>0</v>
      </c>
    </row>
    <row r="792" spans="2:29" ht="20.100000000000001" customHeight="1">
      <c r="B792" s="172"/>
      <c r="C792" s="172"/>
      <c r="D792" s="172"/>
      <c r="E792" s="181"/>
      <c r="F792" s="173"/>
      <c r="G792" s="174"/>
      <c r="H792" s="284"/>
      <c r="I792" s="221"/>
      <c r="J792" s="177">
        <f>IF(H792=0,0,IF(F792="MXN",1/HLOOKUP(YEAR(G792)+(MONTH(G792)/100),TC!$5:$37,DAY(G792)+2,FALSE),VLOOKUP(F792,Equivalencia!$5:$23,((MAX(Equivalencia!$3:$3)-YEAR(G792))*14)+MONTH(G792)+2,FALSE)))</f>
        <v>0</v>
      </c>
      <c r="K792" s="217">
        <f t="shared" si="125"/>
        <v>0</v>
      </c>
      <c r="L792" s="462">
        <f>IF(G792=0,0,VLOOKUP(YEAR(G792),INPC!$B$4:$O$29,MONTH(G792)+1))</f>
        <v>0</v>
      </c>
      <c r="M792" s="462">
        <f>IF(T792=0,0,VLOOKUP(YEAR(T792),INPC!$B$4:$O$29,MONTH(T792)+1))</f>
        <v>0</v>
      </c>
      <c r="N792" s="463">
        <f t="shared" si="121"/>
        <v>0</v>
      </c>
      <c r="O792" s="464">
        <f t="shared" si="126"/>
        <v>0</v>
      </c>
      <c r="P792" s="465">
        <f t="shared" si="127"/>
        <v>0</v>
      </c>
      <c r="Q792" s="606" t="str">
        <f t="shared" si="128"/>
        <v>NO</v>
      </c>
      <c r="R792" s="180"/>
      <c r="S792" s="173"/>
      <c r="T792" s="174"/>
      <c r="U792" s="173"/>
      <c r="V792" s="220"/>
      <c r="W792" s="177">
        <f>IF(S792=0,0,IF(U792="MXN",1/HLOOKUP(YEAR(T792)+(MONTH(T792)/100),TC!$5:$37,DAY(T792)+2,FALSE),VLOOKUP(U792,Equivalencia!$1:$23,((MAX(Equivalencia!$3:$3)-YEAR(T792))*14)+MONTH(T792)+2,FALSE)))</f>
        <v>0</v>
      </c>
      <c r="X792" s="178">
        <f t="shared" si="129"/>
        <v>0</v>
      </c>
      <c r="Y792" s="178">
        <f t="shared" si="130"/>
        <v>0</v>
      </c>
      <c r="Z792" s="175">
        <f t="shared" si="122"/>
        <v>0</v>
      </c>
      <c r="AA792" s="179"/>
      <c r="AB792" s="467">
        <f t="shared" si="123"/>
        <v>0</v>
      </c>
      <c r="AC792" s="466">
        <f t="shared" si="124"/>
        <v>0</v>
      </c>
    </row>
    <row r="793" spans="2:29" ht="20.100000000000001" customHeight="1">
      <c r="B793" s="172"/>
      <c r="C793" s="172"/>
      <c r="D793" s="172"/>
      <c r="E793" s="181"/>
      <c r="F793" s="173"/>
      <c r="G793" s="174"/>
      <c r="H793" s="284"/>
      <c r="I793" s="221"/>
      <c r="J793" s="177">
        <f>IF(H793=0,0,IF(F793="MXN",1/HLOOKUP(YEAR(G793)+(MONTH(G793)/100),TC!$5:$37,DAY(G793)+2,FALSE),VLOOKUP(F793,Equivalencia!$5:$23,((MAX(Equivalencia!$3:$3)-YEAR(G793))*14)+MONTH(G793)+2,FALSE)))</f>
        <v>0</v>
      </c>
      <c r="K793" s="217">
        <f t="shared" si="125"/>
        <v>0</v>
      </c>
      <c r="L793" s="462">
        <f>IF(G793=0,0,VLOOKUP(YEAR(G793),INPC!$B$4:$O$29,MONTH(G793)+1))</f>
        <v>0</v>
      </c>
      <c r="M793" s="462">
        <f>IF(T793=0,0,VLOOKUP(YEAR(T793),INPC!$B$4:$O$29,MONTH(T793)+1))</f>
        <v>0</v>
      </c>
      <c r="N793" s="463">
        <f t="shared" si="121"/>
        <v>0</v>
      </c>
      <c r="O793" s="464">
        <f t="shared" si="126"/>
        <v>0</v>
      </c>
      <c r="P793" s="465">
        <f t="shared" si="127"/>
        <v>0</v>
      </c>
      <c r="Q793" s="606" t="str">
        <f t="shared" si="128"/>
        <v>NO</v>
      </c>
      <c r="R793" s="180"/>
      <c r="S793" s="173"/>
      <c r="T793" s="174"/>
      <c r="U793" s="173"/>
      <c r="V793" s="220"/>
      <c r="W793" s="177">
        <f>IF(S793=0,0,IF(U793="MXN",1/HLOOKUP(YEAR(T793)+(MONTH(T793)/100),TC!$5:$37,DAY(T793)+2,FALSE),VLOOKUP(U793,Equivalencia!$1:$23,((MAX(Equivalencia!$3:$3)-YEAR(T793))*14)+MONTH(T793)+2,FALSE)))</f>
        <v>0</v>
      </c>
      <c r="X793" s="178">
        <f t="shared" si="129"/>
        <v>0</v>
      </c>
      <c r="Y793" s="178">
        <f t="shared" si="130"/>
        <v>0</v>
      </c>
      <c r="Z793" s="175">
        <f t="shared" si="122"/>
        <v>0</v>
      </c>
      <c r="AA793" s="179"/>
      <c r="AB793" s="467">
        <f t="shared" si="123"/>
        <v>0</v>
      </c>
      <c r="AC793" s="466">
        <f t="shared" si="124"/>
        <v>0</v>
      </c>
    </row>
    <row r="794" spans="2:29" ht="20.100000000000001" customHeight="1">
      <c r="B794" s="172"/>
      <c r="C794" s="172"/>
      <c r="D794" s="172"/>
      <c r="E794" s="181"/>
      <c r="F794" s="173"/>
      <c r="G794" s="174"/>
      <c r="H794" s="284"/>
      <c r="I794" s="221"/>
      <c r="J794" s="177">
        <f>IF(H794=0,0,IF(F794="MXN",1/HLOOKUP(YEAR(G794)+(MONTH(G794)/100),TC!$5:$37,DAY(G794)+2,FALSE),VLOOKUP(F794,Equivalencia!$5:$23,((MAX(Equivalencia!$3:$3)-YEAR(G794))*14)+MONTH(G794)+2,FALSE)))</f>
        <v>0</v>
      </c>
      <c r="K794" s="217">
        <f t="shared" si="125"/>
        <v>0</v>
      </c>
      <c r="L794" s="462">
        <f>IF(G794=0,0,VLOOKUP(YEAR(G794),INPC!$B$4:$O$29,MONTH(G794)+1))</f>
        <v>0</v>
      </c>
      <c r="M794" s="462">
        <f>IF(T794=0,0,VLOOKUP(YEAR(T794),INPC!$B$4:$O$29,MONTH(T794)+1))</f>
        <v>0</v>
      </c>
      <c r="N794" s="463">
        <f t="shared" si="121"/>
        <v>0</v>
      </c>
      <c r="O794" s="464">
        <f t="shared" si="126"/>
        <v>0</v>
      </c>
      <c r="P794" s="465">
        <f t="shared" si="127"/>
        <v>0</v>
      </c>
      <c r="Q794" s="606" t="str">
        <f t="shared" si="128"/>
        <v>NO</v>
      </c>
      <c r="R794" s="180"/>
      <c r="S794" s="173"/>
      <c r="T794" s="174"/>
      <c r="U794" s="173"/>
      <c r="V794" s="220"/>
      <c r="W794" s="177">
        <f>IF(S794=0,0,IF(U794="MXN",1/HLOOKUP(YEAR(T794)+(MONTH(T794)/100),TC!$5:$37,DAY(T794)+2,FALSE),VLOOKUP(U794,Equivalencia!$1:$23,((MAX(Equivalencia!$3:$3)-YEAR(T794))*14)+MONTH(T794)+2,FALSE)))</f>
        <v>0</v>
      </c>
      <c r="X794" s="178">
        <f t="shared" si="129"/>
        <v>0</v>
      </c>
      <c r="Y794" s="178">
        <f t="shared" si="130"/>
        <v>0</v>
      </c>
      <c r="Z794" s="175">
        <f t="shared" si="122"/>
        <v>0</v>
      </c>
      <c r="AA794" s="179"/>
      <c r="AB794" s="467">
        <f t="shared" si="123"/>
        <v>0</v>
      </c>
      <c r="AC794" s="466">
        <f t="shared" si="124"/>
        <v>0</v>
      </c>
    </row>
    <row r="795" spans="2:29" ht="20.100000000000001" customHeight="1">
      <c r="B795" s="172"/>
      <c r="C795" s="172"/>
      <c r="D795" s="172"/>
      <c r="E795" s="181"/>
      <c r="F795" s="173"/>
      <c r="G795" s="174"/>
      <c r="H795" s="284"/>
      <c r="I795" s="221"/>
      <c r="J795" s="177">
        <f>IF(H795=0,0,IF(F795="MXN",1/HLOOKUP(YEAR(G795)+(MONTH(G795)/100),TC!$5:$37,DAY(G795)+2,FALSE),VLOOKUP(F795,Equivalencia!$5:$23,((MAX(Equivalencia!$3:$3)-YEAR(G795))*14)+MONTH(G795)+2,FALSE)))</f>
        <v>0</v>
      </c>
      <c r="K795" s="217">
        <f t="shared" si="125"/>
        <v>0</v>
      </c>
      <c r="L795" s="462">
        <f>IF(G795=0,0,VLOOKUP(YEAR(G795),INPC!$B$4:$O$29,MONTH(G795)+1))</f>
        <v>0</v>
      </c>
      <c r="M795" s="462">
        <f>IF(T795=0,0,VLOOKUP(YEAR(T795),INPC!$B$4:$O$29,MONTH(T795)+1))</f>
        <v>0</v>
      </c>
      <c r="N795" s="463">
        <f t="shared" si="121"/>
        <v>0</v>
      </c>
      <c r="O795" s="464">
        <f t="shared" si="126"/>
        <v>0</v>
      </c>
      <c r="P795" s="465">
        <f t="shared" si="127"/>
        <v>0</v>
      </c>
      <c r="Q795" s="606" t="str">
        <f t="shared" si="128"/>
        <v>NO</v>
      </c>
      <c r="R795" s="180"/>
      <c r="S795" s="173"/>
      <c r="T795" s="174"/>
      <c r="U795" s="173"/>
      <c r="V795" s="220"/>
      <c r="W795" s="177">
        <f>IF(S795=0,0,IF(U795="MXN",1/HLOOKUP(YEAR(T795)+(MONTH(T795)/100),TC!$5:$37,DAY(T795)+2,FALSE),VLOOKUP(U795,Equivalencia!$1:$23,((MAX(Equivalencia!$3:$3)-YEAR(T795))*14)+MONTH(T795)+2,FALSE)))</f>
        <v>0</v>
      </c>
      <c r="X795" s="178">
        <f t="shared" si="129"/>
        <v>0</v>
      </c>
      <c r="Y795" s="178">
        <f t="shared" si="130"/>
        <v>0</v>
      </c>
      <c r="Z795" s="175">
        <f t="shared" si="122"/>
        <v>0</v>
      </c>
      <c r="AA795" s="179"/>
      <c r="AB795" s="467">
        <f t="shared" si="123"/>
        <v>0</v>
      </c>
      <c r="AC795" s="466">
        <f t="shared" si="124"/>
        <v>0</v>
      </c>
    </row>
    <row r="796" spans="2:29" ht="20.100000000000001" customHeight="1">
      <c r="B796" s="172"/>
      <c r="C796" s="172"/>
      <c r="D796" s="172"/>
      <c r="E796" s="181"/>
      <c r="F796" s="173"/>
      <c r="G796" s="174"/>
      <c r="H796" s="284"/>
      <c r="I796" s="221"/>
      <c r="J796" s="177">
        <f>IF(H796=0,0,IF(F796="MXN",1/HLOOKUP(YEAR(G796)+(MONTH(G796)/100),TC!$5:$37,DAY(G796)+2,FALSE),VLOOKUP(F796,Equivalencia!$5:$23,((MAX(Equivalencia!$3:$3)-YEAR(G796))*14)+MONTH(G796)+2,FALSE)))</f>
        <v>0</v>
      </c>
      <c r="K796" s="217">
        <f t="shared" si="125"/>
        <v>0</v>
      </c>
      <c r="L796" s="462">
        <f>IF(G796=0,0,VLOOKUP(YEAR(G796),INPC!$B$4:$O$29,MONTH(G796)+1))</f>
        <v>0</v>
      </c>
      <c r="M796" s="462">
        <f>IF(T796=0,0,VLOOKUP(YEAR(T796),INPC!$B$4:$O$29,MONTH(T796)+1))</f>
        <v>0</v>
      </c>
      <c r="N796" s="463">
        <f t="shared" si="121"/>
        <v>0</v>
      </c>
      <c r="O796" s="464">
        <f t="shared" si="126"/>
        <v>0</v>
      </c>
      <c r="P796" s="465">
        <f t="shared" si="127"/>
        <v>0</v>
      </c>
      <c r="Q796" s="606" t="str">
        <f t="shared" si="128"/>
        <v>NO</v>
      </c>
      <c r="R796" s="180"/>
      <c r="S796" s="173"/>
      <c r="T796" s="174"/>
      <c r="U796" s="173"/>
      <c r="V796" s="220"/>
      <c r="W796" s="177">
        <f>IF(S796=0,0,IF(U796="MXN",1/HLOOKUP(YEAR(T796)+(MONTH(T796)/100),TC!$5:$37,DAY(T796)+2,FALSE),VLOOKUP(U796,Equivalencia!$1:$23,((MAX(Equivalencia!$3:$3)-YEAR(T796))*14)+MONTH(T796)+2,FALSE)))</f>
        <v>0</v>
      </c>
      <c r="X796" s="178">
        <f t="shared" si="129"/>
        <v>0</v>
      </c>
      <c r="Y796" s="178">
        <f t="shared" si="130"/>
        <v>0</v>
      </c>
      <c r="Z796" s="175">
        <f t="shared" si="122"/>
        <v>0</v>
      </c>
      <c r="AA796" s="179"/>
      <c r="AB796" s="467">
        <f t="shared" si="123"/>
        <v>0</v>
      </c>
      <c r="AC796" s="466">
        <f t="shared" si="124"/>
        <v>0</v>
      </c>
    </row>
    <row r="797" spans="2:29" ht="20.100000000000001" customHeight="1">
      <c r="B797" s="172"/>
      <c r="C797" s="172"/>
      <c r="D797" s="172"/>
      <c r="E797" s="181"/>
      <c r="F797" s="173"/>
      <c r="G797" s="174"/>
      <c r="H797" s="284"/>
      <c r="I797" s="221"/>
      <c r="J797" s="177">
        <f>IF(H797=0,0,IF(F797="MXN",1/HLOOKUP(YEAR(G797)+(MONTH(G797)/100),TC!$5:$37,DAY(G797)+2,FALSE),VLOOKUP(F797,Equivalencia!$5:$23,((MAX(Equivalencia!$3:$3)-YEAR(G797))*14)+MONTH(G797)+2,FALSE)))</f>
        <v>0</v>
      </c>
      <c r="K797" s="217">
        <f t="shared" si="125"/>
        <v>0</v>
      </c>
      <c r="L797" s="462">
        <f>IF(G797=0,0,VLOOKUP(YEAR(G797),INPC!$B$4:$O$29,MONTH(G797)+1))</f>
        <v>0</v>
      </c>
      <c r="M797" s="462">
        <f>IF(T797=0,0,VLOOKUP(YEAR(T797),INPC!$B$4:$O$29,MONTH(T797)+1))</f>
        <v>0</v>
      </c>
      <c r="N797" s="463">
        <f t="shared" si="121"/>
        <v>0</v>
      </c>
      <c r="O797" s="464">
        <f t="shared" si="126"/>
        <v>0</v>
      </c>
      <c r="P797" s="465">
        <f t="shared" si="127"/>
        <v>0</v>
      </c>
      <c r="Q797" s="606" t="str">
        <f t="shared" si="128"/>
        <v>NO</v>
      </c>
      <c r="R797" s="180"/>
      <c r="S797" s="173"/>
      <c r="T797" s="174"/>
      <c r="U797" s="173"/>
      <c r="V797" s="220"/>
      <c r="W797" s="177">
        <f>IF(S797=0,0,IF(U797="MXN",1/HLOOKUP(YEAR(T797)+(MONTH(T797)/100),TC!$5:$37,DAY(T797)+2,FALSE),VLOOKUP(U797,Equivalencia!$1:$23,((MAX(Equivalencia!$3:$3)-YEAR(T797))*14)+MONTH(T797)+2,FALSE)))</f>
        <v>0</v>
      </c>
      <c r="X797" s="178">
        <f t="shared" si="129"/>
        <v>0</v>
      </c>
      <c r="Y797" s="178">
        <f t="shared" si="130"/>
        <v>0</v>
      </c>
      <c r="Z797" s="175">
        <f t="shared" si="122"/>
        <v>0</v>
      </c>
      <c r="AA797" s="179"/>
      <c r="AB797" s="467">
        <f t="shared" si="123"/>
        <v>0</v>
      </c>
      <c r="AC797" s="466">
        <f t="shared" si="124"/>
        <v>0</v>
      </c>
    </row>
    <row r="798" spans="2:29" ht="20.100000000000001" customHeight="1">
      <c r="B798" s="172"/>
      <c r="C798" s="172"/>
      <c r="D798" s="172"/>
      <c r="E798" s="181"/>
      <c r="F798" s="173"/>
      <c r="G798" s="174"/>
      <c r="H798" s="284"/>
      <c r="I798" s="221"/>
      <c r="J798" s="177">
        <f>IF(H798=0,0,IF(F798="MXN",1/HLOOKUP(YEAR(G798)+(MONTH(G798)/100),TC!$5:$37,DAY(G798)+2,FALSE),VLOOKUP(F798,Equivalencia!$5:$23,((MAX(Equivalencia!$3:$3)-YEAR(G798))*14)+MONTH(G798)+2,FALSE)))</f>
        <v>0</v>
      </c>
      <c r="K798" s="217">
        <f t="shared" si="125"/>
        <v>0</v>
      </c>
      <c r="L798" s="462">
        <f>IF(G798=0,0,VLOOKUP(YEAR(G798),INPC!$B$4:$O$29,MONTH(G798)+1))</f>
        <v>0</v>
      </c>
      <c r="M798" s="462">
        <f>IF(T798=0,0,VLOOKUP(YEAR(T798),INPC!$B$4:$O$29,MONTH(T798)+1))</f>
        <v>0</v>
      </c>
      <c r="N798" s="463">
        <f t="shared" si="121"/>
        <v>0</v>
      </c>
      <c r="O798" s="464">
        <f t="shared" si="126"/>
        <v>0</v>
      </c>
      <c r="P798" s="465">
        <f t="shared" si="127"/>
        <v>0</v>
      </c>
      <c r="Q798" s="606" t="str">
        <f t="shared" si="128"/>
        <v>NO</v>
      </c>
      <c r="R798" s="180"/>
      <c r="S798" s="173"/>
      <c r="T798" s="174"/>
      <c r="U798" s="173"/>
      <c r="V798" s="220"/>
      <c r="W798" s="177">
        <f>IF(S798=0,0,IF(U798="MXN",1/HLOOKUP(YEAR(T798)+(MONTH(T798)/100),TC!$5:$37,DAY(T798)+2,FALSE),VLOOKUP(U798,Equivalencia!$1:$23,((MAX(Equivalencia!$3:$3)-YEAR(T798))*14)+MONTH(T798)+2,FALSE)))</f>
        <v>0</v>
      </c>
      <c r="X798" s="178">
        <f t="shared" si="129"/>
        <v>0</v>
      </c>
      <c r="Y798" s="178">
        <f t="shared" si="130"/>
        <v>0</v>
      </c>
      <c r="Z798" s="175">
        <f t="shared" si="122"/>
        <v>0</v>
      </c>
      <c r="AA798" s="179"/>
      <c r="AB798" s="467">
        <f t="shared" si="123"/>
        <v>0</v>
      </c>
      <c r="AC798" s="466">
        <f t="shared" si="124"/>
        <v>0</v>
      </c>
    </row>
    <row r="799" spans="2:29" ht="20.100000000000001" customHeight="1">
      <c r="B799" s="172"/>
      <c r="C799" s="172"/>
      <c r="D799" s="172"/>
      <c r="E799" s="181"/>
      <c r="F799" s="173"/>
      <c r="G799" s="174"/>
      <c r="H799" s="284"/>
      <c r="I799" s="221"/>
      <c r="J799" s="177">
        <f>IF(H799=0,0,IF(F799="MXN",1/HLOOKUP(YEAR(G799)+(MONTH(G799)/100),TC!$5:$37,DAY(G799)+2,FALSE),VLOOKUP(F799,Equivalencia!$5:$23,((MAX(Equivalencia!$3:$3)-YEAR(G799))*14)+MONTH(G799)+2,FALSE)))</f>
        <v>0</v>
      </c>
      <c r="K799" s="217">
        <f t="shared" si="125"/>
        <v>0</v>
      </c>
      <c r="L799" s="462">
        <f>IF(G799=0,0,VLOOKUP(YEAR(G799),INPC!$B$4:$O$29,MONTH(G799)+1))</f>
        <v>0</v>
      </c>
      <c r="M799" s="462">
        <f>IF(T799=0,0,VLOOKUP(YEAR(T799),INPC!$B$4:$O$29,MONTH(T799)+1))</f>
        <v>0</v>
      </c>
      <c r="N799" s="463">
        <f t="shared" si="121"/>
        <v>0</v>
      </c>
      <c r="O799" s="464">
        <f t="shared" si="126"/>
        <v>0</v>
      </c>
      <c r="P799" s="465">
        <f t="shared" si="127"/>
        <v>0</v>
      </c>
      <c r="Q799" s="606" t="str">
        <f t="shared" si="128"/>
        <v>NO</v>
      </c>
      <c r="R799" s="180"/>
      <c r="S799" s="173"/>
      <c r="T799" s="174"/>
      <c r="U799" s="173"/>
      <c r="V799" s="220"/>
      <c r="W799" s="177">
        <f>IF(S799=0,0,IF(U799="MXN",1/HLOOKUP(YEAR(T799)+(MONTH(T799)/100),TC!$5:$37,DAY(T799)+2,FALSE),VLOOKUP(U799,Equivalencia!$1:$23,((MAX(Equivalencia!$3:$3)-YEAR(T799))*14)+MONTH(T799)+2,FALSE)))</f>
        <v>0</v>
      </c>
      <c r="X799" s="178">
        <f t="shared" si="129"/>
        <v>0</v>
      </c>
      <c r="Y799" s="178">
        <f t="shared" si="130"/>
        <v>0</v>
      </c>
      <c r="Z799" s="175">
        <f t="shared" si="122"/>
        <v>0</v>
      </c>
      <c r="AA799" s="179"/>
      <c r="AB799" s="467">
        <f t="shared" si="123"/>
        <v>0</v>
      </c>
      <c r="AC799" s="466">
        <f t="shared" si="124"/>
        <v>0</v>
      </c>
    </row>
    <row r="800" spans="2:29" ht="20.100000000000001" customHeight="1">
      <c r="B800" s="172"/>
      <c r="C800" s="172"/>
      <c r="D800" s="172"/>
      <c r="E800" s="181"/>
      <c r="F800" s="173"/>
      <c r="G800" s="174"/>
      <c r="H800" s="284"/>
      <c r="I800" s="221"/>
      <c r="J800" s="177">
        <f>IF(H800=0,0,IF(F800="MXN",1/HLOOKUP(YEAR(G800)+(MONTH(G800)/100),TC!$5:$37,DAY(G800)+2,FALSE),VLOOKUP(F800,Equivalencia!$5:$23,((MAX(Equivalencia!$3:$3)-YEAR(G800))*14)+MONTH(G800)+2,FALSE)))</f>
        <v>0</v>
      </c>
      <c r="K800" s="217">
        <f t="shared" si="125"/>
        <v>0</v>
      </c>
      <c r="L800" s="462">
        <f>IF(G800=0,0,VLOOKUP(YEAR(G800),INPC!$B$4:$O$29,MONTH(G800)+1))</f>
        <v>0</v>
      </c>
      <c r="M800" s="462">
        <f>IF(T800=0,0,VLOOKUP(YEAR(T800),INPC!$B$4:$O$29,MONTH(T800)+1))</f>
        <v>0</v>
      </c>
      <c r="N800" s="463">
        <f t="shared" si="121"/>
        <v>0</v>
      </c>
      <c r="O800" s="464">
        <f t="shared" si="126"/>
        <v>0</v>
      </c>
      <c r="P800" s="465">
        <f t="shared" si="127"/>
        <v>0</v>
      </c>
      <c r="Q800" s="606" t="str">
        <f t="shared" si="128"/>
        <v>NO</v>
      </c>
      <c r="R800" s="180"/>
      <c r="S800" s="173"/>
      <c r="T800" s="174"/>
      <c r="U800" s="173"/>
      <c r="V800" s="220"/>
      <c r="W800" s="177">
        <f>IF(S800=0,0,IF(U800="MXN",1/HLOOKUP(YEAR(T800)+(MONTH(T800)/100),TC!$5:$37,DAY(T800)+2,FALSE),VLOOKUP(U800,Equivalencia!$1:$23,((MAX(Equivalencia!$3:$3)-YEAR(T800))*14)+MONTH(T800)+2,FALSE)))</f>
        <v>0</v>
      </c>
      <c r="X800" s="178">
        <f t="shared" si="129"/>
        <v>0</v>
      </c>
      <c r="Y800" s="178">
        <f t="shared" si="130"/>
        <v>0</v>
      </c>
      <c r="Z800" s="175">
        <f t="shared" si="122"/>
        <v>0</v>
      </c>
      <c r="AA800" s="179"/>
      <c r="AB800" s="467">
        <f t="shared" si="123"/>
        <v>0</v>
      </c>
      <c r="AC800" s="466">
        <f t="shared" si="124"/>
        <v>0</v>
      </c>
    </row>
    <row r="801" spans="2:29" ht="20.100000000000001" customHeight="1">
      <c r="B801" s="172"/>
      <c r="C801" s="172"/>
      <c r="D801" s="172"/>
      <c r="E801" s="181"/>
      <c r="F801" s="173"/>
      <c r="G801" s="174"/>
      <c r="H801" s="284"/>
      <c r="I801" s="221"/>
      <c r="J801" s="177">
        <f>IF(H801=0,0,IF(F801="MXN",1/HLOOKUP(YEAR(G801)+(MONTH(G801)/100),TC!$5:$37,DAY(G801)+2,FALSE),VLOOKUP(F801,Equivalencia!$5:$23,((MAX(Equivalencia!$3:$3)-YEAR(G801))*14)+MONTH(G801)+2,FALSE)))</f>
        <v>0</v>
      </c>
      <c r="K801" s="217">
        <f t="shared" si="125"/>
        <v>0</v>
      </c>
      <c r="L801" s="462">
        <f>IF(G801=0,0,VLOOKUP(YEAR(G801),INPC!$B$4:$O$29,MONTH(G801)+1))</f>
        <v>0</v>
      </c>
      <c r="M801" s="462">
        <f>IF(T801=0,0,VLOOKUP(YEAR(T801),INPC!$B$4:$O$29,MONTH(T801)+1))</f>
        <v>0</v>
      </c>
      <c r="N801" s="463">
        <f t="shared" si="121"/>
        <v>0</v>
      </c>
      <c r="O801" s="464">
        <f t="shared" si="126"/>
        <v>0</v>
      </c>
      <c r="P801" s="465">
        <f t="shared" si="127"/>
        <v>0</v>
      </c>
      <c r="Q801" s="606" t="str">
        <f t="shared" si="128"/>
        <v>NO</v>
      </c>
      <c r="R801" s="180"/>
      <c r="S801" s="173"/>
      <c r="T801" s="174"/>
      <c r="U801" s="173"/>
      <c r="V801" s="220"/>
      <c r="W801" s="177">
        <f>IF(S801=0,0,IF(U801="MXN",1/HLOOKUP(YEAR(T801)+(MONTH(T801)/100),TC!$5:$37,DAY(T801)+2,FALSE),VLOOKUP(U801,Equivalencia!$1:$23,((MAX(Equivalencia!$3:$3)-YEAR(T801))*14)+MONTH(T801)+2,FALSE)))</f>
        <v>0</v>
      </c>
      <c r="X801" s="178">
        <f t="shared" si="129"/>
        <v>0</v>
      </c>
      <c r="Y801" s="178">
        <f t="shared" si="130"/>
        <v>0</v>
      </c>
      <c r="Z801" s="175">
        <f t="shared" si="122"/>
        <v>0</v>
      </c>
      <c r="AA801" s="179"/>
      <c r="AB801" s="467">
        <f t="shared" si="123"/>
        <v>0</v>
      </c>
      <c r="AC801" s="466">
        <f t="shared" si="124"/>
        <v>0</v>
      </c>
    </row>
    <row r="802" spans="2:29" ht="20.100000000000001" customHeight="1">
      <c r="B802" s="172"/>
      <c r="C802" s="172"/>
      <c r="D802" s="172"/>
      <c r="E802" s="181"/>
      <c r="F802" s="173"/>
      <c r="G802" s="174"/>
      <c r="H802" s="284"/>
      <c r="I802" s="221"/>
      <c r="J802" s="177">
        <f>IF(H802=0,0,IF(F802="MXN",1/HLOOKUP(YEAR(G802)+(MONTH(G802)/100),TC!$5:$37,DAY(G802)+2,FALSE),VLOOKUP(F802,Equivalencia!$5:$23,((MAX(Equivalencia!$3:$3)-YEAR(G802))*14)+MONTH(G802)+2,FALSE)))</f>
        <v>0</v>
      </c>
      <c r="K802" s="217">
        <f t="shared" si="125"/>
        <v>0</v>
      </c>
      <c r="L802" s="462">
        <f>IF(G802=0,0,VLOOKUP(YEAR(G802),INPC!$B$4:$O$29,MONTH(G802)+1))</f>
        <v>0</v>
      </c>
      <c r="M802" s="462">
        <f>IF(T802=0,0,VLOOKUP(YEAR(T802),INPC!$B$4:$O$29,MONTH(T802)+1))</f>
        <v>0</v>
      </c>
      <c r="N802" s="463">
        <f t="shared" si="121"/>
        <v>0</v>
      </c>
      <c r="O802" s="464">
        <f t="shared" si="126"/>
        <v>0</v>
      </c>
      <c r="P802" s="465">
        <f t="shared" si="127"/>
        <v>0</v>
      </c>
      <c r="Q802" s="606" t="str">
        <f t="shared" si="128"/>
        <v>NO</v>
      </c>
      <c r="R802" s="180"/>
      <c r="S802" s="173"/>
      <c r="T802" s="174"/>
      <c r="U802" s="173"/>
      <c r="V802" s="220"/>
      <c r="W802" s="177">
        <f>IF(S802=0,0,IF(U802="MXN",1/HLOOKUP(YEAR(T802)+(MONTH(T802)/100),TC!$5:$37,DAY(T802)+2,FALSE),VLOOKUP(U802,Equivalencia!$1:$23,((MAX(Equivalencia!$3:$3)-YEAR(T802))*14)+MONTH(T802)+2,FALSE)))</f>
        <v>0</v>
      </c>
      <c r="X802" s="178">
        <f t="shared" si="129"/>
        <v>0</v>
      </c>
      <c r="Y802" s="178">
        <f t="shared" si="130"/>
        <v>0</v>
      </c>
      <c r="Z802" s="175">
        <f t="shared" si="122"/>
        <v>0</v>
      </c>
      <c r="AA802" s="179"/>
      <c r="AB802" s="467">
        <f t="shared" si="123"/>
        <v>0</v>
      </c>
      <c r="AC802" s="466">
        <f t="shared" si="124"/>
        <v>0</v>
      </c>
    </row>
    <row r="803" spans="2:29" ht="20.100000000000001" customHeight="1">
      <c r="B803" s="172"/>
      <c r="C803" s="172"/>
      <c r="D803" s="172"/>
      <c r="E803" s="181"/>
      <c r="F803" s="173"/>
      <c r="G803" s="174"/>
      <c r="H803" s="284"/>
      <c r="I803" s="221"/>
      <c r="J803" s="177">
        <f>IF(H803=0,0,IF(F803="MXN",1/HLOOKUP(YEAR(G803)+(MONTH(G803)/100),TC!$5:$37,DAY(G803)+2,FALSE),VLOOKUP(F803,Equivalencia!$5:$23,((MAX(Equivalencia!$3:$3)-YEAR(G803))*14)+MONTH(G803)+2,FALSE)))</f>
        <v>0</v>
      </c>
      <c r="K803" s="217">
        <f t="shared" si="125"/>
        <v>0</v>
      </c>
      <c r="L803" s="462">
        <f>IF(G803=0,0,VLOOKUP(YEAR(G803),INPC!$B$4:$O$29,MONTH(G803)+1))</f>
        <v>0</v>
      </c>
      <c r="M803" s="462">
        <f>IF(T803=0,0,VLOOKUP(YEAR(T803),INPC!$B$4:$O$29,MONTH(T803)+1))</f>
        <v>0</v>
      </c>
      <c r="N803" s="463">
        <f t="shared" si="121"/>
        <v>0</v>
      </c>
      <c r="O803" s="464">
        <f t="shared" si="126"/>
        <v>0</v>
      </c>
      <c r="P803" s="465">
        <f t="shared" si="127"/>
        <v>0</v>
      </c>
      <c r="Q803" s="606" t="str">
        <f t="shared" si="128"/>
        <v>NO</v>
      </c>
      <c r="R803" s="180"/>
      <c r="S803" s="173"/>
      <c r="T803" s="174"/>
      <c r="U803" s="173"/>
      <c r="V803" s="220"/>
      <c r="W803" s="177">
        <f>IF(S803=0,0,IF(U803="MXN",1/HLOOKUP(YEAR(T803)+(MONTH(T803)/100),TC!$5:$37,DAY(T803)+2,FALSE),VLOOKUP(U803,Equivalencia!$1:$23,((MAX(Equivalencia!$3:$3)-YEAR(T803))*14)+MONTH(T803)+2,FALSE)))</f>
        <v>0</v>
      </c>
      <c r="X803" s="178">
        <f t="shared" si="129"/>
        <v>0</v>
      </c>
      <c r="Y803" s="178">
        <f t="shared" si="130"/>
        <v>0</v>
      </c>
      <c r="Z803" s="175">
        <f t="shared" si="122"/>
        <v>0</v>
      </c>
      <c r="AA803" s="179"/>
      <c r="AB803" s="467">
        <f t="shared" si="123"/>
        <v>0</v>
      </c>
      <c r="AC803" s="466">
        <f t="shared" si="124"/>
        <v>0</v>
      </c>
    </row>
    <row r="804" spans="2:29" ht="20.100000000000001" customHeight="1">
      <c r="B804" s="172"/>
      <c r="C804" s="172"/>
      <c r="D804" s="172"/>
      <c r="E804" s="181"/>
      <c r="F804" s="173"/>
      <c r="G804" s="174"/>
      <c r="H804" s="284"/>
      <c r="I804" s="221"/>
      <c r="J804" s="177">
        <f>IF(H804=0,0,IF(F804="MXN",1/HLOOKUP(YEAR(G804)+(MONTH(G804)/100),TC!$5:$37,DAY(G804)+2,FALSE),VLOOKUP(F804,Equivalencia!$5:$23,((MAX(Equivalencia!$3:$3)-YEAR(G804))*14)+MONTH(G804)+2,FALSE)))</f>
        <v>0</v>
      </c>
      <c r="K804" s="217">
        <f t="shared" si="125"/>
        <v>0</v>
      </c>
      <c r="L804" s="462">
        <f>IF(G804=0,0,VLOOKUP(YEAR(G804),INPC!$B$4:$O$29,MONTH(G804)+1))</f>
        <v>0</v>
      </c>
      <c r="M804" s="462">
        <f>IF(T804=0,0,VLOOKUP(YEAR(T804),INPC!$B$4:$O$29,MONTH(T804)+1))</f>
        <v>0</v>
      </c>
      <c r="N804" s="463">
        <f t="shared" si="121"/>
        <v>0</v>
      </c>
      <c r="O804" s="464">
        <f t="shared" si="126"/>
        <v>0</v>
      </c>
      <c r="P804" s="465">
        <f t="shared" si="127"/>
        <v>0</v>
      </c>
      <c r="Q804" s="606" t="str">
        <f t="shared" si="128"/>
        <v>NO</v>
      </c>
      <c r="R804" s="180"/>
      <c r="S804" s="173"/>
      <c r="T804" s="174"/>
      <c r="U804" s="173"/>
      <c r="V804" s="220"/>
      <c r="W804" s="177">
        <f>IF(S804=0,0,IF(U804="MXN",1/HLOOKUP(YEAR(T804)+(MONTH(T804)/100),TC!$5:$37,DAY(T804)+2,FALSE),VLOOKUP(U804,Equivalencia!$1:$23,((MAX(Equivalencia!$3:$3)-YEAR(T804))*14)+MONTH(T804)+2,FALSE)))</f>
        <v>0</v>
      </c>
      <c r="X804" s="178">
        <f t="shared" si="129"/>
        <v>0</v>
      </c>
      <c r="Y804" s="178">
        <f t="shared" si="130"/>
        <v>0</v>
      </c>
      <c r="Z804" s="175">
        <f t="shared" si="122"/>
        <v>0</v>
      </c>
      <c r="AA804" s="179"/>
      <c r="AB804" s="467">
        <f t="shared" si="123"/>
        <v>0</v>
      </c>
      <c r="AC804" s="466">
        <f t="shared" si="124"/>
        <v>0</v>
      </c>
    </row>
    <row r="805" spans="2:29" ht="20.100000000000001" customHeight="1">
      <c r="B805" s="172"/>
      <c r="C805" s="172"/>
      <c r="D805" s="172"/>
      <c r="E805" s="181"/>
      <c r="F805" s="173"/>
      <c r="G805" s="174"/>
      <c r="H805" s="284"/>
      <c r="I805" s="221"/>
      <c r="J805" s="177">
        <f>IF(H805=0,0,IF(F805="MXN",1/HLOOKUP(YEAR(G805)+(MONTH(G805)/100),TC!$5:$37,DAY(G805)+2,FALSE),VLOOKUP(F805,Equivalencia!$5:$23,((MAX(Equivalencia!$3:$3)-YEAR(G805))*14)+MONTH(G805)+2,FALSE)))</f>
        <v>0</v>
      </c>
      <c r="K805" s="217">
        <f t="shared" si="125"/>
        <v>0</v>
      </c>
      <c r="L805" s="462">
        <f>IF(G805=0,0,VLOOKUP(YEAR(G805),INPC!$B$4:$O$29,MONTH(G805)+1))</f>
        <v>0</v>
      </c>
      <c r="M805" s="462">
        <f>IF(T805=0,0,VLOOKUP(YEAR(T805),INPC!$B$4:$O$29,MONTH(T805)+1))</f>
        <v>0</v>
      </c>
      <c r="N805" s="463">
        <f t="shared" si="121"/>
        <v>0</v>
      </c>
      <c r="O805" s="464">
        <f t="shared" si="126"/>
        <v>0</v>
      </c>
      <c r="P805" s="465">
        <f t="shared" si="127"/>
        <v>0</v>
      </c>
      <c r="Q805" s="606" t="str">
        <f t="shared" si="128"/>
        <v>NO</v>
      </c>
      <c r="R805" s="180"/>
      <c r="S805" s="173"/>
      <c r="T805" s="174"/>
      <c r="U805" s="173"/>
      <c r="V805" s="220"/>
      <c r="W805" s="177">
        <f>IF(S805=0,0,IF(U805="MXN",1/HLOOKUP(YEAR(T805)+(MONTH(T805)/100),TC!$5:$37,DAY(T805)+2,FALSE),VLOOKUP(U805,Equivalencia!$1:$23,((MAX(Equivalencia!$3:$3)-YEAR(T805))*14)+MONTH(T805)+2,FALSE)))</f>
        <v>0</v>
      </c>
      <c r="X805" s="178">
        <f t="shared" si="129"/>
        <v>0</v>
      </c>
      <c r="Y805" s="178">
        <f t="shared" si="130"/>
        <v>0</v>
      </c>
      <c r="Z805" s="175">
        <f t="shared" si="122"/>
        <v>0</v>
      </c>
      <c r="AA805" s="179"/>
      <c r="AB805" s="467">
        <f t="shared" si="123"/>
        <v>0</v>
      </c>
      <c r="AC805" s="466">
        <f t="shared" si="124"/>
        <v>0</v>
      </c>
    </row>
    <row r="806" spans="2:29" ht="20.100000000000001" customHeight="1">
      <c r="B806" s="172"/>
      <c r="C806" s="172"/>
      <c r="D806" s="172"/>
      <c r="E806" s="181"/>
      <c r="F806" s="173"/>
      <c r="G806" s="174"/>
      <c r="H806" s="284"/>
      <c r="I806" s="221"/>
      <c r="J806" s="177">
        <f>IF(H806=0,0,IF(F806="MXN",1/HLOOKUP(YEAR(G806)+(MONTH(G806)/100),TC!$5:$37,DAY(G806)+2,FALSE),VLOOKUP(F806,Equivalencia!$5:$23,((MAX(Equivalencia!$3:$3)-YEAR(G806))*14)+MONTH(G806)+2,FALSE)))</f>
        <v>0</v>
      </c>
      <c r="K806" s="217">
        <f t="shared" si="125"/>
        <v>0</v>
      </c>
      <c r="L806" s="462">
        <f>IF(G806=0,0,VLOOKUP(YEAR(G806),INPC!$B$4:$O$29,MONTH(G806)+1))</f>
        <v>0</v>
      </c>
      <c r="M806" s="462">
        <f>IF(T806=0,0,VLOOKUP(YEAR(T806),INPC!$B$4:$O$29,MONTH(T806)+1))</f>
        <v>0</v>
      </c>
      <c r="N806" s="463">
        <f t="shared" si="121"/>
        <v>0</v>
      </c>
      <c r="O806" s="464">
        <f t="shared" si="126"/>
        <v>0</v>
      </c>
      <c r="P806" s="465">
        <f t="shared" si="127"/>
        <v>0</v>
      </c>
      <c r="Q806" s="606" t="str">
        <f t="shared" si="128"/>
        <v>NO</v>
      </c>
      <c r="R806" s="180"/>
      <c r="S806" s="173"/>
      <c r="T806" s="174"/>
      <c r="U806" s="173"/>
      <c r="V806" s="220"/>
      <c r="W806" s="177">
        <f>IF(S806=0,0,IF(U806="MXN",1/HLOOKUP(YEAR(T806)+(MONTH(T806)/100),TC!$5:$37,DAY(T806)+2,FALSE),VLOOKUP(U806,Equivalencia!$1:$23,((MAX(Equivalencia!$3:$3)-YEAR(T806))*14)+MONTH(T806)+2,FALSE)))</f>
        <v>0</v>
      </c>
      <c r="X806" s="178">
        <f t="shared" si="129"/>
        <v>0</v>
      </c>
      <c r="Y806" s="178">
        <f t="shared" si="130"/>
        <v>0</v>
      </c>
      <c r="Z806" s="175">
        <f t="shared" si="122"/>
        <v>0</v>
      </c>
      <c r="AA806" s="179"/>
      <c r="AB806" s="467">
        <f t="shared" si="123"/>
        <v>0</v>
      </c>
      <c r="AC806" s="466">
        <f t="shared" si="124"/>
        <v>0</v>
      </c>
    </row>
    <row r="807" spans="2:29" ht="20.100000000000001" customHeight="1">
      <c r="B807" s="172"/>
      <c r="C807" s="172"/>
      <c r="D807" s="172"/>
      <c r="E807" s="181"/>
      <c r="F807" s="173"/>
      <c r="G807" s="174"/>
      <c r="H807" s="284"/>
      <c r="I807" s="221"/>
      <c r="J807" s="177">
        <f>IF(H807=0,0,IF(F807="MXN",1/HLOOKUP(YEAR(G807)+(MONTH(G807)/100),TC!$5:$37,DAY(G807)+2,FALSE),VLOOKUP(F807,Equivalencia!$5:$23,((MAX(Equivalencia!$3:$3)-YEAR(G807))*14)+MONTH(G807)+2,FALSE)))</f>
        <v>0</v>
      </c>
      <c r="K807" s="217">
        <f t="shared" si="125"/>
        <v>0</v>
      </c>
      <c r="L807" s="462">
        <f>IF(G807=0,0,VLOOKUP(YEAR(G807),INPC!$B$4:$O$29,MONTH(G807)+1))</f>
        <v>0</v>
      </c>
      <c r="M807" s="462">
        <f>IF(T807=0,0,VLOOKUP(YEAR(T807),INPC!$B$4:$O$29,MONTH(T807)+1))</f>
        <v>0</v>
      </c>
      <c r="N807" s="463">
        <f t="shared" si="121"/>
        <v>0</v>
      </c>
      <c r="O807" s="464">
        <f t="shared" si="126"/>
        <v>0</v>
      </c>
      <c r="P807" s="465">
        <f t="shared" si="127"/>
        <v>0</v>
      </c>
      <c r="Q807" s="606" t="str">
        <f t="shared" si="128"/>
        <v>NO</v>
      </c>
      <c r="R807" s="180"/>
      <c r="S807" s="173"/>
      <c r="T807" s="174"/>
      <c r="U807" s="173"/>
      <c r="V807" s="220"/>
      <c r="W807" s="177">
        <f>IF(S807=0,0,IF(U807="MXN",1/HLOOKUP(YEAR(T807)+(MONTH(T807)/100),TC!$5:$37,DAY(T807)+2,FALSE),VLOOKUP(U807,Equivalencia!$1:$23,((MAX(Equivalencia!$3:$3)-YEAR(T807))*14)+MONTH(T807)+2,FALSE)))</f>
        <v>0</v>
      </c>
      <c r="X807" s="178">
        <f t="shared" si="129"/>
        <v>0</v>
      </c>
      <c r="Y807" s="178">
        <f t="shared" si="130"/>
        <v>0</v>
      </c>
      <c r="Z807" s="175">
        <f t="shared" si="122"/>
        <v>0</v>
      </c>
      <c r="AA807" s="179"/>
      <c r="AB807" s="467">
        <f t="shared" si="123"/>
        <v>0</v>
      </c>
      <c r="AC807" s="466">
        <f t="shared" si="124"/>
        <v>0</v>
      </c>
    </row>
    <row r="808" spans="2:29" ht="20.100000000000001" customHeight="1">
      <c r="B808" s="172"/>
      <c r="C808" s="172"/>
      <c r="D808" s="172"/>
      <c r="E808" s="181"/>
      <c r="F808" s="173"/>
      <c r="G808" s="174"/>
      <c r="H808" s="284"/>
      <c r="I808" s="221"/>
      <c r="J808" s="177">
        <f>IF(H808=0,0,IF(F808="MXN",1/HLOOKUP(YEAR(G808)+(MONTH(G808)/100),TC!$5:$37,DAY(G808)+2,FALSE),VLOOKUP(F808,Equivalencia!$5:$23,((MAX(Equivalencia!$3:$3)-YEAR(G808))*14)+MONTH(G808)+2,FALSE)))</f>
        <v>0</v>
      </c>
      <c r="K808" s="217">
        <f t="shared" si="125"/>
        <v>0</v>
      </c>
      <c r="L808" s="462">
        <f>IF(G808=0,0,VLOOKUP(YEAR(G808),INPC!$B$4:$O$29,MONTH(G808)+1))</f>
        <v>0</v>
      </c>
      <c r="M808" s="462">
        <f>IF(T808=0,0,VLOOKUP(YEAR(T808),INPC!$B$4:$O$29,MONTH(T808)+1))</f>
        <v>0</v>
      </c>
      <c r="N808" s="463">
        <f t="shared" si="121"/>
        <v>0</v>
      </c>
      <c r="O808" s="464">
        <f t="shared" si="126"/>
        <v>0</v>
      </c>
      <c r="P808" s="465">
        <f t="shared" si="127"/>
        <v>0</v>
      </c>
      <c r="Q808" s="606" t="str">
        <f t="shared" si="128"/>
        <v>NO</v>
      </c>
      <c r="R808" s="180"/>
      <c r="S808" s="173"/>
      <c r="T808" s="174"/>
      <c r="U808" s="173"/>
      <c r="V808" s="220"/>
      <c r="W808" s="177">
        <f>IF(S808=0,0,IF(U808="MXN",1/HLOOKUP(YEAR(T808)+(MONTH(T808)/100),TC!$5:$37,DAY(T808)+2,FALSE),VLOOKUP(U808,Equivalencia!$1:$23,((MAX(Equivalencia!$3:$3)-YEAR(T808))*14)+MONTH(T808)+2,FALSE)))</f>
        <v>0</v>
      </c>
      <c r="X808" s="178">
        <f t="shared" si="129"/>
        <v>0</v>
      </c>
      <c r="Y808" s="178">
        <f t="shared" si="130"/>
        <v>0</v>
      </c>
      <c r="Z808" s="175">
        <f t="shared" si="122"/>
        <v>0</v>
      </c>
      <c r="AA808" s="179"/>
      <c r="AB808" s="467">
        <f t="shared" si="123"/>
        <v>0</v>
      </c>
      <c r="AC808" s="466">
        <f t="shared" si="124"/>
        <v>0</v>
      </c>
    </row>
    <row r="809" spans="2:29" ht="20.100000000000001" customHeight="1">
      <c r="B809" s="172"/>
      <c r="C809" s="172"/>
      <c r="D809" s="172"/>
      <c r="E809" s="181"/>
      <c r="F809" s="173"/>
      <c r="G809" s="174"/>
      <c r="H809" s="284"/>
      <c r="I809" s="221"/>
      <c r="J809" s="177">
        <f>IF(H809=0,0,IF(F809="MXN",1/HLOOKUP(YEAR(G809)+(MONTH(G809)/100),TC!$5:$37,DAY(G809)+2,FALSE),VLOOKUP(F809,Equivalencia!$5:$23,((MAX(Equivalencia!$3:$3)-YEAR(G809))*14)+MONTH(G809)+2,FALSE)))</f>
        <v>0</v>
      </c>
      <c r="K809" s="217">
        <f t="shared" si="125"/>
        <v>0</v>
      </c>
      <c r="L809" s="462">
        <f>IF(G809=0,0,VLOOKUP(YEAR(G809),INPC!$B$4:$O$29,MONTH(G809)+1))</f>
        <v>0</v>
      </c>
      <c r="M809" s="462">
        <f>IF(T809=0,0,VLOOKUP(YEAR(T809),INPC!$B$4:$O$29,MONTH(T809)+1))</f>
        <v>0</v>
      </c>
      <c r="N809" s="463">
        <f t="shared" si="121"/>
        <v>0</v>
      </c>
      <c r="O809" s="464">
        <f t="shared" si="126"/>
        <v>0</v>
      </c>
      <c r="P809" s="465">
        <f t="shared" si="127"/>
        <v>0</v>
      </c>
      <c r="Q809" s="606" t="str">
        <f t="shared" si="128"/>
        <v>NO</v>
      </c>
      <c r="R809" s="180"/>
      <c r="S809" s="173"/>
      <c r="T809" s="174"/>
      <c r="U809" s="173"/>
      <c r="V809" s="220"/>
      <c r="W809" s="177">
        <f>IF(S809=0,0,IF(U809="MXN",1/HLOOKUP(YEAR(T809)+(MONTH(T809)/100),TC!$5:$37,DAY(T809)+2,FALSE),VLOOKUP(U809,Equivalencia!$1:$23,((MAX(Equivalencia!$3:$3)-YEAR(T809))*14)+MONTH(T809)+2,FALSE)))</f>
        <v>0</v>
      </c>
      <c r="X809" s="178">
        <f t="shared" si="129"/>
        <v>0</v>
      </c>
      <c r="Y809" s="178">
        <f t="shared" si="130"/>
        <v>0</v>
      </c>
      <c r="Z809" s="175">
        <f t="shared" si="122"/>
        <v>0</v>
      </c>
      <c r="AA809" s="179"/>
      <c r="AB809" s="467">
        <f t="shared" si="123"/>
        <v>0</v>
      </c>
      <c r="AC809" s="466">
        <f t="shared" si="124"/>
        <v>0</v>
      </c>
    </row>
    <row r="810" spans="2:29" ht="20.100000000000001" customHeight="1">
      <c r="B810" s="172"/>
      <c r="C810" s="172"/>
      <c r="D810" s="172"/>
      <c r="E810" s="181"/>
      <c r="F810" s="173"/>
      <c r="G810" s="174"/>
      <c r="H810" s="284"/>
      <c r="I810" s="221"/>
      <c r="J810" s="177">
        <f>IF(H810=0,0,IF(F810="MXN",1/HLOOKUP(YEAR(G810)+(MONTH(G810)/100),TC!$5:$37,DAY(G810)+2,FALSE),VLOOKUP(F810,Equivalencia!$5:$23,((MAX(Equivalencia!$3:$3)-YEAR(G810))*14)+MONTH(G810)+2,FALSE)))</f>
        <v>0</v>
      </c>
      <c r="K810" s="217">
        <f t="shared" si="125"/>
        <v>0</v>
      </c>
      <c r="L810" s="462">
        <f>IF(G810=0,0,VLOOKUP(YEAR(G810),INPC!$B$4:$O$29,MONTH(G810)+1))</f>
        <v>0</v>
      </c>
      <c r="M810" s="462">
        <f>IF(T810=0,0,VLOOKUP(YEAR(T810),INPC!$B$4:$O$29,MONTH(T810)+1))</f>
        <v>0</v>
      </c>
      <c r="N810" s="463">
        <f t="shared" si="121"/>
        <v>0</v>
      </c>
      <c r="O810" s="464">
        <f t="shared" si="126"/>
        <v>0</v>
      </c>
      <c r="P810" s="465">
        <f t="shared" si="127"/>
        <v>0</v>
      </c>
      <c r="Q810" s="606" t="str">
        <f t="shared" si="128"/>
        <v>NO</v>
      </c>
      <c r="R810" s="180"/>
      <c r="S810" s="173"/>
      <c r="T810" s="174"/>
      <c r="U810" s="173"/>
      <c r="V810" s="220"/>
      <c r="W810" s="177">
        <f>IF(S810=0,0,IF(U810="MXN",1/HLOOKUP(YEAR(T810)+(MONTH(T810)/100),TC!$5:$37,DAY(T810)+2,FALSE),VLOOKUP(U810,Equivalencia!$1:$23,((MAX(Equivalencia!$3:$3)-YEAR(T810))*14)+MONTH(T810)+2,FALSE)))</f>
        <v>0</v>
      </c>
      <c r="X810" s="178">
        <f t="shared" si="129"/>
        <v>0</v>
      </c>
      <c r="Y810" s="178">
        <f t="shared" si="130"/>
        <v>0</v>
      </c>
      <c r="Z810" s="175">
        <f t="shared" si="122"/>
        <v>0</v>
      </c>
      <c r="AA810" s="179"/>
      <c r="AB810" s="467">
        <f t="shared" si="123"/>
        <v>0</v>
      </c>
      <c r="AC810" s="466">
        <f t="shared" si="124"/>
        <v>0</v>
      </c>
    </row>
    <row r="811" spans="2:29" ht="20.100000000000001" customHeight="1">
      <c r="B811" s="172"/>
      <c r="C811" s="172"/>
      <c r="D811" s="172"/>
      <c r="E811" s="181"/>
      <c r="F811" s="173"/>
      <c r="G811" s="174"/>
      <c r="H811" s="284"/>
      <c r="I811" s="221"/>
      <c r="J811" s="177">
        <f>IF(H811=0,0,IF(F811="MXN",1/HLOOKUP(YEAR(G811)+(MONTH(G811)/100),TC!$5:$37,DAY(G811)+2,FALSE),VLOOKUP(F811,Equivalencia!$5:$23,((MAX(Equivalencia!$3:$3)-YEAR(G811))*14)+MONTH(G811)+2,FALSE)))</f>
        <v>0</v>
      </c>
      <c r="K811" s="217">
        <f t="shared" si="125"/>
        <v>0</v>
      </c>
      <c r="L811" s="462">
        <f>IF(G811=0,0,VLOOKUP(YEAR(G811),INPC!$B$4:$O$29,MONTH(G811)+1))</f>
        <v>0</v>
      </c>
      <c r="M811" s="462">
        <f>IF(T811=0,0,VLOOKUP(YEAR(T811),INPC!$B$4:$O$29,MONTH(T811)+1))</f>
        <v>0</v>
      </c>
      <c r="N811" s="463">
        <f t="shared" si="121"/>
        <v>0</v>
      </c>
      <c r="O811" s="464">
        <f t="shared" si="126"/>
        <v>0</v>
      </c>
      <c r="P811" s="465">
        <f t="shared" si="127"/>
        <v>0</v>
      </c>
      <c r="Q811" s="606" t="str">
        <f t="shared" si="128"/>
        <v>NO</v>
      </c>
      <c r="R811" s="180"/>
      <c r="S811" s="173"/>
      <c r="T811" s="174"/>
      <c r="U811" s="173"/>
      <c r="V811" s="220"/>
      <c r="W811" s="177">
        <f>IF(S811=0,0,IF(U811="MXN",1/HLOOKUP(YEAR(T811)+(MONTH(T811)/100),TC!$5:$37,DAY(T811)+2,FALSE),VLOOKUP(U811,Equivalencia!$1:$23,((MAX(Equivalencia!$3:$3)-YEAR(T811))*14)+MONTH(T811)+2,FALSE)))</f>
        <v>0</v>
      </c>
      <c r="X811" s="178">
        <f t="shared" si="129"/>
        <v>0</v>
      </c>
      <c r="Y811" s="178">
        <f t="shared" si="130"/>
        <v>0</v>
      </c>
      <c r="Z811" s="175">
        <f t="shared" si="122"/>
        <v>0</v>
      </c>
      <c r="AA811" s="179"/>
      <c r="AB811" s="467">
        <f t="shared" si="123"/>
        <v>0</v>
      </c>
      <c r="AC811" s="466">
        <f t="shared" si="124"/>
        <v>0</v>
      </c>
    </row>
    <row r="812" spans="2:29" ht="20.100000000000001" customHeight="1">
      <c r="B812" s="172"/>
      <c r="C812" s="172"/>
      <c r="D812" s="172"/>
      <c r="E812" s="181"/>
      <c r="F812" s="173"/>
      <c r="G812" s="174"/>
      <c r="H812" s="284"/>
      <c r="I812" s="221"/>
      <c r="J812" s="177">
        <f>IF(H812=0,0,IF(F812="MXN",1/HLOOKUP(YEAR(G812)+(MONTH(G812)/100),TC!$5:$37,DAY(G812)+2,FALSE),VLOOKUP(F812,Equivalencia!$5:$23,((MAX(Equivalencia!$3:$3)-YEAR(G812))*14)+MONTH(G812)+2,FALSE)))</f>
        <v>0</v>
      </c>
      <c r="K812" s="217">
        <f t="shared" si="125"/>
        <v>0</v>
      </c>
      <c r="L812" s="462">
        <f>IF(G812=0,0,VLOOKUP(YEAR(G812),INPC!$B$4:$O$29,MONTH(G812)+1))</f>
        <v>0</v>
      </c>
      <c r="M812" s="462">
        <f>IF(T812=0,0,VLOOKUP(YEAR(T812),INPC!$B$4:$O$29,MONTH(T812)+1))</f>
        <v>0</v>
      </c>
      <c r="N812" s="463">
        <f t="shared" si="121"/>
        <v>0</v>
      </c>
      <c r="O812" s="464">
        <f t="shared" si="126"/>
        <v>0</v>
      </c>
      <c r="P812" s="465">
        <f t="shared" si="127"/>
        <v>0</v>
      </c>
      <c r="Q812" s="606" t="str">
        <f t="shared" si="128"/>
        <v>NO</v>
      </c>
      <c r="R812" s="180"/>
      <c r="S812" s="173"/>
      <c r="T812" s="174"/>
      <c r="U812" s="173"/>
      <c r="V812" s="220"/>
      <c r="W812" s="177">
        <f>IF(S812=0,0,IF(U812="MXN",1/HLOOKUP(YEAR(T812)+(MONTH(T812)/100),TC!$5:$37,DAY(T812)+2,FALSE),VLOOKUP(U812,Equivalencia!$1:$23,((MAX(Equivalencia!$3:$3)-YEAR(T812))*14)+MONTH(T812)+2,FALSE)))</f>
        <v>0</v>
      </c>
      <c r="X812" s="178">
        <f t="shared" si="129"/>
        <v>0</v>
      </c>
      <c r="Y812" s="178">
        <f t="shared" si="130"/>
        <v>0</v>
      </c>
      <c r="Z812" s="175">
        <f t="shared" si="122"/>
        <v>0</v>
      </c>
      <c r="AA812" s="179"/>
      <c r="AB812" s="467">
        <f t="shared" si="123"/>
        <v>0</v>
      </c>
      <c r="AC812" s="466">
        <f t="shared" si="124"/>
        <v>0</v>
      </c>
    </row>
    <row r="813" spans="2:29" ht="20.100000000000001" customHeight="1">
      <c r="B813" s="172"/>
      <c r="C813" s="172"/>
      <c r="D813" s="172"/>
      <c r="E813" s="181"/>
      <c r="F813" s="173"/>
      <c r="G813" s="174"/>
      <c r="H813" s="284"/>
      <c r="I813" s="221"/>
      <c r="J813" s="177">
        <f>IF(H813=0,0,IF(F813="MXN",1/HLOOKUP(YEAR(G813)+(MONTH(G813)/100),TC!$5:$37,DAY(G813)+2,FALSE),VLOOKUP(F813,Equivalencia!$5:$23,((MAX(Equivalencia!$3:$3)-YEAR(G813))*14)+MONTH(G813)+2,FALSE)))</f>
        <v>0</v>
      </c>
      <c r="K813" s="217">
        <f t="shared" si="125"/>
        <v>0</v>
      </c>
      <c r="L813" s="462">
        <f>IF(G813=0,0,VLOOKUP(YEAR(G813),INPC!$B$4:$O$29,MONTH(G813)+1))</f>
        <v>0</v>
      </c>
      <c r="M813" s="462">
        <f>IF(T813=0,0,VLOOKUP(YEAR(T813),INPC!$B$4:$O$29,MONTH(T813)+1))</f>
        <v>0</v>
      </c>
      <c r="N813" s="463">
        <f t="shared" si="121"/>
        <v>0</v>
      </c>
      <c r="O813" s="464">
        <f t="shared" si="126"/>
        <v>0</v>
      </c>
      <c r="P813" s="465">
        <f t="shared" si="127"/>
        <v>0</v>
      </c>
      <c r="Q813" s="606" t="str">
        <f t="shared" si="128"/>
        <v>NO</v>
      </c>
      <c r="R813" s="180"/>
      <c r="S813" s="173"/>
      <c r="T813" s="174"/>
      <c r="U813" s="173"/>
      <c r="V813" s="220"/>
      <c r="W813" s="177">
        <f>IF(S813=0,0,IF(U813="MXN",1/HLOOKUP(YEAR(T813)+(MONTH(T813)/100),TC!$5:$37,DAY(T813)+2,FALSE),VLOOKUP(U813,Equivalencia!$1:$23,((MAX(Equivalencia!$3:$3)-YEAR(T813))*14)+MONTH(T813)+2,FALSE)))</f>
        <v>0</v>
      </c>
      <c r="X813" s="178">
        <f t="shared" si="129"/>
        <v>0</v>
      </c>
      <c r="Y813" s="178">
        <f t="shared" si="130"/>
        <v>0</v>
      </c>
      <c r="Z813" s="175">
        <f t="shared" si="122"/>
        <v>0</v>
      </c>
      <c r="AA813" s="179"/>
      <c r="AB813" s="467">
        <f t="shared" si="123"/>
        <v>0</v>
      </c>
      <c r="AC813" s="466">
        <f t="shared" si="124"/>
        <v>0</v>
      </c>
    </row>
    <row r="814" spans="2:29" ht="20.100000000000001" customHeight="1">
      <c r="B814" s="172"/>
      <c r="C814" s="172"/>
      <c r="D814" s="172"/>
      <c r="E814" s="181"/>
      <c r="F814" s="173"/>
      <c r="G814" s="174"/>
      <c r="H814" s="284"/>
      <c r="I814" s="221"/>
      <c r="J814" s="177">
        <f>IF(H814=0,0,IF(F814="MXN",1/HLOOKUP(YEAR(G814)+(MONTH(G814)/100),TC!$5:$37,DAY(G814)+2,FALSE),VLOOKUP(F814,Equivalencia!$5:$23,((MAX(Equivalencia!$3:$3)-YEAR(G814))*14)+MONTH(G814)+2,FALSE)))</f>
        <v>0</v>
      </c>
      <c r="K814" s="217">
        <f t="shared" si="125"/>
        <v>0</v>
      </c>
      <c r="L814" s="462">
        <f>IF(G814=0,0,VLOOKUP(YEAR(G814),INPC!$B$4:$O$29,MONTH(G814)+1))</f>
        <v>0</v>
      </c>
      <c r="M814" s="462">
        <f>IF(T814=0,0,VLOOKUP(YEAR(T814),INPC!$B$4:$O$29,MONTH(T814)+1))</f>
        <v>0</v>
      </c>
      <c r="N814" s="463">
        <f t="shared" si="121"/>
        <v>0</v>
      </c>
      <c r="O814" s="464">
        <f t="shared" si="126"/>
        <v>0</v>
      </c>
      <c r="P814" s="465">
        <f t="shared" si="127"/>
        <v>0</v>
      </c>
      <c r="Q814" s="606" t="str">
        <f t="shared" si="128"/>
        <v>NO</v>
      </c>
      <c r="R814" s="180"/>
      <c r="S814" s="173"/>
      <c r="T814" s="174"/>
      <c r="U814" s="173"/>
      <c r="V814" s="220"/>
      <c r="W814" s="177">
        <f>IF(S814=0,0,IF(U814="MXN",1/HLOOKUP(YEAR(T814)+(MONTH(T814)/100),TC!$5:$37,DAY(T814)+2,FALSE),VLOOKUP(U814,Equivalencia!$1:$23,((MAX(Equivalencia!$3:$3)-YEAR(T814))*14)+MONTH(T814)+2,FALSE)))</f>
        <v>0</v>
      </c>
      <c r="X814" s="178">
        <f t="shared" si="129"/>
        <v>0</v>
      </c>
      <c r="Y814" s="178">
        <f t="shared" si="130"/>
        <v>0</v>
      </c>
      <c r="Z814" s="175">
        <f t="shared" si="122"/>
        <v>0</v>
      </c>
      <c r="AA814" s="179"/>
      <c r="AB814" s="467">
        <f t="shared" si="123"/>
        <v>0</v>
      </c>
      <c r="AC814" s="466">
        <f t="shared" si="124"/>
        <v>0</v>
      </c>
    </row>
    <row r="815" spans="2:29" ht="20.100000000000001" customHeight="1">
      <c r="B815" s="172"/>
      <c r="C815" s="172"/>
      <c r="D815" s="172"/>
      <c r="E815" s="181"/>
      <c r="F815" s="173"/>
      <c r="G815" s="174"/>
      <c r="H815" s="284"/>
      <c r="I815" s="221"/>
      <c r="J815" s="177">
        <f>IF(H815=0,0,IF(F815="MXN",1/HLOOKUP(YEAR(G815)+(MONTH(G815)/100),TC!$5:$37,DAY(G815)+2,FALSE),VLOOKUP(F815,Equivalencia!$5:$23,((MAX(Equivalencia!$3:$3)-YEAR(G815))*14)+MONTH(G815)+2,FALSE)))</f>
        <v>0</v>
      </c>
      <c r="K815" s="217">
        <f t="shared" si="125"/>
        <v>0</v>
      </c>
      <c r="L815" s="462">
        <f>IF(G815=0,0,VLOOKUP(YEAR(G815),INPC!$B$4:$O$29,MONTH(G815)+1))</f>
        <v>0</v>
      </c>
      <c r="M815" s="462">
        <f>IF(T815=0,0,VLOOKUP(YEAR(T815),INPC!$B$4:$O$29,MONTH(T815)+1))</f>
        <v>0</v>
      </c>
      <c r="N815" s="463">
        <f t="shared" si="121"/>
        <v>0</v>
      </c>
      <c r="O815" s="464">
        <f t="shared" si="126"/>
        <v>0</v>
      </c>
      <c r="P815" s="465">
        <f t="shared" si="127"/>
        <v>0</v>
      </c>
      <c r="Q815" s="606" t="str">
        <f t="shared" si="128"/>
        <v>NO</v>
      </c>
      <c r="R815" s="180"/>
      <c r="S815" s="173"/>
      <c r="T815" s="174"/>
      <c r="U815" s="173"/>
      <c r="V815" s="220"/>
      <c r="W815" s="177">
        <f>IF(S815=0,0,IF(U815="MXN",1/HLOOKUP(YEAR(T815)+(MONTH(T815)/100),TC!$5:$37,DAY(T815)+2,FALSE),VLOOKUP(U815,Equivalencia!$1:$23,((MAX(Equivalencia!$3:$3)-YEAR(T815))*14)+MONTH(T815)+2,FALSE)))</f>
        <v>0</v>
      </c>
      <c r="X815" s="178">
        <f t="shared" si="129"/>
        <v>0</v>
      </c>
      <c r="Y815" s="178">
        <f t="shared" si="130"/>
        <v>0</v>
      </c>
      <c r="Z815" s="175">
        <f t="shared" si="122"/>
        <v>0</v>
      </c>
      <c r="AA815" s="179"/>
      <c r="AB815" s="467">
        <f t="shared" si="123"/>
        <v>0</v>
      </c>
      <c r="AC815" s="466">
        <f t="shared" si="124"/>
        <v>0</v>
      </c>
    </row>
    <row r="816" spans="2:29" ht="20.100000000000001" customHeight="1">
      <c r="B816" s="172"/>
      <c r="C816" s="172"/>
      <c r="D816" s="172"/>
      <c r="E816" s="181"/>
      <c r="F816" s="173"/>
      <c r="G816" s="174"/>
      <c r="H816" s="284"/>
      <c r="I816" s="221"/>
      <c r="J816" s="177">
        <f>IF(H816=0,0,IF(F816="MXN",1/HLOOKUP(YEAR(G816)+(MONTH(G816)/100),TC!$5:$37,DAY(G816)+2,FALSE),VLOOKUP(F816,Equivalencia!$5:$23,((MAX(Equivalencia!$3:$3)-YEAR(G816))*14)+MONTH(G816)+2,FALSE)))</f>
        <v>0</v>
      </c>
      <c r="K816" s="217">
        <f t="shared" si="125"/>
        <v>0</v>
      </c>
      <c r="L816" s="462">
        <f>IF(G816=0,0,VLOOKUP(YEAR(G816),INPC!$B$4:$O$29,MONTH(G816)+1))</f>
        <v>0</v>
      </c>
      <c r="M816" s="462">
        <f>IF(T816=0,0,VLOOKUP(YEAR(T816),INPC!$B$4:$O$29,MONTH(T816)+1))</f>
        <v>0</v>
      </c>
      <c r="N816" s="463">
        <f t="shared" si="121"/>
        <v>0</v>
      </c>
      <c r="O816" s="464">
        <f t="shared" si="126"/>
        <v>0</v>
      </c>
      <c r="P816" s="465">
        <f t="shared" si="127"/>
        <v>0</v>
      </c>
      <c r="Q816" s="606" t="str">
        <f t="shared" si="128"/>
        <v>NO</v>
      </c>
      <c r="R816" s="180"/>
      <c r="S816" s="173"/>
      <c r="T816" s="174"/>
      <c r="U816" s="173"/>
      <c r="V816" s="220"/>
      <c r="W816" s="177">
        <f>IF(S816=0,0,IF(U816="MXN",1/HLOOKUP(YEAR(T816)+(MONTH(T816)/100),TC!$5:$37,DAY(T816)+2,FALSE),VLOOKUP(U816,Equivalencia!$1:$23,((MAX(Equivalencia!$3:$3)-YEAR(T816))*14)+MONTH(T816)+2,FALSE)))</f>
        <v>0</v>
      </c>
      <c r="X816" s="178">
        <f t="shared" si="129"/>
        <v>0</v>
      </c>
      <c r="Y816" s="178">
        <f t="shared" si="130"/>
        <v>0</v>
      </c>
      <c r="Z816" s="175">
        <f t="shared" si="122"/>
        <v>0</v>
      </c>
      <c r="AA816" s="179"/>
      <c r="AB816" s="467">
        <f t="shared" si="123"/>
        <v>0</v>
      </c>
      <c r="AC816" s="466">
        <f t="shared" si="124"/>
        <v>0</v>
      </c>
    </row>
    <row r="817" spans="2:29" ht="20.100000000000001" customHeight="1">
      <c r="B817" s="172"/>
      <c r="C817" s="172"/>
      <c r="D817" s="172"/>
      <c r="E817" s="181"/>
      <c r="F817" s="173"/>
      <c r="G817" s="174"/>
      <c r="H817" s="284"/>
      <c r="I817" s="221"/>
      <c r="J817" s="177">
        <f>IF(H817=0,0,IF(F817="MXN",1/HLOOKUP(YEAR(G817)+(MONTH(G817)/100),TC!$5:$37,DAY(G817)+2,FALSE),VLOOKUP(F817,Equivalencia!$5:$23,((MAX(Equivalencia!$3:$3)-YEAR(G817))*14)+MONTH(G817)+2,FALSE)))</f>
        <v>0</v>
      </c>
      <c r="K817" s="217">
        <f t="shared" si="125"/>
        <v>0</v>
      </c>
      <c r="L817" s="462">
        <f>IF(G817=0,0,VLOOKUP(YEAR(G817),INPC!$B$4:$O$29,MONTH(G817)+1))</f>
        <v>0</v>
      </c>
      <c r="M817" s="462">
        <f>IF(T817=0,0,VLOOKUP(YEAR(T817),INPC!$B$4:$O$29,MONTH(T817)+1))</f>
        <v>0</v>
      </c>
      <c r="N817" s="463">
        <f t="shared" si="121"/>
        <v>0</v>
      </c>
      <c r="O817" s="464">
        <f t="shared" si="126"/>
        <v>0</v>
      </c>
      <c r="P817" s="465">
        <f t="shared" si="127"/>
        <v>0</v>
      </c>
      <c r="Q817" s="606" t="str">
        <f t="shared" si="128"/>
        <v>NO</v>
      </c>
      <c r="R817" s="180"/>
      <c r="S817" s="173"/>
      <c r="T817" s="174"/>
      <c r="U817" s="173"/>
      <c r="V817" s="220"/>
      <c r="W817" s="177">
        <f>IF(S817=0,0,IF(U817="MXN",1/HLOOKUP(YEAR(T817)+(MONTH(T817)/100),TC!$5:$37,DAY(T817)+2,FALSE),VLOOKUP(U817,Equivalencia!$1:$23,((MAX(Equivalencia!$3:$3)-YEAR(T817))*14)+MONTH(T817)+2,FALSE)))</f>
        <v>0</v>
      </c>
      <c r="X817" s="178">
        <f t="shared" si="129"/>
        <v>0</v>
      </c>
      <c r="Y817" s="178">
        <f t="shared" si="130"/>
        <v>0</v>
      </c>
      <c r="Z817" s="175">
        <f t="shared" si="122"/>
        <v>0</v>
      </c>
      <c r="AA817" s="179"/>
      <c r="AB817" s="467">
        <f t="shared" si="123"/>
        <v>0</v>
      </c>
      <c r="AC817" s="466">
        <f t="shared" si="124"/>
        <v>0</v>
      </c>
    </row>
    <row r="818" spans="2:29" ht="20.100000000000001" customHeight="1">
      <c r="B818" s="172"/>
      <c r="C818" s="172"/>
      <c r="D818" s="172"/>
      <c r="E818" s="181"/>
      <c r="F818" s="173"/>
      <c r="G818" s="174"/>
      <c r="H818" s="284"/>
      <c r="I818" s="221"/>
      <c r="J818" s="177">
        <f>IF(H818=0,0,IF(F818="MXN",1/HLOOKUP(YEAR(G818)+(MONTH(G818)/100),TC!$5:$37,DAY(G818)+2,FALSE),VLOOKUP(F818,Equivalencia!$5:$23,((MAX(Equivalencia!$3:$3)-YEAR(G818))*14)+MONTH(G818)+2,FALSE)))</f>
        <v>0</v>
      </c>
      <c r="K818" s="217">
        <f t="shared" si="125"/>
        <v>0</v>
      </c>
      <c r="L818" s="462">
        <f>IF(G818=0,0,VLOOKUP(YEAR(G818),INPC!$B$4:$O$29,MONTH(G818)+1))</f>
        <v>0</v>
      </c>
      <c r="M818" s="462">
        <f>IF(T818=0,0,VLOOKUP(YEAR(T818),INPC!$B$4:$O$29,MONTH(T818)+1))</f>
        <v>0</v>
      </c>
      <c r="N818" s="463">
        <f t="shared" si="121"/>
        <v>0</v>
      </c>
      <c r="O818" s="464">
        <f t="shared" si="126"/>
        <v>0</v>
      </c>
      <c r="P818" s="465">
        <f t="shared" si="127"/>
        <v>0</v>
      </c>
      <c r="Q818" s="606" t="str">
        <f t="shared" si="128"/>
        <v>NO</v>
      </c>
      <c r="R818" s="180"/>
      <c r="S818" s="173"/>
      <c r="T818" s="174"/>
      <c r="U818" s="173"/>
      <c r="V818" s="220"/>
      <c r="W818" s="177">
        <f>IF(S818=0,0,IF(U818="MXN",1/HLOOKUP(YEAR(T818)+(MONTH(T818)/100),TC!$5:$37,DAY(T818)+2,FALSE),VLOOKUP(U818,Equivalencia!$1:$23,((MAX(Equivalencia!$3:$3)-YEAR(T818))*14)+MONTH(T818)+2,FALSE)))</f>
        <v>0</v>
      </c>
      <c r="X818" s="178">
        <f t="shared" si="129"/>
        <v>0</v>
      </c>
      <c r="Y818" s="178">
        <f t="shared" si="130"/>
        <v>0</v>
      </c>
      <c r="Z818" s="175">
        <f t="shared" si="122"/>
        <v>0</v>
      </c>
      <c r="AA818" s="179"/>
      <c r="AB818" s="467">
        <f t="shared" si="123"/>
        <v>0</v>
      </c>
      <c r="AC818" s="466">
        <f t="shared" si="124"/>
        <v>0</v>
      </c>
    </row>
    <row r="819" spans="2:29" ht="20.100000000000001" customHeight="1">
      <c r="B819" s="172"/>
      <c r="C819" s="172"/>
      <c r="D819" s="172"/>
      <c r="E819" s="181"/>
      <c r="F819" s="173"/>
      <c r="G819" s="174"/>
      <c r="H819" s="284"/>
      <c r="I819" s="221"/>
      <c r="J819" s="177">
        <f>IF(H819=0,0,IF(F819="MXN",1/HLOOKUP(YEAR(G819)+(MONTH(G819)/100),TC!$5:$37,DAY(G819)+2,FALSE),VLOOKUP(F819,Equivalencia!$5:$23,((MAX(Equivalencia!$3:$3)-YEAR(G819))*14)+MONTH(G819)+2,FALSE)))</f>
        <v>0</v>
      </c>
      <c r="K819" s="217">
        <f t="shared" si="125"/>
        <v>0</v>
      </c>
      <c r="L819" s="462">
        <f>IF(G819=0,0,VLOOKUP(YEAR(G819),INPC!$B$4:$O$29,MONTH(G819)+1))</f>
        <v>0</v>
      </c>
      <c r="M819" s="462">
        <f>IF(T819=0,0,VLOOKUP(YEAR(T819),INPC!$B$4:$O$29,MONTH(T819)+1))</f>
        <v>0</v>
      </c>
      <c r="N819" s="463">
        <f t="shared" si="121"/>
        <v>0</v>
      </c>
      <c r="O819" s="464">
        <f t="shared" si="126"/>
        <v>0</v>
      </c>
      <c r="P819" s="465">
        <f t="shared" si="127"/>
        <v>0</v>
      </c>
      <c r="Q819" s="606" t="str">
        <f t="shared" si="128"/>
        <v>NO</v>
      </c>
      <c r="R819" s="180"/>
      <c r="S819" s="173"/>
      <c r="T819" s="174"/>
      <c r="U819" s="173"/>
      <c r="V819" s="220"/>
      <c r="W819" s="177">
        <f>IF(S819=0,0,IF(U819="MXN",1/HLOOKUP(YEAR(T819)+(MONTH(T819)/100),TC!$5:$37,DAY(T819)+2,FALSE),VLOOKUP(U819,Equivalencia!$1:$23,((MAX(Equivalencia!$3:$3)-YEAR(T819))*14)+MONTH(T819)+2,FALSE)))</f>
        <v>0</v>
      </c>
      <c r="X819" s="178">
        <f t="shared" si="129"/>
        <v>0</v>
      </c>
      <c r="Y819" s="178">
        <f t="shared" si="130"/>
        <v>0</v>
      </c>
      <c r="Z819" s="175">
        <f t="shared" si="122"/>
        <v>0</v>
      </c>
      <c r="AA819" s="179"/>
      <c r="AB819" s="467">
        <f t="shared" si="123"/>
        <v>0</v>
      </c>
      <c r="AC819" s="466">
        <f t="shared" si="124"/>
        <v>0</v>
      </c>
    </row>
    <row r="820" spans="2:29" ht="20.100000000000001" customHeight="1">
      <c r="B820" s="172"/>
      <c r="C820" s="172"/>
      <c r="D820" s="172"/>
      <c r="E820" s="181"/>
      <c r="F820" s="173"/>
      <c r="G820" s="174"/>
      <c r="H820" s="284"/>
      <c r="I820" s="221"/>
      <c r="J820" s="177">
        <f>IF(H820=0,0,IF(F820="MXN",1/HLOOKUP(YEAR(G820)+(MONTH(G820)/100),TC!$5:$37,DAY(G820)+2,FALSE),VLOOKUP(F820,Equivalencia!$5:$23,((MAX(Equivalencia!$3:$3)-YEAR(G820))*14)+MONTH(G820)+2,FALSE)))</f>
        <v>0</v>
      </c>
      <c r="K820" s="217">
        <f t="shared" si="125"/>
        <v>0</v>
      </c>
      <c r="L820" s="462">
        <f>IF(G820=0,0,VLOOKUP(YEAR(G820),INPC!$B$4:$O$29,MONTH(G820)+1))</f>
        <v>0</v>
      </c>
      <c r="M820" s="462">
        <f>IF(T820=0,0,VLOOKUP(YEAR(T820),INPC!$B$4:$O$29,MONTH(T820)+1))</f>
        <v>0</v>
      </c>
      <c r="N820" s="463">
        <f t="shared" si="121"/>
        <v>0</v>
      </c>
      <c r="O820" s="464">
        <f t="shared" si="126"/>
        <v>0</v>
      </c>
      <c r="P820" s="465">
        <f t="shared" si="127"/>
        <v>0</v>
      </c>
      <c r="Q820" s="606" t="str">
        <f t="shared" si="128"/>
        <v>NO</v>
      </c>
      <c r="R820" s="180"/>
      <c r="S820" s="173"/>
      <c r="T820" s="174"/>
      <c r="U820" s="173"/>
      <c r="V820" s="220"/>
      <c r="W820" s="177">
        <f>IF(S820=0,0,IF(U820="MXN",1/HLOOKUP(YEAR(T820)+(MONTH(T820)/100),TC!$5:$37,DAY(T820)+2,FALSE),VLOOKUP(U820,Equivalencia!$1:$23,((MAX(Equivalencia!$3:$3)-YEAR(T820))*14)+MONTH(T820)+2,FALSE)))</f>
        <v>0</v>
      </c>
      <c r="X820" s="178">
        <f t="shared" si="129"/>
        <v>0</v>
      </c>
      <c r="Y820" s="178">
        <f t="shared" si="130"/>
        <v>0</v>
      </c>
      <c r="Z820" s="175">
        <f t="shared" si="122"/>
        <v>0</v>
      </c>
      <c r="AA820" s="179"/>
      <c r="AB820" s="467">
        <f t="shared" si="123"/>
        <v>0</v>
      </c>
      <c r="AC820" s="466">
        <f t="shared" si="124"/>
        <v>0</v>
      </c>
    </row>
    <row r="821" spans="2:29" ht="20.100000000000001" customHeight="1">
      <c r="B821" s="172"/>
      <c r="C821" s="172"/>
      <c r="D821" s="172"/>
      <c r="E821" s="181"/>
      <c r="F821" s="173"/>
      <c r="G821" s="174"/>
      <c r="H821" s="284"/>
      <c r="I821" s="221"/>
      <c r="J821" s="177">
        <f>IF(H821=0,0,IF(F821="MXN",1/HLOOKUP(YEAR(G821)+(MONTH(G821)/100),TC!$5:$37,DAY(G821)+2,FALSE),VLOOKUP(F821,Equivalencia!$5:$23,((MAX(Equivalencia!$3:$3)-YEAR(G821))*14)+MONTH(G821)+2,FALSE)))</f>
        <v>0</v>
      </c>
      <c r="K821" s="217">
        <f t="shared" si="125"/>
        <v>0</v>
      </c>
      <c r="L821" s="462">
        <f>IF(G821=0,0,VLOOKUP(YEAR(G821),INPC!$B$4:$O$29,MONTH(G821)+1))</f>
        <v>0</v>
      </c>
      <c r="M821" s="462">
        <f>IF(T821=0,0,VLOOKUP(YEAR(T821),INPC!$B$4:$O$29,MONTH(T821)+1))</f>
        <v>0</v>
      </c>
      <c r="N821" s="463">
        <f t="shared" si="121"/>
        <v>0</v>
      </c>
      <c r="O821" s="464">
        <f t="shared" si="126"/>
        <v>0</v>
      </c>
      <c r="P821" s="465">
        <f t="shared" si="127"/>
        <v>0</v>
      </c>
      <c r="Q821" s="606" t="str">
        <f t="shared" si="128"/>
        <v>NO</v>
      </c>
      <c r="R821" s="180"/>
      <c r="S821" s="173"/>
      <c r="T821" s="174"/>
      <c r="U821" s="173"/>
      <c r="V821" s="220"/>
      <c r="W821" s="177">
        <f>IF(S821=0,0,IF(U821="MXN",1/HLOOKUP(YEAR(T821)+(MONTH(T821)/100),TC!$5:$37,DAY(T821)+2,FALSE),VLOOKUP(U821,Equivalencia!$1:$23,((MAX(Equivalencia!$3:$3)-YEAR(T821))*14)+MONTH(T821)+2,FALSE)))</f>
        <v>0</v>
      </c>
      <c r="X821" s="178">
        <f t="shared" si="129"/>
        <v>0</v>
      </c>
      <c r="Y821" s="178">
        <f t="shared" si="130"/>
        <v>0</v>
      </c>
      <c r="Z821" s="175">
        <f t="shared" si="122"/>
        <v>0</v>
      </c>
      <c r="AA821" s="179"/>
      <c r="AB821" s="467">
        <f t="shared" si="123"/>
        <v>0</v>
      </c>
      <c r="AC821" s="466">
        <f t="shared" si="124"/>
        <v>0</v>
      </c>
    </row>
    <row r="822" spans="2:29" ht="20.100000000000001" customHeight="1">
      <c r="B822" s="172"/>
      <c r="C822" s="172"/>
      <c r="D822" s="172"/>
      <c r="E822" s="181"/>
      <c r="F822" s="173"/>
      <c r="G822" s="174"/>
      <c r="H822" s="284"/>
      <c r="I822" s="221"/>
      <c r="J822" s="177">
        <f>IF(H822=0,0,IF(F822="MXN",1/HLOOKUP(YEAR(G822)+(MONTH(G822)/100),TC!$5:$37,DAY(G822)+2,FALSE),VLOOKUP(F822,Equivalencia!$5:$23,((MAX(Equivalencia!$3:$3)-YEAR(G822))*14)+MONTH(G822)+2,FALSE)))</f>
        <v>0</v>
      </c>
      <c r="K822" s="217">
        <f t="shared" si="125"/>
        <v>0</v>
      </c>
      <c r="L822" s="462">
        <f>IF(G822=0,0,VLOOKUP(YEAR(G822),INPC!$B$4:$O$29,MONTH(G822)+1))</f>
        <v>0</v>
      </c>
      <c r="M822" s="462">
        <f>IF(T822=0,0,VLOOKUP(YEAR(T822),INPC!$B$4:$O$29,MONTH(T822)+1))</f>
        <v>0</v>
      </c>
      <c r="N822" s="463">
        <f t="shared" si="121"/>
        <v>0</v>
      </c>
      <c r="O822" s="464">
        <f t="shared" si="126"/>
        <v>0</v>
      </c>
      <c r="P822" s="465">
        <f t="shared" si="127"/>
        <v>0</v>
      </c>
      <c r="Q822" s="606" t="str">
        <f t="shared" si="128"/>
        <v>NO</v>
      </c>
      <c r="R822" s="180"/>
      <c r="S822" s="173"/>
      <c r="T822" s="174"/>
      <c r="U822" s="173"/>
      <c r="V822" s="220"/>
      <c r="W822" s="177">
        <f>IF(S822=0,0,IF(U822="MXN",1/HLOOKUP(YEAR(T822)+(MONTH(T822)/100),TC!$5:$37,DAY(T822)+2,FALSE),VLOOKUP(U822,Equivalencia!$1:$23,((MAX(Equivalencia!$3:$3)-YEAR(T822))*14)+MONTH(T822)+2,FALSE)))</f>
        <v>0</v>
      </c>
      <c r="X822" s="178">
        <f t="shared" si="129"/>
        <v>0</v>
      </c>
      <c r="Y822" s="178">
        <f t="shared" si="130"/>
        <v>0</v>
      </c>
      <c r="Z822" s="175">
        <f t="shared" si="122"/>
        <v>0</v>
      </c>
      <c r="AA822" s="179"/>
      <c r="AB822" s="467">
        <f t="shared" si="123"/>
        <v>0</v>
      </c>
      <c r="AC822" s="466">
        <f t="shared" si="124"/>
        <v>0</v>
      </c>
    </row>
    <row r="823" spans="2:29" ht="20.100000000000001" customHeight="1">
      <c r="B823" s="172"/>
      <c r="C823" s="172"/>
      <c r="D823" s="172"/>
      <c r="E823" s="181"/>
      <c r="F823" s="173"/>
      <c r="G823" s="174"/>
      <c r="H823" s="284"/>
      <c r="I823" s="221"/>
      <c r="J823" s="177">
        <f>IF(H823=0,0,IF(F823="MXN",1/HLOOKUP(YEAR(G823)+(MONTH(G823)/100),TC!$5:$37,DAY(G823)+2,FALSE),VLOOKUP(F823,Equivalencia!$5:$23,((MAX(Equivalencia!$3:$3)-YEAR(G823))*14)+MONTH(G823)+2,FALSE)))</f>
        <v>0</v>
      </c>
      <c r="K823" s="217">
        <f t="shared" si="125"/>
        <v>0</v>
      </c>
      <c r="L823" s="462">
        <f>IF(G823=0,0,VLOOKUP(YEAR(G823),INPC!$B$4:$O$29,MONTH(G823)+1))</f>
        <v>0</v>
      </c>
      <c r="M823" s="462">
        <f>IF(T823=0,0,VLOOKUP(YEAR(T823),INPC!$B$4:$O$29,MONTH(T823)+1))</f>
        <v>0</v>
      </c>
      <c r="N823" s="463">
        <f t="shared" si="121"/>
        <v>0</v>
      </c>
      <c r="O823" s="464">
        <f t="shared" si="126"/>
        <v>0</v>
      </c>
      <c r="P823" s="465">
        <f t="shared" si="127"/>
        <v>0</v>
      </c>
      <c r="Q823" s="606" t="str">
        <f t="shared" si="128"/>
        <v>NO</v>
      </c>
      <c r="R823" s="180"/>
      <c r="S823" s="173"/>
      <c r="T823" s="174"/>
      <c r="U823" s="173"/>
      <c r="V823" s="220"/>
      <c r="W823" s="177">
        <f>IF(S823=0,0,IF(U823="MXN",1/HLOOKUP(YEAR(T823)+(MONTH(T823)/100),TC!$5:$37,DAY(T823)+2,FALSE),VLOOKUP(U823,Equivalencia!$1:$23,((MAX(Equivalencia!$3:$3)-YEAR(T823))*14)+MONTH(T823)+2,FALSE)))</f>
        <v>0</v>
      </c>
      <c r="X823" s="178">
        <f t="shared" si="129"/>
        <v>0</v>
      </c>
      <c r="Y823" s="178">
        <f t="shared" si="130"/>
        <v>0</v>
      </c>
      <c r="Z823" s="175">
        <f t="shared" si="122"/>
        <v>0</v>
      </c>
      <c r="AA823" s="179"/>
      <c r="AB823" s="467">
        <f t="shared" si="123"/>
        <v>0</v>
      </c>
      <c r="AC823" s="466">
        <f t="shared" si="124"/>
        <v>0</v>
      </c>
    </row>
    <row r="824" spans="2:29" ht="20.100000000000001" customHeight="1">
      <c r="B824" s="172"/>
      <c r="C824" s="172"/>
      <c r="D824" s="172"/>
      <c r="E824" s="181"/>
      <c r="F824" s="173"/>
      <c r="G824" s="174"/>
      <c r="H824" s="284"/>
      <c r="I824" s="221"/>
      <c r="J824" s="177">
        <f>IF(H824=0,0,IF(F824="MXN",1/HLOOKUP(YEAR(G824)+(MONTH(G824)/100),TC!$5:$37,DAY(G824)+2,FALSE),VLOOKUP(F824,Equivalencia!$5:$23,((MAX(Equivalencia!$3:$3)-YEAR(G824))*14)+MONTH(G824)+2,FALSE)))</f>
        <v>0</v>
      </c>
      <c r="K824" s="217">
        <f t="shared" si="125"/>
        <v>0</v>
      </c>
      <c r="L824" s="462">
        <f>IF(G824=0,0,VLOOKUP(YEAR(G824),INPC!$B$4:$O$29,MONTH(G824)+1))</f>
        <v>0</v>
      </c>
      <c r="M824" s="462">
        <f>IF(T824=0,0,VLOOKUP(YEAR(T824),INPC!$B$4:$O$29,MONTH(T824)+1))</f>
        <v>0</v>
      </c>
      <c r="N824" s="463">
        <f t="shared" si="121"/>
        <v>0</v>
      </c>
      <c r="O824" s="464">
        <f t="shared" si="126"/>
        <v>0</v>
      </c>
      <c r="P824" s="465">
        <f t="shared" si="127"/>
        <v>0</v>
      </c>
      <c r="Q824" s="606" t="str">
        <f t="shared" si="128"/>
        <v>NO</v>
      </c>
      <c r="R824" s="180"/>
      <c r="S824" s="173"/>
      <c r="T824" s="174"/>
      <c r="U824" s="173"/>
      <c r="V824" s="220"/>
      <c r="W824" s="177">
        <f>IF(S824=0,0,IF(U824="MXN",1/HLOOKUP(YEAR(T824)+(MONTH(T824)/100),TC!$5:$37,DAY(T824)+2,FALSE),VLOOKUP(U824,Equivalencia!$1:$23,((MAX(Equivalencia!$3:$3)-YEAR(T824))*14)+MONTH(T824)+2,FALSE)))</f>
        <v>0</v>
      </c>
      <c r="X824" s="178">
        <f t="shared" si="129"/>
        <v>0</v>
      </c>
      <c r="Y824" s="178">
        <f t="shared" si="130"/>
        <v>0</v>
      </c>
      <c r="Z824" s="175">
        <f t="shared" si="122"/>
        <v>0</v>
      </c>
      <c r="AA824" s="179"/>
      <c r="AB824" s="467">
        <f t="shared" si="123"/>
        <v>0</v>
      </c>
      <c r="AC824" s="466">
        <f t="shared" si="124"/>
        <v>0</v>
      </c>
    </row>
    <row r="825" spans="2:29" ht="20.100000000000001" customHeight="1">
      <c r="B825" s="172"/>
      <c r="C825" s="172"/>
      <c r="D825" s="172"/>
      <c r="E825" s="181"/>
      <c r="F825" s="173"/>
      <c r="G825" s="174"/>
      <c r="H825" s="284"/>
      <c r="I825" s="221"/>
      <c r="J825" s="177">
        <f>IF(H825=0,0,IF(F825="MXN",1/HLOOKUP(YEAR(G825)+(MONTH(G825)/100),TC!$5:$37,DAY(G825)+2,FALSE),VLOOKUP(F825,Equivalencia!$5:$23,((MAX(Equivalencia!$3:$3)-YEAR(G825))*14)+MONTH(G825)+2,FALSE)))</f>
        <v>0</v>
      </c>
      <c r="K825" s="217">
        <f t="shared" si="125"/>
        <v>0</v>
      </c>
      <c r="L825" s="462">
        <f>IF(G825=0,0,VLOOKUP(YEAR(G825),INPC!$B$4:$O$29,MONTH(G825)+1))</f>
        <v>0</v>
      </c>
      <c r="M825" s="462">
        <f>IF(T825=0,0,VLOOKUP(YEAR(T825),INPC!$B$4:$O$29,MONTH(T825)+1))</f>
        <v>0</v>
      </c>
      <c r="N825" s="463">
        <f t="shared" si="121"/>
        <v>0</v>
      </c>
      <c r="O825" s="464">
        <f t="shared" si="126"/>
        <v>0</v>
      </c>
      <c r="P825" s="465">
        <f t="shared" si="127"/>
        <v>0</v>
      </c>
      <c r="Q825" s="606" t="str">
        <f t="shared" si="128"/>
        <v>NO</v>
      </c>
      <c r="R825" s="180"/>
      <c r="S825" s="173"/>
      <c r="T825" s="174"/>
      <c r="U825" s="173"/>
      <c r="V825" s="220"/>
      <c r="W825" s="177">
        <f>IF(S825=0,0,IF(U825="MXN",1/HLOOKUP(YEAR(T825)+(MONTH(T825)/100),TC!$5:$37,DAY(T825)+2,FALSE),VLOOKUP(U825,Equivalencia!$1:$23,((MAX(Equivalencia!$3:$3)-YEAR(T825))*14)+MONTH(T825)+2,FALSE)))</f>
        <v>0</v>
      </c>
      <c r="X825" s="178">
        <f t="shared" si="129"/>
        <v>0</v>
      </c>
      <c r="Y825" s="178">
        <f t="shared" si="130"/>
        <v>0</v>
      </c>
      <c r="Z825" s="175">
        <f t="shared" si="122"/>
        <v>0</v>
      </c>
      <c r="AA825" s="179"/>
      <c r="AB825" s="467">
        <f t="shared" si="123"/>
        <v>0</v>
      </c>
      <c r="AC825" s="466">
        <f t="shared" si="124"/>
        <v>0</v>
      </c>
    </row>
    <row r="826" spans="2:29" ht="20.100000000000001" customHeight="1">
      <c r="B826" s="172"/>
      <c r="C826" s="172"/>
      <c r="D826" s="172"/>
      <c r="E826" s="181"/>
      <c r="F826" s="173"/>
      <c r="G826" s="174"/>
      <c r="H826" s="284"/>
      <c r="I826" s="221"/>
      <c r="J826" s="177">
        <f>IF(H826=0,0,IF(F826="MXN",1/HLOOKUP(YEAR(G826)+(MONTH(G826)/100),TC!$5:$37,DAY(G826)+2,FALSE),VLOOKUP(F826,Equivalencia!$5:$23,((MAX(Equivalencia!$3:$3)-YEAR(G826))*14)+MONTH(G826)+2,FALSE)))</f>
        <v>0</v>
      </c>
      <c r="K826" s="217">
        <f t="shared" si="125"/>
        <v>0</v>
      </c>
      <c r="L826" s="462">
        <f>IF(G826=0,0,VLOOKUP(YEAR(G826),INPC!$B$4:$O$29,MONTH(G826)+1))</f>
        <v>0</v>
      </c>
      <c r="M826" s="462">
        <f>IF(T826=0,0,VLOOKUP(YEAR(T826),INPC!$B$4:$O$29,MONTH(T826)+1))</f>
        <v>0</v>
      </c>
      <c r="N826" s="463">
        <f t="shared" si="121"/>
        <v>0</v>
      </c>
      <c r="O826" s="464">
        <f t="shared" si="126"/>
        <v>0</v>
      </c>
      <c r="P826" s="465">
        <f t="shared" si="127"/>
        <v>0</v>
      </c>
      <c r="Q826" s="606" t="str">
        <f t="shared" si="128"/>
        <v>NO</v>
      </c>
      <c r="R826" s="180"/>
      <c r="S826" s="173"/>
      <c r="T826" s="174"/>
      <c r="U826" s="173"/>
      <c r="V826" s="220"/>
      <c r="W826" s="177">
        <f>IF(S826=0,0,IF(U826="MXN",1/HLOOKUP(YEAR(T826)+(MONTH(T826)/100),TC!$5:$37,DAY(T826)+2,FALSE),VLOOKUP(U826,Equivalencia!$1:$23,((MAX(Equivalencia!$3:$3)-YEAR(T826))*14)+MONTH(T826)+2,FALSE)))</f>
        <v>0</v>
      </c>
      <c r="X826" s="178">
        <f t="shared" si="129"/>
        <v>0</v>
      </c>
      <c r="Y826" s="178">
        <f t="shared" si="130"/>
        <v>0</v>
      </c>
      <c r="Z826" s="175">
        <f t="shared" si="122"/>
        <v>0</v>
      </c>
      <c r="AA826" s="179"/>
      <c r="AB826" s="467">
        <f t="shared" si="123"/>
        <v>0</v>
      </c>
      <c r="AC826" s="466">
        <f t="shared" si="124"/>
        <v>0</v>
      </c>
    </row>
    <row r="827" spans="2:29" ht="20.100000000000001" customHeight="1">
      <c r="B827" s="172"/>
      <c r="C827" s="172"/>
      <c r="D827" s="172"/>
      <c r="E827" s="181"/>
      <c r="F827" s="173"/>
      <c r="G827" s="174"/>
      <c r="H827" s="284"/>
      <c r="I827" s="221"/>
      <c r="J827" s="177">
        <f>IF(H827=0,0,IF(F827="MXN",1/HLOOKUP(YEAR(G827)+(MONTH(G827)/100),TC!$5:$37,DAY(G827)+2,FALSE),VLOOKUP(F827,Equivalencia!$5:$23,((MAX(Equivalencia!$3:$3)-YEAR(G827))*14)+MONTH(G827)+2,FALSE)))</f>
        <v>0</v>
      </c>
      <c r="K827" s="217">
        <f t="shared" si="125"/>
        <v>0</v>
      </c>
      <c r="L827" s="462">
        <f>IF(G827=0,0,VLOOKUP(YEAR(G827),INPC!$B$4:$O$29,MONTH(G827)+1))</f>
        <v>0</v>
      </c>
      <c r="M827" s="462">
        <f>IF(T827=0,0,VLOOKUP(YEAR(T827),INPC!$B$4:$O$29,MONTH(T827)+1))</f>
        <v>0</v>
      </c>
      <c r="N827" s="463">
        <f t="shared" si="121"/>
        <v>0</v>
      </c>
      <c r="O827" s="464">
        <f t="shared" si="126"/>
        <v>0</v>
      </c>
      <c r="P827" s="465">
        <f t="shared" si="127"/>
        <v>0</v>
      </c>
      <c r="Q827" s="606" t="str">
        <f t="shared" si="128"/>
        <v>NO</v>
      </c>
      <c r="R827" s="180"/>
      <c r="S827" s="173"/>
      <c r="T827" s="174"/>
      <c r="U827" s="173"/>
      <c r="V827" s="220"/>
      <c r="W827" s="177">
        <f>IF(S827=0,0,IF(U827="MXN",1/HLOOKUP(YEAR(T827)+(MONTH(T827)/100),TC!$5:$37,DAY(T827)+2,FALSE),VLOOKUP(U827,Equivalencia!$1:$23,((MAX(Equivalencia!$3:$3)-YEAR(T827))*14)+MONTH(T827)+2,FALSE)))</f>
        <v>0</v>
      </c>
      <c r="X827" s="178">
        <f t="shared" si="129"/>
        <v>0</v>
      </c>
      <c r="Y827" s="178">
        <f t="shared" si="130"/>
        <v>0</v>
      </c>
      <c r="Z827" s="175">
        <f t="shared" si="122"/>
        <v>0</v>
      </c>
      <c r="AA827" s="179"/>
      <c r="AB827" s="467">
        <f t="shared" si="123"/>
        <v>0</v>
      </c>
      <c r="AC827" s="466">
        <f t="shared" si="124"/>
        <v>0</v>
      </c>
    </row>
    <row r="828" spans="2:29" ht="20.100000000000001" customHeight="1">
      <c r="B828" s="172"/>
      <c r="C828" s="172"/>
      <c r="D828" s="172"/>
      <c r="E828" s="181"/>
      <c r="F828" s="173"/>
      <c r="G828" s="174"/>
      <c r="H828" s="284"/>
      <c r="I828" s="221"/>
      <c r="J828" s="177">
        <f>IF(H828=0,0,IF(F828="MXN",1/HLOOKUP(YEAR(G828)+(MONTH(G828)/100),TC!$5:$37,DAY(G828)+2,FALSE),VLOOKUP(F828,Equivalencia!$5:$23,((MAX(Equivalencia!$3:$3)-YEAR(G828))*14)+MONTH(G828)+2,FALSE)))</f>
        <v>0</v>
      </c>
      <c r="K828" s="217">
        <f t="shared" si="125"/>
        <v>0</v>
      </c>
      <c r="L828" s="462">
        <f>IF(G828=0,0,VLOOKUP(YEAR(G828),INPC!$B$4:$O$29,MONTH(G828)+1))</f>
        <v>0</v>
      </c>
      <c r="M828" s="462">
        <f>IF(T828=0,0,VLOOKUP(YEAR(T828),INPC!$B$4:$O$29,MONTH(T828)+1))</f>
        <v>0</v>
      </c>
      <c r="N828" s="463">
        <f t="shared" si="121"/>
        <v>0</v>
      </c>
      <c r="O828" s="464">
        <f t="shared" si="126"/>
        <v>0</v>
      </c>
      <c r="P828" s="465">
        <f t="shared" si="127"/>
        <v>0</v>
      </c>
      <c r="Q828" s="606" t="str">
        <f t="shared" si="128"/>
        <v>NO</v>
      </c>
      <c r="R828" s="180"/>
      <c r="S828" s="173"/>
      <c r="T828" s="174"/>
      <c r="U828" s="173"/>
      <c r="V828" s="220"/>
      <c r="W828" s="177">
        <f>IF(S828=0,0,IF(U828="MXN",1/HLOOKUP(YEAR(T828)+(MONTH(T828)/100),TC!$5:$37,DAY(T828)+2,FALSE),VLOOKUP(U828,Equivalencia!$1:$23,((MAX(Equivalencia!$3:$3)-YEAR(T828))*14)+MONTH(T828)+2,FALSE)))</f>
        <v>0</v>
      </c>
      <c r="X828" s="178">
        <f t="shared" si="129"/>
        <v>0</v>
      </c>
      <c r="Y828" s="178">
        <f t="shared" si="130"/>
        <v>0</v>
      </c>
      <c r="Z828" s="175">
        <f t="shared" si="122"/>
        <v>0</v>
      </c>
      <c r="AA828" s="179"/>
      <c r="AB828" s="467">
        <f t="shared" si="123"/>
        <v>0</v>
      </c>
      <c r="AC828" s="466">
        <f t="shared" si="124"/>
        <v>0</v>
      </c>
    </row>
    <row r="829" spans="2:29" ht="20.100000000000001" customHeight="1">
      <c r="B829" s="172"/>
      <c r="C829" s="172"/>
      <c r="D829" s="172"/>
      <c r="E829" s="181"/>
      <c r="F829" s="173"/>
      <c r="G829" s="174"/>
      <c r="H829" s="284"/>
      <c r="I829" s="221"/>
      <c r="J829" s="177">
        <f>IF(H829=0,0,IF(F829="MXN",1/HLOOKUP(YEAR(G829)+(MONTH(G829)/100),TC!$5:$37,DAY(G829)+2,FALSE),VLOOKUP(F829,Equivalencia!$5:$23,((MAX(Equivalencia!$3:$3)-YEAR(G829))*14)+MONTH(G829)+2,FALSE)))</f>
        <v>0</v>
      </c>
      <c r="K829" s="217">
        <f t="shared" si="125"/>
        <v>0</v>
      </c>
      <c r="L829" s="462">
        <f>IF(G829=0,0,VLOOKUP(YEAR(G829),INPC!$B$4:$O$29,MONTH(G829)+1))</f>
        <v>0</v>
      </c>
      <c r="M829" s="462">
        <f>IF(T829=0,0,VLOOKUP(YEAR(T829),INPC!$B$4:$O$29,MONTH(T829)+1))</f>
        <v>0</v>
      </c>
      <c r="N829" s="463">
        <f t="shared" si="121"/>
        <v>0</v>
      </c>
      <c r="O829" s="464">
        <f t="shared" si="126"/>
        <v>0</v>
      </c>
      <c r="P829" s="465">
        <f t="shared" si="127"/>
        <v>0</v>
      </c>
      <c r="Q829" s="606" t="str">
        <f t="shared" si="128"/>
        <v>NO</v>
      </c>
      <c r="R829" s="180"/>
      <c r="S829" s="173"/>
      <c r="T829" s="174"/>
      <c r="U829" s="173"/>
      <c r="V829" s="220"/>
      <c r="W829" s="177">
        <f>IF(S829=0,0,IF(U829="MXN",1/HLOOKUP(YEAR(T829)+(MONTH(T829)/100),TC!$5:$37,DAY(T829)+2,FALSE),VLOOKUP(U829,Equivalencia!$1:$23,((MAX(Equivalencia!$3:$3)-YEAR(T829))*14)+MONTH(T829)+2,FALSE)))</f>
        <v>0</v>
      </c>
      <c r="X829" s="178">
        <f t="shared" si="129"/>
        <v>0</v>
      </c>
      <c r="Y829" s="178">
        <f t="shared" si="130"/>
        <v>0</v>
      </c>
      <c r="Z829" s="175">
        <f t="shared" si="122"/>
        <v>0</v>
      </c>
      <c r="AA829" s="179"/>
      <c r="AB829" s="467">
        <f t="shared" si="123"/>
        <v>0</v>
      </c>
      <c r="AC829" s="466">
        <f t="shared" si="124"/>
        <v>0</v>
      </c>
    </row>
    <row r="830" spans="2:29" ht="20.100000000000001" customHeight="1">
      <c r="B830" s="172"/>
      <c r="C830" s="172"/>
      <c r="D830" s="172"/>
      <c r="E830" s="181"/>
      <c r="F830" s="173"/>
      <c r="G830" s="174"/>
      <c r="H830" s="284"/>
      <c r="I830" s="221"/>
      <c r="J830" s="177">
        <f>IF(H830=0,0,IF(F830="MXN",1/HLOOKUP(YEAR(G830)+(MONTH(G830)/100),TC!$5:$37,DAY(G830)+2,FALSE),VLOOKUP(F830,Equivalencia!$5:$23,((MAX(Equivalencia!$3:$3)-YEAR(G830))*14)+MONTH(G830)+2,FALSE)))</f>
        <v>0</v>
      </c>
      <c r="K830" s="217">
        <f t="shared" si="125"/>
        <v>0</v>
      </c>
      <c r="L830" s="462">
        <f>IF(G830=0,0,VLOOKUP(YEAR(G830),INPC!$B$4:$O$29,MONTH(G830)+1))</f>
        <v>0</v>
      </c>
      <c r="M830" s="462">
        <f>IF(T830=0,0,VLOOKUP(YEAR(T830),INPC!$B$4:$O$29,MONTH(T830)+1))</f>
        <v>0</v>
      </c>
      <c r="N830" s="463">
        <f t="shared" si="121"/>
        <v>0</v>
      </c>
      <c r="O830" s="464">
        <f t="shared" si="126"/>
        <v>0</v>
      </c>
      <c r="P830" s="465">
        <f t="shared" si="127"/>
        <v>0</v>
      </c>
      <c r="Q830" s="606" t="str">
        <f t="shared" si="128"/>
        <v>NO</v>
      </c>
      <c r="R830" s="180"/>
      <c r="S830" s="173"/>
      <c r="T830" s="174"/>
      <c r="U830" s="173"/>
      <c r="V830" s="220"/>
      <c r="W830" s="177">
        <f>IF(S830=0,0,IF(U830="MXN",1/HLOOKUP(YEAR(T830)+(MONTH(T830)/100),TC!$5:$37,DAY(T830)+2,FALSE),VLOOKUP(U830,Equivalencia!$1:$23,((MAX(Equivalencia!$3:$3)-YEAR(T830))*14)+MONTH(T830)+2,FALSE)))</f>
        <v>0</v>
      </c>
      <c r="X830" s="178">
        <f t="shared" si="129"/>
        <v>0</v>
      </c>
      <c r="Y830" s="178">
        <f t="shared" si="130"/>
        <v>0</v>
      </c>
      <c r="Z830" s="175">
        <f t="shared" si="122"/>
        <v>0</v>
      </c>
      <c r="AA830" s="179"/>
      <c r="AB830" s="467">
        <f t="shared" si="123"/>
        <v>0</v>
      </c>
      <c r="AC830" s="466">
        <f t="shared" si="124"/>
        <v>0</v>
      </c>
    </row>
    <row r="831" spans="2:29" ht="20.100000000000001" customHeight="1">
      <c r="B831" s="172"/>
      <c r="C831" s="172"/>
      <c r="D831" s="172"/>
      <c r="E831" s="181"/>
      <c r="F831" s="173"/>
      <c r="G831" s="174"/>
      <c r="H831" s="284"/>
      <c r="I831" s="221"/>
      <c r="J831" s="177">
        <f>IF(H831=0,0,IF(F831="MXN",1/HLOOKUP(YEAR(G831)+(MONTH(G831)/100),TC!$5:$37,DAY(G831)+2,FALSE),VLOOKUP(F831,Equivalencia!$5:$23,((MAX(Equivalencia!$3:$3)-YEAR(G831))*14)+MONTH(G831)+2,FALSE)))</f>
        <v>0</v>
      </c>
      <c r="K831" s="217">
        <f t="shared" si="125"/>
        <v>0</v>
      </c>
      <c r="L831" s="462">
        <f>IF(G831=0,0,VLOOKUP(YEAR(G831),INPC!$B$4:$O$29,MONTH(G831)+1))</f>
        <v>0</v>
      </c>
      <c r="M831" s="462">
        <f>IF(T831=0,0,VLOOKUP(YEAR(T831),INPC!$B$4:$O$29,MONTH(T831)+1))</f>
        <v>0</v>
      </c>
      <c r="N831" s="463">
        <f t="shared" si="121"/>
        <v>0</v>
      </c>
      <c r="O831" s="464">
        <f t="shared" si="126"/>
        <v>0</v>
      </c>
      <c r="P831" s="465">
        <f t="shared" si="127"/>
        <v>0</v>
      </c>
      <c r="Q831" s="606" t="str">
        <f t="shared" si="128"/>
        <v>NO</v>
      </c>
      <c r="R831" s="180"/>
      <c r="S831" s="173"/>
      <c r="T831" s="174"/>
      <c r="U831" s="173"/>
      <c r="V831" s="220"/>
      <c r="W831" s="177">
        <f>IF(S831=0,0,IF(U831="MXN",1/HLOOKUP(YEAR(T831)+(MONTH(T831)/100),TC!$5:$37,DAY(T831)+2,FALSE),VLOOKUP(U831,Equivalencia!$1:$23,((MAX(Equivalencia!$3:$3)-YEAR(T831))*14)+MONTH(T831)+2,FALSE)))</f>
        <v>0</v>
      </c>
      <c r="X831" s="178">
        <f t="shared" si="129"/>
        <v>0</v>
      </c>
      <c r="Y831" s="178">
        <f t="shared" si="130"/>
        <v>0</v>
      </c>
      <c r="Z831" s="175">
        <f t="shared" si="122"/>
        <v>0</v>
      </c>
      <c r="AA831" s="179"/>
      <c r="AB831" s="467">
        <f t="shared" si="123"/>
        <v>0</v>
      </c>
      <c r="AC831" s="466">
        <f t="shared" si="124"/>
        <v>0</v>
      </c>
    </row>
    <row r="832" spans="2:29" ht="20.100000000000001" customHeight="1">
      <c r="B832" s="172"/>
      <c r="C832" s="172"/>
      <c r="D832" s="172"/>
      <c r="E832" s="181"/>
      <c r="F832" s="173"/>
      <c r="G832" s="174"/>
      <c r="H832" s="284"/>
      <c r="I832" s="221"/>
      <c r="J832" s="177">
        <f>IF(H832=0,0,IF(F832="MXN",1/HLOOKUP(YEAR(G832)+(MONTH(G832)/100),TC!$5:$37,DAY(G832)+2,FALSE),VLOOKUP(F832,Equivalencia!$5:$23,((MAX(Equivalencia!$3:$3)-YEAR(G832))*14)+MONTH(G832)+2,FALSE)))</f>
        <v>0</v>
      </c>
      <c r="K832" s="217">
        <f t="shared" si="125"/>
        <v>0</v>
      </c>
      <c r="L832" s="462">
        <f>IF(G832=0,0,VLOOKUP(YEAR(G832),INPC!$B$4:$O$29,MONTH(G832)+1))</f>
        <v>0</v>
      </c>
      <c r="M832" s="462">
        <f>IF(T832=0,0,VLOOKUP(YEAR(T832),INPC!$B$4:$O$29,MONTH(T832)+1))</f>
        <v>0</v>
      </c>
      <c r="N832" s="463">
        <f t="shared" si="121"/>
        <v>0</v>
      </c>
      <c r="O832" s="464">
        <f t="shared" si="126"/>
        <v>0</v>
      </c>
      <c r="P832" s="465">
        <f t="shared" si="127"/>
        <v>0</v>
      </c>
      <c r="Q832" s="606" t="str">
        <f t="shared" si="128"/>
        <v>NO</v>
      </c>
      <c r="R832" s="180"/>
      <c r="S832" s="173"/>
      <c r="T832" s="174"/>
      <c r="U832" s="173"/>
      <c r="V832" s="220"/>
      <c r="W832" s="177">
        <f>IF(S832=0,0,IF(U832="MXN",1/HLOOKUP(YEAR(T832)+(MONTH(T832)/100),TC!$5:$37,DAY(T832)+2,FALSE),VLOOKUP(U832,Equivalencia!$1:$23,((MAX(Equivalencia!$3:$3)-YEAR(T832))*14)+MONTH(T832)+2,FALSE)))</f>
        <v>0</v>
      </c>
      <c r="X832" s="178">
        <f t="shared" si="129"/>
        <v>0</v>
      </c>
      <c r="Y832" s="178">
        <f t="shared" si="130"/>
        <v>0</v>
      </c>
      <c r="Z832" s="175">
        <f t="shared" si="122"/>
        <v>0</v>
      </c>
      <c r="AA832" s="179"/>
      <c r="AB832" s="467">
        <f t="shared" si="123"/>
        <v>0</v>
      </c>
      <c r="AC832" s="466">
        <f t="shared" si="124"/>
        <v>0</v>
      </c>
    </row>
    <row r="833" spans="2:29" ht="20.100000000000001" customHeight="1">
      <c r="B833" s="172"/>
      <c r="C833" s="172"/>
      <c r="D833" s="172"/>
      <c r="E833" s="181"/>
      <c r="F833" s="173"/>
      <c r="G833" s="174"/>
      <c r="H833" s="284"/>
      <c r="I833" s="221"/>
      <c r="J833" s="177">
        <f>IF(H833=0,0,IF(F833="MXN",1/HLOOKUP(YEAR(G833)+(MONTH(G833)/100),TC!$5:$37,DAY(G833)+2,FALSE),VLOOKUP(F833,Equivalencia!$5:$23,((MAX(Equivalencia!$3:$3)-YEAR(G833))*14)+MONTH(G833)+2,FALSE)))</f>
        <v>0</v>
      </c>
      <c r="K833" s="217">
        <f t="shared" si="125"/>
        <v>0</v>
      </c>
      <c r="L833" s="462">
        <f>IF(G833=0,0,VLOOKUP(YEAR(G833),INPC!$B$4:$O$29,MONTH(G833)+1))</f>
        <v>0</v>
      </c>
      <c r="M833" s="462">
        <f>IF(T833=0,0,VLOOKUP(YEAR(T833),INPC!$B$4:$O$29,MONTH(T833)+1))</f>
        <v>0</v>
      </c>
      <c r="N833" s="463">
        <f t="shared" si="121"/>
        <v>0</v>
      </c>
      <c r="O833" s="464">
        <f t="shared" si="126"/>
        <v>0</v>
      </c>
      <c r="P833" s="465">
        <f t="shared" si="127"/>
        <v>0</v>
      </c>
      <c r="Q833" s="606" t="str">
        <f t="shared" si="128"/>
        <v>NO</v>
      </c>
      <c r="R833" s="180"/>
      <c r="S833" s="173"/>
      <c r="T833" s="174"/>
      <c r="U833" s="173"/>
      <c r="V833" s="220"/>
      <c r="W833" s="177">
        <f>IF(S833=0,0,IF(U833="MXN",1/HLOOKUP(YEAR(T833)+(MONTH(T833)/100),TC!$5:$37,DAY(T833)+2,FALSE),VLOOKUP(U833,Equivalencia!$1:$23,((MAX(Equivalencia!$3:$3)-YEAR(T833))*14)+MONTH(T833)+2,FALSE)))</f>
        <v>0</v>
      </c>
      <c r="X833" s="178">
        <f t="shared" si="129"/>
        <v>0</v>
      </c>
      <c r="Y833" s="178">
        <f t="shared" si="130"/>
        <v>0</v>
      </c>
      <c r="Z833" s="175">
        <f t="shared" si="122"/>
        <v>0</v>
      </c>
      <c r="AA833" s="179"/>
      <c r="AB833" s="467">
        <f t="shared" si="123"/>
        <v>0</v>
      </c>
      <c r="AC833" s="466">
        <f t="shared" si="124"/>
        <v>0</v>
      </c>
    </row>
    <row r="834" spans="2:29" ht="20.100000000000001" customHeight="1">
      <c r="B834" s="172"/>
      <c r="C834" s="172"/>
      <c r="D834" s="172"/>
      <c r="E834" s="181"/>
      <c r="F834" s="173"/>
      <c r="G834" s="174"/>
      <c r="H834" s="284"/>
      <c r="I834" s="221"/>
      <c r="J834" s="177">
        <f>IF(H834=0,0,IF(F834="MXN",1/HLOOKUP(YEAR(G834)+(MONTH(G834)/100),TC!$5:$37,DAY(G834)+2,FALSE),VLOOKUP(F834,Equivalencia!$5:$23,((MAX(Equivalencia!$3:$3)-YEAR(G834))*14)+MONTH(G834)+2,FALSE)))</f>
        <v>0</v>
      </c>
      <c r="K834" s="217">
        <f t="shared" si="125"/>
        <v>0</v>
      </c>
      <c r="L834" s="462">
        <f>IF(G834=0,0,VLOOKUP(YEAR(G834),INPC!$B$4:$O$29,MONTH(G834)+1))</f>
        <v>0</v>
      </c>
      <c r="M834" s="462">
        <f>IF(T834=0,0,VLOOKUP(YEAR(T834),INPC!$B$4:$O$29,MONTH(T834)+1))</f>
        <v>0</v>
      </c>
      <c r="N834" s="463">
        <f t="shared" ref="N834:N897" si="131">IF(T834=0,0,IF(TRUNC(M834/L834,4)&gt;=1,TRUNC(M834/L834,4),1))</f>
        <v>0</v>
      </c>
      <c r="O834" s="464">
        <f t="shared" si="126"/>
        <v>0</v>
      </c>
      <c r="P834" s="465">
        <f t="shared" si="127"/>
        <v>0</v>
      </c>
      <c r="Q834" s="606" t="str">
        <f t="shared" si="128"/>
        <v>NO</v>
      </c>
      <c r="R834" s="180"/>
      <c r="S834" s="173"/>
      <c r="T834" s="174"/>
      <c r="U834" s="173"/>
      <c r="V834" s="220"/>
      <c r="W834" s="177">
        <f>IF(S834=0,0,IF(U834="MXN",1/HLOOKUP(YEAR(T834)+(MONTH(T834)/100),TC!$5:$37,DAY(T834)+2,FALSE),VLOOKUP(U834,Equivalencia!$1:$23,((MAX(Equivalencia!$3:$3)-YEAR(T834))*14)+MONTH(T834)+2,FALSE)))</f>
        <v>0</v>
      </c>
      <c r="X834" s="178">
        <f t="shared" si="129"/>
        <v>0</v>
      </c>
      <c r="Y834" s="178">
        <f t="shared" si="130"/>
        <v>0</v>
      </c>
      <c r="Z834" s="175">
        <f t="shared" ref="Z834:Z897" si="132">+X834+Y834</f>
        <v>0</v>
      </c>
      <c r="AA834" s="179"/>
      <c r="AB834" s="467">
        <f t="shared" ref="AB834:AB897" si="133">+X834+AC834</f>
        <v>0</v>
      </c>
      <c r="AC834" s="466">
        <f t="shared" ref="AC834:AC897" si="134">+R834*P834</f>
        <v>0</v>
      </c>
    </row>
    <row r="835" spans="2:29" ht="20.100000000000001" customHeight="1">
      <c r="B835" s="172"/>
      <c r="C835" s="172"/>
      <c r="D835" s="172"/>
      <c r="E835" s="181"/>
      <c r="F835" s="173"/>
      <c r="G835" s="174"/>
      <c r="H835" s="284"/>
      <c r="I835" s="221"/>
      <c r="J835" s="177">
        <f>IF(H835=0,0,IF(F835="MXN",1/HLOOKUP(YEAR(G835)+(MONTH(G835)/100),TC!$5:$37,DAY(G835)+2,FALSE),VLOOKUP(F835,Equivalencia!$5:$23,((MAX(Equivalencia!$3:$3)-YEAR(G835))*14)+MONTH(G835)+2,FALSE)))</f>
        <v>0</v>
      </c>
      <c r="K835" s="217">
        <f t="shared" ref="K835:K898" si="135">+I835*J835</f>
        <v>0</v>
      </c>
      <c r="L835" s="462">
        <f>IF(G835=0,0,VLOOKUP(YEAR(G835),INPC!$B$4:$O$29,MONTH(G835)+1))</f>
        <v>0</v>
      </c>
      <c r="M835" s="462">
        <f>IF(T835=0,0,VLOOKUP(YEAR(T835),INPC!$B$4:$O$29,MONTH(T835)+1))</f>
        <v>0</v>
      </c>
      <c r="N835" s="463">
        <f t="shared" si="131"/>
        <v>0</v>
      </c>
      <c r="O835" s="464">
        <f t="shared" ref="O835:O898" si="136">+N835*K835</f>
        <v>0</v>
      </c>
      <c r="P835" s="465">
        <f t="shared" ref="P835:P898" si="137">IF(R835=0,0,O835/R835)</f>
        <v>0</v>
      </c>
      <c r="Q835" s="606" t="str">
        <f t="shared" ref="Q835:Q898" si="138">IF(T835=0,"NO","SI")</f>
        <v>NO</v>
      </c>
      <c r="R835" s="180"/>
      <c r="S835" s="173"/>
      <c r="T835" s="174"/>
      <c r="U835" s="173"/>
      <c r="V835" s="220"/>
      <c r="W835" s="177">
        <f>IF(S835=0,0,IF(U835="MXN",1/HLOOKUP(YEAR(T835)+(MONTH(T835)/100),TC!$5:$37,DAY(T835)+2,FALSE),VLOOKUP(U835,Equivalencia!$1:$23,((MAX(Equivalencia!$3:$3)-YEAR(T835))*14)+MONTH(T835)+2,FALSE)))</f>
        <v>0</v>
      </c>
      <c r="X835" s="178">
        <f t="shared" ref="X835:X898" si="139">+W835*V835</f>
        <v>0</v>
      </c>
      <c r="Y835" s="178">
        <f t="shared" ref="Y835:Y898" si="140">+K835</f>
        <v>0</v>
      </c>
      <c r="Z835" s="175">
        <f t="shared" si="132"/>
        <v>0</v>
      </c>
      <c r="AA835" s="179"/>
      <c r="AB835" s="467">
        <f t="shared" si="133"/>
        <v>0</v>
      </c>
      <c r="AC835" s="466">
        <f t="shared" si="134"/>
        <v>0</v>
      </c>
    </row>
    <row r="836" spans="2:29" ht="20.100000000000001" customHeight="1">
      <c r="B836" s="172"/>
      <c r="C836" s="172"/>
      <c r="D836" s="172"/>
      <c r="E836" s="181"/>
      <c r="F836" s="173"/>
      <c r="G836" s="174"/>
      <c r="H836" s="284"/>
      <c r="I836" s="221"/>
      <c r="J836" s="177">
        <f>IF(H836=0,0,IF(F836="MXN",1/HLOOKUP(YEAR(G836)+(MONTH(G836)/100),TC!$5:$37,DAY(G836)+2,FALSE),VLOOKUP(F836,Equivalencia!$5:$23,((MAX(Equivalencia!$3:$3)-YEAR(G836))*14)+MONTH(G836)+2,FALSE)))</f>
        <v>0</v>
      </c>
      <c r="K836" s="217">
        <f t="shared" si="135"/>
        <v>0</v>
      </c>
      <c r="L836" s="462">
        <f>IF(G836=0,0,VLOOKUP(YEAR(G836),INPC!$B$4:$O$29,MONTH(G836)+1))</f>
        <v>0</v>
      </c>
      <c r="M836" s="462">
        <f>IF(T836=0,0,VLOOKUP(YEAR(T836),INPC!$B$4:$O$29,MONTH(T836)+1))</f>
        <v>0</v>
      </c>
      <c r="N836" s="463">
        <f t="shared" si="131"/>
        <v>0</v>
      </c>
      <c r="O836" s="464">
        <f t="shared" si="136"/>
        <v>0</v>
      </c>
      <c r="P836" s="465">
        <f t="shared" si="137"/>
        <v>0</v>
      </c>
      <c r="Q836" s="606" t="str">
        <f t="shared" si="138"/>
        <v>NO</v>
      </c>
      <c r="R836" s="180"/>
      <c r="S836" s="173"/>
      <c r="T836" s="174"/>
      <c r="U836" s="173"/>
      <c r="V836" s="220"/>
      <c r="W836" s="177">
        <f>IF(S836=0,0,IF(U836="MXN",1/HLOOKUP(YEAR(T836)+(MONTH(T836)/100),TC!$5:$37,DAY(T836)+2,FALSE),VLOOKUP(U836,Equivalencia!$1:$23,((MAX(Equivalencia!$3:$3)-YEAR(T836))*14)+MONTH(T836)+2,FALSE)))</f>
        <v>0</v>
      </c>
      <c r="X836" s="178">
        <f t="shared" si="139"/>
        <v>0</v>
      </c>
      <c r="Y836" s="178">
        <f t="shared" si="140"/>
        <v>0</v>
      </c>
      <c r="Z836" s="175">
        <f t="shared" si="132"/>
        <v>0</v>
      </c>
      <c r="AA836" s="179"/>
      <c r="AB836" s="467">
        <f t="shared" si="133"/>
        <v>0</v>
      </c>
      <c r="AC836" s="466">
        <f t="shared" si="134"/>
        <v>0</v>
      </c>
    </row>
    <row r="837" spans="2:29" ht="20.100000000000001" customHeight="1">
      <c r="B837" s="172"/>
      <c r="C837" s="172"/>
      <c r="D837" s="172"/>
      <c r="E837" s="181"/>
      <c r="F837" s="173"/>
      <c r="G837" s="174"/>
      <c r="H837" s="284"/>
      <c r="I837" s="221"/>
      <c r="J837" s="177">
        <f>IF(H837=0,0,IF(F837="MXN",1/HLOOKUP(YEAR(G837)+(MONTH(G837)/100),TC!$5:$37,DAY(G837)+2,FALSE),VLOOKUP(F837,Equivalencia!$5:$23,((MAX(Equivalencia!$3:$3)-YEAR(G837))*14)+MONTH(G837)+2,FALSE)))</f>
        <v>0</v>
      </c>
      <c r="K837" s="217">
        <f t="shared" si="135"/>
        <v>0</v>
      </c>
      <c r="L837" s="462">
        <f>IF(G837=0,0,VLOOKUP(YEAR(G837),INPC!$B$4:$O$29,MONTH(G837)+1))</f>
        <v>0</v>
      </c>
      <c r="M837" s="462">
        <f>IF(T837=0,0,VLOOKUP(YEAR(T837),INPC!$B$4:$O$29,MONTH(T837)+1))</f>
        <v>0</v>
      </c>
      <c r="N837" s="463">
        <f t="shared" si="131"/>
        <v>0</v>
      </c>
      <c r="O837" s="464">
        <f t="shared" si="136"/>
        <v>0</v>
      </c>
      <c r="P837" s="465">
        <f t="shared" si="137"/>
        <v>0</v>
      </c>
      <c r="Q837" s="606" t="str">
        <f t="shared" si="138"/>
        <v>NO</v>
      </c>
      <c r="R837" s="180"/>
      <c r="S837" s="173"/>
      <c r="T837" s="174"/>
      <c r="U837" s="173"/>
      <c r="V837" s="220"/>
      <c r="W837" s="177">
        <f>IF(S837=0,0,IF(U837="MXN",1/HLOOKUP(YEAR(T837)+(MONTH(T837)/100),TC!$5:$37,DAY(T837)+2,FALSE),VLOOKUP(U837,Equivalencia!$1:$23,((MAX(Equivalencia!$3:$3)-YEAR(T837))*14)+MONTH(T837)+2,FALSE)))</f>
        <v>0</v>
      </c>
      <c r="X837" s="178">
        <f t="shared" si="139"/>
        <v>0</v>
      </c>
      <c r="Y837" s="178">
        <f t="shared" si="140"/>
        <v>0</v>
      </c>
      <c r="Z837" s="175">
        <f t="shared" si="132"/>
        <v>0</v>
      </c>
      <c r="AA837" s="179"/>
      <c r="AB837" s="467">
        <f t="shared" si="133"/>
        <v>0</v>
      </c>
      <c r="AC837" s="466">
        <f t="shared" si="134"/>
        <v>0</v>
      </c>
    </row>
    <row r="838" spans="2:29" ht="20.100000000000001" customHeight="1">
      <c r="B838" s="172"/>
      <c r="C838" s="172"/>
      <c r="D838" s="172"/>
      <c r="E838" s="181"/>
      <c r="F838" s="173"/>
      <c r="G838" s="174"/>
      <c r="H838" s="284"/>
      <c r="I838" s="221"/>
      <c r="J838" s="177">
        <f>IF(H838=0,0,IF(F838="MXN",1/HLOOKUP(YEAR(G838)+(MONTH(G838)/100),TC!$5:$37,DAY(G838)+2,FALSE),VLOOKUP(F838,Equivalencia!$5:$23,((MAX(Equivalencia!$3:$3)-YEAR(G838))*14)+MONTH(G838)+2,FALSE)))</f>
        <v>0</v>
      </c>
      <c r="K838" s="217">
        <f t="shared" si="135"/>
        <v>0</v>
      </c>
      <c r="L838" s="462">
        <f>IF(G838=0,0,VLOOKUP(YEAR(G838),INPC!$B$4:$O$29,MONTH(G838)+1))</f>
        <v>0</v>
      </c>
      <c r="M838" s="462">
        <f>IF(T838=0,0,VLOOKUP(YEAR(T838),INPC!$B$4:$O$29,MONTH(T838)+1))</f>
        <v>0</v>
      </c>
      <c r="N838" s="463">
        <f t="shared" si="131"/>
        <v>0</v>
      </c>
      <c r="O838" s="464">
        <f t="shared" si="136"/>
        <v>0</v>
      </c>
      <c r="P838" s="465">
        <f t="shared" si="137"/>
        <v>0</v>
      </c>
      <c r="Q838" s="606" t="str">
        <f t="shared" si="138"/>
        <v>NO</v>
      </c>
      <c r="R838" s="180"/>
      <c r="S838" s="173"/>
      <c r="T838" s="174"/>
      <c r="U838" s="173"/>
      <c r="V838" s="220"/>
      <c r="W838" s="177">
        <f>IF(S838=0,0,IF(U838="MXN",1/HLOOKUP(YEAR(T838)+(MONTH(T838)/100),TC!$5:$37,DAY(T838)+2,FALSE),VLOOKUP(U838,Equivalencia!$1:$23,((MAX(Equivalencia!$3:$3)-YEAR(T838))*14)+MONTH(T838)+2,FALSE)))</f>
        <v>0</v>
      </c>
      <c r="X838" s="178">
        <f t="shared" si="139"/>
        <v>0</v>
      </c>
      <c r="Y838" s="178">
        <f t="shared" si="140"/>
        <v>0</v>
      </c>
      <c r="Z838" s="175">
        <f t="shared" si="132"/>
        <v>0</v>
      </c>
      <c r="AA838" s="179"/>
      <c r="AB838" s="467">
        <f t="shared" si="133"/>
        <v>0</v>
      </c>
      <c r="AC838" s="466">
        <f t="shared" si="134"/>
        <v>0</v>
      </c>
    </row>
    <row r="839" spans="2:29" ht="20.100000000000001" customHeight="1">
      <c r="B839" s="172"/>
      <c r="C839" s="172"/>
      <c r="D839" s="172"/>
      <c r="E839" s="181"/>
      <c r="F839" s="173"/>
      <c r="G839" s="174"/>
      <c r="H839" s="284"/>
      <c r="I839" s="221"/>
      <c r="J839" s="177">
        <f>IF(H839=0,0,IF(F839="MXN",1/HLOOKUP(YEAR(G839)+(MONTH(G839)/100),TC!$5:$37,DAY(G839)+2,FALSE),VLOOKUP(F839,Equivalencia!$5:$23,((MAX(Equivalencia!$3:$3)-YEAR(G839))*14)+MONTH(G839)+2,FALSE)))</f>
        <v>0</v>
      </c>
      <c r="K839" s="217">
        <f t="shared" si="135"/>
        <v>0</v>
      </c>
      <c r="L839" s="462">
        <f>IF(G839=0,0,VLOOKUP(YEAR(G839),INPC!$B$4:$O$29,MONTH(G839)+1))</f>
        <v>0</v>
      </c>
      <c r="M839" s="462">
        <f>IF(T839=0,0,VLOOKUP(YEAR(T839),INPC!$B$4:$O$29,MONTH(T839)+1))</f>
        <v>0</v>
      </c>
      <c r="N839" s="463">
        <f t="shared" si="131"/>
        <v>0</v>
      </c>
      <c r="O839" s="464">
        <f t="shared" si="136"/>
        <v>0</v>
      </c>
      <c r="P839" s="465">
        <f t="shared" si="137"/>
        <v>0</v>
      </c>
      <c r="Q839" s="606" t="str">
        <f t="shared" si="138"/>
        <v>NO</v>
      </c>
      <c r="R839" s="180"/>
      <c r="S839" s="173"/>
      <c r="T839" s="174"/>
      <c r="U839" s="173"/>
      <c r="V839" s="220"/>
      <c r="W839" s="177">
        <f>IF(S839=0,0,IF(U839="MXN",1/HLOOKUP(YEAR(T839)+(MONTH(T839)/100),TC!$5:$37,DAY(T839)+2,FALSE),VLOOKUP(U839,Equivalencia!$1:$23,((MAX(Equivalencia!$3:$3)-YEAR(T839))*14)+MONTH(T839)+2,FALSE)))</f>
        <v>0</v>
      </c>
      <c r="X839" s="178">
        <f t="shared" si="139"/>
        <v>0</v>
      </c>
      <c r="Y839" s="178">
        <f t="shared" si="140"/>
        <v>0</v>
      </c>
      <c r="Z839" s="175">
        <f t="shared" si="132"/>
        <v>0</v>
      </c>
      <c r="AA839" s="179"/>
      <c r="AB839" s="467">
        <f t="shared" si="133"/>
        <v>0</v>
      </c>
      <c r="AC839" s="466">
        <f t="shared" si="134"/>
        <v>0</v>
      </c>
    </row>
    <row r="840" spans="2:29" ht="20.100000000000001" customHeight="1">
      <c r="B840" s="172"/>
      <c r="C840" s="172"/>
      <c r="D840" s="172"/>
      <c r="E840" s="181"/>
      <c r="F840" s="173"/>
      <c r="G840" s="174"/>
      <c r="H840" s="284"/>
      <c r="I840" s="221"/>
      <c r="J840" s="177">
        <f>IF(H840=0,0,IF(F840="MXN",1/HLOOKUP(YEAR(G840)+(MONTH(G840)/100),TC!$5:$37,DAY(G840)+2,FALSE),VLOOKUP(F840,Equivalencia!$5:$23,((MAX(Equivalencia!$3:$3)-YEAR(G840))*14)+MONTH(G840)+2,FALSE)))</f>
        <v>0</v>
      </c>
      <c r="K840" s="217">
        <f t="shared" si="135"/>
        <v>0</v>
      </c>
      <c r="L840" s="462">
        <f>IF(G840=0,0,VLOOKUP(YEAR(G840),INPC!$B$4:$O$29,MONTH(G840)+1))</f>
        <v>0</v>
      </c>
      <c r="M840" s="462">
        <f>IF(T840=0,0,VLOOKUP(YEAR(T840),INPC!$B$4:$O$29,MONTH(T840)+1))</f>
        <v>0</v>
      </c>
      <c r="N840" s="463">
        <f t="shared" si="131"/>
        <v>0</v>
      </c>
      <c r="O840" s="464">
        <f t="shared" si="136"/>
        <v>0</v>
      </c>
      <c r="P840" s="465">
        <f t="shared" si="137"/>
        <v>0</v>
      </c>
      <c r="Q840" s="606" t="str">
        <f t="shared" si="138"/>
        <v>NO</v>
      </c>
      <c r="R840" s="180"/>
      <c r="S840" s="173"/>
      <c r="T840" s="174"/>
      <c r="U840" s="173"/>
      <c r="V840" s="220"/>
      <c r="W840" s="177">
        <f>IF(S840=0,0,IF(U840="MXN",1/HLOOKUP(YEAR(T840)+(MONTH(T840)/100),TC!$5:$37,DAY(T840)+2,FALSE),VLOOKUP(U840,Equivalencia!$1:$23,((MAX(Equivalencia!$3:$3)-YEAR(T840))*14)+MONTH(T840)+2,FALSE)))</f>
        <v>0</v>
      </c>
      <c r="X840" s="178">
        <f t="shared" si="139"/>
        <v>0</v>
      </c>
      <c r="Y840" s="178">
        <f t="shared" si="140"/>
        <v>0</v>
      </c>
      <c r="Z840" s="175">
        <f t="shared" si="132"/>
        <v>0</v>
      </c>
      <c r="AA840" s="179"/>
      <c r="AB840" s="467">
        <f t="shared" si="133"/>
        <v>0</v>
      </c>
      <c r="AC840" s="466">
        <f t="shared" si="134"/>
        <v>0</v>
      </c>
    </row>
    <row r="841" spans="2:29" ht="20.100000000000001" customHeight="1">
      <c r="B841" s="172"/>
      <c r="C841" s="172"/>
      <c r="D841" s="172"/>
      <c r="E841" s="181"/>
      <c r="F841" s="173"/>
      <c r="G841" s="174"/>
      <c r="H841" s="284"/>
      <c r="I841" s="221"/>
      <c r="J841" s="177">
        <f>IF(H841=0,0,IF(F841="MXN",1/HLOOKUP(YEAR(G841)+(MONTH(G841)/100),TC!$5:$37,DAY(G841)+2,FALSE),VLOOKUP(F841,Equivalencia!$5:$23,((MAX(Equivalencia!$3:$3)-YEAR(G841))*14)+MONTH(G841)+2,FALSE)))</f>
        <v>0</v>
      </c>
      <c r="K841" s="217">
        <f t="shared" si="135"/>
        <v>0</v>
      </c>
      <c r="L841" s="462">
        <f>IF(G841=0,0,VLOOKUP(YEAR(G841),INPC!$B$4:$O$29,MONTH(G841)+1))</f>
        <v>0</v>
      </c>
      <c r="M841" s="462">
        <f>IF(T841=0,0,VLOOKUP(YEAR(T841),INPC!$B$4:$O$29,MONTH(T841)+1))</f>
        <v>0</v>
      </c>
      <c r="N841" s="463">
        <f t="shared" si="131"/>
        <v>0</v>
      </c>
      <c r="O841" s="464">
        <f t="shared" si="136"/>
        <v>0</v>
      </c>
      <c r="P841" s="465">
        <f t="shared" si="137"/>
        <v>0</v>
      </c>
      <c r="Q841" s="606" t="str">
        <f t="shared" si="138"/>
        <v>NO</v>
      </c>
      <c r="R841" s="180"/>
      <c r="S841" s="173"/>
      <c r="T841" s="174"/>
      <c r="U841" s="173"/>
      <c r="V841" s="220"/>
      <c r="W841" s="177">
        <f>IF(S841=0,0,IF(U841="MXN",1/HLOOKUP(YEAR(T841)+(MONTH(T841)/100),TC!$5:$37,DAY(T841)+2,FALSE),VLOOKUP(U841,Equivalencia!$1:$23,((MAX(Equivalencia!$3:$3)-YEAR(T841))*14)+MONTH(T841)+2,FALSE)))</f>
        <v>0</v>
      </c>
      <c r="X841" s="178">
        <f t="shared" si="139"/>
        <v>0</v>
      </c>
      <c r="Y841" s="178">
        <f t="shared" si="140"/>
        <v>0</v>
      </c>
      <c r="Z841" s="175">
        <f t="shared" si="132"/>
        <v>0</v>
      </c>
      <c r="AA841" s="179"/>
      <c r="AB841" s="467">
        <f t="shared" si="133"/>
        <v>0</v>
      </c>
      <c r="AC841" s="466">
        <f t="shared" si="134"/>
        <v>0</v>
      </c>
    </row>
    <row r="842" spans="2:29" ht="20.100000000000001" customHeight="1">
      <c r="B842" s="172"/>
      <c r="C842" s="172"/>
      <c r="D842" s="172"/>
      <c r="E842" s="181"/>
      <c r="F842" s="173"/>
      <c r="G842" s="174"/>
      <c r="H842" s="284"/>
      <c r="I842" s="221"/>
      <c r="J842" s="177">
        <f>IF(H842=0,0,IF(F842="MXN",1/HLOOKUP(YEAR(G842)+(MONTH(G842)/100),TC!$5:$37,DAY(G842)+2,FALSE),VLOOKUP(F842,Equivalencia!$5:$23,((MAX(Equivalencia!$3:$3)-YEAR(G842))*14)+MONTH(G842)+2,FALSE)))</f>
        <v>0</v>
      </c>
      <c r="K842" s="217">
        <f t="shared" si="135"/>
        <v>0</v>
      </c>
      <c r="L842" s="462">
        <f>IF(G842=0,0,VLOOKUP(YEAR(G842),INPC!$B$4:$O$29,MONTH(G842)+1))</f>
        <v>0</v>
      </c>
      <c r="M842" s="462">
        <f>IF(T842=0,0,VLOOKUP(YEAR(T842),INPC!$B$4:$O$29,MONTH(T842)+1))</f>
        <v>0</v>
      </c>
      <c r="N842" s="463">
        <f t="shared" si="131"/>
        <v>0</v>
      </c>
      <c r="O842" s="464">
        <f t="shared" si="136"/>
        <v>0</v>
      </c>
      <c r="P842" s="465">
        <f t="shared" si="137"/>
        <v>0</v>
      </c>
      <c r="Q842" s="606" t="str">
        <f t="shared" si="138"/>
        <v>NO</v>
      </c>
      <c r="R842" s="180"/>
      <c r="S842" s="173"/>
      <c r="T842" s="174"/>
      <c r="U842" s="173"/>
      <c r="V842" s="220"/>
      <c r="W842" s="177">
        <f>IF(S842=0,0,IF(U842="MXN",1/HLOOKUP(YEAR(T842)+(MONTH(T842)/100),TC!$5:$37,DAY(T842)+2,FALSE),VLOOKUP(U842,Equivalencia!$1:$23,((MAX(Equivalencia!$3:$3)-YEAR(T842))*14)+MONTH(T842)+2,FALSE)))</f>
        <v>0</v>
      </c>
      <c r="X842" s="178">
        <f t="shared" si="139"/>
        <v>0</v>
      </c>
      <c r="Y842" s="178">
        <f t="shared" si="140"/>
        <v>0</v>
      </c>
      <c r="Z842" s="175">
        <f t="shared" si="132"/>
        <v>0</v>
      </c>
      <c r="AA842" s="179"/>
      <c r="AB842" s="467">
        <f t="shared" si="133"/>
        <v>0</v>
      </c>
      <c r="AC842" s="466">
        <f t="shared" si="134"/>
        <v>0</v>
      </c>
    </row>
    <row r="843" spans="2:29" ht="20.100000000000001" customHeight="1">
      <c r="B843" s="172"/>
      <c r="C843" s="172"/>
      <c r="D843" s="172"/>
      <c r="E843" s="181"/>
      <c r="F843" s="173"/>
      <c r="G843" s="174"/>
      <c r="H843" s="284"/>
      <c r="I843" s="221"/>
      <c r="J843" s="177">
        <f>IF(H843=0,0,IF(F843="MXN",1/HLOOKUP(YEAR(G843)+(MONTH(G843)/100),TC!$5:$37,DAY(G843)+2,FALSE),VLOOKUP(F843,Equivalencia!$5:$23,((MAX(Equivalencia!$3:$3)-YEAR(G843))*14)+MONTH(G843)+2,FALSE)))</f>
        <v>0</v>
      </c>
      <c r="K843" s="217">
        <f t="shared" si="135"/>
        <v>0</v>
      </c>
      <c r="L843" s="462">
        <f>IF(G843=0,0,VLOOKUP(YEAR(G843),INPC!$B$4:$O$29,MONTH(G843)+1))</f>
        <v>0</v>
      </c>
      <c r="M843" s="462">
        <f>IF(T843=0,0,VLOOKUP(YEAR(T843),INPC!$B$4:$O$29,MONTH(T843)+1))</f>
        <v>0</v>
      </c>
      <c r="N843" s="463">
        <f t="shared" si="131"/>
        <v>0</v>
      </c>
      <c r="O843" s="464">
        <f t="shared" si="136"/>
        <v>0</v>
      </c>
      <c r="P843" s="465">
        <f t="shared" si="137"/>
        <v>0</v>
      </c>
      <c r="Q843" s="606" t="str">
        <f t="shared" si="138"/>
        <v>NO</v>
      </c>
      <c r="R843" s="180"/>
      <c r="S843" s="173"/>
      <c r="T843" s="174"/>
      <c r="U843" s="173"/>
      <c r="V843" s="220"/>
      <c r="W843" s="177">
        <f>IF(S843=0,0,IF(U843="MXN",1/HLOOKUP(YEAR(T843)+(MONTH(T843)/100),TC!$5:$37,DAY(T843)+2,FALSE),VLOOKUP(U843,Equivalencia!$1:$23,((MAX(Equivalencia!$3:$3)-YEAR(T843))*14)+MONTH(T843)+2,FALSE)))</f>
        <v>0</v>
      </c>
      <c r="X843" s="178">
        <f t="shared" si="139"/>
        <v>0</v>
      </c>
      <c r="Y843" s="178">
        <f t="shared" si="140"/>
        <v>0</v>
      </c>
      <c r="Z843" s="175">
        <f t="shared" si="132"/>
        <v>0</v>
      </c>
      <c r="AA843" s="179"/>
      <c r="AB843" s="467">
        <f t="shared" si="133"/>
        <v>0</v>
      </c>
      <c r="AC843" s="466">
        <f t="shared" si="134"/>
        <v>0</v>
      </c>
    </row>
    <row r="844" spans="2:29" ht="20.100000000000001" customHeight="1">
      <c r="B844" s="172"/>
      <c r="C844" s="172"/>
      <c r="D844" s="172"/>
      <c r="E844" s="181"/>
      <c r="F844" s="173"/>
      <c r="G844" s="174"/>
      <c r="H844" s="284"/>
      <c r="I844" s="221"/>
      <c r="J844" s="177">
        <f>IF(H844=0,0,IF(F844="MXN",1/HLOOKUP(YEAR(G844)+(MONTH(G844)/100),TC!$5:$37,DAY(G844)+2,FALSE),VLOOKUP(F844,Equivalencia!$5:$23,((MAX(Equivalencia!$3:$3)-YEAR(G844))*14)+MONTH(G844)+2,FALSE)))</f>
        <v>0</v>
      </c>
      <c r="K844" s="217">
        <f t="shared" si="135"/>
        <v>0</v>
      </c>
      <c r="L844" s="462">
        <f>IF(G844=0,0,VLOOKUP(YEAR(G844),INPC!$B$4:$O$29,MONTH(G844)+1))</f>
        <v>0</v>
      </c>
      <c r="M844" s="462">
        <f>IF(T844=0,0,VLOOKUP(YEAR(T844),INPC!$B$4:$O$29,MONTH(T844)+1))</f>
        <v>0</v>
      </c>
      <c r="N844" s="463">
        <f t="shared" si="131"/>
        <v>0</v>
      </c>
      <c r="O844" s="464">
        <f t="shared" si="136"/>
        <v>0</v>
      </c>
      <c r="P844" s="465">
        <f t="shared" si="137"/>
        <v>0</v>
      </c>
      <c r="Q844" s="606" t="str">
        <f t="shared" si="138"/>
        <v>NO</v>
      </c>
      <c r="R844" s="180"/>
      <c r="S844" s="173"/>
      <c r="T844" s="174"/>
      <c r="U844" s="173"/>
      <c r="V844" s="220"/>
      <c r="W844" s="177">
        <f>IF(S844=0,0,IF(U844="MXN",1/HLOOKUP(YEAR(T844)+(MONTH(T844)/100),TC!$5:$37,DAY(T844)+2,FALSE),VLOOKUP(U844,Equivalencia!$1:$23,((MAX(Equivalencia!$3:$3)-YEAR(T844))*14)+MONTH(T844)+2,FALSE)))</f>
        <v>0</v>
      </c>
      <c r="X844" s="178">
        <f t="shared" si="139"/>
        <v>0</v>
      </c>
      <c r="Y844" s="178">
        <f t="shared" si="140"/>
        <v>0</v>
      </c>
      <c r="Z844" s="175">
        <f t="shared" si="132"/>
        <v>0</v>
      </c>
      <c r="AA844" s="179"/>
      <c r="AB844" s="467">
        <f t="shared" si="133"/>
        <v>0</v>
      </c>
      <c r="AC844" s="466">
        <f t="shared" si="134"/>
        <v>0</v>
      </c>
    </row>
    <row r="845" spans="2:29" ht="20.100000000000001" customHeight="1">
      <c r="B845" s="172"/>
      <c r="C845" s="172"/>
      <c r="D845" s="172"/>
      <c r="E845" s="181"/>
      <c r="F845" s="173"/>
      <c r="G845" s="174"/>
      <c r="H845" s="284"/>
      <c r="I845" s="221"/>
      <c r="J845" s="177">
        <f>IF(H845=0,0,IF(F845="MXN",1/HLOOKUP(YEAR(G845)+(MONTH(G845)/100),TC!$5:$37,DAY(G845)+2,FALSE),VLOOKUP(F845,Equivalencia!$5:$23,((MAX(Equivalencia!$3:$3)-YEAR(G845))*14)+MONTH(G845)+2,FALSE)))</f>
        <v>0</v>
      </c>
      <c r="K845" s="217">
        <f t="shared" si="135"/>
        <v>0</v>
      </c>
      <c r="L845" s="462">
        <f>IF(G845=0,0,VLOOKUP(YEAR(G845),INPC!$B$4:$O$29,MONTH(G845)+1))</f>
        <v>0</v>
      </c>
      <c r="M845" s="462">
        <f>IF(T845=0,0,VLOOKUP(YEAR(T845),INPC!$B$4:$O$29,MONTH(T845)+1))</f>
        <v>0</v>
      </c>
      <c r="N845" s="463">
        <f t="shared" si="131"/>
        <v>0</v>
      </c>
      <c r="O845" s="464">
        <f t="shared" si="136"/>
        <v>0</v>
      </c>
      <c r="P845" s="465">
        <f t="shared" si="137"/>
        <v>0</v>
      </c>
      <c r="Q845" s="606" t="str">
        <f t="shared" si="138"/>
        <v>NO</v>
      </c>
      <c r="R845" s="180"/>
      <c r="S845" s="173"/>
      <c r="T845" s="174"/>
      <c r="U845" s="173"/>
      <c r="V845" s="220"/>
      <c r="W845" s="177">
        <f>IF(S845=0,0,IF(U845="MXN",1/HLOOKUP(YEAR(T845)+(MONTH(T845)/100),TC!$5:$37,DAY(T845)+2,FALSE),VLOOKUP(U845,Equivalencia!$1:$23,((MAX(Equivalencia!$3:$3)-YEAR(T845))*14)+MONTH(T845)+2,FALSE)))</f>
        <v>0</v>
      </c>
      <c r="X845" s="178">
        <f t="shared" si="139"/>
        <v>0</v>
      </c>
      <c r="Y845" s="178">
        <f t="shared" si="140"/>
        <v>0</v>
      </c>
      <c r="Z845" s="175">
        <f t="shared" si="132"/>
        <v>0</v>
      </c>
      <c r="AA845" s="179"/>
      <c r="AB845" s="467">
        <f t="shared" si="133"/>
        <v>0</v>
      </c>
      <c r="AC845" s="466">
        <f t="shared" si="134"/>
        <v>0</v>
      </c>
    </row>
    <row r="846" spans="2:29" ht="20.100000000000001" customHeight="1">
      <c r="B846" s="172"/>
      <c r="C846" s="172"/>
      <c r="D846" s="172"/>
      <c r="E846" s="181"/>
      <c r="F846" s="173"/>
      <c r="G846" s="174"/>
      <c r="H846" s="284"/>
      <c r="I846" s="221"/>
      <c r="J846" s="177">
        <f>IF(H846=0,0,IF(F846="MXN",1/HLOOKUP(YEAR(G846)+(MONTH(G846)/100),TC!$5:$37,DAY(G846)+2,FALSE),VLOOKUP(F846,Equivalencia!$5:$23,((MAX(Equivalencia!$3:$3)-YEAR(G846))*14)+MONTH(G846)+2,FALSE)))</f>
        <v>0</v>
      </c>
      <c r="K846" s="217">
        <f t="shared" si="135"/>
        <v>0</v>
      </c>
      <c r="L846" s="462">
        <f>IF(G846=0,0,VLOOKUP(YEAR(G846),INPC!$B$4:$O$29,MONTH(G846)+1))</f>
        <v>0</v>
      </c>
      <c r="M846" s="462">
        <f>IF(T846=0,0,VLOOKUP(YEAR(T846),INPC!$B$4:$O$29,MONTH(T846)+1))</f>
        <v>0</v>
      </c>
      <c r="N846" s="463">
        <f t="shared" si="131"/>
        <v>0</v>
      </c>
      <c r="O846" s="464">
        <f t="shared" si="136"/>
        <v>0</v>
      </c>
      <c r="P846" s="465">
        <f t="shared" si="137"/>
        <v>0</v>
      </c>
      <c r="Q846" s="606" t="str">
        <f t="shared" si="138"/>
        <v>NO</v>
      </c>
      <c r="R846" s="180"/>
      <c r="S846" s="173"/>
      <c r="T846" s="174"/>
      <c r="U846" s="173"/>
      <c r="V846" s="220"/>
      <c r="W846" s="177">
        <f>IF(S846=0,0,IF(U846="MXN",1/HLOOKUP(YEAR(T846)+(MONTH(T846)/100),TC!$5:$37,DAY(T846)+2,FALSE),VLOOKUP(U846,Equivalencia!$1:$23,((MAX(Equivalencia!$3:$3)-YEAR(T846))*14)+MONTH(T846)+2,FALSE)))</f>
        <v>0</v>
      </c>
      <c r="X846" s="178">
        <f t="shared" si="139"/>
        <v>0</v>
      </c>
      <c r="Y846" s="178">
        <f t="shared" si="140"/>
        <v>0</v>
      </c>
      <c r="Z846" s="175">
        <f t="shared" si="132"/>
        <v>0</v>
      </c>
      <c r="AA846" s="179"/>
      <c r="AB846" s="467">
        <f t="shared" si="133"/>
        <v>0</v>
      </c>
      <c r="AC846" s="466">
        <f t="shared" si="134"/>
        <v>0</v>
      </c>
    </row>
    <row r="847" spans="2:29" ht="20.100000000000001" customHeight="1">
      <c r="B847" s="172"/>
      <c r="C847" s="172"/>
      <c r="D847" s="172"/>
      <c r="E847" s="181"/>
      <c r="F847" s="173"/>
      <c r="G847" s="174"/>
      <c r="H847" s="284"/>
      <c r="I847" s="221"/>
      <c r="J847" s="177">
        <f>IF(H847=0,0,IF(F847="MXN",1/HLOOKUP(YEAR(G847)+(MONTH(G847)/100),TC!$5:$37,DAY(G847)+2,FALSE),VLOOKUP(F847,Equivalencia!$5:$23,((MAX(Equivalencia!$3:$3)-YEAR(G847))*14)+MONTH(G847)+2,FALSE)))</f>
        <v>0</v>
      </c>
      <c r="K847" s="217">
        <f t="shared" si="135"/>
        <v>0</v>
      </c>
      <c r="L847" s="462">
        <f>IF(G847=0,0,VLOOKUP(YEAR(G847),INPC!$B$4:$O$29,MONTH(G847)+1))</f>
        <v>0</v>
      </c>
      <c r="M847" s="462">
        <f>IF(T847=0,0,VLOOKUP(YEAR(T847),INPC!$B$4:$O$29,MONTH(T847)+1))</f>
        <v>0</v>
      </c>
      <c r="N847" s="463">
        <f t="shared" si="131"/>
        <v>0</v>
      </c>
      <c r="O847" s="464">
        <f t="shared" si="136"/>
        <v>0</v>
      </c>
      <c r="P847" s="465">
        <f t="shared" si="137"/>
        <v>0</v>
      </c>
      <c r="Q847" s="606" t="str">
        <f t="shared" si="138"/>
        <v>NO</v>
      </c>
      <c r="R847" s="180"/>
      <c r="S847" s="173"/>
      <c r="T847" s="174"/>
      <c r="U847" s="173"/>
      <c r="V847" s="220"/>
      <c r="W847" s="177">
        <f>IF(S847=0,0,IF(U847="MXN",1/HLOOKUP(YEAR(T847)+(MONTH(T847)/100),TC!$5:$37,DAY(T847)+2,FALSE),VLOOKUP(U847,Equivalencia!$1:$23,((MAX(Equivalencia!$3:$3)-YEAR(T847))*14)+MONTH(T847)+2,FALSE)))</f>
        <v>0</v>
      </c>
      <c r="X847" s="178">
        <f t="shared" si="139"/>
        <v>0</v>
      </c>
      <c r="Y847" s="178">
        <f t="shared" si="140"/>
        <v>0</v>
      </c>
      <c r="Z847" s="175">
        <f t="shared" si="132"/>
        <v>0</v>
      </c>
      <c r="AA847" s="179"/>
      <c r="AB847" s="467">
        <f t="shared" si="133"/>
        <v>0</v>
      </c>
      <c r="AC847" s="466">
        <f t="shared" si="134"/>
        <v>0</v>
      </c>
    </row>
    <row r="848" spans="2:29" ht="20.100000000000001" customHeight="1">
      <c r="B848" s="172"/>
      <c r="C848" s="172"/>
      <c r="D848" s="172"/>
      <c r="E848" s="181"/>
      <c r="F848" s="173"/>
      <c r="G848" s="174"/>
      <c r="H848" s="284"/>
      <c r="I848" s="221"/>
      <c r="J848" s="177">
        <f>IF(H848=0,0,IF(F848="MXN",1/HLOOKUP(YEAR(G848)+(MONTH(G848)/100),TC!$5:$37,DAY(G848)+2,FALSE),VLOOKUP(F848,Equivalencia!$5:$23,((MAX(Equivalencia!$3:$3)-YEAR(G848))*14)+MONTH(G848)+2,FALSE)))</f>
        <v>0</v>
      </c>
      <c r="K848" s="217">
        <f t="shared" si="135"/>
        <v>0</v>
      </c>
      <c r="L848" s="462">
        <f>IF(G848=0,0,VLOOKUP(YEAR(G848),INPC!$B$4:$O$29,MONTH(G848)+1))</f>
        <v>0</v>
      </c>
      <c r="M848" s="462">
        <f>IF(T848=0,0,VLOOKUP(YEAR(T848),INPC!$B$4:$O$29,MONTH(T848)+1))</f>
        <v>0</v>
      </c>
      <c r="N848" s="463">
        <f t="shared" si="131"/>
        <v>0</v>
      </c>
      <c r="O848" s="464">
        <f t="shared" si="136"/>
        <v>0</v>
      </c>
      <c r="P848" s="465">
        <f t="shared" si="137"/>
        <v>0</v>
      </c>
      <c r="Q848" s="606" t="str">
        <f t="shared" si="138"/>
        <v>NO</v>
      </c>
      <c r="R848" s="180"/>
      <c r="S848" s="173"/>
      <c r="T848" s="174"/>
      <c r="U848" s="173"/>
      <c r="V848" s="220"/>
      <c r="W848" s="177">
        <f>IF(S848=0,0,IF(U848="MXN",1/HLOOKUP(YEAR(T848)+(MONTH(T848)/100),TC!$5:$37,DAY(T848)+2,FALSE),VLOOKUP(U848,Equivalencia!$1:$23,((MAX(Equivalencia!$3:$3)-YEAR(T848))*14)+MONTH(T848)+2,FALSE)))</f>
        <v>0</v>
      </c>
      <c r="X848" s="178">
        <f t="shared" si="139"/>
        <v>0</v>
      </c>
      <c r="Y848" s="178">
        <f t="shared" si="140"/>
        <v>0</v>
      </c>
      <c r="Z848" s="175">
        <f t="shared" si="132"/>
        <v>0</v>
      </c>
      <c r="AA848" s="179"/>
      <c r="AB848" s="467">
        <f t="shared" si="133"/>
        <v>0</v>
      </c>
      <c r="AC848" s="466">
        <f t="shared" si="134"/>
        <v>0</v>
      </c>
    </row>
    <row r="849" spans="2:29" ht="20.100000000000001" customHeight="1">
      <c r="B849" s="172"/>
      <c r="C849" s="172"/>
      <c r="D849" s="172"/>
      <c r="E849" s="181"/>
      <c r="F849" s="173"/>
      <c r="G849" s="174"/>
      <c r="H849" s="284"/>
      <c r="I849" s="221"/>
      <c r="J849" s="177">
        <f>IF(H849=0,0,IF(F849="MXN",1/HLOOKUP(YEAR(G849)+(MONTH(G849)/100),TC!$5:$37,DAY(G849)+2,FALSE),VLOOKUP(F849,Equivalencia!$5:$23,((MAX(Equivalencia!$3:$3)-YEAR(G849))*14)+MONTH(G849)+2,FALSE)))</f>
        <v>0</v>
      </c>
      <c r="K849" s="217">
        <f t="shared" si="135"/>
        <v>0</v>
      </c>
      <c r="L849" s="462">
        <f>IF(G849=0,0,VLOOKUP(YEAR(G849),INPC!$B$4:$O$29,MONTH(G849)+1))</f>
        <v>0</v>
      </c>
      <c r="M849" s="462">
        <f>IF(T849=0,0,VLOOKUP(YEAR(T849),INPC!$B$4:$O$29,MONTH(T849)+1))</f>
        <v>0</v>
      </c>
      <c r="N849" s="463">
        <f t="shared" si="131"/>
        <v>0</v>
      </c>
      <c r="O849" s="464">
        <f t="shared" si="136"/>
        <v>0</v>
      </c>
      <c r="P849" s="465">
        <f t="shared" si="137"/>
        <v>0</v>
      </c>
      <c r="Q849" s="606" t="str">
        <f t="shared" si="138"/>
        <v>NO</v>
      </c>
      <c r="R849" s="180"/>
      <c r="S849" s="173"/>
      <c r="T849" s="174"/>
      <c r="U849" s="173"/>
      <c r="V849" s="220"/>
      <c r="W849" s="177">
        <f>IF(S849=0,0,IF(U849="MXN",1/HLOOKUP(YEAR(T849)+(MONTH(T849)/100),TC!$5:$37,DAY(T849)+2,FALSE),VLOOKUP(U849,Equivalencia!$1:$23,((MAX(Equivalencia!$3:$3)-YEAR(T849))*14)+MONTH(T849)+2,FALSE)))</f>
        <v>0</v>
      </c>
      <c r="X849" s="178">
        <f t="shared" si="139"/>
        <v>0</v>
      </c>
      <c r="Y849" s="178">
        <f t="shared" si="140"/>
        <v>0</v>
      </c>
      <c r="Z849" s="175">
        <f t="shared" si="132"/>
        <v>0</v>
      </c>
      <c r="AA849" s="179"/>
      <c r="AB849" s="467">
        <f t="shared" si="133"/>
        <v>0</v>
      </c>
      <c r="AC849" s="466">
        <f t="shared" si="134"/>
        <v>0</v>
      </c>
    </row>
    <row r="850" spans="2:29" ht="20.100000000000001" customHeight="1">
      <c r="B850" s="172"/>
      <c r="C850" s="172"/>
      <c r="D850" s="172"/>
      <c r="E850" s="181"/>
      <c r="F850" s="173"/>
      <c r="G850" s="174"/>
      <c r="H850" s="284"/>
      <c r="I850" s="221"/>
      <c r="J850" s="177">
        <f>IF(H850=0,0,IF(F850="MXN",1/HLOOKUP(YEAR(G850)+(MONTH(G850)/100),TC!$5:$37,DAY(G850)+2,FALSE),VLOOKUP(F850,Equivalencia!$5:$23,((MAX(Equivalencia!$3:$3)-YEAR(G850))*14)+MONTH(G850)+2,FALSE)))</f>
        <v>0</v>
      </c>
      <c r="K850" s="217">
        <f t="shared" si="135"/>
        <v>0</v>
      </c>
      <c r="L850" s="462">
        <f>IF(G850=0,0,VLOOKUP(YEAR(G850),INPC!$B$4:$O$29,MONTH(G850)+1))</f>
        <v>0</v>
      </c>
      <c r="M850" s="462">
        <f>IF(T850=0,0,VLOOKUP(YEAR(T850),INPC!$B$4:$O$29,MONTH(T850)+1))</f>
        <v>0</v>
      </c>
      <c r="N850" s="463">
        <f t="shared" si="131"/>
        <v>0</v>
      </c>
      <c r="O850" s="464">
        <f t="shared" si="136"/>
        <v>0</v>
      </c>
      <c r="P850" s="465">
        <f t="shared" si="137"/>
        <v>0</v>
      </c>
      <c r="Q850" s="606" t="str">
        <f t="shared" si="138"/>
        <v>NO</v>
      </c>
      <c r="R850" s="180"/>
      <c r="S850" s="173"/>
      <c r="T850" s="174"/>
      <c r="U850" s="173"/>
      <c r="V850" s="220"/>
      <c r="W850" s="177">
        <f>IF(S850=0,0,IF(U850="MXN",1/HLOOKUP(YEAR(T850)+(MONTH(T850)/100),TC!$5:$37,DAY(T850)+2,FALSE),VLOOKUP(U850,Equivalencia!$1:$23,((MAX(Equivalencia!$3:$3)-YEAR(T850))*14)+MONTH(T850)+2,FALSE)))</f>
        <v>0</v>
      </c>
      <c r="X850" s="178">
        <f t="shared" si="139"/>
        <v>0</v>
      </c>
      <c r="Y850" s="178">
        <f t="shared" si="140"/>
        <v>0</v>
      </c>
      <c r="Z850" s="175">
        <f t="shared" si="132"/>
        <v>0</v>
      </c>
      <c r="AA850" s="179"/>
      <c r="AB850" s="467">
        <f t="shared" si="133"/>
        <v>0</v>
      </c>
      <c r="AC850" s="466">
        <f t="shared" si="134"/>
        <v>0</v>
      </c>
    </row>
    <row r="851" spans="2:29" ht="20.100000000000001" customHeight="1">
      <c r="B851" s="172"/>
      <c r="C851" s="172"/>
      <c r="D851" s="172"/>
      <c r="E851" s="181"/>
      <c r="F851" s="173"/>
      <c r="G851" s="174"/>
      <c r="H851" s="284"/>
      <c r="I851" s="221"/>
      <c r="J851" s="177">
        <f>IF(H851=0,0,IF(F851="MXN",1/HLOOKUP(YEAR(G851)+(MONTH(G851)/100),TC!$5:$37,DAY(G851)+2,FALSE),VLOOKUP(F851,Equivalencia!$5:$23,((MAX(Equivalencia!$3:$3)-YEAR(G851))*14)+MONTH(G851)+2,FALSE)))</f>
        <v>0</v>
      </c>
      <c r="K851" s="217">
        <f t="shared" si="135"/>
        <v>0</v>
      </c>
      <c r="L851" s="462">
        <f>IF(G851=0,0,VLOOKUP(YEAR(G851),INPC!$B$4:$O$29,MONTH(G851)+1))</f>
        <v>0</v>
      </c>
      <c r="M851" s="462">
        <f>IF(T851=0,0,VLOOKUP(YEAR(T851),INPC!$B$4:$O$29,MONTH(T851)+1))</f>
        <v>0</v>
      </c>
      <c r="N851" s="463">
        <f t="shared" si="131"/>
        <v>0</v>
      </c>
      <c r="O851" s="464">
        <f t="shared" si="136"/>
        <v>0</v>
      </c>
      <c r="P851" s="465">
        <f t="shared" si="137"/>
        <v>0</v>
      </c>
      <c r="Q851" s="606" t="str">
        <f t="shared" si="138"/>
        <v>NO</v>
      </c>
      <c r="R851" s="180"/>
      <c r="S851" s="173"/>
      <c r="T851" s="174"/>
      <c r="U851" s="173"/>
      <c r="V851" s="220"/>
      <c r="W851" s="177">
        <f>IF(S851=0,0,IF(U851="MXN",1/HLOOKUP(YEAR(T851)+(MONTH(T851)/100),TC!$5:$37,DAY(T851)+2,FALSE),VLOOKUP(U851,Equivalencia!$1:$23,((MAX(Equivalencia!$3:$3)-YEAR(T851))*14)+MONTH(T851)+2,FALSE)))</f>
        <v>0</v>
      </c>
      <c r="X851" s="178">
        <f t="shared" si="139"/>
        <v>0</v>
      </c>
      <c r="Y851" s="178">
        <f t="shared" si="140"/>
        <v>0</v>
      </c>
      <c r="Z851" s="175">
        <f t="shared" si="132"/>
        <v>0</v>
      </c>
      <c r="AA851" s="179"/>
      <c r="AB851" s="467">
        <f t="shared" si="133"/>
        <v>0</v>
      </c>
      <c r="AC851" s="466">
        <f t="shared" si="134"/>
        <v>0</v>
      </c>
    </row>
    <row r="852" spans="2:29" ht="20.100000000000001" customHeight="1">
      <c r="B852" s="172"/>
      <c r="C852" s="172"/>
      <c r="D852" s="172"/>
      <c r="E852" s="181"/>
      <c r="F852" s="173"/>
      <c r="G852" s="174"/>
      <c r="H852" s="284"/>
      <c r="I852" s="221"/>
      <c r="J852" s="177">
        <f>IF(H852=0,0,IF(F852="MXN",1/HLOOKUP(YEAR(G852)+(MONTH(G852)/100),TC!$5:$37,DAY(G852)+2,FALSE),VLOOKUP(F852,Equivalencia!$5:$23,((MAX(Equivalencia!$3:$3)-YEAR(G852))*14)+MONTH(G852)+2,FALSE)))</f>
        <v>0</v>
      </c>
      <c r="K852" s="217">
        <f t="shared" si="135"/>
        <v>0</v>
      </c>
      <c r="L852" s="462">
        <f>IF(G852=0,0,VLOOKUP(YEAR(G852),INPC!$B$4:$O$29,MONTH(G852)+1))</f>
        <v>0</v>
      </c>
      <c r="M852" s="462">
        <f>IF(T852=0,0,VLOOKUP(YEAR(T852),INPC!$B$4:$O$29,MONTH(T852)+1))</f>
        <v>0</v>
      </c>
      <c r="N852" s="463">
        <f t="shared" si="131"/>
        <v>0</v>
      </c>
      <c r="O852" s="464">
        <f t="shared" si="136"/>
        <v>0</v>
      </c>
      <c r="P852" s="465">
        <f t="shared" si="137"/>
        <v>0</v>
      </c>
      <c r="Q852" s="606" t="str">
        <f t="shared" si="138"/>
        <v>NO</v>
      </c>
      <c r="R852" s="180"/>
      <c r="S852" s="173"/>
      <c r="T852" s="174"/>
      <c r="U852" s="173"/>
      <c r="V852" s="220"/>
      <c r="W852" s="177">
        <f>IF(S852=0,0,IF(U852="MXN",1/HLOOKUP(YEAR(T852)+(MONTH(T852)/100),TC!$5:$37,DAY(T852)+2,FALSE),VLOOKUP(U852,Equivalencia!$1:$23,((MAX(Equivalencia!$3:$3)-YEAR(T852))*14)+MONTH(T852)+2,FALSE)))</f>
        <v>0</v>
      </c>
      <c r="X852" s="178">
        <f t="shared" si="139"/>
        <v>0</v>
      </c>
      <c r="Y852" s="178">
        <f t="shared" si="140"/>
        <v>0</v>
      </c>
      <c r="Z852" s="175">
        <f t="shared" si="132"/>
        <v>0</v>
      </c>
      <c r="AA852" s="179"/>
      <c r="AB852" s="467">
        <f t="shared" si="133"/>
        <v>0</v>
      </c>
      <c r="AC852" s="466">
        <f t="shared" si="134"/>
        <v>0</v>
      </c>
    </row>
    <row r="853" spans="2:29" ht="20.100000000000001" customHeight="1">
      <c r="B853" s="172"/>
      <c r="C853" s="172"/>
      <c r="D853" s="172"/>
      <c r="E853" s="181"/>
      <c r="F853" s="173"/>
      <c r="G853" s="174"/>
      <c r="H853" s="284"/>
      <c r="I853" s="221"/>
      <c r="J853" s="177">
        <f>IF(H853=0,0,IF(F853="MXN",1/HLOOKUP(YEAR(G853)+(MONTH(G853)/100),TC!$5:$37,DAY(G853)+2,FALSE),VLOOKUP(F853,Equivalencia!$5:$23,((MAX(Equivalencia!$3:$3)-YEAR(G853))*14)+MONTH(G853)+2,FALSE)))</f>
        <v>0</v>
      </c>
      <c r="K853" s="217">
        <f t="shared" si="135"/>
        <v>0</v>
      </c>
      <c r="L853" s="462">
        <f>IF(G853=0,0,VLOOKUP(YEAR(G853),INPC!$B$4:$O$29,MONTH(G853)+1))</f>
        <v>0</v>
      </c>
      <c r="M853" s="462">
        <f>IF(T853=0,0,VLOOKUP(YEAR(T853),INPC!$B$4:$O$29,MONTH(T853)+1))</f>
        <v>0</v>
      </c>
      <c r="N853" s="463">
        <f t="shared" si="131"/>
        <v>0</v>
      </c>
      <c r="O853" s="464">
        <f t="shared" si="136"/>
        <v>0</v>
      </c>
      <c r="P853" s="465">
        <f t="shared" si="137"/>
        <v>0</v>
      </c>
      <c r="Q853" s="606" t="str">
        <f t="shared" si="138"/>
        <v>NO</v>
      </c>
      <c r="R853" s="180"/>
      <c r="S853" s="173"/>
      <c r="T853" s="174"/>
      <c r="U853" s="173"/>
      <c r="V853" s="220"/>
      <c r="W853" s="177">
        <f>IF(S853=0,0,IF(U853="MXN",1/HLOOKUP(YEAR(T853)+(MONTH(T853)/100),TC!$5:$37,DAY(T853)+2,FALSE),VLOOKUP(U853,Equivalencia!$1:$23,((MAX(Equivalencia!$3:$3)-YEAR(T853))*14)+MONTH(T853)+2,FALSE)))</f>
        <v>0</v>
      </c>
      <c r="X853" s="178">
        <f t="shared" si="139"/>
        <v>0</v>
      </c>
      <c r="Y853" s="178">
        <f t="shared" si="140"/>
        <v>0</v>
      </c>
      <c r="Z853" s="175">
        <f t="shared" si="132"/>
        <v>0</v>
      </c>
      <c r="AA853" s="179"/>
      <c r="AB853" s="467">
        <f t="shared" si="133"/>
        <v>0</v>
      </c>
      <c r="AC853" s="466">
        <f t="shared" si="134"/>
        <v>0</v>
      </c>
    </row>
    <row r="854" spans="2:29" ht="20.100000000000001" customHeight="1">
      <c r="B854" s="172"/>
      <c r="C854" s="172"/>
      <c r="D854" s="172"/>
      <c r="E854" s="181"/>
      <c r="F854" s="173"/>
      <c r="G854" s="174"/>
      <c r="H854" s="284"/>
      <c r="I854" s="221"/>
      <c r="J854" s="177">
        <f>IF(H854=0,0,IF(F854="MXN",1/HLOOKUP(YEAR(G854)+(MONTH(G854)/100),TC!$5:$37,DAY(G854)+2,FALSE),VLOOKUP(F854,Equivalencia!$5:$23,((MAX(Equivalencia!$3:$3)-YEAR(G854))*14)+MONTH(G854)+2,FALSE)))</f>
        <v>0</v>
      </c>
      <c r="K854" s="217">
        <f t="shared" si="135"/>
        <v>0</v>
      </c>
      <c r="L854" s="462">
        <f>IF(G854=0,0,VLOOKUP(YEAR(G854),INPC!$B$4:$O$29,MONTH(G854)+1))</f>
        <v>0</v>
      </c>
      <c r="M854" s="462">
        <f>IF(T854=0,0,VLOOKUP(YEAR(T854),INPC!$B$4:$O$29,MONTH(T854)+1))</f>
        <v>0</v>
      </c>
      <c r="N854" s="463">
        <f t="shared" si="131"/>
        <v>0</v>
      </c>
      <c r="O854" s="464">
        <f t="shared" si="136"/>
        <v>0</v>
      </c>
      <c r="P854" s="465">
        <f t="shared" si="137"/>
        <v>0</v>
      </c>
      <c r="Q854" s="606" t="str">
        <f t="shared" si="138"/>
        <v>NO</v>
      </c>
      <c r="R854" s="180"/>
      <c r="S854" s="173"/>
      <c r="T854" s="174"/>
      <c r="U854" s="173"/>
      <c r="V854" s="220"/>
      <c r="W854" s="177">
        <f>IF(S854=0,0,IF(U854="MXN",1/HLOOKUP(YEAR(T854)+(MONTH(T854)/100),TC!$5:$37,DAY(T854)+2,FALSE),VLOOKUP(U854,Equivalencia!$1:$23,((MAX(Equivalencia!$3:$3)-YEAR(T854))*14)+MONTH(T854)+2,FALSE)))</f>
        <v>0</v>
      </c>
      <c r="X854" s="178">
        <f t="shared" si="139"/>
        <v>0</v>
      </c>
      <c r="Y854" s="178">
        <f t="shared" si="140"/>
        <v>0</v>
      </c>
      <c r="Z854" s="175">
        <f t="shared" si="132"/>
        <v>0</v>
      </c>
      <c r="AA854" s="179"/>
      <c r="AB854" s="467">
        <f t="shared" si="133"/>
        <v>0</v>
      </c>
      <c r="AC854" s="466">
        <f t="shared" si="134"/>
        <v>0</v>
      </c>
    </row>
    <row r="855" spans="2:29" ht="20.100000000000001" customHeight="1">
      <c r="B855" s="172"/>
      <c r="C855" s="172"/>
      <c r="D855" s="172"/>
      <c r="E855" s="181"/>
      <c r="F855" s="173"/>
      <c r="G855" s="174"/>
      <c r="H855" s="284"/>
      <c r="I855" s="221"/>
      <c r="J855" s="177">
        <f>IF(H855=0,0,IF(F855="MXN",1/HLOOKUP(YEAR(G855)+(MONTH(G855)/100),TC!$5:$37,DAY(G855)+2,FALSE),VLOOKUP(F855,Equivalencia!$5:$23,((MAX(Equivalencia!$3:$3)-YEAR(G855))*14)+MONTH(G855)+2,FALSE)))</f>
        <v>0</v>
      </c>
      <c r="K855" s="217">
        <f t="shared" si="135"/>
        <v>0</v>
      </c>
      <c r="L855" s="462">
        <f>IF(G855=0,0,VLOOKUP(YEAR(G855),INPC!$B$4:$O$29,MONTH(G855)+1))</f>
        <v>0</v>
      </c>
      <c r="M855" s="462">
        <f>IF(T855=0,0,VLOOKUP(YEAR(T855),INPC!$B$4:$O$29,MONTH(T855)+1))</f>
        <v>0</v>
      </c>
      <c r="N855" s="463">
        <f t="shared" si="131"/>
        <v>0</v>
      </c>
      <c r="O855" s="464">
        <f t="shared" si="136"/>
        <v>0</v>
      </c>
      <c r="P855" s="465">
        <f t="shared" si="137"/>
        <v>0</v>
      </c>
      <c r="Q855" s="606" t="str">
        <f t="shared" si="138"/>
        <v>NO</v>
      </c>
      <c r="R855" s="180"/>
      <c r="S855" s="173"/>
      <c r="T855" s="174"/>
      <c r="U855" s="173"/>
      <c r="V855" s="220"/>
      <c r="W855" s="177">
        <f>IF(S855=0,0,IF(U855="MXN",1/HLOOKUP(YEAR(T855)+(MONTH(T855)/100),TC!$5:$37,DAY(T855)+2,FALSE),VLOOKUP(U855,Equivalencia!$1:$23,((MAX(Equivalencia!$3:$3)-YEAR(T855))*14)+MONTH(T855)+2,FALSE)))</f>
        <v>0</v>
      </c>
      <c r="X855" s="178">
        <f t="shared" si="139"/>
        <v>0</v>
      </c>
      <c r="Y855" s="178">
        <f t="shared" si="140"/>
        <v>0</v>
      </c>
      <c r="Z855" s="175">
        <f t="shared" si="132"/>
        <v>0</v>
      </c>
      <c r="AA855" s="179"/>
      <c r="AB855" s="467">
        <f t="shared" si="133"/>
        <v>0</v>
      </c>
      <c r="AC855" s="466">
        <f t="shared" si="134"/>
        <v>0</v>
      </c>
    </row>
    <row r="856" spans="2:29" ht="20.100000000000001" customHeight="1">
      <c r="B856" s="172"/>
      <c r="C856" s="172"/>
      <c r="D856" s="172"/>
      <c r="E856" s="181"/>
      <c r="F856" s="173"/>
      <c r="G856" s="174"/>
      <c r="H856" s="284"/>
      <c r="I856" s="221"/>
      <c r="J856" s="177">
        <f>IF(H856=0,0,IF(F856="MXN",1/HLOOKUP(YEAR(G856)+(MONTH(G856)/100),TC!$5:$37,DAY(G856)+2,FALSE),VLOOKUP(F856,Equivalencia!$5:$23,((MAX(Equivalencia!$3:$3)-YEAR(G856))*14)+MONTH(G856)+2,FALSE)))</f>
        <v>0</v>
      </c>
      <c r="K856" s="217">
        <f t="shared" si="135"/>
        <v>0</v>
      </c>
      <c r="L856" s="462">
        <f>IF(G856=0,0,VLOOKUP(YEAR(G856),INPC!$B$4:$O$29,MONTH(G856)+1))</f>
        <v>0</v>
      </c>
      <c r="M856" s="462">
        <f>IF(T856=0,0,VLOOKUP(YEAR(T856),INPC!$B$4:$O$29,MONTH(T856)+1))</f>
        <v>0</v>
      </c>
      <c r="N856" s="463">
        <f t="shared" si="131"/>
        <v>0</v>
      </c>
      <c r="O856" s="464">
        <f t="shared" si="136"/>
        <v>0</v>
      </c>
      <c r="P856" s="465">
        <f t="shared" si="137"/>
        <v>0</v>
      </c>
      <c r="Q856" s="606" t="str">
        <f t="shared" si="138"/>
        <v>NO</v>
      </c>
      <c r="R856" s="180"/>
      <c r="S856" s="173"/>
      <c r="T856" s="174"/>
      <c r="U856" s="173"/>
      <c r="V856" s="220"/>
      <c r="W856" s="177">
        <f>IF(S856=0,0,IF(U856="MXN",1/HLOOKUP(YEAR(T856)+(MONTH(T856)/100),TC!$5:$37,DAY(T856)+2,FALSE),VLOOKUP(U856,Equivalencia!$1:$23,((MAX(Equivalencia!$3:$3)-YEAR(T856))*14)+MONTH(T856)+2,FALSE)))</f>
        <v>0</v>
      </c>
      <c r="X856" s="178">
        <f t="shared" si="139"/>
        <v>0</v>
      </c>
      <c r="Y856" s="178">
        <f t="shared" si="140"/>
        <v>0</v>
      </c>
      <c r="Z856" s="175">
        <f t="shared" si="132"/>
        <v>0</v>
      </c>
      <c r="AA856" s="179"/>
      <c r="AB856" s="467">
        <f t="shared" si="133"/>
        <v>0</v>
      </c>
      <c r="AC856" s="466">
        <f t="shared" si="134"/>
        <v>0</v>
      </c>
    </row>
    <row r="857" spans="2:29" ht="20.100000000000001" customHeight="1">
      <c r="B857" s="172"/>
      <c r="C857" s="172"/>
      <c r="D857" s="172"/>
      <c r="E857" s="181"/>
      <c r="F857" s="173"/>
      <c r="G857" s="174"/>
      <c r="H857" s="284"/>
      <c r="I857" s="221"/>
      <c r="J857" s="177">
        <f>IF(H857=0,0,IF(F857="MXN",1/HLOOKUP(YEAR(G857)+(MONTH(G857)/100),TC!$5:$37,DAY(G857)+2,FALSE),VLOOKUP(F857,Equivalencia!$5:$23,((MAX(Equivalencia!$3:$3)-YEAR(G857))*14)+MONTH(G857)+2,FALSE)))</f>
        <v>0</v>
      </c>
      <c r="K857" s="217">
        <f t="shared" si="135"/>
        <v>0</v>
      </c>
      <c r="L857" s="462">
        <f>IF(G857=0,0,VLOOKUP(YEAR(G857),INPC!$B$4:$O$29,MONTH(G857)+1))</f>
        <v>0</v>
      </c>
      <c r="M857" s="462">
        <f>IF(T857=0,0,VLOOKUP(YEAR(T857),INPC!$B$4:$O$29,MONTH(T857)+1))</f>
        <v>0</v>
      </c>
      <c r="N857" s="463">
        <f t="shared" si="131"/>
        <v>0</v>
      </c>
      <c r="O857" s="464">
        <f t="shared" si="136"/>
        <v>0</v>
      </c>
      <c r="P857" s="465">
        <f t="shared" si="137"/>
        <v>0</v>
      </c>
      <c r="Q857" s="606" t="str">
        <f t="shared" si="138"/>
        <v>NO</v>
      </c>
      <c r="R857" s="180"/>
      <c r="S857" s="173"/>
      <c r="T857" s="174"/>
      <c r="U857" s="173"/>
      <c r="V857" s="220"/>
      <c r="W857" s="177">
        <f>IF(S857=0,0,IF(U857="MXN",1/HLOOKUP(YEAR(T857)+(MONTH(T857)/100),TC!$5:$37,DAY(T857)+2,FALSE),VLOOKUP(U857,Equivalencia!$1:$23,((MAX(Equivalencia!$3:$3)-YEAR(T857))*14)+MONTH(T857)+2,FALSE)))</f>
        <v>0</v>
      </c>
      <c r="X857" s="178">
        <f t="shared" si="139"/>
        <v>0</v>
      </c>
      <c r="Y857" s="178">
        <f t="shared" si="140"/>
        <v>0</v>
      </c>
      <c r="Z857" s="175">
        <f t="shared" si="132"/>
        <v>0</v>
      </c>
      <c r="AA857" s="179"/>
      <c r="AB857" s="467">
        <f t="shared" si="133"/>
        <v>0</v>
      </c>
      <c r="AC857" s="466">
        <f t="shared" si="134"/>
        <v>0</v>
      </c>
    </row>
    <row r="858" spans="2:29" ht="20.100000000000001" customHeight="1">
      <c r="B858" s="172"/>
      <c r="C858" s="172"/>
      <c r="D858" s="172"/>
      <c r="E858" s="181"/>
      <c r="F858" s="173"/>
      <c r="G858" s="174"/>
      <c r="H858" s="284"/>
      <c r="I858" s="221"/>
      <c r="J858" s="177">
        <f>IF(H858=0,0,IF(F858="MXN",1/HLOOKUP(YEAR(G858)+(MONTH(G858)/100),TC!$5:$37,DAY(G858)+2,FALSE),VLOOKUP(F858,Equivalencia!$5:$23,((MAX(Equivalencia!$3:$3)-YEAR(G858))*14)+MONTH(G858)+2,FALSE)))</f>
        <v>0</v>
      </c>
      <c r="K858" s="217">
        <f t="shared" si="135"/>
        <v>0</v>
      </c>
      <c r="L858" s="462">
        <f>IF(G858=0,0,VLOOKUP(YEAR(G858),INPC!$B$4:$O$29,MONTH(G858)+1))</f>
        <v>0</v>
      </c>
      <c r="M858" s="462">
        <f>IF(T858=0,0,VLOOKUP(YEAR(T858),INPC!$B$4:$O$29,MONTH(T858)+1))</f>
        <v>0</v>
      </c>
      <c r="N858" s="463">
        <f t="shared" si="131"/>
        <v>0</v>
      </c>
      <c r="O858" s="464">
        <f t="shared" si="136"/>
        <v>0</v>
      </c>
      <c r="P858" s="465">
        <f t="shared" si="137"/>
        <v>0</v>
      </c>
      <c r="Q858" s="606" t="str">
        <f t="shared" si="138"/>
        <v>NO</v>
      </c>
      <c r="R858" s="180"/>
      <c r="S858" s="173"/>
      <c r="T858" s="174"/>
      <c r="U858" s="173"/>
      <c r="V858" s="220"/>
      <c r="W858" s="177">
        <f>IF(S858=0,0,IF(U858="MXN",1/HLOOKUP(YEAR(T858)+(MONTH(T858)/100),TC!$5:$37,DAY(T858)+2,FALSE),VLOOKUP(U858,Equivalencia!$1:$23,((MAX(Equivalencia!$3:$3)-YEAR(T858))*14)+MONTH(T858)+2,FALSE)))</f>
        <v>0</v>
      </c>
      <c r="X858" s="178">
        <f t="shared" si="139"/>
        <v>0</v>
      </c>
      <c r="Y858" s="178">
        <f t="shared" si="140"/>
        <v>0</v>
      </c>
      <c r="Z858" s="175">
        <f t="shared" si="132"/>
        <v>0</v>
      </c>
      <c r="AA858" s="179"/>
      <c r="AB858" s="467">
        <f t="shared" si="133"/>
        <v>0</v>
      </c>
      <c r="AC858" s="466">
        <f t="shared" si="134"/>
        <v>0</v>
      </c>
    </row>
    <row r="859" spans="2:29" ht="20.100000000000001" customHeight="1">
      <c r="B859" s="172"/>
      <c r="C859" s="172"/>
      <c r="D859" s="172"/>
      <c r="E859" s="181"/>
      <c r="F859" s="173"/>
      <c r="G859" s="174"/>
      <c r="H859" s="284"/>
      <c r="I859" s="221"/>
      <c r="J859" s="177">
        <f>IF(H859=0,0,IF(F859="MXN",1/HLOOKUP(YEAR(G859)+(MONTH(G859)/100),TC!$5:$37,DAY(G859)+2,FALSE),VLOOKUP(F859,Equivalencia!$5:$23,((MAX(Equivalencia!$3:$3)-YEAR(G859))*14)+MONTH(G859)+2,FALSE)))</f>
        <v>0</v>
      </c>
      <c r="K859" s="217">
        <f t="shared" si="135"/>
        <v>0</v>
      </c>
      <c r="L859" s="462">
        <f>IF(G859=0,0,VLOOKUP(YEAR(G859),INPC!$B$4:$O$29,MONTH(G859)+1))</f>
        <v>0</v>
      </c>
      <c r="M859" s="462">
        <f>IF(T859=0,0,VLOOKUP(YEAR(T859),INPC!$B$4:$O$29,MONTH(T859)+1))</f>
        <v>0</v>
      </c>
      <c r="N859" s="463">
        <f t="shared" si="131"/>
        <v>0</v>
      </c>
      <c r="O859" s="464">
        <f t="shared" si="136"/>
        <v>0</v>
      </c>
      <c r="P859" s="465">
        <f t="shared" si="137"/>
        <v>0</v>
      </c>
      <c r="Q859" s="606" t="str">
        <f t="shared" si="138"/>
        <v>NO</v>
      </c>
      <c r="R859" s="180"/>
      <c r="S859" s="173"/>
      <c r="T859" s="174"/>
      <c r="U859" s="173"/>
      <c r="V859" s="220"/>
      <c r="W859" s="177">
        <f>IF(S859=0,0,IF(U859="MXN",1/HLOOKUP(YEAR(T859)+(MONTH(T859)/100),TC!$5:$37,DAY(T859)+2,FALSE),VLOOKUP(U859,Equivalencia!$1:$23,((MAX(Equivalencia!$3:$3)-YEAR(T859))*14)+MONTH(T859)+2,FALSE)))</f>
        <v>0</v>
      </c>
      <c r="X859" s="178">
        <f t="shared" si="139"/>
        <v>0</v>
      </c>
      <c r="Y859" s="178">
        <f t="shared" si="140"/>
        <v>0</v>
      </c>
      <c r="Z859" s="175">
        <f t="shared" si="132"/>
        <v>0</v>
      </c>
      <c r="AA859" s="179"/>
      <c r="AB859" s="467">
        <f t="shared" si="133"/>
        <v>0</v>
      </c>
      <c r="AC859" s="466">
        <f t="shared" si="134"/>
        <v>0</v>
      </c>
    </row>
    <row r="860" spans="2:29" ht="20.100000000000001" customHeight="1">
      <c r="B860" s="172"/>
      <c r="C860" s="172"/>
      <c r="D860" s="172"/>
      <c r="E860" s="181"/>
      <c r="F860" s="173"/>
      <c r="G860" s="174"/>
      <c r="H860" s="284"/>
      <c r="I860" s="221"/>
      <c r="J860" s="177">
        <f>IF(H860=0,0,IF(F860="MXN",1/HLOOKUP(YEAR(G860)+(MONTH(G860)/100),TC!$5:$37,DAY(G860)+2,FALSE),VLOOKUP(F860,Equivalencia!$5:$23,((MAX(Equivalencia!$3:$3)-YEAR(G860))*14)+MONTH(G860)+2,FALSE)))</f>
        <v>0</v>
      </c>
      <c r="K860" s="217">
        <f t="shared" si="135"/>
        <v>0</v>
      </c>
      <c r="L860" s="462">
        <f>IF(G860=0,0,VLOOKUP(YEAR(G860),INPC!$B$4:$O$29,MONTH(G860)+1))</f>
        <v>0</v>
      </c>
      <c r="M860" s="462">
        <f>IF(T860=0,0,VLOOKUP(YEAR(T860),INPC!$B$4:$O$29,MONTH(T860)+1))</f>
        <v>0</v>
      </c>
      <c r="N860" s="463">
        <f t="shared" si="131"/>
        <v>0</v>
      </c>
      <c r="O860" s="464">
        <f t="shared" si="136"/>
        <v>0</v>
      </c>
      <c r="P860" s="465">
        <f t="shared" si="137"/>
        <v>0</v>
      </c>
      <c r="Q860" s="606" t="str">
        <f t="shared" si="138"/>
        <v>NO</v>
      </c>
      <c r="R860" s="180"/>
      <c r="S860" s="173"/>
      <c r="T860" s="174"/>
      <c r="U860" s="173"/>
      <c r="V860" s="220"/>
      <c r="W860" s="177">
        <f>IF(S860=0,0,IF(U860="MXN",1/HLOOKUP(YEAR(T860)+(MONTH(T860)/100),TC!$5:$37,DAY(T860)+2,FALSE),VLOOKUP(U860,Equivalencia!$1:$23,((MAX(Equivalencia!$3:$3)-YEAR(T860))*14)+MONTH(T860)+2,FALSE)))</f>
        <v>0</v>
      </c>
      <c r="X860" s="178">
        <f t="shared" si="139"/>
        <v>0</v>
      </c>
      <c r="Y860" s="178">
        <f t="shared" si="140"/>
        <v>0</v>
      </c>
      <c r="Z860" s="175">
        <f t="shared" si="132"/>
        <v>0</v>
      </c>
      <c r="AA860" s="179"/>
      <c r="AB860" s="467">
        <f t="shared" si="133"/>
        <v>0</v>
      </c>
      <c r="AC860" s="466">
        <f t="shared" si="134"/>
        <v>0</v>
      </c>
    </row>
    <row r="861" spans="2:29" ht="20.100000000000001" customHeight="1">
      <c r="B861" s="172"/>
      <c r="C861" s="172"/>
      <c r="D861" s="172"/>
      <c r="E861" s="181"/>
      <c r="F861" s="173"/>
      <c r="G861" s="174"/>
      <c r="H861" s="284"/>
      <c r="I861" s="221"/>
      <c r="J861" s="177">
        <f>IF(H861=0,0,IF(F861="MXN",1/HLOOKUP(YEAR(G861)+(MONTH(G861)/100),TC!$5:$37,DAY(G861)+2,FALSE),VLOOKUP(F861,Equivalencia!$5:$23,((MAX(Equivalencia!$3:$3)-YEAR(G861))*14)+MONTH(G861)+2,FALSE)))</f>
        <v>0</v>
      </c>
      <c r="K861" s="217">
        <f t="shared" si="135"/>
        <v>0</v>
      </c>
      <c r="L861" s="462">
        <f>IF(G861=0,0,VLOOKUP(YEAR(G861),INPC!$B$4:$O$29,MONTH(G861)+1))</f>
        <v>0</v>
      </c>
      <c r="M861" s="462">
        <f>IF(T861=0,0,VLOOKUP(YEAR(T861),INPC!$B$4:$O$29,MONTH(T861)+1))</f>
        <v>0</v>
      </c>
      <c r="N861" s="463">
        <f t="shared" si="131"/>
        <v>0</v>
      </c>
      <c r="O861" s="464">
        <f t="shared" si="136"/>
        <v>0</v>
      </c>
      <c r="P861" s="465">
        <f t="shared" si="137"/>
        <v>0</v>
      </c>
      <c r="Q861" s="606" t="str">
        <f t="shared" si="138"/>
        <v>NO</v>
      </c>
      <c r="R861" s="180"/>
      <c r="S861" s="173"/>
      <c r="T861" s="174"/>
      <c r="U861" s="173"/>
      <c r="V861" s="220"/>
      <c r="W861" s="177">
        <f>IF(S861=0,0,IF(U861="MXN",1/HLOOKUP(YEAR(T861)+(MONTH(T861)/100),TC!$5:$37,DAY(T861)+2,FALSE),VLOOKUP(U861,Equivalencia!$1:$23,((MAX(Equivalencia!$3:$3)-YEAR(T861))*14)+MONTH(T861)+2,FALSE)))</f>
        <v>0</v>
      </c>
      <c r="X861" s="178">
        <f t="shared" si="139"/>
        <v>0</v>
      </c>
      <c r="Y861" s="178">
        <f t="shared" si="140"/>
        <v>0</v>
      </c>
      <c r="Z861" s="175">
        <f t="shared" si="132"/>
        <v>0</v>
      </c>
      <c r="AA861" s="179"/>
      <c r="AB861" s="467">
        <f t="shared" si="133"/>
        <v>0</v>
      </c>
      <c r="AC861" s="466">
        <f t="shared" si="134"/>
        <v>0</v>
      </c>
    </row>
    <row r="862" spans="2:29" ht="20.100000000000001" customHeight="1">
      <c r="B862" s="172"/>
      <c r="C862" s="172"/>
      <c r="D862" s="172"/>
      <c r="E862" s="181"/>
      <c r="F862" s="173"/>
      <c r="G862" s="174"/>
      <c r="H862" s="284"/>
      <c r="I862" s="221"/>
      <c r="J862" s="177">
        <f>IF(H862=0,0,IF(F862="MXN",1/HLOOKUP(YEAR(G862)+(MONTH(G862)/100),TC!$5:$37,DAY(G862)+2,FALSE),VLOOKUP(F862,Equivalencia!$5:$23,((MAX(Equivalencia!$3:$3)-YEAR(G862))*14)+MONTH(G862)+2,FALSE)))</f>
        <v>0</v>
      </c>
      <c r="K862" s="217">
        <f t="shared" si="135"/>
        <v>0</v>
      </c>
      <c r="L862" s="462">
        <f>IF(G862=0,0,VLOOKUP(YEAR(G862),INPC!$B$4:$O$29,MONTH(G862)+1))</f>
        <v>0</v>
      </c>
      <c r="M862" s="462">
        <f>IF(T862=0,0,VLOOKUP(YEAR(T862),INPC!$B$4:$O$29,MONTH(T862)+1))</f>
        <v>0</v>
      </c>
      <c r="N862" s="463">
        <f t="shared" si="131"/>
        <v>0</v>
      </c>
      <c r="O862" s="464">
        <f t="shared" si="136"/>
        <v>0</v>
      </c>
      <c r="P862" s="465">
        <f t="shared" si="137"/>
        <v>0</v>
      </c>
      <c r="Q862" s="606" t="str">
        <f t="shared" si="138"/>
        <v>NO</v>
      </c>
      <c r="R862" s="180"/>
      <c r="S862" s="173"/>
      <c r="T862" s="174"/>
      <c r="U862" s="173"/>
      <c r="V862" s="220"/>
      <c r="W862" s="177">
        <f>IF(S862=0,0,IF(U862="MXN",1/HLOOKUP(YEAR(T862)+(MONTH(T862)/100),TC!$5:$37,DAY(T862)+2,FALSE),VLOOKUP(U862,Equivalencia!$1:$23,((MAX(Equivalencia!$3:$3)-YEAR(T862))*14)+MONTH(T862)+2,FALSE)))</f>
        <v>0</v>
      </c>
      <c r="X862" s="178">
        <f t="shared" si="139"/>
        <v>0</v>
      </c>
      <c r="Y862" s="178">
        <f t="shared" si="140"/>
        <v>0</v>
      </c>
      <c r="Z862" s="175">
        <f t="shared" si="132"/>
        <v>0</v>
      </c>
      <c r="AA862" s="179"/>
      <c r="AB862" s="467">
        <f t="shared" si="133"/>
        <v>0</v>
      </c>
      <c r="AC862" s="466">
        <f t="shared" si="134"/>
        <v>0</v>
      </c>
    </row>
    <row r="863" spans="2:29" ht="20.100000000000001" customHeight="1">
      <c r="B863" s="172"/>
      <c r="C863" s="172"/>
      <c r="D863" s="172"/>
      <c r="E863" s="181"/>
      <c r="F863" s="173"/>
      <c r="G863" s="174"/>
      <c r="H863" s="284"/>
      <c r="I863" s="221"/>
      <c r="J863" s="177">
        <f>IF(H863=0,0,IF(F863="MXN",1/HLOOKUP(YEAR(G863)+(MONTH(G863)/100),TC!$5:$37,DAY(G863)+2,FALSE),VLOOKUP(F863,Equivalencia!$5:$23,((MAX(Equivalencia!$3:$3)-YEAR(G863))*14)+MONTH(G863)+2,FALSE)))</f>
        <v>0</v>
      </c>
      <c r="K863" s="217">
        <f t="shared" si="135"/>
        <v>0</v>
      </c>
      <c r="L863" s="462">
        <f>IF(G863=0,0,VLOOKUP(YEAR(G863),INPC!$B$4:$O$29,MONTH(G863)+1))</f>
        <v>0</v>
      </c>
      <c r="M863" s="462">
        <f>IF(T863=0,0,VLOOKUP(YEAR(T863),INPC!$B$4:$O$29,MONTH(T863)+1))</f>
        <v>0</v>
      </c>
      <c r="N863" s="463">
        <f t="shared" si="131"/>
        <v>0</v>
      </c>
      <c r="O863" s="464">
        <f t="shared" si="136"/>
        <v>0</v>
      </c>
      <c r="P863" s="465">
        <f t="shared" si="137"/>
        <v>0</v>
      </c>
      <c r="Q863" s="606" t="str">
        <f t="shared" si="138"/>
        <v>NO</v>
      </c>
      <c r="R863" s="180"/>
      <c r="S863" s="173"/>
      <c r="T863" s="174"/>
      <c r="U863" s="173"/>
      <c r="V863" s="220"/>
      <c r="W863" s="177">
        <f>IF(S863=0,0,IF(U863="MXN",1/HLOOKUP(YEAR(T863)+(MONTH(T863)/100),TC!$5:$37,DAY(T863)+2,FALSE),VLOOKUP(U863,Equivalencia!$1:$23,((MAX(Equivalencia!$3:$3)-YEAR(T863))*14)+MONTH(T863)+2,FALSE)))</f>
        <v>0</v>
      </c>
      <c r="X863" s="178">
        <f t="shared" si="139"/>
        <v>0</v>
      </c>
      <c r="Y863" s="178">
        <f t="shared" si="140"/>
        <v>0</v>
      </c>
      <c r="Z863" s="175">
        <f t="shared" si="132"/>
        <v>0</v>
      </c>
      <c r="AA863" s="179"/>
      <c r="AB863" s="467">
        <f t="shared" si="133"/>
        <v>0</v>
      </c>
      <c r="AC863" s="466">
        <f t="shared" si="134"/>
        <v>0</v>
      </c>
    </row>
    <row r="864" spans="2:29" ht="20.100000000000001" customHeight="1">
      <c r="B864" s="172"/>
      <c r="C864" s="172"/>
      <c r="D864" s="172"/>
      <c r="E864" s="181"/>
      <c r="F864" s="173"/>
      <c r="G864" s="174"/>
      <c r="H864" s="284"/>
      <c r="I864" s="221"/>
      <c r="J864" s="177">
        <f>IF(H864=0,0,IF(F864="MXN",1/HLOOKUP(YEAR(G864)+(MONTH(G864)/100),TC!$5:$37,DAY(G864)+2,FALSE),VLOOKUP(F864,Equivalencia!$5:$23,((MAX(Equivalencia!$3:$3)-YEAR(G864))*14)+MONTH(G864)+2,FALSE)))</f>
        <v>0</v>
      </c>
      <c r="K864" s="217">
        <f t="shared" si="135"/>
        <v>0</v>
      </c>
      <c r="L864" s="462">
        <f>IF(G864=0,0,VLOOKUP(YEAR(G864),INPC!$B$4:$O$29,MONTH(G864)+1))</f>
        <v>0</v>
      </c>
      <c r="M864" s="462">
        <f>IF(T864=0,0,VLOOKUP(YEAR(T864),INPC!$B$4:$O$29,MONTH(T864)+1))</f>
        <v>0</v>
      </c>
      <c r="N864" s="463">
        <f t="shared" si="131"/>
        <v>0</v>
      </c>
      <c r="O864" s="464">
        <f t="shared" si="136"/>
        <v>0</v>
      </c>
      <c r="P864" s="465">
        <f t="shared" si="137"/>
        <v>0</v>
      </c>
      <c r="Q864" s="606" t="str">
        <f t="shared" si="138"/>
        <v>NO</v>
      </c>
      <c r="R864" s="180"/>
      <c r="S864" s="173"/>
      <c r="T864" s="174"/>
      <c r="U864" s="173"/>
      <c r="V864" s="220"/>
      <c r="W864" s="177">
        <f>IF(S864=0,0,IF(U864="MXN",1/HLOOKUP(YEAR(T864)+(MONTH(T864)/100),TC!$5:$37,DAY(T864)+2,FALSE),VLOOKUP(U864,Equivalencia!$1:$23,((MAX(Equivalencia!$3:$3)-YEAR(T864))*14)+MONTH(T864)+2,FALSE)))</f>
        <v>0</v>
      </c>
      <c r="X864" s="178">
        <f t="shared" si="139"/>
        <v>0</v>
      </c>
      <c r="Y864" s="178">
        <f t="shared" si="140"/>
        <v>0</v>
      </c>
      <c r="Z864" s="175">
        <f t="shared" si="132"/>
        <v>0</v>
      </c>
      <c r="AA864" s="179"/>
      <c r="AB864" s="467">
        <f t="shared" si="133"/>
        <v>0</v>
      </c>
      <c r="AC864" s="466">
        <f t="shared" si="134"/>
        <v>0</v>
      </c>
    </row>
    <row r="865" spans="2:29" ht="20.100000000000001" customHeight="1">
      <c r="B865" s="172"/>
      <c r="C865" s="172"/>
      <c r="D865" s="172"/>
      <c r="E865" s="181"/>
      <c r="F865" s="173"/>
      <c r="G865" s="174"/>
      <c r="H865" s="284"/>
      <c r="I865" s="221"/>
      <c r="J865" s="177">
        <f>IF(H865=0,0,IF(F865="MXN",1/HLOOKUP(YEAR(G865)+(MONTH(G865)/100),TC!$5:$37,DAY(G865)+2,FALSE),VLOOKUP(F865,Equivalencia!$5:$23,((MAX(Equivalencia!$3:$3)-YEAR(G865))*14)+MONTH(G865)+2,FALSE)))</f>
        <v>0</v>
      </c>
      <c r="K865" s="217">
        <f t="shared" si="135"/>
        <v>0</v>
      </c>
      <c r="L865" s="462">
        <f>IF(G865=0,0,VLOOKUP(YEAR(G865),INPC!$B$4:$O$29,MONTH(G865)+1))</f>
        <v>0</v>
      </c>
      <c r="M865" s="462">
        <f>IF(T865=0,0,VLOOKUP(YEAR(T865),INPC!$B$4:$O$29,MONTH(T865)+1))</f>
        <v>0</v>
      </c>
      <c r="N865" s="463">
        <f t="shared" si="131"/>
        <v>0</v>
      </c>
      <c r="O865" s="464">
        <f t="shared" si="136"/>
        <v>0</v>
      </c>
      <c r="P865" s="465">
        <f t="shared" si="137"/>
        <v>0</v>
      </c>
      <c r="Q865" s="606" t="str">
        <f t="shared" si="138"/>
        <v>NO</v>
      </c>
      <c r="R865" s="180"/>
      <c r="S865" s="173"/>
      <c r="T865" s="174"/>
      <c r="U865" s="173"/>
      <c r="V865" s="220"/>
      <c r="W865" s="177">
        <f>IF(S865=0,0,IF(U865="MXN",1/HLOOKUP(YEAR(T865)+(MONTH(T865)/100),TC!$5:$37,DAY(T865)+2,FALSE),VLOOKUP(U865,Equivalencia!$1:$23,((MAX(Equivalencia!$3:$3)-YEAR(T865))*14)+MONTH(T865)+2,FALSE)))</f>
        <v>0</v>
      </c>
      <c r="X865" s="178">
        <f t="shared" si="139"/>
        <v>0</v>
      </c>
      <c r="Y865" s="178">
        <f t="shared" si="140"/>
        <v>0</v>
      </c>
      <c r="Z865" s="175">
        <f t="shared" si="132"/>
        <v>0</v>
      </c>
      <c r="AA865" s="179"/>
      <c r="AB865" s="467">
        <f t="shared" si="133"/>
        <v>0</v>
      </c>
      <c r="AC865" s="466">
        <f t="shared" si="134"/>
        <v>0</v>
      </c>
    </row>
    <row r="866" spans="2:29" ht="20.100000000000001" customHeight="1">
      <c r="B866" s="172"/>
      <c r="C866" s="172"/>
      <c r="D866" s="172"/>
      <c r="E866" s="181"/>
      <c r="F866" s="173"/>
      <c r="G866" s="174"/>
      <c r="H866" s="284"/>
      <c r="I866" s="221"/>
      <c r="J866" s="177">
        <f>IF(H866=0,0,IF(F866="MXN",1/HLOOKUP(YEAR(G866)+(MONTH(G866)/100),TC!$5:$37,DAY(G866)+2,FALSE),VLOOKUP(F866,Equivalencia!$5:$23,((MAX(Equivalencia!$3:$3)-YEAR(G866))*14)+MONTH(G866)+2,FALSE)))</f>
        <v>0</v>
      </c>
      <c r="K866" s="217">
        <f t="shared" si="135"/>
        <v>0</v>
      </c>
      <c r="L866" s="462">
        <f>IF(G866=0,0,VLOOKUP(YEAR(G866),INPC!$B$4:$O$29,MONTH(G866)+1))</f>
        <v>0</v>
      </c>
      <c r="M866" s="462">
        <f>IF(T866=0,0,VLOOKUP(YEAR(T866),INPC!$B$4:$O$29,MONTH(T866)+1))</f>
        <v>0</v>
      </c>
      <c r="N866" s="463">
        <f t="shared" si="131"/>
        <v>0</v>
      </c>
      <c r="O866" s="464">
        <f t="shared" si="136"/>
        <v>0</v>
      </c>
      <c r="P866" s="465">
        <f t="shared" si="137"/>
        <v>0</v>
      </c>
      <c r="Q866" s="606" t="str">
        <f t="shared" si="138"/>
        <v>NO</v>
      </c>
      <c r="R866" s="180"/>
      <c r="S866" s="173"/>
      <c r="T866" s="174"/>
      <c r="U866" s="173"/>
      <c r="V866" s="220"/>
      <c r="W866" s="177">
        <f>IF(S866=0,0,IF(U866="MXN",1/HLOOKUP(YEAR(T866)+(MONTH(T866)/100),TC!$5:$37,DAY(T866)+2,FALSE),VLOOKUP(U866,Equivalencia!$1:$23,((MAX(Equivalencia!$3:$3)-YEAR(T866))*14)+MONTH(T866)+2,FALSE)))</f>
        <v>0</v>
      </c>
      <c r="X866" s="178">
        <f t="shared" si="139"/>
        <v>0</v>
      </c>
      <c r="Y866" s="178">
        <f t="shared" si="140"/>
        <v>0</v>
      </c>
      <c r="Z866" s="175">
        <f t="shared" si="132"/>
        <v>0</v>
      </c>
      <c r="AA866" s="179"/>
      <c r="AB866" s="467">
        <f t="shared" si="133"/>
        <v>0</v>
      </c>
      <c r="AC866" s="466">
        <f t="shared" si="134"/>
        <v>0</v>
      </c>
    </row>
    <row r="867" spans="2:29" ht="20.100000000000001" customHeight="1">
      <c r="B867" s="172"/>
      <c r="C867" s="172"/>
      <c r="D867" s="172"/>
      <c r="E867" s="181"/>
      <c r="F867" s="173"/>
      <c r="G867" s="174"/>
      <c r="H867" s="284"/>
      <c r="I867" s="221"/>
      <c r="J867" s="177">
        <f>IF(H867=0,0,IF(F867="MXN",1/HLOOKUP(YEAR(G867)+(MONTH(G867)/100),TC!$5:$37,DAY(G867)+2,FALSE),VLOOKUP(F867,Equivalencia!$5:$23,((MAX(Equivalencia!$3:$3)-YEAR(G867))*14)+MONTH(G867)+2,FALSE)))</f>
        <v>0</v>
      </c>
      <c r="K867" s="217">
        <f t="shared" si="135"/>
        <v>0</v>
      </c>
      <c r="L867" s="462">
        <f>IF(G867=0,0,VLOOKUP(YEAR(G867),INPC!$B$4:$O$29,MONTH(G867)+1))</f>
        <v>0</v>
      </c>
      <c r="M867" s="462">
        <f>IF(T867=0,0,VLOOKUP(YEAR(T867),INPC!$B$4:$O$29,MONTH(T867)+1))</f>
        <v>0</v>
      </c>
      <c r="N867" s="463">
        <f t="shared" si="131"/>
        <v>0</v>
      </c>
      <c r="O867" s="464">
        <f t="shared" si="136"/>
        <v>0</v>
      </c>
      <c r="P867" s="465">
        <f t="shared" si="137"/>
        <v>0</v>
      </c>
      <c r="Q867" s="606" t="str">
        <f t="shared" si="138"/>
        <v>NO</v>
      </c>
      <c r="R867" s="180"/>
      <c r="S867" s="173"/>
      <c r="T867" s="174"/>
      <c r="U867" s="173"/>
      <c r="V867" s="220"/>
      <c r="W867" s="177">
        <f>IF(S867=0,0,IF(U867="MXN",1/HLOOKUP(YEAR(T867)+(MONTH(T867)/100),TC!$5:$37,DAY(T867)+2,FALSE),VLOOKUP(U867,Equivalencia!$1:$23,((MAX(Equivalencia!$3:$3)-YEAR(T867))*14)+MONTH(T867)+2,FALSE)))</f>
        <v>0</v>
      </c>
      <c r="X867" s="178">
        <f t="shared" si="139"/>
        <v>0</v>
      </c>
      <c r="Y867" s="178">
        <f t="shared" si="140"/>
        <v>0</v>
      </c>
      <c r="Z867" s="175">
        <f t="shared" si="132"/>
        <v>0</v>
      </c>
      <c r="AA867" s="179"/>
      <c r="AB867" s="467">
        <f t="shared" si="133"/>
        <v>0</v>
      </c>
      <c r="AC867" s="466">
        <f t="shared" si="134"/>
        <v>0</v>
      </c>
    </row>
    <row r="868" spans="2:29" ht="20.100000000000001" customHeight="1">
      <c r="B868" s="172"/>
      <c r="C868" s="172"/>
      <c r="D868" s="172"/>
      <c r="E868" s="181"/>
      <c r="F868" s="173"/>
      <c r="G868" s="174"/>
      <c r="H868" s="284"/>
      <c r="I868" s="221"/>
      <c r="J868" s="177">
        <f>IF(H868=0,0,IF(F868="MXN",1/HLOOKUP(YEAR(G868)+(MONTH(G868)/100),TC!$5:$37,DAY(G868)+2,FALSE),VLOOKUP(F868,Equivalencia!$5:$23,((MAX(Equivalencia!$3:$3)-YEAR(G868))*14)+MONTH(G868)+2,FALSE)))</f>
        <v>0</v>
      </c>
      <c r="K868" s="217">
        <f t="shared" si="135"/>
        <v>0</v>
      </c>
      <c r="L868" s="462">
        <f>IF(G868=0,0,VLOOKUP(YEAR(G868),INPC!$B$4:$O$29,MONTH(G868)+1))</f>
        <v>0</v>
      </c>
      <c r="M868" s="462">
        <f>IF(T868=0,0,VLOOKUP(YEAR(T868),INPC!$B$4:$O$29,MONTH(T868)+1))</f>
        <v>0</v>
      </c>
      <c r="N868" s="463">
        <f t="shared" si="131"/>
        <v>0</v>
      </c>
      <c r="O868" s="464">
        <f t="shared" si="136"/>
        <v>0</v>
      </c>
      <c r="P868" s="465">
        <f t="shared" si="137"/>
        <v>0</v>
      </c>
      <c r="Q868" s="606" t="str">
        <f t="shared" si="138"/>
        <v>NO</v>
      </c>
      <c r="R868" s="180"/>
      <c r="S868" s="173"/>
      <c r="T868" s="174"/>
      <c r="U868" s="173"/>
      <c r="V868" s="220"/>
      <c r="W868" s="177">
        <f>IF(S868=0,0,IF(U868="MXN",1/HLOOKUP(YEAR(T868)+(MONTH(T868)/100),TC!$5:$37,DAY(T868)+2,FALSE),VLOOKUP(U868,Equivalencia!$1:$23,((MAX(Equivalencia!$3:$3)-YEAR(T868))*14)+MONTH(T868)+2,FALSE)))</f>
        <v>0</v>
      </c>
      <c r="X868" s="178">
        <f t="shared" si="139"/>
        <v>0</v>
      </c>
      <c r="Y868" s="178">
        <f t="shared" si="140"/>
        <v>0</v>
      </c>
      <c r="Z868" s="175">
        <f t="shared" si="132"/>
        <v>0</v>
      </c>
      <c r="AA868" s="179"/>
      <c r="AB868" s="467">
        <f t="shared" si="133"/>
        <v>0</v>
      </c>
      <c r="AC868" s="466">
        <f t="shared" si="134"/>
        <v>0</v>
      </c>
    </row>
    <row r="869" spans="2:29" ht="20.100000000000001" customHeight="1">
      <c r="B869" s="172"/>
      <c r="C869" s="172"/>
      <c r="D869" s="172"/>
      <c r="E869" s="181"/>
      <c r="F869" s="173"/>
      <c r="G869" s="174"/>
      <c r="H869" s="284"/>
      <c r="I869" s="221"/>
      <c r="J869" s="177">
        <f>IF(H869=0,0,IF(F869="MXN",1/HLOOKUP(YEAR(G869)+(MONTH(G869)/100),TC!$5:$37,DAY(G869)+2,FALSE),VLOOKUP(F869,Equivalencia!$5:$23,((MAX(Equivalencia!$3:$3)-YEAR(G869))*14)+MONTH(G869)+2,FALSE)))</f>
        <v>0</v>
      </c>
      <c r="K869" s="217">
        <f t="shared" si="135"/>
        <v>0</v>
      </c>
      <c r="L869" s="462">
        <f>IF(G869=0,0,VLOOKUP(YEAR(G869),INPC!$B$4:$O$29,MONTH(G869)+1))</f>
        <v>0</v>
      </c>
      <c r="M869" s="462">
        <f>IF(T869=0,0,VLOOKUP(YEAR(T869),INPC!$B$4:$O$29,MONTH(T869)+1))</f>
        <v>0</v>
      </c>
      <c r="N869" s="463">
        <f t="shared" si="131"/>
        <v>0</v>
      </c>
      <c r="O869" s="464">
        <f t="shared" si="136"/>
        <v>0</v>
      </c>
      <c r="P869" s="465">
        <f t="shared" si="137"/>
        <v>0</v>
      </c>
      <c r="Q869" s="606" t="str">
        <f t="shared" si="138"/>
        <v>NO</v>
      </c>
      <c r="R869" s="180"/>
      <c r="S869" s="173"/>
      <c r="T869" s="174"/>
      <c r="U869" s="173"/>
      <c r="V869" s="220"/>
      <c r="W869" s="177">
        <f>IF(S869=0,0,IF(U869="MXN",1/HLOOKUP(YEAR(T869)+(MONTH(T869)/100),TC!$5:$37,DAY(T869)+2,FALSE),VLOOKUP(U869,Equivalencia!$1:$23,((MAX(Equivalencia!$3:$3)-YEAR(T869))*14)+MONTH(T869)+2,FALSE)))</f>
        <v>0</v>
      </c>
      <c r="X869" s="178">
        <f t="shared" si="139"/>
        <v>0</v>
      </c>
      <c r="Y869" s="178">
        <f t="shared" si="140"/>
        <v>0</v>
      </c>
      <c r="Z869" s="175">
        <f t="shared" si="132"/>
        <v>0</v>
      </c>
      <c r="AA869" s="179"/>
      <c r="AB869" s="467">
        <f t="shared" si="133"/>
        <v>0</v>
      </c>
      <c r="AC869" s="466">
        <f t="shared" si="134"/>
        <v>0</v>
      </c>
    </row>
    <row r="870" spans="2:29" ht="20.100000000000001" customHeight="1">
      <c r="B870" s="172"/>
      <c r="C870" s="172"/>
      <c r="D870" s="172"/>
      <c r="E870" s="181"/>
      <c r="F870" s="173"/>
      <c r="G870" s="174"/>
      <c r="H870" s="284"/>
      <c r="I870" s="221"/>
      <c r="J870" s="177">
        <f>IF(H870=0,0,IF(F870="MXN",1/HLOOKUP(YEAR(G870)+(MONTH(G870)/100),TC!$5:$37,DAY(G870)+2,FALSE),VLOOKUP(F870,Equivalencia!$5:$23,((MAX(Equivalencia!$3:$3)-YEAR(G870))*14)+MONTH(G870)+2,FALSE)))</f>
        <v>0</v>
      </c>
      <c r="K870" s="217">
        <f t="shared" si="135"/>
        <v>0</v>
      </c>
      <c r="L870" s="462">
        <f>IF(G870=0,0,VLOOKUP(YEAR(G870),INPC!$B$4:$O$29,MONTH(G870)+1))</f>
        <v>0</v>
      </c>
      <c r="M870" s="462">
        <f>IF(T870=0,0,VLOOKUP(YEAR(T870),INPC!$B$4:$O$29,MONTH(T870)+1))</f>
        <v>0</v>
      </c>
      <c r="N870" s="463">
        <f t="shared" si="131"/>
        <v>0</v>
      </c>
      <c r="O870" s="464">
        <f t="shared" si="136"/>
        <v>0</v>
      </c>
      <c r="P870" s="465">
        <f t="shared" si="137"/>
        <v>0</v>
      </c>
      <c r="Q870" s="606" t="str">
        <f t="shared" si="138"/>
        <v>NO</v>
      </c>
      <c r="R870" s="180"/>
      <c r="S870" s="173"/>
      <c r="T870" s="174"/>
      <c r="U870" s="173"/>
      <c r="V870" s="220"/>
      <c r="W870" s="177">
        <f>IF(S870=0,0,IF(U870="MXN",1/HLOOKUP(YEAR(T870)+(MONTH(T870)/100),TC!$5:$37,DAY(T870)+2,FALSE),VLOOKUP(U870,Equivalencia!$1:$23,((MAX(Equivalencia!$3:$3)-YEAR(T870))*14)+MONTH(T870)+2,FALSE)))</f>
        <v>0</v>
      </c>
      <c r="X870" s="178">
        <f t="shared" si="139"/>
        <v>0</v>
      </c>
      <c r="Y870" s="178">
        <f t="shared" si="140"/>
        <v>0</v>
      </c>
      <c r="Z870" s="175">
        <f t="shared" si="132"/>
        <v>0</v>
      </c>
      <c r="AA870" s="179"/>
      <c r="AB870" s="467">
        <f t="shared" si="133"/>
        <v>0</v>
      </c>
      <c r="AC870" s="466">
        <f t="shared" si="134"/>
        <v>0</v>
      </c>
    </row>
    <row r="871" spans="2:29" ht="20.100000000000001" customHeight="1">
      <c r="B871" s="172"/>
      <c r="C871" s="172"/>
      <c r="D871" s="172"/>
      <c r="E871" s="181"/>
      <c r="F871" s="173"/>
      <c r="G871" s="174"/>
      <c r="H871" s="284"/>
      <c r="I871" s="221"/>
      <c r="J871" s="177">
        <f>IF(H871=0,0,IF(F871="MXN",1/HLOOKUP(YEAR(G871)+(MONTH(G871)/100),TC!$5:$37,DAY(G871)+2,FALSE),VLOOKUP(F871,Equivalencia!$5:$23,((MAX(Equivalencia!$3:$3)-YEAR(G871))*14)+MONTH(G871)+2,FALSE)))</f>
        <v>0</v>
      </c>
      <c r="K871" s="217">
        <f t="shared" si="135"/>
        <v>0</v>
      </c>
      <c r="L871" s="462">
        <f>IF(G871=0,0,VLOOKUP(YEAR(G871),INPC!$B$4:$O$29,MONTH(G871)+1))</f>
        <v>0</v>
      </c>
      <c r="M871" s="462">
        <f>IF(T871=0,0,VLOOKUP(YEAR(T871),INPC!$B$4:$O$29,MONTH(T871)+1))</f>
        <v>0</v>
      </c>
      <c r="N871" s="463">
        <f t="shared" si="131"/>
        <v>0</v>
      </c>
      <c r="O871" s="464">
        <f t="shared" si="136"/>
        <v>0</v>
      </c>
      <c r="P871" s="465">
        <f t="shared" si="137"/>
        <v>0</v>
      </c>
      <c r="Q871" s="606" t="str">
        <f t="shared" si="138"/>
        <v>NO</v>
      </c>
      <c r="R871" s="180"/>
      <c r="S871" s="173"/>
      <c r="T871" s="174"/>
      <c r="U871" s="173"/>
      <c r="V871" s="220"/>
      <c r="W871" s="177">
        <f>IF(S871=0,0,IF(U871="MXN",1/HLOOKUP(YEAR(T871)+(MONTH(T871)/100),TC!$5:$37,DAY(T871)+2,FALSE),VLOOKUP(U871,Equivalencia!$1:$23,((MAX(Equivalencia!$3:$3)-YEAR(T871))*14)+MONTH(T871)+2,FALSE)))</f>
        <v>0</v>
      </c>
      <c r="X871" s="178">
        <f t="shared" si="139"/>
        <v>0</v>
      </c>
      <c r="Y871" s="178">
        <f t="shared" si="140"/>
        <v>0</v>
      </c>
      <c r="Z871" s="175">
        <f t="shared" si="132"/>
        <v>0</v>
      </c>
      <c r="AA871" s="179"/>
      <c r="AB871" s="467">
        <f t="shared" si="133"/>
        <v>0</v>
      </c>
      <c r="AC871" s="466">
        <f t="shared" si="134"/>
        <v>0</v>
      </c>
    </row>
    <row r="872" spans="2:29" ht="20.100000000000001" customHeight="1">
      <c r="B872" s="172"/>
      <c r="C872" s="172"/>
      <c r="D872" s="172"/>
      <c r="E872" s="181"/>
      <c r="F872" s="173"/>
      <c r="G872" s="174"/>
      <c r="H872" s="284"/>
      <c r="I872" s="221"/>
      <c r="J872" s="177">
        <f>IF(H872=0,0,IF(F872="MXN",1/HLOOKUP(YEAR(G872)+(MONTH(G872)/100),TC!$5:$37,DAY(G872)+2,FALSE),VLOOKUP(F872,Equivalencia!$5:$23,((MAX(Equivalencia!$3:$3)-YEAR(G872))*14)+MONTH(G872)+2,FALSE)))</f>
        <v>0</v>
      </c>
      <c r="K872" s="217">
        <f t="shared" si="135"/>
        <v>0</v>
      </c>
      <c r="L872" s="462">
        <f>IF(G872=0,0,VLOOKUP(YEAR(G872),INPC!$B$4:$O$29,MONTH(G872)+1))</f>
        <v>0</v>
      </c>
      <c r="M872" s="462">
        <f>IF(T872=0,0,VLOOKUP(YEAR(T872),INPC!$B$4:$O$29,MONTH(T872)+1))</f>
        <v>0</v>
      </c>
      <c r="N872" s="463">
        <f t="shared" si="131"/>
        <v>0</v>
      </c>
      <c r="O872" s="464">
        <f t="shared" si="136"/>
        <v>0</v>
      </c>
      <c r="P872" s="465">
        <f t="shared" si="137"/>
        <v>0</v>
      </c>
      <c r="Q872" s="606" t="str">
        <f t="shared" si="138"/>
        <v>NO</v>
      </c>
      <c r="R872" s="180"/>
      <c r="S872" s="173"/>
      <c r="T872" s="174"/>
      <c r="U872" s="173"/>
      <c r="V872" s="220"/>
      <c r="W872" s="177">
        <f>IF(S872=0,0,IF(U872="MXN",1/HLOOKUP(YEAR(T872)+(MONTH(T872)/100),TC!$5:$37,DAY(T872)+2,FALSE),VLOOKUP(U872,Equivalencia!$1:$23,((MAX(Equivalencia!$3:$3)-YEAR(T872))*14)+MONTH(T872)+2,FALSE)))</f>
        <v>0</v>
      </c>
      <c r="X872" s="178">
        <f t="shared" si="139"/>
        <v>0</v>
      </c>
      <c r="Y872" s="178">
        <f t="shared" si="140"/>
        <v>0</v>
      </c>
      <c r="Z872" s="175">
        <f t="shared" si="132"/>
        <v>0</v>
      </c>
      <c r="AA872" s="179"/>
      <c r="AB872" s="467">
        <f t="shared" si="133"/>
        <v>0</v>
      </c>
      <c r="AC872" s="466">
        <f t="shared" si="134"/>
        <v>0</v>
      </c>
    </row>
    <row r="873" spans="2:29" ht="20.100000000000001" customHeight="1">
      <c r="B873" s="172"/>
      <c r="C873" s="172"/>
      <c r="D873" s="172"/>
      <c r="E873" s="181"/>
      <c r="F873" s="173"/>
      <c r="G873" s="174"/>
      <c r="H873" s="284"/>
      <c r="I873" s="221"/>
      <c r="J873" s="177">
        <f>IF(H873=0,0,IF(F873="MXN",1/HLOOKUP(YEAR(G873)+(MONTH(G873)/100),TC!$5:$37,DAY(G873)+2,FALSE),VLOOKUP(F873,Equivalencia!$5:$23,((MAX(Equivalencia!$3:$3)-YEAR(G873))*14)+MONTH(G873)+2,FALSE)))</f>
        <v>0</v>
      </c>
      <c r="K873" s="217">
        <f t="shared" si="135"/>
        <v>0</v>
      </c>
      <c r="L873" s="462">
        <f>IF(G873=0,0,VLOOKUP(YEAR(G873),INPC!$B$4:$O$29,MONTH(G873)+1))</f>
        <v>0</v>
      </c>
      <c r="M873" s="462">
        <f>IF(T873=0,0,VLOOKUP(YEAR(T873),INPC!$B$4:$O$29,MONTH(T873)+1))</f>
        <v>0</v>
      </c>
      <c r="N873" s="463">
        <f t="shared" si="131"/>
        <v>0</v>
      </c>
      <c r="O873" s="464">
        <f t="shared" si="136"/>
        <v>0</v>
      </c>
      <c r="P873" s="465">
        <f t="shared" si="137"/>
        <v>0</v>
      </c>
      <c r="Q873" s="606" t="str">
        <f t="shared" si="138"/>
        <v>NO</v>
      </c>
      <c r="R873" s="180"/>
      <c r="S873" s="173"/>
      <c r="T873" s="174"/>
      <c r="U873" s="173"/>
      <c r="V873" s="220"/>
      <c r="W873" s="177">
        <f>IF(S873=0,0,IF(U873="MXN",1/HLOOKUP(YEAR(T873)+(MONTH(T873)/100),TC!$5:$37,DAY(T873)+2,FALSE),VLOOKUP(U873,Equivalencia!$1:$23,((MAX(Equivalencia!$3:$3)-YEAR(T873))*14)+MONTH(T873)+2,FALSE)))</f>
        <v>0</v>
      </c>
      <c r="X873" s="178">
        <f t="shared" si="139"/>
        <v>0</v>
      </c>
      <c r="Y873" s="178">
        <f t="shared" si="140"/>
        <v>0</v>
      </c>
      <c r="Z873" s="175">
        <f t="shared" si="132"/>
        <v>0</v>
      </c>
      <c r="AA873" s="179"/>
      <c r="AB873" s="467">
        <f t="shared" si="133"/>
        <v>0</v>
      </c>
      <c r="AC873" s="466">
        <f t="shared" si="134"/>
        <v>0</v>
      </c>
    </row>
    <row r="874" spans="2:29" ht="20.100000000000001" customHeight="1">
      <c r="B874" s="172"/>
      <c r="C874" s="172"/>
      <c r="D874" s="172"/>
      <c r="E874" s="181"/>
      <c r="F874" s="173"/>
      <c r="G874" s="174"/>
      <c r="H874" s="284"/>
      <c r="I874" s="221"/>
      <c r="J874" s="177">
        <f>IF(H874=0,0,IF(F874="MXN",1/HLOOKUP(YEAR(G874)+(MONTH(G874)/100),TC!$5:$37,DAY(G874)+2,FALSE),VLOOKUP(F874,Equivalencia!$5:$23,((MAX(Equivalencia!$3:$3)-YEAR(G874))*14)+MONTH(G874)+2,FALSE)))</f>
        <v>0</v>
      </c>
      <c r="K874" s="217">
        <f t="shared" si="135"/>
        <v>0</v>
      </c>
      <c r="L874" s="462">
        <f>IF(G874=0,0,VLOOKUP(YEAR(G874),INPC!$B$4:$O$29,MONTH(G874)+1))</f>
        <v>0</v>
      </c>
      <c r="M874" s="462">
        <f>IF(T874=0,0,VLOOKUP(YEAR(T874),INPC!$B$4:$O$29,MONTH(T874)+1))</f>
        <v>0</v>
      </c>
      <c r="N874" s="463">
        <f t="shared" si="131"/>
        <v>0</v>
      </c>
      <c r="O874" s="464">
        <f t="shared" si="136"/>
        <v>0</v>
      </c>
      <c r="P874" s="465">
        <f t="shared" si="137"/>
        <v>0</v>
      </c>
      <c r="Q874" s="606" t="str">
        <f t="shared" si="138"/>
        <v>NO</v>
      </c>
      <c r="R874" s="180"/>
      <c r="S874" s="173"/>
      <c r="T874" s="174"/>
      <c r="U874" s="173"/>
      <c r="V874" s="220"/>
      <c r="W874" s="177">
        <f>IF(S874=0,0,IF(U874="MXN",1/HLOOKUP(YEAR(T874)+(MONTH(T874)/100),TC!$5:$37,DAY(T874)+2,FALSE),VLOOKUP(U874,Equivalencia!$1:$23,((MAX(Equivalencia!$3:$3)-YEAR(T874))*14)+MONTH(T874)+2,FALSE)))</f>
        <v>0</v>
      </c>
      <c r="X874" s="178">
        <f t="shared" si="139"/>
        <v>0</v>
      </c>
      <c r="Y874" s="178">
        <f t="shared" si="140"/>
        <v>0</v>
      </c>
      <c r="Z874" s="175">
        <f t="shared" si="132"/>
        <v>0</v>
      </c>
      <c r="AA874" s="179"/>
      <c r="AB874" s="467">
        <f t="shared" si="133"/>
        <v>0</v>
      </c>
      <c r="AC874" s="466">
        <f t="shared" si="134"/>
        <v>0</v>
      </c>
    </row>
    <row r="875" spans="2:29" ht="20.100000000000001" customHeight="1">
      <c r="B875" s="172"/>
      <c r="C875" s="172"/>
      <c r="D875" s="172"/>
      <c r="E875" s="181"/>
      <c r="F875" s="173"/>
      <c r="G875" s="174"/>
      <c r="H875" s="284"/>
      <c r="I875" s="221"/>
      <c r="J875" s="177">
        <f>IF(H875=0,0,IF(F875="MXN",1/HLOOKUP(YEAR(G875)+(MONTH(G875)/100),TC!$5:$37,DAY(G875)+2,FALSE),VLOOKUP(F875,Equivalencia!$5:$23,((MAX(Equivalencia!$3:$3)-YEAR(G875))*14)+MONTH(G875)+2,FALSE)))</f>
        <v>0</v>
      </c>
      <c r="K875" s="217">
        <f t="shared" si="135"/>
        <v>0</v>
      </c>
      <c r="L875" s="462">
        <f>IF(G875=0,0,VLOOKUP(YEAR(G875),INPC!$B$4:$O$29,MONTH(G875)+1))</f>
        <v>0</v>
      </c>
      <c r="M875" s="462">
        <f>IF(T875=0,0,VLOOKUP(YEAR(T875),INPC!$B$4:$O$29,MONTH(T875)+1))</f>
        <v>0</v>
      </c>
      <c r="N875" s="463">
        <f t="shared" si="131"/>
        <v>0</v>
      </c>
      <c r="O875" s="464">
        <f t="shared" si="136"/>
        <v>0</v>
      </c>
      <c r="P875" s="465">
        <f t="shared" si="137"/>
        <v>0</v>
      </c>
      <c r="Q875" s="606" t="str">
        <f t="shared" si="138"/>
        <v>NO</v>
      </c>
      <c r="R875" s="180"/>
      <c r="S875" s="173"/>
      <c r="T875" s="174"/>
      <c r="U875" s="173"/>
      <c r="V875" s="220"/>
      <c r="W875" s="177">
        <f>IF(S875=0,0,IF(U875="MXN",1/HLOOKUP(YEAR(T875)+(MONTH(T875)/100),TC!$5:$37,DAY(T875)+2,FALSE),VLOOKUP(U875,Equivalencia!$1:$23,((MAX(Equivalencia!$3:$3)-YEAR(T875))*14)+MONTH(T875)+2,FALSE)))</f>
        <v>0</v>
      </c>
      <c r="X875" s="178">
        <f t="shared" si="139"/>
        <v>0</v>
      </c>
      <c r="Y875" s="178">
        <f t="shared" si="140"/>
        <v>0</v>
      </c>
      <c r="Z875" s="175">
        <f t="shared" si="132"/>
        <v>0</v>
      </c>
      <c r="AA875" s="179"/>
      <c r="AB875" s="467">
        <f t="shared" si="133"/>
        <v>0</v>
      </c>
      <c r="AC875" s="466">
        <f t="shared" si="134"/>
        <v>0</v>
      </c>
    </row>
    <row r="876" spans="2:29" ht="20.100000000000001" customHeight="1">
      <c r="B876" s="172"/>
      <c r="C876" s="172"/>
      <c r="D876" s="172"/>
      <c r="E876" s="181"/>
      <c r="F876" s="173"/>
      <c r="G876" s="174"/>
      <c r="H876" s="284"/>
      <c r="I876" s="221"/>
      <c r="J876" s="177">
        <f>IF(H876=0,0,IF(F876="MXN",1/HLOOKUP(YEAR(G876)+(MONTH(G876)/100),TC!$5:$37,DAY(G876)+2,FALSE),VLOOKUP(F876,Equivalencia!$5:$23,((MAX(Equivalencia!$3:$3)-YEAR(G876))*14)+MONTH(G876)+2,FALSE)))</f>
        <v>0</v>
      </c>
      <c r="K876" s="217">
        <f t="shared" si="135"/>
        <v>0</v>
      </c>
      <c r="L876" s="462">
        <f>IF(G876=0,0,VLOOKUP(YEAR(G876),INPC!$B$4:$O$29,MONTH(G876)+1))</f>
        <v>0</v>
      </c>
      <c r="M876" s="462">
        <f>IF(T876=0,0,VLOOKUP(YEAR(T876),INPC!$B$4:$O$29,MONTH(T876)+1))</f>
        <v>0</v>
      </c>
      <c r="N876" s="463">
        <f t="shared" si="131"/>
        <v>0</v>
      </c>
      <c r="O876" s="464">
        <f t="shared" si="136"/>
        <v>0</v>
      </c>
      <c r="P876" s="465">
        <f t="shared" si="137"/>
        <v>0</v>
      </c>
      <c r="Q876" s="606" t="str">
        <f t="shared" si="138"/>
        <v>NO</v>
      </c>
      <c r="R876" s="180"/>
      <c r="S876" s="173"/>
      <c r="T876" s="174"/>
      <c r="U876" s="173"/>
      <c r="V876" s="220"/>
      <c r="W876" s="177">
        <f>IF(S876=0,0,IF(U876="MXN",1/HLOOKUP(YEAR(T876)+(MONTH(T876)/100),TC!$5:$37,DAY(T876)+2,FALSE),VLOOKUP(U876,Equivalencia!$1:$23,((MAX(Equivalencia!$3:$3)-YEAR(T876))*14)+MONTH(T876)+2,FALSE)))</f>
        <v>0</v>
      </c>
      <c r="X876" s="178">
        <f t="shared" si="139"/>
        <v>0</v>
      </c>
      <c r="Y876" s="178">
        <f t="shared" si="140"/>
        <v>0</v>
      </c>
      <c r="Z876" s="175">
        <f t="shared" si="132"/>
        <v>0</v>
      </c>
      <c r="AA876" s="179"/>
      <c r="AB876" s="467">
        <f t="shared" si="133"/>
        <v>0</v>
      </c>
      <c r="AC876" s="466">
        <f t="shared" si="134"/>
        <v>0</v>
      </c>
    </row>
    <row r="877" spans="2:29" ht="20.100000000000001" customHeight="1">
      <c r="B877" s="172"/>
      <c r="C877" s="172"/>
      <c r="D877" s="172"/>
      <c r="E877" s="181"/>
      <c r="F877" s="173"/>
      <c r="G877" s="174"/>
      <c r="H877" s="284"/>
      <c r="I877" s="221"/>
      <c r="J877" s="177">
        <f>IF(H877=0,0,IF(F877="MXN",1/HLOOKUP(YEAR(G877)+(MONTH(G877)/100),TC!$5:$37,DAY(G877)+2,FALSE),VLOOKUP(F877,Equivalencia!$5:$23,((MAX(Equivalencia!$3:$3)-YEAR(G877))*14)+MONTH(G877)+2,FALSE)))</f>
        <v>0</v>
      </c>
      <c r="K877" s="217">
        <f t="shared" si="135"/>
        <v>0</v>
      </c>
      <c r="L877" s="462">
        <f>IF(G877=0,0,VLOOKUP(YEAR(G877),INPC!$B$4:$O$29,MONTH(G877)+1))</f>
        <v>0</v>
      </c>
      <c r="M877" s="462">
        <f>IF(T877=0,0,VLOOKUP(YEAR(T877),INPC!$B$4:$O$29,MONTH(T877)+1))</f>
        <v>0</v>
      </c>
      <c r="N877" s="463">
        <f t="shared" si="131"/>
        <v>0</v>
      </c>
      <c r="O877" s="464">
        <f t="shared" si="136"/>
        <v>0</v>
      </c>
      <c r="P877" s="465">
        <f t="shared" si="137"/>
        <v>0</v>
      </c>
      <c r="Q877" s="606" t="str">
        <f t="shared" si="138"/>
        <v>NO</v>
      </c>
      <c r="R877" s="180"/>
      <c r="S877" s="173"/>
      <c r="T877" s="174"/>
      <c r="U877" s="173"/>
      <c r="V877" s="220"/>
      <c r="W877" s="177">
        <f>IF(S877=0,0,IF(U877="MXN",1/HLOOKUP(YEAR(T877)+(MONTH(T877)/100),TC!$5:$37,DAY(T877)+2,FALSE),VLOOKUP(U877,Equivalencia!$1:$23,((MAX(Equivalencia!$3:$3)-YEAR(T877))*14)+MONTH(T877)+2,FALSE)))</f>
        <v>0</v>
      </c>
      <c r="X877" s="178">
        <f t="shared" si="139"/>
        <v>0</v>
      </c>
      <c r="Y877" s="178">
        <f t="shared" si="140"/>
        <v>0</v>
      </c>
      <c r="Z877" s="175">
        <f t="shared" si="132"/>
        <v>0</v>
      </c>
      <c r="AA877" s="179"/>
      <c r="AB877" s="467">
        <f t="shared" si="133"/>
        <v>0</v>
      </c>
      <c r="AC877" s="466">
        <f t="shared" si="134"/>
        <v>0</v>
      </c>
    </row>
    <row r="878" spans="2:29" ht="20.100000000000001" customHeight="1">
      <c r="B878" s="172"/>
      <c r="C878" s="172"/>
      <c r="D878" s="172"/>
      <c r="E878" s="181"/>
      <c r="F878" s="173"/>
      <c r="G878" s="174"/>
      <c r="H878" s="284"/>
      <c r="I878" s="221"/>
      <c r="J878" s="177">
        <f>IF(H878=0,0,IF(F878="MXN",1/HLOOKUP(YEAR(G878)+(MONTH(G878)/100),TC!$5:$37,DAY(G878)+2,FALSE),VLOOKUP(F878,Equivalencia!$5:$23,((MAX(Equivalencia!$3:$3)-YEAR(G878))*14)+MONTH(G878)+2,FALSE)))</f>
        <v>0</v>
      </c>
      <c r="K878" s="217">
        <f t="shared" si="135"/>
        <v>0</v>
      </c>
      <c r="L878" s="462">
        <f>IF(G878=0,0,VLOOKUP(YEAR(G878),INPC!$B$4:$O$29,MONTH(G878)+1))</f>
        <v>0</v>
      </c>
      <c r="M878" s="462">
        <f>IF(T878=0,0,VLOOKUP(YEAR(T878),INPC!$B$4:$O$29,MONTH(T878)+1))</f>
        <v>0</v>
      </c>
      <c r="N878" s="463">
        <f t="shared" si="131"/>
        <v>0</v>
      </c>
      <c r="O878" s="464">
        <f t="shared" si="136"/>
        <v>0</v>
      </c>
      <c r="P878" s="465">
        <f t="shared" si="137"/>
        <v>0</v>
      </c>
      <c r="Q878" s="606" t="str">
        <f t="shared" si="138"/>
        <v>NO</v>
      </c>
      <c r="R878" s="180"/>
      <c r="S878" s="173"/>
      <c r="T878" s="174"/>
      <c r="U878" s="173"/>
      <c r="V878" s="220"/>
      <c r="W878" s="177">
        <f>IF(S878=0,0,IF(U878="MXN",1/HLOOKUP(YEAR(T878)+(MONTH(T878)/100),TC!$5:$37,DAY(T878)+2,FALSE),VLOOKUP(U878,Equivalencia!$1:$23,((MAX(Equivalencia!$3:$3)-YEAR(T878))*14)+MONTH(T878)+2,FALSE)))</f>
        <v>0</v>
      </c>
      <c r="X878" s="178">
        <f t="shared" si="139"/>
        <v>0</v>
      </c>
      <c r="Y878" s="178">
        <f t="shared" si="140"/>
        <v>0</v>
      </c>
      <c r="Z878" s="175">
        <f t="shared" si="132"/>
        <v>0</v>
      </c>
      <c r="AA878" s="179"/>
      <c r="AB878" s="467">
        <f t="shared" si="133"/>
        <v>0</v>
      </c>
      <c r="AC878" s="466">
        <f t="shared" si="134"/>
        <v>0</v>
      </c>
    </row>
    <row r="879" spans="2:29" ht="20.100000000000001" customHeight="1">
      <c r="B879" s="172"/>
      <c r="C879" s="172"/>
      <c r="D879" s="172"/>
      <c r="E879" s="181"/>
      <c r="F879" s="173"/>
      <c r="G879" s="174"/>
      <c r="H879" s="284"/>
      <c r="I879" s="221"/>
      <c r="J879" s="177">
        <f>IF(H879=0,0,IF(F879="MXN",1/HLOOKUP(YEAR(G879)+(MONTH(G879)/100),TC!$5:$37,DAY(G879)+2,FALSE),VLOOKUP(F879,Equivalencia!$5:$23,((MAX(Equivalencia!$3:$3)-YEAR(G879))*14)+MONTH(G879)+2,FALSE)))</f>
        <v>0</v>
      </c>
      <c r="K879" s="217">
        <f t="shared" si="135"/>
        <v>0</v>
      </c>
      <c r="L879" s="462">
        <f>IF(G879=0,0,VLOOKUP(YEAR(G879),INPC!$B$4:$O$29,MONTH(G879)+1))</f>
        <v>0</v>
      </c>
      <c r="M879" s="462">
        <f>IF(T879=0,0,VLOOKUP(YEAR(T879),INPC!$B$4:$O$29,MONTH(T879)+1))</f>
        <v>0</v>
      </c>
      <c r="N879" s="463">
        <f t="shared" si="131"/>
        <v>0</v>
      </c>
      <c r="O879" s="464">
        <f t="shared" si="136"/>
        <v>0</v>
      </c>
      <c r="P879" s="465">
        <f t="shared" si="137"/>
        <v>0</v>
      </c>
      <c r="Q879" s="606" t="str">
        <f t="shared" si="138"/>
        <v>NO</v>
      </c>
      <c r="R879" s="180"/>
      <c r="S879" s="173"/>
      <c r="T879" s="174"/>
      <c r="U879" s="173"/>
      <c r="V879" s="220"/>
      <c r="W879" s="177">
        <f>IF(S879=0,0,IF(U879="MXN",1/HLOOKUP(YEAR(T879)+(MONTH(T879)/100),TC!$5:$37,DAY(T879)+2,FALSE),VLOOKUP(U879,Equivalencia!$1:$23,((MAX(Equivalencia!$3:$3)-YEAR(T879))*14)+MONTH(T879)+2,FALSE)))</f>
        <v>0</v>
      </c>
      <c r="X879" s="178">
        <f t="shared" si="139"/>
        <v>0</v>
      </c>
      <c r="Y879" s="178">
        <f t="shared" si="140"/>
        <v>0</v>
      </c>
      <c r="Z879" s="175">
        <f t="shared" si="132"/>
        <v>0</v>
      </c>
      <c r="AA879" s="179"/>
      <c r="AB879" s="467">
        <f t="shared" si="133"/>
        <v>0</v>
      </c>
      <c r="AC879" s="466">
        <f t="shared" si="134"/>
        <v>0</v>
      </c>
    </row>
    <row r="880" spans="2:29" ht="20.100000000000001" customHeight="1">
      <c r="B880" s="172"/>
      <c r="C880" s="172"/>
      <c r="D880" s="172"/>
      <c r="E880" s="181"/>
      <c r="F880" s="173"/>
      <c r="G880" s="174"/>
      <c r="H880" s="284"/>
      <c r="I880" s="221"/>
      <c r="J880" s="177">
        <f>IF(H880=0,0,IF(F880="MXN",1/HLOOKUP(YEAR(G880)+(MONTH(G880)/100),TC!$5:$37,DAY(G880)+2,FALSE),VLOOKUP(F880,Equivalencia!$5:$23,((MAX(Equivalencia!$3:$3)-YEAR(G880))*14)+MONTH(G880)+2,FALSE)))</f>
        <v>0</v>
      </c>
      <c r="K880" s="217">
        <f t="shared" si="135"/>
        <v>0</v>
      </c>
      <c r="L880" s="462">
        <f>IF(G880=0,0,VLOOKUP(YEAR(G880),INPC!$B$4:$O$29,MONTH(G880)+1))</f>
        <v>0</v>
      </c>
      <c r="M880" s="462">
        <f>IF(T880=0,0,VLOOKUP(YEAR(T880),INPC!$B$4:$O$29,MONTH(T880)+1))</f>
        <v>0</v>
      </c>
      <c r="N880" s="463">
        <f t="shared" si="131"/>
        <v>0</v>
      </c>
      <c r="O880" s="464">
        <f t="shared" si="136"/>
        <v>0</v>
      </c>
      <c r="P880" s="465">
        <f t="shared" si="137"/>
        <v>0</v>
      </c>
      <c r="Q880" s="606" t="str">
        <f t="shared" si="138"/>
        <v>NO</v>
      </c>
      <c r="R880" s="180"/>
      <c r="S880" s="173"/>
      <c r="T880" s="174"/>
      <c r="U880" s="173"/>
      <c r="V880" s="220"/>
      <c r="W880" s="177">
        <f>IF(S880=0,0,IF(U880="MXN",1/HLOOKUP(YEAR(T880)+(MONTH(T880)/100),TC!$5:$37,DAY(T880)+2,FALSE),VLOOKUP(U880,Equivalencia!$1:$23,((MAX(Equivalencia!$3:$3)-YEAR(T880))*14)+MONTH(T880)+2,FALSE)))</f>
        <v>0</v>
      </c>
      <c r="X880" s="178">
        <f t="shared" si="139"/>
        <v>0</v>
      </c>
      <c r="Y880" s="178">
        <f t="shared" si="140"/>
        <v>0</v>
      </c>
      <c r="Z880" s="175">
        <f t="shared" si="132"/>
        <v>0</v>
      </c>
      <c r="AA880" s="179"/>
      <c r="AB880" s="467">
        <f t="shared" si="133"/>
        <v>0</v>
      </c>
      <c r="AC880" s="466">
        <f t="shared" si="134"/>
        <v>0</v>
      </c>
    </row>
    <row r="881" spans="2:29" ht="20.100000000000001" customHeight="1">
      <c r="B881" s="172"/>
      <c r="C881" s="172"/>
      <c r="D881" s="172"/>
      <c r="E881" s="181"/>
      <c r="F881" s="173"/>
      <c r="G881" s="174"/>
      <c r="H881" s="284"/>
      <c r="I881" s="221"/>
      <c r="J881" s="177">
        <f>IF(H881=0,0,IF(F881="MXN",1/HLOOKUP(YEAR(G881)+(MONTH(G881)/100),TC!$5:$37,DAY(G881)+2,FALSE),VLOOKUP(F881,Equivalencia!$5:$23,((MAX(Equivalencia!$3:$3)-YEAR(G881))*14)+MONTH(G881)+2,FALSE)))</f>
        <v>0</v>
      </c>
      <c r="K881" s="217">
        <f t="shared" si="135"/>
        <v>0</v>
      </c>
      <c r="L881" s="462">
        <f>IF(G881=0,0,VLOOKUP(YEAR(G881),INPC!$B$4:$O$29,MONTH(G881)+1))</f>
        <v>0</v>
      </c>
      <c r="M881" s="462">
        <f>IF(T881=0,0,VLOOKUP(YEAR(T881),INPC!$B$4:$O$29,MONTH(T881)+1))</f>
        <v>0</v>
      </c>
      <c r="N881" s="463">
        <f t="shared" si="131"/>
        <v>0</v>
      </c>
      <c r="O881" s="464">
        <f t="shared" si="136"/>
        <v>0</v>
      </c>
      <c r="P881" s="465">
        <f t="shared" si="137"/>
        <v>0</v>
      </c>
      <c r="Q881" s="606" t="str">
        <f t="shared" si="138"/>
        <v>NO</v>
      </c>
      <c r="R881" s="180"/>
      <c r="S881" s="173"/>
      <c r="T881" s="174"/>
      <c r="U881" s="173"/>
      <c r="V881" s="220"/>
      <c r="W881" s="177">
        <f>IF(S881=0,0,IF(U881="MXN",1/HLOOKUP(YEAR(T881)+(MONTH(T881)/100),TC!$5:$37,DAY(T881)+2,FALSE),VLOOKUP(U881,Equivalencia!$1:$23,((MAX(Equivalencia!$3:$3)-YEAR(T881))*14)+MONTH(T881)+2,FALSE)))</f>
        <v>0</v>
      </c>
      <c r="X881" s="178">
        <f t="shared" si="139"/>
        <v>0</v>
      </c>
      <c r="Y881" s="178">
        <f t="shared" si="140"/>
        <v>0</v>
      </c>
      <c r="Z881" s="175">
        <f t="shared" si="132"/>
        <v>0</v>
      </c>
      <c r="AA881" s="179"/>
      <c r="AB881" s="467">
        <f t="shared" si="133"/>
        <v>0</v>
      </c>
      <c r="AC881" s="466">
        <f t="shared" si="134"/>
        <v>0</v>
      </c>
    </row>
    <row r="882" spans="2:29" ht="20.100000000000001" customHeight="1">
      <c r="B882" s="172"/>
      <c r="C882" s="172"/>
      <c r="D882" s="172"/>
      <c r="E882" s="181"/>
      <c r="F882" s="173"/>
      <c r="G882" s="174"/>
      <c r="H882" s="284"/>
      <c r="I882" s="221"/>
      <c r="J882" s="177">
        <f>IF(H882=0,0,IF(F882="MXN",1/HLOOKUP(YEAR(G882)+(MONTH(G882)/100),TC!$5:$37,DAY(G882)+2,FALSE),VLOOKUP(F882,Equivalencia!$5:$23,((MAX(Equivalencia!$3:$3)-YEAR(G882))*14)+MONTH(G882)+2,FALSE)))</f>
        <v>0</v>
      </c>
      <c r="K882" s="217">
        <f t="shared" si="135"/>
        <v>0</v>
      </c>
      <c r="L882" s="462">
        <f>IF(G882=0,0,VLOOKUP(YEAR(G882),INPC!$B$4:$O$29,MONTH(G882)+1))</f>
        <v>0</v>
      </c>
      <c r="M882" s="462">
        <f>IF(T882=0,0,VLOOKUP(YEAR(T882),INPC!$B$4:$O$29,MONTH(T882)+1))</f>
        <v>0</v>
      </c>
      <c r="N882" s="463">
        <f t="shared" si="131"/>
        <v>0</v>
      </c>
      <c r="O882" s="464">
        <f t="shared" si="136"/>
        <v>0</v>
      </c>
      <c r="P882" s="465">
        <f t="shared" si="137"/>
        <v>0</v>
      </c>
      <c r="Q882" s="606" t="str">
        <f t="shared" si="138"/>
        <v>NO</v>
      </c>
      <c r="R882" s="180"/>
      <c r="S882" s="173"/>
      <c r="T882" s="174"/>
      <c r="U882" s="173"/>
      <c r="V882" s="220"/>
      <c r="W882" s="177">
        <f>IF(S882=0,0,IF(U882="MXN",1/HLOOKUP(YEAR(T882)+(MONTH(T882)/100),TC!$5:$37,DAY(T882)+2,FALSE),VLOOKUP(U882,Equivalencia!$1:$23,((MAX(Equivalencia!$3:$3)-YEAR(T882))*14)+MONTH(T882)+2,FALSE)))</f>
        <v>0</v>
      </c>
      <c r="X882" s="178">
        <f t="shared" si="139"/>
        <v>0</v>
      </c>
      <c r="Y882" s="178">
        <f t="shared" si="140"/>
        <v>0</v>
      </c>
      <c r="Z882" s="175">
        <f t="shared" si="132"/>
        <v>0</v>
      </c>
      <c r="AA882" s="179"/>
      <c r="AB882" s="467">
        <f t="shared" si="133"/>
        <v>0</v>
      </c>
      <c r="AC882" s="466">
        <f t="shared" si="134"/>
        <v>0</v>
      </c>
    </row>
    <row r="883" spans="2:29" ht="20.100000000000001" customHeight="1">
      <c r="B883" s="172"/>
      <c r="C883" s="172"/>
      <c r="D883" s="172"/>
      <c r="E883" s="181"/>
      <c r="F883" s="173"/>
      <c r="G883" s="174"/>
      <c r="H883" s="284"/>
      <c r="I883" s="221"/>
      <c r="J883" s="177">
        <f>IF(H883=0,0,IF(F883="MXN",1/HLOOKUP(YEAR(G883)+(MONTH(G883)/100),TC!$5:$37,DAY(G883)+2,FALSE),VLOOKUP(F883,Equivalencia!$5:$23,((MAX(Equivalencia!$3:$3)-YEAR(G883))*14)+MONTH(G883)+2,FALSE)))</f>
        <v>0</v>
      </c>
      <c r="K883" s="217">
        <f t="shared" si="135"/>
        <v>0</v>
      </c>
      <c r="L883" s="462">
        <f>IF(G883=0,0,VLOOKUP(YEAR(G883),INPC!$B$4:$O$29,MONTH(G883)+1))</f>
        <v>0</v>
      </c>
      <c r="M883" s="462">
        <f>IF(T883=0,0,VLOOKUP(YEAR(T883),INPC!$B$4:$O$29,MONTH(T883)+1))</f>
        <v>0</v>
      </c>
      <c r="N883" s="463">
        <f t="shared" si="131"/>
        <v>0</v>
      </c>
      <c r="O883" s="464">
        <f t="shared" si="136"/>
        <v>0</v>
      </c>
      <c r="P883" s="465">
        <f t="shared" si="137"/>
        <v>0</v>
      </c>
      <c r="Q883" s="606" t="str">
        <f t="shared" si="138"/>
        <v>NO</v>
      </c>
      <c r="R883" s="180"/>
      <c r="S883" s="173"/>
      <c r="T883" s="174"/>
      <c r="U883" s="173"/>
      <c r="V883" s="220"/>
      <c r="W883" s="177">
        <f>IF(S883=0,0,IF(U883="MXN",1/HLOOKUP(YEAR(T883)+(MONTH(T883)/100),TC!$5:$37,DAY(T883)+2,FALSE),VLOOKUP(U883,Equivalencia!$1:$23,((MAX(Equivalencia!$3:$3)-YEAR(T883))*14)+MONTH(T883)+2,FALSE)))</f>
        <v>0</v>
      </c>
      <c r="X883" s="178">
        <f t="shared" si="139"/>
        <v>0</v>
      </c>
      <c r="Y883" s="178">
        <f t="shared" si="140"/>
        <v>0</v>
      </c>
      <c r="Z883" s="175">
        <f t="shared" si="132"/>
        <v>0</v>
      </c>
      <c r="AA883" s="179"/>
      <c r="AB883" s="467">
        <f t="shared" si="133"/>
        <v>0</v>
      </c>
      <c r="AC883" s="466">
        <f t="shared" si="134"/>
        <v>0</v>
      </c>
    </row>
    <row r="884" spans="2:29" ht="20.100000000000001" customHeight="1">
      <c r="B884" s="172"/>
      <c r="C884" s="172"/>
      <c r="D884" s="172"/>
      <c r="E884" s="181"/>
      <c r="F884" s="173"/>
      <c r="G884" s="174"/>
      <c r="H884" s="284"/>
      <c r="I884" s="221"/>
      <c r="J884" s="177">
        <f>IF(H884=0,0,IF(F884="MXN",1/HLOOKUP(YEAR(G884)+(MONTH(G884)/100),TC!$5:$37,DAY(G884)+2,FALSE),VLOOKUP(F884,Equivalencia!$5:$23,((MAX(Equivalencia!$3:$3)-YEAR(G884))*14)+MONTH(G884)+2,FALSE)))</f>
        <v>0</v>
      </c>
      <c r="K884" s="217">
        <f t="shared" si="135"/>
        <v>0</v>
      </c>
      <c r="L884" s="462">
        <f>IF(G884=0,0,VLOOKUP(YEAR(G884),INPC!$B$4:$O$29,MONTH(G884)+1))</f>
        <v>0</v>
      </c>
      <c r="M884" s="462">
        <f>IF(T884=0,0,VLOOKUP(YEAR(T884),INPC!$B$4:$O$29,MONTH(T884)+1))</f>
        <v>0</v>
      </c>
      <c r="N884" s="463">
        <f t="shared" si="131"/>
        <v>0</v>
      </c>
      <c r="O884" s="464">
        <f t="shared" si="136"/>
        <v>0</v>
      </c>
      <c r="P884" s="465">
        <f t="shared" si="137"/>
        <v>0</v>
      </c>
      <c r="Q884" s="606" t="str">
        <f t="shared" si="138"/>
        <v>NO</v>
      </c>
      <c r="R884" s="180"/>
      <c r="S884" s="173"/>
      <c r="T884" s="174"/>
      <c r="U884" s="173"/>
      <c r="V884" s="220"/>
      <c r="W884" s="177">
        <f>IF(S884=0,0,IF(U884="MXN",1/HLOOKUP(YEAR(T884)+(MONTH(T884)/100),TC!$5:$37,DAY(T884)+2,FALSE),VLOOKUP(U884,Equivalencia!$1:$23,((MAX(Equivalencia!$3:$3)-YEAR(T884))*14)+MONTH(T884)+2,FALSE)))</f>
        <v>0</v>
      </c>
      <c r="X884" s="178">
        <f t="shared" si="139"/>
        <v>0</v>
      </c>
      <c r="Y884" s="178">
        <f t="shared" si="140"/>
        <v>0</v>
      </c>
      <c r="Z884" s="175">
        <f t="shared" si="132"/>
        <v>0</v>
      </c>
      <c r="AA884" s="179"/>
      <c r="AB884" s="467">
        <f t="shared" si="133"/>
        <v>0</v>
      </c>
      <c r="AC884" s="466">
        <f t="shared" si="134"/>
        <v>0</v>
      </c>
    </row>
    <row r="885" spans="2:29" ht="20.100000000000001" customHeight="1">
      <c r="B885" s="172"/>
      <c r="C885" s="172"/>
      <c r="D885" s="172"/>
      <c r="E885" s="181"/>
      <c r="F885" s="173"/>
      <c r="G885" s="174"/>
      <c r="H885" s="284"/>
      <c r="I885" s="221"/>
      <c r="J885" s="177">
        <f>IF(H885=0,0,IF(F885="MXN",1/HLOOKUP(YEAR(G885)+(MONTH(G885)/100),TC!$5:$37,DAY(G885)+2,FALSE),VLOOKUP(F885,Equivalencia!$5:$23,((MAX(Equivalencia!$3:$3)-YEAR(G885))*14)+MONTH(G885)+2,FALSE)))</f>
        <v>0</v>
      </c>
      <c r="K885" s="217">
        <f t="shared" si="135"/>
        <v>0</v>
      </c>
      <c r="L885" s="462">
        <f>IF(G885=0,0,VLOOKUP(YEAR(G885),INPC!$B$4:$O$29,MONTH(G885)+1))</f>
        <v>0</v>
      </c>
      <c r="M885" s="462">
        <f>IF(T885=0,0,VLOOKUP(YEAR(T885),INPC!$B$4:$O$29,MONTH(T885)+1))</f>
        <v>0</v>
      </c>
      <c r="N885" s="463">
        <f t="shared" si="131"/>
        <v>0</v>
      </c>
      <c r="O885" s="464">
        <f t="shared" si="136"/>
        <v>0</v>
      </c>
      <c r="P885" s="465">
        <f t="shared" si="137"/>
        <v>0</v>
      </c>
      <c r="Q885" s="606" t="str">
        <f t="shared" si="138"/>
        <v>NO</v>
      </c>
      <c r="R885" s="180"/>
      <c r="S885" s="173"/>
      <c r="T885" s="174"/>
      <c r="U885" s="173"/>
      <c r="V885" s="220"/>
      <c r="W885" s="177">
        <f>IF(S885=0,0,IF(U885="MXN",1/HLOOKUP(YEAR(T885)+(MONTH(T885)/100),TC!$5:$37,DAY(T885)+2,FALSE),VLOOKUP(U885,Equivalencia!$1:$23,((MAX(Equivalencia!$3:$3)-YEAR(T885))*14)+MONTH(T885)+2,FALSE)))</f>
        <v>0</v>
      </c>
      <c r="X885" s="178">
        <f t="shared" si="139"/>
        <v>0</v>
      </c>
      <c r="Y885" s="178">
        <f t="shared" si="140"/>
        <v>0</v>
      </c>
      <c r="Z885" s="175">
        <f t="shared" si="132"/>
        <v>0</v>
      </c>
      <c r="AA885" s="179"/>
      <c r="AB885" s="467">
        <f t="shared" si="133"/>
        <v>0</v>
      </c>
      <c r="AC885" s="466">
        <f t="shared" si="134"/>
        <v>0</v>
      </c>
    </row>
    <row r="886" spans="2:29" ht="20.100000000000001" customHeight="1">
      <c r="B886" s="172"/>
      <c r="C886" s="172"/>
      <c r="D886" s="172"/>
      <c r="E886" s="181"/>
      <c r="F886" s="173"/>
      <c r="G886" s="174"/>
      <c r="H886" s="284"/>
      <c r="I886" s="221"/>
      <c r="J886" s="177">
        <f>IF(H886=0,0,IF(F886="MXN",1/HLOOKUP(YEAR(G886)+(MONTH(G886)/100),TC!$5:$37,DAY(G886)+2,FALSE),VLOOKUP(F886,Equivalencia!$5:$23,((MAX(Equivalencia!$3:$3)-YEAR(G886))*14)+MONTH(G886)+2,FALSE)))</f>
        <v>0</v>
      </c>
      <c r="K886" s="217">
        <f t="shared" si="135"/>
        <v>0</v>
      </c>
      <c r="L886" s="462">
        <f>IF(G886=0,0,VLOOKUP(YEAR(G886),INPC!$B$4:$O$29,MONTH(G886)+1))</f>
        <v>0</v>
      </c>
      <c r="M886" s="462">
        <f>IF(T886=0,0,VLOOKUP(YEAR(T886),INPC!$B$4:$O$29,MONTH(T886)+1))</f>
        <v>0</v>
      </c>
      <c r="N886" s="463">
        <f t="shared" si="131"/>
        <v>0</v>
      </c>
      <c r="O886" s="464">
        <f t="shared" si="136"/>
        <v>0</v>
      </c>
      <c r="P886" s="465">
        <f t="shared" si="137"/>
        <v>0</v>
      </c>
      <c r="Q886" s="606" t="str">
        <f t="shared" si="138"/>
        <v>NO</v>
      </c>
      <c r="R886" s="180"/>
      <c r="S886" s="173"/>
      <c r="T886" s="174"/>
      <c r="U886" s="173"/>
      <c r="V886" s="220"/>
      <c r="W886" s="177">
        <f>IF(S886=0,0,IF(U886="MXN",1/HLOOKUP(YEAR(T886)+(MONTH(T886)/100),TC!$5:$37,DAY(T886)+2,FALSE),VLOOKUP(U886,Equivalencia!$1:$23,((MAX(Equivalencia!$3:$3)-YEAR(T886))*14)+MONTH(T886)+2,FALSE)))</f>
        <v>0</v>
      </c>
      <c r="X886" s="178">
        <f t="shared" si="139"/>
        <v>0</v>
      </c>
      <c r="Y886" s="178">
        <f t="shared" si="140"/>
        <v>0</v>
      </c>
      <c r="Z886" s="175">
        <f t="shared" si="132"/>
        <v>0</v>
      </c>
      <c r="AA886" s="179"/>
      <c r="AB886" s="467">
        <f t="shared" si="133"/>
        <v>0</v>
      </c>
      <c r="AC886" s="466">
        <f t="shared" si="134"/>
        <v>0</v>
      </c>
    </row>
    <row r="887" spans="2:29" ht="20.100000000000001" customHeight="1">
      <c r="B887" s="172"/>
      <c r="C887" s="172"/>
      <c r="D887" s="172"/>
      <c r="E887" s="181"/>
      <c r="F887" s="173"/>
      <c r="G887" s="174"/>
      <c r="H887" s="284"/>
      <c r="I887" s="221"/>
      <c r="J887" s="177">
        <f>IF(H887=0,0,IF(F887="MXN",1/HLOOKUP(YEAR(G887)+(MONTH(G887)/100),TC!$5:$37,DAY(G887)+2,FALSE),VLOOKUP(F887,Equivalencia!$5:$23,((MAX(Equivalencia!$3:$3)-YEAR(G887))*14)+MONTH(G887)+2,FALSE)))</f>
        <v>0</v>
      </c>
      <c r="K887" s="217">
        <f t="shared" si="135"/>
        <v>0</v>
      </c>
      <c r="L887" s="462">
        <f>IF(G887=0,0,VLOOKUP(YEAR(G887),INPC!$B$4:$O$29,MONTH(G887)+1))</f>
        <v>0</v>
      </c>
      <c r="M887" s="462">
        <f>IF(T887=0,0,VLOOKUP(YEAR(T887),INPC!$B$4:$O$29,MONTH(T887)+1))</f>
        <v>0</v>
      </c>
      <c r="N887" s="463">
        <f t="shared" si="131"/>
        <v>0</v>
      </c>
      <c r="O887" s="464">
        <f t="shared" si="136"/>
        <v>0</v>
      </c>
      <c r="P887" s="465">
        <f t="shared" si="137"/>
        <v>0</v>
      </c>
      <c r="Q887" s="606" t="str">
        <f t="shared" si="138"/>
        <v>NO</v>
      </c>
      <c r="R887" s="180"/>
      <c r="S887" s="173"/>
      <c r="T887" s="174"/>
      <c r="U887" s="173"/>
      <c r="V887" s="220"/>
      <c r="W887" s="177">
        <f>IF(S887=0,0,IF(U887="MXN",1/HLOOKUP(YEAR(T887)+(MONTH(T887)/100),TC!$5:$37,DAY(T887)+2,FALSE),VLOOKUP(U887,Equivalencia!$1:$23,((MAX(Equivalencia!$3:$3)-YEAR(T887))*14)+MONTH(T887)+2,FALSE)))</f>
        <v>0</v>
      </c>
      <c r="X887" s="178">
        <f t="shared" si="139"/>
        <v>0</v>
      </c>
      <c r="Y887" s="178">
        <f t="shared" si="140"/>
        <v>0</v>
      </c>
      <c r="Z887" s="175">
        <f t="shared" si="132"/>
        <v>0</v>
      </c>
      <c r="AA887" s="179"/>
      <c r="AB887" s="467">
        <f t="shared" si="133"/>
        <v>0</v>
      </c>
      <c r="AC887" s="466">
        <f t="shared" si="134"/>
        <v>0</v>
      </c>
    </row>
    <row r="888" spans="2:29" ht="20.100000000000001" customHeight="1">
      <c r="B888" s="172"/>
      <c r="C888" s="172"/>
      <c r="D888" s="172"/>
      <c r="E888" s="181"/>
      <c r="F888" s="173"/>
      <c r="G888" s="174"/>
      <c r="H888" s="284"/>
      <c r="I888" s="221"/>
      <c r="J888" s="177">
        <f>IF(H888=0,0,IF(F888="MXN",1/HLOOKUP(YEAR(G888)+(MONTH(G888)/100),TC!$5:$37,DAY(G888)+2,FALSE),VLOOKUP(F888,Equivalencia!$5:$23,((MAX(Equivalencia!$3:$3)-YEAR(G888))*14)+MONTH(G888)+2,FALSE)))</f>
        <v>0</v>
      </c>
      <c r="K888" s="217">
        <f t="shared" si="135"/>
        <v>0</v>
      </c>
      <c r="L888" s="462">
        <f>IF(G888=0,0,VLOOKUP(YEAR(G888),INPC!$B$4:$O$29,MONTH(G888)+1))</f>
        <v>0</v>
      </c>
      <c r="M888" s="462">
        <f>IF(T888=0,0,VLOOKUP(YEAR(T888),INPC!$B$4:$O$29,MONTH(T888)+1))</f>
        <v>0</v>
      </c>
      <c r="N888" s="463">
        <f t="shared" si="131"/>
        <v>0</v>
      </c>
      <c r="O888" s="464">
        <f t="shared" si="136"/>
        <v>0</v>
      </c>
      <c r="P888" s="465">
        <f t="shared" si="137"/>
        <v>0</v>
      </c>
      <c r="Q888" s="606" t="str">
        <f t="shared" si="138"/>
        <v>NO</v>
      </c>
      <c r="R888" s="180"/>
      <c r="S888" s="173"/>
      <c r="T888" s="174"/>
      <c r="U888" s="173"/>
      <c r="V888" s="220"/>
      <c r="W888" s="177">
        <f>IF(S888=0,0,IF(U888="MXN",1/HLOOKUP(YEAR(T888)+(MONTH(T888)/100),TC!$5:$37,DAY(T888)+2,FALSE),VLOOKUP(U888,Equivalencia!$1:$23,((MAX(Equivalencia!$3:$3)-YEAR(T888))*14)+MONTH(T888)+2,FALSE)))</f>
        <v>0</v>
      </c>
      <c r="X888" s="178">
        <f t="shared" si="139"/>
        <v>0</v>
      </c>
      <c r="Y888" s="178">
        <f t="shared" si="140"/>
        <v>0</v>
      </c>
      <c r="Z888" s="175">
        <f t="shared" si="132"/>
        <v>0</v>
      </c>
      <c r="AA888" s="179"/>
      <c r="AB888" s="467">
        <f t="shared" si="133"/>
        <v>0</v>
      </c>
      <c r="AC888" s="466">
        <f t="shared" si="134"/>
        <v>0</v>
      </c>
    </row>
    <row r="889" spans="2:29" ht="20.100000000000001" customHeight="1">
      <c r="B889" s="172"/>
      <c r="C889" s="172"/>
      <c r="D889" s="172"/>
      <c r="E889" s="181"/>
      <c r="F889" s="173"/>
      <c r="G889" s="174"/>
      <c r="H889" s="284"/>
      <c r="I889" s="221"/>
      <c r="J889" s="177">
        <f>IF(H889=0,0,IF(F889="MXN",1/HLOOKUP(YEAR(G889)+(MONTH(G889)/100),TC!$5:$37,DAY(G889)+2,FALSE),VLOOKUP(F889,Equivalencia!$5:$23,((MAX(Equivalencia!$3:$3)-YEAR(G889))*14)+MONTH(G889)+2,FALSE)))</f>
        <v>0</v>
      </c>
      <c r="K889" s="217">
        <f t="shared" si="135"/>
        <v>0</v>
      </c>
      <c r="L889" s="462">
        <f>IF(G889=0,0,VLOOKUP(YEAR(G889),INPC!$B$4:$O$29,MONTH(G889)+1))</f>
        <v>0</v>
      </c>
      <c r="M889" s="462">
        <f>IF(T889=0,0,VLOOKUP(YEAR(T889),INPC!$B$4:$O$29,MONTH(T889)+1))</f>
        <v>0</v>
      </c>
      <c r="N889" s="463">
        <f t="shared" si="131"/>
        <v>0</v>
      </c>
      <c r="O889" s="464">
        <f t="shared" si="136"/>
        <v>0</v>
      </c>
      <c r="P889" s="465">
        <f t="shared" si="137"/>
        <v>0</v>
      </c>
      <c r="Q889" s="606" t="str">
        <f t="shared" si="138"/>
        <v>NO</v>
      </c>
      <c r="R889" s="180"/>
      <c r="S889" s="173"/>
      <c r="T889" s="174"/>
      <c r="U889" s="173"/>
      <c r="V889" s="220"/>
      <c r="W889" s="177">
        <f>IF(S889=0,0,IF(U889="MXN",1/HLOOKUP(YEAR(T889)+(MONTH(T889)/100),TC!$5:$37,DAY(T889)+2,FALSE),VLOOKUP(U889,Equivalencia!$1:$23,((MAX(Equivalencia!$3:$3)-YEAR(T889))*14)+MONTH(T889)+2,FALSE)))</f>
        <v>0</v>
      </c>
      <c r="X889" s="178">
        <f t="shared" si="139"/>
        <v>0</v>
      </c>
      <c r="Y889" s="178">
        <f t="shared" si="140"/>
        <v>0</v>
      </c>
      <c r="Z889" s="175">
        <f t="shared" si="132"/>
        <v>0</v>
      </c>
      <c r="AA889" s="179"/>
      <c r="AB889" s="467">
        <f t="shared" si="133"/>
        <v>0</v>
      </c>
      <c r="AC889" s="466">
        <f t="shared" si="134"/>
        <v>0</v>
      </c>
    </row>
    <row r="890" spans="2:29" ht="20.100000000000001" customHeight="1">
      <c r="B890" s="172"/>
      <c r="C890" s="172"/>
      <c r="D890" s="172"/>
      <c r="E890" s="181"/>
      <c r="F890" s="173"/>
      <c r="G890" s="174"/>
      <c r="H890" s="284"/>
      <c r="I890" s="221"/>
      <c r="J890" s="177">
        <f>IF(H890=0,0,IF(F890="MXN",1/HLOOKUP(YEAR(G890)+(MONTH(G890)/100),TC!$5:$37,DAY(G890)+2,FALSE),VLOOKUP(F890,Equivalencia!$5:$23,((MAX(Equivalencia!$3:$3)-YEAR(G890))*14)+MONTH(G890)+2,FALSE)))</f>
        <v>0</v>
      </c>
      <c r="K890" s="217">
        <f t="shared" si="135"/>
        <v>0</v>
      </c>
      <c r="L890" s="462">
        <f>IF(G890=0,0,VLOOKUP(YEAR(G890),INPC!$B$4:$O$29,MONTH(G890)+1))</f>
        <v>0</v>
      </c>
      <c r="M890" s="462">
        <f>IF(T890=0,0,VLOOKUP(YEAR(T890),INPC!$B$4:$O$29,MONTH(T890)+1))</f>
        <v>0</v>
      </c>
      <c r="N890" s="463">
        <f t="shared" si="131"/>
        <v>0</v>
      </c>
      <c r="O890" s="464">
        <f t="shared" si="136"/>
        <v>0</v>
      </c>
      <c r="P890" s="465">
        <f t="shared" si="137"/>
        <v>0</v>
      </c>
      <c r="Q890" s="606" t="str">
        <f t="shared" si="138"/>
        <v>NO</v>
      </c>
      <c r="R890" s="180"/>
      <c r="S890" s="173"/>
      <c r="T890" s="174"/>
      <c r="U890" s="173"/>
      <c r="V890" s="220"/>
      <c r="W890" s="177">
        <f>IF(S890=0,0,IF(U890="MXN",1/HLOOKUP(YEAR(T890)+(MONTH(T890)/100),TC!$5:$37,DAY(T890)+2,FALSE),VLOOKUP(U890,Equivalencia!$1:$23,((MAX(Equivalencia!$3:$3)-YEAR(T890))*14)+MONTH(T890)+2,FALSE)))</f>
        <v>0</v>
      </c>
      <c r="X890" s="178">
        <f t="shared" si="139"/>
        <v>0</v>
      </c>
      <c r="Y890" s="178">
        <f t="shared" si="140"/>
        <v>0</v>
      </c>
      <c r="Z890" s="175">
        <f t="shared" si="132"/>
        <v>0</v>
      </c>
      <c r="AA890" s="179"/>
      <c r="AB890" s="467">
        <f t="shared" si="133"/>
        <v>0</v>
      </c>
      <c r="AC890" s="466">
        <f t="shared" si="134"/>
        <v>0</v>
      </c>
    </row>
    <row r="891" spans="2:29" ht="20.100000000000001" customHeight="1">
      <c r="B891" s="172"/>
      <c r="C891" s="172"/>
      <c r="D891" s="172"/>
      <c r="E891" s="181"/>
      <c r="F891" s="173"/>
      <c r="G891" s="174"/>
      <c r="H891" s="284"/>
      <c r="I891" s="221"/>
      <c r="J891" s="177">
        <f>IF(H891=0,0,IF(F891="MXN",1/HLOOKUP(YEAR(G891)+(MONTH(G891)/100),TC!$5:$37,DAY(G891)+2,FALSE),VLOOKUP(F891,Equivalencia!$5:$23,((MAX(Equivalencia!$3:$3)-YEAR(G891))*14)+MONTH(G891)+2,FALSE)))</f>
        <v>0</v>
      </c>
      <c r="K891" s="217">
        <f t="shared" si="135"/>
        <v>0</v>
      </c>
      <c r="L891" s="462">
        <f>IF(G891=0,0,VLOOKUP(YEAR(G891),INPC!$B$4:$O$29,MONTH(G891)+1))</f>
        <v>0</v>
      </c>
      <c r="M891" s="462">
        <f>IF(T891=0,0,VLOOKUP(YEAR(T891),INPC!$B$4:$O$29,MONTH(T891)+1))</f>
        <v>0</v>
      </c>
      <c r="N891" s="463">
        <f t="shared" si="131"/>
        <v>0</v>
      </c>
      <c r="O891" s="464">
        <f t="shared" si="136"/>
        <v>0</v>
      </c>
      <c r="P891" s="465">
        <f t="shared" si="137"/>
        <v>0</v>
      </c>
      <c r="Q891" s="606" t="str">
        <f t="shared" si="138"/>
        <v>NO</v>
      </c>
      <c r="R891" s="180"/>
      <c r="S891" s="173"/>
      <c r="T891" s="174"/>
      <c r="U891" s="173"/>
      <c r="V891" s="220"/>
      <c r="W891" s="177">
        <f>IF(S891=0,0,IF(U891="MXN",1/HLOOKUP(YEAR(T891)+(MONTH(T891)/100),TC!$5:$37,DAY(T891)+2,FALSE),VLOOKUP(U891,Equivalencia!$1:$23,((MAX(Equivalencia!$3:$3)-YEAR(T891))*14)+MONTH(T891)+2,FALSE)))</f>
        <v>0</v>
      </c>
      <c r="X891" s="178">
        <f t="shared" si="139"/>
        <v>0</v>
      </c>
      <c r="Y891" s="178">
        <f t="shared" si="140"/>
        <v>0</v>
      </c>
      <c r="Z891" s="175">
        <f t="shared" si="132"/>
        <v>0</v>
      </c>
      <c r="AA891" s="179"/>
      <c r="AB891" s="467">
        <f t="shared" si="133"/>
        <v>0</v>
      </c>
      <c r="AC891" s="466">
        <f t="shared" si="134"/>
        <v>0</v>
      </c>
    </row>
    <row r="892" spans="2:29" ht="20.100000000000001" customHeight="1">
      <c r="B892" s="172"/>
      <c r="C892" s="172"/>
      <c r="D892" s="172"/>
      <c r="E892" s="181"/>
      <c r="F892" s="173"/>
      <c r="G892" s="174"/>
      <c r="H892" s="284"/>
      <c r="I892" s="221"/>
      <c r="J892" s="177">
        <f>IF(H892=0,0,IF(F892="MXN",1/HLOOKUP(YEAR(G892)+(MONTH(G892)/100),TC!$5:$37,DAY(G892)+2,FALSE),VLOOKUP(F892,Equivalencia!$5:$23,((MAX(Equivalencia!$3:$3)-YEAR(G892))*14)+MONTH(G892)+2,FALSE)))</f>
        <v>0</v>
      </c>
      <c r="K892" s="217">
        <f t="shared" si="135"/>
        <v>0</v>
      </c>
      <c r="L892" s="462">
        <f>IF(G892=0,0,VLOOKUP(YEAR(G892),INPC!$B$4:$O$29,MONTH(G892)+1))</f>
        <v>0</v>
      </c>
      <c r="M892" s="462">
        <f>IF(T892=0,0,VLOOKUP(YEAR(T892),INPC!$B$4:$O$29,MONTH(T892)+1))</f>
        <v>0</v>
      </c>
      <c r="N892" s="463">
        <f t="shared" si="131"/>
        <v>0</v>
      </c>
      <c r="O892" s="464">
        <f t="shared" si="136"/>
        <v>0</v>
      </c>
      <c r="P892" s="465">
        <f t="shared" si="137"/>
        <v>0</v>
      </c>
      <c r="Q892" s="606" t="str">
        <f t="shared" si="138"/>
        <v>NO</v>
      </c>
      <c r="R892" s="180"/>
      <c r="S892" s="173"/>
      <c r="T892" s="174"/>
      <c r="U892" s="173"/>
      <c r="V892" s="220"/>
      <c r="W892" s="177">
        <f>IF(S892=0,0,IF(U892="MXN",1/HLOOKUP(YEAR(T892)+(MONTH(T892)/100),TC!$5:$37,DAY(T892)+2,FALSE),VLOOKUP(U892,Equivalencia!$1:$23,((MAX(Equivalencia!$3:$3)-YEAR(T892))*14)+MONTH(T892)+2,FALSE)))</f>
        <v>0</v>
      </c>
      <c r="X892" s="178">
        <f t="shared" si="139"/>
        <v>0</v>
      </c>
      <c r="Y892" s="178">
        <f t="shared" si="140"/>
        <v>0</v>
      </c>
      <c r="Z892" s="175">
        <f t="shared" si="132"/>
        <v>0</v>
      </c>
      <c r="AA892" s="179"/>
      <c r="AB892" s="467">
        <f t="shared" si="133"/>
        <v>0</v>
      </c>
      <c r="AC892" s="466">
        <f t="shared" si="134"/>
        <v>0</v>
      </c>
    </row>
    <row r="893" spans="2:29" ht="20.100000000000001" customHeight="1">
      <c r="B893" s="172"/>
      <c r="C893" s="172"/>
      <c r="D893" s="172"/>
      <c r="E893" s="181"/>
      <c r="F893" s="173"/>
      <c r="G893" s="174"/>
      <c r="H893" s="284"/>
      <c r="I893" s="221"/>
      <c r="J893" s="177">
        <f>IF(H893=0,0,IF(F893="MXN",1/HLOOKUP(YEAR(G893)+(MONTH(G893)/100),TC!$5:$37,DAY(G893)+2,FALSE),VLOOKUP(F893,Equivalencia!$5:$23,((MAX(Equivalencia!$3:$3)-YEAR(G893))*14)+MONTH(G893)+2,FALSE)))</f>
        <v>0</v>
      </c>
      <c r="K893" s="217">
        <f t="shared" si="135"/>
        <v>0</v>
      </c>
      <c r="L893" s="462">
        <f>IF(G893=0,0,VLOOKUP(YEAR(G893),INPC!$B$4:$O$29,MONTH(G893)+1))</f>
        <v>0</v>
      </c>
      <c r="M893" s="462">
        <f>IF(T893=0,0,VLOOKUP(YEAR(T893),INPC!$B$4:$O$29,MONTH(T893)+1))</f>
        <v>0</v>
      </c>
      <c r="N893" s="463">
        <f t="shared" si="131"/>
        <v>0</v>
      </c>
      <c r="O893" s="464">
        <f t="shared" si="136"/>
        <v>0</v>
      </c>
      <c r="P893" s="465">
        <f t="shared" si="137"/>
        <v>0</v>
      </c>
      <c r="Q893" s="606" t="str">
        <f t="shared" si="138"/>
        <v>NO</v>
      </c>
      <c r="R893" s="180"/>
      <c r="S893" s="173"/>
      <c r="T893" s="174"/>
      <c r="U893" s="173"/>
      <c r="V893" s="220"/>
      <c r="W893" s="177">
        <f>IF(S893=0,0,IF(U893="MXN",1/HLOOKUP(YEAR(T893)+(MONTH(T893)/100),TC!$5:$37,DAY(T893)+2,FALSE),VLOOKUP(U893,Equivalencia!$1:$23,((MAX(Equivalencia!$3:$3)-YEAR(T893))*14)+MONTH(T893)+2,FALSE)))</f>
        <v>0</v>
      </c>
      <c r="X893" s="178">
        <f t="shared" si="139"/>
        <v>0</v>
      </c>
      <c r="Y893" s="178">
        <f t="shared" si="140"/>
        <v>0</v>
      </c>
      <c r="Z893" s="175">
        <f t="shared" si="132"/>
        <v>0</v>
      </c>
      <c r="AA893" s="179"/>
      <c r="AB893" s="467">
        <f t="shared" si="133"/>
        <v>0</v>
      </c>
      <c r="AC893" s="466">
        <f t="shared" si="134"/>
        <v>0</v>
      </c>
    </row>
    <row r="894" spans="2:29" ht="20.100000000000001" customHeight="1">
      <c r="B894" s="172"/>
      <c r="C894" s="172"/>
      <c r="D894" s="172"/>
      <c r="E894" s="181"/>
      <c r="F894" s="173"/>
      <c r="G894" s="174"/>
      <c r="H894" s="284"/>
      <c r="I894" s="221"/>
      <c r="J894" s="177">
        <f>IF(H894=0,0,IF(F894="MXN",1/HLOOKUP(YEAR(G894)+(MONTH(G894)/100),TC!$5:$37,DAY(G894)+2,FALSE),VLOOKUP(F894,Equivalencia!$5:$23,((MAX(Equivalencia!$3:$3)-YEAR(G894))*14)+MONTH(G894)+2,FALSE)))</f>
        <v>0</v>
      </c>
      <c r="K894" s="217">
        <f t="shared" si="135"/>
        <v>0</v>
      </c>
      <c r="L894" s="462">
        <f>IF(G894=0,0,VLOOKUP(YEAR(G894),INPC!$B$4:$O$29,MONTH(G894)+1))</f>
        <v>0</v>
      </c>
      <c r="M894" s="462">
        <f>IF(T894=0,0,VLOOKUP(YEAR(T894),INPC!$B$4:$O$29,MONTH(T894)+1))</f>
        <v>0</v>
      </c>
      <c r="N894" s="463">
        <f t="shared" si="131"/>
        <v>0</v>
      </c>
      <c r="O894" s="464">
        <f t="shared" si="136"/>
        <v>0</v>
      </c>
      <c r="P894" s="465">
        <f t="shared" si="137"/>
        <v>0</v>
      </c>
      <c r="Q894" s="606" t="str">
        <f t="shared" si="138"/>
        <v>NO</v>
      </c>
      <c r="R894" s="180"/>
      <c r="S894" s="173"/>
      <c r="T894" s="174"/>
      <c r="U894" s="173"/>
      <c r="V894" s="220"/>
      <c r="W894" s="177">
        <f>IF(S894=0,0,IF(U894="MXN",1/HLOOKUP(YEAR(T894)+(MONTH(T894)/100),TC!$5:$37,DAY(T894)+2,FALSE),VLOOKUP(U894,Equivalencia!$1:$23,((MAX(Equivalencia!$3:$3)-YEAR(T894))*14)+MONTH(T894)+2,FALSE)))</f>
        <v>0</v>
      </c>
      <c r="X894" s="178">
        <f t="shared" si="139"/>
        <v>0</v>
      </c>
      <c r="Y894" s="178">
        <f t="shared" si="140"/>
        <v>0</v>
      </c>
      <c r="Z894" s="175">
        <f t="shared" si="132"/>
        <v>0</v>
      </c>
      <c r="AA894" s="179"/>
      <c r="AB894" s="467">
        <f t="shared" si="133"/>
        <v>0</v>
      </c>
      <c r="AC894" s="466">
        <f t="shared" si="134"/>
        <v>0</v>
      </c>
    </row>
    <row r="895" spans="2:29" ht="20.100000000000001" customHeight="1">
      <c r="B895" s="172"/>
      <c r="C895" s="172"/>
      <c r="D895" s="172"/>
      <c r="E895" s="181"/>
      <c r="F895" s="173"/>
      <c r="G895" s="174"/>
      <c r="H895" s="284"/>
      <c r="I895" s="221"/>
      <c r="J895" s="177">
        <f>IF(H895=0,0,IF(F895="MXN",1/HLOOKUP(YEAR(G895)+(MONTH(G895)/100),TC!$5:$37,DAY(G895)+2,FALSE),VLOOKUP(F895,Equivalencia!$5:$23,((MAX(Equivalencia!$3:$3)-YEAR(G895))*14)+MONTH(G895)+2,FALSE)))</f>
        <v>0</v>
      </c>
      <c r="K895" s="217">
        <f t="shared" si="135"/>
        <v>0</v>
      </c>
      <c r="L895" s="462">
        <f>IF(G895=0,0,VLOOKUP(YEAR(G895),INPC!$B$4:$O$29,MONTH(G895)+1))</f>
        <v>0</v>
      </c>
      <c r="M895" s="462">
        <f>IF(T895=0,0,VLOOKUP(YEAR(T895),INPC!$B$4:$O$29,MONTH(T895)+1))</f>
        <v>0</v>
      </c>
      <c r="N895" s="463">
        <f t="shared" si="131"/>
        <v>0</v>
      </c>
      <c r="O895" s="464">
        <f t="shared" si="136"/>
        <v>0</v>
      </c>
      <c r="P895" s="465">
        <f t="shared" si="137"/>
        <v>0</v>
      </c>
      <c r="Q895" s="606" t="str">
        <f t="shared" si="138"/>
        <v>NO</v>
      </c>
      <c r="R895" s="180"/>
      <c r="S895" s="173"/>
      <c r="T895" s="174"/>
      <c r="U895" s="173"/>
      <c r="V895" s="220"/>
      <c r="W895" s="177">
        <f>IF(S895=0,0,IF(U895="MXN",1/HLOOKUP(YEAR(T895)+(MONTH(T895)/100),TC!$5:$37,DAY(T895)+2,FALSE),VLOOKUP(U895,Equivalencia!$1:$23,((MAX(Equivalencia!$3:$3)-YEAR(T895))*14)+MONTH(T895)+2,FALSE)))</f>
        <v>0</v>
      </c>
      <c r="X895" s="178">
        <f t="shared" si="139"/>
        <v>0</v>
      </c>
      <c r="Y895" s="178">
        <f t="shared" si="140"/>
        <v>0</v>
      </c>
      <c r="Z895" s="175">
        <f t="shared" si="132"/>
        <v>0</v>
      </c>
      <c r="AA895" s="179"/>
      <c r="AB895" s="467">
        <f t="shared" si="133"/>
        <v>0</v>
      </c>
      <c r="AC895" s="466">
        <f t="shared" si="134"/>
        <v>0</v>
      </c>
    </row>
    <row r="896" spans="2:29" ht="20.100000000000001" customHeight="1">
      <c r="B896" s="172"/>
      <c r="C896" s="172"/>
      <c r="D896" s="172"/>
      <c r="E896" s="181"/>
      <c r="F896" s="173"/>
      <c r="G896" s="174"/>
      <c r="H896" s="284"/>
      <c r="I896" s="221"/>
      <c r="J896" s="177">
        <f>IF(H896=0,0,IF(F896="MXN",1/HLOOKUP(YEAR(G896)+(MONTH(G896)/100),TC!$5:$37,DAY(G896)+2,FALSE),VLOOKUP(F896,Equivalencia!$5:$23,((MAX(Equivalencia!$3:$3)-YEAR(G896))*14)+MONTH(G896)+2,FALSE)))</f>
        <v>0</v>
      </c>
      <c r="K896" s="217">
        <f t="shared" si="135"/>
        <v>0</v>
      </c>
      <c r="L896" s="462">
        <f>IF(G896=0,0,VLOOKUP(YEAR(G896),INPC!$B$4:$O$29,MONTH(G896)+1))</f>
        <v>0</v>
      </c>
      <c r="M896" s="462">
        <f>IF(T896=0,0,VLOOKUP(YEAR(T896),INPC!$B$4:$O$29,MONTH(T896)+1))</f>
        <v>0</v>
      </c>
      <c r="N896" s="463">
        <f t="shared" si="131"/>
        <v>0</v>
      </c>
      <c r="O896" s="464">
        <f t="shared" si="136"/>
        <v>0</v>
      </c>
      <c r="P896" s="465">
        <f t="shared" si="137"/>
        <v>0</v>
      </c>
      <c r="Q896" s="606" t="str">
        <f t="shared" si="138"/>
        <v>NO</v>
      </c>
      <c r="R896" s="180"/>
      <c r="S896" s="173"/>
      <c r="T896" s="174"/>
      <c r="U896" s="173"/>
      <c r="V896" s="220"/>
      <c r="W896" s="177">
        <f>IF(S896=0,0,IF(U896="MXN",1/HLOOKUP(YEAR(T896)+(MONTH(T896)/100),TC!$5:$37,DAY(T896)+2,FALSE),VLOOKUP(U896,Equivalencia!$1:$23,((MAX(Equivalencia!$3:$3)-YEAR(T896))*14)+MONTH(T896)+2,FALSE)))</f>
        <v>0</v>
      </c>
      <c r="X896" s="178">
        <f t="shared" si="139"/>
        <v>0</v>
      </c>
      <c r="Y896" s="178">
        <f t="shared" si="140"/>
        <v>0</v>
      </c>
      <c r="Z896" s="175">
        <f t="shared" si="132"/>
        <v>0</v>
      </c>
      <c r="AA896" s="179"/>
      <c r="AB896" s="467">
        <f t="shared" si="133"/>
        <v>0</v>
      </c>
      <c r="AC896" s="466">
        <f t="shared" si="134"/>
        <v>0</v>
      </c>
    </row>
    <row r="897" spans="2:29" ht="20.100000000000001" customHeight="1">
      <c r="B897" s="172"/>
      <c r="C897" s="172"/>
      <c r="D897" s="172"/>
      <c r="E897" s="181"/>
      <c r="F897" s="173"/>
      <c r="G897" s="174"/>
      <c r="H897" s="284"/>
      <c r="I897" s="221"/>
      <c r="J897" s="177">
        <f>IF(H897=0,0,IF(F897="MXN",1/HLOOKUP(YEAR(G897)+(MONTH(G897)/100),TC!$5:$37,DAY(G897)+2,FALSE),VLOOKUP(F897,Equivalencia!$5:$23,((MAX(Equivalencia!$3:$3)-YEAR(G897))*14)+MONTH(G897)+2,FALSE)))</f>
        <v>0</v>
      </c>
      <c r="K897" s="217">
        <f t="shared" si="135"/>
        <v>0</v>
      </c>
      <c r="L897" s="462">
        <f>IF(G897=0,0,VLOOKUP(YEAR(G897),INPC!$B$4:$O$29,MONTH(G897)+1))</f>
        <v>0</v>
      </c>
      <c r="M897" s="462">
        <f>IF(T897=0,0,VLOOKUP(YEAR(T897),INPC!$B$4:$O$29,MONTH(T897)+1))</f>
        <v>0</v>
      </c>
      <c r="N897" s="463">
        <f t="shared" si="131"/>
        <v>0</v>
      </c>
      <c r="O897" s="464">
        <f t="shared" si="136"/>
        <v>0</v>
      </c>
      <c r="P897" s="465">
        <f t="shared" si="137"/>
        <v>0</v>
      </c>
      <c r="Q897" s="606" t="str">
        <f t="shared" si="138"/>
        <v>NO</v>
      </c>
      <c r="R897" s="180"/>
      <c r="S897" s="173"/>
      <c r="T897" s="174"/>
      <c r="U897" s="173"/>
      <c r="V897" s="220"/>
      <c r="W897" s="177">
        <f>IF(S897=0,0,IF(U897="MXN",1/HLOOKUP(YEAR(T897)+(MONTH(T897)/100),TC!$5:$37,DAY(T897)+2,FALSE),VLOOKUP(U897,Equivalencia!$1:$23,((MAX(Equivalencia!$3:$3)-YEAR(T897))*14)+MONTH(T897)+2,FALSE)))</f>
        <v>0</v>
      </c>
      <c r="X897" s="178">
        <f t="shared" si="139"/>
        <v>0</v>
      </c>
      <c r="Y897" s="178">
        <f t="shared" si="140"/>
        <v>0</v>
      </c>
      <c r="Z897" s="175">
        <f t="shared" si="132"/>
        <v>0</v>
      </c>
      <c r="AA897" s="179"/>
      <c r="AB897" s="467">
        <f t="shared" si="133"/>
        <v>0</v>
      </c>
      <c r="AC897" s="466">
        <f t="shared" si="134"/>
        <v>0</v>
      </c>
    </row>
    <row r="898" spans="2:29" ht="20.100000000000001" customHeight="1">
      <c r="B898" s="172"/>
      <c r="C898" s="172"/>
      <c r="D898" s="172"/>
      <c r="E898" s="181"/>
      <c r="F898" s="173"/>
      <c r="G898" s="174"/>
      <c r="H898" s="284"/>
      <c r="I898" s="221"/>
      <c r="J898" s="177">
        <f>IF(H898=0,0,IF(F898="MXN",1/HLOOKUP(YEAR(G898)+(MONTH(G898)/100),TC!$5:$37,DAY(G898)+2,FALSE),VLOOKUP(F898,Equivalencia!$5:$23,((MAX(Equivalencia!$3:$3)-YEAR(G898))*14)+MONTH(G898)+2,FALSE)))</f>
        <v>0</v>
      </c>
      <c r="K898" s="217">
        <f t="shared" si="135"/>
        <v>0</v>
      </c>
      <c r="L898" s="462">
        <f>IF(G898=0,0,VLOOKUP(YEAR(G898),INPC!$B$4:$O$29,MONTH(G898)+1))</f>
        <v>0</v>
      </c>
      <c r="M898" s="462">
        <f>IF(T898=0,0,VLOOKUP(YEAR(T898),INPC!$B$4:$O$29,MONTH(T898)+1))</f>
        <v>0</v>
      </c>
      <c r="N898" s="463">
        <f t="shared" ref="N898:N961" si="141">IF(T898=0,0,IF(TRUNC(M898/L898,4)&gt;=1,TRUNC(M898/L898,4),1))</f>
        <v>0</v>
      </c>
      <c r="O898" s="464">
        <f t="shared" si="136"/>
        <v>0</v>
      </c>
      <c r="P898" s="465">
        <f t="shared" si="137"/>
        <v>0</v>
      </c>
      <c r="Q898" s="606" t="str">
        <f t="shared" si="138"/>
        <v>NO</v>
      </c>
      <c r="R898" s="180"/>
      <c r="S898" s="173"/>
      <c r="T898" s="174"/>
      <c r="U898" s="173"/>
      <c r="V898" s="220"/>
      <c r="W898" s="177">
        <f>IF(S898=0,0,IF(U898="MXN",1/HLOOKUP(YEAR(T898)+(MONTH(T898)/100),TC!$5:$37,DAY(T898)+2,FALSE),VLOOKUP(U898,Equivalencia!$1:$23,((MAX(Equivalencia!$3:$3)-YEAR(T898))*14)+MONTH(T898)+2,FALSE)))</f>
        <v>0</v>
      </c>
      <c r="X898" s="178">
        <f t="shared" si="139"/>
        <v>0</v>
      </c>
      <c r="Y898" s="178">
        <f t="shared" si="140"/>
        <v>0</v>
      </c>
      <c r="Z898" s="175">
        <f t="shared" ref="Z898:Z961" si="142">+X898+Y898</f>
        <v>0</v>
      </c>
      <c r="AA898" s="179"/>
      <c r="AB898" s="467">
        <f t="shared" ref="AB898:AB961" si="143">+X898+AC898</f>
        <v>0</v>
      </c>
      <c r="AC898" s="466">
        <f t="shared" ref="AC898:AC961" si="144">+R898*P898</f>
        <v>0</v>
      </c>
    </row>
    <row r="899" spans="2:29" ht="20.100000000000001" customHeight="1">
      <c r="B899" s="172"/>
      <c r="C899" s="172"/>
      <c r="D899" s="172"/>
      <c r="E899" s="181"/>
      <c r="F899" s="173"/>
      <c r="G899" s="174"/>
      <c r="H899" s="284"/>
      <c r="I899" s="221"/>
      <c r="J899" s="177">
        <f>IF(H899=0,0,IF(F899="MXN",1/HLOOKUP(YEAR(G899)+(MONTH(G899)/100),TC!$5:$37,DAY(G899)+2,FALSE),VLOOKUP(F899,Equivalencia!$5:$23,((MAX(Equivalencia!$3:$3)-YEAR(G899))*14)+MONTH(G899)+2,FALSE)))</f>
        <v>0</v>
      </c>
      <c r="K899" s="217">
        <f t="shared" ref="K899:K962" si="145">+I899*J899</f>
        <v>0</v>
      </c>
      <c r="L899" s="462">
        <f>IF(G899=0,0,VLOOKUP(YEAR(G899),INPC!$B$4:$O$29,MONTH(G899)+1))</f>
        <v>0</v>
      </c>
      <c r="M899" s="462">
        <f>IF(T899=0,0,VLOOKUP(YEAR(T899),INPC!$B$4:$O$29,MONTH(T899)+1))</f>
        <v>0</v>
      </c>
      <c r="N899" s="463">
        <f t="shared" si="141"/>
        <v>0</v>
      </c>
      <c r="O899" s="464">
        <f t="shared" ref="O899:O962" si="146">+N899*K899</f>
        <v>0</v>
      </c>
      <c r="P899" s="465">
        <f t="shared" ref="P899:P962" si="147">IF(R899=0,0,O899/R899)</f>
        <v>0</v>
      </c>
      <c r="Q899" s="606" t="str">
        <f t="shared" ref="Q899:Q962" si="148">IF(T899=0,"NO","SI")</f>
        <v>NO</v>
      </c>
      <c r="R899" s="180"/>
      <c r="S899" s="173"/>
      <c r="T899" s="174"/>
      <c r="U899" s="173"/>
      <c r="V899" s="220"/>
      <c r="W899" s="177">
        <f>IF(S899=0,0,IF(U899="MXN",1/HLOOKUP(YEAR(T899)+(MONTH(T899)/100),TC!$5:$37,DAY(T899)+2,FALSE),VLOOKUP(U899,Equivalencia!$1:$23,((MAX(Equivalencia!$3:$3)-YEAR(T899))*14)+MONTH(T899)+2,FALSE)))</f>
        <v>0</v>
      </c>
      <c r="X899" s="178">
        <f t="shared" ref="X899:X962" si="149">+W899*V899</f>
        <v>0</v>
      </c>
      <c r="Y899" s="178">
        <f t="shared" ref="Y899:Y962" si="150">+K899</f>
        <v>0</v>
      </c>
      <c r="Z899" s="175">
        <f t="shared" si="142"/>
        <v>0</v>
      </c>
      <c r="AA899" s="179"/>
      <c r="AB899" s="467">
        <f t="shared" si="143"/>
        <v>0</v>
      </c>
      <c r="AC899" s="466">
        <f t="shared" si="144"/>
        <v>0</v>
      </c>
    </row>
    <row r="900" spans="2:29" ht="20.100000000000001" customHeight="1">
      <c r="B900" s="172"/>
      <c r="C900" s="172"/>
      <c r="D900" s="172"/>
      <c r="E900" s="181"/>
      <c r="F900" s="173"/>
      <c r="G900" s="174"/>
      <c r="H900" s="284"/>
      <c r="I900" s="221"/>
      <c r="J900" s="177">
        <f>IF(H900=0,0,IF(F900="MXN",1/HLOOKUP(YEAR(G900)+(MONTH(G900)/100),TC!$5:$37,DAY(G900)+2,FALSE),VLOOKUP(F900,Equivalencia!$5:$23,((MAX(Equivalencia!$3:$3)-YEAR(G900))*14)+MONTH(G900)+2,FALSE)))</f>
        <v>0</v>
      </c>
      <c r="K900" s="217">
        <f t="shared" si="145"/>
        <v>0</v>
      </c>
      <c r="L900" s="462">
        <f>IF(G900=0,0,VLOOKUP(YEAR(G900),INPC!$B$4:$O$29,MONTH(G900)+1))</f>
        <v>0</v>
      </c>
      <c r="M900" s="462">
        <f>IF(T900=0,0,VLOOKUP(YEAR(T900),INPC!$B$4:$O$29,MONTH(T900)+1))</f>
        <v>0</v>
      </c>
      <c r="N900" s="463">
        <f t="shared" si="141"/>
        <v>0</v>
      </c>
      <c r="O900" s="464">
        <f t="shared" si="146"/>
        <v>0</v>
      </c>
      <c r="P900" s="465">
        <f t="shared" si="147"/>
        <v>0</v>
      </c>
      <c r="Q900" s="606" t="str">
        <f t="shared" si="148"/>
        <v>NO</v>
      </c>
      <c r="R900" s="180"/>
      <c r="S900" s="173"/>
      <c r="T900" s="174"/>
      <c r="U900" s="173"/>
      <c r="V900" s="220"/>
      <c r="W900" s="177">
        <f>IF(S900=0,0,IF(U900="MXN",1/HLOOKUP(YEAR(T900)+(MONTH(T900)/100),TC!$5:$37,DAY(T900)+2,FALSE),VLOOKUP(U900,Equivalencia!$1:$23,((MAX(Equivalencia!$3:$3)-YEAR(T900))*14)+MONTH(T900)+2,FALSE)))</f>
        <v>0</v>
      </c>
      <c r="X900" s="178">
        <f t="shared" si="149"/>
        <v>0</v>
      </c>
      <c r="Y900" s="178">
        <f t="shared" si="150"/>
        <v>0</v>
      </c>
      <c r="Z900" s="175">
        <f t="shared" si="142"/>
        <v>0</v>
      </c>
      <c r="AA900" s="179"/>
      <c r="AB900" s="467">
        <f t="shared" si="143"/>
        <v>0</v>
      </c>
      <c r="AC900" s="466">
        <f t="shared" si="144"/>
        <v>0</v>
      </c>
    </row>
    <row r="901" spans="2:29" ht="20.100000000000001" customHeight="1">
      <c r="B901" s="172"/>
      <c r="C901" s="172"/>
      <c r="D901" s="172"/>
      <c r="E901" s="181"/>
      <c r="F901" s="173"/>
      <c r="G901" s="174"/>
      <c r="H901" s="284"/>
      <c r="I901" s="221"/>
      <c r="J901" s="177">
        <f>IF(H901=0,0,IF(F901="MXN",1/HLOOKUP(YEAR(G901)+(MONTH(G901)/100),TC!$5:$37,DAY(G901)+2,FALSE),VLOOKUP(F901,Equivalencia!$5:$23,((MAX(Equivalencia!$3:$3)-YEAR(G901))*14)+MONTH(G901)+2,FALSE)))</f>
        <v>0</v>
      </c>
      <c r="K901" s="217">
        <f t="shared" si="145"/>
        <v>0</v>
      </c>
      <c r="L901" s="462">
        <f>IF(G901=0,0,VLOOKUP(YEAR(G901),INPC!$B$4:$O$29,MONTH(G901)+1))</f>
        <v>0</v>
      </c>
      <c r="M901" s="462">
        <f>IF(T901=0,0,VLOOKUP(YEAR(T901),INPC!$B$4:$O$29,MONTH(T901)+1))</f>
        <v>0</v>
      </c>
      <c r="N901" s="463">
        <f t="shared" si="141"/>
        <v>0</v>
      </c>
      <c r="O901" s="464">
        <f t="shared" si="146"/>
        <v>0</v>
      </c>
      <c r="P901" s="465">
        <f t="shared" si="147"/>
        <v>0</v>
      </c>
      <c r="Q901" s="606" t="str">
        <f t="shared" si="148"/>
        <v>NO</v>
      </c>
      <c r="R901" s="180"/>
      <c r="S901" s="173"/>
      <c r="T901" s="174"/>
      <c r="U901" s="173"/>
      <c r="V901" s="220"/>
      <c r="W901" s="177">
        <f>IF(S901=0,0,IF(U901="MXN",1/HLOOKUP(YEAR(T901)+(MONTH(T901)/100),TC!$5:$37,DAY(T901)+2,FALSE),VLOOKUP(U901,Equivalencia!$1:$23,((MAX(Equivalencia!$3:$3)-YEAR(T901))*14)+MONTH(T901)+2,FALSE)))</f>
        <v>0</v>
      </c>
      <c r="X901" s="178">
        <f t="shared" si="149"/>
        <v>0</v>
      </c>
      <c r="Y901" s="178">
        <f t="shared" si="150"/>
        <v>0</v>
      </c>
      <c r="Z901" s="175">
        <f t="shared" si="142"/>
        <v>0</v>
      </c>
      <c r="AA901" s="179"/>
      <c r="AB901" s="467">
        <f t="shared" si="143"/>
        <v>0</v>
      </c>
      <c r="AC901" s="466">
        <f t="shared" si="144"/>
        <v>0</v>
      </c>
    </row>
    <row r="902" spans="2:29" ht="20.100000000000001" customHeight="1">
      <c r="B902" s="172"/>
      <c r="C902" s="172"/>
      <c r="D902" s="172"/>
      <c r="E902" s="181"/>
      <c r="F902" s="173"/>
      <c r="G902" s="174"/>
      <c r="H902" s="284"/>
      <c r="I902" s="221"/>
      <c r="J902" s="177">
        <f>IF(H902=0,0,IF(F902="MXN",1/HLOOKUP(YEAR(G902)+(MONTH(G902)/100),TC!$5:$37,DAY(G902)+2,FALSE),VLOOKUP(F902,Equivalencia!$5:$23,((MAX(Equivalencia!$3:$3)-YEAR(G902))*14)+MONTH(G902)+2,FALSE)))</f>
        <v>0</v>
      </c>
      <c r="K902" s="217">
        <f t="shared" si="145"/>
        <v>0</v>
      </c>
      <c r="L902" s="462">
        <f>IF(G902=0,0,VLOOKUP(YEAR(G902),INPC!$B$4:$O$29,MONTH(G902)+1))</f>
        <v>0</v>
      </c>
      <c r="M902" s="462">
        <f>IF(T902=0,0,VLOOKUP(YEAR(T902),INPC!$B$4:$O$29,MONTH(T902)+1))</f>
        <v>0</v>
      </c>
      <c r="N902" s="463">
        <f t="shared" si="141"/>
        <v>0</v>
      </c>
      <c r="O902" s="464">
        <f t="shared" si="146"/>
        <v>0</v>
      </c>
      <c r="P902" s="465">
        <f t="shared" si="147"/>
        <v>0</v>
      </c>
      <c r="Q902" s="606" t="str">
        <f t="shared" si="148"/>
        <v>NO</v>
      </c>
      <c r="R902" s="180"/>
      <c r="S902" s="173"/>
      <c r="T902" s="174"/>
      <c r="U902" s="173"/>
      <c r="V902" s="220"/>
      <c r="W902" s="177">
        <f>IF(S902=0,0,IF(U902="MXN",1/HLOOKUP(YEAR(T902)+(MONTH(T902)/100),TC!$5:$37,DAY(T902)+2,FALSE),VLOOKUP(U902,Equivalencia!$1:$23,((MAX(Equivalencia!$3:$3)-YEAR(T902))*14)+MONTH(T902)+2,FALSE)))</f>
        <v>0</v>
      </c>
      <c r="X902" s="178">
        <f t="shared" si="149"/>
        <v>0</v>
      </c>
      <c r="Y902" s="178">
        <f t="shared" si="150"/>
        <v>0</v>
      </c>
      <c r="Z902" s="175">
        <f t="shared" si="142"/>
        <v>0</v>
      </c>
      <c r="AA902" s="179"/>
      <c r="AB902" s="467">
        <f t="shared" si="143"/>
        <v>0</v>
      </c>
      <c r="AC902" s="466">
        <f t="shared" si="144"/>
        <v>0</v>
      </c>
    </row>
    <row r="903" spans="2:29" ht="20.100000000000001" customHeight="1">
      <c r="B903" s="172"/>
      <c r="C903" s="172"/>
      <c r="D903" s="172"/>
      <c r="E903" s="181"/>
      <c r="F903" s="173"/>
      <c r="G903" s="174"/>
      <c r="H903" s="284"/>
      <c r="I903" s="221"/>
      <c r="J903" s="177">
        <f>IF(H903=0,0,IF(F903="MXN",1/HLOOKUP(YEAR(G903)+(MONTH(G903)/100),TC!$5:$37,DAY(G903)+2,FALSE),VLOOKUP(F903,Equivalencia!$5:$23,((MAX(Equivalencia!$3:$3)-YEAR(G903))*14)+MONTH(G903)+2,FALSE)))</f>
        <v>0</v>
      </c>
      <c r="K903" s="217">
        <f t="shared" si="145"/>
        <v>0</v>
      </c>
      <c r="L903" s="462">
        <f>IF(G903=0,0,VLOOKUP(YEAR(G903),INPC!$B$4:$O$29,MONTH(G903)+1))</f>
        <v>0</v>
      </c>
      <c r="M903" s="462">
        <f>IF(T903=0,0,VLOOKUP(YEAR(T903),INPC!$B$4:$O$29,MONTH(T903)+1))</f>
        <v>0</v>
      </c>
      <c r="N903" s="463">
        <f t="shared" si="141"/>
        <v>0</v>
      </c>
      <c r="O903" s="464">
        <f t="shared" si="146"/>
        <v>0</v>
      </c>
      <c r="P903" s="465">
        <f t="shared" si="147"/>
        <v>0</v>
      </c>
      <c r="Q903" s="606" t="str">
        <f t="shared" si="148"/>
        <v>NO</v>
      </c>
      <c r="R903" s="180"/>
      <c r="S903" s="173"/>
      <c r="T903" s="174"/>
      <c r="U903" s="173"/>
      <c r="V903" s="220"/>
      <c r="W903" s="177">
        <f>IF(S903=0,0,IF(U903="MXN",1/HLOOKUP(YEAR(T903)+(MONTH(T903)/100),TC!$5:$37,DAY(T903)+2,FALSE),VLOOKUP(U903,Equivalencia!$1:$23,((MAX(Equivalencia!$3:$3)-YEAR(T903))*14)+MONTH(T903)+2,FALSE)))</f>
        <v>0</v>
      </c>
      <c r="X903" s="178">
        <f t="shared" si="149"/>
        <v>0</v>
      </c>
      <c r="Y903" s="178">
        <f t="shared" si="150"/>
        <v>0</v>
      </c>
      <c r="Z903" s="175">
        <f t="shared" si="142"/>
        <v>0</v>
      </c>
      <c r="AA903" s="179"/>
      <c r="AB903" s="467">
        <f t="shared" si="143"/>
        <v>0</v>
      </c>
      <c r="AC903" s="466">
        <f t="shared" si="144"/>
        <v>0</v>
      </c>
    </row>
    <row r="904" spans="2:29" ht="20.100000000000001" customHeight="1">
      <c r="B904" s="172"/>
      <c r="C904" s="172"/>
      <c r="D904" s="172"/>
      <c r="E904" s="181"/>
      <c r="F904" s="173"/>
      <c r="G904" s="174"/>
      <c r="H904" s="284"/>
      <c r="I904" s="221"/>
      <c r="J904" s="177">
        <f>IF(H904=0,0,IF(F904="MXN",1/HLOOKUP(YEAR(G904)+(MONTH(G904)/100),TC!$5:$37,DAY(G904)+2,FALSE),VLOOKUP(F904,Equivalencia!$5:$23,((MAX(Equivalencia!$3:$3)-YEAR(G904))*14)+MONTH(G904)+2,FALSE)))</f>
        <v>0</v>
      </c>
      <c r="K904" s="217">
        <f t="shared" si="145"/>
        <v>0</v>
      </c>
      <c r="L904" s="462">
        <f>IF(G904=0,0,VLOOKUP(YEAR(G904),INPC!$B$4:$O$29,MONTH(G904)+1))</f>
        <v>0</v>
      </c>
      <c r="M904" s="462">
        <f>IF(T904=0,0,VLOOKUP(YEAR(T904),INPC!$B$4:$O$29,MONTH(T904)+1))</f>
        <v>0</v>
      </c>
      <c r="N904" s="463">
        <f t="shared" si="141"/>
        <v>0</v>
      </c>
      <c r="O904" s="464">
        <f t="shared" si="146"/>
        <v>0</v>
      </c>
      <c r="P904" s="465">
        <f t="shared" si="147"/>
        <v>0</v>
      </c>
      <c r="Q904" s="606" t="str">
        <f t="shared" si="148"/>
        <v>NO</v>
      </c>
      <c r="R904" s="180"/>
      <c r="S904" s="173"/>
      <c r="T904" s="174"/>
      <c r="U904" s="173"/>
      <c r="V904" s="220"/>
      <c r="W904" s="177">
        <f>IF(S904=0,0,IF(U904="MXN",1/HLOOKUP(YEAR(T904)+(MONTH(T904)/100),TC!$5:$37,DAY(T904)+2,FALSE),VLOOKUP(U904,Equivalencia!$1:$23,((MAX(Equivalencia!$3:$3)-YEAR(T904))*14)+MONTH(T904)+2,FALSE)))</f>
        <v>0</v>
      </c>
      <c r="X904" s="178">
        <f t="shared" si="149"/>
        <v>0</v>
      </c>
      <c r="Y904" s="178">
        <f t="shared" si="150"/>
        <v>0</v>
      </c>
      <c r="Z904" s="175">
        <f t="shared" si="142"/>
        <v>0</v>
      </c>
      <c r="AA904" s="179"/>
      <c r="AB904" s="467">
        <f t="shared" si="143"/>
        <v>0</v>
      </c>
      <c r="AC904" s="466">
        <f t="shared" si="144"/>
        <v>0</v>
      </c>
    </row>
    <row r="905" spans="2:29" ht="20.100000000000001" customHeight="1">
      <c r="B905" s="172"/>
      <c r="C905" s="172"/>
      <c r="D905" s="172"/>
      <c r="E905" s="181"/>
      <c r="F905" s="173"/>
      <c r="G905" s="174"/>
      <c r="H905" s="284"/>
      <c r="I905" s="221"/>
      <c r="J905" s="177">
        <f>IF(H905=0,0,IF(F905="MXN",1/HLOOKUP(YEAR(G905)+(MONTH(G905)/100),TC!$5:$37,DAY(G905)+2,FALSE),VLOOKUP(F905,Equivalencia!$5:$23,((MAX(Equivalencia!$3:$3)-YEAR(G905))*14)+MONTH(G905)+2,FALSE)))</f>
        <v>0</v>
      </c>
      <c r="K905" s="217">
        <f t="shared" si="145"/>
        <v>0</v>
      </c>
      <c r="L905" s="462">
        <f>IF(G905=0,0,VLOOKUP(YEAR(G905),INPC!$B$4:$O$29,MONTH(G905)+1))</f>
        <v>0</v>
      </c>
      <c r="M905" s="462">
        <f>IF(T905=0,0,VLOOKUP(YEAR(T905),INPC!$B$4:$O$29,MONTH(T905)+1))</f>
        <v>0</v>
      </c>
      <c r="N905" s="463">
        <f t="shared" si="141"/>
        <v>0</v>
      </c>
      <c r="O905" s="464">
        <f t="shared" si="146"/>
        <v>0</v>
      </c>
      <c r="P905" s="465">
        <f t="shared" si="147"/>
        <v>0</v>
      </c>
      <c r="Q905" s="606" t="str">
        <f t="shared" si="148"/>
        <v>NO</v>
      </c>
      <c r="R905" s="180"/>
      <c r="S905" s="173"/>
      <c r="T905" s="174"/>
      <c r="U905" s="173"/>
      <c r="V905" s="220"/>
      <c r="W905" s="177">
        <f>IF(S905=0,0,IF(U905="MXN",1/HLOOKUP(YEAR(T905)+(MONTH(T905)/100),TC!$5:$37,DAY(T905)+2,FALSE),VLOOKUP(U905,Equivalencia!$1:$23,((MAX(Equivalencia!$3:$3)-YEAR(T905))*14)+MONTH(T905)+2,FALSE)))</f>
        <v>0</v>
      </c>
      <c r="X905" s="178">
        <f t="shared" si="149"/>
        <v>0</v>
      </c>
      <c r="Y905" s="178">
        <f t="shared" si="150"/>
        <v>0</v>
      </c>
      <c r="Z905" s="175">
        <f t="shared" si="142"/>
        <v>0</v>
      </c>
      <c r="AA905" s="179"/>
      <c r="AB905" s="467">
        <f t="shared" si="143"/>
        <v>0</v>
      </c>
      <c r="AC905" s="466">
        <f t="shared" si="144"/>
        <v>0</v>
      </c>
    </row>
    <row r="906" spans="2:29" ht="20.100000000000001" customHeight="1">
      <c r="B906" s="172"/>
      <c r="C906" s="172"/>
      <c r="D906" s="172"/>
      <c r="E906" s="181"/>
      <c r="F906" s="173"/>
      <c r="G906" s="174"/>
      <c r="H906" s="284"/>
      <c r="I906" s="221"/>
      <c r="J906" s="177">
        <f>IF(H906=0,0,IF(F906="MXN",1/HLOOKUP(YEAR(G906)+(MONTH(G906)/100),TC!$5:$37,DAY(G906)+2,FALSE),VLOOKUP(F906,Equivalencia!$5:$23,((MAX(Equivalencia!$3:$3)-YEAR(G906))*14)+MONTH(G906)+2,FALSE)))</f>
        <v>0</v>
      </c>
      <c r="K906" s="217">
        <f t="shared" si="145"/>
        <v>0</v>
      </c>
      <c r="L906" s="462">
        <f>IF(G906=0,0,VLOOKUP(YEAR(G906),INPC!$B$4:$O$29,MONTH(G906)+1))</f>
        <v>0</v>
      </c>
      <c r="M906" s="462">
        <f>IF(T906=0,0,VLOOKUP(YEAR(T906),INPC!$B$4:$O$29,MONTH(T906)+1))</f>
        <v>0</v>
      </c>
      <c r="N906" s="463">
        <f t="shared" si="141"/>
        <v>0</v>
      </c>
      <c r="O906" s="464">
        <f t="shared" si="146"/>
        <v>0</v>
      </c>
      <c r="P906" s="465">
        <f t="shared" si="147"/>
        <v>0</v>
      </c>
      <c r="Q906" s="606" t="str">
        <f t="shared" si="148"/>
        <v>NO</v>
      </c>
      <c r="R906" s="180"/>
      <c r="S906" s="173"/>
      <c r="T906" s="174"/>
      <c r="U906" s="173"/>
      <c r="V906" s="220"/>
      <c r="W906" s="177">
        <f>IF(S906=0,0,IF(U906="MXN",1/HLOOKUP(YEAR(T906)+(MONTH(T906)/100),TC!$5:$37,DAY(T906)+2,FALSE),VLOOKUP(U906,Equivalencia!$1:$23,((MAX(Equivalencia!$3:$3)-YEAR(T906))*14)+MONTH(T906)+2,FALSE)))</f>
        <v>0</v>
      </c>
      <c r="X906" s="178">
        <f t="shared" si="149"/>
        <v>0</v>
      </c>
      <c r="Y906" s="178">
        <f t="shared" si="150"/>
        <v>0</v>
      </c>
      <c r="Z906" s="175">
        <f t="shared" si="142"/>
        <v>0</v>
      </c>
      <c r="AA906" s="179"/>
      <c r="AB906" s="467">
        <f t="shared" si="143"/>
        <v>0</v>
      </c>
      <c r="AC906" s="466">
        <f t="shared" si="144"/>
        <v>0</v>
      </c>
    </row>
    <row r="907" spans="2:29" ht="20.100000000000001" customHeight="1">
      <c r="B907" s="172"/>
      <c r="C907" s="172"/>
      <c r="D907" s="172"/>
      <c r="E907" s="181"/>
      <c r="F907" s="173"/>
      <c r="G907" s="174"/>
      <c r="H907" s="284"/>
      <c r="I907" s="221"/>
      <c r="J907" s="177">
        <f>IF(H907=0,0,IF(F907="MXN",1/HLOOKUP(YEAR(G907)+(MONTH(G907)/100),TC!$5:$37,DAY(G907)+2,FALSE),VLOOKUP(F907,Equivalencia!$5:$23,((MAX(Equivalencia!$3:$3)-YEAR(G907))*14)+MONTH(G907)+2,FALSE)))</f>
        <v>0</v>
      </c>
      <c r="K907" s="217">
        <f t="shared" si="145"/>
        <v>0</v>
      </c>
      <c r="L907" s="462">
        <f>IF(G907=0,0,VLOOKUP(YEAR(G907),INPC!$B$4:$O$29,MONTH(G907)+1))</f>
        <v>0</v>
      </c>
      <c r="M907" s="462">
        <f>IF(T907=0,0,VLOOKUP(YEAR(T907),INPC!$B$4:$O$29,MONTH(T907)+1))</f>
        <v>0</v>
      </c>
      <c r="N907" s="463">
        <f t="shared" si="141"/>
        <v>0</v>
      </c>
      <c r="O907" s="464">
        <f t="shared" si="146"/>
        <v>0</v>
      </c>
      <c r="P907" s="465">
        <f t="shared" si="147"/>
        <v>0</v>
      </c>
      <c r="Q907" s="606" t="str">
        <f t="shared" si="148"/>
        <v>NO</v>
      </c>
      <c r="R907" s="180"/>
      <c r="S907" s="173"/>
      <c r="T907" s="174"/>
      <c r="U907" s="173"/>
      <c r="V907" s="220"/>
      <c r="W907" s="177">
        <f>IF(S907=0,0,IF(U907="MXN",1/HLOOKUP(YEAR(T907)+(MONTH(T907)/100),TC!$5:$37,DAY(T907)+2,FALSE),VLOOKUP(U907,Equivalencia!$1:$23,((MAX(Equivalencia!$3:$3)-YEAR(T907))*14)+MONTH(T907)+2,FALSE)))</f>
        <v>0</v>
      </c>
      <c r="X907" s="178">
        <f t="shared" si="149"/>
        <v>0</v>
      </c>
      <c r="Y907" s="178">
        <f t="shared" si="150"/>
        <v>0</v>
      </c>
      <c r="Z907" s="175">
        <f t="shared" si="142"/>
        <v>0</v>
      </c>
      <c r="AA907" s="179"/>
      <c r="AB907" s="467">
        <f t="shared" si="143"/>
        <v>0</v>
      </c>
      <c r="AC907" s="466">
        <f t="shared" si="144"/>
        <v>0</v>
      </c>
    </row>
    <row r="908" spans="2:29" ht="20.100000000000001" customHeight="1">
      <c r="B908" s="172"/>
      <c r="C908" s="172"/>
      <c r="D908" s="172"/>
      <c r="E908" s="181"/>
      <c r="F908" s="173"/>
      <c r="G908" s="174"/>
      <c r="H908" s="284"/>
      <c r="I908" s="221"/>
      <c r="J908" s="177">
        <f>IF(H908=0,0,IF(F908="MXN",1/HLOOKUP(YEAR(G908)+(MONTH(G908)/100),TC!$5:$37,DAY(G908)+2,FALSE),VLOOKUP(F908,Equivalencia!$5:$23,((MAX(Equivalencia!$3:$3)-YEAR(G908))*14)+MONTH(G908)+2,FALSE)))</f>
        <v>0</v>
      </c>
      <c r="K908" s="217">
        <f t="shared" si="145"/>
        <v>0</v>
      </c>
      <c r="L908" s="462">
        <f>IF(G908=0,0,VLOOKUP(YEAR(G908),INPC!$B$4:$O$29,MONTH(G908)+1))</f>
        <v>0</v>
      </c>
      <c r="M908" s="462">
        <f>IF(T908=0,0,VLOOKUP(YEAR(T908),INPC!$B$4:$O$29,MONTH(T908)+1))</f>
        <v>0</v>
      </c>
      <c r="N908" s="463">
        <f t="shared" si="141"/>
        <v>0</v>
      </c>
      <c r="O908" s="464">
        <f t="shared" si="146"/>
        <v>0</v>
      </c>
      <c r="P908" s="465">
        <f t="shared" si="147"/>
        <v>0</v>
      </c>
      <c r="Q908" s="606" t="str">
        <f t="shared" si="148"/>
        <v>NO</v>
      </c>
      <c r="R908" s="180"/>
      <c r="S908" s="173"/>
      <c r="T908" s="174"/>
      <c r="U908" s="173"/>
      <c r="V908" s="220"/>
      <c r="W908" s="177">
        <f>IF(S908=0,0,IF(U908="MXN",1/HLOOKUP(YEAR(T908)+(MONTH(T908)/100),TC!$5:$37,DAY(T908)+2,FALSE),VLOOKUP(U908,Equivalencia!$1:$23,((MAX(Equivalencia!$3:$3)-YEAR(T908))*14)+MONTH(T908)+2,FALSE)))</f>
        <v>0</v>
      </c>
      <c r="X908" s="178">
        <f t="shared" si="149"/>
        <v>0</v>
      </c>
      <c r="Y908" s="178">
        <f t="shared" si="150"/>
        <v>0</v>
      </c>
      <c r="Z908" s="175">
        <f t="shared" si="142"/>
        <v>0</v>
      </c>
      <c r="AA908" s="179"/>
      <c r="AB908" s="467">
        <f t="shared" si="143"/>
        <v>0</v>
      </c>
      <c r="AC908" s="466">
        <f t="shared" si="144"/>
        <v>0</v>
      </c>
    </row>
    <row r="909" spans="2:29" ht="20.100000000000001" customHeight="1">
      <c r="B909" s="172"/>
      <c r="C909" s="172"/>
      <c r="D909" s="172"/>
      <c r="E909" s="181"/>
      <c r="F909" s="173"/>
      <c r="G909" s="174"/>
      <c r="H909" s="284"/>
      <c r="I909" s="221"/>
      <c r="J909" s="177">
        <f>IF(H909=0,0,IF(F909="MXN",1/HLOOKUP(YEAR(G909)+(MONTH(G909)/100),TC!$5:$37,DAY(G909)+2,FALSE),VLOOKUP(F909,Equivalencia!$5:$23,((MAX(Equivalencia!$3:$3)-YEAR(G909))*14)+MONTH(G909)+2,FALSE)))</f>
        <v>0</v>
      </c>
      <c r="K909" s="217">
        <f t="shared" si="145"/>
        <v>0</v>
      </c>
      <c r="L909" s="462">
        <f>IF(G909=0,0,VLOOKUP(YEAR(G909),INPC!$B$4:$O$29,MONTH(G909)+1))</f>
        <v>0</v>
      </c>
      <c r="M909" s="462">
        <f>IF(T909=0,0,VLOOKUP(YEAR(T909),INPC!$B$4:$O$29,MONTH(T909)+1))</f>
        <v>0</v>
      </c>
      <c r="N909" s="463">
        <f t="shared" si="141"/>
        <v>0</v>
      </c>
      <c r="O909" s="464">
        <f t="shared" si="146"/>
        <v>0</v>
      </c>
      <c r="P909" s="465">
        <f t="shared" si="147"/>
        <v>0</v>
      </c>
      <c r="Q909" s="606" t="str">
        <f t="shared" si="148"/>
        <v>NO</v>
      </c>
      <c r="R909" s="180"/>
      <c r="S909" s="173"/>
      <c r="T909" s="174"/>
      <c r="U909" s="173"/>
      <c r="V909" s="220"/>
      <c r="W909" s="177">
        <f>IF(S909=0,0,IF(U909="MXN",1/HLOOKUP(YEAR(T909)+(MONTH(T909)/100),TC!$5:$37,DAY(T909)+2,FALSE),VLOOKUP(U909,Equivalencia!$1:$23,((MAX(Equivalencia!$3:$3)-YEAR(T909))*14)+MONTH(T909)+2,FALSE)))</f>
        <v>0</v>
      </c>
      <c r="X909" s="178">
        <f t="shared" si="149"/>
        <v>0</v>
      </c>
      <c r="Y909" s="178">
        <f t="shared" si="150"/>
        <v>0</v>
      </c>
      <c r="Z909" s="175">
        <f t="shared" si="142"/>
        <v>0</v>
      </c>
      <c r="AA909" s="179"/>
      <c r="AB909" s="467">
        <f t="shared" si="143"/>
        <v>0</v>
      </c>
      <c r="AC909" s="466">
        <f t="shared" si="144"/>
        <v>0</v>
      </c>
    </row>
    <row r="910" spans="2:29" ht="20.100000000000001" customHeight="1">
      <c r="B910" s="172"/>
      <c r="C910" s="172"/>
      <c r="D910" s="172"/>
      <c r="E910" s="181"/>
      <c r="F910" s="173"/>
      <c r="G910" s="174"/>
      <c r="H910" s="284"/>
      <c r="I910" s="221"/>
      <c r="J910" s="177">
        <f>IF(H910=0,0,IF(F910="MXN",1/HLOOKUP(YEAR(G910)+(MONTH(G910)/100),TC!$5:$37,DAY(G910)+2,FALSE),VLOOKUP(F910,Equivalencia!$5:$23,((MAX(Equivalencia!$3:$3)-YEAR(G910))*14)+MONTH(G910)+2,FALSE)))</f>
        <v>0</v>
      </c>
      <c r="K910" s="217">
        <f t="shared" si="145"/>
        <v>0</v>
      </c>
      <c r="L910" s="462">
        <f>IF(G910=0,0,VLOOKUP(YEAR(G910),INPC!$B$4:$O$29,MONTH(G910)+1))</f>
        <v>0</v>
      </c>
      <c r="M910" s="462">
        <f>IF(T910=0,0,VLOOKUP(YEAR(T910),INPC!$B$4:$O$29,MONTH(T910)+1))</f>
        <v>0</v>
      </c>
      <c r="N910" s="463">
        <f t="shared" si="141"/>
        <v>0</v>
      </c>
      <c r="O910" s="464">
        <f t="shared" si="146"/>
        <v>0</v>
      </c>
      <c r="P910" s="465">
        <f t="shared" si="147"/>
        <v>0</v>
      </c>
      <c r="Q910" s="606" t="str">
        <f t="shared" si="148"/>
        <v>NO</v>
      </c>
      <c r="R910" s="180"/>
      <c r="S910" s="173"/>
      <c r="T910" s="174"/>
      <c r="U910" s="173"/>
      <c r="V910" s="220"/>
      <c r="W910" s="177">
        <f>IF(S910=0,0,IF(U910="MXN",1/HLOOKUP(YEAR(T910)+(MONTH(T910)/100),TC!$5:$37,DAY(T910)+2,FALSE),VLOOKUP(U910,Equivalencia!$1:$23,((MAX(Equivalencia!$3:$3)-YEAR(T910))*14)+MONTH(T910)+2,FALSE)))</f>
        <v>0</v>
      </c>
      <c r="X910" s="178">
        <f t="shared" si="149"/>
        <v>0</v>
      </c>
      <c r="Y910" s="178">
        <f t="shared" si="150"/>
        <v>0</v>
      </c>
      <c r="Z910" s="175">
        <f t="shared" si="142"/>
        <v>0</v>
      </c>
      <c r="AA910" s="179"/>
      <c r="AB910" s="467">
        <f t="shared" si="143"/>
        <v>0</v>
      </c>
      <c r="AC910" s="466">
        <f t="shared" si="144"/>
        <v>0</v>
      </c>
    </row>
    <row r="911" spans="2:29" ht="20.100000000000001" customHeight="1">
      <c r="B911" s="172"/>
      <c r="C911" s="172"/>
      <c r="D911" s="172"/>
      <c r="E911" s="181"/>
      <c r="F911" s="173"/>
      <c r="G911" s="174"/>
      <c r="H911" s="284"/>
      <c r="I911" s="221"/>
      <c r="J911" s="177">
        <f>IF(H911=0,0,IF(F911="MXN",1/HLOOKUP(YEAR(G911)+(MONTH(G911)/100),TC!$5:$37,DAY(G911)+2,FALSE),VLOOKUP(F911,Equivalencia!$5:$23,((MAX(Equivalencia!$3:$3)-YEAR(G911))*14)+MONTH(G911)+2,FALSE)))</f>
        <v>0</v>
      </c>
      <c r="K911" s="217">
        <f t="shared" si="145"/>
        <v>0</v>
      </c>
      <c r="L911" s="462">
        <f>IF(G911=0,0,VLOOKUP(YEAR(G911),INPC!$B$4:$O$29,MONTH(G911)+1))</f>
        <v>0</v>
      </c>
      <c r="M911" s="462">
        <f>IF(T911=0,0,VLOOKUP(YEAR(T911),INPC!$B$4:$O$29,MONTH(T911)+1))</f>
        <v>0</v>
      </c>
      <c r="N911" s="463">
        <f t="shared" si="141"/>
        <v>0</v>
      </c>
      <c r="O911" s="464">
        <f t="shared" si="146"/>
        <v>0</v>
      </c>
      <c r="P911" s="465">
        <f t="shared" si="147"/>
        <v>0</v>
      </c>
      <c r="Q911" s="606" t="str">
        <f t="shared" si="148"/>
        <v>NO</v>
      </c>
      <c r="R911" s="180"/>
      <c r="S911" s="173"/>
      <c r="T911" s="174"/>
      <c r="U911" s="173"/>
      <c r="V911" s="220"/>
      <c r="W911" s="177">
        <f>IF(S911=0,0,IF(U911="MXN",1/HLOOKUP(YEAR(T911)+(MONTH(T911)/100),TC!$5:$37,DAY(T911)+2,FALSE),VLOOKUP(U911,Equivalencia!$1:$23,((MAX(Equivalencia!$3:$3)-YEAR(T911))*14)+MONTH(T911)+2,FALSE)))</f>
        <v>0</v>
      </c>
      <c r="X911" s="178">
        <f t="shared" si="149"/>
        <v>0</v>
      </c>
      <c r="Y911" s="178">
        <f t="shared" si="150"/>
        <v>0</v>
      </c>
      <c r="Z911" s="175">
        <f t="shared" si="142"/>
        <v>0</v>
      </c>
      <c r="AA911" s="179"/>
      <c r="AB911" s="467">
        <f t="shared" si="143"/>
        <v>0</v>
      </c>
      <c r="AC911" s="466">
        <f t="shared" si="144"/>
        <v>0</v>
      </c>
    </row>
    <row r="912" spans="2:29" ht="20.100000000000001" customHeight="1">
      <c r="B912" s="172"/>
      <c r="C912" s="172"/>
      <c r="D912" s="172"/>
      <c r="E912" s="181"/>
      <c r="F912" s="173"/>
      <c r="G912" s="174"/>
      <c r="H912" s="284"/>
      <c r="I912" s="221"/>
      <c r="J912" s="177">
        <f>IF(H912=0,0,IF(F912="MXN",1/HLOOKUP(YEAR(G912)+(MONTH(G912)/100),TC!$5:$37,DAY(G912)+2,FALSE),VLOOKUP(F912,Equivalencia!$5:$23,((MAX(Equivalencia!$3:$3)-YEAR(G912))*14)+MONTH(G912)+2,FALSE)))</f>
        <v>0</v>
      </c>
      <c r="K912" s="217">
        <f t="shared" si="145"/>
        <v>0</v>
      </c>
      <c r="L912" s="462">
        <f>IF(G912=0,0,VLOOKUP(YEAR(G912),INPC!$B$4:$O$29,MONTH(G912)+1))</f>
        <v>0</v>
      </c>
      <c r="M912" s="462">
        <f>IF(T912=0,0,VLOOKUP(YEAR(T912),INPC!$B$4:$O$29,MONTH(T912)+1))</f>
        <v>0</v>
      </c>
      <c r="N912" s="463">
        <f t="shared" si="141"/>
        <v>0</v>
      </c>
      <c r="O912" s="464">
        <f t="shared" si="146"/>
        <v>0</v>
      </c>
      <c r="P912" s="465">
        <f t="shared" si="147"/>
        <v>0</v>
      </c>
      <c r="Q912" s="606" t="str">
        <f t="shared" si="148"/>
        <v>NO</v>
      </c>
      <c r="R912" s="180"/>
      <c r="S912" s="173"/>
      <c r="T912" s="174"/>
      <c r="U912" s="173"/>
      <c r="V912" s="220"/>
      <c r="W912" s="177">
        <f>IF(S912=0,0,IF(U912="MXN",1/HLOOKUP(YEAR(T912)+(MONTH(T912)/100),TC!$5:$37,DAY(T912)+2,FALSE),VLOOKUP(U912,Equivalencia!$1:$23,((MAX(Equivalencia!$3:$3)-YEAR(T912))*14)+MONTH(T912)+2,FALSE)))</f>
        <v>0</v>
      </c>
      <c r="X912" s="178">
        <f t="shared" si="149"/>
        <v>0</v>
      </c>
      <c r="Y912" s="178">
        <f t="shared" si="150"/>
        <v>0</v>
      </c>
      <c r="Z912" s="175">
        <f t="shared" si="142"/>
        <v>0</v>
      </c>
      <c r="AA912" s="179"/>
      <c r="AB912" s="467">
        <f t="shared" si="143"/>
        <v>0</v>
      </c>
      <c r="AC912" s="466">
        <f t="shared" si="144"/>
        <v>0</v>
      </c>
    </row>
    <row r="913" spans="2:29" ht="20.100000000000001" customHeight="1">
      <c r="B913" s="172"/>
      <c r="C913" s="172"/>
      <c r="D913" s="172"/>
      <c r="E913" s="181"/>
      <c r="F913" s="173"/>
      <c r="G913" s="174"/>
      <c r="H913" s="284"/>
      <c r="I913" s="221"/>
      <c r="J913" s="177">
        <f>IF(H913=0,0,IF(F913="MXN",1/HLOOKUP(YEAR(G913)+(MONTH(G913)/100),TC!$5:$37,DAY(G913)+2,FALSE),VLOOKUP(F913,Equivalencia!$5:$23,((MAX(Equivalencia!$3:$3)-YEAR(G913))*14)+MONTH(G913)+2,FALSE)))</f>
        <v>0</v>
      </c>
      <c r="K913" s="217">
        <f t="shared" si="145"/>
        <v>0</v>
      </c>
      <c r="L913" s="462">
        <f>IF(G913=0,0,VLOOKUP(YEAR(G913),INPC!$B$4:$O$29,MONTH(G913)+1))</f>
        <v>0</v>
      </c>
      <c r="M913" s="462">
        <f>IF(T913=0,0,VLOOKUP(YEAR(T913),INPC!$B$4:$O$29,MONTH(T913)+1))</f>
        <v>0</v>
      </c>
      <c r="N913" s="463">
        <f t="shared" si="141"/>
        <v>0</v>
      </c>
      <c r="O913" s="464">
        <f t="shared" si="146"/>
        <v>0</v>
      </c>
      <c r="P913" s="465">
        <f t="shared" si="147"/>
        <v>0</v>
      </c>
      <c r="Q913" s="606" t="str">
        <f t="shared" si="148"/>
        <v>NO</v>
      </c>
      <c r="R913" s="180"/>
      <c r="S913" s="173"/>
      <c r="T913" s="174"/>
      <c r="U913" s="173"/>
      <c r="V913" s="220"/>
      <c r="W913" s="177">
        <f>IF(S913=0,0,IF(U913="MXN",1/HLOOKUP(YEAR(T913)+(MONTH(T913)/100),TC!$5:$37,DAY(T913)+2,FALSE),VLOOKUP(U913,Equivalencia!$1:$23,((MAX(Equivalencia!$3:$3)-YEAR(T913))*14)+MONTH(T913)+2,FALSE)))</f>
        <v>0</v>
      </c>
      <c r="X913" s="178">
        <f t="shared" si="149"/>
        <v>0</v>
      </c>
      <c r="Y913" s="178">
        <f t="shared" si="150"/>
        <v>0</v>
      </c>
      <c r="Z913" s="175">
        <f t="shared" si="142"/>
        <v>0</v>
      </c>
      <c r="AA913" s="179"/>
      <c r="AB913" s="467">
        <f t="shared" si="143"/>
        <v>0</v>
      </c>
      <c r="AC913" s="466">
        <f t="shared" si="144"/>
        <v>0</v>
      </c>
    </row>
    <row r="914" spans="2:29" ht="20.100000000000001" customHeight="1">
      <c r="B914" s="172"/>
      <c r="C914" s="172"/>
      <c r="D914" s="172"/>
      <c r="E914" s="181"/>
      <c r="F914" s="173"/>
      <c r="G914" s="174"/>
      <c r="H914" s="284"/>
      <c r="I914" s="221"/>
      <c r="J914" s="177">
        <f>IF(H914=0,0,IF(F914="MXN",1/HLOOKUP(YEAR(G914)+(MONTH(G914)/100),TC!$5:$37,DAY(G914)+2,FALSE),VLOOKUP(F914,Equivalencia!$5:$23,((MAX(Equivalencia!$3:$3)-YEAR(G914))*14)+MONTH(G914)+2,FALSE)))</f>
        <v>0</v>
      </c>
      <c r="K914" s="217">
        <f t="shared" si="145"/>
        <v>0</v>
      </c>
      <c r="L914" s="462">
        <f>IF(G914=0,0,VLOOKUP(YEAR(G914),INPC!$B$4:$O$29,MONTH(G914)+1))</f>
        <v>0</v>
      </c>
      <c r="M914" s="462">
        <f>IF(T914=0,0,VLOOKUP(YEAR(T914),INPC!$B$4:$O$29,MONTH(T914)+1))</f>
        <v>0</v>
      </c>
      <c r="N914" s="463">
        <f t="shared" si="141"/>
        <v>0</v>
      </c>
      <c r="O914" s="464">
        <f t="shared" si="146"/>
        <v>0</v>
      </c>
      <c r="P914" s="465">
        <f t="shared" si="147"/>
        <v>0</v>
      </c>
      <c r="Q914" s="606" t="str">
        <f t="shared" si="148"/>
        <v>NO</v>
      </c>
      <c r="R914" s="180"/>
      <c r="S914" s="173"/>
      <c r="T914" s="174"/>
      <c r="U914" s="173"/>
      <c r="V914" s="220"/>
      <c r="W914" s="177">
        <f>IF(S914=0,0,IF(U914="MXN",1/HLOOKUP(YEAR(T914)+(MONTH(T914)/100),TC!$5:$37,DAY(T914)+2,FALSE),VLOOKUP(U914,Equivalencia!$1:$23,((MAX(Equivalencia!$3:$3)-YEAR(T914))*14)+MONTH(T914)+2,FALSE)))</f>
        <v>0</v>
      </c>
      <c r="X914" s="178">
        <f t="shared" si="149"/>
        <v>0</v>
      </c>
      <c r="Y914" s="178">
        <f t="shared" si="150"/>
        <v>0</v>
      </c>
      <c r="Z914" s="175">
        <f t="shared" si="142"/>
        <v>0</v>
      </c>
      <c r="AA914" s="179"/>
      <c r="AB914" s="467">
        <f t="shared" si="143"/>
        <v>0</v>
      </c>
      <c r="AC914" s="466">
        <f t="shared" si="144"/>
        <v>0</v>
      </c>
    </row>
    <row r="915" spans="2:29" ht="20.100000000000001" customHeight="1">
      <c r="B915" s="172"/>
      <c r="C915" s="172"/>
      <c r="D915" s="172"/>
      <c r="E915" s="181"/>
      <c r="F915" s="173"/>
      <c r="G915" s="174"/>
      <c r="H915" s="284"/>
      <c r="I915" s="221"/>
      <c r="J915" s="177">
        <f>IF(H915=0,0,IF(F915="MXN",1/HLOOKUP(YEAR(G915)+(MONTH(G915)/100),TC!$5:$37,DAY(G915)+2,FALSE),VLOOKUP(F915,Equivalencia!$5:$23,((MAX(Equivalencia!$3:$3)-YEAR(G915))*14)+MONTH(G915)+2,FALSE)))</f>
        <v>0</v>
      </c>
      <c r="K915" s="217">
        <f t="shared" si="145"/>
        <v>0</v>
      </c>
      <c r="L915" s="462">
        <f>IF(G915=0,0,VLOOKUP(YEAR(G915),INPC!$B$4:$O$29,MONTH(G915)+1))</f>
        <v>0</v>
      </c>
      <c r="M915" s="462">
        <f>IF(T915=0,0,VLOOKUP(YEAR(T915),INPC!$B$4:$O$29,MONTH(T915)+1))</f>
        <v>0</v>
      </c>
      <c r="N915" s="463">
        <f t="shared" si="141"/>
        <v>0</v>
      </c>
      <c r="O915" s="464">
        <f t="shared" si="146"/>
        <v>0</v>
      </c>
      <c r="P915" s="465">
        <f t="shared" si="147"/>
        <v>0</v>
      </c>
      <c r="Q915" s="606" t="str">
        <f t="shared" si="148"/>
        <v>NO</v>
      </c>
      <c r="R915" s="180"/>
      <c r="S915" s="173"/>
      <c r="T915" s="174"/>
      <c r="U915" s="173"/>
      <c r="V915" s="220"/>
      <c r="W915" s="177">
        <f>IF(S915=0,0,IF(U915="MXN",1/HLOOKUP(YEAR(T915)+(MONTH(T915)/100),TC!$5:$37,DAY(T915)+2,FALSE),VLOOKUP(U915,Equivalencia!$1:$23,((MAX(Equivalencia!$3:$3)-YEAR(T915))*14)+MONTH(T915)+2,FALSE)))</f>
        <v>0</v>
      </c>
      <c r="X915" s="178">
        <f t="shared" si="149"/>
        <v>0</v>
      </c>
      <c r="Y915" s="178">
        <f t="shared" si="150"/>
        <v>0</v>
      </c>
      <c r="Z915" s="175">
        <f t="shared" si="142"/>
        <v>0</v>
      </c>
      <c r="AA915" s="179"/>
      <c r="AB915" s="467">
        <f t="shared" si="143"/>
        <v>0</v>
      </c>
      <c r="AC915" s="466">
        <f t="shared" si="144"/>
        <v>0</v>
      </c>
    </row>
    <row r="916" spans="2:29" ht="20.100000000000001" customHeight="1">
      <c r="B916" s="172"/>
      <c r="C916" s="172"/>
      <c r="D916" s="172"/>
      <c r="E916" s="181"/>
      <c r="F916" s="173"/>
      <c r="G916" s="174"/>
      <c r="H916" s="284"/>
      <c r="I916" s="221"/>
      <c r="J916" s="177">
        <f>IF(H916=0,0,IF(F916="MXN",1/HLOOKUP(YEAR(G916)+(MONTH(G916)/100),TC!$5:$37,DAY(G916)+2,FALSE),VLOOKUP(F916,Equivalencia!$5:$23,((MAX(Equivalencia!$3:$3)-YEAR(G916))*14)+MONTH(G916)+2,FALSE)))</f>
        <v>0</v>
      </c>
      <c r="K916" s="217">
        <f t="shared" si="145"/>
        <v>0</v>
      </c>
      <c r="L916" s="462">
        <f>IF(G916=0,0,VLOOKUP(YEAR(G916),INPC!$B$4:$O$29,MONTH(G916)+1))</f>
        <v>0</v>
      </c>
      <c r="M916" s="462">
        <f>IF(T916=0,0,VLOOKUP(YEAR(T916),INPC!$B$4:$O$29,MONTH(T916)+1))</f>
        <v>0</v>
      </c>
      <c r="N916" s="463">
        <f t="shared" si="141"/>
        <v>0</v>
      </c>
      <c r="O916" s="464">
        <f t="shared" si="146"/>
        <v>0</v>
      </c>
      <c r="P916" s="465">
        <f t="shared" si="147"/>
        <v>0</v>
      </c>
      <c r="Q916" s="606" t="str">
        <f t="shared" si="148"/>
        <v>NO</v>
      </c>
      <c r="R916" s="180"/>
      <c r="S916" s="173"/>
      <c r="T916" s="174"/>
      <c r="U916" s="173"/>
      <c r="V916" s="220"/>
      <c r="W916" s="177">
        <f>IF(S916=0,0,IF(U916="MXN",1/HLOOKUP(YEAR(T916)+(MONTH(T916)/100),TC!$5:$37,DAY(T916)+2,FALSE),VLOOKUP(U916,Equivalencia!$1:$23,((MAX(Equivalencia!$3:$3)-YEAR(T916))*14)+MONTH(T916)+2,FALSE)))</f>
        <v>0</v>
      </c>
      <c r="X916" s="178">
        <f t="shared" si="149"/>
        <v>0</v>
      </c>
      <c r="Y916" s="178">
        <f t="shared" si="150"/>
        <v>0</v>
      </c>
      <c r="Z916" s="175">
        <f t="shared" si="142"/>
        <v>0</v>
      </c>
      <c r="AA916" s="179"/>
      <c r="AB916" s="467">
        <f t="shared" si="143"/>
        <v>0</v>
      </c>
      <c r="AC916" s="466">
        <f t="shared" si="144"/>
        <v>0</v>
      </c>
    </row>
    <row r="917" spans="2:29" ht="20.100000000000001" customHeight="1">
      <c r="B917" s="172"/>
      <c r="C917" s="172"/>
      <c r="D917" s="172"/>
      <c r="E917" s="181"/>
      <c r="F917" s="173"/>
      <c r="G917" s="174"/>
      <c r="H917" s="284"/>
      <c r="I917" s="221"/>
      <c r="J917" s="177">
        <f>IF(H917=0,0,IF(F917="MXN",1/HLOOKUP(YEAR(G917)+(MONTH(G917)/100),TC!$5:$37,DAY(G917)+2,FALSE),VLOOKUP(F917,Equivalencia!$5:$23,((MAX(Equivalencia!$3:$3)-YEAR(G917))*14)+MONTH(G917)+2,FALSE)))</f>
        <v>0</v>
      </c>
      <c r="K917" s="217">
        <f t="shared" si="145"/>
        <v>0</v>
      </c>
      <c r="L917" s="462">
        <f>IF(G917=0,0,VLOOKUP(YEAR(G917),INPC!$B$4:$O$29,MONTH(G917)+1))</f>
        <v>0</v>
      </c>
      <c r="M917" s="462">
        <f>IF(T917=0,0,VLOOKUP(YEAR(T917),INPC!$B$4:$O$29,MONTH(T917)+1))</f>
        <v>0</v>
      </c>
      <c r="N917" s="463">
        <f t="shared" si="141"/>
        <v>0</v>
      </c>
      <c r="O917" s="464">
        <f t="shared" si="146"/>
        <v>0</v>
      </c>
      <c r="P917" s="465">
        <f t="shared" si="147"/>
        <v>0</v>
      </c>
      <c r="Q917" s="606" t="str">
        <f t="shared" si="148"/>
        <v>NO</v>
      </c>
      <c r="R917" s="180"/>
      <c r="S917" s="173"/>
      <c r="T917" s="174"/>
      <c r="U917" s="173"/>
      <c r="V917" s="220"/>
      <c r="W917" s="177">
        <f>IF(S917=0,0,IF(U917="MXN",1/HLOOKUP(YEAR(T917)+(MONTH(T917)/100),TC!$5:$37,DAY(T917)+2,FALSE),VLOOKUP(U917,Equivalencia!$1:$23,((MAX(Equivalencia!$3:$3)-YEAR(T917))*14)+MONTH(T917)+2,FALSE)))</f>
        <v>0</v>
      </c>
      <c r="X917" s="178">
        <f t="shared" si="149"/>
        <v>0</v>
      </c>
      <c r="Y917" s="178">
        <f t="shared" si="150"/>
        <v>0</v>
      </c>
      <c r="Z917" s="175">
        <f t="shared" si="142"/>
        <v>0</v>
      </c>
      <c r="AA917" s="179"/>
      <c r="AB917" s="467">
        <f t="shared" si="143"/>
        <v>0</v>
      </c>
      <c r="AC917" s="466">
        <f t="shared" si="144"/>
        <v>0</v>
      </c>
    </row>
    <row r="918" spans="2:29" ht="20.100000000000001" customHeight="1">
      <c r="B918" s="172"/>
      <c r="C918" s="172"/>
      <c r="D918" s="172"/>
      <c r="E918" s="181"/>
      <c r="F918" s="173"/>
      <c r="G918" s="174"/>
      <c r="H918" s="284"/>
      <c r="I918" s="221"/>
      <c r="J918" s="177">
        <f>IF(H918=0,0,IF(F918="MXN",1/HLOOKUP(YEAR(G918)+(MONTH(G918)/100),TC!$5:$37,DAY(G918)+2,FALSE),VLOOKUP(F918,Equivalencia!$5:$23,((MAX(Equivalencia!$3:$3)-YEAR(G918))*14)+MONTH(G918)+2,FALSE)))</f>
        <v>0</v>
      </c>
      <c r="K918" s="217">
        <f t="shared" si="145"/>
        <v>0</v>
      </c>
      <c r="L918" s="462">
        <f>IF(G918=0,0,VLOOKUP(YEAR(G918),INPC!$B$4:$O$29,MONTH(G918)+1))</f>
        <v>0</v>
      </c>
      <c r="M918" s="462">
        <f>IF(T918=0,0,VLOOKUP(YEAR(T918),INPC!$B$4:$O$29,MONTH(T918)+1))</f>
        <v>0</v>
      </c>
      <c r="N918" s="463">
        <f t="shared" si="141"/>
        <v>0</v>
      </c>
      <c r="O918" s="464">
        <f t="shared" si="146"/>
        <v>0</v>
      </c>
      <c r="P918" s="465">
        <f t="shared" si="147"/>
        <v>0</v>
      </c>
      <c r="Q918" s="606" t="str">
        <f t="shared" si="148"/>
        <v>NO</v>
      </c>
      <c r="R918" s="180"/>
      <c r="S918" s="173"/>
      <c r="T918" s="174"/>
      <c r="U918" s="173"/>
      <c r="V918" s="220"/>
      <c r="W918" s="177">
        <f>IF(S918=0,0,IF(U918="MXN",1/HLOOKUP(YEAR(T918)+(MONTH(T918)/100),TC!$5:$37,DAY(T918)+2,FALSE),VLOOKUP(U918,Equivalencia!$1:$23,((MAX(Equivalencia!$3:$3)-YEAR(T918))*14)+MONTH(T918)+2,FALSE)))</f>
        <v>0</v>
      </c>
      <c r="X918" s="178">
        <f t="shared" si="149"/>
        <v>0</v>
      </c>
      <c r="Y918" s="178">
        <f t="shared" si="150"/>
        <v>0</v>
      </c>
      <c r="Z918" s="175">
        <f t="shared" si="142"/>
        <v>0</v>
      </c>
      <c r="AA918" s="179"/>
      <c r="AB918" s="467">
        <f t="shared" si="143"/>
        <v>0</v>
      </c>
      <c r="AC918" s="466">
        <f t="shared" si="144"/>
        <v>0</v>
      </c>
    </row>
    <row r="919" spans="2:29" ht="20.100000000000001" customHeight="1">
      <c r="B919" s="172"/>
      <c r="C919" s="172"/>
      <c r="D919" s="172"/>
      <c r="E919" s="181"/>
      <c r="F919" s="173"/>
      <c r="G919" s="174"/>
      <c r="H919" s="284"/>
      <c r="I919" s="221"/>
      <c r="J919" s="177">
        <f>IF(H919=0,0,IF(F919="MXN",1/HLOOKUP(YEAR(G919)+(MONTH(G919)/100),TC!$5:$37,DAY(G919)+2,FALSE),VLOOKUP(F919,Equivalencia!$5:$23,((MAX(Equivalencia!$3:$3)-YEAR(G919))*14)+MONTH(G919)+2,FALSE)))</f>
        <v>0</v>
      </c>
      <c r="K919" s="217">
        <f t="shared" si="145"/>
        <v>0</v>
      </c>
      <c r="L919" s="462">
        <f>IF(G919=0,0,VLOOKUP(YEAR(G919),INPC!$B$4:$O$29,MONTH(G919)+1))</f>
        <v>0</v>
      </c>
      <c r="M919" s="462">
        <f>IF(T919=0,0,VLOOKUP(YEAR(T919),INPC!$B$4:$O$29,MONTH(T919)+1))</f>
        <v>0</v>
      </c>
      <c r="N919" s="463">
        <f t="shared" si="141"/>
        <v>0</v>
      </c>
      <c r="O919" s="464">
        <f t="shared" si="146"/>
        <v>0</v>
      </c>
      <c r="P919" s="465">
        <f t="shared" si="147"/>
        <v>0</v>
      </c>
      <c r="Q919" s="606" t="str">
        <f t="shared" si="148"/>
        <v>NO</v>
      </c>
      <c r="R919" s="180"/>
      <c r="S919" s="173"/>
      <c r="T919" s="174"/>
      <c r="U919" s="173"/>
      <c r="V919" s="220"/>
      <c r="W919" s="177">
        <f>IF(S919=0,0,IF(U919="MXN",1/HLOOKUP(YEAR(T919)+(MONTH(T919)/100),TC!$5:$37,DAY(T919)+2,FALSE),VLOOKUP(U919,Equivalencia!$1:$23,((MAX(Equivalencia!$3:$3)-YEAR(T919))*14)+MONTH(T919)+2,FALSE)))</f>
        <v>0</v>
      </c>
      <c r="X919" s="178">
        <f t="shared" si="149"/>
        <v>0</v>
      </c>
      <c r="Y919" s="178">
        <f t="shared" si="150"/>
        <v>0</v>
      </c>
      <c r="Z919" s="175">
        <f t="shared" si="142"/>
        <v>0</v>
      </c>
      <c r="AA919" s="179"/>
      <c r="AB919" s="467">
        <f t="shared" si="143"/>
        <v>0</v>
      </c>
      <c r="AC919" s="466">
        <f t="shared" si="144"/>
        <v>0</v>
      </c>
    </row>
    <row r="920" spans="2:29" ht="20.100000000000001" customHeight="1">
      <c r="B920" s="172"/>
      <c r="C920" s="172"/>
      <c r="D920" s="172"/>
      <c r="E920" s="181"/>
      <c r="F920" s="173"/>
      <c r="G920" s="174"/>
      <c r="H920" s="284"/>
      <c r="I920" s="221"/>
      <c r="J920" s="177">
        <f>IF(H920=0,0,IF(F920="MXN",1/HLOOKUP(YEAR(G920)+(MONTH(G920)/100),TC!$5:$37,DAY(G920)+2,FALSE),VLOOKUP(F920,Equivalencia!$5:$23,((MAX(Equivalencia!$3:$3)-YEAR(G920))*14)+MONTH(G920)+2,FALSE)))</f>
        <v>0</v>
      </c>
      <c r="K920" s="217">
        <f t="shared" si="145"/>
        <v>0</v>
      </c>
      <c r="L920" s="462">
        <f>IF(G920=0,0,VLOOKUP(YEAR(G920),INPC!$B$4:$O$29,MONTH(G920)+1))</f>
        <v>0</v>
      </c>
      <c r="M920" s="462">
        <f>IF(T920=0,0,VLOOKUP(YEAR(T920),INPC!$B$4:$O$29,MONTH(T920)+1))</f>
        <v>0</v>
      </c>
      <c r="N920" s="463">
        <f t="shared" si="141"/>
        <v>0</v>
      </c>
      <c r="O920" s="464">
        <f t="shared" si="146"/>
        <v>0</v>
      </c>
      <c r="P920" s="465">
        <f t="shared" si="147"/>
        <v>0</v>
      </c>
      <c r="Q920" s="606" t="str">
        <f t="shared" si="148"/>
        <v>NO</v>
      </c>
      <c r="R920" s="180"/>
      <c r="S920" s="173"/>
      <c r="T920" s="174"/>
      <c r="U920" s="173"/>
      <c r="V920" s="220"/>
      <c r="W920" s="177">
        <f>IF(S920=0,0,IF(U920="MXN",1/HLOOKUP(YEAR(T920)+(MONTH(T920)/100),TC!$5:$37,DAY(T920)+2,FALSE),VLOOKUP(U920,Equivalencia!$1:$23,((MAX(Equivalencia!$3:$3)-YEAR(T920))*14)+MONTH(T920)+2,FALSE)))</f>
        <v>0</v>
      </c>
      <c r="X920" s="178">
        <f t="shared" si="149"/>
        <v>0</v>
      </c>
      <c r="Y920" s="178">
        <f t="shared" si="150"/>
        <v>0</v>
      </c>
      <c r="Z920" s="175">
        <f t="shared" si="142"/>
        <v>0</v>
      </c>
      <c r="AA920" s="179"/>
      <c r="AB920" s="467">
        <f t="shared" si="143"/>
        <v>0</v>
      </c>
      <c r="AC920" s="466">
        <f t="shared" si="144"/>
        <v>0</v>
      </c>
    </row>
    <row r="921" spans="2:29" ht="20.100000000000001" customHeight="1">
      <c r="B921" s="172"/>
      <c r="C921" s="172"/>
      <c r="D921" s="172"/>
      <c r="E921" s="181"/>
      <c r="F921" s="173"/>
      <c r="G921" s="174"/>
      <c r="H921" s="284"/>
      <c r="I921" s="221"/>
      <c r="J921" s="177">
        <f>IF(H921=0,0,IF(F921="MXN",1/HLOOKUP(YEAR(G921)+(MONTH(G921)/100),TC!$5:$37,DAY(G921)+2,FALSE),VLOOKUP(F921,Equivalencia!$5:$23,((MAX(Equivalencia!$3:$3)-YEAR(G921))*14)+MONTH(G921)+2,FALSE)))</f>
        <v>0</v>
      </c>
      <c r="K921" s="217">
        <f t="shared" si="145"/>
        <v>0</v>
      </c>
      <c r="L921" s="462">
        <f>IF(G921=0,0,VLOOKUP(YEAR(G921),INPC!$B$4:$O$29,MONTH(G921)+1))</f>
        <v>0</v>
      </c>
      <c r="M921" s="462">
        <f>IF(T921=0,0,VLOOKUP(YEAR(T921),INPC!$B$4:$O$29,MONTH(T921)+1))</f>
        <v>0</v>
      </c>
      <c r="N921" s="463">
        <f t="shared" si="141"/>
        <v>0</v>
      </c>
      <c r="O921" s="464">
        <f t="shared" si="146"/>
        <v>0</v>
      </c>
      <c r="P921" s="465">
        <f t="shared" si="147"/>
        <v>0</v>
      </c>
      <c r="Q921" s="606" t="str">
        <f t="shared" si="148"/>
        <v>NO</v>
      </c>
      <c r="R921" s="180"/>
      <c r="S921" s="173"/>
      <c r="T921" s="174"/>
      <c r="U921" s="173"/>
      <c r="V921" s="220"/>
      <c r="W921" s="177">
        <f>IF(S921=0,0,IF(U921="MXN",1/HLOOKUP(YEAR(T921)+(MONTH(T921)/100),TC!$5:$37,DAY(T921)+2,FALSE),VLOOKUP(U921,Equivalencia!$1:$23,((MAX(Equivalencia!$3:$3)-YEAR(T921))*14)+MONTH(T921)+2,FALSE)))</f>
        <v>0</v>
      </c>
      <c r="X921" s="178">
        <f t="shared" si="149"/>
        <v>0</v>
      </c>
      <c r="Y921" s="178">
        <f t="shared" si="150"/>
        <v>0</v>
      </c>
      <c r="Z921" s="175">
        <f t="shared" si="142"/>
        <v>0</v>
      </c>
      <c r="AA921" s="179"/>
      <c r="AB921" s="467">
        <f t="shared" si="143"/>
        <v>0</v>
      </c>
      <c r="AC921" s="466">
        <f t="shared" si="144"/>
        <v>0</v>
      </c>
    </row>
    <row r="922" spans="2:29" ht="20.100000000000001" customHeight="1">
      <c r="B922" s="172"/>
      <c r="C922" s="172"/>
      <c r="D922" s="172"/>
      <c r="E922" s="181"/>
      <c r="F922" s="173"/>
      <c r="G922" s="174"/>
      <c r="H922" s="284"/>
      <c r="I922" s="221"/>
      <c r="J922" s="177">
        <f>IF(H922=0,0,IF(F922="MXN",1/HLOOKUP(YEAR(G922)+(MONTH(G922)/100),TC!$5:$37,DAY(G922)+2,FALSE),VLOOKUP(F922,Equivalencia!$5:$23,((MAX(Equivalencia!$3:$3)-YEAR(G922))*14)+MONTH(G922)+2,FALSE)))</f>
        <v>0</v>
      </c>
      <c r="K922" s="217">
        <f t="shared" si="145"/>
        <v>0</v>
      </c>
      <c r="L922" s="462">
        <f>IF(G922=0,0,VLOOKUP(YEAR(G922),INPC!$B$4:$O$29,MONTH(G922)+1))</f>
        <v>0</v>
      </c>
      <c r="M922" s="462">
        <f>IF(T922=0,0,VLOOKUP(YEAR(T922),INPC!$B$4:$O$29,MONTH(T922)+1))</f>
        <v>0</v>
      </c>
      <c r="N922" s="463">
        <f t="shared" si="141"/>
        <v>0</v>
      </c>
      <c r="O922" s="464">
        <f t="shared" si="146"/>
        <v>0</v>
      </c>
      <c r="P922" s="465">
        <f t="shared" si="147"/>
        <v>0</v>
      </c>
      <c r="Q922" s="606" t="str">
        <f t="shared" si="148"/>
        <v>NO</v>
      </c>
      <c r="R922" s="180"/>
      <c r="S922" s="173"/>
      <c r="T922" s="174"/>
      <c r="U922" s="173"/>
      <c r="V922" s="220"/>
      <c r="W922" s="177">
        <f>IF(S922=0,0,IF(U922="MXN",1/HLOOKUP(YEAR(T922)+(MONTH(T922)/100),TC!$5:$37,DAY(T922)+2,FALSE),VLOOKUP(U922,Equivalencia!$1:$23,((MAX(Equivalencia!$3:$3)-YEAR(T922))*14)+MONTH(T922)+2,FALSE)))</f>
        <v>0</v>
      </c>
      <c r="X922" s="178">
        <f t="shared" si="149"/>
        <v>0</v>
      </c>
      <c r="Y922" s="178">
        <f t="shared" si="150"/>
        <v>0</v>
      </c>
      <c r="Z922" s="175">
        <f t="shared" si="142"/>
        <v>0</v>
      </c>
      <c r="AA922" s="179"/>
      <c r="AB922" s="467">
        <f t="shared" si="143"/>
        <v>0</v>
      </c>
      <c r="AC922" s="466">
        <f t="shared" si="144"/>
        <v>0</v>
      </c>
    </row>
    <row r="923" spans="2:29" ht="20.100000000000001" customHeight="1">
      <c r="B923" s="172"/>
      <c r="C923" s="172"/>
      <c r="D923" s="172"/>
      <c r="E923" s="181"/>
      <c r="F923" s="173"/>
      <c r="G923" s="174"/>
      <c r="H923" s="284"/>
      <c r="I923" s="221"/>
      <c r="J923" s="177">
        <f>IF(H923=0,0,IF(F923="MXN",1/HLOOKUP(YEAR(G923)+(MONTH(G923)/100),TC!$5:$37,DAY(G923)+2,FALSE),VLOOKUP(F923,Equivalencia!$5:$23,((MAX(Equivalencia!$3:$3)-YEAR(G923))*14)+MONTH(G923)+2,FALSE)))</f>
        <v>0</v>
      </c>
      <c r="K923" s="217">
        <f t="shared" si="145"/>
        <v>0</v>
      </c>
      <c r="L923" s="462">
        <f>IF(G923=0,0,VLOOKUP(YEAR(G923),INPC!$B$4:$O$29,MONTH(G923)+1))</f>
        <v>0</v>
      </c>
      <c r="M923" s="462">
        <f>IF(T923=0,0,VLOOKUP(YEAR(T923),INPC!$B$4:$O$29,MONTH(T923)+1))</f>
        <v>0</v>
      </c>
      <c r="N923" s="463">
        <f t="shared" si="141"/>
        <v>0</v>
      </c>
      <c r="O923" s="464">
        <f t="shared" si="146"/>
        <v>0</v>
      </c>
      <c r="P923" s="465">
        <f t="shared" si="147"/>
        <v>0</v>
      </c>
      <c r="Q923" s="606" t="str">
        <f t="shared" si="148"/>
        <v>NO</v>
      </c>
      <c r="R923" s="180"/>
      <c r="S923" s="173"/>
      <c r="T923" s="174"/>
      <c r="U923" s="173"/>
      <c r="V923" s="220"/>
      <c r="W923" s="177">
        <f>IF(S923=0,0,IF(U923="MXN",1/HLOOKUP(YEAR(T923)+(MONTH(T923)/100),TC!$5:$37,DAY(T923)+2,FALSE),VLOOKUP(U923,Equivalencia!$1:$23,((MAX(Equivalencia!$3:$3)-YEAR(T923))*14)+MONTH(T923)+2,FALSE)))</f>
        <v>0</v>
      </c>
      <c r="X923" s="178">
        <f t="shared" si="149"/>
        <v>0</v>
      </c>
      <c r="Y923" s="178">
        <f t="shared" si="150"/>
        <v>0</v>
      </c>
      <c r="Z923" s="175">
        <f t="shared" si="142"/>
        <v>0</v>
      </c>
      <c r="AA923" s="179"/>
      <c r="AB923" s="467">
        <f t="shared" si="143"/>
        <v>0</v>
      </c>
      <c r="AC923" s="466">
        <f t="shared" si="144"/>
        <v>0</v>
      </c>
    </row>
    <row r="924" spans="2:29" ht="20.100000000000001" customHeight="1">
      <c r="B924" s="172"/>
      <c r="C924" s="172"/>
      <c r="D924" s="172"/>
      <c r="E924" s="181"/>
      <c r="F924" s="173"/>
      <c r="G924" s="174"/>
      <c r="H924" s="284"/>
      <c r="I924" s="221"/>
      <c r="J924" s="177">
        <f>IF(H924=0,0,IF(F924="MXN",1/HLOOKUP(YEAR(G924)+(MONTH(G924)/100),TC!$5:$37,DAY(G924)+2,FALSE),VLOOKUP(F924,Equivalencia!$5:$23,((MAX(Equivalencia!$3:$3)-YEAR(G924))*14)+MONTH(G924)+2,FALSE)))</f>
        <v>0</v>
      </c>
      <c r="K924" s="217">
        <f t="shared" si="145"/>
        <v>0</v>
      </c>
      <c r="L924" s="462">
        <f>IF(G924=0,0,VLOOKUP(YEAR(G924),INPC!$B$4:$O$29,MONTH(G924)+1))</f>
        <v>0</v>
      </c>
      <c r="M924" s="462">
        <f>IF(T924=0,0,VLOOKUP(YEAR(T924),INPC!$B$4:$O$29,MONTH(T924)+1))</f>
        <v>0</v>
      </c>
      <c r="N924" s="463">
        <f t="shared" si="141"/>
        <v>0</v>
      </c>
      <c r="O924" s="464">
        <f t="shared" si="146"/>
        <v>0</v>
      </c>
      <c r="P924" s="465">
        <f t="shared" si="147"/>
        <v>0</v>
      </c>
      <c r="Q924" s="606" t="str">
        <f t="shared" si="148"/>
        <v>NO</v>
      </c>
      <c r="R924" s="180"/>
      <c r="S924" s="173"/>
      <c r="T924" s="174"/>
      <c r="U924" s="173"/>
      <c r="V924" s="220"/>
      <c r="W924" s="177">
        <f>IF(S924=0,0,IF(U924="MXN",1/HLOOKUP(YEAR(T924)+(MONTH(T924)/100),TC!$5:$37,DAY(T924)+2,FALSE),VLOOKUP(U924,Equivalencia!$1:$23,((MAX(Equivalencia!$3:$3)-YEAR(T924))*14)+MONTH(T924)+2,FALSE)))</f>
        <v>0</v>
      </c>
      <c r="X924" s="178">
        <f t="shared" si="149"/>
        <v>0</v>
      </c>
      <c r="Y924" s="178">
        <f t="shared" si="150"/>
        <v>0</v>
      </c>
      <c r="Z924" s="175">
        <f t="shared" si="142"/>
        <v>0</v>
      </c>
      <c r="AA924" s="179"/>
      <c r="AB924" s="467">
        <f t="shared" si="143"/>
        <v>0</v>
      </c>
      <c r="AC924" s="466">
        <f t="shared" si="144"/>
        <v>0</v>
      </c>
    </row>
    <row r="925" spans="2:29" ht="20.100000000000001" customHeight="1">
      <c r="B925" s="172"/>
      <c r="C925" s="172"/>
      <c r="D925" s="172"/>
      <c r="E925" s="181"/>
      <c r="F925" s="173"/>
      <c r="G925" s="174"/>
      <c r="H925" s="284"/>
      <c r="I925" s="221"/>
      <c r="J925" s="177">
        <f>IF(H925=0,0,IF(F925="MXN",1/HLOOKUP(YEAR(G925)+(MONTH(G925)/100),TC!$5:$37,DAY(G925)+2,FALSE),VLOOKUP(F925,Equivalencia!$5:$23,((MAX(Equivalencia!$3:$3)-YEAR(G925))*14)+MONTH(G925)+2,FALSE)))</f>
        <v>0</v>
      </c>
      <c r="K925" s="217">
        <f t="shared" si="145"/>
        <v>0</v>
      </c>
      <c r="L925" s="462">
        <f>IF(G925=0,0,VLOOKUP(YEAR(G925),INPC!$B$4:$O$29,MONTH(G925)+1))</f>
        <v>0</v>
      </c>
      <c r="M925" s="462">
        <f>IF(T925=0,0,VLOOKUP(YEAR(T925),INPC!$B$4:$O$29,MONTH(T925)+1))</f>
        <v>0</v>
      </c>
      <c r="N925" s="463">
        <f t="shared" si="141"/>
        <v>0</v>
      </c>
      <c r="O925" s="464">
        <f t="shared" si="146"/>
        <v>0</v>
      </c>
      <c r="P925" s="465">
        <f t="shared" si="147"/>
        <v>0</v>
      </c>
      <c r="Q925" s="606" t="str">
        <f t="shared" si="148"/>
        <v>NO</v>
      </c>
      <c r="R925" s="180"/>
      <c r="S925" s="173"/>
      <c r="T925" s="174"/>
      <c r="U925" s="173"/>
      <c r="V925" s="220"/>
      <c r="W925" s="177">
        <f>IF(S925=0,0,IF(U925="MXN",1/HLOOKUP(YEAR(T925)+(MONTH(T925)/100),TC!$5:$37,DAY(T925)+2,FALSE),VLOOKUP(U925,Equivalencia!$1:$23,((MAX(Equivalencia!$3:$3)-YEAR(T925))*14)+MONTH(T925)+2,FALSE)))</f>
        <v>0</v>
      </c>
      <c r="X925" s="178">
        <f t="shared" si="149"/>
        <v>0</v>
      </c>
      <c r="Y925" s="178">
        <f t="shared" si="150"/>
        <v>0</v>
      </c>
      <c r="Z925" s="175">
        <f t="shared" si="142"/>
        <v>0</v>
      </c>
      <c r="AA925" s="179"/>
      <c r="AB925" s="467">
        <f t="shared" si="143"/>
        <v>0</v>
      </c>
      <c r="AC925" s="466">
        <f t="shared" si="144"/>
        <v>0</v>
      </c>
    </row>
    <row r="926" spans="2:29" ht="20.100000000000001" customHeight="1">
      <c r="B926" s="172"/>
      <c r="C926" s="172"/>
      <c r="D926" s="172"/>
      <c r="E926" s="181"/>
      <c r="F926" s="173"/>
      <c r="G926" s="174"/>
      <c r="H926" s="284"/>
      <c r="I926" s="221"/>
      <c r="J926" s="177">
        <f>IF(H926=0,0,IF(F926="MXN",1/HLOOKUP(YEAR(G926)+(MONTH(G926)/100),TC!$5:$37,DAY(G926)+2,FALSE),VLOOKUP(F926,Equivalencia!$5:$23,((MAX(Equivalencia!$3:$3)-YEAR(G926))*14)+MONTH(G926)+2,FALSE)))</f>
        <v>0</v>
      </c>
      <c r="K926" s="217">
        <f t="shared" si="145"/>
        <v>0</v>
      </c>
      <c r="L926" s="462">
        <f>IF(G926=0,0,VLOOKUP(YEAR(G926),INPC!$B$4:$O$29,MONTH(G926)+1))</f>
        <v>0</v>
      </c>
      <c r="M926" s="462">
        <f>IF(T926=0,0,VLOOKUP(YEAR(T926),INPC!$B$4:$O$29,MONTH(T926)+1))</f>
        <v>0</v>
      </c>
      <c r="N926" s="463">
        <f t="shared" si="141"/>
        <v>0</v>
      </c>
      <c r="O926" s="464">
        <f t="shared" si="146"/>
        <v>0</v>
      </c>
      <c r="P926" s="465">
        <f t="shared" si="147"/>
        <v>0</v>
      </c>
      <c r="Q926" s="606" t="str">
        <f t="shared" si="148"/>
        <v>NO</v>
      </c>
      <c r="R926" s="180"/>
      <c r="S926" s="173"/>
      <c r="T926" s="174"/>
      <c r="U926" s="173"/>
      <c r="V926" s="220"/>
      <c r="W926" s="177">
        <f>IF(S926=0,0,IF(U926="MXN",1/HLOOKUP(YEAR(T926)+(MONTH(T926)/100),TC!$5:$37,DAY(T926)+2,FALSE),VLOOKUP(U926,Equivalencia!$1:$23,((MAX(Equivalencia!$3:$3)-YEAR(T926))*14)+MONTH(T926)+2,FALSE)))</f>
        <v>0</v>
      </c>
      <c r="X926" s="178">
        <f t="shared" si="149"/>
        <v>0</v>
      </c>
      <c r="Y926" s="178">
        <f t="shared" si="150"/>
        <v>0</v>
      </c>
      <c r="Z926" s="175">
        <f t="shared" si="142"/>
        <v>0</v>
      </c>
      <c r="AA926" s="179"/>
      <c r="AB926" s="467">
        <f t="shared" si="143"/>
        <v>0</v>
      </c>
      <c r="AC926" s="466">
        <f t="shared" si="144"/>
        <v>0</v>
      </c>
    </row>
    <row r="927" spans="2:29" ht="20.100000000000001" customHeight="1">
      <c r="B927" s="172"/>
      <c r="C927" s="172"/>
      <c r="D927" s="172"/>
      <c r="E927" s="181"/>
      <c r="F927" s="173"/>
      <c r="G927" s="174"/>
      <c r="H927" s="284"/>
      <c r="I927" s="221"/>
      <c r="J927" s="177">
        <f>IF(H927=0,0,IF(F927="MXN",1/HLOOKUP(YEAR(G927)+(MONTH(G927)/100),TC!$5:$37,DAY(G927)+2,FALSE),VLOOKUP(F927,Equivalencia!$5:$23,((MAX(Equivalencia!$3:$3)-YEAR(G927))*14)+MONTH(G927)+2,FALSE)))</f>
        <v>0</v>
      </c>
      <c r="K927" s="217">
        <f t="shared" si="145"/>
        <v>0</v>
      </c>
      <c r="L927" s="462">
        <f>IF(G927=0,0,VLOOKUP(YEAR(G927),INPC!$B$4:$O$29,MONTH(G927)+1))</f>
        <v>0</v>
      </c>
      <c r="M927" s="462">
        <f>IF(T927=0,0,VLOOKUP(YEAR(T927),INPC!$B$4:$O$29,MONTH(T927)+1))</f>
        <v>0</v>
      </c>
      <c r="N927" s="463">
        <f t="shared" si="141"/>
        <v>0</v>
      </c>
      <c r="O927" s="464">
        <f t="shared" si="146"/>
        <v>0</v>
      </c>
      <c r="P927" s="465">
        <f t="shared" si="147"/>
        <v>0</v>
      </c>
      <c r="Q927" s="606" t="str">
        <f t="shared" si="148"/>
        <v>NO</v>
      </c>
      <c r="R927" s="180"/>
      <c r="S927" s="173"/>
      <c r="T927" s="174"/>
      <c r="U927" s="173"/>
      <c r="V927" s="220"/>
      <c r="W927" s="177">
        <f>IF(S927=0,0,IF(U927="MXN",1/HLOOKUP(YEAR(T927)+(MONTH(T927)/100),TC!$5:$37,DAY(T927)+2,FALSE),VLOOKUP(U927,Equivalencia!$1:$23,((MAX(Equivalencia!$3:$3)-YEAR(T927))*14)+MONTH(T927)+2,FALSE)))</f>
        <v>0</v>
      </c>
      <c r="X927" s="178">
        <f t="shared" si="149"/>
        <v>0</v>
      </c>
      <c r="Y927" s="178">
        <f t="shared" si="150"/>
        <v>0</v>
      </c>
      <c r="Z927" s="175">
        <f t="shared" si="142"/>
        <v>0</v>
      </c>
      <c r="AA927" s="179"/>
      <c r="AB927" s="467">
        <f t="shared" si="143"/>
        <v>0</v>
      </c>
      <c r="AC927" s="466">
        <f t="shared" si="144"/>
        <v>0</v>
      </c>
    </row>
    <row r="928" spans="2:29" ht="20.100000000000001" customHeight="1">
      <c r="B928" s="172"/>
      <c r="C928" s="172"/>
      <c r="D928" s="172"/>
      <c r="E928" s="181"/>
      <c r="F928" s="173"/>
      <c r="G928" s="174"/>
      <c r="H928" s="284"/>
      <c r="I928" s="221"/>
      <c r="J928" s="177">
        <f>IF(H928=0,0,IF(F928="MXN",1/HLOOKUP(YEAR(G928)+(MONTH(G928)/100),TC!$5:$37,DAY(G928)+2,FALSE),VLOOKUP(F928,Equivalencia!$5:$23,((MAX(Equivalencia!$3:$3)-YEAR(G928))*14)+MONTH(G928)+2,FALSE)))</f>
        <v>0</v>
      </c>
      <c r="K928" s="217">
        <f t="shared" si="145"/>
        <v>0</v>
      </c>
      <c r="L928" s="462">
        <f>IF(G928=0,0,VLOOKUP(YEAR(G928),INPC!$B$4:$O$29,MONTH(G928)+1))</f>
        <v>0</v>
      </c>
      <c r="M928" s="462">
        <f>IF(T928=0,0,VLOOKUP(YEAR(T928),INPC!$B$4:$O$29,MONTH(T928)+1))</f>
        <v>0</v>
      </c>
      <c r="N928" s="463">
        <f t="shared" si="141"/>
        <v>0</v>
      </c>
      <c r="O928" s="464">
        <f t="shared" si="146"/>
        <v>0</v>
      </c>
      <c r="P928" s="465">
        <f t="shared" si="147"/>
        <v>0</v>
      </c>
      <c r="Q928" s="606" t="str">
        <f t="shared" si="148"/>
        <v>NO</v>
      </c>
      <c r="R928" s="180"/>
      <c r="S928" s="173"/>
      <c r="T928" s="174"/>
      <c r="U928" s="173"/>
      <c r="V928" s="220"/>
      <c r="W928" s="177">
        <f>IF(S928=0,0,IF(U928="MXN",1/HLOOKUP(YEAR(T928)+(MONTH(T928)/100),TC!$5:$37,DAY(T928)+2,FALSE),VLOOKUP(U928,Equivalencia!$1:$23,((MAX(Equivalencia!$3:$3)-YEAR(T928))*14)+MONTH(T928)+2,FALSE)))</f>
        <v>0</v>
      </c>
      <c r="X928" s="178">
        <f t="shared" si="149"/>
        <v>0</v>
      </c>
      <c r="Y928" s="178">
        <f t="shared" si="150"/>
        <v>0</v>
      </c>
      <c r="Z928" s="175">
        <f t="shared" si="142"/>
        <v>0</v>
      </c>
      <c r="AA928" s="179"/>
      <c r="AB928" s="467">
        <f t="shared" si="143"/>
        <v>0</v>
      </c>
      <c r="AC928" s="466">
        <f t="shared" si="144"/>
        <v>0</v>
      </c>
    </row>
    <row r="929" spans="2:29" ht="20.100000000000001" customHeight="1">
      <c r="B929" s="172"/>
      <c r="C929" s="172"/>
      <c r="D929" s="172"/>
      <c r="E929" s="181"/>
      <c r="F929" s="173"/>
      <c r="G929" s="174"/>
      <c r="H929" s="284"/>
      <c r="I929" s="221"/>
      <c r="J929" s="177">
        <f>IF(H929=0,0,IF(F929="MXN",1/HLOOKUP(YEAR(G929)+(MONTH(G929)/100),TC!$5:$37,DAY(G929)+2,FALSE),VLOOKUP(F929,Equivalencia!$5:$23,((MAX(Equivalencia!$3:$3)-YEAR(G929))*14)+MONTH(G929)+2,FALSE)))</f>
        <v>0</v>
      </c>
      <c r="K929" s="217">
        <f t="shared" si="145"/>
        <v>0</v>
      </c>
      <c r="L929" s="462">
        <f>IF(G929=0,0,VLOOKUP(YEAR(G929),INPC!$B$4:$O$29,MONTH(G929)+1))</f>
        <v>0</v>
      </c>
      <c r="M929" s="462">
        <f>IF(T929=0,0,VLOOKUP(YEAR(T929),INPC!$B$4:$O$29,MONTH(T929)+1))</f>
        <v>0</v>
      </c>
      <c r="N929" s="463">
        <f t="shared" si="141"/>
        <v>0</v>
      </c>
      <c r="O929" s="464">
        <f t="shared" si="146"/>
        <v>0</v>
      </c>
      <c r="P929" s="465">
        <f t="shared" si="147"/>
        <v>0</v>
      </c>
      <c r="Q929" s="606" t="str">
        <f t="shared" si="148"/>
        <v>NO</v>
      </c>
      <c r="R929" s="180"/>
      <c r="S929" s="173"/>
      <c r="T929" s="174"/>
      <c r="U929" s="173"/>
      <c r="V929" s="220"/>
      <c r="W929" s="177">
        <f>IF(S929=0,0,IF(U929="MXN",1/HLOOKUP(YEAR(T929)+(MONTH(T929)/100),TC!$5:$37,DAY(T929)+2,FALSE),VLOOKUP(U929,Equivalencia!$1:$23,((MAX(Equivalencia!$3:$3)-YEAR(T929))*14)+MONTH(T929)+2,FALSE)))</f>
        <v>0</v>
      </c>
      <c r="X929" s="178">
        <f t="shared" si="149"/>
        <v>0</v>
      </c>
      <c r="Y929" s="178">
        <f t="shared" si="150"/>
        <v>0</v>
      </c>
      <c r="Z929" s="175">
        <f t="shared" si="142"/>
        <v>0</v>
      </c>
      <c r="AA929" s="179"/>
      <c r="AB929" s="467">
        <f t="shared" si="143"/>
        <v>0</v>
      </c>
      <c r="AC929" s="466">
        <f t="shared" si="144"/>
        <v>0</v>
      </c>
    </row>
    <row r="930" spans="2:29" ht="20.100000000000001" customHeight="1">
      <c r="B930" s="172"/>
      <c r="C930" s="172"/>
      <c r="D930" s="172"/>
      <c r="E930" s="181"/>
      <c r="F930" s="173"/>
      <c r="G930" s="174"/>
      <c r="H930" s="284"/>
      <c r="I930" s="221"/>
      <c r="J930" s="177">
        <f>IF(H930=0,0,IF(F930="MXN",1/HLOOKUP(YEAR(G930)+(MONTH(G930)/100),TC!$5:$37,DAY(G930)+2,FALSE),VLOOKUP(F930,Equivalencia!$5:$23,((MAX(Equivalencia!$3:$3)-YEAR(G930))*14)+MONTH(G930)+2,FALSE)))</f>
        <v>0</v>
      </c>
      <c r="K930" s="217">
        <f t="shared" si="145"/>
        <v>0</v>
      </c>
      <c r="L930" s="462">
        <f>IF(G930=0,0,VLOOKUP(YEAR(G930),INPC!$B$4:$O$29,MONTH(G930)+1))</f>
        <v>0</v>
      </c>
      <c r="M930" s="462">
        <f>IF(T930=0,0,VLOOKUP(YEAR(T930),INPC!$B$4:$O$29,MONTH(T930)+1))</f>
        <v>0</v>
      </c>
      <c r="N930" s="463">
        <f t="shared" si="141"/>
        <v>0</v>
      </c>
      <c r="O930" s="464">
        <f t="shared" si="146"/>
        <v>0</v>
      </c>
      <c r="P930" s="465">
        <f t="shared" si="147"/>
        <v>0</v>
      </c>
      <c r="Q930" s="606" t="str">
        <f t="shared" si="148"/>
        <v>NO</v>
      </c>
      <c r="R930" s="180"/>
      <c r="S930" s="173"/>
      <c r="T930" s="174"/>
      <c r="U930" s="173"/>
      <c r="V930" s="220"/>
      <c r="W930" s="177">
        <f>IF(S930=0,0,IF(U930="MXN",1/HLOOKUP(YEAR(T930)+(MONTH(T930)/100),TC!$5:$37,DAY(T930)+2,FALSE),VLOOKUP(U930,Equivalencia!$1:$23,((MAX(Equivalencia!$3:$3)-YEAR(T930))*14)+MONTH(T930)+2,FALSE)))</f>
        <v>0</v>
      </c>
      <c r="X930" s="178">
        <f t="shared" si="149"/>
        <v>0</v>
      </c>
      <c r="Y930" s="178">
        <f t="shared" si="150"/>
        <v>0</v>
      </c>
      <c r="Z930" s="175">
        <f t="shared" si="142"/>
        <v>0</v>
      </c>
      <c r="AA930" s="179"/>
      <c r="AB930" s="467">
        <f t="shared" si="143"/>
        <v>0</v>
      </c>
      <c r="AC930" s="466">
        <f t="shared" si="144"/>
        <v>0</v>
      </c>
    </row>
    <row r="931" spans="2:29" ht="20.100000000000001" customHeight="1">
      <c r="B931" s="172"/>
      <c r="C931" s="172"/>
      <c r="D931" s="172"/>
      <c r="E931" s="181"/>
      <c r="F931" s="173"/>
      <c r="G931" s="174"/>
      <c r="H931" s="284"/>
      <c r="I931" s="221"/>
      <c r="J931" s="177">
        <f>IF(H931=0,0,IF(F931="MXN",1/HLOOKUP(YEAR(G931)+(MONTH(G931)/100),TC!$5:$37,DAY(G931)+2,FALSE),VLOOKUP(F931,Equivalencia!$5:$23,((MAX(Equivalencia!$3:$3)-YEAR(G931))*14)+MONTH(G931)+2,FALSE)))</f>
        <v>0</v>
      </c>
      <c r="K931" s="217">
        <f t="shared" si="145"/>
        <v>0</v>
      </c>
      <c r="L931" s="462">
        <f>IF(G931=0,0,VLOOKUP(YEAR(G931),INPC!$B$4:$O$29,MONTH(G931)+1))</f>
        <v>0</v>
      </c>
      <c r="M931" s="462">
        <f>IF(T931=0,0,VLOOKUP(YEAR(T931),INPC!$B$4:$O$29,MONTH(T931)+1))</f>
        <v>0</v>
      </c>
      <c r="N931" s="463">
        <f t="shared" si="141"/>
        <v>0</v>
      </c>
      <c r="O931" s="464">
        <f t="shared" si="146"/>
        <v>0</v>
      </c>
      <c r="P931" s="465">
        <f t="shared" si="147"/>
        <v>0</v>
      </c>
      <c r="Q931" s="606" t="str">
        <f t="shared" si="148"/>
        <v>NO</v>
      </c>
      <c r="R931" s="180"/>
      <c r="S931" s="173"/>
      <c r="T931" s="174"/>
      <c r="U931" s="173"/>
      <c r="V931" s="220"/>
      <c r="W931" s="177">
        <f>IF(S931=0,0,IF(U931="MXN",1/HLOOKUP(YEAR(T931)+(MONTH(T931)/100),TC!$5:$37,DAY(T931)+2,FALSE),VLOOKUP(U931,Equivalencia!$1:$23,((MAX(Equivalencia!$3:$3)-YEAR(T931))*14)+MONTH(T931)+2,FALSE)))</f>
        <v>0</v>
      </c>
      <c r="X931" s="178">
        <f t="shared" si="149"/>
        <v>0</v>
      </c>
      <c r="Y931" s="178">
        <f t="shared" si="150"/>
        <v>0</v>
      </c>
      <c r="Z931" s="175">
        <f t="shared" si="142"/>
        <v>0</v>
      </c>
      <c r="AA931" s="179"/>
      <c r="AB931" s="467">
        <f t="shared" si="143"/>
        <v>0</v>
      </c>
      <c r="AC931" s="466">
        <f t="shared" si="144"/>
        <v>0</v>
      </c>
    </row>
    <row r="932" spans="2:29" ht="20.100000000000001" customHeight="1">
      <c r="B932" s="172"/>
      <c r="C932" s="172"/>
      <c r="D932" s="172"/>
      <c r="E932" s="181"/>
      <c r="F932" s="173"/>
      <c r="G932" s="174"/>
      <c r="H932" s="284"/>
      <c r="I932" s="221"/>
      <c r="J932" s="177">
        <f>IF(H932=0,0,IF(F932="MXN",1/HLOOKUP(YEAR(G932)+(MONTH(G932)/100),TC!$5:$37,DAY(G932)+2,FALSE),VLOOKUP(F932,Equivalencia!$5:$23,((MAX(Equivalencia!$3:$3)-YEAR(G932))*14)+MONTH(G932)+2,FALSE)))</f>
        <v>0</v>
      </c>
      <c r="K932" s="217">
        <f t="shared" si="145"/>
        <v>0</v>
      </c>
      <c r="L932" s="462">
        <f>IF(G932=0,0,VLOOKUP(YEAR(G932),INPC!$B$4:$O$29,MONTH(G932)+1))</f>
        <v>0</v>
      </c>
      <c r="M932" s="462">
        <f>IF(T932=0,0,VLOOKUP(YEAR(T932),INPC!$B$4:$O$29,MONTH(T932)+1))</f>
        <v>0</v>
      </c>
      <c r="N932" s="463">
        <f t="shared" si="141"/>
        <v>0</v>
      </c>
      <c r="O932" s="464">
        <f t="shared" si="146"/>
        <v>0</v>
      </c>
      <c r="P932" s="465">
        <f t="shared" si="147"/>
        <v>0</v>
      </c>
      <c r="Q932" s="606" t="str">
        <f t="shared" si="148"/>
        <v>NO</v>
      </c>
      <c r="R932" s="180"/>
      <c r="S932" s="173"/>
      <c r="T932" s="174"/>
      <c r="U932" s="173"/>
      <c r="V932" s="220"/>
      <c r="W932" s="177">
        <f>IF(S932=0,0,IF(U932="MXN",1/HLOOKUP(YEAR(T932)+(MONTH(T932)/100),TC!$5:$37,DAY(T932)+2,FALSE),VLOOKUP(U932,Equivalencia!$1:$23,((MAX(Equivalencia!$3:$3)-YEAR(T932))*14)+MONTH(T932)+2,FALSE)))</f>
        <v>0</v>
      </c>
      <c r="X932" s="178">
        <f t="shared" si="149"/>
        <v>0</v>
      </c>
      <c r="Y932" s="178">
        <f t="shared" si="150"/>
        <v>0</v>
      </c>
      <c r="Z932" s="175">
        <f t="shared" si="142"/>
        <v>0</v>
      </c>
      <c r="AA932" s="179"/>
      <c r="AB932" s="467">
        <f t="shared" si="143"/>
        <v>0</v>
      </c>
      <c r="AC932" s="466">
        <f t="shared" si="144"/>
        <v>0</v>
      </c>
    </row>
    <row r="933" spans="2:29" ht="20.100000000000001" customHeight="1">
      <c r="B933" s="172"/>
      <c r="C933" s="172"/>
      <c r="D933" s="172"/>
      <c r="E933" s="181"/>
      <c r="F933" s="173"/>
      <c r="G933" s="174"/>
      <c r="H933" s="284"/>
      <c r="I933" s="221"/>
      <c r="J933" s="177">
        <f>IF(H933=0,0,IF(F933="MXN",1/HLOOKUP(YEAR(G933)+(MONTH(G933)/100),TC!$5:$37,DAY(G933)+2,FALSE),VLOOKUP(F933,Equivalencia!$5:$23,((MAX(Equivalencia!$3:$3)-YEAR(G933))*14)+MONTH(G933)+2,FALSE)))</f>
        <v>0</v>
      </c>
      <c r="K933" s="217">
        <f t="shared" si="145"/>
        <v>0</v>
      </c>
      <c r="L933" s="462">
        <f>IF(G933=0,0,VLOOKUP(YEAR(G933),INPC!$B$4:$O$29,MONTH(G933)+1))</f>
        <v>0</v>
      </c>
      <c r="M933" s="462">
        <f>IF(T933=0,0,VLOOKUP(YEAR(T933),INPC!$B$4:$O$29,MONTH(T933)+1))</f>
        <v>0</v>
      </c>
      <c r="N933" s="463">
        <f t="shared" si="141"/>
        <v>0</v>
      </c>
      <c r="O933" s="464">
        <f t="shared" si="146"/>
        <v>0</v>
      </c>
      <c r="P933" s="465">
        <f t="shared" si="147"/>
        <v>0</v>
      </c>
      <c r="Q933" s="606" t="str">
        <f t="shared" si="148"/>
        <v>NO</v>
      </c>
      <c r="R933" s="180"/>
      <c r="S933" s="173"/>
      <c r="T933" s="174"/>
      <c r="U933" s="173"/>
      <c r="V933" s="220"/>
      <c r="W933" s="177">
        <f>IF(S933=0,0,IF(U933="MXN",1/HLOOKUP(YEAR(T933)+(MONTH(T933)/100),TC!$5:$37,DAY(T933)+2,FALSE),VLOOKUP(U933,Equivalencia!$1:$23,((MAX(Equivalencia!$3:$3)-YEAR(T933))*14)+MONTH(T933)+2,FALSE)))</f>
        <v>0</v>
      </c>
      <c r="X933" s="178">
        <f t="shared" si="149"/>
        <v>0</v>
      </c>
      <c r="Y933" s="178">
        <f t="shared" si="150"/>
        <v>0</v>
      </c>
      <c r="Z933" s="175">
        <f t="shared" si="142"/>
        <v>0</v>
      </c>
      <c r="AA933" s="179"/>
      <c r="AB933" s="467">
        <f t="shared" si="143"/>
        <v>0</v>
      </c>
      <c r="AC933" s="466">
        <f t="shared" si="144"/>
        <v>0</v>
      </c>
    </row>
    <row r="934" spans="2:29" ht="20.100000000000001" customHeight="1">
      <c r="B934" s="172"/>
      <c r="C934" s="172"/>
      <c r="D934" s="172"/>
      <c r="E934" s="181"/>
      <c r="F934" s="173"/>
      <c r="G934" s="174"/>
      <c r="H934" s="284"/>
      <c r="I934" s="221"/>
      <c r="J934" s="177">
        <f>IF(H934=0,0,IF(F934="MXN",1/HLOOKUP(YEAR(G934)+(MONTH(G934)/100),TC!$5:$37,DAY(G934)+2,FALSE),VLOOKUP(F934,Equivalencia!$5:$23,((MAX(Equivalencia!$3:$3)-YEAR(G934))*14)+MONTH(G934)+2,FALSE)))</f>
        <v>0</v>
      </c>
      <c r="K934" s="217">
        <f t="shared" si="145"/>
        <v>0</v>
      </c>
      <c r="L934" s="462">
        <f>IF(G934=0,0,VLOOKUP(YEAR(G934),INPC!$B$4:$O$29,MONTH(G934)+1))</f>
        <v>0</v>
      </c>
      <c r="M934" s="462">
        <f>IF(T934=0,0,VLOOKUP(YEAR(T934),INPC!$B$4:$O$29,MONTH(T934)+1))</f>
        <v>0</v>
      </c>
      <c r="N934" s="463">
        <f t="shared" si="141"/>
        <v>0</v>
      </c>
      <c r="O934" s="464">
        <f t="shared" si="146"/>
        <v>0</v>
      </c>
      <c r="P934" s="465">
        <f t="shared" si="147"/>
        <v>0</v>
      </c>
      <c r="Q934" s="606" t="str">
        <f t="shared" si="148"/>
        <v>NO</v>
      </c>
      <c r="R934" s="180"/>
      <c r="S934" s="173"/>
      <c r="T934" s="174"/>
      <c r="U934" s="173"/>
      <c r="V934" s="220"/>
      <c r="W934" s="177">
        <f>IF(S934=0,0,IF(U934="MXN",1/HLOOKUP(YEAR(T934)+(MONTH(T934)/100),TC!$5:$37,DAY(T934)+2,FALSE),VLOOKUP(U934,Equivalencia!$1:$23,((MAX(Equivalencia!$3:$3)-YEAR(T934))*14)+MONTH(T934)+2,FALSE)))</f>
        <v>0</v>
      </c>
      <c r="X934" s="178">
        <f t="shared" si="149"/>
        <v>0</v>
      </c>
      <c r="Y934" s="178">
        <f t="shared" si="150"/>
        <v>0</v>
      </c>
      <c r="Z934" s="175">
        <f t="shared" si="142"/>
        <v>0</v>
      </c>
      <c r="AA934" s="179"/>
      <c r="AB934" s="467">
        <f t="shared" si="143"/>
        <v>0</v>
      </c>
      <c r="AC934" s="466">
        <f t="shared" si="144"/>
        <v>0</v>
      </c>
    </row>
    <row r="935" spans="2:29" ht="20.100000000000001" customHeight="1">
      <c r="B935" s="172"/>
      <c r="C935" s="172"/>
      <c r="D935" s="172"/>
      <c r="E935" s="181"/>
      <c r="F935" s="173"/>
      <c r="G935" s="174"/>
      <c r="H935" s="284"/>
      <c r="I935" s="221"/>
      <c r="J935" s="177">
        <f>IF(H935=0,0,IF(F935="MXN",1/HLOOKUP(YEAR(G935)+(MONTH(G935)/100),TC!$5:$37,DAY(G935)+2,FALSE),VLOOKUP(F935,Equivalencia!$5:$23,((MAX(Equivalencia!$3:$3)-YEAR(G935))*14)+MONTH(G935)+2,FALSE)))</f>
        <v>0</v>
      </c>
      <c r="K935" s="217">
        <f t="shared" si="145"/>
        <v>0</v>
      </c>
      <c r="L935" s="462">
        <f>IF(G935=0,0,VLOOKUP(YEAR(G935),INPC!$B$4:$O$29,MONTH(G935)+1))</f>
        <v>0</v>
      </c>
      <c r="M935" s="462">
        <f>IF(T935=0,0,VLOOKUP(YEAR(T935),INPC!$B$4:$O$29,MONTH(T935)+1))</f>
        <v>0</v>
      </c>
      <c r="N935" s="463">
        <f t="shared" si="141"/>
        <v>0</v>
      </c>
      <c r="O935" s="464">
        <f t="shared" si="146"/>
        <v>0</v>
      </c>
      <c r="P935" s="465">
        <f t="shared" si="147"/>
        <v>0</v>
      </c>
      <c r="Q935" s="606" t="str">
        <f t="shared" si="148"/>
        <v>NO</v>
      </c>
      <c r="R935" s="180"/>
      <c r="S935" s="173"/>
      <c r="T935" s="174"/>
      <c r="U935" s="173"/>
      <c r="V935" s="220"/>
      <c r="W935" s="177">
        <f>IF(S935=0,0,IF(U935="MXN",1/HLOOKUP(YEAR(T935)+(MONTH(T935)/100),TC!$5:$37,DAY(T935)+2,FALSE),VLOOKUP(U935,Equivalencia!$1:$23,((MAX(Equivalencia!$3:$3)-YEAR(T935))*14)+MONTH(T935)+2,FALSE)))</f>
        <v>0</v>
      </c>
      <c r="X935" s="178">
        <f t="shared" si="149"/>
        <v>0</v>
      </c>
      <c r="Y935" s="178">
        <f t="shared" si="150"/>
        <v>0</v>
      </c>
      <c r="Z935" s="175">
        <f t="shared" si="142"/>
        <v>0</v>
      </c>
      <c r="AA935" s="179"/>
      <c r="AB935" s="467">
        <f t="shared" si="143"/>
        <v>0</v>
      </c>
      <c r="AC935" s="466">
        <f t="shared" si="144"/>
        <v>0</v>
      </c>
    </row>
    <row r="936" spans="2:29" ht="20.100000000000001" customHeight="1">
      <c r="B936" s="172"/>
      <c r="C936" s="172"/>
      <c r="D936" s="172"/>
      <c r="E936" s="181"/>
      <c r="F936" s="173"/>
      <c r="G936" s="174"/>
      <c r="H936" s="284"/>
      <c r="I936" s="221"/>
      <c r="J936" s="177">
        <f>IF(H936=0,0,IF(F936="MXN",1/HLOOKUP(YEAR(G936)+(MONTH(G936)/100),TC!$5:$37,DAY(G936)+2,FALSE),VLOOKUP(F936,Equivalencia!$5:$23,((MAX(Equivalencia!$3:$3)-YEAR(G936))*14)+MONTH(G936)+2,FALSE)))</f>
        <v>0</v>
      </c>
      <c r="K936" s="217">
        <f t="shared" si="145"/>
        <v>0</v>
      </c>
      <c r="L936" s="462">
        <f>IF(G936=0,0,VLOOKUP(YEAR(G936),INPC!$B$4:$O$29,MONTH(G936)+1))</f>
        <v>0</v>
      </c>
      <c r="M936" s="462">
        <f>IF(T936=0,0,VLOOKUP(YEAR(T936),INPC!$B$4:$O$29,MONTH(T936)+1))</f>
        <v>0</v>
      </c>
      <c r="N936" s="463">
        <f t="shared" si="141"/>
        <v>0</v>
      </c>
      <c r="O936" s="464">
        <f t="shared" si="146"/>
        <v>0</v>
      </c>
      <c r="P936" s="465">
        <f t="shared" si="147"/>
        <v>0</v>
      </c>
      <c r="Q936" s="606" t="str">
        <f t="shared" si="148"/>
        <v>NO</v>
      </c>
      <c r="R936" s="180"/>
      <c r="S936" s="173"/>
      <c r="T936" s="174"/>
      <c r="U936" s="173"/>
      <c r="V936" s="220"/>
      <c r="W936" s="177">
        <f>IF(S936=0,0,IF(U936="MXN",1/HLOOKUP(YEAR(T936)+(MONTH(T936)/100),TC!$5:$37,DAY(T936)+2,FALSE),VLOOKUP(U936,Equivalencia!$1:$23,((MAX(Equivalencia!$3:$3)-YEAR(T936))*14)+MONTH(T936)+2,FALSE)))</f>
        <v>0</v>
      </c>
      <c r="X936" s="178">
        <f t="shared" si="149"/>
        <v>0</v>
      </c>
      <c r="Y936" s="178">
        <f t="shared" si="150"/>
        <v>0</v>
      </c>
      <c r="Z936" s="175">
        <f t="shared" si="142"/>
        <v>0</v>
      </c>
      <c r="AA936" s="179"/>
      <c r="AB936" s="467">
        <f t="shared" si="143"/>
        <v>0</v>
      </c>
      <c r="AC936" s="466">
        <f t="shared" si="144"/>
        <v>0</v>
      </c>
    </row>
    <row r="937" spans="2:29" ht="20.100000000000001" customHeight="1">
      <c r="B937" s="172"/>
      <c r="C937" s="172"/>
      <c r="D937" s="172"/>
      <c r="E937" s="181"/>
      <c r="F937" s="173"/>
      <c r="G937" s="174"/>
      <c r="H937" s="284"/>
      <c r="I937" s="221"/>
      <c r="J937" s="177">
        <f>IF(H937=0,0,IF(F937="MXN",1/HLOOKUP(YEAR(G937)+(MONTH(G937)/100),TC!$5:$37,DAY(G937)+2,FALSE),VLOOKUP(F937,Equivalencia!$5:$23,((MAX(Equivalencia!$3:$3)-YEAR(G937))*14)+MONTH(G937)+2,FALSE)))</f>
        <v>0</v>
      </c>
      <c r="K937" s="217">
        <f t="shared" si="145"/>
        <v>0</v>
      </c>
      <c r="L937" s="462">
        <f>IF(G937=0,0,VLOOKUP(YEAR(G937),INPC!$B$4:$O$29,MONTH(G937)+1))</f>
        <v>0</v>
      </c>
      <c r="M937" s="462">
        <f>IF(T937=0,0,VLOOKUP(YEAR(T937),INPC!$B$4:$O$29,MONTH(T937)+1))</f>
        <v>0</v>
      </c>
      <c r="N937" s="463">
        <f t="shared" si="141"/>
        <v>0</v>
      </c>
      <c r="O937" s="464">
        <f t="shared" si="146"/>
        <v>0</v>
      </c>
      <c r="P937" s="465">
        <f t="shared" si="147"/>
        <v>0</v>
      </c>
      <c r="Q937" s="606" t="str">
        <f t="shared" si="148"/>
        <v>NO</v>
      </c>
      <c r="R937" s="180"/>
      <c r="S937" s="173"/>
      <c r="T937" s="174"/>
      <c r="U937" s="173"/>
      <c r="V937" s="220"/>
      <c r="W937" s="177">
        <f>IF(S937=0,0,IF(U937="MXN",1/HLOOKUP(YEAR(T937)+(MONTH(T937)/100),TC!$5:$37,DAY(T937)+2,FALSE),VLOOKUP(U937,Equivalencia!$1:$23,((MAX(Equivalencia!$3:$3)-YEAR(T937))*14)+MONTH(T937)+2,FALSE)))</f>
        <v>0</v>
      </c>
      <c r="X937" s="178">
        <f t="shared" si="149"/>
        <v>0</v>
      </c>
      <c r="Y937" s="178">
        <f t="shared" si="150"/>
        <v>0</v>
      </c>
      <c r="Z937" s="175">
        <f t="shared" si="142"/>
        <v>0</v>
      </c>
      <c r="AA937" s="179"/>
      <c r="AB937" s="467">
        <f t="shared" si="143"/>
        <v>0</v>
      </c>
      <c r="AC937" s="466">
        <f t="shared" si="144"/>
        <v>0</v>
      </c>
    </row>
    <row r="938" spans="2:29" ht="20.100000000000001" customHeight="1">
      <c r="B938" s="172"/>
      <c r="C938" s="172"/>
      <c r="D938" s="172"/>
      <c r="E938" s="181"/>
      <c r="F938" s="173"/>
      <c r="G938" s="174"/>
      <c r="H938" s="284"/>
      <c r="I938" s="221"/>
      <c r="J938" s="177">
        <f>IF(H938=0,0,IF(F938="MXN",1/HLOOKUP(YEAR(G938)+(MONTH(G938)/100),TC!$5:$37,DAY(G938)+2,FALSE),VLOOKUP(F938,Equivalencia!$5:$23,((MAX(Equivalencia!$3:$3)-YEAR(G938))*14)+MONTH(G938)+2,FALSE)))</f>
        <v>0</v>
      </c>
      <c r="K938" s="217">
        <f t="shared" si="145"/>
        <v>0</v>
      </c>
      <c r="L938" s="462">
        <f>IF(G938=0,0,VLOOKUP(YEAR(G938),INPC!$B$4:$O$29,MONTH(G938)+1))</f>
        <v>0</v>
      </c>
      <c r="M938" s="462">
        <f>IF(T938=0,0,VLOOKUP(YEAR(T938),INPC!$B$4:$O$29,MONTH(T938)+1))</f>
        <v>0</v>
      </c>
      <c r="N938" s="463">
        <f t="shared" si="141"/>
        <v>0</v>
      </c>
      <c r="O938" s="464">
        <f t="shared" si="146"/>
        <v>0</v>
      </c>
      <c r="P938" s="465">
        <f t="shared" si="147"/>
        <v>0</v>
      </c>
      <c r="Q938" s="606" t="str">
        <f t="shared" si="148"/>
        <v>NO</v>
      </c>
      <c r="R938" s="180"/>
      <c r="S938" s="173"/>
      <c r="T938" s="174"/>
      <c r="U938" s="173"/>
      <c r="V938" s="220"/>
      <c r="W938" s="177">
        <f>IF(S938=0,0,IF(U938="MXN",1/HLOOKUP(YEAR(T938)+(MONTH(T938)/100),TC!$5:$37,DAY(T938)+2,FALSE),VLOOKUP(U938,Equivalencia!$1:$23,((MAX(Equivalencia!$3:$3)-YEAR(T938))*14)+MONTH(T938)+2,FALSE)))</f>
        <v>0</v>
      </c>
      <c r="X938" s="178">
        <f t="shared" si="149"/>
        <v>0</v>
      </c>
      <c r="Y938" s="178">
        <f t="shared" si="150"/>
        <v>0</v>
      </c>
      <c r="Z938" s="175">
        <f t="shared" si="142"/>
        <v>0</v>
      </c>
      <c r="AA938" s="179"/>
      <c r="AB938" s="467">
        <f t="shared" si="143"/>
        <v>0</v>
      </c>
      <c r="AC938" s="466">
        <f t="shared" si="144"/>
        <v>0</v>
      </c>
    </row>
    <row r="939" spans="2:29" ht="20.100000000000001" customHeight="1">
      <c r="B939" s="172"/>
      <c r="C939" s="172"/>
      <c r="D939" s="172"/>
      <c r="E939" s="181"/>
      <c r="F939" s="173"/>
      <c r="G939" s="174"/>
      <c r="H939" s="284"/>
      <c r="I939" s="221"/>
      <c r="J939" s="177">
        <f>IF(H939=0,0,IF(F939="MXN",1/HLOOKUP(YEAR(G939)+(MONTH(G939)/100),TC!$5:$37,DAY(G939)+2,FALSE),VLOOKUP(F939,Equivalencia!$5:$23,((MAX(Equivalencia!$3:$3)-YEAR(G939))*14)+MONTH(G939)+2,FALSE)))</f>
        <v>0</v>
      </c>
      <c r="K939" s="217">
        <f t="shared" si="145"/>
        <v>0</v>
      </c>
      <c r="L939" s="462">
        <f>IF(G939=0,0,VLOOKUP(YEAR(G939),INPC!$B$4:$O$29,MONTH(G939)+1))</f>
        <v>0</v>
      </c>
      <c r="M939" s="462">
        <f>IF(T939=0,0,VLOOKUP(YEAR(T939),INPC!$B$4:$O$29,MONTH(T939)+1))</f>
        <v>0</v>
      </c>
      <c r="N939" s="463">
        <f t="shared" si="141"/>
        <v>0</v>
      </c>
      <c r="O939" s="464">
        <f t="shared" si="146"/>
        <v>0</v>
      </c>
      <c r="P939" s="465">
        <f t="shared" si="147"/>
        <v>0</v>
      </c>
      <c r="Q939" s="606" t="str">
        <f t="shared" si="148"/>
        <v>NO</v>
      </c>
      <c r="R939" s="180"/>
      <c r="S939" s="173"/>
      <c r="T939" s="174"/>
      <c r="U939" s="173"/>
      <c r="V939" s="220"/>
      <c r="W939" s="177">
        <f>IF(S939=0,0,IF(U939="MXN",1/HLOOKUP(YEAR(T939)+(MONTH(T939)/100),TC!$5:$37,DAY(T939)+2,FALSE),VLOOKUP(U939,Equivalencia!$1:$23,((MAX(Equivalencia!$3:$3)-YEAR(T939))*14)+MONTH(T939)+2,FALSE)))</f>
        <v>0</v>
      </c>
      <c r="X939" s="178">
        <f t="shared" si="149"/>
        <v>0</v>
      </c>
      <c r="Y939" s="178">
        <f t="shared" si="150"/>
        <v>0</v>
      </c>
      <c r="Z939" s="175">
        <f t="shared" si="142"/>
        <v>0</v>
      </c>
      <c r="AA939" s="179"/>
      <c r="AB939" s="467">
        <f t="shared" si="143"/>
        <v>0</v>
      </c>
      <c r="AC939" s="466">
        <f t="shared" si="144"/>
        <v>0</v>
      </c>
    </row>
    <row r="940" spans="2:29" ht="20.100000000000001" customHeight="1">
      <c r="B940" s="172"/>
      <c r="C940" s="172"/>
      <c r="D940" s="172"/>
      <c r="E940" s="181"/>
      <c r="F940" s="173"/>
      <c r="G940" s="174"/>
      <c r="H940" s="284"/>
      <c r="I940" s="221"/>
      <c r="J940" s="177">
        <f>IF(H940=0,0,IF(F940="MXN",1/HLOOKUP(YEAR(G940)+(MONTH(G940)/100),TC!$5:$37,DAY(G940)+2,FALSE),VLOOKUP(F940,Equivalencia!$5:$23,((MAX(Equivalencia!$3:$3)-YEAR(G940))*14)+MONTH(G940)+2,FALSE)))</f>
        <v>0</v>
      </c>
      <c r="K940" s="217">
        <f t="shared" si="145"/>
        <v>0</v>
      </c>
      <c r="L940" s="462">
        <f>IF(G940=0,0,VLOOKUP(YEAR(G940),INPC!$B$4:$O$29,MONTH(G940)+1))</f>
        <v>0</v>
      </c>
      <c r="M940" s="462">
        <f>IF(T940=0,0,VLOOKUP(YEAR(T940),INPC!$B$4:$O$29,MONTH(T940)+1))</f>
        <v>0</v>
      </c>
      <c r="N940" s="463">
        <f t="shared" si="141"/>
        <v>0</v>
      </c>
      <c r="O940" s="464">
        <f t="shared" si="146"/>
        <v>0</v>
      </c>
      <c r="P940" s="465">
        <f t="shared" si="147"/>
        <v>0</v>
      </c>
      <c r="Q940" s="606" t="str">
        <f t="shared" si="148"/>
        <v>NO</v>
      </c>
      <c r="R940" s="180"/>
      <c r="S940" s="173"/>
      <c r="T940" s="174"/>
      <c r="U940" s="173"/>
      <c r="V940" s="220"/>
      <c r="W940" s="177">
        <f>IF(S940=0,0,IF(U940="MXN",1/HLOOKUP(YEAR(T940)+(MONTH(T940)/100),TC!$5:$37,DAY(T940)+2,FALSE),VLOOKUP(U940,Equivalencia!$1:$23,((MAX(Equivalencia!$3:$3)-YEAR(T940))*14)+MONTH(T940)+2,FALSE)))</f>
        <v>0</v>
      </c>
      <c r="X940" s="178">
        <f t="shared" si="149"/>
        <v>0</v>
      </c>
      <c r="Y940" s="178">
        <f t="shared" si="150"/>
        <v>0</v>
      </c>
      <c r="Z940" s="175">
        <f t="shared" si="142"/>
        <v>0</v>
      </c>
      <c r="AA940" s="179"/>
      <c r="AB940" s="467">
        <f t="shared" si="143"/>
        <v>0</v>
      </c>
      <c r="AC940" s="466">
        <f t="shared" si="144"/>
        <v>0</v>
      </c>
    </row>
    <row r="941" spans="2:29" ht="20.100000000000001" customHeight="1">
      <c r="B941" s="172"/>
      <c r="C941" s="172"/>
      <c r="D941" s="172"/>
      <c r="E941" s="181"/>
      <c r="F941" s="173"/>
      <c r="G941" s="174"/>
      <c r="H941" s="284"/>
      <c r="I941" s="221"/>
      <c r="J941" s="177">
        <f>IF(H941=0,0,IF(F941="MXN",1/HLOOKUP(YEAR(G941)+(MONTH(G941)/100),TC!$5:$37,DAY(G941)+2,FALSE),VLOOKUP(F941,Equivalencia!$5:$23,((MAX(Equivalencia!$3:$3)-YEAR(G941))*14)+MONTH(G941)+2,FALSE)))</f>
        <v>0</v>
      </c>
      <c r="K941" s="217">
        <f t="shared" si="145"/>
        <v>0</v>
      </c>
      <c r="L941" s="462">
        <f>IF(G941=0,0,VLOOKUP(YEAR(G941),INPC!$B$4:$O$29,MONTH(G941)+1))</f>
        <v>0</v>
      </c>
      <c r="M941" s="462">
        <f>IF(T941=0,0,VLOOKUP(YEAR(T941),INPC!$B$4:$O$29,MONTH(T941)+1))</f>
        <v>0</v>
      </c>
      <c r="N941" s="463">
        <f t="shared" si="141"/>
        <v>0</v>
      </c>
      <c r="O941" s="464">
        <f t="shared" si="146"/>
        <v>0</v>
      </c>
      <c r="P941" s="465">
        <f t="shared" si="147"/>
        <v>0</v>
      </c>
      <c r="Q941" s="606" t="str">
        <f t="shared" si="148"/>
        <v>NO</v>
      </c>
      <c r="R941" s="180"/>
      <c r="S941" s="173"/>
      <c r="T941" s="174"/>
      <c r="U941" s="173"/>
      <c r="V941" s="220"/>
      <c r="W941" s="177">
        <f>IF(S941=0,0,IF(U941="MXN",1/HLOOKUP(YEAR(T941)+(MONTH(T941)/100),TC!$5:$37,DAY(T941)+2,FALSE),VLOOKUP(U941,Equivalencia!$1:$23,((MAX(Equivalencia!$3:$3)-YEAR(T941))*14)+MONTH(T941)+2,FALSE)))</f>
        <v>0</v>
      </c>
      <c r="X941" s="178">
        <f t="shared" si="149"/>
        <v>0</v>
      </c>
      <c r="Y941" s="178">
        <f t="shared" si="150"/>
        <v>0</v>
      </c>
      <c r="Z941" s="175">
        <f t="shared" si="142"/>
        <v>0</v>
      </c>
      <c r="AA941" s="179"/>
      <c r="AB941" s="467">
        <f t="shared" si="143"/>
        <v>0</v>
      </c>
      <c r="AC941" s="466">
        <f t="shared" si="144"/>
        <v>0</v>
      </c>
    </row>
    <row r="942" spans="2:29" ht="20.100000000000001" customHeight="1">
      <c r="B942" s="172"/>
      <c r="C942" s="172"/>
      <c r="D942" s="172"/>
      <c r="E942" s="181"/>
      <c r="F942" s="173"/>
      <c r="G942" s="174"/>
      <c r="H942" s="284"/>
      <c r="I942" s="221"/>
      <c r="J942" s="177">
        <f>IF(H942=0,0,IF(F942="MXN",1/HLOOKUP(YEAR(G942)+(MONTH(G942)/100),TC!$5:$37,DAY(G942)+2,FALSE),VLOOKUP(F942,Equivalencia!$5:$23,((MAX(Equivalencia!$3:$3)-YEAR(G942))*14)+MONTH(G942)+2,FALSE)))</f>
        <v>0</v>
      </c>
      <c r="K942" s="217">
        <f t="shared" si="145"/>
        <v>0</v>
      </c>
      <c r="L942" s="462">
        <f>IF(G942=0,0,VLOOKUP(YEAR(G942),INPC!$B$4:$O$29,MONTH(G942)+1))</f>
        <v>0</v>
      </c>
      <c r="M942" s="462">
        <f>IF(T942=0,0,VLOOKUP(YEAR(T942),INPC!$B$4:$O$29,MONTH(T942)+1))</f>
        <v>0</v>
      </c>
      <c r="N942" s="463">
        <f t="shared" si="141"/>
        <v>0</v>
      </c>
      <c r="O942" s="464">
        <f t="shared" si="146"/>
        <v>0</v>
      </c>
      <c r="P942" s="465">
        <f t="shared" si="147"/>
        <v>0</v>
      </c>
      <c r="Q942" s="606" t="str">
        <f t="shared" si="148"/>
        <v>NO</v>
      </c>
      <c r="R942" s="180"/>
      <c r="S942" s="173"/>
      <c r="T942" s="174"/>
      <c r="U942" s="173"/>
      <c r="V942" s="220"/>
      <c r="W942" s="177">
        <f>IF(S942=0,0,IF(U942="MXN",1/HLOOKUP(YEAR(T942)+(MONTH(T942)/100),TC!$5:$37,DAY(T942)+2,FALSE),VLOOKUP(U942,Equivalencia!$1:$23,((MAX(Equivalencia!$3:$3)-YEAR(T942))*14)+MONTH(T942)+2,FALSE)))</f>
        <v>0</v>
      </c>
      <c r="X942" s="178">
        <f t="shared" si="149"/>
        <v>0</v>
      </c>
      <c r="Y942" s="178">
        <f t="shared" si="150"/>
        <v>0</v>
      </c>
      <c r="Z942" s="175">
        <f t="shared" si="142"/>
        <v>0</v>
      </c>
      <c r="AA942" s="179"/>
      <c r="AB942" s="467">
        <f t="shared" si="143"/>
        <v>0</v>
      </c>
      <c r="AC942" s="466">
        <f t="shared" si="144"/>
        <v>0</v>
      </c>
    </row>
    <row r="943" spans="2:29" ht="20.100000000000001" customHeight="1">
      <c r="B943" s="172"/>
      <c r="C943" s="172"/>
      <c r="D943" s="172"/>
      <c r="E943" s="181"/>
      <c r="F943" s="173"/>
      <c r="G943" s="174"/>
      <c r="H943" s="284"/>
      <c r="I943" s="221"/>
      <c r="J943" s="177">
        <f>IF(H943=0,0,IF(F943="MXN",1/HLOOKUP(YEAR(G943)+(MONTH(G943)/100),TC!$5:$37,DAY(G943)+2,FALSE),VLOOKUP(F943,Equivalencia!$5:$23,((MAX(Equivalencia!$3:$3)-YEAR(G943))*14)+MONTH(G943)+2,FALSE)))</f>
        <v>0</v>
      </c>
      <c r="K943" s="217">
        <f t="shared" si="145"/>
        <v>0</v>
      </c>
      <c r="L943" s="462">
        <f>IF(G943=0,0,VLOOKUP(YEAR(G943),INPC!$B$4:$O$29,MONTH(G943)+1))</f>
        <v>0</v>
      </c>
      <c r="M943" s="462">
        <f>IF(T943=0,0,VLOOKUP(YEAR(T943),INPC!$B$4:$O$29,MONTH(T943)+1))</f>
        <v>0</v>
      </c>
      <c r="N943" s="463">
        <f t="shared" si="141"/>
        <v>0</v>
      </c>
      <c r="O943" s="464">
        <f t="shared" si="146"/>
        <v>0</v>
      </c>
      <c r="P943" s="465">
        <f t="shared" si="147"/>
        <v>0</v>
      </c>
      <c r="Q943" s="606" t="str">
        <f t="shared" si="148"/>
        <v>NO</v>
      </c>
      <c r="R943" s="180"/>
      <c r="S943" s="173"/>
      <c r="T943" s="174"/>
      <c r="U943" s="173"/>
      <c r="V943" s="220"/>
      <c r="W943" s="177">
        <f>IF(S943=0,0,IF(U943="MXN",1/HLOOKUP(YEAR(T943)+(MONTH(T943)/100),TC!$5:$37,DAY(T943)+2,FALSE),VLOOKUP(U943,Equivalencia!$1:$23,((MAX(Equivalencia!$3:$3)-YEAR(T943))*14)+MONTH(T943)+2,FALSE)))</f>
        <v>0</v>
      </c>
      <c r="X943" s="178">
        <f t="shared" si="149"/>
        <v>0</v>
      </c>
      <c r="Y943" s="178">
        <f t="shared" si="150"/>
        <v>0</v>
      </c>
      <c r="Z943" s="175">
        <f t="shared" si="142"/>
        <v>0</v>
      </c>
      <c r="AA943" s="179"/>
      <c r="AB943" s="467">
        <f t="shared" si="143"/>
        <v>0</v>
      </c>
      <c r="AC943" s="466">
        <f t="shared" si="144"/>
        <v>0</v>
      </c>
    </row>
    <row r="944" spans="2:29" ht="20.100000000000001" customHeight="1">
      <c r="B944" s="172"/>
      <c r="C944" s="172"/>
      <c r="D944" s="172"/>
      <c r="E944" s="181"/>
      <c r="F944" s="173"/>
      <c r="G944" s="174"/>
      <c r="H944" s="284"/>
      <c r="I944" s="221"/>
      <c r="J944" s="177">
        <f>IF(H944=0,0,IF(F944="MXN",1/HLOOKUP(YEAR(G944)+(MONTH(G944)/100),TC!$5:$37,DAY(G944)+2,FALSE),VLOOKUP(F944,Equivalencia!$5:$23,((MAX(Equivalencia!$3:$3)-YEAR(G944))*14)+MONTH(G944)+2,FALSE)))</f>
        <v>0</v>
      </c>
      <c r="K944" s="217">
        <f t="shared" si="145"/>
        <v>0</v>
      </c>
      <c r="L944" s="462">
        <f>IF(G944=0,0,VLOOKUP(YEAR(G944),INPC!$B$4:$O$29,MONTH(G944)+1))</f>
        <v>0</v>
      </c>
      <c r="M944" s="462">
        <f>IF(T944=0,0,VLOOKUP(YEAR(T944),INPC!$B$4:$O$29,MONTH(T944)+1))</f>
        <v>0</v>
      </c>
      <c r="N944" s="463">
        <f t="shared" si="141"/>
        <v>0</v>
      </c>
      <c r="O944" s="464">
        <f t="shared" si="146"/>
        <v>0</v>
      </c>
      <c r="P944" s="465">
        <f t="shared" si="147"/>
        <v>0</v>
      </c>
      <c r="Q944" s="606" t="str">
        <f t="shared" si="148"/>
        <v>NO</v>
      </c>
      <c r="R944" s="180"/>
      <c r="S944" s="173"/>
      <c r="T944" s="174"/>
      <c r="U944" s="173"/>
      <c r="V944" s="220"/>
      <c r="W944" s="177">
        <f>IF(S944=0,0,IF(U944="MXN",1/HLOOKUP(YEAR(T944)+(MONTH(T944)/100),TC!$5:$37,DAY(T944)+2,FALSE),VLOOKUP(U944,Equivalencia!$1:$23,((MAX(Equivalencia!$3:$3)-YEAR(T944))*14)+MONTH(T944)+2,FALSE)))</f>
        <v>0</v>
      </c>
      <c r="X944" s="178">
        <f t="shared" si="149"/>
        <v>0</v>
      </c>
      <c r="Y944" s="178">
        <f t="shared" si="150"/>
        <v>0</v>
      </c>
      <c r="Z944" s="175">
        <f t="shared" si="142"/>
        <v>0</v>
      </c>
      <c r="AA944" s="179"/>
      <c r="AB944" s="467">
        <f t="shared" si="143"/>
        <v>0</v>
      </c>
      <c r="AC944" s="466">
        <f t="shared" si="144"/>
        <v>0</v>
      </c>
    </row>
    <row r="945" spans="2:29" ht="20.100000000000001" customHeight="1">
      <c r="B945" s="172"/>
      <c r="C945" s="172"/>
      <c r="D945" s="172"/>
      <c r="E945" s="181"/>
      <c r="F945" s="173"/>
      <c r="G945" s="174"/>
      <c r="H945" s="284"/>
      <c r="I945" s="221"/>
      <c r="J945" s="177">
        <f>IF(H945=0,0,IF(F945="MXN",1/HLOOKUP(YEAR(G945)+(MONTH(G945)/100),TC!$5:$37,DAY(G945)+2,FALSE),VLOOKUP(F945,Equivalencia!$5:$23,((MAX(Equivalencia!$3:$3)-YEAR(G945))*14)+MONTH(G945)+2,FALSE)))</f>
        <v>0</v>
      </c>
      <c r="K945" s="217">
        <f t="shared" si="145"/>
        <v>0</v>
      </c>
      <c r="L945" s="462">
        <f>IF(G945=0,0,VLOOKUP(YEAR(G945),INPC!$B$4:$O$29,MONTH(G945)+1))</f>
        <v>0</v>
      </c>
      <c r="M945" s="462">
        <f>IF(T945=0,0,VLOOKUP(YEAR(T945),INPC!$B$4:$O$29,MONTH(T945)+1))</f>
        <v>0</v>
      </c>
      <c r="N945" s="463">
        <f t="shared" si="141"/>
        <v>0</v>
      </c>
      <c r="O945" s="464">
        <f t="shared" si="146"/>
        <v>0</v>
      </c>
      <c r="P945" s="465">
        <f t="shared" si="147"/>
        <v>0</v>
      </c>
      <c r="Q945" s="606" t="str">
        <f t="shared" si="148"/>
        <v>NO</v>
      </c>
      <c r="R945" s="180"/>
      <c r="S945" s="173"/>
      <c r="T945" s="174"/>
      <c r="U945" s="173"/>
      <c r="V945" s="220"/>
      <c r="W945" s="177">
        <f>IF(S945=0,0,IF(U945="MXN",1/HLOOKUP(YEAR(T945)+(MONTH(T945)/100),TC!$5:$37,DAY(T945)+2,FALSE),VLOOKUP(U945,Equivalencia!$1:$23,((MAX(Equivalencia!$3:$3)-YEAR(T945))*14)+MONTH(T945)+2,FALSE)))</f>
        <v>0</v>
      </c>
      <c r="X945" s="178">
        <f t="shared" si="149"/>
        <v>0</v>
      </c>
      <c r="Y945" s="178">
        <f t="shared" si="150"/>
        <v>0</v>
      </c>
      <c r="Z945" s="175">
        <f t="shared" si="142"/>
        <v>0</v>
      </c>
      <c r="AA945" s="179"/>
      <c r="AB945" s="467">
        <f t="shared" si="143"/>
        <v>0</v>
      </c>
      <c r="AC945" s="466">
        <f t="shared" si="144"/>
        <v>0</v>
      </c>
    </row>
    <row r="946" spans="2:29" ht="20.100000000000001" customHeight="1">
      <c r="B946" s="172"/>
      <c r="C946" s="172"/>
      <c r="D946" s="172"/>
      <c r="E946" s="181"/>
      <c r="F946" s="173"/>
      <c r="G946" s="174"/>
      <c r="H946" s="284"/>
      <c r="I946" s="221"/>
      <c r="J946" s="177">
        <f>IF(H946=0,0,IF(F946="MXN",1/HLOOKUP(YEAR(G946)+(MONTH(G946)/100),TC!$5:$37,DAY(G946)+2,FALSE),VLOOKUP(F946,Equivalencia!$5:$23,((MAX(Equivalencia!$3:$3)-YEAR(G946))*14)+MONTH(G946)+2,FALSE)))</f>
        <v>0</v>
      </c>
      <c r="K946" s="217">
        <f t="shared" si="145"/>
        <v>0</v>
      </c>
      <c r="L946" s="462">
        <f>IF(G946=0,0,VLOOKUP(YEAR(G946),INPC!$B$4:$O$29,MONTH(G946)+1))</f>
        <v>0</v>
      </c>
      <c r="M946" s="462">
        <f>IF(T946=0,0,VLOOKUP(YEAR(T946),INPC!$B$4:$O$29,MONTH(T946)+1))</f>
        <v>0</v>
      </c>
      <c r="N946" s="463">
        <f t="shared" si="141"/>
        <v>0</v>
      </c>
      <c r="O946" s="464">
        <f t="shared" si="146"/>
        <v>0</v>
      </c>
      <c r="P946" s="465">
        <f t="shared" si="147"/>
        <v>0</v>
      </c>
      <c r="Q946" s="606" t="str">
        <f t="shared" si="148"/>
        <v>NO</v>
      </c>
      <c r="R946" s="180"/>
      <c r="S946" s="173"/>
      <c r="T946" s="174"/>
      <c r="U946" s="173"/>
      <c r="V946" s="220"/>
      <c r="W946" s="177">
        <f>IF(S946=0,0,IF(U946="MXN",1/HLOOKUP(YEAR(T946)+(MONTH(T946)/100),TC!$5:$37,DAY(T946)+2,FALSE),VLOOKUP(U946,Equivalencia!$1:$23,((MAX(Equivalencia!$3:$3)-YEAR(T946))*14)+MONTH(T946)+2,FALSE)))</f>
        <v>0</v>
      </c>
      <c r="X946" s="178">
        <f t="shared" si="149"/>
        <v>0</v>
      </c>
      <c r="Y946" s="178">
        <f t="shared" si="150"/>
        <v>0</v>
      </c>
      <c r="Z946" s="175">
        <f t="shared" si="142"/>
        <v>0</v>
      </c>
      <c r="AA946" s="179"/>
      <c r="AB946" s="467">
        <f t="shared" si="143"/>
        <v>0</v>
      </c>
      <c r="AC946" s="466">
        <f t="shared" si="144"/>
        <v>0</v>
      </c>
    </row>
    <row r="947" spans="2:29" ht="20.100000000000001" customHeight="1">
      <c r="B947" s="172"/>
      <c r="C947" s="172"/>
      <c r="D947" s="172"/>
      <c r="E947" s="181"/>
      <c r="F947" s="173"/>
      <c r="G947" s="174"/>
      <c r="H947" s="284"/>
      <c r="I947" s="221"/>
      <c r="J947" s="177">
        <f>IF(H947=0,0,IF(F947="MXN",1/HLOOKUP(YEAR(G947)+(MONTH(G947)/100),TC!$5:$37,DAY(G947)+2,FALSE),VLOOKUP(F947,Equivalencia!$5:$23,((MAX(Equivalencia!$3:$3)-YEAR(G947))*14)+MONTH(G947)+2,FALSE)))</f>
        <v>0</v>
      </c>
      <c r="K947" s="217">
        <f t="shared" si="145"/>
        <v>0</v>
      </c>
      <c r="L947" s="462">
        <f>IF(G947=0,0,VLOOKUP(YEAR(G947),INPC!$B$4:$O$29,MONTH(G947)+1))</f>
        <v>0</v>
      </c>
      <c r="M947" s="462">
        <f>IF(T947=0,0,VLOOKUP(YEAR(T947),INPC!$B$4:$O$29,MONTH(T947)+1))</f>
        <v>0</v>
      </c>
      <c r="N947" s="463">
        <f t="shared" si="141"/>
        <v>0</v>
      </c>
      <c r="O947" s="464">
        <f t="shared" si="146"/>
        <v>0</v>
      </c>
      <c r="P947" s="465">
        <f t="shared" si="147"/>
        <v>0</v>
      </c>
      <c r="Q947" s="606" t="str">
        <f t="shared" si="148"/>
        <v>NO</v>
      </c>
      <c r="R947" s="180"/>
      <c r="S947" s="173"/>
      <c r="T947" s="174"/>
      <c r="U947" s="173"/>
      <c r="V947" s="220"/>
      <c r="W947" s="177">
        <f>IF(S947=0,0,IF(U947="MXN",1/HLOOKUP(YEAR(T947)+(MONTH(T947)/100),TC!$5:$37,DAY(T947)+2,FALSE),VLOOKUP(U947,Equivalencia!$1:$23,((MAX(Equivalencia!$3:$3)-YEAR(T947))*14)+MONTH(T947)+2,FALSE)))</f>
        <v>0</v>
      </c>
      <c r="X947" s="178">
        <f t="shared" si="149"/>
        <v>0</v>
      </c>
      <c r="Y947" s="178">
        <f t="shared" si="150"/>
        <v>0</v>
      </c>
      <c r="Z947" s="175">
        <f t="shared" si="142"/>
        <v>0</v>
      </c>
      <c r="AA947" s="179"/>
      <c r="AB947" s="467">
        <f t="shared" si="143"/>
        <v>0</v>
      </c>
      <c r="AC947" s="466">
        <f t="shared" si="144"/>
        <v>0</v>
      </c>
    </row>
    <row r="948" spans="2:29" ht="20.100000000000001" customHeight="1">
      <c r="B948" s="172"/>
      <c r="C948" s="172"/>
      <c r="D948" s="172"/>
      <c r="E948" s="181"/>
      <c r="F948" s="173"/>
      <c r="G948" s="174"/>
      <c r="H948" s="284"/>
      <c r="I948" s="221"/>
      <c r="J948" s="177">
        <f>IF(H948=0,0,IF(F948="MXN",1/HLOOKUP(YEAR(G948)+(MONTH(G948)/100),TC!$5:$37,DAY(G948)+2,FALSE),VLOOKUP(F948,Equivalencia!$5:$23,((MAX(Equivalencia!$3:$3)-YEAR(G948))*14)+MONTH(G948)+2,FALSE)))</f>
        <v>0</v>
      </c>
      <c r="K948" s="217">
        <f t="shared" si="145"/>
        <v>0</v>
      </c>
      <c r="L948" s="462">
        <f>IF(G948=0,0,VLOOKUP(YEAR(G948),INPC!$B$4:$O$29,MONTH(G948)+1))</f>
        <v>0</v>
      </c>
      <c r="M948" s="462">
        <f>IF(T948=0,0,VLOOKUP(YEAR(T948),INPC!$B$4:$O$29,MONTH(T948)+1))</f>
        <v>0</v>
      </c>
      <c r="N948" s="463">
        <f t="shared" si="141"/>
        <v>0</v>
      </c>
      <c r="O948" s="464">
        <f t="shared" si="146"/>
        <v>0</v>
      </c>
      <c r="P948" s="465">
        <f t="shared" si="147"/>
        <v>0</v>
      </c>
      <c r="Q948" s="606" t="str">
        <f t="shared" si="148"/>
        <v>NO</v>
      </c>
      <c r="R948" s="180"/>
      <c r="S948" s="173"/>
      <c r="T948" s="174"/>
      <c r="U948" s="173"/>
      <c r="V948" s="220"/>
      <c r="W948" s="177">
        <f>IF(S948=0,0,IF(U948="MXN",1/HLOOKUP(YEAR(T948)+(MONTH(T948)/100),TC!$5:$37,DAY(T948)+2,FALSE),VLOOKUP(U948,Equivalencia!$1:$23,((MAX(Equivalencia!$3:$3)-YEAR(T948))*14)+MONTH(T948)+2,FALSE)))</f>
        <v>0</v>
      </c>
      <c r="X948" s="178">
        <f t="shared" si="149"/>
        <v>0</v>
      </c>
      <c r="Y948" s="178">
        <f t="shared" si="150"/>
        <v>0</v>
      </c>
      <c r="Z948" s="175">
        <f t="shared" si="142"/>
        <v>0</v>
      </c>
      <c r="AA948" s="179"/>
      <c r="AB948" s="467">
        <f t="shared" si="143"/>
        <v>0</v>
      </c>
      <c r="AC948" s="466">
        <f t="shared" si="144"/>
        <v>0</v>
      </c>
    </row>
    <row r="949" spans="2:29" ht="20.100000000000001" customHeight="1">
      <c r="B949" s="172"/>
      <c r="C949" s="172"/>
      <c r="D949" s="172"/>
      <c r="E949" s="181"/>
      <c r="F949" s="173"/>
      <c r="G949" s="174"/>
      <c r="H949" s="284"/>
      <c r="I949" s="221"/>
      <c r="J949" s="177">
        <f>IF(H949=0,0,IF(F949="MXN",1/HLOOKUP(YEAR(G949)+(MONTH(G949)/100),TC!$5:$37,DAY(G949)+2,FALSE),VLOOKUP(F949,Equivalencia!$5:$23,((MAX(Equivalencia!$3:$3)-YEAR(G949))*14)+MONTH(G949)+2,FALSE)))</f>
        <v>0</v>
      </c>
      <c r="K949" s="217">
        <f t="shared" si="145"/>
        <v>0</v>
      </c>
      <c r="L949" s="462">
        <f>IF(G949=0,0,VLOOKUP(YEAR(G949),INPC!$B$4:$O$29,MONTH(G949)+1))</f>
        <v>0</v>
      </c>
      <c r="M949" s="462">
        <f>IF(T949=0,0,VLOOKUP(YEAR(T949),INPC!$B$4:$O$29,MONTH(T949)+1))</f>
        <v>0</v>
      </c>
      <c r="N949" s="463">
        <f t="shared" si="141"/>
        <v>0</v>
      </c>
      <c r="O949" s="464">
        <f t="shared" si="146"/>
        <v>0</v>
      </c>
      <c r="P949" s="465">
        <f t="shared" si="147"/>
        <v>0</v>
      </c>
      <c r="Q949" s="606" t="str">
        <f t="shared" si="148"/>
        <v>NO</v>
      </c>
      <c r="R949" s="180"/>
      <c r="S949" s="173"/>
      <c r="T949" s="174"/>
      <c r="U949" s="173"/>
      <c r="V949" s="220"/>
      <c r="W949" s="177">
        <f>IF(S949=0,0,IF(U949="MXN",1/HLOOKUP(YEAR(T949)+(MONTH(T949)/100),TC!$5:$37,DAY(T949)+2,FALSE),VLOOKUP(U949,Equivalencia!$1:$23,((MAX(Equivalencia!$3:$3)-YEAR(T949))*14)+MONTH(T949)+2,FALSE)))</f>
        <v>0</v>
      </c>
      <c r="X949" s="178">
        <f t="shared" si="149"/>
        <v>0</v>
      </c>
      <c r="Y949" s="178">
        <f t="shared" si="150"/>
        <v>0</v>
      </c>
      <c r="Z949" s="175">
        <f t="shared" si="142"/>
        <v>0</v>
      </c>
      <c r="AA949" s="179"/>
      <c r="AB949" s="467">
        <f t="shared" si="143"/>
        <v>0</v>
      </c>
      <c r="AC949" s="466">
        <f t="shared" si="144"/>
        <v>0</v>
      </c>
    </row>
    <row r="950" spans="2:29" ht="20.100000000000001" customHeight="1">
      <c r="B950" s="172"/>
      <c r="C950" s="172"/>
      <c r="D950" s="172"/>
      <c r="E950" s="181"/>
      <c r="F950" s="173"/>
      <c r="G950" s="174"/>
      <c r="H950" s="284"/>
      <c r="I950" s="221"/>
      <c r="J950" s="177">
        <f>IF(H950=0,0,IF(F950="MXN",1/HLOOKUP(YEAR(G950)+(MONTH(G950)/100),TC!$5:$37,DAY(G950)+2,FALSE),VLOOKUP(F950,Equivalencia!$5:$23,((MAX(Equivalencia!$3:$3)-YEAR(G950))*14)+MONTH(G950)+2,FALSE)))</f>
        <v>0</v>
      </c>
      <c r="K950" s="217">
        <f t="shared" si="145"/>
        <v>0</v>
      </c>
      <c r="L950" s="462">
        <f>IF(G950=0,0,VLOOKUP(YEAR(G950),INPC!$B$4:$O$29,MONTH(G950)+1))</f>
        <v>0</v>
      </c>
      <c r="M950" s="462">
        <f>IF(T950=0,0,VLOOKUP(YEAR(T950),INPC!$B$4:$O$29,MONTH(T950)+1))</f>
        <v>0</v>
      </c>
      <c r="N950" s="463">
        <f t="shared" si="141"/>
        <v>0</v>
      </c>
      <c r="O950" s="464">
        <f t="shared" si="146"/>
        <v>0</v>
      </c>
      <c r="P950" s="465">
        <f t="shared" si="147"/>
        <v>0</v>
      </c>
      <c r="Q950" s="606" t="str">
        <f t="shared" si="148"/>
        <v>NO</v>
      </c>
      <c r="R950" s="180"/>
      <c r="S950" s="173"/>
      <c r="T950" s="174"/>
      <c r="U950" s="173"/>
      <c r="V950" s="220"/>
      <c r="W950" s="177">
        <f>IF(S950=0,0,IF(U950="MXN",1/HLOOKUP(YEAR(T950)+(MONTH(T950)/100),TC!$5:$37,DAY(T950)+2,FALSE),VLOOKUP(U950,Equivalencia!$1:$23,((MAX(Equivalencia!$3:$3)-YEAR(T950))*14)+MONTH(T950)+2,FALSE)))</f>
        <v>0</v>
      </c>
      <c r="X950" s="178">
        <f t="shared" si="149"/>
        <v>0</v>
      </c>
      <c r="Y950" s="178">
        <f t="shared" si="150"/>
        <v>0</v>
      </c>
      <c r="Z950" s="175">
        <f t="shared" si="142"/>
        <v>0</v>
      </c>
      <c r="AA950" s="179"/>
      <c r="AB950" s="467">
        <f t="shared" si="143"/>
        <v>0</v>
      </c>
      <c r="AC950" s="466">
        <f t="shared" si="144"/>
        <v>0</v>
      </c>
    </row>
    <row r="951" spans="2:29" ht="20.100000000000001" customHeight="1">
      <c r="B951" s="172"/>
      <c r="C951" s="172"/>
      <c r="D951" s="172"/>
      <c r="E951" s="181"/>
      <c r="F951" s="173"/>
      <c r="G951" s="174"/>
      <c r="H951" s="284"/>
      <c r="I951" s="221"/>
      <c r="J951" s="177">
        <f>IF(H951=0,0,IF(F951="MXN",1/HLOOKUP(YEAR(G951)+(MONTH(G951)/100),TC!$5:$37,DAY(G951)+2,FALSE),VLOOKUP(F951,Equivalencia!$5:$23,((MAX(Equivalencia!$3:$3)-YEAR(G951))*14)+MONTH(G951)+2,FALSE)))</f>
        <v>0</v>
      </c>
      <c r="K951" s="217">
        <f t="shared" si="145"/>
        <v>0</v>
      </c>
      <c r="L951" s="462">
        <f>IF(G951=0,0,VLOOKUP(YEAR(G951),INPC!$B$4:$O$29,MONTH(G951)+1))</f>
        <v>0</v>
      </c>
      <c r="M951" s="462">
        <f>IF(T951=0,0,VLOOKUP(YEAR(T951),INPC!$B$4:$O$29,MONTH(T951)+1))</f>
        <v>0</v>
      </c>
      <c r="N951" s="463">
        <f t="shared" si="141"/>
        <v>0</v>
      </c>
      <c r="O951" s="464">
        <f t="shared" si="146"/>
        <v>0</v>
      </c>
      <c r="P951" s="465">
        <f t="shared" si="147"/>
        <v>0</v>
      </c>
      <c r="Q951" s="606" t="str">
        <f t="shared" si="148"/>
        <v>NO</v>
      </c>
      <c r="R951" s="180"/>
      <c r="S951" s="173"/>
      <c r="T951" s="174"/>
      <c r="U951" s="173"/>
      <c r="V951" s="220"/>
      <c r="W951" s="177">
        <f>IF(S951=0,0,IF(U951="MXN",1/HLOOKUP(YEAR(T951)+(MONTH(T951)/100),TC!$5:$37,DAY(T951)+2,FALSE),VLOOKUP(U951,Equivalencia!$1:$23,((MAX(Equivalencia!$3:$3)-YEAR(T951))*14)+MONTH(T951)+2,FALSE)))</f>
        <v>0</v>
      </c>
      <c r="X951" s="178">
        <f t="shared" si="149"/>
        <v>0</v>
      </c>
      <c r="Y951" s="178">
        <f t="shared" si="150"/>
        <v>0</v>
      </c>
      <c r="Z951" s="175">
        <f t="shared" si="142"/>
        <v>0</v>
      </c>
      <c r="AA951" s="179"/>
      <c r="AB951" s="467">
        <f t="shared" si="143"/>
        <v>0</v>
      </c>
      <c r="AC951" s="466">
        <f t="shared" si="144"/>
        <v>0</v>
      </c>
    </row>
    <row r="952" spans="2:29" ht="20.100000000000001" customHeight="1">
      <c r="B952" s="172"/>
      <c r="C952" s="172"/>
      <c r="D952" s="172"/>
      <c r="E952" s="181"/>
      <c r="F952" s="173"/>
      <c r="G952" s="174"/>
      <c r="H952" s="284"/>
      <c r="I952" s="221"/>
      <c r="J952" s="177">
        <f>IF(H952=0,0,IF(F952="MXN",1/HLOOKUP(YEAR(G952)+(MONTH(G952)/100),TC!$5:$37,DAY(G952)+2,FALSE),VLOOKUP(F952,Equivalencia!$5:$23,((MAX(Equivalencia!$3:$3)-YEAR(G952))*14)+MONTH(G952)+2,FALSE)))</f>
        <v>0</v>
      </c>
      <c r="K952" s="217">
        <f t="shared" si="145"/>
        <v>0</v>
      </c>
      <c r="L952" s="462">
        <f>IF(G952=0,0,VLOOKUP(YEAR(G952),INPC!$B$4:$O$29,MONTH(G952)+1))</f>
        <v>0</v>
      </c>
      <c r="M952" s="462">
        <f>IF(T952=0,0,VLOOKUP(YEAR(T952),INPC!$B$4:$O$29,MONTH(T952)+1))</f>
        <v>0</v>
      </c>
      <c r="N952" s="463">
        <f t="shared" si="141"/>
        <v>0</v>
      </c>
      <c r="O952" s="464">
        <f t="shared" si="146"/>
        <v>0</v>
      </c>
      <c r="P952" s="465">
        <f t="shared" si="147"/>
        <v>0</v>
      </c>
      <c r="Q952" s="606" t="str">
        <f t="shared" si="148"/>
        <v>NO</v>
      </c>
      <c r="R952" s="180"/>
      <c r="S952" s="173"/>
      <c r="T952" s="174"/>
      <c r="U952" s="173"/>
      <c r="V952" s="220"/>
      <c r="W952" s="177">
        <f>IF(S952=0,0,IF(U952="MXN",1/HLOOKUP(YEAR(T952)+(MONTH(T952)/100),TC!$5:$37,DAY(T952)+2,FALSE),VLOOKUP(U952,Equivalencia!$1:$23,((MAX(Equivalencia!$3:$3)-YEAR(T952))*14)+MONTH(T952)+2,FALSE)))</f>
        <v>0</v>
      </c>
      <c r="X952" s="178">
        <f t="shared" si="149"/>
        <v>0</v>
      </c>
      <c r="Y952" s="178">
        <f t="shared" si="150"/>
        <v>0</v>
      </c>
      <c r="Z952" s="175">
        <f t="shared" si="142"/>
        <v>0</v>
      </c>
      <c r="AA952" s="179"/>
      <c r="AB952" s="467">
        <f t="shared" si="143"/>
        <v>0</v>
      </c>
      <c r="AC952" s="466">
        <f t="shared" si="144"/>
        <v>0</v>
      </c>
    </row>
    <row r="953" spans="2:29" ht="20.100000000000001" customHeight="1">
      <c r="B953" s="172"/>
      <c r="C953" s="172"/>
      <c r="D953" s="172"/>
      <c r="E953" s="181"/>
      <c r="F953" s="173"/>
      <c r="G953" s="174"/>
      <c r="H953" s="284"/>
      <c r="I953" s="221"/>
      <c r="J953" s="177">
        <f>IF(H953=0,0,IF(F953="MXN",1/HLOOKUP(YEAR(G953)+(MONTH(G953)/100),TC!$5:$37,DAY(G953)+2,FALSE),VLOOKUP(F953,Equivalencia!$5:$23,((MAX(Equivalencia!$3:$3)-YEAR(G953))*14)+MONTH(G953)+2,FALSE)))</f>
        <v>0</v>
      </c>
      <c r="K953" s="217">
        <f t="shared" si="145"/>
        <v>0</v>
      </c>
      <c r="L953" s="462">
        <f>IF(G953=0,0,VLOOKUP(YEAR(G953),INPC!$B$4:$O$29,MONTH(G953)+1))</f>
        <v>0</v>
      </c>
      <c r="M953" s="462">
        <f>IF(T953=0,0,VLOOKUP(YEAR(T953),INPC!$B$4:$O$29,MONTH(T953)+1))</f>
        <v>0</v>
      </c>
      <c r="N953" s="463">
        <f t="shared" si="141"/>
        <v>0</v>
      </c>
      <c r="O953" s="464">
        <f t="shared" si="146"/>
        <v>0</v>
      </c>
      <c r="P953" s="465">
        <f t="shared" si="147"/>
        <v>0</v>
      </c>
      <c r="Q953" s="606" t="str">
        <f t="shared" si="148"/>
        <v>NO</v>
      </c>
      <c r="R953" s="180"/>
      <c r="S953" s="173"/>
      <c r="T953" s="174"/>
      <c r="U953" s="173"/>
      <c r="V953" s="220"/>
      <c r="W953" s="177">
        <f>IF(S953=0,0,IF(U953="MXN",1/HLOOKUP(YEAR(T953)+(MONTH(T953)/100),TC!$5:$37,DAY(T953)+2,FALSE),VLOOKUP(U953,Equivalencia!$1:$23,((MAX(Equivalencia!$3:$3)-YEAR(T953))*14)+MONTH(T953)+2,FALSE)))</f>
        <v>0</v>
      </c>
      <c r="X953" s="178">
        <f t="shared" si="149"/>
        <v>0</v>
      </c>
      <c r="Y953" s="178">
        <f t="shared" si="150"/>
        <v>0</v>
      </c>
      <c r="Z953" s="175">
        <f t="shared" si="142"/>
        <v>0</v>
      </c>
      <c r="AA953" s="179"/>
      <c r="AB953" s="467">
        <f t="shared" si="143"/>
        <v>0</v>
      </c>
      <c r="AC953" s="466">
        <f t="shared" si="144"/>
        <v>0</v>
      </c>
    </row>
    <row r="954" spans="2:29" ht="20.100000000000001" customHeight="1">
      <c r="B954" s="172"/>
      <c r="C954" s="172"/>
      <c r="D954" s="172"/>
      <c r="E954" s="181"/>
      <c r="F954" s="173"/>
      <c r="G954" s="174"/>
      <c r="H954" s="284"/>
      <c r="I954" s="221"/>
      <c r="J954" s="177">
        <f>IF(H954=0,0,IF(F954="MXN",1/HLOOKUP(YEAR(G954)+(MONTH(G954)/100),TC!$5:$37,DAY(G954)+2,FALSE),VLOOKUP(F954,Equivalencia!$5:$23,((MAX(Equivalencia!$3:$3)-YEAR(G954))*14)+MONTH(G954)+2,FALSE)))</f>
        <v>0</v>
      </c>
      <c r="K954" s="217">
        <f t="shared" si="145"/>
        <v>0</v>
      </c>
      <c r="L954" s="462">
        <f>IF(G954=0,0,VLOOKUP(YEAR(G954),INPC!$B$4:$O$29,MONTH(G954)+1))</f>
        <v>0</v>
      </c>
      <c r="M954" s="462">
        <f>IF(T954=0,0,VLOOKUP(YEAR(T954),INPC!$B$4:$O$29,MONTH(T954)+1))</f>
        <v>0</v>
      </c>
      <c r="N954" s="463">
        <f t="shared" si="141"/>
        <v>0</v>
      </c>
      <c r="O954" s="464">
        <f t="shared" si="146"/>
        <v>0</v>
      </c>
      <c r="P954" s="465">
        <f t="shared" si="147"/>
        <v>0</v>
      </c>
      <c r="Q954" s="606" t="str">
        <f t="shared" si="148"/>
        <v>NO</v>
      </c>
      <c r="R954" s="180"/>
      <c r="S954" s="173"/>
      <c r="T954" s="174"/>
      <c r="U954" s="173"/>
      <c r="V954" s="220"/>
      <c r="W954" s="177">
        <f>IF(S954=0,0,IF(U954="MXN",1/HLOOKUP(YEAR(T954)+(MONTH(T954)/100),TC!$5:$37,DAY(T954)+2,FALSE),VLOOKUP(U954,Equivalencia!$1:$23,((MAX(Equivalencia!$3:$3)-YEAR(T954))*14)+MONTH(T954)+2,FALSE)))</f>
        <v>0</v>
      </c>
      <c r="X954" s="178">
        <f t="shared" si="149"/>
        <v>0</v>
      </c>
      <c r="Y954" s="178">
        <f t="shared" si="150"/>
        <v>0</v>
      </c>
      <c r="Z954" s="175">
        <f t="shared" si="142"/>
        <v>0</v>
      </c>
      <c r="AA954" s="179"/>
      <c r="AB954" s="467">
        <f t="shared" si="143"/>
        <v>0</v>
      </c>
      <c r="AC954" s="466">
        <f t="shared" si="144"/>
        <v>0</v>
      </c>
    </row>
    <row r="955" spans="2:29" ht="20.100000000000001" customHeight="1">
      <c r="B955" s="172"/>
      <c r="C955" s="172"/>
      <c r="D955" s="172"/>
      <c r="E955" s="181"/>
      <c r="F955" s="173"/>
      <c r="G955" s="174"/>
      <c r="H955" s="284"/>
      <c r="I955" s="221"/>
      <c r="J955" s="177">
        <f>IF(H955=0,0,IF(F955="MXN",1/HLOOKUP(YEAR(G955)+(MONTH(G955)/100),TC!$5:$37,DAY(G955)+2,FALSE),VLOOKUP(F955,Equivalencia!$5:$23,((MAX(Equivalencia!$3:$3)-YEAR(G955))*14)+MONTH(G955)+2,FALSE)))</f>
        <v>0</v>
      </c>
      <c r="K955" s="217">
        <f t="shared" si="145"/>
        <v>0</v>
      </c>
      <c r="L955" s="462">
        <f>IF(G955=0,0,VLOOKUP(YEAR(G955),INPC!$B$4:$O$29,MONTH(G955)+1))</f>
        <v>0</v>
      </c>
      <c r="M955" s="462">
        <f>IF(T955=0,0,VLOOKUP(YEAR(T955),INPC!$B$4:$O$29,MONTH(T955)+1))</f>
        <v>0</v>
      </c>
      <c r="N955" s="463">
        <f t="shared" si="141"/>
        <v>0</v>
      </c>
      <c r="O955" s="464">
        <f t="shared" si="146"/>
        <v>0</v>
      </c>
      <c r="P955" s="465">
        <f t="shared" si="147"/>
        <v>0</v>
      </c>
      <c r="Q955" s="606" t="str">
        <f t="shared" si="148"/>
        <v>NO</v>
      </c>
      <c r="R955" s="180"/>
      <c r="S955" s="173"/>
      <c r="T955" s="174"/>
      <c r="U955" s="173"/>
      <c r="V955" s="220"/>
      <c r="W955" s="177">
        <f>IF(S955=0,0,IF(U955="MXN",1/HLOOKUP(YEAR(T955)+(MONTH(T955)/100),TC!$5:$37,DAY(T955)+2,FALSE),VLOOKUP(U955,Equivalencia!$1:$23,((MAX(Equivalencia!$3:$3)-YEAR(T955))*14)+MONTH(T955)+2,FALSE)))</f>
        <v>0</v>
      </c>
      <c r="X955" s="178">
        <f t="shared" si="149"/>
        <v>0</v>
      </c>
      <c r="Y955" s="178">
        <f t="shared" si="150"/>
        <v>0</v>
      </c>
      <c r="Z955" s="175">
        <f t="shared" si="142"/>
        <v>0</v>
      </c>
      <c r="AA955" s="179"/>
      <c r="AB955" s="467">
        <f t="shared" si="143"/>
        <v>0</v>
      </c>
      <c r="AC955" s="466">
        <f t="shared" si="144"/>
        <v>0</v>
      </c>
    </row>
    <row r="956" spans="2:29" ht="20.100000000000001" customHeight="1">
      <c r="B956" s="172"/>
      <c r="C956" s="172"/>
      <c r="D956" s="172"/>
      <c r="E956" s="181"/>
      <c r="F956" s="173"/>
      <c r="G956" s="174"/>
      <c r="H956" s="284"/>
      <c r="I956" s="221"/>
      <c r="J956" s="177">
        <f>IF(H956=0,0,IF(F956="MXN",1/HLOOKUP(YEAR(G956)+(MONTH(G956)/100),TC!$5:$37,DAY(G956)+2,FALSE),VLOOKUP(F956,Equivalencia!$5:$23,((MAX(Equivalencia!$3:$3)-YEAR(G956))*14)+MONTH(G956)+2,FALSE)))</f>
        <v>0</v>
      </c>
      <c r="K956" s="217">
        <f t="shared" si="145"/>
        <v>0</v>
      </c>
      <c r="L956" s="462">
        <f>IF(G956=0,0,VLOOKUP(YEAR(G956),INPC!$B$4:$O$29,MONTH(G956)+1))</f>
        <v>0</v>
      </c>
      <c r="M956" s="462">
        <f>IF(T956=0,0,VLOOKUP(YEAR(T956),INPC!$B$4:$O$29,MONTH(T956)+1))</f>
        <v>0</v>
      </c>
      <c r="N956" s="463">
        <f t="shared" si="141"/>
        <v>0</v>
      </c>
      <c r="O956" s="464">
        <f t="shared" si="146"/>
        <v>0</v>
      </c>
      <c r="P956" s="465">
        <f t="shared" si="147"/>
        <v>0</v>
      </c>
      <c r="Q956" s="606" t="str">
        <f t="shared" si="148"/>
        <v>NO</v>
      </c>
      <c r="R956" s="180"/>
      <c r="S956" s="173"/>
      <c r="T956" s="174"/>
      <c r="U956" s="173"/>
      <c r="V956" s="220"/>
      <c r="W956" s="177">
        <f>IF(S956=0,0,IF(U956="MXN",1/HLOOKUP(YEAR(T956)+(MONTH(T956)/100),TC!$5:$37,DAY(T956)+2,FALSE),VLOOKUP(U956,Equivalencia!$1:$23,((MAX(Equivalencia!$3:$3)-YEAR(T956))*14)+MONTH(T956)+2,FALSE)))</f>
        <v>0</v>
      </c>
      <c r="X956" s="178">
        <f t="shared" si="149"/>
        <v>0</v>
      </c>
      <c r="Y956" s="178">
        <f t="shared" si="150"/>
        <v>0</v>
      </c>
      <c r="Z956" s="175">
        <f t="shared" si="142"/>
        <v>0</v>
      </c>
      <c r="AA956" s="179"/>
      <c r="AB956" s="467">
        <f t="shared" si="143"/>
        <v>0</v>
      </c>
      <c r="AC956" s="466">
        <f t="shared" si="144"/>
        <v>0</v>
      </c>
    </row>
    <row r="957" spans="2:29" ht="20.100000000000001" customHeight="1">
      <c r="B957" s="172"/>
      <c r="C957" s="172"/>
      <c r="D957" s="172"/>
      <c r="E957" s="181"/>
      <c r="F957" s="173"/>
      <c r="G957" s="174"/>
      <c r="H957" s="284"/>
      <c r="I957" s="221"/>
      <c r="J957" s="177">
        <f>IF(H957=0,0,IF(F957="MXN",1/HLOOKUP(YEAR(G957)+(MONTH(G957)/100),TC!$5:$37,DAY(G957)+2,FALSE),VLOOKUP(F957,Equivalencia!$5:$23,((MAX(Equivalencia!$3:$3)-YEAR(G957))*14)+MONTH(G957)+2,FALSE)))</f>
        <v>0</v>
      </c>
      <c r="K957" s="217">
        <f t="shared" si="145"/>
        <v>0</v>
      </c>
      <c r="L957" s="462">
        <f>IF(G957=0,0,VLOOKUP(YEAR(G957),INPC!$B$4:$O$29,MONTH(G957)+1))</f>
        <v>0</v>
      </c>
      <c r="M957" s="462">
        <f>IF(T957=0,0,VLOOKUP(YEAR(T957),INPC!$B$4:$O$29,MONTH(T957)+1))</f>
        <v>0</v>
      </c>
      <c r="N957" s="463">
        <f t="shared" si="141"/>
        <v>0</v>
      </c>
      <c r="O957" s="464">
        <f t="shared" si="146"/>
        <v>0</v>
      </c>
      <c r="P957" s="465">
        <f t="shared" si="147"/>
        <v>0</v>
      </c>
      <c r="Q957" s="606" t="str">
        <f t="shared" si="148"/>
        <v>NO</v>
      </c>
      <c r="R957" s="180"/>
      <c r="S957" s="173"/>
      <c r="T957" s="174"/>
      <c r="U957" s="173"/>
      <c r="V957" s="220"/>
      <c r="W957" s="177">
        <f>IF(S957=0,0,IF(U957="MXN",1/HLOOKUP(YEAR(T957)+(MONTH(T957)/100),TC!$5:$37,DAY(T957)+2,FALSE),VLOOKUP(U957,Equivalencia!$1:$23,((MAX(Equivalencia!$3:$3)-YEAR(T957))*14)+MONTH(T957)+2,FALSE)))</f>
        <v>0</v>
      </c>
      <c r="X957" s="178">
        <f t="shared" si="149"/>
        <v>0</v>
      </c>
      <c r="Y957" s="178">
        <f t="shared" si="150"/>
        <v>0</v>
      </c>
      <c r="Z957" s="175">
        <f t="shared" si="142"/>
        <v>0</v>
      </c>
      <c r="AA957" s="179"/>
      <c r="AB957" s="467">
        <f t="shared" si="143"/>
        <v>0</v>
      </c>
      <c r="AC957" s="466">
        <f t="shared" si="144"/>
        <v>0</v>
      </c>
    </row>
    <row r="958" spans="2:29" ht="20.100000000000001" customHeight="1">
      <c r="B958" s="172"/>
      <c r="C958" s="172"/>
      <c r="D958" s="172"/>
      <c r="E958" s="181"/>
      <c r="F958" s="173"/>
      <c r="G958" s="174"/>
      <c r="H958" s="284"/>
      <c r="I958" s="221"/>
      <c r="J958" s="177">
        <f>IF(H958=0,0,IF(F958="MXN",1/HLOOKUP(YEAR(G958)+(MONTH(G958)/100),TC!$5:$37,DAY(G958)+2,FALSE),VLOOKUP(F958,Equivalencia!$5:$23,((MAX(Equivalencia!$3:$3)-YEAR(G958))*14)+MONTH(G958)+2,FALSE)))</f>
        <v>0</v>
      </c>
      <c r="K958" s="217">
        <f t="shared" si="145"/>
        <v>0</v>
      </c>
      <c r="L958" s="462">
        <f>IF(G958=0,0,VLOOKUP(YEAR(G958),INPC!$B$4:$O$29,MONTH(G958)+1))</f>
        <v>0</v>
      </c>
      <c r="M958" s="462">
        <f>IF(T958=0,0,VLOOKUP(YEAR(T958),INPC!$B$4:$O$29,MONTH(T958)+1))</f>
        <v>0</v>
      </c>
      <c r="N958" s="463">
        <f t="shared" si="141"/>
        <v>0</v>
      </c>
      <c r="O958" s="464">
        <f t="shared" si="146"/>
        <v>0</v>
      </c>
      <c r="P958" s="465">
        <f t="shared" si="147"/>
        <v>0</v>
      </c>
      <c r="Q958" s="606" t="str">
        <f t="shared" si="148"/>
        <v>NO</v>
      </c>
      <c r="R958" s="180"/>
      <c r="S958" s="173"/>
      <c r="T958" s="174"/>
      <c r="U958" s="173"/>
      <c r="V958" s="220"/>
      <c r="W958" s="177">
        <f>IF(S958=0,0,IF(U958="MXN",1/HLOOKUP(YEAR(T958)+(MONTH(T958)/100),TC!$5:$37,DAY(T958)+2,FALSE),VLOOKUP(U958,Equivalencia!$1:$23,((MAX(Equivalencia!$3:$3)-YEAR(T958))*14)+MONTH(T958)+2,FALSE)))</f>
        <v>0</v>
      </c>
      <c r="X958" s="178">
        <f t="shared" si="149"/>
        <v>0</v>
      </c>
      <c r="Y958" s="178">
        <f t="shared" si="150"/>
        <v>0</v>
      </c>
      <c r="Z958" s="175">
        <f t="shared" si="142"/>
        <v>0</v>
      </c>
      <c r="AA958" s="179"/>
      <c r="AB958" s="467">
        <f t="shared" si="143"/>
        <v>0</v>
      </c>
      <c r="AC958" s="466">
        <f t="shared" si="144"/>
        <v>0</v>
      </c>
    </row>
    <row r="959" spans="2:29" ht="20.100000000000001" customHeight="1">
      <c r="B959" s="172"/>
      <c r="C959" s="172"/>
      <c r="D959" s="172"/>
      <c r="E959" s="181"/>
      <c r="F959" s="173"/>
      <c r="G959" s="174"/>
      <c r="H959" s="284"/>
      <c r="I959" s="221"/>
      <c r="J959" s="177">
        <f>IF(H959=0,0,IF(F959="MXN",1/HLOOKUP(YEAR(G959)+(MONTH(G959)/100),TC!$5:$37,DAY(G959)+2,FALSE),VLOOKUP(F959,Equivalencia!$5:$23,((MAX(Equivalencia!$3:$3)-YEAR(G959))*14)+MONTH(G959)+2,FALSE)))</f>
        <v>0</v>
      </c>
      <c r="K959" s="217">
        <f t="shared" si="145"/>
        <v>0</v>
      </c>
      <c r="L959" s="462">
        <f>IF(G959=0,0,VLOOKUP(YEAR(G959),INPC!$B$4:$O$29,MONTH(G959)+1))</f>
        <v>0</v>
      </c>
      <c r="M959" s="462">
        <f>IF(T959=0,0,VLOOKUP(YEAR(T959),INPC!$B$4:$O$29,MONTH(T959)+1))</f>
        <v>0</v>
      </c>
      <c r="N959" s="463">
        <f t="shared" si="141"/>
        <v>0</v>
      </c>
      <c r="O959" s="464">
        <f t="shared" si="146"/>
        <v>0</v>
      </c>
      <c r="P959" s="465">
        <f t="shared" si="147"/>
        <v>0</v>
      </c>
      <c r="Q959" s="606" t="str">
        <f t="shared" si="148"/>
        <v>NO</v>
      </c>
      <c r="R959" s="180"/>
      <c r="S959" s="173"/>
      <c r="T959" s="174"/>
      <c r="U959" s="173"/>
      <c r="V959" s="220"/>
      <c r="W959" s="177">
        <f>IF(S959=0,0,IF(U959="MXN",1/HLOOKUP(YEAR(T959)+(MONTH(T959)/100),TC!$5:$37,DAY(T959)+2,FALSE),VLOOKUP(U959,Equivalencia!$1:$23,((MAX(Equivalencia!$3:$3)-YEAR(T959))*14)+MONTH(T959)+2,FALSE)))</f>
        <v>0</v>
      </c>
      <c r="X959" s="178">
        <f t="shared" si="149"/>
        <v>0</v>
      </c>
      <c r="Y959" s="178">
        <f t="shared" si="150"/>
        <v>0</v>
      </c>
      <c r="Z959" s="175">
        <f t="shared" si="142"/>
        <v>0</v>
      </c>
      <c r="AA959" s="179"/>
      <c r="AB959" s="467">
        <f t="shared" si="143"/>
        <v>0</v>
      </c>
      <c r="AC959" s="466">
        <f t="shared" si="144"/>
        <v>0</v>
      </c>
    </row>
    <row r="960" spans="2:29" ht="20.100000000000001" customHeight="1">
      <c r="B960" s="172"/>
      <c r="C960" s="172"/>
      <c r="D960" s="172"/>
      <c r="E960" s="181"/>
      <c r="F960" s="173"/>
      <c r="G960" s="174"/>
      <c r="H960" s="284"/>
      <c r="I960" s="221"/>
      <c r="J960" s="177">
        <f>IF(H960=0,0,IF(F960="MXN",1/HLOOKUP(YEAR(G960)+(MONTH(G960)/100),TC!$5:$37,DAY(G960)+2,FALSE),VLOOKUP(F960,Equivalencia!$5:$23,((MAX(Equivalencia!$3:$3)-YEAR(G960))*14)+MONTH(G960)+2,FALSE)))</f>
        <v>0</v>
      </c>
      <c r="K960" s="217">
        <f t="shared" si="145"/>
        <v>0</v>
      </c>
      <c r="L960" s="462">
        <f>IF(G960=0,0,VLOOKUP(YEAR(G960),INPC!$B$4:$O$29,MONTH(G960)+1))</f>
        <v>0</v>
      </c>
      <c r="M960" s="462">
        <f>IF(T960=0,0,VLOOKUP(YEAR(T960),INPC!$B$4:$O$29,MONTH(T960)+1))</f>
        <v>0</v>
      </c>
      <c r="N960" s="463">
        <f t="shared" si="141"/>
        <v>0</v>
      </c>
      <c r="O960" s="464">
        <f t="shared" si="146"/>
        <v>0</v>
      </c>
      <c r="P960" s="465">
        <f t="shared" si="147"/>
        <v>0</v>
      </c>
      <c r="Q960" s="606" t="str">
        <f t="shared" si="148"/>
        <v>NO</v>
      </c>
      <c r="R960" s="180"/>
      <c r="S960" s="173"/>
      <c r="T960" s="174"/>
      <c r="U960" s="173"/>
      <c r="V960" s="220"/>
      <c r="W960" s="177">
        <f>IF(S960=0,0,IF(U960="MXN",1/HLOOKUP(YEAR(T960)+(MONTH(T960)/100),TC!$5:$37,DAY(T960)+2,FALSE),VLOOKUP(U960,Equivalencia!$1:$23,((MAX(Equivalencia!$3:$3)-YEAR(T960))*14)+MONTH(T960)+2,FALSE)))</f>
        <v>0</v>
      </c>
      <c r="X960" s="178">
        <f t="shared" si="149"/>
        <v>0</v>
      </c>
      <c r="Y960" s="178">
        <f t="shared" si="150"/>
        <v>0</v>
      </c>
      <c r="Z960" s="175">
        <f t="shared" si="142"/>
        <v>0</v>
      </c>
      <c r="AA960" s="179"/>
      <c r="AB960" s="467">
        <f t="shared" si="143"/>
        <v>0</v>
      </c>
      <c r="AC960" s="466">
        <f t="shared" si="144"/>
        <v>0</v>
      </c>
    </row>
    <row r="961" spans="2:29" ht="20.100000000000001" customHeight="1">
      <c r="B961" s="172"/>
      <c r="C961" s="172"/>
      <c r="D961" s="172"/>
      <c r="E961" s="181"/>
      <c r="F961" s="173"/>
      <c r="G961" s="174"/>
      <c r="H961" s="284"/>
      <c r="I961" s="221"/>
      <c r="J961" s="177">
        <f>IF(H961=0,0,IF(F961="MXN",1/HLOOKUP(YEAR(G961)+(MONTH(G961)/100),TC!$5:$37,DAY(G961)+2,FALSE),VLOOKUP(F961,Equivalencia!$5:$23,((MAX(Equivalencia!$3:$3)-YEAR(G961))*14)+MONTH(G961)+2,FALSE)))</f>
        <v>0</v>
      </c>
      <c r="K961" s="217">
        <f t="shared" si="145"/>
        <v>0</v>
      </c>
      <c r="L961" s="462">
        <f>IF(G961=0,0,VLOOKUP(YEAR(G961),INPC!$B$4:$O$29,MONTH(G961)+1))</f>
        <v>0</v>
      </c>
      <c r="M961" s="462">
        <f>IF(T961=0,0,VLOOKUP(YEAR(T961),INPC!$B$4:$O$29,MONTH(T961)+1))</f>
        <v>0</v>
      </c>
      <c r="N961" s="463">
        <f t="shared" si="141"/>
        <v>0</v>
      </c>
      <c r="O961" s="464">
        <f t="shared" si="146"/>
        <v>0</v>
      </c>
      <c r="P961" s="465">
        <f t="shared" si="147"/>
        <v>0</v>
      </c>
      <c r="Q961" s="606" t="str">
        <f t="shared" si="148"/>
        <v>NO</v>
      </c>
      <c r="R961" s="180"/>
      <c r="S961" s="173"/>
      <c r="T961" s="174"/>
      <c r="U961" s="173"/>
      <c r="V961" s="220"/>
      <c r="W961" s="177">
        <f>IF(S961=0,0,IF(U961="MXN",1/HLOOKUP(YEAR(T961)+(MONTH(T961)/100),TC!$5:$37,DAY(T961)+2,FALSE),VLOOKUP(U961,Equivalencia!$1:$23,((MAX(Equivalencia!$3:$3)-YEAR(T961))*14)+MONTH(T961)+2,FALSE)))</f>
        <v>0</v>
      </c>
      <c r="X961" s="178">
        <f t="shared" si="149"/>
        <v>0</v>
      </c>
      <c r="Y961" s="178">
        <f t="shared" si="150"/>
        <v>0</v>
      </c>
      <c r="Z961" s="175">
        <f t="shared" si="142"/>
        <v>0</v>
      </c>
      <c r="AA961" s="179"/>
      <c r="AB961" s="467">
        <f t="shared" si="143"/>
        <v>0</v>
      </c>
      <c r="AC961" s="466">
        <f t="shared" si="144"/>
        <v>0</v>
      </c>
    </row>
    <row r="962" spans="2:29" ht="20.100000000000001" customHeight="1">
      <c r="B962" s="172"/>
      <c r="C962" s="172"/>
      <c r="D962" s="172"/>
      <c r="E962" s="181"/>
      <c r="F962" s="173"/>
      <c r="G962" s="174"/>
      <c r="H962" s="284"/>
      <c r="I962" s="221"/>
      <c r="J962" s="177">
        <f>IF(H962=0,0,IF(F962="MXN",1/HLOOKUP(YEAR(G962)+(MONTH(G962)/100),TC!$5:$37,DAY(G962)+2,FALSE),VLOOKUP(F962,Equivalencia!$5:$23,((MAX(Equivalencia!$3:$3)-YEAR(G962))*14)+MONTH(G962)+2,FALSE)))</f>
        <v>0</v>
      </c>
      <c r="K962" s="217">
        <f t="shared" si="145"/>
        <v>0</v>
      </c>
      <c r="L962" s="462">
        <f>IF(G962=0,0,VLOOKUP(YEAR(G962),INPC!$B$4:$O$29,MONTH(G962)+1))</f>
        <v>0</v>
      </c>
      <c r="M962" s="462">
        <f>IF(T962=0,0,VLOOKUP(YEAR(T962),INPC!$B$4:$O$29,MONTH(T962)+1))</f>
        <v>0</v>
      </c>
      <c r="N962" s="463">
        <f t="shared" ref="N962:N999" si="151">IF(T962=0,0,IF(TRUNC(M962/L962,4)&gt;=1,TRUNC(M962/L962,4),1))</f>
        <v>0</v>
      </c>
      <c r="O962" s="464">
        <f t="shared" si="146"/>
        <v>0</v>
      </c>
      <c r="P962" s="465">
        <f t="shared" si="147"/>
        <v>0</v>
      </c>
      <c r="Q962" s="606" t="str">
        <f t="shared" si="148"/>
        <v>NO</v>
      </c>
      <c r="R962" s="180"/>
      <c r="S962" s="173"/>
      <c r="T962" s="174"/>
      <c r="U962" s="173"/>
      <c r="V962" s="220"/>
      <c r="W962" s="177">
        <f>IF(S962=0,0,IF(U962="MXN",1/HLOOKUP(YEAR(T962)+(MONTH(T962)/100),TC!$5:$37,DAY(T962)+2,FALSE),VLOOKUP(U962,Equivalencia!$1:$23,((MAX(Equivalencia!$3:$3)-YEAR(T962))*14)+MONTH(T962)+2,FALSE)))</f>
        <v>0</v>
      </c>
      <c r="X962" s="178">
        <f t="shared" si="149"/>
        <v>0</v>
      </c>
      <c r="Y962" s="178">
        <f t="shared" si="150"/>
        <v>0</v>
      </c>
      <c r="Z962" s="175">
        <f t="shared" ref="Z962:Z999" si="152">+X962+Y962</f>
        <v>0</v>
      </c>
      <c r="AA962" s="179"/>
      <c r="AB962" s="467">
        <f t="shared" ref="AB962:AB999" si="153">+X962+AC962</f>
        <v>0</v>
      </c>
      <c r="AC962" s="466">
        <f t="shared" ref="AC962:AC999" si="154">+R962*P962</f>
        <v>0</v>
      </c>
    </row>
    <row r="963" spans="2:29" ht="20.100000000000001" customHeight="1">
      <c r="B963" s="172"/>
      <c r="C963" s="172"/>
      <c r="D963" s="172"/>
      <c r="E963" s="181"/>
      <c r="F963" s="173"/>
      <c r="G963" s="174"/>
      <c r="H963" s="284"/>
      <c r="I963" s="221"/>
      <c r="J963" s="177">
        <f>IF(H963=0,0,IF(F963="MXN",1/HLOOKUP(YEAR(G963)+(MONTH(G963)/100),TC!$5:$37,DAY(G963)+2,FALSE),VLOOKUP(F963,Equivalencia!$5:$23,((MAX(Equivalencia!$3:$3)-YEAR(G963))*14)+MONTH(G963)+2,FALSE)))</f>
        <v>0</v>
      </c>
      <c r="K963" s="217">
        <f t="shared" ref="K963:K999" si="155">+I963*J963</f>
        <v>0</v>
      </c>
      <c r="L963" s="462">
        <f>IF(G963=0,0,VLOOKUP(YEAR(G963),INPC!$B$4:$O$29,MONTH(G963)+1))</f>
        <v>0</v>
      </c>
      <c r="M963" s="462">
        <f>IF(T963=0,0,VLOOKUP(YEAR(T963),INPC!$B$4:$O$29,MONTH(T963)+1))</f>
        <v>0</v>
      </c>
      <c r="N963" s="463">
        <f t="shared" si="151"/>
        <v>0</v>
      </c>
      <c r="O963" s="464">
        <f t="shared" ref="O963:O999" si="156">+N963*K963</f>
        <v>0</v>
      </c>
      <c r="P963" s="465">
        <f t="shared" ref="P963:P999" si="157">IF(R963=0,0,O963/R963)</f>
        <v>0</v>
      </c>
      <c r="Q963" s="606" t="str">
        <f t="shared" ref="Q963:Q999" si="158">IF(T963=0,"NO","SI")</f>
        <v>NO</v>
      </c>
      <c r="R963" s="180"/>
      <c r="S963" s="173"/>
      <c r="T963" s="174"/>
      <c r="U963" s="173"/>
      <c r="V963" s="220"/>
      <c r="W963" s="177">
        <f>IF(S963=0,0,IF(U963="MXN",1/HLOOKUP(YEAR(T963)+(MONTH(T963)/100),TC!$5:$37,DAY(T963)+2,FALSE),VLOOKUP(U963,Equivalencia!$1:$23,((MAX(Equivalencia!$3:$3)-YEAR(T963))*14)+MONTH(T963)+2,FALSE)))</f>
        <v>0</v>
      </c>
      <c r="X963" s="178">
        <f t="shared" ref="X963:X999" si="159">+W963*V963</f>
        <v>0</v>
      </c>
      <c r="Y963" s="178">
        <f t="shared" ref="Y963:Y999" si="160">+K963</f>
        <v>0</v>
      </c>
      <c r="Z963" s="175">
        <f t="shared" si="152"/>
        <v>0</v>
      </c>
      <c r="AA963" s="179"/>
      <c r="AB963" s="467">
        <f t="shared" si="153"/>
        <v>0</v>
      </c>
      <c r="AC963" s="466">
        <f t="shared" si="154"/>
        <v>0</v>
      </c>
    </row>
    <row r="964" spans="2:29" ht="20.100000000000001" customHeight="1">
      <c r="B964" s="172"/>
      <c r="C964" s="172"/>
      <c r="D964" s="172"/>
      <c r="E964" s="181"/>
      <c r="F964" s="173"/>
      <c r="G964" s="174"/>
      <c r="H964" s="284"/>
      <c r="I964" s="221"/>
      <c r="J964" s="177">
        <f>IF(H964=0,0,IF(F964="MXN",1/HLOOKUP(YEAR(G964)+(MONTH(G964)/100),TC!$5:$37,DAY(G964)+2,FALSE),VLOOKUP(F964,Equivalencia!$5:$23,((MAX(Equivalencia!$3:$3)-YEAR(G964))*14)+MONTH(G964)+2,FALSE)))</f>
        <v>0</v>
      </c>
      <c r="K964" s="217">
        <f t="shared" si="155"/>
        <v>0</v>
      </c>
      <c r="L964" s="462">
        <f>IF(G964=0,0,VLOOKUP(YEAR(G964),INPC!$B$4:$O$29,MONTH(G964)+1))</f>
        <v>0</v>
      </c>
      <c r="M964" s="462">
        <f>IF(T964=0,0,VLOOKUP(YEAR(T964),INPC!$B$4:$O$29,MONTH(T964)+1))</f>
        <v>0</v>
      </c>
      <c r="N964" s="463">
        <f t="shared" si="151"/>
        <v>0</v>
      </c>
      <c r="O964" s="464">
        <f t="shared" si="156"/>
        <v>0</v>
      </c>
      <c r="P964" s="465">
        <f t="shared" si="157"/>
        <v>0</v>
      </c>
      <c r="Q964" s="606" t="str">
        <f t="shared" si="158"/>
        <v>NO</v>
      </c>
      <c r="R964" s="180"/>
      <c r="S964" s="173"/>
      <c r="T964" s="174"/>
      <c r="U964" s="173"/>
      <c r="V964" s="220"/>
      <c r="W964" s="177">
        <f>IF(S964=0,0,IF(U964="MXN",1/HLOOKUP(YEAR(T964)+(MONTH(T964)/100),TC!$5:$37,DAY(T964)+2,FALSE),VLOOKUP(U964,Equivalencia!$1:$23,((MAX(Equivalencia!$3:$3)-YEAR(T964))*14)+MONTH(T964)+2,FALSE)))</f>
        <v>0</v>
      </c>
      <c r="X964" s="178">
        <f t="shared" si="159"/>
        <v>0</v>
      </c>
      <c r="Y964" s="178">
        <f t="shared" si="160"/>
        <v>0</v>
      </c>
      <c r="Z964" s="175">
        <f t="shared" si="152"/>
        <v>0</v>
      </c>
      <c r="AA964" s="179"/>
      <c r="AB964" s="467">
        <f t="shared" si="153"/>
        <v>0</v>
      </c>
      <c r="AC964" s="466">
        <f t="shared" si="154"/>
        <v>0</v>
      </c>
    </row>
    <row r="965" spans="2:29" ht="20.100000000000001" customHeight="1">
      <c r="B965" s="172"/>
      <c r="C965" s="172"/>
      <c r="D965" s="172"/>
      <c r="E965" s="181"/>
      <c r="F965" s="173"/>
      <c r="G965" s="174"/>
      <c r="H965" s="284"/>
      <c r="I965" s="221"/>
      <c r="J965" s="177">
        <f>IF(H965=0,0,IF(F965="MXN",1/HLOOKUP(YEAR(G965)+(MONTH(G965)/100),TC!$5:$37,DAY(G965)+2,FALSE),VLOOKUP(F965,Equivalencia!$5:$23,((MAX(Equivalencia!$3:$3)-YEAR(G965))*14)+MONTH(G965)+2,FALSE)))</f>
        <v>0</v>
      </c>
      <c r="K965" s="217">
        <f t="shared" si="155"/>
        <v>0</v>
      </c>
      <c r="L965" s="462">
        <f>IF(G965=0,0,VLOOKUP(YEAR(G965),INPC!$B$4:$O$29,MONTH(G965)+1))</f>
        <v>0</v>
      </c>
      <c r="M965" s="462">
        <f>IF(T965=0,0,VLOOKUP(YEAR(T965),INPC!$B$4:$O$29,MONTH(T965)+1))</f>
        <v>0</v>
      </c>
      <c r="N965" s="463">
        <f t="shared" si="151"/>
        <v>0</v>
      </c>
      <c r="O965" s="464">
        <f t="shared" si="156"/>
        <v>0</v>
      </c>
      <c r="P965" s="465">
        <f t="shared" si="157"/>
        <v>0</v>
      </c>
      <c r="Q965" s="606" t="str">
        <f t="shared" si="158"/>
        <v>NO</v>
      </c>
      <c r="R965" s="180"/>
      <c r="S965" s="173"/>
      <c r="T965" s="174"/>
      <c r="U965" s="173"/>
      <c r="V965" s="220"/>
      <c r="W965" s="177">
        <f>IF(S965=0,0,IF(U965="MXN",1/HLOOKUP(YEAR(T965)+(MONTH(T965)/100),TC!$5:$37,DAY(T965)+2,FALSE),VLOOKUP(U965,Equivalencia!$1:$23,((MAX(Equivalencia!$3:$3)-YEAR(T965))*14)+MONTH(T965)+2,FALSE)))</f>
        <v>0</v>
      </c>
      <c r="X965" s="178">
        <f t="shared" si="159"/>
        <v>0</v>
      </c>
      <c r="Y965" s="178">
        <f t="shared" si="160"/>
        <v>0</v>
      </c>
      <c r="Z965" s="175">
        <f t="shared" si="152"/>
        <v>0</v>
      </c>
      <c r="AA965" s="179"/>
      <c r="AB965" s="467">
        <f t="shared" si="153"/>
        <v>0</v>
      </c>
      <c r="AC965" s="466">
        <f t="shared" si="154"/>
        <v>0</v>
      </c>
    </row>
    <row r="966" spans="2:29" ht="20.100000000000001" customHeight="1">
      <c r="B966" s="172"/>
      <c r="C966" s="172"/>
      <c r="D966" s="172"/>
      <c r="E966" s="181"/>
      <c r="F966" s="173"/>
      <c r="G966" s="174"/>
      <c r="H966" s="284"/>
      <c r="I966" s="221"/>
      <c r="J966" s="177">
        <f>IF(H966=0,0,IF(F966="MXN",1/HLOOKUP(YEAR(G966)+(MONTH(G966)/100),TC!$5:$37,DAY(G966)+2,FALSE),VLOOKUP(F966,Equivalencia!$5:$23,((MAX(Equivalencia!$3:$3)-YEAR(G966))*14)+MONTH(G966)+2,FALSE)))</f>
        <v>0</v>
      </c>
      <c r="K966" s="217">
        <f t="shared" si="155"/>
        <v>0</v>
      </c>
      <c r="L966" s="462">
        <f>IF(G966=0,0,VLOOKUP(YEAR(G966),INPC!$B$4:$O$29,MONTH(G966)+1))</f>
        <v>0</v>
      </c>
      <c r="M966" s="462">
        <f>IF(T966=0,0,VLOOKUP(YEAR(T966),INPC!$B$4:$O$29,MONTH(T966)+1))</f>
        <v>0</v>
      </c>
      <c r="N966" s="463">
        <f t="shared" si="151"/>
        <v>0</v>
      </c>
      <c r="O966" s="464">
        <f t="shared" si="156"/>
        <v>0</v>
      </c>
      <c r="P966" s="465">
        <f t="shared" si="157"/>
        <v>0</v>
      </c>
      <c r="Q966" s="606" t="str">
        <f t="shared" si="158"/>
        <v>NO</v>
      </c>
      <c r="R966" s="180"/>
      <c r="S966" s="173"/>
      <c r="T966" s="174"/>
      <c r="U966" s="173"/>
      <c r="V966" s="220"/>
      <c r="W966" s="177">
        <f>IF(S966=0,0,IF(U966="MXN",1/HLOOKUP(YEAR(T966)+(MONTH(T966)/100),TC!$5:$37,DAY(T966)+2,FALSE),VLOOKUP(U966,Equivalencia!$1:$23,((MAX(Equivalencia!$3:$3)-YEAR(T966))*14)+MONTH(T966)+2,FALSE)))</f>
        <v>0</v>
      </c>
      <c r="X966" s="178">
        <f t="shared" si="159"/>
        <v>0</v>
      </c>
      <c r="Y966" s="178">
        <f t="shared" si="160"/>
        <v>0</v>
      </c>
      <c r="Z966" s="175">
        <f t="shared" si="152"/>
        <v>0</v>
      </c>
      <c r="AA966" s="179"/>
      <c r="AB966" s="467">
        <f t="shared" si="153"/>
        <v>0</v>
      </c>
      <c r="AC966" s="466">
        <f t="shared" si="154"/>
        <v>0</v>
      </c>
    </row>
    <row r="967" spans="2:29" ht="20.100000000000001" customHeight="1">
      <c r="B967" s="172"/>
      <c r="C967" s="172"/>
      <c r="D967" s="172"/>
      <c r="E967" s="181"/>
      <c r="F967" s="173"/>
      <c r="G967" s="174"/>
      <c r="H967" s="284"/>
      <c r="I967" s="221"/>
      <c r="J967" s="177">
        <f>IF(H967=0,0,IF(F967="MXN",1/HLOOKUP(YEAR(G967)+(MONTH(G967)/100),TC!$5:$37,DAY(G967)+2,FALSE),VLOOKUP(F967,Equivalencia!$5:$23,((MAX(Equivalencia!$3:$3)-YEAR(G967))*14)+MONTH(G967)+2,FALSE)))</f>
        <v>0</v>
      </c>
      <c r="K967" s="217">
        <f t="shared" si="155"/>
        <v>0</v>
      </c>
      <c r="L967" s="462">
        <f>IF(G967=0,0,VLOOKUP(YEAR(G967),INPC!$B$4:$O$29,MONTH(G967)+1))</f>
        <v>0</v>
      </c>
      <c r="M967" s="462">
        <f>IF(T967=0,0,VLOOKUP(YEAR(T967),INPC!$B$4:$O$29,MONTH(T967)+1))</f>
        <v>0</v>
      </c>
      <c r="N967" s="463">
        <f t="shared" si="151"/>
        <v>0</v>
      </c>
      <c r="O967" s="464">
        <f t="shared" si="156"/>
        <v>0</v>
      </c>
      <c r="P967" s="465">
        <f t="shared" si="157"/>
        <v>0</v>
      </c>
      <c r="Q967" s="606" t="str">
        <f t="shared" si="158"/>
        <v>NO</v>
      </c>
      <c r="R967" s="180"/>
      <c r="S967" s="173"/>
      <c r="T967" s="174"/>
      <c r="U967" s="173"/>
      <c r="V967" s="220"/>
      <c r="W967" s="177">
        <f>IF(S967=0,0,IF(U967="MXN",1/HLOOKUP(YEAR(T967)+(MONTH(T967)/100),TC!$5:$37,DAY(T967)+2,FALSE),VLOOKUP(U967,Equivalencia!$1:$23,((MAX(Equivalencia!$3:$3)-YEAR(T967))*14)+MONTH(T967)+2,FALSE)))</f>
        <v>0</v>
      </c>
      <c r="X967" s="178">
        <f t="shared" si="159"/>
        <v>0</v>
      </c>
      <c r="Y967" s="178">
        <f t="shared" si="160"/>
        <v>0</v>
      </c>
      <c r="Z967" s="175">
        <f t="shared" si="152"/>
        <v>0</v>
      </c>
      <c r="AA967" s="179"/>
      <c r="AB967" s="467">
        <f t="shared" si="153"/>
        <v>0</v>
      </c>
      <c r="AC967" s="466">
        <f t="shared" si="154"/>
        <v>0</v>
      </c>
    </row>
    <row r="968" spans="2:29" ht="20.100000000000001" customHeight="1">
      <c r="B968" s="172"/>
      <c r="C968" s="172"/>
      <c r="D968" s="172"/>
      <c r="E968" s="181"/>
      <c r="F968" s="173"/>
      <c r="G968" s="174"/>
      <c r="H968" s="284"/>
      <c r="I968" s="221"/>
      <c r="J968" s="177">
        <f>IF(H968=0,0,IF(F968="MXN",1/HLOOKUP(YEAR(G968)+(MONTH(G968)/100),TC!$5:$37,DAY(G968)+2,FALSE),VLOOKUP(F968,Equivalencia!$5:$23,((MAX(Equivalencia!$3:$3)-YEAR(G968))*14)+MONTH(G968)+2,FALSE)))</f>
        <v>0</v>
      </c>
      <c r="K968" s="217">
        <f t="shared" si="155"/>
        <v>0</v>
      </c>
      <c r="L968" s="462">
        <f>IF(G968=0,0,VLOOKUP(YEAR(G968),INPC!$B$4:$O$29,MONTH(G968)+1))</f>
        <v>0</v>
      </c>
      <c r="M968" s="462">
        <f>IF(T968=0,0,VLOOKUP(YEAR(T968),INPC!$B$4:$O$29,MONTH(T968)+1))</f>
        <v>0</v>
      </c>
      <c r="N968" s="463">
        <f t="shared" si="151"/>
        <v>0</v>
      </c>
      <c r="O968" s="464">
        <f t="shared" si="156"/>
        <v>0</v>
      </c>
      <c r="P968" s="465">
        <f t="shared" si="157"/>
        <v>0</v>
      </c>
      <c r="Q968" s="606" t="str">
        <f t="shared" si="158"/>
        <v>NO</v>
      </c>
      <c r="R968" s="180"/>
      <c r="S968" s="173"/>
      <c r="T968" s="174"/>
      <c r="U968" s="173"/>
      <c r="V968" s="220"/>
      <c r="W968" s="177">
        <f>IF(S968=0,0,IF(U968="MXN",1/HLOOKUP(YEAR(T968)+(MONTH(T968)/100),TC!$5:$37,DAY(T968)+2,FALSE),VLOOKUP(U968,Equivalencia!$1:$23,((MAX(Equivalencia!$3:$3)-YEAR(T968))*14)+MONTH(T968)+2,FALSE)))</f>
        <v>0</v>
      </c>
      <c r="X968" s="178">
        <f t="shared" si="159"/>
        <v>0</v>
      </c>
      <c r="Y968" s="178">
        <f t="shared" si="160"/>
        <v>0</v>
      </c>
      <c r="Z968" s="175">
        <f t="shared" si="152"/>
        <v>0</v>
      </c>
      <c r="AA968" s="179"/>
      <c r="AB968" s="467">
        <f t="shared" si="153"/>
        <v>0</v>
      </c>
      <c r="AC968" s="466">
        <f t="shared" si="154"/>
        <v>0</v>
      </c>
    </row>
    <row r="969" spans="2:29" ht="20.100000000000001" customHeight="1">
      <c r="B969" s="172"/>
      <c r="C969" s="172"/>
      <c r="D969" s="172"/>
      <c r="E969" s="181"/>
      <c r="F969" s="173"/>
      <c r="G969" s="174"/>
      <c r="H969" s="284"/>
      <c r="I969" s="221"/>
      <c r="J969" s="177">
        <f>IF(H969=0,0,IF(F969="MXN",1/HLOOKUP(YEAR(G969)+(MONTH(G969)/100),TC!$5:$37,DAY(G969)+2,FALSE),VLOOKUP(F969,Equivalencia!$5:$23,((MAX(Equivalencia!$3:$3)-YEAR(G969))*14)+MONTH(G969)+2,FALSE)))</f>
        <v>0</v>
      </c>
      <c r="K969" s="217">
        <f t="shared" si="155"/>
        <v>0</v>
      </c>
      <c r="L969" s="462">
        <f>IF(G969=0,0,VLOOKUP(YEAR(G969),INPC!$B$4:$O$29,MONTH(G969)+1))</f>
        <v>0</v>
      </c>
      <c r="M969" s="462">
        <f>IF(T969=0,0,VLOOKUP(YEAR(T969),INPC!$B$4:$O$29,MONTH(T969)+1))</f>
        <v>0</v>
      </c>
      <c r="N969" s="463">
        <f t="shared" si="151"/>
        <v>0</v>
      </c>
      <c r="O969" s="464">
        <f t="shared" si="156"/>
        <v>0</v>
      </c>
      <c r="P969" s="465">
        <f t="shared" si="157"/>
        <v>0</v>
      </c>
      <c r="Q969" s="606" t="str">
        <f t="shared" si="158"/>
        <v>NO</v>
      </c>
      <c r="R969" s="180"/>
      <c r="S969" s="173"/>
      <c r="T969" s="174"/>
      <c r="U969" s="173"/>
      <c r="V969" s="220"/>
      <c r="W969" s="177">
        <f>IF(S969=0,0,IF(U969="MXN",1/HLOOKUP(YEAR(T969)+(MONTH(T969)/100),TC!$5:$37,DAY(T969)+2,FALSE),VLOOKUP(U969,Equivalencia!$1:$23,((MAX(Equivalencia!$3:$3)-YEAR(T969))*14)+MONTH(T969)+2,FALSE)))</f>
        <v>0</v>
      </c>
      <c r="X969" s="178">
        <f t="shared" si="159"/>
        <v>0</v>
      </c>
      <c r="Y969" s="178">
        <f t="shared" si="160"/>
        <v>0</v>
      </c>
      <c r="Z969" s="175">
        <f t="shared" si="152"/>
        <v>0</v>
      </c>
      <c r="AA969" s="179"/>
      <c r="AB969" s="467">
        <f t="shared" si="153"/>
        <v>0</v>
      </c>
      <c r="AC969" s="466">
        <f t="shared" si="154"/>
        <v>0</v>
      </c>
    </row>
    <row r="970" spans="2:29" ht="20.100000000000001" customHeight="1">
      <c r="B970" s="172"/>
      <c r="C970" s="172"/>
      <c r="D970" s="172"/>
      <c r="E970" s="181"/>
      <c r="F970" s="173"/>
      <c r="G970" s="174"/>
      <c r="H970" s="284"/>
      <c r="I970" s="221"/>
      <c r="J970" s="177">
        <f>IF(H970=0,0,IF(F970="MXN",1/HLOOKUP(YEAR(G970)+(MONTH(G970)/100),TC!$5:$37,DAY(G970)+2,FALSE),VLOOKUP(F970,Equivalencia!$5:$23,((MAX(Equivalencia!$3:$3)-YEAR(G970))*14)+MONTH(G970)+2,FALSE)))</f>
        <v>0</v>
      </c>
      <c r="K970" s="217">
        <f t="shared" si="155"/>
        <v>0</v>
      </c>
      <c r="L970" s="462">
        <f>IF(G970=0,0,VLOOKUP(YEAR(G970),INPC!$B$4:$O$29,MONTH(G970)+1))</f>
        <v>0</v>
      </c>
      <c r="M970" s="462">
        <f>IF(T970=0,0,VLOOKUP(YEAR(T970),INPC!$B$4:$O$29,MONTH(T970)+1))</f>
        <v>0</v>
      </c>
      <c r="N970" s="463">
        <f t="shared" si="151"/>
        <v>0</v>
      </c>
      <c r="O970" s="464">
        <f t="shared" si="156"/>
        <v>0</v>
      </c>
      <c r="P970" s="465">
        <f t="shared" si="157"/>
        <v>0</v>
      </c>
      <c r="Q970" s="606" t="str">
        <f t="shared" si="158"/>
        <v>NO</v>
      </c>
      <c r="R970" s="180"/>
      <c r="S970" s="173"/>
      <c r="T970" s="174"/>
      <c r="U970" s="173"/>
      <c r="V970" s="220"/>
      <c r="W970" s="177">
        <f>IF(S970=0,0,IF(U970="MXN",1/HLOOKUP(YEAR(T970)+(MONTH(T970)/100),TC!$5:$37,DAY(T970)+2,FALSE),VLOOKUP(U970,Equivalencia!$1:$23,((MAX(Equivalencia!$3:$3)-YEAR(T970))*14)+MONTH(T970)+2,FALSE)))</f>
        <v>0</v>
      </c>
      <c r="X970" s="178">
        <f t="shared" si="159"/>
        <v>0</v>
      </c>
      <c r="Y970" s="178">
        <f t="shared" si="160"/>
        <v>0</v>
      </c>
      <c r="Z970" s="175">
        <f t="shared" si="152"/>
        <v>0</v>
      </c>
      <c r="AA970" s="179"/>
      <c r="AB970" s="467">
        <f t="shared" si="153"/>
        <v>0</v>
      </c>
      <c r="AC970" s="466">
        <f t="shared" si="154"/>
        <v>0</v>
      </c>
    </row>
    <row r="971" spans="2:29" ht="20.100000000000001" customHeight="1">
      <c r="B971" s="172"/>
      <c r="C971" s="172"/>
      <c r="D971" s="172"/>
      <c r="E971" s="181"/>
      <c r="F971" s="173"/>
      <c r="G971" s="174"/>
      <c r="H971" s="284"/>
      <c r="I971" s="221"/>
      <c r="J971" s="177">
        <f>IF(H971=0,0,IF(F971="MXN",1/HLOOKUP(YEAR(G971)+(MONTH(G971)/100),TC!$5:$37,DAY(G971)+2,FALSE),VLOOKUP(F971,Equivalencia!$5:$23,((MAX(Equivalencia!$3:$3)-YEAR(G971))*14)+MONTH(G971)+2,FALSE)))</f>
        <v>0</v>
      </c>
      <c r="K971" s="217">
        <f t="shared" si="155"/>
        <v>0</v>
      </c>
      <c r="L971" s="462">
        <f>IF(G971=0,0,VLOOKUP(YEAR(G971),INPC!$B$4:$O$29,MONTH(G971)+1))</f>
        <v>0</v>
      </c>
      <c r="M971" s="462">
        <f>IF(T971=0,0,VLOOKUP(YEAR(T971),INPC!$B$4:$O$29,MONTH(T971)+1))</f>
        <v>0</v>
      </c>
      <c r="N971" s="463">
        <f t="shared" si="151"/>
        <v>0</v>
      </c>
      <c r="O971" s="464">
        <f t="shared" si="156"/>
        <v>0</v>
      </c>
      <c r="P971" s="465">
        <f t="shared" si="157"/>
        <v>0</v>
      </c>
      <c r="Q971" s="606" t="str">
        <f t="shared" si="158"/>
        <v>NO</v>
      </c>
      <c r="R971" s="180"/>
      <c r="S971" s="173"/>
      <c r="T971" s="174"/>
      <c r="U971" s="173"/>
      <c r="V971" s="220"/>
      <c r="W971" s="177">
        <f>IF(S971=0,0,IF(U971="MXN",1/HLOOKUP(YEAR(T971)+(MONTH(T971)/100),TC!$5:$37,DAY(T971)+2,FALSE),VLOOKUP(U971,Equivalencia!$1:$23,((MAX(Equivalencia!$3:$3)-YEAR(T971))*14)+MONTH(T971)+2,FALSE)))</f>
        <v>0</v>
      </c>
      <c r="X971" s="178">
        <f t="shared" si="159"/>
        <v>0</v>
      </c>
      <c r="Y971" s="178">
        <f t="shared" si="160"/>
        <v>0</v>
      </c>
      <c r="Z971" s="175">
        <f t="shared" si="152"/>
        <v>0</v>
      </c>
      <c r="AA971" s="179"/>
      <c r="AB971" s="467">
        <f t="shared" si="153"/>
        <v>0</v>
      </c>
      <c r="AC971" s="466">
        <f t="shared" si="154"/>
        <v>0</v>
      </c>
    </row>
    <row r="972" spans="2:29" ht="20.100000000000001" customHeight="1">
      <c r="B972" s="172"/>
      <c r="C972" s="172"/>
      <c r="D972" s="172"/>
      <c r="E972" s="181"/>
      <c r="F972" s="173"/>
      <c r="G972" s="174"/>
      <c r="H972" s="284"/>
      <c r="I972" s="221"/>
      <c r="J972" s="177">
        <f>IF(H972=0,0,IF(F972="MXN",1/HLOOKUP(YEAR(G972)+(MONTH(G972)/100),TC!$5:$37,DAY(G972)+2,FALSE),VLOOKUP(F972,Equivalencia!$5:$23,((MAX(Equivalencia!$3:$3)-YEAR(G972))*14)+MONTH(G972)+2,FALSE)))</f>
        <v>0</v>
      </c>
      <c r="K972" s="217">
        <f t="shared" si="155"/>
        <v>0</v>
      </c>
      <c r="L972" s="462">
        <f>IF(G972=0,0,VLOOKUP(YEAR(G972),INPC!$B$4:$O$29,MONTH(G972)+1))</f>
        <v>0</v>
      </c>
      <c r="M972" s="462">
        <f>IF(T972=0,0,VLOOKUP(YEAR(T972),INPC!$B$4:$O$29,MONTH(T972)+1))</f>
        <v>0</v>
      </c>
      <c r="N972" s="463">
        <f t="shared" si="151"/>
        <v>0</v>
      </c>
      <c r="O972" s="464">
        <f t="shared" si="156"/>
        <v>0</v>
      </c>
      <c r="P972" s="465">
        <f t="shared" si="157"/>
        <v>0</v>
      </c>
      <c r="Q972" s="606" t="str">
        <f t="shared" si="158"/>
        <v>NO</v>
      </c>
      <c r="R972" s="180"/>
      <c r="S972" s="173"/>
      <c r="T972" s="174"/>
      <c r="U972" s="173"/>
      <c r="V972" s="220"/>
      <c r="W972" s="177">
        <f>IF(S972=0,0,IF(U972="MXN",1/HLOOKUP(YEAR(T972)+(MONTH(T972)/100),TC!$5:$37,DAY(T972)+2,FALSE),VLOOKUP(U972,Equivalencia!$1:$23,((MAX(Equivalencia!$3:$3)-YEAR(T972))*14)+MONTH(T972)+2,FALSE)))</f>
        <v>0</v>
      </c>
      <c r="X972" s="178">
        <f t="shared" si="159"/>
        <v>0</v>
      </c>
      <c r="Y972" s="178">
        <f t="shared" si="160"/>
        <v>0</v>
      </c>
      <c r="Z972" s="175">
        <f t="shared" si="152"/>
        <v>0</v>
      </c>
      <c r="AA972" s="179"/>
      <c r="AB972" s="467">
        <f t="shared" si="153"/>
        <v>0</v>
      </c>
      <c r="AC972" s="466">
        <f t="shared" si="154"/>
        <v>0</v>
      </c>
    </row>
    <row r="973" spans="2:29" ht="20.100000000000001" customHeight="1">
      <c r="B973" s="172"/>
      <c r="C973" s="172"/>
      <c r="D973" s="172"/>
      <c r="E973" s="181"/>
      <c r="F973" s="173"/>
      <c r="G973" s="174"/>
      <c r="H973" s="284"/>
      <c r="I973" s="221"/>
      <c r="J973" s="177">
        <f>IF(H973=0,0,IF(F973="MXN",1/HLOOKUP(YEAR(G973)+(MONTH(G973)/100),TC!$5:$37,DAY(G973)+2,FALSE),VLOOKUP(F973,Equivalencia!$5:$23,((MAX(Equivalencia!$3:$3)-YEAR(G973))*14)+MONTH(G973)+2,FALSE)))</f>
        <v>0</v>
      </c>
      <c r="K973" s="217">
        <f t="shared" si="155"/>
        <v>0</v>
      </c>
      <c r="L973" s="462">
        <f>IF(G973=0,0,VLOOKUP(YEAR(G973),INPC!$B$4:$O$29,MONTH(G973)+1))</f>
        <v>0</v>
      </c>
      <c r="M973" s="462">
        <f>IF(T973=0,0,VLOOKUP(YEAR(T973),INPC!$B$4:$O$29,MONTH(T973)+1))</f>
        <v>0</v>
      </c>
      <c r="N973" s="463">
        <f t="shared" si="151"/>
        <v>0</v>
      </c>
      <c r="O973" s="464">
        <f t="shared" si="156"/>
        <v>0</v>
      </c>
      <c r="P973" s="465">
        <f t="shared" si="157"/>
        <v>0</v>
      </c>
      <c r="Q973" s="606" t="str">
        <f t="shared" si="158"/>
        <v>NO</v>
      </c>
      <c r="R973" s="180"/>
      <c r="S973" s="173"/>
      <c r="T973" s="174"/>
      <c r="U973" s="173"/>
      <c r="V973" s="220"/>
      <c r="W973" s="177">
        <f>IF(S973=0,0,IF(U973="MXN",1/HLOOKUP(YEAR(T973)+(MONTH(T973)/100),TC!$5:$37,DAY(T973)+2,FALSE),VLOOKUP(U973,Equivalencia!$1:$23,((MAX(Equivalencia!$3:$3)-YEAR(T973))*14)+MONTH(T973)+2,FALSE)))</f>
        <v>0</v>
      </c>
      <c r="X973" s="178">
        <f t="shared" si="159"/>
        <v>0</v>
      </c>
      <c r="Y973" s="178">
        <f t="shared" si="160"/>
        <v>0</v>
      </c>
      <c r="Z973" s="175">
        <f t="shared" si="152"/>
        <v>0</v>
      </c>
      <c r="AA973" s="179"/>
      <c r="AB973" s="467">
        <f t="shared" si="153"/>
        <v>0</v>
      </c>
      <c r="AC973" s="466">
        <f t="shared" si="154"/>
        <v>0</v>
      </c>
    </row>
    <row r="974" spans="2:29" ht="20.100000000000001" customHeight="1">
      <c r="B974" s="172"/>
      <c r="C974" s="172"/>
      <c r="D974" s="172"/>
      <c r="E974" s="181"/>
      <c r="F974" s="173"/>
      <c r="G974" s="174"/>
      <c r="H974" s="284"/>
      <c r="I974" s="221"/>
      <c r="J974" s="177">
        <f>IF(H974=0,0,IF(F974="MXN",1/HLOOKUP(YEAR(G974)+(MONTH(G974)/100),TC!$5:$37,DAY(G974)+2,FALSE),VLOOKUP(F974,Equivalencia!$5:$23,((MAX(Equivalencia!$3:$3)-YEAR(G974))*14)+MONTH(G974)+2,FALSE)))</f>
        <v>0</v>
      </c>
      <c r="K974" s="217">
        <f t="shared" si="155"/>
        <v>0</v>
      </c>
      <c r="L974" s="462">
        <f>IF(G974=0,0,VLOOKUP(YEAR(G974),INPC!$B$4:$O$29,MONTH(G974)+1))</f>
        <v>0</v>
      </c>
      <c r="M974" s="462">
        <f>IF(T974=0,0,VLOOKUP(YEAR(T974),INPC!$B$4:$O$29,MONTH(T974)+1))</f>
        <v>0</v>
      </c>
      <c r="N974" s="463">
        <f t="shared" si="151"/>
        <v>0</v>
      </c>
      <c r="O974" s="464">
        <f t="shared" si="156"/>
        <v>0</v>
      </c>
      <c r="P974" s="465">
        <f t="shared" si="157"/>
        <v>0</v>
      </c>
      <c r="Q974" s="606" t="str">
        <f t="shared" si="158"/>
        <v>NO</v>
      </c>
      <c r="R974" s="180"/>
      <c r="S974" s="173"/>
      <c r="T974" s="174"/>
      <c r="U974" s="173"/>
      <c r="V974" s="220"/>
      <c r="W974" s="177">
        <f>IF(S974=0,0,IF(U974="MXN",1/HLOOKUP(YEAR(T974)+(MONTH(T974)/100),TC!$5:$37,DAY(T974)+2,FALSE),VLOOKUP(U974,Equivalencia!$1:$23,((MAX(Equivalencia!$3:$3)-YEAR(T974))*14)+MONTH(T974)+2,FALSE)))</f>
        <v>0</v>
      </c>
      <c r="X974" s="178">
        <f t="shared" si="159"/>
        <v>0</v>
      </c>
      <c r="Y974" s="178">
        <f t="shared" si="160"/>
        <v>0</v>
      </c>
      <c r="Z974" s="175">
        <f t="shared" si="152"/>
        <v>0</v>
      </c>
      <c r="AA974" s="179"/>
      <c r="AB974" s="467">
        <f t="shared" si="153"/>
        <v>0</v>
      </c>
      <c r="AC974" s="466">
        <f t="shared" si="154"/>
        <v>0</v>
      </c>
    </row>
    <row r="975" spans="2:29" ht="20.100000000000001" customHeight="1">
      <c r="B975" s="172"/>
      <c r="C975" s="172"/>
      <c r="D975" s="172"/>
      <c r="E975" s="181"/>
      <c r="F975" s="173"/>
      <c r="G975" s="174"/>
      <c r="H975" s="284"/>
      <c r="I975" s="221"/>
      <c r="J975" s="177">
        <f>IF(H975=0,0,IF(F975="MXN",1/HLOOKUP(YEAR(G975)+(MONTH(G975)/100),TC!$5:$37,DAY(G975)+2,FALSE),VLOOKUP(F975,Equivalencia!$5:$23,((MAX(Equivalencia!$3:$3)-YEAR(G975))*14)+MONTH(G975)+2,FALSE)))</f>
        <v>0</v>
      </c>
      <c r="K975" s="217">
        <f t="shared" si="155"/>
        <v>0</v>
      </c>
      <c r="L975" s="462">
        <f>IF(G975=0,0,VLOOKUP(YEAR(G975),INPC!$B$4:$O$29,MONTH(G975)+1))</f>
        <v>0</v>
      </c>
      <c r="M975" s="462">
        <f>IF(T975=0,0,VLOOKUP(YEAR(T975),INPC!$B$4:$O$29,MONTH(T975)+1))</f>
        <v>0</v>
      </c>
      <c r="N975" s="463">
        <f t="shared" si="151"/>
        <v>0</v>
      </c>
      <c r="O975" s="464">
        <f t="shared" si="156"/>
        <v>0</v>
      </c>
      <c r="P975" s="465">
        <f t="shared" si="157"/>
        <v>0</v>
      </c>
      <c r="Q975" s="606" t="str">
        <f t="shared" si="158"/>
        <v>NO</v>
      </c>
      <c r="R975" s="180"/>
      <c r="S975" s="173"/>
      <c r="T975" s="174"/>
      <c r="U975" s="173"/>
      <c r="V975" s="220"/>
      <c r="W975" s="177">
        <f>IF(S975=0,0,IF(U975="MXN",1/HLOOKUP(YEAR(T975)+(MONTH(T975)/100),TC!$5:$37,DAY(T975)+2,FALSE),VLOOKUP(U975,Equivalencia!$1:$23,((MAX(Equivalencia!$3:$3)-YEAR(T975))*14)+MONTH(T975)+2,FALSE)))</f>
        <v>0</v>
      </c>
      <c r="X975" s="178">
        <f t="shared" si="159"/>
        <v>0</v>
      </c>
      <c r="Y975" s="178">
        <f t="shared" si="160"/>
        <v>0</v>
      </c>
      <c r="Z975" s="175">
        <f t="shared" si="152"/>
        <v>0</v>
      </c>
      <c r="AA975" s="179"/>
      <c r="AB975" s="467">
        <f t="shared" si="153"/>
        <v>0</v>
      </c>
      <c r="AC975" s="466">
        <f t="shared" si="154"/>
        <v>0</v>
      </c>
    </row>
    <row r="976" spans="2:29" ht="20.100000000000001" customHeight="1">
      <c r="B976" s="172"/>
      <c r="C976" s="172"/>
      <c r="D976" s="172"/>
      <c r="E976" s="181"/>
      <c r="F976" s="173"/>
      <c r="G976" s="174"/>
      <c r="H976" s="284"/>
      <c r="I976" s="221"/>
      <c r="J976" s="177">
        <f>IF(H976=0,0,IF(F976="MXN",1/HLOOKUP(YEAR(G976)+(MONTH(G976)/100),TC!$5:$37,DAY(G976)+2,FALSE),VLOOKUP(F976,Equivalencia!$5:$23,((MAX(Equivalencia!$3:$3)-YEAR(G976))*14)+MONTH(G976)+2,FALSE)))</f>
        <v>0</v>
      </c>
      <c r="K976" s="217">
        <f t="shared" si="155"/>
        <v>0</v>
      </c>
      <c r="L976" s="462">
        <f>IF(G976=0,0,VLOOKUP(YEAR(G976),INPC!$B$4:$O$29,MONTH(G976)+1))</f>
        <v>0</v>
      </c>
      <c r="M976" s="462">
        <f>IF(T976=0,0,VLOOKUP(YEAR(T976),INPC!$B$4:$O$29,MONTH(T976)+1))</f>
        <v>0</v>
      </c>
      <c r="N976" s="463">
        <f t="shared" si="151"/>
        <v>0</v>
      </c>
      <c r="O976" s="464">
        <f t="shared" si="156"/>
        <v>0</v>
      </c>
      <c r="P976" s="465">
        <f t="shared" si="157"/>
        <v>0</v>
      </c>
      <c r="Q976" s="606" t="str">
        <f t="shared" si="158"/>
        <v>NO</v>
      </c>
      <c r="R976" s="180"/>
      <c r="S976" s="173"/>
      <c r="T976" s="174"/>
      <c r="U976" s="173"/>
      <c r="V976" s="220"/>
      <c r="W976" s="177">
        <f>IF(S976=0,0,IF(U976="MXN",1/HLOOKUP(YEAR(T976)+(MONTH(T976)/100),TC!$5:$37,DAY(T976)+2,FALSE),VLOOKUP(U976,Equivalencia!$1:$23,((MAX(Equivalencia!$3:$3)-YEAR(T976))*14)+MONTH(T976)+2,FALSE)))</f>
        <v>0</v>
      </c>
      <c r="X976" s="178">
        <f t="shared" si="159"/>
        <v>0</v>
      </c>
      <c r="Y976" s="178">
        <f t="shared" si="160"/>
        <v>0</v>
      </c>
      <c r="Z976" s="175">
        <f t="shared" si="152"/>
        <v>0</v>
      </c>
      <c r="AA976" s="179"/>
      <c r="AB976" s="467">
        <f t="shared" si="153"/>
        <v>0</v>
      </c>
      <c r="AC976" s="466">
        <f t="shared" si="154"/>
        <v>0</v>
      </c>
    </row>
    <row r="977" spans="2:29" ht="20.100000000000001" customHeight="1">
      <c r="B977" s="172"/>
      <c r="C977" s="172"/>
      <c r="D977" s="172"/>
      <c r="E977" s="181"/>
      <c r="F977" s="173"/>
      <c r="G977" s="174"/>
      <c r="H977" s="284"/>
      <c r="I977" s="221"/>
      <c r="J977" s="177">
        <f>IF(H977=0,0,IF(F977="MXN",1/HLOOKUP(YEAR(G977)+(MONTH(G977)/100),TC!$5:$37,DAY(G977)+2,FALSE),VLOOKUP(F977,Equivalencia!$5:$23,((MAX(Equivalencia!$3:$3)-YEAR(G977))*14)+MONTH(G977)+2,FALSE)))</f>
        <v>0</v>
      </c>
      <c r="K977" s="217">
        <f t="shared" si="155"/>
        <v>0</v>
      </c>
      <c r="L977" s="462">
        <f>IF(G977=0,0,VLOOKUP(YEAR(G977),INPC!$B$4:$O$29,MONTH(G977)+1))</f>
        <v>0</v>
      </c>
      <c r="M977" s="462">
        <f>IF(T977=0,0,VLOOKUP(YEAR(T977),INPC!$B$4:$O$29,MONTH(T977)+1))</f>
        <v>0</v>
      </c>
      <c r="N977" s="463">
        <f t="shared" si="151"/>
        <v>0</v>
      </c>
      <c r="O977" s="464">
        <f t="shared" si="156"/>
        <v>0</v>
      </c>
      <c r="P977" s="465">
        <f t="shared" si="157"/>
        <v>0</v>
      </c>
      <c r="Q977" s="606" t="str">
        <f t="shared" si="158"/>
        <v>NO</v>
      </c>
      <c r="R977" s="180"/>
      <c r="S977" s="173"/>
      <c r="T977" s="174"/>
      <c r="U977" s="173"/>
      <c r="V977" s="220"/>
      <c r="W977" s="177">
        <f>IF(S977=0,0,IF(U977="MXN",1/HLOOKUP(YEAR(T977)+(MONTH(T977)/100),TC!$5:$37,DAY(T977)+2,FALSE),VLOOKUP(U977,Equivalencia!$1:$23,((MAX(Equivalencia!$3:$3)-YEAR(T977))*14)+MONTH(T977)+2,FALSE)))</f>
        <v>0</v>
      </c>
      <c r="X977" s="178">
        <f t="shared" si="159"/>
        <v>0</v>
      </c>
      <c r="Y977" s="178">
        <f t="shared" si="160"/>
        <v>0</v>
      </c>
      <c r="Z977" s="175">
        <f t="shared" si="152"/>
        <v>0</v>
      </c>
      <c r="AA977" s="179"/>
      <c r="AB977" s="467">
        <f t="shared" si="153"/>
        <v>0</v>
      </c>
      <c r="AC977" s="466">
        <f t="shared" si="154"/>
        <v>0</v>
      </c>
    </row>
    <row r="978" spans="2:29" ht="20.100000000000001" customHeight="1">
      <c r="B978" s="172"/>
      <c r="C978" s="172"/>
      <c r="D978" s="172"/>
      <c r="E978" s="181"/>
      <c r="F978" s="173"/>
      <c r="G978" s="174"/>
      <c r="H978" s="284"/>
      <c r="I978" s="221"/>
      <c r="J978" s="177">
        <f>IF(H978=0,0,IF(F978="MXN",1/HLOOKUP(YEAR(G978)+(MONTH(G978)/100),TC!$5:$37,DAY(G978)+2,FALSE),VLOOKUP(F978,Equivalencia!$5:$23,((MAX(Equivalencia!$3:$3)-YEAR(G978))*14)+MONTH(G978)+2,FALSE)))</f>
        <v>0</v>
      </c>
      <c r="K978" s="217">
        <f t="shared" si="155"/>
        <v>0</v>
      </c>
      <c r="L978" s="462">
        <f>IF(G978=0,0,VLOOKUP(YEAR(G978),INPC!$B$4:$O$29,MONTH(G978)+1))</f>
        <v>0</v>
      </c>
      <c r="M978" s="462">
        <f>IF(T978=0,0,VLOOKUP(YEAR(T978),INPC!$B$4:$O$29,MONTH(T978)+1))</f>
        <v>0</v>
      </c>
      <c r="N978" s="463">
        <f t="shared" si="151"/>
        <v>0</v>
      </c>
      <c r="O978" s="464">
        <f t="shared" si="156"/>
        <v>0</v>
      </c>
      <c r="P978" s="465">
        <f t="shared" si="157"/>
        <v>0</v>
      </c>
      <c r="Q978" s="606" t="str">
        <f t="shared" si="158"/>
        <v>NO</v>
      </c>
      <c r="R978" s="180"/>
      <c r="S978" s="173"/>
      <c r="T978" s="174"/>
      <c r="U978" s="173"/>
      <c r="V978" s="220"/>
      <c r="W978" s="177">
        <f>IF(S978=0,0,IF(U978="MXN",1/HLOOKUP(YEAR(T978)+(MONTH(T978)/100),TC!$5:$37,DAY(T978)+2,FALSE),VLOOKUP(U978,Equivalencia!$1:$23,((MAX(Equivalencia!$3:$3)-YEAR(T978))*14)+MONTH(T978)+2,FALSE)))</f>
        <v>0</v>
      </c>
      <c r="X978" s="178">
        <f t="shared" si="159"/>
        <v>0</v>
      </c>
      <c r="Y978" s="178">
        <f t="shared" si="160"/>
        <v>0</v>
      </c>
      <c r="Z978" s="175">
        <f t="shared" si="152"/>
        <v>0</v>
      </c>
      <c r="AA978" s="179"/>
      <c r="AB978" s="467">
        <f t="shared" si="153"/>
        <v>0</v>
      </c>
      <c r="AC978" s="466">
        <f t="shared" si="154"/>
        <v>0</v>
      </c>
    </row>
    <row r="979" spans="2:29" ht="20.100000000000001" customHeight="1">
      <c r="B979" s="172"/>
      <c r="C979" s="172"/>
      <c r="D979" s="172"/>
      <c r="E979" s="181"/>
      <c r="F979" s="173"/>
      <c r="G979" s="174"/>
      <c r="H979" s="284"/>
      <c r="I979" s="221"/>
      <c r="J979" s="177">
        <f>IF(H979=0,0,IF(F979="MXN",1/HLOOKUP(YEAR(G979)+(MONTH(G979)/100),TC!$5:$37,DAY(G979)+2,FALSE),VLOOKUP(F979,Equivalencia!$5:$23,((MAX(Equivalencia!$3:$3)-YEAR(G979))*14)+MONTH(G979)+2,FALSE)))</f>
        <v>0</v>
      </c>
      <c r="K979" s="217">
        <f t="shared" si="155"/>
        <v>0</v>
      </c>
      <c r="L979" s="462">
        <f>IF(G979=0,0,VLOOKUP(YEAR(G979),INPC!$B$4:$O$29,MONTH(G979)+1))</f>
        <v>0</v>
      </c>
      <c r="M979" s="462">
        <f>IF(T979=0,0,VLOOKUP(YEAR(T979),INPC!$B$4:$O$29,MONTH(T979)+1))</f>
        <v>0</v>
      </c>
      <c r="N979" s="463">
        <f t="shared" si="151"/>
        <v>0</v>
      </c>
      <c r="O979" s="464">
        <f t="shared" si="156"/>
        <v>0</v>
      </c>
      <c r="P979" s="465">
        <f t="shared" si="157"/>
        <v>0</v>
      </c>
      <c r="Q979" s="606" t="str">
        <f t="shared" si="158"/>
        <v>NO</v>
      </c>
      <c r="R979" s="180"/>
      <c r="S979" s="173"/>
      <c r="T979" s="174"/>
      <c r="U979" s="173"/>
      <c r="V979" s="220"/>
      <c r="W979" s="177">
        <f>IF(S979=0,0,IF(U979="MXN",1/HLOOKUP(YEAR(T979)+(MONTH(T979)/100),TC!$5:$37,DAY(T979)+2,FALSE),VLOOKUP(U979,Equivalencia!$1:$23,((MAX(Equivalencia!$3:$3)-YEAR(T979))*14)+MONTH(T979)+2,FALSE)))</f>
        <v>0</v>
      </c>
      <c r="X979" s="178">
        <f t="shared" si="159"/>
        <v>0</v>
      </c>
      <c r="Y979" s="178">
        <f t="shared" si="160"/>
        <v>0</v>
      </c>
      <c r="Z979" s="175">
        <f t="shared" si="152"/>
        <v>0</v>
      </c>
      <c r="AA979" s="179"/>
      <c r="AB979" s="467">
        <f t="shared" si="153"/>
        <v>0</v>
      </c>
      <c r="AC979" s="466">
        <f t="shared" si="154"/>
        <v>0</v>
      </c>
    </row>
    <row r="980" spans="2:29" ht="20.100000000000001" customHeight="1">
      <c r="B980" s="172"/>
      <c r="C980" s="172"/>
      <c r="D980" s="172"/>
      <c r="E980" s="181"/>
      <c r="F980" s="173"/>
      <c r="G980" s="174"/>
      <c r="H980" s="284"/>
      <c r="I980" s="221"/>
      <c r="J980" s="177">
        <f>IF(H980=0,0,IF(F980="MXN",1/HLOOKUP(YEAR(G980)+(MONTH(G980)/100),TC!$5:$37,DAY(G980)+2,FALSE),VLOOKUP(F980,Equivalencia!$5:$23,((MAX(Equivalencia!$3:$3)-YEAR(G980))*14)+MONTH(G980)+2,FALSE)))</f>
        <v>0</v>
      </c>
      <c r="K980" s="217">
        <f t="shared" si="155"/>
        <v>0</v>
      </c>
      <c r="L980" s="462">
        <f>IF(G980=0,0,VLOOKUP(YEAR(G980),INPC!$B$4:$O$29,MONTH(G980)+1))</f>
        <v>0</v>
      </c>
      <c r="M980" s="462">
        <f>IF(T980=0,0,VLOOKUP(YEAR(T980),INPC!$B$4:$O$29,MONTH(T980)+1))</f>
        <v>0</v>
      </c>
      <c r="N980" s="463">
        <f t="shared" si="151"/>
        <v>0</v>
      </c>
      <c r="O980" s="464">
        <f t="shared" si="156"/>
        <v>0</v>
      </c>
      <c r="P980" s="465">
        <f t="shared" si="157"/>
        <v>0</v>
      </c>
      <c r="Q980" s="606" t="str">
        <f t="shared" si="158"/>
        <v>NO</v>
      </c>
      <c r="R980" s="180"/>
      <c r="S980" s="173"/>
      <c r="T980" s="174"/>
      <c r="U980" s="173"/>
      <c r="V980" s="220"/>
      <c r="W980" s="177">
        <f>IF(S980=0,0,IF(U980="MXN",1/HLOOKUP(YEAR(T980)+(MONTH(T980)/100),TC!$5:$37,DAY(T980)+2,FALSE),VLOOKUP(U980,Equivalencia!$1:$23,((MAX(Equivalencia!$3:$3)-YEAR(T980))*14)+MONTH(T980)+2,FALSE)))</f>
        <v>0</v>
      </c>
      <c r="X980" s="178">
        <f t="shared" si="159"/>
        <v>0</v>
      </c>
      <c r="Y980" s="178">
        <f t="shared" si="160"/>
        <v>0</v>
      </c>
      <c r="Z980" s="175">
        <f t="shared" si="152"/>
        <v>0</v>
      </c>
      <c r="AA980" s="179"/>
      <c r="AB980" s="467">
        <f t="shared" si="153"/>
        <v>0</v>
      </c>
      <c r="AC980" s="466">
        <f t="shared" si="154"/>
        <v>0</v>
      </c>
    </row>
    <row r="981" spans="2:29" ht="20.100000000000001" customHeight="1">
      <c r="B981" s="172"/>
      <c r="C981" s="172"/>
      <c r="D981" s="172"/>
      <c r="E981" s="181"/>
      <c r="F981" s="173"/>
      <c r="G981" s="174"/>
      <c r="H981" s="284"/>
      <c r="I981" s="221"/>
      <c r="J981" s="177">
        <f>IF(H981=0,0,IF(F981="MXN",1/HLOOKUP(YEAR(G981)+(MONTH(G981)/100),TC!$5:$37,DAY(G981)+2,FALSE),VLOOKUP(F981,Equivalencia!$5:$23,((MAX(Equivalencia!$3:$3)-YEAR(G981))*14)+MONTH(G981)+2,FALSE)))</f>
        <v>0</v>
      </c>
      <c r="K981" s="217">
        <f t="shared" si="155"/>
        <v>0</v>
      </c>
      <c r="L981" s="462">
        <f>IF(G981=0,0,VLOOKUP(YEAR(G981),INPC!$B$4:$O$29,MONTH(G981)+1))</f>
        <v>0</v>
      </c>
      <c r="M981" s="462">
        <f>IF(T981=0,0,VLOOKUP(YEAR(T981),INPC!$B$4:$O$29,MONTH(T981)+1))</f>
        <v>0</v>
      </c>
      <c r="N981" s="463">
        <f t="shared" si="151"/>
        <v>0</v>
      </c>
      <c r="O981" s="464">
        <f t="shared" si="156"/>
        <v>0</v>
      </c>
      <c r="P981" s="465">
        <f t="shared" si="157"/>
        <v>0</v>
      </c>
      <c r="Q981" s="606" t="str">
        <f t="shared" si="158"/>
        <v>NO</v>
      </c>
      <c r="R981" s="180"/>
      <c r="S981" s="173"/>
      <c r="T981" s="174"/>
      <c r="U981" s="173"/>
      <c r="V981" s="220"/>
      <c r="W981" s="177">
        <f>IF(S981=0,0,IF(U981="MXN",1/HLOOKUP(YEAR(T981)+(MONTH(T981)/100),TC!$5:$37,DAY(T981)+2,FALSE),VLOOKUP(U981,Equivalencia!$1:$23,((MAX(Equivalencia!$3:$3)-YEAR(T981))*14)+MONTH(T981)+2,FALSE)))</f>
        <v>0</v>
      </c>
      <c r="X981" s="178">
        <f t="shared" si="159"/>
        <v>0</v>
      </c>
      <c r="Y981" s="178">
        <f t="shared" si="160"/>
        <v>0</v>
      </c>
      <c r="Z981" s="175">
        <f t="shared" si="152"/>
        <v>0</v>
      </c>
      <c r="AA981" s="179"/>
      <c r="AB981" s="467">
        <f t="shared" si="153"/>
        <v>0</v>
      </c>
      <c r="AC981" s="466">
        <f t="shared" si="154"/>
        <v>0</v>
      </c>
    </row>
    <row r="982" spans="2:29" ht="20.100000000000001" customHeight="1">
      <c r="B982" s="172"/>
      <c r="C982" s="172"/>
      <c r="D982" s="172"/>
      <c r="E982" s="181"/>
      <c r="F982" s="173"/>
      <c r="G982" s="174"/>
      <c r="H982" s="284"/>
      <c r="I982" s="221"/>
      <c r="J982" s="177">
        <f>IF(H982=0,0,IF(F982="MXN",1/HLOOKUP(YEAR(G982)+(MONTH(G982)/100),TC!$5:$37,DAY(G982)+2,FALSE),VLOOKUP(F982,Equivalencia!$5:$23,((MAX(Equivalencia!$3:$3)-YEAR(G982))*14)+MONTH(G982)+2,FALSE)))</f>
        <v>0</v>
      </c>
      <c r="K982" s="217">
        <f t="shared" si="155"/>
        <v>0</v>
      </c>
      <c r="L982" s="462">
        <f>IF(G982=0,0,VLOOKUP(YEAR(G982),INPC!$B$4:$O$29,MONTH(G982)+1))</f>
        <v>0</v>
      </c>
      <c r="M982" s="462">
        <f>IF(T982=0,0,VLOOKUP(YEAR(T982),INPC!$B$4:$O$29,MONTH(T982)+1))</f>
        <v>0</v>
      </c>
      <c r="N982" s="463">
        <f t="shared" si="151"/>
        <v>0</v>
      </c>
      <c r="O982" s="464">
        <f t="shared" si="156"/>
        <v>0</v>
      </c>
      <c r="P982" s="465">
        <f t="shared" si="157"/>
        <v>0</v>
      </c>
      <c r="Q982" s="606" t="str">
        <f t="shared" si="158"/>
        <v>NO</v>
      </c>
      <c r="R982" s="180"/>
      <c r="S982" s="173"/>
      <c r="T982" s="174"/>
      <c r="U982" s="173"/>
      <c r="V982" s="220"/>
      <c r="W982" s="177">
        <f>IF(S982=0,0,IF(U982="MXN",1/HLOOKUP(YEAR(T982)+(MONTH(T982)/100),TC!$5:$37,DAY(T982)+2,FALSE),VLOOKUP(U982,Equivalencia!$1:$23,((MAX(Equivalencia!$3:$3)-YEAR(T982))*14)+MONTH(T982)+2,FALSE)))</f>
        <v>0</v>
      </c>
      <c r="X982" s="178">
        <f t="shared" si="159"/>
        <v>0</v>
      </c>
      <c r="Y982" s="178">
        <f t="shared" si="160"/>
        <v>0</v>
      </c>
      <c r="Z982" s="175">
        <f t="shared" si="152"/>
        <v>0</v>
      </c>
      <c r="AA982" s="179"/>
      <c r="AB982" s="467">
        <f t="shared" si="153"/>
        <v>0</v>
      </c>
      <c r="AC982" s="466">
        <f t="shared" si="154"/>
        <v>0</v>
      </c>
    </row>
    <row r="983" spans="2:29" ht="20.100000000000001" customHeight="1">
      <c r="B983" s="172"/>
      <c r="C983" s="172"/>
      <c r="D983" s="172"/>
      <c r="E983" s="181"/>
      <c r="F983" s="173"/>
      <c r="G983" s="174"/>
      <c r="H983" s="284"/>
      <c r="I983" s="221"/>
      <c r="J983" s="177">
        <f>IF(H983=0,0,IF(F983="MXN",1/HLOOKUP(YEAR(G983)+(MONTH(G983)/100),TC!$5:$37,DAY(G983)+2,FALSE),VLOOKUP(F983,Equivalencia!$5:$23,((MAX(Equivalencia!$3:$3)-YEAR(G983))*14)+MONTH(G983)+2,FALSE)))</f>
        <v>0</v>
      </c>
      <c r="K983" s="217">
        <f t="shared" si="155"/>
        <v>0</v>
      </c>
      <c r="L983" s="462">
        <f>IF(G983=0,0,VLOOKUP(YEAR(G983),INPC!$B$4:$O$29,MONTH(G983)+1))</f>
        <v>0</v>
      </c>
      <c r="M983" s="462">
        <f>IF(T983=0,0,VLOOKUP(YEAR(T983),INPC!$B$4:$O$29,MONTH(T983)+1))</f>
        <v>0</v>
      </c>
      <c r="N983" s="463">
        <f t="shared" si="151"/>
        <v>0</v>
      </c>
      <c r="O983" s="464">
        <f t="shared" si="156"/>
        <v>0</v>
      </c>
      <c r="P983" s="465">
        <f t="shared" si="157"/>
        <v>0</v>
      </c>
      <c r="Q983" s="606" t="str">
        <f t="shared" si="158"/>
        <v>NO</v>
      </c>
      <c r="R983" s="180"/>
      <c r="S983" s="173"/>
      <c r="T983" s="174"/>
      <c r="U983" s="173"/>
      <c r="V983" s="220"/>
      <c r="W983" s="177">
        <f>IF(S983=0,0,IF(U983="MXN",1/HLOOKUP(YEAR(T983)+(MONTH(T983)/100),TC!$5:$37,DAY(T983)+2,FALSE),VLOOKUP(U983,Equivalencia!$1:$23,((MAX(Equivalencia!$3:$3)-YEAR(T983))*14)+MONTH(T983)+2,FALSE)))</f>
        <v>0</v>
      </c>
      <c r="X983" s="178">
        <f t="shared" si="159"/>
        <v>0</v>
      </c>
      <c r="Y983" s="178">
        <f t="shared" si="160"/>
        <v>0</v>
      </c>
      <c r="Z983" s="175">
        <f t="shared" si="152"/>
        <v>0</v>
      </c>
      <c r="AA983" s="179"/>
      <c r="AB983" s="467">
        <f t="shared" si="153"/>
        <v>0</v>
      </c>
      <c r="AC983" s="466">
        <f t="shared" si="154"/>
        <v>0</v>
      </c>
    </row>
    <row r="984" spans="2:29" ht="20.100000000000001" customHeight="1">
      <c r="B984" s="172"/>
      <c r="C984" s="172"/>
      <c r="D984" s="172"/>
      <c r="E984" s="181"/>
      <c r="F984" s="173"/>
      <c r="G984" s="174"/>
      <c r="H984" s="284"/>
      <c r="I984" s="221"/>
      <c r="J984" s="177">
        <f>IF(H984=0,0,IF(F984="MXN",1/HLOOKUP(YEAR(G984)+(MONTH(G984)/100),TC!$5:$37,DAY(G984)+2,FALSE),VLOOKUP(F984,Equivalencia!$5:$23,((MAX(Equivalencia!$3:$3)-YEAR(G984))*14)+MONTH(G984)+2,FALSE)))</f>
        <v>0</v>
      </c>
      <c r="K984" s="217">
        <f t="shared" si="155"/>
        <v>0</v>
      </c>
      <c r="L984" s="462">
        <f>IF(G984=0,0,VLOOKUP(YEAR(G984),INPC!$B$4:$O$29,MONTH(G984)+1))</f>
        <v>0</v>
      </c>
      <c r="M984" s="462">
        <f>IF(T984=0,0,VLOOKUP(YEAR(T984),INPC!$B$4:$O$29,MONTH(T984)+1))</f>
        <v>0</v>
      </c>
      <c r="N984" s="463">
        <f t="shared" si="151"/>
        <v>0</v>
      </c>
      <c r="O984" s="464">
        <f t="shared" si="156"/>
        <v>0</v>
      </c>
      <c r="P984" s="465">
        <f t="shared" si="157"/>
        <v>0</v>
      </c>
      <c r="Q984" s="606" t="str">
        <f t="shared" si="158"/>
        <v>NO</v>
      </c>
      <c r="R984" s="180"/>
      <c r="S984" s="173"/>
      <c r="T984" s="174"/>
      <c r="U984" s="173"/>
      <c r="V984" s="220"/>
      <c r="W984" s="177">
        <f>IF(S984=0,0,IF(U984="MXN",1/HLOOKUP(YEAR(T984)+(MONTH(T984)/100),TC!$5:$37,DAY(T984)+2,FALSE),VLOOKUP(U984,Equivalencia!$1:$23,((MAX(Equivalencia!$3:$3)-YEAR(T984))*14)+MONTH(T984)+2,FALSE)))</f>
        <v>0</v>
      </c>
      <c r="X984" s="178">
        <f t="shared" si="159"/>
        <v>0</v>
      </c>
      <c r="Y984" s="178">
        <f t="shared" si="160"/>
        <v>0</v>
      </c>
      <c r="Z984" s="175">
        <f t="shared" si="152"/>
        <v>0</v>
      </c>
      <c r="AA984" s="179"/>
      <c r="AB984" s="467">
        <f t="shared" si="153"/>
        <v>0</v>
      </c>
      <c r="AC984" s="466">
        <f t="shared" si="154"/>
        <v>0</v>
      </c>
    </row>
    <row r="985" spans="2:29" ht="20.100000000000001" customHeight="1">
      <c r="B985" s="172"/>
      <c r="C985" s="172"/>
      <c r="D985" s="172"/>
      <c r="E985" s="181"/>
      <c r="F985" s="173"/>
      <c r="G985" s="174"/>
      <c r="H985" s="284"/>
      <c r="I985" s="221"/>
      <c r="J985" s="177">
        <f>IF(H985=0,0,IF(F985="MXN",1/HLOOKUP(YEAR(G985)+(MONTH(G985)/100),TC!$5:$37,DAY(G985)+2,FALSE),VLOOKUP(F985,Equivalencia!$5:$23,((MAX(Equivalencia!$3:$3)-YEAR(G985))*14)+MONTH(G985)+2,FALSE)))</f>
        <v>0</v>
      </c>
      <c r="K985" s="217">
        <f t="shared" si="155"/>
        <v>0</v>
      </c>
      <c r="L985" s="462">
        <f>IF(G985=0,0,VLOOKUP(YEAR(G985),INPC!$B$4:$O$29,MONTH(G985)+1))</f>
        <v>0</v>
      </c>
      <c r="M985" s="462">
        <f>IF(T985=0,0,VLOOKUP(YEAR(T985),INPC!$B$4:$O$29,MONTH(T985)+1))</f>
        <v>0</v>
      </c>
      <c r="N985" s="463">
        <f t="shared" si="151"/>
        <v>0</v>
      </c>
      <c r="O985" s="464">
        <f t="shared" si="156"/>
        <v>0</v>
      </c>
      <c r="P985" s="465">
        <f t="shared" si="157"/>
        <v>0</v>
      </c>
      <c r="Q985" s="606" t="str">
        <f t="shared" si="158"/>
        <v>NO</v>
      </c>
      <c r="R985" s="180"/>
      <c r="S985" s="173"/>
      <c r="T985" s="174"/>
      <c r="U985" s="173"/>
      <c r="V985" s="220"/>
      <c r="W985" s="177">
        <f>IF(S985=0,0,IF(U985="MXN",1/HLOOKUP(YEAR(T985)+(MONTH(T985)/100),TC!$5:$37,DAY(T985)+2,FALSE),VLOOKUP(U985,Equivalencia!$1:$23,((MAX(Equivalencia!$3:$3)-YEAR(T985))*14)+MONTH(T985)+2,FALSE)))</f>
        <v>0</v>
      </c>
      <c r="X985" s="178">
        <f t="shared" si="159"/>
        <v>0</v>
      </c>
      <c r="Y985" s="178">
        <f t="shared" si="160"/>
        <v>0</v>
      </c>
      <c r="Z985" s="175">
        <f t="shared" si="152"/>
        <v>0</v>
      </c>
      <c r="AA985" s="179"/>
      <c r="AB985" s="467">
        <f t="shared" si="153"/>
        <v>0</v>
      </c>
      <c r="AC985" s="466">
        <f t="shared" si="154"/>
        <v>0</v>
      </c>
    </row>
    <row r="986" spans="2:29" ht="20.100000000000001" customHeight="1">
      <c r="B986" s="172"/>
      <c r="C986" s="172"/>
      <c r="D986" s="172"/>
      <c r="E986" s="181"/>
      <c r="F986" s="173"/>
      <c r="G986" s="174"/>
      <c r="H986" s="284"/>
      <c r="I986" s="221"/>
      <c r="J986" s="177">
        <f>IF(H986=0,0,IF(F986="MXN",1/HLOOKUP(YEAR(G986)+(MONTH(G986)/100),TC!$5:$37,DAY(G986)+2,FALSE),VLOOKUP(F986,Equivalencia!$5:$23,((MAX(Equivalencia!$3:$3)-YEAR(G986))*14)+MONTH(G986)+2,FALSE)))</f>
        <v>0</v>
      </c>
      <c r="K986" s="217">
        <f t="shared" si="155"/>
        <v>0</v>
      </c>
      <c r="L986" s="462">
        <f>IF(G986=0,0,VLOOKUP(YEAR(G986),INPC!$B$4:$O$29,MONTH(G986)+1))</f>
        <v>0</v>
      </c>
      <c r="M986" s="462">
        <f>IF(T986=0,0,VLOOKUP(YEAR(T986),INPC!$B$4:$O$29,MONTH(T986)+1))</f>
        <v>0</v>
      </c>
      <c r="N986" s="463">
        <f t="shared" si="151"/>
        <v>0</v>
      </c>
      <c r="O986" s="464">
        <f t="shared" si="156"/>
        <v>0</v>
      </c>
      <c r="P986" s="465">
        <f t="shared" si="157"/>
        <v>0</v>
      </c>
      <c r="Q986" s="606" t="str">
        <f t="shared" si="158"/>
        <v>NO</v>
      </c>
      <c r="R986" s="180"/>
      <c r="S986" s="173"/>
      <c r="T986" s="174"/>
      <c r="U986" s="173"/>
      <c r="V986" s="220"/>
      <c r="W986" s="177">
        <f>IF(S986=0,0,IF(U986="MXN",1/HLOOKUP(YEAR(T986)+(MONTH(T986)/100),TC!$5:$37,DAY(T986)+2,FALSE),VLOOKUP(U986,Equivalencia!$1:$23,((MAX(Equivalencia!$3:$3)-YEAR(T986))*14)+MONTH(T986)+2,FALSE)))</f>
        <v>0</v>
      </c>
      <c r="X986" s="178">
        <f t="shared" si="159"/>
        <v>0</v>
      </c>
      <c r="Y986" s="178">
        <f t="shared" si="160"/>
        <v>0</v>
      </c>
      <c r="Z986" s="175">
        <f t="shared" si="152"/>
        <v>0</v>
      </c>
      <c r="AA986" s="179"/>
      <c r="AB986" s="467">
        <f t="shared" si="153"/>
        <v>0</v>
      </c>
      <c r="AC986" s="466">
        <f t="shared" si="154"/>
        <v>0</v>
      </c>
    </row>
    <row r="987" spans="2:29" ht="20.100000000000001" customHeight="1">
      <c r="B987" s="172"/>
      <c r="C987" s="172"/>
      <c r="D987" s="172"/>
      <c r="E987" s="181"/>
      <c r="F987" s="173"/>
      <c r="G987" s="174"/>
      <c r="H987" s="284"/>
      <c r="I987" s="221"/>
      <c r="J987" s="177">
        <f>IF(H987=0,0,IF(F987="MXN",1/HLOOKUP(YEAR(G987)+(MONTH(G987)/100),TC!$5:$37,DAY(G987)+2,FALSE),VLOOKUP(F987,Equivalencia!$5:$23,((MAX(Equivalencia!$3:$3)-YEAR(G987))*14)+MONTH(G987)+2,FALSE)))</f>
        <v>0</v>
      </c>
      <c r="K987" s="217">
        <f t="shared" si="155"/>
        <v>0</v>
      </c>
      <c r="L987" s="462">
        <f>IF(G987=0,0,VLOOKUP(YEAR(G987),INPC!$B$4:$O$29,MONTH(G987)+1))</f>
        <v>0</v>
      </c>
      <c r="M987" s="462">
        <f>IF(T987=0,0,VLOOKUP(YEAR(T987),INPC!$B$4:$O$29,MONTH(T987)+1))</f>
        <v>0</v>
      </c>
      <c r="N987" s="463">
        <f t="shared" si="151"/>
        <v>0</v>
      </c>
      <c r="O987" s="464">
        <f t="shared" si="156"/>
        <v>0</v>
      </c>
      <c r="P987" s="465">
        <f t="shared" si="157"/>
        <v>0</v>
      </c>
      <c r="Q987" s="606" t="str">
        <f t="shared" si="158"/>
        <v>NO</v>
      </c>
      <c r="R987" s="180"/>
      <c r="S987" s="173"/>
      <c r="T987" s="174"/>
      <c r="U987" s="173"/>
      <c r="V987" s="220"/>
      <c r="W987" s="177">
        <f>IF(S987=0,0,IF(U987="MXN",1/HLOOKUP(YEAR(T987)+(MONTH(T987)/100),TC!$5:$37,DAY(T987)+2,FALSE),VLOOKUP(U987,Equivalencia!$1:$23,((MAX(Equivalencia!$3:$3)-YEAR(T987))*14)+MONTH(T987)+2,FALSE)))</f>
        <v>0</v>
      </c>
      <c r="X987" s="178">
        <f t="shared" si="159"/>
        <v>0</v>
      </c>
      <c r="Y987" s="178">
        <f t="shared" si="160"/>
        <v>0</v>
      </c>
      <c r="Z987" s="175">
        <f t="shared" si="152"/>
        <v>0</v>
      </c>
      <c r="AA987" s="179"/>
      <c r="AB987" s="467">
        <f t="shared" si="153"/>
        <v>0</v>
      </c>
      <c r="AC987" s="466">
        <f t="shared" si="154"/>
        <v>0</v>
      </c>
    </row>
    <row r="988" spans="2:29" ht="20.100000000000001" customHeight="1">
      <c r="B988" s="172"/>
      <c r="C988" s="172"/>
      <c r="D988" s="172"/>
      <c r="E988" s="181"/>
      <c r="F988" s="173"/>
      <c r="G988" s="174"/>
      <c r="H988" s="284"/>
      <c r="I988" s="221"/>
      <c r="J988" s="177">
        <f>IF(H988=0,0,IF(F988="MXN",1/HLOOKUP(YEAR(G988)+(MONTH(G988)/100),TC!$5:$37,DAY(G988)+2,FALSE),VLOOKUP(F988,Equivalencia!$5:$23,((MAX(Equivalencia!$3:$3)-YEAR(G988))*14)+MONTH(G988)+2,FALSE)))</f>
        <v>0</v>
      </c>
      <c r="K988" s="217">
        <f t="shared" si="155"/>
        <v>0</v>
      </c>
      <c r="L988" s="462">
        <f>IF(G988=0,0,VLOOKUP(YEAR(G988),INPC!$B$4:$O$29,MONTH(G988)+1))</f>
        <v>0</v>
      </c>
      <c r="M988" s="462">
        <f>IF(T988=0,0,VLOOKUP(YEAR(T988),INPC!$B$4:$O$29,MONTH(T988)+1))</f>
        <v>0</v>
      </c>
      <c r="N988" s="463">
        <f t="shared" si="151"/>
        <v>0</v>
      </c>
      <c r="O988" s="464">
        <f t="shared" si="156"/>
        <v>0</v>
      </c>
      <c r="P988" s="465">
        <f t="shared" si="157"/>
        <v>0</v>
      </c>
      <c r="Q988" s="606" t="str">
        <f t="shared" si="158"/>
        <v>NO</v>
      </c>
      <c r="R988" s="180"/>
      <c r="S988" s="173"/>
      <c r="T988" s="174"/>
      <c r="U988" s="173"/>
      <c r="V988" s="220"/>
      <c r="W988" s="177">
        <f>IF(S988=0,0,IF(U988="MXN",1/HLOOKUP(YEAR(T988)+(MONTH(T988)/100),TC!$5:$37,DAY(T988)+2,FALSE),VLOOKUP(U988,Equivalencia!$1:$23,((MAX(Equivalencia!$3:$3)-YEAR(T988))*14)+MONTH(T988)+2,FALSE)))</f>
        <v>0</v>
      </c>
      <c r="X988" s="178">
        <f t="shared" si="159"/>
        <v>0</v>
      </c>
      <c r="Y988" s="178">
        <f t="shared" si="160"/>
        <v>0</v>
      </c>
      <c r="Z988" s="175">
        <f t="shared" si="152"/>
        <v>0</v>
      </c>
      <c r="AA988" s="179"/>
      <c r="AB988" s="467">
        <f t="shared" si="153"/>
        <v>0</v>
      </c>
      <c r="AC988" s="466">
        <f t="shared" si="154"/>
        <v>0</v>
      </c>
    </row>
    <row r="989" spans="2:29" ht="20.100000000000001" customHeight="1">
      <c r="B989" s="172"/>
      <c r="C989" s="172"/>
      <c r="D989" s="172"/>
      <c r="E989" s="181"/>
      <c r="F989" s="173"/>
      <c r="G989" s="174"/>
      <c r="H989" s="284"/>
      <c r="I989" s="221"/>
      <c r="J989" s="177">
        <f>IF(H989=0,0,IF(F989="MXN",1/HLOOKUP(YEAR(G989)+(MONTH(G989)/100),TC!$5:$37,DAY(G989)+2,FALSE),VLOOKUP(F989,Equivalencia!$5:$23,((MAX(Equivalencia!$3:$3)-YEAR(G989))*14)+MONTH(G989)+2,FALSE)))</f>
        <v>0</v>
      </c>
      <c r="K989" s="217">
        <f t="shared" si="155"/>
        <v>0</v>
      </c>
      <c r="L989" s="462">
        <f>IF(G989=0,0,VLOOKUP(YEAR(G989),INPC!$B$4:$O$29,MONTH(G989)+1))</f>
        <v>0</v>
      </c>
      <c r="M989" s="462">
        <f>IF(T989=0,0,VLOOKUP(YEAR(T989),INPC!$B$4:$O$29,MONTH(T989)+1))</f>
        <v>0</v>
      </c>
      <c r="N989" s="463">
        <f t="shared" si="151"/>
        <v>0</v>
      </c>
      <c r="O989" s="464">
        <f t="shared" si="156"/>
        <v>0</v>
      </c>
      <c r="P989" s="465">
        <f t="shared" si="157"/>
        <v>0</v>
      </c>
      <c r="Q989" s="606" t="str">
        <f t="shared" si="158"/>
        <v>NO</v>
      </c>
      <c r="R989" s="180"/>
      <c r="S989" s="173"/>
      <c r="T989" s="174"/>
      <c r="U989" s="173"/>
      <c r="V989" s="220"/>
      <c r="W989" s="177">
        <f>IF(S989=0,0,IF(U989="MXN",1/HLOOKUP(YEAR(T989)+(MONTH(T989)/100),TC!$5:$37,DAY(T989)+2,FALSE),VLOOKUP(U989,Equivalencia!$1:$23,((MAX(Equivalencia!$3:$3)-YEAR(T989))*14)+MONTH(T989)+2,FALSE)))</f>
        <v>0</v>
      </c>
      <c r="X989" s="178">
        <f t="shared" si="159"/>
        <v>0</v>
      </c>
      <c r="Y989" s="178">
        <f t="shared" si="160"/>
        <v>0</v>
      </c>
      <c r="Z989" s="175">
        <f t="shared" si="152"/>
        <v>0</v>
      </c>
      <c r="AA989" s="179"/>
      <c r="AB989" s="467">
        <f t="shared" si="153"/>
        <v>0</v>
      </c>
      <c r="AC989" s="466">
        <f t="shared" si="154"/>
        <v>0</v>
      </c>
    </row>
    <row r="990" spans="2:29" ht="20.100000000000001" customHeight="1">
      <c r="B990" s="172"/>
      <c r="C990" s="172"/>
      <c r="D990" s="172"/>
      <c r="E990" s="181"/>
      <c r="F990" s="173"/>
      <c r="G990" s="174"/>
      <c r="H990" s="284"/>
      <c r="I990" s="221"/>
      <c r="J990" s="177">
        <f>IF(H990=0,0,IF(F990="MXN",1/HLOOKUP(YEAR(G990)+(MONTH(G990)/100),TC!$5:$37,DAY(G990)+2,FALSE),VLOOKUP(F990,Equivalencia!$5:$23,((MAX(Equivalencia!$3:$3)-YEAR(G990))*14)+MONTH(G990)+2,FALSE)))</f>
        <v>0</v>
      </c>
      <c r="K990" s="217">
        <f t="shared" si="155"/>
        <v>0</v>
      </c>
      <c r="L990" s="462">
        <f>IF(G990=0,0,VLOOKUP(YEAR(G990),INPC!$B$4:$O$29,MONTH(G990)+1))</f>
        <v>0</v>
      </c>
      <c r="M990" s="462">
        <f>IF(T990=0,0,VLOOKUP(YEAR(T990),INPC!$B$4:$O$29,MONTH(T990)+1))</f>
        <v>0</v>
      </c>
      <c r="N990" s="463">
        <f t="shared" si="151"/>
        <v>0</v>
      </c>
      <c r="O990" s="464">
        <f t="shared" si="156"/>
        <v>0</v>
      </c>
      <c r="P990" s="465">
        <f t="shared" si="157"/>
        <v>0</v>
      </c>
      <c r="Q990" s="606" t="str">
        <f t="shared" si="158"/>
        <v>NO</v>
      </c>
      <c r="R990" s="180"/>
      <c r="S990" s="173"/>
      <c r="T990" s="174"/>
      <c r="U990" s="173"/>
      <c r="V990" s="220"/>
      <c r="W990" s="177">
        <f>IF(S990=0,0,IF(U990="MXN",1/HLOOKUP(YEAR(T990)+(MONTH(T990)/100),TC!$5:$37,DAY(T990)+2,FALSE),VLOOKUP(U990,Equivalencia!$1:$23,((MAX(Equivalencia!$3:$3)-YEAR(T990))*14)+MONTH(T990)+2,FALSE)))</f>
        <v>0</v>
      </c>
      <c r="X990" s="178">
        <f t="shared" si="159"/>
        <v>0</v>
      </c>
      <c r="Y990" s="178">
        <f t="shared" si="160"/>
        <v>0</v>
      </c>
      <c r="Z990" s="175">
        <f t="shared" si="152"/>
        <v>0</v>
      </c>
      <c r="AA990" s="179"/>
      <c r="AB990" s="467">
        <f t="shared" si="153"/>
        <v>0</v>
      </c>
      <c r="AC990" s="466">
        <f t="shared" si="154"/>
        <v>0</v>
      </c>
    </row>
    <row r="991" spans="2:29" ht="20.100000000000001" customHeight="1">
      <c r="B991" s="172"/>
      <c r="C991" s="172"/>
      <c r="D991" s="172"/>
      <c r="E991" s="181"/>
      <c r="F991" s="173"/>
      <c r="G991" s="174"/>
      <c r="H991" s="284"/>
      <c r="I991" s="221"/>
      <c r="J991" s="177">
        <f>IF(H991=0,0,IF(F991="MXN",1/HLOOKUP(YEAR(G991)+(MONTH(G991)/100),TC!$5:$37,DAY(G991)+2,FALSE),VLOOKUP(F991,Equivalencia!$5:$23,((MAX(Equivalencia!$3:$3)-YEAR(G991))*14)+MONTH(G991)+2,FALSE)))</f>
        <v>0</v>
      </c>
      <c r="K991" s="217">
        <f t="shared" si="155"/>
        <v>0</v>
      </c>
      <c r="L991" s="462">
        <f>IF(G991=0,0,VLOOKUP(YEAR(G991),INPC!$B$4:$O$29,MONTH(G991)+1))</f>
        <v>0</v>
      </c>
      <c r="M991" s="462">
        <f>IF(T991=0,0,VLOOKUP(YEAR(T991),INPC!$B$4:$O$29,MONTH(T991)+1))</f>
        <v>0</v>
      </c>
      <c r="N991" s="463">
        <f t="shared" si="151"/>
        <v>0</v>
      </c>
      <c r="O991" s="464">
        <f t="shared" si="156"/>
        <v>0</v>
      </c>
      <c r="P991" s="465">
        <f t="shared" si="157"/>
        <v>0</v>
      </c>
      <c r="Q991" s="606" t="str">
        <f t="shared" si="158"/>
        <v>NO</v>
      </c>
      <c r="R991" s="180"/>
      <c r="S991" s="173"/>
      <c r="T991" s="174"/>
      <c r="U991" s="173"/>
      <c r="V991" s="220"/>
      <c r="W991" s="177">
        <f>IF(S991=0,0,IF(U991="MXN",1/HLOOKUP(YEAR(T991)+(MONTH(T991)/100),TC!$5:$37,DAY(T991)+2,FALSE),VLOOKUP(U991,Equivalencia!$1:$23,((MAX(Equivalencia!$3:$3)-YEAR(T991))*14)+MONTH(T991)+2,FALSE)))</f>
        <v>0</v>
      </c>
      <c r="X991" s="178">
        <f t="shared" si="159"/>
        <v>0</v>
      </c>
      <c r="Y991" s="178">
        <f t="shared" si="160"/>
        <v>0</v>
      </c>
      <c r="Z991" s="175">
        <f t="shared" si="152"/>
        <v>0</v>
      </c>
      <c r="AA991" s="179"/>
      <c r="AB991" s="467">
        <f t="shared" si="153"/>
        <v>0</v>
      </c>
      <c r="AC991" s="466">
        <f t="shared" si="154"/>
        <v>0</v>
      </c>
    </row>
    <row r="992" spans="2:29" ht="20.100000000000001" customHeight="1">
      <c r="B992" s="172"/>
      <c r="C992" s="172"/>
      <c r="D992" s="172"/>
      <c r="E992" s="181"/>
      <c r="F992" s="173"/>
      <c r="G992" s="174"/>
      <c r="H992" s="284"/>
      <c r="I992" s="221"/>
      <c r="J992" s="177">
        <f>IF(H992=0,0,IF(F992="MXN",1/HLOOKUP(YEAR(G992)+(MONTH(G992)/100),TC!$5:$37,DAY(G992)+2,FALSE),VLOOKUP(F992,Equivalencia!$5:$23,((MAX(Equivalencia!$3:$3)-YEAR(G992))*14)+MONTH(G992)+2,FALSE)))</f>
        <v>0</v>
      </c>
      <c r="K992" s="217">
        <f t="shared" si="155"/>
        <v>0</v>
      </c>
      <c r="L992" s="462">
        <f>IF(G992=0,0,VLOOKUP(YEAR(G992),INPC!$B$4:$O$29,MONTH(G992)+1))</f>
        <v>0</v>
      </c>
      <c r="M992" s="462">
        <f>IF(T992=0,0,VLOOKUP(YEAR(T992),INPC!$B$4:$O$29,MONTH(T992)+1))</f>
        <v>0</v>
      </c>
      <c r="N992" s="463">
        <f t="shared" si="151"/>
        <v>0</v>
      </c>
      <c r="O992" s="464">
        <f t="shared" si="156"/>
        <v>0</v>
      </c>
      <c r="P992" s="465">
        <f t="shared" si="157"/>
        <v>0</v>
      </c>
      <c r="Q992" s="606" t="str">
        <f t="shared" si="158"/>
        <v>NO</v>
      </c>
      <c r="R992" s="180"/>
      <c r="S992" s="173"/>
      <c r="T992" s="174"/>
      <c r="U992" s="173"/>
      <c r="V992" s="220"/>
      <c r="W992" s="177">
        <f>IF(S992=0,0,IF(U992="MXN",1/HLOOKUP(YEAR(T992)+(MONTH(T992)/100),TC!$5:$37,DAY(T992)+2,FALSE),VLOOKUP(U992,Equivalencia!$1:$23,((MAX(Equivalencia!$3:$3)-YEAR(T992))*14)+MONTH(T992)+2,FALSE)))</f>
        <v>0</v>
      </c>
      <c r="X992" s="178">
        <f t="shared" si="159"/>
        <v>0</v>
      </c>
      <c r="Y992" s="178">
        <f t="shared" si="160"/>
        <v>0</v>
      </c>
      <c r="Z992" s="175">
        <f t="shared" si="152"/>
        <v>0</v>
      </c>
      <c r="AA992" s="179"/>
      <c r="AB992" s="467">
        <f t="shared" si="153"/>
        <v>0</v>
      </c>
      <c r="AC992" s="466">
        <f t="shared" si="154"/>
        <v>0</v>
      </c>
    </row>
    <row r="993" spans="2:29" ht="20.100000000000001" customHeight="1">
      <c r="B993" s="172"/>
      <c r="C993" s="172"/>
      <c r="D993" s="172"/>
      <c r="E993" s="181"/>
      <c r="F993" s="173"/>
      <c r="G993" s="174"/>
      <c r="H993" s="284"/>
      <c r="I993" s="221"/>
      <c r="J993" s="177">
        <f>IF(H993=0,0,IF(F993="MXN",1/HLOOKUP(YEAR(G993)+(MONTH(G993)/100),TC!$5:$37,DAY(G993)+2,FALSE),VLOOKUP(F993,Equivalencia!$5:$23,((MAX(Equivalencia!$3:$3)-YEAR(G993))*14)+MONTH(G993)+2,FALSE)))</f>
        <v>0</v>
      </c>
      <c r="K993" s="217">
        <f t="shared" si="155"/>
        <v>0</v>
      </c>
      <c r="L993" s="462">
        <f>IF(G993=0,0,VLOOKUP(YEAR(G993),INPC!$B$4:$O$29,MONTH(G993)+1))</f>
        <v>0</v>
      </c>
      <c r="M993" s="462">
        <f>IF(T993=0,0,VLOOKUP(YEAR(T993),INPC!$B$4:$O$29,MONTH(T993)+1))</f>
        <v>0</v>
      </c>
      <c r="N993" s="463">
        <f t="shared" si="151"/>
        <v>0</v>
      </c>
      <c r="O993" s="464">
        <f t="shared" si="156"/>
        <v>0</v>
      </c>
      <c r="P993" s="465">
        <f t="shared" si="157"/>
        <v>0</v>
      </c>
      <c r="Q993" s="606" t="str">
        <f t="shared" si="158"/>
        <v>NO</v>
      </c>
      <c r="R993" s="180"/>
      <c r="S993" s="173"/>
      <c r="T993" s="174"/>
      <c r="U993" s="173"/>
      <c r="V993" s="220"/>
      <c r="W993" s="177">
        <f>IF(S993=0,0,IF(U993="MXN",1/HLOOKUP(YEAR(T993)+(MONTH(T993)/100),TC!$5:$37,DAY(T993)+2,FALSE),VLOOKUP(U993,Equivalencia!$1:$23,((MAX(Equivalencia!$3:$3)-YEAR(T993))*14)+MONTH(T993)+2,FALSE)))</f>
        <v>0</v>
      </c>
      <c r="X993" s="178">
        <f t="shared" si="159"/>
        <v>0</v>
      </c>
      <c r="Y993" s="178">
        <f t="shared" si="160"/>
        <v>0</v>
      </c>
      <c r="Z993" s="175">
        <f t="shared" si="152"/>
        <v>0</v>
      </c>
      <c r="AA993" s="179"/>
      <c r="AB993" s="467">
        <f t="shared" si="153"/>
        <v>0</v>
      </c>
      <c r="AC993" s="466">
        <f t="shared" si="154"/>
        <v>0</v>
      </c>
    </row>
    <row r="994" spans="2:29" ht="20.100000000000001" customHeight="1">
      <c r="B994" s="172"/>
      <c r="C994" s="172"/>
      <c r="D994" s="172"/>
      <c r="E994" s="181"/>
      <c r="F994" s="173"/>
      <c r="G994" s="174"/>
      <c r="H994" s="284"/>
      <c r="I994" s="221"/>
      <c r="J994" s="177">
        <f>IF(H994=0,0,IF(F994="MXN",1/HLOOKUP(YEAR(G994)+(MONTH(G994)/100),TC!$5:$37,DAY(G994)+2,FALSE),VLOOKUP(F994,Equivalencia!$5:$23,((MAX(Equivalencia!$3:$3)-YEAR(G994))*14)+MONTH(G994)+2,FALSE)))</f>
        <v>0</v>
      </c>
      <c r="K994" s="217">
        <f t="shared" si="155"/>
        <v>0</v>
      </c>
      <c r="L994" s="462">
        <f>IF(G994=0,0,VLOOKUP(YEAR(G994),INPC!$B$4:$O$29,MONTH(G994)+1))</f>
        <v>0</v>
      </c>
      <c r="M994" s="462">
        <f>IF(T994=0,0,VLOOKUP(YEAR(T994),INPC!$B$4:$O$29,MONTH(T994)+1))</f>
        <v>0</v>
      </c>
      <c r="N994" s="463">
        <f t="shared" si="151"/>
        <v>0</v>
      </c>
      <c r="O994" s="464">
        <f t="shared" si="156"/>
        <v>0</v>
      </c>
      <c r="P994" s="465">
        <f t="shared" si="157"/>
        <v>0</v>
      </c>
      <c r="Q994" s="606" t="str">
        <f t="shared" si="158"/>
        <v>NO</v>
      </c>
      <c r="R994" s="180"/>
      <c r="S994" s="173"/>
      <c r="T994" s="174"/>
      <c r="U994" s="173"/>
      <c r="V994" s="220"/>
      <c r="W994" s="177">
        <f>IF(S994=0,0,IF(U994="MXN",1/HLOOKUP(YEAR(T994)+(MONTH(T994)/100),TC!$5:$37,DAY(T994)+2,FALSE),VLOOKUP(U994,Equivalencia!$1:$23,((MAX(Equivalencia!$3:$3)-YEAR(T994))*14)+MONTH(T994)+2,FALSE)))</f>
        <v>0</v>
      </c>
      <c r="X994" s="178">
        <f t="shared" si="159"/>
        <v>0</v>
      </c>
      <c r="Y994" s="178">
        <f t="shared" si="160"/>
        <v>0</v>
      </c>
      <c r="Z994" s="175">
        <f t="shared" si="152"/>
        <v>0</v>
      </c>
      <c r="AA994" s="179"/>
      <c r="AB994" s="467">
        <f t="shared" si="153"/>
        <v>0</v>
      </c>
      <c r="AC994" s="466">
        <f t="shared" si="154"/>
        <v>0</v>
      </c>
    </row>
    <row r="995" spans="2:29" ht="20.100000000000001" customHeight="1">
      <c r="B995" s="172"/>
      <c r="C995" s="172"/>
      <c r="D995" s="172"/>
      <c r="E995" s="181"/>
      <c r="F995" s="173"/>
      <c r="G995" s="174"/>
      <c r="H995" s="284"/>
      <c r="I995" s="221"/>
      <c r="J995" s="177">
        <f>IF(H995=0,0,IF(F995="MXN",1/HLOOKUP(YEAR(G995)+(MONTH(G995)/100),TC!$5:$37,DAY(G995)+2,FALSE),VLOOKUP(F995,Equivalencia!$5:$23,((MAX(Equivalencia!$3:$3)-YEAR(G995))*14)+MONTH(G995)+2,FALSE)))</f>
        <v>0</v>
      </c>
      <c r="K995" s="217">
        <f t="shared" si="155"/>
        <v>0</v>
      </c>
      <c r="L995" s="462">
        <f>IF(G995=0,0,VLOOKUP(YEAR(G995),INPC!$B$4:$O$29,MONTH(G995)+1))</f>
        <v>0</v>
      </c>
      <c r="M995" s="462">
        <f>IF(T995=0,0,VLOOKUP(YEAR(T995),INPC!$B$4:$O$29,MONTH(T995)+1))</f>
        <v>0</v>
      </c>
      <c r="N995" s="463">
        <f t="shared" si="151"/>
        <v>0</v>
      </c>
      <c r="O995" s="464">
        <f t="shared" si="156"/>
        <v>0</v>
      </c>
      <c r="P995" s="465">
        <f t="shared" si="157"/>
        <v>0</v>
      </c>
      <c r="Q995" s="606" t="str">
        <f t="shared" si="158"/>
        <v>NO</v>
      </c>
      <c r="R995" s="180"/>
      <c r="S995" s="173"/>
      <c r="T995" s="174"/>
      <c r="U995" s="173"/>
      <c r="V995" s="220"/>
      <c r="W995" s="177">
        <f>IF(S995=0,0,IF(U995="MXN",1/HLOOKUP(YEAR(T995)+(MONTH(T995)/100),TC!$5:$37,DAY(T995)+2,FALSE),VLOOKUP(U995,Equivalencia!$1:$23,((MAX(Equivalencia!$3:$3)-YEAR(T995))*14)+MONTH(T995)+2,FALSE)))</f>
        <v>0</v>
      </c>
      <c r="X995" s="178">
        <f t="shared" si="159"/>
        <v>0</v>
      </c>
      <c r="Y995" s="178">
        <f t="shared" si="160"/>
        <v>0</v>
      </c>
      <c r="Z995" s="175">
        <f t="shared" si="152"/>
        <v>0</v>
      </c>
      <c r="AA995" s="179"/>
      <c r="AB995" s="467">
        <f t="shared" si="153"/>
        <v>0</v>
      </c>
      <c r="AC995" s="466">
        <f t="shared" si="154"/>
        <v>0</v>
      </c>
    </row>
    <row r="996" spans="2:29" ht="20.100000000000001" customHeight="1">
      <c r="B996" s="172"/>
      <c r="C996" s="172"/>
      <c r="D996" s="172"/>
      <c r="E996" s="181"/>
      <c r="F996" s="173"/>
      <c r="G996" s="174"/>
      <c r="H996" s="284"/>
      <c r="I996" s="221"/>
      <c r="J996" s="177">
        <f>IF(H996=0,0,IF(F996="MXN",1/HLOOKUP(YEAR(G996)+(MONTH(G996)/100),TC!$5:$37,DAY(G996)+2,FALSE),VLOOKUP(F996,Equivalencia!$5:$23,((MAX(Equivalencia!$3:$3)-YEAR(G996))*14)+MONTH(G996)+2,FALSE)))</f>
        <v>0</v>
      </c>
      <c r="K996" s="217">
        <f t="shared" si="155"/>
        <v>0</v>
      </c>
      <c r="L996" s="462">
        <f>IF(G996=0,0,VLOOKUP(YEAR(G996),INPC!$B$4:$O$29,MONTH(G996)+1))</f>
        <v>0</v>
      </c>
      <c r="M996" s="462">
        <f>IF(T996=0,0,VLOOKUP(YEAR(T996),INPC!$B$4:$O$29,MONTH(T996)+1))</f>
        <v>0</v>
      </c>
      <c r="N996" s="463">
        <f t="shared" si="151"/>
        <v>0</v>
      </c>
      <c r="O996" s="464">
        <f t="shared" si="156"/>
        <v>0</v>
      </c>
      <c r="P996" s="465">
        <f t="shared" si="157"/>
        <v>0</v>
      </c>
      <c r="Q996" s="606" t="str">
        <f t="shared" si="158"/>
        <v>NO</v>
      </c>
      <c r="R996" s="180"/>
      <c r="S996" s="173"/>
      <c r="T996" s="174"/>
      <c r="U996" s="173"/>
      <c r="V996" s="220"/>
      <c r="W996" s="177">
        <f>IF(S996=0,0,IF(U996="MXN",1/HLOOKUP(YEAR(T996)+(MONTH(T996)/100),TC!$5:$37,DAY(T996)+2,FALSE),VLOOKUP(U996,Equivalencia!$1:$23,((MAX(Equivalencia!$3:$3)-YEAR(T996))*14)+MONTH(T996)+2,FALSE)))</f>
        <v>0</v>
      </c>
      <c r="X996" s="178">
        <f t="shared" si="159"/>
        <v>0</v>
      </c>
      <c r="Y996" s="178">
        <f t="shared" si="160"/>
        <v>0</v>
      </c>
      <c r="Z996" s="175">
        <f t="shared" si="152"/>
        <v>0</v>
      </c>
      <c r="AA996" s="179"/>
      <c r="AB996" s="467">
        <f t="shared" si="153"/>
        <v>0</v>
      </c>
      <c r="AC996" s="466">
        <f t="shared" si="154"/>
        <v>0</v>
      </c>
    </row>
    <row r="997" spans="2:29" ht="20.100000000000001" customHeight="1">
      <c r="B997" s="172"/>
      <c r="C997" s="172"/>
      <c r="D997" s="172"/>
      <c r="E997" s="181"/>
      <c r="F997" s="173"/>
      <c r="G997" s="174"/>
      <c r="H997" s="284"/>
      <c r="I997" s="221"/>
      <c r="J997" s="177">
        <f>IF(H997=0,0,IF(F997="MXN",1/HLOOKUP(YEAR(G997)+(MONTH(G997)/100),TC!$5:$37,DAY(G997)+2,FALSE),VLOOKUP(F997,Equivalencia!$5:$23,((MAX(Equivalencia!$3:$3)-YEAR(G997))*14)+MONTH(G997)+2,FALSE)))</f>
        <v>0</v>
      </c>
      <c r="K997" s="217">
        <f t="shared" si="155"/>
        <v>0</v>
      </c>
      <c r="L997" s="462">
        <f>IF(G997=0,0,VLOOKUP(YEAR(G997),INPC!$B$4:$O$29,MONTH(G997)+1))</f>
        <v>0</v>
      </c>
      <c r="M997" s="462">
        <f>IF(T997=0,0,VLOOKUP(YEAR(T997),INPC!$B$4:$O$29,MONTH(T997)+1))</f>
        <v>0</v>
      </c>
      <c r="N997" s="463">
        <f t="shared" si="151"/>
        <v>0</v>
      </c>
      <c r="O997" s="464">
        <f t="shared" si="156"/>
        <v>0</v>
      </c>
      <c r="P997" s="465">
        <f t="shared" si="157"/>
        <v>0</v>
      </c>
      <c r="Q997" s="606" t="str">
        <f t="shared" si="158"/>
        <v>NO</v>
      </c>
      <c r="R997" s="180"/>
      <c r="S997" s="173"/>
      <c r="T997" s="174"/>
      <c r="U997" s="173"/>
      <c r="V997" s="220"/>
      <c r="W997" s="177">
        <f>IF(S997=0,0,IF(U997="MXN",1/HLOOKUP(YEAR(T997)+(MONTH(T997)/100),TC!$5:$37,DAY(T997)+2,FALSE),VLOOKUP(U997,Equivalencia!$1:$23,((MAX(Equivalencia!$3:$3)-YEAR(T997))*14)+MONTH(T997)+2,FALSE)))</f>
        <v>0</v>
      </c>
      <c r="X997" s="178">
        <f t="shared" si="159"/>
        <v>0</v>
      </c>
      <c r="Y997" s="178">
        <f t="shared" si="160"/>
        <v>0</v>
      </c>
      <c r="Z997" s="175">
        <f t="shared" si="152"/>
        <v>0</v>
      </c>
      <c r="AA997" s="179"/>
      <c r="AB997" s="467">
        <f t="shared" si="153"/>
        <v>0</v>
      </c>
      <c r="AC997" s="466">
        <f t="shared" si="154"/>
        <v>0</v>
      </c>
    </row>
    <row r="998" spans="2:29" ht="20.100000000000001" customHeight="1">
      <c r="B998" s="172"/>
      <c r="C998" s="172"/>
      <c r="D998" s="172"/>
      <c r="E998" s="181"/>
      <c r="F998" s="173"/>
      <c r="G998" s="174"/>
      <c r="H998" s="284"/>
      <c r="I998" s="221"/>
      <c r="J998" s="177">
        <f>IF(H998=0,0,IF(F998="MXN",1/HLOOKUP(YEAR(G998)+(MONTH(G998)/100),TC!$5:$37,DAY(G998)+2,FALSE),VLOOKUP(F998,Equivalencia!$5:$23,((MAX(Equivalencia!$3:$3)-YEAR(G998))*14)+MONTH(G998)+2,FALSE)))</f>
        <v>0</v>
      </c>
      <c r="K998" s="217">
        <f t="shared" si="155"/>
        <v>0</v>
      </c>
      <c r="L998" s="462">
        <f>IF(G998=0,0,VLOOKUP(YEAR(G998),INPC!$B$4:$O$29,MONTH(G998)+1))</f>
        <v>0</v>
      </c>
      <c r="M998" s="462">
        <f>IF(T998=0,0,VLOOKUP(YEAR(T998),INPC!$B$4:$O$29,MONTH(T998)+1))</f>
        <v>0</v>
      </c>
      <c r="N998" s="463">
        <f t="shared" si="151"/>
        <v>0</v>
      </c>
      <c r="O998" s="464">
        <f t="shared" si="156"/>
        <v>0</v>
      </c>
      <c r="P998" s="465">
        <f t="shared" si="157"/>
        <v>0</v>
      </c>
      <c r="Q998" s="606" t="str">
        <f t="shared" si="158"/>
        <v>NO</v>
      </c>
      <c r="R998" s="180"/>
      <c r="S998" s="173"/>
      <c r="T998" s="174"/>
      <c r="U998" s="173"/>
      <c r="V998" s="220"/>
      <c r="W998" s="177">
        <f>IF(S998=0,0,IF(U998="MXN",1/HLOOKUP(YEAR(T998)+(MONTH(T998)/100),TC!$5:$37,DAY(T998)+2,FALSE),VLOOKUP(U998,Equivalencia!$1:$23,((MAX(Equivalencia!$3:$3)-YEAR(T998))*14)+MONTH(T998)+2,FALSE)))</f>
        <v>0</v>
      </c>
      <c r="X998" s="178">
        <f t="shared" si="159"/>
        <v>0</v>
      </c>
      <c r="Y998" s="178">
        <f t="shared" si="160"/>
        <v>0</v>
      </c>
      <c r="Z998" s="175">
        <f t="shared" si="152"/>
        <v>0</v>
      </c>
      <c r="AA998" s="179"/>
      <c r="AB998" s="467">
        <f t="shared" si="153"/>
        <v>0</v>
      </c>
      <c r="AC998" s="466">
        <f t="shared" si="154"/>
        <v>0</v>
      </c>
    </row>
    <row r="999" spans="2:29" ht="20.100000000000001" customHeight="1">
      <c r="B999" s="172"/>
      <c r="C999" s="172"/>
      <c r="D999" s="172"/>
      <c r="E999" s="181"/>
      <c r="F999" s="173"/>
      <c r="G999" s="174"/>
      <c r="H999" s="284"/>
      <c r="I999" s="221"/>
      <c r="J999" s="177">
        <f>IF(H999=0,0,IF(F999="MXN",1/HLOOKUP(YEAR(G999)+(MONTH(G999)/100),TC!$5:$37,DAY(G999)+2,FALSE),VLOOKUP(F999,Equivalencia!$5:$23,((MAX(Equivalencia!$3:$3)-YEAR(G999))*14)+MONTH(G999)+2,FALSE)))</f>
        <v>0</v>
      </c>
      <c r="K999" s="217">
        <f t="shared" si="155"/>
        <v>0</v>
      </c>
      <c r="L999" s="462">
        <f>IF(G999=0,0,VLOOKUP(YEAR(G999),INPC!$B$4:$O$29,MONTH(G999)+1))</f>
        <v>0</v>
      </c>
      <c r="M999" s="462">
        <f>IF(T999=0,0,VLOOKUP(YEAR(T999),INPC!$B$4:$O$29,MONTH(T999)+1))</f>
        <v>0</v>
      </c>
      <c r="N999" s="463">
        <f t="shared" si="151"/>
        <v>0</v>
      </c>
      <c r="O999" s="464">
        <f t="shared" si="156"/>
        <v>0</v>
      </c>
      <c r="P999" s="465">
        <f t="shared" si="157"/>
        <v>0</v>
      </c>
      <c r="Q999" s="606" t="str">
        <f t="shared" si="158"/>
        <v>NO</v>
      </c>
      <c r="R999" s="180"/>
      <c r="S999" s="173"/>
      <c r="T999" s="174"/>
      <c r="U999" s="173"/>
      <c r="V999" s="220"/>
      <c r="W999" s="177">
        <f>IF(S999=0,0,IF(U999="MXN",1/HLOOKUP(YEAR(T999)+(MONTH(T999)/100),TC!$5:$37,DAY(T999)+2,FALSE),VLOOKUP(U999,Equivalencia!$1:$23,((MAX(Equivalencia!$3:$3)-YEAR(T999))*14)+MONTH(T999)+2,FALSE)))</f>
        <v>0</v>
      </c>
      <c r="X999" s="178">
        <f t="shared" si="159"/>
        <v>0</v>
      </c>
      <c r="Y999" s="178">
        <f t="shared" si="160"/>
        <v>0</v>
      </c>
      <c r="Z999" s="175">
        <f t="shared" si="152"/>
        <v>0</v>
      </c>
      <c r="AA999" s="179"/>
      <c r="AB999" s="467">
        <f t="shared" si="153"/>
        <v>0</v>
      </c>
      <c r="AC999" s="466">
        <f t="shared" si="154"/>
        <v>0</v>
      </c>
    </row>
  </sheetData>
  <sheetProtection algorithmName="SHA-512" hashValue="0c9/KRcfUTJYUrqtfdQbgCz4nmgpHVqniMEXVb+jUEhGkaA4KI/ZBte+b4yg0AY0dQq5sB2vcb6h8WUH55VQ7g==" saltValue="Vnx5JZYiW/5JSyZM7tEo/g==" spinCount="100000" sheet="1" formatCells="0" formatColumns="0" formatRows="0" insertRows="0" deleteRows="0" sort="0" autoFilter="0"/>
  <autoFilter ref="B1:AC1" xr:uid="{AF5FE344-D0AF-514F-8790-62C334808C6B}"/>
  <dataValidations count="3">
    <dataValidation type="list" showInputMessage="1" showErrorMessage="1" promptTitle="Instrucciones" prompt="Selecciona una opción" sqref="S2:S999" xr:uid="{9EC58772-7C4C-AE47-A91E-0CD8B3A3807F}">
      <formula1>$AG$3:$AG$11</formula1>
    </dataValidation>
    <dataValidation type="list" allowBlank="1" showInputMessage="1" showErrorMessage="1" promptTitle="Selecciona OFD" sqref="D5:D999 C2:C999" xr:uid="{15BA34A3-2552-724B-80D7-23CC784CC290}">
      <formula1>$AF$3:$AF$8</formula1>
    </dataValidation>
    <dataValidation type="list" allowBlank="1" showInputMessage="1" showErrorMessage="1" promptTitle="Selecciona Op Inicial" prompt="Selecciona la operacion Inicial" sqref="D2:D4" xr:uid="{8BAEF377-1384-A34F-BCC0-F37D508F2855}">
      <formula1>$AG$3:$AG$11</formula1>
    </dataValidation>
  </dataValidations>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2">
        <x14:dataValidation type="list" showInputMessage="1" showErrorMessage="1" xr:uid="{32EBB6EE-6990-DA41-9463-783FFC7364E2}">
          <x14:formula1>
            <xm:f>Equivalencia!$A$4:$A$23</xm:f>
          </x14:formula1>
          <xm:sqref>U2:U999</xm:sqref>
        </x14:dataValidation>
        <x14:dataValidation type="list" allowBlank="1" showInputMessage="1" showErrorMessage="1" promptTitle="Instrucciones" prompt="Selecciona una opción" xr:uid="{88A7DF8F-E27B-E14A-9A43-A5B5B4685C36}">
          <x14:formula1>
            <xm:f>Equivalencia!$A$4:$A$23</xm:f>
          </x14:formula1>
          <xm:sqref>F2:F999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2:AQ375"/>
  <sheetViews>
    <sheetView showGridLines="0" zoomScale="60" zoomScaleNormal="60" zoomScaleSheetLayoutView="110" workbookViewId="0">
      <selection activeCell="G74" sqref="G74"/>
    </sheetView>
  </sheetViews>
  <sheetFormatPr defaultColWidth="10.6640625" defaultRowHeight="20.100000000000001" customHeight="1"/>
  <cols>
    <col min="1" max="1" width="10.6640625" style="12"/>
    <col min="2" max="2" width="14.33203125" style="12" customWidth="1"/>
    <col min="3" max="3" width="22.88671875" style="12" customWidth="1"/>
    <col min="4" max="4" width="16.5546875" style="12" customWidth="1"/>
    <col min="5" max="5" width="9" style="12" customWidth="1"/>
    <col min="6" max="6" width="14.6640625" customWidth="1"/>
    <col min="7" max="7" width="15.109375" customWidth="1"/>
    <col min="8" max="9" width="18.88671875" customWidth="1"/>
    <col min="10" max="10" width="11.5546875"/>
    <col min="11" max="11" width="15.44140625" style="12" customWidth="1"/>
    <col min="12" max="12" width="14.44140625" style="12" customWidth="1"/>
    <col min="13" max="13" width="15.109375" style="12" customWidth="1"/>
    <col min="14" max="14" width="21.5546875" style="12" customWidth="1"/>
    <col min="15" max="15" width="15.6640625" style="12" customWidth="1"/>
    <col min="16" max="16" width="19.6640625" style="12" customWidth="1"/>
    <col min="17" max="17" width="18" style="12" customWidth="1"/>
    <col min="18" max="18" width="10.6640625" style="12"/>
    <col min="19" max="23" width="11.5546875"/>
    <col min="24" max="33" width="10.6640625" style="12"/>
    <col min="34" max="34" width="22.33203125" style="12" customWidth="1"/>
    <col min="35" max="35" width="12.88671875" style="12" customWidth="1"/>
    <col min="36" max="36" width="12.33203125" style="12" customWidth="1"/>
    <col min="37" max="37" width="12" style="12" customWidth="1"/>
    <col min="38" max="38" width="12.109375" style="12" customWidth="1"/>
    <col min="39" max="39" width="10.6640625" style="12"/>
    <col min="40" max="40" width="15.88671875" style="12" customWidth="1"/>
    <col min="41" max="41" width="21.5546875" style="12" customWidth="1"/>
    <col min="42" max="42" width="14.44140625" style="12" customWidth="1"/>
    <col min="43" max="16384" width="10.6640625" style="12"/>
  </cols>
  <sheetData>
    <row r="2" spans="2:43" ht="15.95" customHeight="1"/>
    <row r="3" spans="2:43" ht="54" customHeight="1">
      <c r="B3" s="594" t="s">
        <v>625</v>
      </c>
      <c r="C3" s="594"/>
      <c r="D3" s="594"/>
      <c r="E3" s="594"/>
      <c r="F3" s="594"/>
      <c r="G3" s="594"/>
      <c r="H3" s="594"/>
      <c r="I3" s="594"/>
      <c r="K3" s="483"/>
      <c r="L3" s="483"/>
      <c r="M3" s="483"/>
      <c r="N3" s="483"/>
      <c r="O3" s="483"/>
      <c r="P3" s="483"/>
      <c r="AH3" s="483"/>
      <c r="AI3" s="483"/>
      <c r="AJ3" s="483"/>
      <c r="AK3" s="483"/>
      <c r="AL3" s="483"/>
    </row>
    <row r="4" spans="2:43" ht="20.100000000000001" customHeight="1">
      <c r="B4" s="206" t="s">
        <v>626</v>
      </c>
      <c r="C4" s="206"/>
      <c r="D4" s="206"/>
      <c r="E4" s="206"/>
      <c r="K4" s="206"/>
      <c r="L4" s="206"/>
      <c r="M4" s="206"/>
      <c r="N4" s="206"/>
      <c r="O4" s="206"/>
      <c r="P4" s="206"/>
      <c r="Q4" s="206"/>
      <c r="R4" s="206"/>
      <c r="AH4" s="206"/>
      <c r="AI4" s="206"/>
      <c r="AJ4" s="206"/>
      <c r="AK4" s="206"/>
      <c r="AL4" s="206"/>
      <c r="AM4" s="206"/>
      <c r="AN4" s="206"/>
      <c r="AO4" s="206"/>
      <c r="AP4" s="206"/>
      <c r="AQ4" s="206"/>
    </row>
    <row r="5" spans="2:43" ht="20.100000000000001" customHeight="1">
      <c r="B5" s="79" t="s">
        <v>41</v>
      </c>
      <c r="C5" s="79" t="s">
        <v>627</v>
      </c>
      <c r="D5" s="79"/>
      <c r="E5" s="80"/>
      <c r="F5" s="79" t="s">
        <v>628</v>
      </c>
      <c r="G5" s="79" t="s">
        <v>629</v>
      </c>
      <c r="H5" s="79"/>
      <c r="I5" s="79"/>
      <c r="O5" s="99"/>
      <c r="P5" s="99"/>
      <c r="Q5" s="99"/>
      <c r="R5" s="99"/>
      <c r="AH5" s="80"/>
      <c r="AI5" s="80"/>
      <c r="AJ5" s="80"/>
      <c r="AK5" s="80"/>
      <c r="AL5" s="79" t="s">
        <v>628</v>
      </c>
      <c r="AM5" s="79"/>
      <c r="AN5" s="80"/>
      <c r="AO5" s="80"/>
      <c r="AP5" s="80"/>
      <c r="AQ5" s="80"/>
    </row>
    <row r="6" spans="2:43" ht="20.100000000000001" customHeight="1">
      <c r="B6" s="88"/>
      <c r="C6" s="88"/>
      <c r="D6" s="88"/>
      <c r="E6" s="88"/>
      <c r="F6" s="88"/>
      <c r="G6" s="88"/>
      <c r="H6" s="88"/>
      <c r="I6" s="88"/>
      <c r="AH6" s="88"/>
      <c r="AI6" s="88"/>
      <c r="AJ6" s="88"/>
      <c r="AK6" s="88"/>
      <c r="AL6" s="88"/>
      <c r="AM6" s="88"/>
      <c r="AN6" s="88"/>
      <c r="AO6" s="88"/>
      <c r="AP6" s="88"/>
      <c r="AQ6" s="88"/>
    </row>
    <row r="7" spans="2:43" ht="60">
      <c r="B7" s="62" t="s">
        <v>630</v>
      </c>
      <c r="C7" s="62" t="s">
        <v>631</v>
      </c>
      <c r="D7" s="62" t="s">
        <v>632</v>
      </c>
      <c r="E7" s="62" t="s">
        <v>92</v>
      </c>
      <c r="F7" s="62" t="s">
        <v>633</v>
      </c>
      <c r="G7" s="62" t="s">
        <v>634</v>
      </c>
      <c r="H7" s="62" t="s">
        <v>635</v>
      </c>
      <c r="I7" s="62" t="s">
        <v>636</v>
      </c>
      <c r="O7" s="62"/>
      <c r="P7" s="62"/>
      <c r="Q7" s="62"/>
      <c r="R7" s="62"/>
      <c r="AB7" s="211" t="s">
        <v>637</v>
      </c>
      <c r="AH7" s="62" t="s">
        <v>638</v>
      </c>
      <c r="AI7" s="62" t="s">
        <v>639</v>
      </c>
      <c r="AJ7" s="62" t="s">
        <v>640</v>
      </c>
      <c r="AK7" s="62" t="s">
        <v>641</v>
      </c>
      <c r="AL7" s="62" t="s">
        <v>642</v>
      </c>
      <c r="AM7" s="62" t="s">
        <v>643</v>
      </c>
      <c r="AN7" s="62" t="s">
        <v>634</v>
      </c>
      <c r="AO7" s="62" t="s">
        <v>635</v>
      </c>
      <c r="AP7" s="62" t="s">
        <v>636</v>
      </c>
      <c r="AQ7" s="62" t="s">
        <v>644</v>
      </c>
    </row>
    <row r="8" spans="2:43" ht="20.100000000000001" customHeight="1">
      <c r="B8" s="62"/>
      <c r="C8" s="62"/>
      <c r="D8" s="62"/>
      <c r="E8" s="62"/>
      <c r="F8" s="62"/>
      <c r="G8" s="62"/>
      <c r="H8" s="62"/>
      <c r="I8" s="62"/>
      <c r="O8" s="62"/>
      <c r="P8" s="62"/>
      <c r="Q8" s="62"/>
      <c r="R8" s="62"/>
      <c r="AB8" s="208" t="s">
        <v>645</v>
      </c>
      <c r="AH8" s="62"/>
      <c r="AI8" s="62"/>
      <c r="AJ8" s="62"/>
      <c r="AK8" s="62"/>
      <c r="AL8" s="62"/>
      <c r="AM8" s="62"/>
      <c r="AN8" s="62"/>
      <c r="AO8" s="62"/>
      <c r="AP8" s="62"/>
      <c r="AQ8" s="62"/>
    </row>
    <row r="9" spans="2:43" ht="20.100000000000001" hidden="1" customHeight="1">
      <c r="B9" s="185">
        <v>2013</v>
      </c>
      <c r="C9" s="66" t="s">
        <v>645</v>
      </c>
      <c r="D9" s="65"/>
      <c r="E9" s="66"/>
      <c r="F9" s="213">
        <v>0</v>
      </c>
      <c r="G9" s="482"/>
      <c r="H9" s="455"/>
      <c r="I9" s="456"/>
      <c r="O9" s="112"/>
      <c r="P9" s="112"/>
      <c r="Q9" s="112"/>
      <c r="R9" s="112"/>
      <c r="AB9" s="208" t="s">
        <v>646</v>
      </c>
      <c r="AH9" s="187">
        <v>41456</v>
      </c>
      <c r="AI9" s="186">
        <f>IF(AH9=0,0,VLOOKUP(YEAR(AH9),INPC!$B$4:$O$29,MONTH(AH9)+1))</f>
        <v>81.592193040447</v>
      </c>
      <c r="AJ9" s="187">
        <v>41639</v>
      </c>
      <c r="AK9" s="186">
        <f>IF(AJ9=0,0,VLOOKUP(YEAR(AJ9),INPC!$B$4:$O$29,MONTH(AJ9)+1))</f>
        <v>83.770058296773001</v>
      </c>
      <c r="AL9" s="395">
        <f>IF(AI9=0,0,IF(TRUNC(AK9/AI9,4)&lt;1,1,TRUNC(AK9/AI9,4)))</f>
        <v>1.0266</v>
      </c>
      <c r="AM9" s="111">
        <f>+F9*AL9</f>
        <v>0</v>
      </c>
      <c r="AN9" s="454"/>
      <c r="AO9" s="455"/>
      <c r="AP9" s="456"/>
      <c r="AQ9" s="455"/>
    </row>
    <row r="10" spans="2:43" ht="20.100000000000001" hidden="1" customHeight="1">
      <c r="B10" s="185"/>
      <c r="C10" s="66"/>
      <c r="D10" s="65"/>
      <c r="E10" s="66"/>
      <c r="F10" s="487"/>
      <c r="G10" s="487"/>
      <c r="H10" s="188">
        <f>IF(F9-G10&lt;=0,0,F9-G10)</f>
        <v>0</v>
      </c>
      <c r="I10" s="185">
        <v>2014</v>
      </c>
      <c r="O10" s="112"/>
      <c r="P10" s="112"/>
      <c r="Q10" s="112"/>
      <c r="R10" s="112"/>
      <c r="AB10" s="208" t="s">
        <v>647</v>
      </c>
      <c r="AH10" s="187">
        <f>+AJ9</f>
        <v>41639</v>
      </c>
      <c r="AI10" s="186">
        <f>IF(AH10=0,0,VLOOKUP(YEAR(AH10),INPC!$B$4:$O$29,MONTH(AH10)+1))</f>
        <v>83.770058296773001</v>
      </c>
      <c r="AJ10" s="187">
        <v>41791</v>
      </c>
      <c r="AK10" s="186">
        <f>IF(AJ10=0,0,VLOOKUP(YEAR(AJ10),INPC!$B$4:$O$29,MONTH(AJ10)+1))</f>
        <v>84.682072239918</v>
      </c>
      <c r="AL10" s="395" t="str">
        <f t="shared" ref="AL10:AL18" si="0">IF(AN10=0,"N/A",TRUNC(AK10/AI10,4))</f>
        <v>N/A</v>
      </c>
      <c r="AM10" s="111">
        <f>IF(AN10=0,0,AM9*AL10)</f>
        <v>0</v>
      </c>
      <c r="AN10" s="214"/>
      <c r="AO10" s="188">
        <f t="shared" ref="AO10:AO17" si="1">+AM10-AN10</f>
        <v>0</v>
      </c>
      <c r="AP10" s="185">
        <v>2014</v>
      </c>
      <c r="AQ10" s="188"/>
    </row>
    <row r="11" spans="2:43" ht="20.100000000000001" hidden="1" customHeight="1">
      <c r="B11" s="185"/>
      <c r="C11" s="66"/>
      <c r="D11" s="65"/>
      <c r="E11" s="66"/>
      <c r="F11" s="487"/>
      <c r="G11" s="487"/>
      <c r="H11" s="188">
        <f>IF(H10-G11&lt;=0,0,H10-G11)</f>
        <v>0</v>
      </c>
      <c r="I11" s="185">
        <v>2015</v>
      </c>
      <c r="O11" s="112"/>
      <c r="P11" s="112"/>
      <c r="Q11" s="112"/>
      <c r="R11" s="112"/>
      <c r="AB11" s="209"/>
      <c r="AH11" s="187">
        <f>IF(AN10=0,AJ9,AJ10)</f>
        <v>41639</v>
      </c>
      <c r="AI11" s="186">
        <f>IF(AH11=0,0,VLOOKUP(YEAR(AH11),INPC!$B$4:$O$29,MONTH(AH11)+1))</f>
        <v>83.770058296773001</v>
      </c>
      <c r="AJ11" s="187">
        <v>42156</v>
      </c>
      <c r="AK11" s="186">
        <f>IF(AJ11=0,0,VLOOKUP(YEAR(AJ11),INPC!$B$4:$O$29,MONTH(AJ11)+1))</f>
        <v>87.113107758880005</v>
      </c>
      <c r="AL11" s="395" t="str">
        <f t="shared" si="0"/>
        <v>N/A</v>
      </c>
      <c r="AM11" s="111">
        <f>IF(AN10=0,IF(AN11=0,0,AM9*AL11),IF(AN11=0,0,AO10*AL11))</f>
        <v>0</v>
      </c>
      <c r="AN11" s="214"/>
      <c r="AO11" s="188">
        <f t="shared" si="1"/>
        <v>0</v>
      </c>
      <c r="AP11" s="185">
        <v>2015</v>
      </c>
      <c r="AQ11" s="188"/>
    </row>
    <row r="12" spans="2:43" ht="20.100000000000001" hidden="1" customHeight="1">
      <c r="B12" s="185"/>
      <c r="C12" s="66"/>
      <c r="D12" s="65"/>
      <c r="E12" s="66"/>
      <c r="F12" s="487"/>
      <c r="G12" s="487"/>
      <c r="H12" s="188">
        <f t="shared" ref="H12:H18" si="2">IF(H11-G12&lt;=0,0,H11-G12)</f>
        <v>0</v>
      </c>
      <c r="I12" s="185">
        <v>2016</v>
      </c>
      <c r="O12" s="112"/>
      <c r="P12" s="112"/>
      <c r="Q12" s="112"/>
      <c r="R12" s="112"/>
      <c r="AB12" s="209"/>
      <c r="AH12" s="187">
        <f>IF(AND(AN11=0,AN10=0),AJ9,IF(AN11&gt;0,AJ11,AJ10))</f>
        <v>41639</v>
      </c>
      <c r="AI12" s="186">
        <f>IF(AH12=0,0,VLOOKUP(YEAR(AH12),INPC!$B$4:$O$29,MONTH(AH12)+1))</f>
        <v>83.770058296773001</v>
      </c>
      <c r="AJ12" s="187">
        <v>42522</v>
      </c>
      <c r="AK12" s="186">
        <f>IF(AJ12=0,0,VLOOKUP(YEAR(AJ12),INPC!$B$4:$O$29,MONTH(AJ12)+1))</f>
        <v>89.324027886291006</v>
      </c>
      <c r="AL12" s="395" t="str">
        <f t="shared" si="0"/>
        <v>N/A</v>
      </c>
      <c r="AM12" s="111">
        <f>IF(AND(AN11=0,AN10=0),IF(AN12=0,0,AM9*AL12),IF(AN12=0,0,IF(AN11=0,AO10*AL12,AO11*AL12)))</f>
        <v>0</v>
      </c>
      <c r="AN12" s="214"/>
      <c r="AO12" s="188">
        <f t="shared" si="1"/>
        <v>0</v>
      </c>
      <c r="AP12" s="185">
        <v>2016</v>
      </c>
      <c r="AQ12" s="188"/>
    </row>
    <row r="13" spans="2:43" ht="20.100000000000001" hidden="1" customHeight="1">
      <c r="B13" s="185"/>
      <c r="C13" s="66"/>
      <c r="D13" s="65"/>
      <c r="E13" s="66"/>
      <c r="F13" s="487"/>
      <c r="G13" s="487"/>
      <c r="H13" s="188">
        <f t="shared" si="2"/>
        <v>0</v>
      </c>
      <c r="I13" s="185">
        <v>2017</v>
      </c>
      <c r="O13" s="112"/>
      <c r="P13" s="112"/>
      <c r="Q13" s="112"/>
      <c r="R13" s="112"/>
      <c r="AB13" s="209"/>
      <c r="AH13" s="187">
        <f>IF(AND(AN12=0,AN11=0,AN10=0),AJ9,IF(AN12&gt;0,AJ12,IF(AN11&gt;0,AJ11,AJ10)))</f>
        <v>41639</v>
      </c>
      <c r="AI13" s="186">
        <f>IF(AH13=0,0,VLOOKUP(YEAR(AH13),INPC!$B$4:$O$29,MONTH(AH13)+1))</f>
        <v>83.770058296773001</v>
      </c>
      <c r="AJ13" s="187">
        <v>42887</v>
      </c>
      <c r="AK13" s="186">
        <f>IF(AJ13=0,0,VLOOKUP(YEAR(AJ13),INPC!$B$4:$O$29,MONTH(AJ13)+1))</f>
        <v>94.963639641805003</v>
      </c>
      <c r="AL13" s="395" t="str">
        <f t="shared" si="0"/>
        <v>N/A</v>
      </c>
      <c r="AM13" s="111">
        <f>IF(AND(AN12=0,AN11=0,AN10=0),IF(AN13=0,0,AM9*AL13),IF(AN13=0,0,IF(AND(AN12=0,AN11=0),AO10*AL13,IF(AN12=0,AO11*AL13,AO12*AL13))))</f>
        <v>0</v>
      </c>
      <c r="AN13" s="214"/>
      <c r="AO13" s="188">
        <f t="shared" si="1"/>
        <v>0</v>
      </c>
      <c r="AP13" s="185">
        <v>2017</v>
      </c>
      <c r="AQ13" s="188"/>
    </row>
    <row r="14" spans="2:43" ht="20.100000000000001" hidden="1" customHeight="1">
      <c r="B14" s="291"/>
      <c r="C14" s="340"/>
      <c r="D14" s="449"/>
      <c r="E14" s="340"/>
      <c r="F14" s="488"/>
      <c r="G14" s="488"/>
      <c r="H14" s="188">
        <f t="shared" si="2"/>
        <v>0</v>
      </c>
      <c r="I14" s="291">
        <v>2018</v>
      </c>
      <c r="O14" s="112"/>
      <c r="P14" s="112"/>
      <c r="Q14" s="112"/>
      <c r="R14" s="112"/>
      <c r="AB14" s="210"/>
      <c r="AH14" s="312">
        <f>IF(AND(AN13=0,AN12=0,AN11=0,AN10=0),AJ9,IF(AN13&gt;0,AJ13,IF(AN12&gt;0,AJ12,IF(AN11&gt;0,AJ11,AJ10))))</f>
        <v>41639</v>
      </c>
      <c r="AI14" s="313">
        <f>IF(AH14=0,0,VLOOKUP(YEAR(AH14),INPC!$B$4:$O$29,MONTH(AH14)+1))</f>
        <v>83.770058296773001</v>
      </c>
      <c r="AJ14" s="312">
        <v>43252</v>
      </c>
      <c r="AK14" s="313">
        <f>IF(AJ14=0,0,VLOOKUP(YEAR(AJ14),INPC!$B$4:$O$29,MONTH(AJ14)+1))</f>
        <v>99.376464931786998</v>
      </c>
      <c r="AL14" s="395" t="str">
        <f t="shared" si="0"/>
        <v>N/A</v>
      </c>
      <c r="AM14" s="314">
        <f>IF(AND(AN13=0,AN12=0,AN11=0,AN10=0),IF(AN14=0,0,AM9*AL14),IF(AN14=0,0,IF(AND(AN13=0,AN12=0,AN11=0),AO10*AL14,IF(AND(AN13=0,AN12=0),AO11*AL14,IF(AN13=0,AO12*AL14,AO13*AL14)))))</f>
        <v>0</v>
      </c>
      <c r="AN14" s="320"/>
      <c r="AO14" s="315">
        <f t="shared" si="1"/>
        <v>0</v>
      </c>
      <c r="AP14" s="291">
        <v>2018</v>
      </c>
      <c r="AQ14" s="315"/>
    </row>
    <row r="15" spans="2:43" ht="20.100000000000001" hidden="1" customHeight="1">
      <c r="B15" s="321"/>
      <c r="C15" s="341"/>
      <c r="D15" s="450"/>
      <c r="E15" s="341"/>
      <c r="F15" s="489"/>
      <c r="G15" s="489"/>
      <c r="H15" s="188">
        <f t="shared" si="2"/>
        <v>0</v>
      </c>
      <c r="I15" s="321">
        <v>2019</v>
      </c>
      <c r="O15" s="112"/>
      <c r="P15" s="112"/>
      <c r="Q15" s="112"/>
      <c r="R15" s="112"/>
      <c r="AH15" s="323">
        <f>IF(AND(AN14=0,AN13=0,AN12=0,AN11=0,AN10=0),AJ9,IF(AN14&gt;0,AJ14,IF(AN13&gt;0,AJ13,IF(AN12&gt;0,AJ12,IF(AN11&gt;0,AJ11,AJ10)))))</f>
        <v>41639</v>
      </c>
      <c r="AI15" s="324">
        <f>IF(AH15=0,0,VLOOKUP(YEAR(AH15),INPC!$B$4:$O$29,MONTH(AH15)+1))</f>
        <v>83.770058296773001</v>
      </c>
      <c r="AJ15" s="323">
        <v>43617</v>
      </c>
      <c r="AK15" s="324">
        <f>IF(AJ15=0,0,VLOOKUP(YEAR(AJ15),INPC!$B$4:$O$29,MONTH(AJ15)+1))</f>
        <v>103.29900000000001</v>
      </c>
      <c r="AL15" s="395" t="str">
        <f t="shared" si="0"/>
        <v>N/A</v>
      </c>
      <c r="AM15" s="325">
        <f>IF(AND(AN14=0,AN13=0,AN12=0,AN11=0,AN10=0),IF(AN15=0,0,AM9*AL15),IF(AN15=0,0,IF(AND(AN14=0,AN13=0,AN12=0,AN11=0),AO10*AL15,IF(AND(AN14=0,AN13=0,AN12=0),AO11*AL15,IF(AND(AN14=0,AN13=0),AO12*AL15,IF(AN14=0,AO13*AL15,AO14*AL15))))))</f>
        <v>0</v>
      </c>
      <c r="AN15" s="328"/>
      <c r="AO15" s="326">
        <f t="shared" si="1"/>
        <v>0</v>
      </c>
      <c r="AP15" s="321">
        <v>2019</v>
      </c>
      <c r="AQ15" s="326"/>
    </row>
    <row r="16" spans="2:43" ht="20.100000000000001" hidden="1" customHeight="1">
      <c r="B16" s="321"/>
      <c r="C16" s="341"/>
      <c r="D16" s="450"/>
      <c r="E16" s="341"/>
      <c r="F16" s="489"/>
      <c r="G16" s="489"/>
      <c r="H16" s="188">
        <f t="shared" si="2"/>
        <v>0</v>
      </c>
      <c r="I16" s="321">
        <v>2020</v>
      </c>
      <c r="O16" s="112"/>
      <c r="P16" s="112"/>
      <c r="Q16" s="112"/>
      <c r="R16" s="112"/>
      <c r="AH16" s="323">
        <f>IF(AND(AN15=0,AN14=0,AN13=0,AN12=0,AN11=0,AN10=0),AJ9,IF(AN15&gt;0,AJ15,IF(AN14&gt;0,AJ14,IF(AN13&gt;0,AJ13,IF(AN12&gt;0,AJ12,IF(AN11&gt;0,AJ11,AJ10))))))</f>
        <v>41639</v>
      </c>
      <c r="AI16" s="324">
        <f>IF(AH16=0,0,VLOOKUP(YEAR(AH16),INPC!$B$4:$O$29,MONTH(AH16)+1))</f>
        <v>83.770058296773001</v>
      </c>
      <c r="AJ16" s="323">
        <v>43983</v>
      </c>
      <c r="AK16" s="324">
        <f>IF(AJ16=0,0,VLOOKUP(YEAR(AJ16),INPC!$B$4:$O$29,MONTH(AJ16)+1))</f>
        <v>106.74299999999999</v>
      </c>
      <c r="AL16" s="395" t="str">
        <f t="shared" si="0"/>
        <v>N/A</v>
      </c>
      <c r="AM16" s="325">
        <f>IF(AND(AN15=0,AN14=0,AN13=0,AN12=0,AN11=0,AN10=0),IF(AN16=0,0,AM9*AL16),IF(AN16=0,0,IF(AND(AN15=0,AN14=0,AN13=0,AN12=0,AN11=0),AO10*AL16,IF(AND(AN15=0,AN14=0,AN13=0,AN12=0),AO11*AL16,IF(AND(AN15=0,AN14=0,AN13=0),AO12*AL16,IF(AND(AN15=0,AN14=0),AO13*AL16,IF(AN15=0,AO14*AL16,AO15*AL16)))))))</f>
        <v>0</v>
      </c>
      <c r="AN16" s="328"/>
      <c r="AO16" s="326">
        <f t="shared" si="1"/>
        <v>0</v>
      </c>
      <c r="AP16" s="321">
        <v>2020</v>
      </c>
      <c r="AQ16" s="326"/>
    </row>
    <row r="17" spans="2:43" ht="20.100000000000001" hidden="1" customHeight="1">
      <c r="B17" s="321"/>
      <c r="C17" s="341"/>
      <c r="D17" s="450"/>
      <c r="E17" s="341"/>
      <c r="F17" s="489"/>
      <c r="G17" s="489"/>
      <c r="H17" s="188">
        <f t="shared" si="2"/>
        <v>0</v>
      </c>
      <c r="I17" s="321">
        <v>2021</v>
      </c>
      <c r="O17" s="112"/>
      <c r="P17" s="112"/>
      <c r="Q17" s="112"/>
      <c r="R17" s="112"/>
      <c r="AH17" s="323">
        <f>IF(AND(AN16=0,AN15=0,AN14=0,AN13=0,AN12=0,AN11=0,AN10=0),AJ9,IF(AN16&gt;0,AJ16,IF(AN15&gt;0,AJ15,IF(AN14&gt;0,AJ14,IF(AN13&gt;0,AJ13,IF(AN12&gt;0,AJ12,IF(AN11&gt;0,AJ11,AJ10)))))))</f>
        <v>41639</v>
      </c>
      <c r="AI17" s="324">
        <f>IF(AH17=0,0,VLOOKUP(YEAR(AH17),INPC!$B$4:$O$29,MONTH(AH17)+1))</f>
        <v>83.770058296773001</v>
      </c>
      <c r="AJ17" s="323">
        <v>44348</v>
      </c>
      <c r="AK17" s="324">
        <f>IF(AJ17=0,0,VLOOKUP(YEAR(AJ17),INPC!$B$4:$O$29,MONTH(AJ17)+1))</f>
        <v>113.018</v>
      </c>
      <c r="AL17" s="395" t="str">
        <f t="shared" si="0"/>
        <v>N/A</v>
      </c>
      <c r="AM17" s="325">
        <f>IF(AND(AN16=0,AN15=0,AN14=0,AN13=0,AN12=0,AN11=0,AN10=0),IF(AN17=0,0,AM9*AL17),IF(AN17=0,0,IF(AND(AN16=0,AN15=0,AN14=0,AN13=0,AN12=0,AN11=0),AO10*AL17,IF(AND(AN16=0,AN15=0,AN14=0,AN13=0,AN12=0),AO11*AL17,IF(AND(AN16=0,AN15=0,AN14=0,AN13=0),AO12*AL17,IF(AND(AN16=0,AN15=0,AN14=0),AO13*AL17,IF(AND(AN16=0,AN15=0),AO14*AL17,IF(AN16=0,AO15*AL17,AO16*AL17))))))))</f>
        <v>0</v>
      </c>
      <c r="AN17" s="328"/>
      <c r="AO17" s="326">
        <f t="shared" si="1"/>
        <v>0</v>
      </c>
      <c r="AP17" s="321">
        <v>2021</v>
      </c>
      <c r="AQ17" s="326"/>
    </row>
    <row r="18" spans="2:43" ht="20.100000000000001" hidden="1" customHeight="1">
      <c r="B18" s="321"/>
      <c r="C18" s="341"/>
      <c r="D18" s="450"/>
      <c r="E18" s="341"/>
      <c r="F18" s="489"/>
      <c r="G18" s="489"/>
      <c r="H18" s="188">
        <f t="shared" si="2"/>
        <v>0</v>
      </c>
      <c r="I18" s="321">
        <v>2022</v>
      </c>
      <c r="J18" s="12"/>
      <c r="O18" s="112"/>
      <c r="P18" s="112"/>
      <c r="Q18" s="112"/>
      <c r="R18" s="112"/>
      <c r="S18" s="12"/>
      <c r="T18" s="12"/>
      <c r="U18" s="12"/>
      <c r="V18" s="12"/>
      <c r="W18" s="12"/>
      <c r="AH18" s="323">
        <f>IF(AND(AN17=0,AN16=0,AN15=0,AN14=0,AN13=0,AN12=0,AN11=0,AN10=0),AJ9,IF(AN17&gt;0,AJ17,IF(AN16&gt;0,AJ16,IF(AN15&gt;0,AJ15,IF(AN14&gt;0,AJ14,IF(AN13&gt;0,AJ13,IF(AN12&gt;0,AJ12,IF(AN11&gt;0,AJ11,AJ10))))))))</f>
        <v>41639</v>
      </c>
      <c r="AI18" s="324">
        <f>IF(AH18=0,0,VLOOKUP(YEAR(AH18),INPC!$B$4:$O$29,MONTH(AH18)+1))</f>
        <v>83.770058296773001</v>
      </c>
      <c r="AJ18" s="323">
        <v>44713</v>
      </c>
      <c r="AK18" s="324">
        <f>IF(AJ18=0,0,VLOOKUP(YEAR(AJ18),INPC!$B$4:$O$29,MONTH(AJ18)+1))</f>
        <v>122.044</v>
      </c>
      <c r="AL18" s="395">
        <f t="shared" si="0"/>
        <v>1.4568000000000001</v>
      </c>
      <c r="AM18" s="325">
        <f>IF(AND(AN17=0,AN16=0,AN15=0,AN14=0,AN13=0,AN12=0,AN11=0,AN10=0),IF(AN18=0,0,AM9*AL18),IF(AN18=0,0,IF(AND(AN17=0,AN16=0,AN15=0,AN14=0,AN13=0,AN12=0,AN11=0),AO10*AL18,IF(AND(AN17=0,AN16=0,AN15=0,AN14=0,AN13=0,AN12=0),AO11*AL18,IF(AND(AN17=0,AN16=0,AN15=0,AN14=0,AN13=0),AO12*AL18,IF(AND(AN17=0,AN16=0,AN15=0,AN14=0),AO13*AL18,IF(AND(AN17=0,AN16=0,AN15=0),AO14*AL18,IF(AND(AN17=0,AN16=0),AO15*AL18,IF(AN17=0,AO16*AL18,AO17*AL18)))))))))</f>
        <v>0</v>
      </c>
      <c r="AN18" s="214">
        <v>1.0000000000000001E-5</v>
      </c>
      <c r="AO18" s="326">
        <f>IF(AN18=0.00001,0,AM18-AN18)</f>
        <v>0</v>
      </c>
      <c r="AP18" s="321">
        <v>2022</v>
      </c>
      <c r="AQ18" s="327">
        <f>AM18</f>
        <v>0</v>
      </c>
    </row>
    <row r="19" spans="2:43" ht="20.100000000000001" hidden="1" customHeight="1">
      <c r="B19" s="62"/>
      <c r="C19" s="259"/>
      <c r="D19" s="259"/>
      <c r="E19" s="259"/>
      <c r="F19" s="259"/>
      <c r="G19" s="259"/>
      <c r="H19" s="62"/>
      <c r="I19" s="62"/>
      <c r="J19" s="12"/>
      <c r="O19" s="62"/>
      <c r="P19" s="62"/>
      <c r="Q19" s="62"/>
      <c r="R19" s="62"/>
      <c r="S19" s="12"/>
      <c r="T19" s="12"/>
      <c r="U19" s="12"/>
      <c r="V19" s="12"/>
      <c r="W19" s="12"/>
      <c r="AH19" s="62"/>
      <c r="AI19" s="62"/>
      <c r="AJ19" s="62"/>
      <c r="AK19" s="62"/>
      <c r="AL19" s="62"/>
      <c r="AM19" s="62"/>
      <c r="AN19" s="62"/>
      <c r="AO19" s="62"/>
      <c r="AP19" s="62"/>
      <c r="AQ19" s="62"/>
    </row>
    <row r="20" spans="2:43" ht="20.100000000000001" hidden="1" customHeight="1">
      <c r="B20" s="62"/>
      <c r="C20" s="259"/>
      <c r="D20" s="259"/>
      <c r="E20" s="259"/>
      <c r="F20" s="259"/>
      <c r="G20" s="259"/>
      <c r="H20" s="62"/>
      <c r="I20" s="62"/>
      <c r="O20" s="62"/>
      <c r="P20" s="62"/>
      <c r="Q20" s="62"/>
      <c r="R20" s="62"/>
      <c r="AH20" s="62"/>
      <c r="AI20" s="62"/>
      <c r="AJ20" s="62"/>
      <c r="AK20" s="62"/>
      <c r="AL20" s="62"/>
      <c r="AM20" s="62"/>
      <c r="AN20" s="62"/>
      <c r="AO20" s="62"/>
      <c r="AP20" s="62"/>
      <c r="AQ20" s="62"/>
    </row>
    <row r="21" spans="2:43" ht="20.100000000000001" hidden="1" customHeight="1">
      <c r="B21" s="185">
        <v>2014</v>
      </c>
      <c r="C21" s="66" t="s">
        <v>645</v>
      </c>
      <c r="D21" s="65"/>
      <c r="E21" s="66"/>
      <c r="F21" s="213"/>
      <c r="G21" s="490"/>
      <c r="H21" s="455"/>
      <c r="I21" s="456"/>
      <c r="O21" s="112"/>
      <c r="P21" s="112"/>
      <c r="Q21" s="112"/>
      <c r="R21" s="112"/>
      <c r="AH21" s="187">
        <v>41821</v>
      </c>
      <c r="AI21" s="186">
        <f>IF(AH21=0,0,VLOOKUP(YEAR(AH21),INPC!$B$4:$O$29,MONTH(AH21)+1))</f>
        <v>84.914958831660996</v>
      </c>
      <c r="AJ21" s="187">
        <v>42004</v>
      </c>
      <c r="AK21" s="186">
        <f>IF(AJ21=0,0,VLOOKUP(YEAR(AJ21),INPC!$B$4:$O$29,MONTH(AJ21)+1))</f>
        <v>87.188983712964003</v>
      </c>
      <c r="AL21" s="395">
        <f>IF(AI21=0,0,IF(TRUNC(AK21/AI21,4)&lt;1,1,TRUNC(AK21/AI21,4)))</f>
        <v>1.0266999999999999</v>
      </c>
      <c r="AM21" s="111">
        <f>+F21*AL21</f>
        <v>0</v>
      </c>
      <c r="AN21" s="454"/>
      <c r="AO21" s="455"/>
      <c r="AP21" s="456"/>
      <c r="AQ21" s="455"/>
    </row>
    <row r="22" spans="2:43" ht="20.100000000000001" hidden="1" customHeight="1">
      <c r="B22" s="185"/>
      <c r="C22" s="66"/>
      <c r="D22" s="65"/>
      <c r="E22" s="66"/>
      <c r="F22" s="487"/>
      <c r="G22" s="487"/>
      <c r="H22" s="188">
        <f>IF(F21-G22&lt;=0,0,F21-G22)</f>
        <v>0</v>
      </c>
      <c r="I22" s="185">
        <v>2015</v>
      </c>
      <c r="O22" s="112"/>
      <c r="P22" s="112"/>
      <c r="Q22" s="112"/>
      <c r="R22" s="112"/>
      <c r="AH22" s="187">
        <f>+AJ21</f>
        <v>42004</v>
      </c>
      <c r="AI22" s="186">
        <f>IF(AH22=0,0,VLOOKUP(YEAR(AH22),INPC!$B$4:$O$29,MONTH(AH22)+1))</f>
        <v>87.188983712964003</v>
      </c>
      <c r="AJ22" s="187">
        <v>42156</v>
      </c>
      <c r="AK22" s="186">
        <f>IF(AJ22=0,0,VLOOKUP(YEAR(AJ22),INPC!$B$4:$O$29,MONTH(AJ22)+1))</f>
        <v>87.113107758880005</v>
      </c>
      <c r="AL22" s="395" t="str">
        <f t="shared" ref="AL22:AL29" si="3">IF(AN22=0,"N/A",TRUNC(AK22/AI22,4))</f>
        <v>N/A</v>
      </c>
      <c r="AM22" s="111">
        <f>IF(AN22=0,0,AM21*AL22)</f>
        <v>0</v>
      </c>
      <c r="AN22" s="214"/>
      <c r="AO22" s="188">
        <f>+AM22-AN22</f>
        <v>0</v>
      </c>
      <c r="AP22" s="185">
        <v>2015</v>
      </c>
      <c r="AQ22" s="188"/>
    </row>
    <row r="23" spans="2:43" ht="20.100000000000001" hidden="1" customHeight="1">
      <c r="B23" s="185"/>
      <c r="C23" s="66"/>
      <c r="D23" s="65"/>
      <c r="E23" s="66"/>
      <c r="F23" s="487"/>
      <c r="G23" s="487"/>
      <c r="H23" s="188">
        <f>IF(H22-G23&lt;=0,0,H22-G23)</f>
        <v>0</v>
      </c>
      <c r="I23" s="185">
        <v>2016</v>
      </c>
      <c r="O23" s="112"/>
      <c r="P23" s="112"/>
      <c r="Q23" s="112"/>
      <c r="R23" s="112"/>
      <c r="AH23" s="187">
        <f>IF(AN22=0,AJ21,AJ22)</f>
        <v>42004</v>
      </c>
      <c r="AI23" s="186">
        <f>IF(AH23=0,0,VLOOKUP(YEAR(AH23),INPC!$B$4:$O$29,MONTH(AH23)+1))</f>
        <v>87.188983712964003</v>
      </c>
      <c r="AJ23" s="187">
        <v>42522</v>
      </c>
      <c r="AK23" s="186">
        <f>IF(AJ23=0,0,VLOOKUP(YEAR(AJ23),INPC!$B$4:$O$29,MONTH(AJ23)+1))</f>
        <v>89.324027886291006</v>
      </c>
      <c r="AL23" s="395" t="str">
        <f t="shared" si="3"/>
        <v>N/A</v>
      </c>
      <c r="AM23" s="111">
        <f>IF(AN22=0,IF(AN23=0,0,AM21*AL23),IF(AN23=0,0,AO22*AL23))</f>
        <v>0</v>
      </c>
      <c r="AN23" s="214"/>
      <c r="AO23" s="188">
        <f t="shared" ref="AO23:AO26" si="4">+AM23-AN23</f>
        <v>0</v>
      </c>
      <c r="AP23" s="185">
        <v>2016</v>
      </c>
      <c r="AQ23" s="188"/>
    </row>
    <row r="24" spans="2:43" ht="20.100000000000001" hidden="1" customHeight="1">
      <c r="B24" s="185"/>
      <c r="C24" s="66"/>
      <c r="D24" s="65"/>
      <c r="E24" s="66"/>
      <c r="F24" s="487"/>
      <c r="G24" s="487"/>
      <c r="H24" s="188">
        <f t="shared" ref="H24:H29" si="5">IF(H23-G24&lt;=0,0,H23-G24)</f>
        <v>0</v>
      </c>
      <c r="I24" s="185">
        <v>2017</v>
      </c>
      <c r="O24" s="112"/>
      <c r="P24" s="112"/>
      <c r="Q24" s="112"/>
      <c r="R24" s="112"/>
      <c r="AH24" s="187">
        <f>IF(AND(AN23=0,AN22=0),AJ21,IF(AN23&gt;0,AJ23,AJ22))</f>
        <v>42004</v>
      </c>
      <c r="AI24" s="186">
        <f>IF(AH24=0,0,VLOOKUP(YEAR(AH24),INPC!$B$4:$O$29,MONTH(AH24)+1))</f>
        <v>87.188983712964003</v>
      </c>
      <c r="AJ24" s="187">
        <v>42887</v>
      </c>
      <c r="AK24" s="186">
        <f>IF(AJ24=0,0,VLOOKUP(YEAR(AJ24),INPC!$B$4:$O$29,MONTH(AJ24)+1))</f>
        <v>94.963639641805003</v>
      </c>
      <c r="AL24" s="395" t="str">
        <f t="shared" si="3"/>
        <v>N/A</v>
      </c>
      <c r="AM24" s="111">
        <f>IF(AND(AN23=0,AN22=0),IF(AN24=0,0,AM21*AL24),IF(AN24=0,0,IF(AN23=0,AO22*AL24,AO23*AL24)))</f>
        <v>0</v>
      </c>
      <c r="AN24" s="214"/>
      <c r="AO24" s="188">
        <f t="shared" si="4"/>
        <v>0</v>
      </c>
      <c r="AP24" s="185">
        <v>2017</v>
      </c>
      <c r="AQ24" s="188"/>
    </row>
    <row r="25" spans="2:43" ht="20.100000000000001" hidden="1" customHeight="1">
      <c r="B25" s="185"/>
      <c r="C25" s="66"/>
      <c r="D25" s="65"/>
      <c r="E25" s="66"/>
      <c r="F25" s="487"/>
      <c r="G25" s="487"/>
      <c r="H25" s="188">
        <f t="shared" si="5"/>
        <v>0</v>
      </c>
      <c r="I25" s="185">
        <v>2018</v>
      </c>
      <c r="O25" s="112"/>
      <c r="P25" s="112"/>
      <c r="Q25" s="112"/>
      <c r="R25" s="112"/>
      <c r="AH25" s="187">
        <f>IF(AND(AN24=0,AN23=0,AN22=0),AJ21,IF(AN24&gt;0,AJ24,IF(AN23&gt;0,AJ23,AJ22)))</f>
        <v>42004</v>
      </c>
      <c r="AI25" s="186">
        <f>IF(AH25=0,0,VLOOKUP(YEAR(AH25),INPC!$B$4:$O$29,MONTH(AH25)+1))</f>
        <v>87.188983712964003</v>
      </c>
      <c r="AJ25" s="187">
        <v>43252</v>
      </c>
      <c r="AK25" s="186">
        <f>IF(AJ25=0,0,VLOOKUP(YEAR(AJ25),INPC!$B$4:$O$29,MONTH(AJ25)+1))</f>
        <v>99.376464931786998</v>
      </c>
      <c r="AL25" s="395" t="str">
        <f t="shared" si="3"/>
        <v>N/A</v>
      </c>
      <c r="AM25" s="111">
        <f>IF(AND(AN24=0,AN23=0,AN22=0),IF(AN25=0,0,AM21*AL25),IF(AN25=0,0,IF(AND(AN24=0,AN23=0),AO22*AL25,IF(AN24=0,AO23*AL25,AO24*AL25))))</f>
        <v>0</v>
      </c>
      <c r="AN25" s="214"/>
      <c r="AO25" s="188">
        <f t="shared" si="4"/>
        <v>0</v>
      </c>
      <c r="AP25" s="185">
        <v>2018</v>
      </c>
      <c r="AQ25" s="188"/>
    </row>
    <row r="26" spans="2:43" ht="20.100000000000001" hidden="1" customHeight="1">
      <c r="B26" s="291"/>
      <c r="C26" s="340"/>
      <c r="D26" s="449"/>
      <c r="E26" s="340"/>
      <c r="F26" s="488"/>
      <c r="G26" s="488"/>
      <c r="H26" s="188">
        <f t="shared" si="5"/>
        <v>0</v>
      </c>
      <c r="I26" s="291">
        <v>2019</v>
      </c>
      <c r="O26" s="112"/>
      <c r="P26" s="112"/>
      <c r="Q26" s="112"/>
      <c r="R26" s="112"/>
      <c r="Y26" s="184"/>
      <c r="AH26" s="312">
        <f>IF(AND(AN25=0,AN24=0,AN23=0,AN22=0),AJ21,IF(AN25&gt;0,AJ25,IF(AN24&gt;0,AJ24,IF(AN23&gt;0,AJ23,AJ22))))</f>
        <v>42004</v>
      </c>
      <c r="AI26" s="313">
        <f>IF(AH26=0,0,VLOOKUP(YEAR(AH26),INPC!$B$4:$O$29,MONTH(AH26)+1))</f>
        <v>87.188983712964003</v>
      </c>
      <c r="AJ26" s="312">
        <v>43617</v>
      </c>
      <c r="AK26" s="313">
        <f>IF(AJ26=0,0,VLOOKUP(YEAR(AJ26),INPC!$B$4:$O$29,MONTH(AJ26)+1))</f>
        <v>103.29900000000001</v>
      </c>
      <c r="AL26" s="395" t="str">
        <f t="shared" si="3"/>
        <v>N/A</v>
      </c>
      <c r="AM26" s="314">
        <f>IF(AND(AN25=0,AN24=0,AN23=0,AN22=0),IF(AN26=0,0,AM21*AL26),IF(AN26=0,0,IF(AND(AN25=0,AN24=0,AN23=0),AO22*AL26,IF(AND(AN25=0,AN24=0),AO23*AL26,IF(AN25=0,AO24*AL26,AO25*AL26)))))</f>
        <v>0</v>
      </c>
      <c r="AN26" s="320"/>
      <c r="AO26" s="315">
        <f t="shared" si="4"/>
        <v>0</v>
      </c>
      <c r="AP26" s="291">
        <v>2019</v>
      </c>
      <c r="AQ26" s="315"/>
    </row>
    <row r="27" spans="2:43" ht="20.100000000000001" hidden="1" customHeight="1">
      <c r="B27" s="321"/>
      <c r="C27" s="341"/>
      <c r="D27" s="450"/>
      <c r="E27" s="341"/>
      <c r="F27" s="489"/>
      <c r="G27" s="489"/>
      <c r="H27" s="188">
        <f t="shared" si="5"/>
        <v>0</v>
      </c>
      <c r="I27" s="321">
        <v>2020</v>
      </c>
      <c r="O27" s="112"/>
      <c r="P27" s="112"/>
      <c r="Q27" s="112"/>
      <c r="R27" s="112"/>
      <c r="AH27" s="323">
        <f>IF(AND(AN26=0,AN25=0,AN24=0,AN23=0,AN22=0),AJ21,IF(AN26&gt;0,AJ26,IF(AN25&gt;0,AJ25,IF(AN24&gt;0,AJ24,IF(AN23&gt;0,AJ23,AJ22)))))</f>
        <v>42004</v>
      </c>
      <c r="AI27" s="324">
        <f>IF(AH27=0,0,VLOOKUP(YEAR(AH27),INPC!$B$4:$O$29,MONTH(AH27)+1))</f>
        <v>87.188983712964003</v>
      </c>
      <c r="AJ27" s="323">
        <v>43983</v>
      </c>
      <c r="AK27" s="324">
        <f>IF(AJ27=0,0,VLOOKUP(YEAR(AJ27),INPC!$B$4:$O$29,MONTH(AJ27)+1))</f>
        <v>106.74299999999999</v>
      </c>
      <c r="AL27" s="395" t="str">
        <f t="shared" si="3"/>
        <v>N/A</v>
      </c>
      <c r="AM27" s="325">
        <f>IF(AND(AN26=0,AN25=0,AN24=0,AN23=0,AN22=0),IF(AN27=0,0,AM21*AL27),IF(AN27=0,0,IF(AND(AN26=0,AN25=0,AN24=0,AN23=0),AO22*AL27,IF(AND(AN26=0,AN25=0,AN24=0),AO23*AL27,IF(AND(AN26=0,AN25=0),AO24*AL27,IF(AN26=0,AO25*AL27,AO26*AL27))))))</f>
        <v>0</v>
      </c>
      <c r="AN27" s="328"/>
      <c r="AO27" s="326">
        <f>+AM27-AN27</f>
        <v>0</v>
      </c>
      <c r="AP27" s="321">
        <v>2020</v>
      </c>
      <c r="AQ27" s="326"/>
    </row>
    <row r="28" spans="2:43" ht="20.100000000000001" hidden="1" customHeight="1">
      <c r="B28" s="321"/>
      <c r="C28" s="341"/>
      <c r="D28" s="450"/>
      <c r="E28" s="341"/>
      <c r="F28" s="489"/>
      <c r="G28" s="489"/>
      <c r="H28" s="188">
        <f t="shared" si="5"/>
        <v>0</v>
      </c>
      <c r="I28" s="321">
        <v>2021</v>
      </c>
      <c r="O28" s="112"/>
      <c r="P28" s="112"/>
      <c r="Q28" s="112"/>
      <c r="R28" s="112"/>
      <c r="AH28" s="323">
        <f>IF(AND(AN27=0,AN26=0,AN25=0,AN24=0,AN23=0,AN22=0),AJ21,IF(AN27&gt;0,AJ27,IF(AN26&gt;0,AJ26,IF(AN25&gt;0,AJ25,IF(AN24&gt;0,AJ24,IF(AN23&gt;0,AJ23,AJ22))))))</f>
        <v>42004</v>
      </c>
      <c r="AI28" s="324">
        <f>IF(AH28=0,0,VLOOKUP(YEAR(AH28),INPC!$B$4:$O$29,MONTH(AH28)+1))</f>
        <v>87.188983712964003</v>
      </c>
      <c r="AJ28" s="323">
        <v>44348</v>
      </c>
      <c r="AK28" s="324">
        <f>IF(AJ28=0,0,VLOOKUP(YEAR(AJ28),INPC!$B$4:$O$29,MONTH(AJ28)+1))</f>
        <v>113.018</v>
      </c>
      <c r="AL28" s="395" t="str">
        <f t="shared" si="3"/>
        <v>N/A</v>
      </c>
      <c r="AM28" s="325">
        <f>IF(AND(AN27=0,AN26=0,AN25=0,AN24=0,AN23=0,AN22=0),IF(AN28=0,0,AM21*AL28),IF(AN28=0,0,IF(AND(AN27=0,AN26=0,AN25=0,AN24=0,AN23=0),AO22*AL28,IF(AND(AN27=0,AN26=0,AN25=0,AN24=0),AO23*AL28,IF(AND(AN27=0,AN26=0,AN25=0),AO24*AL28,IF(AND(AN27=0,AN26=0),AO25*AL28,IF(AN27=0,AO26*AL28,AO27*AL28)))))))</f>
        <v>0</v>
      </c>
      <c r="AN28" s="328"/>
      <c r="AO28" s="326">
        <f>+AM28-AN28</f>
        <v>0</v>
      </c>
      <c r="AP28" s="321">
        <v>2021</v>
      </c>
      <c r="AQ28" s="326"/>
    </row>
    <row r="29" spans="2:43" ht="20.100000000000001" hidden="1" customHeight="1">
      <c r="B29" s="321"/>
      <c r="C29" s="341"/>
      <c r="D29" s="450"/>
      <c r="E29" s="341"/>
      <c r="F29" s="489"/>
      <c r="G29" s="489"/>
      <c r="H29" s="188">
        <f t="shared" si="5"/>
        <v>0</v>
      </c>
      <c r="I29" s="321">
        <v>2022</v>
      </c>
      <c r="O29" s="112"/>
      <c r="P29" s="112"/>
      <c r="Q29" s="112"/>
      <c r="R29" s="112"/>
      <c r="AH29" s="323">
        <f>IF(AND(AN28=0,AN27=0,AN26=0,AN25=0,AN24=0,AN23=0,AN22=0),AJ21,IF(AN28&gt;0,AJ28,IF(AN27&gt;0,AJ27,IF(AN26&gt;0,AJ26,IF(AN25&gt;0,AJ25,IF(AN24&gt;0,AJ24,IF(AN23&gt;0,AJ23,AJ22)))))))</f>
        <v>42004</v>
      </c>
      <c r="AI29" s="324">
        <f>IF(AH29=0,0,VLOOKUP(YEAR(AH29),INPC!$B$4:$O$29,MONTH(AH29)+1))</f>
        <v>87.188983712964003</v>
      </c>
      <c r="AJ29" s="323">
        <v>44713</v>
      </c>
      <c r="AK29" s="324">
        <f>IF(AJ29=0,0,VLOOKUP(YEAR(AJ29),INPC!$B$4:$O$29,MONTH(AJ29)+1))</f>
        <v>122.044</v>
      </c>
      <c r="AL29" s="395">
        <f t="shared" si="3"/>
        <v>1.3996999999999999</v>
      </c>
      <c r="AM29" s="325">
        <f>IF(AND(AN28=0,AN27=0,AN26=0,AN25=0,AN24=0,AN23=0,AN22=0),IF(AN29=0,0,AM21*AL29),IF(AN29=0,0,IF(AND(AN28=0,AN27=0,AN26=0,AN25=0,AN24=0,AN23=0),AO22*AL29,IF(AND(AN28=0,AN27=0,AN26=0,AN25=0,AN24=0),AO23*AL29,IF(AND(AN28=0,AN27=0,AN26=0,AN25=0),AO24*AL29,IF(AND(AN28=0,AN27=0,AN26=0),AO25*AL29,IF(AND(AN28=0,AN27=0),AO26*AL29,IF(AN28=0,AO27*AL29,AO28*AL29))))))))</f>
        <v>0</v>
      </c>
      <c r="AN29" s="214">
        <v>1.0000000000000001E-5</v>
      </c>
      <c r="AO29" s="326">
        <f>IF(AN29=0.00001,0,AM29-AN29)</f>
        <v>0</v>
      </c>
      <c r="AP29" s="321">
        <v>2022</v>
      </c>
      <c r="AQ29" s="327">
        <f>AM29</f>
        <v>0</v>
      </c>
    </row>
    <row r="30" spans="2:43" ht="20.100000000000001" hidden="1" customHeight="1">
      <c r="B30" s="112"/>
      <c r="C30" s="13"/>
      <c r="D30" s="55"/>
      <c r="E30" s="13"/>
      <c r="F30" s="264"/>
      <c r="G30" s="264"/>
      <c r="H30" s="184"/>
      <c r="I30" s="112"/>
      <c r="O30" s="112"/>
      <c r="P30" s="112"/>
      <c r="Q30" s="112"/>
      <c r="R30" s="112"/>
      <c r="AH30" s="316"/>
      <c r="AI30" s="317"/>
      <c r="AJ30" s="316"/>
      <c r="AK30" s="317"/>
      <c r="AL30" s="318"/>
      <c r="AM30" s="311"/>
      <c r="AN30" s="319"/>
      <c r="AO30" s="184"/>
      <c r="AP30" s="112"/>
      <c r="AQ30" s="184"/>
    </row>
    <row r="31" spans="2:43" ht="20.100000000000001" hidden="1" customHeight="1">
      <c r="B31" s="62"/>
      <c r="C31" s="259"/>
      <c r="D31" s="259"/>
      <c r="E31" s="259"/>
      <c r="F31" s="259"/>
      <c r="G31" s="259"/>
      <c r="H31" s="62"/>
      <c r="I31" s="62"/>
      <c r="O31" s="62"/>
      <c r="P31" s="62"/>
      <c r="Q31" s="62"/>
      <c r="R31" s="62"/>
      <c r="AH31" s="62"/>
      <c r="AI31" s="62"/>
      <c r="AJ31" s="62"/>
      <c r="AK31" s="62"/>
      <c r="AL31" s="62"/>
      <c r="AM31" s="62"/>
      <c r="AN31" s="62"/>
      <c r="AO31" s="62"/>
      <c r="AP31" s="62"/>
      <c r="AQ31" s="62"/>
    </row>
    <row r="32" spans="2:43" ht="20.100000000000001" hidden="1" customHeight="1">
      <c r="B32" s="185">
        <v>2015</v>
      </c>
      <c r="C32" s="66" t="s">
        <v>645</v>
      </c>
      <c r="D32" s="65"/>
      <c r="E32" s="66"/>
      <c r="F32" s="213"/>
      <c r="G32" s="490"/>
      <c r="H32" s="455"/>
      <c r="I32" s="456"/>
      <c r="O32" s="112"/>
      <c r="P32" s="112"/>
      <c r="Q32" s="112"/>
      <c r="R32" s="112"/>
      <c r="AH32" s="187">
        <v>42186</v>
      </c>
      <c r="AI32" s="186">
        <f>IF(AH32=0,0,VLOOKUP(YEAR(AH32),INPC!$B$4:$O$29,MONTH(AH32)+1))</f>
        <v>87.240819760803006</v>
      </c>
      <c r="AJ32" s="187">
        <v>42339</v>
      </c>
      <c r="AK32" s="186">
        <f>IF(AJ32=0,0,VLOOKUP(YEAR(AJ32),INPC!$B$4:$O$29,MONTH(AJ32)+1))</f>
        <v>89.046817717411002</v>
      </c>
      <c r="AL32" s="395">
        <f>IF(AI32=0,0,IF(TRUNC(AK32/AI32,4)&lt;1,1,TRUNC(AK32/AI32,4)))</f>
        <v>1.0206999999999999</v>
      </c>
      <c r="AM32" s="111">
        <f>+F32*AL32</f>
        <v>0</v>
      </c>
      <c r="AN32" s="454"/>
      <c r="AO32" s="455"/>
      <c r="AP32" s="456"/>
      <c r="AQ32" s="455"/>
    </row>
    <row r="33" spans="2:43" ht="20.100000000000001" hidden="1" customHeight="1">
      <c r="B33" s="185"/>
      <c r="C33" s="66"/>
      <c r="D33" s="65"/>
      <c r="E33" s="66"/>
      <c r="F33" s="487"/>
      <c r="G33" s="487"/>
      <c r="H33" s="188">
        <f>IF(F32-G33&lt;=0,0,F32-G33)</f>
        <v>0</v>
      </c>
      <c r="I33" s="185">
        <v>2016</v>
      </c>
      <c r="O33" s="112"/>
      <c r="P33" s="112"/>
      <c r="Q33" s="112"/>
      <c r="R33" s="112"/>
      <c r="X33" s="184"/>
      <c r="AH33" s="187">
        <f>+AJ32</f>
        <v>42339</v>
      </c>
      <c r="AI33" s="186">
        <f>IF(AH33=0,0,VLOOKUP(YEAR(AH33),INPC!$B$4:$O$29,MONTH(AH33)+1))</f>
        <v>89.046817717411002</v>
      </c>
      <c r="AJ33" s="187">
        <v>42522</v>
      </c>
      <c r="AK33" s="186">
        <f>IF(AJ33=0,0,VLOOKUP(YEAR(AJ33),INPC!$B$4:$O$29,MONTH(AJ33)+1))</f>
        <v>89.324027886291006</v>
      </c>
      <c r="AL33" s="395" t="str">
        <f t="shared" ref="AL33:AL39" si="6">IF(AN33=0,"N/A",TRUNC(AK33/AI33,4))</f>
        <v>N/A</v>
      </c>
      <c r="AM33" s="111">
        <f>IF(AN33=0,0,AM32*AL33)</f>
        <v>0</v>
      </c>
      <c r="AN33" s="214"/>
      <c r="AO33" s="188">
        <f>+AM33-AN33</f>
        <v>0</v>
      </c>
      <c r="AP33" s="185">
        <v>2016</v>
      </c>
      <c r="AQ33" s="188"/>
    </row>
    <row r="34" spans="2:43" ht="20.100000000000001" hidden="1" customHeight="1">
      <c r="B34" s="185"/>
      <c r="C34" s="66"/>
      <c r="D34" s="65"/>
      <c r="E34" s="66"/>
      <c r="F34" s="487"/>
      <c r="G34" s="487"/>
      <c r="H34" s="188">
        <f>IF(H33-G34&lt;=0,0,H33-G34)</f>
        <v>0</v>
      </c>
      <c r="I34" s="185">
        <v>2017</v>
      </c>
      <c r="O34" s="112"/>
      <c r="P34" s="112"/>
      <c r="Q34" s="112"/>
      <c r="R34" s="112"/>
      <c r="X34" s="184"/>
      <c r="AH34" s="187">
        <f>IF(AN33=0,AJ32,AJ33)</f>
        <v>42339</v>
      </c>
      <c r="AI34" s="186">
        <f>IF(AH34=0,0,VLOOKUP(YEAR(AH34),INPC!$B$4:$O$29,MONTH(AH34)+1))</f>
        <v>89.046817717411002</v>
      </c>
      <c r="AJ34" s="187">
        <v>42887</v>
      </c>
      <c r="AK34" s="186">
        <f>IF(AJ34=0,0,VLOOKUP(YEAR(AJ34),INPC!$B$4:$O$29,MONTH(AJ34)+1))</f>
        <v>94.963639641805003</v>
      </c>
      <c r="AL34" s="395" t="str">
        <f t="shared" si="6"/>
        <v>N/A</v>
      </c>
      <c r="AM34" s="111">
        <f>IF(AN33=0,IF(AN34=0,0,AM32*AL34),IF(AN34=0,0,AO33*AL34))</f>
        <v>0</v>
      </c>
      <c r="AN34" s="214"/>
      <c r="AO34" s="188">
        <f t="shared" ref="AO34:AO37" si="7">+AM34-AN34</f>
        <v>0</v>
      </c>
      <c r="AP34" s="185">
        <v>2017</v>
      </c>
      <c r="AQ34" s="188"/>
    </row>
    <row r="35" spans="2:43" ht="20.100000000000001" hidden="1" customHeight="1">
      <c r="B35" s="185"/>
      <c r="C35" s="66"/>
      <c r="D35" s="65"/>
      <c r="E35" s="66"/>
      <c r="F35" s="487"/>
      <c r="G35" s="487"/>
      <c r="H35" s="188">
        <f t="shared" ref="H35:H39" si="8">IF(H34-G35&lt;=0,0,H34-G35)</f>
        <v>0</v>
      </c>
      <c r="I35" s="185">
        <v>2018</v>
      </c>
      <c r="O35" s="112"/>
      <c r="P35" s="112"/>
      <c r="Q35" s="112"/>
      <c r="R35" s="112"/>
      <c r="X35" s="184"/>
      <c r="AH35" s="187">
        <f>IF(AND(AN34=0,AN33=0),AJ32,IF(AN34&gt;0,AJ34,AJ33))</f>
        <v>42339</v>
      </c>
      <c r="AI35" s="186">
        <f>IF(AH35=0,0,VLOOKUP(YEAR(AH35),INPC!$B$4:$O$29,MONTH(AH35)+1))</f>
        <v>89.046817717411002</v>
      </c>
      <c r="AJ35" s="187">
        <v>43252</v>
      </c>
      <c r="AK35" s="186">
        <f>IF(AJ35=0,0,VLOOKUP(YEAR(AJ35),INPC!$B$4:$O$29,MONTH(AJ35)+1))</f>
        <v>99.376464931786998</v>
      </c>
      <c r="AL35" s="395" t="str">
        <f t="shared" si="6"/>
        <v>N/A</v>
      </c>
      <c r="AM35" s="111">
        <f>IF(AND(AN34=0,AN33=0),IF(AN35=0,0,AM32*AL35),IF(AN35=0,0,IF(AN34=0,AO33*AL35,AO34*AL35)))</f>
        <v>0</v>
      </c>
      <c r="AN35" s="214"/>
      <c r="AO35" s="188">
        <f t="shared" si="7"/>
        <v>0</v>
      </c>
      <c r="AP35" s="185">
        <v>2018</v>
      </c>
      <c r="AQ35" s="188"/>
    </row>
    <row r="36" spans="2:43" ht="20.100000000000001" hidden="1" customHeight="1">
      <c r="B36" s="185"/>
      <c r="C36" s="66"/>
      <c r="D36" s="65"/>
      <c r="E36" s="66"/>
      <c r="F36" s="487"/>
      <c r="G36" s="487"/>
      <c r="H36" s="188">
        <f t="shared" si="8"/>
        <v>0</v>
      </c>
      <c r="I36" s="291">
        <v>2019</v>
      </c>
      <c r="O36" s="112"/>
      <c r="P36" s="112"/>
      <c r="Q36" s="112"/>
      <c r="R36" s="112"/>
      <c r="X36" s="184"/>
      <c r="AH36" s="187">
        <f>IF(AND(AN35=0,AN34=0,AN33=0),AJ32,IF(AN35&gt;0,AJ35,IF(AN34&gt;0,AJ34,AJ33)))</f>
        <v>42339</v>
      </c>
      <c r="AI36" s="186">
        <f>IF(AH36=0,0,VLOOKUP(YEAR(AH36),INPC!$B$4:$O$29,MONTH(AH36)+1))</f>
        <v>89.046817717411002</v>
      </c>
      <c r="AJ36" s="312">
        <v>43617</v>
      </c>
      <c r="AK36" s="186">
        <f>IF(AJ36=0,0,VLOOKUP(YEAR(AJ36),INPC!$B$4:$O$29,MONTH(AJ36)+1))</f>
        <v>103.29900000000001</v>
      </c>
      <c r="AL36" s="395" t="str">
        <f t="shared" si="6"/>
        <v>N/A</v>
      </c>
      <c r="AM36" s="111">
        <f>IF(AND(AN35=0,AN34=0,AN33=0),IF(AN36=0,0,AM32*AL36),IF(AN36=0,0,IF(AND(AN35=0,AN34=0),AO33*AL36,IF(AN35=0,AO34*AL36,AO35*AL36))))</f>
        <v>0</v>
      </c>
      <c r="AN36" s="214"/>
      <c r="AO36" s="188">
        <f t="shared" si="7"/>
        <v>0</v>
      </c>
      <c r="AP36" s="291">
        <v>2019</v>
      </c>
      <c r="AQ36" s="188"/>
    </row>
    <row r="37" spans="2:43" ht="20.100000000000001" hidden="1" customHeight="1">
      <c r="B37" s="185"/>
      <c r="C37" s="66"/>
      <c r="D37" s="65"/>
      <c r="E37" s="66"/>
      <c r="F37" s="487"/>
      <c r="G37" s="487"/>
      <c r="H37" s="188">
        <f t="shared" si="8"/>
        <v>0</v>
      </c>
      <c r="I37" s="321">
        <v>2020</v>
      </c>
      <c r="O37" s="112"/>
      <c r="P37" s="112"/>
      <c r="Q37" s="112"/>
      <c r="R37" s="112"/>
      <c r="X37" s="184"/>
      <c r="AH37" s="187">
        <f>IF(AND(AN36=0,AN35=0,AN34=0,AN33=0),AJ32,IF(AN36&gt;0,AJ36,IF(AN35&gt;0,AJ35,IF(AN34&gt;0,AJ34,AJ33))))</f>
        <v>42339</v>
      </c>
      <c r="AI37" s="186">
        <f>IF(AH37=0,0,VLOOKUP(YEAR(AH37),INPC!$B$4:$O$29,MONTH(AH37)+1))</f>
        <v>89.046817717411002</v>
      </c>
      <c r="AJ37" s="323">
        <v>43983</v>
      </c>
      <c r="AK37" s="186">
        <f>IF(AJ37=0,0,VLOOKUP(YEAR(AJ37),INPC!$B$4:$O$29,MONTH(AJ37)+1))</f>
        <v>106.74299999999999</v>
      </c>
      <c r="AL37" s="395" t="str">
        <f t="shared" si="6"/>
        <v>N/A</v>
      </c>
      <c r="AM37" s="111">
        <f>IF(AND(AN36=0,AN35=0,AN34=0,AN33=0),IF(AN37=0,0,AM32*AL37),IF(AN37=0,0,IF(AND(AN36=0,AN35=0,AN34=0),AO33*AL37,IF(AND(AN36=0,AN35=0),AO34*AL37,IF(AN36=0,AO35*AL37,AO36*AL37)))))</f>
        <v>0</v>
      </c>
      <c r="AN37" s="214"/>
      <c r="AO37" s="188">
        <f t="shared" si="7"/>
        <v>0</v>
      </c>
      <c r="AP37" s="321">
        <v>2020</v>
      </c>
      <c r="AQ37" s="188"/>
    </row>
    <row r="38" spans="2:43" ht="20.100000000000001" hidden="1" customHeight="1">
      <c r="B38" s="185"/>
      <c r="C38" s="66"/>
      <c r="D38" s="65"/>
      <c r="E38" s="66"/>
      <c r="F38" s="487"/>
      <c r="G38" s="487"/>
      <c r="H38" s="188">
        <f t="shared" si="8"/>
        <v>0</v>
      </c>
      <c r="I38" s="321">
        <v>2021</v>
      </c>
      <c r="O38" s="112"/>
      <c r="P38" s="112"/>
      <c r="Q38" s="112"/>
      <c r="R38" s="112"/>
      <c r="X38" s="184"/>
      <c r="AH38" s="187">
        <f>IF(AND(AN37=0,AN36=0,AN35=0,AN34=0,AN33=0),AJ32,IF(AN37&gt;0,AJ37,IF(AN36&gt;0,AJ36,IF(AN35&gt;0,AJ35,IF(AN34&gt;0,AJ34,AJ33)))))</f>
        <v>42339</v>
      </c>
      <c r="AI38" s="186">
        <f>IF(AH38=0,0,VLOOKUP(YEAR(AH38),INPC!$B$4:$O$29,MONTH(AH38)+1))</f>
        <v>89.046817717411002</v>
      </c>
      <c r="AJ38" s="323">
        <v>44348</v>
      </c>
      <c r="AK38" s="186">
        <f>IF(AJ38=0,0,VLOOKUP(YEAR(AJ38),INPC!$B$4:$O$29,MONTH(AJ38)+1))</f>
        <v>113.018</v>
      </c>
      <c r="AL38" s="395" t="str">
        <f t="shared" si="6"/>
        <v>N/A</v>
      </c>
      <c r="AM38" s="111">
        <f>IF(AND(AN37=0,AN36=0,AN35=0,AN34=0,AN33=0),IF(AN38=0,0,AM32*AL38),IF(AN38=0,0,IF(AND(AN37=0,AN36=0,AN35=0,AN34=0),AO33*AL38,IF(AND(AN37=0,AN36=0,AN35=0),AO34*AL38,IF(AND(AN37=0,AN36=0),AO35*AL38,IF(AN37=0,AO36*AL38,AO37*AL38))))))</f>
        <v>0</v>
      </c>
      <c r="AN38" s="214"/>
      <c r="AO38" s="188">
        <f>+AM38-AN38</f>
        <v>0</v>
      </c>
      <c r="AP38" s="321">
        <v>2021</v>
      </c>
      <c r="AQ38" s="188"/>
    </row>
    <row r="39" spans="2:43" ht="20.100000000000001" hidden="1" customHeight="1">
      <c r="B39" s="185"/>
      <c r="C39" s="66"/>
      <c r="D39" s="65"/>
      <c r="E39" s="66"/>
      <c r="F39" s="487"/>
      <c r="G39" s="487"/>
      <c r="H39" s="188">
        <f t="shared" si="8"/>
        <v>0</v>
      </c>
      <c r="I39" s="321">
        <v>2022</v>
      </c>
      <c r="O39" s="112"/>
      <c r="P39" s="112"/>
      <c r="Q39" s="112"/>
      <c r="R39" s="112"/>
      <c r="X39" s="184"/>
      <c r="AH39" s="187">
        <f>IF(AND(AN38=0,AN37=0,AN36=0,AN35=0,AN34=0,AN33=0),AJ32,IF(AN38&gt;0,AJ38,IF(AN37&gt;0,AJ37,IF(AN36&gt;0,AJ36,IF(AN35&gt;0,AJ35,IF(AN34&gt;0,AJ34,AJ33))))))</f>
        <v>42339</v>
      </c>
      <c r="AI39" s="186">
        <f>IF(AH39=0,0,VLOOKUP(YEAR(AH39),INPC!$B$4:$O$29,MONTH(AH39)+1))</f>
        <v>89.046817717411002</v>
      </c>
      <c r="AJ39" s="323">
        <v>44713</v>
      </c>
      <c r="AK39" s="186">
        <f>IF(AJ39=0,0,VLOOKUP(YEAR(AJ39),INPC!$B$4:$O$29,MONTH(AJ39)+1))</f>
        <v>122.044</v>
      </c>
      <c r="AL39" s="395">
        <f t="shared" si="6"/>
        <v>1.3705000000000001</v>
      </c>
      <c r="AM39" s="111">
        <f>IF(AND(AN38=0,AN37=0,AN36=0,AN35=0,AN34=0,AN33=0),IF(AN39=0,0,AM32*AL39),IF(AN39=0,0,IF(AND(AN38=0,AN37=0,AN36=0,AN35=0,AN34=0),AO33*AL39,IF(AND(AN38=0,AN37=0,AN36=0,AN35=0),AO34*AL39,IF(AND(AN38=0,AN37=0,AN36=0),AO35*AL39,IF(AND(AN38=0,AN37=0),AO36*AL39,IF(AN38=0,AO37*AL39,AO38*AL39)))))))</f>
        <v>0</v>
      </c>
      <c r="AN39" s="214">
        <v>1.0000000000000001E-5</v>
      </c>
      <c r="AO39" s="188">
        <f>IF(AN39=0.00001,0,AM39-AN39)</f>
        <v>0</v>
      </c>
      <c r="AP39" s="321">
        <v>2022</v>
      </c>
      <c r="AQ39" s="189">
        <f>AM39</f>
        <v>0</v>
      </c>
    </row>
    <row r="40" spans="2:43" ht="20.100000000000001" hidden="1" customHeight="1">
      <c r="B40" s="62"/>
      <c r="C40" s="259"/>
      <c r="D40" s="259"/>
      <c r="E40" s="259"/>
      <c r="F40" s="259"/>
      <c r="G40" s="259"/>
      <c r="H40" s="62"/>
      <c r="I40" s="62"/>
      <c r="O40" s="62"/>
      <c r="P40" s="62"/>
      <c r="Q40" s="62"/>
      <c r="R40" s="62"/>
      <c r="AH40" s="62"/>
      <c r="AI40" s="62"/>
      <c r="AJ40" s="62"/>
      <c r="AK40" s="62"/>
      <c r="AL40" s="62"/>
      <c r="AM40" s="62"/>
      <c r="AN40" s="62"/>
      <c r="AO40" s="62"/>
      <c r="AP40" s="62"/>
      <c r="AQ40" s="62"/>
    </row>
    <row r="41" spans="2:43" ht="20.100000000000001" hidden="1" customHeight="1">
      <c r="B41" s="62"/>
      <c r="C41" s="259"/>
      <c r="D41" s="259"/>
      <c r="E41" s="259"/>
      <c r="F41" s="259"/>
      <c r="G41" s="259"/>
      <c r="H41" s="62"/>
      <c r="I41" s="62"/>
      <c r="O41" s="62"/>
      <c r="P41" s="62"/>
      <c r="Q41" s="62"/>
      <c r="R41" s="62"/>
      <c r="AH41" s="62"/>
      <c r="AI41" s="62"/>
      <c r="AJ41" s="62"/>
      <c r="AK41" s="62"/>
      <c r="AL41" s="62"/>
      <c r="AM41" s="62"/>
      <c r="AN41" s="62"/>
      <c r="AO41" s="62"/>
      <c r="AP41" s="62"/>
      <c r="AQ41" s="62"/>
    </row>
    <row r="42" spans="2:43" ht="20.100000000000001" hidden="1" customHeight="1">
      <c r="B42" s="185">
        <v>2016</v>
      </c>
      <c r="C42" s="66" t="s">
        <v>645</v>
      </c>
      <c r="D42" s="65"/>
      <c r="E42" s="66"/>
      <c r="F42" s="213"/>
      <c r="G42" s="490"/>
      <c r="H42" s="455"/>
      <c r="I42" s="456"/>
      <c r="O42" s="112"/>
      <c r="P42" s="112"/>
      <c r="Q42" s="112"/>
      <c r="R42" s="112"/>
      <c r="AH42" s="187">
        <v>42552</v>
      </c>
      <c r="AI42" s="186">
        <f>IF(AH42=0,0,VLOOKUP(YEAR(AH42),INPC!$B$4:$O$29,MONTH(AH42)+1))</f>
        <v>89.556914478034003</v>
      </c>
      <c r="AJ42" s="187">
        <v>42735</v>
      </c>
      <c r="AK42" s="186">
        <f>IF(AJ42=0,0,VLOOKUP(YEAR(AJ42),INPC!$B$4:$O$29,MONTH(AJ42)+1))</f>
        <v>92.039034797764003</v>
      </c>
      <c r="AL42" s="395">
        <f>IF(AI42=0,0,IF(TRUNC(AK42/AI42,4)&lt;1,1,TRUNC(AK42/AI42,4)))</f>
        <v>1.0277000000000001</v>
      </c>
      <c r="AM42" s="111">
        <f>+F42*AL42</f>
        <v>0</v>
      </c>
      <c r="AN42" s="454"/>
      <c r="AO42" s="455"/>
      <c r="AP42" s="456"/>
      <c r="AQ42" s="455"/>
    </row>
    <row r="43" spans="2:43" ht="20.100000000000001" hidden="1" customHeight="1">
      <c r="B43" s="185"/>
      <c r="C43" s="66"/>
      <c r="D43" s="65"/>
      <c r="E43" s="66"/>
      <c r="F43" s="487"/>
      <c r="G43" s="487"/>
      <c r="H43" s="188">
        <f>IF(F42-G43&lt;=0,0,F42-G43)</f>
        <v>0</v>
      </c>
      <c r="I43" s="185">
        <v>2017</v>
      </c>
      <c r="O43" s="112"/>
      <c r="P43" s="112"/>
      <c r="Q43" s="112"/>
      <c r="R43" s="112"/>
      <c r="AH43" s="187">
        <f>+AJ42</f>
        <v>42735</v>
      </c>
      <c r="AI43" s="186">
        <f>IF(AH43=0,0,VLOOKUP(YEAR(AH43),INPC!$B$4:$O$29,MONTH(AH43)+1))</f>
        <v>92.039034797764003</v>
      </c>
      <c r="AJ43" s="187">
        <v>42887</v>
      </c>
      <c r="AK43" s="186">
        <f>IF(AJ43=0,0,VLOOKUP(YEAR(AJ43),INPC!$B$4:$O$29,MONTH(AJ43)+1))</f>
        <v>94.963639641805003</v>
      </c>
      <c r="AL43" s="395" t="str">
        <f t="shared" ref="AL43:AL48" si="9">IF(AN43=0,"N/A",TRUNC(AK43/AI43,4))</f>
        <v>N/A</v>
      </c>
      <c r="AM43" s="111">
        <f>IF(AN43=0,0,AM42*AL43)</f>
        <v>0</v>
      </c>
      <c r="AN43" s="214"/>
      <c r="AO43" s="188">
        <f>+AM43-AN43</f>
        <v>0</v>
      </c>
      <c r="AP43" s="185">
        <v>2017</v>
      </c>
      <c r="AQ43" s="188"/>
    </row>
    <row r="44" spans="2:43" ht="20.100000000000001" hidden="1" customHeight="1">
      <c r="B44" s="185"/>
      <c r="C44" s="66"/>
      <c r="D44" s="65"/>
      <c r="E44" s="66"/>
      <c r="F44" s="487"/>
      <c r="G44" s="487"/>
      <c r="H44" s="188">
        <f>IF(H43-G44&lt;=0,0,H43-G44)</f>
        <v>0</v>
      </c>
      <c r="I44" s="185">
        <v>2018</v>
      </c>
      <c r="O44" s="112"/>
      <c r="P44" s="112"/>
      <c r="Q44" s="112"/>
      <c r="R44" s="112"/>
      <c r="AH44" s="187">
        <f>IF(AN43=0,AJ42,AJ43)</f>
        <v>42735</v>
      </c>
      <c r="AI44" s="186">
        <f>IF(AH44=0,0,VLOOKUP(YEAR(AH44),INPC!$B$4:$O$29,MONTH(AH44)+1))</f>
        <v>92.039034797764003</v>
      </c>
      <c r="AJ44" s="187">
        <v>43252</v>
      </c>
      <c r="AK44" s="186">
        <f>IF(AJ44=0,0,VLOOKUP(YEAR(AJ44),INPC!$B$4:$O$29,MONTH(AJ44)+1))</f>
        <v>99.376464931786998</v>
      </c>
      <c r="AL44" s="395" t="str">
        <f t="shared" si="9"/>
        <v>N/A</v>
      </c>
      <c r="AM44" s="111">
        <f>IF(AN43=0,IF(AN44=0,0,AM42*AL44),IF(AN44=0,0,AO43*AL44))</f>
        <v>0</v>
      </c>
      <c r="AN44" s="214"/>
      <c r="AO44" s="188">
        <f t="shared" ref="AO44:AO47" si="10">+AM44-AN44</f>
        <v>0</v>
      </c>
      <c r="AP44" s="185">
        <v>2018</v>
      </c>
      <c r="AQ44" s="188"/>
    </row>
    <row r="45" spans="2:43" ht="20.100000000000001" hidden="1" customHeight="1">
      <c r="B45" s="185"/>
      <c r="C45" s="66"/>
      <c r="D45" s="65"/>
      <c r="E45" s="66"/>
      <c r="F45" s="487"/>
      <c r="G45" s="487"/>
      <c r="H45" s="188">
        <f t="shared" ref="H45:H48" si="11">IF(H44-G45&lt;=0,0,H44-G45)</f>
        <v>0</v>
      </c>
      <c r="I45" s="291">
        <v>2019</v>
      </c>
      <c r="O45" s="112"/>
      <c r="P45" s="112"/>
      <c r="Q45" s="112"/>
      <c r="R45" s="112"/>
      <c r="AH45" s="187">
        <f>IF(AND(AN44=0,AN43=0),AJ42,IF(AN44&gt;0,AJ44,AJ43))</f>
        <v>42735</v>
      </c>
      <c r="AI45" s="186">
        <f>IF(AH45=0,0,VLOOKUP(YEAR(AH45),INPC!$B$4:$O$29,MONTH(AH45)+1))</f>
        <v>92.039034797764003</v>
      </c>
      <c r="AJ45" s="312">
        <v>43617</v>
      </c>
      <c r="AK45" s="186">
        <f>IF(AJ45=0,0,VLOOKUP(YEAR(AJ45),INPC!$B$4:$O$29,MONTH(AJ45)+1))</f>
        <v>103.29900000000001</v>
      </c>
      <c r="AL45" s="395" t="str">
        <f t="shared" si="9"/>
        <v>N/A</v>
      </c>
      <c r="AM45" s="111">
        <f>IF(AND(AN44=0,AN43=0),IF(AN45=0,0,AM42*AL45),IF(AN45=0,0,IF(AN44=0,AO43*AL45,AO44*AL45)))</f>
        <v>0</v>
      </c>
      <c r="AN45" s="214"/>
      <c r="AO45" s="188">
        <f t="shared" si="10"/>
        <v>0</v>
      </c>
      <c r="AP45" s="291">
        <v>2019</v>
      </c>
      <c r="AQ45" s="188"/>
    </row>
    <row r="46" spans="2:43" ht="20.100000000000001" hidden="1" customHeight="1">
      <c r="B46" s="185"/>
      <c r="C46" s="66"/>
      <c r="D46" s="65"/>
      <c r="E46" s="66"/>
      <c r="F46" s="487"/>
      <c r="G46" s="487"/>
      <c r="H46" s="188">
        <f t="shared" si="11"/>
        <v>0</v>
      </c>
      <c r="I46" s="321">
        <v>2020</v>
      </c>
      <c r="O46" s="112"/>
      <c r="P46" s="112"/>
      <c r="Q46" s="112"/>
      <c r="R46" s="112"/>
      <c r="AH46" s="187">
        <f>IF(AND(AN45=0,AN44=0,AN43=0),AJ42,IF(AN45&gt;0,AJ45,IF(AN44&gt;0,AJ44,AJ43)))</f>
        <v>42735</v>
      </c>
      <c r="AI46" s="186">
        <f>IF(AH46=0,0,VLOOKUP(YEAR(AH46),INPC!$B$4:$O$29,MONTH(AH46)+1))</f>
        <v>92.039034797764003</v>
      </c>
      <c r="AJ46" s="323">
        <v>43983</v>
      </c>
      <c r="AK46" s="186">
        <f>IF(AJ46=0,0,VLOOKUP(YEAR(AJ46),INPC!$B$4:$O$29,MONTH(AJ46)+1))</f>
        <v>106.74299999999999</v>
      </c>
      <c r="AL46" s="395" t="str">
        <f t="shared" si="9"/>
        <v>N/A</v>
      </c>
      <c r="AM46" s="111">
        <f>IF(AND(AN45=0,AN44=0,AN43=0),IF(AN46=0,0,AM42*AL46),IF(AN46=0,0,IF(AND(AN45=0,AN44=0),AO43*AL46,IF(AN45=0,AO44*AL46,AO45*AL46))))</f>
        <v>0</v>
      </c>
      <c r="AN46" s="214"/>
      <c r="AO46" s="188">
        <f t="shared" si="10"/>
        <v>0</v>
      </c>
      <c r="AP46" s="321">
        <v>2020</v>
      </c>
      <c r="AQ46" s="188"/>
    </row>
    <row r="47" spans="2:43" ht="20.100000000000001" hidden="1" customHeight="1">
      <c r="B47" s="185"/>
      <c r="C47" s="66"/>
      <c r="D47" s="65"/>
      <c r="E47" s="66"/>
      <c r="F47" s="487"/>
      <c r="G47" s="487"/>
      <c r="H47" s="188">
        <f t="shared" si="11"/>
        <v>0</v>
      </c>
      <c r="I47" s="321">
        <v>2021</v>
      </c>
      <c r="O47" s="112"/>
      <c r="P47" s="112"/>
      <c r="Q47" s="112"/>
      <c r="R47" s="112"/>
      <c r="AH47" s="187">
        <f>IF(AND(AN46=0,AN45=0,AN44=0,AN43=0),AJ42,IF(AN46&gt;0,AJ46,IF(AN45&gt;0,AJ45,IF(AN44&gt;0,AJ44,AJ43))))</f>
        <v>42735</v>
      </c>
      <c r="AI47" s="186">
        <f>IF(AH47=0,0,VLOOKUP(YEAR(AH47),INPC!$B$4:$O$29,MONTH(AH47)+1))</f>
        <v>92.039034797764003</v>
      </c>
      <c r="AJ47" s="323">
        <v>44348</v>
      </c>
      <c r="AK47" s="186">
        <f>IF(AJ47=0,0,VLOOKUP(YEAR(AJ47),INPC!$B$4:$O$29,MONTH(AJ47)+1))</f>
        <v>113.018</v>
      </c>
      <c r="AL47" s="395" t="str">
        <f t="shared" si="9"/>
        <v>N/A</v>
      </c>
      <c r="AM47" s="111">
        <f>IF(AND(AN46=0,AN45=0,AN44=0,AN43=0),IF(AN47=0,0,AM42*AL47),IF(AN47=0,0,IF(AND(AN46=0,AN45=0,AN44=0),AO43*AL47,IF(AND(AN46=0,AN45=0),AO44*AL47,IF(AN46=0,AO45*AL47,AO46*AL47)))))</f>
        <v>0</v>
      </c>
      <c r="AN47" s="214"/>
      <c r="AO47" s="188">
        <f t="shared" si="10"/>
        <v>0</v>
      </c>
      <c r="AP47" s="321">
        <v>2021</v>
      </c>
      <c r="AQ47" s="188"/>
    </row>
    <row r="48" spans="2:43" ht="20.100000000000001" hidden="1" customHeight="1">
      <c r="B48" s="185"/>
      <c r="C48" s="66"/>
      <c r="D48" s="65"/>
      <c r="E48" s="66"/>
      <c r="F48" s="487"/>
      <c r="G48" s="487"/>
      <c r="H48" s="188">
        <f t="shared" si="11"/>
        <v>0</v>
      </c>
      <c r="I48" s="321">
        <v>2022</v>
      </c>
      <c r="O48" s="112"/>
      <c r="P48" s="112"/>
      <c r="Q48" s="112"/>
      <c r="R48" s="112"/>
      <c r="AH48" s="187">
        <f>IF(AND(AN47=0,AN46=0,AN45=0,AN44=0,AN43=0),AJ42,IF(AN47&gt;0,AJ47,IF(AN46&gt;0,AJ46,IF(AN45&gt;0,AJ45,IF(AN44&gt;0,AJ44,AJ43)))))</f>
        <v>42735</v>
      </c>
      <c r="AI48" s="186">
        <f>IF(AH48=0,0,VLOOKUP(YEAR(AH48),INPC!$B$4:$O$29,MONTH(AH48)+1))</f>
        <v>92.039034797764003</v>
      </c>
      <c r="AJ48" s="323">
        <v>44713</v>
      </c>
      <c r="AK48" s="186">
        <f>IF(AJ48=0,0,VLOOKUP(YEAR(AJ48),INPC!$B$4:$O$29,MONTH(AJ48)+1))</f>
        <v>122.044</v>
      </c>
      <c r="AL48" s="395">
        <f t="shared" si="9"/>
        <v>1.3260000000000001</v>
      </c>
      <c r="AM48" s="111">
        <f>IF(AND(AN47=0,AN46=0,AN45=0,AN44=0,AN43=0),IF(AN48=0,0,AM42*AL48),IF(AN48=0,0,IF(AND(AN47=0,AN46=0,AN45=0,AN44=0),AO43*AL48,IF(AND(AN47=0,AN46=0,AN45=0),AO44*AL48,IF(AND(AN47=0,AN46=0),AO45*AL48,IF(AN47=0,AO46*AL48,AO47*AL48))))))</f>
        <v>0</v>
      </c>
      <c r="AN48" s="214">
        <v>1.0000000000000001E-5</v>
      </c>
      <c r="AO48" s="188">
        <f>IF(AN48=0.00001,0,AM48-AN48)</f>
        <v>0</v>
      </c>
      <c r="AP48" s="321">
        <v>2022</v>
      </c>
      <c r="AQ48" s="189">
        <f>AM48</f>
        <v>0</v>
      </c>
    </row>
    <row r="49" spans="2:43" ht="20.100000000000001" hidden="1" customHeight="1">
      <c r="C49" s="13"/>
      <c r="D49" s="13"/>
      <c r="E49" s="13"/>
      <c r="F49" s="13"/>
      <c r="G49" s="13"/>
      <c r="H49" s="12"/>
      <c r="I49" s="12"/>
    </row>
    <row r="50" spans="2:43" ht="20.100000000000001" hidden="1" customHeight="1">
      <c r="C50" s="13"/>
      <c r="D50" s="13"/>
      <c r="E50" s="13"/>
      <c r="F50" s="13"/>
      <c r="G50" s="13"/>
      <c r="H50" s="12"/>
      <c r="I50" s="12"/>
    </row>
    <row r="51" spans="2:43" ht="20.100000000000001" hidden="1" customHeight="1">
      <c r="B51" s="185">
        <v>2017</v>
      </c>
      <c r="C51" s="66" t="s">
        <v>645</v>
      </c>
      <c r="D51" s="65"/>
      <c r="E51" s="66"/>
      <c r="F51" s="213"/>
      <c r="G51" s="490"/>
      <c r="H51" s="455"/>
      <c r="I51" s="456"/>
      <c r="O51" s="112"/>
      <c r="P51" s="112"/>
      <c r="Q51" s="112"/>
      <c r="R51" s="112"/>
      <c r="AH51" s="187">
        <v>42917</v>
      </c>
      <c r="AI51" s="186">
        <f>IF(AH51=0,0,VLOOKUP(YEAR(AH51),INPC!$B$4:$O$29,MONTH(AH51)+1))</f>
        <v>95.322735741331002</v>
      </c>
      <c r="AJ51" s="187">
        <v>43100</v>
      </c>
      <c r="AK51" s="186">
        <f>IF(AJ51=0,0,VLOOKUP(YEAR(AJ51),INPC!$B$4:$O$29,MONTH(AJ51)+1))</f>
        <v>98.272882985755999</v>
      </c>
      <c r="AL51" s="395">
        <f>IF(AI51=0,0,IF(TRUNC(AK51/AI51,4)&lt;1,1,TRUNC(AK51/AI51,4)))</f>
        <v>1.0308999999999999</v>
      </c>
      <c r="AM51" s="111">
        <f>+F51*AL51</f>
        <v>0</v>
      </c>
      <c r="AN51" s="454"/>
      <c r="AO51" s="455"/>
      <c r="AP51" s="456"/>
      <c r="AQ51" s="455"/>
    </row>
    <row r="52" spans="2:43" ht="20.100000000000001" hidden="1" customHeight="1">
      <c r="B52" s="185"/>
      <c r="C52" s="66"/>
      <c r="D52" s="65"/>
      <c r="E52" s="66"/>
      <c r="F52" s="487"/>
      <c r="G52" s="487"/>
      <c r="H52" s="188">
        <f>IF(F51-G52&lt;=0,0,F51-G52)</f>
        <v>0</v>
      </c>
      <c r="I52" s="185">
        <v>2018</v>
      </c>
      <c r="O52" s="112"/>
      <c r="P52" s="112"/>
      <c r="Q52" s="112"/>
      <c r="R52" s="112"/>
      <c r="AH52" s="187">
        <f>+AJ51</f>
        <v>43100</v>
      </c>
      <c r="AI52" s="186">
        <f>IF(AH52=0,0,VLOOKUP(YEAR(AH52),INPC!$B$4:$O$29,MONTH(AH52)+1))</f>
        <v>98.272882985755999</v>
      </c>
      <c r="AJ52" s="187">
        <v>43252</v>
      </c>
      <c r="AK52" s="186">
        <f>IF(AJ52=0,0,VLOOKUP(YEAR(AJ52),INPC!$B$4:$O$29,MONTH(AJ52)+1))</f>
        <v>99.376464931786998</v>
      </c>
      <c r="AL52" s="395" t="str">
        <f>IF(AN52=0,"N/A",TRUNC(AK52/AI52,4))</f>
        <v>N/A</v>
      </c>
      <c r="AM52" s="111">
        <f>IF(AN52=0,0,AM51*AL52)</f>
        <v>0</v>
      </c>
      <c r="AN52" s="214"/>
      <c r="AO52" s="188">
        <f t="shared" ref="AO52:AO55" si="12">+AM52-AN52</f>
        <v>0</v>
      </c>
      <c r="AP52" s="185">
        <v>2018</v>
      </c>
      <c r="AQ52" s="188"/>
    </row>
    <row r="53" spans="2:43" ht="20.100000000000001" hidden="1" customHeight="1">
      <c r="B53" s="185"/>
      <c r="C53" s="66"/>
      <c r="D53" s="65"/>
      <c r="E53" s="66"/>
      <c r="F53" s="487"/>
      <c r="G53" s="487"/>
      <c r="H53" s="188">
        <f>IF(H52-G53&lt;=0,0,H52-G53)</f>
        <v>0</v>
      </c>
      <c r="I53" s="291">
        <v>2019</v>
      </c>
      <c r="O53" s="112"/>
      <c r="P53" s="112"/>
      <c r="Q53" s="112"/>
      <c r="R53" s="112"/>
      <c r="AH53" s="187">
        <f>IF(AN52=0,AJ51,AJ52)</f>
        <v>43100</v>
      </c>
      <c r="AI53" s="186">
        <f>IF(AH53=0,0,VLOOKUP(YEAR(AH53),INPC!$B$4:$O$29,MONTH(AH53)+1))</f>
        <v>98.272882985755999</v>
      </c>
      <c r="AJ53" s="312">
        <v>43617</v>
      </c>
      <c r="AK53" s="186">
        <f>IF(AJ53=0,0,VLOOKUP(YEAR(AJ53),INPC!$B$4:$O$29,MONTH(AJ53)+1))</f>
        <v>103.29900000000001</v>
      </c>
      <c r="AL53" s="395" t="str">
        <f>IF(AN53=0,"N/A",TRUNC(AK53/AI53,4))</f>
        <v>N/A</v>
      </c>
      <c r="AM53" s="111">
        <f>IF(AN52=0,IF(AN53=0,0,AM51*AL53),IF(AN53=0,0,AO52*AL53))</f>
        <v>0</v>
      </c>
      <c r="AN53" s="214"/>
      <c r="AO53" s="188">
        <f t="shared" si="12"/>
        <v>0</v>
      </c>
      <c r="AP53" s="291">
        <v>2019</v>
      </c>
      <c r="AQ53" s="188"/>
    </row>
    <row r="54" spans="2:43" ht="20.100000000000001" hidden="1" customHeight="1">
      <c r="B54" s="185"/>
      <c r="C54" s="66"/>
      <c r="D54" s="65"/>
      <c r="E54" s="66"/>
      <c r="F54" s="487"/>
      <c r="G54" s="487"/>
      <c r="H54" s="188">
        <f t="shared" ref="H54:H56" si="13">IF(H53-G54&lt;=0,0,H53-G54)</f>
        <v>0</v>
      </c>
      <c r="I54" s="321">
        <v>2020</v>
      </c>
      <c r="O54" s="112"/>
      <c r="P54" s="112"/>
      <c r="Q54" s="112"/>
      <c r="R54" s="112"/>
      <c r="AH54" s="187">
        <f>IF(AND(AN53=0,AN52=0),AJ51,IF(AN53&gt;0,AJ53,AJ52))</f>
        <v>43100</v>
      </c>
      <c r="AI54" s="186">
        <f>IF(AH54=0,0,VLOOKUP(YEAR(AH54),INPC!$B$4:$O$29,MONTH(AH54)+1))</f>
        <v>98.272882985755999</v>
      </c>
      <c r="AJ54" s="323">
        <v>43983</v>
      </c>
      <c r="AK54" s="186">
        <f>IF(AJ54=0,0,VLOOKUP(YEAR(AJ54),INPC!$B$4:$O$29,MONTH(AJ54)+1))</f>
        <v>106.74299999999999</v>
      </c>
      <c r="AL54" s="395" t="str">
        <f>IF(AN54=0,"N/A",TRUNC(AK54/AI54,4))</f>
        <v>N/A</v>
      </c>
      <c r="AM54" s="111">
        <f>IF(AND(AN53=0,AN52=0),IF(AN54=0,0,AM51*AL54),IF(AN54=0,0,IF(AN53=0,AO52*AL54,AO53*AL54)))</f>
        <v>0</v>
      </c>
      <c r="AN54" s="214"/>
      <c r="AO54" s="188">
        <f t="shared" si="12"/>
        <v>0</v>
      </c>
      <c r="AP54" s="321">
        <v>2020</v>
      </c>
      <c r="AQ54" s="188"/>
    </row>
    <row r="55" spans="2:43" ht="20.100000000000001" hidden="1" customHeight="1">
      <c r="B55" s="185"/>
      <c r="C55" s="66"/>
      <c r="D55" s="65"/>
      <c r="E55" s="66"/>
      <c r="F55" s="487"/>
      <c r="G55" s="487"/>
      <c r="H55" s="188">
        <f t="shared" si="13"/>
        <v>0</v>
      </c>
      <c r="I55" s="321">
        <v>2021</v>
      </c>
      <c r="O55" s="112"/>
      <c r="P55" s="112"/>
      <c r="Q55" s="112"/>
      <c r="R55" s="112"/>
      <c r="AH55" s="187">
        <f>IF(AND(AN54=0,AN53=0,AN52=0),AJ51,IF(AN54&gt;0,AJ54,IF(AN53&gt;0,AJ53,AJ52)))</f>
        <v>43100</v>
      </c>
      <c r="AI55" s="186">
        <f>IF(AH55=0,0,VLOOKUP(YEAR(AH55),INPC!$B$4:$O$29,MONTH(AH55)+1))</f>
        <v>98.272882985755999</v>
      </c>
      <c r="AJ55" s="323">
        <v>44348</v>
      </c>
      <c r="AK55" s="186">
        <f>IF(AJ55=0,0,VLOOKUP(YEAR(AJ55),INPC!$B$4:$O$29,MONTH(AJ55)+1))</f>
        <v>113.018</v>
      </c>
      <c r="AL55" s="395" t="str">
        <f>IF(AN55=0,"N/A",TRUNC(AK55/AI55,4))</f>
        <v>N/A</v>
      </c>
      <c r="AM55" s="111">
        <f>IF(AND(AN54=0,AN53=0,AN52=0),IF(AN55=0,0,AM51*AL55),IF(AN55=0,0,IF(AND(AN54=0,AN53=0),AO52*AL55,IF(AN54=0,AO53*AL55,AO54*AL55))))</f>
        <v>0</v>
      </c>
      <c r="AN55" s="214"/>
      <c r="AO55" s="188">
        <f t="shared" si="12"/>
        <v>0</v>
      </c>
      <c r="AP55" s="321">
        <v>2021</v>
      </c>
      <c r="AQ55" s="188"/>
    </row>
    <row r="56" spans="2:43" ht="20.100000000000001" hidden="1" customHeight="1">
      <c r="B56" s="185"/>
      <c r="C56" s="66"/>
      <c r="D56" s="65"/>
      <c r="E56" s="66"/>
      <c r="F56" s="487"/>
      <c r="G56" s="487"/>
      <c r="H56" s="188">
        <f t="shared" si="13"/>
        <v>0</v>
      </c>
      <c r="I56" s="321">
        <v>2022</v>
      </c>
      <c r="O56" s="112"/>
      <c r="P56" s="112"/>
      <c r="Q56" s="112"/>
      <c r="R56" s="112"/>
      <c r="AH56" s="187">
        <f>IF(AND(AN55=0,AN54=0,AN53=0,AN52=0),AJ51,IF(AN55&gt;0,AJ55,IF(AN54&gt;0,AJ54,IF(AN53&gt;0,AJ53,AJ52))))</f>
        <v>43100</v>
      </c>
      <c r="AI56" s="186">
        <f>IF(AH56=0,0,VLOOKUP(YEAR(AH56),INPC!$B$4:$O$29,MONTH(AH56)+1))</f>
        <v>98.272882985755999</v>
      </c>
      <c r="AJ56" s="323">
        <v>44713</v>
      </c>
      <c r="AK56" s="186">
        <f>IF(AJ56=0,0,VLOOKUP(YEAR(AJ56),INPC!$B$4:$O$29,MONTH(AJ56)+1))</f>
        <v>122.044</v>
      </c>
      <c r="AL56" s="395">
        <f>IF(AN56=0,"N/A",TRUNC(AK56/AI56,4))</f>
        <v>1.2418</v>
      </c>
      <c r="AM56" s="111">
        <f>IF(AND(AN55=0,AN54=0,AN53=0,AN52=0),IF(AN56=0,0,AM51*AL56),IF(AN56=0,0,IF(AND(AN55=0,AN54=0,AN53=0),AO52*AL56,IF(AND(AN55=0,AN54=0),AO53*AL56,IF(AN55=0,AO54*AL56,AO55*AL56)))))</f>
        <v>0</v>
      </c>
      <c r="AN56" s="214">
        <v>1.0000000000000001E-5</v>
      </c>
      <c r="AO56" s="188">
        <f>IF(AN56=0.00001,0,AM56-AN56)</f>
        <v>0</v>
      </c>
      <c r="AP56" s="321">
        <v>2022</v>
      </c>
      <c r="AQ56" s="189">
        <f>AM56</f>
        <v>0</v>
      </c>
    </row>
    <row r="57" spans="2:43" ht="20.100000000000001" hidden="1" customHeight="1">
      <c r="C57" s="13"/>
      <c r="D57" s="13"/>
      <c r="E57" s="13"/>
      <c r="F57" s="13"/>
      <c r="G57" s="13"/>
      <c r="H57" s="12"/>
      <c r="I57" s="12"/>
    </row>
    <row r="58" spans="2:43" ht="20.100000000000001" hidden="1" customHeight="1">
      <c r="C58" s="13"/>
      <c r="D58" s="13"/>
      <c r="E58" s="13"/>
      <c r="F58" s="13"/>
      <c r="G58" s="13"/>
      <c r="H58" s="12"/>
      <c r="I58" s="12"/>
    </row>
    <row r="59" spans="2:43" ht="20.100000000000001" hidden="1" customHeight="1">
      <c r="B59" s="185">
        <v>2018</v>
      </c>
      <c r="C59" s="66" t="s">
        <v>645</v>
      </c>
      <c r="D59" s="65"/>
      <c r="E59" s="66"/>
      <c r="F59" s="213"/>
      <c r="G59" s="490"/>
      <c r="H59" s="455"/>
      <c r="I59" s="456"/>
      <c r="O59" s="112"/>
      <c r="P59" s="112"/>
      <c r="Q59" s="112"/>
      <c r="R59" s="112"/>
      <c r="AH59" s="187">
        <v>43282</v>
      </c>
      <c r="AI59" s="186">
        <f>IF(AH59=0,0,VLOOKUP(YEAR(AH59),INPC!$B$4:$O$29,MONTH(AH59)+1))</f>
        <v>99.909099104513999</v>
      </c>
      <c r="AJ59" s="187">
        <v>43465</v>
      </c>
      <c r="AK59" s="186">
        <f>IF(AJ59=0,0,VLOOKUP(YEAR(AJ59),INPC!$B$4:$O$29,MONTH(AJ59)+1))</f>
        <v>103.02</v>
      </c>
      <c r="AL59" s="395">
        <f>IF(AI59=0,0,IF(TRUNC(AK59/AI59,4)&lt;1,1,TRUNC(AK59/AI59,4)))</f>
        <v>1.0310999999999999</v>
      </c>
      <c r="AM59" s="111">
        <f>+F59*AL59</f>
        <v>0</v>
      </c>
      <c r="AN59" s="454"/>
      <c r="AO59" s="455"/>
      <c r="AP59" s="456"/>
      <c r="AQ59" s="455"/>
    </row>
    <row r="60" spans="2:43" ht="20.100000000000001" hidden="1" customHeight="1">
      <c r="B60" s="185"/>
      <c r="C60" s="66"/>
      <c r="D60" s="65"/>
      <c r="E60" s="66"/>
      <c r="F60" s="487"/>
      <c r="G60" s="487"/>
      <c r="H60" s="188">
        <f>IF(F59-G60&lt;=0,0,F59-G60)</f>
        <v>0</v>
      </c>
      <c r="I60" s="291">
        <v>2019</v>
      </c>
      <c r="O60" s="112"/>
      <c r="P60" s="112"/>
      <c r="Q60" s="112"/>
      <c r="R60" s="112"/>
      <c r="AH60" s="187">
        <f>+AJ59</f>
        <v>43465</v>
      </c>
      <c r="AI60" s="186">
        <f>IF(AH60=0,0,VLOOKUP(YEAR(AH60),INPC!$B$4:$O$29,MONTH(AH60)+1))</f>
        <v>103.02</v>
      </c>
      <c r="AJ60" s="312">
        <v>43617</v>
      </c>
      <c r="AK60" s="186">
        <f>IF(AJ60=0,0,VLOOKUP(YEAR(AJ60),INPC!$B$4:$O$29,MONTH(AJ60)+1))</f>
        <v>103.29900000000001</v>
      </c>
      <c r="AL60" s="395" t="str">
        <f>IF(AN60=0,"N/A",TRUNC(AK60/AI60,4))</f>
        <v>N/A</v>
      </c>
      <c r="AM60" s="111">
        <f>IF(AN60=0,0,AM59*AL60)</f>
        <v>0</v>
      </c>
      <c r="AN60" s="214"/>
      <c r="AO60" s="188">
        <f t="shared" ref="AO60:AO62" si="14">+AM60-AN60</f>
        <v>0</v>
      </c>
      <c r="AP60" s="291">
        <v>2019</v>
      </c>
      <c r="AQ60" s="188"/>
    </row>
    <row r="61" spans="2:43" ht="20.100000000000001" hidden="1" customHeight="1">
      <c r="B61" s="185"/>
      <c r="C61" s="66"/>
      <c r="D61" s="65"/>
      <c r="E61" s="66"/>
      <c r="F61" s="487"/>
      <c r="G61" s="487"/>
      <c r="H61" s="188">
        <f>IF(H60-G61&lt;=0,0,H60-G61)</f>
        <v>0</v>
      </c>
      <c r="I61" s="321">
        <v>2020</v>
      </c>
      <c r="O61" s="112"/>
      <c r="P61" s="112"/>
      <c r="Q61" s="112"/>
      <c r="R61" s="112"/>
      <c r="AH61" s="187">
        <f>IF(AN60=0,AJ59,AJ60)</f>
        <v>43465</v>
      </c>
      <c r="AI61" s="186">
        <f>IF(AH61=0,0,VLOOKUP(YEAR(AH61),INPC!$B$4:$O$29,MONTH(AH61)+1))</f>
        <v>103.02</v>
      </c>
      <c r="AJ61" s="323">
        <v>43983</v>
      </c>
      <c r="AK61" s="186">
        <f>IF(AJ61=0,0,VLOOKUP(YEAR(AJ61),INPC!$B$4:$O$29,MONTH(AJ61)+1))</f>
        <v>106.74299999999999</v>
      </c>
      <c r="AL61" s="395" t="str">
        <f>IF(AN61=0,"N/A",TRUNC(AK61/AI61,4))</f>
        <v>N/A</v>
      </c>
      <c r="AM61" s="111">
        <f>IF(AN60=0,IF(AN61=0,0,AM59*AL61),IF(AN61=0,0,AO60*AL61))</f>
        <v>0</v>
      </c>
      <c r="AN61" s="214"/>
      <c r="AO61" s="188">
        <f t="shared" si="14"/>
        <v>0</v>
      </c>
      <c r="AP61" s="321">
        <v>2020</v>
      </c>
      <c r="AQ61" s="188"/>
    </row>
    <row r="62" spans="2:43" ht="20.100000000000001" hidden="1" customHeight="1">
      <c r="B62" s="185"/>
      <c r="C62" s="66"/>
      <c r="D62" s="65"/>
      <c r="E62" s="66"/>
      <c r="F62" s="487"/>
      <c r="G62" s="487"/>
      <c r="H62" s="188">
        <f t="shared" ref="H62:H63" si="15">IF(H61-G62&lt;=0,0,H61-G62)</f>
        <v>0</v>
      </c>
      <c r="I62" s="321">
        <v>2021</v>
      </c>
      <c r="O62" s="112"/>
      <c r="P62" s="112"/>
      <c r="Q62" s="112"/>
      <c r="R62" s="112"/>
      <c r="AH62" s="187">
        <f>IF(AND(AN61=0,AN60=0),AJ59,IF(AN61&gt;0,AJ61,AJ60))</f>
        <v>43465</v>
      </c>
      <c r="AI62" s="186">
        <f>IF(AH62=0,0,VLOOKUP(YEAR(AH62),INPC!$B$4:$O$29,MONTH(AH62)+1))</f>
        <v>103.02</v>
      </c>
      <c r="AJ62" s="323">
        <v>44348</v>
      </c>
      <c r="AK62" s="186">
        <f>IF(AJ62=0,0,VLOOKUP(YEAR(AJ62),INPC!$B$4:$O$29,MONTH(AJ62)+1))</f>
        <v>113.018</v>
      </c>
      <c r="AL62" s="395" t="str">
        <f>IF(AN62=0,"N/A",TRUNC(AK62/AI62,4))</f>
        <v>N/A</v>
      </c>
      <c r="AM62" s="111">
        <f>IF(AND(AN61=0,AN60=0),IF(AN62=0,0,AM59*AL62),IF(AN62=0,0,IF(AN61=0,AO60*AL62,AO61*AL62)))</f>
        <v>0</v>
      </c>
      <c r="AN62" s="214"/>
      <c r="AO62" s="188">
        <f t="shared" si="14"/>
        <v>0</v>
      </c>
      <c r="AP62" s="321">
        <v>2021</v>
      </c>
      <c r="AQ62" s="188"/>
    </row>
    <row r="63" spans="2:43" ht="20.100000000000001" hidden="1" customHeight="1">
      <c r="B63" s="185"/>
      <c r="C63" s="66"/>
      <c r="D63" s="65"/>
      <c r="E63" s="66"/>
      <c r="F63" s="487"/>
      <c r="G63" s="487"/>
      <c r="H63" s="188">
        <f t="shared" si="15"/>
        <v>0</v>
      </c>
      <c r="I63" s="321">
        <v>2022</v>
      </c>
      <c r="O63" s="112"/>
      <c r="P63" s="112"/>
      <c r="Q63" s="112"/>
      <c r="R63" s="112"/>
      <c r="AH63" s="187">
        <f>IF(AND(AN62=0,AN61=0,AN60=0),AJ59,IF(AN62&gt;0,AJ62,IF(AN61&gt;0,AJ61,AJ60)))</f>
        <v>43465</v>
      </c>
      <c r="AI63" s="186">
        <f>IF(AH63=0,0,VLOOKUP(YEAR(AH63),INPC!$B$4:$O$29,MONTH(AH63)+1))</f>
        <v>103.02</v>
      </c>
      <c r="AJ63" s="323">
        <v>44713</v>
      </c>
      <c r="AK63" s="186">
        <f>IF(AJ63=0,0,VLOOKUP(YEAR(AJ63),INPC!$B$4:$O$29,MONTH(AJ63)+1))</f>
        <v>122.044</v>
      </c>
      <c r="AL63" s="395">
        <f>IF(AN63=0,"N/A",TRUNC(AK63/AI63,4))</f>
        <v>1.1846000000000001</v>
      </c>
      <c r="AM63" s="111">
        <f>IF(AND(AN62=0,AN61=0,AN60=0),IF(AN63=0,0,AM59*AL63),IF(AN63=0,0,IF(AND(AN62=0,AN61=0),AO60*AL63,IF(AN62=0,AO61*AL63,AO62*AL63))))</f>
        <v>0</v>
      </c>
      <c r="AN63" s="214">
        <v>1.0000000000000001E-5</v>
      </c>
      <c r="AO63" s="188">
        <f>IF(AN63=0.00001,0,AM63-AN63)</f>
        <v>0</v>
      </c>
      <c r="AP63" s="321">
        <v>2022</v>
      </c>
      <c r="AQ63" s="189">
        <f>AM63</f>
        <v>0</v>
      </c>
    </row>
    <row r="64" spans="2:43" ht="20.100000000000001" hidden="1" customHeight="1">
      <c r="C64" s="13"/>
      <c r="D64" s="13"/>
      <c r="E64" s="13"/>
      <c r="F64" s="13"/>
      <c r="G64" s="13"/>
      <c r="H64" s="12"/>
      <c r="I64" s="12"/>
    </row>
    <row r="65" spans="2:43" ht="20.100000000000001" hidden="1" customHeight="1">
      <c r="C65" s="13"/>
      <c r="D65" s="13"/>
      <c r="E65" s="13"/>
      <c r="F65" s="13"/>
      <c r="G65" s="13"/>
      <c r="H65" s="12"/>
      <c r="I65" s="12"/>
    </row>
    <row r="66" spans="2:43" ht="20.100000000000001" hidden="1" customHeight="1">
      <c r="B66" s="185">
        <v>2019</v>
      </c>
      <c r="C66" s="66" t="s">
        <v>645</v>
      </c>
      <c r="D66" s="65"/>
      <c r="E66" s="66"/>
      <c r="F66" s="213"/>
      <c r="G66" s="490"/>
      <c r="H66" s="455"/>
      <c r="I66" s="456"/>
      <c r="O66" s="112"/>
      <c r="P66" s="112"/>
      <c r="Q66" s="112"/>
      <c r="R66" s="112"/>
      <c r="AH66" s="187">
        <v>43647</v>
      </c>
      <c r="AI66" s="186">
        <f>IF(AH66=0,0,VLOOKUP(YEAR(AH66),INPC!$B$4:$O$29,MONTH(AH66)+1))</f>
        <v>103.687</v>
      </c>
      <c r="AJ66" s="187">
        <v>43830</v>
      </c>
      <c r="AK66" s="186">
        <f>IF(AJ66=0,0,VLOOKUP(YEAR(AJ66),INPC!$B$4:$O$29,MONTH(AJ66)+1))</f>
        <v>105.934</v>
      </c>
      <c r="AL66" s="395">
        <f>IF(AI66=0,0,IF(TRUNC(AK66/AI66,4)&lt;1,1,TRUNC(AK66/AI66,4)))</f>
        <v>1.0216000000000001</v>
      </c>
      <c r="AM66" s="111">
        <f>+F66*AL66</f>
        <v>0</v>
      </c>
      <c r="AN66" s="454"/>
      <c r="AO66" s="455"/>
      <c r="AP66" s="456"/>
      <c r="AQ66" s="455"/>
    </row>
    <row r="67" spans="2:43" ht="20.100000000000001" hidden="1" customHeight="1">
      <c r="B67" s="185"/>
      <c r="C67" s="66"/>
      <c r="D67" s="65"/>
      <c r="E67" s="66"/>
      <c r="F67" s="487"/>
      <c r="G67" s="487"/>
      <c r="H67" s="188">
        <f>IF(F66-G67&lt;=0,0,F66-G67)</f>
        <v>0</v>
      </c>
      <c r="I67" s="321">
        <v>2020</v>
      </c>
      <c r="O67" s="112"/>
      <c r="P67" s="112"/>
      <c r="Q67" s="112"/>
      <c r="R67" s="112"/>
      <c r="AH67" s="187">
        <f>+AJ66</f>
        <v>43830</v>
      </c>
      <c r="AI67" s="186">
        <f>IF(AH67=0,0,VLOOKUP(YEAR(AH67),INPC!$B$4:$O$29,MONTH(AH67)+1))</f>
        <v>105.934</v>
      </c>
      <c r="AJ67" s="323">
        <v>43983</v>
      </c>
      <c r="AK67" s="186">
        <f>IF(AJ67=0,0,VLOOKUP(YEAR(AJ67),INPC!$B$4:$O$29,MONTH(AJ67)+1))</f>
        <v>106.74299999999999</v>
      </c>
      <c r="AL67" s="395" t="str">
        <f>IF(AN67=0,"N/A",TRUNC(AK67/AI67,4))</f>
        <v>N/A</v>
      </c>
      <c r="AM67" s="111">
        <f>IF(AN67=0,0,AM66*AL67)</f>
        <v>0</v>
      </c>
      <c r="AN67" s="214"/>
      <c r="AO67" s="188">
        <f t="shared" ref="AO67:AO68" si="16">+AM67-AN67</f>
        <v>0</v>
      </c>
      <c r="AP67" s="321">
        <v>2020</v>
      </c>
      <c r="AQ67" s="188"/>
    </row>
    <row r="68" spans="2:43" ht="20.100000000000001" hidden="1" customHeight="1">
      <c r="B68" s="185"/>
      <c r="C68" s="66"/>
      <c r="D68" s="65"/>
      <c r="E68" s="66"/>
      <c r="F68" s="487"/>
      <c r="G68" s="487"/>
      <c r="H68" s="188">
        <f>IF(H67-G68&lt;=0,0,H67-G68)</f>
        <v>0</v>
      </c>
      <c r="I68" s="321">
        <v>2021</v>
      </c>
      <c r="O68" s="112"/>
      <c r="P68" s="112"/>
      <c r="Q68" s="112"/>
      <c r="R68" s="112"/>
      <c r="AH68" s="187">
        <f>IF(AN67=0,AJ66,AJ67)</f>
        <v>43830</v>
      </c>
      <c r="AI68" s="186">
        <f>IF(AH68=0,0,VLOOKUP(YEAR(AH68),INPC!$B$4:$O$29,MONTH(AH68)+1))</f>
        <v>105.934</v>
      </c>
      <c r="AJ68" s="323">
        <v>44348</v>
      </c>
      <c r="AK68" s="186">
        <f>IF(AJ68=0,0,VLOOKUP(YEAR(AJ68),INPC!$B$4:$O$29,MONTH(AJ68)+1))</f>
        <v>113.018</v>
      </c>
      <c r="AL68" s="395" t="str">
        <f>IF(AN68=0,"N/A",TRUNC(AK68/AI68,4))</f>
        <v>N/A</v>
      </c>
      <c r="AM68" s="111">
        <f>IF(AN67=0,IF(AN68=0,0,AM66*AL68),IF(AN68=0,0,AO67*AL68))</f>
        <v>0</v>
      </c>
      <c r="AN68" s="214"/>
      <c r="AO68" s="188">
        <f t="shared" si="16"/>
        <v>0</v>
      </c>
      <c r="AP68" s="321">
        <v>2021</v>
      </c>
      <c r="AQ68" s="188"/>
    </row>
    <row r="69" spans="2:43" ht="20.100000000000001" hidden="1" customHeight="1">
      <c r="B69" s="185"/>
      <c r="C69" s="66"/>
      <c r="D69" s="65"/>
      <c r="E69" s="66"/>
      <c r="F69" s="487"/>
      <c r="G69" s="487"/>
      <c r="H69" s="188">
        <f t="shared" ref="H69" si="17">IF(H68-G69&lt;=0,0,H68-G69)</f>
        <v>0</v>
      </c>
      <c r="I69" s="321">
        <v>2022</v>
      </c>
      <c r="O69" s="112"/>
      <c r="P69" s="112"/>
      <c r="Q69" s="112"/>
      <c r="R69" s="112"/>
      <c r="AH69" s="187">
        <f>IF(AND(AN68=0,AN67=0),AJ66,IF(AN68&gt;0,AJ68,AJ67))</f>
        <v>43830</v>
      </c>
      <c r="AI69" s="186">
        <f>IF(AH69=0,0,VLOOKUP(YEAR(AH69),INPC!$B$4:$O$29,MONTH(AH69)+1))</f>
        <v>105.934</v>
      </c>
      <c r="AJ69" s="323">
        <v>44713</v>
      </c>
      <c r="AK69" s="186">
        <f>IF(AJ69=0,0,VLOOKUP(YEAR(AJ69),INPC!$B$4:$O$29,MONTH(AJ69)+1))</f>
        <v>122.044</v>
      </c>
      <c r="AL69" s="395">
        <f>IF(AN69=0,"N/A",TRUNC(AK69/AI69,4))</f>
        <v>1.1519999999999999</v>
      </c>
      <c r="AM69" s="111">
        <f>IF(AND(AN68=0,AN67=0),IF(AN69=0,0,AM66*AL69),IF(AN69=0,0,IF(AN68=0,AO67*AL69,AO68*AL69)))</f>
        <v>0</v>
      </c>
      <c r="AN69" s="214">
        <v>1.0000000000000001E-5</v>
      </c>
      <c r="AO69" s="188">
        <f>IF(AN69=0.00001,0,AM69-AN69)</f>
        <v>0</v>
      </c>
      <c r="AP69" s="321">
        <v>2022</v>
      </c>
      <c r="AQ69" s="189">
        <f>AM69</f>
        <v>0</v>
      </c>
    </row>
    <row r="70" spans="2:43" ht="20.100000000000001" hidden="1" customHeight="1">
      <c r="C70" s="13"/>
      <c r="D70" s="13"/>
      <c r="E70" s="13"/>
      <c r="F70" s="13"/>
      <c r="G70" s="13"/>
      <c r="H70" s="12"/>
      <c r="I70" s="12"/>
      <c r="AL70" s="396"/>
    </row>
    <row r="71" spans="2:43" ht="20.100000000000001" customHeight="1">
      <c r="C71" s="13"/>
      <c r="D71" s="13"/>
      <c r="E71" s="13"/>
      <c r="F71" s="13"/>
      <c r="G71" s="13"/>
      <c r="H71" s="12"/>
      <c r="I71" s="12"/>
      <c r="AL71" s="396"/>
    </row>
    <row r="72" spans="2:43" ht="20.100000000000001" customHeight="1">
      <c r="B72" s="185">
        <v>2020</v>
      </c>
      <c r="C72" s="66" t="s">
        <v>645</v>
      </c>
      <c r="D72" s="65"/>
      <c r="E72" s="66"/>
      <c r="F72" s="213">
        <v>289997.62037991098</v>
      </c>
      <c r="G72" s="490"/>
      <c r="H72" s="455"/>
      <c r="I72" s="456"/>
      <c r="O72" s="112"/>
      <c r="P72" s="112"/>
      <c r="Q72" s="112"/>
      <c r="R72" s="112"/>
      <c r="AH72" s="187">
        <v>44013</v>
      </c>
      <c r="AI72" s="186">
        <f>IF(AH72=0,0,VLOOKUP(YEAR(AH72),INPC!$B$4:$O$29,MONTH(AH72)+1))</f>
        <v>107.444</v>
      </c>
      <c r="AJ72" s="187">
        <v>44196</v>
      </c>
      <c r="AK72" s="186">
        <f>IF(AJ72=0,0,VLOOKUP(YEAR(AJ72),INPC!$B$4:$O$29,MONTH(AJ72)+1))</f>
        <v>109.271</v>
      </c>
      <c r="AL72" s="395">
        <f>IF(AI72=0,0,IF(TRUNC(AK72/AI72,4)&lt;1,1,TRUNC(AK72/AI72,4)))</f>
        <v>1.0169999999999999</v>
      </c>
      <c r="AM72" s="111">
        <f>+F72*AL72</f>
        <v>294927.57992636942</v>
      </c>
      <c r="AN72" s="454"/>
      <c r="AO72" s="455"/>
      <c r="AP72" s="456"/>
      <c r="AQ72" s="455"/>
    </row>
    <row r="73" spans="2:43" ht="20.100000000000001" customHeight="1">
      <c r="B73" s="185"/>
      <c r="C73" s="66"/>
      <c r="D73" s="65"/>
      <c r="E73" s="66"/>
      <c r="F73" s="487"/>
      <c r="G73" s="487">
        <v>289997.62</v>
      </c>
      <c r="H73" s="188">
        <f>IF(F72-G73&lt;=0,0,F72-G73)</f>
        <v>3.7991098361089826E-4</v>
      </c>
      <c r="I73" s="321">
        <v>2021</v>
      </c>
      <c r="O73" s="112"/>
      <c r="P73" s="112"/>
      <c r="Q73" s="112"/>
      <c r="R73" s="112"/>
      <c r="AH73" s="187">
        <f>+AJ72</f>
        <v>44196</v>
      </c>
      <c r="AI73" s="186">
        <f>IF(AH73=0,0,VLOOKUP(YEAR(AH73),INPC!$B$4:$O$29,MONTH(AH73)+1))</f>
        <v>109.271</v>
      </c>
      <c r="AJ73" s="323">
        <v>44348</v>
      </c>
      <c r="AK73" s="186">
        <f>IF(AJ73=0,0,VLOOKUP(YEAR(AJ73),INPC!$B$4:$O$29,MONTH(AJ73)+1))</f>
        <v>113.018</v>
      </c>
      <c r="AL73" s="395" t="str">
        <f>IF(AN73=0,"N/A",TRUNC(AK73/AI73,4))</f>
        <v>N/A</v>
      </c>
      <c r="AM73" s="111">
        <f>IF(AN73=0,0,AM72*AL73)</f>
        <v>0</v>
      </c>
      <c r="AN73" s="214"/>
      <c r="AO73" s="188">
        <f t="shared" ref="AO73" si="18">+AM73-AN73</f>
        <v>0</v>
      </c>
      <c r="AP73" s="321">
        <v>2021</v>
      </c>
      <c r="AQ73" s="188"/>
    </row>
    <row r="74" spans="2:43" ht="21.95" customHeight="1">
      <c r="B74" s="185"/>
      <c r="C74" s="66"/>
      <c r="D74" s="65"/>
      <c r="E74" s="66"/>
      <c r="F74" s="487"/>
      <c r="G74" s="487"/>
      <c r="H74" s="188">
        <f>IF(H73-G74&lt;=0,0,H73-G74)</f>
        <v>3.7991098361089826E-4</v>
      </c>
      <c r="I74" s="321">
        <v>2022</v>
      </c>
      <c r="O74" s="112"/>
      <c r="P74" s="112"/>
      <c r="Q74" s="112"/>
      <c r="R74" s="112"/>
      <c r="AH74" s="187">
        <f>IF(AN73=0,AJ72,AJ73)</f>
        <v>44196</v>
      </c>
      <c r="AI74" s="186">
        <f>IF(AH74=0,0,VLOOKUP(YEAR(AH74),INPC!$B$4:$O$29,MONTH(AH74)+1))</f>
        <v>109.271</v>
      </c>
      <c r="AJ74" s="323">
        <v>44713</v>
      </c>
      <c r="AK74" s="186">
        <f>IF(AJ74=0,0,VLOOKUP(YEAR(AJ74),INPC!$B$4:$O$29,MONTH(AJ74)+1))</f>
        <v>122.044</v>
      </c>
      <c r="AL74" s="395">
        <f>IF(AN74=0,"N/A",TRUNC(AK74/AI74,4))</f>
        <v>1.1168</v>
      </c>
      <c r="AM74" s="111">
        <f>IF(AN73=0,IF(AN74=0,0,AM72*AL74),IF(AN74=0,0,AO73*AL74))</f>
        <v>329375.12126176938</v>
      </c>
      <c r="AN74" s="214">
        <v>1.0000000000000001E-5</v>
      </c>
      <c r="AO74" s="188">
        <f>IF(AN74=0.00001,0,AM74-AN74)</f>
        <v>0</v>
      </c>
      <c r="AP74" s="321">
        <v>2022</v>
      </c>
      <c r="AQ74" s="189">
        <f>AM74</f>
        <v>329375.12126176938</v>
      </c>
    </row>
    <row r="75" spans="2:43" ht="21.95" customHeight="1">
      <c r="C75" s="13"/>
      <c r="D75" s="13"/>
      <c r="E75" s="13"/>
      <c r="F75" s="13"/>
      <c r="G75" s="13"/>
      <c r="H75" s="12"/>
      <c r="I75" s="12"/>
      <c r="AL75" s="396"/>
    </row>
    <row r="76" spans="2:43" ht="21.95" customHeight="1">
      <c r="C76" s="13"/>
      <c r="D76" s="13"/>
      <c r="E76" s="13"/>
      <c r="F76" s="13"/>
      <c r="G76" s="13"/>
      <c r="H76" s="12"/>
      <c r="I76" s="12"/>
      <c r="AL76" s="396"/>
    </row>
    <row r="77" spans="2:43" ht="21.95" customHeight="1">
      <c r="B77" s="185">
        <v>2021</v>
      </c>
      <c r="C77" s="66" t="s">
        <v>645</v>
      </c>
      <c r="D77" s="65"/>
      <c r="E77" s="66"/>
      <c r="F77" s="213">
        <v>0</v>
      </c>
      <c r="G77" s="490"/>
      <c r="H77" s="455"/>
      <c r="I77" s="456"/>
      <c r="O77" s="112"/>
      <c r="P77" s="112"/>
      <c r="Q77" s="112"/>
      <c r="R77" s="112"/>
      <c r="AH77" s="187">
        <v>44378</v>
      </c>
      <c r="AI77" s="186">
        <f>IF(AH77=0,0,VLOOKUP(YEAR(AH77),INPC!$B$4:$O$29,MONTH(AH77)+1))</f>
        <v>113.682</v>
      </c>
      <c r="AJ77" s="187">
        <v>44561</v>
      </c>
      <c r="AK77" s="186">
        <f>IF(AJ77=0,0,VLOOKUP(YEAR(AJ77),INPC!$B$4:$O$29,MONTH(AJ77)+1))</f>
        <v>117.30800000000001</v>
      </c>
      <c r="AL77" s="395">
        <f>IF(AI77=0,0,IF(TRUNC(AK77/AI77,4)&lt;1,1,TRUNC(AK77/AI77,4)))</f>
        <v>1.0318000000000001</v>
      </c>
      <c r="AM77" s="111">
        <f>+F77*AL77</f>
        <v>0</v>
      </c>
      <c r="AN77" s="454"/>
      <c r="AO77" s="455"/>
      <c r="AP77" s="456"/>
      <c r="AQ77" s="455"/>
    </row>
    <row r="78" spans="2:43" ht="21.95" customHeight="1">
      <c r="B78" s="185"/>
      <c r="C78" s="66"/>
      <c r="D78" s="65"/>
      <c r="E78" s="66"/>
      <c r="F78" s="487"/>
      <c r="G78" s="487"/>
      <c r="H78" s="188">
        <f>IF(F77-G78&lt;=0,0,F77-G78)</f>
        <v>0</v>
      </c>
      <c r="I78" s="185">
        <v>2022</v>
      </c>
      <c r="O78" s="112"/>
      <c r="P78" s="112"/>
      <c r="Q78" s="112"/>
      <c r="R78" s="112"/>
      <c r="AH78" s="187">
        <f>+AJ77</f>
        <v>44561</v>
      </c>
      <c r="AI78" s="186">
        <f>IF(AH78=0,0,VLOOKUP(YEAR(AH78),INPC!$B$4:$O$29,MONTH(AH78)+1))</f>
        <v>117.30800000000001</v>
      </c>
      <c r="AJ78" s="323">
        <v>44713</v>
      </c>
      <c r="AK78" s="186">
        <f>IF(AJ78=0,0,VLOOKUP(YEAR(AJ78),INPC!$B$4:$O$29,MONTH(AJ78)+1))</f>
        <v>122.044</v>
      </c>
      <c r="AL78" s="395">
        <f>IF(AN78=0,"N/A",TRUNC(AK78/AI78,4))</f>
        <v>1.0403</v>
      </c>
      <c r="AM78" s="111">
        <f>IF(AN78=0,0,AM77*AL78)</f>
        <v>0</v>
      </c>
      <c r="AN78" s="214">
        <v>1.0000000000000001E-5</v>
      </c>
      <c r="AO78" s="188">
        <f>IF(AN78=0.00001,0,AM78-AN78)</f>
        <v>0</v>
      </c>
      <c r="AP78" s="185">
        <v>2022</v>
      </c>
      <c r="AQ78" s="189">
        <f>AM78</f>
        <v>0</v>
      </c>
    </row>
    <row r="79" spans="2:43" ht="21.95" customHeight="1">
      <c r="F79" s="12"/>
      <c r="G79" s="12"/>
      <c r="H79" s="12"/>
      <c r="I79" s="12"/>
    </row>
    <row r="80" spans="2:43" ht="21.95" customHeight="1">
      <c r="F80" s="12"/>
      <c r="G80" s="12"/>
      <c r="H80" s="12"/>
      <c r="I80" s="12"/>
      <c r="AI80" s="112"/>
      <c r="AJ80" s="183"/>
    </row>
    <row r="81" spans="6:43" ht="21.95" customHeight="1">
      <c r="F81" s="12"/>
      <c r="G81" s="107" t="s">
        <v>648</v>
      </c>
      <c r="H81" s="108">
        <f>+H78+H74+H69+H63+H56+H48+H39+H29+H18</f>
        <v>3.7991098361089826E-4</v>
      </c>
      <c r="I81" s="12"/>
      <c r="AP81" s="107" t="s">
        <v>648</v>
      </c>
      <c r="AQ81" s="108">
        <f>SUM(AQ21:AQ78)</f>
        <v>329375.12126176938</v>
      </c>
    </row>
    <row r="82" spans="6:43" ht="21.95" customHeight="1"/>
    <row r="83" spans="6:43" ht="15.95"/>
    <row r="84" spans="6:43" ht="23.1">
      <c r="AM84" s="205" t="s">
        <v>649</v>
      </c>
      <c r="AN84" s="205"/>
      <c r="AO84" s="205"/>
      <c r="AP84" s="205"/>
      <c r="AQ84" s="205"/>
    </row>
    <row r="85" spans="6:43" ht="20.100000000000001" hidden="1" customHeight="1">
      <c r="K85" s="205"/>
      <c r="L85" s="205"/>
      <c r="M85" s="205"/>
      <c r="N85" s="205"/>
      <c r="O85" s="205"/>
      <c r="P85" s="205"/>
      <c r="AI85" s="205"/>
      <c r="AJ85" s="205"/>
      <c r="AK85" s="205"/>
      <c r="AL85" s="205"/>
      <c r="AM85" s="607" t="s">
        <v>650</v>
      </c>
      <c r="AN85" s="322"/>
      <c r="AO85" s="322"/>
      <c r="AP85" s="322"/>
      <c r="AQ85" s="322"/>
    </row>
    <row r="86" spans="6:43" ht="20.100000000000001" hidden="1" customHeight="1">
      <c r="AM86" s="322" t="s">
        <v>651</v>
      </c>
      <c r="AN86" s="322"/>
      <c r="AO86" s="322"/>
      <c r="AP86" s="322"/>
      <c r="AQ86" s="322"/>
    </row>
    <row r="87" spans="6:43" ht="20.100000000000001" hidden="1" customHeight="1">
      <c r="AM87" s="321" t="s">
        <v>652</v>
      </c>
      <c r="AN87" s="322" t="s">
        <v>653</v>
      </c>
      <c r="AO87" s="322"/>
      <c r="AP87" s="322"/>
      <c r="AQ87" s="322"/>
    </row>
    <row r="88" spans="6:43" ht="20.100000000000001" hidden="1" customHeight="1">
      <c r="AM88" s="322"/>
      <c r="AN88" s="322" t="s">
        <v>654</v>
      </c>
      <c r="AO88" s="322"/>
      <c r="AP88" s="322"/>
      <c r="AQ88" s="322"/>
    </row>
    <row r="89" spans="6:43" ht="20.100000000000001" hidden="1" customHeight="1">
      <c r="AM89" s="322" t="s">
        <v>655</v>
      </c>
      <c r="AN89" s="322"/>
      <c r="AO89" s="322"/>
      <c r="AP89" s="322"/>
      <c r="AQ89" s="322"/>
    </row>
    <row r="90" spans="6:43" ht="20.100000000000001" hidden="1" customHeight="1">
      <c r="AM90" s="321" t="s">
        <v>656</v>
      </c>
      <c r="AN90" s="322" t="s">
        <v>657</v>
      </c>
      <c r="AO90" s="322"/>
      <c r="AP90" s="322"/>
      <c r="AQ90" s="322"/>
    </row>
    <row r="91" spans="6:43" ht="20.100000000000001" hidden="1" customHeight="1">
      <c r="AM91" s="322"/>
      <c r="AN91" s="322" t="s">
        <v>658</v>
      </c>
      <c r="AO91" s="322"/>
      <c r="AP91" s="322"/>
      <c r="AQ91" s="322"/>
    </row>
    <row r="92" spans="6:43" ht="15.95" hidden="1"/>
    <row r="93" spans="6:43" ht="15.95" hidden="1"/>
    <row r="94" spans="6:43" ht="20.100000000000001" hidden="1" customHeight="1"/>
    <row r="95" spans="6:43" ht="20.100000000000001" hidden="1" customHeight="1"/>
    <row r="96" spans="6:43" ht="20.100000000000001" hidden="1" customHeight="1"/>
    <row r="97" spans="1:43" ht="20.100000000000001" hidden="1" customHeight="1">
      <c r="A97" s="484"/>
      <c r="B97" s="485"/>
      <c r="C97" s="485"/>
      <c r="D97" s="485"/>
      <c r="E97" s="485"/>
      <c r="F97" s="485"/>
      <c r="G97" s="485"/>
      <c r="H97" s="485"/>
      <c r="I97" s="485"/>
      <c r="J97" s="486"/>
      <c r="K97" s="484"/>
      <c r="L97" s="484"/>
      <c r="AH97" s="216"/>
      <c r="AI97" s="216"/>
      <c r="AJ97" s="216"/>
      <c r="AK97" s="216"/>
      <c r="AL97" s="216"/>
      <c r="AM97" s="216"/>
      <c r="AN97" s="216"/>
      <c r="AO97" s="216"/>
      <c r="AP97" s="216"/>
      <c r="AQ97" s="216"/>
    </row>
    <row r="98" spans="1:43" ht="20.100000000000001" hidden="1" customHeight="1">
      <c r="F98" s="12"/>
      <c r="G98" s="12"/>
      <c r="H98" s="12"/>
      <c r="I98" s="12"/>
    </row>
    <row r="99" spans="1:43" ht="20.100000000000001" hidden="1" customHeight="1">
      <c r="F99" s="12"/>
      <c r="G99" s="12"/>
      <c r="H99" s="12"/>
      <c r="I99" s="12"/>
    </row>
    <row r="100" spans="1:43" ht="48" hidden="1" customHeight="1">
      <c r="B100" s="589" t="s">
        <v>659</v>
      </c>
      <c r="C100" s="589"/>
      <c r="D100" s="589"/>
      <c r="E100" s="589"/>
      <c r="F100" s="589"/>
      <c r="G100" s="589"/>
      <c r="H100" s="589"/>
      <c r="I100" s="589"/>
      <c r="AH100" s="205"/>
      <c r="AI100" s="205"/>
      <c r="AJ100" s="205"/>
      <c r="AK100" s="205"/>
      <c r="AL100" s="205"/>
      <c r="AM100" s="205"/>
      <c r="AN100" s="205"/>
      <c r="AO100" s="205"/>
      <c r="AP100" s="205"/>
    </row>
    <row r="101" spans="1:43" ht="20.100000000000001" hidden="1" customHeight="1">
      <c r="B101" s="577" t="s">
        <v>660</v>
      </c>
      <c r="C101" s="577"/>
      <c r="D101" s="577"/>
      <c r="E101" s="577"/>
      <c r="F101" s="577"/>
      <c r="G101" s="577"/>
      <c r="H101" s="577"/>
      <c r="I101" s="577"/>
      <c r="AH101" s="577"/>
      <c r="AI101" s="577"/>
      <c r="AJ101" s="577"/>
      <c r="AK101" s="577"/>
      <c r="AL101" s="577"/>
      <c r="AM101" s="577"/>
      <c r="AN101" s="577"/>
      <c r="AO101" s="577"/>
      <c r="AP101" s="577"/>
    </row>
    <row r="102" spans="1:43" ht="20.100000000000001" hidden="1" customHeight="1">
      <c r="B102" s="79" t="s">
        <v>41</v>
      </c>
      <c r="C102" s="79" t="s">
        <v>627</v>
      </c>
      <c r="D102" s="79"/>
      <c r="E102" s="80"/>
      <c r="F102" s="79" t="s">
        <v>629</v>
      </c>
      <c r="G102" s="80"/>
      <c r="H102" s="80"/>
      <c r="I102" s="80"/>
      <c r="AH102" s="80"/>
      <c r="AI102" s="80"/>
      <c r="AJ102" s="80"/>
      <c r="AK102" s="80"/>
      <c r="AL102" s="79" t="s">
        <v>628</v>
      </c>
      <c r="AM102" s="79"/>
      <c r="AN102" s="80"/>
      <c r="AO102" s="80"/>
      <c r="AP102" s="80"/>
    </row>
    <row r="103" spans="1:43" ht="20.100000000000001" hidden="1" customHeight="1">
      <c r="B103" s="88"/>
      <c r="C103" s="88"/>
      <c r="D103" s="88"/>
      <c r="E103" s="88"/>
      <c r="F103" s="88"/>
      <c r="G103" s="88"/>
      <c r="H103" s="88"/>
      <c r="I103" s="88"/>
      <c r="AH103" s="88"/>
      <c r="AI103" s="88"/>
      <c r="AJ103" s="88"/>
      <c r="AK103" s="88"/>
      <c r="AL103" s="88"/>
      <c r="AM103" s="88"/>
      <c r="AN103" s="88"/>
      <c r="AO103" s="88"/>
      <c r="AP103" s="88"/>
    </row>
    <row r="104" spans="1:43" ht="47.1" hidden="1" customHeight="1">
      <c r="B104" s="62" t="s">
        <v>661</v>
      </c>
      <c r="C104" s="62" t="s">
        <v>631</v>
      </c>
      <c r="D104" s="62" t="s">
        <v>632</v>
      </c>
      <c r="E104" s="62" t="s">
        <v>92</v>
      </c>
      <c r="F104" s="62" t="s">
        <v>662</v>
      </c>
      <c r="G104" s="62" t="s">
        <v>634</v>
      </c>
      <c r="H104" s="62" t="s">
        <v>663</v>
      </c>
      <c r="I104" s="62" t="s">
        <v>664</v>
      </c>
      <c r="AH104" s="62" t="s">
        <v>638</v>
      </c>
      <c r="AI104" s="62" t="s">
        <v>639</v>
      </c>
      <c r="AJ104" s="62" t="s">
        <v>640</v>
      </c>
      <c r="AK104" s="62" t="s">
        <v>641</v>
      </c>
      <c r="AL104" s="62" t="s">
        <v>642</v>
      </c>
      <c r="AM104" s="62" t="s">
        <v>665</v>
      </c>
      <c r="AN104" s="62" t="s">
        <v>663</v>
      </c>
      <c r="AO104" s="62" t="s">
        <v>664</v>
      </c>
      <c r="AP104" s="62" t="s">
        <v>666</v>
      </c>
    </row>
    <row r="105" spans="1:43" ht="20.100000000000001" hidden="1" customHeight="1">
      <c r="B105" s="62"/>
      <c r="C105" s="62"/>
      <c r="D105" s="62"/>
      <c r="E105" s="62"/>
      <c r="F105" s="62"/>
      <c r="G105" s="62"/>
      <c r="H105" s="62"/>
      <c r="I105" s="62"/>
      <c r="AH105" s="62"/>
      <c r="AI105" s="62"/>
      <c r="AJ105" s="62"/>
      <c r="AK105" s="62"/>
      <c r="AL105" s="62"/>
      <c r="AM105" s="62"/>
      <c r="AN105" s="62"/>
      <c r="AO105" s="62"/>
      <c r="AP105" s="62"/>
    </row>
    <row r="106" spans="1:43" ht="20.100000000000001" hidden="1" customHeight="1">
      <c r="B106" s="185">
        <v>2013</v>
      </c>
      <c r="C106" s="66" t="s">
        <v>645</v>
      </c>
      <c r="D106" s="65"/>
      <c r="E106" s="66"/>
      <c r="F106" s="213"/>
      <c r="G106" s="482"/>
      <c r="H106" s="455"/>
      <c r="I106" s="456"/>
      <c r="AH106" s="187">
        <v>41456</v>
      </c>
      <c r="AI106" s="186">
        <f>IF(AH106=0,0,VLOOKUP(YEAR(AH106),INPC!$B$4:$O$29,MONTH(AH106)+1))</f>
        <v>81.592193040447</v>
      </c>
      <c r="AJ106" s="187">
        <v>41639</v>
      </c>
      <c r="AK106" s="186">
        <f>IF(AJ106=0,0,VLOOKUP(YEAR(AJ106),INPC!$B$4:$O$29,MONTH(AJ106)+1))</f>
        <v>83.770058296773001</v>
      </c>
      <c r="AL106" s="395">
        <f>IF(AI106=0,0,IF(TRUNC(AK106/AI106,4)&lt;1,1,TRUNC(AK106/AI106,4)))</f>
        <v>1.0266</v>
      </c>
      <c r="AM106" s="111">
        <f>+F106*AL106</f>
        <v>0</v>
      </c>
      <c r="AN106" s="455"/>
      <c r="AO106" s="456"/>
      <c r="AP106" s="455"/>
    </row>
    <row r="107" spans="1:43" ht="20.100000000000001" hidden="1" customHeight="1">
      <c r="B107" s="185"/>
      <c r="C107" s="66"/>
      <c r="D107" s="65"/>
      <c r="E107" s="66"/>
      <c r="F107" s="487"/>
      <c r="G107" s="214"/>
      <c r="H107" s="188">
        <f>IF(F106-G107&lt;=0,0,F106-G107)</f>
        <v>0</v>
      </c>
      <c r="I107" s="185">
        <v>2014</v>
      </c>
      <c r="AH107" s="187">
        <f>+AJ106</f>
        <v>41639</v>
      </c>
      <c r="AI107" s="186">
        <f>IF(AH107=0,0,VLOOKUP(YEAR(AH107),INPC!$B$4:$O$29,MONTH(AH107)+1))</f>
        <v>83.770058296773001</v>
      </c>
      <c r="AJ107" s="187">
        <v>41791</v>
      </c>
      <c r="AK107" s="186">
        <f>IF(AJ107=0,0,VLOOKUP(YEAR(AJ107),INPC!$B$4:$O$29,MONTH(AJ107)+1))</f>
        <v>84.682072239918</v>
      </c>
      <c r="AL107" s="395" t="str">
        <f t="shared" ref="AL107:AL115" si="19">IF(G107=0,"N/A",TRUNC(AK107/AI107,4))</f>
        <v>N/A</v>
      </c>
      <c r="AM107" s="111">
        <f>IF(G107=0,0,AM106*AL107)</f>
        <v>0</v>
      </c>
      <c r="AN107" s="188">
        <f t="shared" ref="AN107:AN114" si="20">+AM107-G107</f>
        <v>0</v>
      </c>
      <c r="AO107" s="185">
        <v>2014</v>
      </c>
      <c r="AP107" s="188"/>
    </row>
    <row r="108" spans="1:43" ht="20.100000000000001" hidden="1" customHeight="1">
      <c r="B108" s="185"/>
      <c r="C108" s="66"/>
      <c r="D108" s="65"/>
      <c r="E108" s="66"/>
      <c r="F108" s="487"/>
      <c r="G108" s="214"/>
      <c r="H108" s="188">
        <f>IF(H107-G108&lt;=0,0,H107-G108)</f>
        <v>0</v>
      </c>
      <c r="I108" s="185">
        <v>2015</v>
      </c>
      <c r="AH108" s="187">
        <f>IF(G107=0,AJ106,AJ107)</f>
        <v>41639</v>
      </c>
      <c r="AI108" s="186">
        <f>IF(AH108=0,0,VLOOKUP(YEAR(AH108),INPC!$B$4:$O$29,MONTH(AH108)+1))</f>
        <v>83.770058296773001</v>
      </c>
      <c r="AJ108" s="187">
        <v>42156</v>
      </c>
      <c r="AK108" s="186">
        <f>IF(AJ108=0,0,VLOOKUP(YEAR(AJ108),INPC!$B$4:$O$29,MONTH(AJ108)+1))</f>
        <v>87.113107758880005</v>
      </c>
      <c r="AL108" s="395" t="str">
        <f t="shared" si="19"/>
        <v>N/A</v>
      </c>
      <c r="AM108" s="111">
        <f>IF(G107=0,IF(G108=0,0,AM106*AL108),IF(G108=0,0,AN107*AL108))</f>
        <v>0</v>
      </c>
      <c r="AN108" s="188">
        <f t="shared" si="20"/>
        <v>0</v>
      </c>
      <c r="AO108" s="185">
        <v>2015</v>
      </c>
      <c r="AP108" s="188"/>
    </row>
    <row r="109" spans="1:43" ht="20.100000000000001" hidden="1" customHeight="1">
      <c r="B109" s="185"/>
      <c r="C109" s="66"/>
      <c r="D109" s="65"/>
      <c r="E109" s="66"/>
      <c r="F109" s="487"/>
      <c r="G109" s="214"/>
      <c r="H109" s="188">
        <f t="shared" ref="H109:H115" si="21">IF(H108-G109&lt;=0,0,H108-G109)</f>
        <v>0</v>
      </c>
      <c r="I109" s="185">
        <v>2016</v>
      </c>
      <c r="AH109" s="187">
        <f>IF(AND(G108=0,G107=0),AJ106,IF(G108&gt;0,AJ108,AJ107))</f>
        <v>41639</v>
      </c>
      <c r="AI109" s="186">
        <f>IF(AH109=0,0,VLOOKUP(YEAR(AH109),INPC!$B$4:$O$29,MONTH(AH109)+1))</f>
        <v>83.770058296773001</v>
      </c>
      <c r="AJ109" s="187">
        <v>42522</v>
      </c>
      <c r="AK109" s="186">
        <f>IF(AJ109=0,0,VLOOKUP(YEAR(AJ109),INPC!$B$4:$O$29,MONTH(AJ109)+1))</f>
        <v>89.324027886291006</v>
      </c>
      <c r="AL109" s="395" t="str">
        <f t="shared" si="19"/>
        <v>N/A</v>
      </c>
      <c r="AM109" s="111">
        <f>IF(AND(G108=0,G107=0),IF(G109=0,0,AM106*AL109),IF(G109=0,0,IF(G108=0,AN107*AL109,AN108*AL109)))</f>
        <v>0</v>
      </c>
      <c r="AN109" s="188">
        <f t="shared" si="20"/>
        <v>0</v>
      </c>
      <c r="AO109" s="185">
        <v>2016</v>
      </c>
      <c r="AP109" s="188"/>
    </row>
    <row r="110" spans="1:43" ht="20.100000000000001" hidden="1" customHeight="1">
      <c r="B110" s="185"/>
      <c r="C110" s="66"/>
      <c r="D110" s="65"/>
      <c r="E110" s="66"/>
      <c r="F110" s="487"/>
      <c r="G110" s="214"/>
      <c r="H110" s="188">
        <f t="shared" si="21"/>
        <v>0</v>
      </c>
      <c r="I110" s="185">
        <v>2017</v>
      </c>
      <c r="AH110" s="187">
        <f>IF(AND(G109=0,G108=0,G107=0),AJ106,IF(G109&gt;0,AJ109,IF(G108&gt;0,AJ108,AJ107)))</f>
        <v>41639</v>
      </c>
      <c r="AI110" s="186">
        <f>IF(AH110=0,0,VLOOKUP(YEAR(AH110),INPC!$B$4:$O$29,MONTH(AH110)+1))</f>
        <v>83.770058296773001</v>
      </c>
      <c r="AJ110" s="187">
        <v>42887</v>
      </c>
      <c r="AK110" s="186">
        <f>IF(AJ110=0,0,VLOOKUP(YEAR(AJ110),INPC!$B$4:$O$29,MONTH(AJ110)+1))</f>
        <v>94.963639641805003</v>
      </c>
      <c r="AL110" s="395" t="str">
        <f t="shared" si="19"/>
        <v>N/A</v>
      </c>
      <c r="AM110" s="111">
        <f>IF(AND(G109=0,G108=0,G107=0),IF(G110=0,0,AM106*AL110),IF(G110=0,0,IF(AND(G109=0,G108=0),AN107*AL110,IF(G109=0,AN108*AL110,AN109*AL110))))</f>
        <v>0</v>
      </c>
      <c r="AN110" s="188">
        <f t="shared" si="20"/>
        <v>0</v>
      </c>
      <c r="AO110" s="185">
        <v>2017</v>
      </c>
      <c r="AP110" s="188"/>
    </row>
    <row r="111" spans="1:43" ht="20.100000000000001" hidden="1" customHeight="1">
      <c r="B111" s="291"/>
      <c r="C111" s="340"/>
      <c r="D111" s="449"/>
      <c r="E111" s="340"/>
      <c r="F111" s="488"/>
      <c r="G111" s="320"/>
      <c r="H111" s="188">
        <f t="shared" si="21"/>
        <v>0</v>
      </c>
      <c r="I111" s="291">
        <v>2018</v>
      </c>
      <c r="AH111" s="312">
        <f>IF(AND(G110=0,G109=0,G108=0,G107=0),AJ106,IF(G110&gt;0,AJ110,IF(G109&gt;0,AJ109,IF(G108&gt;0,AJ108,AJ107))))</f>
        <v>41639</v>
      </c>
      <c r="AI111" s="313">
        <f>IF(AH111=0,0,VLOOKUP(YEAR(AH111),INPC!$B$4:$O$29,MONTH(AH111)+1))</f>
        <v>83.770058296773001</v>
      </c>
      <c r="AJ111" s="312">
        <v>43252</v>
      </c>
      <c r="AK111" s="313">
        <f>IF(AJ111=0,0,VLOOKUP(YEAR(AJ111),INPC!$B$4:$O$29,MONTH(AJ111)+1))</f>
        <v>99.376464931786998</v>
      </c>
      <c r="AL111" s="395" t="str">
        <f t="shared" si="19"/>
        <v>N/A</v>
      </c>
      <c r="AM111" s="314">
        <f>IF(AND(G110=0,G109=0,G108=0,G107=0),IF(G111=0,0,AM106*AL111),IF(G111=0,0,IF(AND(G110=0,G109=0,G108=0),AN107*AL111,IF(AND(G110=0,G109=0),AN108*AL111,IF(G110=0,AN109*AL111,AN110*AL111)))))</f>
        <v>0</v>
      </c>
      <c r="AN111" s="315">
        <f t="shared" si="20"/>
        <v>0</v>
      </c>
      <c r="AO111" s="291">
        <v>2018</v>
      </c>
      <c r="AP111" s="315"/>
    </row>
    <row r="112" spans="1:43" ht="20.100000000000001" hidden="1" customHeight="1">
      <c r="B112" s="321"/>
      <c r="C112" s="341"/>
      <c r="D112" s="450"/>
      <c r="E112" s="341"/>
      <c r="F112" s="489"/>
      <c r="G112" s="328"/>
      <c r="H112" s="188">
        <f t="shared" si="21"/>
        <v>0</v>
      </c>
      <c r="I112" s="321">
        <v>2019</v>
      </c>
      <c r="AH112" s="323">
        <f>IF(AND(G111=0,G110=0,G109=0,G108=0,G107=0),AJ106,IF(G111&gt;0,AJ111,IF(G110&gt;0,AJ110,IF(G109&gt;0,AJ109,IF(G108&gt;0,AJ108,AJ107)))))</f>
        <v>41639</v>
      </c>
      <c r="AI112" s="324">
        <f>IF(AH112=0,0,VLOOKUP(YEAR(AH112),INPC!$B$4:$O$29,MONTH(AH112)+1))</f>
        <v>83.770058296773001</v>
      </c>
      <c r="AJ112" s="323">
        <v>43617</v>
      </c>
      <c r="AK112" s="324">
        <f>IF(AJ112=0,0,VLOOKUP(YEAR(AJ112),INPC!$B$4:$O$29,MONTH(AJ112)+1))</f>
        <v>103.29900000000001</v>
      </c>
      <c r="AL112" s="395" t="str">
        <f t="shared" si="19"/>
        <v>N/A</v>
      </c>
      <c r="AM112" s="325">
        <f>IF(AND(G111=0,G110=0,G109=0,G108=0,G107=0),IF(G112=0,0,AM106*AL112),IF(G112=0,0,IF(AND(G111=0,G110=0,G109=0,G108=0),AN107*AL112,IF(AND(G111=0,G110=0,G109=0),AN108*AL112,IF(AND(G111=0,G110=0),AN109*AL112,IF(G111=0,AN110*AL112,AN111*AL112))))))</f>
        <v>0</v>
      </c>
      <c r="AN112" s="326">
        <f t="shared" si="20"/>
        <v>0</v>
      </c>
      <c r="AO112" s="321">
        <v>2019</v>
      </c>
      <c r="AP112" s="326"/>
    </row>
    <row r="113" spans="2:42" ht="20.100000000000001" hidden="1" customHeight="1">
      <c r="B113" s="321"/>
      <c r="C113" s="341"/>
      <c r="D113" s="450"/>
      <c r="E113" s="341"/>
      <c r="F113" s="489"/>
      <c r="G113" s="328"/>
      <c r="H113" s="188">
        <f t="shared" si="21"/>
        <v>0</v>
      </c>
      <c r="I113" s="321">
        <v>2020</v>
      </c>
      <c r="AH113" s="323">
        <f>IF(AND(G112=0,G111=0,G110=0,G109=0,G108=0,G107=0),AJ106,IF(G112&gt;0,AJ112,IF(G111&gt;0,AJ111,IF(G110&gt;0,AJ110,IF(G109&gt;0,AJ109,IF(G108&gt;0,AJ108,AJ107))))))</f>
        <v>41639</v>
      </c>
      <c r="AI113" s="324">
        <f>IF(AH113=0,0,VLOOKUP(YEAR(AH113),INPC!$B$4:$O$29,MONTH(AH113)+1))</f>
        <v>83.770058296773001</v>
      </c>
      <c r="AJ113" s="323">
        <v>43983</v>
      </c>
      <c r="AK113" s="324">
        <f>IF(AJ113=0,0,VLOOKUP(YEAR(AJ113),INPC!$B$4:$O$29,MONTH(AJ113)+1))</f>
        <v>106.74299999999999</v>
      </c>
      <c r="AL113" s="395" t="str">
        <f t="shared" si="19"/>
        <v>N/A</v>
      </c>
      <c r="AM113" s="325">
        <f>IF(AND(G112=0,G111=0,G110=0,G109=0,G108=0,G107=0),IF(G113=0,0,AM106*AL113),IF(G113=0,0,IF(AND(G112=0,G111=0,G110=0,G109=0,G108=0),AN107*AL113,IF(AND(G112=0,G111=0,G110=0,G109=0),AN108*AL113,IF(AND(G112=0,G111=0,G110=0),AN109*AL113,IF(AND(G112=0,G111=0),AN110*AL113,IF(G112=0,AN111*AL113,AN112*AL113)))))))</f>
        <v>0</v>
      </c>
      <c r="AN113" s="326">
        <f t="shared" si="20"/>
        <v>0</v>
      </c>
      <c r="AO113" s="321">
        <v>2020</v>
      </c>
      <c r="AP113" s="326"/>
    </row>
    <row r="114" spans="2:42" ht="20.100000000000001" hidden="1" customHeight="1">
      <c r="B114" s="321"/>
      <c r="C114" s="341"/>
      <c r="D114" s="450"/>
      <c r="E114" s="341"/>
      <c r="F114" s="489"/>
      <c r="G114" s="328"/>
      <c r="H114" s="188">
        <f t="shared" si="21"/>
        <v>0</v>
      </c>
      <c r="I114" s="321">
        <v>2021</v>
      </c>
      <c r="AH114" s="323">
        <f>IF(AND(G113=0,G112=0,G111=0,G110=0,G109=0,G108=0,G107=0),AJ106,IF(G113&gt;0,AJ113,IF(G112&gt;0,AJ112,IF(G111&gt;0,AJ111,IF(G110&gt;0,AJ110,IF(G109&gt;0,AJ109,IF(G108&gt;0,AJ108,AJ107)))))))</f>
        <v>41639</v>
      </c>
      <c r="AI114" s="324">
        <f>IF(AH114=0,0,VLOOKUP(YEAR(AH114),INPC!$B$4:$O$29,MONTH(AH114)+1))</f>
        <v>83.770058296773001</v>
      </c>
      <c r="AJ114" s="323">
        <v>44348</v>
      </c>
      <c r="AK114" s="324">
        <f>IF(AJ114=0,0,VLOOKUP(YEAR(AJ114),INPC!$B$4:$O$29,MONTH(AJ114)+1))</f>
        <v>113.018</v>
      </c>
      <c r="AL114" s="395" t="str">
        <f t="shared" si="19"/>
        <v>N/A</v>
      </c>
      <c r="AM114" s="325">
        <f>IF(AND(G113=0,G112=0,G111=0,G110=0,G109=0,G108=0,G107=0),IF(G114=0,0,AM106*AL114),IF(G114=0,0,IF(AND(G113=0,G112=0,G111=0,G110=0,G109=0,G108=0),AN107*AL114,IF(AND(G113=0,G112=0,G111=0,G110=0,G109=0),AN108*AL114,IF(AND(G113=0,G112=0,G111=0,G110=0),AN109*AL114,IF(AND(G113=0,G112=0,G111=0),AN110*AL114,IF(AND(G113=0,G112=0),AN111*AL114,IF(G113=0,AN112*AL114,AN113*AL114))))))))</f>
        <v>0</v>
      </c>
      <c r="AN114" s="326">
        <f t="shared" si="20"/>
        <v>0</v>
      </c>
      <c r="AO114" s="321">
        <v>2021</v>
      </c>
      <c r="AP114" s="326"/>
    </row>
    <row r="115" spans="2:42" ht="20.100000000000001" hidden="1" customHeight="1">
      <c r="B115" s="321"/>
      <c r="C115" s="341"/>
      <c r="D115" s="450"/>
      <c r="E115" s="341"/>
      <c r="F115" s="489"/>
      <c r="G115" s="328">
        <v>9.9999999999999995E-7</v>
      </c>
      <c r="H115" s="188">
        <f t="shared" si="21"/>
        <v>0</v>
      </c>
      <c r="I115" s="321">
        <v>2022</v>
      </c>
      <c r="AH115" s="323">
        <f>IF(AND(G114=0,G113=0,G112=0,G111=0,G110=0,G109=0,G108=0,G107=0),AJ106,IF(G114&gt;0,AJ114,IF(G113&gt;0,AJ113,IF(G112&gt;0,AJ112,IF(G111&gt;0,AJ111,IF(G110&gt;0,AJ110,IF(G109&gt;0,AJ109,IF(G108&gt;0,AJ108,AJ107))))))))</f>
        <v>41639</v>
      </c>
      <c r="AI115" s="324">
        <f>IF(AH115=0,0,VLOOKUP(YEAR(AH115),INPC!$B$4:$O$29,MONTH(AH115)+1))</f>
        <v>83.770058296773001</v>
      </c>
      <c r="AJ115" s="323">
        <v>44713</v>
      </c>
      <c r="AK115" s="324">
        <f>IF(AJ115=0,0,VLOOKUP(YEAR(AJ115),INPC!$B$4:$O$29,MONTH(AJ115)+1))</f>
        <v>122.044</v>
      </c>
      <c r="AL115" s="395">
        <f t="shared" si="19"/>
        <v>1.4568000000000001</v>
      </c>
      <c r="AM115" s="325">
        <f>IF(AND(G114=0,G113=0,G112=0,G111=0,G110=0,G109=0,G108=0,G107=0),IF(G115=0,0,AM106*AL115),IF(G115=0,0,IF(AND(G114=0,G113=0,G112=0,G111=0,G110=0,G109=0,G108=0),AN107*AL115,IF(AND(G114=0,G113=0,G112=0,G111=0,G110=0,G109=0),AN108*AL115,IF(AND(G114=0,G113=0,G112=0,G111=0,G110=0),AN109*AL115,IF(AND(G114=0,G113=0,G112=0,G111=0),AN110*AL115,IF(AND(G114=0,G113=0,G112=0),AN111*AL115,IF(AND(G114=0,G113=0),AN112*AL115,IF(G114=0,AN113*AL115,AN114*AL115)))))))))</f>
        <v>0</v>
      </c>
      <c r="AN115" s="326">
        <f>IF(G115=0.00001,0,AM115-G115)</f>
        <v>-9.9999999999999995E-7</v>
      </c>
      <c r="AO115" s="321">
        <v>2022</v>
      </c>
      <c r="AP115" s="327">
        <f>AM115</f>
        <v>0</v>
      </c>
    </row>
    <row r="116" spans="2:42" ht="20.100000000000001" hidden="1" customHeight="1">
      <c r="B116" s="62"/>
      <c r="C116" s="259"/>
      <c r="D116" s="259"/>
      <c r="E116" s="259"/>
      <c r="F116" s="259"/>
      <c r="G116" s="259"/>
      <c r="H116" s="62"/>
      <c r="I116" s="62"/>
      <c r="AH116" s="62"/>
      <c r="AI116" s="62"/>
      <c r="AJ116" s="62"/>
      <c r="AK116" s="62"/>
      <c r="AL116" s="62"/>
      <c r="AM116" s="62"/>
      <c r="AN116" s="62"/>
      <c r="AO116" s="62"/>
      <c r="AP116" s="62"/>
    </row>
    <row r="117" spans="2:42" ht="20.100000000000001" hidden="1" customHeight="1">
      <c r="B117" s="62"/>
      <c r="C117" s="259"/>
      <c r="D117" s="259"/>
      <c r="E117" s="259"/>
      <c r="F117" s="259"/>
      <c r="G117" s="259"/>
      <c r="H117" s="62"/>
      <c r="I117" s="62"/>
      <c r="AH117" s="62"/>
      <c r="AI117" s="62"/>
      <c r="AJ117" s="62"/>
      <c r="AK117" s="62"/>
      <c r="AL117" s="62"/>
      <c r="AM117" s="62"/>
      <c r="AN117" s="62"/>
      <c r="AO117" s="62"/>
      <c r="AP117" s="62"/>
    </row>
    <row r="118" spans="2:42" ht="20.100000000000001" hidden="1" customHeight="1">
      <c r="B118" s="185">
        <v>2014</v>
      </c>
      <c r="C118" s="66" t="s">
        <v>645</v>
      </c>
      <c r="D118" s="65"/>
      <c r="E118" s="66"/>
      <c r="F118" s="213"/>
      <c r="G118" s="482"/>
      <c r="H118" s="455"/>
      <c r="I118" s="456"/>
      <c r="AH118" s="187">
        <v>41821</v>
      </c>
      <c r="AI118" s="186">
        <f>IF(AH118=0,0,VLOOKUP(YEAR(AH118),INPC!$B$4:$O$29,MONTH(AH118)+1))</f>
        <v>84.914958831660996</v>
      </c>
      <c r="AJ118" s="187">
        <v>42004</v>
      </c>
      <c r="AK118" s="186">
        <f>IF(AJ118=0,0,VLOOKUP(YEAR(AJ118),INPC!$B$4:$O$29,MONTH(AJ118)+1))</f>
        <v>87.188983712964003</v>
      </c>
      <c r="AL118" s="395">
        <f>IF(AI118=0,0,IF(TRUNC(AK118/AI118,4)&lt;1,1,TRUNC(AK118/AI118,4)))</f>
        <v>1.0266999999999999</v>
      </c>
      <c r="AM118" s="111">
        <f>+F118*AL118</f>
        <v>0</v>
      </c>
      <c r="AN118" s="455"/>
      <c r="AO118" s="456"/>
      <c r="AP118" s="455"/>
    </row>
    <row r="119" spans="2:42" ht="20.100000000000001" hidden="1" customHeight="1">
      <c r="B119" s="185"/>
      <c r="C119" s="66"/>
      <c r="D119" s="65"/>
      <c r="E119" s="66"/>
      <c r="F119" s="487"/>
      <c r="G119" s="214"/>
      <c r="H119" s="188">
        <f>IF(F118-G119&lt;=0,0,F118-G119)</f>
        <v>0</v>
      </c>
      <c r="I119" s="185">
        <v>2015</v>
      </c>
      <c r="AH119" s="187">
        <f>+AJ118</f>
        <v>42004</v>
      </c>
      <c r="AI119" s="186">
        <f>IF(AH119=0,0,VLOOKUP(YEAR(AH119),INPC!$B$4:$O$29,MONTH(AH119)+1))</f>
        <v>87.188983712964003</v>
      </c>
      <c r="AJ119" s="187">
        <v>42156</v>
      </c>
      <c r="AK119" s="186">
        <f>IF(AJ119=0,0,VLOOKUP(YEAR(AJ119),INPC!$B$4:$O$29,MONTH(AJ119)+1))</f>
        <v>87.113107758880005</v>
      </c>
      <c r="AL119" s="395" t="str">
        <f t="shared" ref="AL119:AL126" si="22">IF(G119=0,"N/A",TRUNC(AK119/AI119,4))</f>
        <v>N/A</v>
      </c>
      <c r="AM119" s="111">
        <f>IF(G119=0,0,AM118*AL119)</f>
        <v>0</v>
      </c>
      <c r="AN119" s="188">
        <f t="shared" ref="AN119:AN125" si="23">+AM119-G119</f>
        <v>0</v>
      </c>
      <c r="AO119" s="185">
        <v>2015</v>
      </c>
      <c r="AP119" s="188"/>
    </row>
    <row r="120" spans="2:42" ht="20.100000000000001" hidden="1" customHeight="1">
      <c r="B120" s="185"/>
      <c r="C120" s="66"/>
      <c r="D120" s="65"/>
      <c r="E120" s="66"/>
      <c r="F120" s="487"/>
      <c r="G120" s="214"/>
      <c r="H120" s="188">
        <f>IF(H119-G120&lt;=0,0,H119-G120)</f>
        <v>0</v>
      </c>
      <c r="I120" s="185">
        <v>2016</v>
      </c>
      <c r="AH120" s="187">
        <f>IF(G119=0,AJ118,AJ119)</f>
        <v>42004</v>
      </c>
      <c r="AI120" s="186">
        <f>IF(AH120=0,0,VLOOKUP(YEAR(AH120),INPC!$B$4:$O$29,MONTH(AH120)+1))</f>
        <v>87.188983712964003</v>
      </c>
      <c r="AJ120" s="187">
        <v>42522</v>
      </c>
      <c r="AK120" s="186">
        <f>IF(AJ120=0,0,VLOOKUP(YEAR(AJ120),INPC!$B$4:$O$29,MONTH(AJ120)+1))</f>
        <v>89.324027886291006</v>
      </c>
      <c r="AL120" s="395" t="str">
        <f t="shared" si="22"/>
        <v>N/A</v>
      </c>
      <c r="AM120" s="111">
        <f>IF(G119=0,IF(G120=0,0,AM118*AL120),IF(G120=0,0,AN119*AL120))</f>
        <v>0</v>
      </c>
      <c r="AN120" s="188">
        <f t="shared" si="23"/>
        <v>0</v>
      </c>
      <c r="AO120" s="185">
        <v>2016</v>
      </c>
      <c r="AP120" s="188"/>
    </row>
    <row r="121" spans="2:42" ht="20.100000000000001" hidden="1" customHeight="1">
      <c r="B121" s="185"/>
      <c r="C121" s="66"/>
      <c r="D121" s="65"/>
      <c r="E121" s="66"/>
      <c r="F121" s="487"/>
      <c r="G121" s="214"/>
      <c r="H121" s="188">
        <f t="shared" ref="H121:H126" si="24">IF(H120-G121&lt;=0,0,H120-G121)</f>
        <v>0</v>
      </c>
      <c r="I121" s="185">
        <v>2017</v>
      </c>
      <c r="AH121" s="187">
        <f>IF(AND(G120=0,G119=0),AJ118,IF(G120&gt;0,AJ120,AJ119))</f>
        <v>42004</v>
      </c>
      <c r="AI121" s="186">
        <f>IF(AH121=0,0,VLOOKUP(YEAR(AH121),INPC!$B$4:$O$29,MONTH(AH121)+1))</f>
        <v>87.188983712964003</v>
      </c>
      <c r="AJ121" s="187">
        <v>42887</v>
      </c>
      <c r="AK121" s="186">
        <f>IF(AJ121=0,0,VLOOKUP(YEAR(AJ121),INPC!$B$4:$O$29,MONTH(AJ121)+1))</f>
        <v>94.963639641805003</v>
      </c>
      <c r="AL121" s="395" t="str">
        <f t="shared" si="22"/>
        <v>N/A</v>
      </c>
      <c r="AM121" s="111">
        <f>IF(AND(G120=0,G119=0),IF(G121=0,0,AM118*AL121),IF(G121=0,0,IF(G120=0,AN119*AL121,AN120*AL121)))</f>
        <v>0</v>
      </c>
      <c r="AN121" s="188">
        <f t="shared" si="23"/>
        <v>0</v>
      </c>
      <c r="AO121" s="185">
        <v>2017</v>
      </c>
      <c r="AP121" s="188"/>
    </row>
    <row r="122" spans="2:42" ht="20.100000000000001" hidden="1" customHeight="1">
      <c r="B122" s="185"/>
      <c r="C122" s="66"/>
      <c r="D122" s="65"/>
      <c r="E122" s="66"/>
      <c r="F122" s="487"/>
      <c r="G122" s="214"/>
      <c r="H122" s="188">
        <f t="shared" si="24"/>
        <v>0</v>
      </c>
      <c r="I122" s="185">
        <v>2018</v>
      </c>
      <c r="AH122" s="187">
        <f>IF(AND(G121=0,G120=0,G119=0),AJ118,IF(G121&gt;0,AJ121,IF(G120&gt;0,AJ120,AJ119)))</f>
        <v>42004</v>
      </c>
      <c r="AI122" s="186">
        <f>IF(AH122=0,0,VLOOKUP(YEAR(AH122),INPC!$B$4:$O$29,MONTH(AH122)+1))</f>
        <v>87.188983712964003</v>
      </c>
      <c r="AJ122" s="187">
        <v>43252</v>
      </c>
      <c r="AK122" s="186">
        <f>IF(AJ122=0,0,VLOOKUP(YEAR(AJ122),INPC!$B$4:$O$29,MONTH(AJ122)+1))</f>
        <v>99.376464931786998</v>
      </c>
      <c r="AL122" s="395" t="str">
        <f t="shared" si="22"/>
        <v>N/A</v>
      </c>
      <c r="AM122" s="111">
        <f>IF(AND(G121=0,G120=0,G119=0),IF(G122=0,0,AM118*AL122),IF(G122=0,0,IF(AND(G121=0,G120=0),AN119*AL122,IF(G121=0,AN120*AL122,AN121*AL122))))</f>
        <v>0</v>
      </c>
      <c r="AN122" s="188">
        <f t="shared" si="23"/>
        <v>0</v>
      </c>
      <c r="AO122" s="185">
        <v>2018</v>
      </c>
      <c r="AP122" s="188"/>
    </row>
    <row r="123" spans="2:42" ht="20.100000000000001" hidden="1" customHeight="1">
      <c r="B123" s="291"/>
      <c r="C123" s="340"/>
      <c r="D123" s="449"/>
      <c r="E123" s="340"/>
      <c r="F123" s="488"/>
      <c r="G123" s="320"/>
      <c r="H123" s="188">
        <f t="shared" si="24"/>
        <v>0</v>
      </c>
      <c r="I123" s="291">
        <v>2019</v>
      </c>
      <c r="AH123" s="312">
        <f>IF(AND(G122=0,G121=0,G120=0,G119=0),AJ118,IF(G122&gt;0,AJ122,IF(G121&gt;0,AJ121,IF(G120&gt;0,AJ120,AJ119))))</f>
        <v>42004</v>
      </c>
      <c r="AI123" s="313">
        <f>IF(AH123=0,0,VLOOKUP(YEAR(AH123),INPC!$B$4:$O$29,MONTH(AH123)+1))</f>
        <v>87.188983712964003</v>
      </c>
      <c r="AJ123" s="312">
        <v>43617</v>
      </c>
      <c r="AK123" s="313">
        <f>IF(AJ123=0,0,VLOOKUP(YEAR(AJ123),INPC!$B$4:$O$29,MONTH(AJ123)+1))</f>
        <v>103.29900000000001</v>
      </c>
      <c r="AL123" s="395" t="str">
        <f t="shared" si="22"/>
        <v>N/A</v>
      </c>
      <c r="AM123" s="314">
        <f>IF(AND(G122=0,G121=0,G120=0,G119=0),IF(G123=0,0,AM118*AL123),IF(G123=0,0,IF(AND(G122=0,G121=0,G120=0),AN119*AL123,IF(AND(G122=0,G121=0),AN120*AL123,IF(G122=0,AN121*AL123,AN122*AL123)))))</f>
        <v>0</v>
      </c>
      <c r="AN123" s="315">
        <f t="shared" si="23"/>
        <v>0</v>
      </c>
      <c r="AO123" s="291">
        <v>2019</v>
      </c>
      <c r="AP123" s="315"/>
    </row>
    <row r="124" spans="2:42" ht="20.100000000000001" hidden="1" customHeight="1">
      <c r="B124" s="321"/>
      <c r="C124" s="341"/>
      <c r="D124" s="450"/>
      <c r="E124" s="341"/>
      <c r="F124" s="489"/>
      <c r="G124" s="328"/>
      <c r="H124" s="188">
        <f t="shared" si="24"/>
        <v>0</v>
      </c>
      <c r="I124" s="321">
        <v>2020</v>
      </c>
      <c r="AH124" s="323">
        <f>IF(AND(G123=0,G122=0,G121=0,G120=0,G119=0),AJ118,IF(G123&gt;0,AJ123,IF(G122&gt;0,AJ122,IF(G121&gt;0,AJ121,IF(G120&gt;0,AJ120,AJ119)))))</f>
        <v>42004</v>
      </c>
      <c r="AI124" s="324">
        <f>IF(AH124=0,0,VLOOKUP(YEAR(AH124),INPC!$B$4:$O$29,MONTH(AH124)+1))</f>
        <v>87.188983712964003</v>
      </c>
      <c r="AJ124" s="323">
        <v>43983</v>
      </c>
      <c r="AK124" s="324">
        <f>IF(AJ124=0,0,VLOOKUP(YEAR(AJ124),INPC!$B$4:$O$29,MONTH(AJ124)+1))</f>
        <v>106.74299999999999</v>
      </c>
      <c r="AL124" s="395" t="str">
        <f t="shared" si="22"/>
        <v>N/A</v>
      </c>
      <c r="AM124" s="325">
        <f>IF(AND(G123=0,G122=0,G121=0,G120=0,G119=0),IF(G124=0,0,AM118*AL124),IF(G124=0,0,IF(AND(G123=0,G122=0,G121=0,G120=0),AN119*AL124,IF(AND(G123=0,G122=0,G121=0),AN120*AL124,IF(AND(G123=0,G122=0),AN121*AL124,IF(G123=0,AN122*AL124,AN123*AL124))))))</f>
        <v>0</v>
      </c>
      <c r="AN124" s="326">
        <f t="shared" si="23"/>
        <v>0</v>
      </c>
      <c r="AO124" s="321">
        <v>2020</v>
      </c>
      <c r="AP124" s="326"/>
    </row>
    <row r="125" spans="2:42" ht="20.100000000000001" hidden="1" customHeight="1">
      <c r="B125" s="321"/>
      <c r="C125" s="341"/>
      <c r="D125" s="450"/>
      <c r="E125" s="341"/>
      <c r="F125" s="489"/>
      <c r="G125" s="328"/>
      <c r="H125" s="188">
        <f t="shared" si="24"/>
        <v>0</v>
      </c>
      <c r="I125" s="321">
        <v>2021</v>
      </c>
      <c r="AH125" s="323">
        <f>IF(AND(G124=0,G123=0,G122=0,G121=0,G120=0,G119=0),AJ118,IF(G124&gt;0,AJ124,IF(G123&gt;0,AJ123,IF(G122&gt;0,AJ122,IF(G121&gt;0,AJ121,IF(G120&gt;0,AJ120,AJ119))))))</f>
        <v>42004</v>
      </c>
      <c r="AI125" s="324">
        <f>IF(AH125=0,0,VLOOKUP(YEAR(AH125),INPC!$B$4:$O$29,MONTH(AH125)+1))</f>
        <v>87.188983712964003</v>
      </c>
      <c r="AJ125" s="323">
        <v>44348</v>
      </c>
      <c r="AK125" s="324">
        <f>IF(AJ125=0,0,VLOOKUP(YEAR(AJ125),INPC!$B$4:$O$29,MONTH(AJ125)+1))</f>
        <v>113.018</v>
      </c>
      <c r="AL125" s="395" t="str">
        <f t="shared" si="22"/>
        <v>N/A</v>
      </c>
      <c r="AM125" s="325">
        <f>IF(AND(G124=0,G123=0,G122=0,G121=0,G120=0,G119=0),IF(G125=0,0,AM118*AL125),IF(G125=0,0,IF(AND(G124=0,G123=0,G122=0,G121=0,G120=0),AN119*AL125,IF(AND(G124=0,G123=0,G122=0,G121=0),AN120*AL125,IF(AND(G124=0,G123=0,G122=0),AN121*AL125,IF(AND(G124=0,G123=0),AN122*AL125,IF(G124=0,AN123*AL125,AN124*AL125)))))))</f>
        <v>0</v>
      </c>
      <c r="AN125" s="326">
        <f t="shared" si="23"/>
        <v>0</v>
      </c>
      <c r="AO125" s="321">
        <v>2021</v>
      </c>
      <c r="AP125" s="326"/>
    </row>
    <row r="126" spans="2:42" ht="20.100000000000001" hidden="1" customHeight="1">
      <c r="B126" s="321"/>
      <c r="C126" s="341"/>
      <c r="D126" s="450"/>
      <c r="E126" s="341"/>
      <c r="F126" s="489"/>
      <c r="G126" s="328">
        <v>9.9999999999999995E-7</v>
      </c>
      <c r="H126" s="188">
        <f t="shared" si="24"/>
        <v>0</v>
      </c>
      <c r="I126" s="321">
        <v>2022</v>
      </c>
      <c r="AH126" s="323">
        <f>IF(AND(G125=0,G124=0,G123=0,G122=0,G121=0,G120=0,G119=0),AJ118,IF(G125&gt;0,AJ125,IF(G124&gt;0,AJ124,IF(G123&gt;0,AJ123,IF(G122&gt;0,AJ122,IF(G121&gt;0,AJ121,IF(G120&gt;0,AJ120,AJ119)))))))</f>
        <v>42004</v>
      </c>
      <c r="AI126" s="324">
        <f>IF(AH126=0,0,VLOOKUP(YEAR(AH126),INPC!$B$4:$O$29,MONTH(AH126)+1))</f>
        <v>87.188983712964003</v>
      </c>
      <c r="AJ126" s="323">
        <v>44713</v>
      </c>
      <c r="AK126" s="324">
        <f>IF(AJ126=0,0,VLOOKUP(YEAR(AJ126),INPC!$B$4:$O$29,MONTH(AJ126)+1))</f>
        <v>122.044</v>
      </c>
      <c r="AL126" s="395">
        <f t="shared" si="22"/>
        <v>1.3996999999999999</v>
      </c>
      <c r="AM126" s="325">
        <f>IF(AND(G125=0,G124=0,G123=0,G122=0,G121=0,G120=0,G119=0),IF(G126=0,0,AM118*AL126),IF(G126=0,0,IF(AND(G125=0,G124=0,G123=0,G122=0,G121=0,G120=0),AN119*AL126,IF(AND(G125=0,G124=0,G123=0,G122=0,G121=0),AN120*AL126,IF(AND(G125=0,G124=0,G123=0,G122=0),AN121*AL126,IF(AND(G125=0,G124=0,G123=0),AN122*AL126,IF(AND(G125=0,G124=0),AN123*AL126,IF(G125=0,AN124*AL126,AN125*AL126))))))))</f>
        <v>0</v>
      </c>
      <c r="AN126" s="326">
        <f>IF(G126=0.00001,0,AM126-G126)</f>
        <v>-9.9999999999999995E-7</v>
      </c>
      <c r="AO126" s="321">
        <v>2022</v>
      </c>
      <c r="AP126" s="327">
        <f>AM126</f>
        <v>0</v>
      </c>
    </row>
    <row r="127" spans="2:42" ht="20.100000000000001" hidden="1" customHeight="1">
      <c r="B127" s="112"/>
      <c r="C127" s="13"/>
      <c r="D127" s="55"/>
      <c r="E127" s="13"/>
      <c r="F127" s="264"/>
      <c r="G127" s="264"/>
      <c r="H127" s="184"/>
      <c r="I127" s="112"/>
      <c r="AH127" s="316"/>
      <c r="AI127" s="317"/>
      <c r="AJ127" s="316"/>
      <c r="AK127" s="317"/>
      <c r="AL127" s="318"/>
      <c r="AM127" s="311"/>
      <c r="AN127" s="184"/>
      <c r="AO127" s="112"/>
      <c r="AP127" s="184"/>
    </row>
    <row r="128" spans="2:42" ht="20.100000000000001" hidden="1" customHeight="1">
      <c r="B128" s="62"/>
      <c r="C128" s="259"/>
      <c r="D128" s="259"/>
      <c r="E128" s="259"/>
      <c r="F128" s="259"/>
      <c r="G128" s="259"/>
      <c r="H128" s="62"/>
      <c r="I128" s="62"/>
      <c r="AH128" s="62"/>
      <c r="AI128" s="62"/>
      <c r="AJ128" s="62"/>
      <c r="AK128" s="62"/>
      <c r="AL128" s="62"/>
      <c r="AM128" s="62"/>
      <c r="AN128" s="62"/>
      <c r="AO128" s="62"/>
      <c r="AP128" s="62"/>
    </row>
    <row r="129" spans="2:42" ht="20.100000000000001" hidden="1" customHeight="1">
      <c r="B129" s="185">
        <v>2015</v>
      </c>
      <c r="C129" s="66" t="s">
        <v>645</v>
      </c>
      <c r="D129" s="65"/>
      <c r="E129" s="66"/>
      <c r="F129" s="213"/>
      <c r="G129" s="482"/>
      <c r="H129" s="455"/>
      <c r="I129" s="456"/>
      <c r="AH129" s="187">
        <v>42186</v>
      </c>
      <c r="AI129" s="186">
        <f>IF(AH129=0,0,VLOOKUP(YEAR(AH129),INPC!$B$4:$O$29,MONTH(AH129)+1))</f>
        <v>87.240819760803006</v>
      </c>
      <c r="AJ129" s="187">
        <v>42339</v>
      </c>
      <c r="AK129" s="186">
        <f>IF(AJ129=0,0,VLOOKUP(YEAR(AJ129),INPC!$B$4:$O$29,MONTH(AJ129)+1))</f>
        <v>89.046817717411002</v>
      </c>
      <c r="AL129" s="395">
        <f>IF(AI129=0,0,IF(TRUNC(AK129/AI129,4)&lt;1,1,TRUNC(AK129/AI129,4)))</f>
        <v>1.0206999999999999</v>
      </c>
      <c r="AM129" s="111">
        <f>+F129*AL129</f>
        <v>0</v>
      </c>
      <c r="AN129" s="455"/>
      <c r="AO129" s="456"/>
      <c r="AP129" s="455"/>
    </row>
    <row r="130" spans="2:42" ht="20.100000000000001" hidden="1" customHeight="1">
      <c r="B130" s="185"/>
      <c r="C130" s="66"/>
      <c r="D130" s="65"/>
      <c r="E130" s="66"/>
      <c r="F130" s="487"/>
      <c r="G130" s="214"/>
      <c r="H130" s="188">
        <f>IF(F129-G130&lt;=0,0,F129-G130)</f>
        <v>0</v>
      </c>
      <c r="I130" s="185">
        <v>2016</v>
      </c>
      <c r="AH130" s="187">
        <f>+AJ129</f>
        <v>42339</v>
      </c>
      <c r="AI130" s="186">
        <f>IF(AH130=0,0,VLOOKUP(YEAR(AH130),INPC!$B$4:$O$29,MONTH(AH130)+1))</f>
        <v>89.046817717411002</v>
      </c>
      <c r="AJ130" s="187">
        <v>42522</v>
      </c>
      <c r="AK130" s="186">
        <f>IF(AJ130=0,0,VLOOKUP(YEAR(AJ130),INPC!$B$4:$O$29,MONTH(AJ130)+1))</f>
        <v>89.324027886291006</v>
      </c>
      <c r="AL130" s="395" t="str">
        <f t="shared" ref="AL130:AL136" si="25">IF(G130=0,"N/A",TRUNC(AK130/AI130,4))</f>
        <v>N/A</v>
      </c>
      <c r="AM130" s="111">
        <f>IF(G130=0,0,AM129*AL130)</f>
        <v>0</v>
      </c>
      <c r="AN130" s="188">
        <f t="shared" ref="AN130:AN135" si="26">+AM130-G130</f>
        <v>0</v>
      </c>
      <c r="AO130" s="185">
        <v>2016</v>
      </c>
      <c r="AP130" s="188"/>
    </row>
    <row r="131" spans="2:42" ht="20.100000000000001" hidden="1" customHeight="1">
      <c r="B131" s="185"/>
      <c r="C131" s="66"/>
      <c r="D131" s="65"/>
      <c r="E131" s="66"/>
      <c r="F131" s="487"/>
      <c r="G131" s="214"/>
      <c r="H131" s="188">
        <f>IF(H130-G131&lt;=0,0,H130-G131)</f>
        <v>0</v>
      </c>
      <c r="I131" s="185">
        <v>2017</v>
      </c>
      <c r="AH131" s="187">
        <f>IF(G130=0,AJ129,AJ130)</f>
        <v>42339</v>
      </c>
      <c r="AI131" s="186">
        <f>IF(AH131=0,0,VLOOKUP(YEAR(AH131),INPC!$B$4:$O$29,MONTH(AH131)+1))</f>
        <v>89.046817717411002</v>
      </c>
      <c r="AJ131" s="187">
        <v>42887</v>
      </c>
      <c r="AK131" s="186">
        <f>IF(AJ131=0,0,VLOOKUP(YEAR(AJ131),INPC!$B$4:$O$29,MONTH(AJ131)+1))</f>
        <v>94.963639641805003</v>
      </c>
      <c r="AL131" s="395" t="str">
        <f t="shared" si="25"/>
        <v>N/A</v>
      </c>
      <c r="AM131" s="111">
        <f>IF(G130=0,IF(G131=0,0,AM129*AL131),IF(G131=0,0,AN130*AL131))</f>
        <v>0</v>
      </c>
      <c r="AN131" s="188">
        <f t="shared" si="26"/>
        <v>0</v>
      </c>
      <c r="AO131" s="185">
        <v>2017</v>
      </c>
      <c r="AP131" s="188"/>
    </row>
    <row r="132" spans="2:42" ht="20.100000000000001" hidden="1" customHeight="1">
      <c r="B132" s="185"/>
      <c r="C132" s="66"/>
      <c r="D132" s="65"/>
      <c r="E132" s="66"/>
      <c r="F132" s="487"/>
      <c r="G132" s="214"/>
      <c r="H132" s="188">
        <f t="shared" ref="H132:H136" si="27">IF(H131-G132&lt;=0,0,H131-G132)</f>
        <v>0</v>
      </c>
      <c r="I132" s="185">
        <v>2018</v>
      </c>
      <c r="AH132" s="187">
        <f>IF(AND(G131=0,G130=0),AJ129,IF(G131&gt;0,AJ131,AJ130))</f>
        <v>42339</v>
      </c>
      <c r="AI132" s="186">
        <f>IF(AH132=0,0,VLOOKUP(YEAR(AH132),INPC!$B$4:$O$29,MONTH(AH132)+1))</f>
        <v>89.046817717411002</v>
      </c>
      <c r="AJ132" s="187">
        <v>43252</v>
      </c>
      <c r="AK132" s="186">
        <f>IF(AJ132=0,0,VLOOKUP(YEAR(AJ132),INPC!$B$4:$O$29,MONTH(AJ132)+1))</f>
        <v>99.376464931786998</v>
      </c>
      <c r="AL132" s="395" t="str">
        <f t="shared" si="25"/>
        <v>N/A</v>
      </c>
      <c r="AM132" s="111">
        <f>IF(AND(G131=0,G130=0),IF(G132=0,0,AM129*AL132),IF(G132=0,0,IF(G131=0,AN130*AL132,AN131*AL132)))</f>
        <v>0</v>
      </c>
      <c r="AN132" s="188">
        <f t="shared" si="26"/>
        <v>0</v>
      </c>
      <c r="AO132" s="185">
        <v>2018</v>
      </c>
      <c r="AP132" s="188"/>
    </row>
    <row r="133" spans="2:42" ht="20.100000000000001" hidden="1" customHeight="1">
      <c r="B133" s="185"/>
      <c r="C133" s="66"/>
      <c r="D133" s="65"/>
      <c r="E133" s="66"/>
      <c r="F133" s="487"/>
      <c r="G133" s="214"/>
      <c r="H133" s="188">
        <f t="shared" si="27"/>
        <v>0</v>
      </c>
      <c r="I133" s="291">
        <v>2019</v>
      </c>
      <c r="AH133" s="187">
        <f>IF(AND(G132=0,G131=0,G130=0),AJ129,IF(G132&gt;0,AJ132,IF(G131&gt;0,AJ131,AJ130)))</f>
        <v>42339</v>
      </c>
      <c r="AI133" s="186">
        <f>IF(AH133=0,0,VLOOKUP(YEAR(AH133),INPC!$B$4:$O$29,MONTH(AH133)+1))</f>
        <v>89.046817717411002</v>
      </c>
      <c r="AJ133" s="312">
        <v>43617</v>
      </c>
      <c r="AK133" s="186">
        <f>IF(AJ133=0,0,VLOOKUP(YEAR(AJ133),INPC!$B$4:$O$29,MONTH(AJ133)+1))</f>
        <v>103.29900000000001</v>
      </c>
      <c r="AL133" s="395" t="str">
        <f t="shared" si="25"/>
        <v>N/A</v>
      </c>
      <c r="AM133" s="111">
        <f>IF(AND(G132=0,G131=0,G130=0),IF(G133=0,0,AM129*AL133),IF(G133=0,0,IF(AND(G132=0,G131=0),AN130*AL133,IF(G132=0,AN131*AL133,AN132*AL133))))</f>
        <v>0</v>
      </c>
      <c r="AN133" s="188">
        <f t="shared" si="26"/>
        <v>0</v>
      </c>
      <c r="AO133" s="291">
        <v>2019</v>
      </c>
      <c r="AP133" s="188"/>
    </row>
    <row r="134" spans="2:42" ht="20.100000000000001" hidden="1" customHeight="1">
      <c r="B134" s="185"/>
      <c r="C134" s="66"/>
      <c r="D134" s="65"/>
      <c r="E134" s="66"/>
      <c r="F134" s="487"/>
      <c r="G134" s="214"/>
      <c r="H134" s="188">
        <f t="shared" si="27"/>
        <v>0</v>
      </c>
      <c r="I134" s="321">
        <v>2020</v>
      </c>
      <c r="AH134" s="187">
        <f>IF(AND(G133=0,G132=0,G131=0,G130=0),AJ129,IF(G133&gt;0,AJ133,IF(G132&gt;0,AJ132,IF(G131&gt;0,AJ131,AJ130))))</f>
        <v>42339</v>
      </c>
      <c r="AI134" s="186">
        <f>IF(AH134=0,0,VLOOKUP(YEAR(AH134),INPC!$B$4:$O$29,MONTH(AH134)+1))</f>
        <v>89.046817717411002</v>
      </c>
      <c r="AJ134" s="323">
        <v>43983</v>
      </c>
      <c r="AK134" s="186">
        <f>IF(AJ134=0,0,VLOOKUP(YEAR(AJ134),INPC!$B$4:$O$29,MONTH(AJ134)+1))</f>
        <v>106.74299999999999</v>
      </c>
      <c r="AL134" s="395" t="str">
        <f t="shared" si="25"/>
        <v>N/A</v>
      </c>
      <c r="AM134" s="111">
        <f>IF(AND(G133=0,G132=0,G131=0,G130=0),IF(G134=0,0,AM129*AL134),IF(G134=0,0,IF(AND(G133=0,G132=0,G131=0),AN130*AL134,IF(AND(G133=0,G132=0),AN131*AL134,IF(G133=0,AN132*AL134,AN133*AL134)))))</f>
        <v>0</v>
      </c>
      <c r="AN134" s="188">
        <f t="shared" si="26"/>
        <v>0</v>
      </c>
      <c r="AO134" s="321">
        <v>2020</v>
      </c>
      <c r="AP134" s="188"/>
    </row>
    <row r="135" spans="2:42" ht="20.100000000000001" hidden="1" customHeight="1">
      <c r="B135" s="185"/>
      <c r="C135" s="66"/>
      <c r="D135" s="65"/>
      <c r="E135" s="66"/>
      <c r="F135" s="487"/>
      <c r="G135" s="214"/>
      <c r="H135" s="188">
        <f t="shared" si="27"/>
        <v>0</v>
      </c>
      <c r="I135" s="321">
        <v>2021</v>
      </c>
      <c r="AH135" s="187">
        <f>IF(AND(G134=0,G133=0,G132=0,G131=0,G130=0),AJ129,IF(G134&gt;0,AJ134,IF(G133&gt;0,AJ133,IF(G132&gt;0,AJ132,IF(G131&gt;0,AJ131,AJ130)))))</f>
        <v>42339</v>
      </c>
      <c r="AI135" s="186">
        <f>IF(AH135=0,0,VLOOKUP(YEAR(AH135),INPC!$B$4:$O$29,MONTH(AH135)+1))</f>
        <v>89.046817717411002</v>
      </c>
      <c r="AJ135" s="323">
        <v>44348</v>
      </c>
      <c r="AK135" s="186">
        <f>IF(AJ135=0,0,VLOOKUP(YEAR(AJ135),INPC!$B$4:$O$29,MONTH(AJ135)+1))</f>
        <v>113.018</v>
      </c>
      <c r="AL135" s="395" t="str">
        <f t="shared" si="25"/>
        <v>N/A</v>
      </c>
      <c r="AM135" s="111">
        <f>IF(AND(G134=0,G133=0,G132=0,G131=0,G130=0),IF(G135=0,0,AM129*AL135),IF(G135=0,0,IF(AND(G134=0,G133=0,G132=0,G131=0),AN130*AL135,IF(AND(G134=0,G133=0,G132=0),AN131*AL135,IF(AND(G134=0,G133=0),AN132*AL135,IF(G134=0,AN133*AL135,AN134*AL135))))))</f>
        <v>0</v>
      </c>
      <c r="AN135" s="188">
        <f t="shared" si="26"/>
        <v>0</v>
      </c>
      <c r="AO135" s="321">
        <v>2021</v>
      </c>
      <c r="AP135" s="188"/>
    </row>
    <row r="136" spans="2:42" ht="20.100000000000001" hidden="1" customHeight="1">
      <c r="B136" s="185"/>
      <c r="C136" s="66"/>
      <c r="D136" s="65"/>
      <c r="E136" s="66"/>
      <c r="F136" s="487"/>
      <c r="G136" s="214">
        <v>1.0000000000000001E-5</v>
      </c>
      <c r="H136" s="188">
        <f t="shared" si="27"/>
        <v>0</v>
      </c>
      <c r="I136" s="321">
        <v>2022</v>
      </c>
      <c r="AH136" s="187">
        <f>IF(AND(G135=0,G134=0,G133=0,G132=0,G131=0,G130=0),AJ129,IF(G135&gt;0,AJ135,IF(G134&gt;0,AJ134,IF(G133&gt;0,AJ133,IF(G132&gt;0,AJ132,IF(G131&gt;0,AJ131,AJ130))))))</f>
        <v>42339</v>
      </c>
      <c r="AI136" s="186">
        <f>IF(AH136=0,0,VLOOKUP(YEAR(AH136),INPC!$B$4:$O$29,MONTH(AH136)+1))</f>
        <v>89.046817717411002</v>
      </c>
      <c r="AJ136" s="323">
        <v>44713</v>
      </c>
      <c r="AK136" s="186">
        <f>IF(AJ136=0,0,VLOOKUP(YEAR(AJ136),INPC!$B$4:$O$29,MONTH(AJ136)+1))</f>
        <v>122.044</v>
      </c>
      <c r="AL136" s="395">
        <f t="shared" si="25"/>
        <v>1.3705000000000001</v>
      </c>
      <c r="AM136" s="111">
        <f>IF(AND(G135=0,G134=0,G133=0,G132=0,G131=0,G130=0),IF(G136=0,0,AM129*AL136),IF(G136=0,0,IF(AND(G135=0,G134=0,G133=0,G132=0,G131=0),AN130*AL136,IF(AND(G135=0,G134=0,G133=0,G132=0),AN131*AL136,IF(AND(G135=0,G134=0,G133=0),AN132*AL136,IF(AND(G135=0,G134=0),AN133*AL136,IF(G135=0,AN134*AL136,AN135*AL136)))))))</f>
        <v>0</v>
      </c>
      <c r="AN136" s="188">
        <f>IF(G136=0.00001,0,AM136-G136)</f>
        <v>0</v>
      </c>
      <c r="AO136" s="321">
        <v>2022</v>
      </c>
      <c r="AP136" s="189">
        <f>AM136</f>
        <v>0</v>
      </c>
    </row>
    <row r="137" spans="2:42" ht="20.100000000000001" hidden="1" customHeight="1">
      <c r="B137" s="62"/>
      <c r="C137" s="259"/>
      <c r="D137" s="259"/>
      <c r="E137" s="259"/>
      <c r="F137" s="259"/>
      <c r="G137" s="259"/>
      <c r="H137" s="62"/>
      <c r="I137" s="62"/>
      <c r="AH137" s="62"/>
      <c r="AI137" s="62"/>
      <c r="AJ137" s="62"/>
      <c r="AK137" s="62"/>
      <c r="AL137" s="62"/>
      <c r="AM137" s="62"/>
      <c r="AN137" s="62"/>
      <c r="AO137" s="62"/>
      <c r="AP137" s="62"/>
    </row>
    <row r="138" spans="2:42" ht="20.100000000000001" hidden="1" customHeight="1">
      <c r="B138" s="62"/>
      <c r="C138" s="259"/>
      <c r="D138" s="259"/>
      <c r="E138" s="259"/>
      <c r="F138" s="259"/>
      <c r="G138" s="259"/>
      <c r="H138" s="62"/>
      <c r="I138" s="62"/>
      <c r="AH138" s="62"/>
      <c r="AI138" s="62"/>
      <c r="AJ138" s="62"/>
      <c r="AK138" s="62"/>
      <c r="AL138" s="62"/>
      <c r="AM138" s="62"/>
      <c r="AN138" s="62"/>
      <c r="AO138" s="62"/>
      <c r="AP138" s="62"/>
    </row>
    <row r="139" spans="2:42" ht="20.100000000000001" hidden="1" customHeight="1">
      <c r="B139" s="185">
        <v>2016</v>
      </c>
      <c r="C139" s="66" t="s">
        <v>645</v>
      </c>
      <c r="D139" s="65"/>
      <c r="E139" s="66"/>
      <c r="F139" s="213"/>
      <c r="G139" s="482"/>
      <c r="H139" s="455"/>
      <c r="I139" s="456"/>
      <c r="AH139" s="187">
        <v>42552</v>
      </c>
      <c r="AI139" s="186">
        <f>IF(AH139=0,0,VLOOKUP(YEAR(AH139),INPC!$B$4:$O$29,MONTH(AH139)+1))</f>
        <v>89.556914478034003</v>
      </c>
      <c r="AJ139" s="187">
        <v>42735</v>
      </c>
      <c r="AK139" s="186">
        <f>IF(AJ139=0,0,VLOOKUP(YEAR(AJ139),INPC!$B$4:$O$29,MONTH(AJ139)+1))</f>
        <v>92.039034797764003</v>
      </c>
      <c r="AL139" s="395">
        <f>IF(AI139=0,0,IF(TRUNC(AK139/AI139,4)&lt;1,1,TRUNC(AK139/AI139,4)))</f>
        <v>1.0277000000000001</v>
      </c>
      <c r="AM139" s="111">
        <f>+F139*AL139</f>
        <v>0</v>
      </c>
      <c r="AN139" s="455"/>
      <c r="AO139" s="456"/>
      <c r="AP139" s="455"/>
    </row>
    <row r="140" spans="2:42" ht="20.100000000000001" hidden="1" customHeight="1">
      <c r="B140" s="185"/>
      <c r="C140" s="66"/>
      <c r="D140" s="65"/>
      <c r="E140" s="66"/>
      <c r="F140" s="487"/>
      <c r="G140" s="214"/>
      <c r="H140" s="188">
        <f>IF(F139-G140&lt;=0,0,F139-G140)</f>
        <v>0</v>
      </c>
      <c r="I140" s="185">
        <v>2017</v>
      </c>
      <c r="AH140" s="187">
        <f>+AJ139</f>
        <v>42735</v>
      </c>
      <c r="AI140" s="186">
        <f>IF(AH140=0,0,VLOOKUP(YEAR(AH140),INPC!$B$4:$O$29,MONTH(AH140)+1))</f>
        <v>92.039034797764003</v>
      </c>
      <c r="AJ140" s="187">
        <v>42887</v>
      </c>
      <c r="AK140" s="186">
        <f>IF(AJ140=0,0,VLOOKUP(YEAR(AJ140),INPC!$B$4:$O$29,MONTH(AJ140)+1))</f>
        <v>94.963639641805003</v>
      </c>
      <c r="AL140" s="395" t="str">
        <f t="shared" ref="AL140:AL145" si="28">IF(G140=0,"N/A",TRUNC(AK140/AI140,4))</f>
        <v>N/A</v>
      </c>
      <c r="AM140" s="111">
        <f>IF(G140=0,0,AM139*AL140)</f>
        <v>0</v>
      </c>
      <c r="AN140" s="188">
        <f>+AM140-G140</f>
        <v>0</v>
      </c>
      <c r="AO140" s="185">
        <v>2017</v>
      </c>
      <c r="AP140" s="188"/>
    </row>
    <row r="141" spans="2:42" ht="20.100000000000001" hidden="1" customHeight="1">
      <c r="B141" s="185"/>
      <c r="C141" s="66"/>
      <c r="D141" s="65"/>
      <c r="E141" s="66"/>
      <c r="F141" s="487"/>
      <c r="G141" s="214"/>
      <c r="H141" s="188">
        <f>IF(H140-G141&lt;=0,0,H140-G141)</f>
        <v>0</v>
      </c>
      <c r="I141" s="185">
        <v>2018</v>
      </c>
      <c r="AH141" s="187">
        <f>IF(G140=0,AJ139,AJ140)</f>
        <v>42735</v>
      </c>
      <c r="AI141" s="186">
        <f>IF(AH141=0,0,VLOOKUP(YEAR(AH141),INPC!$B$4:$O$29,MONTH(AH141)+1))</f>
        <v>92.039034797764003</v>
      </c>
      <c r="AJ141" s="187">
        <v>43252</v>
      </c>
      <c r="AK141" s="186">
        <f>IF(AJ141=0,0,VLOOKUP(YEAR(AJ141),INPC!$B$4:$O$29,MONTH(AJ141)+1))</f>
        <v>99.376464931786998</v>
      </c>
      <c r="AL141" s="395" t="str">
        <f t="shared" si="28"/>
        <v>N/A</v>
      </c>
      <c r="AM141" s="111">
        <f>IF(G140=0,IF(G141=0,0,AM139*AL141),IF(G141=0,0,AN140*AL141))</f>
        <v>0</v>
      </c>
      <c r="AN141" s="188">
        <f>+AM141-G141</f>
        <v>0</v>
      </c>
      <c r="AO141" s="185">
        <v>2018</v>
      </c>
      <c r="AP141" s="188"/>
    </row>
    <row r="142" spans="2:42" ht="20.100000000000001" hidden="1" customHeight="1">
      <c r="B142" s="185"/>
      <c r="C142" s="66"/>
      <c r="D142" s="65"/>
      <c r="E142" s="66"/>
      <c r="F142" s="487"/>
      <c r="G142" s="214"/>
      <c r="H142" s="188">
        <f t="shared" ref="H142:H145" si="29">IF(H141-G142&lt;=0,0,H141-G142)</f>
        <v>0</v>
      </c>
      <c r="I142" s="291">
        <v>2019</v>
      </c>
      <c r="AH142" s="187">
        <f>IF(AND(G141=0,G140=0),AJ139,IF(G141&gt;0,AJ141,AJ140))</f>
        <v>42735</v>
      </c>
      <c r="AI142" s="186">
        <f>IF(AH142=0,0,VLOOKUP(YEAR(AH142),INPC!$B$4:$O$29,MONTH(AH142)+1))</f>
        <v>92.039034797764003</v>
      </c>
      <c r="AJ142" s="312">
        <v>43617</v>
      </c>
      <c r="AK142" s="186">
        <f>IF(AJ142=0,0,VLOOKUP(YEAR(AJ142),INPC!$B$4:$O$29,MONTH(AJ142)+1))</f>
        <v>103.29900000000001</v>
      </c>
      <c r="AL142" s="395" t="str">
        <f t="shared" si="28"/>
        <v>N/A</v>
      </c>
      <c r="AM142" s="111">
        <f>IF(AND(G141=0,G140=0),IF(G142=0,0,AM139*AL142),IF(G142=0,0,IF(G141=0,AN140*AL142,AN141*AL142)))</f>
        <v>0</v>
      </c>
      <c r="AN142" s="188">
        <f>+AM142-G142</f>
        <v>0</v>
      </c>
      <c r="AO142" s="291">
        <v>2019</v>
      </c>
      <c r="AP142" s="188"/>
    </row>
    <row r="143" spans="2:42" ht="20.100000000000001" hidden="1" customHeight="1">
      <c r="B143" s="185"/>
      <c r="C143" s="66"/>
      <c r="D143" s="65"/>
      <c r="E143" s="66"/>
      <c r="F143" s="487"/>
      <c r="G143" s="214"/>
      <c r="H143" s="188">
        <f t="shared" si="29"/>
        <v>0</v>
      </c>
      <c r="I143" s="321">
        <v>2020</v>
      </c>
      <c r="AH143" s="187">
        <f>IF(AND(G142=0,G141=0,G140=0),AJ139,IF(G142&gt;0,AJ142,IF(G141&gt;0,AJ141,AJ140)))</f>
        <v>42735</v>
      </c>
      <c r="AI143" s="186">
        <f>IF(AH143=0,0,VLOOKUP(YEAR(AH143),INPC!$B$4:$O$29,MONTH(AH143)+1))</f>
        <v>92.039034797764003</v>
      </c>
      <c r="AJ143" s="323">
        <v>43983</v>
      </c>
      <c r="AK143" s="186">
        <f>IF(AJ143=0,0,VLOOKUP(YEAR(AJ143),INPC!$B$4:$O$29,MONTH(AJ143)+1))</f>
        <v>106.74299999999999</v>
      </c>
      <c r="AL143" s="395" t="str">
        <f t="shared" si="28"/>
        <v>N/A</v>
      </c>
      <c r="AM143" s="111">
        <f>IF(AND(G142=0,G141=0,G140=0),IF(G143=0,0,AM139*AL143),IF(G143=0,0,IF(AND(G142=0,G141=0),AN140*AL143,IF(G142=0,AN141*AL143,AN142*AL143))))</f>
        <v>0</v>
      </c>
      <c r="AN143" s="188">
        <f>+AM143-G143</f>
        <v>0</v>
      </c>
      <c r="AO143" s="321">
        <v>2020</v>
      </c>
      <c r="AP143" s="188"/>
    </row>
    <row r="144" spans="2:42" ht="20.100000000000001" hidden="1" customHeight="1">
      <c r="B144" s="185"/>
      <c r="C144" s="66"/>
      <c r="D144" s="65"/>
      <c r="E144" s="66"/>
      <c r="F144" s="487"/>
      <c r="G144" s="214"/>
      <c r="H144" s="188">
        <f t="shared" si="29"/>
        <v>0</v>
      </c>
      <c r="I144" s="321">
        <v>2021</v>
      </c>
      <c r="AH144" s="187">
        <f>IF(AND(G143=0,G142=0,G141=0,G140=0),AJ139,IF(G143&gt;0,AJ143,IF(G142&gt;0,AJ142,IF(G141&gt;0,AJ141,AJ140))))</f>
        <v>42735</v>
      </c>
      <c r="AI144" s="186">
        <f>IF(AH144=0,0,VLOOKUP(YEAR(AH144),INPC!$B$4:$O$29,MONTH(AH144)+1))</f>
        <v>92.039034797764003</v>
      </c>
      <c r="AJ144" s="323">
        <v>44348</v>
      </c>
      <c r="AK144" s="186">
        <f>IF(AJ144=0,0,VLOOKUP(YEAR(AJ144),INPC!$B$4:$O$29,MONTH(AJ144)+1))</f>
        <v>113.018</v>
      </c>
      <c r="AL144" s="395" t="str">
        <f t="shared" si="28"/>
        <v>N/A</v>
      </c>
      <c r="AM144" s="111">
        <f>IF(AND(G143=0,G142=0,G141=0,G140=0),IF(G144=0,0,AM139*AL144),IF(G144=0,0,IF(AND(G143=0,G142=0,G141=0),AN140*AL144,IF(AND(G143=0,G142=0),AN141*AL144,IF(G143=0,AN142*AL144,AN143*AL144)))))</f>
        <v>0</v>
      </c>
      <c r="AN144" s="188">
        <f>+AM144-G144</f>
        <v>0</v>
      </c>
      <c r="AO144" s="321">
        <v>2021</v>
      </c>
      <c r="AP144" s="188"/>
    </row>
    <row r="145" spans="2:42" ht="20.100000000000001" hidden="1" customHeight="1">
      <c r="B145" s="185"/>
      <c r="C145" s="66"/>
      <c r="D145" s="65"/>
      <c r="E145" s="66"/>
      <c r="F145" s="487"/>
      <c r="G145" s="214">
        <v>1.0000000000000001E-5</v>
      </c>
      <c r="H145" s="188">
        <f t="shared" si="29"/>
        <v>0</v>
      </c>
      <c r="I145" s="321">
        <v>2022</v>
      </c>
      <c r="AH145" s="187">
        <f>IF(AND(G144=0,G143=0,G142=0,G141=0,G140=0),AJ139,IF(G144&gt;0,AJ144,IF(G143&gt;0,AJ143,IF(G142&gt;0,AJ142,IF(G141&gt;0,AJ141,AJ140)))))</f>
        <v>42735</v>
      </c>
      <c r="AI145" s="186">
        <f>IF(AH145=0,0,VLOOKUP(YEAR(AH145),INPC!$B$4:$O$29,MONTH(AH145)+1))</f>
        <v>92.039034797764003</v>
      </c>
      <c r="AJ145" s="323">
        <v>44713</v>
      </c>
      <c r="AK145" s="186">
        <f>IF(AJ145=0,0,VLOOKUP(YEAR(AJ145),INPC!$B$4:$O$29,MONTH(AJ145)+1))</f>
        <v>122.044</v>
      </c>
      <c r="AL145" s="395">
        <f t="shared" si="28"/>
        <v>1.3260000000000001</v>
      </c>
      <c r="AM145" s="111">
        <f>IF(AND(G144=0,G143=0,G142=0,G141=0,G140=0),IF(G145=0,0,AM139*AL145),IF(G145=0,0,IF(AND(G144=0,G143=0,G142=0,G141=0),AN140*AL145,IF(AND(G144=0,G143=0,G142=0),AN141*AL145,IF(AND(G144=0,G143=0),AN142*AL145,IF(G144=0,AN143*AL145,AN144*AL145))))))</f>
        <v>0</v>
      </c>
      <c r="AN145" s="188">
        <f>IF(G145=0.00001,0,AM145-G145)</f>
        <v>0</v>
      </c>
      <c r="AO145" s="321">
        <v>2022</v>
      </c>
      <c r="AP145" s="189">
        <f>AM145</f>
        <v>0</v>
      </c>
    </row>
    <row r="146" spans="2:42" ht="20.100000000000001" hidden="1" customHeight="1">
      <c r="C146" s="13"/>
      <c r="D146" s="13"/>
      <c r="E146" s="13"/>
      <c r="F146" s="13"/>
      <c r="G146" s="13"/>
      <c r="H146" s="12"/>
      <c r="I146" s="12"/>
    </row>
    <row r="147" spans="2:42" ht="20.100000000000001" hidden="1" customHeight="1">
      <c r="C147" s="13"/>
      <c r="D147" s="13"/>
      <c r="E147" s="13"/>
      <c r="F147" s="13"/>
      <c r="G147" s="13"/>
      <c r="H147" s="12"/>
      <c r="I147" s="12"/>
    </row>
    <row r="148" spans="2:42" ht="20.100000000000001" hidden="1" customHeight="1">
      <c r="B148" s="185">
        <v>2017</v>
      </c>
      <c r="C148" s="66" t="s">
        <v>645</v>
      </c>
      <c r="D148" s="65"/>
      <c r="E148" s="66"/>
      <c r="F148" s="213"/>
      <c r="G148" s="482"/>
      <c r="H148" s="455"/>
      <c r="I148" s="456"/>
      <c r="AH148" s="187">
        <v>42917</v>
      </c>
      <c r="AI148" s="186">
        <f>IF(AH148=0,0,VLOOKUP(YEAR(AH148),INPC!$B$4:$O$29,MONTH(AH148)+1))</f>
        <v>95.322735741331002</v>
      </c>
      <c r="AJ148" s="187">
        <v>43100</v>
      </c>
      <c r="AK148" s="186">
        <f>IF(AJ148=0,0,VLOOKUP(YEAR(AJ148),INPC!$B$4:$O$29,MONTH(AJ148)+1))</f>
        <v>98.272882985755999</v>
      </c>
      <c r="AL148" s="395">
        <f>IF(AI148=0,0,IF(TRUNC(AK148/AI148,4)&lt;1,1,TRUNC(AK148/AI148,4)))</f>
        <v>1.0308999999999999</v>
      </c>
      <c r="AM148" s="111">
        <f>+F148*AL148</f>
        <v>0</v>
      </c>
      <c r="AN148" s="455"/>
      <c r="AO148" s="456"/>
      <c r="AP148" s="455"/>
    </row>
    <row r="149" spans="2:42" ht="20.100000000000001" hidden="1" customHeight="1">
      <c r="B149" s="185"/>
      <c r="C149" s="66"/>
      <c r="D149" s="65"/>
      <c r="E149" s="66"/>
      <c r="F149" s="487"/>
      <c r="G149" s="214"/>
      <c r="H149" s="188">
        <f>IF(F148-G149&lt;=0,0,F148-G149)</f>
        <v>0</v>
      </c>
      <c r="I149" s="185">
        <v>2018</v>
      </c>
      <c r="AH149" s="187">
        <f>+AJ148</f>
        <v>43100</v>
      </c>
      <c r="AI149" s="186">
        <f>IF(AH149=0,0,VLOOKUP(YEAR(AH149),INPC!$B$4:$O$29,MONTH(AH149)+1))</f>
        <v>98.272882985755999</v>
      </c>
      <c r="AJ149" s="187">
        <v>43252</v>
      </c>
      <c r="AK149" s="186">
        <f>IF(AJ149=0,0,VLOOKUP(YEAR(AJ149),INPC!$B$4:$O$29,MONTH(AJ149)+1))</f>
        <v>99.376464931786998</v>
      </c>
      <c r="AL149" s="395" t="str">
        <f>IF(G149=0,"N/A",TRUNC(AK149/AI149,4))</f>
        <v>N/A</v>
      </c>
      <c r="AM149" s="111">
        <f>IF(G149=0,0,AM148*AL149)</f>
        <v>0</v>
      </c>
      <c r="AN149" s="188">
        <f>+AM149-G149</f>
        <v>0</v>
      </c>
      <c r="AO149" s="185">
        <v>2018</v>
      </c>
      <c r="AP149" s="188"/>
    </row>
    <row r="150" spans="2:42" ht="20.100000000000001" hidden="1" customHeight="1">
      <c r="B150" s="185"/>
      <c r="C150" s="66"/>
      <c r="D150" s="65"/>
      <c r="E150" s="66"/>
      <c r="F150" s="487"/>
      <c r="G150" s="214"/>
      <c r="H150" s="188">
        <f>IF(H149-G150&lt;=0,0,H149-G150)</f>
        <v>0</v>
      </c>
      <c r="I150" s="291">
        <v>2019</v>
      </c>
      <c r="AH150" s="187">
        <f>IF(G149=0,AJ148,AJ149)</f>
        <v>43100</v>
      </c>
      <c r="AI150" s="186">
        <f>IF(AH150=0,0,VLOOKUP(YEAR(AH150),INPC!$B$4:$O$29,MONTH(AH150)+1))</f>
        <v>98.272882985755999</v>
      </c>
      <c r="AJ150" s="312">
        <v>43617</v>
      </c>
      <c r="AK150" s="186">
        <f>IF(AJ150=0,0,VLOOKUP(YEAR(AJ150),INPC!$B$4:$O$29,MONTH(AJ150)+1))</f>
        <v>103.29900000000001</v>
      </c>
      <c r="AL150" s="395" t="str">
        <f>IF(G150=0,"N/A",TRUNC(AK150/AI150,4))</f>
        <v>N/A</v>
      </c>
      <c r="AM150" s="111">
        <f>IF(G149=0,IF(G150=0,0,AM148*AL150),IF(G150=0,0,AN149*AL150))</f>
        <v>0</v>
      </c>
      <c r="AN150" s="188">
        <f>+AM150-G150</f>
        <v>0</v>
      </c>
      <c r="AO150" s="291">
        <v>2019</v>
      </c>
      <c r="AP150" s="188"/>
    </row>
    <row r="151" spans="2:42" ht="20.100000000000001" hidden="1" customHeight="1">
      <c r="B151" s="185"/>
      <c r="C151" s="66"/>
      <c r="D151" s="65"/>
      <c r="E151" s="66"/>
      <c r="F151" s="487"/>
      <c r="G151" s="214"/>
      <c r="H151" s="188">
        <f t="shared" ref="H151:H153" si="30">IF(H150-G151&lt;=0,0,H150-G151)</f>
        <v>0</v>
      </c>
      <c r="I151" s="321">
        <v>2020</v>
      </c>
      <c r="AH151" s="187">
        <f>IF(AND(G150=0,G149=0),AJ148,IF(G150&gt;0,AJ150,AJ149))</f>
        <v>43100</v>
      </c>
      <c r="AI151" s="186">
        <f>IF(AH151=0,0,VLOOKUP(YEAR(AH151),INPC!$B$4:$O$29,MONTH(AH151)+1))</f>
        <v>98.272882985755999</v>
      </c>
      <c r="AJ151" s="323">
        <v>43983</v>
      </c>
      <c r="AK151" s="186">
        <f>IF(AJ151=0,0,VLOOKUP(YEAR(AJ151),INPC!$B$4:$O$29,MONTH(AJ151)+1))</f>
        <v>106.74299999999999</v>
      </c>
      <c r="AL151" s="395" t="str">
        <f>IF(G151=0,"N/A",TRUNC(AK151/AI151,4))</f>
        <v>N/A</v>
      </c>
      <c r="AM151" s="111">
        <f>IF(AND(G150=0,G149=0),IF(G151=0,0,AM148*AL151),IF(G151=0,0,IF(G150=0,AN149*AL151,AN150*AL151)))</f>
        <v>0</v>
      </c>
      <c r="AN151" s="188">
        <f>+AM151-G151</f>
        <v>0</v>
      </c>
      <c r="AO151" s="321">
        <v>2020</v>
      </c>
      <c r="AP151" s="188"/>
    </row>
    <row r="152" spans="2:42" ht="20.100000000000001" hidden="1" customHeight="1">
      <c r="B152" s="185"/>
      <c r="C152" s="66"/>
      <c r="D152" s="65"/>
      <c r="E152" s="66"/>
      <c r="F152" s="487"/>
      <c r="G152" s="214"/>
      <c r="H152" s="188">
        <f t="shared" si="30"/>
        <v>0</v>
      </c>
      <c r="I152" s="321">
        <v>2021</v>
      </c>
      <c r="AH152" s="187">
        <f>IF(AND(G151=0,G150=0,G149=0),AJ148,IF(G151&gt;0,AJ151,IF(G150&gt;0,AJ150,AJ149)))</f>
        <v>43100</v>
      </c>
      <c r="AI152" s="186">
        <f>IF(AH152=0,0,VLOOKUP(YEAR(AH152),INPC!$B$4:$O$29,MONTH(AH152)+1))</f>
        <v>98.272882985755999</v>
      </c>
      <c r="AJ152" s="323">
        <v>44348</v>
      </c>
      <c r="AK152" s="186">
        <f>IF(AJ152=0,0,VLOOKUP(YEAR(AJ152),INPC!$B$4:$O$29,MONTH(AJ152)+1))</f>
        <v>113.018</v>
      </c>
      <c r="AL152" s="395" t="str">
        <f>IF(G152=0,"N/A",TRUNC(AK152/AI152,4))</f>
        <v>N/A</v>
      </c>
      <c r="AM152" s="111">
        <f>IF(AND(G151=0,G150=0,G149=0),IF(G152=0,0,AM148*AL152),IF(G152=0,0,IF(AND(G151=0,G150=0),AN149*AL152,IF(G151=0,AN150*AL152,AN151*AL152))))</f>
        <v>0</v>
      </c>
      <c r="AN152" s="188">
        <f>+AM152-G152</f>
        <v>0</v>
      </c>
      <c r="AO152" s="321">
        <v>2021</v>
      </c>
      <c r="AP152" s="188"/>
    </row>
    <row r="153" spans="2:42" ht="20.100000000000001" hidden="1" customHeight="1">
      <c r="B153" s="185"/>
      <c r="C153" s="66"/>
      <c r="D153" s="65"/>
      <c r="E153" s="66"/>
      <c r="F153" s="487"/>
      <c r="G153" s="214">
        <v>1.0000000000000001E-5</v>
      </c>
      <c r="H153" s="188">
        <f t="shared" si="30"/>
        <v>0</v>
      </c>
      <c r="I153" s="321">
        <v>2022</v>
      </c>
      <c r="AH153" s="187">
        <f>IF(AND(G152=0,G151=0,G150=0,G149=0),AJ148,IF(G152&gt;0,AJ152,IF(G151&gt;0,AJ151,IF(G150&gt;0,AJ150,AJ149))))</f>
        <v>43100</v>
      </c>
      <c r="AI153" s="186">
        <f>IF(AH153=0,0,VLOOKUP(YEAR(AH153),INPC!$B$4:$O$29,MONTH(AH153)+1))</f>
        <v>98.272882985755999</v>
      </c>
      <c r="AJ153" s="323">
        <v>44713</v>
      </c>
      <c r="AK153" s="186">
        <f>IF(AJ153=0,0,VLOOKUP(YEAR(AJ153),INPC!$B$4:$O$29,MONTH(AJ153)+1))</f>
        <v>122.044</v>
      </c>
      <c r="AL153" s="395">
        <f>IF(G153=0,"N/A",TRUNC(AK153/AI153,4))</f>
        <v>1.2418</v>
      </c>
      <c r="AM153" s="111">
        <f>IF(AND(G152=0,G151=0,G150=0,G149=0),IF(G153=0,0,AM148*AL153),IF(G153=0,0,IF(AND(G152=0,G151=0,G150=0),AN149*AL153,IF(AND(G152=0,G151=0),AN150*AL153,IF(G152=0,AN151*AL153,AN152*AL153)))))</f>
        <v>0</v>
      </c>
      <c r="AN153" s="188">
        <f>IF(G153=0.00001,0,AM153-G153)</f>
        <v>0</v>
      </c>
      <c r="AO153" s="321">
        <v>2022</v>
      </c>
      <c r="AP153" s="189">
        <f>AM153</f>
        <v>0</v>
      </c>
    </row>
    <row r="154" spans="2:42" ht="20.100000000000001" hidden="1" customHeight="1">
      <c r="C154" s="13"/>
      <c r="D154" s="13"/>
      <c r="E154" s="13"/>
      <c r="F154" s="13"/>
      <c r="G154" s="13"/>
      <c r="H154" s="12"/>
      <c r="I154" s="12"/>
    </row>
    <row r="155" spans="2:42" ht="20.100000000000001" hidden="1" customHeight="1">
      <c r="C155" s="13"/>
      <c r="D155" s="13"/>
      <c r="E155" s="13"/>
      <c r="F155" s="13"/>
      <c r="G155" s="13"/>
      <c r="H155" s="12"/>
      <c r="I155" s="12"/>
    </row>
    <row r="156" spans="2:42" ht="20.100000000000001" hidden="1" customHeight="1">
      <c r="B156" s="185">
        <v>2018</v>
      </c>
      <c r="C156" s="66" t="s">
        <v>645</v>
      </c>
      <c r="D156" s="65"/>
      <c r="E156" s="66"/>
      <c r="F156" s="213"/>
      <c r="G156" s="482"/>
      <c r="H156" s="455"/>
      <c r="I156" s="456"/>
      <c r="AH156" s="187">
        <v>43282</v>
      </c>
      <c r="AI156" s="186">
        <f>IF(AH156=0,0,VLOOKUP(YEAR(AH156),INPC!$B$4:$O$29,MONTH(AH156)+1))</f>
        <v>99.909099104513999</v>
      </c>
      <c r="AJ156" s="187">
        <v>43465</v>
      </c>
      <c r="AK156" s="186">
        <f>IF(AJ156=0,0,VLOOKUP(YEAR(AJ156),INPC!$B$4:$O$29,MONTH(AJ156)+1))</f>
        <v>103.02</v>
      </c>
      <c r="AL156" s="395">
        <f>IF(AI156=0,0,IF(TRUNC(AK156/AI156,4)&lt;1,1,TRUNC(AK156/AI156,4)))</f>
        <v>1.0310999999999999</v>
      </c>
      <c r="AM156" s="111">
        <f>+F156*AL156</f>
        <v>0</v>
      </c>
      <c r="AN156" s="455"/>
      <c r="AO156" s="456"/>
      <c r="AP156" s="455"/>
    </row>
    <row r="157" spans="2:42" ht="20.100000000000001" hidden="1" customHeight="1">
      <c r="B157" s="185"/>
      <c r="C157" s="66"/>
      <c r="D157" s="65"/>
      <c r="E157" s="66"/>
      <c r="F157" s="487"/>
      <c r="G157" s="214"/>
      <c r="H157" s="188">
        <f>IF(F156-G157&lt;=0,0,F156-G157)</f>
        <v>0</v>
      </c>
      <c r="I157" s="291">
        <v>2019</v>
      </c>
      <c r="AH157" s="187">
        <f>+AJ156</f>
        <v>43465</v>
      </c>
      <c r="AI157" s="186">
        <f>IF(AH157=0,0,VLOOKUP(YEAR(AH157),INPC!$B$4:$O$29,MONTH(AH157)+1))</f>
        <v>103.02</v>
      </c>
      <c r="AJ157" s="312">
        <v>43617</v>
      </c>
      <c r="AK157" s="186">
        <f>IF(AJ157=0,0,VLOOKUP(YEAR(AJ157),INPC!$B$4:$O$29,MONTH(AJ157)+1))</f>
        <v>103.29900000000001</v>
      </c>
      <c r="AL157" s="395" t="str">
        <f>IF(G157=0,"N/A",TRUNC(AK157/AI157,4))</f>
        <v>N/A</v>
      </c>
      <c r="AM157" s="111">
        <f>IF(G157=0,0,AM156*AL157)</f>
        <v>0</v>
      </c>
      <c r="AN157" s="188">
        <f>+AM157-G157</f>
        <v>0</v>
      </c>
      <c r="AO157" s="291">
        <v>2019</v>
      </c>
      <c r="AP157" s="188"/>
    </row>
    <row r="158" spans="2:42" ht="20.100000000000001" hidden="1" customHeight="1">
      <c r="B158" s="185"/>
      <c r="C158" s="66"/>
      <c r="D158" s="65"/>
      <c r="E158" s="66"/>
      <c r="F158" s="487"/>
      <c r="G158" s="214"/>
      <c r="H158" s="188">
        <f>IF(H157-G158&lt;=0,0,H157-G158)</f>
        <v>0</v>
      </c>
      <c r="I158" s="321">
        <v>2020</v>
      </c>
      <c r="AH158" s="187">
        <f>IF(G157=0,AJ156,AJ157)</f>
        <v>43465</v>
      </c>
      <c r="AI158" s="186">
        <f>IF(AH158=0,0,VLOOKUP(YEAR(AH158),INPC!$B$4:$O$29,MONTH(AH158)+1))</f>
        <v>103.02</v>
      </c>
      <c r="AJ158" s="323">
        <v>43983</v>
      </c>
      <c r="AK158" s="186">
        <f>IF(AJ158=0,0,VLOOKUP(YEAR(AJ158),INPC!$B$4:$O$29,MONTH(AJ158)+1))</f>
        <v>106.74299999999999</v>
      </c>
      <c r="AL158" s="395" t="str">
        <f>IF(G158=0,"N/A",TRUNC(AK158/AI158,4))</f>
        <v>N/A</v>
      </c>
      <c r="AM158" s="111">
        <f>IF(G157=0,IF(G158=0,0,AM156*AL158),IF(G158=0,0,AN157*AL158))</f>
        <v>0</v>
      </c>
      <c r="AN158" s="188">
        <f>+AM158-G158</f>
        <v>0</v>
      </c>
      <c r="AO158" s="321">
        <v>2020</v>
      </c>
      <c r="AP158" s="188"/>
    </row>
    <row r="159" spans="2:42" ht="20.100000000000001" hidden="1" customHeight="1">
      <c r="B159" s="185"/>
      <c r="C159" s="66"/>
      <c r="D159" s="65"/>
      <c r="E159" s="66"/>
      <c r="F159" s="487"/>
      <c r="G159" s="214"/>
      <c r="H159" s="188">
        <f t="shared" ref="H159:H160" si="31">IF(H158-G159&lt;=0,0,H158-G159)</f>
        <v>0</v>
      </c>
      <c r="I159" s="321">
        <v>2021</v>
      </c>
      <c r="AH159" s="187">
        <f>IF(AND(G158=0,G157=0),AJ156,IF(G158&gt;0,AJ158,AJ157))</f>
        <v>43465</v>
      </c>
      <c r="AI159" s="186">
        <f>IF(AH159=0,0,VLOOKUP(YEAR(AH159),INPC!$B$4:$O$29,MONTH(AH159)+1))</f>
        <v>103.02</v>
      </c>
      <c r="AJ159" s="323">
        <v>44348</v>
      </c>
      <c r="AK159" s="186">
        <f>IF(AJ159=0,0,VLOOKUP(YEAR(AJ159),INPC!$B$4:$O$29,MONTH(AJ159)+1))</f>
        <v>113.018</v>
      </c>
      <c r="AL159" s="395" t="str">
        <f>IF(G159=0,"N/A",TRUNC(AK159/AI159,4))</f>
        <v>N/A</v>
      </c>
      <c r="AM159" s="111">
        <f>IF(AND(G158=0,G157=0),IF(G159=0,0,AM156*AL159),IF(G159=0,0,IF(G158=0,AN157*AL159,AN158*AL159)))</f>
        <v>0</v>
      </c>
      <c r="AN159" s="188">
        <f>+AM159-G159</f>
        <v>0</v>
      </c>
      <c r="AO159" s="321">
        <v>2021</v>
      </c>
      <c r="AP159" s="188"/>
    </row>
    <row r="160" spans="2:42" ht="20.100000000000001" hidden="1" customHeight="1">
      <c r="B160" s="185"/>
      <c r="C160" s="66"/>
      <c r="D160" s="65"/>
      <c r="E160" s="66"/>
      <c r="F160" s="487"/>
      <c r="G160" s="214">
        <v>1.0000000000000001E-5</v>
      </c>
      <c r="H160" s="188">
        <f t="shared" si="31"/>
        <v>0</v>
      </c>
      <c r="I160" s="321">
        <v>2022</v>
      </c>
      <c r="AH160" s="187">
        <f>IF(AND(G159=0,G158=0,G157=0),AJ156,IF(G159&gt;0,AJ159,IF(G158&gt;0,AJ158,AJ157)))</f>
        <v>43465</v>
      </c>
      <c r="AI160" s="186">
        <f>IF(AH160=0,0,VLOOKUP(YEAR(AH160),INPC!$B$4:$O$29,MONTH(AH160)+1))</f>
        <v>103.02</v>
      </c>
      <c r="AJ160" s="323">
        <v>44713</v>
      </c>
      <c r="AK160" s="186">
        <f>IF(AJ160=0,0,VLOOKUP(YEAR(AJ160),INPC!$B$4:$O$29,MONTH(AJ160)+1))</f>
        <v>122.044</v>
      </c>
      <c r="AL160" s="395">
        <f>IF(G160=0,"N/A",TRUNC(AK160/AI160,4))</f>
        <v>1.1846000000000001</v>
      </c>
      <c r="AM160" s="111">
        <f>IF(AND(G159=0,G158=0,G157=0),IF(G160=0,0,AM156*AL160),IF(G160=0,0,IF(AND(G159=0,G158=0),AN157*AL160,IF(G159=0,AN158*AL160,AN159*AL160))))</f>
        <v>0</v>
      </c>
      <c r="AN160" s="188">
        <f>IF(G160=0.00001,0,AM160-G160)</f>
        <v>0</v>
      </c>
      <c r="AO160" s="321">
        <v>2022</v>
      </c>
      <c r="AP160" s="189">
        <f>AM160</f>
        <v>0</v>
      </c>
    </row>
    <row r="161" spans="2:42" ht="20.100000000000001" hidden="1" customHeight="1">
      <c r="C161" s="13"/>
      <c r="D161" s="13"/>
      <c r="E161" s="13"/>
      <c r="F161" s="13"/>
      <c r="G161" s="13"/>
      <c r="H161" s="12"/>
      <c r="I161" s="12"/>
    </row>
    <row r="162" spans="2:42" ht="20.100000000000001" hidden="1" customHeight="1">
      <c r="C162" s="13"/>
      <c r="D162" s="13"/>
      <c r="E162" s="13"/>
      <c r="F162" s="13"/>
      <c r="G162" s="13"/>
      <c r="H162" s="12"/>
      <c r="I162" s="12"/>
    </row>
    <row r="163" spans="2:42" ht="20.100000000000001" hidden="1" customHeight="1">
      <c r="B163" s="185">
        <v>2019</v>
      </c>
      <c r="C163" s="66" t="s">
        <v>645</v>
      </c>
      <c r="D163" s="65"/>
      <c r="E163" s="66"/>
      <c r="F163" s="213"/>
      <c r="G163" s="482"/>
      <c r="H163" s="455"/>
      <c r="I163" s="456"/>
      <c r="AH163" s="187">
        <v>43647</v>
      </c>
      <c r="AI163" s="186">
        <f>IF(AH163=0,0,VLOOKUP(YEAR(AH163),INPC!$B$4:$O$29,MONTH(AH163)+1))</f>
        <v>103.687</v>
      </c>
      <c r="AJ163" s="187">
        <v>43830</v>
      </c>
      <c r="AK163" s="186">
        <f>IF(AJ163=0,0,VLOOKUP(YEAR(AJ163),INPC!$B$4:$O$29,MONTH(AJ163)+1))</f>
        <v>105.934</v>
      </c>
      <c r="AL163" s="395">
        <f>IF(AI163=0,0,IF(TRUNC(AK163/AI163,4)&lt;1,1,TRUNC(AK163/AI163,4)))</f>
        <v>1.0216000000000001</v>
      </c>
      <c r="AM163" s="111">
        <f>+F163*AL163</f>
        <v>0</v>
      </c>
      <c r="AN163" s="455"/>
      <c r="AO163" s="456"/>
      <c r="AP163" s="455"/>
    </row>
    <row r="164" spans="2:42" ht="20.100000000000001" hidden="1" customHeight="1">
      <c r="B164" s="185"/>
      <c r="C164" s="66"/>
      <c r="D164" s="65"/>
      <c r="E164" s="66"/>
      <c r="F164" s="487"/>
      <c r="G164" s="214"/>
      <c r="H164" s="188">
        <f>IF(F163-G164&lt;=0,0,F163-G164)</f>
        <v>0</v>
      </c>
      <c r="I164" s="321">
        <v>2020</v>
      </c>
      <c r="AH164" s="187">
        <f>+AJ163</f>
        <v>43830</v>
      </c>
      <c r="AI164" s="186">
        <f>IF(AH164=0,0,VLOOKUP(YEAR(AH164),INPC!$B$4:$O$29,MONTH(AH164)+1))</f>
        <v>105.934</v>
      </c>
      <c r="AJ164" s="323">
        <v>43983</v>
      </c>
      <c r="AK164" s="186">
        <f>IF(AJ164=0,0,VLOOKUP(YEAR(AJ164),INPC!$B$4:$O$29,MONTH(AJ164)+1))</f>
        <v>106.74299999999999</v>
      </c>
      <c r="AL164" s="395" t="str">
        <f>IF(G164=0,"N/A",TRUNC(AK164/AI164,4))</f>
        <v>N/A</v>
      </c>
      <c r="AM164" s="111">
        <f>IF(G164=0,0,AM163*AL164)</f>
        <v>0</v>
      </c>
      <c r="AN164" s="188">
        <f>+AM164-G164</f>
        <v>0</v>
      </c>
      <c r="AO164" s="321">
        <v>2020</v>
      </c>
      <c r="AP164" s="188"/>
    </row>
    <row r="165" spans="2:42" ht="20.100000000000001" hidden="1" customHeight="1">
      <c r="B165" s="185"/>
      <c r="C165" s="66"/>
      <c r="D165" s="65"/>
      <c r="E165" s="66"/>
      <c r="F165" s="487"/>
      <c r="G165" s="214"/>
      <c r="H165" s="188">
        <f>IF(H164-G165&lt;=0,0,H164-G165)</f>
        <v>0</v>
      </c>
      <c r="I165" s="321">
        <v>2021</v>
      </c>
      <c r="AH165" s="187">
        <f>IF(G164=0,AJ163,AJ164)</f>
        <v>43830</v>
      </c>
      <c r="AI165" s="186">
        <f>IF(AH165=0,0,VLOOKUP(YEAR(AH165),INPC!$B$4:$O$29,MONTH(AH165)+1))</f>
        <v>105.934</v>
      </c>
      <c r="AJ165" s="323">
        <v>44348</v>
      </c>
      <c r="AK165" s="186">
        <f>IF(AJ165=0,0,VLOOKUP(YEAR(AJ165),INPC!$B$4:$O$29,MONTH(AJ165)+1))</f>
        <v>113.018</v>
      </c>
      <c r="AL165" s="395" t="str">
        <f>IF(G165=0,"N/A",TRUNC(AK165/AI165,4))</f>
        <v>N/A</v>
      </c>
      <c r="AM165" s="111">
        <f>IF(G164=0,IF(G165=0,0,AM163*AL165),IF(G165=0,0,AN164*AL165))</f>
        <v>0</v>
      </c>
      <c r="AN165" s="188">
        <f>+AM165-G165</f>
        <v>0</v>
      </c>
      <c r="AO165" s="321">
        <v>2021</v>
      </c>
      <c r="AP165" s="188"/>
    </row>
    <row r="166" spans="2:42" ht="20.100000000000001" hidden="1" customHeight="1">
      <c r="B166" s="185"/>
      <c r="C166" s="66"/>
      <c r="D166" s="65"/>
      <c r="E166" s="66"/>
      <c r="F166" s="487"/>
      <c r="G166" s="214">
        <v>1.0000000000000001E-5</v>
      </c>
      <c r="H166" s="188">
        <f t="shared" ref="H166" si="32">IF(H165-G166&lt;=0,0,H165-G166)</f>
        <v>0</v>
      </c>
      <c r="I166" s="321">
        <v>2022</v>
      </c>
      <c r="AH166" s="187">
        <f>IF(AND(G165=0,G164=0),AJ163,IF(G165&gt;0,AJ165,AJ164))</f>
        <v>43830</v>
      </c>
      <c r="AI166" s="186">
        <f>IF(AH166=0,0,VLOOKUP(YEAR(AH166),INPC!$B$4:$O$29,MONTH(AH166)+1))</f>
        <v>105.934</v>
      </c>
      <c r="AJ166" s="323">
        <v>44713</v>
      </c>
      <c r="AK166" s="186">
        <f>IF(AJ166=0,0,VLOOKUP(YEAR(AJ166),INPC!$B$4:$O$29,MONTH(AJ166)+1))</f>
        <v>122.044</v>
      </c>
      <c r="AL166" s="395">
        <f>IF(G166=0,"N/A",TRUNC(AK166/AI166,4))</f>
        <v>1.1519999999999999</v>
      </c>
      <c r="AM166" s="111">
        <f>IF(AND(G165=0,G164=0),IF(G166=0,0,AM163*AL166),IF(G166=0,0,IF(G165=0,AN164*AL166,AN165*AL166)))</f>
        <v>0</v>
      </c>
      <c r="AN166" s="188">
        <f>IF(G166=0.00001,0,AM166-G166)</f>
        <v>0</v>
      </c>
      <c r="AO166" s="321">
        <v>2022</v>
      </c>
      <c r="AP166" s="189">
        <f>AM166</f>
        <v>0</v>
      </c>
    </row>
    <row r="167" spans="2:42" ht="20.100000000000001" hidden="1" customHeight="1">
      <c r="C167" s="13"/>
      <c r="D167" s="13"/>
      <c r="E167" s="13"/>
      <c r="F167" s="13"/>
      <c r="G167" s="13"/>
      <c r="H167" s="12"/>
      <c r="I167" s="12"/>
      <c r="AL167" s="396"/>
    </row>
    <row r="168" spans="2:42" ht="20.100000000000001" hidden="1" customHeight="1">
      <c r="C168" s="13"/>
      <c r="D168" s="13"/>
      <c r="E168" s="13"/>
      <c r="F168" s="13"/>
      <c r="G168" s="13"/>
      <c r="H168" s="12"/>
      <c r="I168" s="12"/>
      <c r="J168" s="12"/>
      <c r="S168" s="12"/>
      <c r="T168" s="12"/>
      <c r="U168" s="12"/>
      <c r="V168" s="12"/>
      <c r="W168" s="12"/>
      <c r="AL168" s="396"/>
    </row>
    <row r="169" spans="2:42" ht="20.100000000000001" hidden="1" customHeight="1">
      <c r="B169" s="185">
        <v>2020</v>
      </c>
      <c r="C169" s="66" t="s">
        <v>645</v>
      </c>
      <c r="D169" s="65"/>
      <c r="E169" s="66"/>
      <c r="F169" s="213"/>
      <c r="G169" s="482"/>
      <c r="H169" s="455"/>
      <c r="I169" s="456"/>
      <c r="J169" s="12"/>
      <c r="S169" s="12"/>
      <c r="T169" s="12"/>
      <c r="U169" s="12"/>
      <c r="V169" s="12"/>
      <c r="W169" s="12"/>
      <c r="AH169" s="187">
        <v>44013</v>
      </c>
      <c r="AI169" s="186">
        <f>IF(AH169=0,0,VLOOKUP(YEAR(AH169),INPC!$B$4:$O$29,MONTH(AH169)+1))</f>
        <v>107.444</v>
      </c>
      <c r="AJ169" s="187">
        <v>44196</v>
      </c>
      <c r="AK169" s="186">
        <f>IF(AJ169=0,0,VLOOKUP(YEAR(AJ169),INPC!$B$4:$O$29,MONTH(AJ169)+1))</f>
        <v>109.271</v>
      </c>
      <c r="AL169" s="395">
        <f>IF(AI169=0,0,IF(TRUNC(AK169/AI169,4)&lt;1,1,TRUNC(AK169/AI169,4)))</f>
        <v>1.0169999999999999</v>
      </c>
      <c r="AM169" s="111">
        <f>+F169*AL169</f>
        <v>0</v>
      </c>
      <c r="AN169" s="455"/>
      <c r="AO169" s="456"/>
      <c r="AP169" s="455"/>
    </row>
    <row r="170" spans="2:42" ht="20.100000000000001" hidden="1" customHeight="1">
      <c r="B170" s="185"/>
      <c r="C170" s="66"/>
      <c r="D170" s="65"/>
      <c r="E170" s="66"/>
      <c r="F170" s="487"/>
      <c r="G170" s="214"/>
      <c r="H170" s="188">
        <f>IF(F169-G170&lt;=0,0,F169-G170)</f>
        <v>0</v>
      </c>
      <c r="I170" s="321">
        <v>2021</v>
      </c>
      <c r="J170" s="12"/>
      <c r="S170" s="12"/>
      <c r="T170" s="12"/>
      <c r="U170" s="12"/>
      <c r="V170" s="12"/>
      <c r="W170" s="12"/>
      <c r="AH170" s="187">
        <f>+AJ169</f>
        <v>44196</v>
      </c>
      <c r="AI170" s="186">
        <f>IF(AH170=0,0,VLOOKUP(YEAR(AH170),INPC!$B$4:$O$29,MONTH(AH170)+1))</f>
        <v>109.271</v>
      </c>
      <c r="AJ170" s="323">
        <v>44348</v>
      </c>
      <c r="AK170" s="186">
        <f>IF(AJ170=0,0,VLOOKUP(YEAR(AJ170),INPC!$B$4:$O$29,MONTH(AJ170)+1))</f>
        <v>113.018</v>
      </c>
      <c r="AL170" s="395" t="str">
        <f>IF(G170=0,"N/A",TRUNC(AK170/AI170,4))</f>
        <v>N/A</v>
      </c>
      <c r="AM170" s="111">
        <f>IF(G170=0,0,AM169*AL170)</f>
        <v>0</v>
      </c>
      <c r="AN170" s="188">
        <f>+AM170-G170</f>
        <v>0</v>
      </c>
      <c r="AO170" s="321">
        <v>2021</v>
      </c>
      <c r="AP170" s="188"/>
    </row>
    <row r="171" spans="2:42" ht="20.100000000000001" hidden="1" customHeight="1">
      <c r="B171" s="185"/>
      <c r="C171" s="66"/>
      <c r="D171" s="65"/>
      <c r="E171" s="66"/>
      <c r="F171" s="487"/>
      <c r="G171" s="214">
        <v>1.0000000000000001E-5</v>
      </c>
      <c r="H171" s="188">
        <f>IF(H170-G171&lt;=0,0,H170-G171)</f>
        <v>0</v>
      </c>
      <c r="I171" s="321">
        <v>2022</v>
      </c>
      <c r="J171" s="12"/>
      <c r="S171" s="12"/>
      <c r="T171" s="12"/>
      <c r="U171" s="12"/>
      <c r="V171" s="12"/>
      <c r="W171" s="12"/>
      <c r="AH171" s="187">
        <f>IF(G170=0,AJ169,AJ170)</f>
        <v>44196</v>
      </c>
      <c r="AI171" s="186">
        <f>IF(AH171=0,0,VLOOKUP(YEAR(AH171),INPC!$B$4:$O$29,MONTH(AH171)+1))</f>
        <v>109.271</v>
      </c>
      <c r="AJ171" s="323">
        <v>44713</v>
      </c>
      <c r="AK171" s="186">
        <f>IF(AJ171=0,0,VLOOKUP(YEAR(AJ171),INPC!$B$4:$O$29,MONTH(AJ171)+1))</f>
        <v>122.044</v>
      </c>
      <c r="AL171" s="395">
        <f>IF(G171=0,"N/A",TRUNC(AK171/AI171,4))</f>
        <v>1.1168</v>
      </c>
      <c r="AM171" s="111">
        <f>IF(G170=0,IF(G171=0,0,AM169*AL171),IF(G171=0,0,AN170*AL171))</f>
        <v>0</v>
      </c>
      <c r="AN171" s="188">
        <f>IF(G171=0.00001,0,AM171-G171)</f>
        <v>0</v>
      </c>
      <c r="AO171" s="321">
        <v>2022</v>
      </c>
      <c r="AP171" s="189">
        <f>AM171</f>
        <v>0</v>
      </c>
    </row>
    <row r="172" spans="2:42" ht="20.100000000000001" hidden="1" customHeight="1">
      <c r="C172" s="13"/>
      <c r="D172" s="13"/>
      <c r="E172" s="13"/>
      <c r="F172" s="13"/>
      <c r="G172" s="13"/>
      <c r="H172" s="12"/>
      <c r="I172" s="12"/>
      <c r="J172" s="12"/>
      <c r="S172" s="12"/>
      <c r="T172" s="12"/>
      <c r="U172" s="12"/>
      <c r="V172" s="12"/>
      <c r="W172" s="12"/>
      <c r="AL172" s="396"/>
    </row>
    <row r="173" spans="2:42" ht="20.100000000000001" hidden="1" customHeight="1">
      <c r="C173" s="13"/>
      <c r="D173" s="13"/>
      <c r="E173" s="13"/>
      <c r="F173" s="13"/>
      <c r="G173" s="13"/>
      <c r="H173" s="12"/>
      <c r="I173" s="12"/>
      <c r="J173" s="12"/>
      <c r="S173" s="12"/>
      <c r="T173" s="12"/>
      <c r="U173" s="12"/>
      <c r="V173" s="12"/>
      <c r="W173" s="12"/>
      <c r="AL173" s="396"/>
    </row>
    <row r="174" spans="2:42" ht="20.100000000000001" hidden="1" customHeight="1">
      <c r="B174" s="185">
        <v>2021</v>
      </c>
      <c r="C174" s="66" t="s">
        <v>645</v>
      </c>
      <c r="D174" s="65"/>
      <c r="E174" s="66"/>
      <c r="F174" s="213"/>
      <c r="G174" s="482"/>
      <c r="H174" s="455"/>
      <c r="I174" s="456"/>
      <c r="J174" s="12"/>
      <c r="S174" s="12"/>
      <c r="T174" s="12"/>
      <c r="U174" s="12"/>
      <c r="V174" s="12"/>
      <c r="W174" s="12"/>
      <c r="AH174" s="187">
        <v>44378</v>
      </c>
      <c r="AI174" s="186">
        <f>IF(AH174=0,0,VLOOKUP(YEAR(AH174),INPC!$B$4:$O$29,MONTH(AH174)+1))</f>
        <v>113.682</v>
      </c>
      <c r="AJ174" s="187">
        <v>44561</v>
      </c>
      <c r="AK174" s="186">
        <f>IF(AJ174=0,0,VLOOKUP(YEAR(AJ174),INPC!$B$4:$O$29,MONTH(AJ174)+1))</f>
        <v>117.30800000000001</v>
      </c>
      <c r="AL174" s="395">
        <f>IF(AI174=0,0,IF(TRUNC(AK174/AI174,4)&lt;1,1,TRUNC(AK174/AI174,4)))</f>
        <v>1.0318000000000001</v>
      </c>
      <c r="AM174" s="111">
        <f>+F174*AL174</f>
        <v>0</v>
      </c>
      <c r="AN174" s="455"/>
      <c r="AO174" s="456"/>
      <c r="AP174" s="455"/>
    </row>
    <row r="175" spans="2:42" ht="20.100000000000001" hidden="1" customHeight="1">
      <c r="B175" s="185"/>
      <c r="C175" s="66"/>
      <c r="D175" s="65"/>
      <c r="E175" s="66"/>
      <c r="F175" s="487"/>
      <c r="G175" s="214">
        <v>1.0000000000000001E-5</v>
      </c>
      <c r="H175" s="188">
        <f>IF(F174-G175&lt;=0,0,F174-G175)</f>
        <v>0</v>
      </c>
      <c r="I175" s="185">
        <v>2022</v>
      </c>
      <c r="J175" s="12"/>
      <c r="S175" s="12"/>
      <c r="T175" s="12"/>
      <c r="U175" s="12"/>
      <c r="V175" s="12"/>
      <c r="W175" s="12"/>
      <c r="AH175" s="187">
        <f>+AJ174</f>
        <v>44561</v>
      </c>
      <c r="AI175" s="186">
        <f>IF(AH175=0,0,VLOOKUP(YEAR(AH175),INPC!$B$4:$O$29,MONTH(AH175)+1))</f>
        <v>117.30800000000001</v>
      </c>
      <c r="AJ175" s="323">
        <v>44713</v>
      </c>
      <c r="AK175" s="186">
        <f>IF(AJ175=0,0,VLOOKUP(YEAR(AJ175),INPC!$B$4:$O$29,MONTH(AJ175)+1))</f>
        <v>122.044</v>
      </c>
      <c r="AL175" s="395">
        <f>IF(G175=0,"N/A",TRUNC(AK175/AI175,4))</f>
        <v>1.0403</v>
      </c>
      <c r="AM175" s="111">
        <f>IF(G175=0,0,AM174*AL175)</f>
        <v>0</v>
      </c>
      <c r="AN175" s="188">
        <f>IF(G175=0.00001,0,AM175-G175)</f>
        <v>0</v>
      </c>
      <c r="AO175" s="185">
        <v>2022</v>
      </c>
      <c r="AP175" s="189">
        <f>AM175</f>
        <v>0</v>
      </c>
    </row>
    <row r="176" spans="2:42" ht="20.100000000000001" hidden="1" customHeight="1">
      <c r="F176" s="12"/>
      <c r="G176" s="12"/>
      <c r="H176" s="12"/>
      <c r="I176" s="12"/>
      <c r="J176" s="12"/>
      <c r="S176" s="12"/>
      <c r="T176" s="12"/>
      <c r="U176" s="12"/>
      <c r="V176" s="12"/>
      <c r="W176" s="12"/>
    </row>
    <row r="177" spans="1:43" ht="20.100000000000001" hidden="1" customHeight="1">
      <c r="F177" s="12"/>
      <c r="G177" s="107" t="s">
        <v>648</v>
      </c>
      <c r="H177" s="108">
        <f>+H175+H171+H166+H160+H153+H145+H136+H126+H115</f>
        <v>0</v>
      </c>
      <c r="I177" s="12"/>
      <c r="J177" s="12"/>
      <c r="S177" s="12"/>
      <c r="T177" s="12"/>
      <c r="U177" s="12"/>
      <c r="V177" s="12"/>
      <c r="W177" s="12"/>
      <c r="AI177" s="112"/>
      <c r="AJ177" s="183"/>
    </row>
    <row r="178" spans="1:43" ht="20.100000000000001" hidden="1" customHeight="1">
      <c r="F178" s="12"/>
      <c r="G178" s="12"/>
      <c r="H178" s="12"/>
      <c r="I178" s="12"/>
      <c r="J178" s="12"/>
      <c r="S178" s="12"/>
      <c r="T178" s="12"/>
      <c r="U178" s="12"/>
      <c r="V178" s="12"/>
      <c r="W178" s="12"/>
      <c r="AO178" s="107" t="s">
        <v>648</v>
      </c>
      <c r="AP178" s="108">
        <f>SUM(AP118:AP175)</f>
        <v>0</v>
      </c>
    </row>
    <row r="179" spans="1:43" ht="20.100000000000001" hidden="1" customHeight="1">
      <c r="F179" s="12"/>
      <c r="G179" s="12"/>
      <c r="H179" s="12"/>
      <c r="I179" s="12"/>
      <c r="J179" s="12"/>
      <c r="S179" s="12"/>
      <c r="T179" s="12"/>
      <c r="U179" s="12"/>
      <c r="V179" s="12"/>
      <c r="W179" s="12"/>
    </row>
    <row r="180" spans="1:43" ht="20.100000000000001" hidden="1" customHeight="1">
      <c r="F180" s="12"/>
      <c r="G180" s="12"/>
      <c r="H180" s="12"/>
      <c r="I180" s="12"/>
      <c r="J180" s="12"/>
      <c r="S180" s="12"/>
      <c r="T180" s="12"/>
      <c r="U180" s="12"/>
      <c r="V180" s="12"/>
      <c r="W180" s="12"/>
    </row>
    <row r="181" spans="1:43" ht="20.100000000000001" hidden="1" customHeight="1"/>
    <row r="182" spans="1:43" ht="20.100000000000001" hidden="1" customHeight="1">
      <c r="E182" s="205"/>
      <c r="K182" s="205"/>
      <c r="L182" s="205"/>
      <c r="M182" s="205"/>
      <c r="N182" s="205"/>
      <c r="O182" s="205"/>
      <c r="P182" s="205"/>
      <c r="AH182" s="205" t="s">
        <v>649</v>
      </c>
      <c r="AI182" s="205"/>
      <c r="AJ182" s="205"/>
      <c r="AK182" s="205"/>
      <c r="AL182" s="205"/>
    </row>
    <row r="183" spans="1:43" ht="20.100000000000001" hidden="1" customHeight="1"/>
    <row r="184" spans="1:43" ht="20.100000000000001" hidden="1" customHeight="1">
      <c r="AH184" s="329" t="s">
        <v>667</v>
      </c>
      <c r="AI184" s="329"/>
      <c r="AJ184" s="322"/>
    </row>
    <row r="185" spans="1:43" ht="20.100000000000001" hidden="1" customHeight="1"/>
    <row r="186" spans="1:43" ht="20.100000000000001" hidden="1" customHeight="1"/>
    <row r="187" spans="1:43" ht="20.100000000000001" hidden="1" customHeight="1">
      <c r="A187" s="484"/>
      <c r="B187" s="485"/>
      <c r="C187" s="485"/>
      <c r="D187" s="485"/>
      <c r="E187" s="485"/>
      <c r="F187" s="485"/>
      <c r="G187" s="485"/>
      <c r="H187" s="485"/>
      <c r="I187" s="486"/>
      <c r="J187" s="486"/>
      <c r="K187" s="484"/>
      <c r="L187" s="484"/>
      <c r="M187" s="484"/>
      <c r="AH187" s="216"/>
      <c r="AI187" s="216"/>
      <c r="AJ187" s="216"/>
      <c r="AK187" s="216"/>
      <c r="AL187" s="216"/>
      <c r="AM187" s="216"/>
      <c r="AN187" s="216"/>
      <c r="AO187" s="216"/>
      <c r="AP187" s="216"/>
      <c r="AQ187" s="216"/>
    </row>
    <row r="188" spans="1:43" ht="20.100000000000001" hidden="1" customHeight="1">
      <c r="F188" s="12"/>
      <c r="G188" s="12"/>
      <c r="H188" s="12"/>
    </row>
    <row r="189" spans="1:43" ht="20.100000000000001" hidden="1" customHeight="1">
      <c r="F189" s="12"/>
      <c r="G189" s="12"/>
      <c r="H189" s="12"/>
    </row>
    <row r="190" spans="1:43" ht="48.95" hidden="1" customHeight="1">
      <c r="B190" s="589" t="s">
        <v>668</v>
      </c>
      <c r="C190" s="589"/>
      <c r="D190" s="589"/>
      <c r="E190" s="589"/>
      <c r="F190" s="589"/>
      <c r="G190" s="589"/>
      <c r="H190" s="589"/>
      <c r="AH190" s="205"/>
      <c r="AI190" s="205"/>
      <c r="AJ190" s="205"/>
      <c r="AK190" s="205"/>
      <c r="AL190" s="205"/>
      <c r="AM190" s="205"/>
      <c r="AN190" s="205"/>
      <c r="AO190" s="205"/>
      <c r="AP190" s="205"/>
    </row>
    <row r="191" spans="1:43" ht="20.100000000000001" hidden="1" customHeight="1">
      <c r="B191" s="91" t="s">
        <v>669</v>
      </c>
      <c r="C191" s="91"/>
      <c r="D191" s="91"/>
      <c r="E191" s="91"/>
      <c r="F191" s="91"/>
      <c r="G191" s="91"/>
      <c r="H191" s="91"/>
      <c r="AH191" s="91"/>
      <c r="AI191" s="91"/>
      <c r="AJ191" s="91"/>
      <c r="AK191" s="91"/>
      <c r="AL191" s="91"/>
      <c r="AM191" s="91"/>
      <c r="AN191" s="91"/>
      <c r="AO191" s="91"/>
      <c r="AP191" s="91"/>
    </row>
    <row r="192" spans="1:43" ht="20.100000000000001" hidden="1" customHeight="1">
      <c r="B192" s="79" t="s">
        <v>41</v>
      </c>
      <c r="C192" s="79" t="s">
        <v>627</v>
      </c>
      <c r="D192" s="79"/>
      <c r="E192" s="80"/>
      <c r="F192" s="79" t="s">
        <v>629</v>
      </c>
      <c r="G192" s="80"/>
      <c r="H192" s="80"/>
      <c r="AH192" s="80"/>
      <c r="AI192" s="80"/>
      <c r="AJ192" s="80"/>
      <c r="AK192" s="80"/>
      <c r="AL192" s="79" t="s">
        <v>628</v>
      </c>
      <c r="AM192" s="79"/>
      <c r="AN192" s="80"/>
      <c r="AO192" s="80"/>
      <c r="AP192" s="80"/>
    </row>
    <row r="193" spans="2:42" ht="20.100000000000001" hidden="1" customHeight="1">
      <c r="B193" s="88"/>
      <c r="C193" s="88"/>
      <c r="D193" s="88"/>
      <c r="E193" s="88"/>
      <c r="F193" s="88"/>
      <c r="G193" s="88"/>
      <c r="H193" s="88"/>
      <c r="AH193" s="88"/>
      <c r="AI193" s="88"/>
      <c r="AJ193" s="88"/>
      <c r="AK193" s="88"/>
      <c r="AL193" s="88"/>
      <c r="AM193" s="88"/>
      <c r="AN193" s="88"/>
      <c r="AO193" s="88"/>
      <c r="AP193" s="88"/>
    </row>
    <row r="194" spans="2:42" ht="45.95" hidden="1" customHeight="1">
      <c r="B194" s="62" t="s">
        <v>630</v>
      </c>
      <c r="C194" s="62" t="s">
        <v>631</v>
      </c>
      <c r="D194" s="62" t="s">
        <v>29</v>
      </c>
      <c r="E194" s="62" t="s">
        <v>92</v>
      </c>
      <c r="F194" s="62" t="s">
        <v>670</v>
      </c>
      <c r="G194" s="62" t="s">
        <v>634</v>
      </c>
      <c r="H194" s="62" t="s">
        <v>635</v>
      </c>
      <c r="I194" s="12"/>
      <c r="J194" s="12"/>
      <c r="S194" s="12"/>
      <c r="T194" s="12"/>
      <c r="U194" s="12"/>
      <c r="V194" s="12"/>
      <c r="W194" s="12"/>
      <c r="AH194" s="62" t="s">
        <v>671</v>
      </c>
      <c r="AI194" s="62" t="s">
        <v>639</v>
      </c>
      <c r="AJ194" s="62" t="s">
        <v>671</v>
      </c>
      <c r="AK194" s="62" t="s">
        <v>641</v>
      </c>
      <c r="AL194" s="62" t="s">
        <v>642</v>
      </c>
      <c r="AM194" s="62" t="s">
        <v>643</v>
      </c>
      <c r="AN194" s="62" t="s">
        <v>635</v>
      </c>
      <c r="AO194" s="62" t="s">
        <v>636</v>
      </c>
      <c r="AP194" s="62" t="s">
        <v>672</v>
      </c>
    </row>
    <row r="195" spans="2:42" ht="20.100000000000001" hidden="1" customHeight="1">
      <c r="B195" s="62"/>
      <c r="C195" s="62"/>
      <c r="D195" s="62"/>
      <c r="E195" s="62"/>
      <c r="F195" s="62"/>
      <c r="G195" s="62"/>
      <c r="H195" s="62"/>
      <c r="I195" s="12"/>
      <c r="J195" s="12"/>
      <c r="S195" s="12"/>
      <c r="T195" s="12"/>
      <c r="U195" s="12"/>
      <c r="V195" s="12"/>
      <c r="W195" s="12"/>
      <c r="AH195" s="62"/>
      <c r="AI195" s="62"/>
      <c r="AJ195" s="62"/>
      <c r="AK195" s="62"/>
      <c r="AL195" s="62"/>
      <c r="AM195" s="62"/>
      <c r="AN195" s="62"/>
      <c r="AO195" s="62"/>
      <c r="AP195" s="62"/>
    </row>
    <row r="196" spans="2:42" ht="20.100000000000001" hidden="1" customHeight="1">
      <c r="B196" s="185">
        <v>2013</v>
      </c>
      <c r="C196" s="66" t="s">
        <v>645</v>
      </c>
      <c r="D196" s="65"/>
      <c r="E196" s="66"/>
      <c r="F196" s="213"/>
      <c r="G196" s="482"/>
      <c r="H196" s="455"/>
      <c r="I196" s="12"/>
      <c r="J196" s="12"/>
      <c r="S196" s="12"/>
      <c r="T196" s="12"/>
      <c r="U196" s="12"/>
      <c r="V196" s="12"/>
      <c r="W196" s="12"/>
      <c r="AH196" s="187">
        <v>41456</v>
      </c>
      <c r="AI196" s="186">
        <f>IF(AH196=0,0,VLOOKUP(YEAR(AH196),INPC!$B$4:$O$29,MONTH(AH196)+1))</f>
        <v>81.592193040447</v>
      </c>
      <c r="AJ196" s="323">
        <v>41639</v>
      </c>
      <c r="AK196" s="186">
        <f>IF(AJ196=0,0,VLOOKUP(YEAR(AJ196),INPC!$B$4:$O$29,MONTH(AJ196)+1))</f>
        <v>83.770058296773001</v>
      </c>
      <c r="AL196" s="395">
        <f>IF(AI196=0,0,IF(TRUNC(AK196/AI196,4)&lt;1,1,TRUNC(AK196/AI196,4)))</f>
        <v>1.0266</v>
      </c>
      <c r="AM196" s="111">
        <f>+F196*AL196</f>
        <v>0</v>
      </c>
      <c r="AN196" s="455"/>
      <c r="AO196" s="456"/>
      <c r="AP196" s="455"/>
    </row>
    <row r="197" spans="2:42" ht="20.100000000000001" hidden="1" customHeight="1">
      <c r="B197" s="185"/>
      <c r="C197" s="66"/>
      <c r="D197" s="65"/>
      <c r="E197" s="66"/>
      <c r="F197" s="487"/>
      <c r="G197" s="214"/>
      <c r="H197" s="188">
        <f>IF(F196-G197&lt;=0,0,F196-G197)</f>
        <v>0</v>
      </c>
      <c r="I197" s="12"/>
      <c r="J197" s="12"/>
      <c r="S197" s="12"/>
      <c r="T197" s="12"/>
      <c r="U197" s="12"/>
      <c r="V197" s="12"/>
      <c r="W197" s="12"/>
      <c r="AH197" s="187">
        <f>+AJ196</f>
        <v>41639</v>
      </c>
      <c r="AI197" s="186">
        <f>IF(AH197=0,0,VLOOKUP(YEAR(AH197),INPC!$B$4:$O$29,MONTH(AH197)+1))</f>
        <v>83.770058296773001</v>
      </c>
      <c r="AJ197" s="330">
        <v>41639</v>
      </c>
      <c r="AK197" s="186">
        <f>IF(AJ197=0,0,VLOOKUP(YEAR(AJ197),INPC!$B$4:$O$29,MONTH(AJ197)+1))</f>
        <v>83.770058296773001</v>
      </c>
      <c r="AL197" s="395" t="str">
        <f t="shared" ref="AL197:AL205" si="33">IF(G197=0,"N/A",TRUNC(AK197/AI197,4))</f>
        <v>N/A</v>
      </c>
      <c r="AM197" s="111">
        <f>IF(G197=0,0,AM196*AL197)</f>
        <v>0</v>
      </c>
      <c r="AN197" s="188">
        <f t="shared" ref="AN197:AN204" si="34">+AM197-G197</f>
        <v>0</v>
      </c>
      <c r="AO197" s="185">
        <v>2014</v>
      </c>
      <c r="AP197" s="188"/>
    </row>
    <row r="198" spans="2:42" ht="20.100000000000001" hidden="1" customHeight="1">
      <c r="B198" s="185"/>
      <c r="C198" s="66"/>
      <c r="D198" s="65"/>
      <c r="E198" s="66"/>
      <c r="F198" s="487"/>
      <c r="G198" s="214"/>
      <c r="H198" s="188">
        <f>IF(H197-G198&lt;=0,0,H197-G198)</f>
        <v>0</v>
      </c>
      <c r="I198" s="12"/>
      <c r="J198" s="12"/>
      <c r="S198" s="12"/>
      <c r="T198" s="12"/>
      <c r="U198" s="12"/>
      <c r="V198" s="12"/>
      <c r="W198" s="12"/>
      <c r="AH198" s="187">
        <f>IF(G197=0,AJ196,AJ197)</f>
        <v>41639</v>
      </c>
      <c r="AI198" s="186">
        <f>IF(AH198=0,0,VLOOKUP(YEAR(AH198),INPC!$B$4:$O$29,MONTH(AH198)+1))</f>
        <v>83.770058296773001</v>
      </c>
      <c r="AJ198" s="187">
        <v>42004</v>
      </c>
      <c r="AK198" s="186">
        <f>IF(AJ198=0,0,VLOOKUP(YEAR(AJ198),INPC!$B$4:$O$29,MONTH(AJ198)+1))</f>
        <v>87.188983712964003</v>
      </c>
      <c r="AL198" s="395" t="str">
        <f t="shared" si="33"/>
        <v>N/A</v>
      </c>
      <c r="AM198" s="111">
        <f>IF(G197=0,IF(G198=0,0,AM196*AL198),IF(G198=0,0,AN197*AL198))</f>
        <v>0</v>
      </c>
      <c r="AN198" s="188">
        <f t="shared" si="34"/>
        <v>0</v>
      </c>
      <c r="AO198" s="185">
        <v>2015</v>
      </c>
      <c r="AP198" s="188"/>
    </row>
    <row r="199" spans="2:42" ht="20.100000000000001" hidden="1" customHeight="1">
      <c r="B199" s="185"/>
      <c r="C199" s="66"/>
      <c r="D199" s="65"/>
      <c r="E199" s="66"/>
      <c r="F199" s="487"/>
      <c r="G199" s="214"/>
      <c r="H199" s="188">
        <f t="shared" ref="H199:H205" si="35">IF(H198-G199&lt;=0,0,H198-G199)</f>
        <v>0</v>
      </c>
      <c r="I199" s="12"/>
      <c r="J199" s="12"/>
      <c r="S199" s="12"/>
      <c r="T199" s="12"/>
      <c r="U199" s="12"/>
      <c r="V199" s="12"/>
      <c r="W199" s="12"/>
      <c r="AH199" s="187">
        <f>IF(AND(G198=0,G197=0),AJ196,IF(G198&gt;0,AJ198,AJ197))</f>
        <v>41639</v>
      </c>
      <c r="AI199" s="186">
        <f>IF(AH199=0,0,VLOOKUP(YEAR(AH199),INPC!$B$4:$O$29,MONTH(AH199)+1))</f>
        <v>83.770058296773001</v>
      </c>
      <c r="AJ199" s="187">
        <v>42369</v>
      </c>
      <c r="AK199" s="186">
        <f>IF(AJ199=0,0,VLOOKUP(YEAR(AJ199),INPC!$B$4:$O$29,MONTH(AJ199)+1))</f>
        <v>89.046817717411002</v>
      </c>
      <c r="AL199" s="395" t="str">
        <f t="shared" si="33"/>
        <v>N/A</v>
      </c>
      <c r="AM199" s="111">
        <f>IF(AND(G198=0,G197=0),IF(G199=0,0,AM196*AL199),IF(G199=0,0,IF(G198=0,AN197*AL199,AN198*AL199)))</f>
        <v>0</v>
      </c>
      <c r="AN199" s="188">
        <f t="shared" si="34"/>
        <v>0</v>
      </c>
      <c r="AO199" s="185">
        <v>2016</v>
      </c>
      <c r="AP199" s="188"/>
    </row>
    <row r="200" spans="2:42" ht="20.100000000000001" hidden="1" customHeight="1">
      <c r="B200" s="185"/>
      <c r="C200" s="66"/>
      <c r="D200" s="65"/>
      <c r="E200" s="66"/>
      <c r="F200" s="487"/>
      <c r="G200" s="214"/>
      <c r="H200" s="188">
        <f t="shared" si="35"/>
        <v>0</v>
      </c>
      <c r="I200" s="12"/>
      <c r="J200" s="12"/>
      <c r="S200" s="12"/>
      <c r="T200" s="12"/>
      <c r="U200" s="12"/>
      <c r="V200" s="12"/>
      <c r="W200" s="12"/>
      <c r="AH200" s="187">
        <f>IF(AND(G199=0,G198=0,G197=0),AJ196,IF(G199&gt;0,AJ199,IF(G198&gt;0,AJ198,AJ197)))</f>
        <v>41639</v>
      </c>
      <c r="AI200" s="186">
        <f>IF(AH200=0,0,VLOOKUP(YEAR(AH200),INPC!$B$4:$O$29,MONTH(AH200)+1))</f>
        <v>83.770058296773001</v>
      </c>
      <c r="AJ200" s="187">
        <v>42735</v>
      </c>
      <c r="AK200" s="186">
        <f>IF(AJ200=0,0,VLOOKUP(YEAR(AJ200),INPC!$B$4:$O$29,MONTH(AJ200)+1))</f>
        <v>92.039034797764003</v>
      </c>
      <c r="AL200" s="395" t="str">
        <f t="shared" si="33"/>
        <v>N/A</v>
      </c>
      <c r="AM200" s="111">
        <f>IF(AND(G199=0,G198=0,G197=0),IF(G200=0,0,AM196*AL200),IF(G200=0,0,IF(AND(G199=0,G198=0),AN197*AL200,IF(G199=0,AN198*AL200,AN199*AL200))))</f>
        <v>0</v>
      </c>
      <c r="AN200" s="188">
        <f t="shared" si="34"/>
        <v>0</v>
      </c>
      <c r="AO200" s="185">
        <v>2017</v>
      </c>
      <c r="AP200" s="188"/>
    </row>
    <row r="201" spans="2:42" ht="20.100000000000001" hidden="1" customHeight="1">
      <c r="B201" s="291"/>
      <c r="C201" s="340"/>
      <c r="D201" s="449"/>
      <c r="E201" s="340"/>
      <c r="F201" s="488"/>
      <c r="G201" s="320"/>
      <c r="H201" s="188">
        <f t="shared" si="35"/>
        <v>0</v>
      </c>
      <c r="I201" s="12"/>
      <c r="J201" s="12"/>
      <c r="S201" s="12"/>
      <c r="T201" s="12"/>
      <c r="U201" s="12"/>
      <c r="V201" s="12"/>
      <c r="W201" s="12"/>
      <c r="AH201" s="312">
        <f>IF(AND(G200=0,G199=0,G198=0,G197=0),AJ196,IF(G200&gt;0,AJ200,IF(G199&gt;0,AJ199,IF(G198&gt;0,AJ198,AJ197))))</f>
        <v>41639</v>
      </c>
      <c r="AI201" s="313">
        <f>IF(AH201=0,0,VLOOKUP(YEAR(AH201),INPC!$B$4:$O$29,MONTH(AH201)+1))</f>
        <v>83.770058296773001</v>
      </c>
      <c r="AJ201" s="312">
        <v>43100</v>
      </c>
      <c r="AK201" s="313">
        <f>IF(AJ201=0,0,VLOOKUP(YEAR(AJ201),INPC!$B$4:$O$29,MONTH(AJ201)+1))</f>
        <v>98.272882985755999</v>
      </c>
      <c r="AL201" s="398" t="str">
        <f t="shared" si="33"/>
        <v>N/A</v>
      </c>
      <c r="AM201" s="314">
        <f>IF(AND(G200=0,G199=0,G198=0,G197=0),IF(G201=0,0,AM196*AL201),IF(G201=0,0,IF(AND(G200=0,G199=0,G198=0),AN197*AL201,IF(AND(G200=0,G199=0),AN198*AL201,IF(G200=0,AN199*AL201,AN200*AL201)))))</f>
        <v>0</v>
      </c>
      <c r="AN201" s="315">
        <f t="shared" si="34"/>
        <v>0</v>
      </c>
      <c r="AO201" s="291">
        <v>2018</v>
      </c>
      <c r="AP201" s="315"/>
    </row>
    <row r="202" spans="2:42" ht="20.100000000000001" hidden="1" customHeight="1">
      <c r="B202" s="321"/>
      <c r="C202" s="341"/>
      <c r="D202" s="450"/>
      <c r="E202" s="341"/>
      <c r="F202" s="489"/>
      <c r="G202" s="328"/>
      <c r="H202" s="188">
        <f t="shared" si="35"/>
        <v>0</v>
      </c>
      <c r="I202" s="12"/>
      <c r="J202" s="12"/>
      <c r="S202" s="12"/>
      <c r="T202" s="12"/>
      <c r="U202" s="12"/>
      <c r="V202" s="12"/>
      <c r="W202" s="12"/>
      <c r="AH202" s="323">
        <f>IF(AND(G201=0,G200=0,G199=0,G198=0,G197=0),AJ196,IF(G201&gt;0,AJ201,IF(G200&gt;0,AJ200,IF(G199&gt;0,AJ199,IF(G198&gt;0,AJ198,AJ197)))))</f>
        <v>41639</v>
      </c>
      <c r="AI202" s="324">
        <f>IF(AH202=0,0,VLOOKUP(YEAR(AH202),INPC!$B$4:$O$29,MONTH(AH202)+1))</f>
        <v>83.770058296773001</v>
      </c>
      <c r="AJ202" s="323">
        <v>43465</v>
      </c>
      <c r="AK202" s="324">
        <f>IF(AJ202=0,0,VLOOKUP(YEAR(AJ202),INPC!$B$4:$O$29,MONTH(AJ202)+1))</f>
        <v>103.02</v>
      </c>
      <c r="AL202" s="399" t="str">
        <f t="shared" si="33"/>
        <v>N/A</v>
      </c>
      <c r="AM202" s="325">
        <f>IF(AND(G201=0,G200=0,G199=0,G198=0,G197=0),IF(G202=0,0,AM196*AL202),IF(G202=0,0,IF(AND(G201=0,G200=0,G199=0,G198=0),AN197*AL202,IF(AND(G201=0,G200=0,G199=0),AN198*AL202,IF(AND(G201=0,G200=0),AN199*AL202,IF(G201=0,AN200*AL202,AN201*AL202))))))</f>
        <v>0</v>
      </c>
      <c r="AN202" s="326">
        <f t="shared" si="34"/>
        <v>0</v>
      </c>
      <c r="AO202" s="321">
        <v>2019</v>
      </c>
      <c r="AP202" s="326"/>
    </row>
    <row r="203" spans="2:42" ht="20.100000000000001" hidden="1" customHeight="1">
      <c r="B203" s="321"/>
      <c r="C203" s="341"/>
      <c r="D203" s="450"/>
      <c r="E203" s="341"/>
      <c r="F203" s="489"/>
      <c r="G203" s="328"/>
      <c r="H203" s="188">
        <f t="shared" si="35"/>
        <v>0</v>
      </c>
      <c r="I203" s="12"/>
      <c r="J203" s="12"/>
      <c r="S203" s="12"/>
      <c r="T203" s="12"/>
      <c r="U203" s="12"/>
      <c r="V203" s="12"/>
      <c r="W203" s="12"/>
      <c r="AH203" s="323">
        <f>IF(AND(G202=0,G201=0,G200=0,G199=0,G198=0,G197=0),AJ196,IF(G202&gt;0,AJ202,IF(G201&gt;0,AJ201,IF(G200&gt;0,AJ200,IF(G199&gt;0,AJ199,IF(G198&gt;0,AJ198,AJ197))))))</f>
        <v>41639</v>
      </c>
      <c r="AI203" s="324">
        <f>IF(AH203=0,0,VLOOKUP(YEAR(AH203),INPC!$B$4:$O$29,MONTH(AH203)+1))</f>
        <v>83.770058296773001</v>
      </c>
      <c r="AJ203" s="323">
        <v>43830</v>
      </c>
      <c r="AK203" s="324">
        <f>IF(AJ203=0,0,VLOOKUP(YEAR(AJ203),INPC!$B$4:$O$29,MONTH(AJ203)+1))</f>
        <v>105.934</v>
      </c>
      <c r="AL203" s="399" t="str">
        <f t="shared" si="33"/>
        <v>N/A</v>
      </c>
      <c r="AM203" s="325">
        <f>IF(AND(G202=0,G201=0,G200=0,G199=0,G198=0,G197=0),IF(G203=0,0,AM196*AL203),IF(G203=0,0,IF(AND(G202=0,G201=0,G200=0,G199=0,G198=0),AN197*AL203,IF(AND(G202=0,G201=0,G200=0,G199=0),AN198*AL203,IF(AND(G202=0,G201=0,G200=0),AN199*AL203,IF(AND(G202=0,G201=0),AN200*AL203,IF(G202=0,AN201*AL203,AN202*AL203)))))))</f>
        <v>0</v>
      </c>
      <c r="AN203" s="326">
        <f t="shared" si="34"/>
        <v>0</v>
      </c>
      <c r="AO203" s="335">
        <v>2020</v>
      </c>
      <c r="AP203" s="326"/>
    </row>
    <row r="204" spans="2:42" ht="20.100000000000001" hidden="1" customHeight="1">
      <c r="B204" s="321"/>
      <c r="C204" s="341"/>
      <c r="D204" s="450"/>
      <c r="E204" s="341"/>
      <c r="F204" s="489"/>
      <c r="G204" s="328"/>
      <c r="H204" s="188">
        <f t="shared" si="35"/>
        <v>0</v>
      </c>
      <c r="I204" s="12"/>
      <c r="J204" s="12"/>
      <c r="S204" s="12"/>
      <c r="T204" s="12"/>
      <c r="U204" s="12"/>
      <c r="V204" s="12"/>
      <c r="W204" s="12"/>
      <c r="AH204" s="323">
        <f>IF(AND(G203=0,G202=0,G201=0,G200=0,G199=0,G198=0,G197=0),AJ196,IF(G203&gt;0,AJ203,IF(G202&gt;0,AJ202,IF(G201&gt;0,AJ201,IF(G200&gt;0,AJ200,IF(G199&gt;0,AJ199,IF(G198&gt;0,AJ198,AJ197)))))))</f>
        <v>41639</v>
      </c>
      <c r="AI204" s="324">
        <f>IF(AH204=0,0,VLOOKUP(YEAR(AH204),INPC!$B$4:$O$29,MONTH(AH204)+1))</f>
        <v>83.770058296773001</v>
      </c>
      <c r="AJ204" s="323">
        <v>44196</v>
      </c>
      <c r="AK204" s="324">
        <f>IF(AJ204=0,0,VLOOKUP(YEAR(AJ204),INPC!$B$4:$O$29,MONTH(AJ204)+1))</f>
        <v>109.271</v>
      </c>
      <c r="AL204" s="399" t="str">
        <f t="shared" si="33"/>
        <v>N/A</v>
      </c>
      <c r="AM204" s="325">
        <f>IF(AND(G203=0,G202=0,G201=0,G200=0,G199=0,G198=0,G197=0),IF(G204=0,0,AM196*AL204),IF(G204=0,0,IF(AND(G203=0,G202=0,G201=0,G200=0,G199=0,G198=0),AN197*AL204,IF(AND(G203=0,G202=0,G201=0,G200=0,G199=0),AN198*AL204,IF(AND(G203=0,G202=0,G201=0,G200=0),AN199*AL204,IF(AND(G203=0,G202=0,G201=0),AN200*AL204,IF(AND(G203=0,G202=0),AN201*AL204,IF(G203=0,AN202*AL204,AN203*AL204))))))))</f>
        <v>0</v>
      </c>
      <c r="AN204" s="326">
        <f t="shared" si="34"/>
        <v>0</v>
      </c>
      <c r="AO204" s="321">
        <v>2021</v>
      </c>
      <c r="AP204" s="326"/>
    </row>
    <row r="205" spans="2:42" ht="20.100000000000001" hidden="1" customHeight="1">
      <c r="B205" s="321"/>
      <c r="C205" s="341"/>
      <c r="D205" s="450"/>
      <c r="E205" s="341"/>
      <c r="F205" s="489"/>
      <c r="G205" s="328">
        <v>1.0000000000000001E-5</v>
      </c>
      <c r="H205" s="188">
        <f t="shared" si="35"/>
        <v>0</v>
      </c>
      <c r="I205" s="12"/>
      <c r="J205" s="12"/>
      <c r="S205" s="12"/>
      <c r="T205" s="12"/>
      <c r="U205" s="12"/>
      <c r="V205" s="12"/>
      <c r="W205" s="12"/>
      <c r="AH205" s="323">
        <f>IF(AND(G204=0,G203=0,G202=0,G201=0,G200=0,G199=0,G198=0,G197=0),AJ196,IF(G204&gt;0,AJ204,IF(G203&gt;0,AJ203,IF(G202&gt;0,AJ202,IF(G201&gt;0,AJ201,IF(G200&gt;0,AJ200,IF(G199&gt;0,AJ199,IF(G198&gt;0,AJ198,AJ197))))))))</f>
        <v>41639</v>
      </c>
      <c r="AI205" s="324">
        <f>IF(AH205=0,0,VLOOKUP(YEAR(AH205),INPC!$B$4:$O$29,MONTH(AH205)+1))</f>
        <v>83.770058296773001</v>
      </c>
      <c r="AJ205" s="323">
        <v>44561</v>
      </c>
      <c r="AK205" s="324">
        <f>IF(AJ205=0,0,VLOOKUP(YEAR(AJ205),INPC!$B$4:$O$29,MONTH(AJ205)+1))</f>
        <v>117.30800000000001</v>
      </c>
      <c r="AL205" s="399">
        <f t="shared" si="33"/>
        <v>1.4003000000000001</v>
      </c>
      <c r="AM205" s="325">
        <f>IF(AND(G204=0,G203=0,G202=0,G201=0,G200=0,G199=0,G198=0,G197=0),IF(G205=0,0,AM196*AL205),IF(G205=0,0,IF(AND(G204=0,G203=0,G202=0,G201=0,G200=0,G199=0,G198=0),AN197*AL205,IF(AND(G204=0,G203=0,G202=0,G201=0,G200=0,G199=0),AN198*AL205,IF(AND(G204=0,G203=0,G202=0,G201=0,G200=0),AN199*AL205,IF(AND(G204=0,G203=0,G202=0,G201=0),AN200*AL205,IF(AND(G204=0,G203=0,G202=0),AN201*AL205,IF(AND(G204=0,G203=0),AN202*AL205,IF(G204=0,AN203*AL205,AN204*AL205)))))))))</f>
        <v>0</v>
      </c>
      <c r="AN205" s="326">
        <f>IF(G205=0.00001,0,AM205-G205)</f>
        <v>0</v>
      </c>
      <c r="AO205" s="321">
        <v>2022</v>
      </c>
      <c r="AP205" s="327">
        <f>AM205</f>
        <v>0</v>
      </c>
    </row>
    <row r="206" spans="2:42" ht="20.100000000000001" hidden="1" customHeight="1">
      <c r="B206" s="112"/>
      <c r="C206" s="13"/>
      <c r="D206" s="55"/>
      <c r="E206" s="13"/>
      <c r="F206" s="264"/>
      <c r="G206" s="264"/>
      <c r="H206" s="184"/>
      <c r="I206" s="12"/>
      <c r="J206" s="12"/>
      <c r="S206" s="12"/>
      <c r="T206" s="12"/>
      <c r="U206" s="12"/>
      <c r="V206" s="12"/>
      <c r="W206" s="12"/>
      <c r="AH206" s="316"/>
      <c r="AI206" s="317"/>
      <c r="AJ206" s="316"/>
      <c r="AK206" s="317"/>
      <c r="AL206" s="400"/>
      <c r="AM206" s="311"/>
      <c r="AN206" s="184"/>
      <c r="AO206" s="112"/>
      <c r="AP206" s="184"/>
    </row>
    <row r="207" spans="2:42" ht="20.100000000000001" hidden="1" customHeight="1">
      <c r="B207" s="112"/>
      <c r="C207" s="13"/>
      <c r="D207" s="55"/>
      <c r="E207" s="13"/>
      <c r="F207" s="264"/>
      <c r="G207" s="264"/>
      <c r="H207" s="184"/>
      <c r="I207" s="12"/>
      <c r="J207" s="12"/>
      <c r="S207" s="12"/>
      <c r="T207" s="12"/>
      <c r="U207" s="12"/>
      <c r="V207" s="12"/>
      <c r="W207" s="12"/>
      <c r="AH207" s="316"/>
      <c r="AI207" s="317"/>
      <c r="AJ207" s="316"/>
      <c r="AK207" s="317"/>
      <c r="AL207" s="400"/>
      <c r="AM207" s="311"/>
      <c r="AN207" s="184"/>
      <c r="AO207" s="112"/>
      <c r="AP207" s="184"/>
    </row>
    <row r="208" spans="2:42" ht="20.100000000000001" hidden="1" customHeight="1">
      <c r="B208" s="185">
        <v>2014</v>
      </c>
      <c r="C208" s="66" t="s">
        <v>645</v>
      </c>
      <c r="D208" s="65"/>
      <c r="E208" s="66"/>
      <c r="F208" s="213"/>
      <c r="G208" s="482"/>
      <c r="H208" s="455"/>
      <c r="AH208" s="187">
        <v>41821</v>
      </c>
      <c r="AI208" s="186">
        <f>IF(AH208=0,0,VLOOKUP(YEAR(AH208),INPC!$B$4:$O$29,MONTH(AH208)+1))</f>
        <v>84.914958831660996</v>
      </c>
      <c r="AJ208" s="323">
        <v>42004</v>
      </c>
      <c r="AK208" s="186">
        <f>IF(AJ208=0,0,VLOOKUP(YEAR(AJ208),INPC!$B$4:$O$29,MONTH(AJ208)+1))</f>
        <v>87.188983712964003</v>
      </c>
      <c r="AL208" s="395">
        <f>IF(AI208=0,0,IF(TRUNC(AK208/AI208,4)&lt;1,1,TRUNC(AK208/AI208,4)))</f>
        <v>1.0266999999999999</v>
      </c>
      <c r="AM208" s="111">
        <f>+F208*AL208</f>
        <v>0</v>
      </c>
      <c r="AN208" s="455"/>
      <c r="AO208" s="456"/>
      <c r="AP208" s="455"/>
    </row>
    <row r="209" spans="2:42" ht="20.100000000000001" hidden="1" customHeight="1">
      <c r="B209" s="185"/>
      <c r="C209" s="66"/>
      <c r="D209" s="65"/>
      <c r="E209" s="66"/>
      <c r="F209" s="487"/>
      <c r="G209" s="214"/>
      <c r="H209" s="188">
        <f>IF(F208-G209&lt;=0,0,F208-G209)</f>
        <v>0</v>
      </c>
      <c r="AH209" s="187">
        <f>+AJ208</f>
        <v>42004</v>
      </c>
      <c r="AI209" s="186">
        <f>IF(AH209=0,0,VLOOKUP(YEAR(AH209),INPC!$B$4:$O$29,MONTH(AH209)+1))</f>
        <v>87.188983712964003</v>
      </c>
      <c r="AJ209" s="330">
        <v>42004</v>
      </c>
      <c r="AK209" s="186">
        <f>IF(AJ209=0,0,VLOOKUP(YEAR(AJ209),INPC!$B$4:$O$29,MONTH(AJ209)+1))</f>
        <v>87.188983712964003</v>
      </c>
      <c r="AL209" s="395" t="str">
        <f t="shared" ref="AL209:AL216" si="36">IF(G209=0,"N/A",TRUNC(AK209/AI209,4))</f>
        <v>N/A</v>
      </c>
      <c r="AM209" s="111">
        <f>IF(G209=0,0,AM208*AL209)</f>
        <v>0</v>
      </c>
      <c r="AN209" s="188">
        <f t="shared" ref="AN209:AN215" si="37">+AM209-G209</f>
        <v>0</v>
      </c>
      <c r="AO209" s="185">
        <v>2015</v>
      </c>
      <c r="AP209" s="188"/>
    </row>
    <row r="210" spans="2:42" ht="20.100000000000001" hidden="1" customHeight="1">
      <c r="B210" s="185"/>
      <c r="C210" s="66"/>
      <c r="D210" s="65"/>
      <c r="E210" s="66"/>
      <c r="F210" s="487"/>
      <c r="G210" s="214"/>
      <c r="H210" s="188">
        <f>IF(H209-G210&lt;=0,0,H209-G210)</f>
        <v>0</v>
      </c>
      <c r="AH210" s="187">
        <f>IF(G209=0,AJ208,AJ209)</f>
        <v>42004</v>
      </c>
      <c r="AI210" s="186">
        <f>IF(AH210=0,0,VLOOKUP(YEAR(AH210),INPC!$B$4:$O$29,MONTH(AH210)+1))</f>
        <v>87.188983712964003</v>
      </c>
      <c r="AJ210" s="187">
        <v>42369</v>
      </c>
      <c r="AK210" s="186">
        <f>IF(AJ210=0,0,VLOOKUP(YEAR(AJ210),INPC!$B$4:$O$29,MONTH(AJ210)+1))</f>
        <v>89.046817717411002</v>
      </c>
      <c r="AL210" s="395" t="str">
        <f t="shared" si="36"/>
        <v>N/A</v>
      </c>
      <c r="AM210" s="111">
        <f>IF(G209=0,IF(G210=0,0,AM208*AL210),IF(G210=0,0,AN209*AL210))</f>
        <v>0</v>
      </c>
      <c r="AN210" s="188">
        <f t="shared" si="37"/>
        <v>0</v>
      </c>
      <c r="AO210" s="185">
        <v>2016</v>
      </c>
      <c r="AP210" s="188"/>
    </row>
    <row r="211" spans="2:42" ht="20.100000000000001" hidden="1" customHeight="1">
      <c r="B211" s="185"/>
      <c r="C211" s="66"/>
      <c r="D211" s="65"/>
      <c r="E211" s="66"/>
      <c r="F211" s="487"/>
      <c r="G211" s="214"/>
      <c r="H211" s="188">
        <f t="shared" ref="H211:H216" si="38">IF(H210-G211&lt;=0,0,H210-G211)</f>
        <v>0</v>
      </c>
      <c r="AH211" s="187">
        <f>IF(AND(G210=0,G209=0),AJ208,IF(G210&gt;0,AJ210,AJ209))</f>
        <v>42004</v>
      </c>
      <c r="AI211" s="186">
        <f>IF(AH211=0,0,VLOOKUP(YEAR(AH211),INPC!$B$4:$O$29,MONTH(AH211)+1))</f>
        <v>87.188983712964003</v>
      </c>
      <c r="AJ211" s="187">
        <v>42735</v>
      </c>
      <c r="AK211" s="186">
        <f>IF(AJ211=0,0,VLOOKUP(YEAR(AJ211),INPC!$B$4:$O$29,MONTH(AJ211)+1))</f>
        <v>92.039034797764003</v>
      </c>
      <c r="AL211" s="395" t="str">
        <f t="shared" si="36"/>
        <v>N/A</v>
      </c>
      <c r="AM211" s="111">
        <f>IF(AND(G210=0,G209=0),IF(G211=0,0,AM208*AL211),IF(G211=0,0,IF(G210=0,AN209*AL211,AN210*AL211)))</f>
        <v>0</v>
      </c>
      <c r="AN211" s="188">
        <f t="shared" si="37"/>
        <v>0</v>
      </c>
      <c r="AO211" s="185">
        <v>2017</v>
      </c>
      <c r="AP211" s="188"/>
    </row>
    <row r="212" spans="2:42" ht="20.100000000000001" hidden="1" customHeight="1">
      <c r="B212" s="185"/>
      <c r="C212" s="66"/>
      <c r="D212" s="65"/>
      <c r="E212" s="66"/>
      <c r="F212" s="487"/>
      <c r="G212" s="214"/>
      <c r="H212" s="188">
        <f t="shared" si="38"/>
        <v>0</v>
      </c>
      <c r="AH212" s="187">
        <f>IF(AND(G211=0,G210=0,G209=0),AJ208,IF(G211&gt;0,AJ211,IF(G210&gt;0,AJ210,AJ209)))</f>
        <v>42004</v>
      </c>
      <c r="AI212" s="186">
        <f>IF(AH212=0,0,VLOOKUP(YEAR(AH212),INPC!$B$4:$O$29,MONTH(AH212)+1))</f>
        <v>87.188983712964003</v>
      </c>
      <c r="AJ212" s="187">
        <v>43100</v>
      </c>
      <c r="AK212" s="186">
        <f>IF(AJ212=0,0,VLOOKUP(YEAR(AJ212),INPC!$B$4:$O$29,MONTH(AJ212)+1))</f>
        <v>98.272882985755999</v>
      </c>
      <c r="AL212" s="395" t="str">
        <f t="shared" si="36"/>
        <v>N/A</v>
      </c>
      <c r="AM212" s="111">
        <f>IF(AND(G211=0,G210=0,G209=0),IF(G212=0,0,AM208*AL212),IF(G212=0,0,IF(AND(G211=0,G210=0),AN209*AL212,IF(G211=0,AN210*AL212,AN211*AL212))))</f>
        <v>0</v>
      </c>
      <c r="AN212" s="188">
        <f t="shared" si="37"/>
        <v>0</v>
      </c>
      <c r="AO212" s="291">
        <v>2018</v>
      </c>
      <c r="AP212" s="188"/>
    </row>
    <row r="213" spans="2:42" ht="20.100000000000001" hidden="1" customHeight="1">
      <c r="B213" s="185"/>
      <c r="C213" s="66"/>
      <c r="D213" s="65"/>
      <c r="E213" s="66"/>
      <c r="F213" s="487"/>
      <c r="G213" s="214"/>
      <c r="H213" s="188">
        <f t="shared" si="38"/>
        <v>0</v>
      </c>
      <c r="AH213" s="312">
        <f>IF(AND(G212=0,G211=0,G210=0,G209=0),AJ208,IF(G212&gt;0,AJ212,IF(G211&gt;0,AJ211,IF(G210&gt;0,AJ210,AJ209))))</f>
        <v>42004</v>
      </c>
      <c r="AI213" s="186">
        <f>IF(AH213=0,0,VLOOKUP(YEAR(AH213),INPC!$B$4:$O$29,MONTH(AH213)+1))</f>
        <v>87.188983712964003</v>
      </c>
      <c r="AJ213" s="187">
        <v>43465</v>
      </c>
      <c r="AK213" s="186">
        <f>IF(AJ213=0,0,VLOOKUP(YEAR(AJ213),INPC!$B$4:$O$29,MONTH(AJ213)+1))</f>
        <v>103.02</v>
      </c>
      <c r="AL213" s="395" t="str">
        <f t="shared" si="36"/>
        <v>N/A</v>
      </c>
      <c r="AM213" s="314">
        <f>IF(AND(G212=0,G211=0,G210=0,G209=0),IF(G213=0,0,AM208*AL213),IF(G213=0,0,IF(AND(G212=0,G211=0,G210=0),AN209*AL213,IF(AND(G212=0,G211=0),AN210*AL213,IF(G212=0,AN211*AL213,AN212*AL213)))))</f>
        <v>0</v>
      </c>
      <c r="AN213" s="188">
        <f t="shared" si="37"/>
        <v>0</v>
      </c>
      <c r="AO213" s="321">
        <v>2019</v>
      </c>
      <c r="AP213" s="188"/>
    </row>
    <row r="214" spans="2:42" ht="20.100000000000001" hidden="1" customHeight="1">
      <c r="B214" s="185"/>
      <c r="C214" s="66"/>
      <c r="D214" s="65"/>
      <c r="E214" s="66"/>
      <c r="F214" s="487"/>
      <c r="G214" s="214"/>
      <c r="H214" s="188">
        <f t="shared" si="38"/>
        <v>0</v>
      </c>
      <c r="AH214" s="323">
        <f>IF(AND(G213=0,G212=0,G211=0,G210=0,G209=0),AJ208,IF(G213&gt;0,AJ213,IF(G212&gt;0,AJ212,IF(G211&gt;0,AJ211,IF(G210&gt;0,AJ210,AJ209)))))</f>
        <v>42004</v>
      </c>
      <c r="AI214" s="186">
        <f>IF(AH214=0,0,VLOOKUP(YEAR(AH214),INPC!$B$4:$O$29,MONTH(AH214)+1))</f>
        <v>87.188983712964003</v>
      </c>
      <c r="AJ214" s="187">
        <v>43830</v>
      </c>
      <c r="AK214" s="186">
        <f>IF(AJ214=0,0,VLOOKUP(YEAR(AJ214),INPC!$B$4:$O$29,MONTH(AJ214)+1))</f>
        <v>105.934</v>
      </c>
      <c r="AL214" s="395" t="str">
        <f t="shared" si="36"/>
        <v>N/A</v>
      </c>
      <c r="AM214" s="325">
        <f>IF(AND(G213=0,G212=0,G211=0,G210=0,G209=0),IF(G214=0,0,AM208*AL214),IF(G214=0,0,IF(AND(G213=0,G212=0,G211=0,G210=0),AN209*AL214,IF(AND(G213=0,G212=0,G211=0),AN210*AL214,IF(AND(G213=0,G212=0),AN211*AL214,IF(G213=0,AN212*AL214,AN213*AL214))))))</f>
        <v>0</v>
      </c>
      <c r="AN214" s="188">
        <f t="shared" si="37"/>
        <v>0</v>
      </c>
      <c r="AO214" s="335">
        <v>2020</v>
      </c>
      <c r="AP214" s="188"/>
    </row>
    <row r="215" spans="2:42" ht="20.100000000000001" hidden="1" customHeight="1">
      <c r="B215" s="291"/>
      <c r="C215" s="340"/>
      <c r="D215" s="449"/>
      <c r="E215" s="340"/>
      <c r="F215" s="488"/>
      <c r="G215" s="320"/>
      <c r="H215" s="188">
        <f t="shared" si="38"/>
        <v>0</v>
      </c>
      <c r="AH215" s="333">
        <f>IF(AND(G214=0,G213=0,G212=0,G211=0,G210=0,G209=0),AJ208,IF(G214&gt;0,AJ214,IF(G213&gt;0,AJ213,IF(G212&gt;0,AJ212,IF(G211&gt;0,AJ211,IF(G210&gt;0,AJ210,AJ209))))))</f>
        <v>42004</v>
      </c>
      <c r="AI215" s="313">
        <f>IF(AH215=0,0,VLOOKUP(YEAR(AH215),INPC!$B$4:$O$29,MONTH(AH215)+1))</f>
        <v>87.188983712964003</v>
      </c>
      <c r="AJ215" s="187">
        <v>44196</v>
      </c>
      <c r="AK215" s="313">
        <f>IF(AJ215=0,0,VLOOKUP(YEAR(AJ215),INPC!$B$4:$O$29,MONTH(AJ215)+1))</f>
        <v>109.271</v>
      </c>
      <c r="AL215" s="398" t="str">
        <f t="shared" si="36"/>
        <v>N/A</v>
      </c>
      <c r="AM215" s="334">
        <f>IF(AND(G214=0,G213=0,G212=0,G211=0,G210=0,G209=0),IF(G215=0,0,AM208*AL215),IF(G215=0,0,IF(AND(G214=0,G213=0,G212=0,G211=0,G210=0),AN209*AL215,IF(AND(G214=0,G213=0,G212=0,G211=0),AN210*AL215,IF(AND(G214=0,G213=0,G212=0),AN211*AL215,IF(AND(G214=0,G213=0),AN212*AL215,IF(G214=0,AN213*AL215,AN214*AL215)))))))</f>
        <v>0</v>
      </c>
      <c r="AN215" s="315">
        <f t="shared" si="37"/>
        <v>0</v>
      </c>
      <c r="AO215" s="321">
        <v>2021</v>
      </c>
      <c r="AP215" s="315"/>
    </row>
    <row r="216" spans="2:42" ht="20.100000000000001" hidden="1" customHeight="1">
      <c r="B216" s="321"/>
      <c r="C216" s="341"/>
      <c r="D216" s="450"/>
      <c r="E216" s="341"/>
      <c r="F216" s="489"/>
      <c r="G216" s="328">
        <v>1.0000000000000001E-5</v>
      </c>
      <c r="H216" s="188">
        <f t="shared" si="38"/>
        <v>0</v>
      </c>
      <c r="AH216" s="323">
        <f>IF(AND(G215=0,G214=0,G213=0,G212=0,G211=0,G210=0,G209=0),AJ208,IF(G215&gt;0,AJ215,IF(G214&gt;0,AJ214,IF(G213&gt;0,AJ213,IF(G212&gt;0,AJ212,IF(G211&gt;0,AJ211,IF(G210&gt;0,AJ210,AJ209)))))))</f>
        <v>42004</v>
      </c>
      <c r="AI216" s="324">
        <f>IF(AH216=0,0,VLOOKUP(YEAR(AH216),INPC!$B$4:$O$29,MONTH(AH216)+1))</f>
        <v>87.188983712964003</v>
      </c>
      <c r="AJ216" s="187">
        <v>44561</v>
      </c>
      <c r="AK216" s="324">
        <f>IF(AJ216=0,0,VLOOKUP(YEAR(AJ216),INPC!$B$4:$O$29,MONTH(AJ216)+1))</f>
        <v>117.30800000000001</v>
      </c>
      <c r="AL216" s="399">
        <f t="shared" si="36"/>
        <v>1.3453999999999999</v>
      </c>
      <c r="AM216" s="325">
        <f>IF(AND(G215=0,G214=0,G213=0,G212=0,G211=0,G210=0,G209=0),IF(G216=0,0,AM208*AL216),IF(G216=0,0,IF(AND(G215=0,G214=0,G213=0,G212=0,G211=0,G210=0),AN209*AL216,IF(AND(G215=0,G214=0,G213=0,G212=0,G211=0),AN210*AL216,IF(AND(G215=0,G214=0,G213=0,G212=0),AN211*AL216,IF(AND(G215=0,G214=0,G213=0),AN212*AL216,IF(AND(G215=0,G214=0),AN213*AL216,IF(G215=0,AN214*AL216,AN215*AL216))))))))</f>
        <v>0</v>
      </c>
      <c r="AN216" s="326">
        <f>IF(G216=0.00001,0,AM216-G216)</f>
        <v>0</v>
      </c>
      <c r="AO216" s="321">
        <v>2022</v>
      </c>
      <c r="AP216" s="327">
        <f>AM216</f>
        <v>0</v>
      </c>
    </row>
    <row r="217" spans="2:42" ht="20.100000000000001" hidden="1" customHeight="1">
      <c r="B217" s="112"/>
      <c r="C217" s="13"/>
      <c r="D217" s="55"/>
      <c r="E217" s="13"/>
      <c r="F217" s="264"/>
      <c r="G217" s="264"/>
      <c r="H217" s="184"/>
      <c r="AH217" s="316"/>
      <c r="AI217" s="317"/>
      <c r="AJ217" s="316"/>
      <c r="AK217" s="317"/>
      <c r="AL217" s="400"/>
      <c r="AM217" s="311"/>
      <c r="AN217" s="184"/>
      <c r="AO217" s="112"/>
      <c r="AP217" s="184"/>
    </row>
    <row r="218" spans="2:42" ht="20.100000000000001" hidden="1" customHeight="1">
      <c r="B218" s="112"/>
      <c r="C218" s="13"/>
      <c r="D218" s="55"/>
      <c r="E218" s="13"/>
      <c r="F218" s="264"/>
      <c r="G218" s="264"/>
      <c r="H218" s="184"/>
      <c r="AH218" s="316"/>
      <c r="AI218" s="317"/>
      <c r="AJ218" s="316"/>
      <c r="AK218" s="317"/>
      <c r="AL218" s="400"/>
      <c r="AM218" s="311"/>
      <c r="AN218" s="184"/>
      <c r="AO218" s="112"/>
      <c r="AP218" s="184"/>
    </row>
    <row r="219" spans="2:42" ht="20.100000000000001" hidden="1" customHeight="1">
      <c r="B219" s="321">
        <v>2015</v>
      </c>
      <c r="C219" s="341" t="s">
        <v>645</v>
      </c>
      <c r="D219" s="450"/>
      <c r="E219" s="341"/>
      <c r="F219" s="338"/>
      <c r="G219" s="491"/>
      <c r="H219" s="458"/>
      <c r="AH219" s="323">
        <v>42186</v>
      </c>
      <c r="AI219" s="324">
        <f>IF(AH219=0,0,VLOOKUP(YEAR(AH219),INPC!$B$4:$O$29,MONTH(AH219)+1))</f>
        <v>87.240819760803006</v>
      </c>
      <c r="AJ219" s="187">
        <v>42369</v>
      </c>
      <c r="AK219" s="324">
        <f>IF(AJ219=0,0,VLOOKUP(YEAR(AJ219),INPC!$B$4:$O$29,MONTH(AJ219)+1))</f>
        <v>89.046817717411002</v>
      </c>
      <c r="AL219" s="399">
        <f>IF(AI219=0,0,IF(TRUNC(AK219/AI219,4)&lt;1,1,TRUNC(AK219/AI219,4)))</f>
        <v>1.0206999999999999</v>
      </c>
      <c r="AM219" s="325">
        <f>+F219*AL219</f>
        <v>0</v>
      </c>
      <c r="AN219" s="458"/>
      <c r="AO219" s="459"/>
      <c r="AP219" s="458"/>
    </row>
    <row r="220" spans="2:42" ht="20.100000000000001" hidden="1" customHeight="1">
      <c r="B220" s="194"/>
      <c r="C220" s="263"/>
      <c r="D220" s="451"/>
      <c r="E220" s="263"/>
      <c r="F220" s="492"/>
      <c r="G220" s="336"/>
      <c r="H220" s="188">
        <f>IF(F219-G220&lt;=0,0,F219-G220)</f>
        <v>0</v>
      </c>
      <c r="AH220" s="330">
        <f>+AJ219</f>
        <v>42369</v>
      </c>
      <c r="AI220" s="331">
        <f>IF(AH220=0,0,VLOOKUP(YEAR(AH220),INPC!$B$4:$O$29,MONTH(AH220)+1))</f>
        <v>89.046817717411002</v>
      </c>
      <c r="AJ220" s="187">
        <v>42369</v>
      </c>
      <c r="AK220" s="331">
        <f>IF(AJ220=0,0,VLOOKUP(YEAR(AJ220),INPC!$B$4:$O$29,MONTH(AJ220)+1))</f>
        <v>89.046817717411002</v>
      </c>
      <c r="AL220" s="401" t="str">
        <f t="shared" ref="AL220:AL226" si="39">IF(G220=0,"N/A",TRUNC(AK220/AI220,4))</f>
        <v>N/A</v>
      </c>
      <c r="AM220" s="332">
        <f>IF(G220=0,0,AM219*AL220)</f>
        <v>0</v>
      </c>
      <c r="AN220" s="337">
        <f t="shared" ref="AN220:AN225" si="40">+AM220-G220</f>
        <v>0</v>
      </c>
      <c r="AO220" s="185">
        <v>2016</v>
      </c>
      <c r="AP220" s="337"/>
    </row>
    <row r="221" spans="2:42" ht="20.100000000000001" hidden="1" customHeight="1">
      <c r="B221" s="185"/>
      <c r="C221" s="66"/>
      <c r="D221" s="65"/>
      <c r="E221" s="66"/>
      <c r="F221" s="487"/>
      <c r="G221" s="214"/>
      <c r="H221" s="188">
        <f>IF(H220-G221&lt;=0,0,H220-G221)</f>
        <v>0</v>
      </c>
      <c r="AH221" s="187">
        <f>IF(G220=0,AJ219,AJ220)</f>
        <v>42369</v>
      </c>
      <c r="AI221" s="186">
        <f>IF(AH221=0,0,VLOOKUP(YEAR(AH221),INPC!$B$4:$O$29,MONTH(AH221)+1))</f>
        <v>89.046817717411002</v>
      </c>
      <c r="AJ221" s="187">
        <v>42735</v>
      </c>
      <c r="AK221" s="186">
        <f>IF(AJ221=0,0,VLOOKUP(YEAR(AJ221),INPC!$B$4:$O$29,MONTH(AJ221)+1))</f>
        <v>92.039034797764003</v>
      </c>
      <c r="AL221" s="395" t="str">
        <f t="shared" si="39"/>
        <v>N/A</v>
      </c>
      <c r="AM221" s="111">
        <f>IF(G220=0,IF(G221=0,0,AM219*AL221),IF(G221=0,0,AN220*AL221))</f>
        <v>0</v>
      </c>
      <c r="AN221" s="188">
        <f t="shared" si="40"/>
        <v>0</v>
      </c>
      <c r="AO221" s="185">
        <v>2017</v>
      </c>
      <c r="AP221" s="188"/>
    </row>
    <row r="222" spans="2:42" ht="20.100000000000001" hidden="1" customHeight="1">
      <c r="B222" s="185"/>
      <c r="C222" s="66"/>
      <c r="D222" s="65"/>
      <c r="E222" s="66"/>
      <c r="F222" s="487"/>
      <c r="G222" s="214"/>
      <c r="H222" s="188">
        <f t="shared" ref="H222:H226" si="41">IF(H221-G222&lt;=0,0,H221-G222)</f>
        <v>0</v>
      </c>
      <c r="AH222" s="187">
        <f>IF(AND(G221=0,G220=0),AJ219,IF(G221&gt;0,AJ221,AJ220))</f>
        <v>42369</v>
      </c>
      <c r="AI222" s="186">
        <f>IF(AH222=0,0,VLOOKUP(YEAR(AH222),INPC!$B$4:$O$29,MONTH(AH222)+1))</f>
        <v>89.046817717411002</v>
      </c>
      <c r="AJ222" s="187">
        <v>43100</v>
      </c>
      <c r="AK222" s="186">
        <f>IF(AJ222=0,0,VLOOKUP(YEAR(AJ222),INPC!$B$4:$O$29,MONTH(AJ222)+1))</f>
        <v>98.272882985755999</v>
      </c>
      <c r="AL222" s="395" t="str">
        <f t="shared" si="39"/>
        <v>N/A</v>
      </c>
      <c r="AM222" s="111">
        <f>IF(AND(G221=0,G220=0),IF(G222=0,0,AM219*AL222),IF(G222=0,0,IF(G221=0,AN220*AL222,AN221*AL222)))</f>
        <v>0</v>
      </c>
      <c r="AN222" s="188">
        <f t="shared" si="40"/>
        <v>0</v>
      </c>
      <c r="AO222" s="291">
        <v>2018</v>
      </c>
      <c r="AP222" s="188"/>
    </row>
    <row r="223" spans="2:42" ht="20.100000000000001" hidden="1" customHeight="1">
      <c r="B223" s="185"/>
      <c r="C223" s="66"/>
      <c r="D223" s="65"/>
      <c r="E223" s="66"/>
      <c r="F223" s="487"/>
      <c r="G223" s="214"/>
      <c r="H223" s="188">
        <f t="shared" si="41"/>
        <v>0</v>
      </c>
      <c r="AH223" s="187">
        <f>IF(AND(G222=0,G221=0,G220=0),AJ219,IF(G222&gt;0,AJ222,IF(G221&gt;0,AJ221,AJ220)))</f>
        <v>42369</v>
      </c>
      <c r="AI223" s="186">
        <f>IF(AH223=0,0,VLOOKUP(YEAR(AH223),INPC!$B$4:$O$29,MONTH(AH223)+1))</f>
        <v>89.046817717411002</v>
      </c>
      <c r="AJ223" s="187">
        <v>43465</v>
      </c>
      <c r="AK223" s="186">
        <f>IF(AJ223=0,0,VLOOKUP(YEAR(AJ223),INPC!$B$4:$O$29,MONTH(AJ223)+1))</f>
        <v>103.02</v>
      </c>
      <c r="AL223" s="395" t="str">
        <f t="shared" si="39"/>
        <v>N/A</v>
      </c>
      <c r="AM223" s="111">
        <f>IF(AND(G222=0,G221=0,G220=0),IF(G223=0,0,AM219*AL223),IF(G223=0,0,IF(AND(G222=0,G221=0),AN220*AL223,IF(G222=0,AN221*AL223,AN222*AL223))))</f>
        <v>0</v>
      </c>
      <c r="AN223" s="188">
        <f t="shared" si="40"/>
        <v>0</v>
      </c>
      <c r="AO223" s="321">
        <v>2019</v>
      </c>
      <c r="AP223" s="188"/>
    </row>
    <row r="224" spans="2:42" ht="20.100000000000001" hidden="1" customHeight="1">
      <c r="B224" s="185"/>
      <c r="C224" s="66"/>
      <c r="D224" s="65"/>
      <c r="E224" s="66"/>
      <c r="F224" s="487"/>
      <c r="G224" s="214"/>
      <c r="H224" s="188">
        <f t="shared" si="41"/>
        <v>0</v>
      </c>
      <c r="AH224" s="187">
        <f>IF(AND(G223=0,G222=0,G221=0,G220=0),AJ219,IF(G223&gt;0,AJ223,IF(G222&gt;0,AJ222,IF(G221&gt;0,AJ221,AJ220))))</f>
        <v>42369</v>
      </c>
      <c r="AI224" s="186">
        <f>IF(AH224=0,0,VLOOKUP(YEAR(AH224),INPC!$B$4:$O$29,MONTH(AH224)+1))</f>
        <v>89.046817717411002</v>
      </c>
      <c r="AJ224" s="187">
        <v>43830</v>
      </c>
      <c r="AK224" s="186">
        <f>IF(AJ224=0,0,VLOOKUP(YEAR(AJ224),INPC!$B$4:$O$29,MONTH(AJ224)+1))</f>
        <v>105.934</v>
      </c>
      <c r="AL224" s="395" t="str">
        <f t="shared" si="39"/>
        <v>N/A</v>
      </c>
      <c r="AM224" s="111">
        <f>IF(AND(G223=0,G222=0,G221=0,G220=0),IF(G224=0,0,AM219*AL224),IF(G224=0,0,IF(AND(G223=0,G222=0,G221=0),AN220*AL224,IF(AND(G223=0,G222=0),AN221*AL224,IF(G223=0,AN222*AL224,AN223*AL224)))))</f>
        <v>0</v>
      </c>
      <c r="AN224" s="188">
        <f t="shared" si="40"/>
        <v>0</v>
      </c>
      <c r="AO224" s="335">
        <v>2020</v>
      </c>
      <c r="AP224" s="188"/>
    </row>
    <row r="225" spans="2:42" ht="20.100000000000001" hidden="1" customHeight="1">
      <c r="B225" s="185"/>
      <c r="C225" s="66"/>
      <c r="D225" s="65"/>
      <c r="E225" s="66"/>
      <c r="F225" s="487"/>
      <c r="G225" s="214"/>
      <c r="H225" s="188">
        <f t="shared" si="41"/>
        <v>0</v>
      </c>
      <c r="AH225" s="187">
        <f>IF(AND(G224=0,G223=0,G222=0,G221=0,G220=0),AJ219,IF(G224&gt;0,AJ224,IF(G223&gt;0,AJ223,IF(G222&gt;0,AJ222,IF(G221&gt;0,AJ221,AJ220)))))</f>
        <v>42369</v>
      </c>
      <c r="AI225" s="186">
        <f>IF(AH225=0,0,VLOOKUP(YEAR(AH225),INPC!$B$4:$O$29,MONTH(AH225)+1))</f>
        <v>89.046817717411002</v>
      </c>
      <c r="AJ225" s="187">
        <v>44196</v>
      </c>
      <c r="AK225" s="186">
        <f>IF(AJ225=0,0,VLOOKUP(YEAR(AJ225),INPC!$B$4:$O$29,MONTH(AJ225)+1))</f>
        <v>109.271</v>
      </c>
      <c r="AL225" s="395" t="str">
        <f t="shared" si="39"/>
        <v>N/A</v>
      </c>
      <c r="AM225" s="111">
        <f>IF(AND(G224=0,G223=0,G222=0,G221=0,G220=0),IF(G225=0,0,AM219*AL225),IF(G225=0,0,IF(AND(G224=0,G223=0,G222=0,G221=0),AN220*AL225,IF(AND(G224=0,G223=0,G222=0),AN221*AL225,IF(AND(G224=0,G223=0),AN222*AL225,IF(G224=0,AN223*AL225,AN224*AL225))))))</f>
        <v>0</v>
      </c>
      <c r="AN225" s="188">
        <f t="shared" si="40"/>
        <v>0</v>
      </c>
      <c r="AO225" s="321">
        <v>2021</v>
      </c>
      <c r="AP225" s="188"/>
    </row>
    <row r="226" spans="2:42" ht="20.100000000000001" hidden="1" customHeight="1">
      <c r="B226" s="185"/>
      <c r="C226" s="66"/>
      <c r="D226" s="65"/>
      <c r="E226" s="66"/>
      <c r="F226" s="487"/>
      <c r="G226" s="214">
        <v>1.0000000000000001E-5</v>
      </c>
      <c r="H226" s="188">
        <f t="shared" si="41"/>
        <v>0</v>
      </c>
      <c r="AH226" s="187">
        <f>IF(AND(G225=0,G224=0,G223=0,G222=0,G221=0,G220=0),AJ219,IF(G225&gt;0,AJ225,IF(G224&gt;0,AJ224,IF(G223&gt;0,AJ223,IF(G222&gt;0,AJ222,IF(G221&gt;0,AJ221,AJ220))))))</f>
        <v>42369</v>
      </c>
      <c r="AI226" s="186">
        <f>IF(AH226=0,0,VLOOKUP(YEAR(AH226),INPC!$B$4:$O$29,MONTH(AH226)+1))</f>
        <v>89.046817717411002</v>
      </c>
      <c r="AJ226" s="187">
        <v>44561</v>
      </c>
      <c r="AK226" s="186">
        <f>IF(AJ226=0,0,VLOOKUP(YEAR(AJ226),INPC!$B$4:$O$29,MONTH(AJ226)+1))</f>
        <v>117.30800000000001</v>
      </c>
      <c r="AL226" s="395">
        <f t="shared" si="39"/>
        <v>1.3172999999999999</v>
      </c>
      <c r="AM226" s="111">
        <f>IF(AND(G225=0,G224=0,G223=0,G222=0,G221=0,G220=0),IF(G226=0,0,AM219*AL226),IF(G226=0,0,IF(AND(G225=0,G224=0,G223=0,G222=0,G221=0),AN220*AL226,IF(AND(G225=0,G224=0,G223=0,G222=0),AN221*AL226,IF(AND(G225=0,G224=0,G223=0),AN222*AL226,IF(AND(G225=0,G224=0),AN223*AL226,IF(G225=0,AN224*AL226,AN225*AL226)))))))</f>
        <v>0</v>
      </c>
      <c r="AN226" s="188">
        <f>IF(G226=0.00001,0,AM226-G226)</f>
        <v>0</v>
      </c>
      <c r="AO226" s="321">
        <v>2022</v>
      </c>
      <c r="AP226" s="189">
        <f>AM226</f>
        <v>0</v>
      </c>
    </row>
    <row r="227" spans="2:42" ht="20.100000000000001" hidden="1" customHeight="1">
      <c r="B227" s="62"/>
      <c r="C227" s="259"/>
      <c r="D227" s="259"/>
      <c r="E227" s="259"/>
      <c r="F227" s="259"/>
      <c r="G227" s="259"/>
      <c r="H227" s="62"/>
      <c r="AH227" s="62"/>
      <c r="AI227" s="62"/>
      <c r="AJ227" s="62"/>
      <c r="AK227" s="62"/>
      <c r="AL227" s="397"/>
      <c r="AM227" s="62"/>
      <c r="AN227" s="62"/>
      <c r="AO227" s="62"/>
      <c r="AP227" s="62"/>
    </row>
    <row r="228" spans="2:42" ht="20.100000000000001" hidden="1" customHeight="1">
      <c r="B228" s="62"/>
      <c r="C228" s="259"/>
      <c r="D228" s="259"/>
      <c r="E228" s="259"/>
      <c r="F228" s="259"/>
      <c r="G228" s="259"/>
      <c r="H228" s="62"/>
      <c r="AH228" s="62"/>
      <c r="AI228" s="62"/>
      <c r="AJ228" s="62"/>
      <c r="AK228" s="62"/>
      <c r="AL228" s="397"/>
      <c r="AM228" s="62"/>
      <c r="AN228" s="62"/>
      <c r="AO228" s="62"/>
      <c r="AP228" s="62"/>
    </row>
    <row r="229" spans="2:42" ht="20.100000000000001" hidden="1" customHeight="1">
      <c r="B229" s="185">
        <v>2016</v>
      </c>
      <c r="C229" s="66" t="s">
        <v>645</v>
      </c>
      <c r="D229" s="65"/>
      <c r="E229" s="66"/>
      <c r="F229" s="213"/>
      <c r="G229" s="482"/>
      <c r="H229" s="455"/>
      <c r="AH229" s="187">
        <v>42552</v>
      </c>
      <c r="AI229" s="186">
        <f>IF(AH229=0,0,VLOOKUP(YEAR(AH229),INPC!$B$4:$O$29,MONTH(AH229)+1))</f>
        <v>89.556914478034003</v>
      </c>
      <c r="AJ229" s="187">
        <v>42735</v>
      </c>
      <c r="AK229" s="186">
        <f>IF(AJ229=0,0,VLOOKUP(YEAR(AJ229),INPC!$B$4:$O$29,MONTH(AJ229)+1))</f>
        <v>92.039034797764003</v>
      </c>
      <c r="AL229" s="395">
        <f>IF(AI229=0,0,IF(TRUNC(AK229/AI229,4)&lt;1,1,TRUNC(AK229/AI229,4)))</f>
        <v>1.0277000000000001</v>
      </c>
      <c r="AM229" s="111">
        <f>+F229*AL229</f>
        <v>0</v>
      </c>
      <c r="AN229" s="455"/>
      <c r="AO229" s="456"/>
      <c r="AP229" s="455"/>
    </row>
    <row r="230" spans="2:42" ht="20.100000000000001" hidden="1" customHeight="1">
      <c r="B230" s="185"/>
      <c r="C230" s="66"/>
      <c r="D230" s="65"/>
      <c r="E230" s="66"/>
      <c r="F230" s="487"/>
      <c r="G230" s="214"/>
      <c r="H230" s="188">
        <f>IF(F229-G230&lt;=0,0,F229-G230)</f>
        <v>0</v>
      </c>
      <c r="AH230" s="187">
        <f>+AJ229</f>
        <v>42735</v>
      </c>
      <c r="AI230" s="186">
        <f>IF(AH230=0,0,VLOOKUP(YEAR(AH230),INPC!$B$4:$O$29,MONTH(AH230)+1))</f>
        <v>92.039034797764003</v>
      </c>
      <c r="AJ230" s="187">
        <v>42735</v>
      </c>
      <c r="AK230" s="186">
        <f>IF(AJ230=0,0,VLOOKUP(YEAR(AJ230),INPC!$B$4:$O$29,MONTH(AJ230)+1))</f>
        <v>92.039034797764003</v>
      </c>
      <c r="AL230" s="395" t="str">
        <f t="shared" ref="AL230:AL235" si="42">IF(G230=0,"N/A",TRUNC(AK230/AI230,4))</f>
        <v>N/A</v>
      </c>
      <c r="AM230" s="111">
        <f>IF(G230=0,0,AM229*AL230)</f>
        <v>0</v>
      </c>
      <c r="AN230" s="188">
        <f>+AM230-G230</f>
        <v>0</v>
      </c>
      <c r="AO230" s="185">
        <v>2017</v>
      </c>
      <c r="AP230" s="188"/>
    </row>
    <row r="231" spans="2:42" ht="20.100000000000001" hidden="1" customHeight="1">
      <c r="B231" s="185"/>
      <c r="C231" s="66"/>
      <c r="D231" s="65"/>
      <c r="E231" s="66"/>
      <c r="F231" s="487"/>
      <c r="G231" s="214"/>
      <c r="H231" s="188">
        <f>IF(H230-G231&lt;=0,0,H230-G231)</f>
        <v>0</v>
      </c>
      <c r="AH231" s="187">
        <f>IF(G230=0,AJ229,AJ230)</f>
        <v>42735</v>
      </c>
      <c r="AI231" s="186">
        <f>IF(AH231=0,0,VLOOKUP(YEAR(AH231),INPC!$B$4:$O$29,MONTH(AH231)+1))</f>
        <v>92.039034797764003</v>
      </c>
      <c r="AJ231" s="187">
        <v>43100</v>
      </c>
      <c r="AK231" s="186">
        <f>IF(AJ231=0,0,VLOOKUP(YEAR(AJ231),INPC!$B$4:$O$29,MONTH(AJ231)+1))</f>
        <v>98.272882985755999</v>
      </c>
      <c r="AL231" s="395" t="str">
        <f t="shared" si="42"/>
        <v>N/A</v>
      </c>
      <c r="AM231" s="111">
        <f>IF(G230=0,IF(G231=0,0,AM229*AL231),IF(G231=0,0,AN230*AL231))</f>
        <v>0</v>
      </c>
      <c r="AN231" s="188">
        <f>+AM231-G231</f>
        <v>0</v>
      </c>
      <c r="AO231" s="291">
        <v>2018</v>
      </c>
      <c r="AP231" s="188"/>
    </row>
    <row r="232" spans="2:42" ht="20.100000000000001" hidden="1" customHeight="1">
      <c r="B232" s="185"/>
      <c r="C232" s="66"/>
      <c r="D232" s="65"/>
      <c r="E232" s="66"/>
      <c r="F232" s="487"/>
      <c r="G232" s="214"/>
      <c r="H232" s="188">
        <f t="shared" ref="H232:H235" si="43">IF(H231-G232&lt;=0,0,H231-G232)</f>
        <v>0</v>
      </c>
      <c r="AH232" s="187">
        <f>IF(AND(G231=0,G230=0),AJ229,IF(G231&gt;0,AJ231,AJ230))</f>
        <v>42735</v>
      </c>
      <c r="AI232" s="186">
        <f>IF(AH232=0,0,VLOOKUP(YEAR(AH232),INPC!$B$4:$O$29,MONTH(AH232)+1))</f>
        <v>92.039034797764003</v>
      </c>
      <c r="AJ232" s="187">
        <v>43465</v>
      </c>
      <c r="AK232" s="186">
        <f>IF(AJ232=0,0,VLOOKUP(YEAR(AJ232),INPC!$B$4:$O$29,MONTH(AJ232)+1))</f>
        <v>103.02</v>
      </c>
      <c r="AL232" s="395" t="str">
        <f t="shared" si="42"/>
        <v>N/A</v>
      </c>
      <c r="AM232" s="111">
        <f>IF(AND(G231=0,G230=0),IF(G232=0,0,AM229*AL232),IF(G232=0,0,IF(G231=0,AN230*AL232,AN231*AL232)))</f>
        <v>0</v>
      </c>
      <c r="AN232" s="188">
        <f>+AM232-G232</f>
        <v>0</v>
      </c>
      <c r="AO232" s="321">
        <v>2019</v>
      </c>
      <c r="AP232" s="188"/>
    </row>
    <row r="233" spans="2:42" ht="20.100000000000001" hidden="1" customHeight="1">
      <c r="B233" s="185"/>
      <c r="C233" s="66"/>
      <c r="D233" s="65"/>
      <c r="E233" s="66"/>
      <c r="F233" s="487"/>
      <c r="G233" s="214"/>
      <c r="H233" s="188">
        <f t="shared" si="43"/>
        <v>0</v>
      </c>
      <c r="AH233" s="187">
        <f>IF(AND(G232=0,G231=0,G230=0),AJ229,IF(G232&gt;0,AJ232,IF(G231&gt;0,AJ231,AJ230)))</f>
        <v>42735</v>
      </c>
      <c r="AI233" s="186">
        <f>IF(AH233=0,0,VLOOKUP(YEAR(AH233),INPC!$B$4:$O$29,MONTH(AH233)+1))</f>
        <v>92.039034797764003</v>
      </c>
      <c r="AJ233" s="187">
        <v>43465</v>
      </c>
      <c r="AK233" s="186">
        <f>IF(AJ233=0,0,VLOOKUP(YEAR(AJ233),INPC!$B$4:$O$29,MONTH(AJ233)+1))</f>
        <v>103.02</v>
      </c>
      <c r="AL233" s="395" t="str">
        <f t="shared" si="42"/>
        <v>N/A</v>
      </c>
      <c r="AM233" s="111">
        <f>IF(AND(G232=0,G231=0,G230=0),IF(G233=0,0,AM229*AL233),IF(G233=0,0,IF(AND(G232=0,G231=0),AN230*AL233,IF(G232=0,AN231*AL233,AN232*AL233))))</f>
        <v>0</v>
      </c>
      <c r="AN233" s="188">
        <f>+AM233-G233</f>
        <v>0</v>
      </c>
      <c r="AO233" s="335">
        <v>2020</v>
      </c>
      <c r="AP233" s="188"/>
    </row>
    <row r="234" spans="2:42" ht="20.100000000000001" hidden="1" customHeight="1">
      <c r="B234" s="185"/>
      <c r="C234" s="66"/>
      <c r="D234" s="65"/>
      <c r="E234" s="66"/>
      <c r="F234" s="487"/>
      <c r="G234" s="214"/>
      <c r="H234" s="188">
        <f t="shared" si="43"/>
        <v>0</v>
      </c>
      <c r="AH234" s="187">
        <f>IF(AND(G233=0,G232=0,G231=0,G230=0),AJ229,IF(G233&gt;0,AJ233,IF(G232&gt;0,AJ232,IF(G231&gt;0,AJ231,AJ230))))</f>
        <v>42735</v>
      </c>
      <c r="AI234" s="186">
        <f>IF(AH234=0,0,VLOOKUP(YEAR(AH234),INPC!$B$4:$O$29,MONTH(AH234)+1))</f>
        <v>92.039034797764003</v>
      </c>
      <c r="AJ234" s="187">
        <v>44196</v>
      </c>
      <c r="AK234" s="186">
        <f>IF(AJ234=0,0,VLOOKUP(YEAR(AJ234),INPC!$B$4:$O$29,MONTH(AJ234)+1))</f>
        <v>109.271</v>
      </c>
      <c r="AL234" s="395" t="str">
        <f t="shared" si="42"/>
        <v>N/A</v>
      </c>
      <c r="AM234" s="111">
        <f>IF(AND(G233=0,G232=0,G231=0,G230=0),IF(G234=0,0,AM229*AL234),IF(G234=0,0,IF(AND(G233=0,G232=0,G231=0),AN230*AL234,IF(AND(G233=0,G232=0),AN231*AL234,IF(G233=0,AN232*AL234,AN233*AL234)))))</f>
        <v>0</v>
      </c>
      <c r="AN234" s="188">
        <f>+AM234-G234</f>
        <v>0</v>
      </c>
      <c r="AO234" s="321">
        <v>2021</v>
      </c>
      <c r="AP234" s="188"/>
    </row>
    <row r="235" spans="2:42" ht="20.100000000000001" hidden="1" customHeight="1">
      <c r="B235" s="185"/>
      <c r="C235" s="66"/>
      <c r="D235" s="65"/>
      <c r="E235" s="66"/>
      <c r="F235" s="487"/>
      <c r="G235" s="214">
        <v>1.0000000000000001E-5</v>
      </c>
      <c r="H235" s="188">
        <f t="shared" si="43"/>
        <v>0</v>
      </c>
      <c r="AH235" s="187">
        <f>IF(AND(G234=0,G233=0,G232=0,G231=0,G230=0),AJ229,IF(G234&gt;0,AJ234,IF(G233&gt;0,AJ233,IF(G232&gt;0,AJ232,IF(G231&gt;0,AJ231,AJ230)))))</f>
        <v>42735</v>
      </c>
      <c r="AI235" s="186">
        <f>IF(AH235=0,0,VLOOKUP(YEAR(AH235),INPC!$B$4:$O$29,MONTH(AH235)+1))</f>
        <v>92.039034797764003</v>
      </c>
      <c r="AJ235" s="187">
        <v>44561</v>
      </c>
      <c r="AK235" s="186">
        <f>IF(AJ235=0,0,VLOOKUP(YEAR(AJ235),INPC!$B$4:$O$29,MONTH(AJ235)+1))</f>
        <v>117.30800000000001</v>
      </c>
      <c r="AL235" s="395">
        <f t="shared" si="42"/>
        <v>1.2745</v>
      </c>
      <c r="AM235" s="111">
        <f>IF(AND(G234=0,G233=0,G232=0,G231=0,G230=0),IF(G235=0,0,AM229*AL235),IF(G235=0,0,IF(AND(G234=0,G233=0,G232=0,G231=0),AN230*AL235,IF(AND(G234=0,G233=0,G232=0),AN231*AL235,IF(AND(G234=0,G233=0),AN232*AL235,IF(G234=0,AN233*AL235,AN234*AL235))))))</f>
        <v>0</v>
      </c>
      <c r="AN235" s="188">
        <f>IF(G235=0.00001,0,AM235-G235)</f>
        <v>0</v>
      </c>
      <c r="AO235" s="321">
        <v>2022</v>
      </c>
      <c r="AP235" s="189">
        <f>AM235</f>
        <v>0</v>
      </c>
    </row>
    <row r="236" spans="2:42" ht="20.100000000000001" hidden="1" customHeight="1">
      <c r="C236" s="13"/>
      <c r="D236" s="13"/>
      <c r="E236" s="13"/>
      <c r="F236" s="13"/>
      <c r="G236" s="13"/>
      <c r="H236" s="12"/>
      <c r="AL236" s="396"/>
    </row>
    <row r="237" spans="2:42" ht="20.100000000000001" hidden="1" customHeight="1">
      <c r="C237" s="13"/>
      <c r="D237" s="13"/>
      <c r="E237" s="13"/>
      <c r="F237" s="13"/>
      <c r="G237" s="13"/>
      <c r="H237" s="12"/>
      <c r="AL237" s="396"/>
    </row>
    <row r="238" spans="2:42" ht="20.100000000000001" hidden="1" customHeight="1">
      <c r="B238" s="185">
        <v>2017</v>
      </c>
      <c r="C238" s="66" t="s">
        <v>645</v>
      </c>
      <c r="D238" s="65"/>
      <c r="E238" s="66"/>
      <c r="F238" s="213"/>
      <c r="G238" s="482"/>
      <c r="H238" s="455"/>
      <c r="AH238" s="187">
        <v>42917</v>
      </c>
      <c r="AI238" s="186">
        <f>IF(AH238=0,0,VLOOKUP(YEAR(AH238),INPC!$B$4:$O$29,MONTH(AH238)+1))</f>
        <v>95.322735741331002</v>
      </c>
      <c r="AJ238" s="187">
        <v>43100</v>
      </c>
      <c r="AK238" s="186">
        <f>IF(AJ238=0,0,VLOOKUP(YEAR(AJ238),INPC!$B$4:$O$29,MONTH(AJ238)+1))</f>
        <v>98.272882985755999</v>
      </c>
      <c r="AL238" s="395">
        <f>IF(AI238=0,0,IF(TRUNC(AK238/AI238,4)&lt;1,1,TRUNC(AK238/AI238,4)))</f>
        <v>1.0308999999999999</v>
      </c>
      <c r="AM238" s="111">
        <f>+F238*AL238</f>
        <v>0</v>
      </c>
      <c r="AN238" s="455"/>
      <c r="AO238" s="456"/>
      <c r="AP238" s="455"/>
    </row>
    <row r="239" spans="2:42" ht="20.100000000000001" hidden="1" customHeight="1">
      <c r="B239" s="185"/>
      <c r="C239" s="66"/>
      <c r="D239" s="65"/>
      <c r="E239" s="66"/>
      <c r="F239" s="487"/>
      <c r="G239" s="214"/>
      <c r="H239" s="188">
        <f>IF(F238-G239&lt;=0,0,F238-G239)</f>
        <v>0</v>
      </c>
      <c r="AH239" s="187">
        <f>+AJ238</f>
        <v>43100</v>
      </c>
      <c r="AI239" s="186">
        <f>IF(AH239=0,0,VLOOKUP(YEAR(AH239),INPC!$B$4:$O$29,MONTH(AH239)+1))</f>
        <v>98.272882985755999</v>
      </c>
      <c r="AJ239" s="187">
        <v>43100</v>
      </c>
      <c r="AK239" s="186">
        <f>IF(AJ239=0,0,VLOOKUP(YEAR(AJ239),INPC!$B$4:$O$29,MONTH(AJ239)+1))</f>
        <v>98.272882985755999</v>
      </c>
      <c r="AL239" s="395" t="str">
        <f>IF(G239=0,"N/A",TRUNC(AK239/AI239,4))</f>
        <v>N/A</v>
      </c>
      <c r="AM239" s="111">
        <f>IF(G239=0,0,AM238*AL239)</f>
        <v>0</v>
      </c>
      <c r="AN239" s="188">
        <f>+AM239-G239</f>
        <v>0</v>
      </c>
      <c r="AO239" s="291">
        <v>2018</v>
      </c>
      <c r="AP239" s="188"/>
    </row>
    <row r="240" spans="2:42" ht="20.100000000000001" hidden="1" customHeight="1">
      <c r="B240" s="185"/>
      <c r="C240" s="66"/>
      <c r="D240" s="65"/>
      <c r="E240" s="66"/>
      <c r="F240" s="487"/>
      <c r="G240" s="214"/>
      <c r="H240" s="188">
        <f>IF(H239-G240&lt;=0,0,H239-G240)</f>
        <v>0</v>
      </c>
      <c r="AH240" s="187">
        <f>IF(G239=0,AJ238,AJ239)</f>
        <v>43100</v>
      </c>
      <c r="AI240" s="186">
        <f>IF(AH240=0,0,VLOOKUP(YEAR(AH240),INPC!$B$4:$O$29,MONTH(AH240)+1))</f>
        <v>98.272882985755999</v>
      </c>
      <c r="AJ240" s="187">
        <v>43465</v>
      </c>
      <c r="AK240" s="186">
        <f>IF(AJ240=0,0,VLOOKUP(YEAR(AJ240),INPC!$B$4:$O$29,MONTH(AJ240)+1))</f>
        <v>103.02</v>
      </c>
      <c r="AL240" s="395" t="str">
        <f>IF(G240=0,"N/A",TRUNC(AK240/AI240,4))</f>
        <v>N/A</v>
      </c>
      <c r="AM240" s="111">
        <f>IF(G239=0,IF(G240=0,0,AM238*AL240),IF(G240=0,0,AN239*AL240))</f>
        <v>0</v>
      </c>
      <c r="AN240" s="188">
        <f>+AM240-G240</f>
        <v>0</v>
      </c>
      <c r="AO240" s="321">
        <v>2019</v>
      </c>
      <c r="AP240" s="188"/>
    </row>
    <row r="241" spans="2:42" ht="20.100000000000001" hidden="1" customHeight="1">
      <c r="B241" s="185"/>
      <c r="C241" s="66"/>
      <c r="D241" s="65"/>
      <c r="E241" s="66"/>
      <c r="F241" s="487"/>
      <c r="G241" s="214"/>
      <c r="H241" s="188">
        <f t="shared" ref="H241:H243" si="44">IF(H240-G241&lt;=0,0,H240-G241)</f>
        <v>0</v>
      </c>
      <c r="AH241" s="187">
        <f>IF(AND(G240=0,G239=0),AJ238,IF(G240&gt;0,AJ240,AJ239))</f>
        <v>43100</v>
      </c>
      <c r="AI241" s="186">
        <f>IF(AH241=0,0,VLOOKUP(YEAR(AH241),INPC!$B$4:$O$29,MONTH(AH241)+1))</f>
        <v>98.272882985755999</v>
      </c>
      <c r="AJ241" s="187">
        <v>43830</v>
      </c>
      <c r="AK241" s="186">
        <f>IF(AJ241=0,0,VLOOKUP(YEAR(AJ241),INPC!$B$4:$O$29,MONTH(AJ241)+1))</f>
        <v>105.934</v>
      </c>
      <c r="AL241" s="395" t="str">
        <f>IF(G241=0,"N/A",TRUNC(AK241/AI241,4))</f>
        <v>N/A</v>
      </c>
      <c r="AM241" s="111">
        <f>IF(AND(G240=0,G239=0),IF(G241=0,0,AM238*AL241),IF(G241=0,0,IF(G240=0,AN239*AL241,AN240*AL241)))</f>
        <v>0</v>
      </c>
      <c r="AN241" s="188">
        <f>+AM241-G241</f>
        <v>0</v>
      </c>
      <c r="AO241" s="335">
        <v>2020</v>
      </c>
      <c r="AP241" s="188"/>
    </row>
    <row r="242" spans="2:42" ht="20.100000000000001" hidden="1" customHeight="1">
      <c r="B242" s="185"/>
      <c r="C242" s="66"/>
      <c r="D242" s="65"/>
      <c r="E242" s="66"/>
      <c r="F242" s="487"/>
      <c r="G242" s="214"/>
      <c r="H242" s="188">
        <f t="shared" si="44"/>
        <v>0</v>
      </c>
      <c r="AH242" s="187">
        <f>IF(AND(G241=0,G240=0,G239=0),AJ238,IF(G241&gt;0,AJ241,IF(G240&gt;0,AJ240,AJ239)))</f>
        <v>43100</v>
      </c>
      <c r="AI242" s="186">
        <f>IF(AH242=0,0,VLOOKUP(YEAR(AH242),INPC!$B$4:$O$29,MONTH(AH242)+1))</f>
        <v>98.272882985755999</v>
      </c>
      <c r="AJ242" s="187">
        <v>44196</v>
      </c>
      <c r="AK242" s="186">
        <f>IF(AJ242=0,0,VLOOKUP(YEAR(AJ242),INPC!$B$4:$O$29,MONTH(AJ242)+1))</f>
        <v>109.271</v>
      </c>
      <c r="AL242" s="395" t="str">
        <f>IF(G242=0,"N/A",TRUNC(AK242/AI242,4))</f>
        <v>N/A</v>
      </c>
      <c r="AM242" s="111">
        <f>IF(AND(G241=0,G240=0,G239=0),IF(G242=0,0,AM238*AL242),IF(G242=0,0,IF(AND(G241=0,G240=0),AN239*AL242,IF(G241=0,AN240*AL242,AN241*AL242))))</f>
        <v>0</v>
      </c>
      <c r="AN242" s="188">
        <f>+AM242-G242</f>
        <v>0</v>
      </c>
      <c r="AO242" s="321">
        <v>2021</v>
      </c>
      <c r="AP242" s="188"/>
    </row>
    <row r="243" spans="2:42" ht="20.100000000000001" hidden="1" customHeight="1">
      <c r="B243" s="185"/>
      <c r="C243" s="66"/>
      <c r="D243" s="65"/>
      <c r="E243" s="66"/>
      <c r="F243" s="487"/>
      <c r="G243" s="214">
        <v>1.0000000000000001E-5</v>
      </c>
      <c r="H243" s="188">
        <f t="shared" si="44"/>
        <v>0</v>
      </c>
      <c r="AH243" s="187">
        <f>IF(AND(G242=0,G241=0,G240=0,G239=0),AJ238,IF(G242&gt;0,AJ242,IF(G241&gt;0,AJ241,IF(G240&gt;0,AJ240,AJ239))))</f>
        <v>43100</v>
      </c>
      <c r="AI243" s="186">
        <f>IF(AH243=0,0,VLOOKUP(YEAR(AH243),INPC!$B$4:$O$29,MONTH(AH243)+1))</f>
        <v>98.272882985755999</v>
      </c>
      <c r="AJ243" s="187">
        <v>44561</v>
      </c>
      <c r="AK243" s="186">
        <f>IF(AJ243=0,0,VLOOKUP(YEAR(AJ243),INPC!$B$4:$O$29,MONTH(AJ243)+1))</f>
        <v>117.30800000000001</v>
      </c>
      <c r="AL243" s="395">
        <f>IF(G243=0,"N/A",TRUNC(AK243/AI243,4))</f>
        <v>1.1936</v>
      </c>
      <c r="AM243" s="111">
        <f>IF(AND(G242=0,G241=0,G240=0,G239=0),IF(G243=0,0,AM238*AL243),IF(G243=0,0,IF(AND(G242=0,G241=0,G240=0),AN239*AL243,IF(AND(G242=0,G241=0),AN240*AL243,IF(G242=0,AN241*AL243,AN242*AL243)))))</f>
        <v>0</v>
      </c>
      <c r="AN243" s="188">
        <f>IF(G243=0.00001,0,AM243-G243)</f>
        <v>0</v>
      </c>
      <c r="AO243" s="321">
        <v>2022</v>
      </c>
      <c r="AP243" s="189">
        <f>AM243</f>
        <v>0</v>
      </c>
    </row>
    <row r="244" spans="2:42" ht="20.100000000000001" hidden="1" customHeight="1">
      <c r="C244" s="13"/>
      <c r="D244" s="13"/>
      <c r="E244" s="13"/>
      <c r="F244" s="13"/>
      <c r="G244" s="13"/>
      <c r="H244" s="12"/>
      <c r="AL244" s="396"/>
    </row>
    <row r="245" spans="2:42" ht="20.100000000000001" hidden="1" customHeight="1">
      <c r="C245" s="13"/>
      <c r="D245" s="13"/>
      <c r="E245" s="13"/>
      <c r="F245" s="13"/>
      <c r="G245" s="13"/>
      <c r="H245" s="12"/>
      <c r="AL245" s="396"/>
    </row>
    <row r="246" spans="2:42" ht="20.100000000000001" hidden="1" customHeight="1">
      <c r="B246" s="185">
        <v>2018</v>
      </c>
      <c r="C246" s="66" t="s">
        <v>645</v>
      </c>
      <c r="D246" s="65"/>
      <c r="E246" s="66"/>
      <c r="F246" s="213"/>
      <c r="G246" s="482"/>
      <c r="H246" s="455"/>
      <c r="AH246" s="187">
        <v>43282</v>
      </c>
      <c r="AI246" s="186">
        <f>IF(AH246=0,0,VLOOKUP(YEAR(AH246),INPC!$B$4:$O$29,MONTH(AH246)+1))</f>
        <v>99.909099104513999</v>
      </c>
      <c r="AJ246" s="187">
        <v>43465</v>
      </c>
      <c r="AK246" s="186">
        <f>IF(AJ246=0,0,VLOOKUP(YEAR(AJ246),INPC!$B$4:$O$29,MONTH(AJ246)+1))</f>
        <v>103.02</v>
      </c>
      <c r="AL246" s="395">
        <f>IF(AI246=0,0,IF(TRUNC(AK246/AI246,4)&lt;1,1,TRUNC(AK246/AI246,4)))</f>
        <v>1.0310999999999999</v>
      </c>
      <c r="AM246" s="111">
        <f>+F246*AL246</f>
        <v>0</v>
      </c>
      <c r="AN246" s="455"/>
      <c r="AO246" s="456"/>
      <c r="AP246" s="455"/>
    </row>
    <row r="247" spans="2:42" ht="20.100000000000001" hidden="1" customHeight="1">
      <c r="B247" s="185"/>
      <c r="C247" s="66"/>
      <c r="D247" s="65"/>
      <c r="E247" s="66"/>
      <c r="F247" s="487"/>
      <c r="G247" s="214"/>
      <c r="H247" s="188">
        <f>IF(F246-G247&lt;=0,0,F246-G247)</f>
        <v>0</v>
      </c>
      <c r="AH247" s="187">
        <f>+AJ246</f>
        <v>43465</v>
      </c>
      <c r="AI247" s="186">
        <f>IF(AH247=0,0,VLOOKUP(YEAR(AH247),INPC!$B$4:$O$29,MONTH(AH247)+1))</f>
        <v>103.02</v>
      </c>
      <c r="AJ247" s="187">
        <v>43465</v>
      </c>
      <c r="AK247" s="186">
        <f>IF(AJ247=0,0,VLOOKUP(YEAR(AJ247),INPC!$B$4:$O$29,MONTH(AJ247)+1))</f>
        <v>103.02</v>
      </c>
      <c r="AL247" s="395" t="str">
        <f>IF(G247=0,"N/A",TRUNC(AK247/AI247,4))</f>
        <v>N/A</v>
      </c>
      <c r="AM247" s="111">
        <f>IF(G247=0,0,AM246*AL247)</f>
        <v>0</v>
      </c>
      <c r="AN247" s="188">
        <f>+AM247-G247</f>
        <v>0</v>
      </c>
      <c r="AO247" s="291">
        <v>2019</v>
      </c>
      <c r="AP247" s="188"/>
    </row>
    <row r="248" spans="2:42" ht="20.100000000000001" hidden="1" customHeight="1">
      <c r="B248" s="185"/>
      <c r="C248" s="66"/>
      <c r="D248" s="65"/>
      <c r="E248" s="66"/>
      <c r="F248" s="487"/>
      <c r="G248" s="214"/>
      <c r="H248" s="188">
        <f>IF(H247-G248&lt;=0,0,H247-G248)</f>
        <v>0</v>
      </c>
      <c r="AH248" s="187">
        <f>IF(G247=0,AJ246,AJ247)</f>
        <v>43465</v>
      </c>
      <c r="AI248" s="186">
        <f>IF(AH248=0,0,VLOOKUP(YEAR(AH248),INPC!$B$4:$O$29,MONTH(AH248)+1))</f>
        <v>103.02</v>
      </c>
      <c r="AJ248" s="187">
        <v>43830</v>
      </c>
      <c r="AK248" s="186">
        <f>IF(AJ248=0,0,VLOOKUP(YEAR(AJ248),INPC!$B$4:$O$29,MONTH(AJ248)+1))</f>
        <v>105.934</v>
      </c>
      <c r="AL248" s="395" t="str">
        <f>IF(G248=0,"N/A",TRUNC(AK248/AI248,4))</f>
        <v>N/A</v>
      </c>
      <c r="AM248" s="111">
        <f>IF(G247=0,IF(G248=0,0,AM246*AL248),IF(G248=0,0,AN247*AL248))</f>
        <v>0</v>
      </c>
      <c r="AN248" s="188">
        <f>+AM248-G248</f>
        <v>0</v>
      </c>
      <c r="AO248" s="321">
        <v>2020</v>
      </c>
      <c r="AP248" s="188"/>
    </row>
    <row r="249" spans="2:42" ht="20.100000000000001" hidden="1" customHeight="1">
      <c r="B249" s="185"/>
      <c r="C249" s="66"/>
      <c r="D249" s="65"/>
      <c r="E249" s="66"/>
      <c r="F249" s="487"/>
      <c r="G249" s="214"/>
      <c r="H249" s="188">
        <f t="shared" ref="H249:H250" si="45">IF(H248-G249&lt;=0,0,H248-G249)</f>
        <v>0</v>
      </c>
      <c r="AH249" s="187">
        <f>IF(AND(G248=0,G247=0),AJ246,IF(G248&gt;0,AJ248,AJ247))</f>
        <v>43465</v>
      </c>
      <c r="AI249" s="186">
        <f>IF(AH249=0,0,VLOOKUP(YEAR(AH249),INPC!$B$4:$O$29,MONTH(AH249)+1))</f>
        <v>103.02</v>
      </c>
      <c r="AJ249" s="187">
        <v>44196</v>
      </c>
      <c r="AK249" s="186">
        <f>IF(AJ249=0,0,VLOOKUP(YEAR(AJ249),INPC!$B$4:$O$29,MONTH(AJ249)+1))</f>
        <v>109.271</v>
      </c>
      <c r="AL249" s="395" t="str">
        <f>IF(G249=0,"N/A",TRUNC(AK249/AI249,4))</f>
        <v>N/A</v>
      </c>
      <c r="AM249" s="111">
        <f>IF(AND(G248=0,G247=0),IF(G249=0,0,AM246*AL249),IF(G249=0,0,IF(G248=0,AN247*AL249,AN248*AL249)))</f>
        <v>0</v>
      </c>
      <c r="AN249" s="188">
        <f>+AM249-G249</f>
        <v>0</v>
      </c>
      <c r="AO249" s="335">
        <v>2021</v>
      </c>
      <c r="AP249" s="188"/>
    </row>
    <row r="250" spans="2:42" ht="20.100000000000001" hidden="1" customHeight="1">
      <c r="B250" s="185"/>
      <c r="C250" s="66"/>
      <c r="D250" s="65"/>
      <c r="E250" s="66"/>
      <c r="F250" s="487"/>
      <c r="G250" s="214">
        <v>1.0000000000000001E-5</v>
      </c>
      <c r="H250" s="188">
        <f t="shared" si="45"/>
        <v>0</v>
      </c>
      <c r="AH250" s="187">
        <f>IF(AND(G249=0,G248=0,G247=0),AJ246,IF(G249&gt;0,AJ249,IF(G248&gt;0,AJ248,AJ247)))</f>
        <v>43465</v>
      </c>
      <c r="AI250" s="186">
        <f>IF(AH250=0,0,VLOOKUP(YEAR(AH250),INPC!$B$4:$O$29,MONTH(AH250)+1))</f>
        <v>103.02</v>
      </c>
      <c r="AJ250" s="187">
        <v>44561</v>
      </c>
      <c r="AK250" s="186">
        <f>IF(AJ250=0,0,VLOOKUP(YEAR(AJ250),INPC!$B$4:$O$29,MONTH(AJ250)+1))</f>
        <v>117.30800000000001</v>
      </c>
      <c r="AL250" s="395">
        <f>IF(G250=0,"N/A",TRUNC(AK250/AI250,4))</f>
        <v>1.1386000000000001</v>
      </c>
      <c r="AM250" s="111">
        <f>IF(AND(G249=0,G248=0,G247=0),IF(G250=0,0,AM246*AL250),IF(G250=0,0,IF(AND(G249=0,G248=0),AN247*AL250,IF(G249=0,AN248*AL250,AN249*AL250))))</f>
        <v>0</v>
      </c>
      <c r="AN250" s="188">
        <f>IF(G250=0.00001,0,AM250-G250)</f>
        <v>0</v>
      </c>
      <c r="AO250" s="321">
        <v>2022</v>
      </c>
      <c r="AP250" s="189">
        <f>AM250</f>
        <v>0</v>
      </c>
    </row>
    <row r="251" spans="2:42" ht="20.100000000000001" hidden="1" customHeight="1">
      <c r="C251" s="13"/>
      <c r="D251" s="13"/>
      <c r="E251" s="13"/>
      <c r="F251" s="13"/>
      <c r="G251" s="13"/>
      <c r="H251" s="12"/>
      <c r="AL251" s="396"/>
    </row>
    <row r="252" spans="2:42" ht="20.100000000000001" hidden="1" customHeight="1">
      <c r="C252" s="13"/>
      <c r="D252" s="13"/>
      <c r="E252" s="13"/>
      <c r="F252" s="13"/>
      <c r="G252" s="13"/>
      <c r="H252" s="12"/>
      <c r="AL252" s="396"/>
    </row>
    <row r="253" spans="2:42" ht="20.100000000000001" hidden="1" customHeight="1">
      <c r="B253" s="185">
        <v>2019</v>
      </c>
      <c r="C253" s="66" t="s">
        <v>645</v>
      </c>
      <c r="D253" s="65"/>
      <c r="E253" s="66"/>
      <c r="F253" s="213"/>
      <c r="G253" s="482"/>
      <c r="H253" s="455"/>
      <c r="AH253" s="187">
        <v>43647</v>
      </c>
      <c r="AI253" s="186">
        <f>IF(AH253=0,0,VLOOKUP(YEAR(AH253),INPC!$B$4:$O$29,MONTH(AH253)+1))</f>
        <v>103.687</v>
      </c>
      <c r="AJ253" s="187">
        <v>43830</v>
      </c>
      <c r="AK253" s="186">
        <f>IF(AJ253=0,0,VLOOKUP(YEAR(AJ253),INPC!$B$4:$O$29,MONTH(AJ253)+1))</f>
        <v>105.934</v>
      </c>
      <c r="AL253" s="395">
        <f>IF(AI253=0,0,IF(TRUNC(AK253/AI253,4)&lt;1,1,TRUNC(AK253/AI253,4)))</f>
        <v>1.0216000000000001</v>
      </c>
      <c r="AM253" s="111">
        <f>+F253*AL253</f>
        <v>0</v>
      </c>
      <c r="AN253" s="455"/>
      <c r="AO253" s="456"/>
      <c r="AP253" s="455"/>
    </row>
    <row r="254" spans="2:42" ht="20.100000000000001" hidden="1" customHeight="1">
      <c r="B254" s="185"/>
      <c r="C254" s="66"/>
      <c r="D254" s="65"/>
      <c r="E254" s="66"/>
      <c r="F254" s="487"/>
      <c r="G254" s="214"/>
      <c r="H254" s="188">
        <f>IF(F253-G254&lt;=0,0,F253-G254)</f>
        <v>0</v>
      </c>
      <c r="AH254" s="187">
        <f>+AJ253</f>
        <v>43830</v>
      </c>
      <c r="AI254" s="186">
        <f>IF(AH254=0,0,VLOOKUP(YEAR(AH254),INPC!$B$4:$O$29,MONTH(AH254)+1))</f>
        <v>105.934</v>
      </c>
      <c r="AJ254" s="187">
        <v>43830</v>
      </c>
      <c r="AK254" s="186">
        <f>IF(AJ254=0,0,VLOOKUP(YEAR(AJ254),INPC!$B$4:$O$29,MONTH(AJ254)+1))</f>
        <v>105.934</v>
      </c>
      <c r="AL254" s="395" t="str">
        <f>IF(G254=0,"N/A",TRUNC(AK254/AI254,4))</f>
        <v>N/A</v>
      </c>
      <c r="AM254" s="111">
        <f>IF(G254=0,0,AM253*AL254)</f>
        <v>0</v>
      </c>
      <c r="AN254" s="188">
        <f>+AM254-G254</f>
        <v>0</v>
      </c>
      <c r="AO254" s="321">
        <v>2020</v>
      </c>
      <c r="AP254" s="188"/>
    </row>
    <row r="255" spans="2:42" ht="20.100000000000001" hidden="1" customHeight="1">
      <c r="B255" s="185"/>
      <c r="C255" s="66"/>
      <c r="D255" s="65"/>
      <c r="E255" s="66"/>
      <c r="F255" s="487"/>
      <c r="G255" s="214"/>
      <c r="H255" s="188">
        <f>IF(H254-G255&lt;=0,0,H254-G255)</f>
        <v>0</v>
      </c>
      <c r="AH255" s="187">
        <f>IF(G254=0,AJ253,AJ254)</f>
        <v>43830</v>
      </c>
      <c r="AI255" s="186">
        <f>IF(AH255=0,0,VLOOKUP(YEAR(AH255),INPC!$B$4:$O$29,MONTH(AH255)+1))</f>
        <v>105.934</v>
      </c>
      <c r="AJ255" s="187">
        <v>44196</v>
      </c>
      <c r="AK255" s="186">
        <f>IF(AJ255=0,0,VLOOKUP(YEAR(AJ255),INPC!$B$4:$O$29,MONTH(AJ255)+1))</f>
        <v>109.271</v>
      </c>
      <c r="AL255" s="395" t="str">
        <f>IF(G255=0,"N/A",TRUNC(AK255/AI255,4))</f>
        <v>N/A</v>
      </c>
      <c r="AM255" s="111">
        <f>IF(G254=0,IF(G255=0,0,AM253*AL255),IF(G255=0,0,AN254*AL255))</f>
        <v>0</v>
      </c>
      <c r="AN255" s="188">
        <f>+AM255-G255</f>
        <v>0</v>
      </c>
      <c r="AO255" s="335">
        <v>2021</v>
      </c>
      <c r="AP255" s="188"/>
    </row>
    <row r="256" spans="2:42" ht="20.100000000000001" hidden="1" customHeight="1">
      <c r="B256" s="185"/>
      <c r="C256" s="66"/>
      <c r="D256" s="65"/>
      <c r="E256" s="66"/>
      <c r="F256" s="487"/>
      <c r="G256" s="214">
        <v>1.0000000000000001E-5</v>
      </c>
      <c r="H256" s="188">
        <f t="shared" ref="H256" si="46">IF(H255-G256&lt;=0,0,H255-G256)</f>
        <v>0</v>
      </c>
      <c r="AH256" s="187">
        <f>IF(AND(G255=0,G254=0),AJ253,IF(G255&gt;0,AJ255,AJ254))</f>
        <v>43830</v>
      </c>
      <c r="AI256" s="186">
        <f>IF(AH256=0,0,VLOOKUP(YEAR(AH256),INPC!$B$4:$O$29,MONTH(AH256)+1))</f>
        <v>105.934</v>
      </c>
      <c r="AJ256" s="187">
        <v>44561</v>
      </c>
      <c r="AK256" s="186">
        <f>IF(AJ256=0,0,VLOOKUP(YEAR(AJ256),INPC!$B$4:$O$29,MONTH(AJ256)+1))</f>
        <v>117.30800000000001</v>
      </c>
      <c r="AL256" s="395">
        <f>IF(G256=0,"N/A",TRUNC(AK256/AI256,4))</f>
        <v>1.1073</v>
      </c>
      <c r="AM256" s="111">
        <f>IF(AND(G255=0,G254=0),IF(G256=0,0,AM253*AL256),IF(G256=0,0,IF(G255=0,AN254*AL256,AN255*AL256)))</f>
        <v>0</v>
      </c>
      <c r="AN256" s="188">
        <f>IF(G256=0.00001,0,AM256-G256)</f>
        <v>0</v>
      </c>
      <c r="AO256" s="321">
        <v>2022</v>
      </c>
      <c r="AP256" s="189">
        <f>AM256</f>
        <v>0</v>
      </c>
    </row>
    <row r="257" spans="2:42" ht="20.100000000000001" hidden="1" customHeight="1">
      <c r="C257" s="13"/>
      <c r="D257" s="13"/>
      <c r="E257" s="13"/>
      <c r="F257" s="13"/>
      <c r="G257" s="13"/>
      <c r="H257" s="12"/>
      <c r="AL257" s="396"/>
    </row>
    <row r="258" spans="2:42" ht="20.100000000000001" hidden="1" customHeight="1">
      <c r="C258" s="13"/>
      <c r="D258" s="13"/>
      <c r="E258" s="13"/>
      <c r="F258" s="13"/>
      <c r="G258" s="13"/>
      <c r="H258" s="12"/>
      <c r="AL258" s="396"/>
    </row>
    <row r="259" spans="2:42" ht="20.100000000000001" hidden="1" customHeight="1">
      <c r="B259" s="185">
        <v>2020</v>
      </c>
      <c r="C259" s="66" t="s">
        <v>645</v>
      </c>
      <c r="D259" s="65"/>
      <c r="E259" s="66"/>
      <c r="F259" s="213"/>
      <c r="G259" s="482"/>
      <c r="H259" s="455"/>
      <c r="I259" s="12"/>
      <c r="J259" s="12"/>
      <c r="S259" s="12"/>
      <c r="T259" s="12"/>
      <c r="U259" s="12"/>
      <c r="V259" s="12"/>
      <c r="W259" s="12"/>
      <c r="AH259" s="187">
        <v>44013</v>
      </c>
      <c r="AI259" s="186">
        <f>IF(AH259=0,0,VLOOKUP(YEAR(AH259),INPC!$B$4:$O$29,MONTH(AH259)+1))</f>
        <v>107.444</v>
      </c>
      <c r="AJ259" s="187">
        <v>44196</v>
      </c>
      <c r="AK259" s="186">
        <f>IF(AJ259=0,0,VLOOKUP(YEAR(AJ259),INPC!$B$4:$O$29,MONTH(AJ259)+1))</f>
        <v>109.271</v>
      </c>
      <c r="AL259" s="395">
        <f>IF(AI259=0,0,IF(TRUNC(AK259/AI259,4)&lt;1,1,TRUNC(AK259/AI259,4)))</f>
        <v>1.0169999999999999</v>
      </c>
      <c r="AM259" s="111">
        <f>+F259*AL259</f>
        <v>0</v>
      </c>
      <c r="AN259" s="455"/>
      <c r="AO259" s="456"/>
      <c r="AP259" s="455"/>
    </row>
    <row r="260" spans="2:42" ht="20.100000000000001" hidden="1" customHeight="1">
      <c r="B260" s="185"/>
      <c r="C260" s="66"/>
      <c r="D260" s="65"/>
      <c r="E260" s="66"/>
      <c r="F260" s="487"/>
      <c r="G260" s="214"/>
      <c r="H260" s="188">
        <f>IF(F259-G260&lt;=0,0,F259-G260)</f>
        <v>0</v>
      </c>
      <c r="I260" s="12"/>
      <c r="J260" s="12"/>
      <c r="S260" s="12"/>
      <c r="T260" s="12"/>
      <c r="U260" s="12"/>
      <c r="V260" s="12"/>
      <c r="W260" s="12"/>
      <c r="AH260" s="187">
        <f>+AJ259</f>
        <v>44196</v>
      </c>
      <c r="AI260" s="186">
        <f>IF(AH260=0,0,VLOOKUP(YEAR(AH260),INPC!$B$4:$O$29,MONTH(AH260)+1))</f>
        <v>109.271</v>
      </c>
      <c r="AJ260" s="187">
        <v>44196</v>
      </c>
      <c r="AK260" s="186">
        <f>IF(AJ260=0,0,VLOOKUP(YEAR(AJ260),INPC!$B$4:$O$29,MONTH(AJ260)+1))</f>
        <v>109.271</v>
      </c>
      <c r="AL260" s="395" t="str">
        <f>IF(G260=0,"N/A",TRUNC(AK260/AI260,4))</f>
        <v>N/A</v>
      </c>
      <c r="AM260" s="111">
        <f>IF(G260=0,0,AM259*AL260)</f>
        <v>0</v>
      </c>
      <c r="AN260" s="188">
        <f>+AM260-G260</f>
        <v>0</v>
      </c>
      <c r="AO260" s="185">
        <v>2021</v>
      </c>
      <c r="AP260" s="188"/>
    </row>
    <row r="261" spans="2:42" ht="20.100000000000001" hidden="1" customHeight="1">
      <c r="B261" s="185"/>
      <c r="C261" s="66"/>
      <c r="D261" s="65"/>
      <c r="E261" s="66"/>
      <c r="F261" s="487"/>
      <c r="G261" s="214">
        <v>1.0000000000000001E-5</v>
      </c>
      <c r="H261" s="188">
        <f>IF(H260-G261&lt;=0,0,H260-G261)</f>
        <v>0</v>
      </c>
      <c r="I261" s="12"/>
      <c r="J261" s="12"/>
      <c r="S261" s="12"/>
      <c r="T261" s="12"/>
      <c r="U261" s="12"/>
      <c r="V261" s="12"/>
      <c r="W261" s="12"/>
      <c r="AH261" s="187">
        <f>IF(G260=0,AJ259,AJ260)</f>
        <v>44196</v>
      </c>
      <c r="AI261" s="186">
        <f>IF(AH261=0,0,VLOOKUP(YEAR(AH261),INPC!$B$4:$O$29,MONTH(AH261)+1))</f>
        <v>109.271</v>
      </c>
      <c r="AJ261" s="187">
        <v>44561</v>
      </c>
      <c r="AK261" s="186">
        <f>IF(AJ261=0,0,VLOOKUP(YEAR(AJ261),INPC!$B$4:$O$29,MONTH(AJ261)+1))</f>
        <v>117.30800000000001</v>
      </c>
      <c r="AL261" s="395">
        <f>IF(G261=0,"N/A",TRUNC(AK261/AI261,4))</f>
        <v>1.0734999999999999</v>
      </c>
      <c r="AM261" s="111">
        <f>IF(G260=0,IF(G261=0,0,AM259*AL261),IF(G261=0,0,AN260*AL261))</f>
        <v>0</v>
      </c>
      <c r="AN261" s="188">
        <f>IF(G261=0.00001,0,AM261-G261)</f>
        <v>0</v>
      </c>
      <c r="AO261" s="185">
        <v>2022</v>
      </c>
      <c r="AP261" s="189">
        <f>AM261</f>
        <v>0</v>
      </c>
    </row>
    <row r="262" spans="2:42" ht="20.100000000000001" hidden="1" customHeight="1">
      <c r="C262" s="13"/>
      <c r="D262" s="13"/>
      <c r="E262" s="13"/>
      <c r="F262" s="13"/>
      <c r="G262" s="13"/>
      <c r="H262" s="12"/>
      <c r="I262" s="12"/>
      <c r="J262" s="12"/>
      <c r="S262" s="12"/>
      <c r="T262" s="12"/>
      <c r="U262" s="12"/>
      <c r="V262" s="12"/>
      <c r="W262" s="12"/>
      <c r="AL262" s="396"/>
    </row>
    <row r="263" spans="2:42" ht="20.100000000000001" hidden="1" customHeight="1">
      <c r="C263" s="13"/>
      <c r="D263" s="13"/>
      <c r="E263" s="13"/>
      <c r="F263" s="13"/>
      <c r="G263" s="13"/>
      <c r="H263" s="12"/>
      <c r="I263" s="12"/>
      <c r="J263" s="12"/>
      <c r="S263" s="12"/>
      <c r="T263" s="12"/>
      <c r="U263" s="12"/>
      <c r="V263" s="12"/>
      <c r="W263" s="12"/>
      <c r="AL263" s="396"/>
    </row>
    <row r="264" spans="2:42" ht="20.100000000000001" hidden="1" customHeight="1">
      <c r="B264" s="185">
        <v>2021</v>
      </c>
      <c r="C264" s="66" t="s">
        <v>645</v>
      </c>
      <c r="D264" s="65"/>
      <c r="E264" s="66"/>
      <c r="F264" s="213"/>
      <c r="G264" s="482"/>
      <c r="H264" s="455"/>
      <c r="I264" s="12"/>
      <c r="J264" s="12"/>
      <c r="S264" s="12"/>
      <c r="T264" s="12"/>
      <c r="U264" s="12"/>
      <c r="V264" s="12"/>
      <c r="W264" s="12"/>
      <c r="AH264" s="187">
        <v>44378</v>
      </c>
      <c r="AI264" s="186">
        <f>IF(AH264=0,0,VLOOKUP(YEAR(AH264),INPC!$B$4:$O$29,MONTH(AH264)+1))</f>
        <v>113.682</v>
      </c>
      <c r="AJ264" s="187">
        <v>44561</v>
      </c>
      <c r="AK264" s="186">
        <f>IF(AJ264=0,0,VLOOKUP(YEAR(AJ264),INPC!$B$4:$O$29,MONTH(AJ264)+1))</f>
        <v>117.30800000000001</v>
      </c>
      <c r="AL264" s="395">
        <f>IF(AI264=0,0,IF(TRUNC(AK264/AI264,4)&lt;1,1,TRUNC(AK264/AI264,4)))</f>
        <v>1.0318000000000001</v>
      </c>
      <c r="AM264" s="111">
        <f>+F264*AL264</f>
        <v>0</v>
      </c>
      <c r="AN264" s="455"/>
      <c r="AO264" s="456"/>
      <c r="AP264" s="455"/>
    </row>
    <row r="265" spans="2:42" ht="20.100000000000001" hidden="1" customHeight="1">
      <c r="B265" s="185"/>
      <c r="C265" s="66"/>
      <c r="D265" s="65"/>
      <c r="E265" s="66"/>
      <c r="F265" s="487"/>
      <c r="G265" s="214">
        <v>9.9999999999999995E-7</v>
      </c>
      <c r="H265" s="188">
        <f>IF(F264-G265&lt;=0,0,F264-G265)</f>
        <v>0</v>
      </c>
      <c r="I265" s="12"/>
      <c r="J265" s="12"/>
      <c r="S265" s="12"/>
      <c r="T265" s="12"/>
      <c r="U265" s="12"/>
      <c r="V265" s="12"/>
      <c r="W265" s="12"/>
      <c r="AH265" s="187">
        <f>+AJ264</f>
        <v>44561</v>
      </c>
      <c r="AI265" s="186">
        <f>IF(AH265=0,0,VLOOKUP(YEAR(AH265),INPC!$B$4:$O$29,MONTH(AH265)+1))</f>
        <v>117.30800000000001</v>
      </c>
      <c r="AJ265" s="187">
        <v>44561</v>
      </c>
      <c r="AK265" s="186">
        <f>IF(AJ265=0,0,VLOOKUP(YEAR(AJ265),INPC!$B$4:$O$29,MONTH(AJ265)+1))</f>
        <v>117.30800000000001</v>
      </c>
      <c r="AL265" s="395">
        <f>IF(G265=0,"N/A",TRUNC(AK265/AI265,4))</f>
        <v>1</v>
      </c>
      <c r="AM265" s="111">
        <f>IF(G265=0,0,AM264*AL265)</f>
        <v>0</v>
      </c>
      <c r="AN265" s="188">
        <f>IF(G265=0.00001,0,AM265-G265)</f>
        <v>-9.9999999999999995E-7</v>
      </c>
      <c r="AO265" s="185">
        <v>2022</v>
      </c>
      <c r="AP265" s="189">
        <f>AM265</f>
        <v>0</v>
      </c>
    </row>
    <row r="266" spans="2:42" ht="20.100000000000001" hidden="1" customHeight="1">
      <c r="F266" s="12"/>
      <c r="G266" s="12"/>
      <c r="H266" s="12"/>
      <c r="I266" s="12"/>
      <c r="J266" s="12"/>
      <c r="S266" s="12"/>
      <c r="T266" s="12"/>
      <c r="U266" s="12"/>
      <c r="V266" s="12"/>
      <c r="W266" s="12"/>
      <c r="AL266" s="396"/>
    </row>
    <row r="267" spans="2:42" ht="20.100000000000001" hidden="1" customHeight="1">
      <c r="F267" s="12"/>
      <c r="G267" s="107" t="s">
        <v>648</v>
      </c>
      <c r="H267" s="108">
        <f>+H265+H261+H256+H250+H243+H235+H226+H216+H205</f>
        <v>0</v>
      </c>
      <c r="I267" s="12"/>
      <c r="J267" s="12"/>
      <c r="S267" s="12"/>
      <c r="T267" s="12"/>
      <c r="U267" s="12"/>
      <c r="V267" s="12"/>
      <c r="W267" s="12"/>
      <c r="AO267" s="107" t="s">
        <v>648</v>
      </c>
      <c r="AP267" s="108">
        <f>SUM(AP209:AP266)</f>
        <v>0</v>
      </c>
    </row>
    <row r="268" spans="2:42" ht="20.100000000000001" customHeight="1">
      <c r="F268" s="12"/>
      <c r="G268" s="12"/>
      <c r="H268" s="12"/>
      <c r="I268" s="12"/>
      <c r="J268" s="12"/>
      <c r="S268" s="12"/>
      <c r="T268" s="12"/>
      <c r="U268" s="12"/>
      <c r="V268" s="12"/>
      <c r="W268" s="12"/>
    </row>
    <row r="269" spans="2:42" ht="20.100000000000001" customHeight="1">
      <c r="F269" s="12"/>
      <c r="G269" s="12"/>
      <c r="H269" s="12"/>
      <c r="I269" s="12"/>
      <c r="J269" s="12"/>
      <c r="S269" s="12"/>
      <c r="T269" s="12"/>
      <c r="U269" s="12"/>
      <c r="V269" s="12"/>
      <c r="W269" s="12"/>
    </row>
    <row r="270" spans="2:42" ht="20.100000000000001" customHeight="1">
      <c r="K270" s="205"/>
      <c r="L270" s="205"/>
      <c r="M270" s="205"/>
      <c r="N270" s="205"/>
      <c r="O270" s="205"/>
      <c r="P270" s="205"/>
      <c r="AH270" s="205" t="s">
        <v>673</v>
      </c>
      <c r="AI270" s="205"/>
      <c r="AJ270" s="205"/>
      <c r="AK270" s="205"/>
      <c r="AL270"/>
    </row>
    <row r="271" spans="2:42" ht="20.100000000000001" customHeight="1">
      <c r="AH271" s="607"/>
      <c r="AI271" s="322"/>
      <c r="AJ271" s="322"/>
      <c r="AK271" s="322"/>
      <c r="AL271"/>
    </row>
    <row r="272" spans="2:42" ht="20.100000000000001" customHeight="1">
      <c r="AH272" s="607" t="s">
        <v>674</v>
      </c>
      <c r="AI272" s="322"/>
      <c r="AJ272" s="322"/>
      <c r="AK272" s="322"/>
      <c r="AL272"/>
    </row>
    <row r="273" spans="2:43" ht="20.100000000000001" customHeight="1">
      <c r="AH273" s="321" t="s">
        <v>651</v>
      </c>
      <c r="AI273" s="322"/>
      <c r="AJ273" s="322"/>
      <c r="AK273" s="322"/>
      <c r="AL273"/>
    </row>
    <row r="274" spans="2:43" ht="15.95">
      <c r="AH274" s="321" t="s">
        <v>652</v>
      </c>
      <c r="AI274" s="322" t="s">
        <v>675</v>
      </c>
      <c r="AJ274" s="322"/>
      <c r="AK274" s="322"/>
      <c r="AL274"/>
    </row>
    <row r="275" spans="2:43" ht="15.95">
      <c r="AH275" s="322"/>
      <c r="AI275" s="322"/>
      <c r="AJ275" s="322"/>
      <c r="AK275" s="322"/>
      <c r="AL275"/>
    </row>
    <row r="276" spans="2:43" ht="15.95">
      <c r="AH276" s="321"/>
      <c r="AI276" s="322"/>
      <c r="AJ276" s="322"/>
      <c r="AK276" s="322"/>
      <c r="AL276"/>
    </row>
    <row r="277" spans="2:43" ht="15.95">
      <c r="AH277" s="322" t="s">
        <v>655</v>
      </c>
      <c r="AI277" s="322"/>
      <c r="AJ277" s="322"/>
      <c r="AK277" s="322"/>
      <c r="AL277"/>
    </row>
    <row r="278" spans="2:43" ht="15.95">
      <c r="AH278" s="321" t="s">
        <v>656</v>
      </c>
      <c r="AI278" s="322" t="s">
        <v>676</v>
      </c>
      <c r="AJ278" s="322"/>
      <c r="AK278" s="322"/>
      <c r="AL278"/>
    </row>
    <row r="279" spans="2:43" ht="15.95">
      <c r="AH279" s="321"/>
      <c r="AI279" s="322" t="s">
        <v>677</v>
      </c>
      <c r="AJ279" s="322"/>
      <c r="AK279" s="322"/>
      <c r="AL279"/>
    </row>
    <row r="286" spans="2:43" ht="42.95" hidden="1" customHeight="1">
      <c r="B286" s="589" t="s">
        <v>678</v>
      </c>
      <c r="C286" s="589"/>
      <c r="D286" s="589"/>
      <c r="E286" s="589"/>
      <c r="F286" s="589"/>
      <c r="G286" s="589"/>
      <c r="H286" s="589"/>
      <c r="I286" s="589"/>
      <c r="K286" s="205"/>
      <c r="L286" s="205"/>
      <c r="M286" s="205"/>
      <c r="N286" s="205"/>
      <c r="O286" s="205"/>
      <c r="P286" s="205"/>
      <c r="AH286" s="205"/>
      <c r="AI286" s="205"/>
      <c r="AJ286" s="205"/>
      <c r="AK286" s="205"/>
      <c r="AL286" s="205"/>
    </row>
    <row r="287" spans="2:43" ht="20.100000000000001" hidden="1" customHeight="1">
      <c r="B287" s="91" t="s">
        <v>669</v>
      </c>
      <c r="C287" s="91"/>
      <c r="D287" s="91"/>
      <c r="E287" s="91"/>
      <c r="K287" s="91"/>
      <c r="L287" s="91"/>
      <c r="M287" s="91"/>
      <c r="N287" s="91"/>
      <c r="O287" s="91"/>
      <c r="P287" s="91"/>
      <c r="AH287" s="91"/>
      <c r="AI287" s="91"/>
      <c r="AJ287" s="91"/>
      <c r="AK287" s="91"/>
      <c r="AL287" s="91"/>
    </row>
    <row r="288" spans="2:43" ht="20.100000000000001" hidden="1" customHeight="1">
      <c r="B288" s="79" t="s">
        <v>41</v>
      </c>
      <c r="C288" s="79" t="s">
        <v>627</v>
      </c>
      <c r="D288" s="79"/>
      <c r="E288" s="80"/>
      <c r="F288" s="79" t="s">
        <v>629</v>
      </c>
      <c r="G288" s="80"/>
      <c r="H288" s="80"/>
      <c r="I288" s="80"/>
      <c r="AH288" s="80"/>
      <c r="AI288" s="80"/>
      <c r="AJ288" s="80"/>
      <c r="AK288" s="80"/>
      <c r="AL288" s="79" t="s">
        <v>628</v>
      </c>
      <c r="AM288" s="79"/>
      <c r="AN288" s="80"/>
      <c r="AO288" s="80"/>
      <c r="AP288" s="80"/>
      <c r="AQ288" s="80"/>
    </row>
    <row r="289" spans="2:43" ht="20.100000000000001" hidden="1" customHeight="1">
      <c r="B289" s="88"/>
      <c r="C289" s="88"/>
      <c r="D289" s="88"/>
      <c r="E289" s="88"/>
      <c r="F289" s="88"/>
      <c r="G289" s="88"/>
      <c r="H289" s="88"/>
      <c r="I289" s="88"/>
      <c r="AH289" s="88"/>
      <c r="AI289" s="88"/>
      <c r="AJ289" s="88"/>
      <c r="AK289" s="88"/>
      <c r="AL289" s="88"/>
      <c r="AM289" s="88"/>
      <c r="AN289" s="88"/>
      <c r="AO289" s="88"/>
      <c r="AP289" s="88"/>
      <c r="AQ289" s="88"/>
    </row>
    <row r="290" spans="2:43" ht="35.1" hidden="1" customHeight="1">
      <c r="B290" s="62" t="s">
        <v>630</v>
      </c>
      <c r="C290" s="62" t="s">
        <v>631</v>
      </c>
      <c r="D290" s="62" t="s">
        <v>29</v>
      </c>
      <c r="E290" s="62" t="s">
        <v>92</v>
      </c>
      <c r="F290" s="62" t="s">
        <v>670</v>
      </c>
      <c r="G290" s="62" t="s">
        <v>634</v>
      </c>
      <c r="H290" s="62" t="s">
        <v>635</v>
      </c>
      <c r="I290" s="62" t="s">
        <v>636</v>
      </c>
      <c r="J290" s="12"/>
      <c r="S290" s="12"/>
      <c r="T290" s="12"/>
      <c r="U290" s="12"/>
      <c r="V290" s="12"/>
      <c r="W290" s="12"/>
      <c r="AH290" s="62" t="s">
        <v>671</v>
      </c>
      <c r="AI290" s="62" t="s">
        <v>639</v>
      </c>
      <c r="AJ290" s="62" t="s">
        <v>671</v>
      </c>
      <c r="AK290" s="62" t="s">
        <v>641</v>
      </c>
      <c r="AL290" s="62" t="s">
        <v>642</v>
      </c>
      <c r="AM290" s="62" t="s">
        <v>643</v>
      </c>
      <c r="AN290" s="62" t="s">
        <v>634</v>
      </c>
      <c r="AO290" s="62" t="s">
        <v>635</v>
      </c>
      <c r="AP290" s="62" t="s">
        <v>636</v>
      </c>
      <c r="AQ290" s="62" t="s">
        <v>672</v>
      </c>
    </row>
    <row r="291" spans="2:43" ht="20.100000000000001" hidden="1" customHeight="1">
      <c r="B291" s="62"/>
      <c r="C291" s="62"/>
      <c r="D291" s="259"/>
      <c r="E291" s="62"/>
      <c r="F291" s="62"/>
      <c r="G291" s="62"/>
      <c r="H291" s="62"/>
      <c r="I291" s="62"/>
      <c r="J291" s="12"/>
      <c r="S291" s="12"/>
      <c r="T291" s="12"/>
      <c r="U291" s="12"/>
      <c r="V291" s="12"/>
      <c r="W291" s="12"/>
      <c r="AH291" s="62"/>
      <c r="AI291" s="62"/>
      <c r="AJ291" s="62"/>
      <c r="AK291" s="62"/>
      <c r="AL291" s="62"/>
      <c r="AM291" s="62"/>
      <c r="AN291" s="62"/>
      <c r="AO291" s="62"/>
      <c r="AP291" s="62"/>
      <c r="AQ291" s="62"/>
    </row>
    <row r="292" spans="2:43" ht="20.100000000000001" hidden="1" customHeight="1">
      <c r="B292" s="185">
        <v>2013</v>
      </c>
      <c r="C292" s="66" t="s">
        <v>645</v>
      </c>
      <c r="D292" s="65"/>
      <c r="E292" s="66"/>
      <c r="F292" s="213"/>
      <c r="G292" s="482"/>
      <c r="H292" s="455"/>
      <c r="I292" s="456"/>
      <c r="J292" s="12"/>
      <c r="S292" s="12"/>
      <c r="T292" s="12"/>
      <c r="U292" s="12"/>
      <c r="V292" s="12"/>
      <c r="W292" s="12"/>
      <c r="AH292" s="187">
        <v>41456</v>
      </c>
      <c r="AI292" s="186">
        <f>IF(AH292=0,0,VLOOKUP(YEAR(AH292),INPC!$B$4:$O$29,MONTH(AH292)+1))</f>
        <v>81.592193040447</v>
      </c>
      <c r="AJ292" s="323">
        <v>41639</v>
      </c>
      <c r="AK292" s="186">
        <f>IF(AJ292=0,0,VLOOKUP(YEAR(AJ292),INPC!$B$4:$O$29,MONTH(AJ292)+1))</f>
        <v>83.770058296773001</v>
      </c>
      <c r="AL292" s="395">
        <f>IF(AI292=0,0,IF(TRUNC(AK292/AI292,4)&lt;1,1,TRUNC(AK292/AI292,4)))</f>
        <v>1.0266</v>
      </c>
      <c r="AM292" s="111">
        <f>+F292*AL292</f>
        <v>0</v>
      </c>
      <c r="AN292" s="454"/>
      <c r="AO292" s="455"/>
      <c r="AP292" s="456"/>
      <c r="AQ292" s="455"/>
    </row>
    <row r="293" spans="2:43" ht="20.100000000000001" hidden="1" customHeight="1">
      <c r="B293" s="185"/>
      <c r="C293" s="66"/>
      <c r="D293" s="65"/>
      <c r="E293" s="66"/>
      <c r="F293" s="487"/>
      <c r="G293" s="214"/>
      <c r="H293" s="188">
        <f>+F292-G293</f>
        <v>0</v>
      </c>
      <c r="I293" s="185">
        <v>2014</v>
      </c>
      <c r="J293" s="12"/>
      <c r="S293" s="12"/>
      <c r="T293" s="12"/>
      <c r="U293" s="12"/>
      <c r="V293" s="12"/>
      <c r="W293" s="12"/>
      <c r="AH293" s="187">
        <f>+AJ292</f>
        <v>41639</v>
      </c>
      <c r="AI293" s="186">
        <f>IF(AH293=0,0,VLOOKUP(YEAR(AH293),INPC!$B$4:$O$29,MONTH(AH293)+1))</f>
        <v>83.770058296773001</v>
      </c>
      <c r="AJ293" s="330">
        <v>41639</v>
      </c>
      <c r="AK293" s="186">
        <f>IF(AJ293=0,0,VLOOKUP(YEAR(AJ293),INPC!$B$4:$O$29,MONTH(AJ293)+1))</f>
        <v>83.770058296773001</v>
      </c>
      <c r="AL293" s="395" t="str">
        <f t="shared" ref="AL293:AL301" si="47">IF(AN293=0,"N/A",TRUNC(AK293/AI293,4))</f>
        <v>N/A</v>
      </c>
      <c r="AM293" s="111">
        <f>IF(AN293=0,0,AM292*AL293)</f>
        <v>0</v>
      </c>
      <c r="AN293" s="214"/>
      <c r="AO293" s="188">
        <f t="shared" ref="AO293:AO299" si="48">+AM293-AN293</f>
        <v>0</v>
      </c>
      <c r="AP293" s="185">
        <v>2014</v>
      </c>
      <c r="AQ293" s="188"/>
    </row>
    <row r="294" spans="2:43" ht="20.100000000000001" hidden="1" customHeight="1">
      <c r="B294" s="185"/>
      <c r="C294" s="66"/>
      <c r="D294" s="65"/>
      <c r="E294" s="66"/>
      <c r="F294" s="487"/>
      <c r="G294" s="214"/>
      <c r="H294" s="188">
        <f>+H293-G294</f>
        <v>0</v>
      </c>
      <c r="I294" s="185">
        <v>2015</v>
      </c>
      <c r="J294" s="12"/>
      <c r="S294" s="12"/>
      <c r="T294" s="12"/>
      <c r="U294" s="12"/>
      <c r="V294" s="12"/>
      <c r="W294" s="12"/>
      <c r="AH294" s="187">
        <f>IF(AN293=0,AJ292,AJ293)</f>
        <v>41639</v>
      </c>
      <c r="AI294" s="186">
        <f>IF(AH294=0,0,VLOOKUP(YEAR(AH294),INPC!$B$4:$O$29,MONTH(AH294)+1))</f>
        <v>83.770058296773001</v>
      </c>
      <c r="AJ294" s="187">
        <v>42004</v>
      </c>
      <c r="AK294" s="186">
        <f>IF(AJ294=0,0,VLOOKUP(YEAR(AJ294),INPC!$B$4:$O$29,MONTH(AJ294)+1))</f>
        <v>87.188983712964003</v>
      </c>
      <c r="AL294" s="395" t="str">
        <f t="shared" si="47"/>
        <v>N/A</v>
      </c>
      <c r="AM294" s="111">
        <f>IF(AN293=0,IF(AN294=0,0,AM292*AL294),IF(AN294=0,0,AO293*AL294))</f>
        <v>0</v>
      </c>
      <c r="AN294" s="214"/>
      <c r="AO294" s="188">
        <f t="shared" si="48"/>
        <v>0</v>
      </c>
      <c r="AP294" s="185">
        <v>2015</v>
      </c>
      <c r="AQ294" s="188"/>
    </row>
    <row r="295" spans="2:43" ht="20.100000000000001" hidden="1" customHeight="1">
      <c r="B295" s="185"/>
      <c r="C295" s="66"/>
      <c r="D295" s="65"/>
      <c r="E295" s="66"/>
      <c r="F295" s="487"/>
      <c r="G295" s="214"/>
      <c r="H295" s="188">
        <f t="shared" ref="H295:H301" si="49">+H294-G295</f>
        <v>0</v>
      </c>
      <c r="I295" s="185">
        <v>2016</v>
      </c>
      <c r="J295" s="12"/>
      <c r="S295" s="12"/>
      <c r="T295" s="12"/>
      <c r="U295" s="12"/>
      <c r="V295" s="12"/>
      <c r="W295" s="12"/>
      <c r="AH295" s="187">
        <f>IF(AND(AN294=0,AN293=0),AJ292,IF(AN294&gt;0,AJ294,AJ293))</f>
        <v>41639</v>
      </c>
      <c r="AI295" s="186">
        <f>IF(AH295=0,0,VLOOKUP(YEAR(AH295),INPC!$B$4:$O$29,MONTH(AH295)+1))</f>
        <v>83.770058296773001</v>
      </c>
      <c r="AJ295" s="187">
        <v>42369</v>
      </c>
      <c r="AK295" s="186">
        <f>IF(AJ295=0,0,VLOOKUP(YEAR(AJ295),INPC!$B$4:$O$29,MONTH(AJ295)+1))</f>
        <v>89.046817717411002</v>
      </c>
      <c r="AL295" s="395" t="str">
        <f t="shared" si="47"/>
        <v>N/A</v>
      </c>
      <c r="AM295" s="111">
        <f>IF(AND(AN294=0,AN293=0),IF(AN295=0,0,AM292*AL295),IF(AN295=0,0,IF(AN294=0,AO293*AL295,AO294*AL295)))</f>
        <v>0</v>
      </c>
      <c r="AN295" s="214"/>
      <c r="AO295" s="188">
        <f t="shared" si="48"/>
        <v>0</v>
      </c>
      <c r="AP295" s="185">
        <v>2016</v>
      </c>
      <c r="AQ295" s="188"/>
    </row>
    <row r="296" spans="2:43" ht="20.100000000000001" hidden="1" customHeight="1">
      <c r="B296" s="185"/>
      <c r="C296" s="66"/>
      <c r="D296" s="65"/>
      <c r="E296" s="66"/>
      <c r="F296" s="487"/>
      <c r="G296" s="214"/>
      <c r="H296" s="188">
        <f t="shared" si="49"/>
        <v>0</v>
      </c>
      <c r="I296" s="185">
        <v>2017</v>
      </c>
      <c r="J296" s="12"/>
      <c r="S296" s="12"/>
      <c r="T296" s="12"/>
      <c r="U296" s="12"/>
      <c r="V296" s="12"/>
      <c r="W296" s="12"/>
      <c r="AH296" s="187">
        <f>IF(AND(AN295=0,AN294=0,AN293=0),AJ292,IF(AN295&gt;0,AJ295,IF(AN294&gt;0,AJ294,AJ293)))</f>
        <v>41639</v>
      </c>
      <c r="AI296" s="186">
        <f>IF(AH296=0,0,VLOOKUP(YEAR(AH296),INPC!$B$4:$O$29,MONTH(AH296)+1))</f>
        <v>83.770058296773001</v>
      </c>
      <c r="AJ296" s="187">
        <v>42735</v>
      </c>
      <c r="AK296" s="186">
        <f>IF(AJ296=0,0,VLOOKUP(YEAR(AJ296),INPC!$B$4:$O$29,MONTH(AJ296)+1))</f>
        <v>92.039034797764003</v>
      </c>
      <c r="AL296" s="395" t="str">
        <f t="shared" si="47"/>
        <v>N/A</v>
      </c>
      <c r="AM296" s="111">
        <f>IF(AND(AN295=0,AN294=0,AN293=0),IF(AN296=0,0,AM292*AL296),IF(AN296=0,0,IF(AND(AN295=0,AN294=0),AO293*AL296,IF(AN295=0,AO294*AL296,AO295*AL296))))</f>
        <v>0</v>
      </c>
      <c r="AN296" s="214"/>
      <c r="AO296" s="188">
        <f t="shared" si="48"/>
        <v>0</v>
      </c>
      <c r="AP296" s="185">
        <v>2017</v>
      </c>
      <c r="AQ296" s="188"/>
    </row>
    <row r="297" spans="2:43" ht="20.100000000000001" hidden="1" customHeight="1">
      <c r="B297" s="185"/>
      <c r="C297" s="66"/>
      <c r="D297" s="65"/>
      <c r="E297" s="66"/>
      <c r="F297" s="487"/>
      <c r="G297" s="214"/>
      <c r="H297" s="188">
        <f t="shared" si="49"/>
        <v>0</v>
      </c>
      <c r="I297" s="185">
        <v>2018</v>
      </c>
      <c r="J297" s="12"/>
      <c r="S297" s="12"/>
      <c r="T297" s="12"/>
      <c r="U297" s="12"/>
      <c r="V297" s="12"/>
      <c r="W297" s="12"/>
      <c r="AH297" s="312">
        <f>IF(AND(AN296=0,AN295=0,AN294=0,AN293=0),AJ292,IF(AN296&gt;0,AJ296,IF(AN295&gt;0,AJ295,IF(AN294&gt;0,AJ294,AJ293))))</f>
        <v>41639</v>
      </c>
      <c r="AI297" s="186">
        <f>IF(AH297=0,0,VLOOKUP(YEAR(AH297),INPC!$B$4:$O$29,MONTH(AH297)+1))</f>
        <v>83.770058296773001</v>
      </c>
      <c r="AJ297" s="187">
        <v>43100</v>
      </c>
      <c r="AK297" s="186">
        <f>IF(AJ297=0,0,VLOOKUP(YEAR(AJ297),INPC!$B$4:$O$29,MONTH(AJ297)+1))</f>
        <v>98.272882985755999</v>
      </c>
      <c r="AL297" s="395" t="str">
        <f t="shared" si="47"/>
        <v>N/A</v>
      </c>
      <c r="AM297" s="314">
        <f>IF(AND(AN296=0,AN295=0,AN294=0,AN293=0),IF(AN297=0,0,AM292*AL297),IF(AN297=0,0,IF(AND(AN296=0,AN295=0,AN294=0),AO293*AL297,IF(AND(AN296=0,AN295=0),AO294*AL297,IF(AN296=0,AO295*AL297,AO296*AL297)))))</f>
        <v>0</v>
      </c>
      <c r="AN297" s="214"/>
      <c r="AO297" s="188">
        <f t="shared" si="48"/>
        <v>0</v>
      </c>
      <c r="AP297" s="185">
        <v>2018</v>
      </c>
      <c r="AQ297" s="188"/>
    </row>
    <row r="298" spans="2:43" ht="20.100000000000001" hidden="1" customHeight="1">
      <c r="B298" s="185"/>
      <c r="C298" s="66"/>
      <c r="D298" s="65"/>
      <c r="E298" s="66"/>
      <c r="F298" s="487"/>
      <c r="G298" s="214"/>
      <c r="H298" s="188">
        <f t="shared" si="49"/>
        <v>0</v>
      </c>
      <c r="I298" s="291">
        <v>2019</v>
      </c>
      <c r="J298" s="12"/>
      <c r="S298" s="12"/>
      <c r="T298" s="12"/>
      <c r="U298" s="12"/>
      <c r="V298" s="12"/>
      <c r="W298" s="12"/>
      <c r="AH298" s="323">
        <f>IF(AND(AN297=0,AN296=0,AN295=0,AN294=0,AN293=0),AJ292,IF(AN297&gt;0,AJ297,IF(AN296&gt;0,AJ296,IF(AN295&gt;0,AJ295,IF(AN294&gt;0,AJ294,AJ293)))))</f>
        <v>41639</v>
      </c>
      <c r="AI298" s="186">
        <f>IF(AH298=0,0,VLOOKUP(YEAR(AH298),INPC!$B$4:$O$29,MONTH(AH298)+1))</f>
        <v>83.770058296773001</v>
      </c>
      <c r="AJ298" s="187">
        <v>43465</v>
      </c>
      <c r="AK298" s="186">
        <f>IF(AJ298=0,0,VLOOKUP(YEAR(AJ298),INPC!$B$4:$O$29,MONTH(AJ298)+1))</f>
        <v>103.02</v>
      </c>
      <c r="AL298" s="395" t="str">
        <f t="shared" si="47"/>
        <v>N/A</v>
      </c>
      <c r="AM298" s="325">
        <f>IF(AND(AN297=0,AN296=0,AN295=0,AN294=0,AN293=0),IF(AN298=0,0,AM292*AL298),IF(AN298=0,0,IF(AND(AN297=0,AN296=0,AN295=0,AN294=0),AO293*AL298,IF(AND(AN297=0,AN296=0,AN295=0),AO294*AL298,IF(AND(AN297=0,AN296=0),AO295*AL298,IF(AN297=0,AO296*AL298,AO297*AL298))))))</f>
        <v>0</v>
      </c>
      <c r="AN298" s="214"/>
      <c r="AO298" s="188">
        <f t="shared" si="48"/>
        <v>0</v>
      </c>
      <c r="AP298" s="291">
        <v>2019</v>
      </c>
      <c r="AQ298" s="188"/>
    </row>
    <row r="299" spans="2:43" ht="20.100000000000001" hidden="1" customHeight="1">
      <c r="B299" s="291"/>
      <c r="C299" s="340"/>
      <c r="D299" s="449"/>
      <c r="E299" s="340"/>
      <c r="F299" s="488"/>
      <c r="G299" s="320"/>
      <c r="H299" s="188">
        <f t="shared" si="49"/>
        <v>0</v>
      </c>
      <c r="I299" s="321">
        <v>2020</v>
      </c>
      <c r="J299" s="12"/>
      <c r="S299" s="12"/>
      <c r="T299" s="12"/>
      <c r="U299" s="12"/>
      <c r="V299" s="12"/>
      <c r="W299" s="12"/>
      <c r="AH299" s="333">
        <f>IF(AND(AN298=0,AN297=0,AN296=0,AN295=0,AN294=0,AN293=0),AJ292,IF(AN298&gt;0,AJ298,IF(AN297&gt;0,AJ297,IF(AN296&gt;0,AJ296,IF(AN295&gt;0,AJ295,IF(AN294&gt;0,AJ294,AJ293))))))</f>
        <v>41639</v>
      </c>
      <c r="AI299" s="313">
        <f>IF(AH299=0,0,VLOOKUP(YEAR(AH299),INPC!$B$4:$O$29,MONTH(AH299)+1))</f>
        <v>83.770058296773001</v>
      </c>
      <c r="AJ299" s="187">
        <v>43830</v>
      </c>
      <c r="AK299" s="313">
        <f>IF(AJ299=0,0,VLOOKUP(YEAR(AJ299),INPC!$B$4:$O$29,MONTH(AJ299)+1))</f>
        <v>105.934</v>
      </c>
      <c r="AL299" s="398" t="str">
        <f t="shared" si="47"/>
        <v>N/A</v>
      </c>
      <c r="AM299" s="334">
        <f>IF(AND(AN298=0,AN297=0,AN296=0,AN295=0,AN294=0,AN293=0),IF(AN299=0,0,AM292*AL299),IF(AN299=0,0,IF(AND(AN298=0,AN297=0,AN296=0,AN295=0,AN294=0),AO293*AL299,IF(AND(AN298=0,AN297=0,AN296=0,AN295=0),AO294*AL299,IF(AND(AN298=0,AN297=0,AN296=0),AO295*AL299,IF(AND(AN298=0,AN297=0),AO296*AL299,IF(AN298=0,AO297*AL299,AO298*AL299)))))))</f>
        <v>0</v>
      </c>
      <c r="AN299" s="320"/>
      <c r="AO299" s="315">
        <f t="shared" si="48"/>
        <v>0</v>
      </c>
      <c r="AP299" s="321">
        <v>2020</v>
      </c>
      <c r="AQ299" s="315"/>
    </row>
    <row r="300" spans="2:43" ht="20.100000000000001" hidden="1" customHeight="1">
      <c r="B300" s="321"/>
      <c r="C300" s="341"/>
      <c r="D300" s="450"/>
      <c r="E300" s="341"/>
      <c r="F300" s="489"/>
      <c r="G300" s="328"/>
      <c r="H300" s="188">
        <f t="shared" si="49"/>
        <v>0</v>
      </c>
      <c r="I300" s="335">
        <v>2021</v>
      </c>
      <c r="J300" s="12"/>
      <c r="S300" s="12"/>
      <c r="T300" s="12"/>
      <c r="U300" s="12"/>
      <c r="V300" s="12"/>
      <c r="W300" s="12"/>
      <c r="AH300" s="323">
        <f>IF(AND(AN299=0,AN298=0,AN297=0,AN296=0,AN295=0,AN294=0,AN293=0),AJ292,IF(AN299&gt;0,AJ299,IF(AN298&gt;0,AJ298,IF(AN297&gt;0,AJ297,IF(AN296&gt;0,AJ296,IF(AN295&gt;0,AJ295,IF(AN294&gt;0,AJ294,AJ293)))))))</f>
        <v>41639</v>
      </c>
      <c r="AI300" s="324">
        <f>IF(AH300=0,0,VLOOKUP(YEAR(AH300),INPC!$B$4:$O$29,MONTH(AH300)+1))</f>
        <v>83.770058296773001</v>
      </c>
      <c r="AJ300" s="187">
        <v>44196</v>
      </c>
      <c r="AK300" s="324">
        <f>IF(AJ300=0,0,VLOOKUP(YEAR(AJ300),INPC!$B$4:$O$29,MONTH(AJ300)+1))</f>
        <v>109.271</v>
      </c>
      <c r="AL300" s="399" t="str">
        <f t="shared" si="47"/>
        <v>N/A</v>
      </c>
      <c r="AM300" s="325">
        <f>IF(AND(AN299=0,AN298=0,AN297=0,AN296=0,AN295=0,AN294=0,AN293=0),IF(AN300=0,0,AM292*AL300),IF(AN300=0,0,IF(AND(AN299=0,AN298=0,AN297=0,AN296=0,AN295=0,AN294=0),AO293*AL300,IF(AND(AN299=0,AN298=0,AN297=0,AN296=0,AN295=0),AO294*AL300,IF(AND(AN299=0,AN298=0,AN297=0,AN296=0),AO295*AL300,IF(AND(AN299=0,AN298=0,AN297=0),AO296*AL300,IF(AND(AN299=0,AN298=0),AO297*AL300,IF(AN299=0,AO298*AL300,AO299*AL300))))))))</f>
        <v>0</v>
      </c>
      <c r="AN300" s="328"/>
      <c r="AO300" s="326">
        <f>IF(AN300=0.00001,0,AM300-AN300)</f>
        <v>0</v>
      </c>
      <c r="AP300" s="335">
        <v>2021</v>
      </c>
      <c r="AQ300" s="315"/>
    </row>
    <row r="301" spans="2:43" ht="20.100000000000001" hidden="1" customHeight="1">
      <c r="B301" s="321"/>
      <c r="C301" s="341"/>
      <c r="D301" s="450"/>
      <c r="E301" s="341"/>
      <c r="F301" s="489"/>
      <c r="G301" s="328">
        <v>1.0000000000000001E-5</v>
      </c>
      <c r="H301" s="188">
        <f t="shared" si="49"/>
        <v>-1.0000000000000001E-5</v>
      </c>
      <c r="I301" s="321">
        <v>2022</v>
      </c>
      <c r="J301" s="12"/>
      <c r="S301" s="12"/>
      <c r="T301" s="12"/>
      <c r="U301" s="12"/>
      <c r="V301" s="12"/>
      <c r="W301" s="12"/>
      <c r="AH301" s="323">
        <f>IF(AND(AN300=0,AN299=0,AN298=0,AN297=0,AN296=0,AN295=0,AN294=0,AN293=0),AJ292,IF(AN300&gt;0,AJ300,IF(AN299&gt;0,AJ299,IF(AN298&gt;0,AJ298,IF(AN297&gt;0,AJ297,IF(AN296&gt;0,AJ296,IF(AN295&gt;0,AJ295,IF(AN294&gt;0,AJ294,AJ293))))))))</f>
        <v>41639</v>
      </c>
      <c r="AI301" s="324">
        <f>IF(AH301=0,0,VLOOKUP(YEAR(AH301),INPC!$B$4:$O$29,MONTH(AH301)+1))</f>
        <v>83.770058296773001</v>
      </c>
      <c r="AJ301" s="187">
        <v>44561</v>
      </c>
      <c r="AK301" s="324">
        <f>IF(AJ301=0,0,VLOOKUP(YEAR(AJ301),INPC!$B$4:$O$29,MONTH(AJ301)+1))</f>
        <v>117.30800000000001</v>
      </c>
      <c r="AL301" s="399">
        <f t="shared" si="47"/>
        <v>1.4003000000000001</v>
      </c>
      <c r="AM301" s="325">
        <f>IF(AND(AN300=0,AN299=0,AN298=0,AN297=0,AN296=0,AN295=0,AN294=0,AN293=0),IF(AN301=0,0,AM292*AL301),IF(AN301=0,0,IF(AND(AN300=0,AN299=0,AN298=0,AN297=0,AN296=0,AN295=0,AN294=0),AO293*AL301,IF(AND(AN300=0,AN299=0,AN298=0,AN297=0,AN296=0,AN295=0),AO294*AL301,IF(AND(AN300=0,AN299=0,AN298=0,AN297=0,AN296=0),AO295*AL301,IF(AND(AN300=0,AN299=0,AN298=0,AN297=0),AO296*AL301,IF(AND(AN300=0,AN299=0,AN298=0),AO297*AL301,IF(AND(AN300=0,AN299=0),AO298*AL301,IF(AN300=0,AO299*AL301,AO300*AL301)))))))))</f>
        <v>0</v>
      </c>
      <c r="AN301" s="328">
        <v>1.0000000000000001E-5</v>
      </c>
      <c r="AO301" s="326">
        <f>IF(AN301=0.00001,0,AM301-AN301)</f>
        <v>0</v>
      </c>
      <c r="AP301" s="321">
        <v>2022</v>
      </c>
      <c r="AQ301" s="327">
        <f>AM301</f>
        <v>0</v>
      </c>
    </row>
    <row r="302" spans="2:43" ht="20.100000000000001" hidden="1" customHeight="1">
      <c r="B302" s="112"/>
      <c r="C302" s="13"/>
      <c r="D302" s="55"/>
      <c r="E302" s="13"/>
      <c r="F302" s="264"/>
      <c r="G302" s="264"/>
      <c r="H302" s="184"/>
      <c r="I302" s="112"/>
      <c r="J302" s="12"/>
      <c r="S302" s="12"/>
      <c r="T302" s="12"/>
      <c r="U302" s="12"/>
      <c r="V302" s="12"/>
      <c r="W302" s="12"/>
      <c r="AH302" s="316"/>
      <c r="AI302" s="317"/>
      <c r="AJ302" s="316"/>
      <c r="AK302" s="317"/>
      <c r="AL302" s="400"/>
      <c r="AM302" s="311"/>
      <c r="AN302" s="264"/>
      <c r="AO302" s="184"/>
      <c r="AP302" s="112"/>
      <c r="AQ302" s="184"/>
    </row>
    <row r="303" spans="2:43" ht="20.100000000000001" hidden="1" customHeight="1">
      <c r="B303" s="112"/>
      <c r="C303" s="13"/>
      <c r="D303" s="55"/>
      <c r="E303" s="13"/>
      <c r="F303" s="264"/>
      <c r="G303" s="264"/>
      <c r="H303" s="184"/>
      <c r="I303" s="112"/>
      <c r="J303" s="12"/>
      <c r="S303" s="12"/>
      <c r="T303" s="12"/>
      <c r="U303" s="12"/>
      <c r="V303" s="12"/>
      <c r="W303" s="12"/>
      <c r="AH303" s="316"/>
      <c r="AI303" s="317"/>
      <c r="AJ303" s="316"/>
      <c r="AK303" s="317"/>
      <c r="AL303" s="400"/>
      <c r="AM303" s="311"/>
      <c r="AN303" s="264"/>
      <c r="AO303" s="184"/>
      <c r="AP303" s="112"/>
      <c r="AQ303" s="184"/>
    </row>
    <row r="304" spans="2:43" ht="20.100000000000001" hidden="1" customHeight="1">
      <c r="B304" s="185">
        <v>2014</v>
      </c>
      <c r="C304" s="66" t="s">
        <v>645</v>
      </c>
      <c r="D304" s="65"/>
      <c r="E304" s="66"/>
      <c r="F304" s="213"/>
      <c r="G304" s="482"/>
      <c r="H304" s="455"/>
      <c r="I304" s="456"/>
      <c r="AH304" s="187">
        <v>41821</v>
      </c>
      <c r="AI304" s="186">
        <f>IF(AH304=0,0,VLOOKUP(YEAR(AH304),INPC!$B$4:$O$29,MONTH(AH304)+1))</f>
        <v>84.914958831660996</v>
      </c>
      <c r="AJ304" s="323">
        <v>42004</v>
      </c>
      <c r="AK304" s="186">
        <f>IF(AJ304=0,0,VLOOKUP(YEAR(AJ304),INPC!$B$4:$O$29,MONTH(AJ304)+1))</f>
        <v>87.188983712964003</v>
      </c>
      <c r="AL304" s="395">
        <f>IF(AI304=0,0,IF(TRUNC(AK304/AI304,4)&lt;1,1,TRUNC(AK304/AI304,4)))</f>
        <v>1.0266999999999999</v>
      </c>
      <c r="AM304" s="111">
        <f>+F304*AL304</f>
        <v>0</v>
      </c>
      <c r="AN304" s="454"/>
      <c r="AO304" s="455"/>
      <c r="AP304" s="456"/>
      <c r="AQ304" s="455"/>
    </row>
    <row r="305" spans="2:43" ht="20.100000000000001" hidden="1" customHeight="1">
      <c r="B305" s="185"/>
      <c r="C305" s="66"/>
      <c r="D305" s="65"/>
      <c r="E305" s="66"/>
      <c r="F305" s="487"/>
      <c r="G305" s="214"/>
      <c r="H305" s="188">
        <f t="shared" ref="H305:H311" si="50">+AG305-G305</f>
        <v>0</v>
      </c>
      <c r="I305" s="185">
        <v>2015</v>
      </c>
      <c r="AH305" s="187">
        <f>+AJ304</f>
        <v>42004</v>
      </c>
      <c r="AI305" s="186">
        <f>IF(AH305=0,0,VLOOKUP(YEAR(AH305),INPC!$B$4:$O$29,MONTH(AH305)+1))</f>
        <v>87.188983712964003</v>
      </c>
      <c r="AJ305" s="330">
        <v>42004</v>
      </c>
      <c r="AK305" s="186">
        <f>IF(AJ305=0,0,VLOOKUP(YEAR(AJ305),INPC!$B$4:$O$29,MONTH(AJ305)+1))</f>
        <v>87.188983712964003</v>
      </c>
      <c r="AL305" s="395" t="str">
        <f t="shared" ref="AL305:AL312" si="51">IF(AN305=0,"N/A",TRUNC(AK305/AI305,4))</f>
        <v>N/A</v>
      </c>
      <c r="AM305" s="111">
        <f>IF(AN305=0,0,AM304*AL305)</f>
        <v>0</v>
      </c>
      <c r="AN305" s="214"/>
      <c r="AO305" s="188">
        <f t="shared" ref="AO305:AO311" si="52">+AM305-AN305</f>
        <v>0</v>
      </c>
      <c r="AP305" s="185">
        <v>2015</v>
      </c>
      <c r="AQ305" s="188"/>
    </row>
    <row r="306" spans="2:43" ht="20.100000000000001" hidden="1" customHeight="1">
      <c r="B306" s="185"/>
      <c r="C306" s="66"/>
      <c r="D306" s="65"/>
      <c r="E306" s="66"/>
      <c r="F306" s="487"/>
      <c r="G306" s="214"/>
      <c r="H306" s="188">
        <f t="shared" si="50"/>
        <v>0</v>
      </c>
      <c r="I306" s="185">
        <v>2016</v>
      </c>
      <c r="AH306" s="187">
        <f>IF(AN305=0,AJ304,AJ305)</f>
        <v>42004</v>
      </c>
      <c r="AI306" s="186">
        <f>IF(AH306=0,0,VLOOKUP(YEAR(AH306),INPC!$B$4:$O$29,MONTH(AH306)+1))</f>
        <v>87.188983712964003</v>
      </c>
      <c r="AJ306" s="187">
        <v>42369</v>
      </c>
      <c r="AK306" s="186">
        <f>IF(AJ306=0,0,VLOOKUP(YEAR(AJ306),INPC!$B$4:$O$29,MONTH(AJ306)+1))</f>
        <v>89.046817717411002</v>
      </c>
      <c r="AL306" s="395" t="str">
        <f t="shared" si="51"/>
        <v>N/A</v>
      </c>
      <c r="AM306" s="111">
        <f>IF(AN305=0,IF(AN306=0,0,AM304*AL306),IF(AN306=0,0,AO305*AL306))</f>
        <v>0</v>
      </c>
      <c r="AN306" s="214"/>
      <c r="AO306" s="188">
        <f t="shared" si="52"/>
        <v>0</v>
      </c>
      <c r="AP306" s="185">
        <v>2016</v>
      </c>
      <c r="AQ306" s="188"/>
    </row>
    <row r="307" spans="2:43" ht="20.100000000000001" hidden="1" customHeight="1">
      <c r="B307" s="185"/>
      <c r="C307" s="66"/>
      <c r="D307" s="65"/>
      <c r="E307" s="66"/>
      <c r="F307" s="487"/>
      <c r="G307" s="214"/>
      <c r="H307" s="188">
        <f t="shared" si="50"/>
        <v>0</v>
      </c>
      <c r="I307" s="185">
        <v>2017</v>
      </c>
      <c r="AH307" s="187">
        <f>IF(AND(AN306=0,AN305=0),AJ304,IF(AN306&gt;0,AJ306,AJ305))</f>
        <v>42004</v>
      </c>
      <c r="AI307" s="186">
        <f>IF(AH307=0,0,VLOOKUP(YEAR(AH307),INPC!$B$4:$O$29,MONTH(AH307)+1))</f>
        <v>87.188983712964003</v>
      </c>
      <c r="AJ307" s="187">
        <v>42735</v>
      </c>
      <c r="AK307" s="186">
        <f>IF(AJ307=0,0,VLOOKUP(YEAR(AJ307),INPC!$B$4:$O$29,MONTH(AJ307)+1))</f>
        <v>92.039034797764003</v>
      </c>
      <c r="AL307" s="395" t="str">
        <f t="shared" si="51"/>
        <v>N/A</v>
      </c>
      <c r="AM307" s="111">
        <f>IF(AND(AN306=0,AN305=0),IF(AN307=0,0,AM304*AL307),IF(AN307=0,0,IF(AN306=0,AO305*AL307,AO306*AL307)))</f>
        <v>0</v>
      </c>
      <c r="AN307" s="214"/>
      <c r="AO307" s="188">
        <f t="shared" si="52"/>
        <v>0</v>
      </c>
      <c r="AP307" s="185">
        <v>2017</v>
      </c>
      <c r="AQ307" s="188"/>
    </row>
    <row r="308" spans="2:43" ht="20.100000000000001" hidden="1" customHeight="1">
      <c r="B308" s="185"/>
      <c r="C308" s="66"/>
      <c r="D308" s="65"/>
      <c r="E308" s="66"/>
      <c r="F308" s="487"/>
      <c r="G308" s="214"/>
      <c r="H308" s="188">
        <f t="shared" si="50"/>
        <v>0</v>
      </c>
      <c r="I308" s="185">
        <v>2018</v>
      </c>
      <c r="AH308" s="187">
        <f>IF(AND(AN307=0,AN306=0,AN305=0),AJ304,IF(AN307&gt;0,AJ307,IF(AN306&gt;0,AJ306,AJ305)))</f>
        <v>42004</v>
      </c>
      <c r="AI308" s="186">
        <f>IF(AH308=0,0,VLOOKUP(YEAR(AH308),INPC!$B$4:$O$29,MONTH(AH308)+1))</f>
        <v>87.188983712964003</v>
      </c>
      <c r="AJ308" s="187">
        <v>43100</v>
      </c>
      <c r="AK308" s="186">
        <f>IF(AJ308=0,0,VLOOKUP(YEAR(AJ308),INPC!$B$4:$O$29,MONTH(AJ308)+1))</f>
        <v>98.272882985755999</v>
      </c>
      <c r="AL308" s="395" t="str">
        <f t="shared" si="51"/>
        <v>N/A</v>
      </c>
      <c r="AM308" s="111">
        <f>IF(AND(AN307=0,AN306=0,AN305=0),IF(AN308=0,0,AM304*AL308),IF(AN308=0,0,IF(AND(AN307=0,AN306=0),AO305*AL308,IF(AN307=0,AO306*AL308,AO307*AL308))))</f>
        <v>0</v>
      </c>
      <c r="AN308" s="214"/>
      <c r="AO308" s="188">
        <f t="shared" si="52"/>
        <v>0</v>
      </c>
      <c r="AP308" s="185">
        <v>2018</v>
      </c>
      <c r="AQ308" s="188"/>
    </row>
    <row r="309" spans="2:43" ht="20.100000000000001" hidden="1" customHeight="1">
      <c r="B309" s="185"/>
      <c r="C309" s="66"/>
      <c r="D309" s="65"/>
      <c r="E309" s="66"/>
      <c r="F309" s="487"/>
      <c r="G309" s="214"/>
      <c r="H309" s="188">
        <f t="shared" si="50"/>
        <v>0</v>
      </c>
      <c r="I309" s="291">
        <v>2019</v>
      </c>
      <c r="AH309" s="312">
        <f>IF(AND(AN308=0,AN307=0,AN306=0,AN305=0),AJ304,IF(AN308&gt;0,AJ308,IF(AN307&gt;0,AJ307,IF(AN306&gt;0,AJ306,AJ305))))</f>
        <v>42004</v>
      </c>
      <c r="AI309" s="186">
        <f>IF(AH309=0,0,VLOOKUP(YEAR(AH309),INPC!$B$4:$O$29,MONTH(AH309)+1))</f>
        <v>87.188983712964003</v>
      </c>
      <c r="AJ309" s="187">
        <v>43465</v>
      </c>
      <c r="AK309" s="186">
        <f>IF(AJ309=0,0,VLOOKUP(YEAR(AJ309),INPC!$B$4:$O$29,MONTH(AJ309)+1))</f>
        <v>103.02</v>
      </c>
      <c r="AL309" s="395" t="str">
        <f t="shared" si="51"/>
        <v>N/A</v>
      </c>
      <c r="AM309" s="314">
        <f>IF(AND(AN308=0,AN307=0,AN306=0,AN305=0),IF(AN309=0,0,AM304*AL309),IF(AN309=0,0,IF(AND(AN308=0,AN307=0,AN306=0),AO305*AL309,IF(AND(AN308=0,AN307=0),AO306*AL309,IF(AN308=0,AO307*AL309,AO308*AL309)))))</f>
        <v>0</v>
      </c>
      <c r="AN309" s="214"/>
      <c r="AO309" s="188">
        <f t="shared" si="52"/>
        <v>0</v>
      </c>
      <c r="AP309" s="291">
        <v>2019</v>
      </c>
      <c r="AQ309" s="188"/>
    </row>
    <row r="310" spans="2:43" ht="20.100000000000001" hidden="1" customHeight="1">
      <c r="B310" s="185"/>
      <c r="C310" s="66"/>
      <c r="D310" s="65"/>
      <c r="E310" s="66"/>
      <c r="F310" s="487"/>
      <c r="G310" s="214"/>
      <c r="H310" s="188">
        <f t="shared" si="50"/>
        <v>0</v>
      </c>
      <c r="I310" s="321">
        <v>2020</v>
      </c>
      <c r="AH310" s="323">
        <f>IF(AND(AN309=0,AN308=0,AN307=0,AN306=0,AN305=0),AJ304,IF(AN309&gt;0,AJ309,IF(AN308&gt;0,AJ308,IF(AN307&gt;0,AJ307,IF(AN306&gt;0,AJ306,AJ305)))))</f>
        <v>42004</v>
      </c>
      <c r="AI310" s="186">
        <f>IF(AH310=0,0,VLOOKUP(YEAR(AH310),INPC!$B$4:$O$29,MONTH(AH310)+1))</f>
        <v>87.188983712964003</v>
      </c>
      <c r="AJ310" s="187">
        <v>43830</v>
      </c>
      <c r="AK310" s="186">
        <f>IF(AJ310=0,0,VLOOKUP(YEAR(AJ310),INPC!$B$4:$O$29,MONTH(AJ310)+1))</f>
        <v>105.934</v>
      </c>
      <c r="AL310" s="395" t="str">
        <f t="shared" si="51"/>
        <v>N/A</v>
      </c>
      <c r="AM310" s="325">
        <f>IF(AND(AN309=0,AN308=0,AN307=0,AN306=0,AN305=0),IF(AN310=0,0,AM304*AL310),IF(AN310=0,0,IF(AND(AN309=0,AN308=0,AN307=0,AN306=0),AO305*AL310,IF(AND(AN309=0,AN308=0,AN307=0),AO306*AL310,IF(AND(AN309=0,AN308=0),AO307*AL310,IF(AN309=0,AO308*AL310,AO309*AL310))))))</f>
        <v>0</v>
      </c>
      <c r="AN310" s="214"/>
      <c r="AO310" s="188">
        <f t="shared" si="52"/>
        <v>0</v>
      </c>
      <c r="AP310" s="321">
        <v>2020</v>
      </c>
      <c r="AQ310" s="188"/>
    </row>
    <row r="311" spans="2:43" ht="20.100000000000001" hidden="1" customHeight="1">
      <c r="B311" s="291"/>
      <c r="C311" s="340"/>
      <c r="D311" s="449"/>
      <c r="E311" s="340"/>
      <c r="F311" s="488"/>
      <c r="G311" s="320"/>
      <c r="H311" s="315">
        <f t="shared" si="50"/>
        <v>0</v>
      </c>
      <c r="I311" s="335">
        <v>2021</v>
      </c>
      <c r="AH311" s="333">
        <f>IF(AND(AN310=0,AN309=0,AN308=0,AN307=0,AN306=0,AN305=0),AJ304,IF(AN310&gt;0,AJ310,IF(AN309&gt;0,AJ309,IF(AN308&gt;0,AJ308,IF(AN307&gt;0,AJ307,IF(AN306&gt;0,AJ306,AJ305))))))</f>
        <v>42004</v>
      </c>
      <c r="AI311" s="313">
        <f>IF(AH311=0,0,VLOOKUP(YEAR(AH311),INPC!$B$4:$O$29,MONTH(AH311)+1))</f>
        <v>87.188983712964003</v>
      </c>
      <c r="AJ311" s="187">
        <v>44196</v>
      </c>
      <c r="AK311" s="313">
        <f>IF(AJ311=0,0,VLOOKUP(YEAR(AJ311),INPC!$B$4:$O$29,MONTH(AJ311)+1))</f>
        <v>109.271</v>
      </c>
      <c r="AL311" s="398" t="str">
        <f t="shared" si="51"/>
        <v>N/A</v>
      </c>
      <c r="AM311" s="334">
        <f>IF(AND(AN310=0,AN309=0,AN308=0,AN307=0,AN306=0,AN305=0),IF(AN311=0,0,AM304*AL311),IF(AN311=0,0,IF(AND(AN310=0,AN309=0,AN308=0,AN307=0,AN306=0),AO305*AL311,IF(AND(AN310=0,AN309=0,AN308=0,AN307=0),AO306*AL311,IF(AND(AN310=0,AN309=0,AN308=0),AO307*AL311,IF(AND(AN310=0,AN309=0),AO308*AL311,IF(AN310=0,AO309*AL311,AO310*AL311)))))))</f>
        <v>0</v>
      </c>
      <c r="AN311" s="320"/>
      <c r="AO311" s="315">
        <f t="shared" si="52"/>
        <v>0</v>
      </c>
      <c r="AP311" s="335">
        <v>2021</v>
      </c>
      <c r="AQ311" s="315"/>
    </row>
    <row r="312" spans="2:43" ht="20.100000000000001" hidden="1" customHeight="1">
      <c r="B312" s="321"/>
      <c r="C312" s="341"/>
      <c r="D312" s="450"/>
      <c r="E312" s="341"/>
      <c r="F312" s="489"/>
      <c r="G312" s="328">
        <v>1.0000000000000001E-5</v>
      </c>
      <c r="H312" s="326">
        <f>IF(G312=0.00001,0,AG312-G312)</f>
        <v>0</v>
      </c>
      <c r="I312" s="321">
        <v>2022</v>
      </c>
      <c r="AH312" s="323">
        <f>IF(AND(AN311=0,AN310=0,AN309=0,AN308=0,AN307=0,AN306=0,AN305=0),AJ304,IF(AN311&gt;0,AJ311,IF(AN310&gt;0,AJ310,IF(AN309&gt;0,AJ309,IF(AN308&gt;0,AJ308,IF(AN307&gt;0,AJ307,IF(AN306&gt;0,AJ306,AJ305)))))))</f>
        <v>42004</v>
      </c>
      <c r="AI312" s="324">
        <f>IF(AH312=0,0,VLOOKUP(YEAR(AH312),INPC!$B$4:$O$29,MONTH(AH312)+1))</f>
        <v>87.188983712964003</v>
      </c>
      <c r="AJ312" s="187">
        <v>44561</v>
      </c>
      <c r="AK312" s="324">
        <f>IF(AJ312=0,0,VLOOKUP(YEAR(AJ312),INPC!$B$4:$O$29,MONTH(AJ312)+1))</f>
        <v>117.30800000000001</v>
      </c>
      <c r="AL312" s="399">
        <f t="shared" si="51"/>
        <v>1.3453999999999999</v>
      </c>
      <c r="AM312" s="325">
        <f>IF(AND(AN311=0,AN310=0,AN309=0,AN308=0,AN307=0,AN306=0,AN305=0),IF(AN312=0,0,AM304*AL312),IF(AN312=0,0,IF(AND(AN311=0,AN310=0,AN309=0,AN308=0,AN307=0,AN306=0),AO305*AL312,IF(AND(AN311=0,AN310=0,AN309=0,AN308=0,AN307=0),AO306*AL312,IF(AND(AN311=0,AN310=0,AN309=0,AN308=0),AO307*AL312,IF(AND(AN311=0,AN310=0,AN309=0),AO308*AL312,IF(AND(AN311=0,AN310=0),AO309*AL312,IF(AN311=0,AO310*AL312,AO311*AL312))))))))</f>
        <v>0</v>
      </c>
      <c r="AN312" s="328">
        <v>1.0000000000000001E-5</v>
      </c>
      <c r="AO312" s="326">
        <f>IF(AN312=0.00001,0,AM312-AN312)</f>
        <v>0</v>
      </c>
      <c r="AP312" s="321">
        <v>2022</v>
      </c>
      <c r="AQ312" s="327">
        <f>AM312</f>
        <v>0</v>
      </c>
    </row>
    <row r="313" spans="2:43" ht="20.100000000000001" hidden="1" customHeight="1">
      <c r="B313" s="112"/>
      <c r="C313" s="13"/>
      <c r="D313" s="55"/>
      <c r="E313" s="13"/>
      <c r="F313" s="264"/>
      <c r="G313" s="264"/>
      <c r="H313" s="184"/>
      <c r="I313" s="112"/>
      <c r="AH313" s="316"/>
      <c r="AI313" s="317"/>
      <c r="AJ313" s="316"/>
      <c r="AK313" s="317"/>
      <c r="AL313" s="400"/>
      <c r="AM313" s="311"/>
      <c r="AN313" s="264"/>
      <c r="AO313" s="184"/>
      <c r="AP313" s="112"/>
      <c r="AQ313" s="184"/>
    </row>
    <row r="314" spans="2:43" ht="20.100000000000001" hidden="1" customHeight="1">
      <c r="B314" s="112"/>
      <c r="C314" s="13"/>
      <c r="D314" s="55"/>
      <c r="E314" s="13"/>
      <c r="F314" s="264"/>
      <c r="G314" s="264"/>
      <c r="H314" s="184"/>
      <c r="I314" s="112"/>
      <c r="AH314" s="316"/>
      <c r="AI314" s="317"/>
      <c r="AJ314" s="316"/>
      <c r="AK314" s="317"/>
      <c r="AL314" s="400"/>
      <c r="AM314" s="311"/>
      <c r="AN314" s="264"/>
      <c r="AO314" s="184"/>
      <c r="AP314" s="112"/>
      <c r="AQ314" s="184"/>
    </row>
    <row r="315" spans="2:43" ht="20.100000000000001" hidden="1" customHeight="1">
      <c r="B315" s="321">
        <v>2015</v>
      </c>
      <c r="C315" s="341" t="s">
        <v>645</v>
      </c>
      <c r="D315" s="450"/>
      <c r="E315" s="341"/>
      <c r="F315" s="338"/>
      <c r="G315" s="491"/>
      <c r="H315" s="458"/>
      <c r="I315" s="459"/>
      <c r="AH315" s="323">
        <v>42186</v>
      </c>
      <c r="AI315" s="324">
        <f>IF(AH315=0,0,VLOOKUP(YEAR(AH315),INPC!$B$4:$O$29,MONTH(AH315)+1))</f>
        <v>87.240819760803006</v>
      </c>
      <c r="AJ315" s="187">
        <v>42369</v>
      </c>
      <c r="AK315" s="324">
        <f>IF(AJ315=0,0,VLOOKUP(YEAR(AJ315),INPC!$B$4:$O$29,MONTH(AJ315)+1))</f>
        <v>89.046817717411002</v>
      </c>
      <c r="AL315" s="399">
        <f>IF(AI315=0,0,IF(TRUNC(AK315/AI315,4)&lt;1,1,TRUNC(AK315/AI315,4)))</f>
        <v>1.0206999999999999</v>
      </c>
      <c r="AM315" s="325">
        <f>+F315*AL315</f>
        <v>0</v>
      </c>
      <c r="AN315" s="457"/>
      <c r="AO315" s="458"/>
      <c r="AP315" s="459"/>
      <c r="AQ315" s="458"/>
    </row>
    <row r="316" spans="2:43" ht="20.100000000000001" hidden="1" customHeight="1">
      <c r="B316" s="194"/>
      <c r="C316" s="263"/>
      <c r="D316" s="451"/>
      <c r="E316" s="263"/>
      <c r="F316" s="492"/>
      <c r="G316" s="336"/>
      <c r="H316" s="337">
        <f t="shared" ref="H316:H321" si="53">+AG316-G316</f>
        <v>0</v>
      </c>
      <c r="I316" s="185">
        <v>2016</v>
      </c>
      <c r="AH316" s="330">
        <f>+AJ315</f>
        <v>42369</v>
      </c>
      <c r="AI316" s="331">
        <f>IF(AH316=0,0,VLOOKUP(YEAR(AH316),INPC!$B$4:$O$29,MONTH(AH316)+1))</f>
        <v>89.046817717411002</v>
      </c>
      <c r="AJ316" s="187">
        <v>42369</v>
      </c>
      <c r="AK316" s="331">
        <f>IF(AJ316=0,0,VLOOKUP(YEAR(AJ316),INPC!$B$4:$O$29,MONTH(AJ316)+1))</f>
        <v>89.046817717411002</v>
      </c>
      <c r="AL316" s="401" t="str">
        <f t="shared" ref="AL316:AL322" si="54">IF(AN316=0,"N/A",TRUNC(AK316/AI316,4))</f>
        <v>N/A</v>
      </c>
      <c r="AM316" s="332">
        <f>IF(AN316=0,0,AM315*AL316)</f>
        <v>0</v>
      </c>
      <c r="AN316" s="336"/>
      <c r="AO316" s="337">
        <f t="shared" ref="AO316:AO321" si="55">+AM316-AN316</f>
        <v>0</v>
      </c>
      <c r="AP316" s="185">
        <v>2016</v>
      </c>
      <c r="AQ316" s="337"/>
    </row>
    <row r="317" spans="2:43" ht="20.100000000000001" hidden="1" customHeight="1">
      <c r="B317" s="185"/>
      <c r="C317" s="66"/>
      <c r="D317" s="65"/>
      <c r="E317" s="66"/>
      <c r="F317" s="487"/>
      <c r="G317" s="214"/>
      <c r="H317" s="188">
        <f t="shared" si="53"/>
        <v>0</v>
      </c>
      <c r="I317" s="185">
        <v>2017</v>
      </c>
      <c r="AH317" s="187">
        <f>IF(AN316=0,AJ315,AJ316)</f>
        <v>42369</v>
      </c>
      <c r="AI317" s="186">
        <f>IF(AH317=0,0,VLOOKUP(YEAR(AH317),INPC!$B$4:$O$29,MONTH(AH317)+1))</f>
        <v>89.046817717411002</v>
      </c>
      <c r="AJ317" s="187">
        <v>42735</v>
      </c>
      <c r="AK317" s="186">
        <f>IF(AJ317=0,0,VLOOKUP(YEAR(AJ317),INPC!$B$4:$O$29,MONTH(AJ317)+1))</f>
        <v>92.039034797764003</v>
      </c>
      <c r="AL317" s="395" t="str">
        <f t="shared" si="54"/>
        <v>N/A</v>
      </c>
      <c r="AM317" s="111">
        <f>IF(AN316=0,IF(AN317=0,0,AM315*AL317),IF(AN317=0,0,AO316*AL317))</f>
        <v>0</v>
      </c>
      <c r="AN317" s="214"/>
      <c r="AO317" s="188">
        <f t="shared" si="55"/>
        <v>0</v>
      </c>
      <c r="AP317" s="185">
        <v>2017</v>
      </c>
      <c r="AQ317" s="188"/>
    </row>
    <row r="318" spans="2:43" ht="20.100000000000001" hidden="1" customHeight="1">
      <c r="B318" s="185"/>
      <c r="C318" s="66"/>
      <c r="D318" s="65"/>
      <c r="E318" s="66"/>
      <c r="F318" s="487"/>
      <c r="G318" s="214"/>
      <c r="H318" s="188">
        <f t="shared" si="53"/>
        <v>0</v>
      </c>
      <c r="I318" s="185">
        <v>2018</v>
      </c>
      <c r="AH318" s="187">
        <f>IF(AND(AN317=0,AN316=0),AJ315,IF(AN317&gt;0,AJ317,AJ316))</f>
        <v>42369</v>
      </c>
      <c r="AI318" s="186">
        <f>IF(AH318=0,0,VLOOKUP(YEAR(AH318),INPC!$B$4:$O$29,MONTH(AH318)+1))</f>
        <v>89.046817717411002</v>
      </c>
      <c r="AJ318" s="187">
        <v>43100</v>
      </c>
      <c r="AK318" s="186">
        <f>IF(AJ318=0,0,VLOOKUP(YEAR(AJ318),INPC!$B$4:$O$29,MONTH(AJ318)+1))</f>
        <v>98.272882985755999</v>
      </c>
      <c r="AL318" s="395" t="str">
        <f t="shared" si="54"/>
        <v>N/A</v>
      </c>
      <c r="AM318" s="111">
        <f>IF(AND(AN317=0,AN316=0),IF(AN318=0,0,AM315*AL318),IF(AN318=0,0,IF(AN317=0,AO316*AL318,AO317*AL318)))</f>
        <v>0</v>
      </c>
      <c r="AN318" s="214"/>
      <c r="AO318" s="188">
        <f t="shared" si="55"/>
        <v>0</v>
      </c>
      <c r="AP318" s="185">
        <v>2018</v>
      </c>
      <c r="AQ318" s="188"/>
    </row>
    <row r="319" spans="2:43" ht="20.100000000000001" hidden="1" customHeight="1">
      <c r="B319" s="185"/>
      <c r="C319" s="66"/>
      <c r="D319" s="65"/>
      <c r="E319" s="66"/>
      <c r="F319" s="487"/>
      <c r="G319" s="214"/>
      <c r="H319" s="188">
        <f t="shared" si="53"/>
        <v>0</v>
      </c>
      <c r="I319" s="291">
        <v>2019</v>
      </c>
      <c r="AH319" s="187">
        <f>IF(AND(AN318=0,AN317=0,AN316=0),AJ315,IF(AN318&gt;0,AJ318,IF(AN317&gt;0,AJ317,AJ316)))</f>
        <v>42369</v>
      </c>
      <c r="AI319" s="186">
        <f>IF(AH319=0,0,VLOOKUP(YEAR(AH319),INPC!$B$4:$O$29,MONTH(AH319)+1))</f>
        <v>89.046817717411002</v>
      </c>
      <c r="AJ319" s="187">
        <v>43465</v>
      </c>
      <c r="AK319" s="186">
        <f>IF(AJ319=0,0,VLOOKUP(YEAR(AJ319),INPC!$B$4:$O$29,MONTH(AJ319)+1))</f>
        <v>103.02</v>
      </c>
      <c r="AL319" s="395" t="str">
        <f t="shared" si="54"/>
        <v>N/A</v>
      </c>
      <c r="AM319" s="111">
        <f>IF(AND(AN318=0,AN317=0,AN316=0),IF(AN319=0,0,AM315*AL319),IF(AN319=0,0,IF(AND(AN318=0,AN317=0),AO316*AL319,IF(AN318=0,AO317*AL319,AO318*AL319))))</f>
        <v>0</v>
      </c>
      <c r="AN319" s="214"/>
      <c r="AO319" s="188">
        <f t="shared" si="55"/>
        <v>0</v>
      </c>
      <c r="AP319" s="291">
        <v>2019</v>
      </c>
      <c r="AQ319" s="188"/>
    </row>
    <row r="320" spans="2:43" ht="20.100000000000001" hidden="1" customHeight="1">
      <c r="B320" s="185"/>
      <c r="C320" s="66"/>
      <c r="D320" s="65"/>
      <c r="E320" s="66"/>
      <c r="F320" s="487"/>
      <c r="G320" s="214"/>
      <c r="H320" s="188">
        <f t="shared" si="53"/>
        <v>0</v>
      </c>
      <c r="I320" s="321">
        <v>2020</v>
      </c>
      <c r="AH320" s="187">
        <f>IF(AND(AN319=0,AN318=0,AN317=0,AN316=0),AJ315,IF(AN319&gt;0,AJ319,IF(AN318&gt;0,AJ318,IF(AN317&gt;0,AJ317,AJ316))))</f>
        <v>42369</v>
      </c>
      <c r="AI320" s="186">
        <f>IF(AH320=0,0,VLOOKUP(YEAR(AH320),INPC!$B$4:$O$29,MONTH(AH320)+1))</f>
        <v>89.046817717411002</v>
      </c>
      <c r="AJ320" s="187">
        <v>43830</v>
      </c>
      <c r="AK320" s="186">
        <f>IF(AJ320=0,0,VLOOKUP(YEAR(AJ320),INPC!$B$4:$O$29,MONTH(AJ320)+1))</f>
        <v>105.934</v>
      </c>
      <c r="AL320" s="395" t="str">
        <f t="shared" si="54"/>
        <v>N/A</v>
      </c>
      <c r="AM320" s="111">
        <f>IF(AND(AN319=0,AN318=0,AN317=0,AN316=0),IF(AN320=0,0,AM315*AL320),IF(AN320=0,0,IF(AND(AN319=0,AN318=0,AN317=0),AO316*AL320,IF(AND(AN319=0,AN318=0),AO317*AL320,IF(AN319=0,AO318*AL320,AO319*AL320)))))</f>
        <v>0</v>
      </c>
      <c r="AN320" s="214"/>
      <c r="AO320" s="188">
        <f t="shared" si="55"/>
        <v>0</v>
      </c>
      <c r="AP320" s="321">
        <v>2020</v>
      </c>
      <c r="AQ320" s="188"/>
    </row>
    <row r="321" spans="2:43" ht="20.100000000000001" hidden="1" customHeight="1">
      <c r="B321" s="185"/>
      <c r="C321" s="66"/>
      <c r="D321" s="65"/>
      <c r="E321" s="66"/>
      <c r="F321" s="487"/>
      <c r="G321" s="214"/>
      <c r="H321" s="188">
        <f t="shared" si="53"/>
        <v>0</v>
      </c>
      <c r="I321" s="335">
        <v>2021</v>
      </c>
      <c r="AH321" s="187">
        <f>IF(AND(AN320=0,AN319=0,AN318=0,AN317=0,AN316=0),AJ315,IF(AN320&gt;0,AJ320,IF(AN319&gt;0,AJ319,IF(AN318&gt;0,AJ318,IF(AN317&gt;0,AJ317,AJ316)))))</f>
        <v>42369</v>
      </c>
      <c r="AI321" s="186">
        <f>IF(AH321=0,0,VLOOKUP(YEAR(AH321),INPC!$B$4:$O$29,MONTH(AH321)+1))</f>
        <v>89.046817717411002</v>
      </c>
      <c r="AJ321" s="187">
        <v>44196</v>
      </c>
      <c r="AK321" s="186">
        <f>IF(AJ321=0,0,VLOOKUP(YEAR(AJ321),INPC!$B$4:$O$29,MONTH(AJ321)+1))</f>
        <v>109.271</v>
      </c>
      <c r="AL321" s="395" t="str">
        <f t="shared" si="54"/>
        <v>N/A</v>
      </c>
      <c r="AM321" s="111">
        <f>IF(AND(AN320=0,AN319=0,AN318=0,AN317=0,AN316=0),IF(AN321=0,0,AM315*AL321),IF(AN321=0,0,IF(AND(AN320=0,AN319=0,AN318=0,AN317=0),AO316*AL321,IF(AND(AN320=0,AN319=0,AN318=0),AO317*AL321,IF(AND(AN320=0,AN319=0),AO318*AL321,IF(AN320=0,AO319*AL321,AO320*AL321))))))</f>
        <v>0</v>
      </c>
      <c r="AN321" s="214"/>
      <c r="AO321" s="188">
        <f t="shared" si="55"/>
        <v>0</v>
      </c>
      <c r="AP321" s="335">
        <v>2021</v>
      </c>
      <c r="AQ321" s="188"/>
    </row>
    <row r="322" spans="2:43" ht="20.100000000000001" hidden="1" customHeight="1">
      <c r="B322" s="185"/>
      <c r="C322" s="66"/>
      <c r="D322" s="65"/>
      <c r="E322" s="66"/>
      <c r="F322" s="487"/>
      <c r="G322" s="214">
        <v>1.0000000000000001E-5</v>
      </c>
      <c r="H322" s="188">
        <f>IF(G322=0.00001,0,AG322-G322)</f>
        <v>0</v>
      </c>
      <c r="I322" s="321">
        <v>2022</v>
      </c>
      <c r="AH322" s="187">
        <f>IF(AND(AN321=0,AN320=0,AN319=0,AN318=0,AN317=0,AN316=0),AJ315,IF(AN321&gt;0,AJ321,IF(AN320&gt;0,AJ320,IF(AN319&gt;0,AJ319,IF(AN318&gt;0,AJ318,IF(AN317&gt;0,AJ317,AJ316))))))</f>
        <v>42369</v>
      </c>
      <c r="AI322" s="186">
        <f>IF(AH322=0,0,VLOOKUP(YEAR(AH322),INPC!$B$4:$O$29,MONTH(AH322)+1))</f>
        <v>89.046817717411002</v>
      </c>
      <c r="AJ322" s="187">
        <v>44561</v>
      </c>
      <c r="AK322" s="186">
        <f>IF(AJ322=0,0,VLOOKUP(YEAR(AJ322),INPC!$B$4:$O$29,MONTH(AJ322)+1))</f>
        <v>117.30800000000001</v>
      </c>
      <c r="AL322" s="395">
        <f t="shared" si="54"/>
        <v>1.3172999999999999</v>
      </c>
      <c r="AM322" s="111">
        <f>IF(AND(AN321=0,AN320=0,AN319=0,AN318=0,AN317=0,AN316=0),IF(AN322=0,0,AM315*AL322),IF(AN322=0,0,IF(AND(AN321=0,AN320=0,AN319=0,AN318=0,AN317=0),AO316*AL322,IF(AND(AN321=0,AN320=0,AN319=0,AN318=0),AO317*AL322,IF(AND(AN321=0,AN320=0,AN319=0),AO318*AL322,IF(AND(AN321=0,AN320=0),AO319*AL322,IF(AN321=0,AO320*AL322,AO321*AL322)))))))</f>
        <v>0</v>
      </c>
      <c r="AN322" s="214">
        <v>1.0000000000000001E-5</v>
      </c>
      <c r="AO322" s="188">
        <f>IF(AN322=0.00001,0,AM322-AN322)</f>
        <v>0</v>
      </c>
      <c r="AP322" s="321">
        <v>2022</v>
      </c>
      <c r="AQ322" s="189">
        <f>AM322</f>
        <v>0</v>
      </c>
    </row>
    <row r="323" spans="2:43" ht="20.100000000000001" hidden="1" customHeight="1">
      <c r="B323" s="62"/>
      <c r="C323" s="259"/>
      <c r="D323" s="259"/>
      <c r="E323" s="259"/>
      <c r="F323" s="259"/>
      <c r="G323" s="259"/>
      <c r="H323" s="62"/>
      <c r="I323" s="62"/>
      <c r="AH323" s="62"/>
      <c r="AI323" s="62"/>
      <c r="AJ323" s="62"/>
      <c r="AK323" s="62"/>
      <c r="AL323" s="397"/>
      <c r="AM323" s="62"/>
      <c r="AN323" s="62"/>
      <c r="AO323" s="62"/>
      <c r="AP323" s="62"/>
      <c r="AQ323" s="62"/>
    </row>
    <row r="324" spans="2:43" ht="20.100000000000001" hidden="1" customHeight="1">
      <c r="B324" s="62"/>
      <c r="C324" s="259"/>
      <c r="D324" s="259"/>
      <c r="E324" s="259"/>
      <c r="F324" s="259"/>
      <c r="G324" s="259"/>
      <c r="H324" s="62"/>
      <c r="I324" s="62"/>
      <c r="AH324" s="62"/>
      <c r="AI324" s="62"/>
      <c r="AJ324" s="62"/>
      <c r="AK324" s="62"/>
      <c r="AL324" s="397"/>
      <c r="AM324" s="62"/>
      <c r="AN324" s="62"/>
      <c r="AO324" s="62"/>
      <c r="AP324" s="62"/>
      <c r="AQ324" s="62"/>
    </row>
    <row r="325" spans="2:43" ht="20.100000000000001" hidden="1" customHeight="1">
      <c r="B325" s="185">
        <v>2016</v>
      </c>
      <c r="C325" s="66" t="s">
        <v>645</v>
      </c>
      <c r="D325" s="65"/>
      <c r="E325" s="66"/>
      <c r="F325" s="213"/>
      <c r="G325" s="482"/>
      <c r="H325" s="455"/>
      <c r="I325" s="456"/>
      <c r="AH325" s="187">
        <v>42552</v>
      </c>
      <c r="AI325" s="186">
        <f>IF(AH325=0,0,VLOOKUP(YEAR(AH325),INPC!$B$4:$O$29,MONTH(AH325)+1))</f>
        <v>89.556914478034003</v>
      </c>
      <c r="AJ325" s="187">
        <v>42735</v>
      </c>
      <c r="AK325" s="186">
        <f>IF(AJ325=0,0,VLOOKUP(YEAR(AJ325),INPC!$B$4:$O$29,MONTH(AJ325)+1))</f>
        <v>92.039034797764003</v>
      </c>
      <c r="AL325" s="395">
        <f>IF(AI325=0,0,IF(TRUNC(AK325/AI325,4)&lt;1,1,TRUNC(AK325/AI325,4)))</f>
        <v>1.0277000000000001</v>
      </c>
      <c r="AM325" s="111">
        <f>+F325*AL325</f>
        <v>0</v>
      </c>
      <c r="AN325" s="454"/>
      <c r="AO325" s="455"/>
      <c r="AP325" s="456"/>
      <c r="AQ325" s="455"/>
    </row>
    <row r="326" spans="2:43" ht="20.100000000000001" hidden="1" customHeight="1">
      <c r="B326" s="185"/>
      <c r="C326" s="66"/>
      <c r="D326" s="65"/>
      <c r="E326" s="66"/>
      <c r="F326" s="487"/>
      <c r="G326" s="214"/>
      <c r="H326" s="188">
        <f>+AG326-G326</f>
        <v>0</v>
      </c>
      <c r="I326" s="185">
        <v>2017</v>
      </c>
      <c r="AH326" s="187">
        <f>+AJ325</f>
        <v>42735</v>
      </c>
      <c r="AI326" s="186">
        <f>IF(AH326=0,0,VLOOKUP(YEAR(AH326),INPC!$B$4:$O$29,MONTH(AH326)+1))</f>
        <v>92.039034797764003</v>
      </c>
      <c r="AJ326" s="187">
        <v>42735</v>
      </c>
      <c r="AK326" s="186">
        <f>IF(AJ326=0,0,VLOOKUP(YEAR(AJ326),INPC!$B$4:$O$29,MONTH(AJ326)+1))</f>
        <v>92.039034797764003</v>
      </c>
      <c r="AL326" s="395" t="str">
        <f t="shared" ref="AL326:AL331" si="56">IF(AN326=0,"N/A",TRUNC(AK326/AI326,4))</f>
        <v>N/A</v>
      </c>
      <c r="AM326" s="111">
        <f>IF(AN326=0,0,AM325*AL326)</f>
        <v>0</v>
      </c>
      <c r="AN326" s="214"/>
      <c r="AO326" s="188">
        <f>+AM326-AN326</f>
        <v>0</v>
      </c>
      <c r="AP326" s="185">
        <v>2017</v>
      </c>
      <c r="AQ326" s="188"/>
    </row>
    <row r="327" spans="2:43" ht="20.100000000000001" hidden="1" customHeight="1">
      <c r="B327" s="185"/>
      <c r="C327" s="66"/>
      <c r="D327" s="65"/>
      <c r="E327" s="66"/>
      <c r="F327" s="487"/>
      <c r="G327" s="214"/>
      <c r="H327" s="188">
        <f>+AG327-G327</f>
        <v>0</v>
      </c>
      <c r="I327" s="185">
        <v>2018</v>
      </c>
      <c r="AH327" s="187">
        <f>IF(AN326=0,AJ325,AJ326)</f>
        <v>42735</v>
      </c>
      <c r="AI327" s="186">
        <f>IF(AH327=0,0,VLOOKUP(YEAR(AH327),INPC!$B$4:$O$29,MONTH(AH327)+1))</f>
        <v>92.039034797764003</v>
      </c>
      <c r="AJ327" s="187">
        <v>43100</v>
      </c>
      <c r="AK327" s="186">
        <f>IF(AJ327=0,0,VLOOKUP(YEAR(AJ327),INPC!$B$4:$O$29,MONTH(AJ327)+1))</f>
        <v>98.272882985755999</v>
      </c>
      <c r="AL327" s="395" t="str">
        <f t="shared" si="56"/>
        <v>N/A</v>
      </c>
      <c r="AM327" s="111">
        <f>IF(AN326=0,IF(AN327=0,0,AM325*AL327),IF(AN327=0,0,AO326*AL327))</f>
        <v>0</v>
      </c>
      <c r="AN327" s="214"/>
      <c r="AO327" s="188">
        <f>+AM327-AN327</f>
        <v>0</v>
      </c>
      <c r="AP327" s="185">
        <v>2018</v>
      </c>
      <c r="AQ327" s="188"/>
    </row>
    <row r="328" spans="2:43" ht="20.100000000000001" hidden="1" customHeight="1">
      <c r="B328" s="185"/>
      <c r="C328" s="66"/>
      <c r="D328" s="65"/>
      <c r="E328" s="66"/>
      <c r="F328" s="487"/>
      <c r="G328" s="214"/>
      <c r="H328" s="188">
        <f>+AG328-G328</f>
        <v>0</v>
      </c>
      <c r="I328" s="291">
        <v>2019</v>
      </c>
      <c r="AH328" s="187">
        <f>IF(AND(AN327=0,AN326=0),AJ325,IF(AN327&gt;0,AJ327,AJ326))</f>
        <v>42735</v>
      </c>
      <c r="AI328" s="186">
        <f>IF(AH328=0,0,VLOOKUP(YEAR(AH328),INPC!$B$4:$O$29,MONTH(AH328)+1))</f>
        <v>92.039034797764003</v>
      </c>
      <c r="AJ328" s="187">
        <v>43465</v>
      </c>
      <c r="AK328" s="186">
        <f>IF(AJ328=0,0,VLOOKUP(YEAR(AJ328),INPC!$B$4:$O$29,MONTH(AJ328)+1))</f>
        <v>103.02</v>
      </c>
      <c r="AL328" s="395" t="str">
        <f t="shared" si="56"/>
        <v>N/A</v>
      </c>
      <c r="AM328" s="111">
        <f>IF(AND(AN327=0,AN326=0),IF(AN328=0,0,AM325*AL328),IF(AN328=0,0,IF(AN327=0,AO326*AL328,AO327*AL328)))</f>
        <v>0</v>
      </c>
      <c r="AN328" s="214"/>
      <c r="AO328" s="188">
        <f>+AM328-AN328</f>
        <v>0</v>
      </c>
      <c r="AP328" s="291">
        <v>2019</v>
      </c>
      <c r="AQ328" s="188"/>
    </row>
    <row r="329" spans="2:43" ht="20.100000000000001" hidden="1" customHeight="1">
      <c r="B329" s="185"/>
      <c r="C329" s="66"/>
      <c r="D329" s="65"/>
      <c r="E329" s="66"/>
      <c r="F329" s="487"/>
      <c r="G329" s="214"/>
      <c r="H329" s="188">
        <f>+AG329-G329</f>
        <v>0</v>
      </c>
      <c r="I329" s="321">
        <v>2020</v>
      </c>
      <c r="AH329" s="187">
        <f>IF(AND(AN328=0,AN327=0,AN326=0),AJ325,IF(AN328&gt;0,AJ328,IF(AN327&gt;0,AJ327,AJ326)))</f>
        <v>42735</v>
      </c>
      <c r="AI329" s="186">
        <f>IF(AH329=0,0,VLOOKUP(YEAR(AH329),INPC!$B$4:$O$29,MONTH(AH329)+1))</f>
        <v>92.039034797764003</v>
      </c>
      <c r="AJ329" s="187">
        <v>43830</v>
      </c>
      <c r="AK329" s="186">
        <f>IF(AJ329=0,0,VLOOKUP(YEAR(AJ329),INPC!$B$4:$O$29,MONTH(AJ329)+1))</f>
        <v>105.934</v>
      </c>
      <c r="AL329" s="395" t="str">
        <f t="shared" si="56"/>
        <v>N/A</v>
      </c>
      <c r="AM329" s="111">
        <f>IF(AND(AN328=0,AN327=0,AN326=0),IF(AN329=0,0,AM325*AL329),IF(AN329=0,0,IF(AND(AN328=0,AN327=0),AO326*AL329,IF(AN328=0,AO327*AL329,AO328*AL329))))</f>
        <v>0</v>
      </c>
      <c r="AN329" s="214"/>
      <c r="AO329" s="188">
        <f>+AM329-AN329</f>
        <v>0</v>
      </c>
      <c r="AP329" s="321">
        <v>2020</v>
      </c>
      <c r="AQ329" s="188"/>
    </row>
    <row r="330" spans="2:43" ht="20.100000000000001" hidden="1" customHeight="1">
      <c r="B330" s="185"/>
      <c r="C330" s="66"/>
      <c r="D330" s="65"/>
      <c r="E330" s="66"/>
      <c r="F330" s="487"/>
      <c r="G330" s="214"/>
      <c r="H330" s="188">
        <f>+AG330-G330</f>
        <v>0</v>
      </c>
      <c r="I330" s="335">
        <v>2021</v>
      </c>
      <c r="AH330" s="187">
        <f>IF(AND(AN329=0,AN328=0,AN327=0,AN326=0),AJ325,IF(AN329&gt;0,AJ329,IF(AN328&gt;0,AJ328,IF(AN327&gt;0,AJ327,AJ326))))</f>
        <v>42735</v>
      </c>
      <c r="AI330" s="186">
        <f>IF(AH330=0,0,VLOOKUP(YEAR(AH330),INPC!$B$4:$O$29,MONTH(AH330)+1))</f>
        <v>92.039034797764003</v>
      </c>
      <c r="AJ330" s="187">
        <v>44196</v>
      </c>
      <c r="AK330" s="186">
        <f>IF(AJ330=0,0,VLOOKUP(YEAR(AJ330),INPC!$B$4:$O$29,MONTH(AJ330)+1))</f>
        <v>109.271</v>
      </c>
      <c r="AL330" s="395" t="str">
        <f t="shared" si="56"/>
        <v>N/A</v>
      </c>
      <c r="AM330" s="111">
        <f>IF(AND(AN329=0,AN328=0,AN327=0,AN326=0),IF(AN330=0,0,AM325*AL330),IF(AN330=0,0,IF(AND(AN329=0,AN328=0,AN327=0),AO326*AL330,IF(AND(AN329=0,AN328=0),AO327*AL330,IF(AN329=0,AO328*AL330,AO329*AL330)))))</f>
        <v>0</v>
      </c>
      <c r="AN330" s="214"/>
      <c r="AO330" s="188">
        <f>+AM330-AN330</f>
        <v>0</v>
      </c>
      <c r="AP330" s="335">
        <v>2021</v>
      </c>
      <c r="AQ330" s="188"/>
    </row>
    <row r="331" spans="2:43" ht="20.100000000000001" hidden="1" customHeight="1">
      <c r="B331" s="185"/>
      <c r="C331" s="66"/>
      <c r="D331" s="65"/>
      <c r="E331" s="66"/>
      <c r="F331" s="487"/>
      <c r="G331" s="214">
        <v>1.0000000000000001E-5</v>
      </c>
      <c r="H331" s="188">
        <f>IF(G331=0.00001,0,AG331-G331)</f>
        <v>0</v>
      </c>
      <c r="I331" s="321">
        <v>2022</v>
      </c>
      <c r="AH331" s="187">
        <f>IF(AND(AN330=0,AN329=0,AN328=0,AN327=0,AN326=0),AJ325,IF(AN330&gt;0,AJ330,IF(AN329&gt;0,AJ329,IF(AN328&gt;0,AJ328,IF(AN327&gt;0,AJ327,AJ326)))))</f>
        <v>42735</v>
      </c>
      <c r="AI331" s="186">
        <f>IF(AH331=0,0,VLOOKUP(YEAR(AH331),INPC!$B$4:$O$29,MONTH(AH331)+1))</f>
        <v>92.039034797764003</v>
      </c>
      <c r="AJ331" s="187">
        <v>44561</v>
      </c>
      <c r="AK331" s="186">
        <f>IF(AJ331=0,0,VLOOKUP(YEAR(AJ331),INPC!$B$4:$O$29,MONTH(AJ331)+1))</f>
        <v>117.30800000000001</v>
      </c>
      <c r="AL331" s="395">
        <f t="shared" si="56"/>
        <v>1.2745</v>
      </c>
      <c r="AM331" s="111">
        <f>IF(AND(AN330=0,AN329=0,AN328=0,AN327=0,AN326=0),IF(AN331=0,0,AM325*AL331),IF(AN331=0,0,IF(AND(AN330=0,AN329=0,AN328=0,AN327=0),AO326*AL331,IF(AND(AN330=0,AN329=0,AN328=0),AO327*AL331,IF(AND(AN330=0,AN329=0),AO328*AL331,IF(AN330=0,AO329*AL331,AO330*AL331))))))</f>
        <v>0</v>
      </c>
      <c r="AN331" s="214">
        <v>1.0000000000000001E-5</v>
      </c>
      <c r="AO331" s="188">
        <f>IF(AN331=0.00001,0,AM331-AN331)</f>
        <v>0</v>
      </c>
      <c r="AP331" s="321">
        <v>2022</v>
      </c>
      <c r="AQ331" s="189">
        <f>AM331</f>
        <v>0</v>
      </c>
    </row>
    <row r="332" spans="2:43" ht="20.100000000000001" hidden="1" customHeight="1">
      <c r="C332" s="13"/>
      <c r="D332" s="13"/>
      <c r="E332" s="13"/>
      <c r="F332" s="13"/>
      <c r="G332" s="13"/>
      <c r="H332" s="12"/>
      <c r="I332" s="12"/>
      <c r="AL332" s="396"/>
    </row>
    <row r="333" spans="2:43" ht="20.100000000000001" hidden="1" customHeight="1">
      <c r="C333" s="13"/>
      <c r="D333" s="13"/>
      <c r="E333" s="13"/>
      <c r="F333" s="13"/>
      <c r="G333" s="13"/>
      <c r="H333" s="12"/>
      <c r="I333" s="12"/>
      <c r="AL333" s="396"/>
    </row>
    <row r="334" spans="2:43" ht="20.100000000000001" hidden="1" customHeight="1">
      <c r="B334" s="185">
        <v>2017</v>
      </c>
      <c r="C334" s="66" t="s">
        <v>645</v>
      </c>
      <c r="D334" s="65"/>
      <c r="E334" s="66"/>
      <c r="F334" s="213"/>
      <c r="G334" s="482"/>
      <c r="H334" s="455"/>
      <c r="I334" s="456"/>
      <c r="AH334" s="187">
        <v>42917</v>
      </c>
      <c r="AI334" s="186">
        <f>IF(AH334=0,0,VLOOKUP(YEAR(AH334),INPC!$B$4:$O$29,MONTH(AH334)+1))</f>
        <v>95.322735741331002</v>
      </c>
      <c r="AJ334" s="187">
        <v>43100</v>
      </c>
      <c r="AK334" s="186">
        <f>IF(AJ334=0,0,VLOOKUP(YEAR(AJ334),INPC!$B$4:$O$29,MONTH(AJ334)+1))</f>
        <v>98.272882985755999</v>
      </c>
      <c r="AL334" s="395">
        <f>IF(AI334=0,0,IF(TRUNC(AK334/AI334,4)&lt;1,1,TRUNC(AK334/AI334,4)))</f>
        <v>1.0308999999999999</v>
      </c>
      <c r="AM334" s="111">
        <f>+F334*AL334</f>
        <v>0</v>
      </c>
      <c r="AN334" s="454"/>
      <c r="AO334" s="455"/>
      <c r="AP334" s="456"/>
      <c r="AQ334" s="455"/>
    </row>
    <row r="335" spans="2:43" ht="20.100000000000001" hidden="1" customHeight="1">
      <c r="B335" s="185"/>
      <c r="C335" s="66"/>
      <c r="D335" s="65"/>
      <c r="E335" s="66"/>
      <c r="F335" s="487"/>
      <c r="G335" s="214"/>
      <c r="H335" s="188">
        <f>+AG335-G335</f>
        <v>0</v>
      </c>
      <c r="I335" s="185">
        <v>2018</v>
      </c>
      <c r="AH335" s="187">
        <f>+AJ334</f>
        <v>43100</v>
      </c>
      <c r="AI335" s="186">
        <f>IF(AH335=0,0,VLOOKUP(YEAR(AH335),INPC!$B$4:$O$29,MONTH(AH335)+1))</f>
        <v>98.272882985755999</v>
      </c>
      <c r="AJ335" s="187">
        <v>43100</v>
      </c>
      <c r="AK335" s="186">
        <f>IF(AJ335=0,0,VLOOKUP(YEAR(AJ335),INPC!$B$4:$O$29,MONTH(AJ335)+1))</f>
        <v>98.272882985755999</v>
      </c>
      <c r="AL335" s="395" t="str">
        <f>IF(AN335=0,"N/A",TRUNC(AK335/AI335,4))</f>
        <v>N/A</v>
      </c>
      <c r="AM335" s="111">
        <f>IF(AN335=0,0,AM334*AL335)</f>
        <v>0</v>
      </c>
      <c r="AN335" s="214"/>
      <c r="AO335" s="188">
        <f>+AM335-AN335</f>
        <v>0</v>
      </c>
      <c r="AP335" s="185">
        <v>2018</v>
      </c>
      <c r="AQ335" s="188"/>
    </row>
    <row r="336" spans="2:43" ht="20.100000000000001" hidden="1" customHeight="1">
      <c r="B336" s="185"/>
      <c r="C336" s="66"/>
      <c r="D336" s="65"/>
      <c r="E336" s="66"/>
      <c r="F336" s="487"/>
      <c r="G336" s="214"/>
      <c r="H336" s="188">
        <f>+AG336-G336</f>
        <v>0</v>
      </c>
      <c r="I336" s="291">
        <v>2019</v>
      </c>
      <c r="AH336" s="187">
        <f>IF(AN335=0,AJ334,AJ335)</f>
        <v>43100</v>
      </c>
      <c r="AI336" s="186">
        <f>IF(AH336=0,0,VLOOKUP(YEAR(AH336),INPC!$B$4:$O$29,MONTH(AH336)+1))</f>
        <v>98.272882985755999</v>
      </c>
      <c r="AJ336" s="187">
        <v>43465</v>
      </c>
      <c r="AK336" s="186">
        <f>IF(AJ336=0,0,VLOOKUP(YEAR(AJ336),INPC!$B$4:$O$29,MONTH(AJ336)+1))</f>
        <v>103.02</v>
      </c>
      <c r="AL336" s="395" t="str">
        <f>IF(AN336=0,"N/A",TRUNC(AK336/AI336,4))</f>
        <v>N/A</v>
      </c>
      <c r="AM336" s="111">
        <f>IF(AN335=0,IF(AN336=0,0,AM334*AL336),IF(AN336=0,0,AO335*AL336))</f>
        <v>0</v>
      </c>
      <c r="AN336" s="214"/>
      <c r="AO336" s="188">
        <f>+AM336-AN336</f>
        <v>0</v>
      </c>
      <c r="AP336" s="291">
        <v>2019</v>
      </c>
      <c r="AQ336" s="188"/>
    </row>
    <row r="337" spans="2:43" ht="20.100000000000001" hidden="1" customHeight="1">
      <c r="B337" s="185"/>
      <c r="C337" s="66"/>
      <c r="D337" s="65"/>
      <c r="E337" s="66"/>
      <c r="F337" s="487"/>
      <c r="G337" s="214"/>
      <c r="H337" s="188">
        <f>+AG337-G337</f>
        <v>0</v>
      </c>
      <c r="I337" s="321">
        <v>2020</v>
      </c>
      <c r="AH337" s="187">
        <f>IF(AND(AN336=0,AN335=0),AJ334,IF(AN336&gt;0,AJ336,AJ335))</f>
        <v>43100</v>
      </c>
      <c r="AI337" s="186">
        <f>IF(AH337=0,0,VLOOKUP(YEAR(AH337),INPC!$B$4:$O$29,MONTH(AH337)+1))</f>
        <v>98.272882985755999</v>
      </c>
      <c r="AJ337" s="187">
        <v>43830</v>
      </c>
      <c r="AK337" s="186">
        <f>IF(AJ337=0,0,VLOOKUP(YEAR(AJ337),INPC!$B$4:$O$29,MONTH(AJ337)+1))</f>
        <v>105.934</v>
      </c>
      <c r="AL337" s="395" t="str">
        <f>IF(AN337=0,"N/A",TRUNC(AK337/AI337,4))</f>
        <v>N/A</v>
      </c>
      <c r="AM337" s="111">
        <f>IF(AND(AN336=0,AN335=0),IF(AN337=0,0,AM334*AL337),IF(AN337=0,0,IF(AN336=0,AO335*AL337,AO336*AL337)))</f>
        <v>0</v>
      </c>
      <c r="AN337" s="214"/>
      <c r="AO337" s="188">
        <f>+AM337-AN337</f>
        <v>0</v>
      </c>
      <c r="AP337" s="321">
        <v>2020</v>
      </c>
      <c r="AQ337" s="188"/>
    </row>
    <row r="338" spans="2:43" ht="20.100000000000001" hidden="1" customHeight="1">
      <c r="B338" s="185"/>
      <c r="C338" s="66"/>
      <c r="D338" s="65"/>
      <c r="E338" s="66"/>
      <c r="F338" s="487"/>
      <c r="G338" s="214"/>
      <c r="H338" s="188">
        <f>+AG338-G338</f>
        <v>0</v>
      </c>
      <c r="I338" s="335">
        <v>2021</v>
      </c>
      <c r="AH338" s="187">
        <f>IF(AND(AN337=0,AN336=0,AN335=0),AJ334,IF(AN337&gt;0,AJ337,IF(AN336&gt;0,AJ336,AJ335)))</f>
        <v>43100</v>
      </c>
      <c r="AI338" s="186">
        <f>IF(AH338=0,0,VLOOKUP(YEAR(AH338),INPC!$B$4:$O$29,MONTH(AH338)+1))</f>
        <v>98.272882985755999</v>
      </c>
      <c r="AJ338" s="187">
        <v>44196</v>
      </c>
      <c r="AK338" s="186">
        <f>IF(AJ338=0,0,VLOOKUP(YEAR(AJ338),INPC!$B$4:$O$29,MONTH(AJ338)+1))</f>
        <v>109.271</v>
      </c>
      <c r="AL338" s="395" t="str">
        <f>IF(AN338=0,"N/A",TRUNC(AK338/AI338,4))</f>
        <v>N/A</v>
      </c>
      <c r="AM338" s="111">
        <f>IF(AND(AN337=0,AN336=0,AN335=0),IF(AN338=0,0,AM334*AL338),IF(AN338=0,0,IF(AND(AN337=0,AN336=0),AO335*AL338,IF(AN337=0,AO336*AL338,AO337*AL338))))</f>
        <v>0</v>
      </c>
      <c r="AN338" s="214"/>
      <c r="AO338" s="188">
        <f>+AM338-AN338</f>
        <v>0</v>
      </c>
      <c r="AP338" s="335">
        <v>2021</v>
      </c>
      <c r="AQ338" s="188"/>
    </row>
    <row r="339" spans="2:43" ht="20.100000000000001" hidden="1" customHeight="1">
      <c r="B339" s="185"/>
      <c r="C339" s="66"/>
      <c r="D339" s="65"/>
      <c r="E339" s="66"/>
      <c r="F339" s="487"/>
      <c r="G339" s="214">
        <v>1.0000000000000001E-5</v>
      </c>
      <c r="H339" s="188">
        <f>IF(G339=0.00001,0,AG339-G339)</f>
        <v>0</v>
      </c>
      <c r="I339" s="321">
        <v>2022</v>
      </c>
      <c r="AH339" s="187">
        <f>IF(AND(AN338=0,AN337=0,AN336=0,AN335=0),AJ334,IF(AN338&gt;0,AJ338,IF(AN337&gt;0,AJ337,IF(AN336&gt;0,AJ336,AJ335))))</f>
        <v>43100</v>
      </c>
      <c r="AI339" s="186">
        <f>IF(AH339=0,0,VLOOKUP(YEAR(AH339),INPC!$B$4:$O$29,MONTH(AH339)+1))</f>
        <v>98.272882985755999</v>
      </c>
      <c r="AJ339" s="187">
        <v>44561</v>
      </c>
      <c r="AK339" s="186">
        <f>IF(AJ339=0,0,VLOOKUP(YEAR(AJ339),INPC!$B$4:$O$29,MONTH(AJ339)+1))</f>
        <v>117.30800000000001</v>
      </c>
      <c r="AL339" s="395">
        <f>IF(AN339=0,"N/A",TRUNC(AK339/AI339,4))</f>
        <v>1.1936</v>
      </c>
      <c r="AM339" s="111">
        <f>IF(AND(AN338=0,AN337=0,AN336=0,AN335=0),IF(AN339=0,0,AM334*AL339),IF(AN339=0,0,IF(AND(AN338=0,AN337=0,AN336=0),AO335*AL339,IF(AND(AN338=0,AN337=0),AO336*AL339,IF(AN338=0,AO337*AL339,AO338*AL339)))))</f>
        <v>0</v>
      </c>
      <c r="AN339" s="214">
        <v>1.0000000000000001E-5</v>
      </c>
      <c r="AO339" s="188">
        <f>IF(AN339=0.00001,0,AM339-AN339)</f>
        <v>0</v>
      </c>
      <c r="AP339" s="321">
        <v>2022</v>
      </c>
      <c r="AQ339" s="189">
        <f>AM339</f>
        <v>0</v>
      </c>
    </row>
    <row r="340" spans="2:43" ht="20.100000000000001" hidden="1" customHeight="1">
      <c r="C340" s="13"/>
      <c r="D340" s="13"/>
      <c r="E340" s="13"/>
      <c r="F340" s="13"/>
      <c r="G340" s="13"/>
      <c r="H340" s="12"/>
      <c r="I340" s="12"/>
      <c r="AL340" s="396"/>
    </row>
    <row r="341" spans="2:43" ht="20.100000000000001" hidden="1" customHeight="1">
      <c r="C341" s="13"/>
      <c r="D341" s="13"/>
      <c r="E341" s="13"/>
      <c r="F341" s="13"/>
      <c r="G341" s="13"/>
      <c r="H341" s="12"/>
      <c r="I341" s="12"/>
      <c r="AL341" s="396"/>
    </row>
    <row r="342" spans="2:43" ht="20.100000000000001" hidden="1" customHeight="1">
      <c r="B342" s="185">
        <v>2018</v>
      </c>
      <c r="C342" s="66" t="s">
        <v>645</v>
      </c>
      <c r="D342" s="65"/>
      <c r="E342" s="66"/>
      <c r="F342" s="213"/>
      <c r="G342" s="482"/>
      <c r="H342" s="455"/>
      <c r="I342" s="456"/>
      <c r="AH342" s="187">
        <v>43282</v>
      </c>
      <c r="AI342" s="186">
        <f>IF(AH342=0,0,VLOOKUP(YEAR(AH342),INPC!$B$4:$O$29,MONTH(AH342)+1))</f>
        <v>99.909099104513999</v>
      </c>
      <c r="AJ342" s="187">
        <v>43465</v>
      </c>
      <c r="AK342" s="186">
        <f>IF(AJ342=0,0,VLOOKUP(YEAR(AJ342),INPC!$B$4:$O$29,MONTH(AJ342)+1))</f>
        <v>103.02</v>
      </c>
      <c r="AL342" s="395">
        <f>IF(AI342=0,0,IF(TRUNC(AK342/AI342,4)&lt;1,1,TRUNC(AK342/AI342,4)))</f>
        <v>1.0310999999999999</v>
      </c>
      <c r="AM342" s="111">
        <f>+F342*AL342</f>
        <v>0</v>
      </c>
      <c r="AN342" s="454"/>
      <c r="AO342" s="455"/>
      <c r="AP342" s="456"/>
      <c r="AQ342" s="455"/>
    </row>
    <row r="343" spans="2:43" ht="20.100000000000001" hidden="1" customHeight="1">
      <c r="B343" s="185"/>
      <c r="C343" s="66"/>
      <c r="D343" s="65"/>
      <c r="E343" s="66"/>
      <c r="F343" s="487"/>
      <c r="G343" s="214"/>
      <c r="H343" s="188">
        <f>+AG343-G343</f>
        <v>0</v>
      </c>
      <c r="I343" s="291">
        <v>2019</v>
      </c>
      <c r="AH343" s="187">
        <f>+AJ342</f>
        <v>43465</v>
      </c>
      <c r="AI343" s="186">
        <f>IF(AH343=0,0,VLOOKUP(YEAR(AH343),INPC!$B$4:$O$29,MONTH(AH343)+1))</f>
        <v>103.02</v>
      </c>
      <c r="AJ343" s="187">
        <v>43465</v>
      </c>
      <c r="AK343" s="186">
        <f>IF(AJ343=0,0,VLOOKUP(YEAR(AJ343),INPC!$B$4:$O$29,MONTH(AJ343)+1))</f>
        <v>103.02</v>
      </c>
      <c r="AL343" s="395" t="str">
        <f>IF(AN343=0,"N/A",TRUNC(AK343/AI343,4))</f>
        <v>N/A</v>
      </c>
      <c r="AM343" s="111">
        <f>IF(AN343=0,0,AM342*AL343)</f>
        <v>0</v>
      </c>
      <c r="AN343" s="214"/>
      <c r="AO343" s="188">
        <f>+AM343-AN343</f>
        <v>0</v>
      </c>
      <c r="AP343" s="291">
        <v>2019</v>
      </c>
      <c r="AQ343" s="188"/>
    </row>
    <row r="344" spans="2:43" ht="20.100000000000001" hidden="1" customHeight="1">
      <c r="B344" s="185"/>
      <c r="C344" s="66"/>
      <c r="D344" s="65"/>
      <c r="E344" s="66"/>
      <c r="F344" s="487"/>
      <c r="G344" s="214"/>
      <c r="H344" s="188">
        <f>+AG344-G344</f>
        <v>0</v>
      </c>
      <c r="I344" s="321">
        <v>2020</v>
      </c>
      <c r="AH344" s="187">
        <f>IF(AN343=0,AJ342,AJ343)</f>
        <v>43465</v>
      </c>
      <c r="AI344" s="186">
        <f>IF(AH344=0,0,VLOOKUP(YEAR(AH344),INPC!$B$4:$O$29,MONTH(AH344)+1))</f>
        <v>103.02</v>
      </c>
      <c r="AJ344" s="187">
        <v>43830</v>
      </c>
      <c r="AK344" s="186">
        <f>IF(AJ344=0,0,VLOOKUP(YEAR(AJ344),INPC!$B$4:$O$29,MONTH(AJ344)+1))</f>
        <v>105.934</v>
      </c>
      <c r="AL344" s="395" t="str">
        <f>IF(AN344=0,"N/A",TRUNC(AK344/AI344,4))</f>
        <v>N/A</v>
      </c>
      <c r="AM344" s="111">
        <f>IF(AN343=0,IF(AN344=0,0,AM342*AL344),IF(AN344=0,0,AO343*AL344))</f>
        <v>0</v>
      </c>
      <c r="AN344" s="214"/>
      <c r="AO344" s="188">
        <f>+AM344-AN344</f>
        <v>0</v>
      </c>
      <c r="AP344" s="321">
        <v>2020</v>
      </c>
      <c r="AQ344" s="188"/>
    </row>
    <row r="345" spans="2:43" ht="20.100000000000001" hidden="1" customHeight="1">
      <c r="B345" s="185"/>
      <c r="C345" s="66"/>
      <c r="D345" s="65"/>
      <c r="E345" s="66"/>
      <c r="F345" s="487"/>
      <c r="G345" s="214"/>
      <c r="H345" s="188">
        <f>+AG345-G345</f>
        <v>0</v>
      </c>
      <c r="I345" s="335">
        <v>2021</v>
      </c>
      <c r="AH345" s="187">
        <f>IF(AND(AN344=0,AN343=0),AJ342,IF(AN344&gt;0,AJ344,AJ343))</f>
        <v>43465</v>
      </c>
      <c r="AI345" s="186">
        <f>IF(AH345=0,0,VLOOKUP(YEAR(AH345),INPC!$B$4:$O$29,MONTH(AH345)+1))</f>
        <v>103.02</v>
      </c>
      <c r="AJ345" s="187">
        <v>44196</v>
      </c>
      <c r="AK345" s="186">
        <f>IF(AJ345=0,0,VLOOKUP(YEAR(AJ345),INPC!$B$4:$O$29,MONTH(AJ345)+1))</f>
        <v>109.271</v>
      </c>
      <c r="AL345" s="395" t="str">
        <f>IF(AN345=0,"N/A",TRUNC(AK345/AI345,4))</f>
        <v>N/A</v>
      </c>
      <c r="AM345" s="111">
        <f>IF(AND(AN344=0,AN343=0),IF(AN345=0,0,AM342*AL345),IF(AN345=0,0,IF(AN344=0,AO343*AL345,AO344*AL345)))</f>
        <v>0</v>
      </c>
      <c r="AN345" s="214"/>
      <c r="AO345" s="188">
        <f>+AM345-AN345</f>
        <v>0</v>
      </c>
      <c r="AP345" s="335">
        <v>2021</v>
      </c>
      <c r="AQ345" s="188"/>
    </row>
    <row r="346" spans="2:43" ht="20.100000000000001" hidden="1" customHeight="1">
      <c r="B346" s="185"/>
      <c r="C346" s="66"/>
      <c r="D346" s="65"/>
      <c r="E346" s="66"/>
      <c r="F346" s="487"/>
      <c r="G346" s="214">
        <v>1.0000000000000001E-5</v>
      </c>
      <c r="H346" s="188">
        <f>IF(G346=0.00001,0,AG346-G346)</f>
        <v>0</v>
      </c>
      <c r="I346" s="321">
        <v>2022</v>
      </c>
      <c r="AH346" s="187">
        <f>IF(AND(AN345=0,AN344=0,AN343=0),AJ342,IF(AN345&gt;0,AJ345,IF(AN344&gt;0,AJ344,AJ343)))</f>
        <v>43465</v>
      </c>
      <c r="AI346" s="186">
        <f>IF(AH346=0,0,VLOOKUP(YEAR(AH346),INPC!$B$4:$O$29,MONTH(AH346)+1))</f>
        <v>103.02</v>
      </c>
      <c r="AJ346" s="187">
        <v>44561</v>
      </c>
      <c r="AK346" s="186">
        <f>IF(AJ346=0,0,VLOOKUP(YEAR(AJ346),INPC!$B$4:$O$29,MONTH(AJ346)+1))</f>
        <v>117.30800000000001</v>
      </c>
      <c r="AL346" s="395">
        <f>IF(AN346=0,"N/A",TRUNC(AK346/AI346,4))</f>
        <v>1.1386000000000001</v>
      </c>
      <c r="AM346" s="111">
        <f>IF(AND(AN345=0,AN344=0,AN343=0),IF(AN346=0,0,AM342*AL346),IF(AN346=0,0,IF(AND(AN345=0,AN344=0),AO343*AL346,IF(AN345=0,AO344*AL346,AO345*AL346))))</f>
        <v>0</v>
      </c>
      <c r="AN346" s="214">
        <v>1.0000000000000001E-5</v>
      </c>
      <c r="AO346" s="188">
        <f>IF(AN346=0.00001,0,AM346-AN346)</f>
        <v>0</v>
      </c>
      <c r="AP346" s="321">
        <v>2022</v>
      </c>
      <c r="AQ346" s="189">
        <f>AM346</f>
        <v>0</v>
      </c>
    </row>
    <row r="347" spans="2:43" ht="20.100000000000001" hidden="1" customHeight="1">
      <c r="C347" s="13"/>
      <c r="D347" s="13"/>
      <c r="E347" s="13"/>
      <c r="F347" s="13"/>
      <c r="G347" s="13"/>
      <c r="H347" s="12"/>
      <c r="I347" s="12"/>
      <c r="AL347" s="396"/>
    </row>
    <row r="348" spans="2:43" ht="20.100000000000001" hidden="1" customHeight="1">
      <c r="C348" s="13"/>
      <c r="D348" s="13"/>
      <c r="E348" s="13"/>
      <c r="F348" s="13"/>
      <c r="G348" s="13"/>
      <c r="H348" s="12"/>
      <c r="I348" s="12"/>
      <c r="AL348" s="396"/>
    </row>
    <row r="349" spans="2:43" ht="20.100000000000001" hidden="1" customHeight="1">
      <c r="B349" s="185">
        <v>2019</v>
      </c>
      <c r="C349" s="66" t="s">
        <v>645</v>
      </c>
      <c r="D349" s="65"/>
      <c r="E349" s="66"/>
      <c r="F349" s="213"/>
      <c r="G349" s="482"/>
      <c r="H349" s="455"/>
      <c r="I349" s="456"/>
      <c r="AH349" s="187">
        <v>43647</v>
      </c>
      <c r="AI349" s="186">
        <f>IF(AH349=0,0,VLOOKUP(YEAR(AH349),INPC!$B$4:$O$29,MONTH(AH349)+1))</f>
        <v>103.687</v>
      </c>
      <c r="AJ349" s="187">
        <v>43830</v>
      </c>
      <c r="AK349" s="186">
        <f>IF(AJ349=0,0,VLOOKUP(YEAR(AJ349),INPC!$B$4:$O$29,MONTH(AJ349)+1))</f>
        <v>105.934</v>
      </c>
      <c r="AL349" s="395">
        <f>IF(AI349=0,0,IF(TRUNC(AK349/AI349,4)&lt;1,1,TRUNC(AK349/AI349,4)))</f>
        <v>1.0216000000000001</v>
      </c>
      <c r="AM349" s="111">
        <f>+F349*AL349</f>
        <v>0</v>
      </c>
      <c r="AN349" s="454"/>
      <c r="AO349" s="455"/>
      <c r="AP349" s="456"/>
      <c r="AQ349" s="455"/>
    </row>
    <row r="350" spans="2:43" ht="20.100000000000001" hidden="1" customHeight="1">
      <c r="B350" s="185"/>
      <c r="C350" s="66"/>
      <c r="D350" s="65"/>
      <c r="E350" s="66"/>
      <c r="F350" s="487"/>
      <c r="G350" s="214"/>
      <c r="H350" s="188">
        <f>+AG350-G350</f>
        <v>0</v>
      </c>
      <c r="I350" s="335">
        <v>2020</v>
      </c>
      <c r="AH350" s="187">
        <f>+AJ349</f>
        <v>43830</v>
      </c>
      <c r="AI350" s="186">
        <f>IF(AH350=0,0,VLOOKUP(YEAR(AH350),INPC!$B$4:$O$29,MONTH(AH350)+1))</f>
        <v>105.934</v>
      </c>
      <c r="AJ350" s="187">
        <v>43830</v>
      </c>
      <c r="AK350" s="186">
        <f>IF(AJ350=0,0,VLOOKUP(YEAR(AJ350),INPC!$B$4:$O$29,MONTH(AJ350)+1))</f>
        <v>105.934</v>
      </c>
      <c r="AL350" s="395" t="str">
        <f>IF(AN350=0,"N/A",TRUNC(AK350/AI350,4))</f>
        <v>N/A</v>
      </c>
      <c r="AM350" s="111">
        <f>IF(AN350=0,0,AM349*AL350)</f>
        <v>0</v>
      </c>
      <c r="AN350" s="214"/>
      <c r="AO350" s="188">
        <f>+AM350-AN350</f>
        <v>0</v>
      </c>
      <c r="AP350" s="335">
        <v>2020</v>
      </c>
      <c r="AQ350" s="188"/>
    </row>
    <row r="351" spans="2:43" ht="20.100000000000001" hidden="1" customHeight="1">
      <c r="B351" s="185"/>
      <c r="C351" s="66"/>
      <c r="D351" s="65"/>
      <c r="E351" s="66"/>
      <c r="F351" s="487"/>
      <c r="G351" s="214"/>
      <c r="H351" s="188">
        <f>+AG351-G351</f>
        <v>0</v>
      </c>
      <c r="I351" s="321">
        <v>2021</v>
      </c>
      <c r="AH351" s="187">
        <f>IF(AN350=0,AJ349,AJ350)</f>
        <v>43830</v>
      </c>
      <c r="AI351" s="186">
        <f>IF(AH351=0,0,VLOOKUP(YEAR(AH351),INPC!$B$4:$O$29,MONTH(AH351)+1))</f>
        <v>105.934</v>
      </c>
      <c r="AJ351" s="187">
        <v>44196</v>
      </c>
      <c r="AK351" s="186">
        <f>IF(AJ351=0,0,VLOOKUP(YEAR(AJ351),INPC!$B$4:$O$29,MONTH(AJ351)+1))</f>
        <v>109.271</v>
      </c>
      <c r="AL351" s="395" t="str">
        <f>IF(AN351=0,"N/A",TRUNC(AK351/AI351,4))</f>
        <v>N/A</v>
      </c>
      <c r="AM351" s="111">
        <f>IF(AN350=0,IF(AN351=0,0,AM349*AL351),IF(AN351=0,0,AO350*AL351))</f>
        <v>0</v>
      </c>
      <c r="AN351" s="214"/>
      <c r="AO351" s="188">
        <f>+AM351-AN351</f>
        <v>0</v>
      </c>
      <c r="AP351" s="321">
        <v>2021</v>
      </c>
      <c r="AQ351" s="188"/>
    </row>
    <row r="352" spans="2:43" ht="20.100000000000001" hidden="1" customHeight="1">
      <c r="B352" s="185"/>
      <c r="C352" s="66"/>
      <c r="D352" s="65"/>
      <c r="E352" s="66"/>
      <c r="F352" s="487"/>
      <c r="G352" s="214">
        <v>1.0000000000000001E-5</v>
      </c>
      <c r="H352" s="188">
        <f>IF(G352=0.00001,0,AG352-G352)</f>
        <v>0</v>
      </c>
      <c r="I352" s="321">
        <v>2022</v>
      </c>
      <c r="AH352" s="187">
        <f>IF(AND(AN351=0,AN350=0),AJ349,IF(AN351&gt;0,AJ351,AJ350))</f>
        <v>43830</v>
      </c>
      <c r="AI352" s="186">
        <f>IF(AH352=0,0,VLOOKUP(YEAR(AH352),INPC!$B$4:$O$29,MONTH(AH352)+1))</f>
        <v>105.934</v>
      </c>
      <c r="AJ352" s="187">
        <v>44561</v>
      </c>
      <c r="AK352" s="186">
        <f>IF(AJ352=0,0,VLOOKUP(YEAR(AJ352),INPC!$B$4:$O$29,MONTH(AJ352)+1))</f>
        <v>117.30800000000001</v>
      </c>
      <c r="AL352" s="395">
        <f>IF(AN352=0,"N/A",TRUNC(AK352/AI352,4))</f>
        <v>1.1073</v>
      </c>
      <c r="AM352" s="111">
        <f>IF(AND(AN351=0,AN350=0),IF(AN352=0,0,AM349*AL352),IF(AN352=0,0,IF(AN351=0,AO350*AL352,AO351*AL352)))</f>
        <v>0</v>
      </c>
      <c r="AN352" s="214">
        <v>1.0000000000000001E-5</v>
      </c>
      <c r="AO352" s="188">
        <f>IF(AN352=0.00001,0,AM352-AN352)</f>
        <v>0</v>
      </c>
      <c r="AP352" s="321">
        <v>2022</v>
      </c>
      <c r="AQ352" s="189">
        <f>AM352</f>
        <v>0</v>
      </c>
    </row>
    <row r="353" spans="2:43" ht="20.100000000000001" hidden="1" customHeight="1">
      <c r="C353" s="13"/>
      <c r="D353" s="13"/>
      <c r="E353" s="13"/>
      <c r="F353" s="13"/>
      <c r="G353" s="13"/>
      <c r="H353" s="12"/>
      <c r="I353" s="12"/>
      <c r="AL353" s="396"/>
    </row>
    <row r="354" spans="2:43" ht="20.100000000000001" hidden="1" customHeight="1">
      <c r="C354" s="13"/>
      <c r="D354" s="13"/>
      <c r="E354" s="13"/>
      <c r="F354" s="13"/>
      <c r="G354" s="13"/>
      <c r="H354" s="12"/>
      <c r="I354" s="12"/>
      <c r="AL354" s="396"/>
    </row>
    <row r="355" spans="2:43" ht="20.100000000000001" hidden="1" customHeight="1">
      <c r="B355" s="185">
        <v>2020</v>
      </c>
      <c r="C355" s="66" t="s">
        <v>645</v>
      </c>
      <c r="D355" s="65"/>
      <c r="E355" s="66"/>
      <c r="F355" s="213"/>
      <c r="G355" s="482"/>
      <c r="H355" s="455"/>
      <c r="I355" s="456"/>
      <c r="J355" s="12"/>
      <c r="S355" s="12"/>
      <c r="T355" s="12"/>
      <c r="U355" s="12"/>
      <c r="V355" s="12"/>
      <c r="W355" s="12"/>
      <c r="AH355" s="187">
        <v>44013</v>
      </c>
      <c r="AI355" s="186">
        <f>IF(AH355=0,0,VLOOKUP(YEAR(AH355),INPC!$B$4:$O$29,MONTH(AH355)+1))</f>
        <v>107.444</v>
      </c>
      <c r="AJ355" s="187">
        <v>44196</v>
      </c>
      <c r="AK355" s="186">
        <f>IF(AJ355=0,0,VLOOKUP(YEAR(AJ355),INPC!$B$4:$O$29,MONTH(AJ355)+1))</f>
        <v>109.271</v>
      </c>
      <c r="AL355" s="395">
        <f>IF(AI355=0,0,IF(TRUNC(AK355/AI355,4)&lt;1,1,TRUNC(AK355/AI355,4)))</f>
        <v>1.0169999999999999</v>
      </c>
      <c r="AM355" s="111">
        <f>+F355*AL355</f>
        <v>0</v>
      </c>
      <c r="AN355" s="454"/>
      <c r="AO355" s="455"/>
      <c r="AP355" s="456"/>
      <c r="AQ355" s="455"/>
    </row>
    <row r="356" spans="2:43" ht="20.100000000000001" hidden="1" customHeight="1">
      <c r="B356" s="185"/>
      <c r="C356" s="66"/>
      <c r="D356" s="65"/>
      <c r="E356" s="66"/>
      <c r="F356" s="487"/>
      <c r="G356" s="214"/>
      <c r="H356" s="188">
        <f>+AG356-G356</f>
        <v>0</v>
      </c>
      <c r="I356" s="185">
        <v>2021</v>
      </c>
      <c r="J356" s="12"/>
      <c r="S356" s="12"/>
      <c r="T356" s="12"/>
      <c r="U356" s="12"/>
      <c r="V356" s="12"/>
      <c r="W356" s="12"/>
      <c r="AH356" s="187">
        <f>+AJ355</f>
        <v>44196</v>
      </c>
      <c r="AI356" s="186">
        <f>IF(AH356=0,0,VLOOKUP(YEAR(AH356),INPC!$B$4:$O$29,MONTH(AH356)+1))</f>
        <v>109.271</v>
      </c>
      <c r="AJ356" s="187">
        <v>44196</v>
      </c>
      <c r="AK356" s="186">
        <f>IF(AJ356=0,0,VLOOKUP(YEAR(AJ356),INPC!$B$4:$O$29,MONTH(AJ356)+1))</f>
        <v>109.271</v>
      </c>
      <c r="AL356" s="395" t="str">
        <f>IF(AN356=0,"N/A",TRUNC(AK356/AI356,4))</f>
        <v>N/A</v>
      </c>
      <c r="AM356" s="111">
        <f>IF(AN356=0,0,AM355*AL356)</f>
        <v>0</v>
      </c>
      <c r="AN356" s="214"/>
      <c r="AO356" s="188">
        <f>+AM356-AN356</f>
        <v>0</v>
      </c>
      <c r="AP356" s="185">
        <v>2021</v>
      </c>
      <c r="AQ356" s="188"/>
    </row>
    <row r="357" spans="2:43" ht="20.100000000000001" hidden="1" customHeight="1">
      <c r="B357" s="185"/>
      <c r="C357" s="66"/>
      <c r="D357" s="65"/>
      <c r="E357" s="66"/>
      <c r="F357" s="487"/>
      <c r="G357" s="214">
        <v>1.0000000000000001E-5</v>
      </c>
      <c r="H357" s="188">
        <f>IF(G357=0.00001,0,AG357-G357)</f>
        <v>0</v>
      </c>
      <c r="I357" s="185">
        <v>2022</v>
      </c>
      <c r="J357" s="12"/>
      <c r="S357" s="12"/>
      <c r="T357" s="12"/>
      <c r="U357" s="12"/>
      <c r="V357" s="12"/>
      <c r="W357" s="12"/>
      <c r="AH357" s="187">
        <f>IF(AN356=0,AJ355,AJ356)</f>
        <v>44196</v>
      </c>
      <c r="AI357" s="186">
        <f>IF(AH357=0,0,VLOOKUP(YEAR(AH357),INPC!$B$4:$O$29,MONTH(AH357)+1))</f>
        <v>109.271</v>
      </c>
      <c r="AJ357" s="187">
        <v>44561</v>
      </c>
      <c r="AK357" s="186">
        <f>IF(AJ357=0,0,VLOOKUP(YEAR(AJ357),INPC!$B$4:$O$29,MONTH(AJ357)+1))</f>
        <v>117.30800000000001</v>
      </c>
      <c r="AL357" s="395">
        <f>IF(AN357=0,"N/A",TRUNC(AK357/AI357,4))</f>
        <v>1.0734999999999999</v>
      </c>
      <c r="AM357" s="111">
        <f>IF(AN356=0,IF(AN357=0,0,AM355*AL357),IF(AN357=0,0,AO356*AL357))</f>
        <v>0</v>
      </c>
      <c r="AN357" s="214">
        <v>1.0000000000000001E-5</v>
      </c>
      <c r="AO357" s="188">
        <f>IF(AN357=0.00001,0,AM357-AN357)</f>
        <v>0</v>
      </c>
      <c r="AP357" s="185">
        <v>2022</v>
      </c>
      <c r="AQ357" s="189">
        <f>AM357</f>
        <v>0</v>
      </c>
    </row>
    <row r="358" spans="2:43" ht="20.100000000000001" hidden="1" customHeight="1">
      <c r="C358" s="13"/>
      <c r="D358" s="13"/>
      <c r="E358" s="13"/>
      <c r="F358" s="13"/>
      <c r="G358" s="13"/>
      <c r="H358" s="12"/>
      <c r="I358" s="12"/>
      <c r="J358" s="12"/>
      <c r="S358" s="12"/>
      <c r="T358" s="12"/>
      <c r="U358" s="12"/>
      <c r="V358" s="12"/>
      <c r="W358" s="12"/>
      <c r="AL358" s="396"/>
    </row>
    <row r="359" spans="2:43" ht="20.100000000000001" hidden="1" customHeight="1">
      <c r="C359" s="13"/>
      <c r="D359" s="13"/>
      <c r="E359" s="13"/>
      <c r="F359" s="13"/>
      <c r="G359" s="13"/>
      <c r="H359" s="12"/>
      <c r="I359" s="12"/>
      <c r="J359" s="12"/>
      <c r="S359" s="12"/>
      <c r="T359" s="12"/>
      <c r="U359" s="12"/>
      <c r="V359" s="12"/>
      <c r="W359" s="12"/>
      <c r="AL359" s="396"/>
    </row>
    <row r="360" spans="2:43" ht="20.100000000000001" hidden="1" customHeight="1">
      <c r="B360" s="185">
        <v>2021</v>
      </c>
      <c r="C360" s="66" t="s">
        <v>645</v>
      </c>
      <c r="D360" s="65"/>
      <c r="E360" s="66"/>
      <c r="F360" s="213"/>
      <c r="G360" s="482"/>
      <c r="H360" s="455"/>
      <c r="I360" s="456"/>
      <c r="J360" s="12"/>
      <c r="S360" s="12"/>
      <c r="T360" s="12"/>
      <c r="U360" s="12"/>
      <c r="V360" s="12"/>
      <c r="W360" s="12"/>
      <c r="AH360" s="187">
        <v>44378</v>
      </c>
      <c r="AI360" s="186">
        <f>IF(AH360=0,0,VLOOKUP(YEAR(AH360),INPC!$B$4:$O$29,MONTH(AH360)+1))</f>
        <v>113.682</v>
      </c>
      <c r="AJ360" s="187">
        <v>44561</v>
      </c>
      <c r="AK360" s="186">
        <f>IF(AJ360=0,0,VLOOKUP(YEAR(AJ360),INPC!$B$4:$O$29,MONTH(AJ360)+1))</f>
        <v>117.30800000000001</v>
      </c>
      <c r="AL360" s="395">
        <f>IF(AI360=0,0,IF(TRUNC(AK360/AI360,4)&lt;1,1,TRUNC(AK360/AI360,4)))</f>
        <v>1.0318000000000001</v>
      </c>
      <c r="AM360" s="111">
        <f>+F360*AL360</f>
        <v>0</v>
      </c>
      <c r="AN360" s="454"/>
      <c r="AO360" s="455"/>
      <c r="AP360" s="456"/>
      <c r="AQ360" s="455"/>
    </row>
    <row r="361" spans="2:43" ht="20.100000000000001" hidden="1" customHeight="1">
      <c r="B361" s="185"/>
      <c r="C361" s="66"/>
      <c r="D361" s="65"/>
      <c r="E361" s="66"/>
      <c r="F361" s="487"/>
      <c r="G361" s="214">
        <v>1.0000000000000001E-5</v>
      </c>
      <c r="H361" s="188">
        <f>IF(G361=0.00001,0,AG361-G361)</f>
        <v>0</v>
      </c>
      <c r="I361" s="185">
        <v>2022</v>
      </c>
      <c r="J361" s="12"/>
      <c r="S361" s="12"/>
      <c r="T361" s="12"/>
      <c r="U361" s="12"/>
      <c r="V361" s="12"/>
      <c r="W361" s="12"/>
      <c r="AH361" s="187">
        <f>+AJ360</f>
        <v>44561</v>
      </c>
      <c r="AI361" s="186">
        <f>IF(AH361=0,0,VLOOKUP(YEAR(AH361),INPC!$B$4:$O$29,MONTH(AH361)+1))</f>
        <v>117.30800000000001</v>
      </c>
      <c r="AJ361" s="187">
        <v>44561</v>
      </c>
      <c r="AK361" s="186">
        <f>IF(AJ361=0,0,VLOOKUP(YEAR(AJ361),INPC!$B$4:$O$29,MONTH(AJ361)+1))</f>
        <v>117.30800000000001</v>
      </c>
      <c r="AL361" s="395">
        <f>IF(AN361=0,"N/A",TRUNC(AK361/AI361,4))</f>
        <v>1</v>
      </c>
      <c r="AM361" s="111">
        <f>IF(AN361=0,0,AM360*AL361)</f>
        <v>0</v>
      </c>
      <c r="AN361" s="214">
        <v>1.0000000000000001E-5</v>
      </c>
      <c r="AO361" s="188">
        <f>IF(AN361=0.00001,0,AM361-AN361)</f>
        <v>0</v>
      </c>
      <c r="AP361" s="185">
        <v>2022</v>
      </c>
      <c r="AQ361" s="189">
        <f>AM361</f>
        <v>0</v>
      </c>
    </row>
    <row r="362" spans="2:43" ht="20.100000000000001" hidden="1" customHeight="1">
      <c r="F362" s="12"/>
      <c r="G362" s="12"/>
      <c r="H362" s="12"/>
      <c r="I362" s="12"/>
      <c r="J362" s="12"/>
      <c r="S362" s="12"/>
      <c r="T362" s="12"/>
      <c r="U362" s="12"/>
      <c r="V362" s="12"/>
      <c r="W362" s="12"/>
      <c r="AL362" s="396"/>
    </row>
    <row r="363" spans="2:43" ht="20.100000000000001" hidden="1" customHeight="1">
      <c r="F363" s="12"/>
      <c r="G363" s="107" t="s">
        <v>648</v>
      </c>
      <c r="H363" s="108">
        <f>+H361+H357+H352+H346+H339+H331+H322+H312+H301</f>
        <v>-1.0000000000000001E-5</v>
      </c>
      <c r="I363" s="12"/>
      <c r="J363" s="12"/>
      <c r="S363" s="12"/>
      <c r="T363" s="12"/>
      <c r="U363" s="12"/>
      <c r="V363" s="12"/>
      <c r="W363" s="12"/>
      <c r="AP363" s="107" t="s">
        <v>648</v>
      </c>
      <c r="AQ363" s="108">
        <f>SUM(AQ305:AQ362)</f>
        <v>0</v>
      </c>
    </row>
    <row r="364" spans="2:43" ht="20.100000000000001" customHeight="1">
      <c r="F364" s="12"/>
      <c r="G364" s="12"/>
      <c r="H364" s="12"/>
      <c r="I364" s="12"/>
      <c r="J364" s="12"/>
      <c r="S364" s="12"/>
      <c r="T364" s="12"/>
      <c r="U364" s="12"/>
      <c r="V364" s="12"/>
      <c r="W364" s="12"/>
    </row>
    <row r="366" spans="2:43" ht="20.100000000000001" customHeight="1">
      <c r="K366" s="205"/>
      <c r="L366" s="205"/>
      <c r="M366" s="205"/>
      <c r="N366" s="205"/>
      <c r="O366" s="205"/>
      <c r="P366" s="205"/>
      <c r="AH366" s="205" t="s">
        <v>673</v>
      </c>
      <c r="AI366" s="205"/>
      <c r="AJ366" s="205"/>
      <c r="AK366" s="205"/>
      <c r="AL366"/>
    </row>
    <row r="367" spans="2:43" ht="20.100000000000001" customHeight="1">
      <c r="AH367" s="607"/>
      <c r="AI367" s="322"/>
      <c r="AJ367" s="322"/>
      <c r="AK367" s="322"/>
      <c r="AL367"/>
    </row>
    <row r="368" spans="2:43" ht="20.100000000000001" customHeight="1">
      <c r="AH368" s="607" t="s">
        <v>674</v>
      </c>
      <c r="AI368" s="322"/>
      <c r="AJ368" s="322"/>
      <c r="AK368" s="322"/>
      <c r="AL368"/>
    </row>
    <row r="369" spans="34:38" ht="20.100000000000001" customHeight="1">
      <c r="AH369" s="321" t="s">
        <v>651</v>
      </c>
      <c r="AI369" s="322"/>
      <c r="AJ369" s="322"/>
      <c r="AK369" s="322"/>
      <c r="AL369"/>
    </row>
    <row r="370" spans="34:38" ht="20.100000000000001" customHeight="1">
      <c r="AH370" s="321" t="s">
        <v>652</v>
      </c>
      <c r="AI370" s="322" t="s">
        <v>675</v>
      </c>
      <c r="AJ370" s="322"/>
      <c r="AK370" s="322"/>
      <c r="AL370"/>
    </row>
    <row r="371" spans="34:38" ht="20.100000000000001" customHeight="1">
      <c r="AH371" s="322"/>
      <c r="AI371" s="322"/>
      <c r="AJ371" s="322"/>
      <c r="AK371" s="322"/>
      <c r="AL371"/>
    </row>
    <row r="372" spans="34:38" ht="20.100000000000001" customHeight="1">
      <c r="AH372" s="321"/>
      <c r="AI372" s="322"/>
      <c r="AJ372" s="322"/>
      <c r="AK372" s="322"/>
      <c r="AL372"/>
    </row>
    <row r="373" spans="34:38" ht="20.100000000000001" customHeight="1">
      <c r="AH373" s="322" t="s">
        <v>655</v>
      </c>
      <c r="AI373" s="322"/>
      <c r="AJ373" s="322"/>
      <c r="AK373" s="322"/>
      <c r="AL373"/>
    </row>
    <row r="374" spans="34:38" ht="20.100000000000001" customHeight="1">
      <c r="AH374" s="321" t="s">
        <v>656</v>
      </c>
      <c r="AI374" s="322" t="s">
        <v>676</v>
      </c>
      <c r="AJ374" s="322"/>
      <c r="AK374" s="322"/>
      <c r="AL374"/>
    </row>
    <row r="375" spans="34:38" ht="20.100000000000001" customHeight="1">
      <c r="AH375" s="321"/>
      <c r="AI375" s="322" t="s">
        <v>679</v>
      </c>
      <c r="AJ375" s="322"/>
      <c r="AK375" s="322"/>
      <c r="AL375"/>
    </row>
  </sheetData>
  <sheetProtection algorithmName="SHA-512" hashValue="6W1XeCLMfGyhbVnys2GLuraehfLn8Yqjkd+M4ZveMbkvsQODw0ZK24ZEeIyGnWneoHKZdS6zOBWfKMhX4miNJw==" saltValue="CRyN3o7Gae+M2PSeVMdFiw==" spinCount="100000" sheet="1" formatColumns="0" formatRows="0"/>
  <mergeCells count="4">
    <mergeCell ref="B100:I100"/>
    <mergeCell ref="B3:I3"/>
    <mergeCell ref="B190:H190"/>
    <mergeCell ref="B286:I286"/>
  </mergeCells>
  <phoneticPr fontId="9" type="noConversion"/>
  <dataValidations count="1">
    <dataValidation type="list" allowBlank="1" showInputMessage="1" showErrorMessage="1" sqref="C42:C47 C334:C339 C360:C361 C315:C320 C355:C357 C325:C330 C66:C69 C59:C63 C51:C56 C77:C78 C32:C37 C72:C74 C349:C352 C304:C309 C246:C250 C238:C243 C264:C265 C219:C224 C259:C261 C229:C234 C253:C256 C21:C26 C9:C14 C208:C213 C342:C346 C139:C144 C163:C166 C156:C160 C148:C153 C174:C175 C129:C134 C169:C171 C118:C123 C106:C111 C196:C201 C292:C297" xr:uid="{00000000-0002-0000-0F00-000000000000}">
      <formula1>$AB$8:$AB$13</formula1>
    </dataValidation>
  </dataValidations>
  <printOptions horizontalCentered="1"/>
  <pageMargins left="0.7" right="0.7" top="0.75" bottom="0.75" header="0.3" footer="0.3"/>
  <pageSetup scale="39" orientation="landscape"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R30"/>
  <sheetViews>
    <sheetView topLeftCell="I11" zoomScale="90" zoomScaleNormal="90" workbookViewId="0">
      <selection activeCell="O15" sqref="O15"/>
    </sheetView>
  </sheetViews>
  <sheetFormatPr defaultColWidth="10.6640625" defaultRowHeight="20.100000000000001" customHeight="1"/>
  <cols>
    <col min="1" max="57" width="9.33203125" style="12" customWidth="1"/>
    <col min="58" max="58" width="5.88671875" style="12" customWidth="1"/>
    <col min="59" max="70" width="9.44140625" style="12" bestFit="1" customWidth="1"/>
    <col min="71" max="71" width="9.33203125" style="12" customWidth="1"/>
    <col min="72" max="72" width="5" style="12" bestFit="1" customWidth="1"/>
    <col min="73" max="84" width="11" style="12" customWidth="1"/>
    <col min="85" max="85" width="9.33203125" style="12" customWidth="1"/>
    <col min="86" max="86" width="5.5546875" style="12" customWidth="1"/>
    <col min="87" max="98" width="9.109375" style="12" customWidth="1"/>
    <col min="99" max="99" width="10.6640625" style="12"/>
    <col min="100" max="100" width="6.109375" style="12" customWidth="1"/>
    <col min="101" max="112" width="10.88671875" style="12" bestFit="1" customWidth="1"/>
    <col min="113" max="113" width="10.6640625" style="12"/>
    <col min="114" max="114" width="5" style="12" bestFit="1" customWidth="1"/>
    <col min="115" max="126" width="10.88671875" style="12" bestFit="1" customWidth="1"/>
    <col min="127" max="127" width="10.6640625" style="12"/>
    <col min="128" max="128" width="5" style="12" bestFit="1" customWidth="1"/>
    <col min="129" max="140" width="10.88671875" style="12" bestFit="1" customWidth="1"/>
    <col min="141" max="141" width="10.6640625" style="12"/>
    <col min="142" max="142" width="5" style="12" bestFit="1" customWidth="1"/>
    <col min="143" max="154" width="10.88671875" style="12" bestFit="1" customWidth="1"/>
    <col min="155" max="155" width="10.6640625" style="12"/>
    <col min="156" max="156" width="5" style="12" bestFit="1" customWidth="1"/>
    <col min="157" max="168" width="10.88671875" style="12" bestFit="1" customWidth="1"/>
    <col min="169" max="169" width="10.6640625" style="12"/>
    <col min="170" max="170" width="5" style="12" bestFit="1" customWidth="1"/>
    <col min="171" max="182" width="10.88671875" style="12" bestFit="1" customWidth="1"/>
    <col min="183" max="183" width="10.6640625" style="12"/>
    <col min="184" max="184" width="5" style="12" bestFit="1" customWidth="1"/>
    <col min="185" max="196" width="10.88671875" style="12" bestFit="1" customWidth="1"/>
    <col min="197" max="197" width="10.6640625" style="12"/>
    <col min="198" max="198" width="5" style="12" bestFit="1" customWidth="1"/>
    <col min="199" max="210" width="10.88671875" style="12" bestFit="1" customWidth="1"/>
    <col min="211" max="211" width="10.6640625" style="12"/>
    <col min="212" max="212" width="5" style="12" bestFit="1" customWidth="1"/>
    <col min="213" max="224" width="10.88671875" style="12" bestFit="1" customWidth="1"/>
    <col min="225" max="225" width="10.6640625" style="12"/>
    <col min="226" max="226" width="5" style="12" bestFit="1" customWidth="1"/>
    <col min="227" max="238" width="10.88671875" style="12" bestFit="1" customWidth="1"/>
    <col min="239" max="239" width="10.6640625" style="12"/>
    <col min="240" max="240" width="5" style="112" bestFit="1" customWidth="1"/>
    <col min="241" max="252" width="10.88671875" style="12" bestFit="1" customWidth="1"/>
    <col min="253" max="16384" width="10.6640625" style="12"/>
  </cols>
  <sheetData>
    <row r="1" spans="1:252" ht="20.100000000000001" customHeight="1">
      <c r="B1" s="595" t="s">
        <v>680</v>
      </c>
      <c r="C1" s="595"/>
      <c r="D1" s="595"/>
      <c r="E1" s="595"/>
      <c r="F1" s="595"/>
      <c r="G1" s="595"/>
      <c r="H1" s="595"/>
      <c r="I1" s="595"/>
      <c r="J1" s="595"/>
      <c r="K1" s="595"/>
      <c r="L1" s="595"/>
      <c r="M1" s="595"/>
      <c r="N1" s="595"/>
      <c r="P1" s="595" t="s">
        <v>681</v>
      </c>
      <c r="Q1" s="595"/>
      <c r="R1" s="595"/>
      <c r="S1" s="595"/>
      <c r="T1" s="595"/>
      <c r="U1" s="595"/>
      <c r="V1" s="595"/>
      <c r="W1" s="595"/>
      <c r="X1" s="595"/>
      <c r="Y1" s="595"/>
      <c r="Z1" s="595"/>
      <c r="AA1" s="595"/>
      <c r="AB1" s="595"/>
      <c r="AD1" s="595" t="s">
        <v>682</v>
      </c>
      <c r="AE1" s="595"/>
      <c r="AF1" s="595"/>
      <c r="AG1" s="595"/>
      <c r="AH1" s="595"/>
      <c r="AI1" s="595"/>
      <c r="AJ1" s="595"/>
      <c r="AK1" s="595"/>
      <c r="AL1" s="595"/>
      <c r="AM1" s="595"/>
      <c r="AN1" s="595"/>
      <c r="AO1" s="595"/>
      <c r="AP1" s="595"/>
      <c r="AR1" s="595" t="s">
        <v>683</v>
      </c>
      <c r="AS1" s="595"/>
      <c r="AT1" s="595"/>
      <c r="AU1" s="595"/>
      <c r="AV1" s="595"/>
      <c r="AW1" s="595"/>
      <c r="AX1" s="595"/>
      <c r="AY1" s="595"/>
      <c r="AZ1" s="595"/>
      <c r="BA1" s="595"/>
      <c r="BB1" s="595"/>
      <c r="BC1" s="595"/>
      <c r="BD1" s="595"/>
      <c r="BF1" s="595" t="s">
        <v>684</v>
      </c>
      <c r="BG1" s="595"/>
      <c r="BH1" s="595"/>
      <c r="BI1" s="595"/>
      <c r="BJ1" s="595"/>
      <c r="BK1" s="595"/>
      <c r="BL1" s="595"/>
      <c r="BM1" s="595"/>
      <c r="BN1" s="595"/>
      <c r="BO1" s="595"/>
      <c r="BP1" s="595"/>
      <c r="BQ1" s="595"/>
      <c r="BR1" s="595"/>
      <c r="BT1" s="595" t="s">
        <v>685</v>
      </c>
      <c r="BU1" s="595"/>
      <c r="BV1" s="595"/>
      <c r="BW1" s="595"/>
      <c r="BX1" s="595"/>
      <c r="BY1" s="595"/>
      <c r="BZ1" s="595"/>
      <c r="CA1" s="595"/>
      <c r="CB1" s="595"/>
      <c r="CC1" s="595"/>
      <c r="CD1" s="595"/>
      <c r="CE1" s="595"/>
      <c r="CF1" s="595"/>
      <c r="CH1" s="587" t="s">
        <v>686</v>
      </c>
      <c r="CI1" s="587"/>
      <c r="CJ1" s="587"/>
      <c r="CK1" s="587"/>
      <c r="CL1" s="587"/>
      <c r="CM1" s="587"/>
      <c r="CN1" s="587"/>
      <c r="CO1" s="587"/>
      <c r="CP1" s="587"/>
      <c r="CQ1" s="587"/>
      <c r="CR1" s="587"/>
      <c r="CS1" s="587"/>
      <c r="CT1" s="587"/>
      <c r="CV1" s="595" t="s">
        <v>687</v>
      </c>
      <c r="CW1" s="595"/>
      <c r="CX1" s="595"/>
      <c r="CY1" s="595"/>
      <c r="CZ1" s="595"/>
      <c r="DA1" s="595"/>
      <c r="DB1" s="595"/>
      <c r="DC1" s="595"/>
      <c r="DD1" s="595"/>
      <c r="DE1" s="595"/>
      <c r="DF1" s="595"/>
      <c r="DG1" s="595"/>
      <c r="DH1" s="595"/>
      <c r="DJ1" s="595" t="s">
        <v>688</v>
      </c>
      <c r="DK1" s="595"/>
      <c r="DL1" s="595"/>
      <c r="DM1" s="595"/>
      <c r="DN1" s="595"/>
      <c r="DO1" s="595"/>
      <c r="DP1" s="595"/>
      <c r="DQ1" s="595"/>
      <c r="DR1" s="595"/>
      <c r="DS1" s="595"/>
      <c r="DT1" s="595"/>
      <c r="DU1" s="595"/>
      <c r="DV1" s="595"/>
      <c r="DX1" s="595" t="s">
        <v>689</v>
      </c>
      <c r="DY1" s="595"/>
      <c r="DZ1" s="595"/>
      <c r="EA1" s="595"/>
      <c r="EB1" s="595"/>
      <c r="EC1" s="595"/>
      <c r="ED1" s="595"/>
      <c r="EE1" s="595"/>
      <c r="EF1" s="595"/>
      <c r="EG1" s="595"/>
      <c r="EH1" s="595"/>
      <c r="EI1" s="595"/>
      <c r="EJ1" s="595"/>
      <c r="EL1" s="595" t="s">
        <v>690</v>
      </c>
      <c r="EM1" s="595"/>
      <c r="EN1" s="595"/>
      <c r="EO1" s="595"/>
      <c r="EP1" s="595"/>
      <c r="EQ1" s="595"/>
      <c r="ER1" s="595"/>
      <c r="ES1" s="595"/>
      <c r="ET1" s="595"/>
      <c r="EU1" s="595"/>
      <c r="EV1" s="595"/>
      <c r="EW1" s="595"/>
      <c r="EX1" s="595"/>
      <c r="EZ1" s="595" t="s">
        <v>691</v>
      </c>
      <c r="FA1" s="595"/>
      <c r="FB1" s="595"/>
      <c r="FC1" s="595"/>
      <c r="FD1" s="595"/>
      <c r="FE1" s="595"/>
      <c r="FF1" s="595"/>
      <c r="FG1" s="595"/>
      <c r="FH1" s="595"/>
      <c r="FI1" s="595"/>
      <c r="FJ1" s="595"/>
      <c r="FK1" s="595"/>
      <c r="FL1" s="595"/>
      <c r="FN1" s="595" t="s">
        <v>692</v>
      </c>
      <c r="FO1" s="595"/>
      <c r="FP1" s="595"/>
      <c r="FQ1" s="595"/>
      <c r="FR1" s="595"/>
      <c r="FS1" s="595"/>
      <c r="FT1" s="595"/>
      <c r="FU1" s="595"/>
      <c r="FV1" s="595"/>
      <c r="FW1" s="595"/>
      <c r="FX1" s="595"/>
      <c r="FY1" s="595"/>
      <c r="FZ1" s="595"/>
      <c r="GB1" s="595" t="s">
        <v>693</v>
      </c>
      <c r="GC1" s="595"/>
      <c r="GD1" s="595"/>
      <c r="GE1" s="595"/>
      <c r="GF1" s="595"/>
      <c r="GG1" s="595"/>
      <c r="GH1" s="595"/>
      <c r="GI1" s="595"/>
      <c r="GJ1" s="595"/>
      <c r="GK1" s="595"/>
      <c r="GL1" s="595"/>
      <c r="GM1" s="595"/>
      <c r="GN1" s="595"/>
      <c r="GP1" s="595" t="s">
        <v>694</v>
      </c>
      <c r="GQ1" s="595"/>
      <c r="GR1" s="595"/>
      <c r="GS1" s="595"/>
      <c r="GT1" s="595"/>
      <c r="GU1" s="595"/>
      <c r="GV1" s="595"/>
      <c r="GW1" s="595"/>
      <c r="GX1" s="595"/>
      <c r="GY1" s="595"/>
      <c r="GZ1" s="595"/>
      <c r="HA1" s="595"/>
      <c r="HB1" s="595"/>
      <c r="HD1" s="595" t="s">
        <v>695</v>
      </c>
      <c r="HE1" s="595"/>
      <c r="HF1" s="595"/>
      <c r="HG1" s="595"/>
      <c r="HH1" s="595"/>
      <c r="HI1" s="595"/>
      <c r="HJ1" s="595"/>
      <c r="HK1" s="595"/>
      <c r="HL1" s="595"/>
      <c r="HM1" s="595"/>
      <c r="HN1" s="595"/>
      <c r="HO1" s="595"/>
      <c r="HP1" s="595"/>
      <c r="HR1" s="595" t="s">
        <v>696</v>
      </c>
      <c r="HS1" s="595"/>
      <c r="HT1" s="595"/>
      <c r="HU1" s="595"/>
      <c r="HV1" s="595"/>
      <c r="HW1" s="595"/>
      <c r="HX1" s="595"/>
      <c r="HY1" s="595"/>
      <c r="HZ1" s="595"/>
      <c r="IA1" s="595"/>
      <c r="IB1" s="595"/>
      <c r="IC1" s="595"/>
      <c r="ID1" s="595"/>
      <c r="IF1" s="595" t="s">
        <v>697</v>
      </c>
      <c r="IG1" s="595"/>
      <c r="IH1" s="595"/>
      <c r="II1" s="595"/>
      <c r="IJ1" s="595"/>
      <c r="IK1" s="595"/>
      <c r="IL1" s="595"/>
      <c r="IM1" s="595"/>
      <c r="IN1" s="595"/>
      <c r="IO1" s="595"/>
      <c r="IP1" s="595"/>
      <c r="IQ1" s="595"/>
      <c r="IR1" s="595"/>
    </row>
    <row r="2" spans="1:252" ht="15.95"/>
    <row r="3" spans="1:252" ht="20.100000000000001" customHeight="1">
      <c r="B3" s="195">
        <v>2022</v>
      </c>
      <c r="C3" s="195"/>
      <c r="D3" s="195"/>
      <c r="E3" s="195"/>
      <c r="F3" s="195"/>
      <c r="G3" s="195"/>
      <c r="H3" s="195"/>
      <c r="I3" s="195"/>
      <c r="J3" s="195"/>
      <c r="K3" s="195"/>
      <c r="L3" s="195"/>
      <c r="M3" s="195"/>
      <c r="N3" s="195"/>
      <c r="P3" s="195">
        <v>2021</v>
      </c>
      <c r="Q3" s="195"/>
      <c r="R3" s="195"/>
      <c r="S3" s="195"/>
      <c r="T3" s="195"/>
      <c r="U3" s="195"/>
      <c r="V3" s="195"/>
      <c r="W3" s="195"/>
      <c r="X3" s="195"/>
      <c r="Y3" s="195"/>
      <c r="Z3" s="195"/>
      <c r="AA3" s="195"/>
      <c r="AB3" s="195"/>
      <c r="AD3" s="195">
        <v>2020</v>
      </c>
      <c r="AE3" s="195"/>
      <c r="AF3" s="195"/>
      <c r="AG3" s="195"/>
      <c r="AH3" s="195"/>
      <c r="AI3" s="195"/>
      <c r="AJ3" s="195"/>
      <c r="AK3" s="195"/>
      <c r="AL3" s="195"/>
      <c r="AM3" s="195"/>
      <c r="AN3" s="195"/>
      <c r="AO3" s="195"/>
      <c r="AP3" s="195"/>
      <c r="AR3" s="195">
        <v>2019</v>
      </c>
      <c r="AS3" s="195"/>
      <c r="AT3" s="195"/>
      <c r="AU3" s="195"/>
      <c r="AV3" s="195"/>
      <c r="AW3" s="195"/>
      <c r="AX3" s="195"/>
      <c r="AY3" s="195"/>
      <c r="AZ3" s="195"/>
      <c r="BA3" s="195"/>
      <c r="BB3" s="195"/>
      <c r="BC3" s="195"/>
      <c r="BD3" s="195"/>
      <c r="BF3" s="195">
        <v>2018</v>
      </c>
      <c r="BG3" s="195"/>
      <c r="BH3" s="195"/>
      <c r="BI3" s="195"/>
      <c r="BJ3" s="195"/>
      <c r="BK3" s="195"/>
      <c r="BL3" s="195"/>
      <c r="BM3" s="195"/>
      <c r="BN3" s="195"/>
      <c r="BO3" s="195"/>
      <c r="BP3" s="195"/>
      <c r="BQ3" s="195"/>
      <c r="BR3" s="195"/>
      <c r="BT3" s="195">
        <v>2017</v>
      </c>
      <c r="BU3" s="195"/>
      <c r="BV3" s="195"/>
      <c r="BW3" s="195"/>
      <c r="BX3" s="195"/>
      <c r="BY3" s="195"/>
      <c r="BZ3" s="195"/>
      <c r="CA3" s="195"/>
      <c r="CB3" s="195"/>
      <c r="CC3" s="195"/>
      <c r="CD3" s="195"/>
      <c r="CE3" s="195"/>
      <c r="CF3" s="195"/>
      <c r="CH3" s="195">
        <v>2016</v>
      </c>
      <c r="CI3" s="195"/>
      <c r="CJ3" s="195"/>
      <c r="CK3" s="195"/>
      <c r="CL3" s="195"/>
      <c r="CM3" s="195"/>
      <c r="CN3" s="195"/>
      <c r="CO3" s="195"/>
      <c r="CP3" s="195"/>
      <c r="CQ3" s="195"/>
      <c r="CR3" s="195"/>
      <c r="CS3" s="195"/>
      <c r="CT3" s="195"/>
      <c r="CV3" s="195">
        <v>2015</v>
      </c>
      <c r="CW3" s="195"/>
      <c r="CX3" s="195"/>
      <c r="CY3" s="195"/>
      <c r="CZ3" s="195"/>
      <c r="DA3" s="195"/>
      <c r="DB3" s="195"/>
      <c r="DC3" s="195"/>
      <c r="DD3" s="195"/>
      <c r="DE3" s="195"/>
      <c r="DF3" s="195"/>
      <c r="DG3" s="195"/>
      <c r="DH3" s="195"/>
      <c r="DJ3" s="195">
        <v>2014</v>
      </c>
      <c r="DK3" s="195"/>
      <c r="DL3" s="195"/>
      <c r="DM3" s="195"/>
      <c r="DN3" s="195"/>
      <c r="DO3" s="195"/>
      <c r="DP3" s="195"/>
      <c r="DQ3" s="195"/>
      <c r="DR3" s="195"/>
      <c r="DS3" s="195"/>
      <c r="DT3" s="195"/>
      <c r="DU3" s="195"/>
      <c r="DV3" s="195"/>
      <c r="DX3" s="195">
        <v>2013</v>
      </c>
      <c r="DY3" s="195"/>
      <c r="DZ3" s="195"/>
      <c r="EA3" s="195"/>
      <c r="EB3" s="195"/>
      <c r="EC3" s="195"/>
      <c r="ED3" s="195"/>
      <c r="EE3" s="195"/>
      <c r="EF3" s="195"/>
      <c r="EG3" s="195"/>
      <c r="EH3" s="195"/>
      <c r="EI3" s="195"/>
      <c r="EJ3" s="195"/>
      <c r="EL3" s="195">
        <v>2012</v>
      </c>
      <c r="EM3" s="195"/>
      <c r="EN3" s="195"/>
      <c r="EO3" s="195"/>
      <c r="EP3" s="195"/>
      <c r="EQ3" s="195"/>
      <c r="ER3" s="195"/>
      <c r="ES3" s="195"/>
      <c r="ET3" s="195"/>
      <c r="EU3" s="195"/>
      <c r="EV3" s="195"/>
      <c r="EW3" s="195"/>
      <c r="EX3" s="195"/>
      <c r="EZ3" s="195">
        <v>2011</v>
      </c>
      <c r="FA3" s="195"/>
      <c r="FB3" s="195"/>
      <c r="FC3" s="195"/>
      <c r="FD3" s="195"/>
      <c r="FE3" s="195"/>
      <c r="FF3" s="195"/>
      <c r="FG3" s="195"/>
      <c r="FH3" s="195"/>
      <c r="FI3" s="195"/>
      <c r="FJ3" s="195"/>
      <c r="FK3" s="195"/>
      <c r="FL3" s="195"/>
      <c r="FN3" s="195">
        <v>2010</v>
      </c>
      <c r="FO3" s="195"/>
      <c r="FP3" s="195"/>
      <c r="FQ3" s="195"/>
      <c r="FR3" s="195"/>
      <c r="FS3" s="195"/>
      <c r="FT3" s="195"/>
      <c r="FU3" s="195"/>
      <c r="FV3" s="195"/>
      <c r="FW3" s="195"/>
      <c r="FX3" s="195"/>
      <c r="FY3" s="195"/>
      <c r="FZ3" s="195"/>
      <c r="GB3" s="195">
        <v>2009</v>
      </c>
      <c r="GC3" s="195"/>
      <c r="GD3" s="195"/>
      <c r="GE3" s="195"/>
      <c r="GF3" s="195"/>
      <c r="GG3" s="195"/>
      <c r="GH3" s="195"/>
      <c r="GI3" s="195"/>
      <c r="GJ3" s="195"/>
      <c r="GK3" s="195"/>
      <c r="GL3" s="195"/>
      <c r="GM3" s="195"/>
      <c r="GN3" s="195"/>
      <c r="GP3" s="195">
        <v>2008</v>
      </c>
      <c r="GQ3" s="195"/>
      <c r="GR3" s="195"/>
      <c r="GS3" s="195"/>
      <c r="GT3" s="195"/>
      <c r="GU3" s="195"/>
      <c r="GV3" s="195"/>
      <c r="GW3" s="195"/>
      <c r="GX3" s="195"/>
      <c r="GY3" s="195"/>
      <c r="GZ3" s="195"/>
      <c r="HA3" s="195"/>
      <c r="HB3" s="195"/>
      <c r="HD3" s="195">
        <v>2007</v>
      </c>
      <c r="HE3" s="195"/>
      <c r="HF3" s="195"/>
      <c r="HG3" s="195"/>
      <c r="HH3" s="195"/>
      <c r="HI3" s="195"/>
      <c r="HJ3" s="195"/>
      <c r="HK3" s="195"/>
      <c r="HL3" s="195"/>
      <c r="HM3" s="195"/>
      <c r="HN3" s="195"/>
      <c r="HO3" s="195"/>
      <c r="HP3" s="195"/>
      <c r="HR3" s="195">
        <v>2006</v>
      </c>
      <c r="HS3" s="195"/>
      <c r="HT3" s="195"/>
      <c r="HU3" s="195"/>
      <c r="HV3" s="195"/>
      <c r="HW3" s="195"/>
      <c r="HX3" s="195"/>
      <c r="HY3" s="195"/>
      <c r="HZ3" s="195"/>
      <c r="IA3" s="195"/>
      <c r="IB3" s="195"/>
      <c r="IC3" s="195"/>
      <c r="ID3" s="195"/>
      <c r="IF3" s="195">
        <v>2005</v>
      </c>
      <c r="IG3" s="195"/>
      <c r="IH3" s="195"/>
      <c r="II3" s="195"/>
      <c r="IJ3" s="195"/>
      <c r="IK3" s="195"/>
      <c r="IL3" s="195"/>
      <c r="IM3" s="195"/>
      <c r="IN3" s="195"/>
      <c r="IO3" s="195"/>
      <c r="IP3" s="195"/>
      <c r="IQ3" s="195"/>
      <c r="IR3" s="195"/>
    </row>
    <row r="4" spans="1:252" s="57" customFormat="1" ht="20.100000000000001" customHeight="1">
      <c r="A4" s="190" t="s">
        <v>698</v>
      </c>
      <c r="B4" s="196"/>
      <c r="C4" s="193" t="s">
        <v>699</v>
      </c>
      <c r="D4" s="193" t="s">
        <v>700</v>
      </c>
      <c r="E4" s="193" t="s">
        <v>701</v>
      </c>
      <c r="F4" s="193" t="s">
        <v>702</v>
      </c>
      <c r="G4" s="193" t="s">
        <v>703</v>
      </c>
      <c r="H4" s="193" t="s">
        <v>704</v>
      </c>
      <c r="I4" s="193" t="s">
        <v>705</v>
      </c>
      <c r="J4" s="193" t="s">
        <v>706</v>
      </c>
      <c r="K4" s="193" t="s">
        <v>707</v>
      </c>
      <c r="L4" s="193" t="s">
        <v>708</v>
      </c>
      <c r="M4" s="193" t="s">
        <v>709</v>
      </c>
      <c r="N4" s="193" t="s">
        <v>9</v>
      </c>
      <c r="O4" s="190"/>
      <c r="P4" s="196"/>
      <c r="Q4" s="193" t="s">
        <v>699</v>
      </c>
      <c r="R4" s="193" t="s">
        <v>700</v>
      </c>
      <c r="S4" s="193" t="s">
        <v>701</v>
      </c>
      <c r="T4" s="193" t="s">
        <v>702</v>
      </c>
      <c r="U4" s="193" t="s">
        <v>703</v>
      </c>
      <c r="V4" s="193" t="s">
        <v>704</v>
      </c>
      <c r="W4" s="193" t="s">
        <v>705</v>
      </c>
      <c r="X4" s="193" t="s">
        <v>706</v>
      </c>
      <c r="Y4" s="193" t="s">
        <v>707</v>
      </c>
      <c r="Z4" s="193" t="s">
        <v>708</v>
      </c>
      <c r="AA4" s="193" t="s">
        <v>709</v>
      </c>
      <c r="AB4" s="193" t="s">
        <v>9</v>
      </c>
      <c r="AC4" s="190"/>
      <c r="AD4" s="196"/>
      <c r="AE4" s="193" t="s">
        <v>699</v>
      </c>
      <c r="AF4" s="193" t="s">
        <v>700</v>
      </c>
      <c r="AG4" s="193" t="s">
        <v>701</v>
      </c>
      <c r="AH4" s="193" t="s">
        <v>702</v>
      </c>
      <c r="AI4" s="193" t="s">
        <v>703</v>
      </c>
      <c r="AJ4" s="193" t="s">
        <v>704</v>
      </c>
      <c r="AK4" s="193" t="s">
        <v>705</v>
      </c>
      <c r="AL4" s="193" t="s">
        <v>706</v>
      </c>
      <c r="AM4" s="193" t="s">
        <v>707</v>
      </c>
      <c r="AN4" s="193" t="s">
        <v>708</v>
      </c>
      <c r="AO4" s="193" t="s">
        <v>709</v>
      </c>
      <c r="AP4" s="193" t="s">
        <v>9</v>
      </c>
      <c r="AQ4" s="190"/>
      <c r="AR4" s="196"/>
      <c r="AS4" s="193" t="s">
        <v>699</v>
      </c>
      <c r="AT4" s="193" t="s">
        <v>700</v>
      </c>
      <c r="AU4" s="193" t="s">
        <v>701</v>
      </c>
      <c r="AV4" s="193" t="s">
        <v>702</v>
      </c>
      <c r="AW4" s="193" t="s">
        <v>703</v>
      </c>
      <c r="AX4" s="193" t="s">
        <v>704</v>
      </c>
      <c r="AY4" s="193" t="s">
        <v>705</v>
      </c>
      <c r="AZ4" s="193" t="s">
        <v>706</v>
      </c>
      <c r="BA4" s="193" t="s">
        <v>707</v>
      </c>
      <c r="BB4" s="193" t="s">
        <v>708</v>
      </c>
      <c r="BC4" s="193" t="s">
        <v>709</v>
      </c>
      <c r="BD4" s="193" t="s">
        <v>9</v>
      </c>
      <c r="BE4" s="190"/>
      <c r="BF4" s="196"/>
      <c r="BG4" s="193" t="s">
        <v>699</v>
      </c>
      <c r="BH4" s="193" t="s">
        <v>700</v>
      </c>
      <c r="BI4" s="193" t="s">
        <v>701</v>
      </c>
      <c r="BJ4" s="193" t="s">
        <v>702</v>
      </c>
      <c r="BK4" s="193" t="s">
        <v>703</v>
      </c>
      <c r="BL4" s="193" t="s">
        <v>704</v>
      </c>
      <c r="BM4" s="193" t="s">
        <v>705</v>
      </c>
      <c r="BN4" s="193" t="s">
        <v>706</v>
      </c>
      <c r="BO4" s="193" t="s">
        <v>707</v>
      </c>
      <c r="BP4" s="193" t="s">
        <v>708</v>
      </c>
      <c r="BQ4" s="193" t="s">
        <v>709</v>
      </c>
      <c r="BR4" s="193" t="s">
        <v>9</v>
      </c>
      <c r="BT4" s="196"/>
      <c r="BU4" s="193" t="s">
        <v>699</v>
      </c>
      <c r="BV4" s="193" t="s">
        <v>700</v>
      </c>
      <c r="BW4" s="193" t="s">
        <v>701</v>
      </c>
      <c r="BX4" s="193" t="s">
        <v>702</v>
      </c>
      <c r="BY4" s="193" t="s">
        <v>703</v>
      </c>
      <c r="BZ4" s="193" t="s">
        <v>704</v>
      </c>
      <c r="CA4" s="193" t="s">
        <v>705</v>
      </c>
      <c r="CB4" s="193" t="s">
        <v>706</v>
      </c>
      <c r="CC4" s="193" t="s">
        <v>707</v>
      </c>
      <c r="CD4" s="193" t="s">
        <v>708</v>
      </c>
      <c r="CE4" s="193" t="s">
        <v>709</v>
      </c>
      <c r="CF4" s="193" t="s">
        <v>9</v>
      </c>
      <c r="CH4" s="196"/>
      <c r="CI4" s="193" t="s">
        <v>699</v>
      </c>
      <c r="CJ4" s="193" t="s">
        <v>700</v>
      </c>
      <c r="CK4" s="193" t="s">
        <v>701</v>
      </c>
      <c r="CL4" s="193" t="s">
        <v>702</v>
      </c>
      <c r="CM4" s="193" t="s">
        <v>703</v>
      </c>
      <c r="CN4" s="193" t="s">
        <v>704</v>
      </c>
      <c r="CO4" s="193" t="s">
        <v>705</v>
      </c>
      <c r="CP4" s="193" t="s">
        <v>706</v>
      </c>
      <c r="CQ4" s="193" t="s">
        <v>707</v>
      </c>
      <c r="CR4" s="193" t="s">
        <v>708</v>
      </c>
      <c r="CS4" s="193" t="s">
        <v>709</v>
      </c>
      <c r="CT4" s="193" t="s">
        <v>9</v>
      </c>
      <c r="CV4" s="196"/>
      <c r="CW4" s="193" t="s">
        <v>699</v>
      </c>
      <c r="CX4" s="193" t="s">
        <v>700</v>
      </c>
      <c r="CY4" s="193" t="s">
        <v>701</v>
      </c>
      <c r="CZ4" s="193" t="s">
        <v>702</v>
      </c>
      <c r="DA4" s="193" t="s">
        <v>703</v>
      </c>
      <c r="DB4" s="193" t="s">
        <v>704</v>
      </c>
      <c r="DC4" s="193" t="s">
        <v>705</v>
      </c>
      <c r="DD4" s="193" t="s">
        <v>706</v>
      </c>
      <c r="DE4" s="193" t="s">
        <v>707</v>
      </c>
      <c r="DF4" s="193" t="s">
        <v>708</v>
      </c>
      <c r="DG4" s="193" t="s">
        <v>709</v>
      </c>
      <c r="DH4" s="193" t="s">
        <v>9</v>
      </c>
      <c r="DJ4" s="196"/>
      <c r="DK4" s="193" t="s">
        <v>699</v>
      </c>
      <c r="DL4" s="193" t="s">
        <v>700</v>
      </c>
      <c r="DM4" s="193" t="s">
        <v>701</v>
      </c>
      <c r="DN4" s="193" t="s">
        <v>702</v>
      </c>
      <c r="DO4" s="193" t="s">
        <v>703</v>
      </c>
      <c r="DP4" s="193" t="s">
        <v>704</v>
      </c>
      <c r="DQ4" s="193" t="s">
        <v>705</v>
      </c>
      <c r="DR4" s="193" t="s">
        <v>706</v>
      </c>
      <c r="DS4" s="193" t="s">
        <v>707</v>
      </c>
      <c r="DT4" s="193" t="s">
        <v>708</v>
      </c>
      <c r="DU4" s="193" t="s">
        <v>709</v>
      </c>
      <c r="DV4" s="193" t="s">
        <v>9</v>
      </c>
      <c r="DX4" s="196"/>
      <c r="DY4" s="193" t="s">
        <v>699</v>
      </c>
      <c r="DZ4" s="193" t="s">
        <v>700</v>
      </c>
      <c r="EA4" s="193" t="s">
        <v>701</v>
      </c>
      <c r="EB4" s="193" t="s">
        <v>702</v>
      </c>
      <c r="EC4" s="193" t="s">
        <v>703</v>
      </c>
      <c r="ED4" s="193" t="s">
        <v>704</v>
      </c>
      <c r="EE4" s="193" t="s">
        <v>705</v>
      </c>
      <c r="EF4" s="193" t="s">
        <v>706</v>
      </c>
      <c r="EG4" s="193" t="s">
        <v>707</v>
      </c>
      <c r="EH4" s="193" t="s">
        <v>708</v>
      </c>
      <c r="EI4" s="193" t="s">
        <v>709</v>
      </c>
      <c r="EJ4" s="193" t="s">
        <v>9</v>
      </c>
      <c r="EL4" s="196"/>
      <c r="EM4" s="193" t="s">
        <v>699</v>
      </c>
      <c r="EN4" s="193" t="s">
        <v>700</v>
      </c>
      <c r="EO4" s="193" t="s">
        <v>701</v>
      </c>
      <c r="EP4" s="193" t="s">
        <v>702</v>
      </c>
      <c r="EQ4" s="193" t="s">
        <v>703</v>
      </c>
      <c r="ER4" s="193" t="s">
        <v>704</v>
      </c>
      <c r="ES4" s="193" t="s">
        <v>705</v>
      </c>
      <c r="ET4" s="193" t="s">
        <v>706</v>
      </c>
      <c r="EU4" s="193" t="s">
        <v>707</v>
      </c>
      <c r="EV4" s="193" t="s">
        <v>708</v>
      </c>
      <c r="EW4" s="193" t="s">
        <v>709</v>
      </c>
      <c r="EX4" s="193" t="s">
        <v>9</v>
      </c>
      <c r="EZ4" s="196"/>
      <c r="FA4" s="193" t="s">
        <v>699</v>
      </c>
      <c r="FB4" s="193" t="s">
        <v>700</v>
      </c>
      <c r="FC4" s="193" t="s">
        <v>701</v>
      </c>
      <c r="FD4" s="193" t="s">
        <v>702</v>
      </c>
      <c r="FE4" s="193" t="s">
        <v>703</v>
      </c>
      <c r="FF4" s="193" t="s">
        <v>704</v>
      </c>
      <c r="FG4" s="193" t="s">
        <v>705</v>
      </c>
      <c r="FH4" s="193" t="s">
        <v>706</v>
      </c>
      <c r="FI4" s="193" t="s">
        <v>707</v>
      </c>
      <c r="FJ4" s="193" t="s">
        <v>708</v>
      </c>
      <c r="FK4" s="193" t="s">
        <v>709</v>
      </c>
      <c r="FL4" s="193" t="s">
        <v>9</v>
      </c>
      <c r="FN4" s="196"/>
      <c r="FO4" s="193" t="s">
        <v>699</v>
      </c>
      <c r="FP4" s="193" t="s">
        <v>700</v>
      </c>
      <c r="FQ4" s="193" t="s">
        <v>701</v>
      </c>
      <c r="FR4" s="193" t="s">
        <v>702</v>
      </c>
      <c r="FS4" s="193" t="s">
        <v>703</v>
      </c>
      <c r="FT4" s="193" t="s">
        <v>704</v>
      </c>
      <c r="FU4" s="193" t="s">
        <v>705</v>
      </c>
      <c r="FV4" s="193" t="s">
        <v>706</v>
      </c>
      <c r="FW4" s="193" t="s">
        <v>707</v>
      </c>
      <c r="FX4" s="193" t="s">
        <v>708</v>
      </c>
      <c r="FY4" s="193" t="s">
        <v>709</v>
      </c>
      <c r="FZ4" s="193" t="s">
        <v>9</v>
      </c>
      <c r="GB4" s="196"/>
      <c r="GC4" s="193" t="s">
        <v>699</v>
      </c>
      <c r="GD4" s="193" t="s">
        <v>700</v>
      </c>
      <c r="GE4" s="193" t="s">
        <v>701</v>
      </c>
      <c r="GF4" s="193" t="s">
        <v>702</v>
      </c>
      <c r="GG4" s="193" t="s">
        <v>703</v>
      </c>
      <c r="GH4" s="193" t="s">
        <v>704</v>
      </c>
      <c r="GI4" s="193" t="s">
        <v>705</v>
      </c>
      <c r="GJ4" s="193" t="s">
        <v>706</v>
      </c>
      <c r="GK4" s="193" t="s">
        <v>707</v>
      </c>
      <c r="GL4" s="193" t="s">
        <v>708</v>
      </c>
      <c r="GM4" s="193" t="s">
        <v>709</v>
      </c>
      <c r="GN4" s="193" t="s">
        <v>9</v>
      </c>
      <c r="GP4" s="196"/>
      <c r="GQ4" s="193" t="s">
        <v>699</v>
      </c>
      <c r="GR4" s="193" t="s">
        <v>700</v>
      </c>
      <c r="GS4" s="193" t="s">
        <v>701</v>
      </c>
      <c r="GT4" s="193" t="s">
        <v>702</v>
      </c>
      <c r="GU4" s="193" t="s">
        <v>703</v>
      </c>
      <c r="GV4" s="193" t="s">
        <v>704</v>
      </c>
      <c r="GW4" s="193" t="s">
        <v>705</v>
      </c>
      <c r="GX4" s="193" t="s">
        <v>706</v>
      </c>
      <c r="GY4" s="193" t="s">
        <v>707</v>
      </c>
      <c r="GZ4" s="193" t="s">
        <v>708</v>
      </c>
      <c r="HA4" s="193" t="s">
        <v>709</v>
      </c>
      <c r="HB4" s="193" t="s">
        <v>9</v>
      </c>
      <c r="HD4" s="196"/>
      <c r="HE4" s="193" t="s">
        <v>699</v>
      </c>
      <c r="HF4" s="193" t="s">
        <v>700</v>
      </c>
      <c r="HG4" s="193" t="s">
        <v>701</v>
      </c>
      <c r="HH4" s="193" t="s">
        <v>702</v>
      </c>
      <c r="HI4" s="193" t="s">
        <v>703</v>
      </c>
      <c r="HJ4" s="193" t="s">
        <v>704</v>
      </c>
      <c r="HK4" s="193" t="s">
        <v>705</v>
      </c>
      <c r="HL4" s="193" t="s">
        <v>706</v>
      </c>
      <c r="HM4" s="193" t="s">
        <v>707</v>
      </c>
      <c r="HN4" s="193" t="s">
        <v>708</v>
      </c>
      <c r="HO4" s="193" t="s">
        <v>709</v>
      </c>
      <c r="HP4" s="193" t="s">
        <v>9</v>
      </c>
      <c r="HR4" s="196"/>
      <c r="HS4" s="193" t="s">
        <v>699</v>
      </c>
      <c r="HT4" s="193" t="s">
        <v>700</v>
      </c>
      <c r="HU4" s="193" t="s">
        <v>701</v>
      </c>
      <c r="HV4" s="193" t="s">
        <v>702</v>
      </c>
      <c r="HW4" s="193" t="s">
        <v>703</v>
      </c>
      <c r="HX4" s="193" t="s">
        <v>704</v>
      </c>
      <c r="HY4" s="193" t="s">
        <v>705</v>
      </c>
      <c r="HZ4" s="193" t="s">
        <v>706</v>
      </c>
      <c r="IA4" s="193" t="s">
        <v>707</v>
      </c>
      <c r="IB4" s="193" t="s">
        <v>708</v>
      </c>
      <c r="IC4" s="193" t="s">
        <v>709</v>
      </c>
      <c r="ID4" s="193" t="s">
        <v>9</v>
      </c>
      <c r="IF4" s="196"/>
      <c r="IG4" s="193" t="s">
        <v>699</v>
      </c>
      <c r="IH4" s="193" t="s">
        <v>700</v>
      </c>
      <c r="II4" s="193" t="s">
        <v>701</v>
      </c>
      <c r="IJ4" s="193" t="s">
        <v>702</v>
      </c>
      <c r="IK4" s="193" t="s">
        <v>703</v>
      </c>
      <c r="IL4" s="193" t="s">
        <v>704</v>
      </c>
      <c r="IM4" s="193" t="s">
        <v>705</v>
      </c>
      <c r="IN4" s="193" t="s">
        <v>706</v>
      </c>
      <c r="IO4" s="193" t="s">
        <v>707</v>
      </c>
      <c r="IP4" s="193" t="s">
        <v>708</v>
      </c>
      <c r="IQ4" s="193" t="s">
        <v>709</v>
      </c>
      <c r="IR4" s="193" t="s">
        <v>9</v>
      </c>
    </row>
    <row r="5" spans="1:252" ht="20.100000000000001" customHeight="1">
      <c r="A5" s="12" t="s">
        <v>710</v>
      </c>
      <c r="B5" s="197" t="s">
        <v>710</v>
      </c>
      <c r="C5" s="198">
        <v>0.70479999999999998</v>
      </c>
      <c r="D5" s="198">
        <v>0.72555000000000003</v>
      </c>
      <c r="E5" s="198">
        <v>0.75075000000000003</v>
      </c>
      <c r="F5" s="198">
        <v>0.71084999999999998</v>
      </c>
      <c r="G5" s="198">
        <v>0.71714999999999995</v>
      </c>
      <c r="H5" s="198">
        <v>0.68794999999999995</v>
      </c>
      <c r="I5" s="198">
        <v>0.69725000000000004</v>
      </c>
      <c r="J5" s="198">
        <v>0.68559999999999999</v>
      </c>
      <c r="K5" s="198">
        <v>0.64319999999999999</v>
      </c>
      <c r="L5" s="198">
        <v>0.63775000000000004</v>
      </c>
      <c r="M5" s="198">
        <v>0.66964999999999997</v>
      </c>
      <c r="N5" s="198">
        <v>0.67795000000000005</v>
      </c>
      <c r="P5" s="433" t="s">
        <v>710</v>
      </c>
      <c r="Q5" s="434">
        <v>0.76734999999999998</v>
      </c>
      <c r="R5" s="434">
        <v>0.77449999999999997</v>
      </c>
      <c r="S5" s="434">
        <v>0.76175000000000004</v>
      </c>
      <c r="T5" s="434">
        <v>0.77270000000000005</v>
      </c>
      <c r="U5" s="434">
        <v>0.77395000000000003</v>
      </c>
      <c r="V5" s="434">
        <v>0.75065000000000004</v>
      </c>
      <c r="W5" s="434">
        <v>0.7349</v>
      </c>
      <c r="X5" s="434">
        <v>0.73085</v>
      </c>
      <c r="Y5" s="434">
        <v>0.72235000000000005</v>
      </c>
      <c r="Z5" s="434">
        <v>0.75109999999999999</v>
      </c>
      <c r="AA5" s="434">
        <v>0.70945000000000003</v>
      </c>
      <c r="AB5" s="434">
        <v>0.72704999999999997</v>
      </c>
      <c r="AD5" s="197" t="s">
        <v>710</v>
      </c>
      <c r="AE5" s="198">
        <v>0.66925000000000001</v>
      </c>
      <c r="AF5" s="198">
        <v>0.64524999999999999</v>
      </c>
      <c r="AG5" s="198">
        <v>0.61150000000000004</v>
      </c>
      <c r="AH5" s="198">
        <v>0.65449999999999997</v>
      </c>
      <c r="AI5" s="198">
        <v>0.66374999999999995</v>
      </c>
      <c r="AJ5" s="198">
        <v>0.68864999999999998</v>
      </c>
      <c r="AK5" s="198">
        <v>0.71704999999999997</v>
      </c>
      <c r="AL5" s="198">
        <v>0.73965000000000003</v>
      </c>
      <c r="AM5" s="198">
        <v>0.71675</v>
      </c>
      <c r="AN5" s="198">
        <v>0.70325000000000004</v>
      </c>
      <c r="AO5" s="198">
        <v>0.73655000000000004</v>
      </c>
      <c r="AP5" s="198">
        <v>0.77164999999999995</v>
      </c>
      <c r="AR5" s="197" t="s">
        <v>710</v>
      </c>
      <c r="AS5" s="198">
        <v>0.72914999999999996</v>
      </c>
      <c r="AT5" s="198">
        <v>0.71150000000000002</v>
      </c>
      <c r="AU5" s="198">
        <v>0.70874999999999999</v>
      </c>
      <c r="AV5" s="198">
        <v>0.70384999999999998</v>
      </c>
      <c r="AW5" s="198">
        <v>0.69274999999999998</v>
      </c>
      <c r="AX5" s="198">
        <v>0.70169999999999999</v>
      </c>
      <c r="AY5" s="198">
        <v>0.68915000000000004</v>
      </c>
      <c r="AZ5" s="198">
        <v>0.67369999999999997</v>
      </c>
      <c r="BA5" s="198">
        <v>0.67449999999999999</v>
      </c>
      <c r="BB5" s="198">
        <v>0.68935000000000002</v>
      </c>
      <c r="BC5" s="198">
        <v>0.67635000000000001</v>
      </c>
      <c r="BD5" s="198">
        <v>0.70274999999999999</v>
      </c>
      <c r="BF5" s="197" t="s">
        <v>710</v>
      </c>
      <c r="BG5" s="198">
        <v>0.81010000000000004</v>
      </c>
      <c r="BH5" s="198">
        <v>0.77925</v>
      </c>
      <c r="BI5" s="198">
        <v>0.76675000000000004</v>
      </c>
      <c r="BJ5" s="198">
        <v>0.75460000000000005</v>
      </c>
      <c r="BK5" s="198">
        <v>0.75685000000000002</v>
      </c>
      <c r="BL5" s="198">
        <v>0.73880000000000001</v>
      </c>
      <c r="BM5" s="198">
        <v>0.74314999999999998</v>
      </c>
      <c r="BN5" s="198">
        <v>0.72314999999999996</v>
      </c>
      <c r="BO5" s="198">
        <v>0.72335000000000005</v>
      </c>
      <c r="BP5" s="198">
        <v>0.70855000000000001</v>
      </c>
      <c r="BQ5" s="198">
        <v>0.73014999999999997</v>
      </c>
      <c r="BR5" s="198">
        <v>0.70425000000000004</v>
      </c>
      <c r="BT5" s="197" t="s">
        <v>710</v>
      </c>
      <c r="BU5" s="198">
        <v>0.75929999999999997</v>
      </c>
      <c r="BV5" s="198">
        <v>0.76880000000000004</v>
      </c>
      <c r="BW5" s="198">
        <v>0.76280000000000003</v>
      </c>
      <c r="BX5" s="198">
        <v>0.74724999999999997</v>
      </c>
      <c r="BY5" s="198">
        <v>0.74419999999999997</v>
      </c>
      <c r="BZ5" s="198">
        <v>0.76700000000000002</v>
      </c>
      <c r="CA5" s="198">
        <v>0.79820000000000002</v>
      </c>
      <c r="CB5" s="198">
        <v>0.79290000000000005</v>
      </c>
      <c r="CC5" s="198">
        <v>0.78439999999999999</v>
      </c>
      <c r="CD5" s="198">
        <v>0.76470000000000005</v>
      </c>
      <c r="CE5" s="198">
        <v>0.75919999999999999</v>
      </c>
      <c r="CF5" s="198">
        <v>0.78210000000000002</v>
      </c>
      <c r="CH5" s="197" t="s">
        <v>710</v>
      </c>
      <c r="CI5" s="198">
        <v>0.70750000000000002</v>
      </c>
      <c r="CJ5" s="198">
        <v>0.71419999999999995</v>
      </c>
      <c r="CK5" s="198">
        <v>0.76900000000000002</v>
      </c>
      <c r="CL5" s="198">
        <v>0.76280000000000003</v>
      </c>
      <c r="CM5" s="198">
        <v>0.72460000000000002</v>
      </c>
      <c r="CN5" s="198">
        <v>0.74450000000000005</v>
      </c>
      <c r="CO5" s="198">
        <v>0.75960000000000005</v>
      </c>
      <c r="CP5" s="198">
        <v>0.75129999999999997</v>
      </c>
      <c r="CQ5" s="198">
        <v>0.76519999999999999</v>
      </c>
      <c r="CR5" s="198">
        <v>0.75939999999999996</v>
      </c>
      <c r="CS5" s="198">
        <v>0.73909999999999998</v>
      </c>
      <c r="CT5" s="198">
        <v>0.72399999999999998</v>
      </c>
      <c r="CV5" s="197" t="s">
        <v>710</v>
      </c>
      <c r="CW5" s="198">
        <v>0.77900000000000003</v>
      </c>
      <c r="CX5" s="198">
        <v>0.78290000000000004</v>
      </c>
      <c r="CY5" s="198">
        <v>0.76419999999999999</v>
      </c>
      <c r="CZ5" s="198">
        <v>0.78869999999999996</v>
      </c>
      <c r="DA5" s="198">
        <v>0.76570000000000005</v>
      </c>
      <c r="DB5" s="198">
        <v>0.76849999999999996</v>
      </c>
      <c r="DC5" s="198">
        <v>0.73460000000000003</v>
      </c>
      <c r="DD5" s="198">
        <v>0.70889999999999997</v>
      </c>
      <c r="DE5" s="198">
        <v>0.70230000000000004</v>
      </c>
      <c r="DF5" s="198">
        <v>0.7107</v>
      </c>
      <c r="DG5" s="198">
        <v>0.72440000000000004</v>
      </c>
      <c r="DH5" s="198">
        <v>0.72860000000000003</v>
      </c>
      <c r="DI5" s="191"/>
      <c r="DJ5" s="197" t="s">
        <v>710</v>
      </c>
      <c r="DK5" s="198">
        <v>0.87250000000000005</v>
      </c>
      <c r="DL5" s="198">
        <v>0.89480000000000004</v>
      </c>
      <c r="DM5" s="198">
        <v>0.92679999999999996</v>
      </c>
      <c r="DN5" s="198">
        <v>0.92649999999999999</v>
      </c>
      <c r="DO5" s="198">
        <v>0.93079999999999996</v>
      </c>
      <c r="DP5" s="198">
        <v>0.94379999999999997</v>
      </c>
      <c r="DQ5" s="198">
        <v>0.92969999999999997</v>
      </c>
      <c r="DR5" s="198">
        <v>0.93530000000000002</v>
      </c>
      <c r="DS5" s="198">
        <v>0.875</v>
      </c>
      <c r="DT5" s="198">
        <v>0.87739999999999996</v>
      </c>
      <c r="DU5" s="198">
        <v>0.85370000000000001</v>
      </c>
      <c r="DV5" s="198">
        <v>0.81830000000000003</v>
      </c>
      <c r="DW5" s="191"/>
      <c r="DX5" s="197" t="s">
        <v>710</v>
      </c>
      <c r="DY5" s="198">
        <v>1.0429999999999999</v>
      </c>
      <c r="DZ5" s="198">
        <v>1.0238</v>
      </c>
      <c r="EA5" s="198">
        <v>1.0428999999999999</v>
      </c>
      <c r="EB5" s="198">
        <v>1.0384</v>
      </c>
      <c r="EC5" s="198">
        <v>0.95899999999999996</v>
      </c>
      <c r="ED5" s="198">
        <v>0.91520000000000001</v>
      </c>
      <c r="EE5" s="198">
        <v>0.89739999999999998</v>
      </c>
      <c r="EF5" s="198">
        <v>0.89070000000000005</v>
      </c>
      <c r="EG5" s="198">
        <v>0.93510000000000004</v>
      </c>
      <c r="EH5" s="198">
        <v>0.9486</v>
      </c>
      <c r="EI5" s="198">
        <v>0.91379999999999995</v>
      </c>
      <c r="EJ5" s="198">
        <v>0.89459999999999995</v>
      </c>
      <c r="EK5" s="191"/>
      <c r="EL5" s="197" t="s">
        <v>710</v>
      </c>
      <c r="EM5" s="198">
        <v>1.0648</v>
      </c>
      <c r="EN5" s="198">
        <v>1.0843</v>
      </c>
      <c r="EO5" s="198">
        <v>1.0364</v>
      </c>
      <c r="EP5" s="198">
        <v>1.0415000000000001</v>
      </c>
      <c r="EQ5" s="198">
        <v>0.9718</v>
      </c>
      <c r="ER5" s="198">
        <v>1.0235000000000001</v>
      </c>
      <c r="ES5" s="198">
        <v>1.0508</v>
      </c>
      <c r="ET5" s="198">
        <v>1.0319</v>
      </c>
      <c r="EU5" s="198">
        <v>1.0385</v>
      </c>
      <c r="EV5" s="198">
        <v>1.0370999999999999</v>
      </c>
      <c r="EW5" s="198">
        <v>1.0417000000000001</v>
      </c>
      <c r="EX5" s="198">
        <v>1.038</v>
      </c>
      <c r="EY5" s="191"/>
      <c r="EZ5" s="197" t="s">
        <v>710</v>
      </c>
      <c r="FA5" s="198">
        <v>0.99690000000000001</v>
      </c>
      <c r="FB5" s="198">
        <v>1.018</v>
      </c>
      <c r="FC5" s="198">
        <v>1.0336000000000001</v>
      </c>
      <c r="FD5" s="198">
        <v>1.0931</v>
      </c>
      <c r="FE5" s="198">
        <v>1.0665</v>
      </c>
      <c r="FF5" s="198">
        <v>1.0730999999999999</v>
      </c>
      <c r="FG5" s="198">
        <v>1.0963000000000001</v>
      </c>
      <c r="FH5" s="198">
        <v>1.0701000000000001</v>
      </c>
      <c r="FI5" s="198">
        <v>0.97030000000000005</v>
      </c>
      <c r="FJ5" s="198">
        <v>1.0572999999999999</v>
      </c>
      <c r="FK5" s="198">
        <v>1.0284</v>
      </c>
      <c r="FL5" s="198">
        <v>1.0192000000000001</v>
      </c>
      <c r="FM5" s="191"/>
      <c r="FN5" s="197" t="s">
        <v>710</v>
      </c>
      <c r="FO5" s="198">
        <v>0.88890000000000002</v>
      </c>
      <c r="FP5" s="198">
        <v>0.89490000000000003</v>
      </c>
      <c r="FQ5" s="198">
        <v>0.91659999999999997</v>
      </c>
      <c r="FR5" s="198">
        <v>0.93079999999999996</v>
      </c>
      <c r="FS5" s="198">
        <v>0.83850000000000002</v>
      </c>
      <c r="FT5" s="198">
        <v>0.84419999999999995</v>
      </c>
      <c r="FU5" s="198">
        <v>0.90429999999999999</v>
      </c>
      <c r="FV5" s="198">
        <v>0.89019999999999999</v>
      </c>
      <c r="FW5" s="198">
        <v>0.96760000000000002</v>
      </c>
      <c r="FX5" s="198">
        <v>0.98009999999999997</v>
      </c>
      <c r="FY5" s="198">
        <v>0.95889999999999997</v>
      </c>
      <c r="FZ5" s="198">
        <v>1.0229999999999999</v>
      </c>
      <c r="GA5" s="191"/>
      <c r="GB5" s="197" t="s">
        <v>710</v>
      </c>
      <c r="GC5" s="198">
        <v>0.63560000000000005</v>
      </c>
      <c r="GD5" s="198">
        <v>0.6411</v>
      </c>
      <c r="GE5" s="198">
        <v>0.69230000000000003</v>
      </c>
      <c r="GF5" s="198">
        <v>0.7339</v>
      </c>
      <c r="GG5" s="198">
        <v>0.79949999999999999</v>
      </c>
      <c r="GH5" s="198">
        <v>0.80869999999999997</v>
      </c>
      <c r="GI5" s="198">
        <v>0.83089999999999997</v>
      </c>
      <c r="GJ5" s="198">
        <v>0.84099999999999997</v>
      </c>
      <c r="GK5" s="198">
        <v>0.8821</v>
      </c>
      <c r="GL5" s="198">
        <v>0.90449999999999997</v>
      </c>
      <c r="GM5" s="198">
        <v>0.91300000000000003</v>
      </c>
      <c r="GN5" s="198">
        <v>0.89949999999999997</v>
      </c>
      <c r="GO5" s="191"/>
      <c r="GP5" s="197" t="s">
        <v>710</v>
      </c>
      <c r="GQ5" s="198">
        <v>0.89280000000000004</v>
      </c>
      <c r="GR5" s="198">
        <v>0.93530000000000002</v>
      </c>
      <c r="GS5" s="198">
        <v>0.91279999999999994</v>
      </c>
      <c r="GT5" s="198">
        <v>0.9425</v>
      </c>
      <c r="GU5" s="198">
        <v>0.95299999999999996</v>
      </c>
      <c r="GV5" s="198">
        <v>0.95960000000000001</v>
      </c>
      <c r="GW5" s="198">
        <v>0.94040000000000001</v>
      </c>
      <c r="GX5" s="198">
        <v>0.86099999999999999</v>
      </c>
      <c r="GY5" s="198">
        <v>0.78910000000000002</v>
      </c>
      <c r="GZ5" s="198">
        <v>0.66349999999999998</v>
      </c>
      <c r="HA5" s="198">
        <v>0.65280000000000005</v>
      </c>
      <c r="HB5" s="198">
        <v>0.69130000000000003</v>
      </c>
      <c r="HC5" s="191"/>
      <c r="HD5" s="197" t="s">
        <v>710</v>
      </c>
      <c r="HE5" s="198">
        <v>0.77400000000000002</v>
      </c>
      <c r="HF5" s="198">
        <v>0.78779999999999994</v>
      </c>
      <c r="HG5" s="198">
        <v>0.81040000000000001</v>
      </c>
      <c r="HH5" s="198">
        <v>0.83189999999999997</v>
      </c>
      <c r="HI5" s="198">
        <v>0.82789999999999997</v>
      </c>
      <c r="HJ5" s="198">
        <v>0.84909999999999997</v>
      </c>
      <c r="HK5" s="198">
        <v>0.85680000000000001</v>
      </c>
      <c r="HL5" s="198">
        <v>0.81359999999999999</v>
      </c>
      <c r="HM5" s="198">
        <v>0.88470000000000004</v>
      </c>
      <c r="HN5" s="198">
        <v>0.92649999999999999</v>
      </c>
      <c r="HO5" s="198">
        <v>0.88349999999999995</v>
      </c>
      <c r="HP5" s="198">
        <v>0.87829999999999997</v>
      </c>
      <c r="HQ5" s="191"/>
      <c r="HR5" s="197" t="s">
        <v>710</v>
      </c>
      <c r="HS5" s="198">
        <v>0.75609999999999999</v>
      </c>
      <c r="HT5" s="198">
        <v>0.74229999999999996</v>
      </c>
      <c r="HU5" s="198">
        <v>0.71430000000000005</v>
      </c>
      <c r="HV5" s="198">
        <v>0.75849999999999995</v>
      </c>
      <c r="HW5" s="198">
        <v>0.75370000000000004</v>
      </c>
      <c r="HX5" s="198">
        <v>0.74270000000000003</v>
      </c>
      <c r="HY5" s="198">
        <v>0.76639999999999997</v>
      </c>
      <c r="HZ5" s="198">
        <v>0.76349999999999996</v>
      </c>
      <c r="IA5" s="198">
        <v>0.74609999999999999</v>
      </c>
      <c r="IB5" s="198">
        <v>0.77370000000000005</v>
      </c>
      <c r="IC5" s="198">
        <v>0.78939999999999999</v>
      </c>
      <c r="ID5" s="198">
        <v>0.78549999999999998</v>
      </c>
      <c r="IE5" s="191"/>
      <c r="IF5" s="197" t="s">
        <v>710</v>
      </c>
      <c r="IG5" s="198">
        <v>0.77549999999999997</v>
      </c>
      <c r="IH5" s="198">
        <v>0.79359999999999997</v>
      </c>
      <c r="II5" s="198">
        <v>0.77370000000000005</v>
      </c>
      <c r="IJ5" s="198">
        <v>0.78200000000000003</v>
      </c>
      <c r="IK5" s="198">
        <v>0.75760000000000005</v>
      </c>
      <c r="IL5" s="198">
        <v>0.76170000000000004</v>
      </c>
      <c r="IM5" s="198">
        <v>0.75939999999999996</v>
      </c>
      <c r="IN5" s="198">
        <v>0.75109999999999999</v>
      </c>
      <c r="IO5" s="198">
        <v>0.76319999999999999</v>
      </c>
      <c r="IP5" s="198">
        <v>0.74690000000000001</v>
      </c>
      <c r="IQ5" s="198">
        <v>0.7399</v>
      </c>
      <c r="IR5" s="198">
        <v>0.73340000000000005</v>
      </c>
    </row>
    <row r="6" spans="1:252" ht="20.100000000000001" customHeight="1">
      <c r="A6" s="12" t="s">
        <v>711</v>
      </c>
      <c r="B6" s="197" t="s">
        <v>711</v>
      </c>
      <c r="C6" s="198">
        <v>0.1883</v>
      </c>
      <c r="D6" s="198">
        <v>0.19409999999999999</v>
      </c>
      <c r="E6" s="198">
        <v>0.21049999999999999</v>
      </c>
      <c r="F6" s="198">
        <v>0.20200000000000001</v>
      </c>
      <c r="G6" s="198">
        <v>0.21110000000000001</v>
      </c>
      <c r="H6" s="198">
        <v>0.1913</v>
      </c>
      <c r="I6" s="198">
        <v>0.19239999999999999</v>
      </c>
      <c r="J6" s="198">
        <v>0.19309999999999999</v>
      </c>
      <c r="K6" s="198">
        <v>0.18490000000000001</v>
      </c>
      <c r="L6" s="198">
        <v>0.1913</v>
      </c>
      <c r="M6" s="198">
        <v>0.19009999999999999</v>
      </c>
      <c r="N6" s="198">
        <v>0.18920000000000001</v>
      </c>
      <c r="P6" s="433" t="s">
        <v>711</v>
      </c>
      <c r="Q6" s="434">
        <v>0.183</v>
      </c>
      <c r="R6" s="434">
        <v>0.17949999999999999</v>
      </c>
      <c r="S6" s="434">
        <v>0.17730000000000001</v>
      </c>
      <c r="T6" s="434">
        <v>0.18440000000000001</v>
      </c>
      <c r="U6" s="434">
        <v>0.1905</v>
      </c>
      <c r="V6" s="434">
        <v>0.1993</v>
      </c>
      <c r="W6" s="434">
        <v>0.19439999999999999</v>
      </c>
      <c r="X6" s="434">
        <v>0.1953</v>
      </c>
      <c r="Y6" s="434">
        <v>0.18340000000000001</v>
      </c>
      <c r="Z6" s="434">
        <v>0.17749999999999999</v>
      </c>
      <c r="AA6" s="434">
        <v>0.17730000000000001</v>
      </c>
      <c r="AB6" s="434">
        <v>0.17949999999999999</v>
      </c>
      <c r="AD6" s="197" t="s">
        <v>711</v>
      </c>
      <c r="AE6" s="198">
        <v>0.2334</v>
      </c>
      <c r="AF6" s="198">
        <v>0.22309999999999999</v>
      </c>
      <c r="AG6" s="198">
        <v>0.1928</v>
      </c>
      <c r="AH6" s="198">
        <v>0.18459999999999999</v>
      </c>
      <c r="AI6" s="198">
        <v>0.18379999999999999</v>
      </c>
      <c r="AJ6" s="198">
        <v>0.18210000000000001</v>
      </c>
      <c r="AK6" s="198">
        <v>0.1918</v>
      </c>
      <c r="AL6" s="198">
        <v>0.1822</v>
      </c>
      <c r="AM6" s="198">
        <v>0.1774</v>
      </c>
      <c r="AN6" s="198">
        <v>0.17280000000000001</v>
      </c>
      <c r="AO6" s="198">
        <v>0.186</v>
      </c>
      <c r="AP6" s="198">
        <v>0.1925</v>
      </c>
      <c r="AR6" s="197" t="s">
        <v>711</v>
      </c>
      <c r="AS6" s="198">
        <v>0.2737</v>
      </c>
      <c r="AT6" s="198">
        <v>0.26700000000000002</v>
      </c>
      <c r="AU6" s="198">
        <v>0.25600000000000001</v>
      </c>
      <c r="AV6" s="198">
        <v>0.25430000000000003</v>
      </c>
      <c r="AW6" s="198">
        <v>0.255</v>
      </c>
      <c r="AX6" s="198">
        <v>0.26100000000000001</v>
      </c>
      <c r="AY6" s="198">
        <v>0.26629999999999998</v>
      </c>
      <c r="AZ6" s="198">
        <v>0.2417</v>
      </c>
      <c r="BA6" s="198">
        <v>0.24060000000000001</v>
      </c>
      <c r="BB6" s="198">
        <v>0.2492</v>
      </c>
      <c r="BC6" s="198">
        <v>0.2359</v>
      </c>
      <c r="BD6" s="198">
        <v>0.24879999999999999</v>
      </c>
      <c r="BF6" s="197" t="s">
        <v>711</v>
      </c>
      <c r="BG6" s="198">
        <v>0.31340000000000001</v>
      </c>
      <c r="BH6" s="198">
        <v>0.30840000000000001</v>
      </c>
      <c r="BI6" s="198">
        <v>0.29920000000000002</v>
      </c>
      <c r="BJ6" s="198">
        <v>0.2863</v>
      </c>
      <c r="BK6" s="198">
        <v>0.26819999999999999</v>
      </c>
      <c r="BL6" s="198">
        <v>0.25840000000000002</v>
      </c>
      <c r="BM6" s="198">
        <v>0.26650000000000001</v>
      </c>
      <c r="BN6" s="198">
        <v>0.24340000000000001</v>
      </c>
      <c r="BO6" s="198">
        <v>0.24859999999999999</v>
      </c>
      <c r="BP6" s="198">
        <v>0.26850000000000002</v>
      </c>
      <c r="BQ6" s="198">
        <v>0.25919999999999999</v>
      </c>
      <c r="BR6" s="198">
        <v>0.25769999999999998</v>
      </c>
      <c r="BT6" s="197" t="s">
        <v>711</v>
      </c>
      <c r="BU6" s="198">
        <v>0.31719999999999998</v>
      </c>
      <c r="BV6" s="198">
        <v>0.32140000000000002</v>
      </c>
      <c r="BW6" s="198">
        <v>0.31979999999999997</v>
      </c>
      <c r="BX6" s="198">
        <v>0.31390000000000001</v>
      </c>
      <c r="BY6" s="198">
        <v>0.30830000000000002</v>
      </c>
      <c r="BZ6" s="198">
        <v>0.30209999999999998</v>
      </c>
      <c r="CA6" s="198">
        <v>0.3196</v>
      </c>
      <c r="CB6" s="198">
        <v>0.31730000000000003</v>
      </c>
      <c r="CC6" s="198">
        <v>0.316</v>
      </c>
      <c r="CD6" s="198">
        <v>0.3054</v>
      </c>
      <c r="CE6" s="198">
        <v>0.30509999999999998</v>
      </c>
      <c r="CF6" s="198">
        <v>0.3019</v>
      </c>
      <c r="CH6" s="197" t="s">
        <v>711</v>
      </c>
      <c r="CI6" s="198">
        <v>0.24929999999999999</v>
      </c>
      <c r="CJ6" s="198">
        <v>0.251</v>
      </c>
      <c r="CK6" s="198">
        <v>0.2787</v>
      </c>
      <c r="CL6" s="198">
        <v>0.28910000000000002</v>
      </c>
      <c r="CM6" s="198">
        <v>0.27779999999999999</v>
      </c>
      <c r="CN6" s="198">
        <v>0.31240000000000001</v>
      </c>
      <c r="CO6" s="198">
        <v>0.30790000000000001</v>
      </c>
      <c r="CP6" s="198">
        <v>0.30890000000000001</v>
      </c>
      <c r="CQ6" s="198">
        <v>0.30819999999999997</v>
      </c>
      <c r="CR6" s="198">
        <v>0.31409999999999999</v>
      </c>
      <c r="CS6" s="198">
        <v>0.29509999999999997</v>
      </c>
      <c r="CT6" s="198">
        <v>0.30719999999999997</v>
      </c>
      <c r="CV6" s="197" t="s">
        <v>711</v>
      </c>
      <c r="CW6" s="198">
        <v>0.37269999999999998</v>
      </c>
      <c r="CX6" s="198">
        <v>0.35039999999999999</v>
      </c>
      <c r="CY6" s="198">
        <v>0.31109999999999999</v>
      </c>
      <c r="CZ6" s="198">
        <v>0.33250000000000002</v>
      </c>
      <c r="DA6" s="198">
        <v>0.31440000000000001</v>
      </c>
      <c r="DB6" s="198">
        <v>0.32269999999999999</v>
      </c>
      <c r="DC6" s="198">
        <v>0.29199999999999998</v>
      </c>
      <c r="DD6" s="198">
        <v>0.27600000000000002</v>
      </c>
      <c r="DE6" s="198">
        <v>0.25169999999999998</v>
      </c>
      <c r="DF6" s="198">
        <v>0.25900000000000001</v>
      </c>
      <c r="DG6" s="198">
        <v>0.25640000000000002</v>
      </c>
      <c r="DH6" s="198">
        <v>0.2525</v>
      </c>
      <c r="DI6" s="191"/>
      <c r="DJ6" s="197" t="s">
        <v>711</v>
      </c>
      <c r="DK6" s="198">
        <v>0.4143</v>
      </c>
      <c r="DL6" s="198">
        <v>0.42680000000000001</v>
      </c>
      <c r="DM6" s="198">
        <v>0.44130000000000003</v>
      </c>
      <c r="DN6" s="198">
        <v>0.44690000000000002</v>
      </c>
      <c r="DO6" s="198">
        <v>0.44619999999999999</v>
      </c>
      <c r="DP6" s="198">
        <v>0.45269999999999999</v>
      </c>
      <c r="DQ6" s="198">
        <v>0.44130000000000003</v>
      </c>
      <c r="DR6" s="198">
        <v>0.44669999999999999</v>
      </c>
      <c r="DS6" s="198">
        <v>0.40679999999999999</v>
      </c>
      <c r="DT6" s="198">
        <v>0.4037</v>
      </c>
      <c r="DU6" s="198">
        <v>0.38900000000000001</v>
      </c>
      <c r="DV6" s="198">
        <v>0.37730000000000002</v>
      </c>
      <c r="DW6" s="191"/>
      <c r="DX6" s="197" t="s">
        <v>711</v>
      </c>
      <c r="DY6" s="198">
        <v>0.50210999999999995</v>
      </c>
      <c r="DZ6" s="198">
        <v>0.50560000000000005</v>
      </c>
      <c r="EA6" s="198">
        <v>0.49769999999999998</v>
      </c>
      <c r="EB6" s="198">
        <v>0.4995</v>
      </c>
      <c r="EC6" s="198">
        <v>0.4672</v>
      </c>
      <c r="ED6" s="198">
        <v>0.4496</v>
      </c>
      <c r="EE6" s="198">
        <v>0.43609999999999999</v>
      </c>
      <c r="EF6" s="198">
        <v>0.41970000000000002</v>
      </c>
      <c r="EG6" s="198">
        <v>0.44879999999999998</v>
      </c>
      <c r="EH6" s="198">
        <v>0.44740000000000002</v>
      </c>
      <c r="EI6" s="198">
        <v>0.4279</v>
      </c>
      <c r="EJ6" s="198">
        <v>0.42320000000000002</v>
      </c>
      <c r="EK6" s="191"/>
      <c r="EL6" s="197" t="s">
        <v>711</v>
      </c>
      <c r="EM6" s="198">
        <v>0.57484000000000002</v>
      </c>
      <c r="EN6" s="198">
        <v>0.58750999999999998</v>
      </c>
      <c r="EO6" s="198">
        <v>0.54698999999999998</v>
      </c>
      <c r="EP6" s="198">
        <v>0.52910000000000001</v>
      </c>
      <c r="EQ6" s="198">
        <v>0.49606</v>
      </c>
      <c r="ER6" s="198">
        <v>0.49642999999999998</v>
      </c>
      <c r="ES6" s="198">
        <v>0.48785000000000001</v>
      </c>
      <c r="ET6" s="198">
        <v>0.49278</v>
      </c>
      <c r="EU6" s="198">
        <v>0.49247000000000002</v>
      </c>
      <c r="EV6" s="198">
        <v>0.49253999999999998</v>
      </c>
      <c r="EW6" s="198">
        <v>0.47372999999999998</v>
      </c>
      <c r="EX6" s="198">
        <v>0.48827999999999999</v>
      </c>
      <c r="EY6" s="191"/>
      <c r="EZ6" s="197" t="s">
        <v>711</v>
      </c>
      <c r="FA6" s="198">
        <v>0.59730000000000005</v>
      </c>
      <c r="FB6" s="198">
        <v>0.60294999999999999</v>
      </c>
      <c r="FC6" s="198">
        <v>0.61451</v>
      </c>
      <c r="FD6" s="198">
        <v>0.63553000000000004</v>
      </c>
      <c r="FE6" s="198">
        <v>0.63122999999999996</v>
      </c>
      <c r="FF6" s="198">
        <v>0.64056999999999997</v>
      </c>
      <c r="FG6" s="198">
        <v>0.64073999999999998</v>
      </c>
      <c r="FH6" s="198">
        <v>0.62944999999999995</v>
      </c>
      <c r="FI6" s="198">
        <v>0.53893999999999997</v>
      </c>
      <c r="FJ6" s="198">
        <v>0.59130000000000005</v>
      </c>
      <c r="FK6" s="198">
        <v>0.55525000000000002</v>
      </c>
      <c r="FL6" s="198">
        <v>0.53568000000000005</v>
      </c>
      <c r="FM6" s="191"/>
      <c r="FN6" s="197" t="s">
        <v>711</v>
      </c>
      <c r="FO6" s="198">
        <v>0.53615999999999997</v>
      </c>
      <c r="FP6" s="198">
        <v>0.55020999999999998</v>
      </c>
      <c r="FQ6" s="198">
        <v>0.56040999999999996</v>
      </c>
      <c r="FR6" s="198">
        <v>0.57777000000000001</v>
      </c>
      <c r="FS6" s="198">
        <v>0.55327999999999999</v>
      </c>
      <c r="FT6" s="198">
        <v>0.55559000000000003</v>
      </c>
      <c r="FU6" s="198">
        <v>0.56715000000000004</v>
      </c>
      <c r="FV6" s="198">
        <v>0.56982999999999995</v>
      </c>
      <c r="FW6" s="198">
        <v>0.58931</v>
      </c>
      <c r="FX6" s="198">
        <v>0.58850999999999998</v>
      </c>
      <c r="FY6" s="198">
        <v>0.58155999999999997</v>
      </c>
      <c r="FZ6" s="198">
        <v>0.60150000000000003</v>
      </c>
      <c r="GA6" s="191"/>
      <c r="GB6" s="197" t="s">
        <v>711</v>
      </c>
      <c r="GC6" s="198">
        <v>0.43778</v>
      </c>
      <c r="GD6" s="198">
        <v>0.42571999999999999</v>
      </c>
      <c r="GE6" s="198">
        <v>0.43290000000000001</v>
      </c>
      <c r="GF6" s="198">
        <v>0.45812999999999998</v>
      </c>
      <c r="GG6" s="198">
        <v>0.50678000000000001</v>
      </c>
      <c r="GH6" s="198">
        <v>0.51380999999999999</v>
      </c>
      <c r="GI6" s="198">
        <v>0.53283999999999998</v>
      </c>
      <c r="GJ6" s="198">
        <v>0.53003</v>
      </c>
      <c r="GK6" s="198">
        <v>0.56218999999999997</v>
      </c>
      <c r="GL6" s="198">
        <v>0.57552000000000003</v>
      </c>
      <c r="GM6" s="198">
        <v>0.57162999999999997</v>
      </c>
      <c r="GN6" s="198">
        <v>0.57298000000000004</v>
      </c>
      <c r="GO6" s="191"/>
      <c r="GP6" s="197" t="s">
        <v>711</v>
      </c>
      <c r="GQ6" s="198">
        <v>0.56201999999999996</v>
      </c>
      <c r="GR6" s="198">
        <v>0.59791000000000005</v>
      </c>
      <c r="GS6" s="198">
        <v>0.57238</v>
      </c>
      <c r="GT6" s="198">
        <v>0.58452000000000004</v>
      </c>
      <c r="GU6" s="198">
        <v>0.60724</v>
      </c>
      <c r="GV6" s="198">
        <v>0.62297999999999998</v>
      </c>
      <c r="GW6" s="198">
        <v>0.64024999999999999</v>
      </c>
      <c r="GX6" s="198">
        <v>0.61417999999999995</v>
      </c>
      <c r="GY6" s="198">
        <v>0.52205999999999997</v>
      </c>
      <c r="GZ6" s="198">
        <v>0.47486</v>
      </c>
      <c r="HA6" s="198">
        <v>0.43786999999999998</v>
      </c>
      <c r="HB6" s="198">
        <v>0.42543999999999998</v>
      </c>
      <c r="HC6" s="191"/>
      <c r="HD6" s="197" t="s">
        <v>711</v>
      </c>
      <c r="HE6" s="198">
        <v>0.46923999999999999</v>
      </c>
      <c r="HF6" s="198">
        <v>0.47360000000000002</v>
      </c>
      <c r="HG6" s="198">
        <v>0.48726999999999998</v>
      </c>
      <c r="HH6" s="198">
        <v>0.49279000000000001</v>
      </c>
      <c r="HI6" s="198">
        <v>0.51361000000000001</v>
      </c>
      <c r="HJ6" s="198">
        <v>0.51956999999999998</v>
      </c>
      <c r="HK6" s="198">
        <v>0.53003</v>
      </c>
      <c r="HL6" s="198">
        <v>0.50839999999999996</v>
      </c>
      <c r="HM6" s="198">
        <v>0.54318</v>
      </c>
      <c r="HN6" s="198">
        <v>0.57116999999999996</v>
      </c>
      <c r="HO6" s="198">
        <v>0.55828</v>
      </c>
      <c r="HP6" s="198">
        <v>0.56249000000000005</v>
      </c>
      <c r="HQ6" s="191"/>
      <c r="HR6" s="197" t="s">
        <v>711</v>
      </c>
      <c r="HS6" s="198">
        <v>0.45171</v>
      </c>
      <c r="HT6" s="198">
        <v>0.46511999999999998</v>
      </c>
      <c r="HU6" s="198">
        <v>0.45567999999999997</v>
      </c>
      <c r="HV6" s="198">
        <v>0.47434999999999999</v>
      </c>
      <c r="HW6" s="198">
        <v>0.42753000000000002</v>
      </c>
      <c r="HX6" s="198">
        <v>0.45684999999999998</v>
      </c>
      <c r="HY6" s="198">
        <v>0.45906999999999998</v>
      </c>
      <c r="HZ6" s="198">
        <v>0.46959000000000001</v>
      </c>
      <c r="IA6" s="198">
        <v>0.45956000000000002</v>
      </c>
      <c r="IB6" s="198">
        <v>0.46598000000000001</v>
      </c>
      <c r="IC6" s="198">
        <v>0.46083000000000002</v>
      </c>
      <c r="ID6" s="198">
        <v>0.46838000000000002</v>
      </c>
      <c r="IE6" s="191"/>
      <c r="IF6" s="197" t="s">
        <v>711</v>
      </c>
      <c r="IG6" s="198">
        <v>0.37803999999999999</v>
      </c>
      <c r="IH6" s="198">
        <v>0.37951000000000001</v>
      </c>
      <c r="II6" s="198">
        <v>0.37364999999999998</v>
      </c>
      <c r="IJ6" s="198">
        <v>0.39595999999999998</v>
      </c>
      <c r="IK6" s="198">
        <v>0.42096</v>
      </c>
      <c r="IL6" s="198">
        <v>0.42570999999999998</v>
      </c>
      <c r="IM6" s="198">
        <v>0.41391</v>
      </c>
      <c r="IN6" s="198">
        <v>0.41893999999999998</v>
      </c>
      <c r="IO6" s="198">
        <v>0.45167000000000002</v>
      </c>
      <c r="IP6" s="198">
        <v>0.44424999999999998</v>
      </c>
      <c r="IQ6" s="198">
        <v>0.45707999999999999</v>
      </c>
      <c r="IR6" s="198">
        <v>0.43035000000000001</v>
      </c>
    </row>
    <row r="7" spans="1:252" ht="20.100000000000001" customHeight="1">
      <c r="A7" s="12" t="s">
        <v>112</v>
      </c>
      <c r="B7" s="197" t="s">
        <v>112</v>
      </c>
      <c r="C7" s="198">
        <v>0.78620000000000001</v>
      </c>
      <c r="D7" s="198">
        <v>0.78849999999999998</v>
      </c>
      <c r="E7" s="198">
        <v>0.80059999999999998</v>
      </c>
      <c r="F7" s="198">
        <v>0.78249999999999997</v>
      </c>
      <c r="G7" s="198">
        <v>0.79069999999999996</v>
      </c>
      <c r="H7" s="198">
        <v>0.77539999999999998</v>
      </c>
      <c r="I7" s="198">
        <v>0.78039999999999998</v>
      </c>
      <c r="J7" s="198">
        <v>0.76370000000000005</v>
      </c>
      <c r="K7" s="198">
        <v>0.72799999999999998</v>
      </c>
      <c r="L7" s="198">
        <v>0.73240000000000005</v>
      </c>
      <c r="M7" s="198">
        <v>0.7379</v>
      </c>
      <c r="N7" s="198">
        <v>0.73770000000000002</v>
      </c>
      <c r="P7" s="433" t="s">
        <v>112</v>
      </c>
      <c r="Q7" s="434">
        <v>0.78269999999999995</v>
      </c>
      <c r="R7" s="434">
        <v>0.79010000000000002</v>
      </c>
      <c r="S7" s="434">
        <v>0.79579999999999995</v>
      </c>
      <c r="T7" s="434">
        <v>0.81310000000000004</v>
      </c>
      <c r="U7" s="434">
        <v>0.82769999999999999</v>
      </c>
      <c r="V7" s="434">
        <v>0.80720000000000003</v>
      </c>
      <c r="W7" s="434">
        <v>0.80120000000000002</v>
      </c>
      <c r="X7" s="434">
        <v>0.79139999999999999</v>
      </c>
      <c r="Y7" s="434">
        <v>0.7893</v>
      </c>
      <c r="Z7" s="434">
        <v>0.80679999999999996</v>
      </c>
      <c r="AA7" s="434">
        <v>0.77980000000000005</v>
      </c>
      <c r="AB7" s="434">
        <v>0.79149999999999998</v>
      </c>
      <c r="AD7" s="197" t="s">
        <v>112</v>
      </c>
      <c r="AE7" s="198">
        <v>0.75600000000000001</v>
      </c>
      <c r="AF7" s="198">
        <v>0.74470000000000003</v>
      </c>
      <c r="AG7" s="198">
        <v>0.70199999999999996</v>
      </c>
      <c r="AH7" s="198">
        <v>0.72</v>
      </c>
      <c r="AI7" s="198">
        <v>0.72370000000000001</v>
      </c>
      <c r="AJ7" s="198">
        <v>0.73429999999999995</v>
      </c>
      <c r="AK7" s="198">
        <v>0.74619999999999997</v>
      </c>
      <c r="AL7" s="198">
        <v>0.76759999999999995</v>
      </c>
      <c r="AM7" s="198">
        <v>0.74850000000000005</v>
      </c>
      <c r="AN7" s="198">
        <v>0.75</v>
      </c>
      <c r="AO7" s="198">
        <v>0.77180000000000004</v>
      </c>
      <c r="AP7" s="198">
        <v>0.78500000000000003</v>
      </c>
      <c r="AR7" s="197" t="s">
        <v>112</v>
      </c>
      <c r="AS7" s="198">
        <v>0.76139999999999997</v>
      </c>
      <c r="AT7" s="198">
        <v>0.75900000000000001</v>
      </c>
      <c r="AU7" s="198">
        <v>0.74850000000000005</v>
      </c>
      <c r="AV7" s="198">
        <v>0.74350000000000005</v>
      </c>
      <c r="AW7" s="198">
        <v>0.73980000000000001</v>
      </c>
      <c r="AX7" s="198">
        <v>0.76529999999999998</v>
      </c>
      <c r="AY7" s="198">
        <v>0.76180000000000003</v>
      </c>
      <c r="AZ7" s="198">
        <v>0.75249999999999995</v>
      </c>
      <c r="BA7" s="198">
        <v>0.75539999999999996</v>
      </c>
      <c r="BB7" s="198">
        <v>0.76039999999999996</v>
      </c>
      <c r="BC7" s="198">
        <v>0.75290000000000001</v>
      </c>
      <c r="BD7" s="198">
        <v>0.77110000000000001</v>
      </c>
      <c r="BF7" s="197" t="s">
        <v>112</v>
      </c>
      <c r="BG7" s="198">
        <v>0.81510000000000005</v>
      </c>
      <c r="BH7" s="198">
        <v>0.78049999999999997</v>
      </c>
      <c r="BI7" s="198">
        <v>0.77580000000000005</v>
      </c>
      <c r="BJ7" s="198">
        <v>0.77980000000000005</v>
      </c>
      <c r="BK7" s="198">
        <v>0.77100000000000002</v>
      </c>
      <c r="BL7" s="198">
        <v>0.76039999999999996</v>
      </c>
      <c r="BM7" s="198">
        <v>0.76780000000000004</v>
      </c>
      <c r="BN7" s="198">
        <v>0.7671</v>
      </c>
      <c r="BO7" s="198">
        <v>0.77339999999999998</v>
      </c>
      <c r="BP7" s="198">
        <v>0.76139999999999997</v>
      </c>
      <c r="BQ7" s="198">
        <v>0.75219999999999998</v>
      </c>
      <c r="BR7" s="198">
        <v>0.73229999999999995</v>
      </c>
      <c r="BT7" s="197" t="s">
        <v>112</v>
      </c>
      <c r="BU7" s="198">
        <v>0.76690000000000003</v>
      </c>
      <c r="BV7" s="198">
        <v>0.75529999999999997</v>
      </c>
      <c r="BW7" s="198">
        <v>0.75</v>
      </c>
      <c r="BX7" s="198">
        <v>0.73129999999999995</v>
      </c>
      <c r="BY7" s="198">
        <v>0.74019999999999997</v>
      </c>
      <c r="BZ7" s="198">
        <v>0.7702</v>
      </c>
      <c r="CA7" s="198">
        <v>0.7994</v>
      </c>
      <c r="CB7" s="198">
        <v>0.7974</v>
      </c>
      <c r="CC7" s="198">
        <v>0.79979999999999996</v>
      </c>
      <c r="CD7" s="198">
        <v>0.77610000000000001</v>
      </c>
      <c r="CE7" s="198">
        <v>0.77659999999999996</v>
      </c>
      <c r="CF7" s="198">
        <v>0.79779999999999995</v>
      </c>
      <c r="CH7" s="197" t="s">
        <v>112</v>
      </c>
      <c r="CI7" s="198">
        <v>0.71060000000000001</v>
      </c>
      <c r="CJ7" s="198">
        <v>0.73860000000000003</v>
      </c>
      <c r="CK7" s="198">
        <v>0.77390000000000003</v>
      </c>
      <c r="CL7" s="198">
        <v>0.79849999999999999</v>
      </c>
      <c r="CM7" s="198">
        <v>0.76459999999999995</v>
      </c>
      <c r="CN7" s="198">
        <v>0.77010000000000001</v>
      </c>
      <c r="CO7" s="198">
        <v>0.76619999999999999</v>
      </c>
      <c r="CP7" s="198">
        <v>0.76180000000000003</v>
      </c>
      <c r="CQ7" s="198">
        <v>0.76100000000000001</v>
      </c>
      <c r="CR7" s="198">
        <v>0.74560000000000004</v>
      </c>
      <c r="CS7" s="198">
        <v>0.74390000000000001</v>
      </c>
      <c r="CT7" s="198">
        <v>0.74560000000000004</v>
      </c>
      <c r="CV7" s="197" t="s">
        <v>112</v>
      </c>
      <c r="CW7" s="198">
        <v>0.78879999999999995</v>
      </c>
      <c r="CX7" s="198">
        <v>0.80089999999999995</v>
      </c>
      <c r="CY7" s="198">
        <v>0.78959999999999997</v>
      </c>
      <c r="CZ7" s="198">
        <v>0.8256</v>
      </c>
      <c r="DA7" s="198">
        <v>0.80149999999999999</v>
      </c>
      <c r="DB7" s="198">
        <v>0.80120000000000002</v>
      </c>
      <c r="DC7" s="198">
        <v>0.76910000000000001</v>
      </c>
      <c r="DD7" s="198">
        <v>0.75139999999999996</v>
      </c>
      <c r="DE7" s="198">
        <v>0.74590000000000001</v>
      </c>
      <c r="DF7" s="198">
        <v>0.76029999999999998</v>
      </c>
      <c r="DG7" s="198">
        <v>0.75090000000000001</v>
      </c>
      <c r="DH7" s="198">
        <v>0.72299999999999998</v>
      </c>
      <c r="DI7" s="191"/>
      <c r="DJ7" s="197" t="s">
        <v>112</v>
      </c>
      <c r="DK7" s="198">
        <v>0.89690000000000003</v>
      </c>
      <c r="DL7" s="198">
        <v>0.90339999999999998</v>
      </c>
      <c r="DM7" s="198">
        <v>0.90600000000000003</v>
      </c>
      <c r="DN7" s="198">
        <v>0.91120000000000001</v>
      </c>
      <c r="DO7" s="198">
        <v>0.92100000000000004</v>
      </c>
      <c r="DP7" s="198">
        <v>0.93889999999999996</v>
      </c>
      <c r="DQ7" s="198">
        <v>0.91859999999999997</v>
      </c>
      <c r="DR7" s="198">
        <v>0.92179999999999995</v>
      </c>
      <c r="DS7" s="198">
        <v>0.89490000000000003</v>
      </c>
      <c r="DT7" s="198">
        <v>0.88360000000000005</v>
      </c>
      <c r="DU7" s="198">
        <v>0.877</v>
      </c>
      <c r="DV7" s="198">
        <v>0.86329999999999996</v>
      </c>
      <c r="DW7" s="191"/>
      <c r="DX7" s="197" t="s">
        <v>112</v>
      </c>
      <c r="DY7" s="198">
        <v>1.0012000000000001</v>
      </c>
      <c r="DZ7" s="198">
        <v>0.97289999999999999</v>
      </c>
      <c r="EA7" s="198">
        <v>0.98360000000000003</v>
      </c>
      <c r="EB7" s="198">
        <v>0.99429999999999996</v>
      </c>
      <c r="EC7" s="198">
        <v>0.96760000000000002</v>
      </c>
      <c r="ED7" s="198">
        <v>0.94799999999999995</v>
      </c>
      <c r="EE7" s="198">
        <v>0.97270000000000001</v>
      </c>
      <c r="EF7" s="198">
        <v>0.94810000000000005</v>
      </c>
      <c r="EG7" s="198">
        <v>0.97289999999999999</v>
      </c>
      <c r="EH7" s="198">
        <v>0.95779999999999998</v>
      </c>
      <c r="EI7" s="198">
        <v>0.9446</v>
      </c>
      <c r="EJ7" s="198">
        <v>0.94120000000000004</v>
      </c>
      <c r="EK7" s="191"/>
      <c r="EL7" s="197" t="s">
        <v>112</v>
      </c>
      <c r="EM7" s="198">
        <v>1.0011000000000001</v>
      </c>
      <c r="EN7" s="198">
        <v>1.0121500000000001</v>
      </c>
      <c r="EO7" s="198">
        <v>1.00261</v>
      </c>
      <c r="EP7" s="198">
        <v>1.0124500000000001</v>
      </c>
      <c r="EQ7" s="198">
        <v>0.97002999999999995</v>
      </c>
      <c r="ER7" s="198">
        <v>0.98126000000000002</v>
      </c>
      <c r="ES7" s="198">
        <v>0.99690999999999996</v>
      </c>
      <c r="ET7" s="198">
        <v>1.0124500000000001</v>
      </c>
      <c r="EU7" s="198">
        <v>1.01678</v>
      </c>
      <c r="EV7" s="198">
        <v>0.99980000000000002</v>
      </c>
      <c r="EW7" s="198">
        <v>1.00604</v>
      </c>
      <c r="EX7" s="198">
        <v>1.0045200000000001</v>
      </c>
      <c r="EY7" s="191"/>
      <c r="EZ7" s="197" t="s">
        <v>112</v>
      </c>
      <c r="FA7" s="198">
        <v>1.0008999999999999</v>
      </c>
      <c r="FB7" s="198">
        <v>1.02722</v>
      </c>
      <c r="FC7" s="198">
        <v>1.0301800000000001</v>
      </c>
      <c r="FD7" s="198">
        <v>1.0477799999999999</v>
      </c>
      <c r="FE7" s="198">
        <v>1.0345500000000001</v>
      </c>
      <c r="FF7" s="198">
        <v>1.0356300000000001</v>
      </c>
      <c r="FG7" s="198">
        <v>1.04559</v>
      </c>
      <c r="FH7" s="198">
        <v>1.02722</v>
      </c>
      <c r="FI7" s="198">
        <v>0.95794999999999997</v>
      </c>
      <c r="FJ7" s="198">
        <v>1.0017</v>
      </c>
      <c r="FK7" s="198">
        <v>0.98580000000000001</v>
      </c>
      <c r="FL7" s="198">
        <v>0.98087000000000002</v>
      </c>
      <c r="FM7" s="191"/>
      <c r="FN7" s="197" t="s">
        <v>112</v>
      </c>
      <c r="FO7" s="198">
        <v>0.93940999999999997</v>
      </c>
      <c r="FP7" s="198">
        <v>0.94598000000000004</v>
      </c>
      <c r="FQ7" s="198">
        <v>0.98463999999999996</v>
      </c>
      <c r="FR7" s="198">
        <v>0.98765000000000003</v>
      </c>
      <c r="FS7" s="198">
        <v>0.95355999999999996</v>
      </c>
      <c r="FT7" s="198">
        <v>0.94135000000000002</v>
      </c>
      <c r="FU7" s="198">
        <v>0.97050000000000003</v>
      </c>
      <c r="FV7" s="198">
        <v>0.93808999999999998</v>
      </c>
      <c r="FW7" s="198">
        <v>0.97333000000000003</v>
      </c>
      <c r="FX7" s="198">
        <v>0.98270000000000002</v>
      </c>
      <c r="FY7" s="198">
        <v>0.97389999999999999</v>
      </c>
      <c r="FZ7" s="198">
        <v>1.00634</v>
      </c>
      <c r="GA7" s="191"/>
      <c r="GB7" s="197" t="s">
        <v>112</v>
      </c>
      <c r="GC7" s="198">
        <v>0.80618999999999996</v>
      </c>
      <c r="GD7" s="198">
        <v>0.78932999999999998</v>
      </c>
      <c r="GE7" s="198">
        <v>0.79346000000000005</v>
      </c>
      <c r="GF7" s="198">
        <v>0.84082999999999997</v>
      </c>
      <c r="GG7" s="198">
        <v>0.91198999999999997</v>
      </c>
      <c r="GH7" s="198">
        <v>0.86124999999999996</v>
      </c>
      <c r="GI7" s="198">
        <v>0.92549999999999999</v>
      </c>
      <c r="GJ7" s="198">
        <v>0.90900999999999998</v>
      </c>
      <c r="GK7" s="198">
        <v>0.93240000000000001</v>
      </c>
      <c r="GL7" s="198">
        <v>0.92798999999999998</v>
      </c>
      <c r="GM7" s="198">
        <v>0.94606999999999997</v>
      </c>
      <c r="GN7" s="198">
        <v>0.95465</v>
      </c>
      <c r="GO7" s="191"/>
      <c r="GP7" s="197" t="s">
        <v>112</v>
      </c>
      <c r="GQ7" s="198">
        <v>0.99492999999999998</v>
      </c>
      <c r="GR7" s="198">
        <v>1.02166</v>
      </c>
      <c r="GS7" s="198">
        <v>0.97285999999999995</v>
      </c>
      <c r="GT7" s="198">
        <v>0.99285000000000001</v>
      </c>
      <c r="GU7" s="198">
        <v>1.00644</v>
      </c>
      <c r="GV7" s="198">
        <v>0.9859</v>
      </c>
      <c r="GW7" s="198">
        <v>0.97531999999999996</v>
      </c>
      <c r="GX7" s="198">
        <v>0.94447000000000003</v>
      </c>
      <c r="GY7" s="198">
        <v>0.94064999999999999</v>
      </c>
      <c r="GZ7" s="198">
        <v>0.82169000000000003</v>
      </c>
      <c r="HA7" s="198">
        <v>0.80522000000000005</v>
      </c>
      <c r="HB7" s="198">
        <v>0.81593000000000004</v>
      </c>
      <c r="HC7" s="191"/>
      <c r="HD7" s="197" t="s">
        <v>112</v>
      </c>
      <c r="HE7" s="198">
        <v>0.84702999999999995</v>
      </c>
      <c r="HF7" s="198">
        <v>0.85309999999999997</v>
      </c>
      <c r="HG7" s="198">
        <v>0.86812999999999996</v>
      </c>
      <c r="HH7" s="198">
        <v>0.90473000000000003</v>
      </c>
      <c r="HI7" s="198">
        <v>0.93537000000000003</v>
      </c>
      <c r="HJ7" s="198">
        <v>0.93913999999999997</v>
      </c>
      <c r="HK7" s="198">
        <v>0.93755999999999995</v>
      </c>
      <c r="HL7" s="198">
        <v>0.94589000000000001</v>
      </c>
      <c r="HM7" s="198">
        <v>0.99509999999999998</v>
      </c>
      <c r="HN7" s="198">
        <v>1.05274</v>
      </c>
      <c r="HO7" s="198">
        <v>1</v>
      </c>
      <c r="HP7" s="198">
        <v>1.0134799999999999</v>
      </c>
      <c r="HQ7" s="191"/>
      <c r="HR7" s="197" t="s">
        <v>112</v>
      </c>
      <c r="HS7" s="198">
        <v>0.87451000000000001</v>
      </c>
      <c r="HT7" s="198">
        <v>0.87880999999999998</v>
      </c>
      <c r="HU7" s="198">
        <v>0.85755999999999999</v>
      </c>
      <c r="HV7" s="198">
        <v>0.89237999999999995</v>
      </c>
      <c r="HW7" s="198">
        <v>0.90917000000000003</v>
      </c>
      <c r="HX7" s="198">
        <v>0.89831000000000005</v>
      </c>
      <c r="HY7" s="198">
        <v>0.88534999999999997</v>
      </c>
      <c r="HZ7" s="198">
        <v>0.90188000000000001</v>
      </c>
      <c r="IA7" s="198">
        <v>0.89581999999999995</v>
      </c>
      <c r="IB7" s="198">
        <v>0.89119000000000004</v>
      </c>
      <c r="IC7" s="198">
        <v>0.87573000000000001</v>
      </c>
      <c r="ID7" s="198">
        <v>0.85829999999999995</v>
      </c>
      <c r="IE7" s="191"/>
      <c r="IF7" s="197" t="s">
        <v>112</v>
      </c>
      <c r="IG7" s="198">
        <v>0.80730000000000002</v>
      </c>
      <c r="IH7" s="198">
        <v>0.81267999999999996</v>
      </c>
      <c r="II7" s="198">
        <v>0.82706000000000002</v>
      </c>
      <c r="IJ7" s="198">
        <v>0.79661999999999999</v>
      </c>
      <c r="IK7" s="198">
        <v>0.79757999999999996</v>
      </c>
      <c r="IL7" s="198">
        <v>0.81633</v>
      </c>
      <c r="IM7" s="198">
        <v>0.81533</v>
      </c>
      <c r="IN7" s="198">
        <v>0.84245999999999999</v>
      </c>
      <c r="IO7" s="198">
        <v>0.86102999999999996</v>
      </c>
      <c r="IP7" s="198">
        <v>0.84824999999999995</v>
      </c>
      <c r="IQ7" s="198">
        <v>0.85624</v>
      </c>
      <c r="IR7" s="198">
        <v>0.85668</v>
      </c>
    </row>
    <row r="8" spans="1:252" ht="20.100000000000001" customHeight="1">
      <c r="A8" s="12" t="s">
        <v>712</v>
      </c>
      <c r="B8" s="197" t="s">
        <v>712</v>
      </c>
      <c r="C8" s="198">
        <v>1.0742</v>
      </c>
      <c r="D8" s="198">
        <v>1.0899000000000001</v>
      </c>
      <c r="E8" s="198">
        <v>1.0868</v>
      </c>
      <c r="F8" s="198">
        <v>1.0304</v>
      </c>
      <c r="G8" s="198">
        <v>1.0431999999999999</v>
      </c>
      <c r="H8" s="198">
        <v>1.0447</v>
      </c>
      <c r="I8" s="198">
        <v>1.0498000000000001</v>
      </c>
      <c r="J8" s="198">
        <v>1.0244</v>
      </c>
      <c r="K8" s="198">
        <v>1.0165999999999999</v>
      </c>
      <c r="L8" s="198">
        <v>0.99729999999999996</v>
      </c>
      <c r="M8" s="198">
        <v>1.0495000000000001</v>
      </c>
      <c r="N8" s="198">
        <v>1.0806</v>
      </c>
      <c r="P8" s="433" t="s">
        <v>712</v>
      </c>
      <c r="Q8" s="434">
        <v>1.1240000000000001</v>
      </c>
      <c r="R8" s="434">
        <v>1.1045</v>
      </c>
      <c r="S8" s="434">
        <v>1.0627</v>
      </c>
      <c r="T8" s="434">
        <v>1.0965</v>
      </c>
      <c r="U8" s="434">
        <v>1.1119000000000001</v>
      </c>
      <c r="V8" s="434">
        <v>1.0817000000000001</v>
      </c>
      <c r="W8" s="434">
        <v>1.1032999999999999</v>
      </c>
      <c r="X8" s="434">
        <v>1.0919000000000001</v>
      </c>
      <c r="Y8" s="434">
        <v>1.0719000000000001</v>
      </c>
      <c r="Z8" s="434">
        <v>1.0942000000000001</v>
      </c>
      <c r="AA8" s="434">
        <v>1.081</v>
      </c>
      <c r="AB8" s="434">
        <v>1.0975999999999999</v>
      </c>
      <c r="AD8" s="197" t="s">
        <v>712</v>
      </c>
      <c r="AE8" s="198">
        <v>1.0367999999999999</v>
      </c>
      <c r="AF8" s="198">
        <v>1.0335000000000001</v>
      </c>
      <c r="AG8" s="198">
        <v>1.0339</v>
      </c>
      <c r="AH8" s="198">
        <v>1.0356000000000001</v>
      </c>
      <c r="AI8" s="198">
        <v>1.0410999999999999</v>
      </c>
      <c r="AJ8" s="198">
        <v>1.0553999999999999</v>
      </c>
      <c r="AK8" s="198">
        <v>1.0995999999999999</v>
      </c>
      <c r="AL8" s="198">
        <v>1.1107</v>
      </c>
      <c r="AM8" s="198">
        <v>1.0884</v>
      </c>
      <c r="AN8" s="198">
        <v>1.0921000000000001</v>
      </c>
      <c r="AO8" s="198">
        <v>1.1044</v>
      </c>
      <c r="AP8" s="198">
        <v>1.1315</v>
      </c>
      <c r="AR8" s="197" t="s">
        <v>712</v>
      </c>
      <c r="AS8" s="198">
        <v>1.0084</v>
      </c>
      <c r="AT8" s="198">
        <v>1.0037</v>
      </c>
      <c r="AU8" s="198">
        <v>1.0043</v>
      </c>
      <c r="AV8" s="198">
        <v>0.98140000000000005</v>
      </c>
      <c r="AW8" s="198">
        <v>0.99450000000000005</v>
      </c>
      <c r="AX8" s="198">
        <v>1.0254000000000001</v>
      </c>
      <c r="AY8" s="198">
        <v>1.0104</v>
      </c>
      <c r="AZ8" s="198">
        <v>1.0108999999999999</v>
      </c>
      <c r="BA8" s="198">
        <v>1.0026999999999999</v>
      </c>
      <c r="BB8" s="198">
        <v>1.0128999999999999</v>
      </c>
      <c r="BC8" s="198">
        <v>1.0005999999999999</v>
      </c>
      <c r="BD8" s="198">
        <v>1.0326</v>
      </c>
      <c r="BF8" s="197" t="s">
        <v>712</v>
      </c>
      <c r="BG8" s="198">
        <v>1.0757000000000001</v>
      </c>
      <c r="BH8" s="198">
        <v>1.0585</v>
      </c>
      <c r="BI8" s="198">
        <v>1.0485</v>
      </c>
      <c r="BJ8" s="198">
        <v>1.0098</v>
      </c>
      <c r="BK8" s="198">
        <v>1.0169999999999999</v>
      </c>
      <c r="BL8" s="198">
        <v>1.0072000000000001</v>
      </c>
      <c r="BM8" s="198">
        <v>1.0104</v>
      </c>
      <c r="BN8" s="198">
        <v>1.0343</v>
      </c>
      <c r="BO8" s="198">
        <v>1.0236000000000001</v>
      </c>
      <c r="BP8" s="198">
        <v>0.99450000000000005</v>
      </c>
      <c r="BQ8" s="198">
        <v>1.0011000000000001</v>
      </c>
      <c r="BR8" s="198">
        <v>1.0148999999999999</v>
      </c>
      <c r="BT8" s="197" t="s">
        <v>712</v>
      </c>
      <c r="BU8" s="198">
        <v>1.0133000000000001</v>
      </c>
      <c r="BV8" s="198">
        <v>0.99829999999999997</v>
      </c>
      <c r="BW8" s="198">
        <v>0.99880000000000002</v>
      </c>
      <c r="BX8" s="198">
        <v>1.0047999999999999</v>
      </c>
      <c r="BY8" s="198">
        <v>1.0330999999999999</v>
      </c>
      <c r="BZ8" s="198">
        <v>1.044</v>
      </c>
      <c r="CA8" s="198">
        <v>1.0357000000000001</v>
      </c>
      <c r="CB8" s="198">
        <v>1.0401</v>
      </c>
      <c r="CC8" s="198">
        <v>1.0335000000000001</v>
      </c>
      <c r="CD8" s="198">
        <v>1.0023</v>
      </c>
      <c r="CE8" s="198">
        <v>1.0181</v>
      </c>
      <c r="CF8" s="198">
        <v>1.0259</v>
      </c>
      <c r="CH8" s="197" t="s">
        <v>712</v>
      </c>
      <c r="CI8" s="198">
        <v>0.97660000000000002</v>
      </c>
      <c r="CJ8" s="198">
        <v>1.0031000000000001</v>
      </c>
      <c r="CK8" s="198">
        <v>1.044</v>
      </c>
      <c r="CL8" s="198">
        <v>1.0434000000000001</v>
      </c>
      <c r="CM8" s="198">
        <v>1.0065999999999999</v>
      </c>
      <c r="CN8" s="198">
        <v>1.0267999999999999</v>
      </c>
      <c r="CO8" s="198">
        <v>1.0331999999999999</v>
      </c>
      <c r="CP8" s="198">
        <v>1.0176000000000001</v>
      </c>
      <c r="CQ8" s="198">
        <v>1.0309999999999999</v>
      </c>
      <c r="CR8" s="198">
        <v>1.0103</v>
      </c>
      <c r="CS8" s="198">
        <v>0.9819</v>
      </c>
      <c r="CT8" s="198">
        <v>0.98419999999999996</v>
      </c>
      <c r="CV8" s="197" t="s">
        <v>712</v>
      </c>
      <c r="CW8" s="198">
        <v>1.087</v>
      </c>
      <c r="CX8" s="198">
        <v>1.0546</v>
      </c>
      <c r="CY8" s="198">
        <v>1.0294000000000001</v>
      </c>
      <c r="CZ8" s="198">
        <v>1.0670999999999999</v>
      </c>
      <c r="DA8" s="198">
        <v>1.0593999999999999</v>
      </c>
      <c r="DB8" s="198">
        <v>1.0691999999999999</v>
      </c>
      <c r="DC8" s="198">
        <v>1.04</v>
      </c>
      <c r="DD8" s="198">
        <v>1.0341</v>
      </c>
      <c r="DE8" s="198">
        <v>1.0236000000000001</v>
      </c>
      <c r="DF8" s="198">
        <v>1.0136000000000001</v>
      </c>
      <c r="DG8" s="198">
        <v>0.97260000000000002</v>
      </c>
      <c r="DH8" s="198">
        <v>0.99980000000000002</v>
      </c>
      <c r="DI8" s="191"/>
      <c r="DJ8" s="197" t="s">
        <v>712</v>
      </c>
      <c r="DK8" s="198">
        <v>1.1040000000000001</v>
      </c>
      <c r="DL8" s="198">
        <v>1.1352</v>
      </c>
      <c r="DM8" s="198">
        <v>1.1322000000000001</v>
      </c>
      <c r="DN8" s="198">
        <v>1.1357999999999999</v>
      </c>
      <c r="DO8" s="198">
        <v>1.1187</v>
      </c>
      <c r="DP8" s="198">
        <v>1.1277999999999999</v>
      </c>
      <c r="DQ8" s="198">
        <v>1.0996999999999999</v>
      </c>
      <c r="DR8" s="198">
        <v>1.0918000000000001</v>
      </c>
      <c r="DS8" s="198">
        <v>1.0466</v>
      </c>
      <c r="DT8" s="198">
        <v>1.0368999999999999</v>
      </c>
      <c r="DU8" s="198">
        <v>1.0378000000000001</v>
      </c>
      <c r="DV8" s="198">
        <v>1.0064</v>
      </c>
      <c r="DW8" s="191"/>
      <c r="DX8" s="197" t="s">
        <v>712</v>
      </c>
      <c r="DY8" s="198">
        <v>1.09842</v>
      </c>
      <c r="DZ8" s="198">
        <v>1.0716000000000001</v>
      </c>
      <c r="EA8" s="198">
        <v>1.0487</v>
      </c>
      <c r="EB8" s="198">
        <v>1.0763</v>
      </c>
      <c r="EC8" s="198">
        <v>1.042</v>
      </c>
      <c r="ED8" s="198">
        <v>1.0569999999999999</v>
      </c>
      <c r="EE8" s="198">
        <v>1.0762</v>
      </c>
      <c r="EF8" s="198">
        <v>1.0724</v>
      </c>
      <c r="EG8" s="198">
        <v>1.1060000000000001</v>
      </c>
      <c r="EH8" s="198">
        <v>1.1049</v>
      </c>
      <c r="EI8" s="198">
        <v>1.1067</v>
      </c>
      <c r="EJ8" s="198">
        <v>1.1246</v>
      </c>
      <c r="EK8" s="191"/>
      <c r="EL8" s="197" t="s">
        <v>712</v>
      </c>
      <c r="EM8" s="198">
        <v>1.0907500000000001</v>
      </c>
      <c r="EN8" s="198">
        <v>1.11632</v>
      </c>
      <c r="EO8" s="198">
        <v>1.1082799999999999</v>
      </c>
      <c r="EP8" s="198">
        <v>1.1012</v>
      </c>
      <c r="EQ8" s="198">
        <v>1.03125</v>
      </c>
      <c r="ER8" s="198">
        <v>1.05385</v>
      </c>
      <c r="ES8" s="198">
        <v>1.02302</v>
      </c>
      <c r="ET8" s="198">
        <v>1.04921</v>
      </c>
      <c r="EU8" s="198">
        <v>1.0661</v>
      </c>
      <c r="EV8" s="198">
        <v>1.07619</v>
      </c>
      <c r="EW8" s="198">
        <v>1.0782799999999999</v>
      </c>
      <c r="EX8" s="198">
        <v>1.09493</v>
      </c>
      <c r="EY8" s="191"/>
      <c r="EZ8" s="197" t="s">
        <v>712</v>
      </c>
      <c r="FA8" s="198">
        <v>1.0651900000000001</v>
      </c>
      <c r="FB8" s="198">
        <v>1.0768899999999999</v>
      </c>
      <c r="FC8" s="198">
        <v>1.0939700000000001</v>
      </c>
      <c r="FD8" s="198">
        <v>1.1541999999999999</v>
      </c>
      <c r="FE8" s="198">
        <v>1.17137</v>
      </c>
      <c r="FF8" s="198">
        <v>1.1868000000000001</v>
      </c>
      <c r="FG8" s="198">
        <v>1.27162</v>
      </c>
      <c r="FH8" s="198">
        <v>1.24116</v>
      </c>
      <c r="FI8" s="198">
        <v>1.1052200000000001</v>
      </c>
      <c r="FJ8" s="198">
        <v>1.1489</v>
      </c>
      <c r="FK8" s="198">
        <v>1.09842</v>
      </c>
      <c r="FL8" s="198">
        <v>1.0664400000000001</v>
      </c>
      <c r="FM8" s="191"/>
      <c r="FN8" s="197" t="s">
        <v>712</v>
      </c>
      <c r="FO8" s="198">
        <v>0.94867999999999997</v>
      </c>
      <c r="FP8" s="198">
        <v>0.93223</v>
      </c>
      <c r="FQ8" s="198">
        <v>0.95011999999999996</v>
      </c>
      <c r="FR8" s="198">
        <v>0.92781999999999998</v>
      </c>
      <c r="FS8" s="198">
        <v>0.86587999999999998</v>
      </c>
      <c r="FT8" s="198">
        <v>0.92739000000000005</v>
      </c>
      <c r="FU8" s="198">
        <v>0.95694000000000001</v>
      </c>
      <c r="FV8" s="198">
        <v>0.98668</v>
      </c>
      <c r="FW8" s="198">
        <v>1.0235399999999999</v>
      </c>
      <c r="FX8" s="198">
        <v>1.01698</v>
      </c>
      <c r="FY8" s="198">
        <v>1.0034099999999999</v>
      </c>
      <c r="FZ8" s="198">
        <v>1.0743400000000001</v>
      </c>
      <c r="GA8" s="191"/>
      <c r="GB8" s="197" t="s">
        <v>712</v>
      </c>
      <c r="GC8" s="198">
        <v>0.86185</v>
      </c>
      <c r="GD8" s="198">
        <v>0.85895999999999995</v>
      </c>
      <c r="GE8" s="198">
        <v>0.87788999999999995</v>
      </c>
      <c r="GF8" s="198">
        <v>0.87849999999999995</v>
      </c>
      <c r="GG8" s="198">
        <v>0.93606999999999996</v>
      </c>
      <c r="GH8" s="198">
        <v>0.91971000000000003</v>
      </c>
      <c r="GI8" s="198">
        <v>0.92927999999999999</v>
      </c>
      <c r="GJ8" s="198">
        <v>0.94616</v>
      </c>
      <c r="GK8" s="198">
        <v>0.96386000000000005</v>
      </c>
      <c r="GL8" s="198">
        <v>0.97618000000000005</v>
      </c>
      <c r="GM8" s="198">
        <v>0.99422999999999995</v>
      </c>
      <c r="GN8" s="198">
        <v>0.96777000000000002</v>
      </c>
      <c r="GO8" s="191"/>
      <c r="GP8" s="197" t="s">
        <v>712</v>
      </c>
      <c r="GQ8" s="198">
        <v>0.92293000000000003</v>
      </c>
      <c r="GR8" s="198">
        <v>0.95794999999999997</v>
      </c>
      <c r="GS8" s="198">
        <v>1.00786</v>
      </c>
      <c r="GT8" s="198">
        <v>0.96006000000000002</v>
      </c>
      <c r="GU8" s="198">
        <v>0.95740000000000003</v>
      </c>
      <c r="GV8" s="198">
        <v>0.98212999999999995</v>
      </c>
      <c r="GW8" s="198">
        <v>0.95428999999999997</v>
      </c>
      <c r="GX8" s="198">
        <v>0.90991999999999995</v>
      </c>
      <c r="GY8" s="198">
        <v>0.89237999999999995</v>
      </c>
      <c r="GZ8" s="198">
        <v>0.85992000000000002</v>
      </c>
      <c r="HA8" s="198">
        <v>0.82284000000000002</v>
      </c>
      <c r="HB8" s="198">
        <v>0.95011999999999996</v>
      </c>
      <c r="HC8" s="191"/>
      <c r="HD8" s="197" t="s">
        <v>712</v>
      </c>
      <c r="HE8" s="198">
        <v>0.80225000000000002</v>
      </c>
      <c r="HF8" s="198">
        <v>0.81879999999999997</v>
      </c>
      <c r="HG8" s="198">
        <v>0.82494999999999996</v>
      </c>
      <c r="HH8" s="198">
        <v>0.82891000000000004</v>
      </c>
      <c r="HI8" s="198">
        <v>0.81579000000000002</v>
      </c>
      <c r="HJ8" s="198">
        <v>0.81638999999999995</v>
      </c>
      <c r="HK8" s="198">
        <v>0.83111999999999997</v>
      </c>
      <c r="HL8" s="198">
        <v>0.82781000000000005</v>
      </c>
      <c r="HM8" s="198">
        <v>0.85660000000000003</v>
      </c>
      <c r="HN8" s="198">
        <v>0.86273999999999995</v>
      </c>
      <c r="HO8" s="198">
        <v>0.88605</v>
      </c>
      <c r="HP8" s="198">
        <v>0.88307999999999998</v>
      </c>
      <c r="HQ8" s="191"/>
      <c r="HR8" s="197" t="s">
        <v>712</v>
      </c>
      <c r="HS8" s="198">
        <v>0.78039999999999998</v>
      </c>
      <c r="HT8" s="198">
        <v>0.76185000000000003</v>
      </c>
      <c r="HU8" s="198">
        <v>0.76675000000000004</v>
      </c>
      <c r="HV8" s="198">
        <v>0.80391999999999997</v>
      </c>
      <c r="HW8" s="198">
        <v>0.82257000000000002</v>
      </c>
      <c r="HX8" s="198">
        <v>0.81613000000000002</v>
      </c>
      <c r="HY8" s="198">
        <v>0.81235000000000002</v>
      </c>
      <c r="HZ8" s="198">
        <v>0.81128999999999996</v>
      </c>
      <c r="IA8" s="198">
        <v>0.79757999999999996</v>
      </c>
      <c r="IB8" s="198">
        <v>0.80444000000000004</v>
      </c>
      <c r="IC8" s="198">
        <v>0.83459000000000005</v>
      </c>
      <c r="ID8" s="198">
        <v>0.81852999999999998</v>
      </c>
      <c r="IE8" s="191"/>
      <c r="IF8" s="197" t="s">
        <v>712</v>
      </c>
      <c r="IG8" s="198">
        <v>0.84111000000000002</v>
      </c>
      <c r="IH8" s="198">
        <v>0.86319000000000001</v>
      </c>
      <c r="II8" s="198">
        <v>0.83696000000000004</v>
      </c>
      <c r="IJ8" s="198">
        <v>0.84075999999999995</v>
      </c>
      <c r="IK8" s="198">
        <v>0.80354000000000003</v>
      </c>
      <c r="IL8" s="198">
        <v>0.77973000000000003</v>
      </c>
      <c r="IM8" s="198">
        <v>0.77747999999999995</v>
      </c>
      <c r="IN8" s="198">
        <v>0.79422000000000004</v>
      </c>
      <c r="IO8" s="198">
        <v>0.77729999999999999</v>
      </c>
      <c r="IP8" s="198">
        <v>0.77441000000000004</v>
      </c>
      <c r="IQ8" s="198">
        <v>0.76097999999999999</v>
      </c>
      <c r="IR8" s="198">
        <v>0.75878000000000001</v>
      </c>
    </row>
    <row r="9" spans="1:252" ht="20.100000000000001" customHeight="1">
      <c r="A9" s="12" t="s">
        <v>713</v>
      </c>
      <c r="B9" s="197" t="s">
        <v>713</v>
      </c>
      <c r="C9" s="198">
        <v>0.15065999999999999</v>
      </c>
      <c r="D9" s="198">
        <v>0.15095</v>
      </c>
      <c r="E9" s="198">
        <v>0.14951999999999999</v>
      </c>
      <c r="F9" s="198">
        <v>0.14180000000000001</v>
      </c>
      <c r="G9" s="198">
        <v>0.14398</v>
      </c>
      <c r="H9" s="198">
        <v>0.14055999999999999</v>
      </c>
      <c r="I9" s="198">
        <v>0.13689999999999999</v>
      </c>
      <c r="J9" s="198">
        <v>0.13519999999999999</v>
      </c>
      <c r="K9" s="198">
        <v>0.13177</v>
      </c>
      <c r="L9" s="198">
        <v>0.13288</v>
      </c>
      <c r="M9" s="198">
        <v>0.13847999999999999</v>
      </c>
      <c r="N9" s="198">
        <v>0.14343</v>
      </c>
      <c r="P9" s="433" t="s">
        <v>713</v>
      </c>
      <c r="Q9" s="434">
        <v>0.16331000000000001</v>
      </c>
      <c r="R9" s="434">
        <v>0.16322</v>
      </c>
      <c r="S9" s="434">
        <v>0.15805</v>
      </c>
      <c r="T9" s="434">
        <v>0.16191</v>
      </c>
      <c r="U9" s="434">
        <v>0.16436999999999999</v>
      </c>
      <c r="V9" s="434">
        <v>0.15944</v>
      </c>
      <c r="W9" s="434">
        <v>0.15939999999999999</v>
      </c>
      <c r="X9" s="434">
        <v>0.15873000000000001</v>
      </c>
      <c r="Y9" s="434">
        <v>0.15584999999999999</v>
      </c>
      <c r="Z9" s="434">
        <v>0.15556</v>
      </c>
      <c r="AA9" s="434">
        <v>0.15143999999999999</v>
      </c>
      <c r="AB9" s="434">
        <v>0.15290999999999999</v>
      </c>
      <c r="AD9" s="197" t="s">
        <v>713</v>
      </c>
      <c r="AE9" s="198">
        <v>0.1484</v>
      </c>
      <c r="AF9" s="198">
        <v>0.14760000000000001</v>
      </c>
      <c r="AG9" s="198">
        <v>0.14702999999999999</v>
      </c>
      <c r="AH9" s="198">
        <v>0.14674999999999999</v>
      </c>
      <c r="AI9" s="198">
        <v>0.14927000000000001</v>
      </c>
      <c r="AJ9" s="198">
        <v>0.15065999999999999</v>
      </c>
      <c r="AK9" s="198">
        <v>0.15883</v>
      </c>
      <c r="AL9" s="198">
        <v>0.16067999999999999</v>
      </c>
      <c r="AM9" s="198">
        <v>0.15754000000000001</v>
      </c>
      <c r="AN9" s="198">
        <v>0.15687000000000001</v>
      </c>
      <c r="AO9" s="198">
        <v>0.16070999999999999</v>
      </c>
      <c r="AP9" s="198">
        <v>0.16436999999999999</v>
      </c>
      <c r="AR9" s="197" t="s">
        <v>713</v>
      </c>
      <c r="AS9" s="198">
        <v>0.15329999999999999</v>
      </c>
      <c r="AT9" s="198">
        <v>0.1525</v>
      </c>
      <c r="AU9" s="198">
        <v>0.15029999999999999</v>
      </c>
      <c r="AV9" s="198">
        <v>0.15029999999999999</v>
      </c>
      <c r="AW9" s="198">
        <v>0.14949999999999999</v>
      </c>
      <c r="AX9" s="198">
        <v>0.15229999999999999</v>
      </c>
      <c r="AY9" s="198">
        <v>0.14910000000000001</v>
      </c>
      <c r="AZ9" s="198">
        <v>0.1472</v>
      </c>
      <c r="BA9" s="198">
        <v>0.14599999999999999</v>
      </c>
      <c r="BB9" s="198">
        <v>0.1492</v>
      </c>
      <c r="BC9" s="198">
        <v>0.1474</v>
      </c>
      <c r="BD9" s="198">
        <v>0.1502</v>
      </c>
      <c r="BF9" s="197" t="s">
        <v>713</v>
      </c>
      <c r="BG9" s="198">
        <v>0.1668</v>
      </c>
      <c r="BH9" s="198">
        <v>0.16389999999999999</v>
      </c>
      <c r="BI9" s="198">
        <v>0.1651</v>
      </c>
      <c r="BJ9" s="198">
        <v>0.1623</v>
      </c>
      <c r="BK9" s="198">
        <v>0.15690000000000001</v>
      </c>
      <c r="BL9" s="198">
        <v>0.15659999999999999</v>
      </c>
      <c r="BM9" s="198">
        <v>0.157</v>
      </c>
      <c r="BN9" s="198">
        <v>0.15559999999999999</v>
      </c>
      <c r="BO9" s="198">
        <v>0.15579999999999999</v>
      </c>
      <c r="BP9" s="198">
        <v>0.15160000000000001</v>
      </c>
      <c r="BQ9" s="198">
        <v>0.15160000000000001</v>
      </c>
      <c r="BR9" s="198">
        <v>0.15329999999999999</v>
      </c>
      <c r="BT9" s="197"/>
      <c r="BU9" s="198"/>
      <c r="BV9" s="198"/>
      <c r="BW9" s="198"/>
      <c r="BX9" s="198"/>
      <c r="BY9" s="198"/>
      <c r="BZ9" s="198"/>
      <c r="CA9" s="198"/>
      <c r="CB9" s="198"/>
      <c r="CC9" s="198"/>
      <c r="CD9" s="198"/>
      <c r="CE9" s="198"/>
      <c r="CF9" s="198"/>
      <c r="CH9" s="197"/>
      <c r="CI9" s="198"/>
      <c r="CJ9" s="198"/>
      <c r="CK9" s="198"/>
      <c r="CL9" s="198"/>
      <c r="CM9" s="198"/>
      <c r="CN9" s="198"/>
      <c r="CO9" s="198"/>
      <c r="CP9" s="198"/>
      <c r="CQ9" s="198"/>
      <c r="CR9" s="198"/>
      <c r="CS9" s="198"/>
      <c r="CT9" s="198"/>
      <c r="CV9" s="197"/>
      <c r="CW9" s="198"/>
      <c r="CX9" s="198"/>
      <c r="CY9" s="198"/>
      <c r="CZ9" s="198"/>
      <c r="DA9" s="198"/>
      <c r="DB9" s="198"/>
      <c r="DC9" s="198"/>
      <c r="DD9" s="198"/>
      <c r="DE9" s="198"/>
      <c r="DF9" s="198"/>
      <c r="DG9" s="198"/>
      <c r="DH9" s="198"/>
      <c r="DI9" s="191"/>
      <c r="DJ9" s="197"/>
      <c r="DK9" s="198"/>
      <c r="DL9" s="198"/>
      <c r="DM9" s="198"/>
      <c r="DN9" s="198"/>
      <c r="DO9" s="198"/>
      <c r="DP9" s="198"/>
      <c r="DQ9" s="198"/>
      <c r="DR9" s="198"/>
      <c r="DS9" s="198"/>
      <c r="DT9" s="198"/>
      <c r="DU9" s="198"/>
      <c r="DV9" s="198"/>
      <c r="DW9" s="191"/>
      <c r="DX9" s="197"/>
      <c r="DY9" s="198"/>
      <c r="DZ9" s="198"/>
      <c r="EA9" s="198"/>
      <c r="EB9" s="198"/>
      <c r="EC9" s="198"/>
      <c r="ED9" s="198"/>
      <c r="EE9" s="198"/>
      <c r="EF9" s="198"/>
      <c r="EG9" s="198"/>
      <c r="EH9" s="198"/>
      <c r="EI9" s="198"/>
      <c r="EJ9" s="198"/>
      <c r="EK9" s="191"/>
      <c r="EL9" s="197"/>
      <c r="EM9" s="198"/>
      <c r="EN9" s="198"/>
      <c r="EO9" s="198"/>
      <c r="EP9" s="198"/>
      <c r="EQ9" s="198"/>
      <c r="ER9" s="198"/>
      <c r="ES9" s="198"/>
      <c r="ET9" s="198"/>
      <c r="EU9" s="198"/>
      <c r="EV9" s="198"/>
      <c r="EW9" s="198"/>
      <c r="EX9" s="198"/>
      <c r="EY9" s="191"/>
      <c r="EZ9" s="197"/>
      <c r="FA9" s="198"/>
      <c r="FB9" s="198"/>
      <c r="FC9" s="198"/>
      <c r="FD9" s="198"/>
      <c r="FE9" s="198"/>
      <c r="FF9" s="198"/>
      <c r="FG9" s="198"/>
      <c r="FH9" s="198"/>
      <c r="FI9" s="198"/>
      <c r="FJ9" s="198"/>
      <c r="FK9" s="198"/>
      <c r="FL9" s="198"/>
      <c r="FM9" s="191"/>
      <c r="FN9" s="197"/>
      <c r="FO9" s="198"/>
      <c r="FP9" s="198"/>
      <c r="FQ9" s="198"/>
      <c r="FR9" s="198"/>
      <c r="FS9" s="198"/>
      <c r="FT9" s="198"/>
      <c r="FU9" s="198"/>
      <c r="FV9" s="198"/>
      <c r="FW9" s="198"/>
      <c r="FX9" s="198"/>
      <c r="FY9" s="198"/>
      <c r="FZ9" s="198"/>
      <c r="GA9" s="191"/>
      <c r="GB9" s="197"/>
      <c r="GC9" s="198"/>
      <c r="GD9" s="198"/>
      <c r="GE9" s="198"/>
      <c r="GF9" s="198"/>
      <c r="GG9" s="198"/>
      <c r="GH9" s="198"/>
      <c r="GI9" s="198"/>
      <c r="GJ9" s="198"/>
      <c r="GK9" s="198"/>
      <c r="GL9" s="198"/>
      <c r="GM9" s="198"/>
      <c r="GN9" s="198"/>
      <c r="GO9" s="191"/>
      <c r="GP9" s="197"/>
      <c r="GQ9" s="198"/>
      <c r="GR9" s="198"/>
      <c r="GS9" s="198"/>
      <c r="GT9" s="198"/>
      <c r="GU9" s="198"/>
      <c r="GV9" s="198"/>
      <c r="GW9" s="198"/>
      <c r="GX9" s="198"/>
      <c r="GY9" s="198"/>
      <c r="GZ9" s="198"/>
      <c r="HA9" s="198"/>
      <c r="HB9" s="198"/>
      <c r="HC9" s="191"/>
      <c r="HD9" s="197"/>
      <c r="HE9" s="198"/>
      <c r="HF9" s="198"/>
      <c r="HG9" s="198"/>
      <c r="HH9" s="198"/>
      <c r="HI9" s="198"/>
      <c r="HJ9" s="198"/>
      <c r="HK9" s="198"/>
      <c r="HL9" s="198"/>
      <c r="HM9" s="198"/>
      <c r="HN9" s="198"/>
      <c r="HO9" s="198"/>
      <c r="HP9" s="198"/>
      <c r="HQ9" s="191"/>
      <c r="HR9" s="197"/>
      <c r="HS9" s="198"/>
      <c r="HT9" s="198"/>
      <c r="HU9" s="198"/>
      <c r="HV9" s="198"/>
      <c r="HW9" s="198"/>
      <c r="HX9" s="198"/>
      <c r="HY9" s="198"/>
      <c r="HZ9" s="198"/>
      <c r="IA9" s="198"/>
      <c r="IB9" s="198"/>
      <c r="IC9" s="198"/>
      <c r="ID9" s="198"/>
      <c r="IE9" s="191"/>
      <c r="IF9" s="197"/>
      <c r="IG9" s="198"/>
      <c r="IH9" s="198"/>
      <c r="II9" s="198"/>
      <c r="IJ9" s="198"/>
      <c r="IK9" s="198"/>
      <c r="IL9" s="198"/>
      <c r="IM9" s="198"/>
      <c r="IN9" s="198"/>
      <c r="IO9" s="198"/>
      <c r="IP9" s="198"/>
      <c r="IQ9" s="198"/>
      <c r="IR9" s="198"/>
    </row>
    <row r="10" spans="1:252" ht="20.100000000000001" customHeight="1">
      <c r="A10" s="12" t="s">
        <v>337</v>
      </c>
      <c r="B10" s="197" t="s">
        <v>337</v>
      </c>
      <c r="C10" s="198">
        <v>1.1209499999999999</v>
      </c>
      <c r="D10" s="198">
        <v>1.1228499999999999</v>
      </c>
      <c r="E10" s="198">
        <v>1.11215</v>
      </c>
      <c r="F10" s="198">
        <v>1.0548999999999999</v>
      </c>
      <c r="G10" s="198">
        <v>1.07115</v>
      </c>
      <c r="H10" s="198">
        <v>1.0454000000000001</v>
      </c>
      <c r="I10" s="198">
        <v>1.0192000000000001</v>
      </c>
      <c r="J10" s="198">
        <v>1.0056</v>
      </c>
      <c r="K10" s="198">
        <v>0.9798</v>
      </c>
      <c r="L10" s="198">
        <v>0.98885000000000001</v>
      </c>
      <c r="M10" s="198">
        <v>1.0299499999999999</v>
      </c>
      <c r="N10" s="198">
        <v>1.0666500000000001</v>
      </c>
      <c r="P10" s="433" t="s">
        <v>337</v>
      </c>
      <c r="Q10" s="434">
        <v>1.2145999999999999</v>
      </c>
      <c r="R10" s="434">
        <v>1.2136499999999999</v>
      </c>
      <c r="S10" s="434">
        <v>1.1754500000000001</v>
      </c>
      <c r="T10" s="434">
        <v>1.2040500000000001</v>
      </c>
      <c r="U10" s="434">
        <v>1.22245</v>
      </c>
      <c r="V10" s="434">
        <v>1.1856</v>
      </c>
      <c r="W10" s="434">
        <v>1.1856500000000001</v>
      </c>
      <c r="X10" s="434">
        <v>1.18045</v>
      </c>
      <c r="Y10" s="434">
        <v>1.1588499999999999</v>
      </c>
      <c r="Z10" s="434">
        <v>1.1572499999999999</v>
      </c>
      <c r="AA10" s="434">
        <v>1.1262000000000001</v>
      </c>
      <c r="AB10" s="434">
        <v>1.1372500000000001</v>
      </c>
      <c r="AD10" s="197" t="s">
        <v>337</v>
      </c>
      <c r="AE10" s="198">
        <v>1.1077999999999999</v>
      </c>
      <c r="AF10" s="198">
        <v>1.0983499999999999</v>
      </c>
      <c r="AG10" s="198">
        <v>1.0972</v>
      </c>
      <c r="AH10" s="198">
        <v>1.0948</v>
      </c>
      <c r="AI10" s="198">
        <v>1.1126</v>
      </c>
      <c r="AJ10" s="198">
        <v>1.1228499999999999</v>
      </c>
      <c r="AK10" s="198">
        <v>1.18285</v>
      </c>
      <c r="AL10" s="198">
        <v>1.1960500000000001</v>
      </c>
      <c r="AM10" s="198">
        <v>1.17275</v>
      </c>
      <c r="AN10" s="198">
        <v>1.1678500000000001</v>
      </c>
      <c r="AO10" s="198">
        <v>1.19635</v>
      </c>
      <c r="AP10" s="198">
        <v>1.2234</v>
      </c>
      <c r="AR10" s="197" t="s">
        <v>337</v>
      </c>
      <c r="AS10" s="198">
        <v>1.1476</v>
      </c>
      <c r="AT10" s="198">
        <v>1.13855</v>
      </c>
      <c r="AU10" s="198">
        <v>1.1226499999999999</v>
      </c>
      <c r="AV10" s="198">
        <v>1.1208499999999999</v>
      </c>
      <c r="AW10" s="198">
        <v>1.1146</v>
      </c>
      <c r="AX10" s="198">
        <v>1.1386499999999999</v>
      </c>
      <c r="AY10" s="198">
        <v>1.1134999999999999</v>
      </c>
      <c r="AZ10" s="198">
        <v>1.10155</v>
      </c>
      <c r="BA10" s="198">
        <v>1.0902499999999999</v>
      </c>
      <c r="BB10" s="198">
        <v>1.11405</v>
      </c>
      <c r="BC10" s="198">
        <v>1.1025499999999999</v>
      </c>
      <c r="BD10" s="198">
        <v>1.1225000000000001</v>
      </c>
      <c r="BF10" s="197" t="s">
        <v>337</v>
      </c>
      <c r="BG10" s="198">
        <v>1.2459</v>
      </c>
      <c r="BH10" s="198">
        <v>1.2198500000000001</v>
      </c>
      <c r="BI10" s="198">
        <v>1.2350000000000001</v>
      </c>
      <c r="BJ10" s="198">
        <v>1.2080500000000001</v>
      </c>
      <c r="BK10" s="198">
        <v>1.1673500000000001</v>
      </c>
      <c r="BL10" s="198">
        <v>1.1674500000000001</v>
      </c>
      <c r="BM10" s="198">
        <v>1.17015</v>
      </c>
      <c r="BN10" s="198">
        <v>1.1636500000000001</v>
      </c>
      <c r="BO10" s="198">
        <v>1.1613</v>
      </c>
      <c r="BP10" s="198">
        <v>1.1318999999999999</v>
      </c>
      <c r="BQ10" s="198">
        <v>1.13235</v>
      </c>
      <c r="BR10" s="198">
        <v>1.1434</v>
      </c>
      <c r="BT10" s="197" t="s">
        <v>337</v>
      </c>
      <c r="BU10" s="198">
        <v>1.0804499999999999</v>
      </c>
      <c r="BV10" s="198">
        <v>1.0624</v>
      </c>
      <c r="BW10" s="198">
        <v>1.06925</v>
      </c>
      <c r="BX10" s="198">
        <v>1.0889500000000001</v>
      </c>
      <c r="BY10" s="198">
        <v>1.12425</v>
      </c>
      <c r="BZ10" s="198">
        <v>1.1403000000000001</v>
      </c>
      <c r="CA10" s="198">
        <v>1.1787000000000001</v>
      </c>
      <c r="CB10" s="198">
        <v>1.18855</v>
      </c>
      <c r="CC10" s="198">
        <v>1.18215</v>
      </c>
      <c r="CD10" s="198">
        <v>1.1638999999999999</v>
      </c>
      <c r="CE10" s="198">
        <v>1.1920500000000001</v>
      </c>
      <c r="CF10" s="198">
        <v>1.20055</v>
      </c>
      <c r="CH10" s="197" t="s">
        <v>337</v>
      </c>
      <c r="CI10" s="198">
        <v>1.0825</v>
      </c>
      <c r="CJ10" s="198">
        <v>1.0867</v>
      </c>
      <c r="CK10" s="198">
        <v>1.1395</v>
      </c>
      <c r="CL10" s="198">
        <v>1.1451</v>
      </c>
      <c r="CM10" s="198">
        <v>1.1136999999999999</v>
      </c>
      <c r="CN10" s="198">
        <v>1.1114999999999999</v>
      </c>
      <c r="CO10" s="198">
        <v>1.1176999999999999</v>
      </c>
      <c r="CP10" s="198">
        <v>1.1134999999999999</v>
      </c>
      <c r="CQ10" s="198">
        <v>1.1234</v>
      </c>
      <c r="CR10" s="198">
        <v>1.0943000000000001</v>
      </c>
      <c r="CS10" s="198">
        <v>1.0608</v>
      </c>
      <c r="CT10" s="198">
        <v>1.0549999999999999</v>
      </c>
      <c r="CV10" s="197" t="s">
        <v>337</v>
      </c>
      <c r="CW10" s="198">
        <v>1.1284000000000001</v>
      </c>
      <c r="CX10" s="198">
        <v>1.1215999999999999</v>
      </c>
      <c r="CY10" s="198">
        <v>1.0742</v>
      </c>
      <c r="CZ10" s="198">
        <v>1.1201000000000001</v>
      </c>
      <c r="DA10" s="198">
        <v>1.0962000000000001</v>
      </c>
      <c r="DB10" s="198">
        <v>1.1141000000000001</v>
      </c>
      <c r="DC10" s="198">
        <v>1.1047</v>
      </c>
      <c r="DD10" s="198">
        <v>1.1207</v>
      </c>
      <c r="DE10" s="198">
        <v>1.1165</v>
      </c>
      <c r="DF10" s="198">
        <v>1.1052</v>
      </c>
      <c r="DG10" s="198">
        <v>1.0564</v>
      </c>
      <c r="DH10" s="198">
        <v>1.087</v>
      </c>
      <c r="DI10" s="191"/>
      <c r="DJ10" s="197" t="s">
        <v>337</v>
      </c>
      <c r="DK10" s="198">
        <v>1.3484</v>
      </c>
      <c r="DL10" s="198">
        <v>1.3811</v>
      </c>
      <c r="DM10" s="198">
        <v>1.3783000000000001</v>
      </c>
      <c r="DN10" s="198">
        <v>1.3864000000000001</v>
      </c>
      <c r="DO10" s="198">
        <v>1.3646</v>
      </c>
      <c r="DP10" s="198">
        <v>1.3691</v>
      </c>
      <c r="DQ10" s="198">
        <v>1.3381000000000001</v>
      </c>
      <c r="DR10" s="198">
        <v>1.3171999999999999</v>
      </c>
      <c r="DS10" s="198">
        <v>1.2633000000000001</v>
      </c>
      <c r="DT10" s="198">
        <v>1.2506999999999999</v>
      </c>
      <c r="DU10" s="198">
        <v>1.2465999999999999</v>
      </c>
      <c r="DV10" s="198">
        <v>1.2101</v>
      </c>
      <c r="DW10" s="191"/>
      <c r="DX10" s="197" t="s">
        <v>337</v>
      </c>
      <c r="DY10" s="198">
        <v>1.3573999999999999</v>
      </c>
      <c r="DZ10" s="198">
        <v>1.3072999999999999</v>
      </c>
      <c r="EA10" s="198">
        <v>1.2769999999999999</v>
      </c>
      <c r="EB10" s="198">
        <v>1.3185</v>
      </c>
      <c r="EC10" s="198">
        <v>1.296</v>
      </c>
      <c r="ED10" s="198">
        <v>1.3</v>
      </c>
      <c r="EE10" s="198">
        <v>1.3279000000000001</v>
      </c>
      <c r="EF10" s="198">
        <v>1.3185</v>
      </c>
      <c r="EG10" s="198">
        <v>1.3534999999999999</v>
      </c>
      <c r="EH10" s="198">
        <v>1.3617999999999999</v>
      </c>
      <c r="EI10" s="198">
        <v>1.3614999999999999</v>
      </c>
      <c r="EJ10" s="198">
        <v>1.3779999999999999</v>
      </c>
      <c r="EK10" s="191"/>
      <c r="EL10" s="197" t="s">
        <v>337</v>
      </c>
      <c r="EM10" s="198">
        <v>1.3141</v>
      </c>
      <c r="EN10" s="198">
        <v>1.3454999999999999</v>
      </c>
      <c r="EO10" s="198">
        <v>1.3344</v>
      </c>
      <c r="EP10" s="198">
        <v>1.3229</v>
      </c>
      <c r="EQ10" s="198">
        <v>1.2383999999999999</v>
      </c>
      <c r="ER10" s="198">
        <v>1.2669999999999999</v>
      </c>
      <c r="ES10" s="198">
        <v>1.2293000000000001</v>
      </c>
      <c r="ET10" s="198">
        <v>1.2599</v>
      </c>
      <c r="EU10" s="198">
        <v>1.2895000000000001</v>
      </c>
      <c r="EV10" s="198">
        <v>1.2989999999999999</v>
      </c>
      <c r="EW10" s="198">
        <v>1.2996000000000001</v>
      </c>
      <c r="EX10" s="198">
        <v>1.3218000000000001</v>
      </c>
      <c r="EY10" s="191"/>
      <c r="EZ10" s="197" t="s">
        <v>337</v>
      </c>
      <c r="FA10" s="198">
        <v>1.3716999999999999</v>
      </c>
      <c r="FB10" s="198">
        <v>1.3813</v>
      </c>
      <c r="FC10" s="198">
        <v>1.4181999999999999</v>
      </c>
      <c r="FD10" s="198">
        <v>1.4838</v>
      </c>
      <c r="FE10" s="198">
        <v>1.4408000000000001</v>
      </c>
      <c r="FF10" s="198">
        <v>1.4468000000000001</v>
      </c>
      <c r="FG10" s="198">
        <v>1.4387000000000001</v>
      </c>
      <c r="FH10" s="198">
        <v>1.4440999999999999</v>
      </c>
      <c r="FI10" s="198">
        <v>1.3431999999999999</v>
      </c>
      <c r="FJ10" s="198">
        <v>1.3991</v>
      </c>
      <c r="FK10" s="198">
        <v>1.3480000000000001</v>
      </c>
      <c r="FL10" s="198">
        <v>1.298</v>
      </c>
      <c r="FM10" s="191"/>
      <c r="FN10" s="197" t="s">
        <v>337</v>
      </c>
      <c r="FO10" s="198">
        <v>1.39</v>
      </c>
      <c r="FP10" s="198">
        <v>1.3646</v>
      </c>
      <c r="FQ10" s="198">
        <v>1.3524</v>
      </c>
      <c r="FR10" s="198">
        <v>1.3294999999999999</v>
      </c>
      <c r="FS10" s="198">
        <v>1.2264999999999999</v>
      </c>
      <c r="FT10" s="198">
        <v>1.2244999999999999</v>
      </c>
      <c r="FU10" s="198">
        <v>1.3032999999999999</v>
      </c>
      <c r="FV10" s="198">
        <v>1.2712000000000001</v>
      </c>
      <c r="FW10" s="198">
        <v>1.3646</v>
      </c>
      <c r="FX10" s="198">
        <v>1.39</v>
      </c>
      <c r="FY10" s="198">
        <v>1.3017000000000001</v>
      </c>
      <c r="FZ10" s="198">
        <v>1.3411999999999999</v>
      </c>
      <c r="GA10" s="191"/>
      <c r="GB10" s="197" t="s">
        <v>337</v>
      </c>
      <c r="GC10" s="198">
        <v>1.2815000000000001</v>
      </c>
      <c r="GD10" s="198">
        <v>1.2704</v>
      </c>
      <c r="GE10" s="198">
        <v>1.3261000000000001</v>
      </c>
      <c r="GF10" s="198">
        <v>1.3260000000000001</v>
      </c>
      <c r="GG10" s="198">
        <v>1.4131</v>
      </c>
      <c r="GH10" s="198">
        <v>1.4028</v>
      </c>
      <c r="GI10" s="198">
        <v>1.4175</v>
      </c>
      <c r="GJ10" s="198">
        <v>1.4349000000000001</v>
      </c>
      <c r="GK10" s="198">
        <v>1.4619</v>
      </c>
      <c r="GL10" s="198">
        <v>1.4751000000000001</v>
      </c>
      <c r="GM10" s="198">
        <v>1.4993000000000001</v>
      </c>
      <c r="GN10" s="198">
        <v>1.4347000000000001</v>
      </c>
      <c r="GO10" s="191"/>
      <c r="GP10" s="197" t="s">
        <v>337</v>
      </c>
      <c r="GQ10" s="198">
        <v>1.4815</v>
      </c>
      <c r="GR10" s="198">
        <v>1.5178</v>
      </c>
      <c r="GS10" s="198">
        <v>1.58</v>
      </c>
      <c r="GT10" s="198">
        <v>1.5568</v>
      </c>
      <c r="GU10" s="198">
        <v>1.5537000000000001</v>
      </c>
      <c r="GV10" s="198">
        <v>1.5762</v>
      </c>
      <c r="GW10" s="198">
        <v>1.5598000000000001</v>
      </c>
      <c r="GX10" s="198">
        <v>1.4705999999999999</v>
      </c>
      <c r="GY10" s="198">
        <v>1.4048</v>
      </c>
      <c r="GZ10" s="198">
        <v>1.2714000000000001</v>
      </c>
      <c r="HA10" s="198">
        <v>1.2682</v>
      </c>
      <c r="HB10" s="198">
        <v>1.4139999999999999</v>
      </c>
      <c r="HC10" s="191"/>
      <c r="HD10" s="197" t="s">
        <v>337</v>
      </c>
      <c r="HE10" s="198">
        <v>1.2998000000000001</v>
      </c>
      <c r="HF10" s="198">
        <v>1.3207</v>
      </c>
      <c r="HG10" s="198">
        <v>1.3373999999999999</v>
      </c>
      <c r="HH10" s="198">
        <v>1.3648</v>
      </c>
      <c r="HI10" s="198">
        <v>1.3452</v>
      </c>
      <c r="HJ10" s="198">
        <v>1.351</v>
      </c>
      <c r="HK10" s="198">
        <v>1.3693</v>
      </c>
      <c r="HL10" s="198">
        <v>1.3632</v>
      </c>
      <c r="HM10" s="198">
        <v>1.423</v>
      </c>
      <c r="HN10" s="198">
        <v>1.4463999999999999</v>
      </c>
      <c r="HO10" s="198">
        <v>1.4681</v>
      </c>
      <c r="HP10" s="198">
        <v>1.4611000000000001</v>
      </c>
      <c r="HQ10" s="191"/>
      <c r="HR10" s="197" t="s">
        <v>337</v>
      </c>
      <c r="HS10" s="198">
        <v>1.2138</v>
      </c>
      <c r="HT10" s="198">
        <v>1.1913</v>
      </c>
      <c r="HU10" s="198">
        <v>1.2115</v>
      </c>
      <c r="HV10" s="198">
        <v>1.2595000000000001</v>
      </c>
      <c r="HW10" s="198">
        <v>1.2836000000000001</v>
      </c>
      <c r="HX10" s="198">
        <v>1.2773000000000001</v>
      </c>
      <c r="HY10" s="198">
        <v>1.276</v>
      </c>
      <c r="HZ10" s="198">
        <v>1.2801</v>
      </c>
      <c r="IA10" s="198">
        <v>1.2664</v>
      </c>
      <c r="IB10" s="198">
        <v>1.2766999999999999</v>
      </c>
      <c r="IC10" s="198">
        <v>1.3251999999999999</v>
      </c>
      <c r="ID10" s="198">
        <v>1.3165</v>
      </c>
      <c r="IE10" s="191"/>
      <c r="IF10" s="197" t="s">
        <v>337</v>
      </c>
      <c r="IG10" s="198">
        <v>1.3028999999999999</v>
      </c>
      <c r="IH10" s="198">
        <v>1.3267</v>
      </c>
      <c r="II10" s="198">
        <v>1.2967</v>
      </c>
      <c r="IJ10" s="198">
        <v>1.2924</v>
      </c>
      <c r="IK10" s="198">
        <v>1.2350000000000001</v>
      </c>
      <c r="IL10" s="198">
        <v>1.2085999999999999</v>
      </c>
      <c r="IM10" s="198">
        <v>1.2134</v>
      </c>
      <c r="IN10" s="198">
        <v>1.2287999999999999</v>
      </c>
      <c r="IO10" s="198">
        <v>1.2075</v>
      </c>
      <c r="IP10" s="198">
        <v>1.1976</v>
      </c>
      <c r="IQ10" s="198">
        <v>1.1786000000000001</v>
      </c>
      <c r="IR10" s="198">
        <v>1.1791</v>
      </c>
    </row>
    <row r="11" spans="1:252" ht="20.100000000000001" customHeight="1">
      <c r="A11" s="12" t="s">
        <v>714</v>
      </c>
      <c r="B11" s="197" t="s">
        <v>714</v>
      </c>
      <c r="C11" s="198">
        <v>1.34175</v>
      </c>
      <c r="D11" s="198">
        <v>1.34165</v>
      </c>
      <c r="E11" s="198">
        <v>1.3162499999999999</v>
      </c>
      <c r="F11" s="198">
        <v>1.2557499999999999</v>
      </c>
      <c r="G11" s="198">
        <v>1.2598</v>
      </c>
      <c r="H11" s="198">
        <v>1.21475</v>
      </c>
      <c r="I11" s="198">
        <v>1.2162500000000001</v>
      </c>
      <c r="J11" s="198">
        <v>1.1639999999999999</v>
      </c>
      <c r="K11" s="198">
        <v>1.1164499999999999</v>
      </c>
      <c r="L11" s="198">
        <v>1.1499999999999999</v>
      </c>
      <c r="M11" s="198">
        <v>1.1911499999999999</v>
      </c>
      <c r="N11" s="198">
        <v>1.2027000000000001</v>
      </c>
      <c r="P11" s="433" t="s">
        <v>714</v>
      </c>
      <c r="Q11" s="434">
        <v>1.3728499999999999</v>
      </c>
      <c r="R11" s="434">
        <v>1.3982000000000001</v>
      </c>
      <c r="S11" s="434">
        <v>1.38</v>
      </c>
      <c r="T11" s="434">
        <v>1.3849499999999999</v>
      </c>
      <c r="U11" s="434">
        <v>1.4209499999999999</v>
      </c>
      <c r="V11" s="434">
        <v>1.3815500000000001</v>
      </c>
      <c r="W11" s="434">
        <v>1.39045</v>
      </c>
      <c r="X11" s="434">
        <v>1.3764000000000001</v>
      </c>
      <c r="Y11" s="434">
        <v>1.3482000000000001</v>
      </c>
      <c r="Z11" s="434">
        <v>1.3708</v>
      </c>
      <c r="AA11" s="434">
        <v>1.3238000000000001</v>
      </c>
      <c r="AB11" s="434">
        <v>1.3546499999999999</v>
      </c>
      <c r="AD11" s="197" t="s">
        <v>714</v>
      </c>
      <c r="AE11" s="198">
        <v>1.3179000000000001</v>
      </c>
      <c r="AF11" s="198">
        <v>1.2774000000000001</v>
      </c>
      <c r="AG11" s="198">
        <v>1.2403999999999999</v>
      </c>
      <c r="AH11" s="198">
        <v>1.26075</v>
      </c>
      <c r="AI11" s="198">
        <v>1.2372000000000001</v>
      </c>
      <c r="AJ11" s="198">
        <v>1.2358499999999999</v>
      </c>
      <c r="AK11" s="198">
        <v>1.3126</v>
      </c>
      <c r="AL11" s="198">
        <v>1.3388500000000001</v>
      </c>
      <c r="AM11" s="198">
        <v>1.29295</v>
      </c>
      <c r="AN11" s="198">
        <v>1.29355</v>
      </c>
      <c r="AO11" s="198">
        <v>1.3347500000000001</v>
      </c>
      <c r="AP11" s="198">
        <v>1.3664000000000001</v>
      </c>
      <c r="AR11" s="197" t="s">
        <v>714</v>
      </c>
      <c r="AS11" s="198">
        <v>1.31545</v>
      </c>
      <c r="AT11" s="198">
        <v>1.3292999999999999</v>
      </c>
      <c r="AU11" s="198">
        <v>1.3</v>
      </c>
      <c r="AV11" s="198">
        <v>1.304</v>
      </c>
      <c r="AW11" s="198">
        <v>1.26065</v>
      </c>
      <c r="AX11" s="198">
        <v>1.27275</v>
      </c>
      <c r="AY11" s="198">
        <v>1.2241500000000001</v>
      </c>
      <c r="AZ11" s="198">
        <v>1.2181999999999999</v>
      </c>
      <c r="BA11" s="198">
        <v>1.23255</v>
      </c>
      <c r="BB11" s="198">
        <v>1.2932999999999999</v>
      </c>
      <c r="BC11" s="198">
        <v>1.29325</v>
      </c>
      <c r="BD11" s="198">
        <v>1.3244</v>
      </c>
      <c r="BF11" s="197" t="s">
        <v>714</v>
      </c>
      <c r="BG11" s="198">
        <v>1.4212</v>
      </c>
      <c r="BH11" s="198">
        <v>1.37805</v>
      </c>
      <c r="BI11" s="198">
        <v>1.4100999999999999</v>
      </c>
      <c r="BJ11" s="198">
        <v>1.3773</v>
      </c>
      <c r="BK11" s="198">
        <v>1.3311999999999999</v>
      </c>
      <c r="BL11" s="198">
        <v>1.3202499999999999</v>
      </c>
      <c r="BM11" s="198">
        <v>1.31155</v>
      </c>
      <c r="BN11" s="198">
        <v>1.2998000000000001</v>
      </c>
      <c r="BO11" s="198">
        <v>1.3038000000000001</v>
      </c>
      <c r="BP11" s="198">
        <v>1.27685</v>
      </c>
      <c r="BQ11" s="198">
        <v>1.27545</v>
      </c>
      <c r="BR11" s="198">
        <v>1.2746</v>
      </c>
      <c r="BT11" s="197" t="s">
        <v>714</v>
      </c>
      <c r="BU11" s="198">
        <v>1.2580499999999999</v>
      </c>
      <c r="BV11" s="198">
        <v>1.244</v>
      </c>
      <c r="BW11" s="198">
        <v>1.2498</v>
      </c>
      <c r="BX11" s="198">
        <v>1.2934000000000001</v>
      </c>
      <c r="BY11" s="198">
        <v>1.2904</v>
      </c>
      <c r="BZ11" s="198">
        <v>1.2982</v>
      </c>
      <c r="CA11" s="198">
        <v>1.31765</v>
      </c>
      <c r="CB11" s="198">
        <v>1.2884</v>
      </c>
      <c r="CC11" s="198">
        <v>1.3412999999999999</v>
      </c>
      <c r="CD11" s="198">
        <v>1.3244</v>
      </c>
      <c r="CE11" s="198">
        <v>1.35365</v>
      </c>
      <c r="CF11" s="198">
        <v>1.3530500000000001</v>
      </c>
      <c r="CH11" s="197" t="s">
        <v>714</v>
      </c>
      <c r="CI11" s="198">
        <v>1.4194</v>
      </c>
      <c r="CJ11" s="198">
        <v>1.3935999999999999</v>
      </c>
      <c r="CK11" s="198">
        <v>1.4375</v>
      </c>
      <c r="CL11" s="198">
        <v>1.4642999999999999</v>
      </c>
      <c r="CM11" s="198">
        <v>1.4554</v>
      </c>
      <c r="CN11" s="198">
        <v>1.3421000000000001</v>
      </c>
      <c r="CO11" s="198">
        <v>1.3269</v>
      </c>
      <c r="CP11" s="198">
        <v>1.31</v>
      </c>
      <c r="CQ11" s="198">
        <v>1.2983</v>
      </c>
      <c r="CR11" s="198">
        <v>1.2155</v>
      </c>
      <c r="CS11" s="198">
        <v>1.2483</v>
      </c>
      <c r="CT11" s="198">
        <v>1.2358</v>
      </c>
      <c r="CV11" s="197" t="s">
        <v>714</v>
      </c>
      <c r="CW11" s="198">
        <v>1.5018</v>
      </c>
      <c r="CX11" s="198">
        <v>1.5450999999999999</v>
      </c>
      <c r="CY11" s="198">
        <v>1.4846999999999999</v>
      </c>
      <c r="CZ11" s="198">
        <v>1.5367</v>
      </c>
      <c r="DA11" s="198">
        <v>1.5261</v>
      </c>
      <c r="DB11" s="198">
        <v>1.5729</v>
      </c>
      <c r="DC11" s="198">
        <v>1.5607</v>
      </c>
      <c r="DD11" s="198">
        <v>1.5378000000000001</v>
      </c>
      <c r="DE11" s="198">
        <v>1.5147999999999999</v>
      </c>
      <c r="DF11" s="198">
        <v>1.5390999999999999</v>
      </c>
      <c r="DG11" s="198">
        <v>1.5049999999999999</v>
      </c>
      <c r="DH11" s="198">
        <v>1.4746999999999999</v>
      </c>
      <c r="DI11" s="191"/>
      <c r="DJ11" s="197" t="s">
        <v>714</v>
      </c>
      <c r="DK11" s="198">
        <v>1.6434</v>
      </c>
      <c r="DL11" s="198">
        <v>1.6758</v>
      </c>
      <c r="DM11" s="198">
        <v>1.6673</v>
      </c>
      <c r="DN11" s="198">
        <v>1.6884999999999999</v>
      </c>
      <c r="DO11" s="198">
        <v>1.6774</v>
      </c>
      <c r="DP11" s="198">
        <v>1.7097</v>
      </c>
      <c r="DQ11" s="198">
        <v>1.6881999999999999</v>
      </c>
      <c r="DR11" s="198">
        <v>1.6607000000000001</v>
      </c>
      <c r="DS11" s="198">
        <v>1.6212</v>
      </c>
      <c r="DT11" s="198">
        <v>1.5974999999999999</v>
      </c>
      <c r="DU11" s="198">
        <v>1.5663</v>
      </c>
      <c r="DV11" s="198">
        <v>1.5591999999999999</v>
      </c>
      <c r="DW11" s="191"/>
      <c r="DX11" s="197" t="s">
        <v>714</v>
      </c>
      <c r="DY11" s="198">
        <v>1.5854999999999999</v>
      </c>
      <c r="DZ11" s="198">
        <v>1.5179</v>
      </c>
      <c r="EA11" s="198">
        <v>1.5108999999999999</v>
      </c>
      <c r="EB11" s="198">
        <v>1.5564</v>
      </c>
      <c r="EC11" s="198">
        <v>1.516</v>
      </c>
      <c r="ED11" s="198">
        <v>1.5295000000000001</v>
      </c>
      <c r="EE11" s="198">
        <v>1.5163</v>
      </c>
      <c r="EF11" s="198">
        <v>1.5470999999999999</v>
      </c>
      <c r="EG11" s="198">
        <v>1.6194</v>
      </c>
      <c r="EH11" s="198">
        <v>1.6052999999999999</v>
      </c>
      <c r="EI11" s="198">
        <v>1.6382000000000001</v>
      </c>
      <c r="EJ11" s="198">
        <v>1.6560999999999999</v>
      </c>
      <c r="EK11" s="191"/>
      <c r="EL11" s="197" t="s">
        <v>714</v>
      </c>
      <c r="EM11" s="198">
        <v>1.5782</v>
      </c>
      <c r="EN11" s="198">
        <v>1.5973999999999999</v>
      </c>
      <c r="EO11" s="198">
        <v>1.5983000000000001</v>
      </c>
      <c r="EP11" s="198">
        <v>1.6248</v>
      </c>
      <c r="EQ11" s="198">
        <v>1.5447</v>
      </c>
      <c r="ER11" s="198">
        <v>1.5685</v>
      </c>
      <c r="ES11" s="198">
        <v>1.5639000000000001</v>
      </c>
      <c r="ET11" s="198">
        <v>1.5863</v>
      </c>
      <c r="EU11" s="198">
        <v>1.6145</v>
      </c>
      <c r="EV11" s="198">
        <v>1.6112</v>
      </c>
      <c r="EW11" s="198">
        <v>1.5998000000000001</v>
      </c>
      <c r="EX11" s="198">
        <v>1.6249</v>
      </c>
      <c r="EY11" s="191"/>
      <c r="EZ11" s="197" t="s">
        <v>714</v>
      </c>
      <c r="FA11" s="198">
        <v>1.6021000000000001</v>
      </c>
      <c r="FB11" s="198">
        <v>1.6267</v>
      </c>
      <c r="FC11" s="198">
        <v>1.6045</v>
      </c>
      <c r="FD11" s="198">
        <v>1.6631</v>
      </c>
      <c r="FE11" s="198">
        <v>1.6478999999999999</v>
      </c>
      <c r="FF11" s="198">
        <v>1.6004</v>
      </c>
      <c r="FG11" s="198">
        <v>1.6417999999999999</v>
      </c>
      <c r="FH11" s="198">
        <v>1.6316999999999999</v>
      </c>
      <c r="FI11" s="198">
        <v>1.5562</v>
      </c>
      <c r="FJ11" s="198">
        <v>1.6043000000000001</v>
      </c>
      <c r="FK11" s="198">
        <v>1.5741000000000001</v>
      </c>
      <c r="FL11" s="198">
        <v>1.5541</v>
      </c>
      <c r="FM11" s="191"/>
      <c r="FN11" s="197" t="s">
        <v>714</v>
      </c>
      <c r="FO11" s="198">
        <v>1.6025</v>
      </c>
      <c r="FP11" s="198">
        <v>1.5218</v>
      </c>
      <c r="FQ11" s="198">
        <v>1.518</v>
      </c>
      <c r="FR11" s="198">
        <v>1.5315000000000001</v>
      </c>
      <c r="FS11" s="198">
        <v>1.4530000000000001</v>
      </c>
      <c r="FT11" s="198">
        <v>1.4961</v>
      </c>
      <c r="FU11" s="198">
        <v>1.5667</v>
      </c>
      <c r="FV11" s="198">
        <v>1.5367999999999999</v>
      </c>
      <c r="FW11" s="198">
        <v>1.5751999999999999</v>
      </c>
      <c r="FX11" s="198">
        <v>1.5985</v>
      </c>
      <c r="FY11" s="198">
        <v>1.5570999999999999</v>
      </c>
      <c r="FZ11" s="198">
        <v>1.5656000000000001</v>
      </c>
      <c r="GA11" s="191"/>
      <c r="GB11" s="197" t="s">
        <v>714</v>
      </c>
      <c r="GC11" s="198">
        <v>1.4407000000000001</v>
      </c>
      <c r="GD11" s="198">
        <v>1.4244000000000001</v>
      </c>
      <c r="GE11" s="198">
        <v>1.4306000000000001</v>
      </c>
      <c r="GF11" s="198">
        <v>1.4826999999999999</v>
      </c>
      <c r="GG11" s="198">
        <v>1.6116999999999999</v>
      </c>
      <c r="GH11" s="198">
        <v>1.6466000000000001</v>
      </c>
      <c r="GI11" s="198">
        <v>1.6573</v>
      </c>
      <c r="GJ11" s="198">
        <v>1.6287</v>
      </c>
      <c r="GK11" s="198">
        <v>1.5998000000000001</v>
      </c>
      <c r="GL11" s="198">
        <v>1.6483000000000001</v>
      </c>
      <c r="GM11" s="198">
        <v>1.6411</v>
      </c>
      <c r="GN11" s="198">
        <v>1.6147</v>
      </c>
      <c r="GO11" s="191"/>
      <c r="GP11" s="197" t="s">
        <v>714</v>
      </c>
      <c r="GQ11" s="198">
        <v>1.9879</v>
      </c>
      <c r="GR11" s="198">
        <v>1.9883999999999999</v>
      </c>
      <c r="GS11" s="198">
        <v>1.9851000000000001</v>
      </c>
      <c r="GT11" s="198">
        <v>1.9799</v>
      </c>
      <c r="GU11" s="198">
        <v>1.976</v>
      </c>
      <c r="GV11" s="198">
        <v>1.9908999999999999</v>
      </c>
      <c r="GW11" s="198">
        <v>1.9806999999999999</v>
      </c>
      <c r="GX11" s="198">
        <v>1.8248</v>
      </c>
      <c r="GY11" s="198">
        <v>1.7818000000000001</v>
      </c>
      <c r="GZ11" s="198">
        <v>1.6183000000000001</v>
      </c>
      <c r="HA11" s="198">
        <v>1.5317000000000001</v>
      </c>
      <c r="HB11" s="198">
        <v>1.4426000000000001</v>
      </c>
      <c r="HC11" s="191"/>
      <c r="HD11" s="197" t="s">
        <v>714</v>
      </c>
      <c r="HE11" s="198">
        <v>1.9578</v>
      </c>
      <c r="HF11" s="198">
        <v>1.9593</v>
      </c>
      <c r="HG11" s="198">
        <v>1.9689000000000001</v>
      </c>
      <c r="HH11" s="198">
        <v>1.9998</v>
      </c>
      <c r="HI11" s="198">
        <v>1.9774</v>
      </c>
      <c r="HJ11" s="198">
        <v>2.0057</v>
      </c>
      <c r="HK11" s="198">
        <v>2.0320999999999998</v>
      </c>
      <c r="HL11" s="198">
        <v>2.0165000000000002</v>
      </c>
      <c r="HM11" s="198">
        <v>2.0375999999999999</v>
      </c>
      <c r="HN11" s="198">
        <v>2.077</v>
      </c>
      <c r="HO11" s="198">
        <v>2.0546000000000002</v>
      </c>
      <c r="HP11" s="198">
        <v>1.9884999999999999</v>
      </c>
      <c r="HQ11" s="191"/>
      <c r="HR11" s="197" t="s">
        <v>714</v>
      </c>
      <c r="HS11" s="198">
        <v>1.7773000000000001</v>
      </c>
      <c r="HT11" s="198">
        <v>1.7514000000000001</v>
      </c>
      <c r="HU11" s="198">
        <v>1.7373000000000001</v>
      </c>
      <c r="HV11" s="198">
        <v>1.8173999999999999</v>
      </c>
      <c r="HW11" s="198">
        <v>1.8714</v>
      </c>
      <c r="HX11" s="198">
        <v>1.8486</v>
      </c>
      <c r="HY11" s="198">
        <v>1.8664000000000001</v>
      </c>
      <c r="HZ11" s="198">
        <v>1.9025000000000001</v>
      </c>
      <c r="IA11" s="198">
        <v>1.8666</v>
      </c>
      <c r="IB11" s="198">
        <v>1.9081999999999999</v>
      </c>
      <c r="IC11" s="198">
        <v>1.9664999999999999</v>
      </c>
      <c r="ID11" s="198">
        <v>1.9581</v>
      </c>
      <c r="IE11" s="191"/>
      <c r="IF11" s="197" t="s">
        <v>714</v>
      </c>
      <c r="IG11" s="198">
        <v>1.8861000000000001</v>
      </c>
      <c r="IH11" s="198">
        <v>1.9255</v>
      </c>
      <c r="II11" s="198">
        <v>1.8886000000000001</v>
      </c>
      <c r="IJ11" s="198">
        <v>1.9109</v>
      </c>
      <c r="IK11" s="198">
        <v>1.8228</v>
      </c>
      <c r="IL11" s="198">
        <v>1.7921</v>
      </c>
      <c r="IM11" s="198">
        <v>1.7579</v>
      </c>
      <c r="IN11" s="198">
        <v>1.7965</v>
      </c>
      <c r="IO11" s="198">
        <v>1.7726</v>
      </c>
      <c r="IP11" s="198">
        <v>1.7695000000000001</v>
      </c>
      <c r="IQ11" s="198">
        <v>1.7323</v>
      </c>
      <c r="IR11" s="198">
        <v>1.7188000000000001</v>
      </c>
    </row>
    <row r="12" spans="1:252" ht="20.100000000000001" customHeight="1">
      <c r="A12" s="12" t="s">
        <v>339</v>
      </c>
      <c r="B12" s="197" t="s">
        <v>339</v>
      </c>
      <c r="C12" s="198">
        <v>8.6800000000000002E-3</v>
      </c>
      <c r="D12" s="198">
        <v>8.6800000000000002E-3</v>
      </c>
      <c r="E12" s="198">
        <v>8.2400000000000008E-3</v>
      </c>
      <c r="F12" s="198">
        <v>7.7200000000000003E-3</v>
      </c>
      <c r="G12" s="198">
        <v>7.77E-3</v>
      </c>
      <c r="H12" s="198">
        <v>7.3600000000000002E-3</v>
      </c>
      <c r="I12" s="198">
        <v>7.4799999999999997E-3</v>
      </c>
      <c r="J12" s="198">
        <v>7.2199999999999999E-3</v>
      </c>
      <c r="K12" s="198">
        <v>6.9100000000000003E-3</v>
      </c>
      <c r="L12" s="198">
        <v>6.7200000000000003E-3</v>
      </c>
      <c r="M12" s="198">
        <v>7.1700000000000002E-3</v>
      </c>
      <c r="N12" s="198">
        <v>7.5700000000000003E-3</v>
      </c>
      <c r="P12" s="433" t="s">
        <v>339</v>
      </c>
      <c r="Q12" s="434">
        <v>9.5499999999999995E-3</v>
      </c>
      <c r="R12" s="434">
        <v>9.3799999999999994E-3</v>
      </c>
      <c r="S12" s="434">
        <v>9.0500000000000008E-3</v>
      </c>
      <c r="T12" s="434">
        <v>9.1500000000000001E-3</v>
      </c>
      <c r="U12" s="434">
        <v>9.1400000000000006E-3</v>
      </c>
      <c r="V12" s="434">
        <v>9.0100000000000006E-3</v>
      </c>
      <c r="W12" s="434">
        <v>9.11E-3</v>
      </c>
      <c r="X12" s="434">
        <v>9.11E-3</v>
      </c>
      <c r="Y12" s="434">
        <v>8.9599999999999992E-3</v>
      </c>
      <c r="Z12" s="434">
        <v>8.77E-3</v>
      </c>
      <c r="AA12" s="434">
        <v>8.8100000000000001E-3</v>
      </c>
      <c r="AB12" s="434">
        <v>8.6899999999999998E-3</v>
      </c>
      <c r="AD12" s="197" t="s">
        <v>339</v>
      </c>
      <c r="AE12" s="198">
        <v>9.2200000000000008E-3</v>
      </c>
      <c r="AF12" s="198">
        <v>9.2700000000000005E-3</v>
      </c>
      <c r="AG12" s="198">
        <v>7.4000000000000003E-3</v>
      </c>
      <c r="AH12" s="198">
        <v>9.3500000000000007E-3</v>
      </c>
      <c r="AI12" s="198">
        <v>9.2899999999999996E-3</v>
      </c>
      <c r="AJ12" s="198">
        <v>9.2700000000000005E-3</v>
      </c>
      <c r="AK12" s="198">
        <v>9.4599999999999997E-3</v>
      </c>
      <c r="AL12" s="198">
        <v>9.4299999999999991E-3</v>
      </c>
      <c r="AM12" s="198">
        <v>9.4800000000000006E-3</v>
      </c>
      <c r="AN12" s="198">
        <v>9.5499999999999995E-3</v>
      </c>
      <c r="AO12" s="198">
        <v>9.5899999999999996E-3</v>
      </c>
      <c r="AP12" s="198">
        <v>9.6900000000000007E-3</v>
      </c>
      <c r="AR12" s="197" t="s">
        <v>339</v>
      </c>
      <c r="AS12" s="198">
        <v>9.1900000000000003E-3</v>
      </c>
      <c r="AT12" s="198">
        <v>8.9800000000000001E-3</v>
      </c>
      <c r="AU12" s="198">
        <v>9.0200000000000002E-3</v>
      </c>
      <c r="AV12" s="198">
        <v>8.9800000000000001E-3</v>
      </c>
      <c r="AW12" s="198">
        <v>9.2099999999999994E-3</v>
      </c>
      <c r="AX12" s="198">
        <v>9.2899999999999996E-3</v>
      </c>
      <c r="AY12" s="198">
        <v>9.2099999999999994E-3</v>
      </c>
      <c r="AZ12" s="198">
        <v>9.4199999999999996E-3</v>
      </c>
      <c r="BA12" s="198">
        <v>9.2499999999999995E-3</v>
      </c>
      <c r="BB12" s="198">
        <v>9.2399999999999999E-3</v>
      </c>
      <c r="BC12" s="198">
        <v>9.1299999999999992E-3</v>
      </c>
      <c r="BD12" s="198">
        <v>9.1999999999999998E-3</v>
      </c>
      <c r="BF12" s="197" t="s">
        <v>339</v>
      </c>
      <c r="BG12" s="198">
        <v>9.1599999999999997E-3</v>
      </c>
      <c r="BH12" s="198">
        <v>9.3699999999999999E-3</v>
      </c>
      <c r="BI12" s="198">
        <v>9.4199999999999996E-3</v>
      </c>
      <c r="BJ12" s="198">
        <v>9.1400000000000006E-3</v>
      </c>
      <c r="BK12" s="198">
        <v>9.2099999999999994E-3</v>
      </c>
      <c r="BL12" s="198">
        <v>9.0299999999999998E-3</v>
      </c>
      <c r="BM12" s="198">
        <v>8.94E-3</v>
      </c>
      <c r="BN12" s="198">
        <v>9.0200000000000002E-3</v>
      </c>
      <c r="BO12" s="198">
        <v>8.8000000000000005E-3</v>
      </c>
      <c r="BP12" s="198">
        <v>8.8400000000000006E-3</v>
      </c>
      <c r="BQ12" s="198">
        <v>7.9000000000000008E-3</v>
      </c>
      <c r="BR12" s="198">
        <v>9.11E-3</v>
      </c>
      <c r="BT12" s="197" t="s">
        <v>339</v>
      </c>
      <c r="BU12" s="198">
        <v>8.8900000000000003E-3</v>
      </c>
      <c r="BV12" s="198">
        <v>8.94E-3</v>
      </c>
      <c r="BW12" s="198">
        <v>8.9700000000000005E-3</v>
      </c>
      <c r="BX12" s="198">
        <v>8.9700000000000005E-3</v>
      </c>
      <c r="BY12" s="198">
        <v>9.0399999999999994E-3</v>
      </c>
      <c r="BZ12" s="198">
        <v>8.8999999999999999E-3</v>
      </c>
      <c r="CA12" s="198">
        <v>9.0500000000000008E-3</v>
      </c>
      <c r="CB12" s="198">
        <v>9.0900000000000009E-3</v>
      </c>
      <c r="CC12" s="198">
        <v>8.8900000000000003E-3</v>
      </c>
      <c r="CD12" s="198">
        <v>8.8199999999999997E-3</v>
      </c>
      <c r="CE12" s="198">
        <v>8.94E-3</v>
      </c>
      <c r="CF12" s="198">
        <v>8.8800000000000007E-3</v>
      </c>
      <c r="CH12" s="197" t="s">
        <v>339</v>
      </c>
      <c r="CI12" s="198">
        <v>8.26E-3</v>
      </c>
      <c r="CJ12" s="198">
        <v>8.8599999999999998E-3</v>
      </c>
      <c r="CK12" s="198">
        <v>8.8999999999999999E-3</v>
      </c>
      <c r="CL12" s="198">
        <v>9.3399999999999993E-3</v>
      </c>
      <c r="CM12" s="198">
        <v>9.0200000000000002E-3</v>
      </c>
      <c r="CN12" s="198">
        <v>9.7400000000000004E-3</v>
      </c>
      <c r="CO12" s="198">
        <v>9.75E-3</v>
      </c>
      <c r="CP12" s="198">
        <v>9.6699999999999998E-3</v>
      </c>
      <c r="CQ12" s="198">
        <v>9.8700000000000003E-3</v>
      </c>
      <c r="CR12" s="198">
        <v>9.5200000000000007E-3</v>
      </c>
      <c r="CS12" s="198">
        <v>8.7799999999999996E-3</v>
      </c>
      <c r="CT12" s="198">
        <v>8.5800000000000008E-3</v>
      </c>
      <c r="CV12" s="197" t="s">
        <v>339</v>
      </c>
      <c r="CW12" s="198">
        <v>8.5100000000000002E-3</v>
      </c>
      <c r="CX12" s="198">
        <v>8.3700000000000007E-3</v>
      </c>
      <c r="CY12" s="198">
        <v>8.3400000000000002E-3</v>
      </c>
      <c r="CZ12" s="198">
        <v>8.3599999999999994E-3</v>
      </c>
      <c r="DA12" s="198">
        <v>8.0599999999999995E-3</v>
      </c>
      <c r="DB12" s="198">
        <v>8.1700000000000002E-3</v>
      </c>
      <c r="DC12" s="198">
        <v>8.0700000000000008E-3</v>
      </c>
      <c r="DD12" s="198">
        <v>8.2500000000000004E-3</v>
      </c>
      <c r="DE12" s="198">
        <v>8.3499999999999998E-3</v>
      </c>
      <c r="DF12" s="198">
        <v>8.3000000000000001E-3</v>
      </c>
      <c r="DG12" s="198">
        <v>8.1099999999999992E-3</v>
      </c>
      <c r="DH12" s="198">
        <v>8.3199999999999993E-3</v>
      </c>
      <c r="DI12" s="191"/>
      <c r="DJ12" s="197" t="s">
        <v>339</v>
      </c>
      <c r="DK12" s="198">
        <v>9.8099999999999993E-3</v>
      </c>
      <c r="DL12" s="198">
        <v>9.7999999999999997E-3</v>
      </c>
      <c r="DM12" s="198">
        <v>9.7099999999999999E-3</v>
      </c>
      <c r="DN12" s="198">
        <v>9.7900000000000001E-3</v>
      </c>
      <c r="DO12" s="198">
        <v>9.8300000000000002E-3</v>
      </c>
      <c r="DP12" s="198">
        <v>9.8700000000000003E-3</v>
      </c>
      <c r="DQ12" s="198">
        <v>9.7300000000000008E-3</v>
      </c>
      <c r="DR12" s="198">
        <v>9.6299999999999997E-3</v>
      </c>
      <c r="DS12" s="198">
        <v>9.1199999999999996E-3</v>
      </c>
      <c r="DT12" s="198">
        <v>8.9099999999999995E-3</v>
      </c>
      <c r="DU12" s="198">
        <v>8.43E-3</v>
      </c>
      <c r="DV12" s="198">
        <v>8.3400000000000002E-3</v>
      </c>
      <c r="DW12" s="191"/>
      <c r="DX12" s="197" t="s">
        <v>339</v>
      </c>
      <c r="DY12" s="198">
        <v>1.0959999999999999E-2</v>
      </c>
      <c r="DZ12" s="198">
        <v>1.0840000000000001E-2</v>
      </c>
      <c r="EA12" s="198">
        <v>1.061E-2</v>
      </c>
      <c r="EB12" s="198">
        <v>1.027E-2</v>
      </c>
      <c r="EC12" s="198">
        <v>9.9100000000000004E-3</v>
      </c>
      <c r="ED12" s="198">
        <v>1.0070000000000001E-2</v>
      </c>
      <c r="EE12" s="198">
        <v>1.017E-2</v>
      </c>
      <c r="EF12" s="198">
        <v>1.0189999999999999E-2</v>
      </c>
      <c r="EG12" s="198">
        <v>1.0189999999999999E-2</v>
      </c>
      <c r="EH12" s="198">
        <v>1.017E-2</v>
      </c>
      <c r="EI12" s="198">
        <v>9.7699999999999992E-3</v>
      </c>
      <c r="EJ12" s="198">
        <v>9.5200000000000007E-3</v>
      </c>
      <c r="EK12" s="191"/>
      <c r="EL12" s="197" t="s">
        <v>339</v>
      </c>
      <c r="EM12" s="198">
        <v>1.312E-2</v>
      </c>
      <c r="EN12" s="198">
        <v>1.243E-2</v>
      </c>
      <c r="EO12" s="198">
        <v>1.2160000000000001E-2</v>
      </c>
      <c r="EP12" s="198">
        <v>1.251E-2</v>
      </c>
      <c r="EQ12" s="198">
        <v>1.274E-2</v>
      </c>
      <c r="ER12" s="198">
        <v>1.257E-2</v>
      </c>
      <c r="ES12" s="198">
        <v>1.278E-2</v>
      </c>
      <c r="ET12" s="198">
        <v>1.2760000000000001E-2</v>
      </c>
      <c r="EU12" s="198">
        <v>1.286E-2</v>
      </c>
      <c r="EV12" s="198">
        <v>1.252E-2</v>
      </c>
      <c r="EW12" s="198">
        <v>1.2120000000000001E-2</v>
      </c>
      <c r="EX12" s="198">
        <v>1.158E-2</v>
      </c>
      <c r="EY12" s="191"/>
      <c r="EZ12" s="197" t="s">
        <v>339</v>
      </c>
      <c r="FA12" s="198">
        <v>1.2200000000000001E-2</v>
      </c>
      <c r="FB12" s="198">
        <v>1.221E-2</v>
      </c>
      <c r="FC12" s="198">
        <v>1.2070000000000001E-2</v>
      </c>
      <c r="FD12" s="198">
        <v>1.2279999999999999E-2</v>
      </c>
      <c r="FE12" s="198">
        <v>1.2279999999999999E-2</v>
      </c>
      <c r="FF12" s="198">
        <v>1.2409999999999999E-2</v>
      </c>
      <c r="FG12" s="198">
        <v>1.298E-2</v>
      </c>
      <c r="FH12" s="198">
        <v>1.304E-2</v>
      </c>
      <c r="FI12" s="198">
        <v>1.302E-2</v>
      </c>
      <c r="FJ12" s="198">
        <v>1.282E-2</v>
      </c>
      <c r="FK12" s="198">
        <v>1.29E-2</v>
      </c>
      <c r="FL12" s="198">
        <v>1.2959999999999999E-2</v>
      </c>
      <c r="FM12" s="191"/>
      <c r="FN12" s="197" t="s">
        <v>339</v>
      </c>
      <c r="FO12" s="198">
        <v>1.103E-2</v>
      </c>
      <c r="FP12" s="198">
        <v>1.125E-2</v>
      </c>
      <c r="FQ12" s="198">
        <v>1.0710000000000001E-2</v>
      </c>
      <c r="FR12" s="198">
        <v>1.064E-2</v>
      </c>
      <c r="FS12" s="198">
        <v>1.098E-2</v>
      </c>
      <c r="FT12" s="198">
        <v>1.1299999999999999E-2</v>
      </c>
      <c r="FU12" s="198">
        <v>1.154E-2</v>
      </c>
      <c r="FV12" s="198">
        <v>1.191E-2</v>
      </c>
      <c r="FW12" s="198">
        <v>1.1979999999999999E-2</v>
      </c>
      <c r="FX12" s="198">
        <v>1.2409999999999999E-2</v>
      </c>
      <c r="FY12" s="198">
        <v>1.1939999999999999E-2</v>
      </c>
      <c r="FZ12" s="198">
        <v>1.235E-2</v>
      </c>
      <c r="GA12" s="191"/>
      <c r="GB12" s="197" t="s">
        <v>339</v>
      </c>
      <c r="GC12" s="198">
        <v>1.1140000000000001E-2</v>
      </c>
      <c r="GD12" s="198">
        <v>1.023E-2</v>
      </c>
      <c r="GE12" s="198">
        <v>1.009E-2</v>
      </c>
      <c r="GF12" s="198">
        <v>1.0160000000000001E-2</v>
      </c>
      <c r="GG12" s="198">
        <v>1.0460000000000001E-2</v>
      </c>
      <c r="GH12" s="198">
        <v>1.0370000000000001E-2</v>
      </c>
      <c r="GI12" s="198">
        <v>1.0500000000000001E-2</v>
      </c>
      <c r="GJ12" s="198">
        <v>1.0789999999999999E-2</v>
      </c>
      <c r="GK12" s="198">
        <v>1.116E-2</v>
      </c>
      <c r="GL12" s="198">
        <v>1.1050000000000001E-2</v>
      </c>
      <c r="GM12" s="198">
        <v>1.1599999999999999E-2</v>
      </c>
      <c r="GN12" s="198">
        <v>1.0749999999999999E-2</v>
      </c>
      <c r="GO12" s="191"/>
      <c r="GP12" s="197" t="s">
        <v>339</v>
      </c>
      <c r="GQ12" s="198">
        <v>9.41E-3</v>
      </c>
      <c r="GR12" s="198">
        <v>9.6100000000000005E-3</v>
      </c>
      <c r="GS12" s="198">
        <v>1.001E-2</v>
      </c>
      <c r="GT12" s="198">
        <v>9.5700000000000004E-3</v>
      </c>
      <c r="GU12" s="198">
        <v>9.4699999999999993E-3</v>
      </c>
      <c r="GV12" s="198">
        <v>9.4400000000000005E-3</v>
      </c>
      <c r="GW12" s="198">
        <v>9.2499999999999995E-3</v>
      </c>
      <c r="GX12" s="198">
        <v>9.2099999999999994E-3</v>
      </c>
      <c r="GY12" s="198">
        <v>9.4199999999999996E-3</v>
      </c>
      <c r="GZ12" s="198">
        <v>1.017E-2</v>
      </c>
      <c r="HA12" s="198">
        <v>1.0500000000000001E-2</v>
      </c>
      <c r="HB12" s="198">
        <v>1.1089999999999999E-2</v>
      </c>
      <c r="HC12" s="191"/>
      <c r="HD12" s="197" t="s">
        <v>339</v>
      </c>
      <c r="HE12" s="198">
        <v>8.2699999999999996E-3</v>
      </c>
      <c r="HF12" s="198">
        <v>8.4399999999999996E-3</v>
      </c>
      <c r="HG12" s="198">
        <v>8.5100000000000002E-3</v>
      </c>
      <c r="HH12" s="198">
        <v>8.3700000000000007E-3</v>
      </c>
      <c r="HI12" s="198">
        <v>8.2100000000000003E-3</v>
      </c>
      <c r="HJ12" s="198">
        <v>8.0999999999999996E-3</v>
      </c>
      <c r="HK12" s="198">
        <v>8.3999999999999995E-3</v>
      </c>
      <c r="HL12" s="198">
        <v>8.6300000000000005E-3</v>
      </c>
      <c r="HM12" s="198">
        <v>8.6999999999999994E-3</v>
      </c>
      <c r="HN12" s="198">
        <v>8.6700000000000006E-3</v>
      </c>
      <c r="HO12" s="198">
        <v>8.9999999999999993E-3</v>
      </c>
      <c r="HP12" s="198">
        <v>8.9499999999999996E-3</v>
      </c>
      <c r="HQ12" s="191"/>
      <c r="HR12" s="197" t="s">
        <v>339</v>
      </c>
      <c r="HS12" s="198">
        <v>8.5400000000000007E-3</v>
      </c>
      <c r="HT12" s="198">
        <v>8.6300000000000005E-3</v>
      </c>
      <c r="HU12" s="198">
        <v>8.5000000000000006E-3</v>
      </c>
      <c r="HV12" s="198">
        <v>8.7600000000000004E-3</v>
      </c>
      <c r="HW12" s="198">
        <v>8.8999999999999999E-3</v>
      </c>
      <c r="HX12" s="198">
        <v>8.7500000000000008E-3</v>
      </c>
      <c r="HY12" s="198">
        <v>8.7399999999999995E-3</v>
      </c>
      <c r="HZ12" s="198">
        <v>8.5299999999999994E-3</v>
      </c>
      <c r="IA12" s="198">
        <v>8.4700000000000001E-3</v>
      </c>
      <c r="IB12" s="198">
        <v>8.5400000000000007E-3</v>
      </c>
      <c r="IC12" s="198">
        <v>8.6499999999999997E-3</v>
      </c>
      <c r="ID12" s="198">
        <v>8.3899999999999999E-3</v>
      </c>
      <c r="IE12" s="191"/>
      <c r="IF12" s="197" t="s">
        <v>339</v>
      </c>
      <c r="IG12" s="198">
        <v>9.6600000000000002E-3</v>
      </c>
      <c r="IH12" s="198">
        <v>9.5999999999999992E-3</v>
      </c>
      <c r="II12" s="198">
        <v>9.3299999999999998E-3</v>
      </c>
      <c r="IJ12" s="198">
        <v>9.5399999999999999E-3</v>
      </c>
      <c r="IK12" s="198">
        <v>9.2800000000000001E-3</v>
      </c>
      <c r="IL12" s="198">
        <v>9.0200000000000002E-3</v>
      </c>
      <c r="IM12" s="198">
        <v>8.9099999999999995E-3</v>
      </c>
      <c r="IN12" s="198">
        <v>8.9999999999999993E-3</v>
      </c>
      <c r="IO12" s="198">
        <v>8.8500000000000002E-3</v>
      </c>
      <c r="IP12" s="198">
        <v>8.5900000000000004E-3</v>
      </c>
      <c r="IQ12" s="198">
        <v>8.3700000000000007E-3</v>
      </c>
      <c r="IR12" s="198">
        <v>8.4799999999999997E-3</v>
      </c>
    </row>
    <row r="13" spans="1:252" ht="20.100000000000001" customHeight="1">
      <c r="A13" s="12" t="s">
        <v>715</v>
      </c>
      <c r="B13" s="197" t="s">
        <v>715</v>
      </c>
      <c r="C13" s="198">
        <v>0.11210000000000001</v>
      </c>
      <c r="D13" s="198">
        <v>0.1137</v>
      </c>
      <c r="E13" s="198">
        <v>0.1143</v>
      </c>
      <c r="F13" s="198">
        <v>0.1074</v>
      </c>
      <c r="G13" s="198">
        <v>0.10639999999999999</v>
      </c>
      <c r="H13" s="198">
        <v>0.1012</v>
      </c>
      <c r="I13" s="198">
        <v>0.10340000000000001</v>
      </c>
      <c r="J13" s="198">
        <v>0.1008</v>
      </c>
      <c r="K13" s="198">
        <v>9.1800000000000007E-2</v>
      </c>
      <c r="L13" s="198">
        <v>9.6100000000000005E-2</v>
      </c>
      <c r="M13" s="198">
        <v>0.1004</v>
      </c>
      <c r="N13" s="198">
        <v>0.1014</v>
      </c>
      <c r="P13" s="433" t="s">
        <v>715</v>
      </c>
      <c r="Q13" s="434">
        <v>0.1169</v>
      </c>
      <c r="R13" s="434">
        <v>0.1162</v>
      </c>
      <c r="S13" s="434">
        <v>0.1172</v>
      </c>
      <c r="T13" s="434">
        <v>0.12039999999999999</v>
      </c>
      <c r="U13" s="434">
        <v>0.1202</v>
      </c>
      <c r="V13" s="434">
        <v>0.1162</v>
      </c>
      <c r="W13" s="434">
        <v>0.1132</v>
      </c>
      <c r="X13" s="434">
        <v>0.1149</v>
      </c>
      <c r="Y13" s="434">
        <v>0.1145</v>
      </c>
      <c r="Z13" s="434">
        <v>0.1182</v>
      </c>
      <c r="AA13" s="434">
        <v>0.10979999999999999</v>
      </c>
      <c r="AB13" s="434">
        <v>0.1134</v>
      </c>
      <c r="AD13" s="197" t="s">
        <v>715</v>
      </c>
      <c r="AE13" s="198">
        <v>0.10879999999999999</v>
      </c>
      <c r="AF13" s="198">
        <v>0.1061</v>
      </c>
      <c r="AG13" s="198">
        <v>9.5100000000000004E-2</v>
      </c>
      <c r="AH13" s="198">
        <v>9.7799999999999998E-2</v>
      </c>
      <c r="AI13" s="198">
        <v>0.10290000000000001</v>
      </c>
      <c r="AJ13" s="198">
        <v>0.1036</v>
      </c>
      <c r="AK13" s="198">
        <v>0.1101</v>
      </c>
      <c r="AL13" s="198">
        <v>0.1152</v>
      </c>
      <c r="AM13" s="198">
        <v>0.1069</v>
      </c>
      <c r="AN13" s="198">
        <v>0.105</v>
      </c>
      <c r="AO13" s="198">
        <v>0.1129</v>
      </c>
      <c r="AP13" s="198">
        <v>0.1168</v>
      </c>
      <c r="AR13" s="197" t="s">
        <v>715</v>
      </c>
      <c r="AS13" s="198">
        <v>0.11849999999999999</v>
      </c>
      <c r="AT13" s="198">
        <v>0.1169</v>
      </c>
      <c r="AU13" s="198">
        <v>0.11609999999999999</v>
      </c>
      <c r="AV13" s="198">
        <v>0.11600000000000001</v>
      </c>
      <c r="AW13" s="198">
        <v>0.1142</v>
      </c>
      <c r="AX13" s="198">
        <v>0.1172</v>
      </c>
      <c r="AY13" s="198">
        <v>0.114</v>
      </c>
      <c r="AZ13" s="198">
        <v>0.1096</v>
      </c>
      <c r="BA13" s="198">
        <v>0.1099</v>
      </c>
      <c r="BB13" s="198">
        <v>0.1087</v>
      </c>
      <c r="BC13" s="198">
        <v>0.1085</v>
      </c>
      <c r="BD13" s="198">
        <v>0.1139</v>
      </c>
      <c r="BF13" s="197" t="s">
        <v>715</v>
      </c>
      <c r="BG13" s="198">
        <v>0.12970000000000001</v>
      </c>
      <c r="BH13" s="198">
        <v>0.12670000000000001</v>
      </c>
      <c r="BI13" s="198">
        <v>0.12690000000000001</v>
      </c>
      <c r="BJ13" s="198">
        <v>0.1249</v>
      </c>
      <c r="BK13" s="198">
        <v>0.1222</v>
      </c>
      <c r="BL13" s="198">
        <v>0.1225</v>
      </c>
      <c r="BM13" s="198">
        <v>0.1227</v>
      </c>
      <c r="BN13" s="198">
        <v>0.1192</v>
      </c>
      <c r="BO13" s="198">
        <v>0.1229</v>
      </c>
      <c r="BP13" s="198">
        <v>0.11849999999999999</v>
      </c>
      <c r="BQ13" s="198">
        <v>0.1163</v>
      </c>
      <c r="BR13" s="198">
        <v>0.11550000000000001</v>
      </c>
      <c r="BT13" s="197" t="s">
        <v>715</v>
      </c>
      <c r="BU13" s="198">
        <v>0.1212</v>
      </c>
      <c r="BV13" s="198">
        <v>0.11940000000000001</v>
      </c>
      <c r="BW13" s="198">
        <v>0.11650000000000001</v>
      </c>
      <c r="BX13" s="198">
        <v>0.1167</v>
      </c>
      <c r="BY13" s="198">
        <v>0.11840000000000001</v>
      </c>
      <c r="BZ13" s="198">
        <v>0.11940000000000001</v>
      </c>
      <c r="CA13" s="198">
        <v>0.1265</v>
      </c>
      <c r="CB13" s="198">
        <v>0.12859999999999999</v>
      </c>
      <c r="CC13" s="198">
        <v>0.1255</v>
      </c>
      <c r="CD13" s="198">
        <v>0.12230000000000001</v>
      </c>
      <c r="CE13" s="198">
        <v>0.1205</v>
      </c>
      <c r="CF13" s="198">
        <v>0.1221</v>
      </c>
      <c r="CH13" s="197" t="s">
        <v>715</v>
      </c>
      <c r="CI13" s="198">
        <v>0.1149</v>
      </c>
      <c r="CJ13" s="198">
        <v>0.115</v>
      </c>
      <c r="CK13" s="198">
        <v>0.12089999999999999</v>
      </c>
      <c r="CL13" s="198">
        <v>0.12379999999999999</v>
      </c>
      <c r="CM13" s="198">
        <v>0.1196</v>
      </c>
      <c r="CN13" s="198">
        <v>0.11890000000000001</v>
      </c>
      <c r="CO13" s="198">
        <v>0.11849999999999999</v>
      </c>
      <c r="CP13" s="198">
        <v>0.12</v>
      </c>
      <c r="CQ13" s="198">
        <v>0.12520000000000001</v>
      </c>
      <c r="CR13" s="198">
        <v>0.121</v>
      </c>
      <c r="CS13" s="198">
        <v>0.1174</v>
      </c>
      <c r="CT13" s="198">
        <v>0.1158</v>
      </c>
      <c r="CV13" s="197" t="s">
        <v>715</v>
      </c>
      <c r="CW13" s="198">
        <v>0.12920000000000001</v>
      </c>
      <c r="CX13" s="198">
        <v>0.13059999999999999</v>
      </c>
      <c r="CY13" s="198">
        <v>0.1242</v>
      </c>
      <c r="CZ13" s="198">
        <v>0.13220000000000001</v>
      </c>
      <c r="DA13" s="198">
        <v>0.12870000000000001</v>
      </c>
      <c r="DB13" s="198">
        <v>0.1275</v>
      </c>
      <c r="DC13" s="198">
        <v>0.1226</v>
      </c>
      <c r="DD13" s="198">
        <v>0.1205</v>
      </c>
      <c r="DE13" s="198">
        <v>0.1173</v>
      </c>
      <c r="DF13" s="198">
        <v>0.1177</v>
      </c>
      <c r="DG13" s="198">
        <v>0.11509999999999999</v>
      </c>
      <c r="DH13" s="198">
        <v>0.1128</v>
      </c>
      <c r="DI13" s="191"/>
      <c r="DJ13" s="197" t="s">
        <v>715</v>
      </c>
      <c r="DK13" s="198">
        <v>0.1593</v>
      </c>
      <c r="DL13" s="198">
        <v>0.1668</v>
      </c>
      <c r="DM13" s="198">
        <v>0.16700000000000001</v>
      </c>
      <c r="DN13" s="198">
        <v>0.16819999999999999</v>
      </c>
      <c r="DO13" s="198">
        <v>0.1673</v>
      </c>
      <c r="DP13" s="198">
        <v>0.16300000000000001</v>
      </c>
      <c r="DQ13" s="198">
        <v>0.159</v>
      </c>
      <c r="DR13" s="198">
        <v>0.16159999999999999</v>
      </c>
      <c r="DS13" s="198">
        <v>0.15559999999999999</v>
      </c>
      <c r="DT13" s="198">
        <v>0.14810000000000001</v>
      </c>
      <c r="DU13" s="198">
        <v>0.14249999999999999</v>
      </c>
      <c r="DV13" s="198">
        <v>0.13339999999999999</v>
      </c>
      <c r="DW13" s="191"/>
      <c r="DX13" s="197" t="s">
        <v>715</v>
      </c>
      <c r="DY13" s="198">
        <v>0.18257000000000001</v>
      </c>
      <c r="DZ13" s="198">
        <v>0.17449999999999999</v>
      </c>
      <c r="EA13" s="198">
        <v>0.17069999999999999</v>
      </c>
      <c r="EB13" s="198">
        <v>0.17319999999999999</v>
      </c>
      <c r="EC13" s="198">
        <v>0.17</v>
      </c>
      <c r="ED13" s="198">
        <v>0.16450000000000001</v>
      </c>
      <c r="EE13" s="198">
        <v>0.1691</v>
      </c>
      <c r="EF13" s="198">
        <v>0.16309999999999999</v>
      </c>
      <c r="EG13" s="198">
        <v>0.16619999999999999</v>
      </c>
      <c r="EH13" s="198">
        <v>0.16800000000000001</v>
      </c>
      <c r="EI13" s="198">
        <v>0.16309999999999999</v>
      </c>
      <c r="EJ13" s="198">
        <v>0.1648</v>
      </c>
      <c r="EK13" s="191"/>
      <c r="EL13" s="197" t="s">
        <v>715</v>
      </c>
      <c r="EM13" s="198">
        <v>0.17155999999999999</v>
      </c>
      <c r="EN13" s="198">
        <v>0.18054999999999999</v>
      </c>
      <c r="EO13" s="198">
        <v>0.17569000000000001</v>
      </c>
      <c r="EP13" s="198">
        <v>0.17441999999999999</v>
      </c>
      <c r="EQ13" s="198">
        <v>0.16364000000000001</v>
      </c>
      <c r="ER13" s="198">
        <v>0.16788</v>
      </c>
      <c r="ES13" s="198">
        <v>0.16563</v>
      </c>
      <c r="ET13" s="198">
        <v>0.17249999999999999</v>
      </c>
      <c r="EU13" s="198">
        <v>0.17438999999999999</v>
      </c>
      <c r="EV13" s="198">
        <v>0.17527000000000001</v>
      </c>
      <c r="EW13" s="198">
        <v>0.17641999999999999</v>
      </c>
      <c r="EX13" s="198">
        <v>0.17988999999999999</v>
      </c>
      <c r="EY13" s="191"/>
      <c r="EZ13" s="197" t="s">
        <v>715</v>
      </c>
      <c r="FA13" s="198">
        <v>0.17354</v>
      </c>
      <c r="FB13" s="198">
        <v>0.17938000000000001</v>
      </c>
      <c r="FC13" s="198">
        <v>0.18093999999999999</v>
      </c>
      <c r="FD13" s="198">
        <v>0.19072</v>
      </c>
      <c r="FE13" s="198">
        <v>0.18562999999999999</v>
      </c>
      <c r="FF13" s="198">
        <v>0.18622</v>
      </c>
      <c r="FG13" s="198">
        <v>0.18468999999999999</v>
      </c>
      <c r="FH13" s="198">
        <v>0.18673000000000001</v>
      </c>
      <c r="FI13" s="198">
        <v>0.17083999999999999</v>
      </c>
      <c r="FJ13" s="198">
        <v>0.18207999999999999</v>
      </c>
      <c r="FK13" s="198">
        <v>0.17357</v>
      </c>
      <c r="FL13" s="198">
        <v>0.16724</v>
      </c>
      <c r="FM13" s="191"/>
      <c r="FN13" s="197" t="s">
        <v>715</v>
      </c>
      <c r="FO13" s="198">
        <v>0.16986000000000001</v>
      </c>
      <c r="FP13" s="198">
        <v>0.16846</v>
      </c>
      <c r="FQ13" s="198">
        <v>0.16841999999999999</v>
      </c>
      <c r="FR13" s="198">
        <v>0.16927</v>
      </c>
      <c r="FS13" s="198">
        <v>0.15517</v>
      </c>
      <c r="FT13" s="198">
        <v>0.15390999999999999</v>
      </c>
      <c r="FU13" s="198">
        <v>0.16350000000000001</v>
      </c>
      <c r="FV13" s="198">
        <v>0.15876000000000001</v>
      </c>
      <c r="FW13" s="198">
        <v>0.17088</v>
      </c>
      <c r="FX13" s="198">
        <v>0.17008000000000001</v>
      </c>
      <c r="FY13" s="198">
        <v>0.16109000000000001</v>
      </c>
      <c r="FZ13" s="198">
        <v>0.17122000000000001</v>
      </c>
      <c r="GA13" s="191"/>
      <c r="GB13" s="197" t="s">
        <v>715</v>
      </c>
      <c r="GC13" s="198">
        <v>0.14584</v>
      </c>
      <c r="GD13" s="198">
        <v>0.14427999999999999</v>
      </c>
      <c r="GE13" s="198">
        <v>0.14599000000000001</v>
      </c>
      <c r="GF13" s="198">
        <v>0.15153</v>
      </c>
      <c r="GG13" s="198">
        <v>0.15876999999999999</v>
      </c>
      <c r="GH13" s="198">
        <v>0.15557000000000001</v>
      </c>
      <c r="GI13" s="198">
        <v>0.16217999999999999</v>
      </c>
      <c r="GJ13" s="198">
        <v>0.16572999999999999</v>
      </c>
      <c r="GK13" s="198">
        <v>0.17255000000000001</v>
      </c>
      <c r="GL13" s="198">
        <v>0.17604</v>
      </c>
      <c r="GM13" s="198">
        <v>0.17593</v>
      </c>
      <c r="GN13" s="198">
        <v>0.17357</v>
      </c>
      <c r="GO13" s="191"/>
      <c r="GP13" s="197" t="s">
        <v>715</v>
      </c>
      <c r="GQ13" s="198">
        <v>0.18357999999999999</v>
      </c>
      <c r="GR13" s="198">
        <v>0.19338</v>
      </c>
      <c r="GS13" s="198">
        <v>0.19663</v>
      </c>
      <c r="GT13" s="198">
        <v>0.19464999999999999</v>
      </c>
      <c r="GU13" s="198">
        <v>0.19650000000000001</v>
      </c>
      <c r="GV13" s="198">
        <v>0.19727</v>
      </c>
      <c r="GW13" s="198">
        <v>0.19420000000000001</v>
      </c>
      <c r="GX13" s="198">
        <v>0.18557000000000001</v>
      </c>
      <c r="GY13" s="198">
        <v>0.17263999999999999</v>
      </c>
      <c r="GZ13" s="198">
        <v>0.15110999999999999</v>
      </c>
      <c r="HA13" s="198">
        <v>0.14388000000000001</v>
      </c>
      <c r="HB13" s="198">
        <v>0.14288999999999999</v>
      </c>
      <c r="HC13" s="191"/>
      <c r="HD13" s="197" t="s">
        <v>715</v>
      </c>
      <c r="HE13" s="198">
        <v>0.15917000000000001</v>
      </c>
      <c r="HF13" s="198">
        <v>0.16359000000000001</v>
      </c>
      <c r="HG13" s="198">
        <v>0.16424</v>
      </c>
      <c r="HH13" s="198">
        <v>0.16767000000000001</v>
      </c>
      <c r="HI13" s="198">
        <v>0.16470000000000001</v>
      </c>
      <c r="HJ13" s="198">
        <v>0.16936000000000001</v>
      </c>
      <c r="HK13" s="198">
        <v>0.17086999999999999</v>
      </c>
      <c r="HL13" s="198">
        <v>0.17172000000000001</v>
      </c>
      <c r="HM13" s="198">
        <v>0.18318999999999999</v>
      </c>
      <c r="HN13" s="198">
        <v>0.18704999999999999</v>
      </c>
      <c r="HO13" s="198">
        <v>0.18171000000000001</v>
      </c>
      <c r="HP13" s="198">
        <v>0.18475</v>
      </c>
      <c r="HQ13" s="191"/>
      <c r="HR13" s="197" t="s">
        <v>715</v>
      </c>
      <c r="HS13" s="198">
        <v>0.15001999999999999</v>
      </c>
      <c r="HT13" s="198">
        <v>0.14751</v>
      </c>
      <c r="HU13" s="198">
        <v>0.15223</v>
      </c>
      <c r="HV13" s="198">
        <v>0.16098999999999999</v>
      </c>
      <c r="HW13" s="198">
        <v>0.16456999999999999</v>
      </c>
      <c r="HX13" s="198">
        <v>0.15848000000000001</v>
      </c>
      <c r="HY13" s="198">
        <v>0.16144</v>
      </c>
      <c r="HZ13" s="198">
        <v>0.15820000000000001</v>
      </c>
      <c r="IA13" s="198">
        <v>0.15465999999999999</v>
      </c>
      <c r="IB13" s="198">
        <v>0.15232999999999999</v>
      </c>
      <c r="IC13" s="198">
        <v>0.15981000000000001</v>
      </c>
      <c r="ID13" s="198">
        <v>0.15939999999999999</v>
      </c>
      <c r="IE13" s="191"/>
      <c r="IF13" s="197" t="s">
        <v>715</v>
      </c>
      <c r="IG13" s="198">
        <v>0.15790000000000001</v>
      </c>
      <c r="IH13" s="198">
        <v>0.15998000000000001</v>
      </c>
      <c r="II13" s="198">
        <v>0.15819</v>
      </c>
      <c r="IJ13" s="198">
        <v>0.15842999999999999</v>
      </c>
      <c r="IK13" s="198">
        <v>0.15626000000000001</v>
      </c>
      <c r="IL13" s="198">
        <v>0.15281</v>
      </c>
      <c r="IM13" s="198">
        <v>0.15325</v>
      </c>
      <c r="IN13" s="198">
        <v>0.15390000000000001</v>
      </c>
      <c r="IO13" s="198">
        <v>0.15322</v>
      </c>
      <c r="IP13" s="198">
        <v>0.15401999999999999</v>
      </c>
      <c r="IQ13" s="198">
        <v>0.14859</v>
      </c>
      <c r="IR13" s="198">
        <v>0.14768999999999999</v>
      </c>
    </row>
    <row r="14" spans="1:252" ht="20.100000000000001" customHeight="1">
      <c r="A14" s="12" t="s">
        <v>716</v>
      </c>
      <c r="B14" s="197" t="s">
        <v>716</v>
      </c>
      <c r="C14" s="198">
        <v>0.65685000000000004</v>
      </c>
      <c r="D14" s="198">
        <v>0.67664999999999997</v>
      </c>
      <c r="E14" s="198">
        <v>0.69535000000000002</v>
      </c>
      <c r="F14" s="198">
        <v>0.64915</v>
      </c>
      <c r="G14" s="198">
        <v>0.65080000000000005</v>
      </c>
      <c r="H14" s="198">
        <v>0.62195</v>
      </c>
      <c r="I14" s="198">
        <v>0.62670000000000003</v>
      </c>
      <c r="J14" s="198">
        <v>0.61309999999999998</v>
      </c>
      <c r="K14" s="198">
        <v>0.56574999999999998</v>
      </c>
      <c r="L14" s="198">
        <v>0.57830000000000004</v>
      </c>
      <c r="M14" s="198">
        <v>0.62109999999999999</v>
      </c>
      <c r="N14" s="198">
        <v>0.63229999999999997</v>
      </c>
      <c r="P14" s="433" t="s">
        <v>716</v>
      </c>
      <c r="Q14" s="434">
        <v>0.72055000000000002</v>
      </c>
      <c r="R14" s="434">
        <v>0.72735000000000005</v>
      </c>
      <c r="S14" s="434">
        <v>0.70055000000000001</v>
      </c>
      <c r="T14" s="434">
        <v>0.71765000000000001</v>
      </c>
      <c r="U14" s="434">
        <v>0.72785</v>
      </c>
      <c r="V14" s="434">
        <v>0.69874999999999998</v>
      </c>
      <c r="W14" s="434">
        <v>0.69779999999999998</v>
      </c>
      <c r="X14" s="434">
        <v>0.70384999999999998</v>
      </c>
      <c r="Y14" s="434">
        <v>0.68984999999999996</v>
      </c>
      <c r="Z14" s="434">
        <v>0.71560000000000001</v>
      </c>
      <c r="AA14" s="434">
        <v>0.67889999999999995</v>
      </c>
      <c r="AB14" s="434">
        <v>0.68454999999999999</v>
      </c>
      <c r="AD14" s="197" t="s">
        <v>716</v>
      </c>
      <c r="AE14" s="198">
        <v>0.64705000000000001</v>
      </c>
      <c r="AF14" s="198">
        <v>0.62029999999999996</v>
      </c>
      <c r="AG14" s="198">
        <v>0.59275</v>
      </c>
      <c r="AH14" s="198">
        <v>0.61665000000000003</v>
      </c>
      <c r="AI14" s="198">
        <v>0.61944999999999995</v>
      </c>
      <c r="AJ14" s="198">
        <v>0.64385000000000003</v>
      </c>
      <c r="AK14" s="198">
        <v>0.66615000000000002</v>
      </c>
      <c r="AL14" s="198">
        <v>0.67600000000000005</v>
      </c>
      <c r="AM14" s="198">
        <v>0.66110000000000002</v>
      </c>
      <c r="AN14" s="198">
        <v>0.66295000000000004</v>
      </c>
      <c r="AO14" s="198">
        <v>0.70284999999999997</v>
      </c>
      <c r="AP14" s="198">
        <v>0.72014999999999996</v>
      </c>
      <c r="AR14" s="197" t="s">
        <v>716</v>
      </c>
      <c r="AS14" s="198">
        <v>0.69355</v>
      </c>
      <c r="AT14" s="198">
        <v>0.68140000000000001</v>
      </c>
      <c r="AU14" s="198">
        <v>0.68110000000000004</v>
      </c>
      <c r="AV14" s="198">
        <v>0.66685000000000005</v>
      </c>
      <c r="AW14" s="198">
        <v>0.65195000000000003</v>
      </c>
      <c r="AX14" s="198">
        <v>0.67164999999999997</v>
      </c>
      <c r="AY14" s="198">
        <v>0.65985000000000005</v>
      </c>
      <c r="AZ14" s="198">
        <v>0.63090000000000002</v>
      </c>
      <c r="BA14" s="198">
        <v>0.62705</v>
      </c>
      <c r="BB14" s="198">
        <v>0.64134999999999998</v>
      </c>
      <c r="BC14" s="198">
        <v>0.64195000000000002</v>
      </c>
      <c r="BD14" s="198">
        <v>0.67464999999999997</v>
      </c>
      <c r="BF14" s="197" t="s">
        <v>716</v>
      </c>
      <c r="BG14" s="198">
        <v>0.74050000000000005</v>
      </c>
      <c r="BH14" s="198">
        <v>0.72219999999999995</v>
      </c>
      <c r="BI14" s="198">
        <v>0.72219999999999995</v>
      </c>
      <c r="BJ14" s="198">
        <v>0.70440000000000003</v>
      </c>
      <c r="BK14" s="198">
        <v>0.70179999999999998</v>
      </c>
      <c r="BL14" s="198">
        <v>0.67710000000000004</v>
      </c>
      <c r="BM14" s="198">
        <v>0.68105000000000004</v>
      </c>
      <c r="BN14" s="198">
        <v>0.66344999999999998</v>
      </c>
      <c r="BO14" s="198">
        <v>0.66274999999999995</v>
      </c>
      <c r="BP14" s="198">
        <v>0.65329999999999999</v>
      </c>
      <c r="BQ14" s="198">
        <v>0.68679999999999997</v>
      </c>
      <c r="BR14" s="198">
        <v>0.67059999999999997</v>
      </c>
      <c r="BT14" s="197" t="s">
        <v>716</v>
      </c>
      <c r="BU14" s="198">
        <v>0.73340000000000005</v>
      </c>
      <c r="BV14" s="198">
        <v>0.72309999999999997</v>
      </c>
      <c r="BW14" s="198">
        <v>0.69879999999999998</v>
      </c>
      <c r="BX14" s="198">
        <v>0.68630000000000002</v>
      </c>
      <c r="BY14" s="198">
        <v>0.70979999999999999</v>
      </c>
      <c r="BZ14" s="198">
        <v>0.7319</v>
      </c>
      <c r="CA14" s="198">
        <v>0.74965000000000004</v>
      </c>
      <c r="CB14" s="198">
        <v>0.71609999999999996</v>
      </c>
      <c r="CC14" s="198">
        <v>0.72319999999999995</v>
      </c>
      <c r="CD14" s="198">
        <v>0.68379999999999996</v>
      </c>
      <c r="CE14" s="198">
        <v>0.68630000000000002</v>
      </c>
      <c r="CF14" s="198">
        <v>0.71125000000000005</v>
      </c>
      <c r="CH14" s="197" t="s">
        <v>716</v>
      </c>
      <c r="CI14" s="198">
        <v>0.6472</v>
      </c>
      <c r="CJ14" s="198">
        <v>0.65910000000000002</v>
      </c>
      <c r="CK14" s="198">
        <v>0.69399999999999995</v>
      </c>
      <c r="CL14" s="198">
        <v>0.69899999999999995</v>
      </c>
      <c r="CM14" s="198">
        <v>0.67649999999999999</v>
      </c>
      <c r="CN14" s="198">
        <v>0.71209999999999996</v>
      </c>
      <c r="CO14" s="198">
        <v>0.72070000000000001</v>
      </c>
      <c r="CP14" s="198">
        <v>0.72519999999999996</v>
      </c>
      <c r="CQ14" s="198">
        <v>0.72699999999999998</v>
      </c>
      <c r="CR14" s="198">
        <v>0.71450000000000002</v>
      </c>
      <c r="CS14" s="198">
        <v>0.70909999999999995</v>
      </c>
      <c r="CT14" s="198">
        <v>0.69715000000000005</v>
      </c>
      <c r="CV14" s="197" t="s">
        <v>716</v>
      </c>
      <c r="CW14" s="198">
        <v>0.7258</v>
      </c>
      <c r="CX14" s="198">
        <v>0.75680000000000003</v>
      </c>
      <c r="CY14" s="198">
        <v>0.74990000000000001</v>
      </c>
      <c r="CZ14" s="198">
        <v>0.76129999999999998</v>
      </c>
      <c r="DA14" s="198">
        <v>0.71150000000000002</v>
      </c>
      <c r="DB14" s="198">
        <v>0.67620000000000002</v>
      </c>
      <c r="DC14" s="198">
        <v>0.66439999999999999</v>
      </c>
      <c r="DD14" s="198">
        <v>0.63300000000000001</v>
      </c>
      <c r="DE14" s="198">
        <v>0.63970000000000005</v>
      </c>
      <c r="DF14" s="198">
        <v>0.67459999999999998</v>
      </c>
      <c r="DG14" s="198">
        <v>0.65880000000000005</v>
      </c>
      <c r="DH14" s="198">
        <v>0.68479999999999996</v>
      </c>
      <c r="DI14" s="191"/>
      <c r="DJ14" s="197" t="s">
        <v>716</v>
      </c>
      <c r="DK14" s="198">
        <v>0.80859999999999999</v>
      </c>
      <c r="DL14" s="198">
        <v>0.84019999999999995</v>
      </c>
      <c r="DM14" s="198">
        <v>0.86770000000000003</v>
      </c>
      <c r="DN14" s="198">
        <v>0.85909999999999997</v>
      </c>
      <c r="DO14" s="198">
        <v>0.84919999999999995</v>
      </c>
      <c r="DP14" s="198">
        <v>0.87549999999999994</v>
      </c>
      <c r="DQ14" s="198">
        <v>0.8488</v>
      </c>
      <c r="DR14" s="198">
        <v>0.83709999999999996</v>
      </c>
      <c r="DS14" s="198">
        <v>0.77949999999999997</v>
      </c>
      <c r="DT14" s="198">
        <v>0.77839999999999998</v>
      </c>
      <c r="DU14" s="198">
        <v>0.78510000000000002</v>
      </c>
      <c r="DV14" s="198">
        <v>0.78129999999999999</v>
      </c>
      <c r="DW14" s="191"/>
      <c r="DX14" s="197" t="s">
        <v>716</v>
      </c>
      <c r="DY14" s="198">
        <v>0.84040000000000004</v>
      </c>
      <c r="DZ14" s="198">
        <v>0.82909999999999995</v>
      </c>
      <c r="EA14" s="198">
        <v>0.83540000000000003</v>
      </c>
      <c r="EB14" s="198">
        <v>0.85780000000000001</v>
      </c>
      <c r="EC14" s="198">
        <v>0.79769999999999996</v>
      </c>
      <c r="ED14" s="198">
        <v>0.77229999999999999</v>
      </c>
      <c r="EE14" s="198">
        <v>0.79590000000000005</v>
      </c>
      <c r="EF14" s="198">
        <v>0.77329999999999999</v>
      </c>
      <c r="EG14" s="198">
        <v>0.83289999999999997</v>
      </c>
      <c r="EH14" s="198">
        <v>0.82779999999999998</v>
      </c>
      <c r="EI14" s="198">
        <v>0.81630000000000003</v>
      </c>
      <c r="EJ14" s="198">
        <v>0.82279999999999998</v>
      </c>
      <c r="EK14" s="191"/>
      <c r="EL14" s="197" t="s">
        <v>716</v>
      </c>
      <c r="EM14" s="198">
        <v>0.82740000000000002</v>
      </c>
      <c r="EN14" s="198">
        <v>0.84650000000000003</v>
      </c>
      <c r="EO14" s="198">
        <v>0.8206</v>
      </c>
      <c r="EP14" s="198">
        <v>0.81910000000000005</v>
      </c>
      <c r="EQ14" s="198">
        <v>0.75339999999999996</v>
      </c>
      <c r="ER14" s="198">
        <v>0.80220000000000002</v>
      </c>
      <c r="ES14" s="198">
        <v>0.80920000000000003</v>
      </c>
      <c r="ET14" s="198">
        <v>0.80230000000000001</v>
      </c>
      <c r="EU14" s="198">
        <v>0.82920000000000005</v>
      </c>
      <c r="EV14" s="198">
        <v>0.82140000000000002</v>
      </c>
      <c r="EW14" s="198">
        <v>0.8196</v>
      </c>
      <c r="EX14" s="198">
        <v>0.82320000000000004</v>
      </c>
      <c r="EY14" s="191"/>
      <c r="EZ14" s="197" t="s">
        <v>716</v>
      </c>
      <c r="FA14" s="198">
        <v>0.77329999999999999</v>
      </c>
      <c r="FB14" s="198">
        <v>0.75190000000000001</v>
      </c>
      <c r="FC14" s="198">
        <v>0.76270000000000004</v>
      </c>
      <c r="FD14" s="198">
        <v>0.80569999999999997</v>
      </c>
      <c r="FE14" s="198">
        <v>0.82379999999999998</v>
      </c>
      <c r="FF14" s="198">
        <v>0.8286</v>
      </c>
      <c r="FG14" s="198">
        <v>0.86950000000000005</v>
      </c>
      <c r="FH14" s="198">
        <v>0.85499999999999998</v>
      </c>
      <c r="FI14" s="198">
        <v>0.76519999999999999</v>
      </c>
      <c r="FJ14" s="198">
        <v>0.81200000000000006</v>
      </c>
      <c r="FK14" s="198">
        <v>0.78049999999999997</v>
      </c>
      <c r="FL14" s="198">
        <v>0.77539999999999998</v>
      </c>
      <c r="FM14" s="191"/>
      <c r="FN14" s="197" t="s">
        <v>716</v>
      </c>
      <c r="FO14" s="198">
        <v>0.7056</v>
      </c>
      <c r="FP14" s="198">
        <v>0.69479999999999997</v>
      </c>
      <c r="FQ14" s="198">
        <v>0.7077</v>
      </c>
      <c r="FR14" s="198">
        <v>0.73160000000000003</v>
      </c>
      <c r="FS14" s="198">
        <v>0.68140000000000001</v>
      </c>
      <c r="FT14" s="198">
        <v>0.68710000000000004</v>
      </c>
      <c r="FU14" s="198">
        <v>0.72230000000000005</v>
      </c>
      <c r="FV14" s="198">
        <v>0.69879999999999998</v>
      </c>
      <c r="FW14" s="198">
        <v>0.73770000000000002</v>
      </c>
      <c r="FX14" s="198">
        <v>0.7631</v>
      </c>
      <c r="FY14" s="198">
        <v>0.74460000000000004</v>
      </c>
      <c r="FZ14" s="198">
        <v>0.7752</v>
      </c>
      <c r="GA14" s="191"/>
      <c r="GB14" s="197" t="s">
        <v>716</v>
      </c>
      <c r="GC14" s="198">
        <v>0.51454999999999995</v>
      </c>
      <c r="GD14" s="198">
        <v>0.51027</v>
      </c>
      <c r="GE14" s="198">
        <v>0.56023999999999996</v>
      </c>
      <c r="GF14" s="198">
        <v>0.56574999999999998</v>
      </c>
      <c r="GG14" s="198">
        <v>0.63839999999999997</v>
      </c>
      <c r="GH14" s="198">
        <v>0.65090000000000003</v>
      </c>
      <c r="GI14" s="198">
        <v>0.65827999999999998</v>
      </c>
      <c r="GJ14" s="198">
        <v>0.68028</v>
      </c>
      <c r="GK14" s="198">
        <v>0.72233999999999998</v>
      </c>
      <c r="GL14" s="198">
        <v>0.72682999999999998</v>
      </c>
      <c r="GM14" s="198">
        <v>0.71360000000000001</v>
      </c>
      <c r="GN14" s="198">
        <v>0.72690999999999995</v>
      </c>
      <c r="GO14" s="191"/>
      <c r="GP14" s="197" t="s">
        <v>716</v>
      </c>
      <c r="GQ14" s="198">
        <v>0.78129999999999999</v>
      </c>
      <c r="GR14" s="198">
        <v>0.81688000000000005</v>
      </c>
      <c r="GS14" s="198">
        <v>0.78620000000000001</v>
      </c>
      <c r="GT14" s="198">
        <v>0.77559999999999996</v>
      </c>
      <c r="GU14" s="198">
        <v>0.77769999999999995</v>
      </c>
      <c r="GV14" s="198">
        <v>0.76219999999999999</v>
      </c>
      <c r="GW14" s="198">
        <v>0.73399999999999999</v>
      </c>
      <c r="GX14" s="198">
        <v>0.70130000000000003</v>
      </c>
      <c r="GY14" s="198">
        <v>0.6774</v>
      </c>
      <c r="GZ14" s="198">
        <v>0.58779999999999999</v>
      </c>
      <c r="HA14" s="198">
        <v>0.55389999999999995</v>
      </c>
      <c r="HB14" s="198">
        <v>0.57709999999999995</v>
      </c>
      <c r="HC14" s="191"/>
      <c r="HD14" s="197" t="s">
        <v>716</v>
      </c>
      <c r="HE14" s="198">
        <v>0.68910000000000005</v>
      </c>
      <c r="HF14" s="198">
        <v>0.70440000000000003</v>
      </c>
      <c r="HG14" s="198">
        <v>0.7147</v>
      </c>
      <c r="HH14" s="198">
        <v>0.74070000000000003</v>
      </c>
      <c r="HI14" s="198">
        <v>0.73</v>
      </c>
      <c r="HJ14" s="198">
        <v>0.76978000000000002</v>
      </c>
      <c r="HK14" s="198">
        <v>0.76405000000000001</v>
      </c>
      <c r="HL14" s="198">
        <v>0.70425000000000004</v>
      </c>
      <c r="HM14" s="198">
        <v>0.74924999999999997</v>
      </c>
      <c r="HN14" s="198">
        <v>0.76519999999999999</v>
      </c>
      <c r="HO14" s="198">
        <v>0.76975000000000005</v>
      </c>
      <c r="HP14" s="198">
        <v>0.77258000000000004</v>
      </c>
      <c r="HQ14" s="191"/>
      <c r="HR14" s="197" t="s">
        <v>716</v>
      </c>
      <c r="HS14" s="198">
        <v>0.68484999999999996</v>
      </c>
      <c r="HT14" s="198">
        <v>0.66039999999999999</v>
      </c>
      <c r="HU14" s="198">
        <v>0.61085</v>
      </c>
      <c r="HV14" s="198">
        <v>0.63475000000000004</v>
      </c>
      <c r="HW14" s="198">
        <v>0.63965000000000005</v>
      </c>
      <c r="HX14" s="198">
        <v>0.59665000000000001</v>
      </c>
      <c r="HY14" s="198">
        <v>0.61704999999999999</v>
      </c>
      <c r="HZ14" s="198">
        <v>0.6502</v>
      </c>
      <c r="IA14" s="198">
        <v>0.65605000000000002</v>
      </c>
      <c r="IB14" s="198">
        <v>0.66639999999999999</v>
      </c>
      <c r="IC14" s="198">
        <v>0.67854999999999999</v>
      </c>
      <c r="ID14" s="198">
        <v>0.70569999999999999</v>
      </c>
      <c r="IE14" s="191"/>
      <c r="IF14" s="197" t="s">
        <v>716</v>
      </c>
      <c r="IG14" s="198">
        <v>0.71104999999999996</v>
      </c>
      <c r="IH14" s="198">
        <v>0.72224999999999995</v>
      </c>
      <c r="II14" s="198">
        <v>0.70884999999999998</v>
      </c>
      <c r="IJ14" s="198">
        <v>0.72835000000000005</v>
      </c>
      <c r="IK14" s="198">
        <v>0.71155000000000002</v>
      </c>
      <c r="IL14" s="198">
        <v>0.69850000000000001</v>
      </c>
      <c r="IM14" s="198">
        <v>0.68330000000000002</v>
      </c>
      <c r="IN14" s="198">
        <v>0.68815000000000004</v>
      </c>
      <c r="IO14" s="198">
        <v>0.69094999999999995</v>
      </c>
      <c r="IP14" s="198">
        <v>0.69940000000000002</v>
      </c>
      <c r="IQ14" s="198">
        <v>0.70135000000000003</v>
      </c>
      <c r="IR14" s="198">
        <v>0.68230000000000002</v>
      </c>
    </row>
    <row r="15" spans="1:252" ht="20.100000000000001" customHeight="1">
      <c r="A15" s="12" t="s">
        <v>717</v>
      </c>
      <c r="B15" s="197" t="s">
        <v>717</v>
      </c>
      <c r="C15" s="198">
        <v>0.15720000000000001</v>
      </c>
      <c r="D15" s="198">
        <v>0.1585</v>
      </c>
      <c r="E15" s="198">
        <v>0.1575</v>
      </c>
      <c r="F15" s="198">
        <v>0.15049999999999999</v>
      </c>
      <c r="G15" s="198">
        <v>0.1497</v>
      </c>
      <c r="H15" s="198">
        <v>0.1492</v>
      </c>
      <c r="I15" s="198">
        <v>0.14810000000000001</v>
      </c>
      <c r="J15" s="198">
        <v>0.14510000000000001</v>
      </c>
      <c r="K15" s="198">
        <v>0.14030000000000001</v>
      </c>
      <c r="L15" s="198">
        <v>0.13650000000000001</v>
      </c>
      <c r="M15" s="198">
        <v>0.14119999999999999</v>
      </c>
      <c r="N15" s="198">
        <v>0.14449999999999999</v>
      </c>
      <c r="P15" s="433" t="s">
        <v>717</v>
      </c>
      <c r="Q15" s="434">
        <v>0.1552</v>
      </c>
      <c r="R15" s="434">
        <v>0.15429999999999999</v>
      </c>
      <c r="S15" s="434">
        <v>0.15240000000000001</v>
      </c>
      <c r="T15" s="434">
        <v>0.15459999999999999</v>
      </c>
      <c r="U15" s="434">
        <v>0.15690000000000001</v>
      </c>
      <c r="V15" s="434">
        <v>0.15479999999999999</v>
      </c>
      <c r="W15" s="434">
        <v>0.1547</v>
      </c>
      <c r="X15" s="434">
        <v>0.155</v>
      </c>
      <c r="Y15" s="434">
        <v>0.15490000000000001</v>
      </c>
      <c r="Z15" s="434">
        <v>0.15620000000000001</v>
      </c>
      <c r="AA15" s="434">
        <v>0.15679999999999999</v>
      </c>
      <c r="AB15" s="434">
        <v>0.15720000000000001</v>
      </c>
      <c r="AD15" s="197" t="s">
        <v>717</v>
      </c>
      <c r="AE15" s="198">
        <v>0.1429</v>
      </c>
      <c r="AF15" s="198">
        <v>0.14319999999999999</v>
      </c>
      <c r="AG15" s="198">
        <v>0.1411</v>
      </c>
      <c r="AH15" s="198">
        <v>0.14169999999999999</v>
      </c>
      <c r="AI15" s="198">
        <v>0.1396</v>
      </c>
      <c r="AJ15" s="198">
        <v>0.14149999999999999</v>
      </c>
      <c r="AK15" s="198">
        <v>0.14330000000000001</v>
      </c>
      <c r="AL15" s="198">
        <v>0.14599999999999999</v>
      </c>
      <c r="AM15" s="198">
        <v>0.1474</v>
      </c>
      <c r="AN15" s="198">
        <v>0.14949999999999999</v>
      </c>
      <c r="AO15" s="198">
        <v>0.152</v>
      </c>
      <c r="AP15" s="198">
        <v>0.15390000000000001</v>
      </c>
      <c r="AR15" s="197" t="s">
        <v>717</v>
      </c>
      <c r="AS15" s="198">
        <v>0.14899999999999999</v>
      </c>
      <c r="AT15" s="198">
        <v>0.14929999999999999</v>
      </c>
      <c r="AU15" s="198">
        <v>0.1487</v>
      </c>
      <c r="AV15" s="198">
        <v>0.1484</v>
      </c>
      <c r="AW15" s="198">
        <v>0.14419999999999999</v>
      </c>
      <c r="AX15" s="198">
        <v>0.14549999999999999</v>
      </c>
      <c r="AY15" s="198">
        <v>0.1452</v>
      </c>
      <c r="AZ15" s="198">
        <v>0.13950000000000001</v>
      </c>
      <c r="BA15" s="198">
        <v>0.14000000000000001</v>
      </c>
      <c r="BB15" s="198">
        <v>0.1419</v>
      </c>
      <c r="BC15" s="198">
        <v>0.14219999999999999</v>
      </c>
      <c r="BD15" s="198">
        <v>0.14360000000000001</v>
      </c>
      <c r="BF15" s="197" t="s">
        <v>717</v>
      </c>
      <c r="BG15" s="198">
        <v>0.1588</v>
      </c>
      <c r="BH15" s="198">
        <v>0.158</v>
      </c>
      <c r="BI15" s="198">
        <v>0.159</v>
      </c>
      <c r="BJ15" s="198">
        <v>0.15840000000000001</v>
      </c>
      <c r="BK15" s="198">
        <v>0.156</v>
      </c>
      <c r="BL15" s="198">
        <v>0.1507</v>
      </c>
      <c r="BM15" s="198">
        <v>0.1472</v>
      </c>
      <c r="BN15" s="198">
        <v>0.14610000000000001</v>
      </c>
      <c r="BO15" s="198">
        <v>0.1454</v>
      </c>
      <c r="BP15" s="198">
        <v>0.14330000000000001</v>
      </c>
      <c r="BQ15" s="198">
        <v>0.1439</v>
      </c>
      <c r="BR15" s="198">
        <v>0.14560000000000001</v>
      </c>
      <c r="BT15" s="197" t="s">
        <v>717</v>
      </c>
      <c r="BU15" s="198">
        <v>0.14649999999999999</v>
      </c>
      <c r="BV15" s="198">
        <v>0.1459</v>
      </c>
      <c r="BW15" s="198">
        <v>0.14549999999999999</v>
      </c>
      <c r="BX15" s="198">
        <v>0.14499999999999999</v>
      </c>
      <c r="BY15" s="198">
        <v>0.1482</v>
      </c>
      <c r="BZ15" s="198">
        <v>0.14749999999999999</v>
      </c>
      <c r="CA15" s="198">
        <v>0.14860000000000001</v>
      </c>
      <c r="CB15" s="198">
        <v>0.15160000000000001</v>
      </c>
      <c r="CC15" s="198">
        <v>0.15040000000000001</v>
      </c>
      <c r="CD15" s="198">
        <v>0.15079999999999999</v>
      </c>
      <c r="CE15" s="198">
        <v>0.15110000000000001</v>
      </c>
      <c r="CF15" s="198">
        <v>0.1535</v>
      </c>
      <c r="CH15" s="197" t="s">
        <v>717</v>
      </c>
      <c r="CI15" s="198">
        <v>0.15160000000000001</v>
      </c>
      <c r="CJ15" s="198">
        <v>0.15260000000000001</v>
      </c>
      <c r="CK15" s="198">
        <v>0.1547</v>
      </c>
      <c r="CL15" s="198">
        <v>0.15409999999999999</v>
      </c>
      <c r="CM15" s="198">
        <v>0.15179999999999999</v>
      </c>
      <c r="CN15" s="198">
        <v>0.1497</v>
      </c>
      <c r="CO15" s="198">
        <v>0.1507</v>
      </c>
      <c r="CP15" s="198">
        <v>0.14949999999999999</v>
      </c>
      <c r="CQ15" s="198">
        <v>0.14990000000000001</v>
      </c>
      <c r="CR15" s="198">
        <v>0.14749999999999999</v>
      </c>
      <c r="CS15" s="198">
        <v>0.14460000000000001</v>
      </c>
      <c r="CT15" s="198">
        <v>0.14360000000000001</v>
      </c>
      <c r="CV15" s="197" t="s">
        <v>717</v>
      </c>
      <c r="CW15" s="198">
        <v>0.159</v>
      </c>
      <c r="CX15" s="198">
        <v>0.15909999999999999</v>
      </c>
      <c r="CY15" s="198">
        <v>0.16109999999999999</v>
      </c>
      <c r="CZ15" s="198">
        <v>0.161</v>
      </c>
      <c r="DA15" s="198">
        <v>0.16120000000000001</v>
      </c>
      <c r="DB15" s="198">
        <v>0.16120000000000001</v>
      </c>
      <c r="DC15" s="198">
        <v>0.1608</v>
      </c>
      <c r="DD15" s="198">
        <v>0.1552</v>
      </c>
      <c r="DE15" s="198">
        <v>0.15720000000000001</v>
      </c>
      <c r="DF15" s="198">
        <v>0.15820000000000001</v>
      </c>
      <c r="DG15" s="198">
        <v>0.15570000000000001</v>
      </c>
      <c r="DH15" s="198">
        <v>0.1522</v>
      </c>
      <c r="DI15" s="191"/>
      <c r="DJ15" s="197" t="s">
        <v>717</v>
      </c>
      <c r="DK15" s="198">
        <v>0.16569999999999999</v>
      </c>
      <c r="DL15" s="198">
        <v>0.16339999999999999</v>
      </c>
      <c r="DM15" s="198">
        <v>0.16089999999999999</v>
      </c>
      <c r="DN15" s="198">
        <v>0.15989999999999999</v>
      </c>
      <c r="DO15" s="198">
        <v>0.16009999999999999</v>
      </c>
      <c r="DP15" s="198">
        <v>0.16109999999999999</v>
      </c>
      <c r="DQ15" s="198">
        <v>0.16189999999999999</v>
      </c>
      <c r="DR15" s="198">
        <v>0.16259999999999999</v>
      </c>
      <c r="DS15" s="198">
        <v>0.1618</v>
      </c>
      <c r="DT15" s="198">
        <v>0.16320000000000001</v>
      </c>
      <c r="DU15" s="198">
        <v>0.1623</v>
      </c>
      <c r="DV15" s="198">
        <v>0.1608</v>
      </c>
      <c r="DW15" s="191"/>
      <c r="DX15" s="197" t="s">
        <v>717</v>
      </c>
      <c r="DY15" s="198">
        <v>0.1608</v>
      </c>
      <c r="DZ15" s="198">
        <v>0.16061</v>
      </c>
      <c r="EA15" s="198">
        <v>0.16105</v>
      </c>
      <c r="EB15" s="198">
        <v>0.16220999999999999</v>
      </c>
      <c r="EC15" s="198">
        <v>0.16300999999999999</v>
      </c>
      <c r="ED15" s="198">
        <v>0.16292999999999999</v>
      </c>
      <c r="EE15" s="198">
        <v>0.16309999999999999</v>
      </c>
      <c r="EF15" s="198">
        <v>0.16350000000000001</v>
      </c>
      <c r="EG15" s="198">
        <v>0.16350000000000001</v>
      </c>
      <c r="EH15" s="198">
        <v>0.16420000000000001</v>
      </c>
      <c r="EI15" s="198">
        <v>0.1643</v>
      </c>
      <c r="EJ15" s="198">
        <v>0.16500000000000001</v>
      </c>
      <c r="EK15" s="191"/>
      <c r="EL15" s="197" t="s">
        <v>717</v>
      </c>
      <c r="EM15" s="198">
        <v>0.15851999999999999</v>
      </c>
      <c r="EN15" s="198">
        <v>0.15889</v>
      </c>
      <c r="EO15" s="198">
        <v>0.15876999999999999</v>
      </c>
      <c r="EP15" s="198">
        <v>0.15925</v>
      </c>
      <c r="EQ15" s="198">
        <v>0.15701999999999999</v>
      </c>
      <c r="ER15" s="198">
        <v>0.15737999999999999</v>
      </c>
      <c r="ES15" s="198">
        <v>0.15719</v>
      </c>
      <c r="ET15" s="198">
        <v>0.15751999999999999</v>
      </c>
      <c r="EU15" s="198">
        <v>0.15912000000000001</v>
      </c>
      <c r="EV15" s="198">
        <v>0.16033</v>
      </c>
      <c r="EW15" s="198">
        <v>0.16059999999999999</v>
      </c>
      <c r="EX15" s="198">
        <v>0.1605</v>
      </c>
      <c r="EY15" s="191"/>
      <c r="EZ15" s="197" t="s">
        <v>717</v>
      </c>
      <c r="FA15" s="198">
        <v>0.15162999999999999</v>
      </c>
      <c r="FB15" s="198">
        <v>0.15215999999999999</v>
      </c>
      <c r="FC15" s="198">
        <v>0.15271000000000001</v>
      </c>
      <c r="FD15" s="198">
        <v>0.15403</v>
      </c>
      <c r="FE15" s="198">
        <v>0.15434999999999999</v>
      </c>
      <c r="FF15" s="198">
        <v>0.15470999999999999</v>
      </c>
      <c r="FG15" s="198">
        <v>0.15534999999999999</v>
      </c>
      <c r="FH15" s="198">
        <v>0.15679000000000001</v>
      </c>
      <c r="FI15" s="198">
        <v>0.15670999999999999</v>
      </c>
      <c r="FJ15" s="198">
        <v>0.15736</v>
      </c>
      <c r="FK15" s="198">
        <v>0.15676000000000001</v>
      </c>
      <c r="FL15" s="198">
        <v>0.15886</v>
      </c>
      <c r="FM15" s="191"/>
      <c r="FN15" s="197" t="s">
        <v>717</v>
      </c>
      <c r="FO15" s="198">
        <v>0.14648</v>
      </c>
      <c r="FP15" s="198">
        <v>0.14649999999999999</v>
      </c>
      <c r="FQ15" s="198">
        <v>0.14649999999999999</v>
      </c>
      <c r="FR15" s="198">
        <v>0.14651</v>
      </c>
      <c r="FS15" s="198">
        <v>0.14646000000000001</v>
      </c>
      <c r="FT15" s="198">
        <v>0.14745</v>
      </c>
      <c r="FU15" s="198">
        <v>0.14760999999999999</v>
      </c>
      <c r="FV15" s="198">
        <v>0.14688999999999999</v>
      </c>
      <c r="FW15" s="198">
        <v>0.14943000000000001</v>
      </c>
      <c r="FX15" s="198">
        <v>0.14990999999999999</v>
      </c>
      <c r="FY15" s="198">
        <v>0.14999000000000001</v>
      </c>
      <c r="FZ15" s="198">
        <v>0.15135000000000001</v>
      </c>
      <c r="GA15" s="191"/>
      <c r="GB15" s="197" t="s">
        <v>717</v>
      </c>
      <c r="GC15" s="198">
        <v>0.14624000000000001</v>
      </c>
      <c r="GD15" s="198">
        <v>0.14621999999999999</v>
      </c>
      <c r="GE15" s="198">
        <v>0.14627000000000001</v>
      </c>
      <c r="GF15" s="198">
        <v>0.14660999999999999</v>
      </c>
      <c r="GG15" s="198">
        <v>0.14643</v>
      </c>
      <c r="GH15" s="198">
        <v>0.1464</v>
      </c>
      <c r="GI15" s="198">
        <v>0.14637</v>
      </c>
      <c r="GJ15" s="198">
        <v>0.1464</v>
      </c>
      <c r="GK15" s="198">
        <v>0.14649000000000001</v>
      </c>
      <c r="GL15" s="198">
        <v>0.14646999999999999</v>
      </c>
      <c r="GM15" s="198">
        <v>0.14646999999999999</v>
      </c>
      <c r="GN15" s="198">
        <v>0.14648</v>
      </c>
      <c r="GO15" s="191"/>
      <c r="GP15" s="197" t="s">
        <v>717</v>
      </c>
      <c r="GQ15" s="198">
        <v>0.13905000000000001</v>
      </c>
      <c r="GR15" s="198">
        <v>0.14058000000000001</v>
      </c>
      <c r="GS15" s="198">
        <v>0.14260999999999999</v>
      </c>
      <c r="GT15" s="198">
        <v>0.14316999999999999</v>
      </c>
      <c r="GU15" s="198">
        <v>0.14413999999999999</v>
      </c>
      <c r="GV15" s="198">
        <v>0.14573</v>
      </c>
      <c r="GW15" s="198">
        <v>0.14649000000000001</v>
      </c>
      <c r="GX15" s="198">
        <v>0.14643999999999999</v>
      </c>
      <c r="GY15" s="198">
        <v>0.14609</v>
      </c>
      <c r="GZ15" s="198">
        <v>0.14618</v>
      </c>
      <c r="HA15" s="198">
        <v>0.14645</v>
      </c>
      <c r="HB15" s="198">
        <v>0.14638999999999999</v>
      </c>
      <c r="HC15" s="191"/>
      <c r="HD15" s="197" t="s">
        <v>717</v>
      </c>
      <c r="HE15" s="198">
        <v>0.12862000000000001</v>
      </c>
      <c r="HF15" s="198">
        <v>0.12917000000000001</v>
      </c>
      <c r="HG15" s="198">
        <v>0.12942000000000001</v>
      </c>
      <c r="HH15" s="198">
        <v>0.12963</v>
      </c>
      <c r="HI15" s="198">
        <v>0.13077</v>
      </c>
      <c r="HJ15" s="198">
        <v>0.13131999999999999</v>
      </c>
      <c r="HK15" s="198">
        <v>0.13211999999999999</v>
      </c>
      <c r="HL15" s="198">
        <v>0.13261000000000001</v>
      </c>
      <c r="HM15" s="198">
        <v>0.13305</v>
      </c>
      <c r="HN15" s="198">
        <v>0.13383999999999999</v>
      </c>
      <c r="HO15" s="198">
        <v>0.13539000000000001</v>
      </c>
      <c r="HP15" s="198">
        <v>0.13691</v>
      </c>
      <c r="HQ15" s="191"/>
      <c r="HR15" s="197" t="s">
        <v>717</v>
      </c>
      <c r="HS15" s="198">
        <v>0.12404</v>
      </c>
      <c r="HT15" s="198">
        <v>0.12436999999999999</v>
      </c>
      <c r="HU15" s="198">
        <v>0.12458</v>
      </c>
      <c r="HV15" s="198">
        <v>0.12475</v>
      </c>
      <c r="HW15" s="198">
        <v>0.1246</v>
      </c>
      <c r="HX15" s="198">
        <v>0.12506999999999999</v>
      </c>
      <c r="HY15" s="198">
        <v>0.12545999999999999</v>
      </c>
      <c r="HZ15" s="198">
        <v>0.12565000000000001</v>
      </c>
      <c r="IA15" s="198">
        <v>0.12664</v>
      </c>
      <c r="IB15" s="198">
        <v>0.127</v>
      </c>
      <c r="IC15" s="198">
        <v>0.12769</v>
      </c>
      <c r="ID15" s="198">
        <v>0.12797</v>
      </c>
      <c r="IE15" s="191"/>
      <c r="IF15" s="197" t="s">
        <v>717</v>
      </c>
      <c r="IG15" s="198">
        <v>0.12082</v>
      </c>
      <c r="IH15" s="198">
        <v>0.12082</v>
      </c>
      <c r="II15" s="198">
        <v>0.12082</v>
      </c>
      <c r="IJ15" s="198">
        <v>0.12082</v>
      </c>
      <c r="IK15" s="198">
        <v>0.12083000000000001</v>
      </c>
      <c r="IL15" s="198">
        <v>0.12082</v>
      </c>
      <c r="IM15" s="198">
        <v>0.12333</v>
      </c>
      <c r="IN15" s="198">
        <v>0.1235</v>
      </c>
      <c r="IO15" s="198">
        <v>0.12356</v>
      </c>
      <c r="IP15" s="198">
        <v>0.12368999999999999</v>
      </c>
      <c r="IQ15" s="198">
        <v>0.12371</v>
      </c>
      <c r="IR15" s="198">
        <v>0.1239</v>
      </c>
    </row>
    <row r="16" spans="1:252" ht="20.100000000000001" customHeight="1">
      <c r="A16" s="12" t="s">
        <v>718</v>
      </c>
      <c r="B16" s="197" t="s">
        <v>718</v>
      </c>
      <c r="C16" s="198">
        <v>1.291E-2</v>
      </c>
      <c r="D16" s="198">
        <v>9.3900000000000008E-3</v>
      </c>
      <c r="E16" s="198">
        <v>1.208E-2</v>
      </c>
      <c r="F16" s="198">
        <v>1.4109999999999999E-2</v>
      </c>
      <c r="G16" s="198">
        <v>1.5879999999999998E-2</v>
      </c>
      <c r="H16" s="198">
        <v>1.8290000000000001E-2</v>
      </c>
      <c r="I16" s="198">
        <v>1.5740000000000001E-2</v>
      </c>
      <c r="J16" s="198">
        <v>1.653E-2</v>
      </c>
      <c r="K16" s="198">
        <v>1.6369999999999999E-2</v>
      </c>
      <c r="L16" s="198">
        <v>1.6230000000000001E-2</v>
      </c>
      <c r="M16" s="198">
        <v>1.643E-2</v>
      </c>
      <c r="N16" s="198">
        <v>1.3809999999999999E-2</v>
      </c>
      <c r="P16" s="433" t="s">
        <v>718</v>
      </c>
      <c r="Q16" s="434">
        <v>1.3259999999999999E-2</v>
      </c>
      <c r="R16" s="434">
        <v>1.342E-2</v>
      </c>
      <c r="S16" s="434">
        <v>1.325E-2</v>
      </c>
      <c r="T16" s="434">
        <v>1.332E-2</v>
      </c>
      <c r="U16" s="434">
        <v>1.363E-2</v>
      </c>
      <c r="V16" s="434">
        <v>1.3690000000000001E-2</v>
      </c>
      <c r="W16" s="434">
        <v>1.367E-2</v>
      </c>
      <c r="X16" s="434">
        <v>1.3650000000000001E-2</v>
      </c>
      <c r="Y16" s="434">
        <v>1.374E-2</v>
      </c>
      <c r="Z16" s="434">
        <v>1.409E-2</v>
      </c>
      <c r="AA16" s="434">
        <v>1.3429999999999999E-2</v>
      </c>
      <c r="AB16" s="434">
        <v>1.3339999999999999E-2</v>
      </c>
      <c r="AD16" s="197" t="s">
        <v>718</v>
      </c>
      <c r="AE16" s="198">
        <v>1.566E-2</v>
      </c>
      <c r="AF16" s="198">
        <v>1.4930000000000001E-2</v>
      </c>
      <c r="AG16" s="198">
        <v>1.2800000000000001E-2</v>
      </c>
      <c r="AH16" s="198">
        <v>1.353E-2</v>
      </c>
      <c r="AI16" s="198">
        <v>1.4149999999999999E-2</v>
      </c>
      <c r="AJ16" s="198">
        <v>1.404E-2</v>
      </c>
      <c r="AK16" s="198">
        <v>1.3480000000000001E-2</v>
      </c>
      <c r="AL16" s="198">
        <v>1.35E-2</v>
      </c>
      <c r="AM16" s="198">
        <v>1.289E-2</v>
      </c>
      <c r="AN16" s="198">
        <v>1.26E-2</v>
      </c>
      <c r="AO16" s="198">
        <v>1.308E-2</v>
      </c>
      <c r="AP16" s="198">
        <v>1.3520000000000001E-2</v>
      </c>
      <c r="AR16" s="197" t="s">
        <v>718</v>
      </c>
      <c r="AS16" s="198">
        <v>1.525E-2</v>
      </c>
      <c r="AT16" s="198">
        <v>1.5180000000000001E-2</v>
      </c>
      <c r="AU16" s="198">
        <v>1.5219999999999999E-2</v>
      </c>
      <c r="AV16" s="198">
        <v>1.5480000000000001E-2</v>
      </c>
      <c r="AW16" s="198">
        <v>1.529E-2</v>
      </c>
      <c r="AX16" s="198">
        <v>1.584E-2</v>
      </c>
      <c r="AY16" s="198">
        <v>1.5789999999999998E-2</v>
      </c>
      <c r="AZ16" s="198">
        <v>1.498E-2</v>
      </c>
      <c r="BA16" s="198">
        <v>1.541E-2</v>
      </c>
      <c r="BB16" s="198">
        <v>1.559E-2</v>
      </c>
      <c r="BC16" s="198">
        <v>1.555E-2</v>
      </c>
      <c r="BD16" s="198">
        <v>1.6119999999999999E-2</v>
      </c>
      <c r="BF16" s="197" t="s">
        <v>718</v>
      </c>
      <c r="BG16" s="198">
        <v>1.7770000000000001E-2</v>
      </c>
      <c r="BH16" s="198">
        <v>1.7780000000000001E-2</v>
      </c>
      <c r="BI16" s="198">
        <v>1.729E-2</v>
      </c>
      <c r="BJ16" s="198">
        <v>1.5869999999999999E-2</v>
      </c>
      <c r="BK16" s="198">
        <v>1.602E-2</v>
      </c>
      <c r="BL16" s="198">
        <v>1.592E-2</v>
      </c>
      <c r="BM16" s="198">
        <v>1.602E-2</v>
      </c>
      <c r="BN16" s="198">
        <v>1.4829999999999999E-2</v>
      </c>
      <c r="BO16" s="198">
        <v>1.528E-2</v>
      </c>
      <c r="BP16" s="198">
        <v>1.5180000000000001E-2</v>
      </c>
      <c r="BQ16" s="198">
        <v>1.491E-2</v>
      </c>
      <c r="BR16" s="198">
        <v>1.4420000000000001E-2</v>
      </c>
      <c r="BT16" s="197"/>
      <c r="BU16" s="198"/>
      <c r="BV16" s="198"/>
      <c r="BW16" s="198"/>
      <c r="BX16" s="198"/>
      <c r="BY16" s="198"/>
      <c r="BZ16" s="198"/>
      <c r="CA16" s="198"/>
      <c r="CB16" s="198"/>
      <c r="CC16" s="198"/>
      <c r="CD16" s="198"/>
      <c r="CE16" s="198"/>
      <c r="CF16" s="198"/>
      <c r="CH16" s="197"/>
      <c r="CI16" s="198"/>
      <c r="CJ16" s="198"/>
      <c r="CK16" s="198"/>
      <c r="CL16" s="198"/>
      <c r="CM16" s="198"/>
      <c r="CN16" s="198"/>
      <c r="CO16" s="198"/>
      <c r="CP16" s="198"/>
      <c r="CQ16" s="198"/>
      <c r="CR16" s="198"/>
      <c r="CS16" s="198"/>
      <c r="CT16" s="198"/>
      <c r="CV16" s="197"/>
      <c r="CW16" s="198"/>
      <c r="CX16" s="198"/>
      <c r="CY16" s="198"/>
      <c r="CZ16" s="198"/>
      <c r="DA16" s="198"/>
      <c r="DB16" s="198"/>
      <c r="DC16" s="198"/>
      <c r="DD16" s="198"/>
      <c r="DE16" s="198"/>
      <c r="DF16" s="198"/>
      <c r="DG16" s="198"/>
      <c r="DH16" s="198"/>
      <c r="DI16" s="191"/>
      <c r="DJ16" s="197"/>
      <c r="DK16" s="198"/>
      <c r="DL16" s="198"/>
      <c r="DM16" s="198"/>
      <c r="DN16" s="198"/>
      <c r="DO16" s="198"/>
      <c r="DP16" s="198"/>
      <c r="DQ16" s="198"/>
      <c r="DR16" s="198"/>
      <c r="DS16" s="198"/>
      <c r="DT16" s="198"/>
      <c r="DU16" s="198"/>
      <c r="DV16" s="198"/>
      <c r="DW16" s="191"/>
      <c r="DX16" s="197"/>
      <c r="DY16" s="198"/>
      <c r="DZ16" s="198"/>
      <c r="EA16" s="198"/>
      <c r="EB16" s="198"/>
      <c r="EC16" s="198"/>
      <c r="ED16" s="198"/>
      <c r="EE16" s="198"/>
      <c r="EF16" s="198"/>
      <c r="EG16" s="198"/>
      <c r="EH16" s="198"/>
      <c r="EI16" s="198"/>
      <c r="EJ16" s="198"/>
      <c r="EK16" s="191"/>
      <c r="EL16" s="197"/>
      <c r="EM16" s="198"/>
      <c r="EN16" s="198"/>
      <c r="EO16" s="198"/>
      <c r="EP16" s="198"/>
      <c r="EQ16" s="198"/>
      <c r="ER16" s="198"/>
      <c r="ES16" s="198"/>
      <c r="ET16" s="198"/>
      <c r="EU16" s="198"/>
      <c r="EV16" s="198"/>
      <c r="EW16" s="198"/>
      <c r="EX16" s="198"/>
      <c r="EY16" s="191"/>
      <c r="EZ16" s="197"/>
      <c r="FA16" s="198"/>
      <c r="FB16" s="198"/>
      <c r="FC16" s="198"/>
      <c r="FD16" s="198"/>
      <c r="FE16" s="198"/>
      <c r="FF16" s="198"/>
      <c r="FG16" s="198"/>
      <c r="FH16" s="198"/>
      <c r="FI16" s="198"/>
      <c r="FJ16" s="198"/>
      <c r="FK16" s="198"/>
      <c r="FL16" s="198"/>
      <c r="FM16" s="191"/>
      <c r="FN16" s="197"/>
      <c r="FO16" s="198"/>
      <c r="FP16" s="198"/>
      <c r="FQ16" s="198"/>
      <c r="FR16" s="198"/>
      <c r="FS16" s="198"/>
      <c r="FT16" s="198"/>
      <c r="FU16" s="198"/>
      <c r="FV16" s="198"/>
      <c r="FW16" s="198"/>
      <c r="FX16" s="198"/>
      <c r="FY16" s="198"/>
      <c r="FZ16" s="198"/>
      <c r="GA16" s="191"/>
      <c r="GB16" s="197"/>
      <c r="GC16" s="198"/>
      <c r="GD16" s="198"/>
      <c r="GE16" s="198"/>
      <c r="GF16" s="198"/>
      <c r="GG16" s="198"/>
      <c r="GH16" s="198"/>
      <c r="GI16" s="198"/>
      <c r="GJ16" s="198"/>
      <c r="GK16" s="198"/>
      <c r="GL16" s="198"/>
      <c r="GM16" s="198"/>
      <c r="GN16" s="198"/>
      <c r="GO16" s="191"/>
      <c r="GP16" s="197"/>
      <c r="GQ16" s="198"/>
      <c r="GR16" s="198"/>
      <c r="GS16" s="198"/>
      <c r="GT16" s="198"/>
      <c r="GU16" s="198"/>
      <c r="GV16" s="198"/>
      <c r="GW16" s="198"/>
      <c r="GX16" s="198"/>
      <c r="GY16" s="198"/>
      <c r="GZ16" s="198"/>
      <c r="HA16" s="198"/>
      <c r="HB16" s="198"/>
      <c r="HC16" s="191"/>
      <c r="HD16" s="197"/>
      <c r="HE16" s="198"/>
      <c r="HF16" s="198"/>
      <c r="HG16" s="198"/>
      <c r="HH16" s="198"/>
      <c r="HI16" s="198"/>
      <c r="HJ16" s="198"/>
      <c r="HK16" s="198"/>
      <c r="HL16" s="198"/>
      <c r="HM16" s="198"/>
      <c r="HN16" s="198"/>
      <c r="HO16" s="198"/>
      <c r="HP16" s="198"/>
      <c r="HQ16" s="191"/>
      <c r="HR16" s="197"/>
      <c r="HS16" s="198"/>
      <c r="HT16" s="198"/>
      <c r="HU16" s="198"/>
      <c r="HV16" s="198"/>
      <c r="HW16" s="198"/>
      <c r="HX16" s="198"/>
      <c r="HY16" s="198"/>
      <c r="HZ16" s="198"/>
      <c r="IA16" s="198"/>
      <c r="IB16" s="198"/>
      <c r="IC16" s="198"/>
      <c r="ID16" s="198"/>
      <c r="IE16" s="191"/>
      <c r="IF16" s="197"/>
      <c r="IG16" s="198"/>
      <c r="IH16" s="198"/>
      <c r="II16" s="198"/>
      <c r="IJ16" s="198"/>
      <c r="IK16" s="198"/>
      <c r="IL16" s="198"/>
      <c r="IM16" s="198"/>
      <c r="IN16" s="198"/>
      <c r="IO16" s="198"/>
      <c r="IP16" s="198"/>
      <c r="IQ16" s="198"/>
      <c r="IR16" s="198"/>
    </row>
    <row r="17" spans="1:252" ht="20.100000000000001" customHeight="1">
      <c r="A17" s="12" t="s">
        <v>719</v>
      </c>
      <c r="B17" s="197" t="s">
        <v>719</v>
      </c>
      <c r="C17" s="198">
        <v>7.4560000000000001E-2</v>
      </c>
      <c r="D17" s="198">
        <v>7.2309999999999999E-2</v>
      </c>
      <c r="E17" s="198">
        <v>6.8169999999999994E-2</v>
      </c>
      <c r="F17" s="198">
        <v>6.7299999999999999E-2</v>
      </c>
      <c r="G17" s="198">
        <v>6.1030000000000001E-2</v>
      </c>
      <c r="H17" s="198">
        <v>5.9900000000000002E-2</v>
      </c>
      <c r="I17" s="198">
        <v>5.5820000000000002E-2</v>
      </c>
      <c r="J17" s="198">
        <v>5.4949999999999999E-2</v>
      </c>
      <c r="K17" s="198">
        <v>5.3969999999999997E-2</v>
      </c>
      <c r="L17" s="198">
        <v>5.3740000000000003E-2</v>
      </c>
      <c r="M17" s="198">
        <v>5.3760000000000002E-2</v>
      </c>
      <c r="N17" s="198">
        <v>5.3420000000000002E-2</v>
      </c>
      <c r="P17" s="433" t="s">
        <v>719</v>
      </c>
      <c r="Q17" s="434">
        <v>0.13700999999999999</v>
      </c>
      <c r="R17" s="434">
        <v>0.13466</v>
      </c>
      <c r="S17" s="434">
        <v>0.12088</v>
      </c>
      <c r="T17" s="434">
        <v>0.12044000000000001</v>
      </c>
      <c r="U17" s="434">
        <v>0.11791</v>
      </c>
      <c r="V17" s="434">
        <v>0.11507000000000001</v>
      </c>
      <c r="W17" s="434">
        <v>0.11864</v>
      </c>
      <c r="X17" s="434">
        <v>0.12028</v>
      </c>
      <c r="Y17" s="434">
        <v>0.11255999999999999</v>
      </c>
      <c r="Z17" s="434">
        <v>0.10397000000000001</v>
      </c>
      <c r="AA17" s="434">
        <v>7.5439999999999993E-2</v>
      </c>
      <c r="AB17" s="434">
        <v>7.5190000000000007E-2</v>
      </c>
      <c r="AD17" s="197" t="s">
        <v>719</v>
      </c>
      <c r="AE17" s="198">
        <v>0.16708000000000001</v>
      </c>
      <c r="AF17" s="198">
        <v>0.16005</v>
      </c>
      <c r="AG17" s="198">
        <v>0.15179999999999999</v>
      </c>
      <c r="AH17" s="198">
        <v>0.14307</v>
      </c>
      <c r="AI17" s="198">
        <v>0.14646999999999999</v>
      </c>
      <c r="AJ17" s="198">
        <v>0.14588999999999999</v>
      </c>
      <c r="AK17" s="198">
        <v>0.14332</v>
      </c>
      <c r="AL17" s="198">
        <v>0.1358</v>
      </c>
      <c r="AM17" s="198">
        <v>0.12975</v>
      </c>
      <c r="AN17" s="198">
        <v>0.11953</v>
      </c>
      <c r="AO17" s="198">
        <v>0.12781999999999999</v>
      </c>
      <c r="AP17" s="198">
        <v>0.13457</v>
      </c>
      <c r="AR17" s="197" t="s">
        <v>719</v>
      </c>
      <c r="AS17" s="198">
        <v>0.19284999999999999</v>
      </c>
      <c r="AT17" s="198">
        <v>0.18748999999999999</v>
      </c>
      <c r="AU17" s="198">
        <v>0.17874000000000001</v>
      </c>
      <c r="AV17" s="198">
        <v>0.16761999999999999</v>
      </c>
      <c r="AW17" s="198">
        <v>0.17165</v>
      </c>
      <c r="AX17" s="198">
        <v>0.17272000000000001</v>
      </c>
      <c r="AY17" s="198">
        <v>0.18096000000000001</v>
      </c>
      <c r="AZ17" s="198">
        <v>0.17152999999999999</v>
      </c>
      <c r="BA17" s="198">
        <v>0.17699000000000001</v>
      </c>
      <c r="BB17" s="198">
        <v>0.17479</v>
      </c>
      <c r="BC17" s="198">
        <v>0.17394999999999999</v>
      </c>
      <c r="BD17" s="198">
        <v>0.16803000000000001</v>
      </c>
      <c r="BF17" s="197" t="s">
        <v>719</v>
      </c>
      <c r="BG17" s="198">
        <v>0.26618000000000003</v>
      </c>
      <c r="BH17" s="198">
        <v>0.26313999999999999</v>
      </c>
      <c r="BI17" s="198">
        <v>0.24951999999999999</v>
      </c>
      <c r="BJ17" s="198">
        <v>0.24612000000000001</v>
      </c>
      <c r="BK17" s="198">
        <v>0.22051999999999999</v>
      </c>
      <c r="BL17" s="198">
        <v>0.21768000000000001</v>
      </c>
      <c r="BM17" s="198">
        <v>0.20368</v>
      </c>
      <c r="BN17" s="198">
        <v>0.15198</v>
      </c>
      <c r="BO17" s="198">
        <v>0.16442000000000001</v>
      </c>
      <c r="BP17" s="198">
        <v>0.17856</v>
      </c>
      <c r="BQ17" s="198">
        <v>0.19073999999999999</v>
      </c>
      <c r="BR17" s="198">
        <v>0.18892</v>
      </c>
      <c r="BT17" s="197" t="s">
        <v>719</v>
      </c>
      <c r="BU17" s="198">
        <v>0.26434999999999997</v>
      </c>
      <c r="BV17" s="198">
        <v>0.27516000000000002</v>
      </c>
      <c r="BW17" s="198">
        <v>0.27543000000000001</v>
      </c>
      <c r="BX17" s="198">
        <v>0.28114</v>
      </c>
      <c r="BY17" s="198">
        <v>0.28341</v>
      </c>
      <c r="BZ17" s="198">
        <v>0.28444999999999998</v>
      </c>
      <c r="CA17" s="198">
        <v>0.28364</v>
      </c>
      <c r="CB17" s="198">
        <v>0.2893</v>
      </c>
      <c r="CC17" s="198">
        <v>0.28076000000000001</v>
      </c>
      <c r="CD17" s="198">
        <v>0.26369999999999999</v>
      </c>
      <c r="CE17" s="198">
        <v>0.25459999999999999</v>
      </c>
      <c r="CF17" s="198">
        <v>0.26407999999999998</v>
      </c>
      <c r="CH17" s="197" t="s">
        <v>719</v>
      </c>
      <c r="CI17" s="198">
        <v>0.33796999999999999</v>
      </c>
      <c r="CJ17" s="198">
        <v>0.33717999999999998</v>
      </c>
      <c r="CK17" s="198">
        <v>0.35444999999999999</v>
      </c>
      <c r="CL17" s="198">
        <v>0.35705999999999999</v>
      </c>
      <c r="CM17" s="198">
        <v>0.33907999999999999</v>
      </c>
      <c r="CN17" s="198">
        <v>0.34720000000000001</v>
      </c>
      <c r="CO17" s="198">
        <v>0.33461999999999997</v>
      </c>
      <c r="CP17" s="198">
        <v>0.33798</v>
      </c>
      <c r="CQ17" s="198">
        <v>0.33334000000000003</v>
      </c>
      <c r="CR17" s="198">
        <v>0.32307999999999998</v>
      </c>
      <c r="CS17" s="198">
        <v>0.29104000000000002</v>
      </c>
      <c r="CT17" s="198">
        <v>0.28377999999999998</v>
      </c>
      <c r="CV17" s="197" t="s">
        <v>719</v>
      </c>
      <c r="CW17" s="198">
        <v>0.40895999999999999</v>
      </c>
      <c r="CX17" s="198">
        <v>0.39912999999999998</v>
      </c>
      <c r="CY17" s="198">
        <v>0.38479999999999998</v>
      </c>
      <c r="CZ17" s="198">
        <v>0.37436000000000003</v>
      </c>
      <c r="DA17" s="198">
        <v>0.37579000000000001</v>
      </c>
      <c r="DB17" s="198">
        <v>0.37254999999999999</v>
      </c>
      <c r="DC17" s="198">
        <v>0.36098000000000002</v>
      </c>
      <c r="DD17" s="198">
        <v>0.34376000000000001</v>
      </c>
      <c r="DE17" s="198">
        <v>0.33037</v>
      </c>
      <c r="DF17" s="198">
        <v>0.34316999999999998</v>
      </c>
      <c r="DG17" s="198">
        <v>0.34332000000000001</v>
      </c>
      <c r="DH17" s="198">
        <v>0.34322000000000003</v>
      </c>
      <c r="DI17" s="191"/>
      <c r="DJ17" s="197" t="s">
        <v>719</v>
      </c>
      <c r="DK17" s="198">
        <v>0.44285999999999998</v>
      </c>
      <c r="DL17" s="198">
        <v>0.45423999999999998</v>
      </c>
      <c r="DM17" s="198">
        <v>0.46706999999999999</v>
      </c>
      <c r="DN17" s="198">
        <v>0.47242000000000001</v>
      </c>
      <c r="DO17" s="198">
        <v>0.47722999999999999</v>
      </c>
      <c r="DP17" s="198">
        <v>0.47214</v>
      </c>
      <c r="DQ17" s="198">
        <v>0.46627999999999997</v>
      </c>
      <c r="DR17" s="198">
        <v>0.46314</v>
      </c>
      <c r="DS17" s="198">
        <v>0.43897000000000003</v>
      </c>
      <c r="DT17" s="198">
        <v>0.44988</v>
      </c>
      <c r="DU17" s="198">
        <v>0.45040000000000002</v>
      </c>
      <c r="DV17" s="198">
        <v>0.42766999999999999</v>
      </c>
      <c r="DW17" s="191"/>
      <c r="DX17" s="197" t="s">
        <v>719</v>
      </c>
      <c r="DY17" s="198">
        <v>0.56869999999999998</v>
      </c>
      <c r="DZ17" s="198">
        <v>0.55656000000000005</v>
      </c>
      <c r="EA17" s="198">
        <v>0.55137000000000003</v>
      </c>
      <c r="EB17" s="198">
        <v>0.55747000000000002</v>
      </c>
      <c r="EC17" s="198">
        <v>0.53425999999999996</v>
      </c>
      <c r="ED17" s="198">
        <v>0.51854</v>
      </c>
      <c r="EE17" s="198">
        <v>0.51568000000000003</v>
      </c>
      <c r="EF17" s="198">
        <v>0.49068000000000001</v>
      </c>
      <c r="EG17" s="198">
        <v>0.49481999999999998</v>
      </c>
      <c r="EH17" s="198">
        <v>0.50139999999999996</v>
      </c>
      <c r="EI17" s="198">
        <v>0.49434</v>
      </c>
      <c r="EJ17" s="198">
        <v>0.46493000000000001</v>
      </c>
      <c r="EK17" s="191"/>
      <c r="EL17" s="197" t="s">
        <v>719</v>
      </c>
      <c r="EM17" s="198">
        <v>0.56477999999999995</v>
      </c>
      <c r="EN17" s="198">
        <v>0.57382</v>
      </c>
      <c r="EO17" s="198">
        <v>0.56079000000000001</v>
      </c>
      <c r="EP17" s="198">
        <v>0.56872999999999996</v>
      </c>
      <c r="EQ17" s="198">
        <v>0.53647999999999996</v>
      </c>
      <c r="ER17" s="198">
        <v>0.55313000000000001</v>
      </c>
      <c r="ES17" s="198">
        <v>0.55815999999999999</v>
      </c>
      <c r="ET17" s="198">
        <v>0.55062999999999995</v>
      </c>
      <c r="EU17" s="198">
        <v>0.55630000000000002</v>
      </c>
      <c r="EV17" s="198">
        <v>0.55725999999999998</v>
      </c>
      <c r="EW17" s="198">
        <v>0.55952999999999997</v>
      </c>
      <c r="EX17" s="198">
        <v>0.56035000000000001</v>
      </c>
      <c r="EY17" s="191"/>
      <c r="EZ17" s="197" t="s">
        <v>719</v>
      </c>
      <c r="FA17" s="198">
        <v>0.62417999999999996</v>
      </c>
      <c r="FB17" s="198">
        <v>0.62526999999999999</v>
      </c>
      <c r="FC17" s="198">
        <v>0.64798</v>
      </c>
      <c r="FD17" s="198">
        <v>0.65898000000000001</v>
      </c>
      <c r="FE17" s="198">
        <v>0.62656999999999996</v>
      </c>
      <c r="FF17" s="198">
        <v>0.61660000000000004</v>
      </c>
      <c r="FG17" s="198">
        <v>0.59411000000000003</v>
      </c>
      <c r="FH17" s="198">
        <v>0.58167000000000002</v>
      </c>
      <c r="FI17" s="198">
        <v>0.53703000000000001</v>
      </c>
      <c r="FJ17" s="198">
        <v>0.56840999999999997</v>
      </c>
      <c r="FK17" s="198">
        <v>0.54666000000000003</v>
      </c>
      <c r="FL17" s="198">
        <v>0.53</v>
      </c>
      <c r="FM17" s="191"/>
      <c r="FN17" s="197" t="s">
        <v>719</v>
      </c>
      <c r="FO17" s="198">
        <v>0.67159000000000002</v>
      </c>
      <c r="FP17" s="198">
        <v>0.64675000000000005</v>
      </c>
      <c r="FQ17" s="198">
        <v>0.65669</v>
      </c>
      <c r="FR17" s="198">
        <v>0.67335999999999996</v>
      </c>
      <c r="FS17" s="198">
        <v>0.63593</v>
      </c>
      <c r="FT17" s="198">
        <v>0.63166999999999995</v>
      </c>
      <c r="FU17" s="198">
        <v>0.66110999999999998</v>
      </c>
      <c r="FV17" s="198">
        <v>0.66110000000000002</v>
      </c>
      <c r="FW17" s="198">
        <v>0.66110000000000002</v>
      </c>
      <c r="FX17" s="198">
        <v>0.66110000000000002</v>
      </c>
      <c r="FY17" s="198">
        <v>0.66110000000000002</v>
      </c>
      <c r="FZ17" s="198">
        <v>0.66110000000000002</v>
      </c>
      <c r="GA17" s="191"/>
      <c r="GB17" s="197" t="s">
        <v>719</v>
      </c>
      <c r="GC17" s="198">
        <v>0.61350000000000005</v>
      </c>
      <c r="GD17" s="198">
        <v>0.59258999999999995</v>
      </c>
      <c r="GE17" s="198">
        <v>0.58735000000000004</v>
      </c>
      <c r="GF17" s="198">
        <v>0.62488999999999995</v>
      </c>
      <c r="GG17" s="198">
        <v>0.64880000000000004</v>
      </c>
      <c r="GH17" s="198">
        <v>0.65178000000000003</v>
      </c>
      <c r="GI17" s="198">
        <v>0.67613000000000001</v>
      </c>
      <c r="GJ17" s="198">
        <v>0.66522999999999999</v>
      </c>
      <c r="GK17" s="198">
        <v>0.67439000000000004</v>
      </c>
      <c r="GL17" s="198">
        <v>0.66881000000000002</v>
      </c>
      <c r="GM17" s="198">
        <v>0.65339000000000003</v>
      </c>
      <c r="GN17" s="198">
        <v>0.66932000000000003</v>
      </c>
      <c r="GO17" s="191"/>
      <c r="GP17" s="197" t="s">
        <v>719</v>
      </c>
      <c r="GQ17" s="198">
        <v>0.85121000000000002</v>
      </c>
      <c r="GR17" s="198">
        <v>0.84480999999999995</v>
      </c>
      <c r="GS17" s="198">
        <v>0.74811000000000005</v>
      </c>
      <c r="GT17" s="198">
        <v>0.77507000000000004</v>
      </c>
      <c r="GU17" s="198">
        <v>0.82284000000000002</v>
      </c>
      <c r="GV17" s="198">
        <v>0.81499999999999995</v>
      </c>
      <c r="GW17" s="198">
        <v>0.85580000000000001</v>
      </c>
      <c r="GX17" s="198">
        <v>0.84302999999999995</v>
      </c>
      <c r="GY17" s="198">
        <v>0.79378000000000004</v>
      </c>
      <c r="GZ17" s="198">
        <v>0.64990000000000003</v>
      </c>
      <c r="HA17" s="198">
        <v>0.63593</v>
      </c>
      <c r="HB17" s="198">
        <v>0.65715999999999997</v>
      </c>
      <c r="HC17" s="191"/>
      <c r="HD17" s="197" t="s">
        <v>719</v>
      </c>
      <c r="HE17" s="198">
        <v>0.69967000000000001</v>
      </c>
      <c r="HF17" s="198">
        <v>0.70618999999999998</v>
      </c>
      <c r="HG17" s="198">
        <v>0.71748999999999996</v>
      </c>
      <c r="HH17" s="198">
        <v>0.74850000000000005</v>
      </c>
      <c r="HI17" s="198">
        <v>0.75160000000000005</v>
      </c>
      <c r="HJ17" s="198">
        <v>0.76092000000000004</v>
      </c>
      <c r="HK17" s="198">
        <v>0.76944000000000001</v>
      </c>
      <c r="HL17" s="198">
        <v>0.76393999999999995</v>
      </c>
      <c r="HM17" s="198">
        <v>0.82369000000000003</v>
      </c>
      <c r="HN17" s="198">
        <v>0.84167999999999998</v>
      </c>
      <c r="HO17" s="198">
        <v>0.84140000000000004</v>
      </c>
      <c r="HP17" s="198">
        <v>0.85360999999999998</v>
      </c>
      <c r="HQ17" s="191"/>
      <c r="HR17" s="197" t="s">
        <v>719</v>
      </c>
      <c r="HS17" s="198">
        <v>0.75568999999999997</v>
      </c>
      <c r="HT17" s="198">
        <v>0.76075000000000004</v>
      </c>
      <c r="HU17" s="198">
        <v>0.73970000000000002</v>
      </c>
      <c r="HV17" s="198">
        <v>0.75651999999999997</v>
      </c>
      <c r="HW17" s="198">
        <v>0.64475000000000005</v>
      </c>
      <c r="HX17" s="198">
        <v>0.62444999999999995</v>
      </c>
      <c r="HY17" s="198">
        <v>0.67001999999999995</v>
      </c>
      <c r="HZ17" s="198">
        <v>0.68247999999999998</v>
      </c>
      <c r="IA17" s="198">
        <v>0.66346000000000005</v>
      </c>
      <c r="IB17" s="198">
        <v>0.68516999999999995</v>
      </c>
      <c r="IC17" s="198">
        <v>0.68293999999999999</v>
      </c>
      <c r="ID17" s="198">
        <v>0.70645999999999998</v>
      </c>
      <c r="IE17" s="191"/>
      <c r="IF17" s="197" t="s">
        <v>719</v>
      </c>
      <c r="IG17" s="198">
        <v>7.5000000000000002E-4</v>
      </c>
      <c r="IH17" s="198">
        <v>7.6999999999999996E-4</v>
      </c>
      <c r="II17" s="198">
        <v>7.2999999999999996E-4</v>
      </c>
      <c r="IJ17" s="198">
        <v>7.1000000000000002E-4</v>
      </c>
      <c r="IK17" s="198">
        <v>7.2999999999999996E-4</v>
      </c>
      <c r="IL17" s="198">
        <v>7.5000000000000002E-4</v>
      </c>
      <c r="IM17" s="198">
        <v>7.5000000000000002E-4</v>
      </c>
      <c r="IN17" s="198">
        <v>7.3999999999999999E-4</v>
      </c>
      <c r="IO17" s="198">
        <v>7.3999999999999999E-4</v>
      </c>
      <c r="IP17" s="198">
        <v>7.3999999999999999E-4</v>
      </c>
      <c r="IQ17" s="198">
        <v>7.3999999999999999E-4</v>
      </c>
      <c r="IR17" s="198">
        <v>7.3999999999999999E-4</v>
      </c>
    </row>
    <row r="18" spans="1:252" ht="20.100000000000001" customHeight="1">
      <c r="A18" s="12" t="s">
        <v>720</v>
      </c>
      <c r="B18" s="197" t="s">
        <v>720</v>
      </c>
      <c r="C18" s="198">
        <v>3.15E-3</v>
      </c>
      <c r="D18" s="198">
        <v>3.0300000000000001E-3</v>
      </c>
      <c r="E18" s="198">
        <v>3.0300000000000001E-3</v>
      </c>
      <c r="F18" s="198">
        <v>2.7899999999999999E-3</v>
      </c>
      <c r="G18" s="198">
        <v>2.7000000000000001E-3</v>
      </c>
      <c r="H18" s="198">
        <v>2.63E-3</v>
      </c>
      <c r="I18" s="198">
        <v>2.5200000000000001E-3</v>
      </c>
      <c r="J18" s="198">
        <v>2.5000000000000001E-3</v>
      </c>
      <c r="K18" s="198">
        <v>2.32E-3</v>
      </c>
      <c r="L18" s="198">
        <v>2.4099999999999998E-3</v>
      </c>
      <c r="M18" s="198">
        <v>2.5100000000000001E-3</v>
      </c>
      <c r="N18" s="198">
        <v>2.66E-3</v>
      </c>
      <c r="P18" s="433" t="s">
        <v>720</v>
      </c>
      <c r="Q18" s="434">
        <v>3.3999999999999998E-3</v>
      </c>
      <c r="R18" s="434">
        <v>3.3500000000000001E-3</v>
      </c>
      <c r="S18" s="434">
        <v>3.2399999999999998E-3</v>
      </c>
      <c r="T18" s="434">
        <v>3.3400000000000001E-3</v>
      </c>
      <c r="U18" s="434">
        <v>3.5200000000000001E-3</v>
      </c>
      <c r="V18" s="434">
        <v>3.3800000000000002E-3</v>
      </c>
      <c r="W18" s="434">
        <v>3.32E-3</v>
      </c>
      <c r="X18" s="434">
        <v>3.3800000000000002E-3</v>
      </c>
      <c r="Y18" s="434">
        <v>3.2299999999999998E-3</v>
      </c>
      <c r="Z18" s="434">
        <v>3.2200000000000002E-3</v>
      </c>
      <c r="AA18" s="434">
        <v>3.0799999999999998E-3</v>
      </c>
      <c r="AB18" s="434">
        <v>3.0799999999999998E-3</v>
      </c>
      <c r="AD18" s="197"/>
      <c r="AE18" s="198"/>
      <c r="AF18" s="198"/>
      <c r="AG18" s="198"/>
      <c r="AH18" s="198"/>
      <c r="AI18" s="198"/>
      <c r="AJ18" s="198"/>
      <c r="AK18" s="198"/>
      <c r="AL18" s="198"/>
      <c r="AM18" s="198"/>
      <c r="AN18" s="198"/>
      <c r="AO18" s="198"/>
      <c r="AP18" s="198"/>
      <c r="AR18" s="197"/>
      <c r="AS18" s="198"/>
      <c r="AT18" s="198"/>
      <c r="AU18" s="198"/>
      <c r="AV18" s="198"/>
      <c r="AW18" s="198"/>
      <c r="AX18" s="198"/>
      <c r="AY18" s="198"/>
      <c r="AZ18" s="198"/>
      <c r="BA18" s="198"/>
      <c r="BB18" s="198"/>
      <c r="BC18" s="198"/>
      <c r="BD18" s="198"/>
      <c r="BF18" s="197"/>
      <c r="BG18" s="198"/>
      <c r="BH18" s="198"/>
      <c r="BI18" s="198"/>
      <c r="BJ18" s="198"/>
      <c r="BK18" s="198"/>
      <c r="BL18" s="198"/>
      <c r="BM18" s="198"/>
      <c r="BN18" s="198"/>
      <c r="BO18" s="198"/>
      <c r="BP18" s="198"/>
      <c r="BQ18" s="198"/>
      <c r="BR18" s="198"/>
      <c r="BT18" s="197"/>
      <c r="BU18" s="198"/>
      <c r="BV18" s="198"/>
      <c r="BW18" s="198"/>
      <c r="BX18" s="198"/>
      <c r="BY18" s="198"/>
      <c r="BZ18" s="198"/>
      <c r="CA18" s="198"/>
      <c r="CB18" s="198"/>
      <c r="CC18" s="198"/>
      <c r="CD18" s="198"/>
      <c r="CE18" s="198"/>
      <c r="CF18" s="198"/>
      <c r="CH18" s="197"/>
      <c r="CI18" s="198"/>
      <c r="CJ18" s="198"/>
      <c r="CK18" s="198"/>
      <c r="CL18" s="198"/>
      <c r="CM18" s="198"/>
      <c r="CN18" s="198"/>
      <c r="CO18" s="198"/>
      <c r="CP18" s="198"/>
      <c r="CQ18" s="198"/>
      <c r="CR18" s="198"/>
      <c r="CS18" s="198"/>
      <c r="CT18" s="198"/>
      <c r="CV18" s="197"/>
      <c r="CW18" s="198"/>
      <c r="CX18" s="198"/>
      <c r="CY18" s="198"/>
      <c r="CZ18" s="198"/>
      <c r="DA18" s="198"/>
      <c r="DB18" s="198"/>
      <c r="DC18" s="198"/>
      <c r="DD18" s="198"/>
      <c r="DE18" s="198"/>
      <c r="DF18" s="198"/>
      <c r="DG18" s="198"/>
      <c r="DH18" s="198"/>
      <c r="DI18" s="191"/>
      <c r="DJ18" s="197"/>
      <c r="DK18" s="198"/>
      <c r="DL18" s="198"/>
      <c r="DM18" s="198"/>
      <c r="DN18" s="198"/>
      <c r="DO18" s="198"/>
      <c r="DP18" s="198"/>
      <c r="DQ18" s="198"/>
      <c r="DR18" s="198"/>
      <c r="DS18" s="198"/>
      <c r="DT18" s="198"/>
      <c r="DU18" s="198"/>
      <c r="DV18" s="198"/>
      <c r="DW18" s="191"/>
      <c r="DX18" s="197"/>
      <c r="DY18" s="198"/>
      <c r="DZ18" s="198"/>
      <c r="EA18" s="198"/>
      <c r="EB18" s="198"/>
      <c r="EC18" s="198"/>
      <c r="ED18" s="198"/>
      <c r="EE18" s="198"/>
      <c r="EF18" s="198"/>
      <c r="EG18" s="198"/>
      <c r="EH18" s="198"/>
      <c r="EI18" s="198"/>
      <c r="EJ18" s="198"/>
      <c r="EK18" s="191"/>
      <c r="EL18" s="197"/>
      <c r="EM18" s="198"/>
      <c r="EN18" s="198"/>
      <c r="EO18" s="198"/>
      <c r="EP18" s="198"/>
      <c r="EQ18" s="198"/>
      <c r="ER18" s="198"/>
      <c r="ES18" s="198"/>
      <c r="ET18" s="198"/>
      <c r="EU18" s="198"/>
      <c r="EV18" s="198"/>
      <c r="EW18" s="198"/>
      <c r="EX18" s="198"/>
      <c r="EY18" s="191"/>
      <c r="EZ18" s="197"/>
      <c r="FA18" s="198"/>
      <c r="FB18" s="198"/>
      <c r="FC18" s="198"/>
      <c r="FD18" s="198"/>
      <c r="FE18" s="198"/>
      <c r="FF18" s="198"/>
      <c r="FG18" s="198"/>
      <c r="FH18" s="198"/>
      <c r="FI18" s="198"/>
      <c r="FJ18" s="198"/>
      <c r="FK18" s="198"/>
      <c r="FL18" s="198"/>
      <c r="FM18" s="191"/>
      <c r="FN18" s="197"/>
      <c r="FO18" s="198"/>
      <c r="FP18" s="198"/>
      <c r="FQ18" s="198"/>
      <c r="FR18" s="198"/>
      <c r="FS18" s="198"/>
      <c r="FT18" s="198"/>
      <c r="FU18" s="198"/>
      <c r="FV18" s="198"/>
      <c r="FW18" s="198"/>
      <c r="FX18" s="198"/>
      <c r="FY18" s="198"/>
      <c r="FZ18" s="198"/>
      <c r="GA18" s="191"/>
      <c r="GB18" s="197"/>
      <c r="GC18" s="198"/>
      <c r="GD18" s="198"/>
      <c r="GE18" s="198"/>
      <c r="GF18" s="198"/>
      <c r="GG18" s="198"/>
      <c r="GH18" s="198"/>
      <c r="GI18" s="198"/>
      <c r="GJ18" s="198"/>
      <c r="GK18" s="198"/>
      <c r="GL18" s="198"/>
      <c r="GM18" s="198"/>
      <c r="GN18" s="198"/>
      <c r="GO18" s="191"/>
      <c r="GP18" s="197"/>
      <c r="GQ18" s="198"/>
      <c r="GR18" s="198"/>
      <c r="GS18" s="198"/>
      <c r="GT18" s="198"/>
      <c r="GU18" s="198"/>
      <c r="GV18" s="198"/>
      <c r="GW18" s="198"/>
      <c r="GX18" s="198"/>
      <c r="GY18" s="198"/>
      <c r="GZ18" s="198"/>
      <c r="HA18" s="198"/>
      <c r="HB18" s="198"/>
      <c r="HC18" s="191"/>
      <c r="HD18" s="197"/>
      <c r="HE18" s="198"/>
      <c r="HF18" s="198"/>
      <c r="HG18" s="198"/>
      <c r="HH18" s="198"/>
      <c r="HI18" s="198"/>
      <c r="HJ18" s="198"/>
      <c r="HK18" s="198"/>
      <c r="HL18" s="198"/>
      <c r="HM18" s="198"/>
      <c r="HN18" s="198"/>
      <c r="HO18" s="198"/>
      <c r="HP18" s="198"/>
      <c r="HQ18" s="191"/>
      <c r="HR18" s="197"/>
      <c r="HS18" s="198"/>
      <c r="HT18" s="198"/>
      <c r="HU18" s="198"/>
      <c r="HV18" s="198"/>
      <c r="HW18" s="198"/>
      <c r="HX18" s="198"/>
      <c r="HY18" s="198"/>
      <c r="HZ18" s="198"/>
      <c r="IA18" s="198"/>
      <c r="IB18" s="198"/>
      <c r="IC18" s="198"/>
      <c r="ID18" s="198"/>
      <c r="IE18" s="191"/>
      <c r="IF18" s="197"/>
      <c r="IG18" s="198"/>
      <c r="IH18" s="198"/>
      <c r="II18" s="198"/>
      <c r="IJ18" s="198"/>
      <c r="IK18" s="198"/>
      <c r="IL18" s="198"/>
      <c r="IM18" s="198"/>
      <c r="IN18" s="198"/>
      <c r="IO18" s="198"/>
      <c r="IP18" s="198"/>
      <c r="IQ18" s="198"/>
      <c r="IR18" s="198"/>
    </row>
    <row r="19" spans="1:252" ht="20.100000000000001" customHeight="1">
      <c r="A19" s="12" t="s">
        <v>721</v>
      </c>
      <c r="B19" s="197" t="s">
        <v>721</v>
      </c>
      <c r="C19" s="198">
        <v>1.34E-2</v>
      </c>
      <c r="D19" s="198">
        <v>1.3270000000000001E-2</v>
      </c>
      <c r="E19" s="198">
        <v>1.321E-2</v>
      </c>
      <c r="F19" s="198">
        <v>1.308E-2</v>
      </c>
      <c r="G19" s="198">
        <v>1.2869999999999999E-2</v>
      </c>
      <c r="H19" s="198">
        <v>1.2659999999999999E-2</v>
      </c>
      <c r="I19" s="198">
        <v>1.261E-2</v>
      </c>
      <c r="J19" s="198">
        <v>1.259E-2</v>
      </c>
      <c r="K19" s="198">
        <v>1.2279999999999999E-2</v>
      </c>
      <c r="L19" s="198">
        <v>1.2070000000000001E-2</v>
      </c>
      <c r="M19" s="198">
        <v>1.231E-2</v>
      </c>
      <c r="N19" s="198">
        <v>1.21E-2</v>
      </c>
      <c r="P19" s="433" t="s">
        <v>721</v>
      </c>
      <c r="Q19" s="434">
        <v>1.371E-2</v>
      </c>
      <c r="R19" s="434">
        <v>1.3610000000000001E-2</v>
      </c>
      <c r="S19" s="434">
        <v>1.3679999999999999E-2</v>
      </c>
      <c r="T19" s="434">
        <v>1.35E-2</v>
      </c>
      <c r="U19" s="434">
        <v>1.3769999999999999E-2</v>
      </c>
      <c r="V19" s="434">
        <v>1.345E-2</v>
      </c>
      <c r="W19" s="434">
        <v>1.3440000000000001E-2</v>
      </c>
      <c r="X19" s="434">
        <v>1.37E-2</v>
      </c>
      <c r="Y19" s="434">
        <v>1.346E-2</v>
      </c>
      <c r="Z19" s="434">
        <v>1.3350000000000001E-2</v>
      </c>
      <c r="AA19" s="434">
        <v>1.3299999999999999E-2</v>
      </c>
      <c r="AB19" s="434">
        <v>1.346E-2</v>
      </c>
      <c r="AD19" s="197" t="s">
        <v>721</v>
      </c>
      <c r="AE19" s="198">
        <v>1.397E-2</v>
      </c>
      <c r="AF19" s="198">
        <v>1.384E-2</v>
      </c>
      <c r="AG19" s="198">
        <v>1.3259999999999999E-2</v>
      </c>
      <c r="AH19" s="198">
        <v>1.332E-2</v>
      </c>
      <c r="AI19" s="198">
        <v>1.3220000000000001E-2</v>
      </c>
      <c r="AJ19" s="198">
        <v>1.324E-2</v>
      </c>
      <c r="AK19" s="198">
        <v>1.337E-2</v>
      </c>
      <c r="AL19" s="198">
        <v>1.358E-2</v>
      </c>
      <c r="AM19" s="198">
        <v>1.355E-2</v>
      </c>
      <c r="AN19" s="198">
        <v>1.349E-2</v>
      </c>
      <c r="AO19" s="198">
        <v>1.35E-2</v>
      </c>
      <c r="AP19" s="198">
        <v>1.3679999999999999E-2</v>
      </c>
      <c r="AR19" s="197" t="s">
        <v>721</v>
      </c>
      <c r="AS19" s="198">
        <v>1.409E-2</v>
      </c>
      <c r="AT19" s="198">
        <v>1.4120000000000001E-2</v>
      </c>
      <c r="AU19" s="198">
        <v>1.443E-2</v>
      </c>
      <c r="AV19" s="198">
        <v>1.4370000000000001E-2</v>
      </c>
      <c r="AW19" s="198">
        <v>1.4370000000000001E-2</v>
      </c>
      <c r="AX19" s="198">
        <v>1.4500000000000001E-2</v>
      </c>
      <c r="AY19" s="198">
        <v>1.453E-2</v>
      </c>
      <c r="AZ19" s="198">
        <v>1.396E-2</v>
      </c>
      <c r="BA19" s="198">
        <v>1.4149999999999999E-2</v>
      </c>
      <c r="BB19" s="198">
        <v>1.406E-2</v>
      </c>
      <c r="BC19" s="198">
        <v>1.3939999999999999E-2</v>
      </c>
      <c r="BD19" s="198">
        <v>1.404E-2</v>
      </c>
      <c r="BF19" s="197" t="s">
        <v>721</v>
      </c>
      <c r="BG19" s="198">
        <v>1.5709999999999998E-2</v>
      </c>
      <c r="BH19" s="198">
        <v>1.5339999999999999E-2</v>
      </c>
      <c r="BI19" s="198">
        <v>1.5350000000000001E-2</v>
      </c>
      <c r="BJ19" s="198">
        <v>1.504E-2</v>
      </c>
      <c r="BK19" s="198">
        <v>1.4829999999999999E-2</v>
      </c>
      <c r="BL19" s="198">
        <v>1.461E-2</v>
      </c>
      <c r="BM19" s="198">
        <v>1.46E-2</v>
      </c>
      <c r="BN19" s="198">
        <v>1.4120000000000001E-2</v>
      </c>
      <c r="BO19" s="198">
        <v>1.379E-2</v>
      </c>
      <c r="BP19" s="198">
        <v>1.35E-2</v>
      </c>
      <c r="BQ19" s="198">
        <v>1.434E-2</v>
      </c>
      <c r="BR19" s="198">
        <v>1.438E-2</v>
      </c>
      <c r="BT19" s="197" t="s">
        <v>721</v>
      </c>
      <c r="BU19" s="198">
        <v>1.481E-2</v>
      </c>
      <c r="BV19" s="198">
        <v>1.4999999999999999E-2</v>
      </c>
      <c r="BW19" s="198">
        <v>1.5429999999999999E-2</v>
      </c>
      <c r="BX19" s="198">
        <v>1.5570000000000001E-2</v>
      </c>
      <c r="BY19" s="198">
        <v>1.5509999999999999E-2</v>
      </c>
      <c r="BZ19" s="198">
        <v>1.5480000000000001E-2</v>
      </c>
      <c r="CA19" s="198">
        <v>1.559E-2</v>
      </c>
      <c r="CB19" s="198">
        <v>1.5630000000000002E-2</v>
      </c>
      <c r="CC19" s="198">
        <v>1.5299999999999999E-2</v>
      </c>
      <c r="CD19" s="198">
        <v>1.546E-2</v>
      </c>
      <c r="CE19" s="198">
        <v>1.549E-2</v>
      </c>
      <c r="CF19" s="198">
        <v>1.566E-2</v>
      </c>
      <c r="CH19" s="197" t="s">
        <v>721</v>
      </c>
      <c r="CI19" s="198"/>
      <c r="CJ19" s="198"/>
      <c r="CK19" s="198"/>
      <c r="CL19" s="198"/>
      <c r="CM19" s="198"/>
      <c r="CN19" s="198"/>
      <c r="CO19" s="198"/>
      <c r="CP19" s="198"/>
      <c r="CQ19" s="198"/>
      <c r="CR19" s="198"/>
      <c r="CS19" s="198"/>
      <c r="CT19" s="198"/>
      <c r="CV19" s="197" t="s">
        <v>721</v>
      </c>
      <c r="CW19" s="198"/>
      <c r="CX19" s="198"/>
      <c r="CY19" s="198"/>
      <c r="CZ19" s="198"/>
      <c r="DA19" s="198"/>
      <c r="DB19" s="198"/>
      <c r="DC19" s="198"/>
      <c r="DD19" s="198"/>
      <c r="DE19" s="198"/>
      <c r="DF19" s="198"/>
      <c r="DG19" s="198"/>
      <c r="DH19" s="198"/>
      <c r="DJ19" s="197" t="s">
        <v>721</v>
      </c>
      <c r="DK19" s="198"/>
      <c r="DL19" s="198"/>
      <c r="DM19" s="198"/>
      <c r="DN19" s="198"/>
      <c r="DO19" s="198"/>
      <c r="DP19" s="198"/>
      <c r="DQ19" s="198"/>
      <c r="DR19" s="198"/>
      <c r="DS19" s="198"/>
      <c r="DT19" s="198"/>
      <c r="DU19" s="198"/>
      <c r="DV19" s="198"/>
      <c r="DX19" s="197" t="s">
        <v>721</v>
      </c>
      <c r="DY19" s="198"/>
      <c r="DZ19" s="198"/>
      <c r="EA19" s="198"/>
      <c r="EB19" s="198"/>
      <c r="EC19" s="198"/>
      <c r="ED19" s="198"/>
      <c r="EE19" s="198"/>
      <c r="EF19" s="198"/>
      <c r="EG19" s="198"/>
      <c r="EH19" s="198"/>
      <c r="EI19" s="198"/>
      <c r="EJ19" s="198"/>
      <c r="EL19" s="197" t="s">
        <v>721</v>
      </c>
      <c r="EM19" s="198"/>
      <c r="EN19" s="198"/>
      <c r="EO19" s="198"/>
      <c r="EP19" s="198"/>
      <c r="EQ19" s="198"/>
      <c r="ER19" s="198"/>
      <c r="ES19" s="198"/>
      <c r="ET19" s="198"/>
      <c r="EU19" s="198"/>
      <c r="EV19" s="198"/>
      <c r="EW19" s="198"/>
      <c r="EX19" s="198"/>
      <c r="EZ19" s="197" t="s">
        <v>721</v>
      </c>
      <c r="FA19" s="198"/>
      <c r="FB19" s="198"/>
      <c r="FC19" s="198"/>
      <c r="FD19" s="198"/>
      <c r="FE19" s="198"/>
      <c r="FF19" s="198"/>
      <c r="FG19" s="198"/>
      <c r="FH19" s="198"/>
      <c r="FI19" s="198"/>
      <c r="FJ19" s="198"/>
      <c r="FK19" s="198"/>
      <c r="FL19" s="198"/>
      <c r="FN19" s="197" t="s">
        <v>721</v>
      </c>
      <c r="FO19" s="198"/>
      <c r="FP19" s="198"/>
      <c r="FQ19" s="198"/>
      <c r="FR19" s="198"/>
      <c r="FS19" s="198"/>
      <c r="FT19" s="198"/>
      <c r="FU19" s="198"/>
      <c r="FV19" s="198"/>
      <c r="FW19" s="198"/>
      <c r="FX19" s="198"/>
      <c r="FY19" s="198"/>
      <c r="FZ19" s="198"/>
      <c r="GB19" s="197" t="s">
        <v>721</v>
      </c>
      <c r="GC19" s="198"/>
      <c r="GD19" s="198"/>
      <c r="GE19" s="198"/>
      <c r="GF19" s="198"/>
      <c r="GG19" s="198"/>
      <c r="GH19" s="198"/>
      <c r="GI19" s="198"/>
      <c r="GJ19" s="198"/>
      <c r="GK19" s="198"/>
      <c r="GL19" s="198"/>
      <c r="GM19" s="198"/>
      <c r="GN19" s="198"/>
      <c r="GP19" s="197" t="s">
        <v>721</v>
      </c>
      <c r="GQ19" s="198"/>
      <c r="GR19" s="198"/>
      <c r="GS19" s="198"/>
      <c r="GT19" s="198"/>
      <c r="GU19" s="198"/>
      <c r="GV19" s="198"/>
      <c r="GW19" s="198"/>
      <c r="GX19" s="198"/>
      <c r="GY19" s="198"/>
      <c r="GZ19" s="198"/>
      <c r="HA19" s="198"/>
      <c r="HB19" s="198"/>
      <c r="HD19" s="197" t="s">
        <v>721</v>
      </c>
      <c r="HE19" s="198"/>
      <c r="HF19" s="198"/>
      <c r="HG19" s="198"/>
      <c r="HH19" s="198"/>
      <c r="HI19" s="198"/>
      <c r="HJ19" s="198"/>
      <c r="HK19" s="198"/>
      <c r="HL19" s="198"/>
      <c r="HM19" s="198"/>
      <c r="HN19" s="198"/>
      <c r="HO19" s="198"/>
      <c r="HP19" s="198"/>
      <c r="HR19" s="197" t="s">
        <v>721</v>
      </c>
      <c r="HS19" s="198"/>
      <c r="HT19" s="198"/>
      <c r="HU19" s="198"/>
      <c r="HV19" s="198"/>
      <c r="HW19" s="198"/>
      <c r="HX19" s="198"/>
      <c r="HY19" s="198"/>
      <c r="HZ19" s="198"/>
      <c r="IA19" s="198"/>
      <c r="IB19" s="198"/>
      <c r="IC19" s="198"/>
      <c r="ID19" s="198"/>
      <c r="IF19" s="197" t="s">
        <v>721</v>
      </c>
      <c r="IG19" s="198"/>
      <c r="IH19" s="198"/>
      <c r="II19" s="198"/>
      <c r="IJ19" s="198"/>
      <c r="IK19" s="198"/>
      <c r="IL19" s="198"/>
      <c r="IM19" s="198"/>
      <c r="IN19" s="198"/>
      <c r="IO19" s="198"/>
      <c r="IP19" s="198"/>
      <c r="IQ19" s="198"/>
      <c r="IR19" s="198"/>
    </row>
    <row r="20" spans="1:252" ht="20.100000000000001" customHeight="1">
      <c r="A20" s="12" t="s">
        <v>722</v>
      </c>
      <c r="B20" s="197" t="s">
        <v>722</v>
      </c>
      <c r="C20" s="198">
        <v>6.9570000000000013E-5</v>
      </c>
      <c r="D20" s="198">
        <v>6.9540000000000002E-5</v>
      </c>
      <c r="E20" s="198">
        <v>6.9620000000000001E-5</v>
      </c>
      <c r="F20" s="198">
        <v>6.9059999999999993E-5</v>
      </c>
      <c r="G20" s="198">
        <v>6.8659999999999997E-5</v>
      </c>
      <c r="H20" s="198">
        <v>6.711E-5</v>
      </c>
      <c r="I20" s="198">
        <f>0.06741/1000</f>
        <v>6.7409999999999993E-5</v>
      </c>
      <c r="J20" s="198">
        <f>0.06736/1000</f>
        <v>6.7360000000000006E-5</v>
      </c>
      <c r="K20" s="198">
        <f>0.06567/1000</f>
        <v>6.567E-5</v>
      </c>
      <c r="L20" s="198">
        <f>0.06411/1000</f>
        <v>6.4109999999999994E-5</v>
      </c>
      <c r="M20" s="198">
        <f>0.06356/1000</f>
        <v>6.3560000000000008E-5</v>
      </c>
      <c r="N20" s="198">
        <f>0.06421/1000</f>
        <v>6.4209999999999997E-5</v>
      </c>
      <c r="P20" s="433" t="s">
        <v>722</v>
      </c>
      <c r="Q20" s="434">
        <f>0.07125/1000</f>
        <v>7.1249999999999997E-5</v>
      </c>
      <c r="R20" s="434">
        <f>0.07021/1000</f>
        <v>7.0209999999999994E-5</v>
      </c>
      <c r="S20" s="434">
        <f>0.06881/1000</f>
        <v>6.881E-5</v>
      </c>
      <c r="T20" s="434">
        <f>0.06923/1000</f>
        <v>6.923E-5</v>
      </c>
      <c r="U20" s="434">
        <f>0.07003/1000</f>
        <v>7.0029999999999992E-5</v>
      </c>
      <c r="V20" s="434">
        <f>0.06896/1000</f>
        <v>6.895999999999999E-5</v>
      </c>
      <c r="W20" s="434">
        <f>0.06914/1000</f>
        <v>6.9139999999999992E-5</v>
      </c>
      <c r="X20" s="434">
        <f>0.07011/1000</f>
        <v>7.0110000000000005E-5</v>
      </c>
      <c r="Y20" s="434">
        <f>0.06986/1000</f>
        <v>6.9860000000000012E-5</v>
      </c>
      <c r="Z20" s="434">
        <f>0.07058/1000</f>
        <v>7.0580000000000005E-5</v>
      </c>
      <c r="AA20" s="434">
        <f>0.06977/1000</f>
        <v>6.9770000000000005E-5</v>
      </c>
      <c r="AB20" s="434">
        <f>0.07011/1000</f>
        <v>7.0110000000000005E-5</v>
      </c>
      <c r="AD20" s="197" t="s">
        <v>722</v>
      </c>
      <c r="AE20" s="198">
        <v>7.2559999999999996E-5</v>
      </c>
      <c r="AF20" s="198">
        <v>6.9750000000000001E-5</v>
      </c>
      <c r="AG20" s="198">
        <f>0.06131/1000</f>
        <v>6.1310000000000008E-5</v>
      </c>
      <c r="AH20" s="198">
        <f>0.06718/1000</f>
        <v>6.7180000000000004E-5</v>
      </c>
      <c r="AI20" s="198">
        <f>0.06842/1000</f>
        <v>6.8419999999999999E-5</v>
      </c>
      <c r="AJ20" s="198">
        <f>0.0701/1000</f>
        <v>7.0099999999999996E-5</v>
      </c>
      <c r="AK20" s="198">
        <f>0.06848/1000</f>
        <v>6.8479999999999995E-5</v>
      </c>
      <c r="AL20" s="198">
        <f>0.06865/1000</f>
        <v>6.8650000000000002E-5</v>
      </c>
      <c r="AM20" s="198">
        <f>0.0672/1000</f>
        <v>6.7199999999999994E-5</v>
      </c>
      <c r="AN20" s="198">
        <f>0.06833/1000</f>
        <v>6.8330000000000005E-5</v>
      </c>
      <c r="AO20" s="198">
        <f>0.0708/1000</f>
        <v>7.08E-5</v>
      </c>
      <c r="AP20" s="198">
        <f>0.07115/1000</f>
        <v>7.1150000000000008E-5</v>
      </c>
      <c r="AR20" s="197" t="s">
        <v>722</v>
      </c>
      <c r="AS20" s="198">
        <v>7.1730000000000006E-5</v>
      </c>
      <c r="AT20" s="198">
        <v>7.0699999999999997E-5</v>
      </c>
      <c r="AU20" s="198">
        <v>7.0160000000000006E-5</v>
      </c>
      <c r="AV20" s="198">
        <v>7.046E-5</v>
      </c>
      <c r="AW20" s="198">
        <v>6.991E-5</v>
      </c>
      <c r="AX20" s="198">
        <f>0.07079/1000</f>
        <v>7.0790000000000005E-5</v>
      </c>
      <c r="AY20" s="198">
        <v>7.1319999999999988E-5</v>
      </c>
      <c r="AZ20" s="198">
        <v>7.0470000000000008E-5</v>
      </c>
      <c r="BA20" s="198">
        <f>0.07053/1000</f>
        <v>7.052999999999999E-5</v>
      </c>
      <c r="BB20" s="198">
        <f>0.07099/1000</f>
        <v>7.0989999999999996E-5</v>
      </c>
      <c r="BC20" s="198">
        <f>0.07081/1000</f>
        <v>7.0809999999999995E-5</v>
      </c>
      <c r="BD20" s="198">
        <f>0.07222/1000</f>
        <v>7.222000000000001E-5</v>
      </c>
      <c r="BF20" s="197" t="s">
        <v>722</v>
      </c>
      <c r="BG20" s="198">
        <f>0.07472/1000</f>
        <v>7.4719999999999989E-5</v>
      </c>
      <c r="BH20" s="198">
        <v>7.2639999999999996E-5</v>
      </c>
      <c r="BI20" s="198">
        <v>7.2739999999999998E-5</v>
      </c>
      <c r="BJ20" s="198">
        <v>7.1860000000000007E-5</v>
      </c>
      <c r="BK20" s="198">
        <f>0.07186/1000</f>
        <v>7.1859999999999993E-5</v>
      </c>
      <c r="BL20" s="198">
        <f>0.0701/1000</f>
        <v>7.0099999999999996E-5</v>
      </c>
      <c r="BM20" s="198">
        <f>0.06944/1000</f>
        <v>6.9439999999999999E-5</v>
      </c>
      <c r="BN20" s="198">
        <f>0.06748/1000</f>
        <v>6.7479999999999998E-5</v>
      </c>
      <c r="BO20" s="198">
        <v>6.7080000000000001E-5</v>
      </c>
      <c r="BP20" s="198">
        <f>0.06572/1000</f>
        <v>6.5720000000000001E-5</v>
      </c>
      <c r="BQ20" s="198">
        <f>0.06969/1000</f>
        <v>6.9690000000000005E-5</v>
      </c>
      <c r="BR20" s="198">
        <f>0.06936/1000</f>
        <v>6.936E-5</v>
      </c>
      <c r="BT20" s="197" t="s">
        <v>722</v>
      </c>
      <c r="BU20" s="198">
        <v>7.4889999999999996E-5</v>
      </c>
      <c r="BV20" s="198">
        <v>7.4919999999999994E-5</v>
      </c>
      <c r="BW20" s="198">
        <v>7.5079999999999993E-5</v>
      </c>
      <c r="BX20" s="198">
        <v>7.5019999999999997E-5</v>
      </c>
      <c r="BY20" s="198">
        <v>7.5160000000000005E-5</v>
      </c>
      <c r="BZ20" s="198">
        <v>7.4999999999999993E-5</v>
      </c>
      <c r="CA20" s="198">
        <v>7.5069999999999998E-5</v>
      </c>
      <c r="CB20" s="198">
        <v>7.5019999999999997E-5</v>
      </c>
      <c r="CC20" s="198">
        <v>7.4260000000000011E-5</v>
      </c>
      <c r="CD20" s="198">
        <v>7.3739999999999995E-5</v>
      </c>
      <c r="CE20" s="198">
        <v>7.3849999999999993E-5</v>
      </c>
      <c r="CF20" s="198">
        <v>7.36E-5</v>
      </c>
      <c r="CH20" s="197" t="s">
        <v>722</v>
      </c>
      <c r="CI20" s="198"/>
      <c r="CJ20" s="198"/>
      <c r="CK20" s="198"/>
      <c r="CL20" s="198"/>
      <c r="CM20" s="198"/>
      <c r="CN20" s="198"/>
      <c r="CO20" s="198"/>
      <c r="CP20" s="198"/>
      <c r="CQ20" s="198"/>
      <c r="CR20" s="198"/>
      <c r="CS20" s="198"/>
      <c r="CT20" s="198"/>
      <c r="CV20" s="197" t="s">
        <v>722</v>
      </c>
      <c r="CW20" s="198"/>
      <c r="CX20" s="198"/>
      <c r="CY20" s="198"/>
      <c r="CZ20" s="198"/>
      <c r="DA20" s="198"/>
      <c r="DB20" s="198"/>
      <c r="DC20" s="198"/>
      <c r="DD20" s="198"/>
      <c r="DE20" s="198"/>
      <c r="DF20" s="198"/>
      <c r="DG20" s="198"/>
      <c r="DH20" s="198"/>
      <c r="DJ20" s="197" t="s">
        <v>722</v>
      </c>
      <c r="DK20" s="198"/>
      <c r="DL20" s="198"/>
      <c r="DM20" s="198"/>
      <c r="DN20" s="198"/>
      <c r="DO20" s="198"/>
      <c r="DP20" s="198"/>
      <c r="DQ20" s="198"/>
      <c r="DR20" s="198"/>
      <c r="DS20" s="198"/>
      <c r="DT20" s="198"/>
      <c r="DU20" s="198"/>
      <c r="DV20" s="198"/>
      <c r="DX20" s="197" t="s">
        <v>722</v>
      </c>
      <c r="DY20" s="198"/>
      <c r="DZ20" s="198"/>
      <c r="EA20" s="198"/>
      <c r="EB20" s="198"/>
      <c r="EC20" s="198"/>
      <c r="ED20" s="198"/>
      <c r="EE20" s="198"/>
      <c r="EF20" s="198"/>
      <c r="EG20" s="198"/>
      <c r="EH20" s="198"/>
      <c r="EI20" s="198"/>
      <c r="EJ20" s="198"/>
      <c r="EL20" s="197" t="s">
        <v>722</v>
      </c>
      <c r="EM20" s="198"/>
      <c r="EN20" s="198"/>
      <c r="EO20" s="198"/>
      <c r="EP20" s="198"/>
      <c r="EQ20" s="198"/>
      <c r="ER20" s="198"/>
      <c r="ES20" s="198"/>
      <c r="ET20" s="198"/>
      <c r="EU20" s="198"/>
      <c r="EV20" s="198"/>
      <c r="EW20" s="198"/>
      <c r="EX20" s="198"/>
      <c r="EZ20" s="197" t="s">
        <v>722</v>
      </c>
      <c r="FA20" s="198"/>
      <c r="FB20" s="198"/>
      <c r="FC20" s="198"/>
      <c r="FD20" s="198"/>
      <c r="FE20" s="198"/>
      <c r="FF20" s="198"/>
      <c r="FG20" s="198"/>
      <c r="FH20" s="198"/>
      <c r="FI20" s="198"/>
      <c r="FJ20" s="198"/>
      <c r="FK20" s="198"/>
      <c r="FL20" s="198"/>
      <c r="FN20" s="197" t="s">
        <v>722</v>
      </c>
      <c r="FO20" s="198"/>
      <c r="FP20" s="198"/>
      <c r="FQ20" s="198"/>
      <c r="FR20" s="198"/>
      <c r="FS20" s="198"/>
      <c r="FT20" s="198"/>
      <c r="FU20" s="198"/>
      <c r="FV20" s="198"/>
      <c r="FW20" s="198"/>
      <c r="FX20" s="198"/>
      <c r="FY20" s="198"/>
      <c r="FZ20" s="198"/>
      <c r="GB20" s="197" t="s">
        <v>722</v>
      </c>
      <c r="GC20" s="198"/>
      <c r="GD20" s="198"/>
      <c r="GE20" s="198"/>
      <c r="GF20" s="198"/>
      <c r="GG20" s="198"/>
      <c r="GH20" s="198"/>
      <c r="GI20" s="198"/>
      <c r="GJ20" s="198"/>
      <c r="GK20" s="198"/>
      <c r="GL20" s="198"/>
      <c r="GM20" s="198"/>
      <c r="GN20" s="198"/>
      <c r="GP20" s="197" t="s">
        <v>722</v>
      </c>
      <c r="GQ20" s="198"/>
      <c r="GR20" s="198"/>
      <c r="GS20" s="198"/>
      <c r="GT20" s="198"/>
      <c r="GU20" s="198"/>
      <c r="GV20" s="198"/>
      <c r="GW20" s="198"/>
      <c r="GX20" s="198"/>
      <c r="GY20" s="198"/>
      <c r="GZ20" s="198"/>
      <c r="HA20" s="198"/>
      <c r="HB20" s="198"/>
      <c r="HD20" s="197" t="s">
        <v>722</v>
      </c>
      <c r="HE20" s="198"/>
      <c r="HF20" s="198"/>
      <c r="HG20" s="198"/>
      <c r="HH20" s="198"/>
      <c r="HI20" s="198"/>
      <c r="HJ20" s="198"/>
      <c r="HK20" s="198"/>
      <c r="HL20" s="198"/>
      <c r="HM20" s="198"/>
      <c r="HN20" s="198"/>
      <c r="HO20" s="198"/>
      <c r="HP20" s="198"/>
      <c r="HR20" s="197" t="s">
        <v>722</v>
      </c>
      <c r="HS20" s="198"/>
      <c r="HT20" s="198"/>
      <c r="HU20" s="198"/>
      <c r="HV20" s="198"/>
      <c r="HW20" s="198"/>
      <c r="HX20" s="198"/>
      <c r="HY20" s="198"/>
      <c r="HZ20" s="198"/>
      <c r="IA20" s="198"/>
      <c r="IB20" s="198"/>
      <c r="IC20" s="198"/>
      <c r="ID20" s="198"/>
      <c r="IF20" s="197" t="s">
        <v>722</v>
      </c>
      <c r="IG20" s="198"/>
      <c r="IH20" s="198"/>
      <c r="II20" s="198"/>
      <c r="IJ20" s="198"/>
      <c r="IK20" s="198"/>
      <c r="IL20" s="198"/>
      <c r="IM20" s="198"/>
      <c r="IN20" s="198"/>
      <c r="IO20" s="198"/>
      <c r="IP20" s="198"/>
      <c r="IQ20" s="198"/>
      <c r="IR20" s="198"/>
    </row>
    <row r="21" spans="1:252" ht="20.100000000000001" customHeight="1">
      <c r="A21" s="12" t="s">
        <v>723</v>
      </c>
      <c r="B21" s="197" t="s">
        <v>723</v>
      </c>
      <c r="C21" s="198">
        <v>0.31455</v>
      </c>
      <c r="D21" s="198">
        <v>0.31187999999999999</v>
      </c>
      <c r="E21" s="198">
        <v>0.31337999999999999</v>
      </c>
      <c r="F21" s="198">
        <v>0.29916999999999999</v>
      </c>
      <c r="G21" s="198">
        <v>0.30026999999999998</v>
      </c>
      <c r="H21" s="198">
        <v>0.28556999999999999</v>
      </c>
      <c r="I21" s="198">
        <v>0.29329</v>
      </c>
      <c r="J21" s="198">
        <v>0.30048000000000002</v>
      </c>
      <c r="K21" s="198">
        <v>0.28100000000000003</v>
      </c>
      <c r="L21" s="198">
        <v>0.28351999999999999</v>
      </c>
      <c r="M21" s="198">
        <v>0.28986000000000001</v>
      </c>
      <c r="N21" s="198">
        <v>0.28348000000000001</v>
      </c>
      <c r="P21" s="433" t="s">
        <v>723</v>
      </c>
      <c r="Q21" s="434">
        <v>0.30531999999999998</v>
      </c>
      <c r="R21" s="434">
        <v>0.30192000000000002</v>
      </c>
      <c r="S21" s="434">
        <v>0.29994999999999999</v>
      </c>
      <c r="T21" s="434">
        <v>0.30836000000000002</v>
      </c>
      <c r="U21" s="434">
        <v>0.30787999999999999</v>
      </c>
      <c r="V21" s="434">
        <v>0.30681000000000003</v>
      </c>
      <c r="W21" s="434">
        <v>0.30989</v>
      </c>
      <c r="X21" s="434">
        <v>0.31211</v>
      </c>
      <c r="Y21" s="434">
        <v>0.30991000000000002</v>
      </c>
      <c r="Z21" s="434">
        <v>0.31663000000000002</v>
      </c>
      <c r="AA21" s="434">
        <v>0.31731999999999999</v>
      </c>
      <c r="AB21" s="434">
        <v>0.32144</v>
      </c>
      <c r="AD21" s="197"/>
      <c r="AE21" s="198"/>
      <c r="AF21" s="198"/>
      <c r="AG21" s="198"/>
      <c r="AH21" s="198"/>
      <c r="AI21" s="198"/>
      <c r="AJ21" s="198"/>
      <c r="AK21" s="198"/>
      <c r="AL21" s="198"/>
      <c r="AM21" s="198"/>
      <c r="AN21" s="198"/>
      <c r="AO21" s="198"/>
      <c r="AP21" s="198"/>
      <c r="AR21" s="197"/>
      <c r="AS21" s="198"/>
      <c r="AT21" s="198"/>
      <c r="AU21" s="198"/>
      <c r="AV21" s="198"/>
      <c r="AW21" s="198"/>
      <c r="AX21" s="198"/>
      <c r="AY21" s="198"/>
      <c r="AZ21" s="198"/>
      <c r="BA21" s="198"/>
      <c r="BB21" s="198"/>
      <c r="BC21" s="198"/>
      <c r="BD21" s="198"/>
      <c r="BF21" s="197"/>
      <c r="BG21" s="198"/>
      <c r="BH21" s="198"/>
      <c r="BI21" s="198"/>
      <c r="BJ21" s="198"/>
      <c r="BK21" s="198"/>
      <c r="BL21" s="198"/>
      <c r="BM21" s="198"/>
      <c r="BN21" s="198"/>
      <c r="BO21" s="198"/>
      <c r="BP21" s="198"/>
      <c r="BQ21" s="198"/>
      <c r="BR21" s="198"/>
      <c r="BT21" s="197"/>
      <c r="BU21" s="198"/>
      <c r="BV21" s="198"/>
      <c r="BW21" s="198"/>
      <c r="BX21" s="198"/>
      <c r="BY21" s="198"/>
      <c r="BZ21" s="198"/>
      <c r="CA21" s="198"/>
      <c r="CB21" s="198"/>
      <c r="CC21" s="198"/>
      <c r="CD21" s="198"/>
      <c r="CE21" s="198"/>
      <c r="CF21" s="198"/>
      <c r="CH21" s="197"/>
      <c r="CI21" s="198"/>
      <c r="CJ21" s="198"/>
      <c r="CK21" s="198"/>
      <c r="CL21" s="198"/>
      <c r="CM21" s="198"/>
      <c r="CN21" s="198"/>
      <c r="CO21" s="198"/>
      <c r="CP21" s="198"/>
      <c r="CQ21" s="198"/>
      <c r="CR21" s="198"/>
      <c r="CS21" s="198"/>
      <c r="CT21" s="198"/>
      <c r="CV21" s="197"/>
      <c r="CW21" s="198"/>
      <c r="CX21" s="198"/>
      <c r="CY21" s="198"/>
      <c r="CZ21" s="198"/>
      <c r="DA21" s="198"/>
      <c r="DB21" s="198"/>
      <c r="DC21" s="198"/>
      <c r="DD21" s="198"/>
      <c r="DE21" s="198"/>
      <c r="DF21" s="198"/>
      <c r="DG21" s="198"/>
      <c r="DH21" s="198"/>
      <c r="DJ21" s="197"/>
      <c r="DK21" s="198"/>
      <c r="DL21" s="198"/>
      <c r="DM21" s="198"/>
      <c r="DN21" s="198"/>
      <c r="DO21" s="198"/>
      <c r="DP21" s="198"/>
      <c r="DQ21" s="198"/>
      <c r="DR21" s="198"/>
      <c r="DS21" s="198"/>
      <c r="DT21" s="198"/>
      <c r="DU21" s="198"/>
      <c r="DV21" s="198"/>
      <c r="DX21" s="197"/>
      <c r="DY21" s="198"/>
      <c r="DZ21" s="198"/>
      <c r="EA21" s="198"/>
      <c r="EB21" s="198"/>
      <c r="EC21" s="198"/>
      <c r="ED21" s="198"/>
      <c r="EE21" s="198"/>
      <c r="EF21" s="198"/>
      <c r="EG21" s="198"/>
      <c r="EH21" s="198"/>
      <c r="EI21" s="198"/>
      <c r="EJ21" s="198"/>
      <c r="EL21" s="197"/>
      <c r="EM21" s="198"/>
      <c r="EN21" s="198"/>
      <c r="EO21" s="198"/>
      <c r="EP21" s="198"/>
      <c r="EQ21" s="198"/>
      <c r="ER21" s="198"/>
      <c r="ES21" s="198"/>
      <c r="ET21" s="198"/>
      <c r="EU21" s="198"/>
      <c r="EV21" s="198"/>
      <c r="EW21" s="198"/>
      <c r="EX21" s="198"/>
      <c r="EZ21" s="197"/>
      <c r="FA21" s="198"/>
      <c r="FB21" s="198"/>
      <c r="FC21" s="198"/>
      <c r="FD21" s="198"/>
      <c r="FE21" s="198"/>
      <c r="FF21" s="198"/>
      <c r="FG21" s="198"/>
      <c r="FH21" s="198"/>
      <c r="FI21" s="198"/>
      <c r="FJ21" s="198"/>
      <c r="FK21" s="198"/>
      <c r="FL21" s="198"/>
      <c r="FN21" s="197"/>
      <c r="FO21" s="198"/>
      <c r="FP21" s="198"/>
      <c r="FQ21" s="198"/>
      <c r="FR21" s="198"/>
      <c r="FS21" s="198"/>
      <c r="FT21" s="198"/>
      <c r="FU21" s="198"/>
      <c r="FV21" s="198"/>
      <c r="FW21" s="198"/>
      <c r="FX21" s="198"/>
      <c r="FY21" s="198"/>
      <c r="FZ21" s="198"/>
      <c r="GB21" s="197"/>
      <c r="GC21" s="198"/>
      <c r="GD21" s="198"/>
      <c r="GE21" s="198"/>
      <c r="GF21" s="198"/>
      <c r="GG21" s="198"/>
      <c r="GH21" s="198"/>
      <c r="GI21" s="198"/>
      <c r="GJ21" s="198"/>
      <c r="GK21" s="198"/>
      <c r="GL21" s="198"/>
      <c r="GM21" s="198"/>
      <c r="GN21" s="198"/>
      <c r="GP21" s="197"/>
      <c r="GQ21" s="198"/>
      <c r="GR21" s="198"/>
      <c r="GS21" s="198"/>
      <c r="GT21" s="198"/>
      <c r="GU21" s="198"/>
      <c r="GV21" s="198"/>
      <c r="GW21" s="198"/>
      <c r="GX21" s="198"/>
      <c r="GY21" s="198"/>
      <c r="GZ21" s="198"/>
      <c r="HA21" s="198"/>
      <c r="HB21" s="198"/>
      <c r="HD21" s="197"/>
      <c r="HE21" s="198"/>
      <c r="HF21" s="198"/>
      <c r="HG21" s="198"/>
      <c r="HH21" s="198"/>
      <c r="HI21" s="198"/>
      <c r="HJ21" s="198"/>
      <c r="HK21" s="198"/>
      <c r="HL21" s="198"/>
      <c r="HM21" s="198"/>
      <c r="HN21" s="198"/>
      <c r="HO21" s="198"/>
      <c r="HP21" s="198"/>
      <c r="HR21" s="197"/>
      <c r="HS21" s="198"/>
      <c r="HT21" s="198"/>
      <c r="HU21" s="198"/>
      <c r="HV21" s="198"/>
      <c r="HW21" s="198"/>
      <c r="HX21" s="198"/>
      <c r="HY21" s="198"/>
      <c r="HZ21" s="198"/>
      <c r="IA21" s="198"/>
      <c r="IB21" s="198"/>
      <c r="IC21" s="198"/>
      <c r="ID21" s="198"/>
      <c r="IF21" s="197"/>
      <c r="IG21" s="198"/>
      <c r="IH21" s="198"/>
      <c r="II21" s="198"/>
      <c r="IJ21" s="198"/>
      <c r="IK21" s="198"/>
      <c r="IL21" s="198"/>
      <c r="IM21" s="198"/>
      <c r="IN21" s="198"/>
      <c r="IO21" s="198"/>
      <c r="IP21" s="198"/>
      <c r="IQ21" s="198"/>
      <c r="IR21" s="198"/>
    </row>
    <row r="22" spans="1:252" ht="20.100000000000001" customHeight="1">
      <c r="A22" s="12" t="s">
        <v>724</v>
      </c>
      <c r="B22" s="197" t="s">
        <v>724</v>
      </c>
      <c r="C22" s="198">
        <v>2.5381999999999998E-4</v>
      </c>
      <c r="D22" s="198">
        <v>2.5646999999999996E-4</v>
      </c>
      <c r="E22" s="198">
        <v>2.6647999999999998E-4</v>
      </c>
      <c r="F22" s="198">
        <v>2.5167000000000001E-4</v>
      </c>
      <c r="G22" s="198">
        <v>2.6468999999999999E-4</v>
      </c>
      <c r="H22" s="198">
        <v>2.4037E-4</v>
      </c>
      <c r="I22" s="198">
        <f>0.23244/1000</f>
        <v>2.3244000000000002E-4</v>
      </c>
      <c r="J22" s="198">
        <f>0.22617/1000</f>
        <v>2.2617000000000001E-4</v>
      </c>
      <c r="K22" s="198">
        <f>0.21799/1000</f>
        <v>2.1798999999999999E-4</v>
      </c>
      <c r="L22" s="198">
        <f>0.20508/1000</f>
        <v>2.0508000000000001E-4</v>
      </c>
      <c r="M22" s="198">
        <f>0.20756/1000</f>
        <v>2.0756E-4</v>
      </c>
      <c r="N22" s="198">
        <f>0.20616/1000</f>
        <v>2.0616000000000002E-4</v>
      </c>
      <c r="P22" s="433" t="s">
        <v>724</v>
      </c>
      <c r="Q22" s="434">
        <f>0.28066/1000</f>
        <v>2.8066000000000001E-4</v>
      </c>
      <c r="R22" s="434">
        <f>0.27655/1000</f>
        <v>2.7655000000000003E-4</v>
      </c>
      <c r="S22" s="434">
        <f>0.27205/1000</f>
        <v>2.7205000000000003E-4</v>
      </c>
      <c r="T22" s="434">
        <f>0.26794/1000</f>
        <v>2.6793999999999999E-4</v>
      </c>
      <c r="U22" s="434">
        <f>0.26963/1000</f>
        <v>2.6962999999999998E-4</v>
      </c>
      <c r="V22" s="434">
        <f>0.2674/1000</f>
        <v>2.6740000000000005E-4</v>
      </c>
      <c r="W22" s="434">
        <f>0.25877/1000</f>
        <v>2.5877000000000002E-4</v>
      </c>
      <c r="X22" s="434">
        <f>0.26572/1000</f>
        <v>2.6572E-4</v>
      </c>
      <c r="Y22" s="434">
        <f>0.26235/1000</f>
        <v>2.6235000000000001E-4</v>
      </c>
      <c r="Z22" s="434">
        <f>0.26361/1000</f>
        <v>2.6361000000000001E-4</v>
      </c>
      <c r="AA22" s="434">
        <f>0.24948/1000</f>
        <v>2.4948E-4</v>
      </c>
      <c r="AB22" s="434">
        <f>0.24552/1000</f>
        <v>2.4551999999999999E-4</v>
      </c>
      <c r="AD22" s="197" t="s">
        <v>724</v>
      </c>
      <c r="AE22" s="198">
        <v>2.9197000000000001E-4</v>
      </c>
      <c r="AF22" s="198">
        <v>2.8409000000000003E-4</v>
      </c>
      <c r="AG22" s="198">
        <f>0.24627/1000</f>
        <v>2.4626999999999999E-4</v>
      </c>
      <c r="AH22" s="198">
        <f>0.25507/1000</f>
        <v>2.5507000000000004E-4</v>
      </c>
      <c r="AI22" s="198">
        <f>0.26928/1000</f>
        <v>2.6928E-4</v>
      </c>
      <c r="AJ22" s="198">
        <f>0.26718/1000</f>
        <v>2.6718E-4</v>
      </c>
      <c r="AK22" s="198">
        <f>0.26813/1000</f>
        <v>2.6813E-4</v>
      </c>
      <c r="AL22" s="198">
        <f>0.26649/1000</f>
        <v>2.6648999999999998E-4</v>
      </c>
      <c r="AM22" s="198">
        <f>0.25919/1000</f>
        <v>2.5918999999999996E-4</v>
      </c>
      <c r="AN22" s="198">
        <f>0.25913/1000</f>
        <v>2.5913000000000005E-4</v>
      </c>
      <c r="AO22" s="198">
        <f>0.27881/1000</f>
        <v>2.7881E-4</v>
      </c>
      <c r="AP22" s="198">
        <f>0.29148/1000</f>
        <v>2.9147999999999999E-4</v>
      </c>
      <c r="AR22" s="197" t="s">
        <v>724</v>
      </c>
      <c r="AS22" s="198">
        <v>3.2190999999999996E-4</v>
      </c>
      <c r="AT22" s="198">
        <v>3.2466E-4</v>
      </c>
      <c r="AU22" s="198">
        <v>3.1359999999999998E-4</v>
      </c>
      <c r="AV22" s="198">
        <v>3.0964000000000002E-4</v>
      </c>
      <c r="AW22" s="198">
        <v>2.9806E-4</v>
      </c>
      <c r="AX22" s="198">
        <f>0.31157/1000</f>
        <v>3.1157E-4</v>
      </c>
      <c r="AY22" s="198">
        <v>3.0459000000000004E-4</v>
      </c>
      <c r="AZ22" s="198">
        <v>2.9049000000000002E-4</v>
      </c>
      <c r="BA22" s="198">
        <f>0.28752/1000</f>
        <v>2.8751999999999998E-4</v>
      </c>
      <c r="BB22" s="198">
        <f>0.29623/1000</f>
        <v>2.9622999999999997E-4</v>
      </c>
      <c r="BC22" s="198">
        <f>0.2846/1000</f>
        <v>2.8460000000000003E-4</v>
      </c>
      <c r="BD22" s="198">
        <f>0.30418/1000</f>
        <v>3.0418000000000003E-4</v>
      </c>
      <c r="BF22" s="197" t="s">
        <v>724</v>
      </c>
      <c r="BG22" s="198">
        <f>0.35325/1000</f>
        <v>3.5324999999999999E-4</v>
      </c>
      <c r="BH22" s="198">
        <v>3.4918999999999998E-4</v>
      </c>
      <c r="BI22" s="198">
        <v>3.5777999999999998E-4</v>
      </c>
      <c r="BJ22" s="198">
        <v>3.5680999999999999E-4</v>
      </c>
      <c r="BK22" s="198">
        <f>0.34607/1000</f>
        <v>3.4606999999999997E-4</v>
      </c>
      <c r="BL22" s="198">
        <f>0.34111/1000</f>
        <v>3.4111000000000005E-4</v>
      </c>
      <c r="BM22" s="198">
        <f>0.34611/1000</f>
        <v>3.4610999999999995E-4</v>
      </c>
      <c r="BN22" s="198">
        <f>0.32838/1000</f>
        <v>3.2838000000000002E-4</v>
      </c>
      <c r="BO22" s="198">
        <v>3.3534999999999999E-4</v>
      </c>
      <c r="BP22" s="198">
        <f>0.31051/1000</f>
        <v>3.1051000000000001E-4</v>
      </c>
      <c r="BQ22" s="198">
        <f>0.3091/1000</f>
        <v>3.0909999999999998E-4</v>
      </c>
      <c r="BR22" s="198">
        <f>0.30772/1000</f>
        <v>3.0771999999999999E-4</v>
      </c>
      <c r="BT22" s="197" t="s">
        <v>724</v>
      </c>
      <c r="BU22" s="198">
        <v>3.4206999999999998E-4</v>
      </c>
      <c r="BV22" s="198">
        <v>3.4177999999999997E-4</v>
      </c>
      <c r="BW22" s="198">
        <v>3.4794999999999997E-4</v>
      </c>
      <c r="BX22" s="198">
        <v>3.3978000000000003E-4</v>
      </c>
      <c r="BY22" s="198">
        <v>3.4278999999999999E-4</v>
      </c>
      <c r="BZ22" s="198">
        <v>3.2845999999999998E-4</v>
      </c>
      <c r="CA22" s="198">
        <v>3.3377E-4</v>
      </c>
      <c r="CB22" s="198">
        <v>3.3934999999999998E-4</v>
      </c>
      <c r="CC22" s="198">
        <v>3.4042000000000002E-4</v>
      </c>
      <c r="CD22" s="198">
        <v>3.2874E-4</v>
      </c>
      <c r="CE22" s="198">
        <v>3.3150000000000003E-4</v>
      </c>
      <c r="CF22" s="198">
        <v>3.3492E-4</v>
      </c>
      <c r="CH22" s="197" t="s">
        <v>724</v>
      </c>
      <c r="CI22" s="198"/>
      <c r="CJ22" s="198"/>
      <c r="CK22" s="198"/>
      <c r="CL22" s="198"/>
      <c r="CM22" s="198"/>
      <c r="CN22" s="198"/>
      <c r="CO22" s="198"/>
      <c r="CP22" s="198"/>
      <c r="CQ22" s="198"/>
      <c r="CR22" s="198"/>
      <c r="CS22" s="198"/>
      <c r="CT22" s="198"/>
      <c r="CV22" s="197" t="s">
        <v>724</v>
      </c>
      <c r="CW22" s="198"/>
      <c r="CX22" s="198"/>
      <c r="CY22" s="198"/>
      <c r="CZ22" s="198"/>
      <c r="DA22" s="198"/>
      <c r="DB22" s="198"/>
      <c r="DC22" s="198"/>
      <c r="DD22" s="198"/>
      <c r="DE22" s="198"/>
      <c r="DF22" s="198"/>
      <c r="DG22" s="198"/>
      <c r="DH22" s="198"/>
      <c r="DJ22" s="197" t="s">
        <v>724</v>
      </c>
      <c r="DK22" s="198"/>
      <c r="DL22" s="198"/>
      <c r="DM22" s="198"/>
      <c r="DN22" s="198"/>
      <c r="DO22" s="198"/>
      <c r="DP22" s="198"/>
      <c r="DQ22" s="198"/>
      <c r="DR22" s="198"/>
      <c r="DS22" s="198"/>
      <c r="DT22" s="198"/>
      <c r="DU22" s="198"/>
      <c r="DV22" s="198"/>
      <c r="DX22" s="197" t="s">
        <v>724</v>
      </c>
      <c r="DY22" s="198"/>
      <c r="DZ22" s="198"/>
      <c r="EA22" s="198"/>
      <c r="EB22" s="198"/>
      <c r="EC22" s="198"/>
      <c r="ED22" s="198"/>
      <c r="EE22" s="198"/>
      <c r="EF22" s="198"/>
      <c r="EG22" s="198"/>
      <c r="EH22" s="198"/>
      <c r="EI22" s="198"/>
      <c r="EJ22" s="198"/>
      <c r="EL22" s="197" t="s">
        <v>724</v>
      </c>
      <c r="EM22" s="198"/>
      <c r="EN22" s="198"/>
      <c r="EO22" s="198"/>
      <c r="EP22" s="198"/>
      <c r="EQ22" s="198"/>
      <c r="ER22" s="198"/>
      <c r="ES22" s="198"/>
      <c r="ET22" s="198"/>
      <c r="EU22" s="198"/>
      <c r="EV22" s="198"/>
      <c r="EW22" s="198"/>
      <c r="EX22" s="198"/>
      <c r="EZ22" s="197" t="s">
        <v>724</v>
      </c>
      <c r="FA22" s="198"/>
      <c r="FB22" s="198"/>
      <c r="FC22" s="198"/>
      <c r="FD22" s="198"/>
      <c r="FE22" s="198"/>
      <c r="FF22" s="198"/>
      <c r="FG22" s="198"/>
      <c r="FH22" s="198"/>
      <c r="FI22" s="198"/>
      <c r="FJ22" s="198"/>
      <c r="FK22" s="198"/>
      <c r="FL22" s="198"/>
      <c r="FN22" s="197" t="s">
        <v>724</v>
      </c>
      <c r="FO22" s="198"/>
      <c r="FP22" s="198"/>
      <c r="FQ22" s="198"/>
      <c r="FR22" s="198"/>
      <c r="FS22" s="198"/>
      <c r="FT22" s="198"/>
      <c r="FU22" s="198"/>
      <c r="FV22" s="198"/>
      <c r="FW22" s="198"/>
      <c r="FX22" s="198"/>
      <c r="FY22" s="198"/>
      <c r="FZ22" s="198"/>
      <c r="GB22" s="197" t="s">
        <v>724</v>
      </c>
      <c r="GC22" s="198"/>
      <c r="GD22" s="198"/>
      <c r="GE22" s="198"/>
      <c r="GF22" s="198"/>
      <c r="GG22" s="198"/>
      <c r="GH22" s="198"/>
      <c r="GI22" s="198"/>
      <c r="GJ22" s="198"/>
      <c r="GK22" s="198"/>
      <c r="GL22" s="198"/>
      <c r="GM22" s="198"/>
      <c r="GN22" s="198"/>
      <c r="GP22" s="197" t="s">
        <v>724</v>
      </c>
      <c r="GQ22" s="198"/>
      <c r="GR22" s="198"/>
      <c r="GS22" s="198"/>
      <c r="GT22" s="198"/>
      <c r="GU22" s="198"/>
      <c r="GV22" s="198"/>
      <c r="GW22" s="198"/>
      <c r="GX22" s="198"/>
      <c r="GY22" s="198"/>
      <c r="GZ22" s="198"/>
      <c r="HA22" s="198"/>
      <c r="HB22" s="198"/>
      <c r="HD22" s="197" t="s">
        <v>724</v>
      </c>
      <c r="HE22" s="198"/>
      <c r="HF22" s="198"/>
      <c r="HG22" s="198"/>
      <c r="HH22" s="198"/>
      <c r="HI22" s="198"/>
      <c r="HJ22" s="198"/>
      <c r="HK22" s="198"/>
      <c r="HL22" s="198"/>
      <c r="HM22" s="198"/>
      <c r="HN22" s="198"/>
      <c r="HO22" s="198"/>
      <c r="HP22" s="198"/>
      <c r="HR22" s="197" t="s">
        <v>724</v>
      </c>
      <c r="HS22" s="198"/>
      <c r="HT22" s="198"/>
      <c r="HU22" s="198"/>
      <c r="HV22" s="198"/>
      <c r="HW22" s="198"/>
      <c r="HX22" s="198"/>
      <c r="HY22" s="198"/>
      <c r="HZ22" s="198"/>
      <c r="IA22" s="198"/>
      <c r="IB22" s="198"/>
      <c r="IC22" s="198"/>
      <c r="ID22" s="198"/>
      <c r="IF22" s="197" t="s">
        <v>724</v>
      </c>
      <c r="IG22" s="198"/>
      <c r="IH22" s="198"/>
      <c r="II22" s="198"/>
      <c r="IJ22" s="198"/>
      <c r="IK22" s="198"/>
      <c r="IL22" s="198"/>
      <c r="IM22" s="198"/>
      <c r="IN22" s="198"/>
      <c r="IO22" s="198"/>
      <c r="IP22" s="198"/>
      <c r="IQ22" s="198"/>
      <c r="IR22" s="198"/>
    </row>
    <row r="23" spans="1:252" ht="20.100000000000001" customHeight="1">
      <c r="A23" s="12" t="s">
        <v>33</v>
      </c>
      <c r="B23" s="197" t="s">
        <v>33</v>
      </c>
      <c r="C23" s="198">
        <v>1</v>
      </c>
      <c r="D23" s="198">
        <v>1</v>
      </c>
      <c r="E23" s="198">
        <v>1</v>
      </c>
      <c r="F23" s="198">
        <v>1</v>
      </c>
      <c r="G23" s="198">
        <v>1</v>
      </c>
      <c r="H23" s="198">
        <v>1</v>
      </c>
      <c r="I23" s="198">
        <v>1</v>
      </c>
      <c r="J23" s="198">
        <v>1</v>
      </c>
      <c r="K23" s="198">
        <v>1</v>
      </c>
      <c r="L23" s="198">
        <v>1</v>
      </c>
      <c r="M23" s="198">
        <v>1</v>
      </c>
      <c r="N23" s="198">
        <v>1</v>
      </c>
      <c r="P23" s="433" t="s">
        <v>33</v>
      </c>
      <c r="Q23" s="434">
        <v>1</v>
      </c>
      <c r="R23" s="434">
        <v>1</v>
      </c>
      <c r="S23" s="434">
        <v>1</v>
      </c>
      <c r="T23" s="434">
        <v>1</v>
      </c>
      <c r="U23" s="434">
        <v>1</v>
      </c>
      <c r="V23" s="434">
        <v>1</v>
      </c>
      <c r="W23" s="434">
        <v>1</v>
      </c>
      <c r="X23" s="434">
        <v>1</v>
      </c>
      <c r="Y23" s="434">
        <v>1</v>
      </c>
      <c r="Z23" s="434">
        <v>1</v>
      </c>
      <c r="AA23" s="434">
        <v>1</v>
      </c>
      <c r="AB23" s="434">
        <v>1</v>
      </c>
      <c r="AD23" s="197" t="s">
        <v>33</v>
      </c>
      <c r="AE23" s="198">
        <v>1</v>
      </c>
      <c r="AF23" s="198">
        <v>1</v>
      </c>
      <c r="AG23" s="198">
        <v>1</v>
      </c>
      <c r="AH23" s="198">
        <v>1</v>
      </c>
      <c r="AI23" s="198">
        <v>1</v>
      </c>
      <c r="AJ23" s="198">
        <v>1</v>
      </c>
      <c r="AK23" s="198">
        <v>1</v>
      </c>
      <c r="AL23" s="198">
        <v>1</v>
      </c>
      <c r="AM23" s="198">
        <v>1</v>
      </c>
      <c r="AN23" s="198">
        <v>1</v>
      </c>
      <c r="AO23" s="198">
        <v>1</v>
      </c>
      <c r="AP23" s="198">
        <v>1</v>
      </c>
      <c r="AR23" s="197" t="s">
        <v>33</v>
      </c>
      <c r="AS23" s="198">
        <v>1</v>
      </c>
      <c r="AT23" s="198">
        <v>1</v>
      </c>
      <c r="AU23" s="198">
        <v>1</v>
      </c>
      <c r="AV23" s="198">
        <v>1</v>
      </c>
      <c r="AW23" s="198">
        <v>1</v>
      </c>
      <c r="AX23" s="198">
        <v>1</v>
      </c>
      <c r="AY23" s="198">
        <v>1</v>
      </c>
      <c r="AZ23" s="198">
        <v>1</v>
      </c>
      <c r="BA23" s="198">
        <v>1</v>
      </c>
      <c r="BB23" s="198">
        <v>1</v>
      </c>
      <c r="BC23" s="198">
        <v>1</v>
      </c>
      <c r="BD23" s="198">
        <v>1</v>
      </c>
      <c r="BF23" s="197" t="s">
        <v>33</v>
      </c>
      <c r="BG23" s="198">
        <v>1</v>
      </c>
      <c r="BH23" s="198">
        <v>1</v>
      </c>
      <c r="BI23" s="198">
        <v>1</v>
      </c>
      <c r="BJ23" s="198">
        <v>1</v>
      </c>
      <c r="BK23" s="198">
        <v>1</v>
      </c>
      <c r="BL23" s="198">
        <v>1</v>
      </c>
      <c r="BM23" s="198">
        <v>1</v>
      </c>
      <c r="BN23" s="198">
        <v>1</v>
      </c>
      <c r="BO23" s="198">
        <v>1</v>
      </c>
      <c r="BP23" s="198">
        <v>1</v>
      </c>
      <c r="BQ23" s="198">
        <v>1</v>
      </c>
      <c r="BR23" s="198">
        <v>1</v>
      </c>
      <c r="BT23" s="197" t="s">
        <v>33</v>
      </c>
      <c r="BU23" s="198">
        <v>1</v>
      </c>
      <c r="BV23" s="198">
        <v>1</v>
      </c>
      <c r="BW23" s="198">
        <v>1</v>
      </c>
      <c r="BX23" s="198">
        <v>1</v>
      </c>
      <c r="BY23" s="198">
        <v>1</v>
      </c>
      <c r="BZ23" s="198">
        <v>1</v>
      </c>
      <c r="CA23" s="198">
        <v>1</v>
      </c>
      <c r="CB23" s="198">
        <v>1</v>
      </c>
      <c r="CC23" s="198">
        <v>1</v>
      </c>
      <c r="CD23" s="198">
        <v>1</v>
      </c>
      <c r="CE23" s="198">
        <v>1</v>
      </c>
      <c r="CF23" s="198">
        <v>1</v>
      </c>
      <c r="CH23" s="197" t="s">
        <v>33</v>
      </c>
      <c r="CI23" s="198">
        <v>1</v>
      </c>
      <c r="CJ23" s="198">
        <v>1</v>
      </c>
      <c r="CK23" s="198">
        <v>1</v>
      </c>
      <c r="CL23" s="198">
        <v>1</v>
      </c>
      <c r="CM23" s="198">
        <v>1</v>
      </c>
      <c r="CN23" s="198">
        <v>1</v>
      </c>
      <c r="CO23" s="198">
        <v>1</v>
      </c>
      <c r="CP23" s="198">
        <v>1</v>
      </c>
      <c r="CQ23" s="198">
        <v>1</v>
      </c>
      <c r="CR23" s="198">
        <v>1</v>
      </c>
      <c r="CS23" s="198">
        <v>1</v>
      </c>
      <c r="CT23" s="198">
        <v>1</v>
      </c>
      <c r="CV23" s="197" t="s">
        <v>33</v>
      </c>
      <c r="CW23" s="198">
        <v>1</v>
      </c>
      <c r="CX23" s="198">
        <v>1</v>
      </c>
      <c r="CY23" s="198">
        <v>1</v>
      </c>
      <c r="CZ23" s="198">
        <v>1</v>
      </c>
      <c r="DA23" s="198">
        <v>1</v>
      </c>
      <c r="DB23" s="198">
        <v>1</v>
      </c>
      <c r="DC23" s="198">
        <v>1</v>
      </c>
      <c r="DD23" s="198">
        <v>1</v>
      </c>
      <c r="DE23" s="198">
        <v>1</v>
      </c>
      <c r="DF23" s="198">
        <v>1</v>
      </c>
      <c r="DG23" s="198">
        <v>1</v>
      </c>
      <c r="DH23" s="198">
        <v>1</v>
      </c>
      <c r="DI23" s="191"/>
      <c r="DJ23" s="197" t="s">
        <v>33</v>
      </c>
      <c r="DK23" s="198">
        <v>1</v>
      </c>
      <c r="DL23" s="198">
        <v>1</v>
      </c>
      <c r="DM23" s="198">
        <v>1</v>
      </c>
      <c r="DN23" s="198">
        <v>1</v>
      </c>
      <c r="DO23" s="198">
        <v>1</v>
      </c>
      <c r="DP23" s="198">
        <v>1</v>
      </c>
      <c r="DQ23" s="198">
        <v>1</v>
      </c>
      <c r="DR23" s="198">
        <v>1</v>
      </c>
      <c r="DS23" s="198">
        <v>1</v>
      </c>
      <c r="DT23" s="198">
        <v>1</v>
      </c>
      <c r="DU23" s="198">
        <v>1</v>
      </c>
      <c r="DV23" s="198">
        <v>1</v>
      </c>
      <c r="DW23" s="191"/>
      <c r="DX23" s="197" t="s">
        <v>33</v>
      </c>
      <c r="DY23" s="198">
        <v>1</v>
      </c>
      <c r="DZ23" s="198">
        <v>1</v>
      </c>
      <c r="EA23" s="198">
        <v>1</v>
      </c>
      <c r="EB23" s="198">
        <v>1</v>
      </c>
      <c r="EC23" s="198">
        <v>1</v>
      </c>
      <c r="ED23" s="198">
        <v>1</v>
      </c>
      <c r="EE23" s="198">
        <v>1</v>
      </c>
      <c r="EF23" s="198">
        <v>1</v>
      </c>
      <c r="EG23" s="198">
        <v>1</v>
      </c>
      <c r="EH23" s="198">
        <v>1</v>
      </c>
      <c r="EI23" s="198">
        <v>1</v>
      </c>
      <c r="EJ23" s="198">
        <v>1</v>
      </c>
      <c r="EK23" s="191"/>
      <c r="EL23" s="197" t="s">
        <v>33</v>
      </c>
      <c r="EM23" s="198">
        <v>1</v>
      </c>
      <c r="EN23" s="198">
        <v>1</v>
      </c>
      <c r="EO23" s="198">
        <v>1</v>
      </c>
      <c r="EP23" s="198">
        <v>1</v>
      </c>
      <c r="EQ23" s="198">
        <v>1</v>
      </c>
      <c r="ER23" s="198">
        <v>1</v>
      </c>
      <c r="ES23" s="198">
        <v>1</v>
      </c>
      <c r="ET23" s="198">
        <v>1</v>
      </c>
      <c r="EU23" s="198">
        <v>1</v>
      </c>
      <c r="EV23" s="198">
        <v>1</v>
      </c>
      <c r="EW23" s="198">
        <v>1</v>
      </c>
      <c r="EX23" s="198">
        <v>1</v>
      </c>
      <c r="EY23" s="191"/>
      <c r="EZ23" s="197" t="s">
        <v>33</v>
      </c>
      <c r="FA23" s="198">
        <v>1</v>
      </c>
      <c r="FB23" s="198">
        <v>1</v>
      </c>
      <c r="FC23" s="198">
        <v>1</v>
      </c>
      <c r="FD23" s="198">
        <v>1</v>
      </c>
      <c r="FE23" s="198">
        <v>1</v>
      </c>
      <c r="FF23" s="198">
        <v>1</v>
      </c>
      <c r="FG23" s="198">
        <v>1</v>
      </c>
      <c r="FH23" s="198">
        <v>1</v>
      </c>
      <c r="FI23" s="198">
        <v>1</v>
      </c>
      <c r="FJ23" s="198">
        <v>1</v>
      </c>
      <c r="FK23" s="198">
        <v>1</v>
      </c>
      <c r="FL23" s="198">
        <v>1</v>
      </c>
      <c r="FM23" s="191"/>
      <c r="FN23" s="197" t="s">
        <v>33</v>
      </c>
      <c r="FO23" s="198">
        <v>1</v>
      </c>
      <c r="FP23" s="198">
        <v>1</v>
      </c>
      <c r="FQ23" s="198">
        <v>1</v>
      </c>
      <c r="FR23" s="198">
        <v>1</v>
      </c>
      <c r="FS23" s="198">
        <v>1</v>
      </c>
      <c r="FT23" s="198">
        <v>1</v>
      </c>
      <c r="FU23" s="198">
        <v>1</v>
      </c>
      <c r="FV23" s="198">
        <v>1</v>
      </c>
      <c r="FW23" s="198">
        <v>1</v>
      </c>
      <c r="FX23" s="198">
        <v>1</v>
      </c>
      <c r="FY23" s="198">
        <v>1</v>
      </c>
      <c r="FZ23" s="198">
        <v>1</v>
      </c>
      <c r="GA23" s="191"/>
      <c r="GB23" s="197" t="s">
        <v>33</v>
      </c>
      <c r="GC23" s="198">
        <v>1</v>
      </c>
      <c r="GD23" s="198">
        <v>1</v>
      </c>
      <c r="GE23" s="198">
        <v>1</v>
      </c>
      <c r="GF23" s="198">
        <v>1</v>
      </c>
      <c r="GG23" s="198">
        <v>1</v>
      </c>
      <c r="GH23" s="198">
        <v>1</v>
      </c>
      <c r="GI23" s="198">
        <v>1</v>
      </c>
      <c r="GJ23" s="198">
        <v>1</v>
      </c>
      <c r="GK23" s="198">
        <v>1</v>
      </c>
      <c r="GL23" s="198">
        <v>1</v>
      </c>
      <c r="GM23" s="198">
        <v>1</v>
      </c>
      <c r="GN23" s="198">
        <v>1</v>
      </c>
      <c r="GO23" s="191"/>
      <c r="GP23" s="197" t="s">
        <v>33</v>
      </c>
      <c r="GQ23" s="198">
        <v>1</v>
      </c>
      <c r="GR23" s="198">
        <v>1</v>
      </c>
      <c r="GS23" s="198">
        <v>1</v>
      </c>
      <c r="GT23" s="198">
        <v>1</v>
      </c>
      <c r="GU23" s="198">
        <v>1</v>
      </c>
      <c r="GV23" s="198">
        <v>1</v>
      </c>
      <c r="GW23" s="198">
        <v>1</v>
      </c>
      <c r="GX23" s="198">
        <v>1</v>
      </c>
      <c r="GY23" s="198">
        <v>1</v>
      </c>
      <c r="GZ23" s="198">
        <v>1</v>
      </c>
      <c r="HA23" s="198">
        <v>1</v>
      </c>
      <c r="HB23" s="198">
        <v>1</v>
      </c>
      <c r="HC23" s="191"/>
      <c r="HD23" s="197" t="s">
        <v>33</v>
      </c>
      <c r="HE23" s="198">
        <v>1</v>
      </c>
      <c r="HF23" s="198">
        <v>1</v>
      </c>
      <c r="HG23" s="198">
        <v>1</v>
      </c>
      <c r="HH23" s="198">
        <v>1</v>
      </c>
      <c r="HI23" s="198">
        <v>1</v>
      </c>
      <c r="HJ23" s="198">
        <v>1</v>
      </c>
      <c r="HK23" s="198">
        <v>1</v>
      </c>
      <c r="HL23" s="198">
        <v>1</v>
      </c>
      <c r="HM23" s="198">
        <v>1</v>
      </c>
      <c r="HN23" s="198">
        <v>1</v>
      </c>
      <c r="HO23" s="198">
        <v>1</v>
      </c>
      <c r="HP23" s="198">
        <v>1</v>
      </c>
      <c r="HQ23" s="191"/>
      <c r="HR23" s="197" t="s">
        <v>33</v>
      </c>
      <c r="HS23" s="198">
        <v>1</v>
      </c>
      <c r="HT23" s="198">
        <v>1</v>
      </c>
      <c r="HU23" s="198">
        <v>1</v>
      </c>
      <c r="HV23" s="198">
        <v>1</v>
      </c>
      <c r="HW23" s="198">
        <v>1</v>
      </c>
      <c r="HX23" s="198">
        <v>1</v>
      </c>
      <c r="HY23" s="198">
        <v>1</v>
      </c>
      <c r="HZ23" s="198">
        <v>1</v>
      </c>
      <c r="IA23" s="198">
        <v>1</v>
      </c>
      <c r="IB23" s="198">
        <v>1</v>
      </c>
      <c r="IC23" s="198">
        <v>1</v>
      </c>
      <c r="ID23" s="198">
        <v>1</v>
      </c>
      <c r="IE23" s="191"/>
      <c r="IF23" s="197" t="s">
        <v>33</v>
      </c>
      <c r="IG23" s="198">
        <v>1</v>
      </c>
      <c r="IH23" s="198">
        <v>1</v>
      </c>
      <c r="II23" s="198">
        <v>1</v>
      </c>
      <c r="IJ23" s="198">
        <v>1</v>
      </c>
      <c r="IK23" s="198">
        <v>1</v>
      </c>
      <c r="IL23" s="198">
        <v>1</v>
      </c>
      <c r="IM23" s="198">
        <v>1</v>
      </c>
      <c r="IN23" s="198">
        <v>1</v>
      </c>
      <c r="IO23" s="198">
        <v>1</v>
      </c>
      <c r="IP23" s="198">
        <v>1</v>
      </c>
      <c r="IQ23" s="198">
        <v>1</v>
      </c>
      <c r="IR23" s="198">
        <v>1</v>
      </c>
    </row>
    <row r="24" spans="1:252" ht="20.100000000000001" customHeight="1">
      <c r="BR24" s="224"/>
    </row>
    <row r="26" spans="1:252" ht="20.100000000000001" customHeight="1">
      <c r="B26" s="224" t="s">
        <v>725</v>
      </c>
    </row>
    <row r="27" spans="1:252" ht="20.100000000000001" customHeight="1">
      <c r="B27" s="224"/>
    </row>
    <row r="28" spans="1:252" ht="20.100000000000001" customHeight="1">
      <c r="B28" s="224"/>
    </row>
    <row r="29" spans="1:252" ht="20.100000000000001" customHeight="1">
      <c r="B29" s="224" t="s">
        <v>726</v>
      </c>
    </row>
    <row r="30" spans="1:252" ht="20.100000000000001" customHeight="1">
      <c r="B30" s="224" t="s">
        <v>727</v>
      </c>
    </row>
  </sheetData>
  <mergeCells count="18">
    <mergeCell ref="P1:AB1"/>
    <mergeCell ref="B1:N1"/>
    <mergeCell ref="AD1:AP1"/>
    <mergeCell ref="BF1:BR1"/>
    <mergeCell ref="EL1:EX1"/>
    <mergeCell ref="BT1:CF1"/>
    <mergeCell ref="CH1:CT1"/>
    <mergeCell ref="CV1:DH1"/>
    <mergeCell ref="DJ1:DV1"/>
    <mergeCell ref="DX1:EJ1"/>
    <mergeCell ref="AR1:BD1"/>
    <mergeCell ref="IF1:IR1"/>
    <mergeCell ref="EZ1:FL1"/>
    <mergeCell ref="FN1:FZ1"/>
    <mergeCell ref="GB1:GN1"/>
    <mergeCell ref="GP1:HB1"/>
    <mergeCell ref="HD1:HP1"/>
    <mergeCell ref="HR1:ID1"/>
  </mergeCells>
  <phoneticPr fontId="9" type="noConversion"/>
  <pageMargins left="0.7" right="0.7" top="0.75" bottom="0.75" header="0.3" footer="0.3"/>
  <pageSetup orientation="portrait" horizontalDpi="0" verticalDpi="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2:TW47"/>
  <sheetViews>
    <sheetView topLeftCell="G20" zoomScale="80" zoomScaleNormal="80" workbookViewId="0">
      <selection activeCell="P8" sqref="P8"/>
    </sheetView>
  </sheetViews>
  <sheetFormatPr defaultColWidth="9.33203125" defaultRowHeight="20.100000000000001" customHeight="1"/>
  <cols>
    <col min="1" max="21" width="9.33203125" style="12"/>
    <col min="22" max="30" width="11" style="12" customWidth="1"/>
    <col min="31" max="49" width="9.33203125" style="12"/>
    <col min="50" max="50" width="4.44140625" style="12" bestFit="1" customWidth="1"/>
    <col min="51" max="62" width="10.33203125" style="12" customWidth="1"/>
    <col min="63" max="63" width="3.6640625" style="12" bestFit="1" customWidth="1"/>
    <col min="64" max="65" width="9.33203125" style="12"/>
    <col min="66" max="66" width="4.44140625" style="12" bestFit="1" customWidth="1"/>
    <col min="67" max="74" width="9.33203125" style="12"/>
    <col min="75" max="75" width="12.109375" style="12" bestFit="1" customWidth="1"/>
    <col min="76" max="76" width="9.33203125" style="12"/>
    <col min="77" max="77" width="11.44140625" style="12" bestFit="1" customWidth="1"/>
    <col min="78" max="78" width="10.6640625" style="12" bestFit="1" customWidth="1"/>
    <col min="79" max="79" width="3.6640625" style="12" bestFit="1" customWidth="1"/>
    <col min="80" max="81" width="9.33203125" style="12"/>
    <col min="82" max="82" width="4.44140625" style="12" bestFit="1" customWidth="1"/>
    <col min="83" max="94" width="9.33203125" style="12"/>
    <col min="95" max="95" width="3.6640625" style="12" bestFit="1" customWidth="1"/>
    <col min="96" max="97" width="9.33203125" style="12"/>
    <col min="98" max="98" width="4.44140625" style="12" bestFit="1" customWidth="1"/>
    <col min="99" max="106" width="9.33203125" style="12"/>
    <col min="107" max="107" width="9.5546875" style="12" customWidth="1"/>
    <col min="108" max="109" width="9.33203125" style="12"/>
    <col min="110" max="110" width="10.44140625" style="12" bestFit="1" customWidth="1"/>
    <col min="111" max="111" width="3.6640625" style="12" bestFit="1" customWidth="1"/>
    <col min="112" max="113" width="9.33203125" style="12"/>
    <col min="114" max="114" width="4.44140625" style="12" bestFit="1" customWidth="1"/>
    <col min="115" max="126" width="9.33203125" style="12"/>
    <col min="127" max="127" width="3.6640625" style="12" bestFit="1" customWidth="1"/>
    <col min="128" max="129" width="9.33203125" style="12"/>
    <col min="130" max="130" width="4.44140625" style="12" bestFit="1" customWidth="1"/>
    <col min="131" max="142" width="9.33203125" style="12"/>
    <col min="143" max="143" width="3.6640625" style="12" bestFit="1" customWidth="1"/>
    <col min="144" max="145" width="9.33203125" style="12"/>
    <col min="146" max="146" width="4.44140625" style="12" bestFit="1" customWidth="1"/>
    <col min="147" max="158" width="9.33203125" style="12"/>
    <col min="159" max="159" width="3.6640625" style="12" bestFit="1" customWidth="1"/>
    <col min="160" max="161" width="9.33203125" style="12"/>
    <col min="162" max="162" width="4.44140625" style="12" bestFit="1" customWidth="1"/>
    <col min="163" max="174" width="9.33203125" style="12"/>
    <col min="175" max="175" width="3.6640625" style="12" bestFit="1" customWidth="1"/>
    <col min="176" max="177" width="9.33203125" style="12"/>
    <col min="178" max="178" width="4.44140625" style="12" bestFit="1" customWidth="1"/>
    <col min="179" max="190" width="9.33203125" style="12"/>
    <col min="191" max="191" width="3.6640625" style="12" bestFit="1" customWidth="1"/>
    <col min="192" max="193" width="9.33203125" style="12"/>
    <col min="194" max="194" width="4.44140625" style="12" bestFit="1" customWidth="1"/>
    <col min="195" max="206" width="9.33203125" style="12"/>
    <col min="207" max="207" width="3.6640625" style="12" bestFit="1" customWidth="1"/>
    <col min="208" max="209" width="9.33203125" style="12"/>
    <col min="210" max="210" width="4.44140625" style="12" bestFit="1" customWidth="1"/>
    <col min="211" max="222" width="9.33203125" style="12"/>
    <col min="223" max="223" width="3.6640625" style="12" bestFit="1" customWidth="1"/>
    <col min="224" max="225" width="9.33203125" style="12"/>
    <col min="226" max="226" width="4.44140625" style="12" bestFit="1" customWidth="1"/>
    <col min="227" max="238" width="9.33203125" style="12"/>
    <col min="239" max="239" width="3.6640625" style="12" bestFit="1" customWidth="1"/>
    <col min="240" max="241" width="9.33203125" style="12"/>
    <col min="242" max="242" width="4.44140625" style="12" bestFit="1" customWidth="1"/>
    <col min="243" max="254" width="9.33203125" style="12"/>
    <col min="255" max="255" width="3.6640625" style="12" bestFit="1" customWidth="1"/>
    <col min="256" max="257" width="9.33203125" style="12"/>
    <col min="258" max="258" width="4.44140625" style="12" bestFit="1" customWidth="1"/>
    <col min="259" max="270" width="9.33203125" style="12"/>
    <col min="271" max="271" width="3.6640625" style="12" bestFit="1" customWidth="1"/>
    <col min="272" max="273" width="9.33203125" style="12"/>
    <col min="274" max="274" width="4.44140625" style="12" bestFit="1" customWidth="1"/>
    <col min="275" max="286" width="9.33203125" style="12"/>
    <col min="287" max="287" width="3.6640625" style="12" bestFit="1" customWidth="1"/>
    <col min="288" max="289" width="9.33203125" style="12"/>
    <col min="290" max="290" width="4.44140625" style="12" bestFit="1" customWidth="1"/>
    <col min="291" max="302" width="9.33203125" style="12"/>
    <col min="303" max="303" width="3.6640625" style="12" bestFit="1" customWidth="1"/>
    <col min="304" max="305" width="9.33203125" style="12"/>
    <col min="306" max="306" width="4.44140625" style="12" bestFit="1" customWidth="1"/>
    <col min="307" max="318" width="9.33203125" style="12"/>
    <col min="319" max="319" width="3.6640625" style="12" bestFit="1" customWidth="1"/>
    <col min="320" max="321" width="9.33203125" style="12"/>
    <col min="322" max="322" width="4.44140625" style="12" bestFit="1" customWidth="1"/>
    <col min="323" max="334" width="9.33203125" style="12"/>
    <col min="335" max="335" width="3.6640625" style="12" bestFit="1" customWidth="1"/>
    <col min="336" max="337" width="9.33203125" style="12"/>
    <col min="338" max="338" width="4.44140625" style="12" bestFit="1" customWidth="1"/>
    <col min="339" max="350" width="9.33203125" style="12"/>
    <col min="351" max="351" width="3.6640625" style="12" bestFit="1" customWidth="1"/>
    <col min="352" max="353" width="9.33203125" style="12"/>
    <col min="354" max="354" width="4.44140625" style="12" bestFit="1" customWidth="1"/>
    <col min="355" max="366" width="9.33203125" style="12"/>
    <col min="367" max="367" width="3.6640625" style="12" bestFit="1" customWidth="1"/>
    <col min="368" max="369" width="9.33203125" style="12"/>
    <col min="370" max="370" width="4.44140625" style="12" bestFit="1" customWidth="1"/>
    <col min="371" max="382" width="9.33203125" style="12"/>
    <col min="383" max="383" width="3.6640625" style="12" bestFit="1" customWidth="1"/>
    <col min="384" max="385" width="9.33203125" style="12"/>
    <col min="386" max="386" width="4.44140625" style="12" bestFit="1" customWidth="1"/>
    <col min="387" max="398" width="9.33203125" style="12"/>
    <col min="399" max="399" width="3.6640625" style="12" bestFit="1" customWidth="1"/>
    <col min="400" max="401" width="9.33203125" style="12"/>
    <col min="402" max="402" width="4.44140625" style="12" bestFit="1" customWidth="1"/>
    <col min="403" max="414" width="9.33203125" style="12"/>
    <col min="415" max="415" width="3.6640625" style="12" bestFit="1" customWidth="1"/>
    <col min="416" max="417" width="9.33203125" style="12"/>
    <col min="418" max="418" width="4.44140625" style="12" bestFit="1" customWidth="1"/>
    <col min="419" max="430" width="9.33203125" style="12"/>
    <col min="431" max="431" width="3.6640625" style="12" bestFit="1" customWidth="1"/>
    <col min="432" max="433" width="9.33203125" style="12"/>
    <col min="434" max="434" width="4.44140625" style="12" bestFit="1" customWidth="1"/>
    <col min="435" max="446" width="9.33203125" style="12"/>
    <col min="447" max="447" width="3.6640625" style="12" bestFit="1" customWidth="1"/>
    <col min="448" max="449" width="9.33203125" style="12"/>
    <col min="450" max="450" width="4.44140625" style="12" bestFit="1" customWidth="1"/>
    <col min="451" max="462" width="9.33203125" style="12"/>
    <col min="463" max="463" width="3.6640625" style="12" bestFit="1" customWidth="1"/>
    <col min="464" max="465" width="9.33203125" style="12"/>
    <col min="466" max="466" width="4.44140625" style="12" bestFit="1" customWidth="1"/>
    <col min="467" max="478" width="9.33203125" style="12"/>
    <col min="479" max="479" width="3.6640625" style="12" bestFit="1" customWidth="1"/>
    <col min="480" max="481" width="9.33203125" style="12"/>
    <col min="482" max="482" width="4.44140625" style="12" bestFit="1" customWidth="1"/>
    <col min="483" max="494" width="9.33203125" style="12"/>
    <col min="495" max="495" width="3.6640625" style="12" bestFit="1" customWidth="1"/>
    <col min="496" max="497" width="9.33203125" style="12"/>
    <col min="498" max="498" width="4.44140625" style="12" bestFit="1" customWidth="1"/>
    <col min="499" max="510" width="9.33203125" style="12"/>
    <col min="511" max="511" width="3.6640625" style="12" bestFit="1" customWidth="1"/>
    <col min="512" max="513" width="9.33203125" style="12"/>
    <col min="514" max="514" width="4.44140625" style="12" bestFit="1" customWidth="1"/>
    <col min="515" max="526" width="9.33203125" style="12"/>
    <col min="527" max="527" width="3.6640625" style="12" bestFit="1" customWidth="1"/>
    <col min="528" max="529" width="9.33203125" style="12"/>
    <col min="530" max="530" width="4.44140625" style="12" bestFit="1" customWidth="1"/>
    <col min="531" max="542" width="9.33203125" style="12"/>
    <col min="543" max="543" width="3.6640625" style="12" bestFit="1" customWidth="1"/>
    <col min="544" max="16384" width="9.33203125" style="12"/>
  </cols>
  <sheetData>
    <row r="2" spans="2:543" ht="20.100000000000001" customHeight="1">
      <c r="B2" s="595" t="s">
        <v>728</v>
      </c>
      <c r="C2" s="595"/>
      <c r="D2" s="595"/>
      <c r="E2" s="595"/>
      <c r="F2" s="595"/>
      <c r="G2" s="595"/>
      <c r="H2" s="595"/>
      <c r="I2" s="595"/>
      <c r="J2" s="595"/>
      <c r="K2" s="595"/>
      <c r="L2" s="595"/>
      <c r="M2" s="595"/>
      <c r="N2" s="595"/>
      <c r="O2" s="595"/>
      <c r="R2" s="595" t="s">
        <v>728</v>
      </c>
      <c r="S2" s="595"/>
      <c r="T2" s="595"/>
      <c r="U2" s="595"/>
      <c r="V2" s="595"/>
      <c r="W2" s="595"/>
      <c r="X2" s="595"/>
      <c r="Y2" s="595"/>
      <c r="Z2" s="595"/>
      <c r="AA2" s="595"/>
      <c r="AB2" s="595"/>
      <c r="AC2" s="595"/>
      <c r="AD2" s="595"/>
      <c r="AE2" s="595"/>
      <c r="AH2" s="595" t="s">
        <v>728</v>
      </c>
      <c r="AI2" s="595"/>
      <c r="AJ2" s="595"/>
      <c r="AK2" s="595"/>
      <c r="AL2" s="595"/>
      <c r="AM2" s="595"/>
      <c r="AN2" s="595"/>
      <c r="AO2" s="595"/>
      <c r="AP2" s="595"/>
      <c r="AQ2" s="595"/>
      <c r="AR2" s="595"/>
      <c r="AS2" s="595"/>
      <c r="AT2" s="595"/>
      <c r="AU2" s="595"/>
      <c r="AX2" s="595" t="s">
        <v>728</v>
      </c>
      <c r="AY2" s="595"/>
      <c r="AZ2" s="595"/>
      <c r="BA2" s="595"/>
      <c r="BB2" s="595"/>
      <c r="BC2" s="595"/>
      <c r="BD2" s="595"/>
      <c r="BE2" s="595"/>
      <c r="BF2" s="595"/>
      <c r="BG2" s="595"/>
      <c r="BH2" s="595"/>
      <c r="BI2" s="595"/>
      <c r="BJ2" s="595"/>
      <c r="BK2" s="595"/>
      <c r="BN2" s="595" t="s">
        <v>728</v>
      </c>
      <c r="BO2" s="595"/>
      <c r="BP2" s="595"/>
      <c r="BQ2" s="595"/>
      <c r="BR2" s="595"/>
      <c r="BS2" s="595"/>
      <c r="BT2" s="595"/>
      <c r="BU2" s="595"/>
      <c r="BV2" s="595"/>
      <c r="BW2" s="595"/>
      <c r="BX2" s="595"/>
      <c r="BY2" s="595"/>
      <c r="BZ2" s="595"/>
      <c r="CA2" s="595"/>
      <c r="CD2" s="595" t="s">
        <v>728</v>
      </c>
      <c r="CE2" s="595"/>
      <c r="CF2" s="595"/>
      <c r="CG2" s="595"/>
      <c r="CH2" s="595"/>
      <c r="CI2" s="595"/>
      <c r="CJ2" s="595"/>
      <c r="CK2" s="595"/>
      <c r="CL2" s="595"/>
      <c r="CM2" s="595"/>
      <c r="CN2" s="595"/>
      <c r="CO2" s="595"/>
      <c r="CP2" s="595"/>
      <c r="CQ2" s="595"/>
      <c r="CT2" s="595" t="s">
        <v>728</v>
      </c>
      <c r="CU2" s="595"/>
      <c r="CV2" s="595"/>
      <c r="CW2" s="595"/>
      <c r="CX2" s="595"/>
      <c r="CY2" s="595"/>
      <c r="CZ2" s="595"/>
      <c r="DA2" s="595"/>
      <c r="DB2" s="595"/>
      <c r="DC2" s="595"/>
      <c r="DD2" s="595"/>
      <c r="DE2" s="595"/>
      <c r="DF2" s="595"/>
      <c r="DG2" s="595"/>
      <c r="DJ2" s="595" t="s">
        <v>728</v>
      </c>
      <c r="DK2" s="595"/>
      <c r="DL2" s="595"/>
      <c r="DM2" s="595"/>
      <c r="DN2" s="595"/>
      <c r="DO2" s="595"/>
      <c r="DP2" s="595"/>
      <c r="DQ2" s="595"/>
      <c r="DR2" s="595"/>
      <c r="DS2" s="595"/>
      <c r="DT2" s="595"/>
      <c r="DU2" s="595"/>
      <c r="DV2" s="595"/>
      <c r="DW2" s="595"/>
      <c r="DZ2" s="595" t="s">
        <v>728</v>
      </c>
      <c r="EA2" s="595"/>
      <c r="EB2" s="595"/>
      <c r="EC2" s="595"/>
      <c r="ED2" s="595"/>
      <c r="EE2" s="595"/>
      <c r="EF2" s="595"/>
      <c r="EG2" s="595"/>
      <c r="EH2" s="595"/>
      <c r="EI2" s="595"/>
      <c r="EJ2" s="595"/>
      <c r="EK2" s="595"/>
      <c r="EL2" s="595"/>
      <c r="EM2" s="595"/>
      <c r="EP2" s="595" t="s">
        <v>728</v>
      </c>
      <c r="EQ2" s="595"/>
      <c r="ER2" s="595"/>
      <c r="ES2" s="595"/>
      <c r="ET2" s="595"/>
      <c r="EU2" s="595"/>
      <c r="EV2" s="595"/>
      <c r="EW2" s="595"/>
      <c r="EX2" s="595"/>
      <c r="EY2" s="595"/>
      <c r="EZ2" s="595"/>
      <c r="FA2" s="595"/>
      <c r="FB2" s="595"/>
      <c r="FC2" s="595"/>
      <c r="FF2" s="595" t="s">
        <v>728</v>
      </c>
      <c r="FG2" s="595"/>
      <c r="FH2" s="595"/>
      <c r="FI2" s="595"/>
      <c r="FJ2" s="595"/>
      <c r="FK2" s="595"/>
      <c r="FL2" s="595"/>
      <c r="FM2" s="595"/>
      <c r="FN2" s="595"/>
      <c r="FO2" s="595"/>
      <c r="FP2" s="595"/>
      <c r="FQ2" s="595"/>
      <c r="FR2" s="595"/>
      <c r="FS2" s="595"/>
      <c r="FV2" s="595" t="s">
        <v>728</v>
      </c>
      <c r="FW2" s="595"/>
      <c r="FX2" s="595"/>
      <c r="FY2" s="595"/>
      <c r="FZ2" s="595"/>
      <c r="GA2" s="595"/>
      <c r="GB2" s="595"/>
      <c r="GC2" s="595"/>
      <c r="GD2" s="595"/>
      <c r="GE2" s="595"/>
      <c r="GF2" s="595"/>
      <c r="GG2" s="595"/>
      <c r="GH2" s="595"/>
      <c r="GI2" s="595"/>
      <c r="GL2" s="595" t="s">
        <v>728</v>
      </c>
      <c r="GM2" s="595"/>
      <c r="GN2" s="595"/>
      <c r="GO2" s="595"/>
      <c r="GP2" s="595"/>
      <c r="GQ2" s="595"/>
      <c r="GR2" s="595"/>
      <c r="GS2" s="595"/>
      <c r="GT2" s="595"/>
      <c r="GU2" s="595"/>
      <c r="GV2" s="595"/>
      <c r="GW2" s="595"/>
      <c r="GX2" s="595"/>
      <c r="GY2" s="595"/>
      <c r="HB2" s="595" t="s">
        <v>728</v>
      </c>
      <c r="HC2" s="595"/>
      <c r="HD2" s="595"/>
      <c r="HE2" s="595"/>
      <c r="HF2" s="595"/>
      <c r="HG2" s="595"/>
      <c r="HH2" s="595"/>
      <c r="HI2" s="595"/>
      <c r="HJ2" s="595"/>
      <c r="HK2" s="595"/>
      <c r="HL2" s="595"/>
      <c r="HM2" s="595"/>
      <c r="HN2" s="595"/>
      <c r="HO2" s="595"/>
      <c r="HP2" s="1"/>
      <c r="HQ2" s="1"/>
      <c r="HR2" s="595" t="s">
        <v>728</v>
      </c>
      <c r="HS2" s="595"/>
      <c r="HT2" s="595"/>
      <c r="HU2" s="595"/>
      <c r="HV2" s="595"/>
      <c r="HW2" s="595"/>
      <c r="HX2" s="595"/>
      <c r="HY2" s="595"/>
      <c r="HZ2" s="595"/>
      <c r="IA2" s="595"/>
      <c r="IB2" s="595"/>
      <c r="IC2" s="595"/>
      <c r="ID2" s="595"/>
      <c r="IE2" s="595"/>
      <c r="IF2" s="1"/>
      <c r="IG2" s="1"/>
      <c r="IH2" s="595" t="s">
        <v>728</v>
      </c>
      <c r="II2" s="595"/>
      <c r="IJ2" s="595"/>
      <c r="IK2" s="595"/>
      <c r="IL2" s="595"/>
      <c r="IM2" s="595"/>
      <c r="IN2" s="595"/>
      <c r="IO2" s="595"/>
      <c r="IP2" s="595"/>
      <c r="IQ2" s="595"/>
      <c r="IR2" s="595"/>
      <c r="IS2" s="595"/>
      <c r="IT2" s="595"/>
      <c r="IU2" s="595"/>
      <c r="IV2" s="1"/>
      <c r="IW2" s="1"/>
      <c r="IX2" s="595" t="s">
        <v>728</v>
      </c>
      <c r="IY2" s="595"/>
      <c r="IZ2" s="595"/>
      <c r="JA2" s="595"/>
      <c r="JB2" s="595"/>
      <c r="JC2" s="595"/>
      <c r="JD2" s="595"/>
      <c r="JE2" s="595"/>
      <c r="JF2" s="595"/>
      <c r="JG2" s="595"/>
      <c r="JH2" s="595"/>
      <c r="JI2" s="595"/>
      <c r="JJ2" s="595"/>
      <c r="JK2" s="595"/>
      <c r="JL2" s="1"/>
      <c r="JM2" s="1"/>
      <c r="JN2" s="595" t="s">
        <v>728</v>
      </c>
      <c r="JO2" s="595"/>
      <c r="JP2" s="595"/>
      <c r="JQ2" s="595"/>
      <c r="JR2" s="595"/>
      <c r="JS2" s="595"/>
      <c r="JT2" s="595"/>
      <c r="JU2" s="595"/>
      <c r="JV2" s="595"/>
      <c r="JW2" s="595"/>
      <c r="JX2" s="595"/>
      <c r="JY2" s="595"/>
      <c r="JZ2" s="595"/>
      <c r="KA2" s="595"/>
      <c r="KB2" s="1"/>
      <c r="KC2" s="1"/>
      <c r="KD2" s="595" t="s">
        <v>728</v>
      </c>
      <c r="KE2" s="595"/>
      <c r="KF2" s="595"/>
      <c r="KG2" s="595"/>
      <c r="KH2" s="595"/>
      <c r="KI2" s="595"/>
      <c r="KJ2" s="595"/>
      <c r="KK2" s="595"/>
      <c r="KL2" s="595"/>
      <c r="KM2" s="595"/>
      <c r="KN2" s="595"/>
      <c r="KO2" s="595"/>
      <c r="KP2" s="595"/>
      <c r="KQ2" s="595"/>
      <c r="KR2" s="1"/>
      <c r="KS2" s="1"/>
      <c r="KT2" s="595" t="s">
        <v>728</v>
      </c>
      <c r="KU2" s="595"/>
      <c r="KV2" s="595"/>
      <c r="KW2" s="595"/>
      <c r="KX2" s="595"/>
      <c r="KY2" s="595"/>
      <c r="KZ2" s="595"/>
      <c r="LA2" s="595"/>
      <c r="LB2" s="595"/>
      <c r="LC2" s="595"/>
      <c r="LD2" s="595"/>
      <c r="LE2" s="595"/>
      <c r="LF2" s="595"/>
      <c r="LG2" s="595"/>
      <c r="LH2" s="1"/>
      <c r="LI2" s="1"/>
      <c r="LJ2" s="595" t="s">
        <v>728</v>
      </c>
      <c r="LK2" s="595"/>
      <c r="LL2" s="595"/>
      <c r="LM2" s="595"/>
      <c r="LN2" s="595"/>
      <c r="LO2" s="595"/>
      <c r="LP2" s="595"/>
      <c r="LQ2" s="595"/>
      <c r="LR2" s="595"/>
      <c r="LS2" s="595"/>
      <c r="LT2" s="595"/>
      <c r="LU2" s="595"/>
      <c r="LV2" s="595"/>
      <c r="LW2" s="595"/>
      <c r="LX2" s="1"/>
      <c r="LY2" s="1"/>
      <c r="LZ2" s="595" t="s">
        <v>728</v>
      </c>
      <c r="MA2" s="595"/>
      <c r="MB2" s="595"/>
      <c r="MC2" s="595"/>
      <c r="MD2" s="595"/>
      <c r="ME2" s="595"/>
      <c r="MF2" s="595"/>
      <c r="MG2" s="595"/>
      <c r="MH2" s="595"/>
      <c r="MI2" s="595"/>
      <c r="MJ2" s="595"/>
      <c r="MK2" s="595"/>
      <c r="ML2" s="595"/>
      <c r="MM2" s="595"/>
      <c r="MN2" s="1"/>
      <c r="MO2" s="1"/>
      <c r="MP2" s="595" t="s">
        <v>728</v>
      </c>
      <c r="MQ2" s="595"/>
      <c r="MR2" s="595"/>
      <c r="MS2" s="595"/>
      <c r="MT2" s="595"/>
      <c r="MU2" s="595"/>
      <c r="MV2" s="595"/>
      <c r="MW2" s="595"/>
      <c r="MX2" s="595"/>
      <c r="MY2" s="595"/>
      <c r="MZ2" s="595"/>
      <c r="NA2" s="595"/>
      <c r="NB2" s="595"/>
      <c r="NC2" s="595"/>
      <c r="ND2" s="1"/>
      <c r="NE2" s="1"/>
      <c r="NF2" s="595" t="s">
        <v>728</v>
      </c>
      <c r="NG2" s="595"/>
      <c r="NH2" s="595"/>
      <c r="NI2" s="595"/>
      <c r="NJ2" s="595"/>
      <c r="NK2" s="595"/>
      <c r="NL2" s="595"/>
      <c r="NM2" s="595"/>
      <c r="NN2" s="595"/>
      <c r="NO2" s="595"/>
      <c r="NP2" s="595"/>
      <c r="NQ2" s="595"/>
      <c r="NR2" s="595"/>
      <c r="NS2" s="595"/>
      <c r="NT2" s="1"/>
      <c r="NU2" s="1"/>
      <c r="NV2" s="595" t="s">
        <v>728</v>
      </c>
      <c r="NW2" s="595"/>
      <c r="NX2" s="595"/>
      <c r="NY2" s="595"/>
      <c r="NZ2" s="595"/>
      <c r="OA2" s="595"/>
      <c r="OB2" s="595"/>
      <c r="OC2" s="595"/>
      <c r="OD2" s="595"/>
      <c r="OE2" s="595"/>
      <c r="OF2" s="595"/>
      <c r="OG2" s="595"/>
      <c r="OH2" s="595"/>
      <c r="OI2" s="595"/>
      <c r="OJ2" s="1"/>
      <c r="OK2" s="1"/>
      <c r="OL2" s="595" t="s">
        <v>728</v>
      </c>
      <c r="OM2" s="595"/>
      <c r="ON2" s="595"/>
      <c r="OO2" s="595"/>
      <c r="OP2" s="595"/>
      <c r="OQ2" s="595"/>
      <c r="OR2" s="595"/>
      <c r="OS2" s="595"/>
      <c r="OT2" s="595"/>
      <c r="OU2" s="595"/>
      <c r="OV2" s="595"/>
      <c r="OW2" s="595"/>
      <c r="OX2" s="595"/>
      <c r="OY2" s="595"/>
      <c r="OZ2" s="1"/>
      <c r="PA2" s="1"/>
      <c r="PB2" s="595" t="s">
        <v>728</v>
      </c>
      <c r="PC2" s="595"/>
      <c r="PD2" s="595"/>
      <c r="PE2" s="595"/>
      <c r="PF2" s="595"/>
      <c r="PG2" s="595"/>
      <c r="PH2" s="595"/>
      <c r="PI2" s="595"/>
      <c r="PJ2" s="595"/>
      <c r="PK2" s="595"/>
      <c r="PL2" s="595"/>
      <c r="PM2" s="595"/>
      <c r="PN2" s="595"/>
      <c r="PO2" s="595"/>
      <c r="PP2" s="1"/>
      <c r="PQ2" s="1"/>
      <c r="PR2" s="595" t="s">
        <v>728</v>
      </c>
      <c r="PS2" s="595"/>
      <c r="PT2" s="595"/>
      <c r="PU2" s="595"/>
      <c r="PV2" s="595"/>
      <c r="PW2" s="595"/>
      <c r="PX2" s="595"/>
      <c r="PY2" s="595"/>
      <c r="PZ2" s="595"/>
      <c r="QA2" s="595"/>
      <c r="QB2" s="595"/>
      <c r="QC2" s="595"/>
      <c r="QD2" s="595"/>
      <c r="QE2" s="595"/>
      <c r="QF2" s="1"/>
      <c r="QG2" s="1"/>
      <c r="QH2" s="595" t="s">
        <v>728</v>
      </c>
      <c r="QI2" s="595"/>
      <c r="QJ2" s="595"/>
      <c r="QK2" s="595"/>
      <c r="QL2" s="595"/>
      <c r="QM2" s="595"/>
      <c r="QN2" s="595"/>
      <c r="QO2" s="595"/>
      <c r="QP2" s="595"/>
      <c r="QQ2" s="595"/>
      <c r="QR2" s="595"/>
      <c r="QS2" s="595"/>
      <c r="QT2" s="595"/>
      <c r="QU2" s="595"/>
      <c r="QV2" s="1"/>
      <c r="QW2" s="1"/>
      <c r="QX2" s="595" t="s">
        <v>728</v>
      </c>
      <c r="QY2" s="595"/>
      <c r="QZ2" s="595"/>
      <c r="RA2" s="595"/>
      <c r="RB2" s="595"/>
      <c r="RC2" s="595"/>
      <c r="RD2" s="595"/>
      <c r="RE2" s="595"/>
      <c r="RF2" s="595"/>
      <c r="RG2" s="595"/>
      <c r="RH2" s="595"/>
      <c r="RI2" s="595"/>
      <c r="RJ2" s="595"/>
      <c r="RK2" s="595"/>
      <c r="RL2" s="1"/>
      <c r="RM2" s="1"/>
      <c r="RN2" s="595" t="s">
        <v>728</v>
      </c>
      <c r="RO2" s="595"/>
      <c r="RP2" s="595"/>
      <c r="RQ2" s="595"/>
      <c r="RR2" s="595"/>
      <c r="RS2" s="595"/>
      <c r="RT2" s="595"/>
      <c r="RU2" s="595"/>
      <c r="RV2" s="595"/>
      <c r="RW2" s="595"/>
      <c r="RX2" s="595"/>
      <c r="RY2" s="595"/>
      <c r="RZ2" s="595"/>
      <c r="SA2" s="595"/>
      <c r="SB2" s="1"/>
      <c r="SC2" s="1"/>
      <c r="SD2" s="595" t="s">
        <v>728</v>
      </c>
      <c r="SE2" s="595"/>
      <c r="SF2" s="595"/>
      <c r="SG2" s="595"/>
      <c r="SH2" s="595"/>
      <c r="SI2" s="595"/>
      <c r="SJ2" s="595"/>
      <c r="SK2" s="595"/>
      <c r="SL2" s="595"/>
      <c r="SM2" s="595"/>
      <c r="SN2" s="595"/>
      <c r="SO2" s="595"/>
      <c r="SP2" s="595"/>
      <c r="SQ2" s="595"/>
      <c r="SR2" s="1"/>
      <c r="SS2" s="1"/>
      <c r="ST2" s="595" t="s">
        <v>728</v>
      </c>
      <c r="SU2" s="595"/>
      <c r="SV2" s="595"/>
      <c r="SW2" s="595"/>
      <c r="SX2" s="595"/>
      <c r="SY2" s="595"/>
      <c r="SZ2" s="595"/>
      <c r="TA2" s="595"/>
      <c r="TB2" s="595"/>
      <c r="TC2" s="595"/>
      <c r="TD2" s="595"/>
      <c r="TE2" s="595"/>
      <c r="TF2" s="595"/>
      <c r="TG2" s="595"/>
      <c r="TH2" s="1"/>
      <c r="TI2" s="1"/>
      <c r="TJ2" s="595" t="s">
        <v>728</v>
      </c>
      <c r="TK2" s="595"/>
      <c r="TL2" s="595"/>
      <c r="TM2" s="595"/>
      <c r="TN2" s="595"/>
      <c r="TO2" s="595"/>
      <c r="TP2" s="595"/>
      <c r="TQ2" s="595"/>
      <c r="TR2" s="595"/>
      <c r="TS2" s="595"/>
      <c r="TT2" s="595"/>
      <c r="TU2" s="595"/>
      <c r="TV2" s="595"/>
      <c r="TW2" s="595"/>
    </row>
    <row r="3" spans="2:543" ht="20.100000000000001" customHeight="1">
      <c r="B3" s="595" t="s">
        <v>729</v>
      </c>
      <c r="C3" s="595"/>
      <c r="D3" s="595"/>
      <c r="E3" s="595"/>
      <c r="F3" s="595"/>
      <c r="G3" s="595"/>
      <c r="H3" s="595"/>
      <c r="I3" s="595"/>
      <c r="J3" s="595"/>
      <c r="K3" s="595"/>
      <c r="L3" s="595"/>
      <c r="M3" s="595"/>
      <c r="N3" s="595"/>
      <c r="O3" s="595"/>
      <c r="R3" s="595" t="s">
        <v>730</v>
      </c>
      <c r="S3" s="595"/>
      <c r="T3" s="595"/>
      <c r="U3" s="595"/>
      <c r="V3" s="595"/>
      <c r="W3" s="595"/>
      <c r="X3" s="595"/>
      <c r="Y3" s="595"/>
      <c r="Z3" s="595"/>
      <c r="AA3" s="595"/>
      <c r="AB3" s="595"/>
      <c r="AC3" s="595"/>
      <c r="AD3" s="595"/>
      <c r="AE3" s="595"/>
      <c r="AH3" s="595" t="s">
        <v>731</v>
      </c>
      <c r="AI3" s="595"/>
      <c r="AJ3" s="595"/>
      <c r="AK3" s="595"/>
      <c r="AL3" s="595"/>
      <c r="AM3" s="595"/>
      <c r="AN3" s="595"/>
      <c r="AO3" s="595"/>
      <c r="AP3" s="595"/>
      <c r="AQ3" s="595"/>
      <c r="AR3" s="595"/>
      <c r="AS3" s="595"/>
      <c r="AT3" s="595"/>
      <c r="AU3" s="595"/>
      <c r="AX3" s="595" t="s">
        <v>732</v>
      </c>
      <c r="AY3" s="595"/>
      <c r="AZ3" s="595"/>
      <c r="BA3" s="595"/>
      <c r="BB3" s="595"/>
      <c r="BC3" s="595"/>
      <c r="BD3" s="595"/>
      <c r="BE3" s="595"/>
      <c r="BF3" s="595"/>
      <c r="BG3" s="595"/>
      <c r="BH3" s="595"/>
      <c r="BI3" s="595"/>
      <c r="BJ3" s="595"/>
      <c r="BK3" s="595"/>
      <c r="BN3" s="595" t="s">
        <v>733</v>
      </c>
      <c r="BO3" s="595"/>
      <c r="BP3" s="595"/>
      <c r="BQ3" s="595"/>
      <c r="BR3" s="595"/>
      <c r="BS3" s="595"/>
      <c r="BT3" s="595"/>
      <c r="BU3" s="595"/>
      <c r="BV3" s="595"/>
      <c r="BW3" s="595"/>
      <c r="BX3" s="595"/>
      <c r="BY3" s="595"/>
      <c r="BZ3" s="595"/>
      <c r="CA3" s="595"/>
      <c r="CD3" s="595" t="s">
        <v>734</v>
      </c>
      <c r="CE3" s="595"/>
      <c r="CF3" s="595"/>
      <c r="CG3" s="595"/>
      <c r="CH3" s="595"/>
      <c r="CI3" s="595"/>
      <c r="CJ3" s="595"/>
      <c r="CK3" s="595"/>
      <c r="CL3" s="595"/>
      <c r="CM3" s="595"/>
      <c r="CN3" s="595"/>
      <c r="CO3" s="595"/>
      <c r="CP3" s="595"/>
      <c r="CQ3" s="595"/>
      <c r="CT3" s="595" t="s">
        <v>735</v>
      </c>
      <c r="CU3" s="595"/>
      <c r="CV3" s="595"/>
      <c r="CW3" s="595"/>
      <c r="CX3" s="595"/>
      <c r="CY3" s="595"/>
      <c r="CZ3" s="595"/>
      <c r="DA3" s="595"/>
      <c r="DB3" s="595"/>
      <c r="DC3" s="595"/>
      <c r="DD3" s="595"/>
      <c r="DE3" s="595"/>
      <c r="DF3" s="595"/>
      <c r="DG3" s="595"/>
      <c r="DJ3" s="595" t="s">
        <v>736</v>
      </c>
      <c r="DK3" s="595"/>
      <c r="DL3" s="595"/>
      <c r="DM3" s="595"/>
      <c r="DN3" s="595"/>
      <c r="DO3" s="595"/>
      <c r="DP3" s="595"/>
      <c r="DQ3" s="595"/>
      <c r="DR3" s="595"/>
      <c r="DS3" s="595"/>
      <c r="DT3" s="595"/>
      <c r="DU3" s="595"/>
      <c r="DV3" s="595"/>
      <c r="DW3" s="595"/>
      <c r="DZ3" s="595" t="s">
        <v>737</v>
      </c>
      <c r="EA3" s="595"/>
      <c r="EB3" s="595"/>
      <c r="EC3" s="595"/>
      <c r="ED3" s="595"/>
      <c r="EE3" s="595"/>
      <c r="EF3" s="595"/>
      <c r="EG3" s="595"/>
      <c r="EH3" s="595"/>
      <c r="EI3" s="595"/>
      <c r="EJ3" s="595"/>
      <c r="EK3" s="595"/>
      <c r="EL3" s="595"/>
      <c r="EM3" s="595"/>
      <c r="EP3" s="595" t="s">
        <v>738</v>
      </c>
      <c r="EQ3" s="595"/>
      <c r="ER3" s="595"/>
      <c r="ES3" s="595"/>
      <c r="ET3" s="595"/>
      <c r="EU3" s="595"/>
      <c r="EV3" s="595"/>
      <c r="EW3" s="595"/>
      <c r="EX3" s="595"/>
      <c r="EY3" s="595"/>
      <c r="EZ3" s="595"/>
      <c r="FA3" s="595"/>
      <c r="FB3" s="595"/>
      <c r="FC3" s="595"/>
      <c r="FF3" s="595" t="s">
        <v>739</v>
      </c>
      <c r="FG3" s="595"/>
      <c r="FH3" s="595"/>
      <c r="FI3" s="595"/>
      <c r="FJ3" s="595"/>
      <c r="FK3" s="595"/>
      <c r="FL3" s="595"/>
      <c r="FM3" s="595"/>
      <c r="FN3" s="595"/>
      <c r="FO3" s="595"/>
      <c r="FP3" s="595"/>
      <c r="FQ3" s="595"/>
      <c r="FR3" s="595"/>
      <c r="FS3" s="595"/>
      <c r="FV3" s="595" t="s">
        <v>740</v>
      </c>
      <c r="FW3" s="595"/>
      <c r="FX3" s="595"/>
      <c r="FY3" s="595"/>
      <c r="FZ3" s="595"/>
      <c r="GA3" s="595"/>
      <c r="GB3" s="595"/>
      <c r="GC3" s="595"/>
      <c r="GD3" s="595"/>
      <c r="GE3" s="595"/>
      <c r="GF3" s="595"/>
      <c r="GG3" s="595"/>
      <c r="GH3" s="595"/>
      <c r="GI3" s="595"/>
      <c r="GL3" s="595" t="s">
        <v>741</v>
      </c>
      <c r="GM3" s="595"/>
      <c r="GN3" s="595"/>
      <c r="GO3" s="595"/>
      <c r="GP3" s="595"/>
      <c r="GQ3" s="595"/>
      <c r="GR3" s="595"/>
      <c r="GS3" s="595"/>
      <c r="GT3" s="595"/>
      <c r="GU3" s="595"/>
      <c r="GV3" s="595"/>
      <c r="GW3" s="595"/>
      <c r="GX3" s="595"/>
      <c r="GY3" s="595"/>
      <c r="HB3" s="595" t="s">
        <v>742</v>
      </c>
      <c r="HC3" s="595"/>
      <c r="HD3" s="595"/>
      <c r="HE3" s="595"/>
      <c r="HF3" s="595"/>
      <c r="HG3" s="595"/>
      <c r="HH3" s="595"/>
      <c r="HI3" s="595"/>
      <c r="HJ3" s="595"/>
      <c r="HK3" s="595"/>
      <c r="HL3" s="595"/>
      <c r="HM3" s="595"/>
      <c r="HN3" s="595"/>
      <c r="HO3" s="595"/>
      <c r="HP3" s="1"/>
      <c r="HQ3" s="1"/>
      <c r="HR3" s="595" t="s">
        <v>743</v>
      </c>
      <c r="HS3" s="595"/>
      <c r="HT3" s="595"/>
      <c r="HU3" s="595"/>
      <c r="HV3" s="595"/>
      <c r="HW3" s="595"/>
      <c r="HX3" s="595"/>
      <c r="HY3" s="595"/>
      <c r="HZ3" s="595"/>
      <c r="IA3" s="595"/>
      <c r="IB3" s="595"/>
      <c r="IC3" s="595"/>
      <c r="ID3" s="595"/>
      <c r="IE3" s="595"/>
      <c r="IF3" s="1"/>
      <c r="IG3" s="1"/>
      <c r="IH3" s="595" t="s">
        <v>744</v>
      </c>
      <c r="II3" s="595"/>
      <c r="IJ3" s="595"/>
      <c r="IK3" s="595"/>
      <c r="IL3" s="595"/>
      <c r="IM3" s="595"/>
      <c r="IN3" s="595"/>
      <c r="IO3" s="595"/>
      <c r="IP3" s="595"/>
      <c r="IQ3" s="595"/>
      <c r="IR3" s="595"/>
      <c r="IS3" s="595"/>
      <c r="IT3" s="595"/>
      <c r="IU3" s="595"/>
      <c r="IV3" s="1"/>
      <c r="IW3" s="1"/>
      <c r="IX3" s="595" t="s">
        <v>745</v>
      </c>
      <c r="IY3" s="595"/>
      <c r="IZ3" s="595"/>
      <c r="JA3" s="595"/>
      <c r="JB3" s="595"/>
      <c r="JC3" s="595"/>
      <c r="JD3" s="595"/>
      <c r="JE3" s="595"/>
      <c r="JF3" s="595"/>
      <c r="JG3" s="595"/>
      <c r="JH3" s="595"/>
      <c r="JI3" s="595"/>
      <c r="JJ3" s="595"/>
      <c r="JK3" s="595"/>
      <c r="JL3" s="1"/>
      <c r="JM3" s="1"/>
      <c r="JN3" s="595" t="s">
        <v>746</v>
      </c>
      <c r="JO3" s="595"/>
      <c r="JP3" s="595"/>
      <c r="JQ3" s="595"/>
      <c r="JR3" s="595"/>
      <c r="JS3" s="595"/>
      <c r="JT3" s="595"/>
      <c r="JU3" s="595"/>
      <c r="JV3" s="595"/>
      <c r="JW3" s="595"/>
      <c r="JX3" s="595"/>
      <c r="JY3" s="595"/>
      <c r="JZ3" s="595"/>
      <c r="KA3" s="595"/>
      <c r="KB3" s="1"/>
      <c r="KC3" s="1"/>
      <c r="KD3" s="595" t="s">
        <v>747</v>
      </c>
      <c r="KE3" s="595"/>
      <c r="KF3" s="595"/>
      <c r="KG3" s="595"/>
      <c r="KH3" s="595"/>
      <c r="KI3" s="595"/>
      <c r="KJ3" s="595"/>
      <c r="KK3" s="595"/>
      <c r="KL3" s="595"/>
      <c r="KM3" s="595"/>
      <c r="KN3" s="595"/>
      <c r="KO3" s="595"/>
      <c r="KP3" s="595"/>
      <c r="KQ3" s="595"/>
      <c r="KR3" s="1"/>
      <c r="KS3" s="1"/>
      <c r="KT3" s="595" t="s">
        <v>748</v>
      </c>
      <c r="KU3" s="595"/>
      <c r="KV3" s="595"/>
      <c r="KW3" s="595"/>
      <c r="KX3" s="595"/>
      <c r="KY3" s="595"/>
      <c r="KZ3" s="595"/>
      <c r="LA3" s="595"/>
      <c r="LB3" s="595"/>
      <c r="LC3" s="595"/>
      <c r="LD3" s="595"/>
      <c r="LE3" s="595"/>
      <c r="LF3" s="595"/>
      <c r="LG3" s="595"/>
      <c r="LH3" s="1"/>
      <c r="LI3" s="1"/>
      <c r="LJ3" s="595" t="s">
        <v>749</v>
      </c>
      <c r="LK3" s="595"/>
      <c r="LL3" s="595"/>
      <c r="LM3" s="595"/>
      <c r="LN3" s="595"/>
      <c r="LO3" s="595"/>
      <c r="LP3" s="595"/>
      <c r="LQ3" s="595"/>
      <c r="LR3" s="595"/>
      <c r="LS3" s="595"/>
      <c r="LT3" s="595"/>
      <c r="LU3" s="595"/>
      <c r="LV3" s="595"/>
      <c r="LW3" s="595"/>
      <c r="LX3" s="1"/>
      <c r="LY3" s="1"/>
      <c r="LZ3" s="595" t="s">
        <v>750</v>
      </c>
      <c r="MA3" s="595"/>
      <c r="MB3" s="595"/>
      <c r="MC3" s="595"/>
      <c r="MD3" s="595"/>
      <c r="ME3" s="595"/>
      <c r="MF3" s="595"/>
      <c r="MG3" s="595"/>
      <c r="MH3" s="595"/>
      <c r="MI3" s="595"/>
      <c r="MJ3" s="595"/>
      <c r="MK3" s="595"/>
      <c r="ML3" s="595"/>
      <c r="MM3" s="595"/>
      <c r="MN3" s="1"/>
      <c r="MO3" s="1"/>
      <c r="MP3" s="595" t="s">
        <v>751</v>
      </c>
      <c r="MQ3" s="595"/>
      <c r="MR3" s="595"/>
      <c r="MS3" s="595"/>
      <c r="MT3" s="595"/>
      <c r="MU3" s="595"/>
      <c r="MV3" s="595"/>
      <c r="MW3" s="595"/>
      <c r="MX3" s="595"/>
      <c r="MY3" s="595"/>
      <c r="MZ3" s="595"/>
      <c r="NA3" s="595"/>
      <c r="NB3" s="595"/>
      <c r="NC3" s="595"/>
      <c r="ND3" s="1"/>
      <c r="NE3" s="1"/>
      <c r="NF3" s="595" t="s">
        <v>752</v>
      </c>
      <c r="NG3" s="595"/>
      <c r="NH3" s="595"/>
      <c r="NI3" s="595"/>
      <c r="NJ3" s="595"/>
      <c r="NK3" s="595"/>
      <c r="NL3" s="595"/>
      <c r="NM3" s="595"/>
      <c r="NN3" s="595"/>
      <c r="NO3" s="595"/>
      <c r="NP3" s="595"/>
      <c r="NQ3" s="595"/>
      <c r="NR3" s="595"/>
      <c r="NS3" s="595"/>
      <c r="NT3" s="1"/>
      <c r="NU3" s="1"/>
      <c r="NV3" s="595" t="s">
        <v>753</v>
      </c>
      <c r="NW3" s="595"/>
      <c r="NX3" s="595"/>
      <c r="NY3" s="595"/>
      <c r="NZ3" s="595"/>
      <c r="OA3" s="595"/>
      <c r="OB3" s="595"/>
      <c r="OC3" s="595"/>
      <c r="OD3" s="595"/>
      <c r="OE3" s="595"/>
      <c r="OF3" s="595"/>
      <c r="OG3" s="595"/>
      <c r="OH3" s="595"/>
      <c r="OI3" s="595"/>
      <c r="OJ3" s="1"/>
      <c r="OK3" s="1"/>
      <c r="OL3" s="595" t="s">
        <v>754</v>
      </c>
      <c r="OM3" s="595"/>
      <c r="ON3" s="595"/>
      <c r="OO3" s="595"/>
      <c r="OP3" s="595"/>
      <c r="OQ3" s="595"/>
      <c r="OR3" s="595"/>
      <c r="OS3" s="595"/>
      <c r="OT3" s="595"/>
      <c r="OU3" s="595"/>
      <c r="OV3" s="595"/>
      <c r="OW3" s="595"/>
      <c r="OX3" s="595"/>
      <c r="OY3" s="595"/>
      <c r="OZ3" s="1"/>
      <c r="PA3" s="1"/>
      <c r="PB3" s="595" t="s">
        <v>755</v>
      </c>
      <c r="PC3" s="595"/>
      <c r="PD3" s="595"/>
      <c r="PE3" s="595"/>
      <c r="PF3" s="595"/>
      <c r="PG3" s="595"/>
      <c r="PH3" s="595"/>
      <c r="PI3" s="595"/>
      <c r="PJ3" s="595"/>
      <c r="PK3" s="595"/>
      <c r="PL3" s="595"/>
      <c r="PM3" s="595"/>
      <c r="PN3" s="595"/>
      <c r="PO3" s="595"/>
      <c r="PP3" s="1"/>
      <c r="PQ3" s="1"/>
      <c r="PR3" s="595" t="s">
        <v>756</v>
      </c>
      <c r="PS3" s="595"/>
      <c r="PT3" s="595"/>
      <c r="PU3" s="595"/>
      <c r="PV3" s="595"/>
      <c r="PW3" s="595"/>
      <c r="PX3" s="595"/>
      <c r="PY3" s="595"/>
      <c r="PZ3" s="595"/>
      <c r="QA3" s="595"/>
      <c r="QB3" s="595"/>
      <c r="QC3" s="595"/>
      <c r="QD3" s="595"/>
      <c r="QE3" s="595"/>
      <c r="QF3" s="1"/>
      <c r="QG3" s="1"/>
      <c r="QH3" s="595" t="s">
        <v>757</v>
      </c>
      <c r="QI3" s="595"/>
      <c r="QJ3" s="595"/>
      <c r="QK3" s="595"/>
      <c r="QL3" s="595"/>
      <c r="QM3" s="595"/>
      <c r="QN3" s="595"/>
      <c r="QO3" s="595"/>
      <c r="QP3" s="595"/>
      <c r="QQ3" s="595"/>
      <c r="QR3" s="595"/>
      <c r="QS3" s="595"/>
      <c r="QT3" s="595"/>
      <c r="QU3" s="595"/>
      <c r="QV3" s="1"/>
      <c r="QW3" s="1"/>
      <c r="QX3" s="595" t="s">
        <v>758</v>
      </c>
      <c r="QY3" s="595"/>
      <c r="QZ3" s="595"/>
      <c r="RA3" s="595"/>
      <c r="RB3" s="595"/>
      <c r="RC3" s="595"/>
      <c r="RD3" s="595"/>
      <c r="RE3" s="595"/>
      <c r="RF3" s="595"/>
      <c r="RG3" s="595"/>
      <c r="RH3" s="595"/>
      <c r="RI3" s="595"/>
      <c r="RJ3" s="595"/>
      <c r="RK3" s="595"/>
      <c r="RL3" s="1"/>
      <c r="RM3" s="1"/>
      <c r="RN3" s="595" t="s">
        <v>759</v>
      </c>
      <c r="RO3" s="595"/>
      <c r="RP3" s="595"/>
      <c r="RQ3" s="595"/>
      <c r="RR3" s="595"/>
      <c r="RS3" s="595"/>
      <c r="RT3" s="595"/>
      <c r="RU3" s="595"/>
      <c r="RV3" s="595"/>
      <c r="RW3" s="595"/>
      <c r="RX3" s="595"/>
      <c r="RY3" s="595"/>
      <c r="RZ3" s="595"/>
      <c r="SA3" s="595"/>
      <c r="SB3" s="1"/>
      <c r="SC3" s="1"/>
      <c r="SD3" s="595" t="s">
        <v>760</v>
      </c>
      <c r="SE3" s="595"/>
      <c r="SF3" s="595"/>
      <c r="SG3" s="595"/>
      <c r="SH3" s="595"/>
      <c r="SI3" s="595"/>
      <c r="SJ3" s="595"/>
      <c r="SK3" s="595"/>
      <c r="SL3" s="595"/>
      <c r="SM3" s="595"/>
      <c r="SN3" s="595"/>
      <c r="SO3" s="595"/>
      <c r="SP3" s="595"/>
      <c r="SQ3" s="595"/>
      <c r="SR3" s="1"/>
      <c r="SS3" s="1"/>
      <c r="ST3" s="595" t="s">
        <v>761</v>
      </c>
      <c r="SU3" s="595"/>
      <c r="SV3" s="595"/>
      <c r="SW3" s="595"/>
      <c r="SX3" s="595"/>
      <c r="SY3" s="595"/>
      <c r="SZ3" s="595"/>
      <c r="TA3" s="595"/>
      <c r="TB3" s="595"/>
      <c r="TC3" s="595"/>
      <c r="TD3" s="595"/>
      <c r="TE3" s="595"/>
      <c r="TF3" s="595"/>
      <c r="TG3" s="595"/>
      <c r="TH3" s="1"/>
      <c r="TI3" s="1"/>
      <c r="TJ3" s="595" t="s">
        <v>762</v>
      </c>
      <c r="TK3" s="595"/>
      <c r="TL3" s="595"/>
      <c r="TM3" s="595"/>
      <c r="TN3" s="595"/>
      <c r="TO3" s="595"/>
      <c r="TP3" s="595"/>
      <c r="TQ3" s="595"/>
      <c r="TR3" s="595"/>
      <c r="TS3" s="595"/>
      <c r="TT3" s="595"/>
      <c r="TU3" s="595"/>
      <c r="TV3" s="595"/>
      <c r="TW3" s="595"/>
    </row>
    <row r="4" spans="2:543" ht="20.100000000000001" customHeight="1">
      <c r="B4" s="578"/>
      <c r="C4" s="578"/>
      <c r="D4" s="578"/>
      <c r="E4" s="578"/>
      <c r="F4" s="578"/>
      <c r="G4" s="578"/>
      <c r="H4" s="578"/>
      <c r="I4" s="578"/>
      <c r="J4" s="578"/>
      <c r="K4" s="578"/>
      <c r="L4" s="578"/>
      <c r="M4" s="578"/>
      <c r="N4" s="578"/>
      <c r="O4" s="578"/>
      <c r="R4" s="578"/>
      <c r="S4" s="578"/>
      <c r="T4" s="578"/>
      <c r="U4" s="578"/>
      <c r="V4" s="578"/>
      <c r="W4" s="578"/>
      <c r="X4" s="578"/>
      <c r="Y4" s="578"/>
      <c r="Z4" s="578"/>
      <c r="AA4" s="578"/>
      <c r="AB4" s="578"/>
      <c r="AC4" s="578"/>
      <c r="AD4" s="578"/>
      <c r="AE4" s="578"/>
      <c r="AH4" s="578"/>
      <c r="AI4" s="578"/>
      <c r="AJ4" s="578"/>
      <c r="AK4" s="578"/>
      <c r="AL4" s="578"/>
      <c r="AM4" s="578"/>
      <c r="AN4" s="578"/>
      <c r="AO4" s="578"/>
      <c r="AP4" s="578"/>
      <c r="AQ4" s="578"/>
      <c r="AR4" s="578"/>
      <c r="AS4" s="578"/>
      <c r="AT4" s="578"/>
      <c r="AU4" s="578"/>
      <c r="AX4" s="578"/>
      <c r="AY4" s="578"/>
      <c r="AZ4" s="578"/>
      <c r="BA4" s="578"/>
      <c r="BB4" s="578"/>
      <c r="BC4" s="578"/>
      <c r="BD4" s="578"/>
      <c r="BE4" s="578"/>
      <c r="BF4" s="578"/>
      <c r="BG4" s="578"/>
      <c r="BH4" s="578"/>
      <c r="BI4" s="578"/>
      <c r="BJ4" s="578"/>
      <c r="BK4" s="578"/>
      <c r="BN4" s="578"/>
      <c r="BO4" s="578"/>
      <c r="BP4" s="578"/>
      <c r="BQ4" s="578"/>
      <c r="BR4" s="578"/>
      <c r="BS4" s="578"/>
      <c r="BT4" s="578"/>
      <c r="BU4" s="578"/>
      <c r="BV4" s="578"/>
      <c r="BW4" s="578"/>
      <c r="BX4" s="578"/>
      <c r="BY4" s="578"/>
      <c r="BZ4" s="578"/>
      <c r="CA4" s="578"/>
      <c r="CD4" s="578"/>
      <c r="CE4" s="578"/>
      <c r="CF4" s="578"/>
      <c r="CG4" s="578"/>
      <c r="CH4" s="578"/>
      <c r="CI4" s="578"/>
      <c r="CJ4" s="578"/>
      <c r="CK4" s="578"/>
      <c r="CL4" s="578"/>
      <c r="CM4" s="578"/>
      <c r="CN4" s="578"/>
      <c r="CO4" s="578"/>
      <c r="CP4" s="578"/>
      <c r="CQ4" s="578"/>
      <c r="HB4" s="578"/>
      <c r="HC4" s="578"/>
      <c r="HD4" s="578"/>
      <c r="HE4" s="578"/>
      <c r="HF4" s="578"/>
      <c r="HG4" s="578"/>
      <c r="HH4" s="578"/>
      <c r="HI4" s="578"/>
      <c r="HJ4" s="578"/>
      <c r="HK4" s="578"/>
      <c r="HL4" s="578"/>
      <c r="HM4" s="578"/>
      <c r="HN4" s="578"/>
      <c r="HO4" s="578"/>
      <c r="HP4" s="1"/>
      <c r="HQ4" s="1"/>
      <c r="HR4" s="578"/>
      <c r="HS4" s="578"/>
      <c r="HT4" s="578"/>
      <c r="HU4" s="578"/>
      <c r="HV4" s="578"/>
      <c r="HW4" s="578"/>
      <c r="HX4" s="578"/>
      <c r="HY4" s="578"/>
      <c r="HZ4" s="578"/>
      <c r="IA4" s="578"/>
      <c r="IB4" s="578"/>
      <c r="IC4" s="578"/>
      <c r="ID4" s="578"/>
      <c r="IE4" s="578"/>
      <c r="IF4" s="1"/>
      <c r="IG4" s="1"/>
      <c r="IH4" s="578"/>
      <c r="II4" s="578"/>
      <c r="IJ4" s="578"/>
      <c r="IK4" s="578"/>
      <c r="IL4" s="578"/>
      <c r="IM4" s="578"/>
      <c r="IN4" s="578"/>
      <c r="IO4" s="578"/>
      <c r="IP4" s="578"/>
      <c r="IQ4" s="578"/>
      <c r="IR4" s="578"/>
      <c r="IS4" s="578"/>
      <c r="IT4" s="578"/>
      <c r="IU4" s="578"/>
      <c r="IV4" s="1"/>
      <c r="IW4" s="1"/>
      <c r="IX4" s="578"/>
      <c r="IY4" s="578"/>
      <c r="IZ4" s="578"/>
      <c r="JA4" s="578"/>
      <c r="JB4" s="578"/>
      <c r="JC4" s="578"/>
      <c r="JD4" s="578"/>
      <c r="JE4" s="578"/>
      <c r="JF4" s="578"/>
      <c r="JG4" s="578"/>
      <c r="JH4" s="578"/>
      <c r="JI4" s="578"/>
      <c r="JJ4" s="578"/>
      <c r="JK4" s="578"/>
      <c r="JL4" s="1"/>
      <c r="JM4" s="1"/>
      <c r="JN4" s="578"/>
      <c r="JO4" s="578"/>
      <c r="JP4" s="578"/>
      <c r="JQ4" s="578"/>
      <c r="JR4" s="578"/>
      <c r="JS4" s="578"/>
      <c r="JT4" s="578"/>
      <c r="JU4" s="578"/>
      <c r="JV4" s="578"/>
      <c r="JW4" s="578"/>
      <c r="JX4" s="578"/>
      <c r="JY4" s="578"/>
      <c r="JZ4" s="578"/>
      <c r="KA4" s="578"/>
      <c r="KB4" s="1"/>
      <c r="KC4" s="1"/>
      <c r="KD4" s="578"/>
      <c r="KE4" s="578"/>
      <c r="KF4" s="578"/>
      <c r="KG4" s="578"/>
      <c r="KH4" s="578"/>
      <c r="KI4" s="578"/>
      <c r="KJ4" s="578"/>
      <c r="KK4" s="578"/>
      <c r="KL4" s="578"/>
      <c r="KM4" s="578"/>
      <c r="KN4" s="578"/>
      <c r="KO4" s="578"/>
      <c r="KP4" s="578"/>
      <c r="KQ4" s="578"/>
      <c r="KR4" s="1"/>
      <c r="KS4" s="1"/>
      <c r="KT4" s="578"/>
      <c r="KU4" s="578"/>
      <c r="KV4" s="578"/>
      <c r="KW4" s="578"/>
      <c r="KX4" s="578"/>
      <c r="KY4" s="578"/>
      <c r="KZ4" s="578"/>
      <c r="LA4" s="578"/>
      <c r="LB4" s="578"/>
      <c r="LC4" s="578"/>
      <c r="LD4" s="578"/>
      <c r="LE4" s="578"/>
      <c r="LF4" s="578"/>
      <c r="LG4" s="578"/>
      <c r="LH4" s="1"/>
      <c r="LI4" s="1"/>
      <c r="LJ4" s="578"/>
      <c r="LK4" s="578"/>
      <c r="LL4" s="578"/>
      <c r="LM4" s="578"/>
      <c r="LN4" s="578"/>
      <c r="LO4" s="578"/>
      <c r="LP4" s="578"/>
      <c r="LQ4" s="578"/>
      <c r="LR4" s="578"/>
      <c r="LS4" s="578"/>
      <c r="LT4" s="578"/>
      <c r="LU4" s="578"/>
      <c r="LV4" s="578"/>
      <c r="LW4" s="578"/>
      <c r="LX4" s="1"/>
      <c r="LY4" s="1"/>
      <c r="LZ4" s="578"/>
      <c r="MA4" s="578"/>
      <c r="MB4" s="578"/>
      <c r="MC4" s="578"/>
      <c r="MD4" s="578"/>
      <c r="ME4" s="578"/>
      <c r="MF4" s="578"/>
      <c r="MG4" s="578"/>
      <c r="MH4" s="578"/>
      <c r="MI4" s="578"/>
      <c r="MJ4" s="578"/>
      <c r="MK4" s="578"/>
      <c r="ML4" s="578"/>
      <c r="MM4" s="578"/>
      <c r="MN4" s="1"/>
      <c r="MO4" s="1"/>
      <c r="MP4" s="578"/>
      <c r="MQ4" s="578"/>
      <c r="MR4" s="578"/>
      <c r="MS4" s="578"/>
      <c r="MT4" s="578"/>
      <c r="MU4" s="578"/>
      <c r="MV4" s="578"/>
      <c r="MW4" s="578"/>
      <c r="MX4" s="578"/>
      <c r="MY4" s="578"/>
      <c r="MZ4" s="578"/>
      <c r="NA4" s="578"/>
      <c r="NB4" s="578"/>
      <c r="NC4" s="578"/>
      <c r="ND4" s="1"/>
      <c r="NE4" s="1"/>
      <c r="NF4" s="578"/>
      <c r="NG4" s="578"/>
      <c r="NH4" s="578"/>
      <c r="NI4" s="578"/>
      <c r="NJ4" s="578"/>
      <c r="NK4" s="578"/>
      <c r="NL4" s="578"/>
      <c r="NM4" s="578"/>
      <c r="NN4" s="578"/>
      <c r="NO4" s="578"/>
      <c r="NP4" s="578"/>
      <c r="NQ4" s="578"/>
      <c r="NR4" s="578"/>
      <c r="NS4" s="578"/>
      <c r="NT4" s="1"/>
      <c r="NU4" s="1"/>
      <c r="NV4" s="578"/>
      <c r="NW4" s="578"/>
      <c r="NX4" s="578"/>
      <c r="NY4" s="578"/>
      <c r="NZ4" s="578"/>
      <c r="OA4" s="578"/>
      <c r="OB4" s="578"/>
      <c r="OC4" s="578"/>
      <c r="OD4" s="578"/>
      <c r="OE4" s="578"/>
      <c r="OF4" s="578"/>
      <c r="OG4" s="578"/>
      <c r="OH4" s="578"/>
      <c r="OI4" s="578"/>
      <c r="OJ4" s="1"/>
      <c r="OK4" s="1"/>
      <c r="OL4" s="578"/>
      <c r="OM4" s="578"/>
      <c r="ON4" s="578"/>
      <c r="OO4" s="578"/>
      <c r="OP4" s="578"/>
      <c r="OQ4" s="578"/>
      <c r="OR4" s="578"/>
      <c r="OS4" s="578"/>
      <c r="OT4" s="578"/>
      <c r="OU4" s="578"/>
      <c r="OV4" s="578"/>
      <c r="OW4" s="578"/>
      <c r="OX4" s="578"/>
      <c r="OY4" s="578"/>
      <c r="OZ4" s="1"/>
      <c r="PA4" s="1"/>
      <c r="PB4" s="578"/>
      <c r="PC4" s="578"/>
      <c r="PD4" s="578"/>
      <c r="PE4" s="578"/>
      <c r="PF4" s="578"/>
      <c r="PG4" s="578"/>
      <c r="PH4" s="578"/>
      <c r="PI4" s="578"/>
      <c r="PJ4" s="578"/>
      <c r="PK4" s="578"/>
      <c r="PL4" s="578"/>
      <c r="PM4" s="578"/>
      <c r="PN4" s="578"/>
      <c r="PO4" s="578"/>
      <c r="PP4" s="1"/>
      <c r="PQ4" s="1"/>
      <c r="PR4" s="578"/>
      <c r="PS4" s="578"/>
      <c r="PT4" s="578"/>
      <c r="PU4" s="578"/>
      <c r="PV4" s="578"/>
      <c r="PW4" s="578"/>
      <c r="PX4" s="578"/>
      <c r="PY4" s="578"/>
      <c r="PZ4" s="578"/>
      <c r="QA4" s="578"/>
      <c r="QB4" s="578"/>
      <c r="QC4" s="578"/>
      <c r="QD4" s="578"/>
      <c r="QE4" s="578"/>
      <c r="QF4" s="1"/>
      <c r="QG4" s="1"/>
      <c r="QH4" s="578"/>
      <c r="QI4" s="578"/>
      <c r="QJ4" s="578"/>
      <c r="QK4" s="578"/>
      <c r="QL4" s="578"/>
      <c r="QM4" s="578"/>
      <c r="QN4" s="578"/>
      <c r="QO4" s="578"/>
      <c r="QP4" s="578"/>
      <c r="QQ4" s="578"/>
      <c r="QR4" s="578"/>
      <c r="QS4" s="578"/>
      <c r="QT4" s="578"/>
      <c r="QU4" s="578"/>
      <c r="QV4" s="1"/>
      <c r="QW4" s="1"/>
      <c r="QX4" s="578"/>
      <c r="QY4" s="578"/>
      <c r="QZ4" s="578"/>
      <c r="RA4" s="578"/>
      <c r="RB4" s="578"/>
      <c r="RC4" s="578"/>
      <c r="RD4" s="578"/>
      <c r="RE4" s="578"/>
      <c r="RF4" s="578"/>
      <c r="RG4" s="578"/>
      <c r="RH4" s="578"/>
      <c r="RI4" s="578"/>
      <c r="RJ4" s="578"/>
      <c r="RK4" s="578"/>
      <c r="RL4" s="1"/>
      <c r="RM4" s="1"/>
      <c r="RN4" s="578"/>
      <c r="RO4" s="578"/>
      <c r="RP4" s="578"/>
      <c r="RQ4" s="578"/>
      <c r="RR4" s="578"/>
      <c r="RS4" s="578"/>
      <c r="RT4" s="578"/>
      <c r="RU4" s="578"/>
      <c r="RV4" s="578"/>
      <c r="RW4" s="578"/>
      <c r="RX4" s="578"/>
      <c r="RY4" s="578"/>
      <c r="RZ4" s="578"/>
      <c r="SA4" s="578"/>
      <c r="SB4" s="1"/>
      <c r="SC4" s="1"/>
      <c r="SD4" s="578"/>
      <c r="SE4" s="578"/>
      <c r="SF4" s="578"/>
      <c r="SG4" s="578"/>
      <c r="SH4" s="578"/>
      <c r="SI4" s="578"/>
      <c r="SJ4" s="578"/>
      <c r="SK4" s="578"/>
      <c r="SL4" s="578"/>
      <c r="SM4" s="578"/>
      <c r="SN4" s="578"/>
      <c r="SO4" s="578"/>
      <c r="SP4" s="578"/>
      <c r="SQ4" s="578"/>
      <c r="SR4" s="1"/>
      <c r="SS4" s="1"/>
      <c r="ST4" s="578"/>
      <c r="SU4" s="578"/>
      <c r="SV4" s="578"/>
      <c r="SW4" s="578"/>
      <c r="SX4" s="578"/>
      <c r="SY4" s="578"/>
      <c r="SZ4" s="578"/>
      <c r="TA4" s="578"/>
      <c r="TB4" s="578"/>
      <c r="TC4" s="578"/>
      <c r="TD4" s="578"/>
      <c r="TE4" s="578"/>
      <c r="TF4" s="578"/>
      <c r="TG4" s="578"/>
      <c r="TH4" s="1"/>
      <c r="TI4" s="1"/>
      <c r="TJ4" s="578"/>
      <c r="TK4" s="578"/>
      <c r="TL4" s="578"/>
      <c r="TM4" s="578"/>
      <c r="TN4" s="578"/>
      <c r="TO4" s="578"/>
      <c r="TP4" s="578"/>
      <c r="TQ4" s="578"/>
      <c r="TR4" s="578"/>
      <c r="TS4" s="578"/>
      <c r="TT4" s="578"/>
      <c r="TU4" s="578"/>
      <c r="TV4" s="578"/>
      <c r="TW4" s="578"/>
    </row>
    <row r="5" spans="2:543" s="192" customFormat="1" ht="20.100000000000001" customHeight="1">
      <c r="B5" s="192">
        <f>+R5+1</f>
        <v>2022</v>
      </c>
      <c r="C5" s="192">
        <f>+B5+0.01</f>
        <v>2022.01</v>
      </c>
      <c r="D5" s="192">
        <f t="shared" ref="D5" si="0">+C5+0.01</f>
        <v>2022.02</v>
      </c>
      <c r="E5" s="192">
        <f t="shared" ref="E5" si="1">+D5+0.01</f>
        <v>2022.03</v>
      </c>
      <c r="F5" s="192">
        <f t="shared" ref="F5" si="2">+E5+0.01</f>
        <v>2022.04</v>
      </c>
      <c r="G5" s="192">
        <f t="shared" ref="G5" si="3">+F5+0.01</f>
        <v>2022.05</v>
      </c>
      <c r="H5" s="192">
        <f t="shared" ref="H5" si="4">+G5+0.01</f>
        <v>2022.06</v>
      </c>
      <c r="I5" s="192">
        <f t="shared" ref="I5" si="5">+H5+0.01</f>
        <v>2022.07</v>
      </c>
      <c r="J5" s="192">
        <f t="shared" ref="J5" si="6">+I5+0.01</f>
        <v>2022.08</v>
      </c>
      <c r="K5" s="192">
        <f t="shared" ref="K5" si="7">+J5+0.01</f>
        <v>2022.09</v>
      </c>
      <c r="L5" s="192">
        <f t="shared" ref="L5" si="8">+K5+0.01</f>
        <v>2022.1</v>
      </c>
      <c r="M5" s="192">
        <f t="shared" ref="M5" si="9">+L5+0.01</f>
        <v>2022.11</v>
      </c>
      <c r="N5" s="192">
        <f t="shared" ref="N5" si="10">+M5+0.01</f>
        <v>2022.12</v>
      </c>
      <c r="R5" s="192">
        <f>+AH5+1</f>
        <v>2021</v>
      </c>
      <c r="S5" s="192">
        <f>+R5+0.01</f>
        <v>2021.01</v>
      </c>
      <c r="T5" s="192">
        <f t="shared" ref="T5" si="11">+S5+0.01</f>
        <v>2021.02</v>
      </c>
      <c r="U5" s="192">
        <f t="shared" ref="U5" si="12">+T5+0.01</f>
        <v>2021.03</v>
      </c>
      <c r="V5" s="192">
        <f t="shared" ref="V5" si="13">+U5+0.01</f>
        <v>2021.04</v>
      </c>
      <c r="W5" s="192">
        <f t="shared" ref="W5" si="14">+V5+0.01</f>
        <v>2021.05</v>
      </c>
      <c r="X5" s="192">
        <f t="shared" ref="X5" si="15">+W5+0.01</f>
        <v>2021.06</v>
      </c>
      <c r="Y5" s="192">
        <f t="shared" ref="Y5" si="16">+X5+0.01</f>
        <v>2021.07</v>
      </c>
      <c r="Z5" s="192">
        <f t="shared" ref="Z5" si="17">+Y5+0.01</f>
        <v>2021.08</v>
      </c>
      <c r="AA5" s="192">
        <f t="shared" ref="AA5" si="18">+Z5+0.01</f>
        <v>2021.09</v>
      </c>
      <c r="AB5" s="192">
        <f t="shared" ref="AB5" si="19">+AA5+0.01</f>
        <v>2021.1</v>
      </c>
      <c r="AC5" s="192">
        <f t="shared" ref="AC5" si="20">+AB5+0.01</f>
        <v>2021.11</v>
      </c>
      <c r="AD5" s="192">
        <f t="shared" ref="AD5" si="21">+AC5+0.01</f>
        <v>2021.12</v>
      </c>
      <c r="AH5" s="192">
        <f>+AX5+1</f>
        <v>2020</v>
      </c>
      <c r="AI5" s="192">
        <f>+AH5+0.01</f>
        <v>2020.01</v>
      </c>
      <c r="AJ5" s="192">
        <f t="shared" ref="AJ5" si="22">+AI5+0.01</f>
        <v>2020.02</v>
      </c>
      <c r="AK5" s="192">
        <f t="shared" ref="AK5" si="23">+AJ5+0.01</f>
        <v>2020.03</v>
      </c>
      <c r="AL5" s="192">
        <f t="shared" ref="AL5" si="24">+AK5+0.01</f>
        <v>2020.04</v>
      </c>
      <c r="AM5" s="192">
        <f t="shared" ref="AM5" si="25">+AL5+0.01</f>
        <v>2020.05</v>
      </c>
      <c r="AN5" s="192">
        <f t="shared" ref="AN5" si="26">+AM5+0.01</f>
        <v>2020.06</v>
      </c>
      <c r="AO5" s="192">
        <f t="shared" ref="AO5" si="27">+AN5+0.01</f>
        <v>2020.07</v>
      </c>
      <c r="AP5" s="192">
        <f t="shared" ref="AP5" si="28">+AO5+0.01</f>
        <v>2020.08</v>
      </c>
      <c r="AQ5" s="192">
        <f t="shared" ref="AQ5" si="29">+AP5+0.01</f>
        <v>2020.09</v>
      </c>
      <c r="AR5" s="192">
        <f t="shared" ref="AR5" si="30">+AQ5+0.01</f>
        <v>2020.1</v>
      </c>
      <c r="AS5" s="192">
        <f t="shared" ref="AS5" si="31">+AR5+0.01</f>
        <v>2020.11</v>
      </c>
      <c r="AT5" s="192">
        <f t="shared" ref="AT5" si="32">+AS5+0.01</f>
        <v>2020.12</v>
      </c>
      <c r="AX5" s="192">
        <f>+BN5+1</f>
        <v>2019</v>
      </c>
      <c r="AY5" s="192">
        <f>+AX5+0.01</f>
        <v>2019.01</v>
      </c>
      <c r="AZ5" s="192">
        <f t="shared" ref="AZ5" si="33">+AY5+0.01</f>
        <v>2019.02</v>
      </c>
      <c r="BA5" s="192">
        <f t="shared" ref="BA5" si="34">+AZ5+0.01</f>
        <v>2019.03</v>
      </c>
      <c r="BB5" s="192">
        <f t="shared" ref="BB5" si="35">+BA5+0.01</f>
        <v>2019.04</v>
      </c>
      <c r="BC5" s="192">
        <f t="shared" ref="BC5" si="36">+BB5+0.01</f>
        <v>2019.05</v>
      </c>
      <c r="BD5" s="192">
        <f t="shared" ref="BD5" si="37">+BC5+0.01</f>
        <v>2019.06</v>
      </c>
      <c r="BE5" s="192">
        <f t="shared" ref="BE5" si="38">+BD5+0.01</f>
        <v>2019.07</v>
      </c>
      <c r="BF5" s="192">
        <f t="shared" ref="BF5" si="39">+BE5+0.01</f>
        <v>2019.08</v>
      </c>
      <c r="BG5" s="192">
        <f t="shared" ref="BG5" si="40">+BF5+0.01</f>
        <v>2019.09</v>
      </c>
      <c r="BH5" s="192">
        <f t="shared" ref="BH5" si="41">+BG5+0.01</f>
        <v>2019.1</v>
      </c>
      <c r="BI5" s="192">
        <f t="shared" ref="BI5" si="42">+BH5+0.01</f>
        <v>2019.11</v>
      </c>
      <c r="BJ5" s="192">
        <f t="shared" ref="BJ5" si="43">+BI5+0.01</f>
        <v>2019.12</v>
      </c>
      <c r="BN5" s="192">
        <f>+CD5+1</f>
        <v>2018</v>
      </c>
      <c r="BO5" s="192">
        <f>+BN5+0.01</f>
        <v>2018.01</v>
      </c>
      <c r="BP5" s="192">
        <f t="shared" ref="BP5" si="44">+BO5+0.01</f>
        <v>2018.02</v>
      </c>
      <c r="BQ5" s="192">
        <f t="shared" ref="BQ5" si="45">+BP5+0.01</f>
        <v>2018.03</v>
      </c>
      <c r="BR5" s="192">
        <f t="shared" ref="BR5" si="46">+BQ5+0.01</f>
        <v>2018.04</v>
      </c>
      <c r="BS5" s="192">
        <f t="shared" ref="BS5" si="47">+BR5+0.01</f>
        <v>2018.05</v>
      </c>
      <c r="BT5" s="192">
        <f t="shared" ref="BT5" si="48">+BS5+0.01</f>
        <v>2018.06</v>
      </c>
      <c r="BU5" s="192">
        <f t="shared" ref="BU5" si="49">+BT5+0.01</f>
        <v>2018.07</v>
      </c>
      <c r="BV5" s="192">
        <f t="shared" ref="BV5" si="50">+BU5+0.01</f>
        <v>2018.08</v>
      </c>
      <c r="BW5" s="192">
        <f t="shared" ref="BW5" si="51">+BV5+0.01</f>
        <v>2018.09</v>
      </c>
      <c r="BX5" s="192">
        <f t="shared" ref="BX5" si="52">+BW5+0.01</f>
        <v>2018.1</v>
      </c>
      <c r="BY5" s="192">
        <f t="shared" ref="BY5" si="53">+BX5+0.01</f>
        <v>2018.11</v>
      </c>
      <c r="BZ5" s="192">
        <f t="shared" ref="BZ5" si="54">+BY5+0.01</f>
        <v>2018.12</v>
      </c>
      <c r="CD5" s="192">
        <f>+CT5+1</f>
        <v>2017</v>
      </c>
      <c r="CE5" s="192">
        <f>+CD5+0.01</f>
        <v>2017.01</v>
      </c>
      <c r="CF5" s="192">
        <f t="shared" ref="CF5" si="55">+CE5+0.01</f>
        <v>2017.02</v>
      </c>
      <c r="CG5" s="192">
        <f t="shared" ref="CG5" si="56">+CF5+0.01</f>
        <v>2017.03</v>
      </c>
      <c r="CH5" s="192">
        <f t="shared" ref="CH5" si="57">+CG5+0.01</f>
        <v>2017.04</v>
      </c>
      <c r="CI5" s="192">
        <f t="shared" ref="CI5" si="58">+CH5+0.01</f>
        <v>2017.05</v>
      </c>
      <c r="CJ5" s="192">
        <f t="shared" ref="CJ5" si="59">+CI5+0.01</f>
        <v>2017.06</v>
      </c>
      <c r="CK5" s="192">
        <f t="shared" ref="CK5" si="60">+CJ5+0.01</f>
        <v>2017.07</v>
      </c>
      <c r="CL5" s="192">
        <f t="shared" ref="CL5" si="61">+CK5+0.01</f>
        <v>2017.08</v>
      </c>
      <c r="CM5" s="192">
        <f t="shared" ref="CM5" si="62">+CL5+0.01</f>
        <v>2017.09</v>
      </c>
      <c r="CN5" s="192">
        <f t="shared" ref="CN5" si="63">+CM5+0.01</f>
        <v>2017.1</v>
      </c>
      <c r="CO5" s="192">
        <f t="shared" ref="CO5" si="64">+CN5+0.01</f>
        <v>2017.11</v>
      </c>
      <c r="CP5" s="192">
        <f t="shared" ref="CP5" si="65">+CO5+0.01</f>
        <v>2017.12</v>
      </c>
      <c r="CT5" s="192">
        <f>+DJ5+1</f>
        <v>2016</v>
      </c>
      <c r="CU5" s="192">
        <f>+CT5+0.01</f>
        <v>2016.01</v>
      </c>
      <c r="CV5" s="192">
        <f t="shared" ref="CV5:DF5" si="66">+CU5+0.01</f>
        <v>2016.02</v>
      </c>
      <c r="CW5" s="192">
        <f t="shared" si="66"/>
        <v>2016.03</v>
      </c>
      <c r="CX5" s="192">
        <f t="shared" si="66"/>
        <v>2016.04</v>
      </c>
      <c r="CY5" s="192">
        <f t="shared" si="66"/>
        <v>2016.05</v>
      </c>
      <c r="CZ5" s="192">
        <f t="shared" si="66"/>
        <v>2016.06</v>
      </c>
      <c r="DA5" s="192">
        <f t="shared" si="66"/>
        <v>2016.07</v>
      </c>
      <c r="DB5" s="192">
        <f t="shared" si="66"/>
        <v>2016.08</v>
      </c>
      <c r="DC5" s="192">
        <f t="shared" si="66"/>
        <v>2016.09</v>
      </c>
      <c r="DD5" s="192">
        <f t="shared" si="66"/>
        <v>2016.1</v>
      </c>
      <c r="DE5" s="192">
        <f t="shared" si="66"/>
        <v>2016.11</v>
      </c>
      <c r="DF5" s="192">
        <f t="shared" si="66"/>
        <v>2016.12</v>
      </c>
      <c r="DJ5" s="192">
        <f>+DZ5+1</f>
        <v>2015</v>
      </c>
      <c r="DK5" s="192">
        <f>+DJ5+0.01</f>
        <v>2015.01</v>
      </c>
      <c r="DL5" s="192">
        <f t="shared" ref="DL5:DV5" si="67">+DK5+0.01</f>
        <v>2015.02</v>
      </c>
      <c r="DM5" s="192">
        <f t="shared" si="67"/>
        <v>2015.03</v>
      </c>
      <c r="DN5" s="192">
        <f t="shared" si="67"/>
        <v>2015.04</v>
      </c>
      <c r="DO5" s="192">
        <f t="shared" si="67"/>
        <v>2015.05</v>
      </c>
      <c r="DP5" s="192">
        <f t="shared" si="67"/>
        <v>2015.06</v>
      </c>
      <c r="DQ5" s="192">
        <f t="shared" si="67"/>
        <v>2015.07</v>
      </c>
      <c r="DR5" s="192">
        <f t="shared" si="67"/>
        <v>2015.08</v>
      </c>
      <c r="DS5" s="192">
        <f t="shared" si="67"/>
        <v>2015.09</v>
      </c>
      <c r="DT5" s="192">
        <f t="shared" si="67"/>
        <v>2015.1</v>
      </c>
      <c r="DU5" s="192">
        <f t="shared" si="67"/>
        <v>2015.11</v>
      </c>
      <c r="DV5" s="192">
        <f t="shared" si="67"/>
        <v>2015.12</v>
      </c>
      <c r="DZ5" s="192">
        <f>+EP5+1</f>
        <v>2014</v>
      </c>
      <c r="EA5" s="192">
        <f>+DZ5+0.01</f>
        <v>2014.01</v>
      </c>
      <c r="EB5" s="192">
        <f t="shared" ref="EB5:EL5" si="68">+EA5+0.01</f>
        <v>2014.02</v>
      </c>
      <c r="EC5" s="192">
        <f t="shared" si="68"/>
        <v>2014.03</v>
      </c>
      <c r="ED5" s="192">
        <f t="shared" si="68"/>
        <v>2014.04</v>
      </c>
      <c r="EE5" s="192">
        <f t="shared" si="68"/>
        <v>2014.05</v>
      </c>
      <c r="EF5" s="192">
        <f t="shared" si="68"/>
        <v>2014.06</v>
      </c>
      <c r="EG5" s="192">
        <f t="shared" si="68"/>
        <v>2014.07</v>
      </c>
      <c r="EH5" s="192">
        <f t="shared" si="68"/>
        <v>2014.08</v>
      </c>
      <c r="EI5" s="192">
        <f t="shared" si="68"/>
        <v>2014.09</v>
      </c>
      <c r="EJ5" s="192">
        <f t="shared" si="68"/>
        <v>2014.1</v>
      </c>
      <c r="EK5" s="192">
        <f t="shared" si="68"/>
        <v>2014.11</v>
      </c>
      <c r="EL5" s="192">
        <f t="shared" si="68"/>
        <v>2014.12</v>
      </c>
      <c r="EP5" s="192">
        <f>+FF5+1</f>
        <v>2013</v>
      </c>
      <c r="EQ5" s="192">
        <f>+EP5+0.01</f>
        <v>2013.01</v>
      </c>
      <c r="ER5" s="192">
        <f t="shared" ref="ER5:FB5" si="69">+EQ5+0.01</f>
        <v>2013.02</v>
      </c>
      <c r="ES5" s="192">
        <f t="shared" si="69"/>
        <v>2013.03</v>
      </c>
      <c r="ET5" s="192">
        <f t="shared" si="69"/>
        <v>2013.04</v>
      </c>
      <c r="EU5" s="192">
        <f t="shared" si="69"/>
        <v>2013.05</v>
      </c>
      <c r="EV5" s="192">
        <f t="shared" si="69"/>
        <v>2013.06</v>
      </c>
      <c r="EW5" s="192">
        <f t="shared" si="69"/>
        <v>2013.07</v>
      </c>
      <c r="EX5" s="192">
        <f t="shared" si="69"/>
        <v>2013.08</v>
      </c>
      <c r="EY5" s="192">
        <f t="shared" si="69"/>
        <v>2013.09</v>
      </c>
      <c r="EZ5" s="192">
        <f t="shared" si="69"/>
        <v>2013.1</v>
      </c>
      <c r="FA5" s="192">
        <f t="shared" si="69"/>
        <v>2013.11</v>
      </c>
      <c r="FB5" s="192">
        <f t="shared" si="69"/>
        <v>2013.12</v>
      </c>
      <c r="FF5" s="192">
        <f>+FV5+1</f>
        <v>2012</v>
      </c>
      <c r="FG5" s="192">
        <f>+FF5+0.01</f>
        <v>2012.01</v>
      </c>
      <c r="FH5" s="192">
        <f t="shared" ref="FH5:FR5" si="70">+FG5+0.01</f>
        <v>2012.02</v>
      </c>
      <c r="FI5" s="192">
        <f t="shared" si="70"/>
        <v>2012.03</v>
      </c>
      <c r="FJ5" s="192">
        <f t="shared" si="70"/>
        <v>2012.04</v>
      </c>
      <c r="FK5" s="192">
        <f t="shared" si="70"/>
        <v>2012.05</v>
      </c>
      <c r="FL5" s="192">
        <f t="shared" si="70"/>
        <v>2012.06</v>
      </c>
      <c r="FM5" s="192">
        <f t="shared" si="70"/>
        <v>2012.07</v>
      </c>
      <c r="FN5" s="192">
        <f t="shared" si="70"/>
        <v>2012.08</v>
      </c>
      <c r="FO5" s="192">
        <f t="shared" si="70"/>
        <v>2012.09</v>
      </c>
      <c r="FP5" s="192">
        <f t="shared" si="70"/>
        <v>2012.1</v>
      </c>
      <c r="FQ5" s="192">
        <f t="shared" si="70"/>
        <v>2012.11</v>
      </c>
      <c r="FR5" s="192">
        <f t="shared" si="70"/>
        <v>2012.12</v>
      </c>
      <c r="FV5" s="192">
        <f>+GL5+1</f>
        <v>2011</v>
      </c>
      <c r="FW5" s="192">
        <f>+FV5+0.01</f>
        <v>2011.01</v>
      </c>
      <c r="FX5" s="192">
        <f t="shared" ref="FX5:GH5" si="71">+FW5+0.01</f>
        <v>2011.02</v>
      </c>
      <c r="FY5" s="192">
        <f t="shared" si="71"/>
        <v>2011.03</v>
      </c>
      <c r="FZ5" s="192">
        <f t="shared" si="71"/>
        <v>2011.04</v>
      </c>
      <c r="GA5" s="192">
        <f t="shared" si="71"/>
        <v>2011.05</v>
      </c>
      <c r="GB5" s="192">
        <f t="shared" si="71"/>
        <v>2011.06</v>
      </c>
      <c r="GC5" s="192">
        <f t="shared" si="71"/>
        <v>2011.07</v>
      </c>
      <c r="GD5" s="192">
        <f t="shared" si="71"/>
        <v>2011.08</v>
      </c>
      <c r="GE5" s="192">
        <f t="shared" si="71"/>
        <v>2011.09</v>
      </c>
      <c r="GF5" s="192">
        <f t="shared" si="71"/>
        <v>2011.1</v>
      </c>
      <c r="GG5" s="192">
        <f t="shared" si="71"/>
        <v>2011.11</v>
      </c>
      <c r="GH5" s="192">
        <f t="shared" si="71"/>
        <v>2011.12</v>
      </c>
      <c r="GL5" s="192">
        <v>2010</v>
      </c>
      <c r="GM5" s="192">
        <f>+GL5+0.01</f>
        <v>2010.01</v>
      </c>
      <c r="GN5" s="192">
        <f t="shared" ref="GN5:GX5" si="72">+GM5+0.01</f>
        <v>2010.02</v>
      </c>
      <c r="GO5" s="192">
        <f t="shared" si="72"/>
        <v>2010.03</v>
      </c>
      <c r="GP5" s="192">
        <f t="shared" si="72"/>
        <v>2010.04</v>
      </c>
      <c r="GQ5" s="192">
        <f t="shared" si="72"/>
        <v>2010.05</v>
      </c>
      <c r="GR5" s="192">
        <f t="shared" si="72"/>
        <v>2010.06</v>
      </c>
      <c r="GS5" s="192">
        <f t="shared" si="72"/>
        <v>2010.07</v>
      </c>
      <c r="GT5" s="192">
        <f t="shared" si="72"/>
        <v>2010.08</v>
      </c>
      <c r="GU5" s="192">
        <f t="shared" si="72"/>
        <v>2010.09</v>
      </c>
      <c r="GV5" s="192">
        <f t="shared" si="72"/>
        <v>2010.1</v>
      </c>
      <c r="GW5" s="192">
        <f t="shared" si="72"/>
        <v>2010.11</v>
      </c>
      <c r="GX5" s="192">
        <f t="shared" si="72"/>
        <v>2010.12</v>
      </c>
      <c r="HB5" s="192">
        <v>2009</v>
      </c>
      <c r="HC5" s="192">
        <v>2009.01</v>
      </c>
      <c r="HD5" s="192">
        <v>2009.02</v>
      </c>
      <c r="HE5" s="192">
        <v>2009.03</v>
      </c>
      <c r="HF5" s="192">
        <v>2009.04</v>
      </c>
      <c r="HG5" s="192">
        <v>2009.05</v>
      </c>
      <c r="HH5" s="192">
        <v>2009.06</v>
      </c>
      <c r="HI5" s="192">
        <v>2009.07</v>
      </c>
      <c r="HJ5" s="192">
        <v>2009.08</v>
      </c>
      <c r="HK5" s="192">
        <v>2009.09</v>
      </c>
      <c r="HL5" s="192">
        <v>2009.1</v>
      </c>
      <c r="HM5" s="192">
        <v>2009.11</v>
      </c>
      <c r="HN5" s="192">
        <v>2009.12</v>
      </c>
      <c r="HP5" s="299"/>
      <c r="HQ5" s="299"/>
      <c r="HR5" s="192">
        <v>2008</v>
      </c>
      <c r="HS5" s="192">
        <v>2008.01</v>
      </c>
      <c r="HT5" s="192">
        <v>2008.02</v>
      </c>
      <c r="HU5" s="192">
        <v>2008.03</v>
      </c>
      <c r="HV5" s="192">
        <v>2008.04</v>
      </c>
      <c r="HW5" s="192">
        <v>2008.05</v>
      </c>
      <c r="HX5" s="192">
        <v>2008.06</v>
      </c>
      <c r="HY5" s="192">
        <v>2008.07</v>
      </c>
      <c r="HZ5" s="192">
        <v>2008.08</v>
      </c>
      <c r="IA5" s="192">
        <v>2008.09</v>
      </c>
      <c r="IB5" s="192">
        <v>2008.1</v>
      </c>
      <c r="IC5" s="192">
        <v>2008.11</v>
      </c>
      <c r="ID5" s="192">
        <v>2008.12</v>
      </c>
      <c r="IF5" s="299"/>
      <c r="IG5" s="299"/>
      <c r="IH5" s="192">
        <v>2007</v>
      </c>
      <c r="II5" s="192">
        <v>2007.01</v>
      </c>
      <c r="IJ5" s="192">
        <v>2007.02</v>
      </c>
      <c r="IK5" s="192">
        <v>2007.03</v>
      </c>
      <c r="IL5" s="192">
        <v>2007.04</v>
      </c>
      <c r="IM5" s="192">
        <v>2007.05</v>
      </c>
      <c r="IN5" s="192">
        <v>2007.06</v>
      </c>
      <c r="IO5" s="192">
        <v>2007.07</v>
      </c>
      <c r="IP5" s="192">
        <v>2007.08</v>
      </c>
      <c r="IQ5" s="192">
        <v>2007.09</v>
      </c>
      <c r="IR5" s="192">
        <v>2007.1</v>
      </c>
      <c r="IS5" s="192">
        <v>2007.11</v>
      </c>
      <c r="IT5" s="192">
        <v>2007.12</v>
      </c>
      <c r="IV5" s="299"/>
      <c r="IW5" s="299"/>
      <c r="IX5" s="192">
        <v>2006</v>
      </c>
      <c r="IY5" s="192">
        <v>2006.01</v>
      </c>
      <c r="IZ5" s="192">
        <v>2006.02</v>
      </c>
      <c r="JA5" s="192">
        <v>2006.03</v>
      </c>
      <c r="JB5" s="192">
        <v>2006.04</v>
      </c>
      <c r="JC5" s="192">
        <v>2006.05</v>
      </c>
      <c r="JD5" s="192">
        <v>2006.06</v>
      </c>
      <c r="JE5" s="192">
        <v>2006.07</v>
      </c>
      <c r="JF5" s="192">
        <v>2006.08</v>
      </c>
      <c r="JG5" s="192">
        <v>2006.09</v>
      </c>
      <c r="JH5" s="192">
        <v>2006.1</v>
      </c>
      <c r="JI5" s="192">
        <v>2006.11</v>
      </c>
      <c r="JJ5" s="192">
        <v>2006.12</v>
      </c>
      <c r="JL5" s="299"/>
      <c r="JM5" s="299"/>
      <c r="JN5" s="192">
        <v>2005</v>
      </c>
      <c r="JO5" s="192">
        <v>2005.01</v>
      </c>
      <c r="JP5" s="192">
        <v>2005.02</v>
      </c>
      <c r="JQ5" s="192">
        <v>2005.03</v>
      </c>
      <c r="JR5" s="192">
        <v>2005.04</v>
      </c>
      <c r="JS5" s="192">
        <v>2005.05</v>
      </c>
      <c r="JT5" s="192">
        <v>2005.06</v>
      </c>
      <c r="JU5" s="192">
        <v>2005.07</v>
      </c>
      <c r="JV5" s="192">
        <v>2005.08</v>
      </c>
      <c r="JW5" s="192">
        <v>2005.09</v>
      </c>
      <c r="JX5" s="192">
        <v>2005.1</v>
      </c>
      <c r="JY5" s="192">
        <v>2005.11</v>
      </c>
      <c r="JZ5" s="192">
        <v>2005.12</v>
      </c>
      <c r="KB5" s="299"/>
      <c r="KC5" s="299"/>
      <c r="KD5" s="192">
        <v>2004</v>
      </c>
      <c r="KE5" s="192">
        <v>2004.01</v>
      </c>
      <c r="KF5" s="192">
        <v>2004.02</v>
      </c>
      <c r="KG5" s="192">
        <v>2004.03</v>
      </c>
      <c r="KH5" s="192">
        <v>2004.04</v>
      </c>
      <c r="KI5" s="192">
        <v>2004.05</v>
      </c>
      <c r="KJ5" s="192">
        <v>2004.06</v>
      </c>
      <c r="KK5" s="192">
        <v>2004.07</v>
      </c>
      <c r="KL5" s="192">
        <v>2004.08</v>
      </c>
      <c r="KM5" s="192">
        <v>2004.09</v>
      </c>
      <c r="KN5" s="192">
        <v>2004.1</v>
      </c>
      <c r="KO5" s="192">
        <v>2004.11</v>
      </c>
      <c r="KP5" s="192">
        <v>2004.12</v>
      </c>
      <c r="KR5" s="299"/>
      <c r="KS5" s="299"/>
      <c r="KT5" s="192">
        <v>2003</v>
      </c>
      <c r="KU5" s="192">
        <v>2003.01</v>
      </c>
      <c r="KV5" s="192">
        <v>2003.02</v>
      </c>
      <c r="KW5" s="192">
        <v>2003.03</v>
      </c>
      <c r="KX5" s="192">
        <v>2003.04</v>
      </c>
      <c r="KY5" s="192">
        <v>2003.05</v>
      </c>
      <c r="KZ5" s="192">
        <v>2003.06</v>
      </c>
      <c r="LA5" s="192">
        <v>2003.07</v>
      </c>
      <c r="LB5" s="192">
        <v>2003.08</v>
      </c>
      <c r="LC5" s="192">
        <v>2003.09</v>
      </c>
      <c r="LD5" s="192">
        <v>2003.1</v>
      </c>
      <c r="LE5" s="192">
        <v>2003.11</v>
      </c>
      <c r="LF5" s="192">
        <v>2003.12</v>
      </c>
      <c r="LH5" s="299"/>
      <c r="LI5" s="299"/>
      <c r="LJ5" s="192">
        <v>2002</v>
      </c>
      <c r="LK5" s="192">
        <v>2002.01</v>
      </c>
      <c r="LL5" s="192">
        <v>2002.02</v>
      </c>
      <c r="LM5" s="192">
        <v>2002.03</v>
      </c>
      <c r="LN5" s="192">
        <v>2002.04</v>
      </c>
      <c r="LO5" s="192">
        <v>2002.05</v>
      </c>
      <c r="LP5" s="192">
        <v>2002.06</v>
      </c>
      <c r="LQ5" s="192">
        <v>2002.07</v>
      </c>
      <c r="LR5" s="192">
        <v>2002.08</v>
      </c>
      <c r="LS5" s="192">
        <v>2002.09</v>
      </c>
      <c r="LT5" s="192">
        <v>2002.1</v>
      </c>
      <c r="LU5" s="192">
        <v>2002.11</v>
      </c>
      <c r="LV5" s="192">
        <v>2002.12</v>
      </c>
      <c r="LX5" s="299"/>
      <c r="LY5" s="299"/>
      <c r="LZ5" s="192">
        <v>2001</v>
      </c>
      <c r="MA5" s="192">
        <v>2001.01</v>
      </c>
      <c r="MB5" s="192">
        <v>2001.02</v>
      </c>
      <c r="MC5" s="192">
        <v>2001.03</v>
      </c>
      <c r="MD5" s="192">
        <v>2001.04</v>
      </c>
      <c r="ME5" s="192">
        <v>2001.05</v>
      </c>
      <c r="MF5" s="192">
        <v>2001.06</v>
      </c>
      <c r="MG5" s="192">
        <v>2001.07</v>
      </c>
      <c r="MH5" s="192">
        <v>2001.08</v>
      </c>
      <c r="MI5" s="192">
        <v>2001.09</v>
      </c>
      <c r="MJ5" s="192">
        <v>2001.1</v>
      </c>
      <c r="MK5" s="192">
        <v>2001.11</v>
      </c>
      <c r="ML5" s="192">
        <v>2001.12</v>
      </c>
      <c r="MN5" s="299"/>
      <c r="MO5" s="299"/>
      <c r="MP5" s="192">
        <v>2000</v>
      </c>
      <c r="MQ5" s="192">
        <v>2000.01</v>
      </c>
      <c r="MR5" s="192">
        <v>2000.02</v>
      </c>
      <c r="MS5" s="192">
        <v>2000.03</v>
      </c>
      <c r="MT5" s="192">
        <v>2000.04</v>
      </c>
      <c r="MU5" s="192">
        <v>2000.05</v>
      </c>
      <c r="MV5" s="192">
        <v>2000.06</v>
      </c>
      <c r="MW5" s="192">
        <v>2000.07</v>
      </c>
      <c r="MX5" s="192">
        <v>2000.08</v>
      </c>
      <c r="MY5" s="192">
        <v>2000.09</v>
      </c>
      <c r="MZ5" s="192">
        <v>2000.1</v>
      </c>
      <c r="NA5" s="192">
        <v>2000.11</v>
      </c>
      <c r="NB5" s="192">
        <v>2000.12</v>
      </c>
      <c r="ND5" s="299"/>
      <c r="NE5" s="299"/>
      <c r="NF5" s="192">
        <v>1999</v>
      </c>
      <c r="NG5" s="192">
        <v>1999.01</v>
      </c>
      <c r="NH5" s="192">
        <v>1999.02</v>
      </c>
      <c r="NI5" s="192">
        <v>1999.03</v>
      </c>
      <c r="NJ5" s="192">
        <v>1999.04</v>
      </c>
      <c r="NK5" s="192">
        <v>1999.05</v>
      </c>
      <c r="NL5" s="192">
        <v>1999.06</v>
      </c>
      <c r="NM5" s="192">
        <v>1999.07</v>
      </c>
      <c r="NN5" s="192">
        <v>1999.08</v>
      </c>
      <c r="NO5" s="192">
        <v>1999.09</v>
      </c>
      <c r="NP5" s="192">
        <v>1999.1</v>
      </c>
      <c r="NQ5" s="192">
        <v>1999.11</v>
      </c>
      <c r="NR5" s="192">
        <v>1999.12</v>
      </c>
      <c r="NT5" s="299"/>
      <c r="NU5" s="299"/>
      <c r="NV5" s="192">
        <v>1998</v>
      </c>
      <c r="NW5" s="192">
        <v>1998.01</v>
      </c>
      <c r="NX5" s="192">
        <v>1998.02</v>
      </c>
      <c r="NY5" s="192">
        <v>1998.03</v>
      </c>
      <c r="NZ5" s="192">
        <v>1998.04</v>
      </c>
      <c r="OA5" s="192">
        <v>1998.05</v>
      </c>
      <c r="OB5" s="192">
        <v>1998.06</v>
      </c>
      <c r="OC5" s="192">
        <v>1998.07</v>
      </c>
      <c r="OD5" s="192">
        <v>1998.08</v>
      </c>
      <c r="OE5" s="192">
        <v>1998.09</v>
      </c>
      <c r="OF5" s="192">
        <v>1998.1</v>
      </c>
      <c r="OG5" s="192">
        <v>1998.11</v>
      </c>
      <c r="OH5" s="192">
        <v>1998.12</v>
      </c>
      <c r="OJ5" s="299"/>
      <c r="OK5" s="299"/>
      <c r="OL5" s="192">
        <v>1997</v>
      </c>
      <c r="OM5" s="192">
        <v>1997.01</v>
      </c>
      <c r="ON5" s="192">
        <v>1997.02</v>
      </c>
      <c r="OO5" s="192">
        <v>1997.03</v>
      </c>
      <c r="OP5" s="192">
        <v>1997.04</v>
      </c>
      <c r="OQ5" s="192">
        <v>1997.05</v>
      </c>
      <c r="OR5" s="192">
        <v>1997.06</v>
      </c>
      <c r="OS5" s="192">
        <v>1997.07</v>
      </c>
      <c r="OT5" s="192">
        <v>1997.08</v>
      </c>
      <c r="OU5" s="192">
        <v>1997.09</v>
      </c>
      <c r="OV5" s="192">
        <v>1997.1</v>
      </c>
      <c r="OW5" s="192">
        <v>1997.11</v>
      </c>
      <c r="OX5" s="192">
        <v>1997.12</v>
      </c>
      <c r="OZ5" s="299"/>
      <c r="PA5" s="299"/>
      <c r="PB5" s="192">
        <v>1996</v>
      </c>
      <c r="PC5" s="192">
        <v>1996.01</v>
      </c>
      <c r="PD5" s="192">
        <v>1996.02</v>
      </c>
      <c r="PE5" s="192">
        <v>1996.03</v>
      </c>
      <c r="PF5" s="192">
        <v>1996.04</v>
      </c>
      <c r="PG5" s="192">
        <v>1996.05</v>
      </c>
      <c r="PH5" s="192">
        <v>1996.06</v>
      </c>
      <c r="PI5" s="192">
        <v>1996.07</v>
      </c>
      <c r="PJ5" s="192">
        <v>1996.08</v>
      </c>
      <c r="PK5" s="192">
        <v>1996.09</v>
      </c>
      <c r="PL5" s="192">
        <v>1996.1</v>
      </c>
      <c r="PM5" s="192">
        <v>1996.11</v>
      </c>
      <c r="PN5" s="192">
        <v>1996.12</v>
      </c>
      <c r="PP5" s="299"/>
      <c r="PQ5" s="299"/>
      <c r="PR5" s="192">
        <v>1995</v>
      </c>
      <c r="PS5" s="192">
        <v>1995.01</v>
      </c>
      <c r="PT5" s="192">
        <v>1995.02</v>
      </c>
      <c r="PU5" s="192">
        <v>1995.03</v>
      </c>
      <c r="PV5" s="192">
        <v>1995.04</v>
      </c>
      <c r="PW5" s="192">
        <v>1995.05</v>
      </c>
      <c r="PX5" s="192">
        <v>1995.06</v>
      </c>
      <c r="PY5" s="192">
        <v>1995.07</v>
      </c>
      <c r="PZ5" s="192">
        <v>1995.08</v>
      </c>
      <c r="QA5" s="192">
        <v>1995.09</v>
      </c>
      <c r="QB5" s="192">
        <v>1995.1</v>
      </c>
      <c r="QC5" s="192">
        <v>1995.11</v>
      </c>
      <c r="QD5" s="192">
        <v>1995.12</v>
      </c>
      <c r="QF5" s="299"/>
      <c r="QG5" s="299"/>
      <c r="QH5" s="192">
        <v>1994</v>
      </c>
      <c r="QI5" s="192">
        <v>1994.01</v>
      </c>
      <c r="QJ5" s="192">
        <v>1994.02</v>
      </c>
      <c r="QK5" s="192">
        <v>1994.03</v>
      </c>
      <c r="QL5" s="192">
        <v>1994.04</v>
      </c>
      <c r="QM5" s="192">
        <v>1994.05</v>
      </c>
      <c r="QN5" s="192">
        <v>1994.06</v>
      </c>
      <c r="QO5" s="192">
        <v>1994.07</v>
      </c>
      <c r="QP5" s="192">
        <v>1994.08</v>
      </c>
      <c r="QQ5" s="192">
        <v>1994.09</v>
      </c>
      <c r="QR5" s="192">
        <v>1994.1</v>
      </c>
      <c r="QS5" s="192">
        <v>1994.11</v>
      </c>
      <c r="QT5" s="192">
        <v>1994.12</v>
      </c>
      <c r="QV5" s="299"/>
      <c r="QW5" s="299"/>
      <c r="QX5" s="192">
        <v>1993</v>
      </c>
      <c r="QY5" s="192">
        <v>1993.01</v>
      </c>
      <c r="QZ5" s="192">
        <v>1993.02</v>
      </c>
      <c r="RA5" s="192">
        <v>1993.03</v>
      </c>
      <c r="RB5" s="192">
        <v>1993.04</v>
      </c>
      <c r="RC5" s="192">
        <v>1993.05</v>
      </c>
      <c r="RD5" s="192">
        <v>1993.06</v>
      </c>
      <c r="RE5" s="192">
        <v>1993.07</v>
      </c>
      <c r="RF5" s="192">
        <v>1993.08</v>
      </c>
      <c r="RG5" s="192">
        <v>1993.09</v>
      </c>
      <c r="RH5" s="192">
        <v>1993.1</v>
      </c>
      <c r="RI5" s="192">
        <v>1993.11</v>
      </c>
      <c r="RJ5" s="192">
        <v>1993.12</v>
      </c>
      <c r="RL5" s="299"/>
      <c r="RM5" s="299"/>
      <c r="RN5" s="192">
        <v>1992</v>
      </c>
      <c r="RO5" s="192">
        <v>1992.01</v>
      </c>
      <c r="RP5" s="192">
        <v>1992.02</v>
      </c>
      <c r="RQ5" s="192">
        <v>1992.03</v>
      </c>
      <c r="RR5" s="192">
        <v>1992.04</v>
      </c>
      <c r="RS5" s="192">
        <v>1992.05</v>
      </c>
      <c r="RT5" s="192">
        <v>1992.06</v>
      </c>
      <c r="RU5" s="192">
        <v>1992.07</v>
      </c>
      <c r="RV5" s="192">
        <v>1992.08</v>
      </c>
      <c r="RW5" s="192">
        <v>1992.09</v>
      </c>
      <c r="RX5" s="192">
        <v>1992.1</v>
      </c>
      <c r="RY5" s="192">
        <v>1992.11</v>
      </c>
      <c r="RZ5" s="192">
        <v>1992.12</v>
      </c>
      <c r="SB5" s="299"/>
      <c r="SC5" s="299"/>
      <c r="SD5" s="192">
        <v>1991</v>
      </c>
      <c r="SE5" s="192">
        <v>1991.01</v>
      </c>
      <c r="SF5" s="192">
        <v>1991.02</v>
      </c>
      <c r="SG5" s="192">
        <v>1991.03</v>
      </c>
      <c r="SH5" s="192">
        <v>1991.04</v>
      </c>
      <c r="SI5" s="192">
        <v>1991.05</v>
      </c>
      <c r="SJ5" s="192">
        <v>1991.06</v>
      </c>
      <c r="SK5" s="192">
        <v>1991.07</v>
      </c>
      <c r="SL5" s="192">
        <v>1991.08</v>
      </c>
      <c r="SM5" s="192">
        <v>1991.09</v>
      </c>
      <c r="SN5" s="192">
        <v>1991.1</v>
      </c>
      <c r="SO5" s="192">
        <v>1991.11</v>
      </c>
      <c r="SP5" s="192">
        <v>1991.12</v>
      </c>
      <c r="SR5" s="299"/>
      <c r="SS5" s="299"/>
      <c r="ST5" s="192">
        <v>1990</v>
      </c>
      <c r="SU5" s="192">
        <v>1990.01</v>
      </c>
      <c r="SV5" s="192">
        <v>1990.02</v>
      </c>
      <c r="SW5" s="192">
        <v>1990.03</v>
      </c>
      <c r="SX5" s="192">
        <v>1990.04</v>
      </c>
      <c r="SY5" s="192">
        <v>1990.05</v>
      </c>
      <c r="SZ5" s="192">
        <v>1990.06</v>
      </c>
      <c r="TA5" s="192">
        <v>1990.07</v>
      </c>
      <c r="TB5" s="192">
        <v>1990.08</v>
      </c>
      <c r="TC5" s="192">
        <v>1990.09</v>
      </c>
      <c r="TD5" s="192">
        <v>1990.1</v>
      </c>
      <c r="TE5" s="192">
        <v>1990.11</v>
      </c>
      <c r="TF5" s="192">
        <v>1990.12</v>
      </c>
      <c r="TH5" s="299"/>
      <c r="TI5" s="299"/>
      <c r="TJ5" s="192">
        <v>1989</v>
      </c>
      <c r="TK5" s="192">
        <v>1989.01</v>
      </c>
      <c r="TL5" s="192">
        <v>1989.02</v>
      </c>
      <c r="TM5" s="192">
        <v>1989.03</v>
      </c>
      <c r="TN5" s="192">
        <v>1989.04</v>
      </c>
      <c r="TO5" s="192">
        <v>1989.05</v>
      </c>
      <c r="TP5" s="192">
        <v>1989.06</v>
      </c>
      <c r="TQ5" s="192">
        <v>1989.07</v>
      </c>
      <c r="TR5" s="192">
        <v>1989.08</v>
      </c>
      <c r="TS5" s="192">
        <v>1989.09</v>
      </c>
      <c r="TT5" s="192">
        <v>1989.1</v>
      </c>
      <c r="TU5" s="192">
        <v>1989.11</v>
      </c>
      <c r="TV5" s="192">
        <v>1989.12</v>
      </c>
    </row>
    <row r="6" spans="2:543" ht="20.100000000000001" customHeight="1">
      <c r="B6" s="193" t="s">
        <v>763</v>
      </c>
      <c r="C6" s="193" t="s">
        <v>764</v>
      </c>
      <c r="D6" s="193" t="s">
        <v>765</v>
      </c>
      <c r="E6" s="193" t="s">
        <v>766</v>
      </c>
      <c r="F6" s="193" t="s">
        <v>767</v>
      </c>
      <c r="G6" s="193" t="s">
        <v>768</v>
      </c>
      <c r="H6" s="193" t="s">
        <v>769</v>
      </c>
      <c r="I6" s="193" t="s">
        <v>770</v>
      </c>
      <c r="J6" s="193" t="s">
        <v>771</v>
      </c>
      <c r="K6" s="193" t="s">
        <v>772</v>
      </c>
      <c r="L6" s="193" t="s">
        <v>773</v>
      </c>
      <c r="M6" s="193" t="s">
        <v>774</v>
      </c>
      <c r="N6" s="193" t="s">
        <v>775</v>
      </c>
      <c r="O6" s="193" t="s">
        <v>763</v>
      </c>
      <c r="R6" s="193" t="s">
        <v>763</v>
      </c>
      <c r="S6" s="193" t="s">
        <v>764</v>
      </c>
      <c r="T6" s="193" t="s">
        <v>765</v>
      </c>
      <c r="U6" s="193" t="s">
        <v>766</v>
      </c>
      <c r="V6" s="193" t="s">
        <v>767</v>
      </c>
      <c r="W6" s="193" t="s">
        <v>768</v>
      </c>
      <c r="X6" s="193" t="s">
        <v>769</v>
      </c>
      <c r="Y6" s="193" t="s">
        <v>770</v>
      </c>
      <c r="Z6" s="193" t="s">
        <v>771</v>
      </c>
      <c r="AA6" s="193" t="s">
        <v>772</v>
      </c>
      <c r="AB6" s="193" t="s">
        <v>773</v>
      </c>
      <c r="AC6" s="193" t="s">
        <v>774</v>
      </c>
      <c r="AD6" s="193" t="s">
        <v>775</v>
      </c>
      <c r="AE6" s="193" t="s">
        <v>763</v>
      </c>
      <c r="AH6" s="193" t="s">
        <v>763</v>
      </c>
      <c r="AI6" s="193" t="s">
        <v>764</v>
      </c>
      <c r="AJ6" s="193" t="s">
        <v>765</v>
      </c>
      <c r="AK6" s="193" t="s">
        <v>766</v>
      </c>
      <c r="AL6" s="193" t="s">
        <v>767</v>
      </c>
      <c r="AM6" s="193" t="s">
        <v>768</v>
      </c>
      <c r="AN6" s="193" t="s">
        <v>769</v>
      </c>
      <c r="AO6" s="193" t="s">
        <v>770</v>
      </c>
      <c r="AP6" s="193" t="s">
        <v>771</v>
      </c>
      <c r="AQ6" s="193" t="s">
        <v>772</v>
      </c>
      <c r="AR6" s="193" t="s">
        <v>773</v>
      </c>
      <c r="AS6" s="193" t="s">
        <v>774</v>
      </c>
      <c r="AT6" s="193" t="s">
        <v>775</v>
      </c>
      <c r="AU6" s="193" t="s">
        <v>763</v>
      </c>
      <c r="AX6" s="193" t="s">
        <v>763</v>
      </c>
      <c r="AY6" s="193" t="s">
        <v>764</v>
      </c>
      <c r="AZ6" s="193" t="s">
        <v>765</v>
      </c>
      <c r="BA6" s="193" t="s">
        <v>766</v>
      </c>
      <c r="BB6" s="193" t="s">
        <v>767</v>
      </c>
      <c r="BC6" s="193" t="s">
        <v>768</v>
      </c>
      <c r="BD6" s="193" t="s">
        <v>769</v>
      </c>
      <c r="BE6" s="193" t="s">
        <v>770</v>
      </c>
      <c r="BF6" s="193" t="s">
        <v>771</v>
      </c>
      <c r="BG6" s="193" t="s">
        <v>772</v>
      </c>
      <c r="BH6" s="193" t="s">
        <v>773</v>
      </c>
      <c r="BI6" s="193" t="s">
        <v>774</v>
      </c>
      <c r="BJ6" s="193" t="s">
        <v>775</v>
      </c>
      <c r="BK6" s="193" t="s">
        <v>763</v>
      </c>
      <c r="BN6" s="193" t="s">
        <v>763</v>
      </c>
      <c r="BO6" s="193" t="s">
        <v>764</v>
      </c>
      <c r="BP6" s="193" t="s">
        <v>765</v>
      </c>
      <c r="BQ6" s="193" t="s">
        <v>766</v>
      </c>
      <c r="BR6" s="193" t="s">
        <v>767</v>
      </c>
      <c r="BS6" s="193" t="s">
        <v>768</v>
      </c>
      <c r="BT6" s="193" t="s">
        <v>769</v>
      </c>
      <c r="BU6" s="193" t="s">
        <v>770</v>
      </c>
      <c r="BV6" s="193" t="s">
        <v>771</v>
      </c>
      <c r="BW6" s="193" t="s">
        <v>772</v>
      </c>
      <c r="BX6" s="193" t="s">
        <v>773</v>
      </c>
      <c r="BY6" s="193" t="s">
        <v>774</v>
      </c>
      <c r="BZ6" s="193" t="s">
        <v>775</v>
      </c>
      <c r="CA6" s="193" t="s">
        <v>763</v>
      </c>
      <c r="CD6" s="193" t="s">
        <v>763</v>
      </c>
      <c r="CE6" s="193" t="s">
        <v>764</v>
      </c>
      <c r="CF6" s="193" t="s">
        <v>765</v>
      </c>
      <c r="CG6" s="193" t="s">
        <v>766</v>
      </c>
      <c r="CH6" s="193" t="s">
        <v>767</v>
      </c>
      <c r="CI6" s="193" t="s">
        <v>768</v>
      </c>
      <c r="CJ6" s="193" t="s">
        <v>769</v>
      </c>
      <c r="CK6" s="193" t="s">
        <v>770</v>
      </c>
      <c r="CL6" s="193" t="s">
        <v>771</v>
      </c>
      <c r="CM6" s="193" t="s">
        <v>772</v>
      </c>
      <c r="CN6" s="193" t="s">
        <v>773</v>
      </c>
      <c r="CO6" s="193" t="s">
        <v>774</v>
      </c>
      <c r="CP6" s="193" t="s">
        <v>775</v>
      </c>
      <c r="CQ6" s="193" t="s">
        <v>763</v>
      </c>
      <c r="CT6" s="193" t="s">
        <v>763</v>
      </c>
      <c r="CU6" s="193" t="s">
        <v>764</v>
      </c>
      <c r="CV6" s="193" t="s">
        <v>765</v>
      </c>
      <c r="CW6" s="193" t="s">
        <v>766</v>
      </c>
      <c r="CX6" s="193" t="s">
        <v>767</v>
      </c>
      <c r="CY6" s="193" t="s">
        <v>768</v>
      </c>
      <c r="CZ6" s="193" t="s">
        <v>769</v>
      </c>
      <c r="DA6" s="193" t="s">
        <v>770</v>
      </c>
      <c r="DB6" s="193" t="s">
        <v>771</v>
      </c>
      <c r="DC6" s="193" t="s">
        <v>772</v>
      </c>
      <c r="DD6" s="193" t="s">
        <v>773</v>
      </c>
      <c r="DE6" s="193" t="s">
        <v>774</v>
      </c>
      <c r="DF6" s="193" t="s">
        <v>775</v>
      </c>
      <c r="DG6" s="193" t="s">
        <v>763</v>
      </c>
      <c r="DJ6" s="193" t="s">
        <v>763</v>
      </c>
      <c r="DK6" s="193" t="s">
        <v>764</v>
      </c>
      <c r="DL6" s="193" t="s">
        <v>765</v>
      </c>
      <c r="DM6" s="193" t="s">
        <v>766</v>
      </c>
      <c r="DN6" s="193" t="s">
        <v>767</v>
      </c>
      <c r="DO6" s="193" t="s">
        <v>768</v>
      </c>
      <c r="DP6" s="193" t="s">
        <v>769</v>
      </c>
      <c r="DQ6" s="193" t="s">
        <v>770</v>
      </c>
      <c r="DR6" s="193" t="s">
        <v>771</v>
      </c>
      <c r="DS6" s="193" t="s">
        <v>772</v>
      </c>
      <c r="DT6" s="193" t="s">
        <v>773</v>
      </c>
      <c r="DU6" s="193" t="s">
        <v>774</v>
      </c>
      <c r="DV6" s="193" t="s">
        <v>775</v>
      </c>
      <c r="DW6" s="193" t="s">
        <v>763</v>
      </c>
      <c r="DZ6" s="193" t="s">
        <v>763</v>
      </c>
      <c r="EA6" s="193" t="s">
        <v>764</v>
      </c>
      <c r="EB6" s="193" t="s">
        <v>765</v>
      </c>
      <c r="EC6" s="193" t="s">
        <v>766</v>
      </c>
      <c r="ED6" s="193" t="s">
        <v>767</v>
      </c>
      <c r="EE6" s="193" t="s">
        <v>768</v>
      </c>
      <c r="EF6" s="193" t="s">
        <v>769</v>
      </c>
      <c r="EG6" s="193" t="s">
        <v>770</v>
      </c>
      <c r="EH6" s="193" t="s">
        <v>771</v>
      </c>
      <c r="EI6" s="193" t="s">
        <v>772</v>
      </c>
      <c r="EJ6" s="193" t="s">
        <v>773</v>
      </c>
      <c r="EK6" s="193" t="s">
        <v>774</v>
      </c>
      <c r="EL6" s="193" t="s">
        <v>775</v>
      </c>
      <c r="EM6" s="193" t="s">
        <v>763</v>
      </c>
      <c r="EP6" s="193" t="s">
        <v>763</v>
      </c>
      <c r="EQ6" s="193" t="s">
        <v>764</v>
      </c>
      <c r="ER6" s="193" t="s">
        <v>765</v>
      </c>
      <c r="ES6" s="193" t="s">
        <v>766</v>
      </c>
      <c r="ET6" s="193" t="s">
        <v>767</v>
      </c>
      <c r="EU6" s="193" t="s">
        <v>768</v>
      </c>
      <c r="EV6" s="193" t="s">
        <v>769</v>
      </c>
      <c r="EW6" s="193" t="s">
        <v>770</v>
      </c>
      <c r="EX6" s="193" t="s">
        <v>771</v>
      </c>
      <c r="EY6" s="193" t="s">
        <v>772</v>
      </c>
      <c r="EZ6" s="193" t="s">
        <v>773</v>
      </c>
      <c r="FA6" s="193" t="s">
        <v>774</v>
      </c>
      <c r="FB6" s="193" t="s">
        <v>775</v>
      </c>
      <c r="FC6" s="193" t="s">
        <v>763</v>
      </c>
      <c r="FF6" s="193" t="s">
        <v>763</v>
      </c>
      <c r="FG6" s="193" t="s">
        <v>764</v>
      </c>
      <c r="FH6" s="193" t="s">
        <v>765</v>
      </c>
      <c r="FI6" s="193" t="s">
        <v>766</v>
      </c>
      <c r="FJ6" s="193" t="s">
        <v>767</v>
      </c>
      <c r="FK6" s="193" t="s">
        <v>768</v>
      </c>
      <c r="FL6" s="193" t="s">
        <v>769</v>
      </c>
      <c r="FM6" s="193" t="s">
        <v>770</v>
      </c>
      <c r="FN6" s="193" t="s">
        <v>771</v>
      </c>
      <c r="FO6" s="193" t="s">
        <v>772</v>
      </c>
      <c r="FP6" s="193" t="s">
        <v>773</v>
      </c>
      <c r="FQ6" s="193" t="s">
        <v>774</v>
      </c>
      <c r="FR6" s="193" t="s">
        <v>775</v>
      </c>
      <c r="FS6" s="193" t="s">
        <v>763</v>
      </c>
      <c r="FV6" s="193" t="s">
        <v>763</v>
      </c>
      <c r="FW6" s="193" t="s">
        <v>764</v>
      </c>
      <c r="FX6" s="193" t="s">
        <v>765</v>
      </c>
      <c r="FY6" s="193" t="s">
        <v>766</v>
      </c>
      <c r="FZ6" s="193" t="s">
        <v>767</v>
      </c>
      <c r="GA6" s="193" t="s">
        <v>768</v>
      </c>
      <c r="GB6" s="193" t="s">
        <v>769</v>
      </c>
      <c r="GC6" s="193" t="s">
        <v>770</v>
      </c>
      <c r="GD6" s="193" t="s">
        <v>771</v>
      </c>
      <c r="GE6" s="193" t="s">
        <v>772</v>
      </c>
      <c r="GF6" s="193" t="s">
        <v>773</v>
      </c>
      <c r="GG6" s="193" t="s">
        <v>774</v>
      </c>
      <c r="GH6" s="193" t="s">
        <v>775</v>
      </c>
      <c r="GI6" s="193" t="s">
        <v>763</v>
      </c>
      <c r="GL6" s="193" t="s">
        <v>763</v>
      </c>
      <c r="GM6" s="193" t="s">
        <v>764</v>
      </c>
      <c r="GN6" s="193" t="s">
        <v>765</v>
      </c>
      <c r="GO6" s="193" t="s">
        <v>766</v>
      </c>
      <c r="GP6" s="193" t="s">
        <v>767</v>
      </c>
      <c r="GQ6" s="193" t="s">
        <v>768</v>
      </c>
      <c r="GR6" s="193" t="s">
        <v>769</v>
      </c>
      <c r="GS6" s="193" t="s">
        <v>770</v>
      </c>
      <c r="GT6" s="193" t="s">
        <v>771</v>
      </c>
      <c r="GU6" s="193" t="s">
        <v>772</v>
      </c>
      <c r="GV6" s="193" t="s">
        <v>773</v>
      </c>
      <c r="GW6" s="193" t="s">
        <v>774</v>
      </c>
      <c r="GX6" s="193" t="s">
        <v>775</v>
      </c>
      <c r="GY6" s="193" t="s">
        <v>763</v>
      </c>
      <c r="HB6" s="193" t="s">
        <v>763</v>
      </c>
      <c r="HC6" s="193" t="s">
        <v>764</v>
      </c>
      <c r="HD6" s="193" t="s">
        <v>765</v>
      </c>
      <c r="HE6" s="193" t="s">
        <v>766</v>
      </c>
      <c r="HF6" s="193" t="s">
        <v>767</v>
      </c>
      <c r="HG6" s="193" t="s">
        <v>768</v>
      </c>
      <c r="HH6" s="193" t="s">
        <v>769</v>
      </c>
      <c r="HI6" s="193" t="s">
        <v>770</v>
      </c>
      <c r="HJ6" s="193" t="s">
        <v>771</v>
      </c>
      <c r="HK6" s="193" t="s">
        <v>772</v>
      </c>
      <c r="HL6" s="193" t="s">
        <v>773</v>
      </c>
      <c r="HM6" s="193" t="s">
        <v>774</v>
      </c>
      <c r="HN6" s="193" t="s">
        <v>775</v>
      </c>
      <c r="HO6" s="193" t="s">
        <v>763</v>
      </c>
      <c r="HP6" s="1"/>
      <c r="HQ6" s="1"/>
      <c r="HR6" s="193" t="s">
        <v>763</v>
      </c>
      <c r="HS6" s="193" t="s">
        <v>764</v>
      </c>
      <c r="HT6" s="193" t="s">
        <v>765</v>
      </c>
      <c r="HU6" s="193" t="s">
        <v>766</v>
      </c>
      <c r="HV6" s="193" t="s">
        <v>767</v>
      </c>
      <c r="HW6" s="193" t="s">
        <v>768</v>
      </c>
      <c r="HX6" s="193" t="s">
        <v>769</v>
      </c>
      <c r="HY6" s="193" t="s">
        <v>770</v>
      </c>
      <c r="HZ6" s="193" t="s">
        <v>771</v>
      </c>
      <c r="IA6" s="193" t="s">
        <v>772</v>
      </c>
      <c r="IB6" s="193" t="s">
        <v>773</v>
      </c>
      <c r="IC6" s="193" t="s">
        <v>774</v>
      </c>
      <c r="ID6" s="193" t="s">
        <v>775</v>
      </c>
      <c r="IE6" s="193" t="s">
        <v>763</v>
      </c>
      <c r="IF6" s="1"/>
      <c r="IG6" s="1"/>
      <c r="IH6" s="193" t="s">
        <v>763</v>
      </c>
      <c r="II6" s="193" t="s">
        <v>764</v>
      </c>
      <c r="IJ6" s="193" t="s">
        <v>765</v>
      </c>
      <c r="IK6" s="193" t="s">
        <v>766</v>
      </c>
      <c r="IL6" s="193" t="s">
        <v>767</v>
      </c>
      <c r="IM6" s="193" t="s">
        <v>768</v>
      </c>
      <c r="IN6" s="193" t="s">
        <v>769</v>
      </c>
      <c r="IO6" s="193" t="s">
        <v>770</v>
      </c>
      <c r="IP6" s="193" t="s">
        <v>771</v>
      </c>
      <c r="IQ6" s="193" t="s">
        <v>772</v>
      </c>
      <c r="IR6" s="193" t="s">
        <v>773</v>
      </c>
      <c r="IS6" s="193" t="s">
        <v>774</v>
      </c>
      <c r="IT6" s="193" t="s">
        <v>775</v>
      </c>
      <c r="IU6" s="193" t="s">
        <v>763</v>
      </c>
      <c r="IV6" s="1"/>
      <c r="IW6" s="1"/>
      <c r="IX6" s="193" t="s">
        <v>763</v>
      </c>
      <c r="IY6" s="193" t="s">
        <v>764</v>
      </c>
      <c r="IZ6" s="193" t="s">
        <v>765</v>
      </c>
      <c r="JA6" s="193" t="s">
        <v>766</v>
      </c>
      <c r="JB6" s="193" t="s">
        <v>767</v>
      </c>
      <c r="JC6" s="193" t="s">
        <v>768</v>
      </c>
      <c r="JD6" s="193" t="s">
        <v>769</v>
      </c>
      <c r="JE6" s="193" t="s">
        <v>770</v>
      </c>
      <c r="JF6" s="193" t="s">
        <v>771</v>
      </c>
      <c r="JG6" s="193" t="s">
        <v>772</v>
      </c>
      <c r="JH6" s="193" t="s">
        <v>773</v>
      </c>
      <c r="JI6" s="193" t="s">
        <v>774</v>
      </c>
      <c r="JJ6" s="193" t="s">
        <v>775</v>
      </c>
      <c r="JK6" s="193" t="s">
        <v>763</v>
      </c>
      <c r="JL6" s="1"/>
      <c r="JM6" s="1"/>
      <c r="JN6" s="193" t="s">
        <v>763</v>
      </c>
      <c r="JO6" s="193" t="s">
        <v>764</v>
      </c>
      <c r="JP6" s="193" t="s">
        <v>765</v>
      </c>
      <c r="JQ6" s="193" t="s">
        <v>766</v>
      </c>
      <c r="JR6" s="193" t="s">
        <v>767</v>
      </c>
      <c r="JS6" s="193" t="s">
        <v>768</v>
      </c>
      <c r="JT6" s="193" t="s">
        <v>769</v>
      </c>
      <c r="JU6" s="193" t="s">
        <v>770</v>
      </c>
      <c r="JV6" s="193" t="s">
        <v>771</v>
      </c>
      <c r="JW6" s="193" t="s">
        <v>772</v>
      </c>
      <c r="JX6" s="193" t="s">
        <v>773</v>
      </c>
      <c r="JY6" s="193" t="s">
        <v>774</v>
      </c>
      <c r="JZ6" s="193" t="s">
        <v>775</v>
      </c>
      <c r="KA6" s="193" t="s">
        <v>763</v>
      </c>
      <c r="KB6" s="1"/>
      <c r="KC6" s="1"/>
      <c r="KD6" s="193" t="s">
        <v>763</v>
      </c>
      <c r="KE6" s="193" t="s">
        <v>764</v>
      </c>
      <c r="KF6" s="193" t="s">
        <v>765</v>
      </c>
      <c r="KG6" s="193" t="s">
        <v>766</v>
      </c>
      <c r="KH6" s="193" t="s">
        <v>767</v>
      </c>
      <c r="KI6" s="193" t="s">
        <v>768</v>
      </c>
      <c r="KJ6" s="193" t="s">
        <v>769</v>
      </c>
      <c r="KK6" s="193" t="s">
        <v>770</v>
      </c>
      <c r="KL6" s="193" t="s">
        <v>771</v>
      </c>
      <c r="KM6" s="193" t="s">
        <v>772</v>
      </c>
      <c r="KN6" s="193" t="s">
        <v>773</v>
      </c>
      <c r="KO6" s="193" t="s">
        <v>774</v>
      </c>
      <c r="KP6" s="193" t="s">
        <v>775</v>
      </c>
      <c r="KQ6" s="193" t="s">
        <v>763</v>
      </c>
      <c r="KR6" s="1"/>
      <c r="KS6" s="1"/>
      <c r="KT6" s="193" t="s">
        <v>763</v>
      </c>
      <c r="KU6" s="193" t="s">
        <v>764</v>
      </c>
      <c r="KV6" s="193" t="s">
        <v>765</v>
      </c>
      <c r="KW6" s="193" t="s">
        <v>766</v>
      </c>
      <c r="KX6" s="193" t="s">
        <v>767</v>
      </c>
      <c r="KY6" s="193" t="s">
        <v>768</v>
      </c>
      <c r="KZ6" s="193" t="s">
        <v>769</v>
      </c>
      <c r="LA6" s="193" t="s">
        <v>770</v>
      </c>
      <c r="LB6" s="193" t="s">
        <v>771</v>
      </c>
      <c r="LC6" s="193" t="s">
        <v>772</v>
      </c>
      <c r="LD6" s="193" t="s">
        <v>773</v>
      </c>
      <c r="LE6" s="193" t="s">
        <v>774</v>
      </c>
      <c r="LF6" s="193" t="s">
        <v>775</v>
      </c>
      <c r="LG6" s="193" t="s">
        <v>763</v>
      </c>
      <c r="LH6" s="1"/>
      <c r="LI6" s="1"/>
      <c r="LJ6" s="193" t="s">
        <v>763</v>
      </c>
      <c r="LK6" s="193" t="s">
        <v>764</v>
      </c>
      <c r="LL6" s="193" t="s">
        <v>765</v>
      </c>
      <c r="LM6" s="193" t="s">
        <v>766</v>
      </c>
      <c r="LN6" s="193" t="s">
        <v>767</v>
      </c>
      <c r="LO6" s="193" t="s">
        <v>768</v>
      </c>
      <c r="LP6" s="193" t="s">
        <v>769</v>
      </c>
      <c r="LQ6" s="193" t="s">
        <v>770</v>
      </c>
      <c r="LR6" s="193" t="s">
        <v>771</v>
      </c>
      <c r="LS6" s="193" t="s">
        <v>772</v>
      </c>
      <c r="LT6" s="193" t="s">
        <v>773</v>
      </c>
      <c r="LU6" s="193" t="s">
        <v>774</v>
      </c>
      <c r="LV6" s="193" t="s">
        <v>775</v>
      </c>
      <c r="LW6" s="193" t="s">
        <v>763</v>
      </c>
      <c r="LX6" s="1"/>
      <c r="LY6" s="1"/>
      <c r="LZ6" s="193" t="s">
        <v>763</v>
      </c>
      <c r="MA6" s="193" t="s">
        <v>764</v>
      </c>
      <c r="MB6" s="193" t="s">
        <v>765</v>
      </c>
      <c r="MC6" s="193" t="s">
        <v>766</v>
      </c>
      <c r="MD6" s="193" t="s">
        <v>767</v>
      </c>
      <c r="ME6" s="193" t="s">
        <v>768</v>
      </c>
      <c r="MF6" s="193" t="s">
        <v>769</v>
      </c>
      <c r="MG6" s="193" t="s">
        <v>770</v>
      </c>
      <c r="MH6" s="193" t="s">
        <v>771</v>
      </c>
      <c r="MI6" s="193" t="s">
        <v>772</v>
      </c>
      <c r="MJ6" s="193" t="s">
        <v>773</v>
      </c>
      <c r="MK6" s="193" t="s">
        <v>774</v>
      </c>
      <c r="ML6" s="193" t="s">
        <v>775</v>
      </c>
      <c r="MM6" s="193" t="s">
        <v>763</v>
      </c>
      <c r="MN6" s="1"/>
      <c r="MO6" s="1"/>
      <c r="MP6" s="193" t="s">
        <v>763</v>
      </c>
      <c r="MQ6" s="193" t="s">
        <v>764</v>
      </c>
      <c r="MR6" s="193" t="s">
        <v>765</v>
      </c>
      <c r="MS6" s="193" t="s">
        <v>766</v>
      </c>
      <c r="MT6" s="193" t="s">
        <v>767</v>
      </c>
      <c r="MU6" s="193" t="s">
        <v>768</v>
      </c>
      <c r="MV6" s="193" t="s">
        <v>769</v>
      </c>
      <c r="MW6" s="193" t="s">
        <v>770</v>
      </c>
      <c r="MX6" s="193" t="s">
        <v>771</v>
      </c>
      <c r="MY6" s="193" t="s">
        <v>772</v>
      </c>
      <c r="MZ6" s="193" t="s">
        <v>773</v>
      </c>
      <c r="NA6" s="193" t="s">
        <v>774</v>
      </c>
      <c r="NB6" s="193" t="s">
        <v>775</v>
      </c>
      <c r="NC6" s="193" t="s">
        <v>763</v>
      </c>
      <c r="ND6" s="1"/>
      <c r="NE6" s="1"/>
      <c r="NF6" s="193" t="s">
        <v>763</v>
      </c>
      <c r="NG6" s="193" t="s">
        <v>764</v>
      </c>
      <c r="NH6" s="193" t="s">
        <v>765</v>
      </c>
      <c r="NI6" s="193" t="s">
        <v>766</v>
      </c>
      <c r="NJ6" s="193" t="s">
        <v>767</v>
      </c>
      <c r="NK6" s="193" t="s">
        <v>768</v>
      </c>
      <c r="NL6" s="193" t="s">
        <v>769</v>
      </c>
      <c r="NM6" s="193" t="s">
        <v>770</v>
      </c>
      <c r="NN6" s="193" t="s">
        <v>771</v>
      </c>
      <c r="NO6" s="193" t="s">
        <v>772</v>
      </c>
      <c r="NP6" s="193" t="s">
        <v>773</v>
      </c>
      <c r="NQ6" s="193" t="s">
        <v>774</v>
      </c>
      <c r="NR6" s="193" t="s">
        <v>775</v>
      </c>
      <c r="NS6" s="193" t="s">
        <v>763</v>
      </c>
      <c r="NT6" s="1"/>
      <c r="NU6" s="1"/>
      <c r="NV6" s="193" t="s">
        <v>763</v>
      </c>
      <c r="NW6" s="193" t="s">
        <v>764</v>
      </c>
      <c r="NX6" s="193" t="s">
        <v>765</v>
      </c>
      <c r="NY6" s="193" t="s">
        <v>766</v>
      </c>
      <c r="NZ6" s="193" t="s">
        <v>767</v>
      </c>
      <c r="OA6" s="193" t="s">
        <v>768</v>
      </c>
      <c r="OB6" s="193" t="s">
        <v>769</v>
      </c>
      <c r="OC6" s="193" t="s">
        <v>770</v>
      </c>
      <c r="OD6" s="193" t="s">
        <v>771</v>
      </c>
      <c r="OE6" s="193" t="s">
        <v>772</v>
      </c>
      <c r="OF6" s="193" t="s">
        <v>773</v>
      </c>
      <c r="OG6" s="193" t="s">
        <v>774</v>
      </c>
      <c r="OH6" s="193" t="s">
        <v>775</v>
      </c>
      <c r="OI6" s="193" t="s">
        <v>763</v>
      </c>
      <c r="OJ6" s="1"/>
      <c r="OK6" s="1"/>
      <c r="OL6" s="193" t="s">
        <v>763</v>
      </c>
      <c r="OM6" s="193" t="s">
        <v>764</v>
      </c>
      <c r="ON6" s="193" t="s">
        <v>765</v>
      </c>
      <c r="OO6" s="193" t="s">
        <v>766</v>
      </c>
      <c r="OP6" s="193" t="s">
        <v>767</v>
      </c>
      <c r="OQ6" s="193" t="s">
        <v>768</v>
      </c>
      <c r="OR6" s="193" t="s">
        <v>769</v>
      </c>
      <c r="OS6" s="193" t="s">
        <v>770</v>
      </c>
      <c r="OT6" s="193" t="s">
        <v>771</v>
      </c>
      <c r="OU6" s="193" t="s">
        <v>772</v>
      </c>
      <c r="OV6" s="193" t="s">
        <v>773</v>
      </c>
      <c r="OW6" s="193" t="s">
        <v>774</v>
      </c>
      <c r="OX6" s="193" t="s">
        <v>775</v>
      </c>
      <c r="OY6" s="193" t="s">
        <v>763</v>
      </c>
      <c r="OZ6" s="1"/>
      <c r="PA6" s="1"/>
      <c r="PB6" s="193" t="s">
        <v>763</v>
      </c>
      <c r="PC6" s="193" t="s">
        <v>764</v>
      </c>
      <c r="PD6" s="193" t="s">
        <v>765</v>
      </c>
      <c r="PE6" s="193" t="s">
        <v>766</v>
      </c>
      <c r="PF6" s="193" t="s">
        <v>767</v>
      </c>
      <c r="PG6" s="193" t="s">
        <v>768</v>
      </c>
      <c r="PH6" s="193" t="s">
        <v>769</v>
      </c>
      <c r="PI6" s="193" t="s">
        <v>770</v>
      </c>
      <c r="PJ6" s="193" t="s">
        <v>771</v>
      </c>
      <c r="PK6" s="193" t="s">
        <v>772</v>
      </c>
      <c r="PL6" s="193" t="s">
        <v>773</v>
      </c>
      <c r="PM6" s="193" t="s">
        <v>774</v>
      </c>
      <c r="PN6" s="193" t="s">
        <v>775</v>
      </c>
      <c r="PO6" s="193" t="s">
        <v>763</v>
      </c>
      <c r="PP6" s="1"/>
      <c r="PQ6" s="1"/>
      <c r="PR6" s="193" t="s">
        <v>763</v>
      </c>
      <c r="PS6" s="193" t="s">
        <v>764</v>
      </c>
      <c r="PT6" s="193" t="s">
        <v>765</v>
      </c>
      <c r="PU6" s="193" t="s">
        <v>766</v>
      </c>
      <c r="PV6" s="193" t="s">
        <v>767</v>
      </c>
      <c r="PW6" s="193" t="s">
        <v>768</v>
      </c>
      <c r="PX6" s="193" t="s">
        <v>769</v>
      </c>
      <c r="PY6" s="193" t="s">
        <v>770</v>
      </c>
      <c r="PZ6" s="193" t="s">
        <v>771</v>
      </c>
      <c r="QA6" s="193" t="s">
        <v>772</v>
      </c>
      <c r="QB6" s="193" t="s">
        <v>773</v>
      </c>
      <c r="QC6" s="193" t="s">
        <v>774</v>
      </c>
      <c r="QD6" s="193" t="s">
        <v>775</v>
      </c>
      <c r="QE6" s="193" t="s">
        <v>763</v>
      </c>
      <c r="QF6" s="1"/>
      <c r="QG6" s="1"/>
      <c r="QH6" s="193" t="s">
        <v>763</v>
      </c>
      <c r="QI6" s="193" t="s">
        <v>764</v>
      </c>
      <c r="QJ6" s="193" t="s">
        <v>765</v>
      </c>
      <c r="QK6" s="193" t="s">
        <v>766</v>
      </c>
      <c r="QL6" s="193" t="s">
        <v>767</v>
      </c>
      <c r="QM6" s="193" t="s">
        <v>768</v>
      </c>
      <c r="QN6" s="193" t="s">
        <v>769</v>
      </c>
      <c r="QO6" s="193" t="s">
        <v>770</v>
      </c>
      <c r="QP6" s="193" t="s">
        <v>771</v>
      </c>
      <c r="QQ6" s="193" t="s">
        <v>772</v>
      </c>
      <c r="QR6" s="193" t="s">
        <v>773</v>
      </c>
      <c r="QS6" s="193" t="s">
        <v>774</v>
      </c>
      <c r="QT6" s="193" t="s">
        <v>775</v>
      </c>
      <c r="QU6" s="193" t="s">
        <v>763</v>
      </c>
      <c r="QV6" s="1"/>
      <c r="QW6" s="1"/>
      <c r="QX6" s="193" t="s">
        <v>763</v>
      </c>
      <c r="QY6" s="193" t="s">
        <v>764</v>
      </c>
      <c r="QZ6" s="193" t="s">
        <v>765</v>
      </c>
      <c r="RA6" s="193" t="s">
        <v>766</v>
      </c>
      <c r="RB6" s="193" t="s">
        <v>767</v>
      </c>
      <c r="RC6" s="193" t="s">
        <v>768</v>
      </c>
      <c r="RD6" s="193" t="s">
        <v>769</v>
      </c>
      <c r="RE6" s="193" t="s">
        <v>770</v>
      </c>
      <c r="RF6" s="193" t="s">
        <v>771</v>
      </c>
      <c r="RG6" s="193" t="s">
        <v>772</v>
      </c>
      <c r="RH6" s="193" t="s">
        <v>773</v>
      </c>
      <c r="RI6" s="193" t="s">
        <v>774</v>
      </c>
      <c r="RJ6" s="193" t="s">
        <v>775</v>
      </c>
      <c r="RK6" s="193" t="s">
        <v>763</v>
      </c>
      <c r="RL6" s="1"/>
      <c r="RM6" s="1"/>
      <c r="RN6" s="193" t="s">
        <v>763</v>
      </c>
      <c r="RO6" s="193" t="s">
        <v>764</v>
      </c>
      <c r="RP6" s="193" t="s">
        <v>765</v>
      </c>
      <c r="RQ6" s="193" t="s">
        <v>766</v>
      </c>
      <c r="RR6" s="193" t="s">
        <v>767</v>
      </c>
      <c r="RS6" s="193" t="s">
        <v>768</v>
      </c>
      <c r="RT6" s="193" t="s">
        <v>769</v>
      </c>
      <c r="RU6" s="193" t="s">
        <v>770</v>
      </c>
      <c r="RV6" s="193" t="s">
        <v>771</v>
      </c>
      <c r="RW6" s="193" t="s">
        <v>772</v>
      </c>
      <c r="RX6" s="193" t="s">
        <v>773</v>
      </c>
      <c r="RY6" s="193" t="s">
        <v>774</v>
      </c>
      <c r="RZ6" s="193" t="s">
        <v>775</v>
      </c>
      <c r="SA6" s="193" t="s">
        <v>763</v>
      </c>
      <c r="SB6" s="1"/>
      <c r="SC6" s="1"/>
      <c r="SD6" s="193" t="s">
        <v>763</v>
      </c>
      <c r="SE6" s="193" t="s">
        <v>764</v>
      </c>
      <c r="SF6" s="193" t="s">
        <v>765</v>
      </c>
      <c r="SG6" s="193" t="s">
        <v>766</v>
      </c>
      <c r="SH6" s="193" t="s">
        <v>767</v>
      </c>
      <c r="SI6" s="193" t="s">
        <v>768</v>
      </c>
      <c r="SJ6" s="193" t="s">
        <v>769</v>
      </c>
      <c r="SK6" s="193" t="s">
        <v>770</v>
      </c>
      <c r="SL6" s="193" t="s">
        <v>771</v>
      </c>
      <c r="SM6" s="193" t="s">
        <v>772</v>
      </c>
      <c r="SN6" s="193" t="s">
        <v>773</v>
      </c>
      <c r="SO6" s="193" t="s">
        <v>774</v>
      </c>
      <c r="SP6" s="193" t="s">
        <v>775</v>
      </c>
      <c r="SQ6" s="193" t="s">
        <v>763</v>
      </c>
      <c r="SR6" s="1"/>
      <c r="SS6" s="1"/>
      <c r="ST6" s="193" t="s">
        <v>763</v>
      </c>
      <c r="SU6" s="193" t="s">
        <v>764</v>
      </c>
      <c r="SV6" s="193" t="s">
        <v>765</v>
      </c>
      <c r="SW6" s="193" t="s">
        <v>766</v>
      </c>
      <c r="SX6" s="193" t="s">
        <v>767</v>
      </c>
      <c r="SY6" s="193" t="s">
        <v>768</v>
      </c>
      <c r="SZ6" s="193" t="s">
        <v>769</v>
      </c>
      <c r="TA6" s="193" t="s">
        <v>770</v>
      </c>
      <c r="TB6" s="193" t="s">
        <v>771</v>
      </c>
      <c r="TC6" s="193" t="s">
        <v>772</v>
      </c>
      <c r="TD6" s="193" t="s">
        <v>773</v>
      </c>
      <c r="TE6" s="193" t="s">
        <v>774</v>
      </c>
      <c r="TF6" s="193" t="s">
        <v>775</v>
      </c>
      <c r="TG6" s="193" t="s">
        <v>763</v>
      </c>
      <c r="TH6" s="1"/>
      <c r="TI6" s="1"/>
      <c r="TJ6" s="193" t="s">
        <v>763</v>
      </c>
      <c r="TK6" s="193" t="s">
        <v>764</v>
      </c>
      <c r="TL6" s="193" t="s">
        <v>765</v>
      </c>
      <c r="TM6" s="193" t="s">
        <v>766</v>
      </c>
      <c r="TN6" s="193" t="s">
        <v>767</v>
      </c>
      <c r="TO6" s="193" t="s">
        <v>768</v>
      </c>
      <c r="TP6" s="193" t="s">
        <v>769</v>
      </c>
      <c r="TQ6" s="193" t="s">
        <v>770</v>
      </c>
      <c r="TR6" s="193" t="s">
        <v>771</v>
      </c>
      <c r="TS6" s="193" t="s">
        <v>772</v>
      </c>
      <c r="TT6" s="193" t="s">
        <v>773</v>
      </c>
      <c r="TU6" s="193" t="s">
        <v>774</v>
      </c>
      <c r="TV6" s="193" t="s">
        <v>775</v>
      </c>
      <c r="TW6" s="193" t="s">
        <v>763</v>
      </c>
    </row>
    <row r="7" spans="2:543" ht="20.100000000000001" customHeight="1">
      <c r="B7" s="64">
        <v>1</v>
      </c>
      <c r="C7" s="289">
        <v>20.515699999999999</v>
      </c>
      <c r="D7" s="289">
        <v>20.8597</v>
      </c>
      <c r="E7" s="289">
        <v>20.4465</v>
      </c>
      <c r="F7" s="289">
        <v>19.863199999999999</v>
      </c>
      <c r="G7" s="289">
        <v>20.567</v>
      </c>
      <c r="H7" s="289">
        <v>19.4953</v>
      </c>
      <c r="I7" s="289">
        <v>20.144300000000001</v>
      </c>
      <c r="J7" s="289">
        <v>20.377800000000001</v>
      </c>
      <c r="K7" s="289">
        <v>20.1465</v>
      </c>
      <c r="L7" s="289">
        <v>20.192699999999999</v>
      </c>
      <c r="M7" s="289">
        <v>19.830300000000001</v>
      </c>
      <c r="N7" s="289">
        <v>19.216000000000001</v>
      </c>
      <c r="O7" s="64">
        <v>1</v>
      </c>
      <c r="R7" s="64">
        <v>1</v>
      </c>
      <c r="S7" s="289">
        <v>19.935199999999998</v>
      </c>
      <c r="T7" s="289">
        <v>20.2697</v>
      </c>
      <c r="U7" s="289">
        <v>20.8523</v>
      </c>
      <c r="V7" s="289">
        <v>20.602499999999999</v>
      </c>
      <c r="W7" s="289">
        <v>20.097799999999999</v>
      </c>
      <c r="X7" s="289">
        <v>19.944199999999999</v>
      </c>
      <c r="Y7" s="289">
        <v>19.8157</v>
      </c>
      <c r="Z7" s="289">
        <v>19.844799999999999</v>
      </c>
      <c r="AA7" s="289">
        <v>20.1403</v>
      </c>
      <c r="AB7" s="289">
        <v>20.497699999999998</v>
      </c>
      <c r="AC7" s="289">
        <v>20.325500000000002</v>
      </c>
      <c r="AD7" s="289">
        <v>21.7333</v>
      </c>
      <c r="AE7" s="64">
        <v>1</v>
      </c>
      <c r="AH7" s="185">
        <v>1</v>
      </c>
      <c r="AI7" s="289">
        <v>18.872699999999998</v>
      </c>
      <c r="AJ7" s="289">
        <v>18.785299999999999</v>
      </c>
      <c r="AK7" s="289">
        <v>19.397300000000001</v>
      </c>
      <c r="AL7" s="289">
        <v>24.285299999999999</v>
      </c>
      <c r="AM7" s="289">
        <v>24.0002</v>
      </c>
      <c r="AN7" s="289">
        <v>22.204000000000001</v>
      </c>
      <c r="AO7" s="289">
        <v>23.1325</v>
      </c>
      <c r="AP7" s="289">
        <v>22.172699999999999</v>
      </c>
      <c r="AQ7" s="289">
        <v>21.860199999999999</v>
      </c>
      <c r="AR7" s="289">
        <v>22.3598</v>
      </c>
      <c r="AS7" s="289">
        <v>21.376999999999999</v>
      </c>
      <c r="AT7" s="289">
        <v>20.0777</v>
      </c>
      <c r="AU7" s="185">
        <v>1</v>
      </c>
      <c r="AX7" s="185">
        <v>1</v>
      </c>
      <c r="AY7" s="289">
        <v>19.656600000000001</v>
      </c>
      <c r="AZ7" s="289">
        <v>19.162299999999998</v>
      </c>
      <c r="BA7" s="289">
        <v>19.220099999999999</v>
      </c>
      <c r="BB7" s="289">
        <v>19.379300000000001</v>
      </c>
      <c r="BC7" s="289">
        <v>19.012</v>
      </c>
      <c r="BD7" s="289">
        <v>19.068300000000001</v>
      </c>
      <c r="BE7" s="289">
        <v>19.168500000000002</v>
      </c>
      <c r="BF7" s="289">
        <v>19.0747</v>
      </c>
      <c r="BG7" s="289">
        <v>20.098800000000001</v>
      </c>
      <c r="BH7" s="289">
        <v>19.680800000000001</v>
      </c>
      <c r="BI7" s="289">
        <v>19.164300000000001</v>
      </c>
      <c r="BJ7" s="289">
        <v>19.6113</v>
      </c>
      <c r="BK7" s="185">
        <v>1</v>
      </c>
      <c r="BN7" s="185">
        <v>1</v>
      </c>
      <c r="BO7" s="289">
        <v>19.735399999999998</v>
      </c>
      <c r="BP7" s="289">
        <v>18.6982</v>
      </c>
      <c r="BQ7" s="289">
        <v>18.790199999999999</v>
      </c>
      <c r="BR7" s="289">
        <v>18.3445</v>
      </c>
      <c r="BS7" s="289">
        <v>18.684699999999999</v>
      </c>
      <c r="BT7" s="289">
        <v>19.732199999999999</v>
      </c>
      <c r="BU7" s="289">
        <v>19.863299999999999</v>
      </c>
      <c r="BV7" s="289">
        <v>18.5413</v>
      </c>
      <c r="BW7" s="289">
        <v>19.125800000000002</v>
      </c>
      <c r="BX7" s="289">
        <v>18.812000000000001</v>
      </c>
      <c r="BY7" s="289">
        <v>20.0258</v>
      </c>
      <c r="BZ7" s="289">
        <v>20.221699999999998</v>
      </c>
      <c r="CA7" s="185">
        <v>1</v>
      </c>
      <c r="CD7" s="185">
        <v>1</v>
      </c>
      <c r="CE7" s="289">
        <v>20.664000000000001</v>
      </c>
      <c r="CF7" s="289">
        <v>20.758800000000001</v>
      </c>
      <c r="CG7" s="289">
        <v>19.8322</v>
      </c>
      <c r="CH7" s="289">
        <v>18.707899999999999</v>
      </c>
      <c r="CI7" s="289">
        <v>19.067</v>
      </c>
      <c r="CJ7" s="289">
        <v>18.664300000000001</v>
      </c>
      <c r="CK7" s="289">
        <v>18.027899999999999</v>
      </c>
      <c r="CL7" s="289">
        <v>17.743500000000001</v>
      </c>
      <c r="CM7" s="289">
        <v>17.775300000000001</v>
      </c>
      <c r="CN7" s="289">
        <v>18.197900000000001</v>
      </c>
      <c r="CO7" s="289">
        <v>19.218800000000002</v>
      </c>
      <c r="CP7" s="289">
        <v>18.518999999999998</v>
      </c>
      <c r="CQ7" s="185">
        <v>1</v>
      </c>
      <c r="CT7" s="185">
        <v>1</v>
      </c>
      <c r="CU7" s="289">
        <v>17.3398</v>
      </c>
      <c r="CV7" s="289">
        <v>18.290600000000001</v>
      </c>
      <c r="CW7" s="289">
        <v>18.1706</v>
      </c>
      <c r="CX7" s="289">
        <v>17.250900000000001</v>
      </c>
      <c r="CY7" s="289">
        <v>17.212499999999999</v>
      </c>
      <c r="CZ7" s="289">
        <v>18.477699999999999</v>
      </c>
      <c r="DA7" s="289">
        <v>18.555</v>
      </c>
      <c r="DB7" s="289">
        <v>18.8979</v>
      </c>
      <c r="DC7" s="289">
        <v>18.795300000000001</v>
      </c>
      <c r="DD7" s="289">
        <v>19.4086</v>
      </c>
      <c r="DE7" s="289">
        <v>18.730399999999999</v>
      </c>
      <c r="DF7" s="289">
        <v>20.622499999999999</v>
      </c>
      <c r="DG7" s="185">
        <v>1</v>
      </c>
      <c r="DJ7" s="185">
        <v>1</v>
      </c>
      <c r="DK7" s="289">
        <v>14.7348</v>
      </c>
      <c r="DL7" s="289">
        <v>14.8414</v>
      </c>
      <c r="DM7" s="289">
        <v>14.962400000000001</v>
      </c>
      <c r="DN7" s="289">
        <v>15.242699999999999</v>
      </c>
      <c r="DO7" s="289">
        <v>15.2043</v>
      </c>
      <c r="DP7" s="289">
        <v>15.373699999999999</v>
      </c>
      <c r="DQ7" s="289">
        <v>15.6599</v>
      </c>
      <c r="DR7" s="289">
        <v>16.213999999999999</v>
      </c>
      <c r="DS7" s="289">
        <v>16.7684</v>
      </c>
      <c r="DT7" s="289">
        <v>17.077100000000002</v>
      </c>
      <c r="DU7" s="289">
        <v>16.6219</v>
      </c>
      <c r="DV7" s="289">
        <v>16.578399999999998</v>
      </c>
      <c r="DW7" s="185">
        <v>1</v>
      </c>
      <c r="DZ7" s="185">
        <v>1</v>
      </c>
      <c r="EA7" s="289">
        <v>13.065200000000001</v>
      </c>
      <c r="EB7" s="289">
        <v>13.3207</v>
      </c>
      <c r="EC7" s="289">
        <v>13.3066</v>
      </c>
      <c r="ED7" s="289">
        <v>13.084099999999999</v>
      </c>
      <c r="EE7" s="289">
        <v>13.103899999999999</v>
      </c>
      <c r="EF7" s="289">
        <v>12.8462</v>
      </c>
      <c r="EG7" s="289">
        <v>13.0002</v>
      </c>
      <c r="EH7" s="289">
        <v>13.1357</v>
      </c>
      <c r="EI7" s="289">
        <v>13.110900000000001</v>
      </c>
      <c r="EJ7" s="289">
        <v>13.489100000000001</v>
      </c>
      <c r="EK7" s="289">
        <v>13.4316</v>
      </c>
      <c r="EL7" s="289">
        <v>13.7667</v>
      </c>
      <c r="EM7" s="185">
        <v>1</v>
      </c>
      <c r="EP7" s="185">
        <v>1</v>
      </c>
      <c r="EQ7" s="289">
        <v>12.988</v>
      </c>
      <c r="ER7" s="289">
        <v>12.7408</v>
      </c>
      <c r="ES7" s="289">
        <v>12.8322</v>
      </c>
      <c r="ET7" s="289">
        <v>12.3546</v>
      </c>
      <c r="EU7" s="289">
        <v>12.1326</v>
      </c>
      <c r="EV7" s="289">
        <v>12.7781</v>
      </c>
      <c r="EW7" s="289">
        <v>13.0235</v>
      </c>
      <c r="EX7" s="289">
        <v>12.763500000000001</v>
      </c>
      <c r="EY7" s="289">
        <v>13.3104</v>
      </c>
      <c r="EZ7" s="289">
        <v>13.145</v>
      </c>
      <c r="FA7" s="289">
        <v>12.864000000000001</v>
      </c>
      <c r="FB7" s="289">
        <v>13.083600000000001</v>
      </c>
      <c r="FC7" s="185">
        <v>1</v>
      </c>
      <c r="FF7" s="185">
        <v>1</v>
      </c>
      <c r="FG7" s="289">
        <v>13.9787</v>
      </c>
      <c r="FH7" s="289">
        <v>13.0063</v>
      </c>
      <c r="FI7" s="289">
        <v>12.8575</v>
      </c>
      <c r="FJ7" s="289">
        <v>12.8489</v>
      </c>
      <c r="FK7" s="289">
        <v>13.014099999999999</v>
      </c>
      <c r="FL7" s="289">
        <v>14.0749</v>
      </c>
      <c r="FM7" s="289">
        <v>13.653</v>
      </c>
      <c r="FN7" s="289">
        <v>13.2644</v>
      </c>
      <c r="FO7" s="289">
        <v>13.417199999999999</v>
      </c>
      <c r="FP7" s="289">
        <v>12.8521</v>
      </c>
      <c r="FQ7" s="289">
        <v>13.049799999999999</v>
      </c>
      <c r="FR7" s="289">
        <v>12.9617</v>
      </c>
      <c r="FS7" s="185">
        <v>1</v>
      </c>
      <c r="FV7" s="185">
        <v>1</v>
      </c>
      <c r="FW7" s="289">
        <v>12.3817</v>
      </c>
      <c r="FX7" s="289">
        <v>12.1214</v>
      </c>
      <c r="FY7" s="289">
        <v>12.1235</v>
      </c>
      <c r="FZ7" s="289">
        <v>11.921900000000001</v>
      </c>
      <c r="GA7" s="289">
        <v>11.5428</v>
      </c>
      <c r="GB7" s="289">
        <v>11.612299999999999</v>
      </c>
      <c r="GC7" s="289">
        <v>11.774800000000001</v>
      </c>
      <c r="GD7" s="289">
        <v>11.6821</v>
      </c>
      <c r="GE7" s="289">
        <v>12.4838</v>
      </c>
      <c r="GF7" s="289">
        <v>13.4567</v>
      </c>
      <c r="GG7" s="289">
        <v>13.113200000000001</v>
      </c>
      <c r="GH7" s="289">
        <v>13.953799999999999</v>
      </c>
      <c r="GI7" s="185">
        <v>1</v>
      </c>
      <c r="GL7" s="185">
        <v>1</v>
      </c>
      <c r="GM7" s="289">
        <v>13.043699999999999</v>
      </c>
      <c r="GN7" s="289">
        <v>12.9975</v>
      </c>
      <c r="GO7" s="289">
        <v>12.850300000000001</v>
      </c>
      <c r="GP7" s="289">
        <v>12.4145</v>
      </c>
      <c r="GQ7" s="289">
        <v>12.246499999999999</v>
      </c>
      <c r="GR7" s="289">
        <v>12.8589</v>
      </c>
      <c r="GS7" s="289">
        <v>12.839399999999999</v>
      </c>
      <c r="GT7" s="289">
        <v>12.703799999999999</v>
      </c>
      <c r="GU7" s="289">
        <v>13.136699999999999</v>
      </c>
      <c r="GV7" s="289">
        <v>12.4801</v>
      </c>
      <c r="GW7" s="289">
        <v>12.4023</v>
      </c>
      <c r="GX7" s="289">
        <v>12.553800000000001</v>
      </c>
      <c r="GY7" s="185">
        <v>1</v>
      </c>
      <c r="HB7" s="185">
        <v>1</v>
      </c>
      <c r="HC7" s="289">
        <v>13.7738</v>
      </c>
      <c r="HD7" s="289">
        <v>14.1975</v>
      </c>
      <c r="HE7" s="289">
        <v>14.9322</v>
      </c>
      <c r="HF7" s="289">
        <v>14.3855</v>
      </c>
      <c r="HG7" s="289">
        <v>13.6485</v>
      </c>
      <c r="HH7" s="289">
        <v>13.233700000000001</v>
      </c>
      <c r="HI7" s="289">
        <v>13.1812</v>
      </c>
      <c r="HJ7" s="289">
        <v>13.222300000000001</v>
      </c>
      <c r="HK7" s="289">
        <v>13.257899999999999</v>
      </c>
      <c r="HL7" s="289">
        <v>13.551299999999999</v>
      </c>
      <c r="HM7" s="289">
        <v>13.0825</v>
      </c>
      <c r="HN7" s="289">
        <v>12.9139</v>
      </c>
      <c r="HO7" s="185">
        <v>1</v>
      </c>
      <c r="HP7" s="1"/>
      <c r="HQ7" s="1"/>
      <c r="HR7" s="185">
        <v>1</v>
      </c>
      <c r="HS7" s="289">
        <v>10.904299999999999</v>
      </c>
      <c r="HT7" s="289">
        <v>10.837400000000001</v>
      </c>
      <c r="HU7" s="289">
        <v>10.6813</v>
      </c>
      <c r="HV7" s="289">
        <v>10.698700000000001</v>
      </c>
      <c r="HW7" s="289">
        <v>10.527200000000001</v>
      </c>
      <c r="HX7" s="289">
        <v>10.3066</v>
      </c>
      <c r="HY7" s="289">
        <v>10.3028</v>
      </c>
      <c r="HZ7" s="289">
        <v>10.034000000000001</v>
      </c>
      <c r="IA7" s="289">
        <v>10.1822</v>
      </c>
      <c r="IB7" s="289">
        <v>10.9397</v>
      </c>
      <c r="IC7" s="289">
        <v>12.834199999999999</v>
      </c>
      <c r="ID7" s="289">
        <v>13.2325</v>
      </c>
      <c r="IE7" s="185">
        <v>1</v>
      </c>
      <c r="IF7" s="1"/>
      <c r="IG7" s="1"/>
      <c r="IH7" s="185">
        <v>1</v>
      </c>
      <c r="II7" s="289">
        <v>10.875500000000001</v>
      </c>
      <c r="IJ7" s="289">
        <v>11.0548</v>
      </c>
      <c r="IK7" s="289">
        <v>11.1493</v>
      </c>
      <c r="IL7" s="289">
        <v>11.050700000000001</v>
      </c>
      <c r="IM7" s="289">
        <v>10.9305</v>
      </c>
      <c r="IN7" s="289">
        <v>10.818</v>
      </c>
      <c r="IO7" s="289">
        <v>10.7926</v>
      </c>
      <c r="IP7" s="289">
        <v>10.981199999999999</v>
      </c>
      <c r="IQ7" s="289">
        <v>11.0848</v>
      </c>
      <c r="IR7" s="289">
        <v>10.920299999999999</v>
      </c>
      <c r="IS7" s="289">
        <v>10.719799999999999</v>
      </c>
      <c r="IT7" s="289">
        <v>10.941700000000001</v>
      </c>
      <c r="IU7" s="185">
        <v>1</v>
      </c>
      <c r="IV7" s="1"/>
      <c r="IW7" s="1"/>
      <c r="IX7" s="185">
        <v>1</v>
      </c>
      <c r="IY7" s="289">
        <v>10.710900000000001</v>
      </c>
      <c r="IZ7" s="289">
        <v>10.441599999999999</v>
      </c>
      <c r="JA7" s="289">
        <v>10.466100000000001</v>
      </c>
      <c r="JB7" s="289">
        <v>10.922800000000001</v>
      </c>
      <c r="JC7" s="289">
        <v>11.1135</v>
      </c>
      <c r="JD7" s="289">
        <v>11.269299999999999</v>
      </c>
      <c r="JE7" s="289">
        <v>11.4009</v>
      </c>
      <c r="JF7" s="289">
        <v>10.8947</v>
      </c>
      <c r="JG7" s="289">
        <v>10.865</v>
      </c>
      <c r="JH7" s="289">
        <v>11.0502</v>
      </c>
      <c r="JI7" s="289">
        <v>10.773999999999999</v>
      </c>
      <c r="JJ7" s="289">
        <v>10.9983</v>
      </c>
      <c r="JK7" s="185">
        <v>1</v>
      </c>
      <c r="JL7" s="1"/>
      <c r="JM7" s="1"/>
      <c r="JN7" s="185">
        <v>1</v>
      </c>
      <c r="JO7" s="289">
        <v>11.218299999999999</v>
      </c>
      <c r="JP7" s="289">
        <v>11.2613</v>
      </c>
      <c r="JQ7" s="289">
        <v>11.108599999999999</v>
      </c>
      <c r="JR7" s="289">
        <v>11.2293</v>
      </c>
      <c r="JS7" s="289">
        <v>11.1159</v>
      </c>
      <c r="JT7" s="289">
        <v>10.869899999999999</v>
      </c>
      <c r="JU7" s="289">
        <v>10.7645</v>
      </c>
      <c r="JV7" s="289">
        <v>10.620100000000001</v>
      </c>
      <c r="JW7" s="289">
        <v>10.8377</v>
      </c>
      <c r="JX7" s="289">
        <v>10.8131</v>
      </c>
      <c r="JY7" s="289">
        <v>10.8447</v>
      </c>
      <c r="JZ7" s="289">
        <v>10.5702</v>
      </c>
      <c r="KA7" s="185">
        <v>1</v>
      </c>
      <c r="KB7" s="1"/>
      <c r="KC7" s="1"/>
      <c r="KD7" s="185">
        <v>1</v>
      </c>
      <c r="KE7" s="289">
        <v>11.1998</v>
      </c>
      <c r="KF7" s="289">
        <v>11.084300000000001</v>
      </c>
      <c r="KG7" s="289">
        <v>11.0715</v>
      </c>
      <c r="KH7" s="289">
        <v>11.2103</v>
      </c>
      <c r="KI7" s="289">
        <v>11.4068</v>
      </c>
      <c r="KJ7" s="289">
        <v>11.412800000000001</v>
      </c>
      <c r="KK7" s="289">
        <v>11.5297</v>
      </c>
      <c r="KL7" s="289">
        <v>11.430199999999999</v>
      </c>
      <c r="KM7" s="289">
        <v>11.4231</v>
      </c>
      <c r="KN7" s="289">
        <v>11.428800000000001</v>
      </c>
      <c r="KO7" s="289">
        <v>11.529299999999999</v>
      </c>
      <c r="KP7" s="289">
        <v>11.266</v>
      </c>
      <c r="KQ7" s="185">
        <v>1</v>
      </c>
      <c r="KR7" s="1"/>
      <c r="KS7" s="1"/>
      <c r="KT7" s="185">
        <v>1</v>
      </c>
      <c r="KU7" s="289">
        <v>10.3613</v>
      </c>
      <c r="KV7" s="289">
        <v>10.8636</v>
      </c>
      <c r="KW7" s="289">
        <v>11.033300000000001</v>
      </c>
      <c r="KX7" s="289">
        <v>10.6698</v>
      </c>
      <c r="KY7" s="289">
        <v>10.345000000000001</v>
      </c>
      <c r="KZ7" s="289">
        <v>10.320499999999999</v>
      </c>
      <c r="LA7" s="289">
        <v>10.4176</v>
      </c>
      <c r="LB7" s="289">
        <v>10.487</v>
      </c>
      <c r="LC7" s="289">
        <v>10.980600000000001</v>
      </c>
      <c r="LD7" s="289">
        <v>11.044600000000001</v>
      </c>
      <c r="LE7" s="289">
        <v>11.1058</v>
      </c>
      <c r="LF7" s="289">
        <v>11.3385</v>
      </c>
      <c r="LG7" s="185">
        <v>1</v>
      </c>
      <c r="LH7" s="1"/>
      <c r="LI7" s="1"/>
      <c r="LJ7" s="185">
        <v>1</v>
      </c>
      <c r="LK7" s="289">
        <v>9.1692</v>
      </c>
      <c r="LL7" s="289">
        <v>9.1974</v>
      </c>
      <c r="LM7" s="289">
        <v>9.0919000000000008</v>
      </c>
      <c r="LN7" s="289">
        <v>9.0243000000000002</v>
      </c>
      <c r="LO7" s="289">
        <v>9.3542000000000005</v>
      </c>
      <c r="LP7" s="289">
        <v>9.7148000000000003</v>
      </c>
      <c r="LQ7" s="289">
        <v>9.9614999999999991</v>
      </c>
      <c r="LR7" s="289">
        <v>9.7409999999999997</v>
      </c>
      <c r="LS7" s="289">
        <v>9.9192999999999998</v>
      </c>
      <c r="LT7" s="289">
        <v>10.1767</v>
      </c>
      <c r="LU7" s="289">
        <v>10.2263</v>
      </c>
      <c r="LV7" s="289">
        <v>10.119300000000001</v>
      </c>
      <c r="LW7" s="185">
        <v>1</v>
      </c>
      <c r="LX7" s="1"/>
      <c r="LY7" s="1"/>
      <c r="LZ7" s="185">
        <v>1</v>
      </c>
      <c r="MA7" s="289">
        <v>9.5997000000000003</v>
      </c>
      <c r="MB7" s="289">
        <v>9.6692</v>
      </c>
      <c r="MC7" s="289">
        <v>9.6827000000000005</v>
      </c>
      <c r="MD7" s="289">
        <v>9.5203000000000007</v>
      </c>
      <c r="ME7" s="289">
        <v>9.3048999999999999</v>
      </c>
      <c r="MF7" s="289">
        <v>9.1653000000000002</v>
      </c>
      <c r="MG7" s="289">
        <v>9.09</v>
      </c>
      <c r="MH7" s="289">
        <v>9.1471999999999998</v>
      </c>
      <c r="MI7" s="289">
        <v>9.1692</v>
      </c>
      <c r="MJ7" s="289">
        <v>9.5541999999999998</v>
      </c>
      <c r="MK7" s="289">
        <v>9.2682000000000002</v>
      </c>
      <c r="ML7" s="289">
        <v>9.2814999999999994</v>
      </c>
      <c r="MM7" s="185">
        <v>1</v>
      </c>
      <c r="MN7" s="1"/>
      <c r="MO7" s="1"/>
      <c r="MP7" s="185">
        <v>1</v>
      </c>
      <c r="MQ7" s="289">
        <v>9.5221999999999998</v>
      </c>
      <c r="MR7" s="289">
        <v>9.5726999999999993</v>
      </c>
      <c r="MS7" s="289">
        <v>9.4032999999999998</v>
      </c>
      <c r="MT7" s="289">
        <v>9.3015000000000008</v>
      </c>
      <c r="MU7" s="289">
        <v>9.4520999999999997</v>
      </c>
      <c r="MV7" s="289">
        <v>9.516</v>
      </c>
      <c r="MW7" s="289">
        <v>9.9002999999999997</v>
      </c>
      <c r="MX7" s="289">
        <v>9.3577999999999992</v>
      </c>
      <c r="MY7" s="289">
        <v>9.2108000000000008</v>
      </c>
      <c r="MZ7" s="289">
        <v>9.4290000000000003</v>
      </c>
      <c r="NA7" s="289">
        <v>9.5995000000000008</v>
      </c>
      <c r="NB7" s="289">
        <v>9.3972999999999995</v>
      </c>
      <c r="NC7" s="185">
        <v>1</v>
      </c>
      <c r="ND7" s="1"/>
      <c r="NE7" s="1"/>
      <c r="NF7" s="185">
        <v>1</v>
      </c>
      <c r="NG7" s="289">
        <v>9.9395000000000007</v>
      </c>
      <c r="NH7" s="289">
        <v>10.1752</v>
      </c>
      <c r="NI7" s="289">
        <v>9.9835999999999991</v>
      </c>
      <c r="NJ7" s="289">
        <v>9.5375999999999994</v>
      </c>
      <c r="NK7" s="289">
        <v>9.2622</v>
      </c>
      <c r="NL7" s="289">
        <v>9.7833000000000006</v>
      </c>
      <c r="NM7" s="289">
        <v>9.4164999999999992</v>
      </c>
      <c r="NN7" s="289">
        <v>9.4260000000000002</v>
      </c>
      <c r="NO7" s="289">
        <v>9.4094999999999995</v>
      </c>
      <c r="NP7" s="289">
        <v>9.3565000000000005</v>
      </c>
      <c r="NQ7" s="289">
        <v>9.6356999999999999</v>
      </c>
      <c r="NR7" s="289">
        <v>9.3736999999999995</v>
      </c>
      <c r="NS7" s="185">
        <v>1</v>
      </c>
      <c r="NT7" s="1"/>
      <c r="NU7" s="1"/>
      <c r="NV7" s="185">
        <v>1</v>
      </c>
      <c r="NW7" s="289">
        <v>8.0640000000000001</v>
      </c>
      <c r="NX7" s="289">
        <v>8.4640000000000004</v>
      </c>
      <c r="NY7" s="289">
        <v>8.5582999999999991</v>
      </c>
      <c r="NZ7" s="289">
        <v>8.5352999999999994</v>
      </c>
      <c r="OA7" s="289">
        <v>8.5029000000000003</v>
      </c>
      <c r="OB7" s="289">
        <v>8.7873000000000001</v>
      </c>
      <c r="OC7" s="289">
        <v>9.0228000000000002</v>
      </c>
      <c r="OD7" s="289">
        <v>8.9008000000000003</v>
      </c>
      <c r="OE7" s="289">
        <v>10.0275</v>
      </c>
      <c r="OF7" s="289">
        <v>10.1119</v>
      </c>
      <c r="OG7" s="289">
        <v>10.219799999999999</v>
      </c>
      <c r="OH7" s="289">
        <v>9.9675999999999991</v>
      </c>
      <c r="OI7" s="185">
        <v>1</v>
      </c>
      <c r="OJ7" s="1"/>
      <c r="OK7" s="1"/>
      <c r="OL7" s="185">
        <v>1</v>
      </c>
      <c r="OM7" s="289">
        <v>7.8556999999999997</v>
      </c>
      <c r="ON7" s="289">
        <v>7.8409000000000004</v>
      </c>
      <c r="OO7" s="289">
        <v>7.8357999999999999</v>
      </c>
      <c r="OP7" s="289">
        <v>7.9126000000000003</v>
      </c>
      <c r="OQ7" s="289">
        <v>7.9743000000000004</v>
      </c>
      <c r="OR7" s="289">
        <v>7.9081999999999999</v>
      </c>
      <c r="OS7" s="289">
        <v>7.9516999999999998</v>
      </c>
      <c r="OT7" s="289">
        <v>7.7657999999999996</v>
      </c>
      <c r="OU7" s="289">
        <v>7.7746000000000004</v>
      </c>
      <c r="OV7" s="289">
        <v>7.8158000000000003</v>
      </c>
      <c r="OW7" s="289">
        <v>8.3432999999999993</v>
      </c>
      <c r="OX7" s="289">
        <v>8.2164999999999999</v>
      </c>
      <c r="OY7" s="185">
        <v>1</v>
      </c>
      <c r="OZ7" s="1"/>
      <c r="PA7" s="1"/>
      <c r="PB7" s="185">
        <v>1</v>
      </c>
      <c r="PC7" s="289">
        <v>7.6841999999999997</v>
      </c>
      <c r="PD7" s="289">
        <v>7.3699000000000003</v>
      </c>
      <c r="PE7" s="289">
        <v>7.5572999999999997</v>
      </c>
      <c r="PF7" s="289">
        <v>7.5526</v>
      </c>
      <c r="PG7" s="289">
        <v>7.4526000000000003</v>
      </c>
      <c r="PH7" s="289">
        <v>7.4367000000000001</v>
      </c>
      <c r="PI7" s="289">
        <v>7.6322999999999999</v>
      </c>
      <c r="PJ7" s="289">
        <v>7.5712999999999999</v>
      </c>
      <c r="PK7" s="289">
        <v>7.5205000000000002</v>
      </c>
      <c r="PL7" s="289">
        <v>7.5382999999999996</v>
      </c>
      <c r="PM7" s="289">
        <v>7.9882999999999997</v>
      </c>
      <c r="PN7" s="289">
        <v>7.8857999999999997</v>
      </c>
      <c r="PO7" s="185">
        <v>1</v>
      </c>
      <c r="PP7" s="1"/>
      <c r="PQ7" s="1"/>
      <c r="PR7" s="185">
        <v>1</v>
      </c>
      <c r="PS7" s="289">
        <v>4.9400000000000004</v>
      </c>
      <c r="PT7" s="289">
        <v>6.5</v>
      </c>
      <c r="PU7" s="289">
        <v>6.0774999999999997</v>
      </c>
      <c r="PV7" s="289">
        <v>6.78</v>
      </c>
      <c r="PW7" s="289">
        <v>5.8982999999999999</v>
      </c>
      <c r="PX7" s="289">
        <v>6.26</v>
      </c>
      <c r="PY7" s="289">
        <v>6.2621000000000002</v>
      </c>
      <c r="PZ7" s="289">
        <v>6.1052</v>
      </c>
      <c r="QA7" s="289">
        <v>6.28</v>
      </c>
      <c r="QB7" s="289">
        <v>6.4042000000000003</v>
      </c>
      <c r="QC7" s="289">
        <v>6.9341999999999997</v>
      </c>
      <c r="QD7" s="289">
        <v>7.4775</v>
      </c>
      <c r="QE7" s="185">
        <v>1</v>
      </c>
      <c r="QF7" s="1"/>
      <c r="QG7" s="1"/>
      <c r="QH7" s="185">
        <v>1</v>
      </c>
      <c r="QI7" s="289">
        <v>3.1099000000000001</v>
      </c>
      <c r="QJ7" s="289">
        <v>3.1059000000000001</v>
      </c>
      <c r="QK7" s="289">
        <v>3.2113</v>
      </c>
      <c r="QL7" s="289">
        <v>3.35</v>
      </c>
      <c r="QM7" s="289">
        <v>3.2763</v>
      </c>
      <c r="QN7" s="289">
        <v>3.3275999999999999</v>
      </c>
      <c r="QO7" s="289">
        <v>3.3864999999999998</v>
      </c>
      <c r="QP7" s="289">
        <v>3.4005999999999998</v>
      </c>
      <c r="QQ7" s="289">
        <v>3.3815</v>
      </c>
      <c r="QR7" s="289">
        <v>3.3980000000000001</v>
      </c>
      <c r="QS7" s="289">
        <v>3.4359999999999999</v>
      </c>
      <c r="QT7" s="289">
        <v>3.4409999999999998</v>
      </c>
      <c r="QU7" s="185">
        <v>1</v>
      </c>
      <c r="QV7" s="1"/>
      <c r="QW7" s="1"/>
      <c r="QX7" s="185">
        <v>1</v>
      </c>
      <c r="QY7" s="289">
        <v>3.1230000000000002</v>
      </c>
      <c r="QZ7" s="289">
        <v>3.1030000000000002</v>
      </c>
      <c r="RA7" s="289">
        <v>3.0973999999999999</v>
      </c>
      <c r="RB7" s="289">
        <v>3.0937000000000001</v>
      </c>
      <c r="RC7" s="289">
        <v>3.1152000000000002</v>
      </c>
      <c r="RD7" s="289">
        <v>3.1223999999999998</v>
      </c>
      <c r="RE7" s="289">
        <v>3.1185999999999998</v>
      </c>
      <c r="RF7" s="289">
        <v>3.1204000000000001</v>
      </c>
      <c r="RG7" s="289">
        <v>3.1141999999999999</v>
      </c>
      <c r="RH7" s="289">
        <v>3.1177999999999999</v>
      </c>
      <c r="RI7" s="289">
        <v>3.1293000000000002</v>
      </c>
      <c r="RJ7" s="289">
        <v>3.1065</v>
      </c>
      <c r="RK7" s="185">
        <v>1</v>
      </c>
      <c r="RL7" s="1"/>
      <c r="RM7" s="1"/>
      <c r="RN7" s="185">
        <v>1</v>
      </c>
      <c r="RO7" s="289">
        <v>3.0739000000000001</v>
      </c>
      <c r="RP7" s="289">
        <v>3.0684999999999998</v>
      </c>
      <c r="RQ7" s="289">
        <v>3.0608</v>
      </c>
      <c r="RR7" s="289">
        <v>3.0682999999999998</v>
      </c>
      <c r="RS7" s="289">
        <v>3.0794000000000001</v>
      </c>
      <c r="RT7" s="289">
        <v>3.1168</v>
      </c>
      <c r="RU7" s="289">
        <v>3.1229</v>
      </c>
      <c r="RV7" s="289">
        <v>3.1113</v>
      </c>
      <c r="RW7" s="289">
        <v>3.081</v>
      </c>
      <c r="RX7" s="289">
        <v>3.1131000000000002</v>
      </c>
      <c r="RY7" s="289">
        <v>3.1309</v>
      </c>
      <c r="RZ7" s="289">
        <v>3.1149</v>
      </c>
      <c r="SA7" s="185">
        <v>1</v>
      </c>
      <c r="SB7" s="1"/>
      <c r="SC7" s="1"/>
      <c r="SD7" s="185">
        <v>1</v>
      </c>
      <c r="SE7" s="289">
        <v>2.9453999999999998</v>
      </c>
      <c r="SF7" s="289">
        <v>2.9586000000000001</v>
      </c>
      <c r="SG7" s="289">
        <v>2.9698000000000002</v>
      </c>
      <c r="SH7" s="289">
        <v>2.9813999999999998</v>
      </c>
      <c r="SI7" s="289">
        <v>2.9942000000000002</v>
      </c>
      <c r="SJ7" s="289">
        <v>3.0066000000000002</v>
      </c>
      <c r="SK7" s="289">
        <v>3.0177999999999998</v>
      </c>
      <c r="SL7" s="289">
        <v>3.0310000000000001</v>
      </c>
      <c r="SM7" s="289">
        <v>3.0430000000000001</v>
      </c>
      <c r="SN7" s="289">
        <v>3.0562</v>
      </c>
      <c r="SO7" s="289">
        <v>3.0686</v>
      </c>
      <c r="SP7" s="289">
        <v>3.0676899999999998</v>
      </c>
      <c r="SQ7" s="185">
        <v>1</v>
      </c>
      <c r="SR7" s="1"/>
      <c r="SS7" s="1"/>
      <c r="ST7" s="185">
        <v>1</v>
      </c>
      <c r="SU7" s="289">
        <v>2.641</v>
      </c>
      <c r="SV7" s="289">
        <v>2.6739999999999999</v>
      </c>
      <c r="SW7" s="289">
        <v>2.702</v>
      </c>
      <c r="SX7" s="289">
        <v>2.7320000000000002</v>
      </c>
      <c r="SY7" s="289">
        <v>2.7610000000000001</v>
      </c>
      <c r="SZ7" s="289">
        <v>2.7938000000000001</v>
      </c>
      <c r="TA7" s="289">
        <v>2.8170000000000002</v>
      </c>
      <c r="TB7" s="289">
        <v>2.8426</v>
      </c>
      <c r="TC7" s="289">
        <v>2.8673999999999999</v>
      </c>
      <c r="TD7" s="289">
        <v>2.8898000000000001</v>
      </c>
      <c r="TE7" s="289">
        <v>2.278</v>
      </c>
      <c r="TF7" s="289">
        <v>2.9338000000000002</v>
      </c>
      <c r="TG7" s="185">
        <v>1</v>
      </c>
      <c r="TH7" s="1"/>
      <c r="TI7" s="1"/>
      <c r="TJ7" s="185">
        <v>1</v>
      </c>
      <c r="TK7" s="289"/>
      <c r="TL7" s="289">
        <v>2.3090000000000002</v>
      </c>
      <c r="TM7" s="289">
        <v>2.3370000000000002</v>
      </c>
      <c r="TN7" s="289">
        <v>2.3679999999999999</v>
      </c>
      <c r="TO7" s="289">
        <v>2.3959999999999999</v>
      </c>
      <c r="TP7" s="289">
        <v>2.4289999999999998</v>
      </c>
      <c r="TQ7" s="289">
        <v>2.4590000000000001</v>
      </c>
      <c r="TR7" s="289">
        <v>2.488</v>
      </c>
      <c r="TS7" s="289">
        <v>2.5209999999999999</v>
      </c>
      <c r="TT7" s="289">
        <v>2.5499999999999998</v>
      </c>
      <c r="TU7" s="289">
        <v>2.5819999999999999</v>
      </c>
      <c r="TV7" s="289">
        <v>2.6120000000000001</v>
      </c>
      <c r="TW7" s="185">
        <v>1</v>
      </c>
    </row>
    <row r="8" spans="2:543" ht="20.100000000000001" customHeight="1">
      <c r="B8" s="64">
        <v>2</v>
      </c>
      <c r="C8" s="289">
        <v>20.515699999999999</v>
      </c>
      <c r="D8" s="289">
        <v>20.635200000000001</v>
      </c>
      <c r="E8" s="289">
        <v>20.425699999999999</v>
      </c>
      <c r="F8" s="289">
        <v>19.911200000000001</v>
      </c>
      <c r="G8" s="289">
        <v>20.567</v>
      </c>
      <c r="H8" s="289">
        <v>19.693999999999999</v>
      </c>
      <c r="I8" s="289">
        <v>20.133500000000002</v>
      </c>
      <c r="J8" s="289">
        <v>20.348500000000001</v>
      </c>
      <c r="K8" s="289">
        <v>20.0962</v>
      </c>
      <c r="L8" s="289">
        <v>20.192699999999999</v>
      </c>
      <c r="M8" s="289">
        <v>19.8245</v>
      </c>
      <c r="N8" s="289">
        <v>19.3965</v>
      </c>
      <c r="O8" s="64">
        <v>2</v>
      </c>
      <c r="R8" s="64">
        <v>2</v>
      </c>
      <c r="S8" s="289">
        <v>19.935199999999998</v>
      </c>
      <c r="T8" s="289">
        <v>20.2697</v>
      </c>
      <c r="U8" s="289">
        <v>20.939</v>
      </c>
      <c r="V8" s="289">
        <v>20.602499999999999</v>
      </c>
      <c r="W8" s="289">
        <v>20.097799999999999</v>
      </c>
      <c r="X8" s="289">
        <v>19.921299999999999</v>
      </c>
      <c r="Y8" s="289">
        <v>19.906199999999998</v>
      </c>
      <c r="Z8" s="289">
        <v>19.844799999999999</v>
      </c>
      <c r="AA8" s="289">
        <v>20.060500000000001</v>
      </c>
      <c r="AB8" s="289">
        <v>20.5623</v>
      </c>
      <c r="AC8" s="289">
        <v>20.529699999999998</v>
      </c>
      <c r="AD8" s="289">
        <v>21.4453</v>
      </c>
      <c r="AE8" s="64">
        <v>2</v>
      </c>
      <c r="AH8" s="185">
        <v>2</v>
      </c>
      <c r="AI8" s="289">
        <v>18.872699999999998</v>
      </c>
      <c r="AJ8" s="289">
        <v>18.785299999999999</v>
      </c>
      <c r="AK8" s="289">
        <v>19.397300000000001</v>
      </c>
      <c r="AL8" s="289">
        <v>23.4847</v>
      </c>
      <c r="AM8" s="289">
        <v>24.0002</v>
      </c>
      <c r="AN8" s="289">
        <v>22.177800000000001</v>
      </c>
      <c r="AO8" s="289">
        <v>23.089300000000001</v>
      </c>
      <c r="AP8" s="289">
        <v>22.172699999999999</v>
      </c>
      <c r="AQ8" s="289">
        <v>21.888000000000002</v>
      </c>
      <c r="AR8" s="289">
        <v>22.143799999999999</v>
      </c>
      <c r="AS8" s="289">
        <v>21.376999999999999</v>
      </c>
      <c r="AT8" s="289">
        <v>20.139800000000001</v>
      </c>
      <c r="AU8" s="185">
        <v>2</v>
      </c>
      <c r="AX8" s="185">
        <v>2</v>
      </c>
      <c r="AY8" s="289">
        <v>19.656600000000001</v>
      </c>
      <c r="AZ8" s="289">
        <v>19.038799999999998</v>
      </c>
      <c r="BA8" s="289">
        <v>19.2607</v>
      </c>
      <c r="BB8" s="289">
        <v>19.3779</v>
      </c>
      <c r="BC8" s="289">
        <v>19.012</v>
      </c>
      <c r="BD8" s="289">
        <v>19.068300000000001</v>
      </c>
      <c r="BE8" s="289">
        <v>19.2087</v>
      </c>
      <c r="BF8" s="289">
        <v>18.992899999999999</v>
      </c>
      <c r="BG8" s="289">
        <v>20.098800000000001</v>
      </c>
      <c r="BH8" s="289">
        <v>19.734500000000001</v>
      </c>
      <c r="BI8" s="289">
        <v>19.194800000000001</v>
      </c>
      <c r="BJ8" s="289">
        <v>19.6113</v>
      </c>
      <c r="BK8" s="185">
        <v>2</v>
      </c>
      <c r="BN8" s="185">
        <v>2</v>
      </c>
      <c r="BO8" s="289">
        <v>19.735399999999998</v>
      </c>
      <c r="BP8" s="289">
        <v>18.6069</v>
      </c>
      <c r="BQ8" s="290">
        <v>18.833100000000002</v>
      </c>
      <c r="BR8" s="289">
        <v>18.3445</v>
      </c>
      <c r="BS8" s="289">
        <v>18.684699999999999</v>
      </c>
      <c r="BT8" s="289">
        <v>19.975899999999999</v>
      </c>
      <c r="BU8" s="289">
        <v>19.863299999999999</v>
      </c>
      <c r="BV8" s="289">
        <v>18.645700000000001</v>
      </c>
      <c r="BW8" s="289">
        <v>19.125800000000002</v>
      </c>
      <c r="BX8" s="289">
        <v>18.723099999999999</v>
      </c>
      <c r="BY8" s="289">
        <v>20.317699999999999</v>
      </c>
      <c r="BZ8" s="289">
        <v>20.221699999999998</v>
      </c>
      <c r="CA8" s="185">
        <v>2</v>
      </c>
      <c r="CD8" s="185">
        <v>2</v>
      </c>
      <c r="CE8" s="289">
        <v>20.664000000000001</v>
      </c>
      <c r="CF8" s="289">
        <v>20.790800000000001</v>
      </c>
      <c r="CG8" s="289">
        <v>19.995699999999999</v>
      </c>
      <c r="CH8" s="289">
        <v>18.707899999999999</v>
      </c>
      <c r="CI8" s="289">
        <v>19.067</v>
      </c>
      <c r="CJ8" s="289">
        <v>18.690899999999999</v>
      </c>
      <c r="CK8" s="289">
        <v>18.027899999999999</v>
      </c>
      <c r="CL8" s="289">
        <v>17.864599999999999</v>
      </c>
      <c r="CM8" s="289">
        <v>17.814499999999999</v>
      </c>
      <c r="CN8" s="289">
        <v>18.197900000000001</v>
      </c>
      <c r="CO8" s="289">
        <v>19.1478</v>
      </c>
      <c r="CP8" s="289">
        <v>18.622900000000001</v>
      </c>
      <c r="CQ8" s="185">
        <v>2</v>
      </c>
      <c r="CT8" s="185">
        <v>2</v>
      </c>
      <c r="CU8" s="289">
        <v>17.3398</v>
      </c>
      <c r="CV8" s="289">
        <v>18.290600000000001</v>
      </c>
      <c r="CW8" s="289">
        <v>18.102</v>
      </c>
      <c r="CX8" s="289">
        <v>17.236999999999998</v>
      </c>
      <c r="CY8" s="289">
        <v>17.212499999999999</v>
      </c>
      <c r="CZ8" s="289">
        <v>18.411799999999999</v>
      </c>
      <c r="DA8" s="289">
        <v>18.464600000000001</v>
      </c>
      <c r="DB8" s="289">
        <v>18.7837</v>
      </c>
      <c r="DC8" s="289">
        <v>18.8611</v>
      </c>
      <c r="DD8" s="289">
        <v>19.4086</v>
      </c>
      <c r="DE8" s="289">
        <v>18.8887</v>
      </c>
      <c r="DF8" s="289">
        <v>20.515499999999999</v>
      </c>
      <c r="DG8" s="185">
        <v>2</v>
      </c>
      <c r="DJ8" s="185">
        <v>2</v>
      </c>
      <c r="DK8" s="289">
        <v>14.7348</v>
      </c>
      <c r="DL8" s="289">
        <v>14.8414</v>
      </c>
      <c r="DM8" s="289">
        <v>14.962400000000001</v>
      </c>
      <c r="DN8" s="289">
        <v>15.264699999999999</v>
      </c>
      <c r="DO8" s="289">
        <v>15.2043</v>
      </c>
      <c r="DP8" s="289">
        <v>15.381500000000001</v>
      </c>
      <c r="DQ8" s="289">
        <v>15.6854</v>
      </c>
      <c r="DR8" s="289">
        <v>16.213999999999999</v>
      </c>
      <c r="DS8" s="289">
        <v>16.782900000000001</v>
      </c>
      <c r="DT8" s="289">
        <v>16.9053</v>
      </c>
      <c r="DU8" s="289">
        <v>16.6219</v>
      </c>
      <c r="DV8" s="289">
        <v>16.585599999999999</v>
      </c>
      <c r="DW8" s="185">
        <v>2</v>
      </c>
      <c r="DZ8" s="185">
        <v>2</v>
      </c>
      <c r="EA8" s="289">
        <v>13.065200000000001</v>
      </c>
      <c r="EB8" s="289">
        <v>13.3207</v>
      </c>
      <c r="EC8" s="289">
        <v>13.3066</v>
      </c>
      <c r="ED8" s="289">
        <v>13.0549</v>
      </c>
      <c r="EE8" s="289">
        <v>13.103899999999999</v>
      </c>
      <c r="EF8" s="289">
        <v>12.8462</v>
      </c>
      <c r="EG8" s="289">
        <v>12.9712</v>
      </c>
      <c r="EH8" s="289">
        <v>13.226900000000001</v>
      </c>
      <c r="EI8" s="289">
        <v>13.0763</v>
      </c>
      <c r="EJ8" s="289">
        <v>13.433</v>
      </c>
      <c r="EK8" s="289">
        <v>13.4316</v>
      </c>
      <c r="EL8" s="289">
        <v>13.8965</v>
      </c>
      <c r="EM8" s="185">
        <v>2</v>
      </c>
      <c r="EP8" s="185">
        <v>2</v>
      </c>
      <c r="EQ8" s="289">
        <v>12.988</v>
      </c>
      <c r="ER8" s="289">
        <v>12.7094</v>
      </c>
      <c r="ES8" s="289">
        <v>12.779500000000001</v>
      </c>
      <c r="ET8" s="289">
        <v>12.3612</v>
      </c>
      <c r="EU8" s="289">
        <v>12.1326</v>
      </c>
      <c r="EV8" s="289">
        <v>12.7781</v>
      </c>
      <c r="EW8" s="289">
        <v>13.027900000000001</v>
      </c>
      <c r="EX8" s="289">
        <v>12.846399999999999</v>
      </c>
      <c r="EY8" s="289">
        <v>13.3104</v>
      </c>
      <c r="EZ8" s="289">
        <v>13.1747</v>
      </c>
      <c r="FA8" s="289">
        <v>13.0067</v>
      </c>
      <c r="FB8" s="289">
        <v>13.083600000000001</v>
      </c>
      <c r="FC8" s="185">
        <v>2</v>
      </c>
      <c r="FF8" s="185">
        <v>2</v>
      </c>
      <c r="FG8" s="289">
        <v>13.9787</v>
      </c>
      <c r="FH8" s="289">
        <v>13.0077</v>
      </c>
      <c r="FI8" s="289">
        <v>12.789099999999999</v>
      </c>
      <c r="FJ8" s="289">
        <v>12.8489</v>
      </c>
      <c r="FK8" s="289">
        <v>13.014099999999999</v>
      </c>
      <c r="FL8" s="289">
        <v>14.3047</v>
      </c>
      <c r="FM8" s="289">
        <v>13.653</v>
      </c>
      <c r="FN8" s="289">
        <v>13.283300000000001</v>
      </c>
      <c r="FO8" s="289">
        <v>13.417199999999999</v>
      </c>
      <c r="FP8" s="289">
        <v>12.8695</v>
      </c>
      <c r="FQ8" s="289">
        <v>13.091100000000001</v>
      </c>
      <c r="FR8" s="289">
        <v>12.9617</v>
      </c>
      <c r="FS8" s="185">
        <v>2</v>
      </c>
      <c r="FV8" s="185">
        <v>2</v>
      </c>
      <c r="FW8" s="289">
        <v>12.3817</v>
      </c>
      <c r="FX8" s="289">
        <v>12.151899999999999</v>
      </c>
      <c r="FY8" s="289">
        <v>12.106199999999999</v>
      </c>
      <c r="FZ8" s="289">
        <v>11.9084</v>
      </c>
      <c r="GA8" s="289">
        <v>11.5428</v>
      </c>
      <c r="GB8" s="289">
        <v>11.577999999999999</v>
      </c>
      <c r="GC8" s="289">
        <v>11.723000000000001</v>
      </c>
      <c r="GD8" s="289">
        <v>11.7425</v>
      </c>
      <c r="GE8" s="289">
        <v>12.348000000000001</v>
      </c>
      <c r="GF8" s="289">
        <v>13.4567</v>
      </c>
      <c r="GG8" s="289">
        <v>13.180199999999999</v>
      </c>
      <c r="GH8" s="289">
        <v>13.61</v>
      </c>
      <c r="GI8" s="185">
        <v>2</v>
      </c>
      <c r="GL8" s="185">
        <v>2</v>
      </c>
      <c r="GM8" s="289">
        <v>13.043699999999999</v>
      </c>
      <c r="GN8" s="289">
        <v>12.9975</v>
      </c>
      <c r="GO8" s="289">
        <v>12.776899999999999</v>
      </c>
      <c r="GP8" s="289">
        <v>12.4145</v>
      </c>
      <c r="GQ8" s="289">
        <v>12.246499999999999</v>
      </c>
      <c r="GR8" s="289">
        <v>12.9146</v>
      </c>
      <c r="GS8" s="289">
        <v>12.844099999999999</v>
      </c>
      <c r="GT8" s="289">
        <v>12.703799999999999</v>
      </c>
      <c r="GU8" s="289">
        <v>13.1676</v>
      </c>
      <c r="GV8" s="289">
        <v>12.5998</v>
      </c>
      <c r="GW8" s="289">
        <v>12.338699999999999</v>
      </c>
      <c r="GX8" s="289">
        <v>12.4664</v>
      </c>
      <c r="GY8" s="185">
        <v>2</v>
      </c>
      <c r="HB8" s="185">
        <v>2</v>
      </c>
      <c r="HC8" s="289">
        <v>13.7738</v>
      </c>
      <c r="HD8" s="289">
        <v>14.1975</v>
      </c>
      <c r="HE8" s="289">
        <v>14.9322</v>
      </c>
      <c r="HF8" s="289">
        <v>14.1517</v>
      </c>
      <c r="HG8" s="289">
        <v>13.6485</v>
      </c>
      <c r="HH8" s="289">
        <v>13.166700000000001</v>
      </c>
      <c r="HI8" s="289">
        <v>13.1722</v>
      </c>
      <c r="HJ8" s="289">
        <v>13.222300000000001</v>
      </c>
      <c r="HK8" s="289">
        <v>13.314</v>
      </c>
      <c r="HL8" s="289">
        <v>13.492800000000001</v>
      </c>
      <c r="HM8" s="289">
        <v>13.0825</v>
      </c>
      <c r="HN8" s="289">
        <v>12.915699999999999</v>
      </c>
      <c r="HO8" s="185">
        <v>2</v>
      </c>
      <c r="HP8" s="1"/>
      <c r="HQ8" s="1"/>
      <c r="HR8" s="185">
        <v>2</v>
      </c>
      <c r="HS8" s="289">
        <v>10.904299999999999</v>
      </c>
      <c r="HT8" s="289">
        <v>10.8262</v>
      </c>
      <c r="HU8" s="289">
        <v>10.6813</v>
      </c>
      <c r="HV8" s="289">
        <v>10.648199999999999</v>
      </c>
      <c r="HW8" s="289">
        <v>10.527200000000001</v>
      </c>
      <c r="HX8" s="289">
        <v>10.3066</v>
      </c>
      <c r="HY8" s="289">
        <v>10.306900000000001</v>
      </c>
      <c r="HZ8" s="289">
        <v>10.035299999999999</v>
      </c>
      <c r="IA8" s="289">
        <v>10.284700000000001</v>
      </c>
      <c r="IB8" s="289">
        <v>10.981400000000001</v>
      </c>
      <c r="IC8" s="289">
        <v>12.834199999999999</v>
      </c>
      <c r="ID8" s="289">
        <v>13.3225</v>
      </c>
      <c r="IE8" s="185">
        <v>2</v>
      </c>
      <c r="IF8" s="1"/>
      <c r="IG8" s="1"/>
      <c r="IH8" s="185">
        <v>2</v>
      </c>
      <c r="II8" s="289">
        <v>10.875500000000001</v>
      </c>
      <c r="IJ8" s="289">
        <v>11.0382</v>
      </c>
      <c r="IK8" s="289">
        <v>11.168200000000001</v>
      </c>
      <c r="IL8" s="289">
        <v>11.050700000000001</v>
      </c>
      <c r="IM8" s="289">
        <v>10.9305</v>
      </c>
      <c r="IN8" s="289">
        <v>10.7445</v>
      </c>
      <c r="IO8" s="289">
        <v>10.7926</v>
      </c>
      <c r="IP8" s="289">
        <v>10.927300000000001</v>
      </c>
      <c r="IQ8" s="289">
        <v>11.0848</v>
      </c>
      <c r="IR8" s="289">
        <v>10.9315</v>
      </c>
      <c r="IS8" s="289">
        <v>10.702299999999999</v>
      </c>
      <c r="IT8" s="289">
        <v>10.941700000000001</v>
      </c>
      <c r="IU8" s="185">
        <v>2</v>
      </c>
      <c r="IV8" s="1"/>
      <c r="IW8" s="1"/>
      <c r="IX8" s="185">
        <v>2</v>
      </c>
      <c r="IY8" s="289">
        <v>10.710900000000001</v>
      </c>
      <c r="IZ8" s="289">
        <v>10.443300000000001</v>
      </c>
      <c r="JA8" s="289">
        <v>10.456</v>
      </c>
      <c r="JB8" s="289">
        <v>10.922800000000001</v>
      </c>
      <c r="JC8" s="289">
        <v>11.1135</v>
      </c>
      <c r="JD8" s="289">
        <v>11.2966</v>
      </c>
      <c r="JE8" s="289">
        <v>11.4009</v>
      </c>
      <c r="JF8" s="289">
        <v>10.918100000000001</v>
      </c>
      <c r="JG8" s="289">
        <v>10.903700000000001</v>
      </c>
      <c r="JH8" s="289">
        <v>11.0502</v>
      </c>
      <c r="JI8" s="289">
        <v>10.763999999999999</v>
      </c>
      <c r="JJ8" s="289">
        <v>10.9983</v>
      </c>
      <c r="JK8" s="185">
        <v>2</v>
      </c>
      <c r="JL8" s="1"/>
      <c r="JM8" s="1"/>
      <c r="JN8" s="185">
        <v>2</v>
      </c>
      <c r="JO8" s="289">
        <v>11.218299999999999</v>
      </c>
      <c r="JP8" s="289">
        <v>11.2141</v>
      </c>
      <c r="JQ8" s="289">
        <v>11.096500000000001</v>
      </c>
      <c r="JR8" s="289">
        <v>11.1783</v>
      </c>
      <c r="JS8" s="289">
        <v>11.1159</v>
      </c>
      <c r="JT8" s="289">
        <v>10.916</v>
      </c>
      <c r="JU8" s="289">
        <v>10.7752</v>
      </c>
      <c r="JV8" s="289">
        <v>10.605700000000001</v>
      </c>
      <c r="JW8" s="289">
        <v>10.7995</v>
      </c>
      <c r="JX8" s="289">
        <v>10.8131</v>
      </c>
      <c r="JY8" s="289">
        <v>10.7857</v>
      </c>
      <c r="JZ8" s="289">
        <v>10.5793</v>
      </c>
      <c r="KA8" s="185">
        <v>2</v>
      </c>
      <c r="KB8" s="1"/>
      <c r="KC8" s="1"/>
      <c r="KD8" s="185">
        <v>2</v>
      </c>
      <c r="KE8" s="289">
        <v>11.1998</v>
      </c>
      <c r="KF8" s="289">
        <v>11.084300000000001</v>
      </c>
      <c r="KG8" s="289">
        <v>11.060600000000001</v>
      </c>
      <c r="KH8" s="289">
        <v>11.174799999999999</v>
      </c>
      <c r="KI8" s="289">
        <v>11.4068</v>
      </c>
      <c r="KJ8" s="289">
        <v>11.4147</v>
      </c>
      <c r="KK8" s="289">
        <v>11.5258</v>
      </c>
      <c r="KL8" s="289">
        <v>11.430199999999999</v>
      </c>
      <c r="KM8" s="289">
        <v>11.380699999999999</v>
      </c>
      <c r="KN8" s="289">
        <v>11.388400000000001</v>
      </c>
      <c r="KO8" s="289">
        <v>11.539</v>
      </c>
      <c r="KP8" s="289">
        <v>11.237299999999999</v>
      </c>
      <c r="KQ8" s="185">
        <v>2</v>
      </c>
      <c r="KR8" s="1"/>
      <c r="KS8" s="1"/>
      <c r="KT8" s="185">
        <v>2</v>
      </c>
      <c r="KU8" s="289">
        <v>10.3613</v>
      </c>
      <c r="KV8" s="289">
        <v>10.8636</v>
      </c>
      <c r="KW8" s="289">
        <v>11.033300000000001</v>
      </c>
      <c r="KX8" s="289">
        <v>10.7889</v>
      </c>
      <c r="KY8" s="289">
        <v>10.345000000000001</v>
      </c>
      <c r="KZ8" s="289">
        <v>10.320499999999999</v>
      </c>
      <c r="LA8" s="289">
        <v>10.436999999999999</v>
      </c>
      <c r="LB8" s="289">
        <v>10.5243</v>
      </c>
      <c r="LC8" s="289">
        <v>11.047499999999999</v>
      </c>
      <c r="LD8" s="289">
        <v>11.013299999999999</v>
      </c>
      <c r="LE8" s="289">
        <v>11.1058</v>
      </c>
      <c r="LF8" s="289">
        <v>11.3985</v>
      </c>
      <c r="LG8" s="185">
        <v>2</v>
      </c>
      <c r="LH8" s="1"/>
      <c r="LI8" s="1"/>
      <c r="LJ8" s="185">
        <v>2</v>
      </c>
      <c r="LK8" s="289">
        <v>9.1692</v>
      </c>
      <c r="LL8" s="289">
        <v>9.1463000000000001</v>
      </c>
      <c r="LM8" s="289">
        <v>9.1303000000000001</v>
      </c>
      <c r="LN8" s="289">
        <v>9.016</v>
      </c>
      <c r="LO8" s="289">
        <v>9.3542000000000005</v>
      </c>
      <c r="LP8" s="289">
        <v>9.7148000000000003</v>
      </c>
      <c r="LQ8" s="289">
        <v>9.9567999999999994</v>
      </c>
      <c r="LR8" s="289">
        <v>9.7860999999999994</v>
      </c>
      <c r="LS8" s="289">
        <v>9.9192999999999998</v>
      </c>
      <c r="LT8" s="289">
        <v>10.229900000000001</v>
      </c>
      <c r="LU8" s="289">
        <v>10.155200000000001</v>
      </c>
      <c r="LV8" s="289">
        <v>10.119300000000001</v>
      </c>
      <c r="LW8" s="185">
        <v>2</v>
      </c>
      <c r="LX8" s="1"/>
      <c r="LY8" s="1"/>
      <c r="LZ8" s="185">
        <v>2</v>
      </c>
      <c r="MA8" s="289">
        <v>9.5997000000000003</v>
      </c>
      <c r="MB8" s="289">
        <v>9.6828000000000003</v>
      </c>
      <c r="MC8" s="289">
        <v>9.7025000000000006</v>
      </c>
      <c r="MD8" s="289">
        <v>9.5203000000000007</v>
      </c>
      <c r="ME8" s="289">
        <v>9.3048999999999999</v>
      </c>
      <c r="MF8" s="289">
        <v>9.1835000000000004</v>
      </c>
      <c r="MG8" s="289">
        <v>9.09</v>
      </c>
      <c r="MH8" s="289">
        <v>9.1408000000000005</v>
      </c>
      <c r="MI8" s="289">
        <v>9.1692</v>
      </c>
      <c r="MJ8" s="289">
        <v>9.5098000000000003</v>
      </c>
      <c r="MK8" s="289">
        <v>9.2542000000000009</v>
      </c>
      <c r="ML8" s="289">
        <v>9.2814999999999994</v>
      </c>
      <c r="MM8" s="185">
        <v>2</v>
      </c>
      <c r="MN8" s="1"/>
      <c r="MO8" s="1"/>
      <c r="MP8" s="185">
        <v>2</v>
      </c>
      <c r="MQ8" s="289">
        <v>9.5221999999999998</v>
      </c>
      <c r="MR8" s="289">
        <v>9.6252999999999993</v>
      </c>
      <c r="MS8" s="289">
        <v>9.3661999999999992</v>
      </c>
      <c r="MT8" s="289">
        <v>9.3015000000000008</v>
      </c>
      <c r="MU8" s="289">
        <v>9.4520999999999997</v>
      </c>
      <c r="MV8" s="289">
        <v>9.5109999999999992</v>
      </c>
      <c r="MW8" s="289">
        <v>9.9002999999999997</v>
      </c>
      <c r="MX8" s="289">
        <v>9.3666999999999998</v>
      </c>
      <c r="MY8" s="289">
        <v>9.1995000000000005</v>
      </c>
      <c r="MZ8" s="289">
        <v>9.4290000000000003</v>
      </c>
      <c r="NA8" s="289">
        <v>9.5641999999999996</v>
      </c>
      <c r="NB8" s="289">
        <v>9.3972999999999995</v>
      </c>
      <c r="NC8" s="185">
        <v>2</v>
      </c>
      <c r="ND8" s="1"/>
      <c r="NE8" s="1"/>
      <c r="NF8" s="185">
        <v>2</v>
      </c>
      <c r="NG8" s="289">
        <v>9.9395000000000007</v>
      </c>
      <c r="NH8" s="289">
        <v>10.154299999999999</v>
      </c>
      <c r="NI8" s="289">
        <v>9.9441000000000006</v>
      </c>
      <c r="NJ8" s="289">
        <v>9.5375999999999994</v>
      </c>
      <c r="NK8" s="289">
        <v>9.2622</v>
      </c>
      <c r="NL8" s="289">
        <v>9.6872000000000007</v>
      </c>
      <c r="NM8" s="289">
        <v>9.4408999999999992</v>
      </c>
      <c r="NN8" s="289">
        <v>9.4260000000000002</v>
      </c>
      <c r="NO8" s="289">
        <v>9.4094999999999995</v>
      </c>
      <c r="NP8" s="289">
        <v>9.3483000000000001</v>
      </c>
      <c r="NQ8" s="289">
        <v>9.625</v>
      </c>
      <c r="NR8" s="289">
        <v>9.4320000000000004</v>
      </c>
      <c r="NS8" s="185">
        <v>2</v>
      </c>
      <c r="NT8" s="1"/>
      <c r="NU8" s="1"/>
      <c r="NV8" s="185">
        <v>2</v>
      </c>
      <c r="NW8" s="289">
        <v>8.0640000000000001</v>
      </c>
      <c r="NX8" s="289">
        <v>8.4640000000000004</v>
      </c>
      <c r="NY8" s="289">
        <v>8.5582999999999991</v>
      </c>
      <c r="NZ8" s="289">
        <v>8.5191999999999997</v>
      </c>
      <c r="OA8" s="289">
        <v>8.5029000000000003</v>
      </c>
      <c r="OB8" s="289">
        <v>8.8163999999999998</v>
      </c>
      <c r="OC8" s="289">
        <v>8.9852000000000007</v>
      </c>
      <c r="OD8" s="289">
        <v>8.9008000000000003</v>
      </c>
      <c r="OE8" s="289">
        <v>10.0275</v>
      </c>
      <c r="OF8" s="289">
        <v>10.193300000000001</v>
      </c>
      <c r="OG8" s="289">
        <v>10.219799999999999</v>
      </c>
      <c r="OH8" s="289">
        <v>9.9994999999999994</v>
      </c>
      <c r="OI8" s="185">
        <v>2</v>
      </c>
      <c r="OJ8" s="1"/>
      <c r="OK8" s="1"/>
      <c r="OL8" s="185">
        <v>2</v>
      </c>
      <c r="OM8" s="289">
        <v>7.8556999999999997</v>
      </c>
      <c r="ON8" s="289">
        <v>7.8409000000000004</v>
      </c>
      <c r="OO8" s="289">
        <v>7.8357999999999999</v>
      </c>
      <c r="OP8" s="289">
        <v>7.9313000000000002</v>
      </c>
      <c r="OQ8" s="289">
        <v>7.9743000000000004</v>
      </c>
      <c r="OR8" s="289">
        <v>7.9081999999999999</v>
      </c>
      <c r="OS8" s="289">
        <v>7.9504000000000001</v>
      </c>
      <c r="OT8" s="289">
        <v>7.8247999999999998</v>
      </c>
      <c r="OU8" s="289">
        <v>7.7746000000000004</v>
      </c>
      <c r="OV8" s="289">
        <v>7.7706999999999997</v>
      </c>
      <c r="OW8" s="289">
        <v>8.3432999999999993</v>
      </c>
      <c r="OX8" s="289">
        <v>8.2134999999999998</v>
      </c>
      <c r="OY8" s="185">
        <v>2</v>
      </c>
      <c r="OZ8" s="1"/>
      <c r="PA8" s="1"/>
      <c r="PB8" s="185">
        <v>2</v>
      </c>
      <c r="PC8" s="289">
        <v>7.6841999999999997</v>
      </c>
      <c r="PD8" s="289">
        <v>7.4211999999999998</v>
      </c>
      <c r="PE8" s="289">
        <v>7.6295999999999999</v>
      </c>
      <c r="PF8" s="289">
        <v>7.5374999999999996</v>
      </c>
      <c r="PG8" s="289">
        <v>7.4526000000000003</v>
      </c>
      <c r="PH8" s="289">
        <v>7.4367000000000001</v>
      </c>
      <c r="PI8" s="289">
        <v>7.5814000000000004</v>
      </c>
      <c r="PJ8" s="289">
        <v>7.5892999999999997</v>
      </c>
      <c r="PK8" s="289">
        <v>7.5205000000000002</v>
      </c>
      <c r="PL8" s="289">
        <v>7.5518999999999998</v>
      </c>
      <c r="PM8" s="289">
        <v>8.0478000000000005</v>
      </c>
      <c r="PN8" s="289">
        <v>7.8857999999999997</v>
      </c>
      <c r="PO8" s="185">
        <v>2</v>
      </c>
      <c r="PP8" s="1"/>
      <c r="PQ8" s="1"/>
      <c r="PR8" s="185">
        <v>2</v>
      </c>
      <c r="PS8" s="289">
        <v>4.9400000000000004</v>
      </c>
      <c r="PT8" s="289">
        <v>5.9</v>
      </c>
      <c r="PU8" s="289">
        <v>6.0049999999999999</v>
      </c>
      <c r="PV8" s="289">
        <v>6.78</v>
      </c>
      <c r="PW8" s="289">
        <v>5.8982999999999999</v>
      </c>
      <c r="PX8" s="289">
        <v>6.1807999999999996</v>
      </c>
      <c r="PY8" s="289">
        <v>6.2621000000000002</v>
      </c>
      <c r="PZ8" s="289">
        <v>6.1142000000000003</v>
      </c>
      <c r="QA8" s="289">
        <v>6.28</v>
      </c>
      <c r="QB8" s="289">
        <v>6.4042000000000003</v>
      </c>
      <c r="QC8" s="289">
        <v>7.1471</v>
      </c>
      <c r="QD8" s="289">
        <v>7.5467000000000004</v>
      </c>
      <c r="QE8" s="185">
        <v>2</v>
      </c>
      <c r="QF8" s="1"/>
      <c r="QG8" s="1"/>
      <c r="QH8" s="185">
        <v>2</v>
      </c>
      <c r="QI8" s="289">
        <v>3.1099000000000001</v>
      </c>
      <c r="QJ8" s="289">
        <v>3.1053999999999999</v>
      </c>
      <c r="QK8" s="289">
        <v>3.1932999999999998</v>
      </c>
      <c r="QL8" s="289">
        <v>3.35</v>
      </c>
      <c r="QM8" s="289">
        <v>3.2763</v>
      </c>
      <c r="QN8" s="289">
        <v>3.3214000000000001</v>
      </c>
      <c r="QO8" s="289">
        <v>3.3938000000000001</v>
      </c>
      <c r="QP8" s="289">
        <v>3.4005999999999998</v>
      </c>
      <c r="QQ8" s="289">
        <v>3.3902999999999999</v>
      </c>
      <c r="QR8" s="289">
        <v>3.3980000000000001</v>
      </c>
      <c r="QS8" s="289">
        <v>3.4359999999999999</v>
      </c>
      <c r="QT8" s="289">
        <v>3.4409999999999998</v>
      </c>
      <c r="QU8" s="185">
        <v>2</v>
      </c>
      <c r="QV8" s="1"/>
      <c r="QW8" s="1"/>
      <c r="QX8" s="185">
        <v>2</v>
      </c>
      <c r="QY8" s="289">
        <v>3.1230000000000002</v>
      </c>
      <c r="QZ8" s="289">
        <v>3.1139999999999999</v>
      </c>
      <c r="RA8" s="289">
        <v>3.0987</v>
      </c>
      <c r="RB8" s="289">
        <v>3.0937000000000001</v>
      </c>
      <c r="RC8" s="289">
        <v>3.1152000000000002</v>
      </c>
      <c r="RD8" s="289">
        <v>3.1190000000000002</v>
      </c>
      <c r="RE8" s="289">
        <v>3.1179999999999999</v>
      </c>
      <c r="RF8" s="289">
        <v>3.1204000000000001</v>
      </c>
      <c r="RG8" s="289">
        <v>3.1141999999999999</v>
      </c>
      <c r="RH8" s="289">
        <v>3.1179000000000001</v>
      </c>
      <c r="RI8" s="289">
        <v>3.1293000000000002</v>
      </c>
      <c r="RJ8" s="289">
        <v>3.1042000000000001</v>
      </c>
      <c r="RK8" s="185">
        <v>2</v>
      </c>
      <c r="RL8" s="1"/>
      <c r="RM8" s="1"/>
      <c r="RN8" s="185">
        <v>2</v>
      </c>
      <c r="RO8" s="289">
        <v>3.0739000000000001</v>
      </c>
      <c r="RP8" s="289">
        <v>3.0684999999999998</v>
      </c>
      <c r="RQ8" s="289">
        <v>3.0608</v>
      </c>
      <c r="RR8" s="289">
        <v>3.0619999999999998</v>
      </c>
      <c r="RS8" s="289">
        <v>3.0794000000000001</v>
      </c>
      <c r="RT8" s="289">
        <v>3.1150000000000002</v>
      </c>
      <c r="RU8" s="289">
        <v>3.1230000000000002</v>
      </c>
      <c r="RV8" s="289">
        <v>3.1113</v>
      </c>
      <c r="RW8" s="289">
        <v>3.0764999999999998</v>
      </c>
      <c r="RX8" s="289">
        <v>3.109</v>
      </c>
      <c r="RY8" s="289">
        <v>3.1309</v>
      </c>
      <c r="RZ8" s="289">
        <v>3.1141000000000001</v>
      </c>
      <c r="SA8" s="185">
        <v>2</v>
      </c>
      <c r="SB8" s="1"/>
      <c r="SC8" s="1"/>
      <c r="SD8" s="185">
        <v>2</v>
      </c>
      <c r="SE8" s="289">
        <v>2.9466000000000001</v>
      </c>
      <c r="SF8" s="289">
        <v>2.9590000000000001</v>
      </c>
      <c r="SG8" s="289">
        <v>2.9702000000000002</v>
      </c>
      <c r="SH8" s="289">
        <v>2.9817999999999998</v>
      </c>
      <c r="SI8" s="289">
        <v>2.9946000000000002</v>
      </c>
      <c r="SJ8" s="289">
        <v>3.0066000000000002</v>
      </c>
      <c r="SK8" s="289">
        <v>3.0182000000000002</v>
      </c>
      <c r="SL8" s="289">
        <v>3.0314000000000001</v>
      </c>
      <c r="SM8" s="289">
        <v>3.0430000000000001</v>
      </c>
      <c r="SN8" s="289">
        <v>3.0566</v>
      </c>
      <c r="SO8" s="289">
        <v>3.069</v>
      </c>
      <c r="SP8" s="289">
        <v>3.0676899999999998</v>
      </c>
      <c r="SQ8" s="185">
        <v>2</v>
      </c>
      <c r="SR8" s="1"/>
      <c r="SS8" s="1"/>
      <c r="ST8" s="185">
        <v>2</v>
      </c>
      <c r="SU8" s="289">
        <v>2.6440000000000001</v>
      </c>
      <c r="SV8" s="289">
        <v>2.6749999999999998</v>
      </c>
      <c r="SW8" s="289">
        <v>2.7029999999999998</v>
      </c>
      <c r="SX8" s="289">
        <v>2.7320000000000002</v>
      </c>
      <c r="SY8" s="289">
        <v>2.762</v>
      </c>
      <c r="SZ8" s="289">
        <v>2.7946</v>
      </c>
      <c r="TA8" s="289">
        <v>2.8170000000000002</v>
      </c>
      <c r="TB8" s="289">
        <v>2.8433999999999999</v>
      </c>
      <c r="TC8" s="289">
        <v>2.8673999999999999</v>
      </c>
      <c r="TD8" s="289">
        <v>2.8906000000000001</v>
      </c>
      <c r="TE8" s="289">
        <v>2.9169999999999998</v>
      </c>
      <c r="TF8" s="289">
        <v>2.9338000000000002</v>
      </c>
      <c r="TG8" s="185">
        <v>2</v>
      </c>
      <c r="TH8" s="1"/>
      <c r="TI8" s="1"/>
      <c r="TJ8" s="185">
        <v>2</v>
      </c>
      <c r="TK8" s="289">
        <v>2.278</v>
      </c>
      <c r="TL8" s="289">
        <v>2.31</v>
      </c>
      <c r="TM8" s="289">
        <v>2.3380000000000001</v>
      </c>
      <c r="TN8" s="289">
        <v>2.3679999999999999</v>
      </c>
      <c r="TO8" s="289">
        <v>2.3969999999999998</v>
      </c>
      <c r="TP8" s="289">
        <v>2.4300000000000002</v>
      </c>
      <c r="TQ8" s="289">
        <v>2.4590000000000001</v>
      </c>
      <c r="TR8" s="289">
        <v>2.4910000000000001</v>
      </c>
      <c r="TS8" s="289">
        <v>2.5219999999999998</v>
      </c>
      <c r="TT8" s="289">
        <v>2.5499999999999998</v>
      </c>
      <c r="TU8" s="289">
        <v>2.5830000000000002</v>
      </c>
      <c r="TV8" s="289">
        <v>2.613</v>
      </c>
      <c r="TW8" s="185">
        <v>2</v>
      </c>
    </row>
    <row r="9" spans="2:543" ht="20.100000000000001" customHeight="1">
      <c r="B9" s="64">
        <v>3</v>
      </c>
      <c r="C9" s="289">
        <v>20.515699999999999</v>
      </c>
      <c r="D9" s="289">
        <v>20.58</v>
      </c>
      <c r="E9" s="289">
        <v>20.527200000000001</v>
      </c>
      <c r="F9" s="289">
        <v>19.911200000000001</v>
      </c>
      <c r="G9" s="289">
        <v>20.372800000000002</v>
      </c>
      <c r="H9" s="289">
        <v>19.738800000000001</v>
      </c>
      <c r="I9" s="289">
        <v>20.133500000000002</v>
      </c>
      <c r="J9" s="289">
        <v>20.263300000000001</v>
      </c>
      <c r="K9" s="289">
        <v>20.247299999999999</v>
      </c>
      <c r="L9" s="289">
        <v>20.192699999999999</v>
      </c>
      <c r="M9" s="289">
        <v>19.8245</v>
      </c>
      <c r="N9" s="289">
        <v>19.1433</v>
      </c>
      <c r="O9" s="64">
        <v>3</v>
      </c>
      <c r="R9" s="64">
        <v>3</v>
      </c>
      <c r="S9" s="289">
        <v>19.935199999999998</v>
      </c>
      <c r="T9" s="289">
        <v>20.224799999999998</v>
      </c>
      <c r="U9" s="289">
        <v>20.612300000000001</v>
      </c>
      <c r="V9" s="289">
        <v>20.602499999999999</v>
      </c>
      <c r="W9" s="289">
        <v>20.097799999999999</v>
      </c>
      <c r="X9" s="289">
        <v>19.892700000000001</v>
      </c>
      <c r="Y9" s="289">
        <v>20.036799999999999</v>
      </c>
      <c r="Z9" s="289">
        <v>19.845500000000001</v>
      </c>
      <c r="AA9" s="289">
        <v>19.961500000000001</v>
      </c>
      <c r="AB9" s="289">
        <v>20.5623</v>
      </c>
      <c r="AC9" s="289">
        <v>20.529699999999998</v>
      </c>
      <c r="AD9" s="289">
        <v>21.271000000000001</v>
      </c>
      <c r="AE9" s="64">
        <v>3</v>
      </c>
      <c r="AH9" s="185">
        <v>3</v>
      </c>
      <c r="AI9" s="289">
        <v>18.8642</v>
      </c>
      <c r="AJ9" s="289">
        <v>18.785299999999999</v>
      </c>
      <c r="AK9" s="289">
        <v>19.776</v>
      </c>
      <c r="AL9" s="289">
        <v>24.491800000000001</v>
      </c>
      <c r="AM9" s="289">
        <v>24.0002</v>
      </c>
      <c r="AN9" s="289">
        <v>22.0168</v>
      </c>
      <c r="AO9" s="289">
        <v>22.8078</v>
      </c>
      <c r="AP9" s="289">
        <v>22.172699999999999</v>
      </c>
      <c r="AQ9" s="289">
        <v>21.744499999999999</v>
      </c>
      <c r="AR9" s="289">
        <v>21.956199999999999</v>
      </c>
      <c r="AS9" s="289">
        <v>21.376999999999999</v>
      </c>
      <c r="AT9" s="289">
        <v>20.050799999999999</v>
      </c>
      <c r="AU9" s="185">
        <v>3</v>
      </c>
      <c r="AX9" s="185">
        <v>3</v>
      </c>
      <c r="AY9" s="289">
        <v>19.651199999999999</v>
      </c>
      <c r="AZ9" s="289">
        <v>19.038799999999998</v>
      </c>
      <c r="BA9" s="289">
        <v>19.2607</v>
      </c>
      <c r="BB9" s="289">
        <v>19.216899999999999</v>
      </c>
      <c r="BC9" s="289">
        <v>19.009899999999998</v>
      </c>
      <c r="BD9" s="289">
        <v>19.068300000000001</v>
      </c>
      <c r="BE9" s="289">
        <v>19.076000000000001</v>
      </c>
      <c r="BF9" s="289">
        <v>19.162700000000001</v>
      </c>
      <c r="BG9" s="289">
        <v>20.069600000000001</v>
      </c>
      <c r="BH9" s="289">
        <v>19.779199999999999</v>
      </c>
      <c r="BI9" s="289">
        <v>19.194800000000001</v>
      </c>
      <c r="BJ9" s="289">
        <v>19.5352</v>
      </c>
      <c r="BK9" s="185">
        <v>3</v>
      </c>
      <c r="BN9" s="185">
        <v>3</v>
      </c>
      <c r="BO9" s="289">
        <v>19.6629</v>
      </c>
      <c r="BP9" s="289">
        <v>18.400400000000001</v>
      </c>
      <c r="BQ9" s="290">
        <v>18.861000000000001</v>
      </c>
      <c r="BR9" s="289">
        <v>18.270900000000001</v>
      </c>
      <c r="BS9" s="289">
        <v>18.787800000000001</v>
      </c>
      <c r="BT9" s="289">
        <v>19.975899999999999</v>
      </c>
      <c r="BU9" s="289">
        <v>19.691199999999998</v>
      </c>
      <c r="BV9" s="289">
        <v>18.5899</v>
      </c>
      <c r="BW9" s="289">
        <v>19.125800000000002</v>
      </c>
      <c r="BX9" s="289">
        <v>18.653099999999998</v>
      </c>
      <c r="BY9" s="289">
        <v>20.317699999999999</v>
      </c>
      <c r="BZ9" s="289">
        <v>20.221699999999998</v>
      </c>
      <c r="CA9" s="185">
        <v>3</v>
      </c>
      <c r="CD9" s="185">
        <v>3</v>
      </c>
      <c r="CE9" s="289">
        <v>20.619399999999999</v>
      </c>
      <c r="CF9" s="289">
        <v>20.775200000000002</v>
      </c>
      <c r="CG9" s="289">
        <v>19.900700000000001</v>
      </c>
      <c r="CH9" s="289">
        <v>18.707899999999999</v>
      </c>
      <c r="CI9" s="289">
        <v>18.959399999999999</v>
      </c>
      <c r="CJ9" s="289">
        <v>18.594100000000001</v>
      </c>
      <c r="CK9" s="289">
        <v>18.027899999999999</v>
      </c>
      <c r="CL9" s="289">
        <v>17.8108</v>
      </c>
      <c r="CM9" s="289">
        <v>17.814499999999999</v>
      </c>
      <c r="CN9" s="289">
        <v>18.158999999999999</v>
      </c>
      <c r="CO9" s="289">
        <v>19.1478</v>
      </c>
      <c r="CP9" s="289">
        <v>18.622900000000001</v>
      </c>
      <c r="CQ9" s="185">
        <v>3</v>
      </c>
      <c r="CT9" s="185">
        <v>3</v>
      </c>
      <c r="CU9" s="289">
        <v>17.3398</v>
      </c>
      <c r="CV9" s="289">
        <v>18.1935</v>
      </c>
      <c r="CW9" s="289">
        <v>17.943200000000001</v>
      </c>
      <c r="CX9" s="289">
        <v>17.236999999999998</v>
      </c>
      <c r="CY9" s="289">
        <v>17.1767</v>
      </c>
      <c r="CZ9" s="289">
        <v>18.529900000000001</v>
      </c>
      <c r="DA9" s="289">
        <v>18.464600000000001</v>
      </c>
      <c r="DB9" s="289">
        <v>18.8504</v>
      </c>
      <c r="DC9" s="289">
        <v>18.8523</v>
      </c>
      <c r="DD9" s="289">
        <v>19.4086</v>
      </c>
      <c r="DE9" s="289">
        <v>18.8887</v>
      </c>
      <c r="DF9" s="289">
        <v>20.748799999999999</v>
      </c>
      <c r="DG9" s="185">
        <v>3</v>
      </c>
      <c r="DJ9" s="185">
        <v>3</v>
      </c>
      <c r="DK9" s="289">
        <v>14.741400000000001</v>
      </c>
      <c r="DL9" s="289">
        <v>14.8414</v>
      </c>
      <c r="DM9" s="289">
        <v>14.955299999999999</v>
      </c>
      <c r="DN9" s="289">
        <v>15.264699999999999</v>
      </c>
      <c r="DO9" s="289">
        <v>15.2043</v>
      </c>
      <c r="DP9" s="289">
        <v>15.484500000000001</v>
      </c>
      <c r="DQ9" s="289">
        <v>15.7829</v>
      </c>
      <c r="DR9" s="289">
        <v>16.4512</v>
      </c>
      <c r="DS9" s="289">
        <v>16.869199999999999</v>
      </c>
      <c r="DT9" s="289">
        <v>16.9053</v>
      </c>
      <c r="DU9" s="289">
        <v>16.6219</v>
      </c>
      <c r="DV9" s="289">
        <v>16.510400000000001</v>
      </c>
      <c r="DW9" s="185">
        <v>3</v>
      </c>
      <c r="DZ9" s="185">
        <v>3</v>
      </c>
      <c r="EA9" s="289">
        <v>13.084300000000001</v>
      </c>
      <c r="EB9" s="289">
        <v>13.3207</v>
      </c>
      <c r="EC9" s="289">
        <v>13.3066</v>
      </c>
      <c r="ED9" s="289">
        <v>13.0313</v>
      </c>
      <c r="EE9" s="289">
        <v>13.0901</v>
      </c>
      <c r="EF9" s="289">
        <v>12.860900000000001</v>
      </c>
      <c r="EG9" s="289">
        <v>12.9605</v>
      </c>
      <c r="EH9" s="289">
        <v>13.226900000000001</v>
      </c>
      <c r="EI9" s="289">
        <v>13.083299999999999</v>
      </c>
      <c r="EJ9" s="289">
        <v>13.445499999999999</v>
      </c>
      <c r="EK9" s="289">
        <v>13.4316</v>
      </c>
      <c r="EL9" s="289">
        <v>13.9262</v>
      </c>
      <c r="EM9" s="185">
        <v>3</v>
      </c>
      <c r="EP9" s="185">
        <v>3</v>
      </c>
      <c r="EQ9" s="289">
        <v>12.9658</v>
      </c>
      <c r="ER9" s="289">
        <v>12.7094</v>
      </c>
      <c r="ES9" s="289">
        <v>12.779500000000001</v>
      </c>
      <c r="ET9" s="289">
        <v>12.3438</v>
      </c>
      <c r="EU9" s="289">
        <v>12.1456</v>
      </c>
      <c r="EV9" s="289">
        <v>12.7781</v>
      </c>
      <c r="EW9" s="289">
        <v>12.9131</v>
      </c>
      <c r="EX9" s="289">
        <v>12.806800000000001</v>
      </c>
      <c r="EY9" s="289">
        <v>13.3415</v>
      </c>
      <c r="EZ9" s="289">
        <v>13.1294</v>
      </c>
      <c r="FA9" s="289">
        <v>13.0067</v>
      </c>
      <c r="FB9" s="289">
        <v>13.110099999999999</v>
      </c>
      <c r="FC9" s="185">
        <v>3</v>
      </c>
      <c r="FF9" s="185">
        <v>3</v>
      </c>
      <c r="FG9" s="289">
        <v>13.9476</v>
      </c>
      <c r="FH9" s="289">
        <v>12.89</v>
      </c>
      <c r="FI9" s="289">
        <v>12.776400000000001</v>
      </c>
      <c r="FJ9" s="289">
        <v>12.8093</v>
      </c>
      <c r="FK9" s="289">
        <v>12.994199999999999</v>
      </c>
      <c r="FL9" s="289">
        <v>14.3047</v>
      </c>
      <c r="FM9" s="289">
        <v>13.4084</v>
      </c>
      <c r="FN9" s="289">
        <v>13.2867</v>
      </c>
      <c r="FO9" s="289">
        <v>13.417199999999999</v>
      </c>
      <c r="FP9" s="289">
        <v>12.8178</v>
      </c>
      <c r="FQ9" s="289">
        <v>13.091100000000001</v>
      </c>
      <c r="FR9" s="289">
        <v>12.9617</v>
      </c>
      <c r="FS9" s="185">
        <v>3</v>
      </c>
      <c r="FV9" s="185">
        <v>3</v>
      </c>
      <c r="FW9" s="289">
        <v>12.3817</v>
      </c>
      <c r="FX9" s="289">
        <v>12.016999999999999</v>
      </c>
      <c r="FY9" s="289">
        <v>12.0929</v>
      </c>
      <c r="FZ9" s="289">
        <v>11.9084</v>
      </c>
      <c r="GA9" s="289">
        <v>11.527799999999999</v>
      </c>
      <c r="GB9" s="289">
        <v>11.627700000000001</v>
      </c>
      <c r="GC9" s="289">
        <v>11.723000000000001</v>
      </c>
      <c r="GD9" s="289">
        <v>11.7514</v>
      </c>
      <c r="GE9" s="289">
        <v>12.2616</v>
      </c>
      <c r="GF9" s="289">
        <v>13.4567</v>
      </c>
      <c r="GG9" s="289">
        <v>13.180199999999999</v>
      </c>
      <c r="GH9" s="289">
        <v>13.589399999999999</v>
      </c>
      <c r="GI9" s="185">
        <v>3</v>
      </c>
      <c r="GL9" s="185">
        <v>3</v>
      </c>
      <c r="GM9" s="289">
        <v>13.043699999999999</v>
      </c>
      <c r="GN9" s="289">
        <v>13.0098</v>
      </c>
      <c r="GO9" s="289">
        <v>12.7454</v>
      </c>
      <c r="GP9" s="289">
        <v>12.4145</v>
      </c>
      <c r="GQ9" s="289">
        <v>12.246499999999999</v>
      </c>
      <c r="GR9" s="289">
        <v>12.901199999999999</v>
      </c>
      <c r="GS9" s="289">
        <v>13.032500000000001</v>
      </c>
      <c r="GT9" s="289">
        <v>12.6455</v>
      </c>
      <c r="GU9" s="289">
        <v>13.053800000000001</v>
      </c>
      <c r="GV9" s="289">
        <v>12.5998</v>
      </c>
      <c r="GW9" s="289">
        <v>12.338699999999999</v>
      </c>
      <c r="GX9" s="289">
        <v>12.396699999999999</v>
      </c>
      <c r="GY9" s="185">
        <v>3</v>
      </c>
      <c r="HB9" s="185">
        <v>3</v>
      </c>
      <c r="HC9" s="289">
        <v>13.8325</v>
      </c>
      <c r="HD9" s="289">
        <v>14.1975</v>
      </c>
      <c r="HE9" s="289">
        <v>15.069800000000001</v>
      </c>
      <c r="HF9" s="289">
        <v>13.9108</v>
      </c>
      <c r="HG9" s="289">
        <v>13.6485</v>
      </c>
      <c r="HH9" s="289">
        <v>13.154999999999999</v>
      </c>
      <c r="HI9" s="289">
        <v>13.097200000000001</v>
      </c>
      <c r="HJ9" s="289">
        <v>13.222300000000001</v>
      </c>
      <c r="HK9" s="289">
        <v>13.5246</v>
      </c>
      <c r="HL9" s="289">
        <v>13.6242</v>
      </c>
      <c r="HM9" s="289">
        <v>13.0825</v>
      </c>
      <c r="HN9" s="289">
        <v>12.855700000000001</v>
      </c>
      <c r="HO9" s="185">
        <v>3</v>
      </c>
      <c r="HP9" s="1"/>
      <c r="HQ9" s="1"/>
      <c r="HR9" s="185">
        <v>3</v>
      </c>
      <c r="HS9" s="289">
        <v>10.915699999999999</v>
      </c>
      <c r="HT9" s="289">
        <v>10.8262</v>
      </c>
      <c r="HU9" s="289">
        <v>10.6813</v>
      </c>
      <c r="HV9" s="289">
        <v>10.5985</v>
      </c>
      <c r="HW9" s="289">
        <v>10.509499999999999</v>
      </c>
      <c r="HX9" s="289">
        <v>10.3306</v>
      </c>
      <c r="HY9" s="289">
        <v>10.3908</v>
      </c>
      <c r="HZ9" s="289">
        <v>10.035299999999999</v>
      </c>
      <c r="IA9" s="289">
        <v>10.3423</v>
      </c>
      <c r="IB9" s="289">
        <v>10.9811</v>
      </c>
      <c r="IC9" s="289">
        <v>12.834199999999999</v>
      </c>
      <c r="ID9" s="289">
        <v>13.58</v>
      </c>
      <c r="IE9" s="185">
        <v>3</v>
      </c>
      <c r="IF9" s="1"/>
      <c r="IG9" s="1"/>
      <c r="IH9" s="185">
        <v>3</v>
      </c>
      <c r="II9" s="289">
        <v>10.8116</v>
      </c>
      <c r="IJ9" s="289">
        <v>10.981999999999999</v>
      </c>
      <c r="IK9" s="289">
        <v>11.191700000000001</v>
      </c>
      <c r="IL9" s="289">
        <v>11.0322</v>
      </c>
      <c r="IM9" s="289">
        <v>10.9278</v>
      </c>
      <c r="IN9" s="289">
        <v>10.7445</v>
      </c>
      <c r="IO9" s="289">
        <v>10.794600000000001</v>
      </c>
      <c r="IP9" s="289">
        <v>10.9663</v>
      </c>
      <c r="IQ9" s="289">
        <v>11.0848</v>
      </c>
      <c r="IR9" s="289">
        <v>10.9224</v>
      </c>
      <c r="IS9" s="289">
        <v>10.702299999999999</v>
      </c>
      <c r="IT9" s="289">
        <v>10.941700000000001</v>
      </c>
      <c r="IU9" s="185">
        <v>3</v>
      </c>
      <c r="IV9" s="1"/>
      <c r="IW9" s="1"/>
      <c r="IX9" s="185">
        <v>3</v>
      </c>
      <c r="IY9" s="289">
        <v>10.634399999999999</v>
      </c>
      <c r="IZ9" s="289">
        <v>10.430300000000001</v>
      </c>
      <c r="JA9" s="289">
        <v>10.4673</v>
      </c>
      <c r="JB9" s="289">
        <v>10.922800000000001</v>
      </c>
      <c r="JC9" s="289">
        <v>11.090299999999999</v>
      </c>
      <c r="JD9" s="289">
        <v>11.2843</v>
      </c>
      <c r="JE9" s="289">
        <v>11.4009</v>
      </c>
      <c r="JF9" s="289">
        <v>11.020300000000001</v>
      </c>
      <c r="JG9" s="289">
        <v>10.903700000000001</v>
      </c>
      <c r="JH9" s="289">
        <v>10.993499999999999</v>
      </c>
      <c r="JI9" s="289">
        <v>10.763999999999999</v>
      </c>
      <c r="JJ9" s="289">
        <v>10.9983</v>
      </c>
      <c r="JK9" s="185">
        <v>3</v>
      </c>
      <c r="JL9" s="1"/>
      <c r="JM9" s="1"/>
      <c r="JN9" s="185">
        <v>3</v>
      </c>
      <c r="JO9" s="289">
        <v>11.218299999999999</v>
      </c>
      <c r="JP9" s="289">
        <v>11.1714</v>
      </c>
      <c r="JQ9" s="289">
        <v>11.103999999999999</v>
      </c>
      <c r="JR9" s="289">
        <v>11.1783</v>
      </c>
      <c r="JS9" s="289">
        <v>11.0832</v>
      </c>
      <c r="JT9" s="289">
        <v>10.844200000000001</v>
      </c>
      <c r="JU9" s="289">
        <v>10.7752</v>
      </c>
      <c r="JV9" s="289">
        <v>10.599399999999999</v>
      </c>
      <c r="JW9" s="289">
        <v>10.7234</v>
      </c>
      <c r="JX9" s="289">
        <v>10.8131</v>
      </c>
      <c r="JY9" s="289">
        <v>10.764699999999999</v>
      </c>
      <c r="JZ9" s="289">
        <v>10.524699999999999</v>
      </c>
      <c r="KA9" s="185">
        <v>3</v>
      </c>
      <c r="KB9" s="1"/>
      <c r="KC9" s="1"/>
      <c r="KD9" s="185">
        <v>3</v>
      </c>
      <c r="KE9" s="289">
        <v>11.2372</v>
      </c>
      <c r="KF9" s="289">
        <v>11.0214</v>
      </c>
      <c r="KG9" s="289">
        <v>10.9794</v>
      </c>
      <c r="KH9" s="289">
        <v>11.1828</v>
      </c>
      <c r="KI9" s="289">
        <v>11.4068</v>
      </c>
      <c r="KJ9" s="289">
        <v>11.484500000000001</v>
      </c>
      <c r="KK9" s="289">
        <v>11.4922</v>
      </c>
      <c r="KL9" s="289">
        <v>11.4079</v>
      </c>
      <c r="KM9" s="289">
        <v>11.4145</v>
      </c>
      <c r="KN9" s="289">
        <v>11.388400000000001</v>
      </c>
      <c r="KO9" s="289">
        <v>11.533099999999999</v>
      </c>
      <c r="KP9" s="289">
        <v>11.1713</v>
      </c>
      <c r="KQ9" s="185">
        <v>3</v>
      </c>
      <c r="KR9" s="1"/>
      <c r="KS9" s="1"/>
      <c r="KT9" s="185">
        <v>3</v>
      </c>
      <c r="KU9" s="289">
        <v>10.439299999999999</v>
      </c>
      <c r="KV9" s="289">
        <v>10.8636</v>
      </c>
      <c r="KW9" s="289">
        <v>11.033300000000001</v>
      </c>
      <c r="KX9" s="289">
        <v>10.7362</v>
      </c>
      <c r="KY9" s="289">
        <v>10.3</v>
      </c>
      <c r="KZ9" s="289">
        <v>10.3377</v>
      </c>
      <c r="LA9" s="289">
        <v>10.4495</v>
      </c>
      <c r="LB9" s="289">
        <v>10.5243</v>
      </c>
      <c r="LC9" s="289">
        <v>11.045999999999999</v>
      </c>
      <c r="LD9" s="289">
        <v>10.961399999999999</v>
      </c>
      <c r="LE9" s="289">
        <v>11.1058</v>
      </c>
      <c r="LF9" s="289">
        <v>11.378299999999999</v>
      </c>
      <c r="LG9" s="185">
        <v>3</v>
      </c>
      <c r="LH9" s="1"/>
      <c r="LI9" s="1"/>
      <c r="LJ9" s="185">
        <v>3</v>
      </c>
      <c r="LK9" s="289">
        <v>9.1694999999999993</v>
      </c>
      <c r="LL9" s="289">
        <v>9.1463000000000001</v>
      </c>
      <c r="LM9" s="289">
        <v>9.1303000000000001</v>
      </c>
      <c r="LN9" s="289">
        <v>9.0048999999999992</v>
      </c>
      <c r="LO9" s="289">
        <v>9.3719999999999999</v>
      </c>
      <c r="LP9" s="289">
        <v>9.7148000000000003</v>
      </c>
      <c r="LQ9" s="289">
        <v>9.9283000000000001</v>
      </c>
      <c r="LR9" s="289">
        <v>9.8768999999999991</v>
      </c>
      <c r="LS9" s="289">
        <v>9.9108999999999998</v>
      </c>
      <c r="LT9" s="289">
        <v>10.157299999999999</v>
      </c>
      <c r="LU9" s="289">
        <v>10.155200000000001</v>
      </c>
      <c r="LV9" s="289">
        <v>10.1465</v>
      </c>
      <c r="LW9" s="185">
        <v>3</v>
      </c>
      <c r="LX9" s="1"/>
      <c r="LY9" s="1"/>
      <c r="LZ9" s="185">
        <v>3</v>
      </c>
      <c r="MA9" s="289">
        <v>9.6097999999999999</v>
      </c>
      <c r="MB9" s="289">
        <v>9.7327999999999992</v>
      </c>
      <c r="MC9" s="289">
        <v>9.7051999999999996</v>
      </c>
      <c r="MD9" s="289">
        <v>9.4932999999999996</v>
      </c>
      <c r="ME9" s="289">
        <v>9.2537000000000003</v>
      </c>
      <c r="MF9" s="289">
        <v>9.1835000000000004</v>
      </c>
      <c r="MG9" s="289">
        <v>9.0708000000000002</v>
      </c>
      <c r="MH9" s="289">
        <v>9.2111000000000001</v>
      </c>
      <c r="MI9" s="289">
        <v>9.1692</v>
      </c>
      <c r="MJ9" s="289">
        <v>9.5037000000000003</v>
      </c>
      <c r="MK9" s="289">
        <v>9.2891999999999992</v>
      </c>
      <c r="ML9" s="289">
        <v>9.2814999999999994</v>
      </c>
      <c r="MM9" s="185">
        <v>3</v>
      </c>
      <c r="MN9" s="1"/>
      <c r="MO9" s="1"/>
      <c r="MP9" s="185">
        <v>3</v>
      </c>
      <c r="MQ9" s="289">
        <v>9.5221999999999998</v>
      </c>
      <c r="MR9" s="289">
        <v>9.5955999999999992</v>
      </c>
      <c r="MS9" s="289">
        <v>9.3633000000000006</v>
      </c>
      <c r="MT9" s="289">
        <v>9.3015000000000008</v>
      </c>
      <c r="MU9" s="289">
        <v>9.4126999999999992</v>
      </c>
      <c r="MV9" s="289">
        <v>9.4987999999999992</v>
      </c>
      <c r="MW9" s="289">
        <v>9.9002999999999997</v>
      </c>
      <c r="MX9" s="289">
        <v>9.3428000000000004</v>
      </c>
      <c r="MY9" s="289">
        <v>9.1995000000000005</v>
      </c>
      <c r="MZ9" s="289">
        <v>9.4459</v>
      </c>
      <c r="NA9" s="289">
        <v>9.5641999999999996</v>
      </c>
      <c r="NB9" s="289">
        <v>9.3972999999999995</v>
      </c>
      <c r="NC9" s="185">
        <v>3</v>
      </c>
      <c r="ND9" s="1"/>
      <c r="NE9" s="1"/>
      <c r="NF9" s="185">
        <v>3</v>
      </c>
      <c r="NG9" s="289">
        <v>9.9395000000000007</v>
      </c>
      <c r="NH9" s="289">
        <v>10.098599999999999</v>
      </c>
      <c r="NI9" s="289">
        <v>9.9071999999999996</v>
      </c>
      <c r="NJ9" s="289">
        <v>9.5375999999999994</v>
      </c>
      <c r="NK9" s="289">
        <v>9.2622</v>
      </c>
      <c r="NL9" s="289">
        <v>9.8155999999999999</v>
      </c>
      <c r="NM9" s="289">
        <v>9.3773</v>
      </c>
      <c r="NN9" s="289">
        <v>9.4009999999999998</v>
      </c>
      <c r="NO9" s="289">
        <v>9.3849999999999998</v>
      </c>
      <c r="NP9" s="289">
        <v>9.3483000000000001</v>
      </c>
      <c r="NQ9" s="289">
        <v>9.625</v>
      </c>
      <c r="NR9" s="289">
        <v>9.4682999999999993</v>
      </c>
      <c r="NS9" s="185">
        <v>3</v>
      </c>
      <c r="NT9" s="1"/>
      <c r="NU9" s="1"/>
      <c r="NV9" s="185">
        <v>3</v>
      </c>
      <c r="NW9" s="289">
        <v>8.0680999999999994</v>
      </c>
      <c r="NX9" s="289">
        <v>8.4642999999999997</v>
      </c>
      <c r="NY9" s="289">
        <v>8.5252999999999997</v>
      </c>
      <c r="NZ9" s="289">
        <v>8.5096000000000007</v>
      </c>
      <c r="OA9" s="289">
        <v>8.5029000000000003</v>
      </c>
      <c r="OB9" s="289">
        <v>8.8983000000000008</v>
      </c>
      <c r="OC9" s="289">
        <v>8.9375</v>
      </c>
      <c r="OD9" s="289">
        <v>8.9008000000000003</v>
      </c>
      <c r="OE9" s="289">
        <v>9.9717000000000002</v>
      </c>
      <c r="OF9" s="289">
        <v>10.313700000000001</v>
      </c>
      <c r="OG9" s="289">
        <v>10.219799999999999</v>
      </c>
      <c r="OH9" s="289">
        <v>10.0318</v>
      </c>
      <c r="OI9" s="185">
        <v>3</v>
      </c>
      <c r="OJ9" s="1"/>
      <c r="OK9" s="1"/>
      <c r="OL9" s="185">
        <v>3</v>
      </c>
      <c r="OM9" s="289">
        <v>7.8703000000000003</v>
      </c>
      <c r="ON9" s="289">
        <v>7.8409000000000004</v>
      </c>
      <c r="OO9" s="289">
        <v>7.8357999999999999</v>
      </c>
      <c r="OP9" s="289">
        <v>7.9116999999999997</v>
      </c>
      <c r="OQ9" s="289">
        <v>7.9519000000000002</v>
      </c>
      <c r="OR9" s="289">
        <v>7.9166999999999996</v>
      </c>
      <c r="OS9" s="289">
        <v>7.9298000000000002</v>
      </c>
      <c r="OT9" s="289">
        <v>7.8247999999999998</v>
      </c>
      <c r="OU9" s="289">
        <v>7.7853000000000003</v>
      </c>
      <c r="OV9" s="289">
        <v>7.7535999999999996</v>
      </c>
      <c r="OW9" s="289">
        <v>8.3432999999999993</v>
      </c>
      <c r="OX9" s="289">
        <v>8.1809999999999992</v>
      </c>
      <c r="OY9" s="185">
        <v>3</v>
      </c>
      <c r="OZ9" s="1"/>
      <c r="PA9" s="1"/>
      <c r="PB9" s="185">
        <v>3</v>
      </c>
      <c r="PC9" s="289">
        <v>7.7396000000000003</v>
      </c>
      <c r="PD9" s="289">
        <v>7.4169999999999998</v>
      </c>
      <c r="PE9" s="289">
        <v>7.6295999999999999</v>
      </c>
      <c r="PF9" s="289">
        <v>7.5126999999999997</v>
      </c>
      <c r="PG9" s="289">
        <v>7.4462000000000002</v>
      </c>
      <c r="PH9" s="289">
        <v>7.4367000000000001</v>
      </c>
      <c r="PI9" s="289">
        <v>7.6215000000000002</v>
      </c>
      <c r="PJ9" s="289">
        <v>7.5709</v>
      </c>
      <c r="PK9" s="289">
        <v>7.5831</v>
      </c>
      <c r="PL9" s="289">
        <v>7.5316999999999998</v>
      </c>
      <c r="PM9" s="289">
        <v>8.0478000000000005</v>
      </c>
      <c r="PN9" s="289">
        <v>7.8929999999999998</v>
      </c>
      <c r="PO9" s="185">
        <v>3</v>
      </c>
      <c r="PP9" s="1"/>
      <c r="PQ9" s="1"/>
      <c r="PR9" s="185">
        <v>3</v>
      </c>
      <c r="PS9" s="289">
        <v>4.9950000000000001</v>
      </c>
      <c r="PT9" s="289">
        <v>5.5125000000000002</v>
      </c>
      <c r="PU9" s="289">
        <v>5.9775</v>
      </c>
      <c r="PV9" s="289">
        <v>6.78</v>
      </c>
      <c r="PW9" s="289">
        <v>6.0517000000000003</v>
      </c>
      <c r="PX9" s="289">
        <v>6.2167000000000003</v>
      </c>
      <c r="PY9" s="289">
        <v>6.2621000000000002</v>
      </c>
      <c r="PZ9" s="289">
        <v>6.1295999999999999</v>
      </c>
      <c r="QA9" s="289">
        <v>6.28</v>
      </c>
      <c r="QB9" s="289">
        <v>6.3848000000000003</v>
      </c>
      <c r="QC9" s="289">
        <v>7.1471</v>
      </c>
      <c r="QD9" s="289">
        <v>7.5467000000000004</v>
      </c>
      <c r="QE9" s="185">
        <v>3</v>
      </c>
      <c r="QF9" s="1"/>
      <c r="QG9" s="1"/>
      <c r="QH9" s="185">
        <v>3</v>
      </c>
      <c r="QI9" s="289">
        <v>3.1099000000000001</v>
      </c>
      <c r="QJ9" s="289">
        <v>3.105</v>
      </c>
      <c r="QK9" s="289">
        <v>3.1943999999999999</v>
      </c>
      <c r="QL9" s="289">
        <v>3.35</v>
      </c>
      <c r="QM9" s="289">
        <v>3.2747999999999999</v>
      </c>
      <c r="QN9" s="289">
        <v>3.3269000000000002</v>
      </c>
      <c r="QO9" s="289">
        <v>3.3938000000000001</v>
      </c>
      <c r="QP9" s="289">
        <v>3.3988999999999998</v>
      </c>
      <c r="QQ9" s="289">
        <v>3.3908</v>
      </c>
      <c r="QR9" s="289">
        <v>3.3980000000000001</v>
      </c>
      <c r="QS9" s="289">
        <v>3.4359999999999999</v>
      </c>
      <c r="QT9" s="289">
        <v>3.4386000000000001</v>
      </c>
      <c r="QU9" s="185">
        <v>3</v>
      </c>
      <c r="QV9" s="1"/>
      <c r="QW9" s="1"/>
      <c r="QX9" s="185">
        <v>3</v>
      </c>
      <c r="QY9" s="289">
        <v>3.1230000000000002</v>
      </c>
      <c r="QZ9" s="289">
        <v>3.1019000000000001</v>
      </c>
      <c r="RA9" s="289">
        <v>3.0939000000000001</v>
      </c>
      <c r="RB9" s="289">
        <v>3.0939999999999999</v>
      </c>
      <c r="RC9" s="289">
        <v>3.1152000000000002</v>
      </c>
      <c r="RD9" s="289">
        <v>3.1263999999999998</v>
      </c>
      <c r="RE9" s="289">
        <v>3.1292</v>
      </c>
      <c r="RF9" s="289">
        <v>3.1179000000000001</v>
      </c>
      <c r="RG9" s="289">
        <v>3.1137000000000001</v>
      </c>
      <c r="RH9" s="289">
        <v>3.1179000000000001</v>
      </c>
      <c r="RI9" s="289">
        <v>3.1293000000000002</v>
      </c>
      <c r="RJ9" s="289">
        <v>3.1034000000000002</v>
      </c>
      <c r="RK9" s="185">
        <v>3</v>
      </c>
      <c r="RL9" s="1"/>
      <c r="RM9" s="1"/>
      <c r="RN9" s="185">
        <v>3</v>
      </c>
      <c r="RO9" s="289">
        <v>3.0779999999999998</v>
      </c>
      <c r="RP9" s="289">
        <v>3.0684999999999998</v>
      </c>
      <c r="RQ9" s="289">
        <v>3.0609000000000002</v>
      </c>
      <c r="RR9" s="289">
        <v>3.0609000000000002</v>
      </c>
      <c r="RS9" s="289">
        <v>3.0794000000000001</v>
      </c>
      <c r="RT9" s="289">
        <v>3.1105999999999998</v>
      </c>
      <c r="RU9" s="289">
        <v>3.1223999999999998</v>
      </c>
      <c r="RV9" s="289">
        <v>3.1113</v>
      </c>
      <c r="RW9" s="289">
        <v>3.0714999999999999</v>
      </c>
      <c r="RX9" s="289">
        <v>3.1110000000000002</v>
      </c>
      <c r="RY9" s="289">
        <v>3.1309</v>
      </c>
      <c r="RZ9" s="289">
        <v>3.117</v>
      </c>
      <c r="SA9" s="185">
        <v>3</v>
      </c>
      <c r="SB9" s="1"/>
      <c r="SC9" s="1"/>
      <c r="SD9" s="185">
        <v>3</v>
      </c>
      <c r="SE9" s="289">
        <v>2.9470000000000001</v>
      </c>
      <c r="SF9" s="289">
        <v>2.9590000000000001</v>
      </c>
      <c r="SG9" s="289">
        <v>2.9702000000000002</v>
      </c>
      <c r="SH9" s="289">
        <v>2.9830000000000001</v>
      </c>
      <c r="SI9" s="289">
        <v>2.9950000000000001</v>
      </c>
      <c r="SJ9" s="289">
        <v>3.0066000000000002</v>
      </c>
      <c r="SK9" s="289">
        <v>3.0194000000000001</v>
      </c>
      <c r="SL9" s="289">
        <v>3.0318000000000001</v>
      </c>
      <c r="SM9" s="289">
        <v>3.0434000000000001</v>
      </c>
      <c r="SN9" s="289">
        <v>3.0569999999999999</v>
      </c>
      <c r="SO9" s="289">
        <v>3.069</v>
      </c>
      <c r="SP9" s="289">
        <v>3.0671900000000001</v>
      </c>
      <c r="SQ9" s="185">
        <v>3</v>
      </c>
      <c r="SR9" s="1"/>
      <c r="SS9" s="1"/>
      <c r="ST9" s="185">
        <v>3</v>
      </c>
      <c r="SU9" s="289">
        <v>2.645</v>
      </c>
      <c r="SV9" s="289">
        <v>2.6760000000000002</v>
      </c>
      <c r="SW9" s="289">
        <v>2.7040000000000002</v>
      </c>
      <c r="SX9" s="289">
        <v>2.7330000000000001</v>
      </c>
      <c r="SY9" s="289">
        <v>2.7650000000000001</v>
      </c>
      <c r="SZ9" s="289">
        <v>2.7946</v>
      </c>
      <c r="TA9" s="289">
        <v>2.8178000000000001</v>
      </c>
      <c r="TB9" s="289">
        <v>2.8441999999999998</v>
      </c>
      <c r="TC9" s="289">
        <v>2.8673999999999999</v>
      </c>
      <c r="TD9" s="289">
        <v>2.8929999999999998</v>
      </c>
      <c r="TE9" s="289">
        <v>2.9178000000000002</v>
      </c>
      <c r="TF9" s="289">
        <v>2.9338000000000002</v>
      </c>
      <c r="TG9" s="185">
        <v>3</v>
      </c>
      <c r="TH9" s="1"/>
      <c r="TI9" s="1"/>
      <c r="TJ9" s="185">
        <v>3</v>
      </c>
      <c r="TK9" s="289">
        <v>2.278</v>
      </c>
      <c r="TL9" s="289">
        <v>2.3109999999999999</v>
      </c>
      <c r="TM9" s="289">
        <v>2.339</v>
      </c>
      <c r="TN9" s="289">
        <v>2.3679999999999999</v>
      </c>
      <c r="TO9" s="289">
        <v>2.4</v>
      </c>
      <c r="TP9" s="289">
        <v>2.431</v>
      </c>
      <c r="TQ9" s="289">
        <v>2.4590000000000001</v>
      </c>
      <c r="TR9" s="289">
        <v>2.492</v>
      </c>
      <c r="TS9" s="289">
        <v>2.5219999999999998</v>
      </c>
      <c r="TT9" s="289">
        <v>2.5510000000000002</v>
      </c>
      <c r="TU9" s="289">
        <v>2.5840000000000001</v>
      </c>
      <c r="TV9" s="289">
        <v>2.613</v>
      </c>
      <c r="TW9" s="185">
        <v>3</v>
      </c>
    </row>
    <row r="10" spans="2:543" ht="20.100000000000001" customHeight="1">
      <c r="B10" s="64">
        <v>4</v>
      </c>
      <c r="C10" s="289">
        <v>20.467199999999998</v>
      </c>
      <c r="D10" s="289">
        <v>20.600300000000001</v>
      </c>
      <c r="E10" s="289">
        <v>20.7193</v>
      </c>
      <c r="F10" s="289">
        <v>19.911200000000001</v>
      </c>
      <c r="G10" s="289">
        <v>20.407499999999999</v>
      </c>
      <c r="H10" s="289">
        <v>19.558499999999999</v>
      </c>
      <c r="I10" s="289">
        <v>20.133500000000002</v>
      </c>
      <c r="J10" s="289">
        <v>20.5152</v>
      </c>
      <c r="K10" s="289">
        <v>20.247299999999999</v>
      </c>
      <c r="L10" s="289">
        <v>20.092500000000001</v>
      </c>
      <c r="M10" s="289">
        <v>19.746300000000002</v>
      </c>
      <c r="N10" s="289">
        <v>19.1433</v>
      </c>
      <c r="O10" s="64">
        <v>4</v>
      </c>
      <c r="R10" s="64">
        <v>4</v>
      </c>
      <c r="S10" s="289">
        <v>19.935199999999998</v>
      </c>
      <c r="T10" s="289">
        <v>20.1722</v>
      </c>
      <c r="U10" s="289">
        <v>20.690300000000001</v>
      </c>
      <c r="V10" s="289">
        <v>20.602499999999999</v>
      </c>
      <c r="W10" s="289">
        <v>20.182200000000002</v>
      </c>
      <c r="X10" s="289">
        <v>19.927700000000002</v>
      </c>
      <c r="Y10" s="289">
        <v>20.036799999999999</v>
      </c>
      <c r="Z10" s="289">
        <v>19.852</v>
      </c>
      <c r="AA10" s="289">
        <v>19.970300000000002</v>
      </c>
      <c r="AB10" s="289">
        <v>20.5623</v>
      </c>
      <c r="AC10" s="289">
        <v>20.8598</v>
      </c>
      <c r="AD10" s="289">
        <v>21.3033</v>
      </c>
      <c r="AE10" s="64">
        <v>4</v>
      </c>
      <c r="AH10" s="185">
        <v>4</v>
      </c>
      <c r="AI10" s="289">
        <v>18.881699999999999</v>
      </c>
      <c r="AJ10" s="289">
        <v>18.785299999999999</v>
      </c>
      <c r="AK10" s="289">
        <v>19.698499999999999</v>
      </c>
      <c r="AL10" s="289">
        <v>24.108699999999999</v>
      </c>
      <c r="AM10" s="289">
        <v>24.0002</v>
      </c>
      <c r="AN10" s="289">
        <v>21.682700000000001</v>
      </c>
      <c r="AO10" s="289">
        <v>22.522500000000001</v>
      </c>
      <c r="AP10" s="289">
        <v>22.2012</v>
      </c>
      <c r="AQ10" s="289">
        <v>21.839300000000001</v>
      </c>
      <c r="AR10" s="289">
        <v>21.956199999999999</v>
      </c>
      <c r="AS10" s="289">
        <v>21.250800000000002</v>
      </c>
      <c r="AT10" s="289">
        <v>20.049700000000001</v>
      </c>
      <c r="AU10" s="185">
        <v>4</v>
      </c>
      <c r="AX10" s="185">
        <v>4</v>
      </c>
      <c r="AY10" s="289">
        <v>19.587800000000001</v>
      </c>
      <c r="AZ10" s="289">
        <v>19.038799999999998</v>
      </c>
      <c r="BA10" s="289">
        <v>19.2607</v>
      </c>
      <c r="BB10" s="289">
        <v>19.227900000000002</v>
      </c>
      <c r="BC10" s="289">
        <v>19.101400000000002</v>
      </c>
      <c r="BD10" s="289">
        <v>19.642600000000002</v>
      </c>
      <c r="BE10" s="289">
        <v>19.069400000000002</v>
      </c>
      <c r="BF10" s="289">
        <v>19.162700000000001</v>
      </c>
      <c r="BG10" s="289">
        <v>20.125299999999999</v>
      </c>
      <c r="BH10" s="289">
        <v>19.798500000000001</v>
      </c>
      <c r="BI10" s="289">
        <v>19.194800000000001</v>
      </c>
      <c r="BJ10" s="289">
        <v>19.5717</v>
      </c>
      <c r="BK10" s="185">
        <v>4</v>
      </c>
      <c r="BN10" s="185">
        <v>4</v>
      </c>
      <c r="BO10" s="289">
        <v>19.489899999999999</v>
      </c>
      <c r="BP10" s="289">
        <v>18.400400000000001</v>
      </c>
      <c r="BQ10" s="290">
        <v>18.861000000000001</v>
      </c>
      <c r="BR10" s="289">
        <v>18.296700000000001</v>
      </c>
      <c r="BS10" s="289">
        <v>19.0943</v>
      </c>
      <c r="BT10" s="289">
        <v>19.975899999999999</v>
      </c>
      <c r="BU10" s="289">
        <v>20.145299999999999</v>
      </c>
      <c r="BV10" s="289">
        <v>18.634899999999998</v>
      </c>
      <c r="BW10" s="289">
        <v>19.179200000000002</v>
      </c>
      <c r="BX10" s="289">
        <v>18.750299999999999</v>
      </c>
      <c r="BY10" s="289">
        <v>20.317699999999999</v>
      </c>
      <c r="BZ10" s="289">
        <v>20.345500000000001</v>
      </c>
      <c r="CA10" s="185">
        <v>4</v>
      </c>
      <c r="CD10" s="185">
        <v>4</v>
      </c>
      <c r="CE10" s="289">
        <v>20.732299999999999</v>
      </c>
      <c r="CF10" s="289">
        <v>20.575700000000001</v>
      </c>
      <c r="CG10" s="289">
        <v>19.9373</v>
      </c>
      <c r="CH10" s="289">
        <v>18.795500000000001</v>
      </c>
      <c r="CI10" s="289">
        <v>18.773099999999999</v>
      </c>
      <c r="CJ10" s="289">
        <v>18.594100000000001</v>
      </c>
      <c r="CK10" s="289">
        <v>18.0626</v>
      </c>
      <c r="CL10" s="289">
        <v>17.869599999999998</v>
      </c>
      <c r="CM10" s="289">
        <v>17.814499999999999</v>
      </c>
      <c r="CN10" s="289">
        <v>18.233699999999999</v>
      </c>
      <c r="CO10" s="289">
        <v>19.124099999999999</v>
      </c>
      <c r="CP10" s="289">
        <v>18.622900000000001</v>
      </c>
      <c r="CQ10" s="185">
        <v>4</v>
      </c>
      <c r="CT10" s="185">
        <v>4</v>
      </c>
      <c r="CU10" s="289">
        <v>17.3398</v>
      </c>
      <c r="CV10" s="289">
        <v>18.490200000000002</v>
      </c>
      <c r="CW10" s="289">
        <v>17.856100000000001</v>
      </c>
      <c r="CX10" s="289">
        <v>17.236999999999998</v>
      </c>
      <c r="CY10" s="289">
        <v>17.227900000000002</v>
      </c>
      <c r="CZ10" s="289">
        <v>18.6097</v>
      </c>
      <c r="DA10" s="289">
        <v>18.464600000000001</v>
      </c>
      <c r="DB10" s="289">
        <v>18.896599999999999</v>
      </c>
      <c r="DC10" s="289">
        <v>18.8523</v>
      </c>
      <c r="DD10" s="289">
        <v>19.377600000000001</v>
      </c>
      <c r="DE10" s="289">
        <v>19.130600000000001</v>
      </c>
      <c r="DF10" s="289">
        <v>20.748799999999999</v>
      </c>
      <c r="DG10" s="185">
        <v>4</v>
      </c>
      <c r="DJ10" s="185">
        <v>4</v>
      </c>
      <c r="DK10" s="289">
        <v>14.741400000000001</v>
      </c>
      <c r="DL10" s="289">
        <v>14.9885</v>
      </c>
      <c r="DM10" s="289">
        <v>14.9862</v>
      </c>
      <c r="DN10" s="289">
        <v>15.264699999999999</v>
      </c>
      <c r="DO10" s="289">
        <v>15.2043</v>
      </c>
      <c r="DP10" s="289">
        <v>15.412800000000001</v>
      </c>
      <c r="DQ10" s="289">
        <v>15.7829</v>
      </c>
      <c r="DR10" s="289">
        <v>16.077200000000001</v>
      </c>
      <c r="DS10" s="289">
        <v>16.944400000000002</v>
      </c>
      <c r="DT10" s="289">
        <v>16.9053</v>
      </c>
      <c r="DU10" s="289">
        <v>16.5244</v>
      </c>
      <c r="DV10" s="289">
        <v>16.593299999999999</v>
      </c>
      <c r="DW10" s="185">
        <v>4</v>
      </c>
      <c r="DZ10" s="185">
        <v>4</v>
      </c>
      <c r="EA10" s="289">
        <v>13.101100000000001</v>
      </c>
      <c r="EB10" s="289">
        <v>13.3207</v>
      </c>
      <c r="EC10" s="289">
        <v>13.2379</v>
      </c>
      <c r="ED10" s="289">
        <v>13.0991</v>
      </c>
      <c r="EE10" s="289">
        <v>13.0901</v>
      </c>
      <c r="EF10" s="289">
        <v>12.9108</v>
      </c>
      <c r="EG10" s="289">
        <v>12.9673</v>
      </c>
      <c r="EH10" s="289">
        <v>13.226900000000001</v>
      </c>
      <c r="EI10" s="289">
        <v>13.129899999999999</v>
      </c>
      <c r="EJ10" s="289">
        <v>13.4026</v>
      </c>
      <c r="EK10" s="289">
        <v>13.4773</v>
      </c>
      <c r="EL10" s="289">
        <v>14.076000000000001</v>
      </c>
      <c r="EM10" s="185">
        <v>4</v>
      </c>
      <c r="EP10" s="185">
        <v>4</v>
      </c>
      <c r="EQ10" s="289">
        <v>12.748799999999999</v>
      </c>
      <c r="ER10" s="289">
        <v>12.7094</v>
      </c>
      <c r="ES10" s="289">
        <v>12.779500000000001</v>
      </c>
      <c r="ET10" s="289">
        <v>12.2728</v>
      </c>
      <c r="EU10" s="289">
        <v>12.175599999999999</v>
      </c>
      <c r="EV10" s="289">
        <v>12.8035</v>
      </c>
      <c r="EW10" s="289">
        <v>12.984999999999999</v>
      </c>
      <c r="EX10" s="289">
        <v>12.806800000000001</v>
      </c>
      <c r="EY10" s="289">
        <v>13.307</v>
      </c>
      <c r="EZ10" s="289">
        <v>13.1593</v>
      </c>
      <c r="FA10" s="289">
        <v>13.0067</v>
      </c>
      <c r="FB10" s="289">
        <v>13.2041</v>
      </c>
      <c r="FC10" s="185">
        <v>4</v>
      </c>
      <c r="FF10" s="185">
        <v>4</v>
      </c>
      <c r="FG10" s="289">
        <v>13.934200000000001</v>
      </c>
      <c r="FH10" s="289">
        <v>12.803800000000001</v>
      </c>
      <c r="FI10" s="289">
        <v>12.776400000000001</v>
      </c>
      <c r="FJ10" s="289">
        <v>12.7691</v>
      </c>
      <c r="FK10" s="289">
        <v>12.962899999999999</v>
      </c>
      <c r="FL10" s="289">
        <v>14.3047</v>
      </c>
      <c r="FM10" s="289">
        <v>13.397</v>
      </c>
      <c r="FN10" s="289">
        <v>13.3927</v>
      </c>
      <c r="FO10" s="289">
        <v>13.257099999999999</v>
      </c>
      <c r="FP10" s="289">
        <v>12.8375</v>
      </c>
      <c r="FQ10" s="289">
        <v>13.091100000000001</v>
      </c>
      <c r="FR10" s="289">
        <v>12.9268</v>
      </c>
      <c r="FS10" s="185">
        <v>4</v>
      </c>
      <c r="FV10" s="185">
        <v>4</v>
      </c>
      <c r="FW10" s="289">
        <v>12.349600000000001</v>
      </c>
      <c r="FX10" s="289">
        <v>12.019</v>
      </c>
      <c r="FY10" s="289">
        <v>12.098100000000001</v>
      </c>
      <c r="FZ10" s="289">
        <v>11.9084</v>
      </c>
      <c r="GA10" s="289">
        <v>11.5023</v>
      </c>
      <c r="GB10" s="289">
        <v>11.6739</v>
      </c>
      <c r="GC10" s="289">
        <v>11.723000000000001</v>
      </c>
      <c r="GD10" s="289">
        <v>11.765700000000001</v>
      </c>
      <c r="GE10" s="289">
        <v>12.2616</v>
      </c>
      <c r="GF10" s="289">
        <v>13.7994</v>
      </c>
      <c r="GG10" s="289">
        <v>13.6282</v>
      </c>
      <c r="GH10" s="289">
        <v>13.589399999999999</v>
      </c>
      <c r="GI10" s="185">
        <v>4</v>
      </c>
      <c r="GL10" s="185">
        <v>4</v>
      </c>
      <c r="GM10" s="289">
        <v>13.043699999999999</v>
      </c>
      <c r="GN10" s="289">
        <v>12.869899999999999</v>
      </c>
      <c r="GO10" s="289">
        <v>12.725899999999999</v>
      </c>
      <c r="GP10" s="289">
        <v>12.4145</v>
      </c>
      <c r="GQ10" s="289">
        <v>12.262600000000001</v>
      </c>
      <c r="GR10" s="289">
        <v>12.862500000000001</v>
      </c>
      <c r="GS10" s="289">
        <v>13.032500000000001</v>
      </c>
      <c r="GT10" s="289">
        <v>12.572800000000001</v>
      </c>
      <c r="GU10" s="289">
        <v>13.055</v>
      </c>
      <c r="GV10" s="289">
        <v>12.5998</v>
      </c>
      <c r="GW10" s="289">
        <v>12.3452</v>
      </c>
      <c r="GX10" s="289">
        <v>12.3546</v>
      </c>
      <c r="GY10" s="185">
        <v>4</v>
      </c>
      <c r="HB10" s="185">
        <v>4</v>
      </c>
      <c r="HC10" s="289">
        <v>13.8325</v>
      </c>
      <c r="HD10" s="289">
        <v>14.309699999999999</v>
      </c>
      <c r="HE10" s="289">
        <v>15.365</v>
      </c>
      <c r="HF10" s="289">
        <v>13.792400000000001</v>
      </c>
      <c r="HG10" s="289">
        <v>13.6485</v>
      </c>
      <c r="HH10" s="289">
        <v>13.260899999999999</v>
      </c>
      <c r="HI10" s="289">
        <v>13.169499999999999</v>
      </c>
      <c r="HJ10" s="289">
        <v>13.2125</v>
      </c>
      <c r="HK10" s="289">
        <v>13.6427</v>
      </c>
      <c r="HL10" s="289">
        <v>13.6242</v>
      </c>
      <c r="HM10" s="289">
        <v>13.1479</v>
      </c>
      <c r="HN10" s="289">
        <v>12.8026</v>
      </c>
      <c r="HO10" s="185">
        <v>4</v>
      </c>
      <c r="HP10" s="1"/>
      <c r="HQ10" s="1"/>
      <c r="HR10" s="185">
        <v>4</v>
      </c>
      <c r="HS10" s="289">
        <v>10.8972</v>
      </c>
      <c r="HT10" s="289">
        <v>10.8262</v>
      </c>
      <c r="HU10" s="289">
        <v>10.724299999999999</v>
      </c>
      <c r="HV10" s="289">
        <v>10.5557</v>
      </c>
      <c r="HW10" s="289">
        <v>10.509499999999999</v>
      </c>
      <c r="HX10" s="289">
        <v>10.341699999999999</v>
      </c>
      <c r="HY10" s="289">
        <v>10.372199999999999</v>
      </c>
      <c r="HZ10" s="289">
        <v>10.035299999999999</v>
      </c>
      <c r="IA10" s="289">
        <v>10.3781</v>
      </c>
      <c r="IB10" s="289">
        <v>11.1296</v>
      </c>
      <c r="IC10" s="289">
        <v>12.7125</v>
      </c>
      <c r="ID10" s="289">
        <v>13.53</v>
      </c>
      <c r="IE10" s="185">
        <v>4</v>
      </c>
      <c r="IF10" s="1"/>
      <c r="IG10" s="1"/>
      <c r="IH10" s="185">
        <v>4</v>
      </c>
      <c r="II10" s="289">
        <v>10.781499999999999</v>
      </c>
      <c r="IJ10" s="289">
        <v>10.981999999999999</v>
      </c>
      <c r="IK10" s="289">
        <v>11.191700000000001</v>
      </c>
      <c r="IL10" s="289">
        <v>11.0336</v>
      </c>
      <c r="IM10" s="289">
        <v>10.9262</v>
      </c>
      <c r="IN10" s="289">
        <v>10.7445</v>
      </c>
      <c r="IO10" s="289">
        <v>10.7697</v>
      </c>
      <c r="IP10" s="289">
        <v>10.940200000000001</v>
      </c>
      <c r="IQ10" s="289">
        <v>11.037800000000001</v>
      </c>
      <c r="IR10" s="289">
        <v>10.920999999999999</v>
      </c>
      <c r="IS10" s="289">
        <v>10.702299999999999</v>
      </c>
      <c r="IT10" s="289">
        <v>10.896800000000001</v>
      </c>
      <c r="IU10" s="185">
        <v>4</v>
      </c>
      <c r="IV10" s="1"/>
      <c r="IW10" s="1"/>
      <c r="IX10" s="185">
        <v>4</v>
      </c>
      <c r="IY10" s="289">
        <v>10.625299999999999</v>
      </c>
      <c r="IZ10" s="289">
        <v>10.480499999999999</v>
      </c>
      <c r="JA10" s="289">
        <v>10.5113</v>
      </c>
      <c r="JB10" s="289">
        <v>10.8935</v>
      </c>
      <c r="JC10" s="289">
        <v>11.032299999999999</v>
      </c>
      <c r="JD10" s="289">
        <v>11.2843</v>
      </c>
      <c r="JE10" s="289">
        <v>11.2723</v>
      </c>
      <c r="JF10" s="289">
        <v>10.9537</v>
      </c>
      <c r="JG10" s="289">
        <v>10.903700000000001</v>
      </c>
      <c r="JH10" s="289">
        <v>10.9733</v>
      </c>
      <c r="JI10" s="289">
        <v>10.744899999999999</v>
      </c>
      <c r="JJ10" s="289">
        <v>10.9983</v>
      </c>
      <c r="JK10" s="185">
        <v>4</v>
      </c>
      <c r="JL10" s="1"/>
      <c r="JM10" s="1"/>
      <c r="JN10" s="185">
        <v>4</v>
      </c>
      <c r="JO10" s="289">
        <v>11.1495</v>
      </c>
      <c r="JP10" s="289">
        <v>11.167</v>
      </c>
      <c r="JQ10" s="289">
        <v>11.1073</v>
      </c>
      <c r="JR10" s="289">
        <v>11.1783</v>
      </c>
      <c r="JS10" s="289">
        <v>11.027100000000001</v>
      </c>
      <c r="JT10" s="289">
        <v>10.814399999999999</v>
      </c>
      <c r="JU10" s="289">
        <v>10.7752</v>
      </c>
      <c r="JV10" s="289">
        <v>10.5968</v>
      </c>
      <c r="JW10" s="289">
        <v>10.7234</v>
      </c>
      <c r="JX10" s="289">
        <v>10.790699999999999</v>
      </c>
      <c r="JY10" s="289">
        <v>10.7613</v>
      </c>
      <c r="JZ10" s="289">
        <v>10.524699999999999</v>
      </c>
      <c r="KA10" s="185">
        <v>4</v>
      </c>
      <c r="KB10" s="1"/>
      <c r="KC10" s="1"/>
      <c r="KD10" s="185">
        <v>4</v>
      </c>
      <c r="KE10" s="289">
        <v>11.2372</v>
      </c>
      <c r="KF10" s="289">
        <v>10.954499999999999</v>
      </c>
      <c r="KG10" s="289">
        <v>10.962300000000001</v>
      </c>
      <c r="KH10" s="289">
        <v>11.1828</v>
      </c>
      <c r="KI10" s="289">
        <v>11.4093</v>
      </c>
      <c r="KJ10" s="289">
        <v>11.426500000000001</v>
      </c>
      <c r="KK10" s="289">
        <v>11.4922</v>
      </c>
      <c r="KL10" s="289">
        <v>11.4253</v>
      </c>
      <c r="KM10" s="289">
        <v>11.4725</v>
      </c>
      <c r="KN10" s="289">
        <v>11.388400000000001</v>
      </c>
      <c r="KO10" s="289">
        <v>11.499700000000001</v>
      </c>
      <c r="KP10" s="289">
        <v>11.145300000000001</v>
      </c>
      <c r="KQ10" s="185">
        <v>4</v>
      </c>
      <c r="KR10" s="1"/>
      <c r="KS10" s="1"/>
      <c r="KT10" s="185">
        <v>4</v>
      </c>
      <c r="KU10" s="289">
        <v>10.3626</v>
      </c>
      <c r="KV10" s="289">
        <v>10.9069</v>
      </c>
      <c r="KW10" s="289">
        <v>11.032400000000001</v>
      </c>
      <c r="KX10" s="289">
        <v>10.6676</v>
      </c>
      <c r="KY10" s="289">
        <v>10.3</v>
      </c>
      <c r="KZ10" s="289">
        <v>10.2402</v>
      </c>
      <c r="LA10" s="289">
        <v>10.4779</v>
      </c>
      <c r="LB10" s="289">
        <v>10.5243</v>
      </c>
      <c r="LC10" s="289">
        <v>11.0313</v>
      </c>
      <c r="LD10" s="289">
        <v>11.160299999999999</v>
      </c>
      <c r="LE10" s="289">
        <v>11.0525</v>
      </c>
      <c r="LF10" s="289">
        <v>11.3535</v>
      </c>
      <c r="LG10" s="185">
        <v>4</v>
      </c>
      <c r="LH10" s="1"/>
      <c r="LI10" s="1"/>
      <c r="LJ10" s="185">
        <v>4</v>
      </c>
      <c r="LK10" s="289">
        <v>9.1036999999999999</v>
      </c>
      <c r="LL10" s="289">
        <v>9.1463000000000001</v>
      </c>
      <c r="LM10" s="289">
        <v>9.1303000000000001</v>
      </c>
      <c r="LN10" s="289">
        <v>8.9979999999999993</v>
      </c>
      <c r="LO10" s="289">
        <v>9.4169999999999998</v>
      </c>
      <c r="LP10" s="289">
        <v>9.6562000000000001</v>
      </c>
      <c r="LQ10" s="289">
        <v>9.9611999999999998</v>
      </c>
      <c r="LR10" s="289">
        <v>9.8768999999999991</v>
      </c>
      <c r="LS10" s="289">
        <v>9.9186999999999994</v>
      </c>
      <c r="LT10" s="289">
        <v>10.1248</v>
      </c>
      <c r="LU10" s="289">
        <v>10.155200000000001</v>
      </c>
      <c r="LV10" s="289">
        <v>10.1036</v>
      </c>
      <c r="LW10" s="185">
        <v>4</v>
      </c>
      <c r="LX10" s="1"/>
      <c r="LY10" s="1"/>
      <c r="LZ10" s="185">
        <v>4</v>
      </c>
      <c r="MA10" s="289">
        <v>9.7140000000000004</v>
      </c>
      <c r="MB10" s="289">
        <v>9.7327999999999992</v>
      </c>
      <c r="MC10" s="289">
        <v>9.7051999999999996</v>
      </c>
      <c r="MD10" s="289">
        <v>9.4152000000000005</v>
      </c>
      <c r="ME10" s="289">
        <v>9.2829999999999995</v>
      </c>
      <c r="MF10" s="289">
        <v>9.1835000000000004</v>
      </c>
      <c r="MG10" s="289">
        <v>9.0221</v>
      </c>
      <c r="MH10" s="289">
        <v>9.1698000000000004</v>
      </c>
      <c r="MI10" s="289">
        <v>9.1999999999999993</v>
      </c>
      <c r="MJ10" s="289">
        <v>9.5216999999999992</v>
      </c>
      <c r="MK10" s="289">
        <v>9.2891999999999992</v>
      </c>
      <c r="ML10" s="289">
        <v>9.2681000000000004</v>
      </c>
      <c r="MM10" s="185">
        <v>4</v>
      </c>
      <c r="MN10" s="1"/>
      <c r="MO10" s="1"/>
      <c r="MP10" s="185">
        <v>4</v>
      </c>
      <c r="MQ10" s="289">
        <v>9.4985999999999997</v>
      </c>
      <c r="MR10" s="289">
        <v>9.5724</v>
      </c>
      <c r="MS10" s="289">
        <v>9.3382000000000005</v>
      </c>
      <c r="MT10" s="289">
        <v>9.2844999999999995</v>
      </c>
      <c r="MU10" s="289">
        <v>9.3374000000000006</v>
      </c>
      <c r="MV10" s="289">
        <v>9.4987999999999992</v>
      </c>
      <c r="MW10" s="289">
        <v>9.8242999999999991</v>
      </c>
      <c r="MX10" s="289">
        <v>9.3461999999999996</v>
      </c>
      <c r="MY10" s="289">
        <v>9.1995000000000005</v>
      </c>
      <c r="MZ10" s="289">
        <v>9.4141999999999992</v>
      </c>
      <c r="NA10" s="289">
        <v>9.5823999999999998</v>
      </c>
      <c r="NB10" s="289">
        <v>9.3972999999999995</v>
      </c>
      <c r="NC10" s="185">
        <v>4</v>
      </c>
      <c r="ND10" s="1"/>
      <c r="NE10" s="1"/>
      <c r="NF10" s="185">
        <v>4</v>
      </c>
      <c r="NG10" s="289">
        <v>9.9395000000000007</v>
      </c>
      <c r="NH10" s="289">
        <v>10.0823</v>
      </c>
      <c r="NI10" s="289">
        <v>9.9527999999999999</v>
      </c>
      <c r="NJ10" s="289">
        <v>9.5375999999999994</v>
      </c>
      <c r="NK10" s="289">
        <v>9.2446999999999999</v>
      </c>
      <c r="NL10" s="289">
        <v>9.7652999999999999</v>
      </c>
      <c r="NM10" s="289">
        <v>9.3773</v>
      </c>
      <c r="NN10" s="289">
        <v>9.4057999999999993</v>
      </c>
      <c r="NO10" s="289">
        <v>9.3739000000000008</v>
      </c>
      <c r="NP10" s="289">
        <v>9.3483000000000001</v>
      </c>
      <c r="NQ10" s="289">
        <v>9.6207999999999991</v>
      </c>
      <c r="NR10" s="289">
        <v>9.5326000000000004</v>
      </c>
      <c r="NS10" s="185">
        <v>4</v>
      </c>
      <c r="NT10" s="1"/>
      <c r="NU10" s="1"/>
      <c r="NV10" s="185">
        <v>4</v>
      </c>
      <c r="NW10" s="289">
        <v>8.0680999999999994</v>
      </c>
      <c r="NX10" s="289">
        <v>8.4367000000000001</v>
      </c>
      <c r="NY10" s="289">
        <v>8.4956999999999994</v>
      </c>
      <c r="NZ10" s="289">
        <v>8.5213999999999999</v>
      </c>
      <c r="OA10" s="289">
        <v>8.5029000000000003</v>
      </c>
      <c r="OB10" s="289">
        <v>8.8818000000000001</v>
      </c>
      <c r="OC10" s="289">
        <v>8.9863</v>
      </c>
      <c r="OD10" s="289">
        <v>8.9215</v>
      </c>
      <c r="OE10" s="289">
        <v>9.9458000000000002</v>
      </c>
      <c r="OF10" s="289">
        <v>10.313700000000001</v>
      </c>
      <c r="OG10" s="289">
        <v>10.1137</v>
      </c>
      <c r="OH10" s="289">
        <v>9.9681999999999995</v>
      </c>
      <c r="OI10" s="185">
        <v>4</v>
      </c>
      <c r="OJ10" s="1"/>
      <c r="OK10" s="1"/>
      <c r="OL10" s="185">
        <v>4</v>
      </c>
      <c r="OM10" s="289">
        <v>7.9027000000000003</v>
      </c>
      <c r="ON10" s="289">
        <v>7.8216999999999999</v>
      </c>
      <c r="OO10" s="289">
        <v>7.9740000000000002</v>
      </c>
      <c r="OP10" s="289">
        <v>7.9248000000000003</v>
      </c>
      <c r="OQ10" s="289">
        <v>7.9519000000000002</v>
      </c>
      <c r="OR10" s="289">
        <v>7.9183000000000003</v>
      </c>
      <c r="OS10" s="289">
        <v>7.9394999999999998</v>
      </c>
      <c r="OT10" s="289">
        <v>7.8247999999999998</v>
      </c>
      <c r="OU10" s="289">
        <v>7.7770000000000001</v>
      </c>
      <c r="OV10" s="289">
        <v>7.7530000000000001</v>
      </c>
      <c r="OW10" s="289">
        <v>8.3682999999999996</v>
      </c>
      <c r="OX10" s="289">
        <v>8.1538000000000004</v>
      </c>
      <c r="OY10" s="185">
        <v>4</v>
      </c>
      <c r="OZ10" s="1"/>
      <c r="PA10" s="1"/>
      <c r="PB10" s="185">
        <v>4</v>
      </c>
      <c r="PC10" s="289">
        <v>7.6958000000000002</v>
      </c>
      <c r="PD10" s="289">
        <v>7.4169999999999998</v>
      </c>
      <c r="PE10" s="289">
        <v>7.6295999999999999</v>
      </c>
      <c r="PF10" s="289">
        <v>7.5110000000000001</v>
      </c>
      <c r="PG10" s="289">
        <v>7.4691999999999998</v>
      </c>
      <c r="PH10" s="289">
        <v>7.4207999999999998</v>
      </c>
      <c r="PI10" s="289">
        <v>7.5842000000000001</v>
      </c>
      <c r="PJ10" s="289">
        <v>7.5709</v>
      </c>
      <c r="PK10" s="289">
        <v>7.5490000000000004</v>
      </c>
      <c r="PL10" s="289">
        <v>7.5183</v>
      </c>
      <c r="PM10" s="289">
        <v>8.0478000000000005</v>
      </c>
      <c r="PN10" s="289">
        <v>7.8928000000000003</v>
      </c>
      <c r="PO10" s="185">
        <v>4</v>
      </c>
      <c r="PP10" s="1"/>
      <c r="PQ10" s="1"/>
      <c r="PR10" s="185">
        <v>4</v>
      </c>
      <c r="PS10" s="289">
        <v>5.27</v>
      </c>
      <c r="PT10" s="289">
        <v>5.4550000000000001</v>
      </c>
      <c r="PU10" s="289">
        <v>5.9625000000000004</v>
      </c>
      <c r="PV10" s="289">
        <v>6.8475000000000001</v>
      </c>
      <c r="PW10" s="289">
        <v>5.9566999999999997</v>
      </c>
      <c r="PX10" s="289">
        <v>6.2167000000000003</v>
      </c>
      <c r="PY10" s="289">
        <v>6.2607999999999997</v>
      </c>
      <c r="PZ10" s="289">
        <v>6.1143000000000001</v>
      </c>
      <c r="QA10" s="289">
        <v>6.28</v>
      </c>
      <c r="QB10" s="289">
        <v>6.4341999999999997</v>
      </c>
      <c r="QC10" s="289">
        <v>7.4032999999999998</v>
      </c>
      <c r="QD10" s="289">
        <v>7.5467000000000004</v>
      </c>
      <c r="QE10" s="185">
        <v>4</v>
      </c>
      <c r="QF10" s="1"/>
      <c r="QG10" s="1"/>
      <c r="QH10" s="185">
        <v>4</v>
      </c>
      <c r="QI10" s="289">
        <v>3.1071</v>
      </c>
      <c r="QJ10" s="289">
        <v>3.1053000000000002</v>
      </c>
      <c r="QK10" s="289">
        <v>3.2663000000000002</v>
      </c>
      <c r="QL10" s="289">
        <v>3.35</v>
      </c>
      <c r="QM10" s="289">
        <v>3.2747999999999999</v>
      </c>
      <c r="QN10" s="289">
        <v>3.3252999999999999</v>
      </c>
      <c r="QO10" s="289">
        <v>3.3938000000000001</v>
      </c>
      <c r="QP10" s="289">
        <v>3.3788999999999998</v>
      </c>
      <c r="QQ10" s="289">
        <v>3.3908</v>
      </c>
      <c r="QR10" s="289">
        <v>3.3982999999999999</v>
      </c>
      <c r="QS10" s="289">
        <v>3.4380999999999999</v>
      </c>
      <c r="QT10" s="289">
        <v>3.4386000000000001</v>
      </c>
      <c r="QU10" s="185">
        <v>4</v>
      </c>
      <c r="QV10" s="1"/>
      <c r="QW10" s="1"/>
      <c r="QX10" s="185">
        <v>4</v>
      </c>
      <c r="QY10" s="289">
        <v>3.1230000000000002</v>
      </c>
      <c r="QZ10" s="289">
        <v>3.0998999999999999</v>
      </c>
      <c r="RA10" s="289">
        <v>3.0939000000000001</v>
      </c>
      <c r="RB10" s="289">
        <v>3.0939999999999999</v>
      </c>
      <c r="RC10" s="289">
        <v>3.1139000000000001</v>
      </c>
      <c r="RD10" s="289">
        <v>3.1219000000000001</v>
      </c>
      <c r="RE10" s="289">
        <v>3.1292</v>
      </c>
      <c r="RF10" s="289">
        <v>3.1162000000000001</v>
      </c>
      <c r="RG10" s="289">
        <v>3.1139000000000001</v>
      </c>
      <c r="RH10" s="289">
        <v>3.1179000000000001</v>
      </c>
      <c r="RI10" s="289">
        <v>3.1259000000000001</v>
      </c>
      <c r="RJ10" s="289">
        <v>3.1036999999999999</v>
      </c>
      <c r="RK10" s="185">
        <v>4</v>
      </c>
      <c r="RL10" s="1"/>
      <c r="RM10" s="1"/>
      <c r="RN10" s="185">
        <v>4</v>
      </c>
      <c r="RO10" s="289">
        <v>3.0752999999999999</v>
      </c>
      <c r="RP10" s="289">
        <v>3.0672999999999999</v>
      </c>
      <c r="RQ10" s="289">
        <v>3.0611000000000002</v>
      </c>
      <c r="RR10" s="289">
        <v>3.0609000000000002</v>
      </c>
      <c r="RS10" s="289">
        <v>3.0794000000000001</v>
      </c>
      <c r="RT10" s="289">
        <v>3.1175999999999999</v>
      </c>
      <c r="RU10" s="289">
        <v>3.1204000000000001</v>
      </c>
      <c r="RV10" s="289">
        <v>3.1124000000000001</v>
      </c>
      <c r="RW10" s="289">
        <v>3.0693999999999999</v>
      </c>
      <c r="RX10" s="289">
        <v>3.1110000000000002</v>
      </c>
      <c r="RY10" s="289">
        <v>3.1255999999999999</v>
      </c>
      <c r="RZ10" s="289">
        <v>3.1160000000000001</v>
      </c>
      <c r="SA10" s="185">
        <v>4</v>
      </c>
      <c r="SB10" s="1"/>
      <c r="SC10" s="1"/>
      <c r="SD10" s="185">
        <v>4</v>
      </c>
      <c r="SE10" s="289">
        <v>2.9474</v>
      </c>
      <c r="SF10" s="289">
        <v>2.9590000000000001</v>
      </c>
      <c r="SG10" s="289">
        <v>2.9702000000000002</v>
      </c>
      <c r="SH10" s="289">
        <v>2.9834000000000001</v>
      </c>
      <c r="SI10" s="289">
        <v>2.9954000000000001</v>
      </c>
      <c r="SJ10" s="289">
        <v>3.0070000000000001</v>
      </c>
      <c r="SK10" s="289">
        <v>3.0198</v>
      </c>
      <c r="SL10" s="289">
        <v>3.0318000000000001</v>
      </c>
      <c r="SM10" s="289">
        <v>3.0446</v>
      </c>
      <c r="SN10" s="289">
        <v>3.0573999999999999</v>
      </c>
      <c r="SO10" s="289">
        <v>3.069</v>
      </c>
      <c r="SP10" s="289">
        <v>3.0661900000000002</v>
      </c>
      <c r="SQ10" s="185">
        <v>4</v>
      </c>
      <c r="SR10" s="1"/>
      <c r="SS10" s="1"/>
      <c r="ST10" s="185">
        <v>4</v>
      </c>
      <c r="SU10" s="289">
        <v>2.6459999999999999</v>
      </c>
      <c r="SV10" s="289">
        <v>2.6760000000000002</v>
      </c>
      <c r="SW10" s="289">
        <v>2.7040000000000002</v>
      </c>
      <c r="SX10" s="289">
        <v>2.7360000000000002</v>
      </c>
      <c r="SY10" s="289">
        <v>2.766</v>
      </c>
      <c r="SZ10" s="289">
        <v>2.7946</v>
      </c>
      <c r="TA10" s="289">
        <v>2.8201999999999998</v>
      </c>
      <c r="TB10" s="289">
        <v>2.8450000000000002</v>
      </c>
      <c r="TC10" s="289">
        <v>2.8681999999999999</v>
      </c>
      <c r="TD10" s="289">
        <v>2.8938000000000001</v>
      </c>
      <c r="TE10" s="289">
        <v>2.9178000000000002</v>
      </c>
      <c r="TF10" s="289">
        <v>2.9342000000000001</v>
      </c>
      <c r="TG10" s="185">
        <v>4</v>
      </c>
      <c r="TH10" s="1"/>
      <c r="TI10" s="1"/>
      <c r="TJ10" s="185">
        <v>4</v>
      </c>
      <c r="TK10" s="289">
        <v>2.2810000000000001</v>
      </c>
      <c r="TL10" s="289">
        <v>2.3119999999999998</v>
      </c>
      <c r="TM10" s="289">
        <v>2.34</v>
      </c>
      <c r="TN10" s="289">
        <v>2.3690000000000002</v>
      </c>
      <c r="TO10" s="289">
        <v>2.4009999999999998</v>
      </c>
      <c r="TP10" s="289">
        <v>2.431</v>
      </c>
      <c r="TQ10" s="289">
        <v>2.46</v>
      </c>
      <c r="TR10" s="289">
        <v>2.4929999999999999</v>
      </c>
      <c r="TS10" s="289">
        <v>2.5219999999999998</v>
      </c>
      <c r="TT10" s="289">
        <v>2.5539999999999998</v>
      </c>
      <c r="TU10" s="289">
        <v>2.585</v>
      </c>
      <c r="TV10" s="289">
        <v>2.613</v>
      </c>
      <c r="TW10" s="185">
        <v>4</v>
      </c>
    </row>
    <row r="11" spans="2:543" ht="20.100000000000001" customHeight="1">
      <c r="B11" s="64">
        <v>5</v>
      </c>
      <c r="C11" s="289">
        <v>20.588999999999999</v>
      </c>
      <c r="D11" s="289">
        <v>20.5562</v>
      </c>
      <c r="E11" s="289">
        <v>20.703299999999999</v>
      </c>
      <c r="F11" s="289">
        <v>19.8432</v>
      </c>
      <c r="G11" s="289">
        <v>20.335000000000001</v>
      </c>
      <c r="H11" s="289">
        <v>19.558499999999999</v>
      </c>
      <c r="I11" s="289">
        <v>20.381699999999999</v>
      </c>
      <c r="J11" s="289">
        <v>20.630500000000001</v>
      </c>
      <c r="K11" s="289">
        <v>20.247299999999999</v>
      </c>
      <c r="L11" s="289">
        <v>20.000800000000002</v>
      </c>
      <c r="M11" s="289">
        <v>19.667300000000001</v>
      </c>
      <c r="N11" s="289">
        <v>19.1433</v>
      </c>
      <c r="O11" s="64">
        <v>5</v>
      </c>
      <c r="R11" s="64">
        <v>5</v>
      </c>
      <c r="S11" s="289">
        <v>19.9087</v>
      </c>
      <c r="T11" s="289">
        <v>20.1953</v>
      </c>
      <c r="U11" s="289">
        <v>20.895700000000001</v>
      </c>
      <c r="V11" s="289">
        <v>20.602499999999999</v>
      </c>
      <c r="W11" s="289">
        <v>20.190200000000001</v>
      </c>
      <c r="X11" s="289">
        <v>20.060500000000001</v>
      </c>
      <c r="Y11" s="289">
        <v>20.036799999999999</v>
      </c>
      <c r="Z11" s="289">
        <v>19.891999999999999</v>
      </c>
      <c r="AA11" s="289">
        <v>19.970300000000002</v>
      </c>
      <c r="AB11" s="289">
        <v>20.510300000000001</v>
      </c>
      <c r="AC11" s="289">
        <v>20.8352</v>
      </c>
      <c r="AD11" s="289">
        <v>21.3033</v>
      </c>
      <c r="AE11" s="64">
        <v>5</v>
      </c>
      <c r="AH11" s="185">
        <v>5</v>
      </c>
      <c r="AI11" s="289">
        <v>18.881699999999999</v>
      </c>
      <c r="AJ11" s="289">
        <v>18.908200000000001</v>
      </c>
      <c r="AK11" s="289">
        <v>19.2837</v>
      </c>
      <c r="AL11" s="289">
        <v>24.108699999999999</v>
      </c>
      <c r="AM11" s="289">
        <v>23.9283</v>
      </c>
      <c r="AN11" s="289">
        <v>21.604299999999999</v>
      </c>
      <c r="AO11" s="289">
        <v>22.522500000000001</v>
      </c>
      <c r="AP11" s="289">
        <v>22.614000000000001</v>
      </c>
      <c r="AQ11" s="289">
        <v>21.638300000000001</v>
      </c>
      <c r="AR11" s="289">
        <v>21.956199999999999</v>
      </c>
      <c r="AS11" s="289">
        <v>21.1555</v>
      </c>
      <c r="AT11" s="289">
        <v>19.908300000000001</v>
      </c>
      <c r="AU11" s="185">
        <v>5</v>
      </c>
      <c r="AX11" s="185">
        <v>5</v>
      </c>
      <c r="AY11" s="289">
        <v>19.607299999999999</v>
      </c>
      <c r="AZ11" s="289">
        <v>19.038799999999998</v>
      </c>
      <c r="BA11" s="289">
        <v>19.297799999999999</v>
      </c>
      <c r="BB11" s="289">
        <v>19.180499999999999</v>
      </c>
      <c r="BC11" s="289">
        <v>19.101400000000002</v>
      </c>
      <c r="BD11" s="289">
        <v>19.760899999999999</v>
      </c>
      <c r="BE11" s="289">
        <v>19.0502</v>
      </c>
      <c r="BF11" s="289">
        <v>19.162700000000001</v>
      </c>
      <c r="BG11" s="289">
        <v>20.003900000000002</v>
      </c>
      <c r="BH11" s="289">
        <v>19.736799999999999</v>
      </c>
      <c r="BI11" s="289">
        <v>19.105799999999999</v>
      </c>
      <c r="BJ11" s="289">
        <v>19.567799999999998</v>
      </c>
      <c r="BK11" s="185">
        <v>5</v>
      </c>
      <c r="BN11" s="185">
        <v>5</v>
      </c>
      <c r="BO11" s="289">
        <v>19.371700000000001</v>
      </c>
      <c r="BP11" s="289">
        <v>18.400400000000001</v>
      </c>
      <c r="BQ11" s="290">
        <v>18.861000000000001</v>
      </c>
      <c r="BR11" s="289">
        <v>18.2044</v>
      </c>
      <c r="BS11" s="289">
        <v>19.122299999999999</v>
      </c>
      <c r="BT11" s="289">
        <v>19.866199999999999</v>
      </c>
      <c r="BU11" s="289">
        <v>19.5974</v>
      </c>
      <c r="BV11" s="289">
        <v>18.634899999999998</v>
      </c>
      <c r="BW11" s="289">
        <v>19.213699999999999</v>
      </c>
      <c r="BX11" s="289">
        <v>18.801400000000001</v>
      </c>
      <c r="BY11" s="289">
        <v>20.317699999999999</v>
      </c>
      <c r="BZ11" s="289">
        <v>20.2346</v>
      </c>
      <c r="CA11" s="185">
        <v>5</v>
      </c>
      <c r="CD11" s="185">
        <v>5</v>
      </c>
      <c r="CE11" s="289">
        <v>20.852</v>
      </c>
      <c r="CF11" s="289">
        <v>20.575700000000001</v>
      </c>
      <c r="CG11" s="289">
        <v>19.9373</v>
      </c>
      <c r="CH11" s="289">
        <v>18.731999999999999</v>
      </c>
      <c r="CI11" s="289">
        <v>18.803100000000001</v>
      </c>
      <c r="CJ11" s="289">
        <v>18.594100000000001</v>
      </c>
      <c r="CK11" s="289">
        <v>18.206399999999999</v>
      </c>
      <c r="CL11" s="289">
        <v>17.8733</v>
      </c>
      <c r="CM11" s="289">
        <v>17.786100000000001</v>
      </c>
      <c r="CN11" s="289">
        <v>18.211300000000001</v>
      </c>
      <c r="CO11" s="289">
        <v>19.124099999999999</v>
      </c>
      <c r="CP11" s="289">
        <v>18.639900000000001</v>
      </c>
      <c r="CQ11" s="185">
        <v>5</v>
      </c>
      <c r="CT11" s="185">
        <v>5</v>
      </c>
      <c r="CU11" s="289">
        <v>17.248699999999999</v>
      </c>
      <c r="CV11" s="289">
        <v>18.453700000000001</v>
      </c>
      <c r="CW11" s="289">
        <v>17.897099999999998</v>
      </c>
      <c r="CX11" s="289">
        <v>17.3338</v>
      </c>
      <c r="CY11" s="289">
        <v>17.523399999999999</v>
      </c>
      <c r="CZ11" s="289">
        <v>18.6097</v>
      </c>
      <c r="DA11" s="289">
        <v>18.309000000000001</v>
      </c>
      <c r="DB11" s="289">
        <v>18.9117</v>
      </c>
      <c r="DC11" s="289">
        <v>18.8523</v>
      </c>
      <c r="DD11" s="289">
        <v>19.321100000000001</v>
      </c>
      <c r="DE11" s="289">
        <v>19.2014</v>
      </c>
      <c r="DF11" s="289">
        <v>20.748799999999999</v>
      </c>
      <c r="DG11" s="185">
        <v>5</v>
      </c>
      <c r="DJ11" s="185">
        <v>5</v>
      </c>
      <c r="DK11" s="289">
        <v>14.741400000000001</v>
      </c>
      <c r="DL11" s="289">
        <v>14.756600000000001</v>
      </c>
      <c r="DM11" s="289">
        <v>14.9544</v>
      </c>
      <c r="DN11" s="289">
        <v>15.264699999999999</v>
      </c>
      <c r="DO11" s="289">
        <v>15.3714</v>
      </c>
      <c r="DP11" s="289">
        <v>15.4833</v>
      </c>
      <c r="DQ11" s="289">
        <v>15.7829</v>
      </c>
      <c r="DR11" s="289">
        <v>16.1129</v>
      </c>
      <c r="DS11" s="289">
        <v>16.944400000000002</v>
      </c>
      <c r="DT11" s="289">
        <v>16.8566</v>
      </c>
      <c r="DU11" s="289">
        <v>16.419599999999999</v>
      </c>
      <c r="DV11" s="289">
        <v>16.709499999999998</v>
      </c>
      <c r="DW11" s="185">
        <v>5</v>
      </c>
      <c r="DZ11" s="185">
        <v>5</v>
      </c>
      <c r="EA11" s="289">
        <v>13.101100000000001</v>
      </c>
      <c r="EB11" s="289">
        <v>13.376899999999999</v>
      </c>
      <c r="EC11" s="289">
        <v>13.3201</v>
      </c>
      <c r="ED11" s="289">
        <v>13.132400000000001</v>
      </c>
      <c r="EE11" s="289">
        <v>13.0901</v>
      </c>
      <c r="EF11" s="289">
        <v>12.944699999999999</v>
      </c>
      <c r="EG11" s="289">
        <v>12.982900000000001</v>
      </c>
      <c r="EH11" s="289">
        <v>13.193199999999999</v>
      </c>
      <c r="EI11" s="289">
        <v>13.0892</v>
      </c>
      <c r="EJ11" s="289">
        <v>13.4026</v>
      </c>
      <c r="EK11" s="289">
        <v>13.5503</v>
      </c>
      <c r="EL11" s="289">
        <v>14.091799999999999</v>
      </c>
      <c r="EM11" s="185">
        <v>5</v>
      </c>
      <c r="EP11" s="185">
        <v>5</v>
      </c>
      <c r="EQ11" s="289">
        <v>12.743</v>
      </c>
      <c r="ER11" s="289">
        <v>12.7094</v>
      </c>
      <c r="ES11" s="289">
        <v>12.8012</v>
      </c>
      <c r="ET11" s="289">
        <v>12.326599999999999</v>
      </c>
      <c r="EU11" s="289">
        <v>12.175599999999999</v>
      </c>
      <c r="EV11" s="289">
        <v>12.7882</v>
      </c>
      <c r="EW11" s="289">
        <v>13.037699999999999</v>
      </c>
      <c r="EX11" s="289">
        <v>12.806800000000001</v>
      </c>
      <c r="EY11" s="289">
        <v>13.439399999999999</v>
      </c>
      <c r="EZ11" s="289">
        <v>13.266299999999999</v>
      </c>
      <c r="FA11" s="289">
        <v>13.078900000000001</v>
      </c>
      <c r="FB11" s="289">
        <v>13.2372</v>
      </c>
      <c r="FC11" s="185">
        <v>5</v>
      </c>
      <c r="FF11" s="185">
        <v>5</v>
      </c>
      <c r="FG11" s="289">
        <v>13.6882</v>
      </c>
      <c r="FH11" s="289">
        <v>12.803800000000001</v>
      </c>
      <c r="FI11" s="289">
        <v>12.776400000000001</v>
      </c>
      <c r="FJ11" s="289">
        <v>12.7317</v>
      </c>
      <c r="FK11" s="289">
        <v>12.9725</v>
      </c>
      <c r="FL11" s="289">
        <v>14.3949</v>
      </c>
      <c r="FM11" s="289">
        <v>13.317399999999999</v>
      </c>
      <c r="FN11" s="289">
        <v>13.3927</v>
      </c>
      <c r="FO11" s="289">
        <v>13.191000000000001</v>
      </c>
      <c r="FP11" s="289">
        <v>12.8528</v>
      </c>
      <c r="FQ11" s="289">
        <v>13.091100000000001</v>
      </c>
      <c r="FR11" s="289">
        <v>12.9335</v>
      </c>
      <c r="FS11" s="185">
        <v>5</v>
      </c>
      <c r="FV11" s="185">
        <v>5</v>
      </c>
      <c r="FW11" s="289">
        <v>12.257400000000001</v>
      </c>
      <c r="FX11" s="289">
        <v>12.049899999999999</v>
      </c>
      <c r="FY11" s="289">
        <v>12.036799999999999</v>
      </c>
      <c r="FZ11" s="289">
        <v>11.841200000000001</v>
      </c>
      <c r="GA11" s="289">
        <v>11.5665</v>
      </c>
      <c r="GB11" s="289">
        <v>11.6739</v>
      </c>
      <c r="GC11" s="289">
        <v>11.636799999999999</v>
      </c>
      <c r="GD11" s="289">
        <v>11.847300000000001</v>
      </c>
      <c r="GE11" s="289">
        <v>12.2616</v>
      </c>
      <c r="GF11" s="289">
        <v>13.896699999999999</v>
      </c>
      <c r="GG11" s="289">
        <v>13.412800000000001</v>
      </c>
      <c r="GH11" s="289">
        <v>13.589399999999999</v>
      </c>
      <c r="GI11" s="185">
        <v>5</v>
      </c>
      <c r="GL11" s="185">
        <v>5</v>
      </c>
      <c r="GM11" s="289">
        <v>13.065899999999999</v>
      </c>
      <c r="GN11" s="289">
        <v>12.939500000000001</v>
      </c>
      <c r="GO11" s="289">
        <v>12.69</v>
      </c>
      <c r="GP11" s="289">
        <v>12.4145</v>
      </c>
      <c r="GQ11" s="289">
        <v>12.2605</v>
      </c>
      <c r="GR11" s="289">
        <v>12.7644</v>
      </c>
      <c r="GS11" s="289">
        <v>13.032500000000001</v>
      </c>
      <c r="GT11" s="289">
        <v>12.604799999999999</v>
      </c>
      <c r="GU11" s="289">
        <v>13.055</v>
      </c>
      <c r="GV11" s="289">
        <v>12.5511</v>
      </c>
      <c r="GW11" s="289">
        <v>12.3041</v>
      </c>
      <c r="GX11" s="289">
        <v>12.3546</v>
      </c>
      <c r="GY11" s="185">
        <v>5</v>
      </c>
      <c r="HB11" s="185">
        <v>5</v>
      </c>
      <c r="HC11" s="289">
        <v>13.8325</v>
      </c>
      <c r="HD11" s="289">
        <v>14.5404</v>
      </c>
      <c r="HE11" s="289">
        <v>15.337199999999999</v>
      </c>
      <c r="HF11" s="289">
        <v>13.792400000000001</v>
      </c>
      <c r="HG11" s="289">
        <v>13.8443</v>
      </c>
      <c r="HH11" s="289">
        <v>13.3172</v>
      </c>
      <c r="HI11" s="289">
        <v>13.169499999999999</v>
      </c>
      <c r="HJ11" s="289">
        <v>13.129300000000001</v>
      </c>
      <c r="HK11" s="289">
        <v>13.5898</v>
      </c>
      <c r="HL11" s="289">
        <v>13.6242</v>
      </c>
      <c r="HM11" s="289">
        <v>13.290800000000001</v>
      </c>
      <c r="HN11" s="289">
        <v>12.665800000000001</v>
      </c>
      <c r="HO11" s="185">
        <v>5</v>
      </c>
      <c r="HP11" s="1"/>
      <c r="HQ11" s="1"/>
      <c r="HR11" s="185">
        <v>5</v>
      </c>
      <c r="HS11" s="289">
        <v>10.8842</v>
      </c>
      <c r="HT11" s="289">
        <v>10.8262</v>
      </c>
      <c r="HU11" s="289">
        <v>10.704599999999999</v>
      </c>
      <c r="HV11" s="289">
        <v>10.564399999999999</v>
      </c>
      <c r="HW11" s="289">
        <v>10.509499999999999</v>
      </c>
      <c r="HX11" s="289">
        <v>10.299200000000001</v>
      </c>
      <c r="HY11" s="289">
        <v>10.369199999999999</v>
      </c>
      <c r="HZ11" s="289">
        <v>9.9704999999999995</v>
      </c>
      <c r="IA11" s="289">
        <v>10.385199999999999</v>
      </c>
      <c r="IB11" s="289">
        <v>11.1296</v>
      </c>
      <c r="IC11" s="289">
        <v>12.7875</v>
      </c>
      <c r="ID11" s="289">
        <v>13.599600000000001</v>
      </c>
      <c r="IE11" s="185">
        <v>5</v>
      </c>
      <c r="IF11" s="1"/>
      <c r="IG11" s="1"/>
      <c r="IH11" s="185">
        <v>5</v>
      </c>
      <c r="II11" s="289">
        <v>10.770799999999999</v>
      </c>
      <c r="IJ11" s="289">
        <v>10.981999999999999</v>
      </c>
      <c r="IK11" s="289">
        <v>11.191700000000001</v>
      </c>
      <c r="IL11" s="289">
        <v>10.979699999999999</v>
      </c>
      <c r="IM11" s="289">
        <v>10.901999999999999</v>
      </c>
      <c r="IN11" s="289">
        <v>10.713100000000001</v>
      </c>
      <c r="IO11" s="289">
        <v>10.7698</v>
      </c>
      <c r="IP11" s="289">
        <v>10.940200000000001</v>
      </c>
      <c r="IQ11" s="289">
        <v>11.0169</v>
      </c>
      <c r="IR11" s="289">
        <v>10.868499999999999</v>
      </c>
      <c r="IS11" s="289">
        <v>10.702299999999999</v>
      </c>
      <c r="IT11" s="289">
        <v>10.9124</v>
      </c>
      <c r="IU11" s="185">
        <v>5</v>
      </c>
      <c r="IV11" s="1"/>
      <c r="IW11" s="1"/>
      <c r="IX11" s="185">
        <v>5</v>
      </c>
      <c r="IY11" s="289">
        <v>10.6455</v>
      </c>
      <c r="IZ11" s="289">
        <v>10.480499999999999</v>
      </c>
      <c r="JA11" s="289">
        <v>10.5113</v>
      </c>
      <c r="JB11" s="289">
        <v>10.871700000000001</v>
      </c>
      <c r="JC11" s="289">
        <v>10.960800000000001</v>
      </c>
      <c r="JD11" s="289">
        <v>11.2843</v>
      </c>
      <c r="JE11" s="289">
        <v>11.1302</v>
      </c>
      <c r="JF11" s="289">
        <v>10.9802</v>
      </c>
      <c r="JG11" s="289">
        <v>10.895200000000001</v>
      </c>
      <c r="JH11" s="289">
        <v>11.0404</v>
      </c>
      <c r="JI11" s="289">
        <v>10.744899999999999</v>
      </c>
      <c r="JJ11" s="289">
        <v>10.9975</v>
      </c>
      <c r="JK11" s="185">
        <v>5</v>
      </c>
      <c r="JL11" s="1"/>
      <c r="JM11" s="1"/>
      <c r="JN11" s="185">
        <v>5</v>
      </c>
      <c r="JO11" s="289">
        <v>11.200699999999999</v>
      </c>
      <c r="JP11" s="289">
        <v>11.1683</v>
      </c>
      <c r="JQ11" s="289">
        <v>11.0837</v>
      </c>
      <c r="JR11" s="289">
        <v>11.189299999999999</v>
      </c>
      <c r="JS11" s="289">
        <v>11.0284</v>
      </c>
      <c r="JT11" s="289">
        <v>10.814399999999999</v>
      </c>
      <c r="JU11" s="289">
        <v>10.732699999999999</v>
      </c>
      <c r="JV11" s="289">
        <v>10.613799999999999</v>
      </c>
      <c r="JW11" s="289">
        <v>10.7234</v>
      </c>
      <c r="JX11" s="289">
        <v>10.7683</v>
      </c>
      <c r="JY11" s="289">
        <v>10.7218</v>
      </c>
      <c r="JZ11" s="289">
        <v>10.524699999999999</v>
      </c>
      <c r="KA11" s="185">
        <v>5</v>
      </c>
      <c r="KB11" s="1"/>
      <c r="KC11" s="1"/>
      <c r="KD11" s="185">
        <v>5</v>
      </c>
      <c r="KE11" s="289">
        <v>11.2372</v>
      </c>
      <c r="KF11" s="289">
        <v>11.082000000000001</v>
      </c>
      <c r="KG11" s="289">
        <v>11.030099999999999</v>
      </c>
      <c r="KH11" s="289">
        <v>11.1828</v>
      </c>
      <c r="KI11" s="289">
        <v>11.430999999999999</v>
      </c>
      <c r="KJ11" s="289">
        <v>11.4373</v>
      </c>
      <c r="KK11" s="289">
        <v>11.4922</v>
      </c>
      <c r="KL11" s="289">
        <v>11.405200000000001</v>
      </c>
      <c r="KM11" s="289">
        <v>11.4725</v>
      </c>
      <c r="KN11" s="289">
        <v>11.350300000000001</v>
      </c>
      <c r="KO11" s="289">
        <v>11.424799999999999</v>
      </c>
      <c r="KP11" s="289">
        <v>11.145300000000001</v>
      </c>
      <c r="KQ11" s="185">
        <v>5</v>
      </c>
      <c r="KR11" s="1"/>
      <c r="KS11" s="1"/>
      <c r="KT11" s="185">
        <v>5</v>
      </c>
      <c r="KU11" s="289">
        <v>10.3626</v>
      </c>
      <c r="KV11" s="289">
        <v>10.8833</v>
      </c>
      <c r="KW11" s="289">
        <v>10.9902</v>
      </c>
      <c r="KX11" s="289">
        <v>10.661899999999999</v>
      </c>
      <c r="KY11" s="289">
        <v>10.3</v>
      </c>
      <c r="KZ11" s="289">
        <v>10.2598</v>
      </c>
      <c r="LA11" s="289">
        <v>10.446999999999999</v>
      </c>
      <c r="LB11" s="289">
        <v>10.5997</v>
      </c>
      <c r="LC11" s="289">
        <v>10.938599999999999</v>
      </c>
      <c r="LD11" s="289">
        <v>11.160299999999999</v>
      </c>
      <c r="LE11" s="289">
        <v>10.988099999999999</v>
      </c>
      <c r="LF11" s="289">
        <v>11.249599999999999</v>
      </c>
      <c r="LG11" s="185">
        <v>5</v>
      </c>
      <c r="LH11" s="1"/>
      <c r="LI11" s="1"/>
      <c r="LJ11" s="185">
        <v>5</v>
      </c>
      <c r="LK11" s="289">
        <v>9.1142000000000003</v>
      </c>
      <c r="LL11" s="289">
        <v>9.1544000000000008</v>
      </c>
      <c r="LM11" s="289">
        <v>9.0957000000000008</v>
      </c>
      <c r="LN11" s="289">
        <v>9.0397999999999996</v>
      </c>
      <c r="LO11" s="289">
        <v>9.4169999999999998</v>
      </c>
      <c r="LP11" s="289">
        <v>9.6397999999999993</v>
      </c>
      <c r="LQ11" s="289">
        <v>9.9670000000000005</v>
      </c>
      <c r="LR11" s="289">
        <v>9.8768999999999991</v>
      </c>
      <c r="LS11" s="289">
        <v>9.9788999999999994</v>
      </c>
      <c r="LT11" s="289">
        <v>10.139799999999999</v>
      </c>
      <c r="LU11" s="289">
        <v>10.199199999999999</v>
      </c>
      <c r="LV11" s="289">
        <v>10.142099999999999</v>
      </c>
      <c r="LW11" s="185">
        <v>5</v>
      </c>
      <c r="LX11" s="1"/>
      <c r="LY11" s="1"/>
      <c r="LZ11" s="185">
        <v>5</v>
      </c>
      <c r="MA11" s="289">
        <v>9.8339999999999996</v>
      </c>
      <c r="MB11" s="289">
        <v>9.7327999999999992</v>
      </c>
      <c r="MC11" s="289">
        <v>9.7051999999999996</v>
      </c>
      <c r="MD11" s="289">
        <v>9.3914000000000009</v>
      </c>
      <c r="ME11" s="289">
        <v>9.2873000000000001</v>
      </c>
      <c r="MF11" s="289">
        <v>9.1735000000000007</v>
      </c>
      <c r="MG11" s="289">
        <v>9.0258000000000003</v>
      </c>
      <c r="MH11" s="289">
        <v>9.1698000000000004</v>
      </c>
      <c r="MI11" s="289">
        <v>9.1936</v>
      </c>
      <c r="MJ11" s="289">
        <v>9.5273000000000003</v>
      </c>
      <c r="MK11" s="289">
        <v>9.2891999999999992</v>
      </c>
      <c r="ML11" s="289">
        <v>9.2050000000000001</v>
      </c>
      <c r="MM11" s="185">
        <v>5</v>
      </c>
      <c r="MN11" s="1"/>
      <c r="MO11" s="1"/>
      <c r="MP11" s="185">
        <v>5</v>
      </c>
      <c r="MQ11" s="289">
        <v>9.3948999999999998</v>
      </c>
      <c r="MR11" s="289">
        <v>9.5010999999999992</v>
      </c>
      <c r="MS11" s="289">
        <v>9.3382000000000005</v>
      </c>
      <c r="MT11" s="289">
        <v>9.2760999999999996</v>
      </c>
      <c r="MU11" s="289">
        <v>9.3848000000000003</v>
      </c>
      <c r="MV11" s="289">
        <v>9.4987999999999992</v>
      </c>
      <c r="MW11" s="289">
        <v>9.5460999999999991</v>
      </c>
      <c r="MX11" s="289">
        <v>9.3880999999999997</v>
      </c>
      <c r="MY11" s="289">
        <v>9.2013999999999996</v>
      </c>
      <c r="MZ11" s="289">
        <v>9.4014000000000006</v>
      </c>
      <c r="NA11" s="289">
        <v>9.5823999999999998</v>
      </c>
      <c r="NB11" s="289">
        <v>9.4154999999999998</v>
      </c>
      <c r="NC11" s="185">
        <v>5</v>
      </c>
      <c r="ND11" s="1"/>
      <c r="NE11" s="1"/>
      <c r="NF11" s="185">
        <v>5</v>
      </c>
      <c r="NG11" s="289">
        <v>9.8963000000000001</v>
      </c>
      <c r="NH11" s="289">
        <v>10.113799999999999</v>
      </c>
      <c r="NI11" s="289">
        <v>9.9641000000000002</v>
      </c>
      <c r="NJ11" s="289">
        <v>9.5375999999999994</v>
      </c>
      <c r="NK11" s="289">
        <v>9.2689000000000004</v>
      </c>
      <c r="NL11" s="289">
        <v>9.6545000000000005</v>
      </c>
      <c r="NM11" s="289">
        <v>9.3773</v>
      </c>
      <c r="NN11" s="289">
        <v>9.4551999999999996</v>
      </c>
      <c r="NO11" s="289">
        <v>9.3739000000000008</v>
      </c>
      <c r="NP11" s="289">
        <v>9.4062999999999999</v>
      </c>
      <c r="NQ11" s="289">
        <v>9.5551999999999992</v>
      </c>
      <c r="NR11" s="289">
        <v>9.5326000000000004</v>
      </c>
      <c r="NS11" s="185">
        <v>5</v>
      </c>
      <c r="NT11" s="1"/>
      <c r="NU11" s="1"/>
      <c r="NV11" s="185">
        <v>5</v>
      </c>
      <c r="NW11" s="289">
        <v>8.0680999999999994</v>
      </c>
      <c r="NX11" s="289">
        <v>8.4322999999999997</v>
      </c>
      <c r="NY11" s="289">
        <v>8.5347000000000008</v>
      </c>
      <c r="NZ11" s="289">
        <v>8.5213999999999999</v>
      </c>
      <c r="OA11" s="289">
        <v>8.4898000000000007</v>
      </c>
      <c r="OB11" s="289">
        <v>8.7957999999999998</v>
      </c>
      <c r="OC11" s="289">
        <v>8.9863</v>
      </c>
      <c r="OD11" s="289">
        <v>8.9544999999999995</v>
      </c>
      <c r="OE11" s="289">
        <v>10.107200000000001</v>
      </c>
      <c r="OF11" s="289">
        <v>10.313700000000001</v>
      </c>
      <c r="OG11" s="289">
        <v>10.0312</v>
      </c>
      <c r="OH11" s="289">
        <v>9.9876000000000005</v>
      </c>
      <c r="OI11" s="185">
        <v>5</v>
      </c>
      <c r="OJ11" s="1"/>
      <c r="OK11" s="1"/>
      <c r="OL11" s="185">
        <v>5</v>
      </c>
      <c r="OM11" s="289">
        <v>7.9027000000000003</v>
      </c>
      <c r="ON11" s="289">
        <v>7.8182999999999998</v>
      </c>
      <c r="OO11" s="289">
        <v>8.0116999999999994</v>
      </c>
      <c r="OP11" s="289">
        <v>7.9720000000000004</v>
      </c>
      <c r="OQ11" s="289">
        <v>7.9519000000000002</v>
      </c>
      <c r="OR11" s="289">
        <v>7.9118000000000004</v>
      </c>
      <c r="OS11" s="289">
        <v>7.9497</v>
      </c>
      <c r="OT11" s="289">
        <v>7.8243999999999998</v>
      </c>
      <c r="OU11" s="289">
        <v>7.7686999999999999</v>
      </c>
      <c r="OV11" s="289">
        <v>7.7530000000000001</v>
      </c>
      <c r="OW11" s="289">
        <v>8.2367000000000008</v>
      </c>
      <c r="OX11" s="289">
        <v>8.1305999999999994</v>
      </c>
      <c r="OY11" s="185">
        <v>5</v>
      </c>
      <c r="OZ11" s="1"/>
      <c r="PA11" s="1"/>
      <c r="PB11" s="185">
        <v>5</v>
      </c>
      <c r="PC11" s="289">
        <v>7.5595999999999997</v>
      </c>
      <c r="PD11" s="289">
        <v>7.4169999999999998</v>
      </c>
      <c r="PE11" s="289">
        <v>7.5891000000000002</v>
      </c>
      <c r="PF11" s="289">
        <v>7.5110000000000001</v>
      </c>
      <c r="PG11" s="289">
        <v>7.4691999999999998</v>
      </c>
      <c r="PH11" s="289">
        <v>7.4747000000000003</v>
      </c>
      <c r="PI11" s="289">
        <v>7.5925000000000002</v>
      </c>
      <c r="PJ11" s="289">
        <v>7.5709</v>
      </c>
      <c r="PK11" s="289">
        <v>7.5827999999999998</v>
      </c>
      <c r="PL11" s="289">
        <v>7.5301999999999998</v>
      </c>
      <c r="PM11" s="289">
        <v>7.9653</v>
      </c>
      <c r="PN11" s="289">
        <v>7.8787000000000003</v>
      </c>
      <c r="PO11" s="185">
        <v>5</v>
      </c>
      <c r="PP11" s="1"/>
      <c r="PQ11" s="1"/>
      <c r="PR11" s="185">
        <v>5</v>
      </c>
      <c r="PS11" s="289">
        <v>5.5</v>
      </c>
      <c r="PT11" s="289">
        <v>5.4550000000000001</v>
      </c>
      <c r="PU11" s="289">
        <v>5.9625000000000004</v>
      </c>
      <c r="PV11" s="289">
        <v>6.8025000000000002</v>
      </c>
      <c r="PW11" s="289">
        <v>5.8692000000000002</v>
      </c>
      <c r="PX11" s="289">
        <v>6.2167000000000003</v>
      </c>
      <c r="PY11" s="289">
        <v>6.2424999999999997</v>
      </c>
      <c r="PZ11" s="289">
        <v>6.1257999999999999</v>
      </c>
      <c r="QA11" s="289">
        <v>6.2763</v>
      </c>
      <c r="QB11" s="289">
        <v>6.5883000000000003</v>
      </c>
      <c r="QC11" s="289">
        <v>7.4032999999999998</v>
      </c>
      <c r="QD11" s="289">
        <v>7.5766999999999998</v>
      </c>
      <c r="QE11" s="185">
        <v>5</v>
      </c>
      <c r="QF11" s="1"/>
      <c r="QG11" s="1"/>
      <c r="QH11" s="185">
        <v>5</v>
      </c>
      <c r="QI11" s="289">
        <v>3.1074999999999999</v>
      </c>
      <c r="QJ11" s="289">
        <v>3.1055999999999999</v>
      </c>
      <c r="QK11" s="289">
        <v>3.2513000000000001</v>
      </c>
      <c r="QL11" s="289">
        <v>3.3605999999999998</v>
      </c>
      <c r="QM11" s="289">
        <v>3.3144999999999998</v>
      </c>
      <c r="QN11" s="289">
        <v>3.3252999999999999</v>
      </c>
      <c r="QO11" s="289">
        <v>3.3944999999999999</v>
      </c>
      <c r="QP11" s="289">
        <v>3.3753000000000002</v>
      </c>
      <c r="QQ11" s="289">
        <v>3.3908</v>
      </c>
      <c r="QR11" s="289">
        <v>3.3984000000000001</v>
      </c>
      <c r="QS11" s="289">
        <v>3.4350000000000001</v>
      </c>
      <c r="QT11" s="289">
        <v>3.4386000000000001</v>
      </c>
      <c r="QU11" s="185">
        <v>5</v>
      </c>
      <c r="QV11" s="1"/>
      <c r="QW11" s="1"/>
      <c r="QX11" s="185">
        <v>5</v>
      </c>
      <c r="QY11" s="289">
        <v>3.1208999999999998</v>
      </c>
      <c r="QZ11" s="289">
        <v>3.1017000000000001</v>
      </c>
      <c r="RA11" s="289">
        <v>3.0948000000000002</v>
      </c>
      <c r="RB11" s="289">
        <v>3.0939999999999999</v>
      </c>
      <c r="RC11" s="289">
        <v>3.1078999999999999</v>
      </c>
      <c r="RD11" s="289">
        <v>3.125</v>
      </c>
      <c r="RE11" s="289">
        <v>3.1292</v>
      </c>
      <c r="RF11" s="289">
        <v>3.1107</v>
      </c>
      <c r="RG11" s="289">
        <v>3.1139000000000001</v>
      </c>
      <c r="RH11" s="289">
        <v>3.1162999999999998</v>
      </c>
      <c r="RI11" s="289">
        <v>3.1480999999999999</v>
      </c>
      <c r="RJ11" s="289">
        <v>3.1036999999999999</v>
      </c>
      <c r="RK11" s="185">
        <v>5</v>
      </c>
      <c r="RL11" s="1"/>
      <c r="RM11" s="1"/>
      <c r="RN11" s="185">
        <v>5</v>
      </c>
      <c r="RO11" s="289">
        <v>3.0752999999999999</v>
      </c>
      <c r="RP11" s="289">
        <v>3.0655999999999999</v>
      </c>
      <c r="RQ11" s="289">
        <v>3.0625</v>
      </c>
      <c r="RR11" s="289">
        <v>3.0609000000000002</v>
      </c>
      <c r="RS11" s="289">
        <v>3.0785999999999998</v>
      </c>
      <c r="RT11" s="289">
        <v>3.1185</v>
      </c>
      <c r="RU11" s="289">
        <v>3.1204000000000001</v>
      </c>
      <c r="RV11" s="289">
        <v>3.1093999999999999</v>
      </c>
      <c r="RW11" s="289">
        <v>3.0699000000000001</v>
      </c>
      <c r="RX11" s="289">
        <v>3.1110000000000002</v>
      </c>
      <c r="RY11" s="289">
        <v>3.1257999999999999</v>
      </c>
      <c r="RZ11" s="289">
        <v>3.1139000000000001</v>
      </c>
      <c r="SA11" s="185">
        <v>5</v>
      </c>
      <c r="SB11" s="1"/>
      <c r="SC11" s="1"/>
      <c r="SD11" s="185">
        <v>5</v>
      </c>
      <c r="SE11" s="289">
        <v>2.9478</v>
      </c>
      <c r="SF11" s="289">
        <v>2.9594</v>
      </c>
      <c r="SG11" s="289">
        <v>2.9706000000000001</v>
      </c>
      <c r="SH11" s="289">
        <v>2.9838</v>
      </c>
      <c r="SI11" s="289">
        <v>2.9954000000000001</v>
      </c>
      <c r="SJ11" s="289">
        <v>3.0082</v>
      </c>
      <c r="SK11" s="289">
        <v>3.0202</v>
      </c>
      <c r="SL11" s="289">
        <v>3.0318000000000001</v>
      </c>
      <c r="SM11" s="289">
        <v>3.0449999999999999</v>
      </c>
      <c r="SN11" s="289">
        <v>3.0586000000000002</v>
      </c>
      <c r="SO11" s="289">
        <v>3.0701999999999998</v>
      </c>
      <c r="SP11" s="289">
        <v>3.06656</v>
      </c>
      <c r="SQ11" s="185">
        <v>5</v>
      </c>
      <c r="SR11" s="1"/>
      <c r="SS11" s="1"/>
      <c r="ST11" s="185">
        <v>5</v>
      </c>
      <c r="SU11" s="289">
        <v>2.6469999999999998</v>
      </c>
      <c r="SV11" s="289">
        <v>2.6760000000000002</v>
      </c>
      <c r="SW11" s="289">
        <v>2.7040000000000002</v>
      </c>
      <c r="SX11" s="289">
        <v>2.7370000000000001</v>
      </c>
      <c r="SY11" s="289">
        <v>2.7669999999999999</v>
      </c>
      <c r="SZ11" s="289">
        <v>2.7953999999999999</v>
      </c>
      <c r="TA11" s="289">
        <v>2.8210000000000002</v>
      </c>
      <c r="TB11" s="289">
        <v>2.8450000000000002</v>
      </c>
      <c r="TC11" s="289">
        <v>2.8706</v>
      </c>
      <c r="TD11" s="289">
        <v>2.8946000000000001</v>
      </c>
      <c r="TE11" s="289">
        <v>2.9178000000000002</v>
      </c>
      <c r="TF11" s="289">
        <v>2.9354</v>
      </c>
      <c r="TG11" s="185">
        <v>5</v>
      </c>
      <c r="TH11" s="1"/>
      <c r="TI11" s="1"/>
      <c r="TJ11" s="185">
        <v>5</v>
      </c>
      <c r="TK11" s="289">
        <v>2.282</v>
      </c>
      <c r="TL11" s="289">
        <v>2.3119999999999998</v>
      </c>
      <c r="TM11" s="289">
        <v>2.34</v>
      </c>
      <c r="TN11" s="289">
        <v>2.3719999999999999</v>
      </c>
      <c r="TO11" s="289">
        <v>2.4020000000000001</v>
      </c>
      <c r="TP11" s="289">
        <v>2.431</v>
      </c>
      <c r="TQ11" s="289">
        <v>2.4630000000000001</v>
      </c>
      <c r="TR11" s="289">
        <v>2.4940000000000002</v>
      </c>
      <c r="TS11" s="289">
        <v>2.5230000000000001</v>
      </c>
      <c r="TT11" s="289">
        <v>2.5550000000000002</v>
      </c>
      <c r="TU11" s="289">
        <v>2.585</v>
      </c>
      <c r="TV11" s="289">
        <v>2.6139999999999999</v>
      </c>
      <c r="TW11" s="185">
        <v>5</v>
      </c>
    </row>
    <row r="12" spans="2:543" ht="20.100000000000001" customHeight="1">
      <c r="B12" s="64">
        <v>6</v>
      </c>
      <c r="C12" s="289">
        <v>20.4742</v>
      </c>
      <c r="D12" s="289">
        <v>20.5562</v>
      </c>
      <c r="E12" s="289">
        <v>20.703299999999999</v>
      </c>
      <c r="F12" s="289">
        <v>19.744299999999999</v>
      </c>
      <c r="G12" s="289">
        <v>20.335000000000001</v>
      </c>
      <c r="H12" s="289">
        <v>19.558499999999999</v>
      </c>
      <c r="I12" s="289">
        <v>20.287700000000001</v>
      </c>
      <c r="J12" s="289">
        <v>20.335799999999999</v>
      </c>
      <c r="K12" s="289">
        <v>19.975300000000001</v>
      </c>
      <c r="L12" s="289">
        <v>19.969799999999999</v>
      </c>
      <c r="M12" s="289">
        <v>19.667300000000001</v>
      </c>
      <c r="N12" s="289">
        <v>19.342199999999998</v>
      </c>
      <c r="O12" s="64">
        <v>6</v>
      </c>
      <c r="R12" s="64">
        <v>6</v>
      </c>
      <c r="S12" s="289">
        <v>19.845700000000001</v>
      </c>
      <c r="T12" s="289">
        <v>20.4435</v>
      </c>
      <c r="U12" s="289">
        <v>20.849799999999998</v>
      </c>
      <c r="V12" s="289">
        <v>20.440000000000001</v>
      </c>
      <c r="W12" s="289">
        <v>20.190200000000001</v>
      </c>
      <c r="X12" s="289">
        <v>20.060500000000001</v>
      </c>
      <c r="Y12" s="289">
        <v>19.881699999999999</v>
      </c>
      <c r="Z12" s="289">
        <v>19.954699999999999</v>
      </c>
      <c r="AA12" s="289">
        <v>19.970300000000002</v>
      </c>
      <c r="AB12" s="289">
        <v>20.5747</v>
      </c>
      <c r="AC12" s="289">
        <v>20.624199999999998</v>
      </c>
      <c r="AD12" s="289">
        <v>21.3033</v>
      </c>
      <c r="AE12" s="64">
        <v>6</v>
      </c>
      <c r="AH12" s="185">
        <v>6</v>
      </c>
      <c r="AI12" s="289">
        <v>18.881699999999999</v>
      </c>
      <c r="AJ12" s="289">
        <v>18.6797</v>
      </c>
      <c r="AK12" s="289">
        <v>19.5335</v>
      </c>
      <c r="AL12" s="289">
        <v>24.108699999999999</v>
      </c>
      <c r="AM12" s="289">
        <v>24.3812</v>
      </c>
      <c r="AN12" s="289">
        <v>21.838799999999999</v>
      </c>
      <c r="AO12" s="289">
        <v>22.522500000000001</v>
      </c>
      <c r="AP12" s="289">
        <v>22.784500000000001</v>
      </c>
      <c r="AQ12" s="289">
        <v>21.638300000000001</v>
      </c>
      <c r="AR12" s="289">
        <v>21.702500000000001</v>
      </c>
      <c r="AS12" s="289">
        <v>21.034500000000001</v>
      </c>
      <c r="AT12" s="289">
        <v>19.908300000000001</v>
      </c>
      <c r="AU12" s="185">
        <v>6</v>
      </c>
      <c r="AX12" s="185">
        <v>6</v>
      </c>
      <c r="AY12" s="289">
        <v>19.607299999999999</v>
      </c>
      <c r="AZ12" s="289">
        <v>19.1098</v>
      </c>
      <c r="BA12" s="289">
        <v>19.303899999999999</v>
      </c>
      <c r="BB12" s="289">
        <v>19.172799999999999</v>
      </c>
      <c r="BC12" s="289">
        <v>19.101400000000002</v>
      </c>
      <c r="BD12" s="289">
        <v>19.6007</v>
      </c>
      <c r="BE12" s="289">
        <v>18.994700000000002</v>
      </c>
      <c r="BF12" s="289">
        <v>19.311599999999999</v>
      </c>
      <c r="BG12" s="289">
        <v>19.7806</v>
      </c>
      <c r="BH12" s="289">
        <v>19.736799999999999</v>
      </c>
      <c r="BI12" s="289">
        <v>19.1525</v>
      </c>
      <c r="BJ12" s="289">
        <v>19.470700000000001</v>
      </c>
      <c r="BK12" s="185">
        <v>6</v>
      </c>
      <c r="BN12" s="185">
        <v>6</v>
      </c>
      <c r="BO12" s="289">
        <v>19.242699999999999</v>
      </c>
      <c r="BP12" s="289">
        <v>18.400400000000001</v>
      </c>
      <c r="BQ12" s="290">
        <v>18.890899999999998</v>
      </c>
      <c r="BR12" s="289">
        <v>18.224399999999999</v>
      </c>
      <c r="BS12" s="289">
        <v>19.122299999999999</v>
      </c>
      <c r="BT12" s="289">
        <v>19.993400000000001</v>
      </c>
      <c r="BU12" s="289">
        <v>19.4284</v>
      </c>
      <c r="BV12" s="289">
        <v>18.634899999999998</v>
      </c>
      <c r="BW12" s="289">
        <v>19.360900000000001</v>
      </c>
      <c r="BX12" s="289">
        <v>19.1328</v>
      </c>
      <c r="BY12" s="289">
        <v>20.132899999999999</v>
      </c>
      <c r="BZ12" s="289">
        <v>20.5123</v>
      </c>
      <c r="CA12" s="185">
        <v>6</v>
      </c>
      <c r="CD12" s="185">
        <v>6</v>
      </c>
      <c r="CE12" s="289">
        <v>21.379899999999999</v>
      </c>
      <c r="CF12" s="289">
        <v>20.575700000000001</v>
      </c>
      <c r="CG12" s="289">
        <v>19.9373</v>
      </c>
      <c r="CH12" s="289">
        <v>18.833400000000001</v>
      </c>
      <c r="CI12" s="289">
        <v>18.803100000000001</v>
      </c>
      <c r="CJ12" s="289">
        <v>18.6204</v>
      </c>
      <c r="CK12" s="289">
        <v>18.203600000000002</v>
      </c>
      <c r="CL12" s="289">
        <v>17.8733</v>
      </c>
      <c r="CM12" s="289">
        <v>17.868300000000001</v>
      </c>
      <c r="CN12" s="289">
        <v>18.228200000000001</v>
      </c>
      <c r="CO12" s="289">
        <v>19.124099999999999</v>
      </c>
      <c r="CP12" s="289">
        <v>18.641999999999999</v>
      </c>
      <c r="CQ12" s="185">
        <v>6</v>
      </c>
      <c r="CT12" s="185">
        <v>6</v>
      </c>
      <c r="CU12" s="289">
        <v>17.352900000000002</v>
      </c>
      <c r="CV12" s="289">
        <v>18.1891</v>
      </c>
      <c r="CW12" s="289">
        <v>17.897099999999998</v>
      </c>
      <c r="CX12" s="289">
        <v>17.448399999999999</v>
      </c>
      <c r="CY12" s="289">
        <v>17.523399999999999</v>
      </c>
      <c r="CZ12" s="289">
        <v>18.6097</v>
      </c>
      <c r="DA12" s="289">
        <v>18.3858</v>
      </c>
      <c r="DB12" s="289">
        <v>18.8612</v>
      </c>
      <c r="DC12" s="289">
        <v>18.658899999999999</v>
      </c>
      <c r="DD12" s="289">
        <v>19.213799999999999</v>
      </c>
      <c r="DE12" s="289">
        <v>19.2014</v>
      </c>
      <c r="DF12" s="289">
        <v>20.614899999999999</v>
      </c>
      <c r="DG12" s="185">
        <v>6</v>
      </c>
      <c r="DJ12" s="185">
        <v>6</v>
      </c>
      <c r="DK12" s="289">
        <v>14.829000000000001</v>
      </c>
      <c r="DL12" s="289">
        <v>14.8011</v>
      </c>
      <c r="DM12" s="289">
        <v>15.0756</v>
      </c>
      <c r="DN12" s="289">
        <v>15.264699999999999</v>
      </c>
      <c r="DO12" s="289">
        <v>15.494</v>
      </c>
      <c r="DP12" s="289">
        <v>15.4833</v>
      </c>
      <c r="DQ12" s="289">
        <v>15.6821</v>
      </c>
      <c r="DR12" s="289">
        <v>16.1736</v>
      </c>
      <c r="DS12" s="289">
        <v>16.944400000000002</v>
      </c>
      <c r="DT12" s="289">
        <v>16.816199999999998</v>
      </c>
      <c r="DU12" s="289">
        <v>16.514700000000001</v>
      </c>
      <c r="DV12" s="289">
        <v>16.709499999999998</v>
      </c>
      <c r="DW12" s="185">
        <v>6</v>
      </c>
      <c r="DZ12" s="185">
        <v>6</v>
      </c>
      <c r="EA12" s="289">
        <v>13.101100000000001</v>
      </c>
      <c r="EB12" s="289">
        <v>13.392799999999999</v>
      </c>
      <c r="EC12" s="289">
        <v>13.2752</v>
      </c>
      <c r="ED12" s="289">
        <v>13.132400000000001</v>
      </c>
      <c r="EE12" s="289">
        <v>12.998100000000001</v>
      </c>
      <c r="EF12" s="289">
        <v>12.9527</v>
      </c>
      <c r="EG12" s="289">
        <v>12.982900000000001</v>
      </c>
      <c r="EH12" s="289">
        <v>13.196199999999999</v>
      </c>
      <c r="EI12" s="289">
        <v>13.0959</v>
      </c>
      <c r="EJ12" s="289">
        <v>13.4026</v>
      </c>
      <c r="EK12" s="289">
        <v>13.592499999999999</v>
      </c>
      <c r="EL12" s="289">
        <v>14.1165</v>
      </c>
      <c r="EM12" s="185">
        <v>6</v>
      </c>
      <c r="EP12" s="185">
        <v>6</v>
      </c>
      <c r="EQ12" s="289">
        <v>12.743</v>
      </c>
      <c r="ER12" s="289">
        <v>12.637700000000001</v>
      </c>
      <c r="ES12" s="289">
        <v>12.7814</v>
      </c>
      <c r="ET12" s="289">
        <v>12.319699999999999</v>
      </c>
      <c r="EU12" s="289">
        <v>12.175599999999999</v>
      </c>
      <c r="EV12" s="289">
        <v>12.7317</v>
      </c>
      <c r="EW12" s="289">
        <v>12.8902</v>
      </c>
      <c r="EX12" s="289">
        <v>12.6904</v>
      </c>
      <c r="EY12" s="289">
        <v>13.3065</v>
      </c>
      <c r="EZ12" s="289">
        <v>13.266299999999999</v>
      </c>
      <c r="FA12" s="289">
        <v>12.9869</v>
      </c>
      <c r="FB12" s="289">
        <v>13.082599999999999</v>
      </c>
      <c r="FC12" s="185">
        <v>6</v>
      </c>
      <c r="FF12" s="185">
        <v>6</v>
      </c>
      <c r="FG12" s="289">
        <v>13.714399999999999</v>
      </c>
      <c r="FH12" s="289">
        <v>12.803800000000001</v>
      </c>
      <c r="FI12" s="289">
        <v>12.7723</v>
      </c>
      <c r="FJ12" s="289">
        <v>12.7317</v>
      </c>
      <c r="FK12" s="289">
        <v>12.9725</v>
      </c>
      <c r="FL12" s="289">
        <v>14.244300000000001</v>
      </c>
      <c r="FM12" s="289">
        <v>13.361700000000001</v>
      </c>
      <c r="FN12" s="289">
        <v>13.3927</v>
      </c>
      <c r="FO12" s="289">
        <v>13.1793</v>
      </c>
      <c r="FP12" s="289">
        <v>12.758900000000001</v>
      </c>
      <c r="FQ12" s="289">
        <v>13.0387</v>
      </c>
      <c r="FR12" s="289">
        <v>12.96</v>
      </c>
      <c r="FS12" s="185">
        <v>6</v>
      </c>
      <c r="FV12" s="185">
        <v>6</v>
      </c>
      <c r="FW12" s="289">
        <v>12.261900000000001</v>
      </c>
      <c r="FX12" s="289">
        <v>12.049899999999999</v>
      </c>
      <c r="FY12" s="289">
        <v>12.036799999999999</v>
      </c>
      <c r="FZ12" s="289">
        <v>11.853300000000001</v>
      </c>
      <c r="GA12" s="289">
        <v>11.6214</v>
      </c>
      <c r="GB12" s="289">
        <v>11.6739</v>
      </c>
      <c r="GC12" s="289">
        <v>11.592499999999999</v>
      </c>
      <c r="GD12" s="289">
        <v>11.952299999999999</v>
      </c>
      <c r="GE12" s="289">
        <v>12.3735</v>
      </c>
      <c r="GF12" s="289">
        <v>13.971399999999999</v>
      </c>
      <c r="GG12" s="289">
        <v>13.412800000000001</v>
      </c>
      <c r="GH12" s="289">
        <v>13.5488</v>
      </c>
      <c r="GI12" s="185">
        <v>6</v>
      </c>
      <c r="GL12" s="185">
        <v>6</v>
      </c>
      <c r="GM12" s="289">
        <v>12.922599999999999</v>
      </c>
      <c r="GN12" s="289">
        <v>13.0687</v>
      </c>
      <c r="GO12" s="289">
        <v>12.7182</v>
      </c>
      <c r="GP12" s="289">
        <v>12.3306</v>
      </c>
      <c r="GQ12" s="289">
        <v>12.428800000000001</v>
      </c>
      <c r="GR12" s="289">
        <v>12.7644</v>
      </c>
      <c r="GS12" s="289">
        <v>13.058999999999999</v>
      </c>
      <c r="GT12" s="289">
        <v>12.5535</v>
      </c>
      <c r="GU12" s="289">
        <v>13.055</v>
      </c>
      <c r="GV12" s="289">
        <v>12.5875</v>
      </c>
      <c r="GW12" s="289">
        <v>12.238099999999999</v>
      </c>
      <c r="GX12" s="289">
        <v>12.3546</v>
      </c>
      <c r="GY12" s="185">
        <v>6</v>
      </c>
      <c r="HB12" s="185">
        <v>6</v>
      </c>
      <c r="HC12" s="289">
        <v>13.767799999999999</v>
      </c>
      <c r="HD12" s="289">
        <v>14.466699999999999</v>
      </c>
      <c r="HE12" s="289">
        <v>15.2178</v>
      </c>
      <c r="HF12" s="289">
        <v>13.792400000000001</v>
      </c>
      <c r="HG12" s="289">
        <v>13.35</v>
      </c>
      <c r="HH12" s="289">
        <v>13.2675</v>
      </c>
      <c r="HI12" s="289">
        <v>13.169499999999999</v>
      </c>
      <c r="HJ12" s="289">
        <v>13.1073</v>
      </c>
      <c r="HK12" s="289">
        <v>13.5898</v>
      </c>
      <c r="HL12" s="289">
        <v>13.677300000000001</v>
      </c>
      <c r="HM12" s="289">
        <v>13.270799999999999</v>
      </c>
      <c r="HN12" s="289">
        <v>12.665800000000001</v>
      </c>
      <c r="HO12" s="185">
        <v>6</v>
      </c>
      <c r="HP12" s="1"/>
      <c r="HQ12" s="1"/>
      <c r="HR12" s="185">
        <v>6</v>
      </c>
      <c r="HS12" s="289">
        <v>10.8842</v>
      </c>
      <c r="HT12" s="289">
        <v>10.813800000000001</v>
      </c>
      <c r="HU12" s="289">
        <v>10.7098</v>
      </c>
      <c r="HV12" s="289">
        <v>10.564399999999999</v>
      </c>
      <c r="HW12" s="289">
        <v>10.458500000000001</v>
      </c>
      <c r="HX12" s="289">
        <v>10.321099999999999</v>
      </c>
      <c r="HY12" s="289">
        <v>10.369199999999999</v>
      </c>
      <c r="HZ12" s="289">
        <v>9.9335000000000004</v>
      </c>
      <c r="IA12" s="289">
        <v>10.4658</v>
      </c>
      <c r="IB12" s="289">
        <v>11.1296</v>
      </c>
      <c r="IC12" s="289">
        <v>12.4862</v>
      </c>
      <c r="ID12" s="289">
        <v>13.5358</v>
      </c>
      <c r="IE12" s="185">
        <v>6</v>
      </c>
      <c r="IF12" s="1"/>
      <c r="IG12" s="1"/>
      <c r="IH12" s="185">
        <v>6</v>
      </c>
      <c r="II12" s="289">
        <v>10.865</v>
      </c>
      <c r="IJ12" s="289">
        <v>10.981999999999999</v>
      </c>
      <c r="IK12" s="289">
        <v>11.181699999999999</v>
      </c>
      <c r="IL12" s="289">
        <v>10.979699999999999</v>
      </c>
      <c r="IM12" s="289">
        <v>10.901999999999999</v>
      </c>
      <c r="IN12" s="289">
        <v>10.7441</v>
      </c>
      <c r="IO12" s="289">
        <v>10.76</v>
      </c>
      <c r="IP12" s="289">
        <v>10.940200000000001</v>
      </c>
      <c r="IQ12" s="289">
        <v>11.0265</v>
      </c>
      <c r="IR12" s="289">
        <v>10.8963</v>
      </c>
      <c r="IS12" s="289">
        <v>10.6639</v>
      </c>
      <c r="IT12" s="289">
        <v>10.905900000000001</v>
      </c>
      <c r="IU12" s="185">
        <v>6</v>
      </c>
      <c r="IV12" s="1"/>
      <c r="IW12" s="1"/>
      <c r="IX12" s="185">
        <v>6</v>
      </c>
      <c r="IY12" s="289">
        <v>10.5815</v>
      </c>
      <c r="IZ12" s="289">
        <v>10.480499999999999</v>
      </c>
      <c r="JA12" s="289">
        <v>10.5113</v>
      </c>
      <c r="JB12" s="289">
        <v>10.854799999999999</v>
      </c>
      <c r="JC12" s="289">
        <v>10.9694</v>
      </c>
      <c r="JD12" s="289">
        <v>11.297000000000001</v>
      </c>
      <c r="JE12" s="289">
        <v>11.0642</v>
      </c>
      <c r="JF12" s="289">
        <v>10.9802</v>
      </c>
      <c r="JG12" s="289">
        <v>10.8476</v>
      </c>
      <c r="JH12" s="289">
        <v>11.0533</v>
      </c>
      <c r="JI12" s="289">
        <v>10.744899999999999</v>
      </c>
      <c r="JJ12" s="289">
        <v>10.9595</v>
      </c>
      <c r="JK12" s="185">
        <v>6</v>
      </c>
      <c r="JL12" s="1"/>
      <c r="JM12" s="1"/>
      <c r="JN12" s="185">
        <v>6</v>
      </c>
      <c r="JO12" s="289">
        <v>11.3087</v>
      </c>
      <c r="JP12" s="289">
        <v>11.1683</v>
      </c>
      <c r="JQ12" s="289">
        <v>11.0837</v>
      </c>
      <c r="JR12" s="289">
        <v>11.217499999999999</v>
      </c>
      <c r="JS12" s="289">
        <v>10.981999999999999</v>
      </c>
      <c r="JT12" s="289">
        <v>10.814399999999999</v>
      </c>
      <c r="JU12" s="289">
        <v>10.7438</v>
      </c>
      <c r="JV12" s="289">
        <v>10.5831</v>
      </c>
      <c r="JW12" s="289">
        <v>10.683999999999999</v>
      </c>
      <c r="JX12" s="289">
        <v>10.685700000000001</v>
      </c>
      <c r="JY12" s="289">
        <v>10.7218</v>
      </c>
      <c r="JZ12" s="289">
        <v>10.4558</v>
      </c>
      <c r="KA12" s="185">
        <v>6</v>
      </c>
      <c r="KB12" s="1"/>
      <c r="KC12" s="1"/>
      <c r="KD12" s="185">
        <v>6</v>
      </c>
      <c r="KE12" s="289">
        <v>11.0885</v>
      </c>
      <c r="KF12" s="289">
        <v>11.082000000000001</v>
      </c>
      <c r="KG12" s="289">
        <v>10.9955</v>
      </c>
      <c r="KH12" s="289">
        <v>11.1815</v>
      </c>
      <c r="KI12" s="289">
        <v>11.410500000000001</v>
      </c>
      <c r="KJ12" s="289">
        <v>11.4373</v>
      </c>
      <c r="KK12" s="289">
        <v>11.4763</v>
      </c>
      <c r="KL12" s="289">
        <v>11.4527</v>
      </c>
      <c r="KM12" s="289">
        <v>11.4725</v>
      </c>
      <c r="KN12" s="289">
        <v>11.350199999999999</v>
      </c>
      <c r="KO12" s="289">
        <v>11.411799999999999</v>
      </c>
      <c r="KP12" s="289">
        <v>11.145300000000001</v>
      </c>
      <c r="KQ12" s="185">
        <v>6</v>
      </c>
      <c r="KR12" s="1"/>
      <c r="KS12" s="1"/>
      <c r="KT12" s="185">
        <v>6</v>
      </c>
      <c r="KU12" s="289">
        <v>10.3626</v>
      </c>
      <c r="KV12" s="289">
        <v>10.8833</v>
      </c>
      <c r="KW12" s="289">
        <v>11.136699999999999</v>
      </c>
      <c r="KX12" s="289">
        <v>10.661899999999999</v>
      </c>
      <c r="KY12" s="289">
        <v>10.2003</v>
      </c>
      <c r="KZ12" s="289">
        <v>10.388199999999999</v>
      </c>
      <c r="LA12" s="289">
        <v>10.446999999999999</v>
      </c>
      <c r="LB12" s="289">
        <v>10.586399999999999</v>
      </c>
      <c r="LC12" s="289">
        <v>10.8575</v>
      </c>
      <c r="LD12" s="289">
        <v>11.160299999999999</v>
      </c>
      <c r="LE12" s="289">
        <v>10.9998</v>
      </c>
      <c r="LF12" s="289">
        <v>11.2224</v>
      </c>
      <c r="LG12" s="185">
        <v>6</v>
      </c>
      <c r="LH12" s="1"/>
      <c r="LI12" s="1"/>
      <c r="LJ12" s="185">
        <v>6</v>
      </c>
      <c r="LK12" s="289">
        <v>9.1142000000000003</v>
      </c>
      <c r="LL12" s="289">
        <v>9.1544000000000008</v>
      </c>
      <c r="LM12" s="289">
        <v>9.0723000000000003</v>
      </c>
      <c r="LN12" s="289">
        <v>9.0467999999999993</v>
      </c>
      <c r="LO12" s="289">
        <v>9.4169999999999998</v>
      </c>
      <c r="LP12" s="289">
        <v>9.7059999999999995</v>
      </c>
      <c r="LQ12" s="289">
        <v>9.9502000000000006</v>
      </c>
      <c r="LR12" s="289">
        <v>9.8412000000000006</v>
      </c>
      <c r="LS12" s="289">
        <v>10.0154</v>
      </c>
      <c r="LT12" s="289">
        <v>10.139799999999999</v>
      </c>
      <c r="LU12" s="289">
        <v>10.182</v>
      </c>
      <c r="LV12" s="289">
        <v>10.2287</v>
      </c>
      <c r="LW12" s="185">
        <v>6</v>
      </c>
      <c r="LX12" s="1"/>
      <c r="LY12" s="1"/>
      <c r="LZ12" s="185">
        <v>6</v>
      </c>
      <c r="MA12" s="289">
        <v>9.7080000000000002</v>
      </c>
      <c r="MB12" s="289">
        <v>9.7327999999999992</v>
      </c>
      <c r="MC12" s="289">
        <v>9.6687999999999992</v>
      </c>
      <c r="MD12" s="289">
        <v>9.4200999999999997</v>
      </c>
      <c r="ME12" s="289">
        <v>9.2873000000000001</v>
      </c>
      <c r="MF12" s="289">
        <v>9.1369000000000007</v>
      </c>
      <c r="MG12" s="289">
        <v>9.0707000000000004</v>
      </c>
      <c r="MH12" s="289">
        <v>9.1698000000000004</v>
      </c>
      <c r="MI12" s="289">
        <v>9.1957000000000004</v>
      </c>
      <c r="MJ12" s="289">
        <v>9.5243000000000002</v>
      </c>
      <c r="MK12" s="289">
        <v>9.2782999999999998</v>
      </c>
      <c r="ML12" s="289">
        <v>9.2196999999999996</v>
      </c>
      <c r="MM12" s="185">
        <v>6</v>
      </c>
      <c r="MN12" s="1"/>
      <c r="MO12" s="1"/>
      <c r="MP12" s="185">
        <v>6</v>
      </c>
      <c r="MQ12" s="289">
        <v>9.4564000000000004</v>
      </c>
      <c r="MR12" s="289">
        <v>9.5010999999999992</v>
      </c>
      <c r="MS12" s="289">
        <v>9.3382000000000005</v>
      </c>
      <c r="MT12" s="289">
        <v>9.2878000000000007</v>
      </c>
      <c r="MU12" s="289">
        <v>9.3848000000000003</v>
      </c>
      <c r="MV12" s="289">
        <v>9.5460999999999991</v>
      </c>
      <c r="MW12" s="289">
        <v>9.4876000000000005</v>
      </c>
      <c r="MX12" s="289">
        <v>9.3880999999999997</v>
      </c>
      <c r="MY12" s="289">
        <v>9.2231000000000005</v>
      </c>
      <c r="MZ12" s="289">
        <v>9.4291999999999998</v>
      </c>
      <c r="NA12" s="289">
        <v>9.5823999999999998</v>
      </c>
      <c r="NB12" s="289">
        <v>9.4131999999999998</v>
      </c>
      <c r="NC12" s="185">
        <v>6</v>
      </c>
      <c r="ND12" s="1"/>
      <c r="NE12" s="1"/>
      <c r="NF12" s="185">
        <v>6</v>
      </c>
      <c r="NG12" s="289">
        <v>9.8376000000000001</v>
      </c>
      <c r="NH12" s="289">
        <v>10.113799999999999</v>
      </c>
      <c r="NI12" s="289">
        <v>9.9334000000000007</v>
      </c>
      <c r="NJ12" s="289">
        <v>9.5218000000000007</v>
      </c>
      <c r="NK12" s="289">
        <v>9.2689000000000004</v>
      </c>
      <c r="NL12" s="289">
        <v>9.6545000000000005</v>
      </c>
      <c r="NM12" s="289">
        <v>9.3513000000000002</v>
      </c>
      <c r="NN12" s="289">
        <v>9.4364000000000008</v>
      </c>
      <c r="NO12" s="289">
        <v>9.3739000000000008</v>
      </c>
      <c r="NP12" s="289">
        <v>9.4530999999999992</v>
      </c>
      <c r="NQ12" s="289">
        <v>9.4711999999999996</v>
      </c>
      <c r="NR12" s="289">
        <v>9.5326000000000004</v>
      </c>
      <c r="NS12" s="185">
        <v>6</v>
      </c>
      <c r="NT12" s="1"/>
      <c r="NU12" s="1"/>
      <c r="NV12" s="185">
        <v>6</v>
      </c>
      <c r="NW12" s="289">
        <v>8.0585000000000004</v>
      </c>
      <c r="NX12" s="289">
        <v>8.4322999999999997</v>
      </c>
      <c r="NY12" s="289">
        <v>8.5824999999999996</v>
      </c>
      <c r="NZ12" s="289">
        <v>8.5213999999999999</v>
      </c>
      <c r="OA12" s="289">
        <v>8.4898000000000007</v>
      </c>
      <c r="OB12" s="289">
        <v>8.7803000000000004</v>
      </c>
      <c r="OC12" s="289">
        <v>8.9863</v>
      </c>
      <c r="OD12" s="289">
        <v>8.9648000000000003</v>
      </c>
      <c r="OE12" s="289">
        <v>10.107200000000001</v>
      </c>
      <c r="OF12" s="289">
        <v>10.313700000000001</v>
      </c>
      <c r="OG12" s="289">
        <v>9.9365000000000006</v>
      </c>
      <c r="OH12" s="289">
        <v>9.9876000000000005</v>
      </c>
      <c r="OI12" s="185">
        <v>6</v>
      </c>
      <c r="OJ12" s="1"/>
      <c r="OK12" s="1"/>
      <c r="OL12" s="185">
        <v>6</v>
      </c>
      <c r="OM12" s="289">
        <v>7.9027000000000003</v>
      </c>
      <c r="ON12" s="289">
        <v>7.8182999999999998</v>
      </c>
      <c r="OO12" s="289">
        <v>7.9737</v>
      </c>
      <c r="OP12" s="289">
        <v>7.9720000000000004</v>
      </c>
      <c r="OQ12" s="289">
        <v>7.9519000000000002</v>
      </c>
      <c r="OR12" s="289">
        <v>7.9283000000000001</v>
      </c>
      <c r="OS12" s="289">
        <v>7.9497</v>
      </c>
      <c r="OT12" s="289">
        <v>7.8310000000000004</v>
      </c>
      <c r="OU12" s="289">
        <v>7.7881999999999998</v>
      </c>
      <c r="OV12" s="289">
        <v>7.7530000000000001</v>
      </c>
      <c r="OW12" s="289">
        <v>8.2535000000000007</v>
      </c>
      <c r="OX12" s="289">
        <v>8.1057000000000006</v>
      </c>
      <c r="OY12" s="185">
        <v>6</v>
      </c>
      <c r="OZ12" s="1"/>
      <c r="PA12" s="1"/>
      <c r="PB12" s="185">
        <v>6</v>
      </c>
      <c r="PC12" s="289">
        <v>7.57</v>
      </c>
      <c r="PD12" s="289">
        <v>7.4169999999999998</v>
      </c>
      <c r="PE12" s="289">
        <v>7.5747</v>
      </c>
      <c r="PF12" s="289">
        <v>7.5110000000000001</v>
      </c>
      <c r="PG12" s="289">
        <v>7.4691999999999998</v>
      </c>
      <c r="PH12" s="289">
        <v>7.4313000000000002</v>
      </c>
      <c r="PI12" s="289">
        <v>7.6093000000000002</v>
      </c>
      <c r="PJ12" s="289">
        <v>7.5374999999999996</v>
      </c>
      <c r="PK12" s="289">
        <v>7.5620000000000003</v>
      </c>
      <c r="PL12" s="289">
        <v>7.5301999999999998</v>
      </c>
      <c r="PM12" s="289">
        <v>7.9241999999999999</v>
      </c>
      <c r="PN12" s="289">
        <v>7.8625999999999996</v>
      </c>
      <c r="PO12" s="185">
        <v>6</v>
      </c>
      <c r="PP12" s="1"/>
      <c r="PQ12" s="1"/>
      <c r="PR12" s="185">
        <v>6</v>
      </c>
      <c r="PS12" s="289">
        <v>5.53</v>
      </c>
      <c r="PT12" s="289">
        <v>5.4550000000000001</v>
      </c>
      <c r="PU12" s="289">
        <v>5.9625000000000004</v>
      </c>
      <c r="PV12" s="289">
        <v>6.5883000000000003</v>
      </c>
      <c r="PW12" s="289">
        <v>5.8692000000000002</v>
      </c>
      <c r="PX12" s="289">
        <v>6.2016999999999998</v>
      </c>
      <c r="PY12" s="289">
        <v>6.2683</v>
      </c>
      <c r="PZ12" s="289">
        <v>6.1257999999999999</v>
      </c>
      <c r="QA12" s="289">
        <v>6.2453000000000003</v>
      </c>
      <c r="QB12" s="289">
        <v>6.5425000000000004</v>
      </c>
      <c r="QC12" s="289">
        <v>7.4032999999999998</v>
      </c>
      <c r="QD12" s="289">
        <v>7.6166999999999998</v>
      </c>
      <c r="QE12" s="185">
        <v>6</v>
      </c>
      <c r="QF12" s="1"/>
      <c r="QG12" s="1"/>
      <c r="QH12" s="185">
        <v>6</v>
      </c>
      <c r="QI12" s="289">
        <v>3.1128999999999998</v>
      </c>
      <c r="QJ12" s="289">
        <v>3.1055999999999999</v>
      </c>
      <c r="QK12" s="289">
        <v>3.2513000000000001</v>
      </c>
      <c r="QL12" s="289">
        <v>3.3626</v>
      </c>
      <c r="QM12" s="289">
        <v>3.3144999999999998</v>
      </c>
      <c r="QN12" s="289">
        <v>3.3252999999999999</v>
      </c>
      <c r="QO12" s="289">
        <v>3.399</v>
      </c>
      <c r="QP12" s="289">
        <v>3.3780999999999999</v>
      </c>
      <c r="QQ12" s="289">
        <v>3.3778000000000001</v>
      </c>
      <c r="QR12" s="289">
        <v>3.4142999999999999</v>
      </c>
      <c r="QS12" s="289">
        <v>3.4350000000000001</v>
      </c>
      <c r="QT12" s="289">
        <v>3.4379</v>
      </c>
      <c r="QU12" s="185">
        <v>6</v>
      </c>
      <c r="QV12" s="1"/>
      <c r="QW12" s="1"/>
      <c r="QX12" s="185">
        <v>6</v>
      </c>
      <c r="QY12" s="289">
        <v>3.117</v>
      </c>
      <c r="QZ12" s="289">
        <v>3.1017000000000001</v>
      </c>
      <c r="RA12" s="289">
        <v>3.0960999999999999</v>
      </c>
      <c r="RB12" s="289">
        <v>3.0937000000000001</v>
      </c>
      <c r="RC12" s="289">
        <v>3.1078999999999999</v>
      </c>
      <c r="RD12" s="289">
        <v>3.125</v>
      </c>
      <c r="RE12" s="289">
        <v>3.1223999999999998</v>
      </c>
      <c r="RF12" s="289">
        <v>3.1097000000000001</v>
      </c>
      <c r="RG12" s="289">
        <v>3.1139000000000001</v>
      </c>
      <c r="RH12" s="289">
        <v>3.1131000000000002</v>
      </c>
      <c r="RI12" s="289">
        <v>3.1476000000000002</v>
      </c>
      <c r="RJ12" s="289">
        <v>3.1036999999999999</v>
      </c>
      <c r="RK12" s="185">
        <v>6</v>
      </c>
      <c r="RL12" s="1"/>
      <c r="RM12" s="1"/>
      <c r="RN12" s="185">
        <v>6</v>
      </c>
      <c r="RO12" s="289">
        <v>3.0752999999999999</v>
      </c>
      <c r="RP12" s="289">
        <v>3.0655999999999999</v>
      </c>
      <c r="RQ12" s="289">
        <v>3.0606</v>
      </c>
      <c r="RR12" s="289">
        <v>3.0609000000000002</v>
      </c>
      <c r="RS12" s="289">
        <v>3.0785999999999998</v>
      </c>
      <c r="RT12" s="289">
        <v>3.1179000000000001</v>
      </c>
      <c r="RU12" s="289">
        <v>3.1204000000000001</v>
      </c>
      <c r="RV12" s="289">
        <v>3.1071</v>
      </c>
      <c r="RW12" s="289">
        <v>3.0699000000000001</v>
      </c>
      <c r="RX12" s="289">
        <v>3.1145</v>
      </c>
      <c r="RY12" s="289">
        <v>3.1271</v>
      </c>
      <c r="RZ12" s="289">
        <v>3.1139000000000001</v>
      </c>
      <c r="SA12" s="185">
        <v>6</v>
      </c>
      <c r="SB12" s="1"/>
      <c r="SC12" s="1"/>
      <c r="SD12" s="185">
        <v>6</v>
      </c>
      <c r="SE12" s="289">
        <v>2.9478</v>
      </c>
      <c r="SF12" s="289">
        <v>2.9605999999999999</v>
      </c>
      <c r="SG12" s="289">
        <v>2.9718</v>
      </c>
      <c r="SH12" s="289">
        <v>2.9842</v>
      </c>
      <c r="SI12" s="289">
        <v>2.9954000000000001</v>
      </c>
      <c r="SJ12" s="289">
        <v>3.0085999999999999</v>
      </c>
      <c r="SK12" s="289">
        <v>3.0206</v>
      </c>
      <c r="SL12" s="289">
        <v>3.0322</v>
      </c>
      <c r="SM12" s="289">
        <v>3.0453999999999999</v>
      </c>
      <c r="SN12" s="289">
        <v>3.0586000000000002</v>
      </c>
      <c r="SO12" s="289">
        <v>3.0706000000000002</v>
      </c>
      <c r="SP12" s="289">
        <v>3.0660400000000001</v>
      </c>
      <c r="SQ12" s="185">
        <v>6</v>
      </c>
      <c r="SR12" s="1"/>
      <c r="SS12" s="1"/>
      <c r="ST12" s="185">
        <v>6</v>
      </c>
      <c r="SU12" s="289">
        <v>2.6480000000000001</v>
      </c>
      <c r="SV12" s="289">
        <v>2.677</v>
      </c>
      <c r="SW12" s="289">
        <v>2.7050000000000001</v>
      </c>
      <c r="SX12" s="289">
        <v>2.738</v>
      </c>
      <c r="SY12" s="289">
        <v>2.7669999999999999</v>
      </c>
      <c r="SZ12" s="289">
        <v>2.7978000000000001</v>
      </c>
      <c r="TA12" s="289">
        <v>2.8218000000000001</v>
      </c>
      <c r="TB12" s="289">
        <v>2.8450000000000002</v>
      </c>
      <c r="TC12" s="289">
        <v>2.8714</v>
      </c>
      <c r="TD12" s="289">
        <v>2.8954</v>
      </c>
      <c r="TE12" s="289">
        <v>2.9186000000000001</v>
      </c>
      <c r="TF12" s="289">
        <v>2.9358</v>
      </c>
      <c r="TG12" s="185">
        <v>6</v>
      </c>
      <c r="TH12" s="1"/>
      <c r="TI12" s="1"/>
      <c r="TJ12" s="185">
        <v>6</v>
      </c>
      <c r="TK12" s="289">
        <v>2.2829999999999999</v>
      </c>
      <c r="TL12" s="289">
        <v>2.3119999999999998</v>
      </c>
      <c r="TM12" s="289">
        <v>2.34</v>
      </c>
      <c r="TN12" s="289">
        <v>2.3730000000000002</v>
      </c>
      <c r="TO12" s="289">
        <v>2.403</v>
      </c>
      <c r="TP12" s="289">
        <v>2.4319999999999999</v>
      </c>
      <c r="TQ12" s="289">
        <v>2.464</v>
      </c>
      <c r="TR12" s="289">
        <v>2.4940000000000002</v>
      </c>
      <c r="TS12" s="289">
        <v>2.5259999999999998</v>
      </c>
      <c r="TT12" s="289">
        <v>2.556</v>
      </c>
      <c r="TU12" s="289">
        <v>2.585</v>
      </c>
      <c r="TV12" s="289">
        <v>2.617</v>
      </c>
      <c r="TW12" s="185">
        <v>6</v>
      </c>
    </row>
    <row r="13" spans="2:543" ht="20.100000000000001" customHeight="1">
      <c r="B13" s="64">
        <v>7</v>
      </c>
      <c r="C13" s="289">
        <v>20.3977</v>
      </c>
      <c r="D13" s="289">
        <v>20.5562</v>
      </c>
      <c r="E13" s="289">
        <v>20.703299999999999</v>
      </c>
      <c r="F13" s="289">
        <v>19.901199999999999</v>
      </c>
      <c r="G13" s="289">
        <v>20.253499999999999</v>
      </c>
      <c r="H13" s="289">
        <v>19.574200000000001</v>
      </c>
      <c r="I13" s="289">
        <v>20.559799999999999</v>
      </c>
      <c r="J13" s="289">
        <v>20.335799999999999</v>
      </c>
      <c r="K13" s="289">
        <v>19.962</v>
      </c>
      <c r="L13" s="289">
        <v>20.1267</v>
      </c>
      <c r="M13" s="289">
        <v>19.667300000000001</v>
      </c>
      <c r="N13" s="289">
        <v>19.756699999999999</v>
      </c>
      <c r="O13" s="64">
        <v>7</v>
      </c>
      <c r="R13" s="64">
        <v>7</v>
      </c>
      <c r="S13" s="289">
        <v>19.9437</v>
      </c>
      <c r="T13" s="289">
        <v>20.4435</v>
      </c>
      <c r="U13" s="289">
        <v>20.849799999999998</v>
      </c>
      <c r="V13" s="289">
        <v>20.2483</v>
      </c>
      <c r="W13" s="289">
        <v>20.223500000000001</v>
      </c>
      <c r="X13" s="289">
        <v>20.060500000000001</v>
      </c>
      <c r="Y13" s="289">
        <v>19.853200000000001</v>
      </c>
      <c r="Z13" s="289">
        <v>19.929300000000001</v>
      </c>
      <c r="AA13" s="289">
        <v>19.8992</v>
      </c>
      <c r="AB13" s="289">
        <v>20.581800000000001</v>
      </c>
      <c r="AC13" s="289">
        <v>20.624199999999998</v>
      </c>
      <c r="AD13" s="289">
        <v>21.4177</v>
      </c>
      <c r="AE13" s="64">
        <v>7</v>
      </c>
      <c r="AH13" s="185">
        <v>7</v>
      </c>
      <c r="AI13" s="289">
        <v>18.8673</v>
      </c>
      <c r="AJ13" s="289">
        <v>18.624500000000001</v>
      </c>
      <c r="AK13" s="289">
        <v>19.8095</v>
      </c>
      <c r="AL13" s="289">
        <v>24.6938</v>
      </c>
      <c r="AM13" s="289">
        <v>23.834299999999999</v>
      </c>
      <c r="AN13" s="289">
        <v>21.838799999999999</v>
      </c>
      <c r="AO13" s="289">
        <v>22.4147</v>
      </c>
      <c r="AP13" s="289">
        <v>22.4068</v>
      </c>
      <c r="AQ13" s="289">
        <v>21.638300000000001</v>
      </c>
      <c r="AR13" s="289">
        <v>21.396000000000001</v>
      </c>
      <c r="AS13" s="289">
        <v>20.761199999999999</v>
      </c>
      <c r="AT13" s="289">
        <v>19.908300000000001</v>
      </c>
      <c r="AU13" s="185">
        <v>7</v>
      </c>
      <c r="AX13" s="185">
        <v>7</v>
      </c>
      <c r="AY13" s="289">
        <v>19.607299999999999</v>
      </c>
      <c r="AZ13" s="289">
        <v>19.0824</v>
      </c>
      <c r="BA13" s="290">
        <v>19.259699999999999</v>
      </c>
      <c r="BB13" s="289">
        <v>19.172799999999999</v>
      </c>
      <c r="BC13" s="289">
        <v>19.001200000000001</v>
      </c>
      <c r="BD13" s="289">
        <v>19.541799999999999</v>
      </c>
      <c r="BE13" s="289">
        <v>18.994700000000002</v>
      </c>
      <c r="BF13" s="289">
        <v>19.5731</v>
      </c>
      <c r="BG13" s="289">
        <v>19.683399999999999</v>
      </c>
      <c r="BH13" s="289">
        <v>19.736799999999999</v>
      </c>
      <c r="BI13" s="289">
        <v>19.212499999999999</v>
      </c>
      <c r="BJ13" s="289">
        <v>19.3688</v>
      </c>
      <c r="BK13" s="185">
        <v>7</v>
      </c>
      <c r="BN13" s="185">
        <v>7</v>
      </c>
      <c r="BO13" s="289">
        <v>19.242699999999999</v>
      </c>
      <c r="BP13" s="289">
        <v>18.524799999999999</v>
      </c>
      <c r="BQ13" s="290">
        <v>18.883800000000001</v>
      </c>
      <c r="BR13" s="289">
        <v>18.1081</v>
      </c>
      <c r="BS13" s="289">
        <v>19.122299999999999</v>
      </c>
      <c r="BT13" s="289">
        <v>20.386299999999999</v>
      </c>
      <c r="BU13" s="289">
        <v>19.251300000000001</v>
      </c>
      <c r="BV13" s="289">
        <v>18.572500000000002</v>
      </c>
      <c r="BW13" s="289">
        <v>19.443300000000001</v>
      </c>
      <c r="BX13" s="289">
        <v>19.1328</v>
      </c>
      <c r="BY13" s="289">
        <v>19.9636</v>
      </c>
      <c r="BZ13" s="289">
        <v>20.5672</v>
      </c>
      <c r="CA13" s="185">
        <v>7</v>
      </c>
      <c r="CD13" s="185">
        <v>7</v>
      </c>
      <c r="CE13" s="289">
        <v>21.366099999999999</v>
      </c>
      <c r="CF13" s="289">
        <v>20.575700000000001</v>
      </c>
      <c r="CG13" s="289">
        <v>19.614699999999999</v>
      </c>
      <c r="CH13" s="289">
        <v>18.719200000000001</v>
      </c>
      <c r="CI13" s="289">
        <v>18.803100000000001</v>
      </c>
      <c r="CJ13" s="289">
        <v>18.381900000000002</v>
      </c>
      <c r="CK13" s="289">
        <v>18.355599999999999</v>
      </c>
      <c r="CL13" s="289">
        <v>17.8733</v>
      </c>
      <c r="CM13" s="289">
        <v>17.835999999999999</v>
      </c>
      <c r="CN13" s="289">
        <v>18.306000000000001</v>
      </c>
      <c r="CO13" s="289">
        <v>19.184999999999999</v>
      </c>
      <c r="CP13" s="289">
        <v>18.695799999999998</v>
      </c>
      <c r="CQ13" s="185">
        <v>7</v>
      </c>
      <c r="CT13" s="185">
        <v>7</v>
      </c>
      <c r="CU13" s="289">
        <v>17.345600000000001</v>
      </c>
      <c r="CV13" s="289">
        <v>18.1891</v>
      </c>
      <c r="CW13" s="289">
        <v>17.897099999999998</v>
      </c>
      <c r="CX13" s="289">
        <v>17.725200000000001</v>
      </c>
      <c r="CY13" s="289">
        <v>17.735800000000001</v>
      </c>
      <c r="CZ13" s="289">
        <v>18.628299999999999</v>
      </c>
      <c r="DA13" s="289">
        <v>18.753599999999999</v>
      </c>
      <c r="DB13" s="289">
        <v>18.8612</v>
      </c>
      <c r="DC13" s="289">
        <v>18.5581</v>
      </c>
      <c r="DD13" s="289">
        <v>19.255400000000002</v>
      </c>
      <c r="DE13" s="289">
        <v>19.2014</v>
      </c>
      <c r="DF13" s="289">
        <v>20.592700000000001</v>
      </c>
      <c r="DG13" s="185">
        <v>7</v>
      </c>
      <c r="DJ13" s="185">
        <v>7</v>
      </c>
      <c r="DK13" s="289">
        <v>14.946899999999999</v>
      </c>
      <c r="DL13" s="289">
        <v>14.754799999999999</v>
      </c>
      <c r="DM13" s="289">
        <v>15.1686</v>
      </c>
      <c r="DN13" s="289">
        <v>15.1206</v>
      </c>
      <c r="DO13" s="289">
        <v>15.3225</v>
      </c>
      <c r="DP13" s="289">
        <v>15.4833</v>
      </c>
      <c r="DQ13" s="289">
        <v>15.691800000000001</v>
      </c>
      <c r="DR13" s="289">
        <v>16.376200000000001</v>
      </c>
      <c r="DS13" s="289">
        <v>16.791799999999999</v>
      </c>
      <c r="DT13" s="289">
        <v>16.694099999999999</v>
      </c>
      <c r="DU13" s="289">
        <v>16.5959</v>
      </c>
      <c r="DV13" s="289">
        <v>16.709499999999998</v>
      </c>
      <c r="DW13" s="185">
        <v>7</v>
      </c>
      <c r="DZ13" s="185">
        <v>7</v>
      </c>
      <c r="EA13" s="289">
        <v>13.091100000000001</v>
      </c>
      <c r="EB13" s="289">
        <v>13.3705</v>
      </c>
      <c r="EC13" s="289">
        <v>13.251899999999999</v>
      </c>
      <c r="ED13" s="289">
        <v>13.132400000000001</v>
      </c>
      <c r="EE13" s="289">
        <v>13.010199999999999</v>
      </c>
      <c r="EF13" s="289">
        <v>12.886799999999999</v>
      </c>
      <c r="EG13" s="289">
        <v>12.982900000000001</v>
      </c>
      <c r="EH13" s="289">
        <v>13.271599999999999</v>
      </c>
      <c r="EI13" s="289">
        <v>13.0959</v>
      </c>
      <c r="EJ13" s="289">
        <v>13.483499999999999</v>
      </c>
      <c r="EK13" s="289">
        <v>13.606999999999999</v>
      </c>
      <c r="EL13" s="289">
        <v>14.1165</v>
      </c>
      <c r="EM13" s="185">
        <v>7</v>
      </c>
      <c r="EP13" s="185">
        <v>7</v>
      </c>
      <c r="EQ13" s="289">
        <v>12.743</v>
      </c>
      <c r="ER13" s="289">
        <v>12.6294</v>
      </c>
      <c r="ES13" s="289">
        <v>12.7355</v>
      </c>
      <c r="ET13" s="289">
        <v>12.319699999999999</v>
      </c>
      <c r="EU13" s="289">
        <v>12.085100000000001</v>
      </c>
      <c r="EV13" s="289">
        <v>12.816700000000001</v>
      </c>
      <c r="EW13" s="289">
        <v>12.8902</v>
      </c>
      <c r="EX13" s="289">
        <v>12.6759</v>
      </c>
      <c r="EY13" s="289">
        <v>13.4079</v>
      </c>
      <c r="EZ13" s="289">
        <v>13.266299999999999</v>
      </c>
      <c r="FA13" s="289">
        <v>13.1341</v>
      </c>
      <c r="FB13" s="289">
        <v>13.005699999999999</v>
      </c>
      <c r="FC13" s="185">
        <v>7</v>
      </c>
      <c r="FF13" s="185">
        <v>7</v>
      </c>
      <c r="FG13" s="289">
        <v>13.7409</v>
      </c>
      <c r="FH13" s="289">
        <v>12.803800000000001</v>
      </c>
      <c r="FI13" s="289">
        <v>12.8339</v>
      </c>
      <c r="FJ13" s="289">
        <v>12.7317</v>
      </c>
      <c r="FK13" s="289">
        <v>12.9725</v>
      </c>
      <c r="FL13" s="289">
        <v>14.2319</v>
      </c>
      <c r="FM13" s="289">
        <v>13.3508</v>
      </c>
      <c r="FN13" s="289">
        <v>13.1357</v>
      </c>
      <c r="FO13" s="289">
        <v>13.1221</v>
      </c>
      <c r="FP13" s="289">
        <v>12.758900000000001</v>
      </c>
      <c r="FQ13" s="289">
        <v>13.0449</v>
      </c>
      <c r="FR13" s="289">
        <v>12.9284</v>
      </c>
      <c r="FS13" s="185">
        <v>7</v>
      </c>
      <c r="FV13" s="185">
        <v>7</v>
      </c>
      <c r="FW13" s="289">
        <v>12.2064</v>
      </c>
      <c r="FX13" s="289">
        <v>12.049899999999999</v>
      </c>
      <c r="FY13" s="289">
        <v>12.036799999999999</v>
      </c>
      <c r="FZ13" s="289">
        <v>11.8322</v>
      </c>
      <c r="GA13" s="289">
        <v>11.6934</v>
      </c>
      <c r="GB13" s="289">
        <v>11.668900000000001</v>
      </c>
      <c r="GC13" s="289">
        <v>11.619400000000001</v>
      </c>
      <c r="GD13" s="289">
        <v>11.952299999999999</v>
      </c>
      <c r="GE13" s="289">
        <v>12.535299999999999</v>
      </c>
      <c r="GF13" s="289">
        <v>13.6675</v>
      </c>
      <c r="GG13" s="289">
        <v>13.412800000000001</v>
      </c>
      <c r="GH13" s="289">
        <v>13.4786</v>
      </c>
      <c r="GI13" s="185">
        <v>7</v>
      </c>
      <c r="GL13" s="185">
        <v>7</v>
      </c>
      <c r="GM13" s="289">
        <v>12.8241</v>
      </c>
      <c r="GN13" s="289">
        <v>13.0687</v>
      </c>
      <c r="GO13" s="289">
        <v>12.7182</v>
      </c>
      <c r="GP13" s="289">
        <v>12.2658</v>
      </c>
      <c r="GQ13" s="289">
        <v>12.663500000000001</v>
      </c>
      <c r="GR13" s="289">
        <v>12.7644</v>
      </c>
      <c r="GS13" s="289">
        <v>13.0953</v>
      </c>
      <c r="GT13" s="289">
        <v>12.5367</v>
      </c>
      <c r="GU13" s="289">
        <v>12.9526</v>
      </c>
      <c r="GV13" s="289">
        <v>12.5099</v>
      </c>
      <c r="GW13" s="289">
        <v>12.238099999999999</v>
      </c>
      <c r="GX13" s="289">
        <v>12.3597</v>
      </c>
      <c r="GY13" s="185">
        <v>7</v>
      </c>
      <c r="HB13" s="185">
        <v>7</v>
      </c>
      <c r="HC13" s="289">
        <v>13.550700000000001</v>
      </c>
      <c r="HD13" s="289">
        <v>14.294499999999999</v>
      </c>
      <c r="HE13" s="289">
        <v>15.285500000000001</v>
      </c>
      <c r="HF13" s="289">
        <v>13.6137</v>
      </c>
      <c r="HG13" s="289">
        <v>13.2242</v>
      </c>
      <c r="HH13" s="289">
        <v>13.2675</v>
      </c>
      <c r="HI13" s="289">
        <v>13.242800000000001</v>
      </c>
      <c r="HJ13" s="289">
        <v>13.105</v>
      </c>
      <c r="HK13" s="289">
        <v>13.5898</v>
      </c>
      <c r="HL13" s="289">
        <v>13.654999999999999</v>
      </c>
      <c r="HM13" s="289">
        <v>13.343</v>
      </c>
      <c r="HN13" s="289">
        <v>12.665800000000001</v>
      </c>
      <c r="HO13" s="185">
        <v>7</v>
      </c>
      <c r="HP13" s="1"/>
      <c r="HQ13" s="1"/>
      <c r="HR13" s="185">
        <v>7</v>
      </c>
      <c r="HS13" s="289">
        <v>10.8842</v>
      </c>
      <c r="HT13" s="289">
        <v>10.828900000000001</v>
      </c>
      <c r="HU13" s="289">
        <v>10.697800000000001</v>
      </c>
      <c r="HV13" s="289">
        <v>10.564399999999999</v>
      </c>
      <c r="HW13" s="289">
        <v>10.4687</v>
      </c>
      <c r="HX13" s="289">
        <v>10.3108</v>
      </c>
      <c r="HY13" s="289">
        <v>10.369199999999999</v>
      </c>
      <c r="HZ13" s="289">
        <v>9.9179999999999993</v>
      </c>
      <c r="IA13" s="289">
        <v>10.4658</v>
      </c>
      <c r="IB13" s="289">
        <v>11.1188</v>
      </c>
      <c r="IC13" s="289">
        <v>12.604200000000001</v>
      </c>
      <c r="ID13" s="289">
        <v>13.5358</v>
      </c>
      <c r="IE13" s="185">
        <v>7</v>
      </c>
      <c r="IF13" s="1"/>
      <c r="IG13" s="1"/>
      <c r="IH13" s="185">
        <v>7</v>
      </c>
      <c r="II13" s="289">
        <v>10.865</v>
      </c>
      <c r="IJ13" s="289">
        <v>10.992100000000001</v>
      </c>
      <c r="IK13" s="289">
        <v>11.1762</v>
      </c>
      <c r="IL13" s="289">
        <v>10.979699999999999</v>
      </c>
      <c r="IM13" s="289">
        <v>10.901999999999999</v>
      </c>
      <c r="IN13" s="289">
        <v>10.780900000000001</v>
      </c>
      <c r="IO13" s="289">
        <v>10.7936</v>
      </c>
      <c r="IP13" s="289">
        <v>10.967700000000001</v>
      </c>
      <c r="IQ13" s="289">
        <v>11.0848</v>
      </c>
      <c r="IR13" s="289">
        <v>10.8963</v>
      </c>
      <c r="IS13" s="289">
        <v>10.7308</v>
      </c>
      <c r="IT13" s="289">
        <v>10.8592</v>
      </c>
      <c r="IU13" s="185">
        <v>7</v>
      </c>
      <c r="IV13" s="1"/>
      <c r="IW13" s="1"/>
      <c r="IX13" s="185">
        <v>7</v>
      </c>
      <c r="IY13" s="289">
        <v>10.5907</v>
      </c>
      <c r="IZ13" s="289">
        <v>10.480499999999999</v>
      </c>
      <c r="JA13" s="289">
        <v>10.575900000000001</v>
      </c>
      <c r="JB13" s="289">
        <v>10.9467</v>
      </c>
      <c r="JC13" s="289">
        <v>10.9694</v>
      </c>
      <c r="JD13" s="289">
        <v>11.285399999999999</v>
      </c>
      <c r="JE13" s="289">
        <v>11.190099999999999</v>
      </c>
      <c r="JF13" s="289">
        <v>10.9802</v>
      </c>
      <c r="JG13" s="289">
        <v>10.8438</v>
      </c>
      <c r="JH13" s="289">
        <v>11.0185</v>
      </c>
      <c r="JI13" s="289">
        <v>10.7948</v>
      </c>
      <c r="JJ13" s="289">
        <v>10.894</v>
      </c>
      <c r="JK13" s="185">
        <v>7</v>
      </c>
      <c r="JL13" s="1"/>
      <c r="JM13" s="1"/>
      <c r="JN13" s="185">
        <v>7</v>
      </c>
      <c r="JO13" s="289">
        <v>11.341799999999999</v>
      </c>
      <c r="JP13" s="289">
        <v>11.1683</v>
      </c>
      <c r="JQ13" s="289">
        <v>11.0837</v>
      </c>
      <c r="JR13" s="289">
        <v>11.217599999999999</v>
      </c>
      <c r="JS13" s="289">
        <v>10.948700000000001</v>
      </c>
      <c r="JT13" s="289">
        <v>10.8179</v>
      </c>
      <c r="JU13" s="289">
        <v>10.7555</v>
      </c>
      <c r="JV13" s="289">
        <v>10.5831</v>
      </c>
      <c r="JW13" s="289">
        <v>10.668900000000001</v>
      </c>
      <c r="JX13" s="289">
        <v>10.711499999999999</v>
      </c>
      <c r="JY13" s="289">
        <v>10.7218</v>
      </c>
      <c r="JZ13" s="289">
        <v>10.4741</v>
      </c>
      <c r="KA13" s="185">
        <v>7</v>
      </c>
      <c r="KB13" s="1"/>
      <c r="KC13" s="1"/>
      <c r="KD13" s="185">
        <v>7</v>
      </c>
      <c r="KE13" s="289">
        <v>10.980499999999999</v>
      </c>
      <c r="KF13" s="289">
        <v>11.0608</v>
      </c>
      <c r="KG13" s="289">
        <v>10.9955</v>
      </c>
      <c r="KH13" s="289">
        <v>11.159800000000001</v>
      </c>
      <c r="KI13" s="289">
        <v>11.3887</v>
      </c>
      <c r="KJ13" s="289">
        <v>11.4373</v>
      </c>
      <c r="KK13" s="289">
        <v>11.443199999999999</v>
      </c>
      <c r="KL13" s="289">
        <v>11.457000000000001</v>
      </c>
      <c r="KM13" s="289">
        <v>11.527900000000001</v>
      </c>
      <c r="KN13" s="289">
        <v>11.3149</v>
      </c>
      <c r="KO13" s="289">
        <v>11.411799999999999</v>
      </c>
      <c r="KP13" s="289">
        <v>11.1213</v>
      </c>
      <c r="KQ13" s="185">
        <v>7</v>
      </c>
      <c r="KR13" s="1"/>
      <c r="KS13" s="1"/>
      <c r="KT13" s="185">
        <v>7</v>
      </c>
      <c r="KU13" s="289">
        <v>10.3856</v>
      </c>
      <c r="KV13" s="289">
        <v>10.982200000000001</v>
      </c>
      <c r="KW13" s="289">
        <v>11.1927</v>
      </c>
      <c r="KX13" s="289">
        <v>10.661899999999999</v>
      </c>
      <c r="KY13" s="289">
        <v>10.181699999999999</v>
      </c>
      <c r="KZ13" s="289">
        <v>10.559799999999999</v>
      </c>
      <c r="LA13" s="289">
        <v>10.446999999999999</v>
      </c>
      <c r="LB13" s="289">
        <v>10.7117</v>
      </c>
      <c r="LC13" s="289">
        <v>10.8575</v>
      </c>
      <c r="LD13" s="289">
        <v>11.247299999999999</v>
      </c>
      <c r="LE13" s="289">
        <v>10.982900000000001</v>
      </c>
      <c r="LF13" s="289">
        <v>11.2224</v>
      </c>
      <c r="LG13" s="185">
        <v>7</v>
      </c>
      <c r="LH13" s="1"/>
      <c r="LI13" s="1"/>
      <c r="LJ13" s="185">
        <v>7</v>
      </c>
      <c r="LK13" s="289">
        <v>9.1142000000000003</v>
      </c>
      <c r="LL13" s="289">
        <v>9.1626999999999992</v>
      </c>
      <c r="LM13" s="289">
        <v>9.077</v>
      </c>
      <c r="LN13" s="289">
        <v>9.0467999999999993</v>
      </c>
      <c r="LO13" s="289">
        <v>9.4977999999999998</v>
      </c>
      <c r="LP13" s="289">
        <v>9.7345000000000006</v>
      </c>
      <c r="LQ13" s="289">
        <v>9.9502000000000006</v>
      </c>
      <c r="LR13" s="289">
        <v>9.7927999999999997</v>
      </c>
      <c r="LS13" s="289">
        <v>10.008599999999999</v>
      </c>
      <c r="LT13" s="289">
        <v>10.139799999999999</v>
      </c>
      <c r="LU13" s="289">
        <v>10.209899999999999</v>
      </c>
      <c r="LV13" s="289">
        <v>10.245200000000001</v>
      </c>
      <c r="LW13" s="185">
        <v>7</v>
      </c>
      <c r="LX13" s="1"/>
      <c r="LY13" s="1"/>
      <c r="LZ13" s="185">
        <v>7</v>
      </c>
      <c r="MA13" s="289">
        <v>9.7080000000000002</v>
      </c>
      <c r="MB13" s="289">
        <v>9.7560000000000002</v>
      </c>
      <c r="MC13" s="289">
        <v>9.6370000000000005</v>
      </c>
      <c r="MD13" s="289">
        <v>9.4139999999999997</v>
      </c>
      <c r="ME13" s="289">
        <v>9.2873000000000001</v>
      </c>
      <c r="MF13" s="289">
        <v>9.1722000000000001</v>
      </c>
      <c r="MG13" s="289">
        <v>9.0312000000000001</v>
      </c>
      <c r="MH13" s="289">
        <v>9.1638000000000002</v>
      </c>
      <c r="MI13" s="289">
        <v>9.2586999999999993</v>
      </c>
      <c r="MJ13" s="289">
        <v>9.5243000000000002</v>
      </c>
      <c r="MK13" s="289">
        <v>9.2220999999999993</v>
      </c>
      <c r="ML13" s="289">
        <v>9.2164999999999999</v>
      </c>
      <c r="MM13" s="185">
        <v>7</v>
      </c>
      <c r="MN13" s="1"/>
      <c r="MO13" s="1"/>
      <c r="MP13" s="185">
        <v>7</v>
      </c>
      <c r="MQ13" s="289">
        <v>9.5455000000000005</v>
      </c>
      <c r="MR13" s="289">
        <v>9.5010999999999992</v>
      </c>
      <c r="MS13" s="289">
        <v>9.3115000000000006</v>
      </c>
      <c r="MT13" s="289">
        <v>9.3834999999999997</v>
      </c>
      <c r="MU13" s="289">
        <v>9.3848000000000003</v>
      </c>
      <c r="MV13" s="289">
        <v>9.5442</v>
      </c>
      <c r="MW13" s="289">
        <v>9.5383999999999993</v>
      </c>
      <c r="MX13" s="289">
        <v>9.3880999999999997</v>
      </c>
      <c r="MY13" s="289">
        <v>9.2612000000000005</v>
      </c>
      <c r="MZ13" s="289">
        <v>9.4514999999999993</v>
      </c>
      <c r="NA13" s="289">
        <v>9.5990000000000002</v>
      </c>
      <c r="NB13" s="289">
        <v>9.3736999999999995</v>
      </c>
      <c r="NC13" s="185">
        <v>7</v>
      </c>
      <c r="ND13" s="1"/>
      <c r="NE13" s="1"/>
      <c r="NF13" s="185">
        <v>7</v>
      </c>
      <c r="NG13" s="289">
        <v>9.7920999999999996</v>
      </c>
      <c r="NH13" s="289">
        <v>10.113799999999999</v>
      </c>
      <c r="NI13" s="289">
        <v>9.9334000000000007</v>
      </c>
      <c r="NJ13" s="289">
        <v>9.4817999999999998</v>
      </c>
      <c r="NK13" s="289">
        <v>9.2749000000000006</v>
      </c>
      <c r="NL13" s="289">
        <v>9.6545000000000005</v>
      </c>
      <c r="NM13" s="289">
        <v>9.3167000000000009</v>
      </c>
      <c r="NN13" s="289">
        <v>9.5097000000000005</v>
      </c>
      <c r="NO13" s="289">
        <v>9.3382000000000005</v>
      </c>
      <c r="NP13" s="289">
        <v>9.4757999999999996</v>
      </c>
      <c r="NQ13" s="289">
        <v>9.4711999999999996</v>
      </c>
      <c r="NR13" s="289">
        <v>9.4941999999999993</v>
      </c>
      <c r="NS13" s="185">
        <v>7</v>
      </c>
      <c r="NT13" s="1"/>
      <c r="NU13" s="1"/>
      <c r="NV13" s="185">
        <v>7</v>
      </c>
      <c r="NW13" s="289">
        <v>8.0422999999999991</v>
      </c>
      <c r="NX13" s="289">
        <v>8.4135000000000009</v>
      </c>
      <c r="NY13" s="289">
        <v>8.6202000000000005</v>
      </c>
      <c r="NZ13" s="289">
        <v>8.5410000000000004</v>
      </c>
      <c r="OA13" s="289">
        <v>8.4770000000000003</v>
      </c>
      <c r="OB13" s="289">
        <v>8.7803000000000004</v>
      </c>
      <c r="OC13" s="289">
        <v>8.9497</v>
      </c>
      <c r="OD13" s="289">
        <v>9.0061999999999998</v>
      </c>
      <c r="OE13" s="289">
        <v>10.107200000000001</v>
      </c>
      <c r="OF13" s="289">
        <v>10.218</v>
      </c>
      <c r="OG13" s="289">
        <v>9.9885999999999999</v>
      </c>
      <c r="OH13" s="289">
        <v>9.9876000000000005</v>
      </c>
      <c r="OI13" s="185">
        <v>7</v>
      </c>
      <c r="OJ13" s="1"/>
      <c r="OK13" s="1"/>
      <c r="OL13" s="185">
        <v>7</v>
      </c>
      <c r="OM13" s="289">
        <v>7.8663999999999996</v>
      </c>
      <c r="ON13" s="289">
        <v>7.8322000000000003</v>
      </c>
      <c r="OO13" s="289">
        <v>8.0437999999999992</v>
      </c>
      <c r="OP13" s="289">
        <v>7.9720000000000004</v>
      </c>
      <c r="OQ13" s="289">
        <v>7.9112999999999998</v>
      </c>
      <c r="OR13" s="289">
        <v>7.9481999999999999</v>
      </c>
      <c r="OS13" s="289">
        <v>7.9497</v>
      </c>
      <c r="OT13" s="289">
        <v>7.8051000000000004</v>
      </c>
      <c r="OU13" s="289">
        <v>7.7881999999999998</v>
      </c>
      <c r="OV13" s="289">
        <v>7.7561999999999998</v>
      </c>
      <c r="OW13" s="289">
        <v>8.1659000000000006</v>
      </c>
      <c r="OX13" s="289">
        <v>8.1057000000000006</v>
      </c>
      <c r="OY13" s="185">
        <v>7</v>
      </c>
      <c r="OZ13" s="1"/>
      <c r="PA13" s="1"/>
      <c r="PB13" s="185">
        <v>7</v>
      </c>
      <c r="PC13" s="289">
        <v>7.57</v>
      </c>
      <c r="PD13" s="289">
        <v>7.4241000000000001</v>
      </c>
      <c r="PE13" s="289">
        <v>7.5862999999999996</v>
      </c>
      <c r="PF13" s="289">
        <v>7.5110000000000001</v>
      </c>
      <c r="PG13" s="289">
        <v>7.4748999999999999</v>
      </c>
      <c r="PH13" s="289">
        <v>7.4650999999999996</v>
      </c>
      <c r="PI13" s="289">
        <v>7.6093000000000002</v>
      </c>
      <c r="PJ13" s="289">
        <v>7.5503999999999998</v>
      </c>
      <c r="PK13" s="289">
        <v>7.5995999999999997</v>
      </c>
      <c r="PL13" s="289">
        <v>7.5301999999999998</v>
      </c>
      <c r="PM13" s="289">
        <v>7.8920000000000003</v>
      </c>
      <c r="PN13" s="289">
        <v>7.8884999999999996</v>
      </c>
      <c r="PO13" s="185">
        <v>7</v>
      </c>
      <c r="PP13" s="1"/>
      <c r="PQ13" s="1"/>
      <c r="PR13" s="185">
        <v>7</v>
      </c>
      <c r="PS13" s="289">
        <v>5.39</v>
      </c>
      <c r="PT13" s="289">
        <v>5.3775000000000004</v>
      </c>
      <c r="PU13" s="289">
        <v>6.0724999999999998</v>
      </c>
      <c r="PV13" s="289">
        <v>6.4850000000000003</v>
      </c>
      <c r="PW13" s="289">
        <v>5.8692000000000002</v>
      </c>
      <c r="PX13" s="289">
        <v>6.1407999999999996</v>
      </c>
      <c r="PY13" s="289">
        <v>6.2633000000000001</v>
      </c>
      <c r="PZ13" s="289">
        <v>6.1257999999999999</v>
      </c>
      <c r="QA13" s="289">
        <v>6.2336999999999998</v>
      </c>
      <c r="QB13" s="289">
        <v>6.5425000000000004</v>
      </c>
      <c r="QC13" s="289">
        <v>7.6849999999999996</v>
      </c>
      <c r="QD13" s="289">
        <v>7.6707999999999998</v>
      </c>
      <c r="QE13" s="185">
        <v>7</v>
      </c>
      <c r="QF13" s="1"/>
      <c r="QG13" s="1"/>
      <c r="QH13" s="185">
        <v>7</v>
      </c>
      <c r="QI13" s="289">
        <v>3.1059999999999999</v>
      </c>
      <c r="QJ13" s="289">
        <v>3.1055999999999999</v>
      </c>
      <c r="QK13" s="289">
        <v>3.2513000000000001</v>
      </c>
      <c r="QL13" s="289">
        <v>3.363</v>
      </c>
      <c r="QM13" s="289">
        <v>3.3052999999999999</v>
      </c>
      <c r="QN13" s="289">
        <v>3.3243</v>
      </c>
      <c r="QO13" s="289">
        <v>3.3994</v>
      </c>
      <c r="QP13" s="289">
        <v>3.3780999999999999</v>
      </c>
      <c r="QQ13" s="289">
        <v>3.3896000000000002</v>
      </c>
      <c r="QR13" s="289">
        <v>3.4127999999999998</v>
      </c>
      <c r="QS13" s="289">
        <v>3.4350000000000001</v>
      </c>
      <c r="QT13" s="289">
        <v>3.4418000000000002</v>
      </c>
      <c r="QU13" s="185">
        <v>7</v>
      </c>
      <c r="QV13" s="1"/>
      <c r="QW13" s="1"/>
      <c r="QX13" s="185">
        <v>7</v>
      </c>
      <c r="QY13" s="289">
        <v>3.1179999999999999</v>
      </c>
      <c r="QZ13" s="289">
        <v>3.1017000000000001</v>
      </c>
      <c r="RA13" s="289">
        <v>3.0960999999999999</v>
      </c>
      <c r="RB13" s="289">
        <v>3.0937000000000001</v>
      </c>
      <c r="RC13" s="289">
        <v>3.1246</v>
      </c>
      <c r="RD13" s="289">
        <v>3.125</v>
      </c>
      <c r="RE13" s="289">
        <v>3.1223999999999998</v>
      </c>
      <c r="RF13" s="289">
        <v>3.1149</v>
      </c>
      <c r="RG13" s="289">
        <v>3.1139000000000001</v>
      </c>
      <c r="RH13" s="289">
        <v>3.1147999999999998</v>
      </c>
      <c r="RI13" s="289">
        <v>3.1476000000000002</v>
      </c>
      <c r="RJ13" s="289">
        <v>3.1036000000000001</v>
      </c>
      <c r="RK13" s="185">
        <v>7</v>
      </c>
      <c r="RL13" s="1"/>
      <c r="RM13" s="1"/>
      <c r="RN13" s="185">
        <v>7</v>
      </c>
      <c r="RO13" s="289">
        <v>3.0743999999999998</v>
      </c>
      <c r="RP13" s="289">
        <v>3.0644999999999998</v>
      </c>
      <c r="RQ13" s="289">
        <v>3.0609000000000002</v>
      </c>
      <c r="RR13" s="289">
        <v>3.0609000000000002</v>
      </c>
      <c r="RS13" s="289">
        <v>3.0815999999999999</v>
      </c>
      <c r="RT13" s="289">
        <v>3.1179000000000001</v>
      </c>
      <c r="RU13" s="289">
        <v>3.1179000000000001</v>
      </c>
      <c r="RV13" s="289">
        <v>3.1084000000000001</v>
      </c>
      <c r="RW13" s="289">
        <v>3.0699000000000001</v>
      </c>
      <c r="RX13" s="289">
        <v>3.113</v>
      </c>
      <c r="RY13" s="289">
        <v>3.1253000000000002</v>
      </c>
      <c r="RZ13" s="289">
        <v>3.1139000000000001</v>
      </c>
      <c r="SA13" s="185">
        <v>7</v>
      </c>
      <c r="SB13" s="1"/>
      <c r="SC13" s="1"/>
      <c r="SD13" s="185">
        <v>7</v>
      </c>
      <c r="SE13" s="289">
        <v>2.9478</v>
      </c>
      <c r="SF13" s="289">
        <v>2.9609999999999999</v>
      </c>
      <c r="SG13" s="289">
        <v>2.9722</v>
      </c>
      <c r="SH13" s="289">
        <v>2.9842</v>
      </c>
      <c r="SI13" s="289">
        <v>2.9958</v>
      </c>
      <c r="SJ13" s="289">
        <v>3.0089999999999999</v>
      </c>
      <c r="SK13" s="289">
        <v>3.0206</v>
      </c>
      <c r="SL13" s="289">
        <v>3.0333999999999999</v>
      </c>
      <c r="SM13" s="289">
        <v>3.0457999999999998</v>
      </c>
      <c r="SN13" s="289">
        <v>3.0586000000000002</v>
      </c>
      <c r="SO13" s="289">
        <v>3.0710000000000002</v>
      </c>
      <c r="SP13" s="289">
        <v>3.0653800000000002</v>
      </c>
      <c r="SQ13" s="185">
        <v>7</v>
      </c>
      <c r="SR13" s="1"/>
      <c r="SS13" s="1"/>
      <c r="ST13" s="185">
        <v>7</v>
      </c>
      <c r="SU13" s="289">
        <v>2.6480000000000001</v>
      </c>
      <c r="SV13" s="289">
        <v>2.68</v>
      </c>
      <c r="SW13" s="289">
        <v>2.7080000000000002</v>
      </c>
      <c r="SX13" s="289">
        <v>2.7389999999999999</v>
      </c>
      <c r="SY13" s="289">
        <v>2.7669999999999999</v>
      </c>
      <c r="SZ13" s="289">
        <v>2.7986</v>
      </c>
      <c r="TA13" s="289">
        <v>2.8226</v>
      </c>
      <c r="TB13" s="289">
        <v>2.8458000000000001</v>
      </c>
      <c r="TC13" s="289">
        <v>2.8721999999999999</v>
      </c>
      <c r="TD13" s="289">
        <v>2.8954</v>
      </c>
      <c r="TE13" s="289">
        <v>2.9209999999999998</v>
      </c>
      <c r="TF13" s="289">
        <v>2.9361999999999999</v>
      </c>
      <c r="TG13" s="185">
        <v>7</v>
      </c>
      <c r="TH13" s="1"/>
      <c r="TI13" s="1"/>
      <c r="TJ13" s="185">
        <v>7</v>
      </c>
      <c r="TK13" s="289">
        <v>2.2839999999999998</v>
      </c>
      <c r="TL13" s="289">
        <v>2.3130000000000002</v>
      </c>
      <c r="TM13" s="289">
        <v>2.3410000000000002</v>
      </c>
      <c r="TN13" s="289">
        <v>2.3740000000000001</v>
      </c>
      <c r="TO13" s="289">
        <v>2.403</v>
      </c>
      <c r="TP13" s="289">
        <v>2.4350000000000001</v>
      </c>
      <c r="TQ13" s="289">
        <v>2.4649999999999999</v>
      </c>
      <c r="TR13" s="289">
        <v>2.4940000000000002</v>
      </c>
      <c r="TS13" s="289">
        <v>2.5270000000000001</v>
      </c>
      <c r="TT13" s="289">
        <v>2.5569999999999999</v>
      </c>
      <c r="TU13" s="289">
        <v>2.5859999999999999</v>
      </c>
      <c r="TV13" s="289">
        <v>2.6179999999999999</v>
      </c>
      <c r="TW13" s="185">
        <v>7</v>
      </c>
    </row>
    <row r="14" spans="2:543" ht="20.100000000000001" customHeight="1">
      <c r="B14" s="64">
        <v>8</v>
      </c>
      <c r="C14" s="289">
        <v>20.4588</v>
      </c>
      <c r="D14" s="289">
        <v>20.5562</v>
      </c>
      <c r="E14" s="289">
        <v>20.926200000000001</v>
      </c>
      <c r="F14" s="289">
        <v>20.066500000000001</v>
      </c>
      <c r="G14" s="289">
        <v>20.253499999999999</v>
      </c>
      <c r="H14" s="289">
        <v>19.5547</v>
      </c>
      <c r="I14" s="289">
        <v>20.722799999999999</v>
      </c>
      <c r="J14" s="289">
        <v>20.335799999999999</v>
      </c>
      <c r="K14" s="289">
        <v>20.138000000000002</v>
      </c>
      <c r="L14" s="289">
        <v>20.108699999999999</v>
      </c>
      <c r="M14" s="289">
        <v>19.520199999999999</v>
      </c>
      <c r="N14" s="289">
        <v>19.803000000000001</v>
      </c>
      <c r="O14" s="64">
        <v>8</v>
      </c>
      <c r="R14" s="64">
        <v>8</v>
      </c>
      <c r="S14" s="289">
        <v>19.725000000000001</v>
      </c>
      <c r="T14" s="289">
        <v>20.4435</v>
      </c>
      <c r="U14" s="289">
        <v>20.849799999999998</v>
      </c>
      <c r="V14" s="289">
        <v>20.161200000000001</v>
      </c>
      <c r="W14" s="289">
        <v>20.183800000000002</v>
      </c>
      <c r="X14" s="289">
        <v>19.9328</v>
      </c>
      <c r="Y14" s="289">
        <v>19.965800000000002</v>
      </c>
      <c r="Z14" s="289">
        <v>19.929300000000001</v>
      </c>
      <c r="AA14" s="289">
        <v>19.887799999999999</v>
      </c>
      <c r="AB14" s="289">
        <v>20.694700000000001</v>
      </c>
      <c r="AC14" s="289">
        <v>20.624199999999998</v>
      </c>
      <c r="AD14" s="289">
        <v>21.204699999999999</v>
      </c>
      <c r="AE14" s="64">
        <v>8</v>
      </c>
      <c r="AH14" s="185">
        <v>8</v>
      </c>
      <c r="AI14" s="289">
        <v>18.827000000000002</v>
      </c>
      <c r="AJ14" s="289">
        <v>18.6645</v>
      </c>
      <c r="AK14" s="289">
        <v>19.8095</v>
      </c>
      <c r="AL14" s="289">
        <v>24.689499999999999</v>
      </c>
      <c r="AM14" s="289">
        <v>24.2942</v>
      </c>
      <c r="AN14" s="289">
        <v>21.838799999999999</v>
      </c>
      <c r="AO14" s="289">
        <v>22.280799999999999</v>
      </c>
      <c r="AP14" s="289">
        <v>22.365200000000002</v>
      </c>
      <c r="AQ14" s="289">
        <v>21.611499999999999</v>
      </c>
      <c r="AR14" s="289">
        <v>21.450700000000001</v>
      </c>
      <c r="AS14" s="289">
        <v>20.761199999999999</v>
      </c>
      <c r="AT14" s="289">
        <v>19.783799999999999</v>
      </c>
      <c r="AU14" s="185">
        <v>8</v>
      </c>
      <c r="AX14" s="185">
        <v>8</v>
      </c>
      <c r="AY14" s="289">
        <v>19.490200000000002</v>
      </c>
      <c r="AZ14" s="289">
        <v>19.105799999999999</v>
      </c>
      <c r="BA14" s="289">
        <v>19.370799999999999</v>
      </c>
      <c r="BB14" s="289">
        <v>19.172799999999999</v>
      </c>
      <c r="BC14" s="289">
        <v>18.978100000000001</v>
      </c>
      <c r="BD14" s="289">
        <v>19.708400000000001</v>
      </c>
      <c r="BE14" s="289">
        <v>18.994700000000002</v>
      </c>
      <c r="BF14" s="289">
        <v>19.629100000000001</v>
      </c>
      <c r="BG14" s="289">
        <v>19.683399999999999</v>
      </c>
      <c r="BH14" s="289">
        <v>19.525500000000001</v>
      </c>
      <c r="BI14" s="289">
        <v>19.1953</v>
      </c>
      <c r="BJ14" s="289">
        <v>19.3688</v>
      </c>
      <c r="BK14" s="185">
        <v>8</v>
      </c>
      <c r="BN14" s="185">
        <v>8</v>
      </c>
      <c r="BO14" s="289">
        <v>19.242699999999999</v>
      </c>
      <c r="BP14" s="289">
        <v>18.700900000000001</v>
      </c>
      <c r="BQ14" s="290">
        <v>18.724599999999999</v>
      </c>
      <c r="BR14" s="289">
        <v>18.1081</v>
      </c>
      <c r="BS14" s="289">
        <v>19.201699999999999</v>
      </c>
      <c r="BT14" s="289">
        <v>20.312899999999999</v>
      </c>
      <c r="BU14" s="289">
        <v>19.251300000000001</v>
      </c>
      <c r="BV14" s="289">
        <v>18.543299999999999</v>
      </c>
      <c r="BW14" s="289">
        <v>19.354600000000001</v>
      </c>
      <c r="BX14" s="289">
        <v>19.1328</v>
      </c>
      <c r="BY14" s="289">
        <v>19.860900000000001</v>
      </c>
      <c r="BZ14" s="289">
        <v>20.470500000000001</v>
      </c>
      <c r="CA14" s="185">
        <v>8</v>
      </c>
      <c r="CD14" s="185">
        <v>8</v>
      </c>
      <c r="CE14" s="289">
        <v>21.366099999999999</v>
      </c>
      <c r="CF14" s="289">
        <v>20.343900000000001</v>
      </c>
      <c r="CG14" s="289">
        <v>19.553799999999999</v>
      </c>
      <c r="CH14" s="289">
        <v>18.769600000000001</v>
      </c>
      <c r="CI14" s="289">
        <v>18.803100000000001</v>
      </c>
      <c r="CJ14" s="289">
        <v>18.276199999999999</v>
      </c>
      <c r="CK14" s="289">
        <v>18.322700000000001</v>
      </c>
      <c r="CL14" s="289">
        <v>17.879799999999999</v>
      </c>
      <c r="CM14" s="289">
        <v>17.813600000000001</v>
      </c>
      <c r="CN14" s="289">
        <v>18.306000000000001</v>
      </c>
      <c r="CO14" s="289">
        <v>19.081399999999999</v>
      </c>
      <c r="CP14" s="289">
        <v>18.889700000000001</v>
      </c>
      <c r="CQ14" s="185">
        <v>8</v>
      </c>
      <c r="CT14" s="185">
        <v>8</v>
      </c>
      <c r="CU14" s="289">
        <v>17.441099999999999</v>
      </c>
      <c r="CV14" s="289">
        <v>18.1891</v>
      </c>
      <c r="CW14" s="289">
        <v>17.772300000000001</v>
      </c>
      <c r="CX14" s="289">
        <v>17.7286</v>
      </c>
      <c r="CY14" s="289">
        <v>17.735800000000001</v>
      </c>
      <c r="CZ14" s="289">
        <v>18.588899999999999</v>
      </c>
      <c r="DA14" s="289">
        <v>18.816099999999999</v>
      </c>
      <c r="DB14" s="289">
        <v>18.8612</v>
      </c>
      <c r="DC14" s="289">
        <v>18.352399999999999</v>
      </c>
      <c r="DD14" s="289">
        <v>19.243300000000001</v>
      </c>
      <c r="DE14" s="289">
        <v>19.0792</v>
      </c>
      <c r="DF14" s="289">
        <v>20.386299999999999</v>
      </c>
      <c r="DG14" s="185">
        <v>8</v>
      </c>
      <c r="DJ14" s="185">
        <v>8</v>
      </c>
      <c r="DK14" s="289">
        <v>14.847899999999999</v>
      </c>
      <c r="DL14" s="289">
        <v>14.754799999999999</v>
      </c>
      <c r="DM14" s="289">
        <v>15.1686</v>
      </c>
      <c r="DN14" s="289">
        <v>14.8003</v>
      </c>
      <c r="DO14" s="289">
        <v>15.282500000000001</v>
      </c>
      <c r="DP14" s="289">
        <v>15.534700000000001</v>
      </c>
      <c r="DQ14" s="289">
        <v>15.753</v>
      </c>
      <c r="DR14" s="289">
        <v>16.376200000000001</v>
      </c>
      <c r="DS14" s="289">
        <v>16.845400000000001</v>
      </c>
      <c r="DT14" s="289">
        <v>16.687799999999999</v>
      </c>
      <c r="DU14" s="289">
        <v>16.5959</v>
      </c>
      <c r="DV14" s="289">
        <v>16.675699999999999</v>
      </c>
      <c r="DW14" s="185">
        <v>8</v>
      </c>
      <c r="DZ14" s="185">
        <v>8</v>
      </c>
      <c r="EA14" s="289">
        <v>13.0905</v>
      </c>
      <c r="EB14" s="289">
        <v>13.2211</v>
      </c>
      <c r="EC14" s="289">
        <v>13.147600000000001</v>
      </c>
      <c r="ED14" s="289">
        <v>13.0345</v>
      </c>
      <c r="EE14" s="289">
        <v>13.0129</v>
      </c>
      <c r="EF14" s="289">
        <v>12.886799999999999</v>
      </c>
      <c r="EG14" s="289">
        <v>12.976800000000001</v>
      </c>
      <c r="EH14" s="289">
        <v>13.257999999999999</v>
      </c>
      <c r="EI14" s="289">
        <v>13.0959</v>
      </c>
      <c r="EJ14" s="289">
        <v>13.408899999999999</v>
      </c>
      <c r="EK14" s="289">
        <v>13.6173</v>
      </c>
      <c r="EL14" s="289">
        <v>14.1165</v>
      </c>
      <c r="EM14" s="185">
        <v>8</v>
      </c>
      <c r="EP14" s="185">
        <v>8</v>
      </c>
      <c r="EQ14" s="289">
        <v>12.7597</v>
      </c>
      <c r="ER14" s="289">
        <v>12.666399999999999</v>
      </c>
      <c r="ES14" s="289">
        <v>12.734500000000001</v>
      </c>
      <c r="ET14" s="289">
        <v>12.319699999999999</v>
      </c>
      <c r="EU14" s="289">
        <v>12.1074</v>
      </c>
      <c r="EV14" s="289">
        <v>12.9079</v>
      </c>
      <c r="EW14" s="289">
        <v>12.8902</v>
      </c>
      <c r="EX14" s="289">
        <v>12.644500000000001</v>
      </c>
      <c r="EY14" s="289">
        <v>13.4079</v>
      </c>
      <c r="EZ14" s="289">
        <v>13.0976</v>
      </c>
      <c r="FA14" s="289">
        <v>13.1388</v>
      </c>
      <c r="FB14" s="289">
        <v>13.005699999999999</v>
      </c>
      <c r="FC14" s="185">
        <v>8</v>
      </c>
      <c r="FF14" s="185">
        <v>8</v>
      </c>
      <c r="FG14" s="289">
        <v>13.7409</v>
      </c>
      <c r="FH14" s="289">
        <v>12.712</v>
      </c>
      <c r="FI14" s="289">
        <v>12.9777</v>
      </c>
      <c r="FJ14" s="289">
        <v>12.7317</v>
      </c>
      <c r="FK14" s="289">
        <v>13.134399999999999</v>
      </c>
      <c r="FL14" s="289">
        <v>14.111599999999999</v>
      </c>
      <c r="FM14" s="289">
        <v>13.3508</v>
      </c>
      <c r="FN14" s="289">
        <v>13.0708</v>
      </c>
      <c r="FO14" s="289">
        <v>13.048299999999999</v>
      </c>
      <c r="FP14" s="289">
        <v>12.758900000000001</v>
      </c>
      <c r="FQ14" s="289">
        <v>12.976900000000001</v>
      </c>
      <c r="FR14" s="289">
        <v>12.9102</v>
      </c>
      <c r="FS14" s="185">
        <v>8</v>
      </c>
      <c r="FV14" s="185">
        <v>8</v>
      </c>
      <c r="FW14" s="289">
        <v>12.2256</v>
      </c>
      <c r="FX14" s="289">
        <v>12.049899999999999</v>
      </c>
      <c r="FY14" s="289">
        <v>12.006399999999999</v>
      </c>
      <c r="FZ14" s="289">
        <v>11.7836</v>
      </c>
      <c r="GA14" s="289">
        <v>11.6934</v>
      </c>
      <c r="GB14" s="289">
        <v>11.6983</v>
      </c>
      <c r="GC14" s="289">
        <v>11.654400000000001</v>
      </c>
      <c r="GD14" s="289">
        <v>11.952299999999999</v>
      </c>
      <c r="GE14" s="289">
        <v>12.510199999999999</v>
      </c>
      <c r="GF14" s="289">
        <v>13.5341</v>
      </c>
      <c r="GG14" s="289">
        <v>13.469799999999999</v>
      </c>
      <c r="GH14" s="289">
        <v>13.497</v>
      </c>
      <c r="GI14" s="185">
        <v>8</v>
      </c>
      <c r="GL14" s="185">
        <v>8</v>
      </c>
      <c r="GM14" s="289">
        <v>12.748900000000001</v>
      </c>
      <c r="GN14" s="289">
        <v>13.0687</v>
      </c>
      <c r="GO14" s="289">
        <v>12.7182</v>
      </c>
      <c r="GP14" s="289">
        <v>12.2454</v>
      </c>
      <c r="GQ14" s="289">
        <v>12.788399999999999</v>
      </c>
      <c r="GR14" s="289">
        <v>12.860300000000001</v>
      </c>
      <c r="GS14" s="289">
        <v>12.9308</v>
      </c>
      <c r="GT14" s="289">
        <v>12.5367</v>
      </c>
      <c r="GU14" s="289">
        <v>12.939500000000001</v>
      </c>
      <c r="GV14" s="289">
        <v>12.4779</v>
      </c>
      <c r="GW14" s="289">
        <v>12.238099999999999</v>
      </c>
      <c r="GX14" s="289">
        <v>12.388400000000001</v>
      </c>
      <c r="GY14" s="185">
        <v>8</v>
      </c>
      <c r="HB14" s="185">
        <v>8</v>
      </c>
      <c r="HC14" s="289">
        <v>13.345800000000001</v>
      </c>
      <c r="HD14" s="289">
        <v>14.294499999999999</v>
      </c>
      <c r="HE14" s="289">
        <v>15.285500000000001</v>
      </c>
      <c r="HF14" s="289">
        <v>13.6325</v>
      </c>
      <c r="HG14" s="289">
        <v>13.226800000000001</v>
      </c>
      <c r="HH14" s="289">
        <v>13.2675</v>
      </c>
      <c r="HI14" s="289">
        <v>13.2547</v>
      </c>
      <c r="HJ14" s="289">
        <v>12.992599999999999</v>
      </c>
      <c r="HK14" s="289">
        <v>13.4658</v>
      </c>
      <c r="HL14" s="289">
        <v>13.494300000000001</v>
      </c>
      <c r="HM14" s="289">
        <v>13.343</v>
      </c>
      <c r="HN14" s="289">
        <v>12.5969</v>
      </c>
      <c r="HO14" s="185">
        <v>8</v>
      </c>
      <c r="HP14" s="1"/>
      <c r="HQ14" s="1"/>
      <c r="HR14" s="185">
        <v>8</v>
      </c>
      <c r="HS14" s="289">
        <v>10.9277</v>
      </c>
      <c r="HT14" s="289">
        <v>10.822699999999999</v>
      </c>
      <c r="HU14" s="289">
        <v>10.764900000000001</v>
      </c>
      <c r="HV14" s="289">
        <v>10.558999999999999</v>
      </c>
      <c r="HW14" s="289">
        <v>10.4937</v>
      </c>
      <c r="HX14" s="289">
        <v>10.3108</v>
      </c>
      <c r="HY14" s="289">
        <v>10.341100000000001</v>
      </c>
      <c r="HZ14" s="289">
        <v>9.9484999999999992</v>
      </c>
      <c r="IA14" s="289">
        <v>10.4658</v>
      </c>
      <c r="IB14" s="289">
        <v>11.7667</v>
      </c>
      <c r="IC14" s="289">
        <v>12.95</v>
      </c>
      <c r="ID14" s="289">
        <v>13.5358</v>
      </c>
      <c r="IE14" s="185">
        <v>8</v>
      </c>
      <c r="IF14" s="1"/>
      <c r="IG14" s="1"/>
      <c r="IH14" s="185">
        <v>8</v>
      </c>
      <c r="II14" s="289">
        <v>10.865</v>
      </c>
      <c r="IJ14" s="289">
        <v>10.9192</v>
      </c>
      <c r="IK14" s="289">
        <v>11.1473</v>
      </c>
      <c r="IL14" s="289">
        <v>10.979699999999999</v>
      </c>
      <c r="IM14" s="289">
        <v>10.885199999999999</v>
      </c>
      <c r="IN14" s="289">
        <v>10.845000000000001</v>
      </c>
      <c r="IO14" s="289">
        <v>10.7936</v>
      </c>
      <c r="IP14" s="289">
        <v>10.9886</v>
      </c>
      <c r="IQ14" s="289">
        <v>11.065799999999999</v>
      </c>
      <c r="IR14" s="289">
        <v>10.8963</v>
      </c>
      <c r="IS14" s="289">
        <v>10.704599999999999</v>
      </c>
      <c r="IT14" s="289">
        <v>10.8367</v>
      </c>
      <c r="IU14" s="185">
        <v>8</v>
      </c>
      <c r="IV14" s="1"/>
      <c r="IW14" s="1"/>
      <c r="IX14" s="185">
        <v>8</v>
      </c>
      <c r="IY14" s="289">
        <v>10.5907</v>
      </c>
      <c r="IZ14" s="289">
        <v>10.498100000000001</v>
      </c>
      <c r="JA14" s="289">
        <v>10.611800000000001</v>
      </c>
      <c r="JB14" s="289">
        <v>11.0557</v>
      </c>
      <c r="JC14" s="289">
        <v>10.9694</v>
      </c>
      <c r="JD14" s="289">
        <v>11.3667</v>
      </c>
      <c r="JE14" s="289">
        <v>11.1061</v>
      </c>
      <c r="JF14" s="289">
        <v>10.8908</v>
      </c>
      <c r="JG14" s="289">
        <v>10.938000000000001</v>
      </c>
      <c r="JH14" s="289">
        <v>11.0185</v>
      </c>
      <c r="JI14" s="289">
        <v>10.8344</v>
      </c>
      <c r="JJ14" s="289">
        <v>10.862</v>
      </c>
      <c r="JK14" s="185">
        <v>8</v>
      </c>
      <c r="JL14" s="1"/>
      <c r="JM14" s="1"/>
      <c r="JN14" s="185">
        <v>8</v>
      </c>
      <c r="JO14" s="289">
        <v>11.4018</v>
      </c>
      <c r="JP14" s="289">
        <v>11.141400000000001</v>
      </c>
      <c r="JQ14" s="289">
        <v>11.0458</v>
      </c>
      <c r="JR14" s="289">
        <v>11.230700000000001</v>
      </c>
      <c r="JS14" s="289">
        <v>10.948700000000001</v>
      </c>
      <c r="JT14" s="289">
        <v>10.879200000000001</v>
      </c>
      <c r="JU14" s="289">
        <v>10.7689</v>
      </c>
      <c r="JV14" s="289">
        <v>10.5831</v>
      </c>
      <c r="JW14" s="289">
        <v>10.6868</v>
      </c>
      <c r="JX14" s="289">
        <v>10.768700000000001</v>
      </c>
      <c r="JY14" s="289">
        <v>10.749499999999999</v>
      </c>
      <c r="JZ14" s="289">
        <v>10.409700000000001</v>
      </c>
      <c r="KA14" s="185">
        <v>8</v>
      </c>
      <c r="KB14" s="1"/>
      <c r="KC14" s="1"/>
      <c r="KD14" s="185">
        <v>8</v>
      </c>
      <c r="KE14" s="289">
        <v>10.9686</v>
      </c>
      <c r="KF14" s="289">
        <v>11.0608</v>
      </c>
      <c r="KG14" s="289">
        <v>10.9955</v>
      </c>
      <c r="KH14" s="289">
        <v>11.1631</v>
      </c>
      <c r="KI14" s="289">
        <v>11.4358</v>
      </c>
      <c r="KJ14" s="289">
        <v>11.4224</v>
      </c>
      <c r="KK14" s="289">
        <v>11.4948</v>
      </c>
      <c r="KL14" s="289">
        <v>11.457000000000001</v>
      </c>
      <c r="KM14" s="289">
        <v>11.519299999999999</v>
      </c>
      <c r="KN14" s="289">
        <v>11.2745</v>
      </c>
      <c r="KO14" s="289">
        <v>11.411799999999999</v>
      </c>
      <c r="KP14" s="289">
        <v>11.1355</v>
      </c>
      <c r="KQ14" s="185">
        <v>8</v>
      </c>
      <c r="KR14" s="1"/>
      <c r="KS14" s="1"/>
      <c r="KT14" s="185">
        <v>8</v>
      </c>
      <c r="KU14" s="289">
        <v>10.419499999999999</v>
      </c>
      <c r="KV14" s="289">
        <v>10.873100000000001</v>
      </c>
      <c r="KW14" s="289">
        <v>11.225</v>
      </c>
      <c r="KX14" s="289">
        <v>10.6823</v>
      </c>
      <c r="KY14" s="289">
        <v>10.267799999999999</v>
      </c>
      <c r="KZ14" s="289">
        <v>10.559799999999999</v>
      </c>
      <c r="LA14" s="289">
        <v>10.4087</v>
      </c>
      <c r="LB14" s="289">
        <v>10.7058</v>
      </c>
      <c r="LC14" s="289">
        <v>10.8575</v>
      </c>
      <c r="LD14" s="289">
        <v>11.2193</v>
      </c>
      <c r="LE14" s="289">
        <v>10.9903</v>
      </c>
      <c r="LF14" s="289">
        <v>11.2224</v>
      </c>
      <c r="LG14" s="185">
        <v>8</v>
      </c>
      <c r="LH14" s="1"/>
      <c r="LI14" s="1"/>
      <c r="LJ14" s="185">
        <v>8</v>
      </c>
      <c r="LK14" s="289">
        <v>9.1367999999999991</v>
      </c>
      <c r="LL14" s="289">
        <v>9.1294000000000004</v>
      </c>
      <c r="LM14" s="289">
        <v>9.0797000000000008</v>
      </c>
      <c r="LN14" s="289">
        <v>9.0467999999999993</v>
      </c>
      <c r="LO14" s="289">
        <v>9.4913000000000007</v>
      </c>
      <c r="LP14" s="289">
        <v>9.7759999999999998</v>
      </c>
      <c r="LQ14" s="289">
        <v>9.9502000000000006</v>
      </c>
      <c r="LR14" s="289">
        <v>9.7472999999999992</v>
      </c>
      <c r="LS14" s="289">
        <v>10.008599999999999</v>
      </c>
      <c r="LT14" s="289">
        <v>10.183999999999999</v>
      </c>
      <c r="LU14" s="289">
        <v>10.1698</v>
      </c>
      <c r="LV14" s="289">
        <v>10.245200000000001</v>
      </c>
      <c r="LW14" s="185">
        <v>8</v>
      </c>
      <c r="LX14" s="1"/>
      <c r="LY14" s="1"/>
      <c r="LZ14" s="185">
        <v>8</v>
      </c>
      <c r="MA14" s="289">
        <v>9.7080000000000002</v>
      </c>
      <c r="MB14" s="289">
        <v>9.6997999999999998</v>
      </c>
      <c r="MC14" s="289">
        <v>9.6409000000000002</v>
      </c>
      <c r="MD14" s="289">
        <v>9.4139999999999997</v>
      </c>
      <c r="ME14" s="289">
        <v>9.2578999999999994</v>
      </c>
      <c r="MF14" s="289">
        <v>9.1207999999999991</v>
      </c>
      <c r="MG14" s="289">
        <v>9.0312000000000001</v>
      </c>
      <c r="MH14" s="289">
        <v>9.1292000000000009</v>
      </c>
      <c r="MI14" s="289">
        <v>9.2897999999999996</v>
      </c>
      <c r="MJ14" s="289">
        <v>9.5243000000000002</v>
      </c>
      <c r="MK14" s="289">
        <v>9.2132000000000005</v>
      </c>
      <c r="ML14" s="289">
        <v>9.2401</v>
      </c>
      <c r="MM14" s="185">
        <v>8</v>
      </c>
      <c r="MN14" s="1"/>
      <c r="MO14" s="1"/>
      <c r="MP14" s="185">
        <v>8</v>
      </c>
      <c r="MQ14" s="289">
        <v>9.5704999999999991</v>
      </c>
      <c r="MR14" s="289">
        <v>9.4802999999999997</v>
      </c>
      <c r="MS14" s="289">
        <v>9.3215000000000003</v>
      </c>
      <c r="MT14" s="289">
        <v>9.3535000000000004</v>
      </c>
      <c r="MU14" s="289">
        <v>9.3848000000000003</v>
      </c>
      <c r="MV14" s="289">
        <v>9.657</v>
      </c>
      <c r="MW14" s="289">
        <v>9.5459999999999994</v>
      </c>
      <c r="MX14" s="289">
        <v>9.3574000000000002</v>
      </c>
      <c r="MY14" s="289">
        <v>9.3115000000000006</v>
      </c>
      <c r="MZ14" s="289">
        <v>9.4514999999999993</v>
      </c>
      <c r="NA14" s="289">
        <v>9.6438000000000006</v>
      </c>
      <c r="NB14" s="289">
        <v>9.4019999999999992</v>
      </c>
      <c r="NC14" s="185">
        <v>8</v>
      </c>
      <c r="ND14" s="1"/>
      <c r="NE14" s="1"/>
      <c r="NF14" s="185">
        <v>8</v>
      </c>
      <c r="NG14" s="289">
        <v>9.7754999999999992</v>
      </c>
      <c r="NH14" s="289">
        <v>10.113799999999999</v>
      </c>
      <c r="NI14" s="289">
        <v>9.9334000000000007</v>
      </c>
      <c r="NJ14" s="289">
        <v>9.4846000000000004</v>
      </c>
      <c r="NK14" s="289">
        <v>9.3330000000000002</v>
      </c>
      <c r="NL14" s="289">
        <v>9.6272000000000002</v>
      </c>
      <c r="NM14" s="289">
        <v>9.3314000000000004</v>
      </c>
      <c r="NN14" s="289">
        <v>9.5097000000000005</v>
      </c>
      <c r="NO14" s="289">
        <v>9.3461999999999996</v>
      </c>
      <c r="NP14" s="289">
        <v>9.4322999999999997</v>
      </c>
      <c r="NQ14" s="289">
        <v>9.4711999999999996</v>
      </c>
      <c r="NR14" s="289">
        <v>9.4562000000000008</v>
      </c>
      <c r="NS14" s="185">
        <v>8</v>
      </c>
      <c r="NT14" s="1"/>
      <c r="NU14" s="1"/>
      <c r="NV14" s="185">
        <v>8</v>
      </c>
      <c r="NW14" s="289">
        <v>8.0421999999999993</v>
      </c>
      <c r="NX14" s="289">
        <v>8.4135000000000009</v>
      </c>
      <c r="NY14" s="289">
        <v>8.6202000000000005</v>
      </c>
      <c r="NZ14" s="289">
        <v>8.52</v>
      </c>
      <c r="OA14" s="289">
        <v>8.4793000000000003</v>
      </c>
      <c r="OB14" s="289">
        <v>8.7803000000000004</v>
      </c>
      <c r="OC14" s="289">
        <v>8.9694000000000003</v>
      </c>
      <c r="OD14" s="289">
        <v>9.0254999999999992</v>
      </c>
      <c r="OE14" s="289">
        <v>10.161799999999999</v>
      </c>
      <c r="OF14" s="289">
        <v>10.1729</v>
      </c>
      <c r="OG14" s="289">
        <v>9.9885999999999999</v>
      </c>
      <c r="OH14" s="289">
        <v>9.9896999999999991</v>
      </c>
      <c r="OI14" s="185">
        <v>8</v>
      </c>
      <c r="OJ14" s="1"/>
      <c r="OK14" s="1"/>
      <c r="OL14" s="185">
        <v>8</v>
      </c>
      <c r="OM14" s="289">
        <v>7.8507999999999996</v>
      </c>
      <c r="ON14" s="289">
        <v>7.8281999999999998</v>
      </c>
      <c r="OO14" s="289">
        <v>8.0091999999999999</v>
      </c>
      <c r="OP14" s="289">
        <v>7.9592000000000001</v>
      </c>
      <c r="OQ14" s="289">
        <v>7.8780999999999999</v>
      </c>
      <c r="OR14" s="289">
        <v>7.9481999999999999</v>
      </c>
      <c r="OS14" s="289">
        <v>7.9660000000000002</v>
      </c>
      <c r="OT14" s="289">
        <v>7.7805999999999997</v>
      </c>
      <c r="OU14" s="289">
        <v>7.7881999999999998</v>
      </c>
      <c r="OV14" s="289">
        <v>7.7601000000000004</v>
      </c>
      <c r="OW14" s="289">
        <v>8.3650000000000002</v>
      </c>
      <c r="OX14" s="289">
        <v>8.1057000000000006</v>
      </c>
      <c r="OY14" s="185">
        <v>8</v>
      </c>
      <c r="OZ14" s="1"/>
      <c r="PA14" s="1"/>
      <c r="PB14" s="185">
        <v>8</v>
      </c>
      <c r="PC14" s="289">
        <v>7.57</v>
      </c>
      <c r="PD14" s="289">
        <v>7.4821</v>
      </c>
      <c r="PE14" s="289">
        <v>7.5952000000000002</v>
      </c>
      <c r="PF14" s="289">
        <v>7.5110000000000001</v>
      </c>
      <c r="PG14" s="289">
        <v>7.5282999999999998</v>
      </c>
      <c r="PH14" s="289">
        <v>7.5016999999999996</v>
      </c>
      <c r="PI14" s="289">
        <v>7.6093000000000002</v>
      </c>
      <c r="PJ14" s="289">
        <v>7.5339999999999998</v>
      </c>
      <c r="PK14" s="289">
        <v>7.5995999999999997</v>
      </c>
      <c r="PL14" s="289">
        <v>7.5273000000000003</v>
      </c>
      <c r="PM14" s="289">
        <v>7.9215</v>
      </c>
      <c r="PN14" s="289">
        <v>7.8884999999999996</v>
      </c>
      <c r="PO14" s="185">
        <v>8</v>
      </c>
      <c r="PP14" s="1"/>
      <c r="PQ14" s="1"/>
      <c r="PR14" s="185">
        <v>8</v>
      </c>
      <c r="PS14" s="289">
        <v>5.39</v>
      </c>
      <c r="PT14" s="289">
        <v>5.3650000000000002</v>
      </c>
      <c r="PU14" s="289">
        <v>6.6349999999999998</v>
      </c>
      <c r="PV14" s="289">
        <v>6.3807999999999998</v>
      </c>
      <c r="PW14" s="289">
        <v>5.8692000000000002</v>
      </c>
      <c r="PX14" s="289">
        <v>6.1108000000000002</v>
      </c>
      <c r="PY14" s="289">
        <v>6.2370999999999999</v>
      </c>
      <c r="PZ14" s="289">
        <v>6.1528999999999998</v>
      </c>
      <c r="QA14" s="289">
        <v>6.2643000000000004</v>
      </c>
      <c r="QB14" s="289">
        <v>6.5425000000000004</v>
      </c>
      <c r="QC14" s="289">
        <v>7.3483000000000001</v>
      </c>
      <c r="QD14" s="289">
        <v>7.6712999999999996</v>
      </c>
      <c r="QE14" s="185">
        <v>8</v>
      </c>
      <c r="QF14" s="1"/>
      <c r="QG14" s="1"/>
      <c r="QH14" s="185">
        <v>8</v>
      </c>
      <c r="QI14" s="289">
        <v>3.1057000000000001</v>
      </c>
      <c r="QJ14" s="289">
        <v>3.1055999999999999</v>
      </c>
      <c r="QK14" s="289">
        <v>3.2355</v>
      </c>
      <c r="QL14" s="289">
        <v>3.3614999999999999</v>
      </c>
      <c r="QM14" s="289">
        <v>3.3052999999999999</v>
      </c>
      <c r="QN14" s="289">
        <v>3.335</v>
      </c>
      <c r="QO14" s="289">
        <v>3.3997999999999999</v>
      </c>
      <c r="QP14" s="289">
        <v>3.3780999999999999</v>
      </c>
      <c r="QQ14" s="289">
        <v>3.4039999999999999</v>
      </c>
      <c r="QR14" s="289">
        <v>3.4159000000000002</v>
      </c>
      <c r="QS14" s="289">
        <v>3.4296000000000002</v>
      </c>
      <c r="QT14" s="289">
        <v>3.4468999999999999</v>
      </c>
      <c r="QU14" s="185">
        <v>8</v>
      </c>
      <c r="QV14" s="1"/>
      <c r="QW14" s="1"/>
      <c r="QX14" s="185">
        <v>8</v>
      </c>
      <c r="QY14" s="289">
        <v>3.1124000000000001</v>
      </c>
      <c r="QZ14" s="289">
        <v>3.1017000000000001</v>
      </c>
      <c r="RA14" s="289">
        <v>3.0960999999999999</v>
      </c>
      <c r="RB14" s="289">
        <v>3.0939999999999999</v>
      </c>
      <c r="RC14" s="289">
        <v>3.1328999999999998</v>
      </c>
      <c r="RD14" s="289">
        <v>3.1251000000000002</v>
      </c>
      <c r="RE14" s="289">
        <v>3.1223999999999998</v>
      </c>
      <c r="RF14" s="289">
        <v>3.1149</v>
      </c>
      <c r="RG14" s="289">
        <v>3.1116999999999999</v>
      </c>
      <c r="RH14" s="289">
        <v>3.1141999999999999</v>
      </c>
      <c r="RI14" s="289">
        <v>3.1476000000000002</v>
      </c>
      <c r="RJ14" s="289">
        <v>3.1052</v>
      </c>
      <c r="RK14" s="185">
        <v>8</v>
      </c>
      <c r="RL14" s="1"/>
      <c r="RM14" s="1"/>
      <c r="RN14" s="185">
        <v>8</v>
      </c>
      <c r="RO14" s="289">
        <v>3.0695000000000001</v>
      </c>
      <c r="RP14" s="289">
        <v>3.0648</v>
      </c>
      <c r="RQ14" s="289">
        <v>3.0609000000000002</v>
      </c>
      <c r="RR14" s="289">
        <v>3.0609000000000002</v>
      </c>
      <c r="RS14" s="289">
        <v>3.0884999999999998</v>
      </c>
      <c r="RT14" s="289">
        <v>3.1179000000000001</v>
      </c>
      <c r="RU14" s="289">
        <v>3.1183000000000001</v>
      </c>
      <c r="RV14" s="289">
        <v>3.1021000000000001</v>
      </c>
      <c r="RW14" s="289">
        <v>3.0680999999999998</v>
      </c>
      <c r="RX14" s="289">
        <v>3.1137000000000001</v>
      </c>
      <c r="RY14" s="289">
        <v>3.1253000000000002</v>
      </c>
      <c r="RZ14" s="289">
        <v>3.1158000000000001</v>
      </c>
      <c r="SA14" s="185">
        <v>8</v>
      </c>
      <c r="SB14" s="1"/>
      <c r="SC14" s="1"/>
      <c r="SD14" s="185">
        <v>8</v>
      </c>
      <c r="SE14" s="289">
        <v>2.9481999999999999</v>
      </c>
      <c r="SF14" s="289">
        <v>2.9613999999999998</v>
      </c>
      <c r="SG14" s="289">
        <v>2.9725999999999999</v>
      </c>
      <c r="SH14" s="289">
        <v>2.9842</v>
      </c>
      <c r="SI14" s="289">
        <v>2.9969999999999999</v>
      </c>
      <c r="SJ14" s="289">
        <v>3.0093999999999999</v>
      </c>
      <c r="SK14" s="289">
        <v>3.0206</v>
      </c>
      <c r="SL14" s="289">
        <v>3.0337999999999998</v>
      </c>
      <c r="SM14" s="289">
        <v>3.0457999999999998</v>
      </c>
      <c r="SN14" s="289">
        <v>3.0590000000000002</v>
      </c>
      <c r="SO14" s="289">
        <v>3.0714000000000001</v>
      </c>
      <c r="SP14" s="289">
        <v>3.0653800000000002</v>
      </c>
      <c r="SQ14" s="185">
        <v>8</v>
      </c>
      <c r="SR14" s="1"/>
      <c r="SS14" s="1"/>
      <c r="ST14" s="185">
        <v>8</v>
      </c>
      <c r="SU14" s="289">
        <v>2.6480000000000001</v>
      </c>
      <c r="SV14" s="289">
        <v>2.681</v>
      </c>
      <c r="SW14" s="289">
        <v>2.7090000000000001</v>
      </c>
      <c r="SX14" s="289">
        <v>2.7389999999999999</v>
      </c>
      <c r="SY14" s="289">
        <v>2.7679999999999998</v>
      </c>
      <c r="SZ14" s="289">
        <v>2.7993999999999999</v>
      </c>
      <c r="TA14" s="289">
        <v>2.8226</v>
      </c>
      <c r="TB14" s="289">
        <v>2.8481999999999998</v>
      </c>
      <c r="TC14" s="289">
        <v>2.8730000000000002</v>
      </c>
      <c r="TD14" s="289">
        <v>2.8954</v>
      </c>
      <c r="TE14" s="289">
        <v>2.9218000000000002</v>
      </c>
      <c r="TF14" s="289">
        <v>2.9365999999999999</v>
      </c>
      <c r="TG14" s="185">
        <v>8</v>
      </c>
      <c r="TH14" s="1"/>
      <c r="TI14" s="1"/>
      <c r="TJ14" s="185">
        <v>8</v>
      </c>
      <c r="TK14" s="289">
        <v>2.2839999999999998</v>
      </c>
      <c r="TL14" s="289">
        <v>2.3159999999999998</v>
      </c>
      <c r="TM14" s="289">
        <v>2.3439999999999999</v>
      </c>
      <c r="TN14" s="289">
        <v>2.375</v>
      </c>
      <c r="TO14" s="289">
        <v>2.403</v>
      </c>
      <c r="TP14" s="289">
        <v>2.4359999999999999</v>
      </c>
      <c r="TQ14" s="289">
        <v>2.4660000000000002</v>
      </c>
      <c r="TR14" s="289">
        <v>2.4950000000000001</v>
      </c>
      <c r="TS14" s="289">
        <v>2.528</v>
      </c>
      <c r="TT14" s="289">
        <v>2.5569999999999999</v>
      </c>
      <c r="TU14" s="289">
        <v>2.589</v>
      </c>
      <c r="TV14" s="289">
        <v>2.6190000000000002</v>
      </c>
      <c r="TW14" s="185">
        <v>8</v>
      </c>
    </row>
    <row r="15" spans="2:543" ht="20.100000000000001" customHeight="1">
      <c r="B15" s="64">
        <v>9</v>
      </c>
      <c r="C15" s="289">
        <v>20.4588</v>
      </c>
      <c r="D15" s="289">
        <v>20.732500000000002</v>
      </c>
      <c r="E15" s="289">
        <v>21.194700000000001</v>
      </c>
      <c r="F15" s="289">
        <v>20.160499999999999</v>
      </c>
      <c r="G15" s="289">
        <v>20.253499999999999</v>
      </c>
      <c r="H15" s="289">
        <v>19.599799999999998</v>
      </c>
      <c r="I15" s="289">
        <v>20.6022</v>
      </c>
      <c r="J15" s="289">
        <v>20.401</v>
      </c>
      <c r="K15" s="289">
        <v>20.029699999999998</v>
      </c>
      <c r="L15" s="289">
        <v>20.108699999999999</v>
      </c>
      <c r="M15" s="289">
        <v>19.464700000000001</v>
      </c>
      <c r="N15" s="289">
        <v>19.697700000000001</v>
      </c>
      <c r="O15" s="64">
        <v>9</v>
      </c>
      <c r="R15" s="64">
        <v>9</v>
      </c>
      <c r="S15" s="289">
        <v>19.91</v>
      </c>
      <c r="T15" s="289">
        <v>20.1388</v>
      </c>
      <c r="U15" s="289">
        <v>21.263500000000001</v>
      </c>
      <c r="V15" s="289">
        <v>20.176500000000001</v>
      </c>
      <c r="W15" s="289">
        <v>20.183800000000002</v>
      </c>
      <c r="X15" s="289">
        <v>19.797000000000001</v>
      </c>
      <c r="Y15" s="289">
        <v>19.991499999999998</v>
      </c>
      <c r="Z15" s="289">
        <v>19.929300000000001</v>
      </c>
      <c r="AA15" s="289">
        <v>19.943999999999999</v>
      </c>
      <c r="AB15" s="289">
        <v>20.603999999999999</v>
      </c>
      <c r="AC15" s="289">
        <v>20.392499999999998</v>
      </c>
      <c r="AD15" s="289">
        <v>21.090699999999998</v>
      </c>
      <c r="AE15" s="64">
        <v>9</v>
      </c>
      <c r="AH15" s="185">
        <v>9</v>
      </c>
      <c r="AI15" s="289">
        <v>18.885200000000001</v>
      </c>
      <c r="AJ15" s="289">
        <v>18.6645</v>
      </c>
      <c r="AK15" s="289">
        <v>19.8095</v>
      </c>
      <c r="AL15" s="289">
        <v>24.038799999999998</v>
      </c>
      <c r="AM15" s="289">
        <v>24.0563</v>
      </c>
      <c r="AN15" s="289">
        <v>21.5837</v>
      </c>
      <c r="AO15" s="289">
        <v>22.621300000000002</v>
      </c>
      <c r="AP15" s="289">
        <v>22.365200000000002</v>
      </c>
      <c r="AQ15" s="289">
        <v>21.588699999999999</v>
      </c>
      <c r="AR15" s="289">
        <v>21.492999999999999</v>
      </c>
      <c r="AS15" s="289">
        <v>20.761199999999999</v>
      </c>
      <c r="AT15" s="289">
        <v>19.821300000000001</v>
      </c>
      <c r="AU15" s="185">
        <v>9</v>
      </c>
      <c r="AX15" s="185">
        <v>9</v>
      </c>
      <c r="AY15" s="289">
        <v>19.320799999999998</v>
      </c>
      <c r="AZ15" s="289">
        <v>19.079999999999998</v>
      </c>
      <c r="BA15" s="289">
        <v>19.522500000000001</v>
      </c>
      <c r="BB15" s="289">
        <v>19.080500000000001</v>
      </c>
      <c r="BC15" s="289">
        <v>19.049900000000001</v>
      </c>
      <c r="BD15" s="289">
        <v>19.708400000000001</v>
      </c>
      <c r="BE15" s="289">
        <v>19.044599999999999</v>
      </c>
      <c r="BF15" s="289">
        <v>19.6953</v>
      </c>
      <c r="BG15" s="289">
        <v>19.683399999999999</v>
      </c>
      <c r="BH15" s="289">
        <v>19.552199999999999</v>
      </c>
      <c r="BI15" s="289">
        <v>19.1327</v>
      </c>
      <c r="BJ15" s="289">
        <v>19.3688</v>
      </c>
      <c r="BK15" s="185">
        <v>9</v>
      </c>
      <c r="BN15" s="185">
        <v>9</v>
      </c>
      <c r="BO15" s="289">
        <v>19.273700000000002</v>
      </c>
      <c r="BP15" s="289">
        <v>18.6492</v>
      </c>
      <c r="BQ15" s="290">
        <v>18.792200000000001</v>
      </c>
      <c r="BR15" s="289">
        <v>18.1081</v>
      </c>
      <c r="BS15" s="289">
        <v>19.423200000000001</v>
      </c>
      <c r="BT15" s="289">
        <v>20.46</v>
      </c>
      <c r="BU15" s="289">
        <v>19.251300000000001</v>
      </c>
      <c r="BV15" s="289">
        <v>18.463100000000001</v>
      </c>
      <c r="BW15" s="289">
        <v>19.354600000000001</v>
      </c>
      <c r="BX15" s="289">
        <v>18.944400000000002</v>
      </c>
      <c r="BY15" s="289">
        <v>19.8245</v>
      </c>
      <c r="BZ15" s="289">
        <v>20.470500000000001</v>
      </c>
      <c r="CA15" s="185">
        <v>9</v>
      </c>
      <c r="CD15" s="185">
        <v>9</v>
      </c>
      <c r="CE15" s="289">
        <v>21.366099999999999</v>
      </c>
      <c r="CF15" s="289">
        <v>20.637</v>
      </c>
      <c r="CG15" s="289">
        <v>19.521000000000001</v>
      </c>
      <c r="CH15" s="289">
        <v>18.769600000000001</v>
      </c>
      <c r="CI15" s="289">
        <v>19.0137</v>
      </c>
      <c r="CJ15" s="289">
        <v>18.227799999999998</v>
      </c>
      <c r="CK15" s="289">
        <v>18.322700000000001</v>
      </c>
      <c r="CL15" s="289">
        <v>17.964099999999998</v>
      </c>
      <c r="CM15" s="289">
        <v>17.6965</v>
      </c>
      <c r="CN15" s="289">
        <v>18.306000000000001</v>
      </c>
      <c r="CO15" s="289">
        <v>19.134899999999998</v>
      </c>
      <c r="CP15" s="289">
        <v>18.9315</v>
      </c>
      <c r="CQ15" s="185">
        <v>9</v>
      </c>
      <c r="CT15" s="185">
        <v>9</v>
      </c>
      <c r="CU15" s="289">
        <v>17.6568</v>
      </c>
      <c r="CV15" s="289">
        <v>18.3748</v>
      </c>
      <c r="CW15" s="289">
        <v>17.752600000000001</v>
      </c>
      <c r="CX15" s="289">
        <v>17.893000000000001</v>
      </c>
      <c r="CY15" s="289">
        <v>17.735800000000001</v>
      </c>
      <c r="CZ15" s="289">
        <v>18.506699999999999</v>
      </c>
      <c r="DA15" s="289">
        <v>18.860700000000001</v>
      </c>
      <c r="DB15" s="289">
        <v>18.8691</v>
      </c>
      <c r="DC15" s="289">
        <v>18.3689</v>
      </c>
      <c r="DD15" s="289">
        <v>19.243300000000001</v>
      </c>
      <c r="DE15" s="289">
        <v>18.619199999999999</v>
      </c>
      <c r="DF15" s="289">
        <v>20.296700000000001</v>
      </c>
      <c r="DG15" s="185">
        <v>9</v>
      </c>
      <c r="DJ15" s="185">
        <v>9</v>
      </c>
      <c r="DK15" s="289">
        <v>14.7936</v>
      </c>
      <c r="DL15" s="289">
        <v>14.754799999999999</v>
      </c>
      <c r="DM15" s="289">
        <v>15.1686</v>
      </c>
      <c r="DN15" s="289">
        <v>14.9039</v>
      </c>
      <c r="DO15" s="289">
        <v>15.339700000000001</v>
      </c>
      <c r="DP15" s="289">
        <v>15.6958</v>
      </c>
      <c r="DQ15" s="289">
        <v>15.828099999999999</v>
      </c>
      <c r="DR15" s="289">
        <v>16.376200000000001</v>
      </c>
      <c r="DS15" s="289">
        <v>16.988</v>
      </c>
      <c r="DT15" s="289">
        <v>16.5762</v>
      </c>
      <c r="DU15" s="289">
        <v>16.5959</v>
      </c>
      <c r="DV15" s="289">
        <v>16.904399999999999</v>
      </c>
      <c r="DW15" s="185">
        <v>9</v>
      </c>
      <c r="DZ15" s="185">
        <v>9</v>
      </c>
      <c r="EA15" s="289">
        <v>13.0337</v>
      </c>
      <c r="EB15" s="289">
        <v>13.2211</v>
      </c>
      <c r="EC15" s="289">
        <v>13.147600000000001</v>
      </c>
      <c r="ED15" s="289">
        <v>13.017899999999999</v>
      </c>
      <c r="EE15" s="289">
        <v>12.9876</v>
      </c>
      <c r="EF15" s="289">
        <v>12.886799999999999</v>
      </c>
      <c r="EG15" s="289">
        <v>12.994899999999999</v>
      </c>
      <c r="EH15" s="289">
        <v>13.255100000000001</v>
      </c>
      <c r="EI15" s="289">
        <v>13.078799999999999</v>
      </c>
      <c r="EJ15" s="289">
        <v>13.433199999999999</v>
      </c>
      <c r="EK15" s="289">
        <v>13.6173</v>
      </c>
      <c r="EL15" s="289">
        <v>14.304500000000001</v>
      </c>
      <c r="EM15" s="185">
        <v>9</v>
      </c>
      <c r="EP15" s="185">
        <v>9</v>
      </c>
      <c r="EQ15" s="289">
        <v>12.767899999999999</v>
      </c>
      <c r="ER15" s="289">
        <v>12.7105</v>
      </c>
      <c r="ES15" s="289">
        <v>12.783899999999999</v>
      </c>
      <c r="ET15" s="289">
        <v>12.238300000000001</v>
      </c>
      <c r="EU15" s="289">
        <v>12.0733</v>
      </c>
      <c r="EV15" s="289">
        <v>12.9079</v>
      </c>
      <c r="EW15" s="289">
        <v>13.056699999999999</v>
      </c>
      <c r="EX15" s="289">
        <v>12.6989</v>
      </c>
      <c r="EY15" s="289">
        <v>13.4079</v>
      </c>
      <c r="EZ15" s="289">
        <v>13.0959</v>
      </c>
      <c r="FA15" s="289">
        <v>13.1912</v>
      </c>
      <c r="FB15" s="289">
        <v>13.005699999999999</v>
      </c>
      <c r="FC15" s="185">
        <v>9</v>
      </c>
      <c r="FF15" s="185">
        <v>9</v>
      </c>
      <c r="FG15" s="289">
        <v>13.7409</v>
      </c>
      <c r="FH15" s="289">
        <v>12.6472</v>
      </c>
      <c r="FI15" s="289">
        <v>12.946899999999999</v>
      </c>
      <c r="FJ15" s="289">
        <v>12.7317</v>
      </c>
      <c r="FK15" s="289">
        <v>13.165900000000001</v>
      </c>
      <c r="FL15" s="289">
        <v>13.935499999999999</v>
      </c>
      <c r="FM15" s="289">
        <v>13.3508</v>
      </c>
      <c r="FN15" s="289">
        <v>13.184900000000001</v>
      </c>
      <c r="FO15" s="289">
        <v>13.048299999999999</v>
      </c>
      <c r="FP15" s="289">
        <v>12.698700000000001</v>
      </c>
      <c r="FQ15" s="289">
        <v>13.043200000000001</v>
      </c>
      <c r="FR15" s="289">
        <v>12.9102</v>
      </c>
      <c r="FS15" s="185">
        <v>9</v>
      </c>
      <c r="FV15" s="185">
        <v>9</v>
      </c>
      <c r="FW15" s="289">
        <v>12.2256</v>
      </c>
      <c r="FX15" s="289">
        <v>11.9946</v>
      </c>
      <c r="FY15" s="289">
        <v>12.016999999999999</v>
      </c>
      <c r="FZ15" s="289">
        <v>11.793100000000001</v>
      </c>
      <c r="GA15" s="289">
        <v>11.6934</v>
      </c>
      <c r="GB15" s="289">
        <v>11.7196</v>
      </c>
      <c r="GC15" s="289">
        <v>11.5738</v>
      </c>
      <c r="GD15" s="289">
        <v>11.9794</v>
      </c>
      <c r="GE15" s="289">
        <v>12.466100000000001</v>
      </c>
      <c r="GF15" s="289">
        <v>13.5341</v>
      </c>
      <c r="GG15" s="289">
        <v>13.4504</v>
      </c>
      <c r="GH15" s="289">
        <v>13.511799999999999</v>
      </c>
      <c r="GI15" s="185">
        <v>9</v>
      </c>
      <c r="GL15" s="185">
        <v>9</v>
      </c>
      <c r="GM15" s="289">
        <v>12.7646</v>
      </c>
      <c r="GN15" s="289">
        <v>13.1753</v>
      </c>
      <c r="GO15" s="289">
        <v>12.6557</v>
      </c>
      <c r="GP15" s="289">
        <v>12.2218</v>
      </c>
      <c r="GQ15" s="289">
        <v>12.788399999999999</v>
      </c>
      <c r="GR15" s="289">
        <v>12.920199999999999</v>
      </c>
      <c r="GS15" s="289">
        <v>12.897500000000001</v>
      </c>
      <c r="GT15" s="289">
        <v>12.5367</v>
      </c>
      <c r="GU15" s="289">
        <v>13.0566</v>
      </c>
      <c r="GV15" s="289">
        <v>12.527699999999999</v>
      </c>
      <c r="GW15" s="289">
        <v>12.205500000000001</v>
      </c>
      <c r="GX15" s="289">
        <v>12.4123</v>
      </c>
      <c r="GY15" s="185">
        <v>9</v>
      </c>
      <c r="HB15" s="185">
        <v>9</v>
      </c>
      <c r="HC15" s="289">
        <v>13.413600000000001</v>
      </c>
      <c r="HD15" s="289">
        <v>14.294499999999999</v>
      </c>
      <c r="HE15" s="289">
        <v>15.285500000000001</v>
      </c>
      <c r="HF15" s="289">
        <v>13.571199999999999</v>
      </c>
      <c r="HG15" s="289">
        <v>13.110300000000001</v>
      </c>
      <c r="HH15" s="289">
        <v>13.2768</v>
      </c>
      <c r="HI15" s="289">
        <v>13.272399999999999</v>
      </c>
      <c r="HJ15" s="289">
        <v>12.992599999999999</v>
      </c>
      <c r="HK15" s="289">
        <v>13.364599999999999</v>
      </c>
      <c r="HL15" s="289">
        <v>13.4673</v>
      </c>
      <c r="HM15" s="289">
        <v>13.343</v>
      </c>
      <c r="HN15" s="289">
        <v>12.655799999999999</v>
      </c>
      <c r="HO15" s="185">
        <v>9</v>
      </c>
      <c r="HP15" s="1"/>
      <c r="HQ15" s="1"/>
      <c r="HR15" s="185">
        <v>9</v>
      </c>
      <c r="HS15" s="289">
        <v>10.9208</v>
      </c>
      <c r="HT15" s="289">
        <v>10.804</v>
      </c>
      <c r="HU15" s="289">
        <v>10.764900000000001</v>
      </c>
      <c r="HV15" s="289">
        <v>10.5395</v>
      </c>
      <c r="HW15" s="289">
        <v>10.539</v>
      </c>
      <c r="HX15" s="289">
        <v>10.3108</v>
      </c>
      <c r="HY15" s="289">
        <v>10.3263</v>
      </c>
      <c r="HZ15" s="289">
        <v>9.9877000000000002</v>
      </c>
      <c r="IA15" s="289">
        <v>10.5143</v>
      </c>
      <c r="IB15" s="289">
        <v>12.1196</v>
      </c>
      <c r="IC15" s="289">
        <v>12.95</v>
      </c>
      <c r="ID15" s="289">
        <v>13.7567</v>
      </c>
      <c r="IE15" s="185">
        <v>9</v>
      </c>
      <c r="IF15" s="1"/>
      <c r="IG15" s="1"/>
      <c r="IH15" s="185">
        <v>9</v>
      </c>
      <c r="II15" s="289">
        <v>10.935499999999999</v>
      </c>
      <c r="IJ15" s="289">
        <v>10.936999999999999</v>
      </c>
      <c r="IK15" s="289">
        <v>11.1555</v>
      </c>
      <c r="IL15" s="289">
        <v>10.979699999999999</v>
      </c>
      <c r="IM15" s="289">
        <v>10.8558</v>
      </c>
      <c r="IN15" s="289">
        <v>10.904299999999999</v>
      </c>
      <c r="IO15" s="289">
        <v>10.7936</v>
      </c>
      <c r="IP15" s="289">
        <v>10.9613</v>
      </c>
      <c r="IQ15" s="289">
        <v>11.065799999999999</v>
      </c>
      <c r="IR15" s="289">
        <v>10.855700000000001</v>
      </c>
      <c r="IS15" s="289">
        <v>10.743499999999999</v>
      </c>
      <c r="IT15" s="289">
        <v>10.8367</v>
      </c>
      <c r="IU15" s="185">
        <v>9</v>
      </c>
      <c r="IV15" s="1"/>
      <c r="IW15" s="1"/>
      <c r="IX15" s="185">
        <v>9</v>
      </c>
      <c r="IY15" s="289">
        <v>10.5907</v>
      </c>
      <c r="IZ15" s="289">
        <v>10.4758</v>
      </c>
      <c r="JA15" s="289">
        <v>10.7003</v>
      </c>
      <c r="JB15" s="289">
        <v>11.0557</v>
      </c>
      <c r="JC15" s="289">
        <v>10.9587</v>
      </c>
      <c r="JD15" s="289">
        <v>11.324999999999999</v>
      </c>
      <c r="JE15" s="289">
        <v>11.1061</v>
      </c>
      <c r="JF15" s="289">
        <v>10.883800000000001</v>
      </c>
      <c r="JG15" s="289">
        <v>11.019600000000001</v>
      </c>
      <c r="JH15" s="289">
        <v>11.0185</v>
      </c>
      <c r="JI15" s="289">
        <v>10.82</v>
      </c>
      <c r="JJ15" s="289">
        <v>10.8558</v>
      </c>
      <c r="JK15" s="185">
        <v>9</v>
      </c>
      <c r="JL15" s="1"/>
      <c r="JM15" s="1"/>
      <c r="JN15" s="185">
        <v>9</v>
      </c>
      <c r="JO15" s="289">
        <v>11.4018</v>
      </c>
      <c r="JP15" s="289">
        <v>11.190899999999999</v>
      </c>
      <c r="JQ15" s="289">
        <v>11.0349</v>
      </c>
      <c r="JR15" s="289">
        <v>11.1945</v>
      </c>
      <c r="JS15" s="289">
        <v>10.948700000000001</v>
      </c>
      <c r="JT15" s="289">
        <v>10.8695</v>
      </c>
      <c r="JU15" s="289">
        <v>10.7997</v>
      </c>
      <c r="JV15" s="289">
        <v>10.5921</v>
      </c>
      <c r="JW15" s="289">
        <v>10.701499999999999</v>
      </c>
      <c r="JX15" s="289">
        <v>10.768700000000001</v>
      </c>
      <c r="JY15" s="289">
        <v>10.7072</v>
      </c>
      <c r="JZ15" s="289">
        <v>10.44</v>
      </c>
      <c r="KA15" s="185">
        <v>9</v>
      </c>
      <c r="KB15" s="1"/>
      <c r="KC15" s="1"/>
      <c r="KD15" s="185">
        <v>9</v>
      </c>
      <c r="KE15" s="289">
        <v>10.904400000000001</v>
      </c>
      <c r="KF15" s="289">
        <v>11.0608</v>
      </c>
      <c r="KG15" s="289">
        <v>10.939299999999999</v>
      </c>
      <c r="KH15" s="289">
        <v>11.1631</v>
      </c>
      <c r="KI15" s="289">
        <v>11.4358</v>
      </c>
      <c r="KJ15" s="289">
        <v>11.3498</v>
      </c>
      <c r="KK15" s="289">
        <v>11.467000000000001</v>
      </c>
      <c r="KL15" s="289">
        <v>11.457000000000001</v>
      </c>
      <c r="KM15" s="289">
        <v>11.568899999999999</v>
      </c>
      <c r="KN15" s="289">
        <v>11.2874</v>
      </c>
      <c r="KO15" s="289">
        <v>11.4031</v>
      </c>
      <c r="KP15" s="289">
        <v>11.170400000000001</v>
      </c>
      <c r="KQ15" s="185">
        <v>9</v>
      </c>
      <c r="KR15" s="1"/>
      <c r="KS15" s="1"/>
      <c r="KT15" s="185">
        <v>9</v>
      </c>
      <c r="KU15" s="289">
        <v>10.327999999999999</v>
      </c>
      <c r="KV15" s="289">
        <v>10.873100000000001</v>
      </c>
      <c r="KW15" s="289">
        <v>11.225</v>
      </c>
      <c r="KX15" s="289">
        <v>10.6896</v>
      </c>
      <c r="KY15" s="289">
        <v>10.211499999999999</v>
      </c>
      <c r="KZ15" s="289">
        <v>10.559799999999999</v>
      </c>
      <c r="LA15" s="289">
        <v>10.394600000000001</v>
      </c>
      <c r="LB15" s="289">
        <v>10.700100000000001</v>
      </c>
      <c r="LC15" s="289">
        <v>10.862</v>
      </c>
      <c r="LD15" s="289">
        <v>11.292299999999999</v>
      </c>
      <c r="LE15" s="289">
        <v>10.9903</v>
      </c>
      <c r="LF15" s="289">
        <v>11.1959</v>
      </c>
      <c r="LG15" s="185">
        <v>9</v>
      </c>
      <c r="LH15" s="1"/>
      <c r="LI15" s="1"/>
      <c r="LJ15" s="185">
        <v>9</v>
      </c>
      <c r="LK15" s="289">
        <v>9.1554000000000002</v>
      </c>
      <c r="LL15" s="289">
        <v>9.1380999999999997</v>
      </c>
      <c r="LM15" s="289">
        <v>9.0753000000000004</v>
      </c>
      <c r="LN15" s="289">
        <v>9.0266000000000002</v>
      </c>
      <c r="LO15" s="289">
        <v>9.4827999999999992</v>
      </c>
      <c r="LP15" s="289">
        <v>9.7759999999999998</v>
      </c>
      <c r="LQ15" s="289">
        <v>9.9033999999999995</v>
      </c>
      <c r="LR15" s="289">
        <v>9.7347999999999999</v>
      </c>
      <c r="LS15" s="289">
        <v>10.008599999999999</v>
      </c>
      <c r="LT15" s="289">
        <v>10.215400000000001</v>
      </c>
      <c r="LU15" s="289">
        <v>10.242800000000001</v>
      </c>
      <c r="LV15" s="289">
        <v>10.245200000000001</v>
      </c>
      <c r="LW15" s="185">
        <v>9</v>
      </c>
      <c r="LX15" s="1"/>
      <c r="LY15" s="1"/>
      <c r="LZ15" s="185">
        <v>9</v>
      </c>
      <c r="MA15" s="289">
        <v>9.7545999999999999</v>
      </c>
      <c r="MB15" s="289">
        <v>9.6944999999999997</v>
      </c>
      <c r="MC15" s="289">
        <v>9.6541999999999994</v>
      </c>
      <c r="MD15" s="289">
        <v>9.4139999999999997</v>
      </c>
      <c r="ME15" s="289">
        <v>9.2211999999999996</v>
      </c>
      <c r="MF15" s="289">
        <v>9.1234999999999999</v>
      </c>
      <c r="MG15" s="289">
        <v>9.0312000000000001</v>
      </c>
      <c r="MH15" s="289">
        <v>9.1199999999999992</v>
      </c>
      <c r="MI15" s="289">
        <v>9.2897999999999996</v>
      </c>
      <c r="MJ15" s="289">
        <v>9.5808</v>
      </c>
      <c r="MK15" s="289">
        <v>9.2088000000000001</v>
      </c>
      <c r="ML15" s="289">
        <v>9.2401</v>
      </c>
      <c r="MM15" s="185">
        <v>9</v>
      </c>
      <c r="MN15" s="1"/>
      <c r="MO15" s="1"/>
      <c r="MP15" s="185">
        <v>9</v>
      </c>
      <c r="MQ15" s="289">
        <v>9.5704999999999991</v>
      </c>
      <c r="MR15" s="289">
        <v>9.4327000000000005</v>
      </c>
      <c r="MS15" s="289">
        <v>9.3009000000000004</v>
      </c>
      <c r="MT15" s="289">
        <v>9.3535000000000004</v>
      </c>
      <c r="MU15" s="289">
        <v>9.3927999999999994</v>
      </c>
      <c r="MV15" s="289">
        <v>9.7942</v>
      </c>
      <c r="MW15" s="289">
        <v>9.5459999999999994</v>
      </c>
      <c r="MX15" s="289">
        <v>9.3353000000000002</v>
      </c>
      <c r="MY15" s="289">
        <v>9.3140999999999998</v>
      </c>
      <c r="MZ15" s="289">
        <v>9.4514999999999993</v>
      </c>
      <c r="NA15" s="289">
        <v>9.6544000000000008</v>
      </c>
      <c r="NB15" s="289">
        <v>9.4262999999999995</v>
      </c>
      <c r="NC15" s="185">
        <v>9</v>
      </c>
      <c r="ND15" s="1"/>
      <c r="NE15" s="1"/>
      <c r="NF15" s="185">
        <v>9</v>
      </c>
      <c r="NG15" s="289">
        <v>9.8527000000000005</v>
      </c>
      <c r="NH15" s="289">
        <v>10.121700000000001</v>
      </c>
      <c r="NI15" s="289">
        <v>9.8732000000000006</v>
      </c>
      <c r="NJ15" s="289">
        <v>9.4968000000000004</v>
      </c>
      <c r="NK15" s="289">
        <v>9.3330000000000002</v>
      </c>
      <c r="NL15" s="289">
        <v>9.5045000000000002</v>
      </c>
      <c r="NM15" s="289">
        <v>9.3636999999999997</v>
      </c>
      <c r="NN15" s="289">
        <v>9.5097000000000005</v>
      </c>
      <c r="NO15" s="289">
        <v>9.3497000000000003</v>
      </c>
      <c r="NP15" s="289">
        <v>9.4597999999999995</v>
      </c>
      <c r="NQ15" s="289">
        <v>9.4518000000000004</v>
      </c>
      <c r="NR15" s="289">
        <v>9.4415999999999993</v>
      </c>
      <c r="NS15" s="185">
        <v>9</v>
      </c>
      <c r="NT15" s="1"/>
      <c r="NU15" s="1"/>
      <c r="NV15" s="185">
        <v>9</v>
      </c>
      <c r="NW15" s="289">
        <v>8.0597999999999992</v>
      </c>
      <c r="NX15" s="289">
        <v>8.4135000000000009</v>
      </c>
      <c r="NY15" s="289">
        <v>8.6202000000000005</v>
      </c>
      <c r="NZ15" s="289">
        <v>8.5274000000000001</v>
      </c>
      <c r="OA15" s="289">
        <v>8.5007000000000001</v>
      </c>
      <c r="OB15" s="289">
        <v>8.7619000000000007</v>
      </c>
      <c r="OC15" s="289">
        <v>8.9558</v>
      </c>
      <c r="OD15" s="289">
        <v>9.0254999999999992</v>
      </c>
      <c r="OE15" s="289">
        <v>10.1967</v>
      </c>
      <c r="OF15" s="289">
        <v>10.1835</v>
      </c>
      <c r="OG15" s="289">
        <v>9.9885999999999999</v>
      </c>
      <c r="OH15" s="289">
        <v>9.9992999999999999</v>
      </c>
      <c r="OI15" s="185">
        <v>9</v>
      </c>
      <c r="OJ15" s="1"/>
      <c r="OK15" s="1"/>
      <c r="OL15" s="185">
        <v>9</v>
      </c>
      <c r="OM15" s="289">
        <v>7.8375000000000004</v>
      </c>
      <c r="ON15" s="289">
        <v>7.8281999999999998</v>
      </c>
      <c r="OO15" s="289">
        <v>8.0091999999999999</v>
      </c>
      <c r="OP15" s="289">
        <v>7.9061000000000003</v>
      </c>
      <c r="OQ15" s="289">
        <v>7.9203000000000001</v>
      </c>
      <c r="OR15" s="289">
        <v>7.9481999999999999</v>
      </c>
      <c r="OS15" s="289">
        <v>7.9071999999999996</v>
      </c>
      <c r="OT15" s="289">
        <v>7.7895000000000003</v>
      </c>
      <c r="OU15" s="289">
        <v>7.8070000000000004</v>
      </c>
      <c r="OV15" s="289">
        <v>7.7496999999999998</v>
      </c>
      <c r="OW15" s="289">
        <v>8.3650000000000002</v>
      </c>
      <c r="OX15" s="289">
        <v>8.1440000000000001</v>
      </c>
      <c r="OY15" s="185">
        <v>9</v>
      </c>
      <c r="OZ15" s="1"/>
      <c r="PA15" s="1"/>
      <c r="PB15" s="185">
        <v>9</v>
      </c>
      <c r="PC15" s="289">
        <v>7.5674999999999999</v>
      </c>
      <c r="PD15" s="289">
        <v>7.48</v>
      </c>
      <c r="PE15" s="289">
        <v>7.5712999999999999</v>
      </c>
      <c r="PF15" s="289">
        <v>7.5180999999999996</v>
      </c>
      <c r="PG15" s="289">
        <v>7.5119999999999996</v>
      </c>
      <c r="PH15" s="289">
        <v>7.5016999999999996</v>
      </c>
      <c r="PI15" s="289">
        <v>7.6318000000000001</v>
      </c>
      <c r="PJ15" s="289">
        <v>7.5118999999999998</v>
      </c>
      <c r="PK15" s="289">
        <v>7.5995999999999997</v>
      </c>
      <c r="PL15" s="289">
        <v>7.5281000000000002</v>
      </c>
      <c r="PM15" s="289">
        <v>7.9527000000000001</v>
      </c>
      <c r="PN15" s="289">
        <v>7.8884999999999996</v>
      </c>
      <c r="PO15" s="185">
        <v>9</v>
      </c>
      <c r="PP15" s="1"/>
      <c r="PQ15" s="1"/>
      <c r="PR15" s="185">
        <v>9</v>
      </c>
      <c r="PS15" s="289">
        <v>5.39</v>
      </c>
      <c r="PT15" s="289">
        <v>5.3624999999999998</v>
      </c>
      <c r="PU15" s="289">
        <v>6.875</v>
      </c>
      <c r="PV15" s="289">
        <v>6.3807999999999998</v>
      </c>
      <c r="PW15" s="289">
        <v>5.8757999999999999</v>
      </c>
      <c r="PX15" s="289">
        <v>6.1616999999999997</v>
      </c>
      <c r="PY15" s="289">
        <v>6.2370999999999999</v>
      </c>
      <c r="PZ15" s="289">
        <v>6.1289999999999996</v>
      </c>
      <c r="QA15" s="289">
        <v>6.2568000000000001</v>
      </c>
      <c r="QB15" s="289">
        <v>6.5425000000000004</v>
      </c>
      <c r="QC15" s="289">
        <v>7.5167000000000002</v>
      </c>
      <c r="QD15" s="289">
        <v>7.7083000000000004</v>
      </c>
      <c r="QE15" s="185">
        <v>9</v>
      </c>
      <c r="QF15" s="1"/>
      <c r="QG15" s="1"/>
      <c r="QH15" s="185">
        <v>9</v>
      </c>
      <c r="QI15" s="289">
        <v>3.1057000000000001</v>
      </c>
      <c r="QJ15" s="289">
        <v>3.1055999999999999</v>
      </c>
      <c r="QK15" s="289">
        <v>3.2519999999999998</v>
      </c>
      <c r="QL15" s="289">
        <v>3.363</v>
      </c>
      <c r="QM15" s="289">
        <v>3.3052999999999999</v>
      </c>
      <c r="QN15" s="289">
        <v>3.3650000000000002</v>
      </c>
      <c r="QO15" s="289">
        <v>3.4001999999999999</v>
      </c>
      <c r="QP15" s="289">
        <v>3.3828999999999998</v>
      </c>
      <c r="QQ15" s="289">
        <v>3.3982999999999999</v>
      </c>
      <c r="QR15" s="289">
        <v>3.4159000000000002</v>
      </c>
      <c r="QS15" s="289">
        <v>3.4272999999999998</v>
      </c>
      <c r="QT15" s="289">
        <v>3.4519000000000002</v>
      </c>
      <c r="QU15" s="185">
        <v>9</v>
      </c>
      <c r="QV15" s="1"/>
      <c r="QW15" s="1"/>
      <c r="QX15" s="185">
        <v>9</v>
      </c>
      <c r="QY15" s="289">
        <v>3.1063000000000001</v>
      </c>
      <c r="QZ15" s="289">
        <v>3.1012</v>
      </c>
      <c r="RA15" s="289">
        <v>3.101</v>
      </c>
      <c r="RB15" s="289">
        <v>3.0939999999999999</v>
      </c>
      <c r="RC15" s="289">
        <v>3.1328999999999998</v>
      </c>
      <c r="RD15" s="289">
        <v>3.1255999999999999</v>
      </c>
      <c r="RE15" s="289">
        <v>3.1236000000000002</v>
      </c>
      <c r="RF15" s="289">
        <v>3.1149</v>
      </c>
      <c r="RG15" s="289">
        <v>3.113</v>
      </c>
      <c r="RH15" s="289">
        <v>3.1156000000000001</v>
      </c>
      <c r="RI15" s="289">
        <v>3.1520000000000001</v>
      </c>
      <c r="RJ15" s="289">
        <v>3.1046999999999998</v>
      </c>
      <c r="RK15" s="185">
        <v>9</v>
      </c>
      <c r="RL15" s="1"/>
      <c r="RM15" s="1"/>
      <c r="RN15" s="185">
        <v>9</v>
      </c>
      <c r="RO15" s="289">
        <v>3.0665</v>
      </c>
      <c r="RP15" s="289">
        <v>3.0648</v>
      </c>
      <c r="RQ15" s="289">
        <v>3.0609000000000002</v>
      </c>
      <c r="RR15" s="289">
        <v>3.0608</v>
      </c>
      <c r="RS15" s="289">
        <v>3.1</v>
      </c>
      <c r="RT15" s="289">
        <v>3.1131000000000002</v>
      </c>
      <c r="RU15" s="289">
        <v>3.1166</v>
      </c>
      <c r="RV15" s="289">
        <v>3.1021000000000001</v>
      </c>
      <c r="RW15" s="289">
        <v>3.0638000000000001</v>
      </c>
      <c r="RX15" s="289">
        <v>3.1118999999999999</v>
      </c>
      <c r="RY15" s="289">
        <v>3.1253000000000002</v>
      </c>
      <c r="RZ15" s="289">
        <v>3.1175999999999999</v>
      </c>
      <c r="SA15" s="185">
        <v>9</v>
      </c>
      <c r="SB15" s="1"/>
      <c r="SC15" s="1"/>
      <c r="SD15" s="185">
        <v>9</v>
      </c>
      <c r="SE15" s="289">
        <v>2.9493999999999998</v>
      </c>
      <c r="SF15" s="289">
        <v>2.9618000000000002</v>
      </c>
      <c r="SG15" s="289">
        <v>2.9729999999999999</v>
      </c>
      <c r="SH15" s="289">
        <v>2.9845999999999999</v>
      </c>
      <c r="SI15" s="289">
        <v>2.9973999999999998</v>
      </c>
      <c r="SJ15" s="289">
        <v>3.0093999999999999</v>
      </c>
      <c r="SK15" s="289">
        <v>3.0209999999999999</v>
      </c>
      <c r="SL15" s="289">
        <v>3.0341999999999998</v>
      </c>
      <c r="SM15" s="289">
        <v>3.0457999999999998</v>
      </c>
      <c r="SN15" s="289">
        <v>3.0594000000000001</v>
      </c>
      <c r="SO15" s="289">
        <v>3.0726</v>
      </c>
      <c r="SP15" s="289">
        <v>3.0653800000000002</v>
      </c>
      <c r="SQ15" s="185">
        <v>9</v>
      </c>
      <c r="SR15" s="1"/>
      <c r="SS15" s="1"/>
      <c r="ST15" s="185">
        <v>9</v>
      </c>
      <c r="SU15" s="289">
        <v>2.6509999999999998</v>
      </c>
      <c r="SV15" s="289">
        <v>2.6819999999999999</v>
      </c>
      <c r="SW15" s="289">
        <v>2.71</v>
      </c>
      <c r="SX15" s="289">
        <v>2.7389999999999999</v>
      </c>
      <c r="SY15" s="289">
        <v>2.7709999999999999</v>
      </c>
      <c r="SZ15" s="289">
        <v>2.8001999999999998</v>
      </c>
      <c r="TA15" s="289">
        <v>2.8226</v>
      </c>
      <c r="TB15" s="289">
        <v>2.8490000000000002</v>
      </c>
      <c r="TC15" s="289">
        <v>2.8730000000000002</v>
      </c>
      <c r="TD15" s="289">
        <v>2.8961999999999999</v>
      </c>
      <c r="TE15" s="289">
        <v>2.9226000000000001</v>
      </c>
      <c r="TF15" s="289">
        <v>2.9365999999999999</v>
      </c>
      <c r="TG15" s="185">
        <v>9</v>
      </c>
      <c r="TH15" s="1"/>
      <c r="TI15" s="1"/>
      <c r="TJ15" s="185">
        <v>9</v>
      </c>
      <c r="TK15" s="289">
        <v>2.2839999999999998</v>
      </c>
      <c r="TL15" s="289">
        <v>2.3170000000000002</v>
      </c>
      <c r="TM15" s="289">
        <v>2.3450000000000002</v>
      </c>
      <c r="TN15" s="289">
        <v>2.375</v>
      </c>
      <c r="TO15" s="289">
        <v>2.4039999999999999</v>
      </c>
      <c r="TP15" s="289">
        <v>2.4369999999999998</v>
      </c>
      <c r="TQ15" s="289">
        <v>2.4660000000000002</v>
      </c>
      <c r="TR15" s="289">
        <v>2.4980000000000002</v>
      </c>
      <c r="TS15" s="289">
        <v>2.5289999999999999</v>
      </c>
      <c r="TT15" s="289">
        <v>2.5569999999999999</v>
      </c>
      <c r="TU15" s="289">
        <v>2.59</v>
      </c>
      <c r="TV15" s="289">
        <v>2.62</v>
      </c>
      <c r="TW15" s="185">
        <v>9</v>
      </c>
    </row>
    <row r="16" spans="2:543" ht="20.100000000000001" customHeight="1">
      <c r="B16" s="64">
        <v>10</v>
      </c>
      <c r="C16" s="289">
        <v>20.4588</v>
      </c>
      <c r="D16" s="289">
        <v>20.641300000000001</v>
      </c>
      <c r="E16" s="289">
        <v>21.377500000000001</v>
      </c>
      <c r="F16" s="289">
        <v>20.160499999999999</v>
      </c>
      <c r="G16" s="289">
        <v>20.108499999999999</v>
      </c>
      <c r="H16" s="289">
        <v>19.59</v>
      </c>
      <c r="I16" s="289">
        <v>20.6022</v>
      </c>
      <c r="J16" s="289">
        <v>20.2789</v>
      </c>
      <c r="K16" s="289">
        <v>20.020299999999999</v>
      </c>
      <c r="L16" s="289">
        <v>20.108699999999999</v>
      </c>
      <c r="M16" s="289">
        <v>19.477499999999999</v>
      </c>
      <c r="N16" s="289">
        <v>19.673200000000001</v>
      </c>
      <c r="O16" s="64">
        <v>10</v>
      </c>
      <c r="R16" s="64">
        <v>10</v>
      </c>
      <c r="S16" s="289">
        <v>19.91</v>
      </c>
      <c r="T16" s="289">
        <v>20.122699999999998</v>
      </c>
      <c r="U16" s="289">
        <v>21.4177</v>
      </c>
      <c r="V16" s="289">
        <v>20.088999999999999</v>
      </c>
      <c r="W16" s="289">
        <v>20.183800000000002</v>
      </c>
      <c r="X16" s="289">
        <v>19.7728</v>
      </c>
      <c r="Y16" s="289">
        <v>20.007000000000001</v>
      </c>
      <c r="Z16" s="289">
        <v>20.003699999999998</v>
      </c>
      <c r="AA16" s="289">
        <v>19.938300000000002</v>
      </c>
      <c r="AB16" s="289">
        <v>20.603999999999999</v>
      </c>
      <c r="AC16" s="289">
        <v>20.326499999999999</v>
      </c>
      <c r="AD16" s="289">
        <v>20.933</v>
      </c>
      <c r="AE16" s="64">
        <v>10</v>
      </c>
      <c r="AH16" s="185">
        <v>10</v>
      </c>
      <c r="AI16" s="289">
        <v>18.797999999999998</v>
      </c>
      <c r="AJ16" s="289">
        <v>18.6645</v>
      </c>
      <c r="AK16" s="289">
        <v>20.162299999999998</v>
      </c>
      <c r="AL16" s="289">
        <v>24.038799999999998</v>
      </c>
      <c r="AM16" s="289">
        <v>24.0563</v>
      </c>
      <c r="AN16" s="289">
        <v>21.655200000000001</v>
      </c>
      <c r="AO16" s="289">
        <v>22.822500000000002</v>
      </c>
      <c r="AP16" s="289">
        <v>22.365200000000002</v>
      </c>
      <c r="AQ16" s="289">
        <v>21.713799999999999</v>
      </c>
      <c r="AR16" s="289">
        <v>21.431799999999999</v>
      </c>
      <c r="AS16" s="289">
        <v>20.62</v>
      </c>
      <c r="AT16" s="289">
        <v>19.753699999999998</v>
      </c>
      <c r="AU16" s="185">
        <v>10</v>
      </c>
      <c r="AX16" s="185">
        <v>10</v>
      </c>
      <c r="AY16" s="289">
        <v>19.347899999999999</v>
      </c>
      <c r="AZ16" s="289">
        <v>19.079999999999998</v>
      </c>
      <c r="BA16" s="289">
        <v>19.522500000000001</v>
      </c>
      <c r="BB16" s="289">
        <v>18.970099999999999</v>
      </c>
      <c r="BC16" s="289">
        <v>19.0837</v>
      </c>
      <c r="BD16" s="289">
        <v>19.708400000000001</v>
      </c>
      <c r="BE16" s="289">
        <v>18.9116</v>
      </c>
      <c r="BF16" s="289">
        <v>19.511800000000001</v>
      </c>
      <c r="BG16" s="289">
        <v>19.5623</v>
      </c>
      <c r="BH16" s="289">
        <v>19.584</v>
      </c>
      <c r="BI16" s="289">
        <v>19.1327</v>
      </c>
      <c r="BJ16" s="289">
        <v>19.3247</v>
      </c>
      <c r="BK16" s="185">
        <v>10</v>
      </c>
      <c r="BN16" s="185">
        <v>10</v>
      </c>
      <c r="BO16" s="289">
        <v>19.232299999999999</v>
      </c>
      <c r="BP16" s="289">
        <v>18.881499999999999</v>
      </c>
      <c r="BQ16" s="290">
        <v>18.7148</v>
      </c>
      <c r="BR16" s="289">
        <v>18.288799999999998</v>
      </c>
      <c r="BS16" s="289">
        <v>19.578099999999999</v>
      </c>
      <c r="BT16" s="289">
        <v>20.46</v>
      </c>
      <c r="BU16" s="289">
        <v>19.071899999999999</v>
      </c>
      <c r="BV16" s="289">
        <v>18.4542</v>
      </c>
      <c r="BW16" s="289">
        <v>19.354600000000001</v>
      </c>
      <c r="BX16" s="289">
        <v>18.923400000000001</v>
      </c>
      <c r="BY16" s="289">
        <v>20.043800000000001</v>
      </c>
      <c r="BZ16" s="289">
        <v>20.470500000000001</v>
      </c>
      <c r="CA16" s="185">
        <v>10</v>
      </c>
      <c r="CD16" s="185">
        <v>10</v>
      </c>
      <c r="CE16" s="289">
        <v>21.314399999999999</v>
      </c>
      <c r="CF16" s="289">
        <v>20.499400000000001</v>
      </c>
      <c r="CG16" s="289">
        <v>19.6007</v>
      </c>
      <c r="CH16" s="289">
        <v>18.769600000000001</v>
      </c>
      <c r="CI16" s="289">
        <v>19.116399999999999</v>
      </c>
      <c r="CJ16" s="289">
        <v>18.194600000000001</v>
      </c>
      <c r="CK16" s="289">
        <v>18.322700000000001</v>
      </c>
      <c r="CL16" s="289">
        <v>17.916</v>
      </c>
      <c r="CM16" s="289">
        <v>17.6965</v>
      </c>
      <c r="CN16" s="289">
        <v>18.552199999999999</v>
      </c>
      <c r="CO16" s="289">
        <v>19.0718</v>
      </c>
      <c r="CP16" s="289">
        <v>18.9315</v>
      </c>
      <c r="CQ16" s="185">
        <v>10</v>
      </c>
      <c r="CT16" s="185">
        <v>10</v>
      </c>
      <c r="CU16" s="289">
        <v>17.6568</v>
      </c>
      <c r="CV16" s="289">
        <v>18.695900000000002</v>
      </c>
      <c r="CW16" s="289">
        <v>17.904399999999999</v>
      </c>
      <c r="CX16" s="289">
        <v>17.893000000000001</v>
      </c>
      <c r="CY16" s="289">
        <v>17.920400000000001</v>
      </c>
      <c r="CZ16" s="289">
        <v>18.149100000000001</v>
      </c>
      <c r="DA16" s="289">
        <v>18.860700000000001</v>
      </c>
      <c r="DB16" s="289">
        <v>18.5716</v>
      </c>
      <c r="DC16" s="289">
        <v>18.5427</v>
      </c>
      <c r="DD16" s="289">
        <v>19.243300000000001</v>
      </c>
      <c r="DE16" s="289">
        <v>18.508900000000001</v>
      </c>
      <c r="DF16" s="289">
        <v>20.4162</v>
      </c>
      <c r="DG16" s="185">
        <v>10</v>
      </c>
      <c r="DJ16" s="185">
        <v>10</v>
      </c>
      <c r="DK16" s="289">
        <v>14.6274</v>
      </c>
      <c r="DL16" s="289">
        <v>14.9024</v>
      </c>
      <c r="DM16" s="289">
        <v>15.4445</v>
      </c>
      <c r="DN16" s="289">
        <v>14.9072</v>
      </c>
      <c r="DO16" s="289">
        <v>15.339700000000001</v>
      </c>
      <c r="DP16" s="289">
        <v>15.6715</v>
      </c>
      <c r="DQ16" s="289">
        <v>15.817399999999999</v>
      </c>
      <c r="DR16" s="289">
        <v>16.353300000000001</v>
      </c>
      <c r="DS16" s="289">
        <v>16.797899999999998</v>
      </c>
      <c r="DT16" s="289">
        <v>16.5762</v>
      </c>
      <c r="DU16" s="289">
        <v>16.838200000000001</v>
      </c>
      <c r="DV16" s="289">
        <v>17.016400000000001</v>
      </c>
      <c r="DW16" s="185">
        <v>10</v>
      </c>
      <c r="DZ16" s="185">
        <v>10</v>
      </c>
      <c r="EA16" s="289">
        <v>13.0846</v>
      </c>
      <c r="EB16" s="289">
        <v>13.2211</v>
      </c>
      <c r="EC16" s="289">
        <v>13.147600000000001</v>
      </c>
      <c r="ED16" s="289">
        <v>12.9642</v>
      </c>
      <c r="EE16" s="289">
        <v>12.947699999999999</v>
      </c>
      <c r="EF16" s="289">
        <v>12.898099999999999</v>
      </c>
      <c r="EG16" s="289">
        <v>13.0006</v>
      </c>
      <c r="EH16" s="289">
        <v>13.255100000000001</v>
      </c>
      <c r="EI16" s="289">
        <v>13.081300000000001</v>
      </c>
      <c r="EJ16" s="289">
        <v>13.4786</v>
      </c>
      <c r="EK16" s="289">
        <v>13.6173</v>
      </c>
      <c r="EL16" s="289">
        <v>14.404199999999999</v>
      </c>
      <c r="EM16" s="185">
        <v>10</v>
      </c>
      <c r="EP16" s="185">
        <v>10</v>
      </c>
      <c r="EQ16" s="289">
        <v>12.801500000000001</v>
      </c>
      <c r="ER16" s="289">
        <v>12.7105</v>
      </c>
      <c r="ES16" s="289">
        <v>12.783899999999999</v>
      </c>
      <c r="ET16" s="289">
        <v>12.158799999999999</v>
      </c>
      <c r="EU16" s="289">
        <v>12.039300000000001</v>
      </c>
      <c r="EV16" s="289">
        <v>12.9079</v>
      </c>
      <c r="EW16" s="289">
        <v>12.9267</v>
      </c>
      <c r="EX16" s="289">
        <v>12.646000000000001</v>
      </c>
      <c r="EY16" s="289">
        <v>13.241300000000001</v>
      </c>
      <c r="EZ16" s="289">
        <v>13.1417</v>
      </c>
      <c r="FA16" s="289">
        <v>13.1912</v>
      </c>
      <c r="FB16" s="289">
        <v>12.9299</v>
      </c>
      <c r="FC16" s="185">
        <v>10</v>
      </c>
      <c r="FF16" s="185">
        <v>10</v>
      </c>
      <c r="FG16" s="289">
        <v>13.722799999999999</v>
      </c>
      <c r="FH16" s="289">
        <v>12.683299999999999</v>
      </c>
      <c r="FI16" s="289">
        <v>12.784000000000001</v>
      </c>
      <c r="FJ16" s="289">
        <v>12.8155</v>
      </c>
      <c r="FK16" s="289">
        <v>13.337400000000001</v>
      </c>
      <c r="FL16" s="289">
        <v>13.935499999999999</v>
      </c>
      <c r="FM16" s="289">
        <v>13.4925</v>
      </c>
      <c r="FN16" s="289">
        <v>13.1891</v>
      </c>
      <c r="FO16" s="289">
        <v>13.048299999999999</v>
      </c>
      <c r="FP16" s="289">
        <v>12.842599999999999</v>
      </c>
      <c r="FQ16" s="289">
        <v>13.1168</v>
      </c>
      <c r="FR16" s="289">
        <v>12.9102</v>
      </c>
      <c r="FS16" s="185">
        <v>10</v>
      </c>
      <c r="FV16" s="185">
        <v>10</v>
      </c>
      <c r="FW16" s="289">
        <v>12.2256</v>
      </c>
      <c r="FX16" s="289">
        <v>11.9937</v>
      </c>
      <c r="FY16" s="289">
        <v>12.025399999999999</v>
      </c>
      <c r="FZ16" s="289">
        <v>11.793100000000001</v>
      </c>
      <c r="GA16" s="289">
        <v>11.609</v>
      </c>
      <c r="GB16" s="289">
        <v>11.8001</v>
      </c>
      <c r="GC16" s="289">
        <v>11.5738</v>
      </c>
      <c r="GD16" s="289">
        <v>12.1845</v>
      </c>
      <c r="GE16" s="289">
        <v>12.4956</v>
      </c>
      <c r="GF16" s="289">
        <v>13.5341</v>
      </c>
      <c r="GG16" s="289">
        <v>13.385199999999999</v>
      </c>
      <c r="GH16" s="289">
        <v>13.6569</v>
      </c>
      <c r="GI16" s="185">
        <v>10</v>
      </c>
      <c r="GL16" s="185">
        <v>10</v>
      </c>
      <c r="GM16" s="289">
        <v>12.7646</v>
      </c>
      <c r="GN16" s="289">
        <v>13.164</v>
      </c>
      <c r="GO16" s="289">
        <v>12.661799999999999</v>
      </c>
      <c r="GP16" s="289">
        <v>12.248799999999999</v>
      </c>
      <c r="GQ16" s="289">
        <v>12.788399999999999</v>
      </c>
      <c r="GR16" s="289">
        <v>12.928800000000001</v>
      </c>
      <c r="GS16" s="289">
        <v>12.8232</v>
      </c>
      <c r="GT16" s="289">
        <v>12.654999999999999</v>
      </c>
      <c r="GU16" s="289">
        <v>13.003399999999999</v>
      </c>
      <c r="GV16" s="289">
        <v>12.527699999999999</v>
      </c>
      <c r="GW16" s="289">
        <v>12.2483</v>
      </c>
      <c r="GX16" s="289">
        <v>12.448399999999999</v>
      </c>
      <c r="GY16" s="185">
        <v>10</v>
      </c>
      <c r="HB16" s="185">
        <v>10</v>
      </c>
      <c r="HC16" s="289">
        <v>13.5045</v>
      </c>
      <c r="HD16" s="289">
        <v>14.1778</v>
      </c>
      <c r="HE16" s="289">
        <v>15.263299999999999</v>
      </c>
      <c r="HF16" s="289">
        <v>13.571199999999999</v>
      </c>
      <c r="HG16" s="289">
        <v>13.110300000000001</v>
      </c>
      <c r="HH16" s="289">
        <v>13.45</v>
      </c>
      <c r="HI16" s="289">
        <v>13.433299999999999</v>
      </c>
      <c r="HJ16" s="289">
        <v>12.992599999999999</v>
      </c>
      <c r="HK16" s="289">
        <v>13.2826</v>
      </c>
      <c r="HL16" s="289">
        <v>13.322699999999999</v>
      </c>
      <c r="HM16" s="289">
        <v>13.3758</v>
      </c>
      <c r="HN16" s="289">
        <v>12.8399</v>
      </c>
      <c r="HO16" s="185">
        <v>10</v>
      </c>
      <c r="HP16" s="1"/>
      <c r="HQ16" s="1"/>
      <c r="HR16" s="185">
        <v>10</v>
      </c>
      <c r="HS16" s="289">
        <v>10.885</v>
      </c>
      <c r="HT16" s="289">
        <v>10.804</v>
      </c>
      <c r="HU16" s="289">
        <v>10.764900000000001</v>
      </c>
      <c r="HV16" s="289">
        <v>10.561</v>
      </c>
      <c r="HW16" s="289">
        <v>10.5465</v>
      </c>
      <c r="HX16" s="289">
        <v>10.3582</v>
      </c>
      <c r="HY16" s="289">
        <v>10.3363</v>
      </c>
      <c r="HZ16" s="289">
        <v>9.9877000000000002</v>
      </c>
      <c r="IA16" s="289">
        <v>10.481</v>
      </c>
      <c r="IB16" s="289">
        <v>13.041700000000001</v>
      </c>
      <c r="IC16" s="289">
        <v>12.95</v>
      </c>
      <c r="ID16" s="289">
        <v>13.4597</v>
      </c>
      <c r="IE16" s="185">
        <v>10</v>
      </c>
      <c r="IF16" s="1"/>
      <c r="IG16" s="1"/>
      <c r="IH16" s="185">
        <v>10</v>
      </c>
      <c r="II16" s="289">
        <v>10.970499999999999</v>
      </c>
      <c r="IJ16" s="289">
        <v>10.968299999999999</v>
      </c>
      <c r="IK16" s="289">
        <v>11.1426</v>
      </c>
      <c r="IL16" s="289">
        <v>10.9976</v>
      </c>
      <c r="IM16" s="289">
        <v>10.8513</v>
      </c>
      <c r="IN16" s="289">
        <v>10.904299999999999</v>
      </c>
      <c r="IO16" s="289">
        <v>10.7828</v>
      </c>
      <c r="IP16" s="289">
        <v>10.9209</v>
      </c>
      <c r="IQ16" s="289">
        <v>11.065799999999999</v>
      </c>
      <c r="IR16" s="289">
        <v>10.8589</v>
      </c>
      <c r="IS16" s="289">
        <v>10.8108</v>
      </c>
      <c r="IT16" s="289">
        <v>10.8367</v>
      </c>
      <c r="IU16" s="185">
        <v>10</v>
      </c>
      <c r="IV16" s="1"/>
      <c r="IW16" s="1"/>
      <c r="IX16" s="185">
        <v>10</v>
      </c>
      <c r="IY16" s="289">
        <v>10.5726</v>
      </c>
      <c r="IZ16" s="289">
        <v>10.527699999999999</v>
      </c>
      <c r="JA16" s="289">
        <v>10.756</v>
      </c>
      <c r="JB16" s="289">
        <v>11.0557</v>
      </c>
      <c r="JC16" s="289">
        <v>10.9381</v>
      </c>
      <c r="JD16" s="289">
        <v>11.419</v>
      </c>
      <c r="JE16" s="289">
        <v>11.1061</v>
      </c>
      <c r="JF16" s="289">
        <v>10.911300000000001</v>
      </c>
      <c r="JG16" s="289">
        <v>11.019600000000001</v>
      </c>
      <c r="JH16" s="289">
        <v>11.0624</v>
      </c>
      <c r="JI16" s="289">
        <v>10.8598</v>
      </c>
      <c r="JJ16" s="289">
        <v>10.8558</v>
      </c>
      <c r="JK16" s="185">
        <v>10</v>
      </c>
      <c r="JL16" s="1"/>
      <c r="JM16" s="1"/>
      <c r="JN16" s="185">
        <v>10</v>
      </c>
      <c r="JO16" s="289">
        <v>11.4018</v>
      </c>
      <c r="JP16" s="289">
        <v>11.215199999999999</v>
      </c>
      <c r="JQ16" s="289">
        <v>10.978999999999999</v>
      </c>
      <c r="JR16" s="289">
        <v>11.1945</v>
      </c>
      <c r="JS16" s="289">
        <v>10.943300000000001</v>
      </c>
      <c r="JT16" s="289">
        <v>10.849399999999999</v>
      </c>
      <c r="JU16" s="289">
        <v>10.7997</v>
      </c>
      <c r="JV16" s="289">
        <v>10.601800000000001</v>
      </c>
      <c r="JW16" s="289">
        <v>10.7126</v>
      </c>
      <c r="JX16" s="289">
        <v>10.768700000000001</v>
      </c>
      <c r="JY16" s="289">
        <v>10.728199999999999</v>
      </c>
      <c r="JZ16" s="289">
        <v>10.502000000000001</v>
      </c>
      <c r="KA16" s="185">
        <v>10</v>
      </c>
      <c r="KB16" s="1"/>
      <c r="KC16" s="1"/>
      <c r="KD16" s="185">
        <v>10</v>
      </c>
      <c r="KE16" s="289">
        <v>10.8847</v>
      </c>
      <c r="KF16" s="289">
        <v>11.1305</v>
      </c>
      <c r="KG16" s="289">
        <v>10.9329</v>
      </c>
      <c r="KH16" s="289">
        <v>11.1631</v>
      </c>
      <c r="KI16" s="289">
        <v>11.4358</v>
      </c>
      <c r="KJ16" s="289">
        <v>11.339700000000001</v>
      </c>
      <c r="KK16" s="289">
        <v>11.531499999999999</v>
      </c>
      <c r="KL16" s="289">
        <v>11.4124</v>
      </c>
      <c r="KM16" s="289">
        <v>11.589499999999999</v>
      </c>
      <c r="KN16" s="289">
        <v>11.2874</v>
      </c>
      <c r="KO16" s="289">
        <v>11.395300000000001</v>
      </c>
      <c r="KP16" s="289">
        <v>11.2738</v>
      </c>
      <c r="KQ16" s="185">
        <v>10</v>
      </c>
      <c r="KR16" s="1"/>
      <c r="KS16" s="1"/>
      <c r="KT16" s="185">
        <v>10</v>
      </c>
      <c r="KU16" s="289">
        <v>10.361700000000001</v>
      </c>
      <c r="KV16" s="289">
        <v>10.873100000000001</v>
      </c>
      <c r="KW16" s="289">
        <v>11.225</v>
      </c>
      <c r="KX16" s="289">
        <v>10.739800000000001</v>
      </c>
      <c r="KY16" s="289">
        <v>10.17</v>
      </c>
      <c r="KZ16" s="289">
        <v>10.5608</v>
      </c>
      <c r="LA16" s="289">
        <v>10.542999999999999</v>
      </c>
      <c r="LB16" s="289">
        <v>10.700100000000001</v>
      </c>
      <c r="LC16" s="289">
        <v>10.9185</v>
      </c>
      <c r="LD16" s="289">
        <v>11.249000000000001</v>
      </c>
      <c r="LE16" s="289">
        <v>10.9903</v>
      </c>
      <c r="LF16" s="289">
        <v>11.239100000000001</v>
      </c>
      <c r="LG16" s="185">
        <v>10</v>
      </c>
      <c r="LH16" s="1"/>
      <c r="LI16" s="1"/>
      <c r="LJ16" s="185">
        <v>10</v>
      </c>
      <c r="LK16" s="289">
        <v>9.1677999999999997</v>
      </c>
      <c r="LL16" s="289">
        <v>9.1380999999999997</v>
      </c>
      <c r="LM16" s="289">
        <v>9.0753000000000004</v>
      </c>
      <c r="LN16" s="289">
        <v>9.0216999999999992</v>
      </c>
      <c r="LO16" s="289">
        <v>9.4169999999999998</v>
      </c>
      <c r="LP16" s="289">
        <v>9.7759999999999998</v>
      </c>
      <c r="LQ16" s="289">
        <v>9.9222999999999999</v>
      </c>
      <c r="LR16" s="289">
        <v>9.7334999999999994</v>
      </c>
      <c r="LS16" s="289">
        <v>9.9620999999999995</v>
      </c>
      <c r="LT16" s="289">
        <v>10.157500000000001</v>
      </c>
      <c r="LU16" s="289">
        <v>10.242800000000001</v>
      </c>
      <c r="LV16" s="289">
        <v>10.272399999999999</v>
      </c>
      <c r="LW16" s="185">
        <v>10</v>
      </c>
      <c r="LX16" s="1"/>
      <c r="LY16" s="1"/>
      <c r="LZ16" s="185">
        <v>10</v>
      </c>
      <c r="MA16" s="289">
        <v>9.69</v>
      </c>
      <c r="MB16" s="289">
        <v>9.6463999999999999</v>
      </c>
      <c r="MC16" s="289">
        <v>9.6468000000000007</v>
      </c>
      <c r="MD16" s="289">
        <v>9.4059000000000008</v>
      </c>
      <c r="ME16" s="289">
        <v>9.2048000000000005</v>
      </c>
      <c r="MF16" s="289">
        <v>9.1234999999999999</v>
      </c>
      <c r="MG16" s="289">
        <v>9.1502999999999997</v>
      </c>
      <c r="MH16" s="289">
        <v>9.0958000000000006</v>
      </c>
      <c r="MI16" s="289">
        <v>9.2897999999999996</v>
      </c>
      <c r="MJ16" s="289">
        <v>9.5665999999999993</v>
      </c>
      <c r="MK16" s="289">
        <v>9.2114999999999991</v>
      </c>
      <c r="ML16" s="289">
        <v>9.2401</v>
      </c>
      <c r="MM16" s="185">
        <v>10</v>
      </c>
      <c r="MN16" s="1"/>
      <c r="MO16" s="1"/>
      <c r="MP16" s="185">
        <v>10</v>
      </c>
      <c r="MQ16" s="289">
        <v>9.5704999999999991</v>
      </c>
      <c r="MR16" s="289">
        <v>9.4017999999999997</v>
      </c>
      <c r="MS16" s="289">
        <v>9.2661999999999995</v>
      </c>
      <c r="MT16" s="289">
        <v>9.3535000000000004</v>
      </c>
      <c r="MU16" s="289">
        <v>9.4917999999999996</v>
      </c>
      <c r="MV16" s="289">
        <v>9.8519000000000005</v>
      </c>
      <c r="MW16" s="289">
        <v>9.5459999999999994</v>
      </c>
      <c r="MX16" s="289">
        <v>9.3353000000000002</v>
      </c>
      <c r="MY16" s="289">
        <v>9.3140999999999998</v>
      </c>
      <c r="MZ16" s="289">
        <v>9.4600000000000009</v>
      </c>
      <c r="NA16" s="289">
        <v>9.6166</v>
      </c>
      <c r="NB16" s="289">
        <v>9.4262999999999995</v>
      </c>
      <c r="NC16" s="185">
        <v>10</v>
      </c>
      <c r="ND16" s="1"/>
      <c r="NE16" s="1"/>
      <c r="NF16" s="185">
        <v>10</v>
      </c>
      <c r="NG16" s="289">
        <v>9.8527000000000005</v>
      </c>
      <c r="NH16" s="289">
        <v>10.082100000000001</v>
      </c>
      <c r="NI16" s="289">
        <v>9.8434000000000008</v>
      </c>
      <c r="NJ16" s="289">
        <v>9.4771000000000001</v>
      </c>
      <c r="NK16" s="289">
        <v>9.3330000000000002</v>
      </c>
      <c r="NL16" s="289">
        <v>9.4878999999999998</v>
      </c>
      <c r="NM16" s="289">
        <v>9.3302999999999994</v>
      </c>
      <c r="NN16" s="289">
        <v>9.4962</v>
      </c>
      <c r="NO16" s="289">
        <v>9.3577999999999992</v>
      </c>
      <c r="NP16" s="289">
        <v>9.4597999999999995</v>
      </c>
      <c r="NQ16" s="289">
        <v>9.4571000000000005</v>
      </c>
      <c r="NR16" s="289">
        <v>9.4755000000000003</v>
      </c>
      <c r="NS16" s="185">
        <v>10</v>
      </c>
      <c r="NT16" s="1"/>
      <c r="NU16" s="1"/>
      <c r="NV16" s="185">
        <v>10</v>
      </c>
      <c r="NW16" s="289">
        <v>8.0775000000000006</v>
      </c>
      <c r="NX16" s="289">
        <v>8.4222000000000001</v>
      </c>
      <c r="NY16" s="289">
        <v>8.5977999999999994</v>
      </c>
      <c r="NZ16" s="289">
        <v>8.5274000000000001</v>
      </c>
      <c r="OA16" s="289">
        <v>8.5007000000000001</v>
      </c>
      <c r="OB16" s="289">
        <v>8.8252000000000006</v>
      </c>
      <c r="OC16" s="289">
        <v>8.9242000000000008</v>
      </c>
      <c r="OD16" s="289">
        <v>9.0254999999999992</v>
      </c>
      <c r="OE16" s="289">
        <v>10.2742</v>
      </c>
      <c r="OF16" s="289">
        <v>10.354900000000001</v>
      </c>
      <c r="OG16" s="289">
        <v>9.9717000000000002</v>
      </c>
      <c r="OH16" s="289">
        <v>9.9422999999999995</v>
      </c>
      <c r="OI16" s="185">
        <v>10</v>
      </c>
      <c r="OJ16" s="1"/>
      <c r="OK16" s="1"/>
      <c r="OL16" s="185">
        <v>10</v>
      </c>
      <c r="OM16" s="289">
        <v>7.8174000000000001</v>
      </c>
      <c r="ON16" s="289">
        <v>7.8281999999999998</v>
      </c>
      <c r="OO16" s="289">
        <v>8.0091999999999999</v>
      </c>
      <c r="OP16" s="289">
        <v>7.8851000000000004</v>
      </c>
      <c r="OQ16" s="289">
        <v>7.9253</v>
      </c>
      <c r="OR16" s="289">
        <v>7.9870000000000001</v>
      </c>
      <c r="OS16" s="289">
        <v>7.9146999999999998</v>
      </c>
      <c r="OT16" s="289">
        <v>7.7895000000000003</v>
      </c>
      <c r="OU16" s="289">
        <v>7.7839999999999998</v>
      </c>
      <c r="OV16" s="289">
        <v>7.7603</v>
      </c>
      <c r="OW16" s="289">
        <v>8.3650000000000002</v>
      </c>
      <c r="OX16" s="289">
        <v>8.1105</v>
      </c>
      <c r="OY16" s="185">
        <v>10</v>
      </c>
      <c r="OZ16" s="1"/>
      <c r="PA16" s="1"/>
      <c r="PB16" s="185">
        <v>10</v>
      </c>
      <c r="PC16" s="289">
        <v>7.5388000000000002</v>
      </c>
      <c r="PD16" s="289">
        <v>7.4863</v>
      </c>
      <c r="PE16" s="289">
        <v>7.5712999999999999</v>
      </c>
      <c r="PF16" s="289">
        <v>7.5724999999999998</v>
      </c>
      <c r="PG16" s="289">
        <v>7.4828000000000001</v>
      </c>
      <c r="PH16" s="289">
        <v>7.5016999999999996</v>
      </c>
      <c r="PI16" s="289">
        <v>7.6688000000000001</v>
      </c>
      <c r="PJ16" s="289">
        <v>7.5349000000000004</v>
      </c>
      <c r="PK16" s="289">
        <v>7.5768000000000004</v>
      </c>
      <c r="PL16" s="289">
        <v>7.54</v>
      </c>
      <c r="PM16" s="289">
        <v>7.9527000000000001</v>
      </c>
      <c r="PN16" s="289">
        <v>7.9260000000000002</v>
      </c>
      <c r="PO16" s="185">
        <v>10</v>
      </c>
      <c r="PP16" s="1"/>
      <c r="PQ16" s="1"/>
      <c r="PR16" s="185">
        <v>10</v>
      </c>
      <c r="PS16" s="289">
        <v>5.5949999999999998</v>
      </c>
      <c r="PT16" s="289">
        <v>5.3624999999999998</v>
      </c>
      <c r="PU16" s="289">
        <v>6.8224999999999998</v>
      </c>
      <c r="PV16" s="289">
        <v>6.3807999999999998</v>
      </c>
      <c r="PW16" s="289">
        <v>5.8417000000000003</v>
      </c>
      <c r="PX16" s="289">
        <v>6.2317</v>
      </c>
      <c r="PY16" s="289">
        <v>6.2370999999999999</v>
      </c>
      <c r="PZ16" s="289">
        <v>6.1460999999999997</v>
      </c>
      <c r="QA16" s="289">
        <v>6.2568000000000001</v>
      </c>
      <c r="QB16" s="289">
        <v>6.5404</v>
      </c>
      <c r="QC16" s="289">
        <v>7.82</v>
      </c>
      <c r="QD16" s="289">
        <v>7.7083000000000004</v>
      </c>
      <c r="QE16" s="185">
        <v>10</v>
      </c>
      <c r="QF16" s="1"/>
      <c r="QG16" s="1"/>
      <c r="QH16" s="185">
        <v>10</v>
      </c>
      <c r="QI16" s="289">
        <v>3.1057000000000001</v>
      </c>
      <c r="QJ16" s="289">
        <v>3.1057999999999999</v>
      </c>
      <c r="QK16" s="289">
        <v>3.2565</v>
      </c>
      <c r="QL16" s="289">
        <v>3.363</v>
      </c>
      <c r="QM16" s="289">
        <v>3.3222999999999998</v>
      </c>
      <c r="QN16" s="289">
        <v>3.3534999999999999</v>
      </c>
      <c r="QO16" s="289">
        <v>3.4001999999999999</v>
      </c>
      <c r="QP16" s="289">
        <v>3.387</v>
      </c>
      <c r="QQ16" s="289">
        <v>3.4014000000000002</v>
      </c>
      <c r="QR16" s="289">
        <v>3.4159000000000002</v>
      </c>
      <c r="QS16" s="289">
        <v>3.4241000000000001</v>
      </c>
      <c r="QT16" s="289">
        <v>3.4510999999999998</v>
      </c>
      <c r="QU16" s="185">
        <v>10</v>
      </c>
      <c r="QV16" s="1"/>
      <c r="QW16" s="1"/>
      <c r="QX16" s="185">
        <v>10</v>
      </c>
      <c r="QY16" s="289">
        <v>3.1063000000000001</v>
      </c>
      <c r="QZ16" s="289">
        <v>3.0981000000000001</v>
      </c>
      <c r="RA16" s="289">
        <v>3.1021000000000001</v>
      </c>
      <c r="RB16" s="289">
        <v>3.0939999999999999</v>
      </c>
      <c r="RC16" s="289">
        <v>3.1328999999999998</v>
      </c>
      <c r="RD16" s="289">
        <v>3.1320999999999999</v>
      </c>
      <c r="RE16" s="289">
        <v>3.1261000000000001</v>
      </c>
      <c r="RF16" s="289">
        <v>3.1137000000000001</v>
      </c>
      <c r="RG16" s="289">
        <v>3.1124000000000001</v>
      </c>
      <c r="RH16" s="289">
        <v>3.1156000000000001</v>
      </c>
      <c r="RI16" s="289">
        <v>3.1520000000000001</v>
      </c>
      <c r="RJ16" s="289">
        <v>3.1046999999999998</v>
      </c>
      <c r="RK16" s="185">
        <v>10</v>
      </c>
      <c r="RL16" s="1"/>
      <c r="RM16" s="1"/>
      <c r="RN16" s="185">
        <v>10</v>
      </c>
      <c r="RO16" s="289">
        <v>3.0663</v>
      </c>
      <c r="RP16" s="289">
        <v>3.0648</v>
      </c>
      <c r="RQ16" s="289">
        <v>3.0608</v>
      </c>
      <c r="RR16" s="289">
        <v>3.0655999999999999</v>
      </c>
      <c r="RS16" s="289">
        <v>3.1</v>
      </c>
      <c r="RT16" s="289">
        <v>3.1145999999999998</v>
      </c>
      <c r="RU16" s="289">
        <v>3.117</v>
      </c>
      <c r="RV16" s="289">
        <v>3.1021000000000001</v>
      </c>
      <c r="RW16" s="289">
        <v>3.0636000000000001</v>
      </c>
      <c r="RX16" s="289">
        <v>3.1151</v>
      </c>
      <c r="RY16" s="289">
        <v>3.1187999999999998</v>
      </c>
      <c r="RZ16" s="289">
        <v>3.1132</v>
      </c>
      <c r="SA16" s="185">
        <v>10</v>
      </c>
      <c r="SB16" s="1"/>
      <c r="SC16" s="1"/>
      <c r="SD16" s="185">
        <v>10</v>
      </c>
      <c r="SE16" s="289">
        <v>2.9498000000000002</v>
      </c>
      <c r="SF16" s="289">
        <v>2.9618000000000002</v>
      </c>
      <c r="SG16" s="289">
        <v>2.9729999999999999</v>
      </c>
      <c r="SH16" s="289">
        <v>2.9857999999999998</v>
      </c>
      <c r="SI16" s="289">
        <v>2.9977999999999998</v>
      </c>
      <c r="SJ16" s="289">
        <v>3.0093999999999999</v>
      </c>
      <c r="SK16" s="289">
        <v>3.0222000000000002</v>
      </c>
      <c r="SL16" s="289">
        <v>3.0346000000000002</v>
      </c>
      <c r="SM16" s="289">
        <v>3.0461999999999998</v>
      </c>
      <c r="SN16" s="289">
        <v>3.0598000000000001</v>
      </c>
      <c r="SO16" s="289">
        <v>3.0726</v>
      </c>
      <c r="SP16" s="289">
        <v>3.0643099999999999</v>
      </c>
      <c r="SQ16" s="185">
        <v>10</v>
      </c>
      <c r="SR16" s="1"/>
      <c r="SS16" s="1"/>
      <c r="ST16" s="185">
        <v>10</v>
      </c>
      <c r="SU16" s="289">
        <v>2.6520000000000001</v>
      </c>
      <c r="SV16" s="289">
        <v>2.6829999999999998</v>
      </c>
      <c r="SW16" s="289">
        <v>2.7109999999999999</v>
      </c>
      <c r="SX16" s="289">
        <v>2.74</v>
      </c>
      <c r="SY16" s="289">
        <v>2.7719999999999998</v>
      </c>
      <c r="SZ16" s="289">
        <v>2.8001999999999998</v>
      </c>
      <c r="TA16" s="289">
        <v>2.8233999999999999</v>
      </c>
      <c r="TB16" s="289">
        <v>2.8498000000000001</v>
      </c>
      <c r="TC16" s="289">
        <v>2.8730000000000002</v>
      </c>
      <c r="TD16" s="289">
        <v>2.8986000000000001</v>
      </c>
      <c r="TE16" s="289">
        <v>2.9234</v>
      </c>
      <c r="TF16" s="289">
        <v>2.9365999999999999</v>
      </c>
      <c r="TG16" s="185">
        <v>10</v>
      </c>
      <c r="TH16" s="1"/>
      <c r="TI16" s="1"/>
      <c r="TJ16" s="185">
        <v>10</v>
      </c>
      <c r="TK16" s="289">
        <v>2.2850000000000001</v>
      </c>
      <c r="TL16" s="289">
        <v>2.3180000000000001</v>
      </c>
      <c r="TM16" s="289">
        <v>2.3460000000000001</v>
      </c>
      <c r="TN16" s="289">
        <v>2.375</v>
      </c>
      <c r="TO16" s="289">
        <v>2.407</v>
      </c>
      <c r="TP16" s="289">
        <v>2.4380000000000002</v>
      </c>
      <c r="TQ16" s="289">
        <v>2.4660000000000002</v>
      </c>
      <c r="TR16" s="289">
        <v>2.4990000000000001</v>
      </c>
      <c r="TS16" s="289">
        <v>2.5289999999999999</v>
      </c>
      <c r="TT16" s="289">
        <v>2.5579999999999998</v>
      </c>
      <c r="TU16" s="289">
        <v>2.5910000000000002</v>
      </c>
      <c r="TV16" s="289">
        <v>2.62</v>
      </c>
      <c r="TW16" s="185">
        <v>10</v>
      </c>
    </row>
    <row r="17" spans="2:543" ht="20.100000000000001" customHeight="1">
      <c r="B17" s="64">
        <v>11</v>
      </c>
      <c r="C17" s="289">
        <v>20.4237</v>
      </c>
      <c r="D17" s="289">
        <v>20.500800000000002</v>
      </c>
      <c r="E17" s="289">
        <v>20.967700000000001</v>
      </c>
      <c r="F17" s="289">
        <v>20.160499999999999</v>
      </c>
      <c r="G17" s="289">
        <v>20.3172</v>
      </c>
      <c r="H17" s="289">
        <v>19.6128</v>
      </c>
      <c r="I17" s="289">
        <v>20.6022</v>
      </c>
      <c r="J17" s="289">
        <v>20.2715</v>
      </c>
      <c r="K17" s="289">
        <v>20.020299999999999</v>
      </c>
      <c r="L17" s="289">
        <v>20.0502</v>
      </c>
      <c r="M17" s="289">
        <v>19.588699999999999</v>
      </c>
      <c r="N17" s="289">
        <v>19.673200000000001</v>
      </c>
      <c r="O17" s="64">
        <v>11</v>
      </c>
      <c r="R17" s="64">
        <v>11</v>
      </c>
      <c r="S17" s="289">
        <v>19.91</v>
      </c>
      <c r="T17" s="289">
        <v>20.0913</v>
      </c>
      <c r="U17" s="289">
        <v>21.2575</v>
      </c>
      <c r="V17" s="289">
        <v>20.088999999999999</v>
      </c>
      <c r="W17" s="289">
        <v>19.9223</v>
      </c>
      <c r="X17" s="289">
        <v>19.689699999999998</v>
      </c>
      <c r="Y17" s="289">
        <v>20.007000000000001</v>
      </c>
      <c r="Z17" s="289">
        <v>20.064800000000002</v>
      </c>
      <c r="AA17" s="289">
        <v>19.931799999999999</v>
      </c>
      <c r="AB17" s="289">
        <v>20.603999999999999</v>
      </c>
      <c r="AC17" s="289">
        <v>20.283300000000001</v>
      </c>
      <c r="AD17" s="289">
        <v>21.032800000000002</v>
      </c>
      <c r="AE17" s="64">
        <v>11</v>
      </c>
      <c r="AH17" s="185">
        <v>11</v>
      </c>
      <c r="AI17" s="289">
        <v>18.845300000000002</v>
      </c>
      <c r="AJ17" s="289">
        <v>18.776299999999999</v>
      </c>
      <c r="AK17" s="289">
        <v>21.111699999999999</v>
      </c>
      <c r="AL17" s="289">
        <v>24.038799999999998</v>
      </c>
      <c r="AM17" s="289">
        <v>24.0563</v>
      </c>
      <c r="AN17" s="289">
        <v>21.725200000000001</v>
      </c>
      <c r="AO17" s="289">
        <v>22.694500000000001</v>
      </c>
      <c r="AP17" s="289">
        <v>22.4892</v>
      </c>
      <c r="AQ17" s="289">
        <v>21.537700000000001</v>
      </c>
      <c r="AR17" s="289">
        <v>21.431799999999999</v>
      </c>
      <c r="AS17" s="289">
        <v>20.36</v>
      </c>
      <c r="AT17" s="289">
        <v>19.8368</v>
      </c>
      <c r="AU17" s="185">
        <v>11</v>
      </c>
      <c r="AX17" s="185">
        <v>11</v>
      </c>
      <c r="AY17" s="289">
        <v>19.2456</v>
      </c>
      <c r="AZ17" s="289">
        <v>19.079999999999998</v>
      </c>
      <c r="BA17" s="289">
        <v>19.522500000000001</v>
      </c>
      <c r="BB17" s="289">
        <v>18.922899999999998</v>
      </c>
      <c r="BC17" s="289">
        <v>19.2623</v>
      </c>
      <c r="BD17" s="289">
        <v>19.652799999999999</v>
      </c>
      <c r="BE17" s="289">
        <v>19.004300000000001</v>
      </c>
      <c r="BF17" s="289">
        <v>19.511800000000001</v>
      </c>
      <c r="BG17" s="289">
        <v>19.5398</v>
      </c>
      <c r="BH17" s="289">
        <v>19.568899999999999</v>
      </c>
      <c r="BI17" s="289">
        <v>19.1327</v>
      </c>
      <c r="BJ17" s="289">
        <v>19.2302</v>
      </c>
      <c r="BK17" s="185">
        <v>11</v>
      </c>
      <c r="BN17" s="185">
        <v>11</v>
      </c>
      <c r="BO17" s="289">
        <v>19.3065</v>
      </c>
      <c r="BP17" s="289">
        <v>18.881499999999999</v>
      </c>
      <c r="BQ17" s="290">
        <v>18.7148</v>
      </c>
      <c r="BR17" s="289">
        <v>18.275300000000001</v>
      </c>
      <c r="BS17" s="289">
        <v>19.538699999999999</v>
      </c>
      <c r="BT17" s="289">
        <v>20.46</v>
      </c>
      <c r="BU17" s="289">
        <v>19.156300000000002</v>
      </c>
      <c r="BV17" s="289">
        <v>18.6511</v>
      </c>
      <c r="BW17" s="289">
        <v>19.2394</v>
      </c>
      <c r="BX17" s="289">
        <v>19</v>
      </c>
      <c r="BY17" s="289">
        <v>20.043800000000001</v>
      </c>
      <c r="BZ17" s="289">
        <v>20.260899999999999</v>
      </c>
      <c r="CA17" s="185">
        <v>11</v>
      </c>
      <c r="CD17" s="185">
        <v>11</v>
      </c>
      <c r="CE17" s="289">
        <v>21.321899999999999</v>
      </c>
      <c r="CF17" s="289">
        <v>20.4163</v>
      </c>
      <c r="CG17" s="289">
        <v>19.7974</v>
      </c>
      <c r="CH17" s="289">
        <v>18.655999999999999</v>
      </c>
      <c r="CI17" s="289">
        <v>19.136399999999998</v>
      </c>
      <c r="CJ17" s="289">
        <v>18.194600000000001</v>
      </c>
      <c r="CK17" s="289">
        <v>18.139399999999998</v>
      </c>
      <c r="CL17" s="289">
        <v>17.967099999999999</v>
      </c>
      <c r="CM17" s="289">
        <v>17.6965</v>
      </c>
      <c r="CN17" s="289">
        <v>18.6646</v>
      </c>
      <c r="CO17" s="289">
        <v>19.09</v>
      </c>
      <c r="CP17" s="289">
        <v>18.9315</v>
      </c>
      <c r="CQ17" s="185">
        <v>11</v>
      </c>
      <c r="CT17" s="185">
        <v>11</v>
      </c>
      <c r="CU17" s="289">
        <v>17.6568</v>
      </c>
      <c r="CV17" s="289">
        <v>18.7818</v>
      </c>
      <c r="CW17" s="289">
        <v>17.752300000000002</v>
      </c>
      <c r="CX17" s="289">
        <v>17.893000000000001</v>
      </c>
      <c r="CY17" s="289">
        <v>18.103300000000001</v>
      </c>
      <c r="CZ17" s="289">
        <v>18.2742</v>
      </c>
      <c r="DA17" s="289">
        <v>18.860700000000001</v>
      </c>
      <c r="DB17" s="289">
        <v>18.3842</v>
      </c>
      <c r="DC17" s="289">
        <v>18.5427</v>
      </c>
      <c r="DD17" s="289">
        <v>19.299399999999999</v>
      </c>
      <c r="DE17" s="289">
        <v>19.925000000000001</v>
      </c>
      <c r="DF17" s="289">
        <v>20.4162</v>
      </c>
      <c r="DG17" s="185">
        <v>11</v>
      </c>
      <c r="DJ17" s="185">
        <v>11</v>
      </c>
      <c r="DK17" s="289">
        <v>14.6274</v>
      </c>
      <c r="DL17" s="289">
        <v>14.801399999999999</v>
      </c>
      <c r="DM17" s="289">
        <v>15.4544</v>
      </c>
      <c r="DN17" s="289">
        <v>15.055400000000001</v>
      </c>
      <c r="DO17" s="289">
        <v>15.339700000000001</v>
      </c>
      <c r="DP17" s="289">
        <v>15.564500000000001</v>
      </c>
      <c r="DQ17" s="289">
        <v>15.817399999999999</v>
      </c>
      <c r="DR17" s="289">
        <v>16.1645</v>
      </c>
      <c r="DS17" s="289">
        <v>16.7773</v>
      </c>
      <c r="DT17" s="289">
        <v>16.5762</v>
      </c>
      <c r="DU17" s="289">
        <v>16.87</v>
      </c>
      <c r="DV17" s="289">
        <v>17.015999999999998</v>
      </c>
      <c r="DW17" s="185">
        <v>11</v>
      </c>
      <c r="DZ17" s="185">
        <v>11</v>
      </c>
      <c r="EA17" s="289">
        <v>13.1403</v>
      </c>
      <c r="EB17" s="289">
        <v>13.3285</v>
      </c>
      <c r="EC17" s="289">
        <v>13.179500000000001</v>
      </c>
      <c r="ED17" s="289">
        <v>13.0604</v>
      </c>
      <c r="EE17" s="289">
        <v>12.947699999999999</v>
      </c>
      <c r="EF17" s="289">
        <v>12.991199999999999</v>
      </c>
      <c r="EG17" s="289">
        <v>12.978</v>
      </c>
      <c r="EH17" s="289">
        <v>13.255100000000001</v>
      </c>
      <c r="EI17" s="289">
        <v>13.216200000000001</v>
      </c>
      <c r="EJ17" s="289">
        <v>13.3789</v>
      </c>
      <c r="EK17" s="289">
        <v>13.5573</v>
      </c>
      <c r="EL17" s="289">
        <v>14.3674</v>
      </c>
      <c r="EM17" s="185">
        <v>11</v>
      </c>
      <c r="EP17" s="185">
        <v>11</v>
      </c>
      <c r="EQ17" s="289">
        <v>12.750299999999999</v>
      </c>
      <c r="ER17" s="289">
        <v>12.7105</v>
      </c>
      <c r="ES17" s="289">
        <v>12.783899999999999</v>
      </c>
      <c r="ET17" s="289">
        <v>12.1304</v>
      </c>
      <c r="EU17" s="289">
        <v>11.980700000000001</v>
      </c>
      <c r="EV17" s="289">
        <v>12.7173</v>
      </c>
      <c r="EW17" s="289">
        <v>12.865399999999999</v>
      </c>
      <c r="EX17" s="289">
        <v>12.646000000000001</v>
      </c>
      <c r="EY17" s="289">
        <v>13.1471</v>
      </c>
      <c r="EZ17" s="289">
        <v>13.2126</v>
      </c>
      <c r="FA17" s="289">
        <v>13.1912</v>
      </c>
      <c r="FB17" s="289">
        <v>12.8612</v>
      </c>
      <c r="FC17" s="185">
        <v>11</v>
      </c>
      <c r="FF17" s="185">
        <v>11</v>
      </c>
      <c r="FG17" s="289">
        <v>13.7437</v>
      </c>
      <c r="FH17" s="289">
        <v>12.72</v>
      </c>
      <c r="FI17" s="289">
        <v>12.784000000000001</v>
      </c>
      <c r="FJ17" s="289">
        <v>12.9902</v>
      </c>
      <c r="FK17" s="289">
        <v>13.515000000000001</v>
      </c>
      <c r="FL17" s="289">
        <v>13.935499999999999</v>
      </c>
      <c r="FM17" s="289">
        <v>13.4533</v>
      </c>
      <c r="FN17" s="289">
        <v>13.1188</v>
      </c>
      <c r="FO17" s="289">
        <v>12.9976</v>
      </c>
      <c r="FP17" s="289">
        <v>12.868</v>
      </c>
      <c r="FQ17" s="289">
        <v>13.1168</v>
      </c>
      <c r="FR17" s="289">
        <v>12.8469</v>
      </c>
      <c r="FS17" s="185">
        <v>11</v>
      </c>
      <c r="FV17" s="185">
        <v>11</v>
      </c>
      <c r="FW17" s="289">
        <v>12.2369</v>
      </c>
      <c r="FX17" s="289">
        <v>12.043200000000001</v>
      </c>
      <c r="FY17" s="289">
        <v>11.968</v>
      </c>
      <c r="FZ17" s="289">
        <v>11.793100000000001</v>
      </c>
      <c r="GA17" s="289">
        <v>11.641</v>
      </c>
      <c r="GB17" s="289">
        <v>11.7965</v>
      </c>
      <c r="GC17" s="289">
        <v>11.5738</v>
      </c>
      <c r="GD17" s="289">
        <v>12.371</v>
      </c>
      <c r="GE17" s="289">
        <v>12.4956</v>
      </c>
      <c r="GF17" s="289">
        <v>13.314299999999999</v>
      </c>
      <c r="GG17" s="289">
        <v>13.5252</v>
      </c>
      <c r="GH17" s="289">
        <v>13.6569</v>
      </c>
      <c r="GI17" s="185">
        <v>11</v>
      </c>
      <c r="GL17" s="185">
        <v>11</v>
      </c>
      <c r="GM17" s="289">
        <v>12.7646</v>
      </c>
      <c r="GN17" s="289">
        <v>13.083600000000001</v>
      </c>
      <c r="GO17" s="289">
        <v>12.657400000000001</v>
      </c>
      <c r="GP17" s="289">
        <v>12.248799999999999</v>
      </c>
      <c r="GQ17" s="289">
        <v>12.917899999999999</v>
      </c>
      <c r="GR17" s="289">
        <v>12.8093</v>
      </c>
      <c r="GS17" s="289">
        <v>12.8232</v>
      </c>
      <c r="GT17" s="289">
        <v>12.646100000000001</v>
      </c>
      <c r="GU17" s="289">
        <v>12.985300000000001</v>
      </c>
      <c r="GV17" s="289">
        <v>12.527699999999999</v>
      </c>
      <c r="GW17" s="289">
        <v>12.206799999999999</v>
      </c>
      <c r="GX17" s="289">
        <v>12.458600000000001</v>
      </c>
      <c r="GY17" s="185">
        <v>11</v>
      </c>
      <c r="HB17" s="185">
        <v>11</v>
      </c>
      <c r="HC17" s="289">
        <v>13.5045</v>
      </c>
      <c r="HD17" s="289">
        <v>14.139200000000001</v>
      </c>
      <c r="HE17" s="289">
        <v>15.351699999999999</v>
      </c>
      <c r="HF17" s="289">
        <v>13.571199999999999</v>
      </c>
      <c r="HG17" s="289">
        <v>13.110300000000001</v>
      </c>
      <c r="HH17" s="289">
        <v>13.4793</v>
      </c>
      <c r="HI17" s="289">
        <v>13.575799999999999</v>
      </c>
      <c r="HJ17" s="289">
        <v>12.934900000000001</v>
      </c>
      <c r="HK17" s="289">
        <v>13.392300000000001</v>
      </c>
      <c r="HL17" s="289">
        <v>13.322699999999999</v>
      </c>
      <c r="HM17" s="289">
        <v>13.2996</v>
      </c>
      <c r="HN17" s="289">
        <v>12.9862</v>
      </c>
      <c r="HO17" s="185">
        <v>11</v>
      </c>
      <c r="HP17" s="1"/>
      <c r="HQ17" s="1"/>
      <c r="HR17" s="185">
        <v>11</v>
      </c>
      <c r="HS17" s="289">
        <v>10.962</v>
      </c>
      <c r="HT17" s="289">
        <v>10.804</v>
      </c>
      <c r="HU17" s="289">
        <v>10.8383</v>
      </c>
      <c r="HV17" s="289">
        <v>10.555199999999999</v>
      </c>
      <c r="HW17" s="289">
        <v>10.5465</v>
      </c>
      <c r="HX17" s="289">
        <v>10.362</v>
      </c>
      <c r="HY17" s="289">
        <v>10.299300000000001</v>
      </c>
      <c r="HZ17" s="289">
        <v>9.9877000000000002</v>
      </c>
      <c r="IA17" s="289">
        <v>10.501300000000001</v>
      </c>
      <c r="IB17" s="289">
        <v>12.443300000000001</v>
      </c>
      <c r="IC17" s="289">
        <v>12.8392</v>
      </c>
      <c r="ID17" s="289">
        <v>13.492100000000001</v>
      </c>
      <c r="IE17" s="185">
        <v>11</v>
      </c>
      <c r="IF17" s="1"/>
      <c r="IG17" s="1"/>
      <c r="IH17" s="185">
        <v>11</v>
      </c>
      <c r="II17" s="289">
        <v>11.0091</v>
      </c>
      <c r="IJ17" s="289">
        <v>10.968299999999999</v>
      </c>
      <c r="IK17" s="289">
        <v>11.1426</v>
      </c>
      <c r="IL17" s="289">
        <v>10.970499999999999</v>
      </c>
      <c r="IM17" s="289">
        <v>10.8269</v>
      </c>
      <c r="IN17" s="289">
        <v>10.904299999999999</v>
      </c>
      <c r="IO17" s="289">
        <v>10.7531</v>
      </c>
      <c r="IP17" s="289">
        <v>10.9832</v>
      </c>
      <c r="IQ17" s="289">
        <v>11.1227</v>
      </c>
      <c r="IR17" s="289">
        <v>10.837899999999999</v>
      </c>
      <c r="IS17" s="289">
        <v>10.8108</v>
      </c>
      <c r="IT17" s="289">
        <v>10.812799999999999</v>
      </c>
      <c r="IU17" s="185">
        <v>11</v>
      </c>
      <c r="IV17" s="1"/>
      <c r="IW17" s="1"/>
      <c r="IX17" s="185">
        <v>11</v>
      </c>
      <c r="IY17" s="289">
        <v>10.544600000000001</v>
      </c>
      <c r="IZ17" s="289">
        <v>10.4803</v>
      </c>
      <c r="JA17" s="289">
        <v>10.7094</v>
      </c>
      <c r="JB17" s="289">
        <v>11.144299999999999</v>
      </c>
      <c r="JC17" s="289">
        <v>10.925800000000001</v>
      </c>
      <c r="JD17" s="289">
        <v>11.419</v>
      </c>
      <c r="JE17" s="289">
        <v>11.0243</v>
      </c>
      <c r="JF17" s="289">
        <v>10.8386</v>
      </c>
      <c r="JG17" s="289">
        <v>11.019600000000001</v>
      </c>
      <c r="JH17" s="289">
        <v>11.084199999999999</v>
      </c>
      <c r="JI17" s="289">
        <v>10.863200000000001</v>
      </c>
      <c r="JJ17" s="289">
        <v>10.8558</v>
      </c>
      <c r="JK17" s="185">
        <v>11</v>
      </c>
      <c r="JL17" s="1"/>
      <c r="JM17" s="1"/>
      <c r="JN17" s="185">
        <v>11</v>
      </c>
      <c r="JO17" s="289">
        <v>11.3643</v>
      </c>
      <c r="JP17" s="289">
        <v>11.1919</v>
      </c>
      <c r="JQ17" s="289">
        <v>11.0181</v>
      </c>
      <c r="JR17" s="289">
        <v>11.1945</v>
      </c>
      <c r="JS17" s="289">
        <v>10.9693</v>
      </c>
      <c r="JT17" s="289">
        <v>10.886799999999999</v>
      </c>
      <c r="JU17" s="289">
        <v>10.7997</v>
      </c>
      <c r="JV17" s="289">
        <v>10.638299999999999</v>
      </c>
      <c r="JW17" s="289">
        <v>10.7126</v>
      </c>
      <c r="JX17" s="289">
        <v>10.794</v>
      </c>
      <c r="JY17" s="289">
        <v>10.7104</v>
      </c>
      <c r="JZ17" s="289">
        <v>10.502000000000001</v>
      </c>
      <c r="KA17" s="185">
        <v>11</v>
      </c>
      <c r="KB17" s="1"/>
      <c r="KC17" s="1"/>
      <c r="KD17" s="185">
        <v>11</v>
      </c>
      <c r="KE17" s="289">
        <v>10.8847</v>
      </c>
      <c r="KF17" s="289">
        <v>11.103899999999999</v>
      </c>
      <c r="KG17" s="289">
        <v>10.9695</v>
      </c>
      <c r="KH17" s="289">
        <v>11.1631</v>
      </c>
      <c r="KI17" s="289">
        <v>11.527200000000001</v>
      </c>
      <c r="KJ17" s="289">
        <v>11.380800000000001</v>
      </c>
      <c r="KK17" s="289">
        <v>11.531499999999999</v>
      </c>
      <c r="KL17" s="289">
        <v>11.377599999999999</v>
      </c>
      <c r="KM17" s="289">
        <v>11.5717</v>
      </c>
      <c r="KN17" s="289">
        <v>11.2874</v>
      </c>
      <c r="KO17" s="289">
        <v>11.4465</v>
      </c>
      <c r="KP17" s="289">
        <v>11.291</v>
      </c>
      <c r="KQ17" s="185">
        <v>11</v>
      </c>
      <c r="KR17" s="1"/>
      <c r="KS17" s="1"/>
      <c r="KT17" s="185">
        <v>11</v>
      </c>
      <c r="KU17" s="289">
        <v>10.411199999999999</v>
      </c>
      <c r="KV17" s="289">
        <v>10.8979</v>
      </c>
      <c r="KW17" s="289">
        <v>11.106400000000001</v>
      </c>
      <c r="KX17" s="289">
        <v>10.754099999999999</v>
      </c>
      <c r="KY17" s="289">
        <v>10.17</v>
      </c>
      <c r="KZ17" s="289">
        <v>10.7431</v>
      </c>
      <c r="LA17" s="289">
        <v>10.4795</v>
      </c>
      <c r="LB17" s="289">
        <v>10.700100000000001</v>
      </c>
      <c r="LC17" s="289">
        <v>11.023300000000001</v>
      </c>
      <c r="LD17" s="289">
        <v>11.2356</v>
      </c>
      <c r="LE17" s="289">
        <v>10.9688</v>
      </c>
      <c r="LF17" s="289">
        <v>11.163500000000001</v>
      </c>
      <c r="LG17" s="185">
        <v>11</v>
      </c>
      <c r="LH17" s="1"/>
      <c r="LI17" s="1"/>
      <c r="LJ17" s="185">
        <v>11</v>
      </c>
      <c r="LK17" s="289">
        <v>9.2043999999999997</v>
      </c>
      <c r="LL17" s="289">
        <v>9.1380999999999997</v>
      </c>
      <c r="LM17" s="289">
        <v>9.0753000000000004</v>
      </c>
      <c r="LN17" s="289">
        <v>9.0421999999999993</v>
      </c>
      <c r="LO17" s="289">
        <v>9.4463000000000008</v>
      </c>
      <c r="LP17" s="289">
        <v>9.7411999999999992</v>
      </c>
      <c r="LQ17" s="289">
        <v>9.8552</v>
      </c>
      <c r="LR17" s="289">
        <v>9.7334999999999994</v>
      </c>
      <c r="LS17" s="289">
        <v>9.9604999999999997</v>
      </c>
      <c r="LT17" s="289">
        <v>10.204800000000001</v>
      </c>
      <c r="LU17" s="289">
        <v>10.242800000000001</v>
      </c>
      <c r="LV17" s="289">
        <v>10.1852</v>
      </c>
      <c r="LW17" s="185">
        <v>11</v>
      </c>
      <c r="LX17" s="1"/>
      <c r="LY17" s="1"/>
      <c r="LZ17" s="185">
        <v>11</v>
      </c>
      <c r="MA17" s="289">
        <v>9.7416999999999998</v>
      </c>
      <c r="MB17" s="289">
        <v>9.6463999999999999</v>
      </c>
      <c r="MC17" s="289">
        <v>9.6468000000000007</v>
      </c>
      <c r="MD17" s="289">
        <v>9.3587000000000007</v>
      </c>
      <c r="ME17" s="289">
        <v>9.2159999999999993</v>
      </c>
      <c r="MF17" s="289">
        <v>9.1234999999999999</v>
      </c>
      <c r="MG17" s="289">
        <v>9.1193000000000008</v>
      </c>
      <c r="MH17" s="289">
        <v>9.0897000000000006</v>
      </c>
      <c r="MI17" s="289">
        <v>9.3241999999999994</v>
      </c>
      <c r="MJ17" s="289">
        <v>9.5162999999999993</v>
      </c>
      <c r="MK17" s="289">
        <v>9.2114999999999991</v>
      </c>
      <c r="ML17" s="289">
        <v>9.2124000000000006</v>
      </c>
      <c r="MM17" s="185">
        <v>11</v>
      </c>
      <c r="MN17" s="1"/>
      <c r="MO17" s="1"/>
      <c r="MP17" s="185">
        <v>11</v>
      </c>
      <c r="MQ17" s="289">
        <v>9.5150000000000006</v>
      </c>
      <c r="MR17" s="289">
        <v>9.3998000000000008</v>
      </c>
      <c r="MS17" s="289">
        <v>9.2836999999999996</v>
      </c>
      <c r="MT17" s="289">
        <v>9.3217999999999996</v>
      </c>
      <c r="MU17" s="289">
        <v>9.4855</v>
      </c>
      <c r="MV17" s="289">
        <v>9.8519000000000005</v>
      </c>
      <c r="MW17" s="289">
        <v>9.5195000000000007</v>
      </c>
      <c r="MX17" s="289">
        <v>9.3260000000000005</v>
      </c>
      <c r="MY17" s="289">
        <v>9.3140999999999998</v>
      </c>
      <c r="MZ17" s="289">
        <v>9.4753000000000007</v>
      </c>
      <c r="NA17" s="289">
        <v>9.6532999999999998</v>
      </c>
      <c r="NB17" s="289">
        <v>9.4262999999999995</v>
      </c>
      <c r="NC17" s="185">
        <v>11</v>
      </c>
      <c r="ND17" s="1"/>
      <c r="NE17" s="1"/>
      <c r="NF17" s="185">
        <v>11</v>
      </c>
      <c r="NG17" s="289">
        <v>9.8527000000000005</v>
      </c>
      <c r="NH17" s="289">
        <v>10.0764</v>
      </c>
      <c r="NI17" s="289">
        <v>9.7927</v>
      </c>
      <c r="NJ17" s="289">
        <v>9.4771000000000001</v>
      </c>
      <c r="NK17" s="289">
        <v>9.3480000000000008</v>
      </c>
      <c r="NL17" s="289">
        <v>9.5816999999999997</v>
      </c>
      <c r="NM17" s="289">
        <v>9.3302999999999994</v>
      </c>
      <c r="NN17" s="289">
        <v>9.4873999999999992</v>
      </c>
      <c r="NO17" s="289">
        <v>9.3470999999999993</v>
      </c>
      <c r="NP17" s="289">
        <v>9.4597999999999995</v>
      </c>
      <c r="NQ17" s="289">
        <v>9.4158000000000008</v>
      </c>
      <c r="NR17" s="289">
        <v>9.4288000000000007</v>
      </c>
      <c r="NS17" s="185">
        <v>11</v>
      </c>
      <c r="NT17" s="1"/>
      <c r="NU17" s="1"/>
      <c r="NV17" s="185">
        <v>11</v>
      </c>
      <c r="NW17" s="289">
        <v>8.0775000000000006</v>
      </c>
      <c r="NX17" s="289">
        <v>8.4528999999999996</v>
      </c>
      <c r="NY17" s="289">
        <v>8.6273</v>
      </c>
      <c r="NZ17" s="289">
        <v>8.5274000000000001</v>
      </c>
      <c r="OA17" s="289">
        <v>8.5007000000000001</v>
      </c>
      <c r="OB17" s="289">
        <v>8.8360000000000003</v>
      </c>
      <c r="OC17" s="289">
        <v>8.9431999999999992</v>
      </c>
      <c r="OD17" s="289">
        <v>9.0187000000000008</v>
      </c>
      <c r="OE17" s="289">
        <v>10.3499</v>
      </c>
      <c r="OF17" s="289">
        <v>10.354900000000001</v>
      </c>
      <c r="OG17" s="289">
        <v>10.0015</v>
      </c>
      <c r="OH17" s="289">
        <v>9.9517000000000007</v>
      </c>
      <c r="OI17" s="185">
        <v>11</v>
      </c>
      <c r="OJ17" s="1"/>
      <c r="OK17" s="1"/>
      <c r="OL17" s="185">
        <v>11</v>
      </c>
      <c r="OM17" s="289">
        <v>7.8208000000000002</v>
      </c>
      <c r="ON17" s="289">
        <v>7.8048000000000002</v>
      </c>
      <c r="OO17" s="289">
        <v>8.0152000000000001</v>
      </c>
      <c r="OP17" s="289">
        <v>7.8913000000000002</v>
      </c>
      <c r="OQ17" s="289">
        <v>7.9253</v>
      </c>
      <c r="OR17" s="289">
        <v>7.9878</v>
      </c>
      <c r="OS17" s="289">
        <v>7.8952999999999998</v>
      </c>
      <c r="OT17" s="289">
        <v>7.7895000000000003</v>
      </c>
      <c r="OU17" s="289">
        <v>7.7790999999999997</v>
      </c>
      <c r="OV17" s="289">
        <v>7.77</v>
      </c>
      <c r="OW17" s="289">
        <v>8.3766999999999996</v>
      </c>
      <c r="OX17" s="289">
        <v>8.1148000000000007</v>
      </c>
      <c r="OY17" s="185">
        <v>11</v>
      </c>
      <c r="OZ17" s="1"/>
      <c r="PA17" s="1"/>
      <c r="PB17" s="185">
        <v>11</v>
      </c>
      <c r="PC17" s="289">
        <v>7.4779</v>
      </c>
      <c r="PD17" s="289">
        <v>7.4863</v>
      </c>
      <c r="PE17" s="289">
        <v>7.5712999999999999</v>
      </c>
      <c r="PF17" s="289">
        <v>7.5366</v>
      </c>
      <c r="PG17" s="289">
        <v>7.4762000000000004</v>
      </c>
      <c r="PH17" s="289">
        <v>7.5278</v>
      </c>
      <c r="PI17" s="289">
        <v>7.6383000000000001</v>
      </c>
      <c r="PJ17" s="289">
        <v>7.5349000000000004</v>
      </c>
      <c r="PK17" s="289">
        <v>7.5426000000000002</v>
      </c>
      <c r="PL17" s="289">
        <v>7.5740999999999996</v>
      </c>
      <c r="PM17" s="289">
        <v>7.9527000000000001</v>
      </c>
      <c r="PN17" s="289">
        <v>7.9032</v>
      </c>
      <c r="PO17" s="185">
        <v>11</v>
      </c>
      <c r="PP17" s="1"/>
      <c r="PQ17" s="1"/>
      <c r="PR17" s="185">
        <v>11</v>
      </c>
      <c r="PS17" s="289">
        <v>5.3949999999999996</v>
      </c>
      <c r="PT17" s="289">
        <v>5.59</v>
      </c>
      <c r="PU17" s="289">
        <v>7.5875000000000004</v>
      </c>
      <c r="PV17" s="289">
        <v>6.2933000000000003</v>
      </c>
      <c r="PW17" s="289">
        <v>5.8883000000000001</v>
      </c>
      <c r="PX17" s="289">
        <v>6.2317</v>
      </c>
      <c r="PY17" s="289">
        <v>6.165</v>
      </c>
      <c r="PZ17" s="289">
        <v>6.1384999999999996</v>
      </c>
      <c r="QA17" s="289">
        <v>6.2568000000000001</v>
      </c>
      <c r="QB17" s="289">
        <v>6.5740999999999996</v>
      </c>
      <c r="QC17" s="289">
        <v>8.1382999999999992</v>
      </c>
      <c r="QD17" s="289">
        <v>7.7083000000000004</v>
      </c>
      <c r="QE17" s="185">
        <v>11</v>
      </c>
      <c r="QF17" s="1"/>
      <c r="QG17" s="1"/>
      <c r="QH17" s="185">
        <v>11</v>
      </c>
      <c r="QI17" s="289">
        <v>3.1057000000000001</v>
      </c>
      <c r="QJ17" s="289">
        <v>3.1055000000000001</v>
      </c>
      <c r="QK17" s="289">
        <v>3.3149999999999999</v>
      </c>
      <c r="QL17" s="289">
        <v>3.363</v>
      </c>
      <c r="QM17" s="289">
        <v>3.3395999999999999</v>
      </c>
      <c r="QN17" s="289">
        <v>3.3588</v>
      </c>
      <c r="QO17" s="289">
        <v>3.4001999999999999</v>
      </c>
      <c r="QP17" s="289">
        <v>3.3881999999999999</v>
      </c>
      <c r="QQ17" s="289">
        <v>3.4014000000000002</v>
      </c>
      <c r="QR17" s="289">
        <v>3.4175</v>
      </c>
      <c r="QS17" s="289">
        <v>3.4285000000000001</v>
      </c>
      <c r="QT17" s="289">
        <v>3.4510999999999998</v>
      </c>
      <c r="QU17" s="185">
        <v>11</v>
      </c>
      <c r="QV17" s="1"/>
      <c r="QW17" s="1"/>
      <c r="QX17" s="185">
        <v>11</v>
      </c>
      <c r="QY17" s="289">
        <v>3.1063000000000001</v>
      </c>
      <c r="QZ17" s="289">
        <v>3.0977000000000001</v>
      </c>
      <c r="RA17" s="289">
        <v>3.113</v>
      </c>
      <c r="RB17" s="289">
        <v>3.0939999999999999</v>
      </c>
      <c r="RC17" s="289">
        <v>3.1335000000000002</v>
      </c>
      <c r="RD17" s="289">
        <v>3.1269</v>
      </c>
      <c r="RE17" s="289">
        <v>3.1261000000000001</v>
      </c>
      <c r="RF17" s="289">
        <v>3.11</v>
      </c>
      <c r="RG17" s="289">
        <v>3.1126999999999998</v>
      </c>
      <c r="RH17" s="289">
        <v>3.1156000000000001</v>
      </c>
      <c r="RI17" s="289">
        <v>3.2450000000000001</v>
      </c>
      <c r="RJ17" s="289">
        <v>3.1074999999999999</v>
      </c>
      <c r="RK17" s="185">
        <v>11</v>
      </c>
      <c r="RL17" s="1"/>
      <c r="RM17" s="1"/>
      <c r="RN17" s="185">
        <v>11</v>
      </c>
      <c r="RO17" s="289">
        <v>3.0661999999999998</v>
      </c>
      <c r="RP17" s="289">
        <v>3.0644999999999998</v>
      </c>
      <c r="RQ17" s="289">
        <v>3.0611999999999999</v>
      </c>
      <c r="RR17" s="289">
        <v>3.0695000000000001</v>
      </c>
      <c r="RS17" s="289">
        <v>3.1</v>
      </c>
      <c r="RT17" s="289">
        <v>3.1175999999999999</v>
      </c>
      <c r="RU17" s="289">
        <v>3.1099000000000001</v>
      </c>
      <c r="RV17" s="289">
        <v>3.1019999999999999</v>
      </c>
      <c r="RW17" s="289">
        <v>3.0630000000000002</v>
      </c>
      <c r="RX17" s="289">
        <v>3.1151</v>
      </c>
      <c r="RY17" s="289">
        <v>3.1248999999999998</v>
      </c>
      <c r="RZ17" s="289">
        <v>3.1128</v>
      </c>
      <c r="SA17" s="185">
        <v>11</v>
      </c>
      <c r="SB17" s="1"/>
      <c r="SC17" s="1"/>
      <c r="SD17" s="185">
        <v>11</v>
      </c>
      <c r="SE17" s="289">
        <v>2.9502000000000002</v>
      </c>
      <c r="SF17" s="289">
        <v>2.9618000000000002</v>
      </c>
      <c r="SG17" s="289">
        <v>2.9729999999999999</v>
      </c>
      <c r="SH17" s="289">
        <v>2.9862000000000002</v>
      </c>
      <c r="SI17" s="289">
        <v>2.9982000000000002</v>
      </c>
      <c r="SJ17" s="289">
        <v>3.0097999999999998</v>
      </c>
      <c r="SK17" s="289">
        <v>3.0226000000000002</v>
      </c>
      <c r="SL17" s="289">
        <v>3.0346000000000002</v>
      </c>
      <c r="SM17" s="289">
        <v>3.0474000000000001</v>
      </c>
      <c r="SN17" s="289">
        <v>3.0602</v>
      </c>
      <c r="SO17" s="289">
        <v>3.0726</v>
      </c>
      <c r="SP17" s="289">
        <v>3.0624799999999999</v>
      </c>
      <c r="SQ17" s="185">
        <v>11</v>
      </c>
      <c r="SR17" s="1"/>
      <c r="SS17" s="1"/>
      <c r="ST17" s="185">
        <v>11</v>
      </c>
      <c r="SU17" s="289">
        <v>2.653</v>
      </c>
      <c r="SV17" s="289">
        <v>2.6829999999999998</v>
      </c>
      <c r="SW17" s="289">
        <v>2.7109999999999999</v>
      </c>
      <c r="SX17" s="289">
        <v>2.7429999999999999</v>
      </c>
      <c r="SY17" s="289">
        <v>2.7730000000000001</v>
      </c>
      <c r="SZ17" s="289">
        <v>2.8001999999999998</v>
      </c>
      <c r="TA17" s="289">
        <v>2.8258000000000001</v>
      </c>
      <c r="TB17" s="289">
        <v>2.8506</v>
      </c>
      <c r="TC17" s="289">
        <v>2.8738000000000001</v>
      </c>
      <c r="TD17" s="289">
        <v>2.8994</v>
      </c>
      <c r="TE17" s="289">
        <v>2.9234</v>
      </c>
      <c r="TF17" s="289">
        <v>2.9369999999999998</v>
      </c>
      <c r="TG17" s="185">
        <v>11</v>
      </c>
      <c r="TH17" s="1"/>
      <c r="TI17" s="1"/>
      <c r="TJ17" s="185">
        <v>11</v>
      </c>
      <c r="TK17" s="289">
        <v>2.2879999999999998</v>
      </c>
      <c r="TL17" s="289">
        <v>2.319</v>
      </c>
      <c r="TM17" s="289">
        <v>2.347</v>
      </c>
      <c r="TN17" s="289">
        <v>2.3759999999999999</v>
      </c>
      <c r="TO17" s="289">
        <v>2.4079999999999999</v>
      </c>
      <c r="TP17" s="289">
        <v>2.4380000000000002</v>
      </c>
      <c r="TQ17" s="289">
        <v>2.4670000000000001</v>
      </c>
      <c r="TR17" s="289">
        <v>2.5</v>
      </c>
      <c r="TS17" s="289">
        <v>2.5289999999999999</v>
      </c>
      <c r="TT17" s="289">
        <v>2.5609999999999999</v>
      </c>
      <c r="TU17" s="289">
        <v>2.5920000000000001</v>
      </c>
      <c r="TV17" s="289">
        <v>2.62</v>
      </c>
      <c r="TW17" s="185">
        <v>11</v>
      </c>
    </row>
    <row r="18" spans="2:543" ht="20.100000000000001" customHeight="1">
      <c r="B18" s="64">
        <v>12</v>
      </c>
      <c r="C18" s="289">
        <v>20.4453</v>
      </c>
      <c r="D18" s="289">
        <v>20.4148</v>
      </c>
      <c r="E18" s="289">
        <v>20.974299999999999</v>
      </c>
      <c r="F18" s="289">
        <v>20.12</v>
      </c>
      <c r="G18" s="289">
        <v>20.372</v>
      </c>
      <c r="H18" s="289">
        <v>19.6128</v>
      </c>
      <c r="I18" s="289">
        <v>20.442299999999999</v>
      </c>
      <c r="J18" s="289">
        <v>19.956199999999999</v>
      </c>
      <c r="K18" s="289">
        <v>20.020299999999999</v>
      </c>
      <c r="L18" s="289">
        <v>19.975200000000001</v>
      </c>
      <c r="M18" s="289">
        <v>19.393999999999998</v>
      </c>
      <c r="N18" s="289">
        <v>19.673200000000001</v>
      </c>
      <c r="O18" s="64">
        <v>12</v>
      </c>
      <c r="R18" s="64">
        <v>12</v>
      </c>
      <c r="S18" s="289">
        <v>19.970500000000001</v>
      </c>
      <c r="T18" s="289">
        <v>20.058800000000002</v>
      </c>
      <c r="U18" s="289">
        <v>20.985299999999999</v>
      </c>
      <c r="V18" s="289">
        <v>20.088999999999999</v>
      </c>
      <c r="W18" s="289">
        <v>19.885999999999999</v>
      </c>
      <c r="X18" s="289">
        <v>19.700199999999999</v>
      </c>
      <c r="Y18" s="289">
        <v>20.007000000000001</v>
      </c>
      <c r="Z18" s="289">
        <v>20.1038</v>
      </c>
      <c r="AA18" s="289">
        <v>19.931799999999999</v>
      </c>
      <c r="AB18" s="289">
        <v>20.729299999999999</v>
      </c>
      <c r="AC18" s="289">
        <v>20.470199999999998</v>
      </c>
      <c r="AD18" s="289">
        <v>21.032800000000002</v>
      </c>
      <c r="AE18" s="64">
        <v>12</v>
      </c>
      <c r="AH18" s="185">
        <v>12</v>
      </c>
      <c r="AI18" s="289">
        <v>18.845300000000002</v>
      </c>
      <c r="AJ18" s="289">
        <v>18.7653</v>
      </c>
      <c r="AK18" s="289">
        <v>21.026700000000002</v>
      </c>
      <c r="AL18" s="289">
        <v>24.038799999999998</v>
      </c>
      <c r="AM18" s="289">
        <v>23.680499999999999</v>
      </c>
      <c r="AN18" s="289">
        <v>21.922999999999998</v>
      </c>
      <c r="AO18" s="289">
        <v>22.694500000000001</v>
      </c>
      <c r="AP18" s="289">
        <v>22.484999999999999</v>
      </c>
      <c r="AQ18" s="289">
        <v>21.2773</v>
      </c>
      <c r="AR18" s="289">
        <v>21.431799999999999</v>
      </c>
      <c r="AS18" s="289">
        <v>20.401800000000001</v>
      </c>
      <c r="AT18" s="289">
        <v>19.9572</v>
      </c>
      <c r="AU18" s="185">
        <v>12</v>
      </c>
      <c r="AX18" s="185">
        <v>12</v>
      </c>
      <c r="AY18" s="289">
        <v>19.171399999999998</v>
      </c>
      <c r="AZ18" s="289">
        <v>19.089300000000001</v>
      </c>
      <c r="BA18" s="289">
        <v>19.490200000000002</v>
      </c>
      <c r="BB18" s="289">
        <v>18.835999999999999</v>
      </c>
      <c r="BC18" s="289">
        <v>19.2623</v>
      </c>
      <c r="BD18" s="289">
        <v>19.204000000000001</v>
      </c>
      <c r="BE18" s="289">
        <v>19.2425</v>
      </c>
      <c r="BF18" s="289">
        <v>19.511800000000001</v>
      </c>
      <c r="BG18" s="289">
        <v>19.535399999999999</v>
      </c>
      <c r="BH18" s="289">
        <v>19.476400000000002</v>
      </c>
      <c r="BI18" s="289">
        <v>19.1068</v>
      </c>
      <c r="BJ18" s="289">
        <v>19.2362</v>
      </c>
      <c r="BK18" s="185">
        <v>12</v>
      </c>
      <c r="BN18" s="185">
        <v>12</v>
      </c>
      <c r="BO18" s="289">
        <v>19.240500000000001</v>
      </c>
      <c r="BP18" s="289">
        <v>18.881499999999999</v>
      </c>
      <c r="BQ18" s="290">
        <v>18.7148</v>
      </c>
      <c r="BR18" s="289">
        <v>18.2882</v>
      </c>
      <c r="BS18" s="289">
        <v>19.2989</v>
      </c>
      <c r="BT18" s="289">
        <v>20.528099999999998</v>
      </c>
      <c r="BU18" s="289">
        <v>19.055900000000001</v>
      </c>
      <c r="BV18" s="289">
        <v>18.6511</v>
      </c>
      <c r="BW18" s="289">
        <v>19.2989</v>
      </c>
      <c r="BX18" s="289">
        <v>19.118300000000001</v>
      </c>
      <c r="BY18" s="289">
        <v>20.043800000000001</v>
      </c>
      <c r="BZ18" s="289">
        <v>20.362100000000002</v>
      </c>
      <c r="CA18" s="185">
        <v>12</v>
      </c>
      <c r="CD18" s="185">
        <v>12</v>
      </c>
      <c r="CE18" s="289">
        <v>21.616800000000001</v>
      </c>
      <c r="CF18" s="289">
        <v>20.4163</v>
      </c>
      <c r="CG18" s="289">
        <v>19.7974</v>
      </c>
      <c r="CH18" s="289">
        <v>18.692299999999999</v>
      </c>
      <c r="CI18" s="289">
        <v>18.9587</v>
      </c>
      <c r="CJ18" s="289">
        <v>18.194600000000001</v>
      </c>
      <c r="CK18" s="289">
        <v>17.975100000000001</v>
      </c>
      <c r="CL18" s="289">
        <v>17.907299999999999</v>
      </c>
      <c r="CM18" s="289">
        <v>17.7331</v>
      </c>
      <c r="CN18" s="289">
        <v>18.6327</v>
      </c>
      <c r="CO18" s="289">
        <v>19.09</v>
      </c>
      <c r="CP18" s="289">
        <v>18.944500000000001</v>
      </c>
      <c r="CQ18" s="185">
        <v>12</v>
      </c>
      <c r="CT18" s="185">
        <v>12</v>
      </c>
      <c r="CU18" s="289">
        <v>17.9283</v>
      </c>
      <c r="CV18" s="289">
        <v>18.808900000000001</v>
      </c>
      <c r="CW18" s="289">
        <v>17.860099999999999</v>
      </c>
      <c r="CX18" s="289">
        <v>17.739100000000001</v>
      </c>
      <c r="CY18" s="289">
        <v>18.020499999999998</v>
      </c>
      <c r="CZ18" s="289">
        <v>18.2742</v>
      </c>
      <c r="DA18" s="289">
        <v>18.5991</v>
      </c>
      <c r="DB18" s="289">
        <v>18.347899999999999</v>
      </c>
      <c r="DC18" s="289">
        <v>18.5427</v>
      </c>
      <c r="DD18" s="289">
        <v>18.878599999999999</v>
      </c>
      <c r="DE18" s="289">
        <v>20.481200000000001</v>
      </c>
      <c r="DF18" s="289">
        <v>20.4162</v>
      </c>
      <c r="DG18" s="185">
        <v>12</v>
      </c>
      <c r="DJ18" s="185">
        <v>12</v>
      </c>
      <c r="DK18" s="289">
        <v>14.6274</v>
      </c>
      <c r="DL18" s="289">
        <v>14.930899999999999</v>
      </c>
      <c r="DM18" s="289">
        <v>15.5837</v>
      </c>
      <c r="DN18" s="289">
        <v>15.055400000000001</v>
      </c>
      <c r="DO18" s="289">
        <v>15.1424</v>
      </c>
      <c r="DP18" s="289">
        <v>15.4779</v>
      </c>
      <c r="DQ18" s="289">
        <v>15.817399999999999</v>
      </c>
      <c r="DR18" s="289">
        <v>16.165199999999999</v>
      </c>
      <c r="DS18" s="289">
        <v>16.7773</v>
      </c>
      <c r="DT18" s="289">
        <v>16.546399999999998</v>
      </c>
      <c r="DU18" s="289">
        <v>16.765799999999999</v>
      </c>
      <c r="DV18" s="289">
        <v>17.074999999999999</v>
      </c>
      <c r="DW18" s="185">
        <v>12</v>
      </c>
      <c r="DZ18" s="185">
        <v>12</v>
      </c>
      <c r="EA18" s="289">
        <v>13.1403</v>
      </c>
      <c r="EB18" s="289">
        <v>13.3134</v>
      </c>
      <c r="EC18" s="289">
        <v>13.2248</v>
      </c>
      <c r="ED18" s="289">
        <v>13.045299999999999</v>
      </c>
      <c r="EE18" s="289">
        <v>12.947699999999999</v>
      </c>
      <c r="EF18" s="289">
        <v>13.0486</v>
      </c>
      <c r="EG18" s="289">
        <v>13.0015</v>
      </c>
      <c r="EH18" s="289">
        <v>13.236000000000001</v>
      </c>
      <c r="EI18" s="289">
        <v>13.214399999999999</v>
      </c>
      <c r="EJ18" s="289">
        <v>13.3789</v>
      </c>
      <c r="EK18" s="289">
        <v>13.5528</v>
      </c>
      <c r="EL18" s="289">
        <v>14.5181</v>
      </c>
      <c r="EM18" s="185">
        <v>12</v>
      </c>
      <c r="EP18" s="185">
        <v>12</v>
      </c>
      <c r="EQ18" s="289">
        <v>12.6555</v>
      </c>
      <c r="ER18" s="289">
        <v>12.730700000000001</v>
      </c>
      <c r="ES18" s="289">
        <v>12.6684</v>
      </c>
      <c r="ET18" s="289">
        <v>12.114000000000001</v>
      </c>
      <c r="EU18" s="289">
        <v>11.980700000000001</v>
      </c>
      <c r="EV18" s="289">
        <v>12.857200000000001</v>
      </c>
      <c r="EW18" s="289">
        <v>12.949400000000001</v>
      </c>
      <c r="EX18" s="289">
        <v>12.646000000000001</v>
      </c>
      <c r="EY18" s="289">
        <v>13.1119</v>
      </c>
      <c r="EZ18" s="289">
        <v>13.0913</v>
      </c>
      <c r="FA18" s="289">
        <v>13.241199999999999</v>
      </c>
      <c r="FB18" s="289">
        <v>12.8574</v>
      </c>
      <c r="FC18" s="185">
        <v>12</v>
      </c>
      <c r="FF18" s="185">
        <v>12</v>
      </c>
      <c r="FG18" s="289">
        <v>13.6204</v>
      </c>
      <c r="FH18" s="289">
        <v>12.72</v>
      </c>
      <c r="FI18" s="289">
        <v>12.784000000000001</v>
      </c>
      <c r="FJ18" s="289">
        <v>13.1568</v>
      </c>
      <c r="FK18" s="289">
        <v>13.446999999999999</v>
      </c>
      <c r="FL18" s="289">
        <v>14.0351</v>
      </c>
      <c r="FM18" s="289">
        <v>13.292400000000001</v>
      </c>
      <c r="FN18" s="289">
        <v>13.1188</v>
      </c>
      <c r="FO18" s="289">
        <v>12.992100000000001</v>
      </c>
      <c r="FP18" s="289">
        <v>12.911899999999999</v>
      </c>
      <c r="FQ18" s="289">
        <v>13.1168</v>
      </c>
      <c r="FR18" s="289">
        <v>12.7964</v>
      </c>
      <c r="FS18" s="185">
        <v>12</v>
      </c>
      <c r="FV18" s="185">
        <v>12</v>
      </c>
      <c r="FW18" s="289">
        <v>12.254200000000001</v>
      </c>
      <c r="FX18" s="289">
        <v>12.0937</v>
      </c>
      <c r="FY18" s="289">
        <v>11.9755</v>
      </c>
      <c r="FZ18" s="289">
        <v>11.742100000000001</v>
      </c>
      <c r="GA18" s="289">
        <v>11.600899999999999</v>
      </c>
      <c r="GB18" s="289">
        <v>11.7965</v>
      </c>
      <c r="GC18" s="289">
        <v>11.633699999999999</v>
      </c>
      <c r="GD18" s="289">
        <v>12.322100000000001</v>
      </c>
      <c r="GE18" s="289">
        <v>12.4956</v>
      </c>
      <c r="GF18" s="289">
        <v>13.2751</v>
      </c>
      <c r="GG18" s="289">
        <v>13.562200000000001</v>
      </c>
      <c r="GH18" s="289">
        <v>13.6569</v>
      </c>
      <c r="GI18" s="185">
        <v>12</v>
      </c>
      <c r="GL18" s="185">
        <v>12</v>
      </c>
      <c r="GM18" s="289">
        <v>12.724299999999999</v>
      </c>
      <c r="GN18" s="289">
        <v>13.0601</v>
      </c>
      <c r="GO18" s="289">
        <v>12.6028</v>
      </c>
      <c r="GP18" s="289">
        <v>12.248799999999999</v>
      </c>
      <c r="GQ18" s="289">
        <v>12.5297</v>
      </c>
      <c r="GR18" s="289">
        <v>12.7441</v>
      </c>
      <c r="GS18" s="289">
        <v>12.8232</v>
      </c>
      <c r="GT18" s="289">
        <v>12.6927</v>
      </c>
      <c r="GU18" s="289">
        <v>12.985300000000001</v>
      </c>
      <c r="GV18" s="289">
        <v>12.4895</v>
      </c>
      <c r="GW18" s="289">
        <v>12.2714</v>
      </c>
      <c r="GX18" s="289">
        <v>12.458600000000001</v>
      </c>
      <c r="GY18" s="185">
        <v>12</v>
      </c>
      <c r="HB18" s="185">
        <v>12</v>
      </c>
      <c r="HC18" s="289">
        <v>13.5045</v>
      </c>
      <c r="HD18" s="289">
        <v>14.3575</v>
      </c>
      <c r="HE18" s="289">
        <v>15.3142</v>
      </c>
      <c r="HF18" s="289">
        <v>13.571199999999999</v>
      </c>
      <c r="HG18" s="289">
        <v>13.1067</v>
      </c>
      <c r="HH18" s="289">
        <v>13.650700000000001</v>
      </c>
      <c r="HI18" s="289">
        <v>13.575799999999999</v>
      </c>
      <c r="HJ18" s="289">
        <v>12.922000000000001</v>
      </c>
      <c r="HK18" s="289">
        <v>13.4582</v>
      </c>
      <c r="HL18" s="289">
        <v>13.322699999999999</v>
      </c>
      <c r="HM18" s="289">
        <v>13.2308</v>
      </c>
      <c r="HN18" s="289">
        <v>12.9739</v>
      </c>
      <c r="HO18" s="185">
        <v>12</v>
      </c>
      <c r="HP18" s="1"/>
      <c r="HQ18" s="1"/>
      <c r="HR18" s="185">
        <v>12</v>
      </c>
      <c r="HS18" s="289">
        <v>10.9572</v>
      </c>
      <c r="HT18" s="289">
        <v>10.7575</v>
      </c>
      <c r="HU18" s="289">
        <v>10.847799999999999</v>
      </c>
      <c r="HV18" s="289">
        <v>10.5503</v>
      </c>
      <c r="HW18" s="289">
        <v>10.5465</v>
      </c>
      <c r="HX18" s="289">
        <v>10.3847</v>
      </c>
      <c r="HY18" s="289">
        <v>10.307600000000001</v>
      </c>
      <c r="HZ18" s="289">
        <v>10.1305</v>
      </c>
      <c r="IA18" s="289">
        <v>10.5862</v>
      </c>
      <c r="IB18" s="289">
        <v>12.443300000000001</v>
      </c>
      <c r="IC18" s="289">
        <v>12.785</v>
      </c>
      <c r="ID18" s="289">
        <v>13.472200000000001</v>
      </c>
      <c r="IE18" s="185">
        <v>12</v>
      </c>
      <c r="IF18" s="1"/>
      <c r="IG18" s="1"/>
      <c r="IH18" s="185">
        <v>12</v>
      </c>
      <c r="II18" s="289">
        <v>11.033300000000001</v>
      </c>
      <c r="IJ18" s="289">
        <v>10.968299999999999</v>
      </c>
      <c r="IK18" s="289">
        <v>11.1426</v>
      </c>
      <c r="IL18" s="289">
        <v>11.012600000000001</v>
      </c>
      <c r="IM18" s="289">
        <v>10.8178</v>
      </c>
      <c r="IN18" s="289">
        <v>10.9702</v>
      </c>
      <c r="IO18" s="289">
        <v>10.791700000000001</v>
      </c>
      <c r="IP18" s="289">
        <v>10.9832</v>
      </c>
      <c r="IQ18" s="289">
        <v>11.140700000000001</v>
      </c>
      <c r="IR18" s="289">
        <v>10.8383</v>
      </c>
      <c r="IS18" s="289">
        <v>10.8108</v>
      </c>
      <c r="IT18" s="289">
        <v>10.8185</v>
      </c>
      <c r="IU18" s="185">
        <v>12</v>
      </c>
      <c r="IV18" s="1"/>
      <c r="IW18" s="1"/>
      <c r="IX18" s="185">
        <v>12</v>
      </c>
      <c r="IY18" s="289">
        <v>10.599</v>
      </c>
      <c r="IZ18" s="289">
        <v>10.4803</v>
      </c>
      <c r="JA18" s="289">
        <v>10.7094</v>
      </c>
      <c r="JB18" s="289">
        <v>11.095599999999999</v>
      </c>
      <c r="JC18" s="289">
        <v>10.842499999999999</v>
      </c>
      <c r="JD18" s="289">
        <v>11.419</v>
      </c>
      <c r="JE18" s="289">
        <v>10.954700000000001</v>
      </c>
      <c r="JF18" s="289">
        <v>10.880800000000001</v>
      </c>
      <c r="JG18" s="289">
        <v>11.027100000000001</v>
      </c>
      <c r="JH18" s="289">
        <v>11.059699999999999</v>
      </c>
      <c r="JI18" s="289">
        <v>10.863200000000001</v>
      </c>
      <c r="JJ18" s="289">
        <v>10.8606</v>
      </c>
      <c r="JK18" s="185">
        <v>12</v>
      </c>
      <c r="JL18" s="1"/>
      <c r="JM18" s="1"/>
      <c r="JN18" s="185">
        <v>12</v>
      </c>
      <c r="JO18" s="289">
        <v>11.2667</v>
      </c>
      <c r="JP18" s="289">
        <v>11.1533</v>
      </c>
      <c r="JQ18" s="289">
        <v>11.032400000000001</v>
      </c>
      <c r="JR18" s="289">
        <v>11.158300000000001</v>
      </c>
      <c r="JS18" s="289">
        <v>11.0082</v>
      </c>
      <c r="JT18" s="289">
        <v>10.886799999999999</v>
      </c>
      <c r="JU18" s="289">
        <v>10.742800000000001</v>
      </c>
      <c r="JV18" s="289">
        <v>10.587400000000001</v>
      </c>
      <c r="JW18" s="289">
        <v>10.7126</v>
      </c>
      <c r="JX18" s="289">
        <v>10.7965</v>
      </c>
      <c r="JY18" s="289">
        <v>10.714</v>
      </c>
      <c r="JZ18" s="289">
        <v>10.502000000000001</v>
      </c>
      <c r="KA18" s="185">
        <v>12</v>
      </c>
      <c r="KB18" s="1"/>
      <c r="KC18" s="1"/>
      <c r="KD18" s="185">
        <v>12</v>
      </c>
      <c r="KE18" s="289">
        <v>10.8847</v>
      </c>
      <c r="KF18" s="289">
        <v>11.1069</v>
      </c>
      <c r="KG18" s="289">
        <v>10.9368</v>
      </c>
      <c r="KH18" s="289">
        <v>11.1631</v>
      </c>
      <c r="KI18" s="289">
        <v>11.6328</v>
      </c>
      <c r="KJ18" s="289">
        <v>11.366</v>
      </c>
      <c r="KK18" s="289">
        <v>11.531499999999999</v>
      </c>
      <c r="KL18" s="289">
        <v>11.394299999999999</v>
      </c>
      <c r="KM18" s="289">
        <v>11.5717</v>
      </c>
      <c r="KN18" s="289">
        <v>11.240600000000001</v>
      </c>
      <c r="KO18" s="289">
        <v>11.4299</v>
      </c>
      <c r="KP18" s="289">
        <v>11.291</v>
      </c>
      <c r="KQ18" s="185">
        <v>12</v>
      </c>
      <c r="KR18" s="1"/>
      <c r="KS18" s="1"/>
      <c r="KT18" s="185">
        <v>12</v>
      </c>
      <c r="KU18" s="289">
        <v>10.411199999999999</v>
      </c>
      <c r="KV18" s="289">
        <v>10.9948</v>
      </c>
      <c r="KW18" s="289">
        <v>11.0998</v>
      </c>
      <c r="KX18" s="289">
        <v>10.7651</v>
      </c>
      <c r="KY18" s="289">
        <v>10.17</v>
      </c>
      <c r="KZ18" s="289">
        <v>10.714499999999999</v>
      </c>
      <c r="LA18" s="289">
        <v>10.4482</v>
      </c>
      <c r="LB18" s="289">
        <v>10.6623</v>
      </c>
      <c r="LC18" s="289">
        <v>10.950200000000001</v>
      </c>
      <c r="LD18" s="289">
        <v>11.2356</v>
      </c>
      <c r="LE18" s="289">
        <v>11.0097</v>
      </c>
      <c r="LF18" s="289">
        <v>11.214499999999999</v>
      </c>
      <c r="LG18" s="185">
        <v>12</v>
      </c>
      <c r="LH18" s="1"/>
      <c r="LI18" s="1"/>
      <c r="LJ18" s="185">
        <v>12</v>
      </c>
      <c r="LK18" s="289">
        <v>9.2444000000000006</v>
      </c>
      <c r="LL18" s="289">
        <v>9.1464999999999996</v>
      </c>
      <c r="LM18" s="289">
        <v>9.0728000000000009</v>
      </c>
      <c r="LN18" s="289">
        <v>9.0446000000000009</v>
      </c>
      <c r="LO18" s="289">
        <v>9.4463000000000008</v>
      </c>
      <c r="LP18" s="289">
        <v>9.6992999999999991</v>
      </c>
      <c r="LQ18" s="289">
        <v>9.8338000000000001</v>
      </c>
      <c r="LR18" s="289">
        <v>9.7334999999999994</v>
      </c>
      <c r="LS18" s="289">
        <v>9.9511000000000003</v>
      </c>
      <c r="LT18" s="289">
        <v>10.2195</v>
      </c>
      <c r="LU18" s="289">
        <v>10.295299999999999</v>
      </c>
      <c r="LV18" s="289">
        <v>10.1744</v>
      </c>
      <c r="LW18" s="185">
        <v>12</v>
      </c>
      <c r="LX18" s="1"/>
      <c r="LY18" s="1"/>
      <c r="LZ18" s="185">
        <v>12</v>
      </c>
      <c r="MA18" s="289">
        <v>9.8167000000000009</v>
      </c>
      <c r="MB18" s="289">
        <v>9.6463999999999999</v>
      </c>
      <c r="MC18" s="289">
        <v>9.6468000000000007</v>
      </c>
      <c r="MD18" s="289">
        <v>9.3093000000000004</v>
      </c>
      <c r="ME18" s="289">
        <v>9.1966999999999999</v>
      </c>
      <c r="MF18" s="289">
        <v>9.0679999999999996</v>
      </c>
      <c r="MG18" s="289">
        <v>9.1476000000000006</v>
      </c>
      <c r="MH18" s="289">
        <v>9.0897000000000006</v>
      </c>
      <c r="MI18" s="289">
        <v>9.3716000000000008</v>
      </c>
      <c r="MJ18" s="289">
        <v>9.4053000000000004</v>
      </c>
      <c r="MK18" s="289">
        <v>9.2114999999999991</v>
      </c>
      <c r="ML18" s="289">
        <v>9.1865000000000006</v>
      </c>
      <c r="MM18" s="185">
        <v>12</v>
      </c>
      <c r="MN18" s="1"/>
      <c r="MO18" s="1"/>
      <c r="MP18" s="185">
        <v>12</v>
      </c>
      <c r="MQ18" s="289">
        <v>9.4464000000000006</v>
      </c>
      <c r="MR18" s="289">
        <v>9.4347999999999992</v>
      </c>
      <c r="MS18" s="289">
        <v>9.2836999999999996</v>
      </c>
      <c r="MT18" s="289">
        <v>9.2867999999999995</v>
      </c>
      <c r="MU18" s="289">
        <v>9.5701999999999998</v>
      </c>
      <c r="MV18" s="289">
        <v>9.8519000000000005</v>
      </c>
      <c r="MW18" s="289">
        <v>9.5023</v>
      </c>
      <c r="MX18" s="289">
        <v>9.3198000000000008</v>
      </c>
      <c r="MY18" s="289">
        <v>9.3242999999999991</v>
      </c>
      <c r="MZ18" s="289">
        <v>9.4632000000000005</v>
      </c>
      <c r="NA18" s="289">
        <v>9.6532999999999998</v>
      </c>
      <c r="NB18" s="289">
        <v>9.3984000000000005</v>
      </c>
      <c r="NC18" s="185">
        <v>12</v>
      </c>
      <c r="ND18" s="1"/>
      <c r="NE18" s="1"/>
      <c r="NF18" s="185">
        <v>12</v>
      </c>
      <c r="NG18" s="289">
        <v>9.8091000000000008</v>
      </c>
      <c r="NH18" s="289">
        <v>10.060600000000001</v>
      </c>
      <c r="NI18" s="289">
        <v>9.8011999999999997</v>
      </c>
      <c r="NJ18" s="289">
        <v>9.4771000000000001</v>
      </c>
      <c r="NK18" s="289">
        <v>9.2992000000000008</v>
      </c>
      <c r="NL18" s="289">
        <v>9.5984999999999996</v>
      </c>
      <c r="NM18" s="289">
        <v>9.3302999999999994</v>
      </c>
      <c r="NN18" s="289">
        <v>9.5062999999999995</v>
      </c>
      <c r="NO18" s="289">
        <v>9.3470999999999993</v>
      </c>
      <c r="NP18" s="289">
        <v>9.4681999999999995</v>
      </c>
      <c r="NQ18" s="289">
        <v>9.4125999999999994</v>
      </c>
      <c r="NR18" s="289">
        <v>9.4288000000000007</v>
      </c>
      <c r="NS18" s="185">
        <v>12</v>
      </c>
      <c r="NT18" s="1"/>
      <c r="NU18" s="1"/>
      <c r="NV18" s="185">
        <v>12</v>
      </c>
      <c r="NW18" s="289">
        <v>8.0775000000000006</v>
      </c>
      <c r="NX18" s="289">
        <v>8.4849999999999994</v>
      </c>
      <c r="NY18" s="289">
        <v>8.6273</v>
      </c>
      <c r="NZ18" s="289">
        <v>8.5274000000000001</v>
      </c>
      <c r="OA18" s="289">
        <v>8.4833999999999996</v>
      </c>
      <c r="OB18" s="289">
        <v>8.8808000000000007</v>
      </c>
      <c r="OC18" s="289">
        <v>8.9431999999999992</v>
      </c>
      <c r="OD18" s="289">
        <v>9.1252999999999993</v>
      </c>
      <c r="OE18" s="289">
        <v>10.532500000000001</v>
      </c>
      <c r="OF18" s="289">
        <v>10.354900000000001</v>
      </c>
      <c r="OG18" s="289">
        <v>10.025600000000001</v>
      </c>
      <c r="OH18" s="289">
        <v>9.9499999999999993</v>
      </c>
      <c r="OI18" s="185">
        <v>12</v>
      </c>
      <c r="OJ18" s="1"/>
      <c r="OK18" s="1"/>
      <c r="OL18" s="185">
        <v>12</v>
      </c>
      <c r="OM18" s="289">
        <v>7.8208000000000002</v>
      </c>
      <c r="ON18" s="289">
        <v>7.7988</v>
      </c>
      <c r="OO18" s="289">
        <v>7.9589999999999996</v>
      </c>
      <c r="OP18" s="289">
        <v>7.9153000000000002</v>
      </c>
      <c r="OQ18" s="289">
        <v>7.9253</v>
      </c>
      <c r="OR18" s="289">
        <v>7.9688999999999997</v>
      </c>
      <c r="OS18" s="289">
        <v>7.8913000000000002</v>
      </c>
      <c r="OT18" s="289">
        <v>7.8262999999999998</v>
      </c>
      <c r="OU18" s="289">
        <v>7.7769000000000004</v>
      </c>
      <c r="OV18" s="289">
        <v>7.77</v>
      </c>
      <c r="OW18" s="289">
        <v>8.2627000000000006</v>
      </c>
      <c r="OX18" s="289">
        <v>8.1394000000000002</v>
      </c>
      <c r="OY18" s="185">
        <v>12</v>
      </c>
      <c r="OZ18" s="1"/>
      <c r="PA18" s="1"/>
      <c r="PB18" s="185">
        <v>12</v>
      </c>
      <c r="PC18" s="289">
        <v>7.5187999999999997</v>
      </c>
      <c r="PD18" s="289">
        <v>7.4863</v>
      </c>
      <c r="PE18" s="289">
        <v>7.5892999999999997</v>
      </c>
      <c r="PF18" s="289">
        <v>7.4950000000000001</v>
      </c>
      <c r="PG18" s="289">
        <v>7.4762000000000004</v>
      </c>
      <c r="PH18" s="289">
        <v>7.5148999999999999</v>
      </c>
      <c r="PI18" s="289">
        <v>7.6182999999999996</v>
      </c>
      <c r="PJ18" s="289">
        <v>7.5349000000000004</v>
      </c>
      <c r="PK18" s="289">
        <v>7.5385</v>
      </c>
      <c r="PL18" s="289">
        <v>7.6109</v>
      </c>
      <c r="PM18" s="289">
        <v>7.9005000000000001</v>
      </c>
      <c r="PN18" s="289">
        <v>7.8723000000000001</v>
      </c>
      <c r="PO18" s="185">
        <v>12</v>
      </c>
      <c r="PP18" s="1"/>
      <c r="PQ18" s="1"/>
      <c r="PR18" s="185">
        <v>12</v>
      </c>
      <c r="PS18" s="289">
        <v>5.78</v>
      </c>
      <c r="PT18" s="289">
        <v>5.59</v>
      </c>
      <c r="PU18" s="289">
        <v>7.5875000000000004</v>
      </c>
      <c r="PV18" s="289">
        <v>6.2916999999999996</v>
      </c>
      <c r="PW18" s="289">
        <v>5.9574999999999996</v>
      </c>
      <c r="PX18" s="289">
        <v>6.2317</v>
      </c>
      <c r="PY18" s="289">
        <v>6.1074999999999999</v>
      </c>
      <c r="PZ18" s="289">
        <v>6.1452999999999998</v>
      </c>
      <c r="QA18" s="289">
        <v>6.2754000000000003</v>
      </c>
      <c r="QB18" s="289">
        <v>6.8132999999999999</v>
      </c>
      <c r="QC18" s="289">
        <v>8.1382999999999992</v>
      </c>
      <c r="QD18" s="289">
        <v>7.79</v>
      </c>
      <c r="QE18" s="185">
        <v>12</v>
      </c>
      <c r="QF18" s="1"/>
      <c r="QG18" s="1"/>
      <c r="QH18" s="185">
        <v>12</v>
      </c>
      <c r="QI18" s="289">
        <v>3.1150000000000002</v>
      </c>
      <c r="QJ18" s="289">
        <v>3.105</v>
      </c>
      <c r="QK18" s="289">
        <v>3.2888000000000002</v>
      </c>
      <c r="QL18" s="289">
        <v>3.3641999999999999</v>
      </c>
      <c r="QM18" s="289">
        <v>3.3163</v>
      </c>
      <c r="QN18" s="289">
        <v>3.3588</v>
      </c>
      <c r="QO18" s="289">
        <v>3.4005999999999998</v>
      </c>
      <c r="QP18" s="289">
        <v>3.403</v>
      </c>
      <c r="QQ18" s="289">
        <v>3.4014000000000002</v>
      </c>
      <c r="QR18" s="289">
        <v>3.4159999999999999</v>
      </c>
      <c r="QS18" s="289">
        <v>3.4424000000000001</v>
      </c>
      <c r="QT18" s="289">
        <v>3.4510999999999998</v>
      </c>
      <c r="QU18" s="185">
        <v>12</v>
      </c>
      <c r="QV18" s="1"/>
      <c r="QW18" s="1"/>
      <c r="QX18" s="185">
        <v>12</v>
      </c>
      <c r="QY18" s="289">
        <v>3.1107999999999998</v>
      </c>
      <c r="QZ18" s="289">
        <v>3.0975000000000001</v>
      </c>
      <c r="RA18" s="289">
        <v>3.1173999999999999</v>
      </c>
      <c r="RB18" s="289">
        <v>3.0939999999999999</v>
      </c>
      <c r="RC18" s="289">
        <v>3.1309</v>
      </c>
      <c r="RD18" s="289">
        <v>3.1282000000000001</v>
      </c>
      <c r="RE18" s="289">
        <v>3.1261000000000001</v>
      </c>
      <c r="RF18" s="289">
        <v>3.1110000000000002</v>
      </c>
      <c r="RG18" s="289">
        <v>3.1126999999999998</v>
      </c>
      <c r="RH18" s="289">
        <v>3.1158000000000001</v>
      </c>
      <c r="RI18" s="289">
        <v>3.24</v>
      </c>
      <c r="RJ18" s="289">
        <v>3.1074999999999999</v>
      </c>
      <c r="RK18" s="185">
        <v>12</v>
      </c>
      <c r="RL18" s="1"/>
      <c r="RM18" s="1"/>
      <c r="RN18" s="185">
        <v>12</v>
      </c>
      <c r="RO18" s="289">
        <v>3.0661999999999998</v>
      </c>
      <c r="RP18" s="289">
        <v>3.0674000000000001</v>
      </c>
      <c r="RQ18" s="289">
        <v>3.0611999999999999</v>
      </c>
      <c r="RR18" s="289">
        <v>3.0695000000000001</v>
      </c>
      <c r="RS18" s="289">
        <v>3.1107999999999998</v>
      </c>
      <c r="RT18" s="289">
        <v>3.1168999999999998</v>
      </c>
      <c r="RU18" s="289">
        <v>3.1099000000000001</v>
      </c>
      <c r="RV18" s="289">
        <v>3.0983999999999998</v>
      </c>
      <c r="RW18" s="289">
        <v>3.0768</v>
      </c>
      <c r="RX18" s="289">
        <v>3.1151</v>
      </c>
      <c r="RY18" s="289">
        <v>3.1196999999999999</v>
      </c>
      <c r="RZ18" s="289">
        <v>3.1116999999999999</v>
      </c>
      <c r="SA18" s="185">
        <v>12</v>
      </c>
      <c r="SB18" s="1"/>
      <c r="SC18" s="1"/>
      <c r="SD18" s="185">
        <v>12</v>
      </c>
      <c r="SE18" s="289">
        <v>2.9506000000000001</v>
      </c>
      <c r="SF18" s="289">
        <v>2.9622000000000002</v>
      </c>
      <c r="SG18" s="289">
        <v>2.9733999999999998</v>
      </c>
      <c r="SH18" s="289">
        <v>2.9866000000000001</v>
      </c>
      <c r="SI18" s="289">
        <v>2.9982000000000002</v>
      </c>
      <c r="SJ18" s="289">
        <v>3.0110000000000001</v>
      </c>
      <c r="SK18" s="289">
        <v>3.0230000000000001</v>
      </c>
      <c r="SL18" s="289">
        <v>3.0346000000000002</v>
      </c>
      <c r="SM18" s="289">
        <v>3.0478000000000001</v>
      </c>
      <c r="SN18" s="289">
        <v>3.0613999999999999</v>
      </c>
      <c r="SO18" s="289">
        <v>3.073</v>
      </c>
      <c r="SP18" s="289">
        <v>3.0623300000000002</v>
      </c>
      <c r="SQ18" s="185">
        <v>12</v>
      </c>
      <c r="SR18" s="1"/>
      <c r="SS18" s="1"/>
      <c r="ST18" s="185">
        <v>12</v>
      </c>
      <c r="SU18" s="289">
        <v>2.6539999999999999</v>
      </c>
      <c r="SV18" s="289">
        <v>2.6829999999999998</v>
      </c>
      <c r="SW18" s="289">
        <v>2.7109999999999999</v>
      </c>
      <c r="SX18" s="289">
        <v>2.7440000000000002</v>
      </c>
      <c r="SY18" s="289">
        <v>2.774</v>
      </c>
      <c r="SZ18" s="289">
        <v>2.8010000000000002</v>
      </c>
      <c r="TA18" s="289">
        <v>2.8266</v>
      </c>
      <c r="TB18" s="289">
        <v>2.8506</v>
      </c>
      <c r="TC18" s="289">
        <v>2.8761999999999999</v>
      </c>
      <c r="TD18" s="289">
        <v>2.9001999999999999</v>
      </c>
      <c r="TE18" s="289">
        <v>2.9234</v>
      </c>
      <c r="TF18" s="289">
        <v>2.9382000000000001</v>
      </c>
      <c r="TG18" s="185">
        <v>12</v>
      </c>
      <c r="TH18" s="1"/>
      <c r="TI18" s="1"/>
      <c r="TJ18" s="185">
        <v>12</v>
      </c>
      <c r="TK18" s="289">
        <v>2.2890000000000001</v>
      </c>
      <c r="TL18" s="289">
        <v>2.319</v>
      </c>
      <c r="TM18" s="289">
        <v>2.347</v>
      </c>
      <c r="TN18" s="289">
        <v>2.379</v>
      </c>
      <c r="TO18" s="289">
        <v>2.4089999999999998</v>
      </c>
      <c r="TP18" s="289">
        <v>2.4380000000000002</v>
      </c>
      <c r="TQ18" s="289">
        <v>2.4700000000000002</v>
      </c>
      <c r="TR18" s="289">
        <v>2.5009999999999999</v>
      </c>
      <c r="TS18" s="289">
        <v>2.5299999999999998</v>
      </c>
      <c r="TT18" s="289">
        <v>2.5619999999999998</v>
      </c>
      <c r="TU18" s="289">
        <v>2.5920000000000001</v>
      </c>
      <c r="TV18" s="289">
        <v>2.621</v>
      </c>
      <c r="TW18" s="185">
        <v>12</v>
      </c>
    </row>
    <row r="19" spans="2:543" ht="20.100000000000001" customHeight="1">
      <c r="B19" s="64">
        <v>13</v>
      </c>
      <c r="C19" s="289">
        <v>20.378499999999999</v>
      </c>
      <c r="D19" s="289">
        <v>20.4148</v>
      </c>
      <c r="E19" s="289">
        <v>20.974299999999999</v>
      </c>
      <c r="F19" s="289">
        <v>20.0093</v>
      </c>
      <c r="G19" s="289">
        <v>20.2592</v>
      </c>
      <c r="H19" s="289">
        <v>19.6128</v>
      </c>
      <c r="I19" s="289">
        <v>20.747299999999999</v>
      </c>
      <c r="J19" s="289">
        <v>19.959499999999998</v>
      </c>
      <c r="K19" s="289">
        <v>19.902699999999999</v>
      </c>
      <c r="L19" s="289">
        <v>19.965199999999999</v>
      </c>
      <c r="M19" s="289">
        <v>19.393999999999998</v>
      </c>
      <c r="N19" s="289">
        <v>19.673200000000001</v>
      </c>
      <c r="O19" s="64">
        <v>13</v>
      </c>
      <c r="R19" s="64">
        <v>13</v>
      </c>
      <c r="S19" s="289">
        <v>20.113</v>
      </c>
      <c r="T19" s="289">
        <v>19.953499999999998</v>
      </c>
      <c r="U19" s="289">
        <v>20.7133</v>
      </c>
      <c r="V19" s="289">
        <v>20.163</v>
      </c>
      <c r="W19" s="289">
        <v>19.884799999999998</v>
      </c>
      <c r="X19" s="289">
        <v>19.700199999999999</v>
      </c>
      <c r="Y19" s="289">
        <v>19.88</v>
      </c>
      <c r="Z19" s="289">
        <v>19.952999999999999</v>
      </c>
      <c r="AA19" s="289">
        <v>19.931799999999999</v>
      </c>
      <c r="AB19" s="289">
        <v>20.8017</v>
      </c>
      <c r="AC19" s="289">
        <v>20.465199999999999</v>
      </c>
      <c r="AD19" s="289">
        <v>21.032800000000002</v>
      </c>
      <c r="AE19" s="64">
        <v>13</v>
      </c>
      <c r="AH19" s="185">
        <v>13</v>
      </c>
      <c r="AI19" s="289">
        <v>18.845300000000002</v>
      </c>
      <c r="AJ19" s="289">
        <v>18.673999999999999</v>
      </c>
      <c r="AK19" s="289">
        <v>21.213000000000001</v>
      </c>
      <c r="AL19" s="289">
        <v>24.038799999999998</v>
      </c>
      <c r="AM19" s="289">
        <v>23.869299999999999</v>
      </c>
      <c r="AN19" s="289">
        <v>22.4252</v>
      </c>
      <c r="AO19" s="289">
        <v>22.694500000000001</v>
      </c>
      <c r="AP19" s="289">
        <v>22.349</v>
      </c>
      <c r="AQ19" s="289">
        <v>21.2773</v>
      </c>
      <c r="AR19" s="289">
        <v>21.182200000000002</v>
      </c>
      <c r="AS19" s="289">
        <v>20.577200000000001</v>
      </c>
      <c r="AT19" s="289">
        <v>19.9572</v>
      </c>
      <c r="AU19" s="185">
        <v>13</v>
      </c>
      <c r="AX19" s="185">
        <v>13</v>
      </c>
      <c r="AY19" s="289">
        <v>19.171399999999998</v>
      </c>
      <c r="AZ19" s="289">
        <v>19.252400000000002</v>
      </c>
      <c r="BA19" s="289">
        <v>19.424299999999999</v>
      </c>
      <c r="BB19" s="289">
        <v>18.8432</v>
      </c>
      <c r="BC19" s="289">
        <v>19.2623</v>
      </c>
      <c r="BD19" s="289">
        <v>19.122199999999999</v>
      </c>
      <c r="BE19" s="289">
        <v>19.122699999999998</v>
      </c>
      <c r="BF19" s="289">
        <v>19.4283</v>
      </c>
      <c r="BG19" s="289">
        <v>19.547799999999999</v>
      </c>
      <c r="BH19" s="289">
        <v>19.476400000000002</v>
      </c>
      <c r="BI19" s="289">
        <v>19.109000000000002</v>
      </c>
      <c r="BJ19" s="289">
        <v>19.2362</v>
      </c>
      <c r="BK19" s="185">
        <v>13</v>
      </c>
      <c r="BN19" s="185">
        <v>13</v>
      </c>
      <c r="BO19" s="289">
        <v>19.343299999999999</v>
      </c>
      <c r="BP19" s="289">
        <v>18.862300000000001</v>
      </c>
      <c r="BQ19" s="290">
        <v>18.581199999999999</v>
      </c>
      <c r="BR19" s="289">
        <v>18.201799999999999</v>
      </c>
      <c r="BS19" s="289">
        <v>19.2989</v>
      </c>
      <c r="BT19" s="289">
        <v>20.472200000000001</v>
      </c>
      <c r="BU19" s="289">
        <v>18.963200000000001</v>
      </c>
      <c r="BV19" s="289">
        <v>18.6511</v>
      </c>
      <c r="BW19" s="289">
        <v>19.268000000000001</v>
      </c>
      <c r="BX19" s="289">
        <v>19.021699999999999</v>
      </c>
      <c r="BY19" s="289">
        <v>20.3614</v>
      </c>
      <c r="BZ19" s="289">
        <v>20.362100000000002</v>
      </c>
      <c r="CA19" s="185">
        <v>13</v>
      </c>
      <c r="CD19" s="185">
        <v>13</v>
      </c>
      <c r="CE19" s="289">
        <v>21.907599999999999</v>
      </c>
      <c r="CF19" s="289">
        <v>20.4163</v>
      </c>
      <c r="CG19" s="289">
        <v>19.7974</v>
      </c>
      <c r="CH19" s="289">
        <v>18.764600000000002</v>
      </c>
      <c r="CI19" s="289">
        <v>18.9039</v>
      </c>
      <c r="CJ19" s="289">
        <v>18.193899999999999</v>
      </c>
      <c r="CK19" s="289">
        <v>17.9482</v>
      </c>
      <c r="CL19" s="289">
        <v>17.907299999999999</v>
      </c>
      <c r="CM19" s="289">
        <v>17.644300000000001</v>
      </c>
      <c r="CN19" s="289">
        <v>18.718</v>
      </c>
      <c r="CO19" s="289">
        <v>19.09</v>
      </c>
      <c r="CP19" s="289">
        <v>18.944500000000001</v>
      </c>
      <c r="CQ19" s="185">
        <v>13</v>
      </c>
      <c r="CT19" s="185">
        <v>13</v>
      </c>
      <c r="CU19" s="289">
        <v>17.930399999999999</v>
      </c>
      <c r="CV19" s="289">
        <v>19.1754</v>
      </c>
      <c r="CW19" s="289">
        <v>17.860099999999999</v>
      </c>
      <c r="CX19" s="289">
        <v>17.645199999999999</v>
      </c>
      <c r="CY19" s="289">
        <v>17.954899999999999</v>
      </c>
      <c r="CZ19" s="289">
        <v>18.2742</v>
      </c>
      <c r="DA19" s="289">
        <v>18.459700000000002</v>
      </c>
      <c r="DB19" s="289">
        <v>18.267800000000001</v>
      </c>
      <c r="DC19" s="289">
        <v>18.845099999999999</v>
      </c>
      <c r="DD19" s="289">
        <v>18.953099999999999</v>
      </c>
      <c r="DE19" s="289">
        <v>20.481200000000001</v>
      </c>
      <c r="DF19" s="289">
        <v>20.4162</v>
      </c>
      <c r="DG19" s="185">
        <v>13</v>
      </c>
      <c r="DJ19" s="185">
        <v>13</v>
      </c>
      <c r="DK19" s="289">
        <v>14.580399999999999</v>
      </c>
      <c r="DL19" s="289">
        <v>15.1099</v>
      </c>
      <c r="DM19" s="289">
        <v>15.445499999999999</v>
      </c>
      <c r="DN19" s="289">
        <v>15.055400000000001</v>
      </c>
      <c r="DO19" s="289">
        <v>15.2624</v>
      </c>
      <c r="DP19" s="289">
        <v>15.4779</v>
      </c>
      <c r="DQ19" s="289">
        <v>15.785600000000001</v>
      </c>
      <c r="DR19" s="289">
        <v>16.324100000000001</v>
      </c>
      <c r="DS19" s="289">
        <v>16.7773</v>
      </c>
      <c r="DT19" s="289">
        <v>16.417999999999999</v>
      </c>
      <c r="DU19" s="289">
        <v>16.717300000000002</v>
      </c>
      <c r="DV19" s="289">
        <v>17.074999999999999</v>
      </c>
      <c r="DW19" s="185">
        <v>13</v>
      </c>
      <c r="DZ19" s="185">
        <v>13</v>
      </c>
      <c r="EA19" s="289">
        <v>13.1403</v>
      </c>
      <c r="EB19" s="289">
        <v>13.291600000000001</v>
      </c>
      <c r="EC19" s="289">
        <v>13.243</v>
      </c>
      <c r="ED19" s="289">
        <v>13.045299999999999</v>
      </c>
      <c r="EE19" s="289">
        <v>12.984299999999999</v>
      </c>
      <c r="EF19" s="289">
        <v>13.0306</v>
      </c>
      <c r="EG19" s="289">
        <v>13.0015</v>
      </c>
      <c r="EH19" s="289">
        <v>13.1998</v>
      </c>
      <c r="EI19" s="289">
        <v>13.214399999999999</v>
      </c>
      <c r="EJ19" s="289">
        <v>13.3789</v>
      </c>
      <c r="EK19" s="289">
        <v>13.587400000000001</v>
      </c>
      <c r="EL19" s="289">
        <v>14.5181</v>
      </c>
      <c r="EM19" s="185">
        <v>13</v>
      </c>
      <c r="EP19" s="185">
        <v>13</v>
      </c>
      <c r="EQ19" s="289">
        <v>12.6555</v>
      </c>
      <c r="ER19" s="289">
        <v>12.7706</v>
      </c>
      <c r="ES19" s="289">
        <v>12.530799999999999</v>
      </c>
      <c r="ET19" s="289">
        <v>12.069100000000001</v>
      </c>
      <c r="EU19" s="289">
        <v>11.980700000000001</v>
      </c>
      <c r="EV19" s="289">
        <v>12.884600000000001</v>
      </c>
      <c r="EW19" s="289">
        <v>12.8599</v>
      </c>
      <c r="EX19" s="289">
        <v>12.588900000000001</v>
      </c>
      <c r="EY19" s="289">
        <v>13.0938</v>
      </c>
      <c r="EZ19" s="289">
        <v>13.0913</v>
      </c>
      <c r="FA19" s="289">
        <v>13.231400000000001</v>
      </c>
      <c r="FB19" s="289">
        <v>12.8574</v>
      </c>
      <c r="FC19" s="185">
        <v>13</v>
      </c>
      <c r="FF19" s="185">
        <v>13</v>
      </c>
      <c r="FG19" s="289">
        <v>13.6592</v>
      </c>
      <c r="FH19" s="289">
        <v>12.72</v>
      </c>
      <c r="FI19" s="289">
        <v>12.629899999999999</v>
      </c>
      <c r="FJ19" s="289">
        <v>13.132400000000001</v>
      </c>
      <c r="FK19" s="289">
        <v>13.446999999999999</v>
      </c>
      <c r="FL19" s="289">
        <v>13.9625</v>
      </c>
      <c r="FM19" s="289">
        <v>13.3241</v>
      </c>
      <c r="FN19" s="289">
        <v>13.1188</v>
      </c>
      <c r="FO19" s="289">
        <v>12.9992</v>
      </c>
      <c r="FP19" s="289">
        <v>12.879200000000001</v>
      </c>
      <c r="FQ19" s="289">
        <v>13.178900000000001</v>
      </c>
      <c r="FR19" s="289">
        <v>12.7964</v>
      </c>
      <c r="FS19" s="185">
        <v>13</v>
      </c>
      <c r="FV19" s="185">
        <v>13</v>
      </c>
      <c r="FW19" s="289">
        <v>12.1907</v>
      </c>
      <c r="FX19" s="289">
        <v>12.0937</v>
      </c>
      <c r="FY19" s="289">
        <v>11.9755</v>
      </c>
      <c r="FZ19" s="289">
        <v>11.7447</v>
      </c>
      <c r="GA19" s="289">
        <v>11.6075</v>
      </c>
      <c r="GB19" s="289">
        <v>11.7965</v>
      </c>
      <c r="GC19" s="289">
        <v>11.727399999999999</v>
      </c>
      <c r="GD19" s="289">
        <v>12.389900000000001</v>
      </c>
      <c r="GE19" s="289">
        <v>12.632400000000001</v>
      </c>
      <c r="GF19" s="289">
        <v>13.326599999999999</v>
      </c>
      <c r="GG19" s="289">
        <v>13.562200000000001</v>
      </c>
      <c r="GH19" s="289">
        <v>13.6569</v>
      </c>
      <c r="GI19" s="185">
        <v>13</v>
      </c>
      <c r="GL19" s="185">
        <v>13</v>
      </c>
      <c r="GM19" s="289">
        <v>12.6692</v>
      </c>
      <c r="GN19" s="289">
        <v>13.0609</v>
      </c>
      <c r="GO19" s="289">
        <v>12.619199999999999</v>
      </c>
      <c r="GP19" s="289">
        <v>12.1997</v>
      </c>
      <c r="GQ19" s="289">
        <v>12.5025</v>
      </c>
      <c r="GR19" s="289">
        <v>12.7441</v>
      </c>
      <c r="GS19" s="289">
        <v>12.7859</v>
      </c>
      <c r="GT19" s="289">
        <v>12.7432</v>
      </c>
      <c r="GU19" s="289">
        <v>12.985300000000001</v>
      </c>
      <c r="GV19" s="289">
        <v>12.4224</v>
      </c>
      <c r="GW19" s="289">
        <v>12.259600000000001</v>
      </c>
      <c r="GX19" s="289">
        <v>12.458600000000001</v>
      </c>
      <c r="GY19" s="185">
        <v>13</v>
      </c>
      <c r="HB19" s="185">
        <v>13</v>
      </c>
      <c r="HC19" s="289">
        <v>13.700799999999999</v>
      </c>
      <c r="HD19" s="289">
        <v>14.5313</v>
      </c>
      <c r="HE19" s="289">
        <v>15.1145</v>
      </c>
      <c r="HF19" s="289">
        <v>13.571199999999999</v>
      </c>
      <c r="HG19" s="289">
        <v>13.1008</v>
      </c>
      <c r="HH19" s="289">
        <v>13.4581</v>
      </c>
      <c r="HI19" s="289">
        <v>13.575799999999999</v>
      </c>
      <c r="HJ19" s="289">
        <v>12.9937</v>
      </c>
      <c r="HK19" s="289">
        <v>13.4582</v>
      </c>
      <c r="HL19" s="289">
        <v>13.255000000000001</v>
      </c>
      <c r="HM19" s="289">
        <v>13.1622</v>
      </c>
      <c r="HN19" s="289">
        <v>12.9739</v>
      </c>
      <c r="HO19" s="185">
        <v>13</v>
      </c>
      <c r="HP19" s="1"/>
      <c r="HQ19" s="1"/>
      <c r="HR19" s="185">
        <v>13</v>
      </c>
      <c r="HS19" s="289">
        <v>10.9572</v>
      </c>
      <c r="HT19" s="289">
        <v>10.7736</v>
      </c>
      <c r="HU19" s="289">
        <v>10.7965</v>
      </c>
      <c r="HV19" s="289">
        <v>10.5503</v>
      </c>
      <c r="HW19" s="289">
        <v>10.566599999999999</v>
      </c>
      <c r="HX19" s="289">
        <v>10.4268</v>
      </c>
      <c r="HY19" s="289">
        <v>10.307600000000001</v>
      </c>
      <c r="HZ19" s="289">
        <v>10.1295</v>
      </c>
      <c r="IA19" s="289">
        <v>10.6745</v>
      </c>
      <c r="IB19" s="289">
        <v>12.443300000000001</v>
      </c>
      <c r="IC19" s="289">
        <v>12.9892</v>
      </c>
      <c r="ID19" s="289">
        <v>13.472200000000001</v>
      </c>
      <c r="IE19" s="185">
        <v>13</v>
      </c>
      <c r="IF19" s="1"/>
      <c r="IG19" s="1"/>
      <c r="IH19" s="185">
        <v>13</v>
      </c>
      <c r="II19" s="289">
        <v>10.965</v>
      </c>
      <c r="IJ19" s="289">
        <v>10.960100000000001</v>
      </c>
      <c r="IK19" s="289">
        <v>11.1205</v>
      </c>
      <c r="IL19" s="289">
        <v>10.984</v>
      </c>
      <c r="IM19" s="289">
        <v>10.8178</v>
      </c>
      <c r="IN19" s="289">
        <v>10.9307</v>
      </c>
      <c r="IO19" s="289">
        <v>10.8248</v>
      </c>
      <c r="IP19" s="289">
        <v>10.9832</v>
      </c>
      <c r="IQ19" s="289">
        <v>11.105700000000001</v>
      </c>
      <c r="IR19" s="289">
        <v>10.8101</v>
      </c>
      <c r="IS19" s="289">
        <v>10.880800000000001</v>
      </c>
      <c r="IT19" s="289">
        <v>10.8185</v>
      </c>
      <c r="IU19" s="185">
        <v>13</v>
      </c>
      <c r="IV19" s="1"/>
      <c r="IW19" s="1"/>
      <c r="IX19" s="185">
        <v>13</v>
      </c>
      <c r="IY19" s="289">
        <v>10.6097</v>
      </c>
      <c r="IZ19" s="289">
        <v>10.4803</v>
      </c>
      <c r="JA19" s="289">
        <v>10.7094</v>
      </c>
      <c r="JB19" s="289">
        <v>11.0708</v>
      </c>
      <c r="JC19" s="289">
        <v>10.838100000000001</v>
      </c>
      <c r="JD19" s="289">
        <v>11.377700000000001</v>
      </c>
      <c r="JE19" s="289">
        <v>11.009499999999999</v>
      </c>
      <c r="JF19" s="289">
        <v>10.880800000000001</v>
      </c>
      <c r="JG19" s="289">
        <v>11.070499999999999</v>
      </c>
      <c r="JH19" s="289">
        <v>11.024800000000001</v>
      </c>
      <c r="JI19" s="289">
        <v>10.863200000000001</v>
      </c>
      <c r="JJ19" s="289">
        <v>10.8606</v>
      </c>
      <c r="JK19" s="185">
        <v>13</v>
      </c>
      <c r="JL19" s="1"/>
      <c r="JM19" s="1"/>
      <c r="JN19" s="185">
        <v>13</v>
      </c>
      <c r="JO19" s="289">
        <v>11.2209</v>
      </c>
      <c r="JP19" s="289">
        <v>11.1533</v>
      </c>
      <c r="JQ19" s="289">
        <v>11.032400000000001</v>
      </c>
      <c r="JR19" s="289">
        <v>11.087899999999999</v>
      </c>
      <c r="JS19" s="289">
        <v>11.032299999999999</v>
      </c>
      <c r="JT19" s="289">
        <v>10.886799999999999</v>
      </c>
      <c r="JU19" s="289">
        <v>10.704499999999999</v>
      </c>
      <c r="JV19" s="289">
        <v>10.5815</v>
      </c>
      <c r="JW19" s="289">
        <v>10.708</v>
      </c>
      <c r="JX19" s="289">
        <v>10.800700000000001</v>
      </c>
      <c r="JY19" s="289">
        <v>10.714</v>
      </c>
      <c r="JZ19" s="289">
        <v>10.502000000000001</v>
      </c>
      <c r="KA19" s="185">
        <v>13</v>
      </c>
      <c r="KB19" s="1"/>
      <c r="KC19" s="1"/>
      <c r="KD19" s="185">
        <v>13</v>
      </c>
      <c r="KE19" s="289">
        <v>10.8376</v>
      </c>
      <c r="KF19" s="289">
        <v>10.986599999999999</v>
      </c>
      <c r="KG19" s="289">
        <v>10.9633</v>
      </c>
      <c r="KH19" s="289">
        <v>11.2233</v>
      </c>
      <c r="KI19" s="289">
        <v>11.6325</v>
      </c>
      <c r="KJ19" s="289">
        <v>11.366</v>
      </c>
      <c r="KK19" s="289">
        <v>11.5152</v>
      </c>
      <c r="KL19" s="289">
        <v>11.4436</v>
      </c>
      <c r="KM19" s="289">
        <v>11.5717</v>
      </c>
      <c r="KN19" s="289">
        <v>11.244899999999999</v>
      </c>
      <c r="KO19" s="289">
        <v>11.399699999999999</v>
      </c>
      <c r="KP19" s="289">
        <v>11.291</v>
      </c>
      <c r="KQ19" s="185">
        <v>13</v>
      </c>
      <c r="KR19" s="1"/>
      <c r="KS19" s="1"/>
      <c r="KT19" s="185">
        <v>13</v>
      </c>
      <c r="KU19" s="289">
        <v>10.411199999999999</v>
      </c>
      <c r="KV19" s="289">
        <v>10.94</v>
      </c>
      <c r="KW19" s="289">
        <v>11.0052</v>
      </c>
      <c r="KX19" s="289">
        <v>10.7651</v>
      </c>
      <c r="KY19" s="289">
        <v>10.1068</v>
      </c>
      <c r="KZ19" s="289">
        <v>10.6119</v>
      </c>
      <c r="LA19" s="289">
        <v>10.4482</v>
      </c>
      <c r="LB19" s="289">
        <v>10.690899999999999</v>
      </c>
      <c r="LC19" s="289">
        <v>10.973699999999999</v>
      </c>
      <c r="LD19" s="289">
        <v>11.2356</v>
      </c>
      <c r="LE19" s="289">
        <v>10.9582</v>
      </c>
      <c r="LF19" s="289">
        <v>11.214499999999999</v>
      </c>
      <c r="LG19" s="185">
        <v>13</v>
      </c>
      <c r="LH19" s="1"/>
      <c r="LI19" s="1"/>
      <c r="LJ19" s="185">
        <v>13</v>
      </c>
      <c r="LK19" s="289">
        <v>9.2444000000000006</v>
      </c>
      <c r="LL19" s="289">
        <v>9.0786999999999995</v>
      </c>
      <c r="LM19" s="289">
        <v>9.0702999999999996</v>
      </c>
      <c r="LN19" s="289">
        <v>9.0770999999999997</v>
      </c>
      <c r="LO19" s="289">
        <v>9.4463000000000008</v>
      </c>
      <c r="LP19" s="289">
        <v>9.6607000000000003</v>
      </c>
      <c r="LQ19" s="289">
        <v>9.7979000000000003</v>
      </c>
      <c r="LR19" s="289">
        <v>9.7639999999999993</v>
      </c>
      <c r="LS19" s="289">
        <v>9.9654000000000007</v>
      </c>
      <c r="LT19" s="289">
        <v>10.2195</v>
      </c>
      <c r="LU19" s="289">
        <v>10.333399999999999</v>
      </c>
      <c r="LV19" s="289">
        <v>10.1744</v>
      </c>
      <c r="LW19" s="185">
        <v>13</v>
      </c>
      <c r="LX19" s="1"/>
      <c r="LY19" s="1"/>
      <c r="LZ19" s="185">
        <v>13</v>
      </c>
      <c r="MA19" s="289">
        <v>9.8547999999999991</v>
      </c>
      <c r="MB19" s="289">
        <v>9.7238000000000007</v>
      </c>
      <c r="MC19" s="289">
        <v>9.6702999999999992</v>
      </c>
      <c r="MD19" s="289">
        <v>9.3093000000000004</v>
      </c>
      <c r="ME19" s="289">
        <v>9.1966999999999999</v>
      </c>
      <c r="MF19" s="289">
        <v>9.0289999999999999</v>
      </c>
      <c r="MG19" s="289">
        <v>9.2952999999999992</v>
      </c>
      <c r="MH19" s="289">
        <v>9.0897000000000006</v>
      </c>
      <c r="MI19" s="289">
        <v>9.5474999999999994</v>
      </c>
      <c r="MJ19" s="289">
        <v>9.3397000000000006</v>
      </c>
      <c r="MK19" s="289">
        <v>9.2317999999999998</v>
      </c>
      <c r="ML19" s="289">
        <v>9.1865000000000006</v>
      </c>
      <c r="MM19" s="185">
        <v>13</v>
      </c>
      <c r="MN19" s="1"/>
      <c r="MO19" s="1"/>
      <c r="MP19" s="185">
        <v>13</v>
      </c>
      <c r="MQ19" s="289">
        <v>9.4779999999999998</v>
      </c>
      <c r="MR19" s="289">
        <v>9.4347999999999992</v>
      </c>
      <c r="MS19" s="289">
        <v>9.2836999999999996</v>
      </c>
      <c r="MT19" s="289">
        <v>9.3917999999999999</v>
      </c>
      <c r="MU19" s="289">
        <v>9.5768000000000004</v>
      </c>
      <c r="MV19" s="289">
        <v>9.9262999999999995</v>
      </c>
      <c r="MW19" s="289">
        <v>9.4280000000000008</v>
      </c>
      <c r="MX19" s="289">
        <v>9.3198000000000008</v>
      </c>
      <c r="MY19" s="289">
        <v>9.2813999999999997</v>
      </c>
      <c r="MZ19" s="289">
        <v>9.4789999999999992</v>
      </c>
      <c r="NA19" s="289">
        <v>9.6532999999999998</v>
      </c>
      <c r="NB19" s="289">
        <v>9.3984000000000005</v>
      </c>
      <c r="NC19" s="185">
        <v>13</v>
      </c>
      <c r="ND19" s="1"/>
      <c r="NE19" s="1"/>
      <c r="NF19" s="185">
        <v>13</v>
      </c>
      <c r="NG19" s="289">
        <v>9.9393999999999991</v>
      </c>
      <c r="NH19" s="289">
        <v>9.9793000000000003</v>
      </c>
      <c r="NI19" s="289">
        <v>9.7479999999999993</v>
      </c>
      <c r="NJ19" s="289">
        <v>9.5728000000000009</v>
      </c>
      <c r="NK19" s="289">
        <v>9.2532999999999994</v>
      </c>
      <c r="NL19" s="289">
        <v>9.5984999999999996</v>
      </c>
      <c r="NM19" s="289">
        <v>9.3522999999999996</v>
      </c>
      <c r="NN19" s="289">
        <v>9.4149999999999991</v>
      </c>
      <c r="NO19" s="289">
        <v>9.3470999999999993</v>
      </c>
      <c r="NP19" s="289">
        <v>9.4506999999999994</v>
      </c>
      <c r="NQ19" s="289">
        <v>9.3856999999999999</v>
      </c>
      <c r="NR19" s="289">
        <v>9.4288000000000007</v>
      </c>
      <c r="NS19" s="185">
        <v>13</v>
      </c>
      <c r="NT19" s="1"/>
      <c r="NU19" s="1"/>
      <c r="NV19" s="185">
        <v>13</v>
      </c>
      <c r="NW19" s="289">
        <v>8.0856999999999992</v>
      </c>
      <c r="NX19" s="289">
        <v>8.4521999999999995</v>
      </c>
      <c r="NY19" s="289">
        <v>8.6690000000000005</v>
      </c>
      <c r="NZ19" s="289">
        <v>8.5274000000000001</v>
      </c>
      <c r="OA19" s="289">
        <v>8.4672999999999998</v>
      </c>
      <c r="OB19" s="289">
        <v>8.9609000000000005</v>
      </c>
      <c r="OC19" s="289">
        <v>8.9431999999999992</v>
      </c>
      <c r="OD19" s="289">
        <v>9.2015999999999991</v>
      </c>
      <c r="OE19" s="289">
        <v>10.532500000000001</v>
      </c>
      <c r="OF19" s="289">
        <v>10.2157</v>
      </c>
      <c r="OG19" s="289">
        <v>10.006</v>
      </c>
      <c r="OH19" s="289">
        <v>9.9499999999999993</v>
      </c>
      <c r="OI19" s="185">
        <v>13</v>
      </c>
      <c r="OJ19" s="1"/>
      <c r="OK19" s="1"/>
      <c r="OL19" s="185">
        <v>13</v>
      </c>
      <c r="OM19" s="289">
        <v>7.8208000000000002</v>
      </c>
      <c r="ON19" s="289">
        <v>7.7927</v>
      </c>
      <c r="OO19" s="289">
        <v>7.9779999999999998</v>
      </c>
      <c r="OP19" s="289">
        <v>7.9153000000000002</v>
      </c>
      <c r="OQ19" s="289">
        <v>7.9028</v>
      </c>
      <c r="OR19" s="289">
        <v>7.9752999999999998</v>
      </c>
      <c r="OS19" s="289">
        <v>7.8913000000000002</v>
      </c>
      <c r="OT19" s="289">
        <v>7.8059000000000003</v>
      </c>
      <c r="OU19" s="289">
        <v>7.7847</v>
      </c>
      <c r="OV19" s="289">
        <v>7.77</v>
      </c>
      <c r="OW19" s="289">
        <v>8.31</v>
      </c>
      <c r="OX19" s="289">
        <v>8.1394000000000002</v>
      </c>
      <c r="OY19" s="185">
        <v>13</v>
      </c>
      <c r="OZ19" s="1"/>
      <c r="PA19" s="1"/>
      <c r="PB19" s="185">
        <v>13</v>
      </c>
      <c r="PC19" s="289">
        <v>7.5213000000000001</v>
      </c>
      <c r="PD19" s="289">
        <v>7.4928999999999997</v>
      </c>
      <c r="PE19" s="289">
        <v>7.6237000000000004</v>
      </c>
      <c r="PF19" s="289">
        <v>7.4989999999999997</v>
      </c>
      <c r="PG19" s="289">
        <v>7.4762000000000004</v>
      </c>
      <c r="PH19" s="289">
        <v>7.6307999999999998</v>
      </c>
      <c r="PI19" s="289">
        <v>7.6429</v>
      </c>
      <c r="PJ19" s="289">
        <v>7.5171999999999999</v>
      </c>
      <c r="PK19" s="289">
        <v>7.5561999999999996</v>
      </c>
      <c r="PL19" s="289">
        <v>7.6109</v>
      </c>
      <c r="PM19" s="289">
        <v>7.9016999999999999</v>
      </c>
      <c r="PN19" s="289">
        <v>7.8723000000000001</v>
      </c>
      <c r="PO19" s="185">
        <v>13</v>
      </c>
      <c r="PP19" s="1"/>
      <c r="PQ19" s="1"/>
      <c r="PR19" s="185">
        <v>13</v>
      </c>
      <c r="PS19" s="289">
        <v>5.7575000000000003</v>
      </c>
      <c r="PT19" s="289">
        <v>5.59</v>
      </c>
      <c r="PU19" s="289">
        <v>7.5875000000000004</v>
      </c>
      <c r="PV19" s="289">
        <v>6.3033000000000001</v>
      </c>
      <c r="PW19" s="289">
        <v>5.9082999999999997</v>
      </c>
      <c r="PX19" s="289">
        <v>6.2824999999999998</v>
      </c>
      <c r="PY19" s="289">
        <v>6.1208999999999998</v>
      </c>
      <c r="PZ19" s="289">
        <v>6.1452999999999998</v>
      </c>
      <c r="QA19" s="289">
        <v>6.2885999999999997</v>
      </c>
      <c r="QB19" s="289">
        <v>6.7466999999999997</v>
      </c>
      <c r="QC19" s="289">
        <v>8.1382999999999992</v>
      </c>
      <c r="QD19" s="289">
        <v>7.79</v>
      </c>
      <c r="QE19" s="185">
        <v>13</v>
      </c>
      <c r="QF19" s="1"/>
      <c r="QG19" s="1"/>
      <c r="QH19" s="185">
        <v>13</v>
      </c>
      <c r="QI19" s="289">
        <v>3.1097999999999999</v>
      </c>
      <c r="QJ19" s="289">
        <v>3.105</v>
      </c>
      <c r="QK19" s="289">
        <v>3.2888000000000002</v>
      </c>
      <c r="QL19" s="289">
        <v>3.3654000000000002</v>
      </c>
      <c r="QM19" s="289">
        <v>3.3172999999999999</v>
      </c>
      <c r="QN19" s="289">
        <v>3.3588</v>
      </c>
      <c r="QO19" s="289">
        <v>3.4018000000000002</v>
      </c>
      <c r="QP19" s="289">
        <v>3.3980000000000001</v>
      </c>
      <c r="QQ19" s="289">
        <v>3.4123000000000001</v>
      </c>
      <c r="QR19" s="289">
        <v>3.4199000000000002</v>
      </c>
      <c r="QS19" s="289">
        <v>3.4424000000000001</v>
      </c>
      <c r="QT19" s="289">
        <v>3.4510999999999998</v>
      </c>
      <c r="QU19" s="185">
        <v>13</v>
      </c>
      <c r="QV19" s="1"/>
      <c r="QW19" s="1"/>
      <c r="QX19" s="185">
        <v>13</v>
      </c>
      <c r="QY19" s="289">
        <v>3.1168999999999998</v>
      </c>
      <c r="QZ19" s="289">
        <v>3.1009000000000002</v>
      </c>
      <c r="RA19" s="289">
        <v>3.1196999999999999</v>
      </c>
      <c r="RB19" s="289">
        <v>3.0985</v>
      </c>
      <c r="RC19" s="289">
        <v>3.1355</v>
      </c>
      <c r="RD19" s="289">
        <v>3.1282000000000001</v>
      </c>
      <c r="RE19" s="289">
        <v>3.1246</v>
      </c>
      <c r="RF19" s="289">
        <v>3.11</v>
      </c>
      <c r="RG19" s="289">
        <v>3.1126999999999998</v>
      </c>
      <c r="RH19" s="289">
        <v>3.1158000000000001</v>
      </c>
      <c r="RI19" s="289">
        <v>3.2162999999999999</v>
      </c>
      <c r="RJ19" s="289">
        <v>3.1074999999999999</v>
      </c>
      <c r="RK19" s="185">
        <v>13</v>
      </c>
      <c r="RL19" s="1"/>
      <c r="RM19" s="1"/>
      <c r="RN19" s="185">
        <v>13</v>
      </c>
      <c r="RO19" s="289">
        <v>3.0661999999999998</v>
      </c>
      <c r="RP19" s="289">
        <v>3.0644</v>
      </c>
      <c r="RQ19" s="289">
        <v>3.0608</v>
      </c>
      <c r="RR19" s="289">
        <v>3.0695000000000001</v>
      </c>
      <c r="RS19" s="289">
        <v>3.0968</v>
      </c>
      <c r="RT19" s="289">
        <v>3.1191</v>
      </c>
      <c r="RU19" s="289">
        <v>3.1099000000000001</v>
      </c>
      <c r="RV19" s="289">
        <v>3.0880999999999998</v>
      </c>
      <c r="RW19" s="289">
        <v>3.0768</v>
      </c>
      <c r="RX19" s="289">
        <v>3.1151</v>
      </c>
      <c r="RY19" s="289">
        <v>3.1147999999999998</v>
      </c>
      <c r="RZ19" s="289">
        <v>3.1116999999999999</v>
      </c>
      <c r="SA19" s="185">
        <v>13</v>
      </c>
      <c r="SB19" s="1"/>
      <c r="SC19" s="1"/>
      <c r="SD19" s="185">
        <v>13</v>
      </c>
      <c r="SE19" s="289">
        <v>2.9506000000000001</v>
      </c>
      <c r="SF19" s="289">
        <v>2.9634</v>
      </c>
      <c r="SG19" s="289">
        <v>2.9746000000000001</v>
      </c>
      <c r="SH19" s="289">
        <v>2.9870000000000001</v>
      </c>
      <c r="SI19" s="289">
        <v>2.9982000000000002</v>
      </c>
      <c r="SJ19" s="289">
        <v>3.0114000000000001</v>
      </c>
      <c r="SK19" s="289">
        <v>3.0234000000000001</v>
      </c>
      <c r="SL19" s="289">
        <v>3.0350000000000001</v>
      </c>
      <c r="SM19" s="289">
        <v>3.0482</v>
      </c>
      <c r="SN19" s="289">
        <v>3.0613999999999999</v>
      </c>
      <c r="SO19" s="289">
        <v>3.07403</v>
      </c>
      <c r="SP19" s="289">
        <v>3.0629900000000001</v>
      </c>
      <c r="SQ19" s="185">
        <v>13</v>
      </c>
      <c r="SR19" s="1"/>
      <c r="SS19" s="1"/>
      <c r="ST19" s="185">
        <v>13</v>
      </c>
      <c r="SU19" s="289">
        <v>2.6549999999999998</v>
      </c>
      <c r="SV19" s="289">
        <v>2.6840000000000002</v>
      </c>
      <c r="SW19" s="289">
        <v>2.7120000000000002</v>
      </c>
      <c r="SX19" s="289">
        <v>2.7450000000000001</v>
      </c>
      <c r="SY19" s="289">
        <v>2.774</v>
      </c>
      <c r="SZ19" s="289">
        <v>2.8033999999999999</v>
      </c>
      <c r="TA19" s="289">
        <v>2.8273999999999999</v>
      </c>
      <c r="TB19" s="289">
        <v>2.8506</v>
      </c>
      <c r="TC19" s="289">
        <v>2.8769999999999998</v>
      </c>
      <c r="TD19" s="289">
        <v>2.9009999999999998</v>
      </c>
      <c r="TE19" s="289">
        <v>2.9241999999999999</v>
      </c>
      <c r="TF19" s="289">
        <v>2.9386000000000001</v>
      </c>
      <c r="TG19" s="185">
        <v>13</v>
      </c>
      <c r="TH19" s="1"/>
      <c r="TI19" s="1"/>
      <c r="TJ19" s="185">
        <v>13</v>
      </c>
      <c r="TK19" s="289">
        <v>2.29</v>
      </c>
      <c r="TL19" s="289">
        <v>2.319</v>
      </c>
      <c r="TM19" s="289">
        <v>2.347</v>
      </c>
      <c r="TN19" s="289">
        <v>2.38</v>
      </c>
      <c r="TO19" s="289">
        <v>2.41</v>
      </c>
      <c r="TP19" s="289">
        <v>2.4390000000000001</v>
      </c>
      <c r="TQ19" s="289">
        <v>2.4710000000000001</v>
      </c>
      <c r="TR19" s="289">
        <v>2.5009999999999999</v>
      </c>
      <c r="TS19" s="289">
        <v>2.5329999999999999</v>
      </c>
      <c r="TT19" s="289">
        <v>2.5630000000000002</v>
      </c>
      <c r="TU19" s="289">
        <v>2.5920000000000001</v>
      </c>
      <c r="TV19" s="289">
        <v>2.6240000000000001</v>
      </c>
      <c r="TW19" s="185">
        <v>13</v>
      </c>
    </row>
    <row r="20" spans="2:543" ht="20.100000000000001" customHeight="1">
      <c r="B20" s="64">
        <v>14</v>
      </c>
      <c r="C20" s="289">
        <v>20.366</v>
      </c>
      <c r="D20" s="289">
        <v>20.4148</v>
      </c>
      <c r="E20" s="289">
        <v>20.974299999999999</v>
      </c>
      <c r="F20" s="289">
        <v>19.840699999999998</v>
      </c>
      <c r="G20" s="289">
        <v>20.32</v>
      </c>
      <c r="H20" s="289">
        <v>19.9297</v>
      </c>
      <c r="I20" s="289">
        <v>20.7882</v>
      </c>
      <c r="J20" s="289">
        <v>19.959499999999998</v>
      </c>
      <c r="K20" s="289">
        <v>19.7957</v>
      </c>
      <c r="L20" s="289">
        <v>20.0352</v>
      </c>
      <c r="M20" s="289">
        <v>19.393999999999998</v>
      </c>
      <c r="N20" s="289">
        <v>19.819199999999999</v>
      </c>
      <c r="O20" s="64">
        <v>14</v>
      </c>
      <c r="R20" s="64">
        <v>14</v>
      </c>
      <c r="S20" s="289">
        <v>19.9373</v>
      </c>
      <c r="T20" s="289">
        <v>19.953499999999998</v>
      </c>
      <c r="U20" s="289">
        <v>20.7133</v>
      </c>
      <c r="V20" s="289">
        <v>20.094999999999999</v>
      </c>
      <c r="W20" s="289">
        <v>20.094000000000001</v>
      </c>
      <c r="X20" s="289">
        <v>19.700199999999999</v>
      </c>
      <c r="Y20" s="289">
        <v>19.857700000000001</v>
      </c>
      <c r="Z20" s="289">
        <v>19.890699999999999</v>
      </c>
      <c r="AA20" s="289">
        <v>19.871700000000001</v>
      </c>
      <c r="AB20" s="289">
        <v>20.776700000000002</v>
      </c>
      <c r="AC20" s="289">
        <v>20.465199999999999</v>
      </c>
      <c r="AD20" s="289">
        <v>20.892199999999999</v>
      </c>
      <c r="AE20" s="64">
        <v>14</v>
      </c>
      <c r="AH20" s="185">
        <v>14</v>
      </c>
      <c r="AI20" s="289">
        <v>18.773199999999999</v>
      </c>
      <c r="AJ20" s="289">
        <v>18.630800000000001</v>
      </c>
      <c r="AK20" s="289">
        <v>22.151800000000001</v>
      </c>
      <c r="AL20" s="289">
        <v>24.092500000000001</v>
      </c>
      <c r="AM20" s="289">
        <v>24.0487</v>
      </c>
      <c r="AN20" s="289">
        <v>22.4252</v>
      </c>
      <c r="AO20" s="289">
        <v>22.534199999999998</v>
      </c>
      <c r="AP20" s="289">
        <v>22.345700000000001</v>
      </c>
      <c r="AQ20" s="289">
        <v>21.2773</v>
      </c>
      <c r="AR20" s="289">
        <v>21.218299999999999</v>
      </c>
      <c r="AS20" s="289">
        <v>20.5303</v>
      </c>
      <c r="AT20" s="289">
        <v>19.9572</v>
      </c>
      <c r="AU20" s="185">
        <v>14</v>
      </c>
      <c r="AX20" s="185">
        <v>14</v>
      </c>
      <c r="AY20" s="289">
        <v>19.171399999999998</v>
      </c>
      <c r="AZ20" s="289">
        <v>19.2592</v>
      </c>
      <c r="BA20" s="289">
        <v>19.3049</v>
      </c>
      <c r="BB20" s="289">
        <v>18.8432</v>
      </c>
      <c r="BC20" s="289">
        <v>19.1374</v>
      </c>
      <c r="BD20" s="289">
        <v>19.138300000000001</v>
      </c>
      <c r="BE20" s="289">
        <v>19.122699999999998</v>
      </c>
      <c r="BF20" s="289">
        <v>19.580300000000001</v>
      </c>
      <c r="BG20" s="289">
        <v>19.426500000000001</v>
      </c>
      <c r="BH20" s="289">
        <v>19.476400000000002</v>
      </c>
      <c r="BI20" s="289">
        <v>19.2178</v>
      </c>
      <c r="BJ20" s="289">
        <v>19.1785</v>
      </c>
      <c r="BK20" s="185">
        <v>14</v>
      </c>
      <c r="BN20" s="185">
        <v>14</v>
      </c>
      <c r="BO20" s="289">
        <v>19.343299999999999</v>
      </c>
      <c r="BP20" s="289">
        <v>18.670300000000001</v>
      </c>
      <c r="BQ20" s="290">
        <v>18.619900000000001</v>
      </c>
      <c r="BR20" s="289">
        <v>18.135300000000001</v>
      </c>
      <c r="BS20" s="289">
        <v>19.2989</v>
      </c>
      <c r="BT20" s="289">
        <v>20.596</v>
      </c>
      <c r="BU20" s="289">
        <v>18.824100000000001</v>
      </c>
      <c r="BV20" s="289">
        <v>18.927299999999999</v>
      </c>
      <c r="BW20" s="289">
        <v>19.051100000000002</v>
      </c>
      <c r="BX20" s="289">
        <v>19.021699999999999</v>
      </c>
      <c r="BY20" s="289">
        <v>20.317900000000002</v>
      </c>
      <c r="BZ20" s="289">
        <v>20.288900000000002</v>
      </c>
      <c r="CA20" s="185">
        <v>14</v>
      </c>
      <c r="CD20" s="185">
        <v>14</v>
      </c>
      <c r="CE20" s="289">
        <v>21.720400000000001</v>
      </c>
      <c r="CF20" s="289">
        <v>20.3535</v>
      </c>
      <c r="CG20" s="289">
        <v>19.6279</v>
      </c>
      <c r="CH20" s="289">
        <v>18.764600000000002</v>
      </c>
      <c r="CI20" s="289">
        <v>18.9039</v>
      </c>
      <c r="CJ20" s="289">
        <v>18.180199999999999</v>
      </c>
      <c r="CK20" s="289">
        <v>17.770800000000001</v>
      </c>
      <c r="CL20" s="289">
        <v>17.907299999999999</v>
      </c>
      <c r="CM20" s="289">
        <v>17.780999999999999</v>
      </c>
      <c r="CN20" s="289">
        <v>18.763100000000001</v>
      </c>
      <c r="CO20" s="289">
        <v>19.052600000000002</v>
      </c>
      <c r="CP20" s="289">
        <v>18.974</v>
      </c>
      <c r="CQ20" s="185">
        <v>14</v>
      </c>
      <c r="CT20" s="185">
        <v>14</v>
      </c>
      <c r="CU20" s="289">
        <v>17.911899999999999</v>
      </c>
      <c r="CV20" s="289">
        <v>19.1754</v>
      </c>
      <c r="CW20" s="289">
        <v>17.860099999999999</v>
      </c>
      <c r="CX20" s="289">
        <v>17.571899999999999</v>
      </c>
      <c r="CY20" s="289">
        <v>17.991499999999998</v>
      </c>
      <c r="CZ20" s="289">
        <v>18.5046</v>
      </c>
      <c r="DA20" s="289">
        <v>18.300599999999999</v>
      </c>
      <c r="DB20" s="289">
        <v>18.267800000000001</v>
      </c>
      <c r="DC20" s="289">
        <v>19.064599999999999</v>
      </c>
      <c r="DD20" s="289">
        <v>18.962199999999999</v>
      </c>
      <c r="DE20" s="289">
        <v>20.481200000000001</v>
      </c>
      <c r="DF20" s="289">
        <v>20.330500000000001</v>
      </c>
      <c r="DG20" s="185">
        <v>14</v>
      </c>
      <c r="DJ20" s="185">
        <v>14</v>
      </c>
      <c r="DK20" s="289">
        <v>14.639799999999999</v>
      </c>
      <c r="DL20" s="289">
        <v>14.916700000000001</v>
      </c>
      <c r="DM20" s="289">
        <v>15.4003</v>
      </c>
      <c r="DN20" s="289">
        <v>15.1706</v>
      </c>
      <c r="DO20" s="289">
        <v>15.321099999999999</v>
      </c>
      <c r="DP20" s="289">
        <v>15.4779</v>
      </c>
      <c r="DQ20" s="289">
        <v>15.732900000000001</v>
      </c>
      <c r="DR20" s="289">
        <v>16.297599999999999</v>
      </c>
      <c r="DS20" s="289">
        <v>16.810300000000002</v>
      </c>
      <c r="DT20" s="289">
        <v>16.421900000000001</v>
      </c>
      <c r="DU20" s="289">
        <v>16.740600000000001</v>
      </c>
      <c r="DV20" s="289">
        <v>17.074999999999999</v>
      </c>
      <c r="DW20" s="185">
        <v>14</v>
      </c>
      <c r="DZ20" s="185">
        <v>14</v>
      </c>
      <c r="EA20" s="289">
        <v>13.006500000000001</v>
      </c>
      <c r="EB20" s="289">
        <v>13.3056</v>
      </c>
      <c r="EC20" s="289">
        <v>13.2659</v>
      </c>
      <c r="ED20" s="289">
        <v>13.045299999999999</v>
      </c>
      <c r="EE20" s="289">
        <v>12.9534</v>
      </c>
      <c r="EF20" s="289">
        <v>12.9815</v>
      </c>
      <c r="EG20" s="289">
        <v>13.0015</v>
      </c>
      <c r="EH20" s="289">
        <v>13.159000000000001</v>
      </c>
      <c r="EI20" s="289">
        <v>13.214399999999999</v>
      </c>
      <c r="EJ20" s="289">
        <v>13.4331</v>
      </c>
      <c r="EK20" s="289">
        <v>13.561299999999999</v>
      </c>
      <c r="EL20" s="289">
        <v>14.5181</v>
      </c>
      <c r="EM20" s="185">
        <v>14</v>
      </c>
      <c r="EP20" s="185">
        <v>14</v>
      </c>
      <c r="EQ20" s="289">
        <v>12.6555</v>
      </c>
      <c r="ER20" s="289">
        <v>12.7364</v>
      </c>
      <c r="ES20" s="289">
        <v>12.4641</v>
      </c>
      <c r="ET20" s="289">
        <v>12.069100000000001</v>
      </c>
      <c r="EU20" s="289">
        <v>12.109400000000001</v>
      </c>
      <c r="EV20" s="289">
        <v>12.844200000000001</v>
      </c>
      <c r="EW20" s="289">
        <v>12.8599</v>
      </c>
      <c r="EX20" s="289">
        <v>12.566599999999999</v>
      </c>
      <c r="EY20" s="289">
        <v>13.0854</v>
      </c>
      <c r="EZ20" s="289">
        <v>13.0913</v>
      </c>
      <c r="FA20" s="289">
        <v>13.187900000000001</v>
      </c>
      <c r="FB20" s="289">
        <v>12.934200000000001</v>
      </c>
      <c r="FC20" s="185">
        <v>14</v>
      </c>
      <c r="FF20" s="185">
        <v>14</v>
      </c>
      <c r="FG20" s="289">
        <v>13.5982</v>
      </c>
      <c r="FH20" s="289">
        <v>12.7857</v>
      </c>
      <c r="FI20" s="289">
        <v>12.715</v>
      </c>
      <c r="FJ20" s="289">
        <v>13.073600000000001</v>
      </c>
      <c r="FK20" s="289">
        <v>13.446999999999999</v>
      </c>
      <c r="FL20" s="289">
        <v>14.006</v>
      </c>
      <c r="FM20" s="289">
        <v>13.4795</v>
      </c>
      <c r="FN20" s="289">
        <v>13.109400000000001</v>
      </c>
      <c r="FO20" s="289">
        <v>13.0305</v>
      </c>
      <c r="FP20" s="289">
        <v>12.879200000000001</v>
      </c>
      <c r="FQ20" s="289">
        <v>13.1975</v>
      </c>
      <c r="FR20" s="289">
        <v>12.7584</v>
      </c>
      <c r="FS20" s="185">
        <v>14</v>
      </c>
      <c r="FV20" s="185">
        <v>14</v>
      </c>
      <c r="FW20" s="289">
        <v>12.075699999999999</v>
      </c>
      <c r="FX20" s="289">
        <v>12.0937</v>
      </c>
      <c r="FY20" s="289">
        <v>11.9755</v>
      </c>
      <c r="FZ20" s="289">
        <v>11.826599999999999</v>
      </c>
      <c r="GA20" s="289">
        <v>11.6656</v>
      </c>
      <c r="GB20" s="289">
        <v>11.868600000000001</v>
      </c>
      <c r="GC20" s="289">
        <v>11.7867</v>
      </c>
      <c r="GD20" s="289">
        <v>12.389900000000001</v>
      </c>
      <c r="GE20" s="289">
        <v>12.768700000000001</v>
      </c>
      <c r="GF20" s="289">
        <v>13.221299999999999</v>
      </c>
      <c r="GG20" s="289">
        <v>13.562200000000001</v>
      </c>
      <c r="GH20" s="289">
        <v>13.640599999999999</v>
      </c>
      <c r="GI20" s="185">
        <v>14</v>
      </c>
      <c r="GL20" s="185">
        <v>14</v>
      </c>
      <c r="GM20" s="289">
        <v>12.729100000000001</v>
      </c>
      <c r="GN20" s="289">
        <v>13.0609</v>
      </c>
      <c r="GO20" s="289">
        <v>12.619199999999999</v>
      </c>
      <c r="GP20" s="289">
        <v>12.1808</v>
      </c>
      <c r="GQ20" s="289">
        <v>12.4351</v>
      </c>
      <c r="GR20" s="289">
        <v>12.7441</v>
      </c>
      <c r="GS20" s="289">
        <v>12.8233</v>
      </c>
      <c r="GT20" s="289">
        <v>12.7258</v>
      </c>
      <c r="GU20" s="289">
        <v>12.961600000000001</v>
      </c>
      <c r="GV20" s="289">
        <v>12.432</v>
      </c>
      <c r="GW20" s="289">
        <v>12.259600000000001</v>
      </c>
      <c r="GX20" s="289">
        <v>12.4617</v>
      </c>
      <c r="GY20" s="185">
        <v>14</v>
      </c>
      <c r="HB20" s="185">
        <v>14</v>
      </c>
      <c r="HC20" s="289">
        <v>13.7608</v>
      </c>
      <c r="HD20" s="289">
        <v>14.6013</v>
      </c>
      <c r="HE20" s="289">
        <v>14.908300000000001</v>
      </c>
      <c r="HF20" s="289">
        <v>13.364800000000001</v>
      </c>
      <c r="HG20" s="289">
        <v>13.220800000000001</v>
      </c>
      <c r="HH20" s="289">
        <v>13.4581</v>
      </c>
      <c r="HI20" s="289">
        <v>13.7052</v>
      </c>
      <c r="HJ20" s="289">
        <v>12.997</v>
      </c>
      <c r="HK20" s="289">
        <v>13.4582</v>
      </c>
      <c r="HL20" s="289">
        <v>13.2178</v>
      </c>
      <c r="HM20" s="289">
        <v>13.206099999999999</v>
      </c>
      <c r="HN20" s="289">
        <v>12.9739</v>
      </c>
      <c r="HO20" s="185">
        <v>14</v>
      </c>
      <c r="HP20" s="1"/>
      <c r="HQ20" s="1"/>
      <c r="HR20" s="185">
        <v>14</v>
      </c>
      <c r="HS20" s="289">
        <v>10.9572</v>
      </c>
      <c r="HT20" s="289">
        <v>10.746499999999999</v>
      </c>
      <c r="HU20" s="289">
        <v>10.7735</v>
      </c>
      <c r="HV20" s="289">
        <v>10.5503</v>
      </c>
      <c r="HW20" s="289">
        <v>10.505800000000001</v>
      </c>
      <c r="HX20" s="289">
        <v>10.395</v>
      </c>
      <c r="HY20" s="289">
        <v>10.307600000000001</v>
      </c>
      <c r="HZ20" s="289">
        <v>10.159000000000001</v>
      </c>
      <c r="IA20" s="289">
        <v>10.6745</v>
      </c>
      <c r="IB20" s="289">
        <v>13.0867</v>
      </c>
      <c r="IC20" s="289">
        <v>13.0875</v>
      </c>
      <c r="ID20" s="289">
        <v>13.472200000000001</v>
      </c>
      <c r="IE20" s="185">
        <v>14</v>
      </c>
      <c r="IF20" s="1"/>
      <c r="IG20" s="1"/>
      <c r="IH20" s="185">
        <v>14</v>
      </c>
      <c r="II20" s="289">
        <v>10.965</v>
      </c>
      <c r="IJ20" s="289">
        <v>11.0227</v>
      </c>
      <c r="IK20" s="289">
        <v>11.148300000000001</v>
      </c>
      <c r="IL20" s="289">
        <v>11.013500000000001</v>
      </c>
      <c r="IM20" s="289">
        <v>10.8178</v>
      </c>
      <c r="IN20" s="289">
        <v>10.9331</v>
      </c>
      <c r="IO20" s="289">
        <v>10.7799</v>
      </c>
      <c r="IP20" s="289">
        <v>11.017300000000001</v>
      </c>
      <c r="IQ20" s="289">
        <v>11.071999999999999</v>
      </c>
      <c r="IR20" s="289">
        <v>10.8101</v>
      </c>
      <c r="IS20" s="289">
        <v>10.937799999999999</v>
      </c>
      <c r="IT20" s="289">
        <v>10.8025</v>
      </c>
      <c r="IU20" s="185">
        <v>14</v>
      </c>
      <c r="IV20" s="1"/>
      <c r="IW20" s="1"/>
      <c r="IX20" s="185">
        <v>14</v>
      </c>
      <c r="IY20" s="289">
        <v>10.5732</v>
      </c>
      <c r="IZ20" s="289">
        <v>10.487</v>
      </c>
      <c r="JA20" s="289">
        <v>10.7125</v>
      </c>
      <c r="JB20" s="289">
        <v>11.0708</v>
      </c>
      <c r="JC20" s="289">
        <v>10.838100000000001</v>
      </c>
      <c r="JD20" s="289">
        <v>11.3827</v>
      </c>
      <c r="JE20" s="289">
        <v>11.0303</v>
      </c>
      <c r="JF20" s="289">
        <v>10.880800000000001</v>
      </c>
      <c r="JG20" s="289">
        <v>11.036099999999999</v>
      </c>
      <c r="JH20" s="289">
        <v>10.9406</v>
      </c>
      <c r="JI20" s="289">
        <v>10.915800000000001</v>
      </c>
      <c r="JJ20" s="289">
        <v>10.8375</v>
      </c>
      <c r="JK20" s="185">
        <v>14</v>
      </c>
      <c r="JL20" s="1"/>
      <c r="JM20" s="1"/>
      <c r="JN20" s="185">
        <v>14</v>
      </c>
      <c r="JO20" s="289">
        <v>11.1761</v>
      </c>
      <c r="JP20" s="289">
        <v>11.1533</v>
      </c>
      <c r="JQ20" s="289">
        <v>11.032400000000001</v>
      </c>
      <c r="JR20" s="289">
        <v>11.115500000000001</v>
      </c>
      <c r="JS20" s="289">
        <v>11.0189</v>
      </c>
      <c r="JT20" s="289">
        <v>10.864800000000001</v>
      </c>
      <c r="JU20" s="289">
        <v>10.6881</v>
      </c>
      <c r="JV20" s="289">
        <v>10.5815</v>
      </c>
      <c r="JW20" s="289">
        <v>10.699400000000001</v>
      </c>
      <c r="JX20" s="289">
        <v>10.8842</v>
      </c>
      <c r="JY20" s="289">
        <v>10.714</v>
      </c>
      <c r="JZ20" s="289">
        <v>10.624000000000001</v>
      </c>
      <c r="KA20" s="185">
        <v>14</v>
      </c>
      <c r="KB20" s="1"/>
      <c r="KC20" s="1"/>
      <c r="KD20" s="185">
        <v>14</v>
      </c>
      <c r="KE20" s="289">
        <v>10.818</v>
      </c>
      <c r="KF20" s="289">
        <v>10.9626</v>
      </c>
      <c r="KG20" s="289">
        <v>10.9633</v>
      </c>
      <c r="KH20" s="289">
        <v>11.2211</v>
      </c>
      <c r="KI20" s="289">
        <v>11.624599999999999</v>
      </c>
      <c r="KJ20" s="289">
        <v>11.366</v>
      </c>
      <c r="KK20" s="289">
        <v>11.5009</v>
      </c>
      <c r="KL20" s="289">
        <v>11.4414</v>
      </c>
      <c r="KM20" s="289">
        <v>11.6005</v>
      </c>
      <c r="KN20" s="289">
        <v>11.2865</v>
      </c>
      <c r="KO20" s="289">
        <v>11.399699999999999</v>
      </c>
      <c r="KP20" s="289">
        <v>11.334300000000001</v>
      </c>
      <c r="KQ20" s="185">
        <v>14</v>
      </c>
      <c r="KR20" s="1"/>
      <c r="KS20" s="1"/>
      <c r="KT20" s="185">
        <v>14</v>
      </c>
      <c r="KU20" s="289">
        <v>10.4672</v>
      </c>
      <c r="KV20" s="289">
        <v>10.9832</v>
      </c>
      <c r="KW20" s="289">
        <v>10.907299999999999</v>
      </c>
      <c r="KX20" s="289">
        <v>10.7651</v>
      </c>
      <c r="KY20" s="289">
        <v>10.177300000000001</v>
      </c>
      <c r="KZ20" s="289">
        <v>10.577500000000001</v>
      </c>
      <c r="LA20" s="289">
        <v>10.4482</v>
      </c>
      <c r="LB20" s="289">
        <v>10.7448</v>
      </c>
      <c r="LC20" s="289">
        <v>10.973699999999999</v>
      </c>
      <c r="LD20" s="289">
        <v>11.194599999999999</v>
      </c>
      <c r="LE20" s="289">
        <v>11.058199999999999</v>
      </c>
      <c r="LF20" s="289">
        <v>11.214499999999999</v>
      </c>
      <c r="LG20" s="185">
        <v>14</v>
      </c>
      <c r="LH20" s="1"/>
      <c r="LI20" s="1"/>
      <c r="LJ20" s="185">
        <v>14</v>
      </c>
      <c r="LK20" s="289">
        <v>9.2444000000000006</v>
      </c>
      <c r="LL20" s="289">
        <v>9.0896000000000008</v>
      </c>
      <c r="LM20" s="289">
        <v>9.0753000000000004</v>
      </c>
      <c r="LN20" s="289">
        <v>9.0770999999999997</v>
      </c>
      <c r="LO20" s="289">
        <v>9.5101999999999993</v>
      </c>
      <c r="LP20" s="289">
        <v>9.7035</v>
      </c>
      <c r="LQ20" s="289">
        <v>9.7979000000000003</v>
      </c>
      <c r="LR20" s="289">
        <v>9.8401999999999994</v>
      </c>
      <c r="LS20" s="289">
        <v>10.0023</v>
      </c>
      <c r="LT20" s="289">
        <v>10.2195</v>
      </c>
      <c r="LU20" s="289">
        <v>10.3447</v>
      </c>
      <c r="LV20" s="289">
        <v>10.1785</v>
      </c>
      <c r="LW20" s="185">
        <v>14</v>
      </c>
      <c r="LX20" s="1"/>
      <c r="LY20" s="1"/>
      <c r="LZ20" s="185">
        <v>14</v>
      </c>
      <c r="MA20" s="289">
        <v>9.8547999999999991</v>
      </c>
      <c r="MB20" s="289">
        <v>9.7388999999999992</v>
      </c>
      <c r="MC20" s="289">
        <v>9.6624999999999996</v>
      </c>
      <c r="MD20" s="289">
        <v>9.3093000000000004</v>
      </c>
      <c r="ME20" s="289">
        <v>9.1966999999999999</v>
      </c>
      <c r="MF20" s="289">
        <v>9.0939999999999994</v>
      </c>
      <c r="MG20" s="289">
        <v>9.3420000000000005</v>
      </c>
      <c r="MH20" s="289">
        <v>9.1247000000000007</v>
      </c>
      <c r="MI20" s="289">
        <v>9.4446999999999992</v>
      </c>
      <c r="MJ20" s="289">
        <v>9.3397000000000006</v>
      </c>
      <c r="MK20" s="289">
        <v>9.2707999999999995</v>
      </c>
      <c r="ML20" s="289">
        <v>9.1819000000000006</v>
      </c>
      <c r="MM20" s="185">
        <v>14</v>
      </c>
      <c r="MN20" s="1"/>
      <c r="MO20" s="1"/>
      <c r="MP20" s="185">
        <v>14</v>
      </c>
      <c r="MQ20" s="289">
        <v>9.5351999999999997</v>
      </c>
      <c r="MR20" s="289">
        <v>9.4347999999999992</v>
      </c>
      <c r="MS20" s="289">
        <v>9.3125</v>
      </c>
      <c r="MT20" s="289">
        <v>9.3964999999999996</v>
      </c>
      <c r="MU20" s="289">
        <v>9.5768000000000004</v>
      </c>
      <c r="MV20" s="289">
        <v>9.8545999999999996</v>
      </c>
      <c r="MW20" s="289">
        <v>9.4748000000000001</v>
      </c>
      <c r="MX20" s="289">
        <v>9.3198000000000008</v>
      </c>
      <c r="MY20" s="289">
        <v>9.2542000000000009</v>
      </c>
      <c r="MZ20" s="289">
        <v>9.5192999999999994</v>
      </c>
      <c r="NA20" s="289">
        <v>9.6007999999999996</v>
      </c>
      <c r="NB20" s="289">
        <v>9.4418000000000006</v>
      </c>
      <c r="NC20" s="185">
        <v>14</v>
      </c>
      <c r="ND20" s="1"/>
      <c r="NE20" s="1"/>
      <c r="NF20" s="185">
        <v>14</v>
      </c>
      <c r="NG20" s="289">
        <v>10.0848</v>
      </c>
      <c r="NH20" s="289">
        <v>9.9793000000000003</v>
      </c>
      <c r="NI20" s="289">
        <v>9.7479999999999993</v>
      </c>
      <c r="NJ20" s="289">
        <v>9.5569000000000006</v>
      </c>
      <c r="NK20" s="289">
        <v>9.3247</v>
      </c>
      <c r="NL20" s="289">
        <v>9.5984999999999996</v>
      </c>
      <c r="NM20" s="289">
        <v>9.4358000000000004</v>
      </c>
      <c r="NN20" s="289">
        <v>9.3533000000000008</v>
      </c>
      <c r="NO20" s="289">
        <v>9.3173999999999992</v>
      </c>
      <c r="NP20" s="289">
        <v>9.4674999999999994</v>
      </c>
      <c r="NQ20" s="289">
        <v>9.3856999999999999</v>
      </c>
      <c r="NR20" s="289">
        <v>9.4143000000000008</v>
      </c>
      <c r="NS20" s="185">
        <v>14</v>
      </c>
      <c r="NT20" s="1"/>
      <c r="NU20" s="1"/>
      <c r="NV20" s="185">
        <v>14</v>
      </c>
      <c r="NW20" s="289">
        <v>8.2774999999999999</v>
      </c>
      <c r="NX20" s="289">
        <v>8.4495000000000005</v>
      </c>
      <c r="NY20" s="289">
        <v>8.5672999999999995</v>
      </c>
      <c r="NZ20" s="289">
        <v>8.5106000000000002</v>
      </c>
      <c r="OA20" s="289">
        <v>8.4964999999999993</v>
      </c>
      <c r="OB20" s="289">
        <v>8.9609000000000005</v>
      </c>
      <c r="OC20" s="289">
        <v>8.9535</v>
      </c>
      <c r="OD20" s="289">
        <v>9.1761999999999997</v>
      </c>
      <c r="OE20" s="289">
        <v>10.532500000000001</v>
      </c>
      <c r="OF20" s="289">
        <v>10.1555</v>
      </c>
      <c r="OG20" s="289">
        <v>10.0563</v>
      </c>
      <c r="OH20" s="289">
        <v>9.9499999999999993</v>
      </c>
      <c r="OI20" s="185">
        <v>14</v>
      </c>
      <c r="OJ20" s="1"/>
      <c r="OK20" s="1"/>
      <c r="OL20" s="185">
        <v>14</v>
      </c>
      <c r="OM20" s="289">
        <v>7.8606999999999996</v>
      </c>
      <c r="ON20" s="289">
        <v>7.7968000000000002</v>
      </c>
      <c r="OO20" s="289">
        <v>7.9611000000000001</v>
      </c>
      <c r="OP20" s="289">
        <v>7.9153000000000002</v>
      </c>
      <c r="OQ20" s="289">
        <v>7.9242999999999997</v>
      </c>
      <c r="OR20" s="289">
        <v>7.9633000000000003</v>
      </c>
      <c r="OS20" s="289">
        <v>7.8913000000000002</v>
      </c>
      <c r="OT20" s="289">
        <v>7.782</v>
      </c>
      <c r="OU20" s="289">
        <v>7.7847</v>
      </c>
      <c r="OV20" s="289">
        <v>7.7591999999999999</v>
      </c>
      <c r="OW20" s="289">
        <v>8.3582999999999998</v>
      </c>
      <c r="OX20" s="289">
        <v>8.1394000000000002</v>
      </c>
      <c r="OY20" s="185">
        <v>14</v>
      </c>
      <c r="OZ20" s="1"/>
      <c r="PA20" s="1"/>
      <c r="PB20" s="185">
        <v>14</v>
      </c>
      <c r="PC20" s="289">
        <v>7.5213000000000001</v>
      </c>
      <c r="PD20" s="289">
        <v>7.5278999999999998</v>
      </c>
      <c r="PE20" s="289">
        <v>7.6044999999999998</v>
      </c>
      <c r="PF20" s="289">
        <v>7.4989999999999997</v>
      </c>
      <c r="PG20" s="289">
        <v>7.4469000000000003</v>
      </c>
      <c r="PH20" s="289">
        <v>7.5743</v>
      </c>
      <c r="PI20" s="289">
        <v>7.6429</v>
      </c>
      <c r="PJ20" s="289">
        <v>7.5106000000000002</v>
      </c>
      <c r="PK20" s="289">
        <v>7.5416999999999996</v>
      </c>
      <c r="PL20" s="289">
        <v>7.6109</v>
      </c>
      <c r="PM20" s="289">
        <v>7.9154999999999998</v>
      </c>
      <c r="PN20" s="289">
        <v>7.8723000000000001</v>
      </c>
      <c r="PO20" s="185">
        <v>14</v>
      </c>
      <c r="PP20" s="1"/>
      <c r="PQ20" s="1"/>
      <c r="PR20" s="185">
        <v>14</v>
      </c>
      <c r="PS20" s="289">
        <v>5.6875</v>
      </c>
      <c r="PT20" s="289">
        <v>5.6375000000000002</v>
      </c>
      <c r="PU20" s="289">
        <v>6.4675000000000002</v>
      </c>
      <c r="PV20" s="289">
        <v>6.3033000000000001</v>
      </c>
      <c r="PW20" s="289">
        <v>5.9082999999999997</v>
      </c>
      <c r="PX20" s="289">
        <v>6.2792000000000003</v>
      </c>
      <c r="PY20" s="289">
        <v>6.0971000000000002</v>
      </c>
      <c r="PZ20" s="289">
        <v>6.1452999999999998</v>
      </c>
      <c r="QA20" s="289">
        <v>6.2850000000000001</v>
      </c>
      <c r="QB20" s="289">
        <v>6.7042000000000002</v>
      </c>
      <c r="QC20" s="289">
        <v>7.665</v>
      </c>
      <c r="QD20" s="289">
        <v>7.7504</v>
      </c>
      <c r="QE20" s="185">
        <v>14</v>
      </c>
      <c r="QF20" s="1"/>
      <c r="QG20" s="1"/>
      <c r="QH20" s="185">
        <v>14</v>
      </c>
      <c r="QI20" s="289">
        <v>3.1093999999999999</v>
      </c>
      <c r="QJ20" s="289">
        <v>3.105</v>
      </c>
      <c r="QK20" s="289">
        <v>3.2888000000000002</v>
      </c>
      <c r="QL20" s="289">
        <v>3.3656999999999999</v>
      </c>
      <c r="QM20" s="289">
        <v>3.3325</v>
      </c>
      <c r="QN20" s="289">
        <v>3.3613</v>
      </c>
      <c r="QO20" s="289">
        <v>3.4022000000000001</v>
      </c>
      <c r="QP20" s="289">
        <v>3.3980000000000001</v>
      </c>
      <c r="QQ20" s="289">
        <v>3.4134000000000002</v>
      </c>
      <c r="QR20" s="289">
        <v>3.4169999999999998</v>
      </c>
      <c r="QS20" s="289">
        <v>3.4424000000000001</v>
      </c>
      <c r="QT20" s="289">
        <v>3.4533999999999998</v>
      </c>
      <c r="QU20" s="185">
        <v>14</v>
      </c>
      <c r="QV20" s="1"/>
      <c r="QW20" s="1"/>
      <c r="QX20" s="185">
        <v>14</v>
      </c>
      <c r="QY20" s="289">
        <v>3.1095999999999999</v>
      </c>
      <c r="QZ20" s="289">
        <v>3.1009000000000002</v>
      </c>
      <c r="RA20" s="289">
        <v>3.1196999999999999</v>
      </c>
      <c r="RB20" s="289">
        <v>3.0962000000000001</v>
      </c>
      <c r="RC20" s="289">
        <v>3.1291000000000002</v>
      </c>
      <c r="RD20" s="289">
        <v>3.1282000000000001</v>
      </c>
      <c r="RE20" s="289">
        <v>3.1294</v>
      </c>
      <c r="RF20" s="289">
        <v>3.1164999999999998</v>
      </c>
      <c r="RG20" s="289">
        <v>3.1118999999999999</v>
      </c>
      <c r="RH20" s="289">
        <v>3.1135999999999999</v>
      </c>
      <c r="RI20" s="289">
        <v>3.2162999999999999</v>
      </c>
      <c r="RJ20" s="289">
        <v>3.1168999999999998</v>
      </c>
      <c r="RK20" s="185">
        <v>14</v>
      </c>
      <c r="RL20" s="1"/>
      <c r="RM20" s="1"/>
      <c r="RN20" s="185">
        <v>14</v>
      </c>
      <c r="RO20" s="289">
        <v>3.0668000000000002</v>
      </c>
      <c r="RP20" s="289">
        <v>3.0632999999999999</v>
      </c>
      <c r="RQ20" s="289">
        <v>3.0609999999999999</v>
      </c>
      <c r="RR20" s="289">
        <v>3.0657000000000001</v>
      </c>
      <c r="RS20" s="289">
        <v>3.0863</v>
      </c>
      <c r="RT20" s="289">
        <v>3.1191</v>
      </c>
      <c r="RU20" s="289">
        <v>3.1179999999999999</v>
      </c>
      <c r="RV20" s="289">
        <v>3.0758999999999999</v>
      </c>
      <c r="RW20" s="289">
        <v>3.0768</v>
      </c>
      <c r="RX20" s="289">
        <v>3.1137999999999999</v>
      </c>
      <c r="RY20" s="289">
        <v>3.1156000000000001</v>
      </c>
      <c r="RZ20" s="289">
        <v>3.1116999999999999</v>
      </c>
      <c r="SA20" s="185">
        <v>14</v>
      </c>
      <c r="SB20" s="1"/>
      <c r="SC20" s="1"/>
      <c r="SD20" s="185">
        <v>14</v>
      </c>
      <c r="SE20" s="289">
        <v>2.9506000000000001</v>
      </c>
      <c r="SF20" s="289">
        <v>2.9638</v>
      </c>
      <c r="SG20" s="289">
        <v>2.9750000000000001</v>
      </c>
      <c r="SH20" s="289">
        <v>2.9870000000000001</v>
      </c>
      <c r="SI20" s="289">
        <v>2.9986000000000002</v>
      </c>
      <c r="SJ20" s="289">
        <v>3.0118</v>
      </c>
      <c r="SK20" s="289">
        <v>3.0234000000000001</v>
      </c>
      <c r="SL20" s="289">
        <v>3.0362</v>
      </c>
      <c r="SM20" s="289">
        <v>3.0486</v>
      </c>
      <c r="SN20" s="289">
        <v>3.0613999999999999</v>
      </c>
      <c r="SO20" s="289">
        <v>3.07348</v>
      </c>
      <c r="SP20" s="289">
        <v>3.0629900000000001</v>
      </c>
      <c r="SQ20" s="185">
        <v>14</v>
      </c>
      <c r="SR20" s="1"/>
      <c r="SS20" s="1"/>
      <c r="ST20" s="185">
        <v>14</v>
      </c>
      <c r="SU20" s="289">
        <v>2.6549999999999998</v>
      </c>
      <c r="SV20" s="289">
        <v>2.6869999999999998</v>
      </c>
      <c r="SW20" s="289">
        <v>2.7149999999999999</v>
      </c>
      <c r="SX20" s="289">
        <v>2.746</v>
      </c>
      <c r="SY20" s="289">
        <v>2.774</v>
      </c>
      <c r="SZ20" s="289">
        <v>2.8041999999999998</v>
      </c>
      <c r="TA20" s="289">
        <v>2.8281999999999998</v>
      </c>
      <c r="TB20" s="289">
        <v>2.8513999999999999</v>
      </c>
      <c r="TC20" s="289">
        <v>2.8778000000000001</v>
      </c>
      <c r="TD20" s="289">
        <v>2.9009999999999998</v>
      </c>
      <c r="TE20" s="289">
        <v>2.9266000000000001</v>
      </c>
      <c r="TF20" s="289">
        <v>2.9390000000000001</v>
      </c>
      <c r="TG20" s="185">
        <v>14</v>
      </c>
      <c r="TH20" s="1"/>
      <c r="TI20" s="1"/>
      <c r="TJ20" s="185">
        <v>14</v>
      </c>
      <c r="TK20" s="289">
        <v>2.2909999999999999</v>
      </c>
      <c r="TL20" s="289">
        <v>2.3199999999999998</v>
      </c>
      <c r="TM20" s="289">
        <v>2.3479999999999999</v>
      </c>
      <c r="TN20" s="289">
        <v>2.3809999999999998</v>
      </c>
      <c r="TO20" s="289">
        <v>2.41</v>
      </c>
      <c r="TP20" s="289">
        <v>2.4420000000000002</v>
      </c>
      <c r="TQ20" s="289">
        <v>2.472</v>
      </c>
      <c r="TR20" s="289">
        <v>2.5009999999999999</v>
      </c>
      <c r="TS20" s="289">
        <v>2.5339999999999998</v>
      </c>
      <c r="TT20" s="289">
        <v>2.5640000000000001</v>
      </c>
      <c r="TU20" s="289">
        <v>2.593</v>
      </c>
      <c r="TV20" s="289">
        <v>2.625</v>
      </c>
      <c r="TW20" s="185">
        <v>14</v>
      </c>
    </row>
    <row r="21" spans="2:543" ht="20.100000000000001" customHeight="1">
      <c r="B21" s="64">
        <v>15</v>
      </c>
      <c r="C21" s="289">
        <v>20.360700000000001</v>
      </c>
      <c r="D21" s="289">
        <v>20.418800000000001</v>
      </c>
      <c r="E21" s="289">
        <v>20.9695</v>
      </c>
      <c r="F21" s="289">
        <v>19.840699999999998</v>
      </c>
      <c r="G21" s="289">
        <v>20.32</v>
      </c>
      <c r="H21" s="289">
        <v>20.4527</v>
      </c>
      <c r="I21" s="289">
        <v>20.761299999999999</v>
      </c>
      <c r="J21" s="289">
        <v>19.959499999999998</v>
      </c>
      <c r="K21" s="289">
        <v>20.055</v>
      </c>
      <c r="L21" s="289">
        <v>20.0398</v>
      </c>
      <c r="M21" s="289">
        <v>19.535299999999999</v>
      </c>
      <c r="N21" s="289">
        <v>19.645800000000001</v>
      </c>
      <c r="O21" s="64">
        <v>15</v>
      </c>
      <c r="R21" s="64">
        <v>15</v>
      </c>
      <c r="S21" s="289">
        <v>19.793500000000002</v>
      </c>
      <c r="T21" s="289">
        <v>19.953499999999998</v>
      </c>
      <c r="U21" s="289">
        <v>20.7133</v>
      </c>
      <c r="V21" s="289">
        <v>20.073499999999999</v>
      </c>
      <c r="W21" s="289">
        <v>20.049499999999998</v>
      </c>
      <c r="X21" s="289">
        <v>19.882300000000001</v>
      </c>
      <c r="Y21" s="289">
        <v>19.998799999999999</v>
      </c>
      <c r="Z21" s="289">
        <v>19.890699999999999</v>
      </c>
      <c r="AA21" s="289">
        <v>19.867699999999999</v>
      </c>
      <c r="AB21" s="289">
        <v>20.682700000000001</v>
      </c>
      <c r="AC21" s="289">
        <v>20.465199999999999</v>
      </c>
      <c r="AD21" s="289">
        <v>20.938300000000002</v>
      </c>
      <c r="AE21" s="64">
        <v>15</v>
      </c>
      <c r="AH21" s="185">
        <v>15</v>
      </c>
      <c r="AI21" s="289">
        <v>18.8215</v>
      </c>
      <c r="AJ21" s="289">
        <v>18.645800000000001</v>
      </c>
      <c r="AK21" s="289">
        <v>22.151800000000001</v>
      </c>
      <c r="AL21" s="289">
        <v>23.742699999999999</v>
      </c>
      <c r="AM21" s="289">
        <v>24.211300000000001</v>
      </c>
      <c r="AN21" s="289">
        <v>22.4252</v>
      </c>
      <c r="AO21" s="289">
        <v>22.4633</v>
      </c>
      <c r="AP21" s="289">
        <v>22.262799999999999</v>
      </c>
      <c r="AQ21" s="289">
        <v>21.321000000000002</v>
      </c>
      <c r="AR21" s="289">
        <v>21.367699999999999</v>
      </c>
      <c r="AS21" s="289">
        <v>20.5303</v>
      </c>
      <c r="AT21" s="289">
        <v>20.107500000000002</v>
      </c>
      <c r="AU21" s="185">
        <v>15</v>
      </c>
      <c r="AX21" s="185">
        <v>15</v>
      </c>
      <c r="AY21" s="289">
        <v>19.1236</v>
      </c>
      <c r="AZ21" s="289">
        <v>19.4084</v>
      </c>
      <c r="BA21" s="289">
        <v>19.332000000000001</v>
      </c>
      <c r="BB21" s="289">
        <v>18.8432</v>
      </c>
      <c r="BC21" s="289">
        <v>19.192799999999998</v>
      </c>
      <c r="BD21" s="289">
        <v>19.1645</v>
      </c>
      <c r="BE21" s="289">
        <v>19.122699999999998</v>
      </c>
      <c r="BF21" s="289">
        <v>19.463000000000001</v>
      </c>
      <c r="BG21" s="289">
        <v>19.426500000000001</v>
      </c>
      <c r="BH21" s="289">
        <v>19.3217</v>
      </c>
      <c r="BI21" s="289">
        <v>19.4543</v>
      </c>
      <c r="BJ21" s="289">
        <v>19.1785</v>
      </c>
      <c r="BK21" s="185">
        <v>15</v>
      </c>
      <c r="BN21" s="185">
        <v>15</v>
      </c>
      <c r="BO21" s="289">
        <v>19.343299999999999</v>
      </c>
      <c r="BP21" s="289">
        <v>18.626899999999999</v>
      </c>
      <c r="BQ21" s="290">
        <v>18.560400000000001</v>
      </c>
      <c r="BR21" s="289">
        <v>18.135300000000001</v>
      </c>
      <c r="BS21" s="289">
        <v>19.353899999999999</v>
      </c>
      <c r="BT21" s="289">
        <v>20.625900000000001</v>
      </c>
      <c r="BU21" s="289">
        <v>18.824100000000001</v>
      </c>
      <c r="BV21" s="289">
        <v>19.180099999999999</v>
      </c>
      <c r="BW21" s="289">
        <v>18.877500000000001</v>
      </c>
      <c r="BX21" s="289">
        <v>19.021699999999999</v>
      </c>
      <c r="BY21" s="289">
        <v>20.515799999999999</v>
      </c>
      <c r="BZ21" s="289">
        <v>20.256599999999999</v>
      </c>
      <c r="CA21" s="185">
        <v>15</v>
      </c>
      <c r="CD21" s="185">
        <v>15</v>
      </c>
      <c r="CE21" s="289">
        <v>21.720400000000001</v>
      </c>
      <c r="CF21" s="289">
        <v>20.327999999999999</v>
      </c>
      <c r="CG21" s="289">
        <v>19.580300000000001</v>
      </c>
      <c r="CH21" s="289">
        <v>18.764600000000002</v>
      </c>
      <c r="CI21" s="289">
        <v>18.9039</v>
      </c>
      <c r="CJ21" s="289">
        <v>18.072500000000002</v>
      </c>
      <c r="CK21" s="289">
        <v>17.7422</v>
      </c>
      <c r="CL21" s="289">
        <v>17.847000000000001</v>
      </c>
      <c r="CM21" s="289">
        <v>17.7836</v>
      </c>
      <c r="CN21" s="289">
        <v>18.763100000000001</v>
      </c>
      <c r="CO21" s="289">
        <v>19.167999999999999</v>
      </c>
      <c r="CP21" s="289">
        <v>19.139099999999999</v>
      </c>
      <c r="CQ21" s="185">
        <v>15</v>
      </c>
      <c r="CT21" s="185">
        <v>15</v>
      </c>
      <c r="CU21" s="289">
        <v>17.850000000000001</v>
      </c>
      <c r="CV21" s="289">
        <v>19.1754</v>
      </c>
      <c r="CW21" s="289">
        <v>17.700199999999999</v>
      </c>
      <c r="CX21" s="289">
        <v>17.489999999999998</v>
      </c>
      <c r="CY21" s="289">
        <v>17.991499999999998</v>
      </c>
      <c r="CZ21" s="289">
        <v>18.791499999999999</v>
      </c>
      <c r="DA21" s="289">
        <v>18.393699999999999</v>
      </c>
      <c r="DB21" s="289">
        <v>18.267800000000001</v>
      </c>
      <c r="DC21" s="289">
        <v>19.152000000000001</v>
      </c>
      <c r="DD21" s="289">
        <v>19.039899999999999</v>
      </c>
      <c r="DE21" s="289">
        <v>21.051100000000002</v>
      </c>
      <c r="DF21" s="289">
        <v>20.256699999999999</v>
      </c>
      <c r="DG21" s="185">
        <v>15</v>
      </c>
      <c r="DJ21" s="185">
        <v>15</v>
      </c>
      <c r="DK21" s="289">
        <v>14.555899999999999</v>
      </c>
      <c r="DL21" s="289">
        <v>14.916700000000001</v>
      </c>
      <c r="DM21" s="289">
        <v>15.4003</v>
      </c>
      <c r="DN21" s="289">
        <v>15.294700000000001</v>
      </c>
      <c r="DO21" s="289">
        <v>15.221299999999999</v>
      </c>
      <c r="DP21" s="289">
        <v>15.440899999999999</v>
      </c>
      <c r="DQ21" s="289">
        <v>15.740399999999999</v>
      </c>
      <c r="DR21" s="289">
        <v>16.297599999999999</v>
      </c>
      <c r="DS21" s="289">
        <v>16.8261</v>
      </c>
      <c r="DT21" s="289">
        <v>16.584800000000001</v>
      </c>
      <c r="DU21" s="289">
        <v>16.740600000000001</v>
      </c>
      <c r="DV21" s="289">
        <v>17.359200000000001</v>
      </c>
      <c r="DW21" s="185">
        <v>15</v>
      </c>
      <c r="DZ21" s="185">
        <v>15</v>
      </c>
      <c r="EA21" s="289">
        <v>12.988899999999999</v>
      </c>
      <c r="EB21" s="289">
        <v>13.332000000000001</v>
      </c>
      <c r="EC21" s="289">
        <v>13.2456</v>
      </c>
      <c r="ED21" s="289">
        <v>13.078799999999999</v>
      </c>
      <c r="EE21" s="289">
        <v>12.923400000000001</v>
      </c>
      <c r="EF21" s="289">
        <v>12.9815</v>
      </c>
      <c r="EG21" s="289">
        <v>12.984999999999999</v>
      </c>
      <c r="EH21" s="289">
        <v>13.1113</v>
      </c>
      <c r="EI21" s="289">
        <v>13.214399999999999</v>
      </c>
      <c r="EJ21" s="289">
        <v>13.420299999999999</v>
      </c>
      <c r="EK21" s="289">
        <v>13.599500000000001</v>
      </c>
      <c r="EL21" s="289">
        <v>14.5181</v>
      </c>
      <c r="EM21" s="185">
        <v>15</v>
      </c>
      <c r="EP21" s="185">
        <v>15</v>
      </c>
      <c r="EQ21" s="289">
        <v>12.6478</v>
      </c>
      <c r="ER21" s="289">
        <v>12.711600000000001</v>
      </c>
      <c r="ES21" s="289">
        <v>12.396699999999999</v>
      </c>
      <c r="ET21" s="289">
        <v>12.069100000000001</v>
      </c>
      <c r="EU21" s="289">
        <v>12.1448</v>
      </c>
      <c r="EV21" s="289">
        <v>12.7812</v>
      </c>
      <c r="EW21" s="289">
        <v>12.8599</v>
      </c>
      <c r="EX21" s="289">
        <v>12.7545</v>
      </c>
      <c r="EY21" s="289">
        <v>13.0854</v>
      </c>
      <c r="EZ21" s="289">
        <v>13.051399999999999</v>
      </c>
      <c r="FA21" s="289">
        <v>13.103</v>
      </c>
      <c r="FB21" s="289">
        <v>12.934200000000001</v>
      </c>
      <c r="FC21" s="185">
        <v>15</v>
      </c>
      <c r="FF21" s="185">
        <v>15</v>
      </c>
      <c r="FG21" s="289">
        <v>13.5982</v>
      </c>
      <c r="FH21" s="289">
        <v>12.7392</v>
      </c>
      <c r="FI21" s="289">
        <v>12.633599999999999</v>
      </c>
      <c r="FJ21" s="289">
        <v>13.073600000000001</v>
      </c>
      <c r="FK21" s="289">
        <v>13.492900000000001</v>
      </c>
      <c r="FL21" s="289">
        <v>13.97</v>
      </c>
      <c r="FM21" s="289">
        <v>13.4795</v>
      </c>
      <c r="FN21" s="289">
        <v>13.147399999999999</v>
      </c>
      <c r="FO21" s="289">
        <v>12.9749</v>
      </c>
      <c r="FP21" s="289">
        <v>12.879200000000001</v>
      </c>
      <c r="FQ21" s="289">
        <v>13.228400000000001</v>
      </c>
      <c r="FR21" s="289">
        <v>12.786899999999999</v>
      </c>
      <c r="FS21" s="185">
        <v>15</v>
      </c>
      <c r="FV21" s="185">
        <v>15</v>
      </c>
      <c r="FW21" s="289">
        <v>12.1028</v>
      </c>
      <c r="FX21" s="289">
        <v>12.063499999999999</v>
      </c>
      <c r="FY21" s="289">
        <v>11.944100000000001</v>
      </c>
      <c r="FZ21" s="289">
        <v>11.790699999999999</v>
      </c>
      <c r="GA21" s="289">
        <v>11.6656</v>
      </c>
      <c r="GB21" s="289">
        <v>11.868</v>
      </c>
      <c r="GC21" s="289">
        <v>11.717000000000001</v>
      </c>
      <c r="GD21" s="289">
        <v>12.389900000000001</v>
      </c>
      <c r="GE21" s="289">
        <v>12.8994</v>
      </c>
      <c r="GF21" s="289">
        <v>13.364699999999999</v>
      </c>
      <c r="GG21" s="289">
        <v>13.416499999999999</v>
      </c>
      <c r="GH21" s="289">
        <v>13.7714</v>
      </c>
      <c r="GI21" s="185">
        <v>15</v>
      </c>
      <c r="GL21" s="185">
        <v>15</v>
      </c>
      <c r="GM21" s="289">
        <v>12.7698</v>
      </c>
      <c r="GN21" s="289">
        <v>13.0609</v>
      </c>
      <c r="GO21" s="289">
        <v>12.619199999999999</v>
      </c>
      <c r="GP21" s="289">
        <v>12.212199999999999</v>
      </c>
      <c r="GQ21" s="289">
        <v>12.350099999999999</v>
      </c>
      <c r="GR21" s="289">
        <v>12.674799999999999</v>
      </c>
      <c r="GS21" s="289">
        <v>12.714</v>
      </c>
      <c r="GT21" s="289">
        <v>12.7258</v>
      </c>
      <c r="GU21" s="289">
        <v>12.8729</v>
      </c>
      <c r="GV21" s="289">
        <v>12.3683</v>
      </c>
      <c r="GW21" s="289">
        <v>12.259600000000001</v>
      </c>
      <c r="GX21" s="289">
        <v>12.386900000000001</v>
      </c>
      <c r="GY21" s="185">
        <v>15</v>
      </c>
      <c r="HB21" s="185">
        <v>15</v>
      </c>
      <c r="HC21" s="289">
        <v>13.839</v>
      </c>
      <c r="HD21" s="289">
        <v>14.6013</v>
      </c>
      <c r="HE21" s="289">
        <v>14.908300000000001</v>
      </c>
      <c r="HF21" s="289">
        <v>13.0914</v>
      </c>
      <c r="HG21" s="289">
        <v>13.3177</v>
      </c>
      <c r="HH21" s="289">
        <v>13.4581</v>
      </c>
      <c r="HI21" s="289">
        <v>13.810499999999999</v>
      </c>
      <c r="HJ21" s="289">
        <v>12.8658</v>
      </c>
      <c r="HK21" s="289">
        <v>13.3432</v>
      </c>
      <c r="HL21" s="289">
        <v>13.1774</v>
      </c>
      <c r="HM21" s="289">
        <v>13.206099999999999</v>
      </c>
      <c r="HN21" s="289">
        <v>12.9253</v>
      </c>
      <c r="HO21" s="185">
        <v>15</v>
      </c>
      <c r="HP21" s="1"/>
      <c r="HQ21" s="1"/>
      <c r="HR21" s="185">
        <v>15</v>
      </c>
      <c r="HS21" s="289">
        <v>10.931800000000001</v>
      </c>
      <c r="HT21" s="289">
        <v>10.7509</v>
      </c>
      <c r="HU21" s="289">
        <v>10.777799999999999</v>
      </c>
      <c r="HV21" s="289">
        <v>10.5337</v>
      </c>
      <c r="HW21" s="289">
        <v>10.483499999999999</v>
      </c>
      <c r="HX21" s="289">
        <v>10.395</v>
      </c>
      <c r="HY21" s="289">
        <v>10.311999999999999</v>
      </c>
      <c r="HZ21" s="289">
        <v>10.1968</v>
      </c>
      <c r="IA21" s="289">
        <v>10.6745</v>
      </c>
      <c r="IB21" s="289">
        <v>12.3743</v>
      </c>
      <c r="IC21" s="289">
        <v>13.1663</v>
      </c>
      <c r="ID21" s="289">
        <v>13.472200000000001</v>
      </c>
      <c r="IE21" s="185">
        <v>15</v>
      </c>
      <c r="IF21" s="1"/>
      <c r="IG21" s="1"/>
      <c r="IH21" s="185">
        <v>15</v>
      </c>
      <c r="II21" s="289">
        <v>10.965</v>
      </c>
      <c r="IJ21" s="289">
        <v>10.9915</v>
      </c>
      <c r="IK21" s="289">
        <v>11.172700000000001</v>
      </c>
      <c r="IL21" s="289">
        <v>11.013500000000001</v>
      </c>
      <c r="IM21" s="289">
        <v>10.8148</v>
      </c>
      <c r="IN21" s="289">
        <v>10.953799999999999</v>
      </c>
      <c r="IO21" s="289">
        <v>10.7799</v>
      </c>
      <c r="IP21" s="289">
        <v>10.9915</v>
      </c>
      <c r="IQ21" s="289">
        <v>11.074299999999999</v>
      </c>
      <c r="IR21" s="289">
        <v>10.8101</v>
      </c>
      <c r="IS21" s="289">
        <v>10.8941</v>
      </c>
      <c r="IT21" s="289">
        <v>10.8376</v>
      </c>
      <c r="IU21" s="185">
        <v>15</v>
      </c>
      <c r="IV21" s="1"/>
      <c r="IW21" s="1"/>
      <c r="IX21" s="185">
        <v>15</v>
      </c>
      <c r="IY21" s="289">
        <v>10.5732</v>
      </c>
      <c r="IZ21" s="289">
        <v>10.5258</v>
      </c>
      <c r="JA21" s="289">
        <v>10.7126</v>
      </c>
      <c r="JB21" s="289">
        <v>11.0708</v>
      </c>
      <c r="JC21" s="289">
        <v>10.838100000000001</v>
      </c>
      <c r="JD21" s="289">
        <v>11.432700000000001</v>
      </c>
      <c r="JE21" s="289">
        <v>11.052300000000001</v>
      </c>
      <c r="JF21" s="289">
        <v>10.8147</v>
      </c>
      <c r="JG21" s="289">
        <v>11.011699999999999</v>
      </c>
      <c r="JH21" s="289">
        <v>10.9406</v>
      </c>
      <c r="JI21" s="289">
        <v>10.926299999999999</v>
      </c>
      <c r="JJ21" s="289">
        <v>10.8255</v>
      </c>
      <c r="JK21" s="185">
        <v>15</v>
      </c>
      <c r="JL21" s="1"/>
      <c r="JM21" s="1"/>
      <c r="JN21" s="185">
        <v>15</v>
      </c>
      <c r="JO21" s="289">
        <v>11.1858</v>
      </c>
      <c r="JP21" s="289">
        <v>11.1532</v>
      </c>
      <c r="JQ21" s="289">
        <v>11.0223</v>
      </c>
      <c r="JR21" s="289">
        <v>11.061500000000001</v>
      </c>
      <c r="JS21" s="289">
        <v>11.0189</v>
      </c>
      <c r="JT21" s="289">
        <v>10.868</v>
      </c>
      <c r="JU21" s="289">
        <v>10.6898</v>
      </c>
      <c r="JV21" s="289">
        <v>10.5815</v>
      </c>
      <c r="JW21" s="289">
        <v>10.7456</v>
      </c>
      <c r="JX21" s="289">
        <v>10.940799999999999</v>
      </c>
      <c r="JY21" s="289">
        <v>10.683299999999999</v>
      </c>
      <c r="JZ21" s="289">
        <v>10.636799999999999</v>
      </c>
      <c r="KA21" s="185">
        <v>15</v>
      </c>
      <c r="KB21" s="1"/>
      <c r="KC21" s="1"/>
      <c r="KD21" s="185">
        <v>15</v>
      </c>
      <c r="KE21" s="289">
        <v>10.8369</v>
      </c>
      <c r="KF21" s="289">
        <v>10.9626</v>
      </c>
      <c r="KG21" s="289">
        <v>10.9633</v>
      </c>
      <c r="KH21" s="289">
        <v>11.270200000000001</v>
      </c>
      <c r="KI21" s="289">
        <v>11.6281</v>
      </c>
      <c r="KJ21" s="289">
        <v>11.3689</v>
      </c>
      <c r="KK21" s="289">
        <v>11.494899999999999</v>
      </c>
      <c r="KL21" s="289">
        <v>11.4414</v>
      </c>
      <c r="KM21" s="289">
        <v>11.576000000000001</v>
      </c>
      <c r="KN21" s="289">
        <v>11.302099999999999</v>
      </c>
      <c r="KO21" s="289">
        <v>11.399699999999999</v>
      </c>
      <c r="KP21" s="289">
        <v>11.304500000000001</v>
      </c>
      <c r="KQ21" s="185">
        <v>15</v>
      </c>
      <c r="KR21" s="1"/>
      <c r="KS21" s="1"/>
      <c r="KT21" s="185">
        <v>15</v>
      </c>
      <c r="KU21" s="289">
        <v>10.536799999999999</v>
      </c>
      <c r="KV21" s="289">
        <v>10.972300000000001</v>
      </c>
      <c r="KW21" s="289">
        <v>10.817299999999999</v>
      </c>
      <c r="KX21" s="289">
        <v>10.702</v>
      </c>
      <c r="KY21" s="289">
        <v>10.160500000000001</v>
      </c>
      <c r="KZ21" s="289">
        <v>10.577500000000001</v>
      </c>
      <c r="LA21" s="289">
        <v>10.4213</v>
      </c>
      <c r="LB21" s="289">
        <v>10.7562</v>
      </c>
      <c r="LC21" s="289">
        <v>10.973699999999999</v>
      </c>
      <c r="LD21" s="289">
        <v>11.1853</v>
      </c>
      <c r="LE21" s="289">
        <v>11.175700000000001</v>
      </c>
      <c r="LF21" s="289">
        <v>11.214499999999999</v>
      </c>
      <c r="LG21" s="185">
        <v>15</v>
      </c>
      <c r="LH21" s="1"/>
      <c r="LI21" s="1"/>
      <c r="LJ21" s="185">
        <v>15</v>
      </c>
      <c r="LK21" s="289">
        <v>9.2734000000000005</v>
      </c>
      <c r="LL21" s="289">
        <v>9.0607000000000006</v>
      </c>
      <c r="LM21" s="289">
        <v>9.1152999999999995</v>
      </c>
      <c r="LN21" s="289">
        <v>9.0770999999999997</v>
      </c>
      <c r="LO21" s="289">
        <v>9.4932999999999996</v>
      </c>
      <c r="LP21" s="289">
        <v>9.6532</v>
      </c>
      <c r="LQ21" s="289">
        <v>9.7979000000000003</v>
      </c>
      <c r="LR21" s="289">
        <v>9.9512</v>
      </c>
      <c r="LS21" s="289">
        <v>10.0023</v>
      </c>
      <c r="LT21" s="289">
        <v>10.1592</v>
      </c>
      <c r="LU21" s="289">
        <v>10.278700000000001</v>
      </c>
      <c r="LV21" s="289">
        <v>10.1785</v>
      </c>
      <c r="LW21" s="185">
        <v>15</v>
      </c>
      <c r="LX21" s="1"/>
      <c r="LY21" s="1"/>
      <c r="LZ21" s="185">
        <v>15</v>
      </c>
      <c r="MA21" s="289">
        <v>9.8547999999999991</v>
      </c>
      <c r="MB21" s="289">
        <v>9.7065000000000001</v>
      </c>
      <c r="MC21" s="289">
        <v>9.6319999999999997</v>
      </c>
      <c r="MD21" s="289">
        <v>9.3093000000000004</v>
      </c>
      <c r="ME21" s="289">
        <v>9.2249999999999996</v>
      </c>
      <c r="MF21" s="289">
        <v>9.1180000000000003</v>
      </c>
      <c r="MG21" s="289">
        <v>9.3420000000000005</v>
      </c>
      <c r="MH21" s="289">
        <v>9.0862999999999996</v>
      </c>
      <c r="MI21" s="289">
        <v>9.4748000000000001</v>
      </c>
      <c r="MJ21" s="289">
        <v>9.3397000000000006</v>
      </c>
      <c r="MK21" s="289">
        <v>9.2518999999999991</v>
      </c>
      <c r="ML21" s="289">
        <v>9.1204000000000001</v>
      </c>
      <c r="MM21" s="185">
        <v>15</v>
      </c>
      <c r="MN21" s="1"/>
      <c r="MO21" s="1"/>
      <c r="MP21" s="185">
        <v>15</v>
      </c>
      <c r="MQ21" s="289">
        <v>9.5056999999999992</v>
      </c>
      <c r="MR21" s="289">
        <v>9.4212000000000007</v>
      </c>
      <c r="MS21" s="289">
        <v>9.3338000000000001</v>
      </c>
      <c r="MT21" s="289">
        <v>9.3987999999999996</v>
      </c>
      <c r="MU21" s="289">
        <v>9.5768000000000004</v>
      </c>
      <c r="MV21" s="289">
        <v>9.7645</v>
      </c>
      <c r="MW21" s="289">
        <v>9.4367999999999999</v>
      </c>
      <c r="MX21" s="289">
        <v>9.2918000000000003</v>
      </c>
      <c r="MY21" s="289">
        <v>9.2859999999999996</v>
      </c>
      <c r="MZ21" s="289">
        <v>9.5192999999999994</v>
      </c>
      <c r="NA21" s="289">
        <v>9.5579999999999998</v>
      </c>
      <c r="NB21" s="289">
        <v>9.4497</v>
      </c>
      <c r="NC21" s="185">
        <v>15</v>
      </c>
      <c r="ND21" s="1"/>
      <c r="NE21" s="1"/>
      <c r="NF21" s="185">
        <v>15</v>
      </c>
      <c r="NG21" s="289">
        <v>10.6</v>
      </c>
      <c r="NH21" s="289">
        <v>9.9793000000000003</v>
      </c>
      <c r="NI21" s="289">
        <v>9.7479999999999993</v>
      </c>
      <c r="NJ21" s="289">
        <v>9.5058000000000007</v>
      </c>
      <c r="NK21" s="289">
        <v>9.2698</v>
      </c>
      <c r="NL21" s="289">
        <v>9.5451999999999995</v>
      </c>
      <c r="NM21" s="289">
        <v>9.4589999999999996</v>
      </c>
      <c r="NN21" s="289">
        <v>9.3533000000000008</v>
      </c>
      <c r="NO21" s="289">
        <v>9.3192000000000004</v>
      </c>
      <c r="NP21" s="289">
        <v>9.5190000000000001</v>
      </c>
      <c r="NQ21" s="289">
        <v>9.3856999999999999</v>
      </c>
      <c r="NR21" s="289">
        <v>9.4143000000000008</v>
      </c>
      <c r="NS21" s="185">
        <v>15</v>
      </c>
      <c r="NT21" s="1"/>
      <c r="NU21" s="1"/>
      <c r="NV21" s="185">
        <v>15</v>
      </c>
      <c r="NW21" s="289">
        <v>8.1628000000000007</v>
      </c>
      <c r="NX21" s="289">
        <v>8.4495000000000005</v>
      </c>
      <c r="NY21" s="289">
        <v>8.5672999999999995</v>
      </c>
      <c r="NZ21" s="289">
        <v>8.5129999999999999</v>
      </c>
      <c r="OA21" s="289">
        <v>8.5198</v>
      </c>
      <c r="OB21" s="289">
        <v>8.9609000000000005</v>
      </c>
      <c r="OC21" s="289">
        <v>8.9024999999999999</v>
      </c>
      <c r="OD21" s="289">
        <v>9.2324999999999999</v>
      </c>
      <c r="OE21" s="289">
        <v>10.5792</v>
      </c>
      <c r="OF21" s="289">
        <v>10.186299999999999</v>
      </c>
      <c r="OG21" s="289">
        <v>10.0563</v>
      </c>
      <c r="OH21" s="289">
        <v>9.9481999999999999</v>
      </c>
      <c r="OI21" s="185">
        <v>15</v>
      </c>
      <c r="OJ21" s="1"/>
      <c r="OK21" s="1"/>
      <c r="OL21" s="185">
        <v>15</v>
      </c>
      <c r="OM21" s="289">
        <v>7.8125</v>
      </c>
      <c r="ON21" s="289">
        <v>7.7897999999999996</v>
      </c>
      <c r="OO21" s="289">
        <v>7.9987000000000004</v>
      </c>
      <c r="OP21" s="289">
        <v>7.9222000000000001</v>
      </c>
      <c r="OQ21" s="289">
        <v>7.9065000000000003</v>
      </c>
      <c r="OR21" s="289">
        <v>7.9633000000000003</v>
      </c>
      <c r="OS21" s="289">
        <v>7.8525999999999998</v>
      </c>
      <c r="OT21" s="289">
        <v>7.7827999999999999</v>
      </c>
      <c r="OU21" s="289">
        <v>7.7847</v>
      </c>
      <c r="OV21" s="289">
        <v>7.7483000000000004</v>
      </c>
      <c r="OW21" s="289">
        <v>8.3800000000000008</v>
      </c>
      <c r="OX21" s="289">
        <v>8.1394000000000002</v>
      </c>
      <c r="OY21" s="185">
        <v>15</v>
      </c>
      <c r="OZ21" s="1"/>
      <c r="PA21" s="1"/>
      <c r="PB21" s="185">
        <v>15</v>
      </c>
      <c r="PC21" s="289">
        <v>7.5213000000000001</v>
      </c>
      <c r="PD21" s="289">
        <v>7.5688000000000004</v>
      </c>
      <c r="PE21" s="289">
        <v>7.5892999999999997</v>
      </c>
      <c r="PF21" s="289">
        <v>7.4989999999999997</v>
      </c>
      <c r="PG21" s="289">
        <v>7.4433999999999996</v>
      </c>
      <c r="PH21" s="289">
        <v>7.6342999999999996</v>
      </c>
      <c r="PI21" s="289">
        <v>7.6429</v>
      </c>
      <c r="PJ21" s="289">
        <v>7.4897</v>
      </c>
      <c r="PK21" s="289">
        <v>7.5416999999999996</v>
      </c>
      <c r="PL21" s="289">
        <v>7.6265000000000001</v>
      </c>
      <c r="PM21" s="289">
        <v>7.9215</v>
      </c>
      <c r="PN21" s="289">
        <v>7.8723000000000001</v>
      </c>
      <c r="PO21" s="185">
        <v>15</v>
      </c>
      <c r="PP21" s="1"/>
      <c r="PQ21" s="1"/>
      <c r="PR21" s="185">
        <v>15</v>
      </c>
      <c r="PS21" s="289">
        <v>5.6875</v>
      </c>
      <c r="PT21" s="289">
        <v>5.6150000000000002</v>
      </c>
      <c r="PU21" s="289">
        <v>6.47</v>
      </c>
      <c r="PV21" s="289">
        <v>6.3033000000000001</v>
      </c>
      <c r="PW21" s="289">
        <v>5.9082999999999997</v>
      </c>
      <c r="PX21" s="289">
        <v>6.1807999999999996</v>
      </c>
      <c r="PY21" s="289">
        <v>6.0282999999999998</v>
      </c>
      <c r="PZ21" s="289">
        <v>6.14</v>
      </c>
      <c r="QA21" s="289">
        <v>6.2743000000000002</v>
      </c>
      <c r="QB21" s="289">
        <v>6.7042000000000002</v>
      </c>
      <c r="QC21" s="289">
        <v>7.8724999999999996</v>
      </c>
      <c r="QD21" s="289">
        <v>7.7949999999999999</v>
      </c>
      <c r="QE21" s="185">
        <v>15</v>
      </c>
      <c r="QF21" s="1"/>
      <c r="QG21" s="1"/>
      <c r="QH21" s="185">
        <v>15</v>
      </c>
      <c r="QI21" s="289">
        <v>3.1061000000000001</v>
      </c>
      <c r="QJ21" s="289">
        <v>3.105</v>
      </c>
      <c r="QK21" s="289">
        <v>3.3025000000000002</v>
      </c>
      <c r="QL21" s="289">
        <v>3.3660000000000001</v>
      </c>
      <c r="QM21" s="289">
        <v>3.3325</v>
      </c>
      <c r="QN21" s="289">
        <v>3.3784000000000001</v>
      </c>
      <c r="QO21" s="289">
        <v>3.4026000000000001</v>
      </c>
      <c r="QP21" s="289">
        <v>3.3980000000000001</v>
      </c>
      <c r="QQ21" s="289">
        <v>3.4199000000000002</v>
      </c>
      <c r="QR21" s="289">
        <v>3.4136000000000002</v>
      </c>
      <c r="QS21" s="289">
        <v>3.4434999999999998</v>
      </c>
      <c r="QT21" s="289">
        <v>3.4584999999999999</v>
      </c>
      <c r="QU21" s="185">
        <v>15</v>
      </c>
      <c r="QV21" s="1"/>
      <c r="QW21" s="1"/>
      <c r="QX21" s="185">
        <v>15</v>
      </c>
      <c r="QY21" s="289">
        <v>3.113</v>
      </c>
      <c r="QZ21" s="289">
        <v>3.1009000000000002</v>
      </c>
      <c r="RA21" s="289">
        <v>3.1196999999999999</v>
      </c>
      <c r="RB21" s="289">
        <v>3.1006999999999998</v>
      </c>
      <c r="RC21" s="289">
        <v>3.1309999999999998</v>
      </c>
      <c r="RD21" s="289">
        <v>3.121</v>
      </c>
      <c r="RE21" s="289">
        <v>3.1284000000000001</v>
      </c>
      <c r="RF21" s="289">
        <v>3.1164999999999998</v>
      </c>
      <c r="RG21" s="289">
        <v>3.1118999999999999</v>
      </c>
      <c r="RH21" s="289">
        <v>3.1128999999999998</v>
      </c>
      <c r="RI21" s="289">
        <v>3.2162999999999999</v>
      </c>
      <c r="RJ21" s="289">
        <v>3.113</v>
      </c>
      <c r="RK21" s="185">
        <v>15</v>
      </c>
      <c r="RL21" s="1"/>
      <c r="RM21" s="1"/>
      <c r="RN21" s="185">
        <v>15</v>
      </c>
      <c r="RO21" s="289">
        <v>3.0661</v>
      </c>
      <c r="RP21" s="289">
        <v>3.0640000000000001</v>
      </c>
      <c r="RQ21" s="289">
        <v>3.0609999999999999</v>
      </c>
      <c r="RR21" s="289">
        <v>3.0625</v>
      </c>
      <c r="RS21" s="289">
        <v>3.0884999999999998</v>
      </c>
      <c r="RT21" s="289">
        <v>3.1191</v>
      </c>
      <c r="RU21" s="289">
        <v>3.1156000000000001</v>
      </c>
      <c r="RV21" s="289">
        <v>3.0733000000000001</v>
      </c>
      <c r="RW21" s="289">
        <v>3.0948000000000002</v>
      </c>
      <c r="RX21" s="289">
        <v>3.1219000000000001</v>
      </c>
      <c r="RY21" s="289">
        <v>3.1156000000000001</v>
      </c>
      <c r="RZ21" s="289">
        <v>3.1137000000000001</v>
      </c>
      <c r="SA21" s="185">
        <v>15</v>
      </c>
      <c r="SB21" s="1"/>
      <c r="SC21" s="1"/>
      <c r="SD21" s="185">
        <v>15</v>
      </c>
      <c r="SE21" s="289">
        <v>2.9510000000000001</v>
      </c>
      <c r="SF21" s="289">
        <v>2.9641999999999999</v>
      </c>
      <c r="SG21" s="289">
        <v>2.9754</v>
      </c>
      <c r="SH21" s="289">
        <v>2.9870000000000001</v>
      </c>
      <c r="SI21" s="289">
        <v>2.9998</v>
      </c>
      <c r="SJ21" s="289">
        <v>3.0122</v>
      </c>
      <c r="SK21" s="289">
        <v>3.0234000000000001</v>
      </c>
      <c r="SL21" s="289">
        <v>3.0366</v>
      </c>
      <c r="SM21" s="289">
        <v>3.0486</v>
      </c>
      <c r="SN21" s="289">
        <v>3.0617999999999999</v>
      </c>
      <c r="SO21" s="289">
        <v>3.0711499999999998</v>
      </c>
      <c r="SP21" s="289">
        <v>3.0629900000000001</v>
      </c>
      <c r="SQ21" s="185">
        <v>15</v>
      </c>
      <c r="SR21" s="1"/>
      <c r="SS21" s="1"/>
      <c r="ST21" s="185">
        <v>15</v>
      </c>
      <c r="SU21" s="289">
        <v>2.6549999999999998</v>
      </c>
      <c r="SV21" s="289">
        <v>2.6880000000000002</v>
      </c>
      <c r="SW21" s="289">
        <v>2.7160000000000002</v>
      </c>
      <c r="SX21" s="289">
        <v>2.746</v>
      </c>
      <c r="SY21" s="289">
        <v>2.7749999999999999</v>
      </c>
      <c r="SZ21" s="289">
        <v>2.8050000000000002</v>
      </c>
      <c r="TA21" s="289">
        <v>2.8281999999999998</v>
      </c>
      <c r="TB21" s="289">
        <v>2.8538000000000001</v>
      </c>
      <c r="TC21" s="289">
        <v>2.8786</v>
      </c>
      <c r="TD21" s="289">
        <v>2.9009999999999998</v>
      </c>
      <c r="TE21" s="289">
        <v>2.9274</v>
      </c>
      <c r="TF21" s="289">
        <v>2.9394</v>
      </c>
      <c r="TG21" s="185">
        <v>15</v>
      </c>
      <c r="TH21" s="1"/>
      <c r="TI21" s="1"/>
      <c r="TJ21" s="185">
        <v>15</v>
      </c>
      <c r="TK21" s="289">
        <v>2.2909999999999999</v>
      </c>
      <c r="TL21" s="289">
        <v>2.323</v>
      </c>
      <c r="TM21" s="289">
        <v>2.351</v>
      </c>
      <c r="TN21" s="289">
        <v>2.3820000000000001</v>
      </c>
      <c r="TO21" s="289">
        <v>2.41</v>
      </c>
      <c r="TP21" s="289">
        <v>2.4430000000000001</v>
      </c>
      <c r="TQ21" s="289">
        <v>2.4729999999999999</v>
      </c>
      <c r="TR21" s="289">
        <v>2.5019999999999998</v>
      </c>
      <c r="TS21" s="289">
        <v>2.5350000000000001</v>
      </c>
      <c r="TT21" s="289">
        <v>2.5640000000000001</v>
      </c>
      <c r="TU21" s="289">
        <v>2.5960000000000001</v>
      </c>
      <c r="TV21" s="289">
        <v>2.6259999999999999</v>
      </c>
      <c r="TW21" s="185">
        <v>15</v>
      </c>
    </row>
    <row r="22" spans="2:543" ht="20.100000000000001" customHeight="1">
      <c r="B22" s="64">
        <v>16</v>
      </c>
      <c r="C22" s="289">
        <v>20.360700000000001</v>
      </c>
      <c r="D22" s="289">
        <v>20.411000000000001</v>
      </c>
      <c r="E22" s="289">
        <v>20.890799999999999</v>
      </c>
      <c r="F22" s="289">
        <v>19.840699999999998</v>
      </c>
      <c r="G22" s="289">
        <v>20.32</v>
      </c>
      <c r="H22" s="289">
        <v>20.658300000000001</v>
      </c>
      <c r="I22" s="289">
        <v>20.941500000000001</v>
      </c>
      <c r="J22" s="289">
        <v>19.873999999999999</v>
      </c>
      <c r="K22" s="289">
        <v>19.976800000000001</v>
      </c>
      <c r="L22" s="289">
        <v>20.0398</v>
      </c>
      <c r="M22" s="289">
        <v>19.401499999999999</v>
      </c>
      <c r="N22" s="289">
        <v>19.695499999999999</v>
      </c>
      <c r="O22" s="64">
        <v>16</v>
      </c>
      <c r="R22" s="64">
        <v>16</v>
      </c>
      <c r="S22" s="289">
        <v>19.779299999999999</v>
      </c>
      <c r="T22" s="289">
        <v>19.962199999999999</v>
      </c>
      <c r="U22" s="289">
        <v>20.7133</v>
      </c>
      <c r="V22" s="289">
        <v>20.058299999999999</v>
      </c>
      <c r="W22" s="289">
        <v>20.049499999999998</v>
      </c>
      <c r="X22" s="289">
        <v>19.906500000000001</v>
      </c>
      <c r="Y22" s="289">
        <v>19.8992</v>
      </c>
      <c r="Z22" s="289">
        <v>19.890699999999999</v>
      </c>
      <c r="AA22" s="289">
        <v>19.903500000000001</v>
      </c>
      <c r="AB22" s="289">
        <v>20.607500000000002</v>
      </c>
      <c r="AC22" s="289">
        <v>20.465199999999999</v>
      </c>
      <c r="AD22" s="289">
        <v>21.164999999999999</v>
      </c>
      <c r="AE22" s="64">
        <v>16</v>
      </c>
      <c r="AH22" s="185">
        <v>16</v>
      </c>
      <c r="AI22" s="289">
        <v>18.812000000000001</v>
      </c>
      <c r="AJ22" s="289">
        <v>18.645800000000001</v>
      </c>
      <c r="AK22" s="289">
        <v>22.151800000000001</v>
      </c>
      <c r="AL22" s="289">
        <v>23.564499999999999</v>
      </c>
      <c r="AM22" s="289">
        <v>24.270800000000001</v>
      </c>
      <c r="AN22" s="289">
        <v>22.334700000000002</v>
      </c>
      <c r="AO22" s="289">
        <v>22.6173</v>
      </c>
      <c r="AP22" s="289">
        <v>22.262799999999999</v>
      </c>
      <c r="AQ22" s="289">
        <v>21.072800000000001</v>
      </c>
      <c r="AR22" s="289">
        <v>21.299800000000001</v>
      </c>
      <c r="AS22" s="289">
        <v>20.5303</v>
      </c>
      <c r="AT22" s="289">
        <v>20.177800000000001</v>
      </c>
      <c r="AU22" s="185">
        <v>16</v>
      </c>
      <c r="AX22" s="185">
        <v>16</v>
      </c>
      <c r="AY22" s="289">
        <v>19.006399999999999</v>
      </c>
      <c r="AZ22" s="289">
        <v>19.3569</v>
      </c>
      <c r="BA22" s="289">
        <v>19.3233</v>
      </c>
      <c r="BB22" s="289">
        <v>18.771899999999999</v>
      </c>
      <c r="BC22" s="289">
        <v>19.142700000000001</v>
      </c>
      <c r="BD22" s="289">
        <v>19.1645</v>
      </c>
      <c r="BE22" s="289">
        <v>19.0307</v>
      </c>
      <c r="BF22" s="289">
        <v>19.5763</v>
      </c>
      <c r="BG22" s="289">
        <v>19.426500000000001</v>
      </c>
      <c r="BH22" s="289">
        <v>19.2652</v>
      </c>
      <c r="BI22" s="289">
        <v>19.422799999999999</v>
      </c>
      <c r="BJ22" s="289">
        <v>19.1785</v>
      </c>
      <c r="BK22" s="185">
        <v>16</v>
      </c>
      <c r="BN22" s="185">
        <v>16</v>
      </c>
      <c r="BO22" s="289">
        <v>19.044599999999999</v>
      </c>
      <c r="BP22" s="289">
        <v>18.602499999999999</v>
      </c>
      <c r="BQ22" s="290">
        <v>18.5854</v>
      </c>
      <c r="BR22" s="289">
        <v>18.135300000000001</v>
      </c>
      <c r="BS22" s="289">
        <v>19.5214</v>
      </c>
      <c r="BT22" s="289">
        <v>20.6953</v>
      </c>
      <c r="BU22" s="289">
        <v>18.824100000000001</v>
      </c>
      <c r="BV22" s="289">
        <v>18.997299999999999</v>
      </c>
      <c r="BW22" s="289">
        <v>18.877500000000001</v>
      </c>
      <c r="BX22" s="289">
        <v>18.920200000000001</v>
      </c>
      <c r="BY22" s="289">
        <v>20.3979</v>
      </c>
      <c r="BZ22" s="289">
        <v>20.256599999999999</v>
      </c>
      <c r="CA22" s="185">
        <v>16</v>
      </c>
      <c r="CD22" s="185">
        <v>16</v>
      </c>
      <c r="CE22" s="289">
        <v>21.720400000000001</v>
      </c>
      <c r="CF22" s="289">
        <v>20.3507</v>
      </c>
      <c r="CG22" s="289">
        <v>19.654299999999999</v>
      </c>
      <c r="CH22" s="289">
        <v>18.764600000000002</v>
      </c>
      <c r="CI22" s="289">
        <v>18.759399999999999</v>
      </c>
      <c r="CJ22" s="289">
        <v>17.9343</v>
      </c>
      <c r="CK22" s="289">
        <v>17.7422</v>
      </c>
      <c r="CL22" s="289">
        <v>17.775500000000001</v>
      </c>
      <c r="CM22" s="289">
        <v>17.727799999999998</v>
      </c>
      <c r="CN22" s="289">
        <v>18.763100000000001</v>
      </c>
      <c r="CO22" s="289">
        <v>19.133400000000002</v>
      </c>
      <c r="CP22" s="289">
        <v>19.120200000000001</v>
      </c>
      <c r="CQ22" s="185">
        <v>16</v>
      </c>
      <c r="CT22" s="185">
        <v>16</v>
      </c>
      <c r="CU22" s="289">
        <v>17.912099999999999</v>
      </c>
      <c r="CV22" s="289">
        <v>19.039200000000001</v>
      </c>
      <c r="CW22" s="289">
        <v>17.769100000000002</v>
      </c>
      <c r="CX22" s="289">
        <v>17.388000000000002</v>
      </c>
      <c r="CY22" s="289">
        <v>17.991499999999998</v>
      </c>
      <c r="CZ22" s="289">
        <v>18.981400000000001</v>
      </c>
      <c r="DA22" s="289">
        <v>18.306100000000001</v>
      </c>
      <c r="DB22" s="289">
        <v>18.2455</v>
      </c>
      <c r="DC22" s="289">
        <v>19.227499999999999</v>
      </c>
      <c r="DD22" s="289">
        <v>19.039899999999999</v>
      </c>
      <c r="DE22" s="289">
        <v>20.872900000000001</v>
      </c>
      <c r="DF22" s="289">
        <v>20.2226</v>
      </c>
      <c r="DG22" s="185">
        <v>16</v>
      </c>
      <c r="DJ22" s="185">
        <v>16</v>
      </c>
      <c r="DK22" s="289">
        <v>14.564399999999999</v>
      </c>
      <c r="DL22" s="289">
        <v>14.916700000000001</v>
      </c>
      <c r="DM22" s="289">
        <v>15.4003</v>
      </c>
      <c r="DN22" s="289">
        <v>15.2339</v>
      </c>
      <c r="DO22" s="289">
        <v>15.1235</v>
      </c>
      <c r="DP22" s="289">
        <v>15.4129</v>
      </c>
      <c r="DQ22" s="289">
        <v>15.672800000000001</v>
      </c>
      <c r="DR22" s="289">
        <v>16.297599999999999</v>
      </c>
      <c r="DS22" s="289">
        <v>16.816800000000001</v>
      </c>
      <c r="DT22" s="289">
        <v>16.580400000000001</v>
      </c>
      <c r="DU22" s="289">
        <v>16.740600000000001</v>
      </c>
      <c r="DV22" s="289">
        <v>17.377600000000001</v>
      </c>
      <c r="DW22" s="185">
        <v>16</v>
      </c>
      <c r="DZ22" s="185">
        <v>16</v>
      </c>
      <c r="EA22" s="289">
        <v>13.095599999999999</v>
      </c>
      <c r="EB22" s="289">
        <v>13.332000000000001</v>
      </c>
      <c r="EC22" s="289">
        <v>13.2456</v>
      </c>
      <c r="ED22" s="289">
        <v>13.049300000000001</v>
      </c>
      <c r="EE22" s="289">
        <v>12.8993</v>
      </c>
      <c r="EF22" s="289">
        <v>12.9815</v>
      </c>
      <c r="EG22" s="289">
        <v>12.9755</v>
      </c>
      <c r="EH22" s="289">
        <v>13.0717</v>
      </c>
      <c r="EI22" s="289">
        <v>13.2644</v>
      </c>
      <c r="EJ22" s="289">
        <v>13.4094</v>
      </c>
      <c r="EK22" s="289">
        <v>13.599500000000001</v>
      </c>
      <c r="EL22" s="289">
        <v>14.6648</v>
      </c>
      <c r="EM22" s="185">
        <v>16</v>
      </c>
      <c r="EP22" s="185">
        <v>16</v>
      </c>
      <c r="EQ22" s="289">
        <v>12.6533</v>
      </c>
      <c r="ER22" s="289">
        <v>12.6982</v>
      </c>
      <c r="ES22" s="289">
        <v>12.454499999999999</v>
      </c>
      <c r="ET22" s="289">
        <v>12.0824</v>
      </c>
      <c r="EU22" s="289">
        <v>12.1485</v>
      </c>
      <c r="EV22" s="289">
        <v>12.7812</v>
      </c>
      <c r="EW22" s="289">
        <v>12.823399999999999</v>
      </c>
      <c r="EX22" s="289">
        <v>12.7255</v>
      </c>
      <c r="EY22" s="289">
        <v>13.0854</v>
      </c>
      <c r="EZ22" s="289">
        <v>13.049200000000001</v>
      </c>
      <c r="FA22" s="289">
        <v>13.017300000000001</v>
      </c>
      <c r="FB22" s="289">
        <v>12.934200000000001</v>
      </c>
      <c r="FC22" s="185">
        <v>16</v>
      </c>
      <c r="FF22" s="185">
        <v>16</v>
      </c>
      <c r="FG22" s="289">
        <v>13.5982</v>
      </c>
      <c r="FH22" s="289">
        <v>12.7753</v>
      </c>
      <c r="FI22" s="289">
        <v>12.671900000000001</v>
      </c>
      <c r="FJ22" s="289">
        <v>13.073600000000001</v>
      </c>
      <c r="FK22" s="289">
        <v>13.6739</v>
      </c>
      <c r="FL22" s="289">
        <v>13.997400000000001</v>
      </c>
      <c r="FM22" s="289">
        <v>13.4795</v>
      </c>
      <c r="FN22" s="289">
        <v>13.1311</v>
      </c>
      <c r="FO22" s="289">
        <v>12.9749</v>
      </c>
      <c r="FP22" s="289">
        <v>12.8901</v>
      </c>
      <c r="FQ22" s="289">
        <v>13.235300000000001</v>
      </c>
      <c r="FR22" s="289">
        <v>12.786899999999999</v>
      </c>
      <c r="FS22" s="185">
        <v>16</v>
      </c>
      <c r="FV22" s="185">
        <v>16</v>
      </c>
      <c r="FW22" s="289">
        <v>12.1028</v>
      </c>
      <c r="FX22" s="289">
        <v>12.046099999999999</v>
      </c>
      <c r="FY22" s="289">
        <v>11.923500000000001</v>
      </c>
      <c r="FZ22" s="289">
        <v>11.767899999999999</v>
      </c>
      <c r="GA22" s="289">
        <v>11.6656</v>
      </c>
      <c r="GB22" s="289">
        <v>11.7982</v>
      </c>
      <c r="GC22" s="289">
        <v>11.701000000000001</v>
      </c>
      <c r="GD22" s="289">
        <v>12.299200000000001</v>
      </c>
      <c r="GE22" s="289">
        <v>12.964600000000001</v>
      </c>
      <c r="GF22" s="289">
        <v>13.364699999999999</v>
      </c>
      <c r="GG22" s="289">
        <v>13.5122</v>
      </c>
      <c r="GH22" s="289">
        <v>13.9412</v>
      </c>
      <c r="GI22" s="185">
        <v>16</v>
      </c>
      <c r="GL22" s="185">
        <v>16</v>
      </c>
      <c r="GM22" s="289">
        <v>12.7364</v>
      </c>
      <c r="GN22" s="289">
        <v>12.9764</v>
      </c>
      <c r="GO22" s="289">
        <v>12.619199999999999</v>
      </c>
      <c r="GP22" s="289">
        <v>12.182700000000001</v>
      </c>
      <c r="GQ22" s="289">
        <v>12.350099999999999</v>
      </c>
      <c r="GR22" s="289">
        <v>12.5974</v>
      </c>
      <c r="GS22" s="289">
        <v>12.717599999999999</v>
      </c>
      <c r="GT22" s="289">
        <v>12.7258</v>
      </c>
      <c r="GU22" s="289">
        <v>12.8355</v>
      </c>
      <c r="GV22" s="289">
        <v>12.4101</v>
      </c>
      <c r="GW22" s="289">
        <v>12.259600000000001</v>
      </c>
      <c r="GX22" s="289">
        <v>12.3703</v>
      </c>
      <c r="GY22" s="185">
        <v>16</v>
      </c>
      <c r="HB22" s="185">
        <v>16</v>
      </c>
      <c r="HC22" s="289">
        <v>14.1083</v>
      </c>
      <c r="HD22" s="289">
        <v>14.6013</v>
      </c>
      <c r="HE22" s="289">
        <v>14.908300000000001</v>
      </c>
      <c r="HF22" s="289">
        <v>13.086</v>
      </c>
      <c r="HG22" s="289">
        <v>13.298299999999999</v>
      </c>
      <c r="HH22" s="289">
        <v>13.399699999999999</v>
      </c>
      <c r="HI22" s="289">
        <v>13.7645</v>
      </c>
      <c r="HJ22" s="289">
        <v>12.8658</v>
      </c>
      <c r="HK22" s="289">
        <v>13.389200000000001</v>
      </c>
      <c r="HL22" s="289">
        <v>13.0779</v>
      </c>
      <c r="HM22" s="289">
        <v>13.206099999999999</v>
      </c>
      <c r="HN22" s="289">
        <v>12.810499999999999</v>
      </c>
      <c r="HO22" s="185">
        <v>16</v>
      </c>
      <c r="HP22" s="1"/>
      <c r="HQ22" s="1"/>
      <c r="HR22" s="185">
        <v>16</v>
      </c>
      <c r="HS22" s="289">
        <v>10.914</v>
      </c>
      <c r="HT22" s="289">
        <v>10.741300000000001</v>
      </c>
      <c r="HU22" s="289">
        <v>10.777799999999999</v>
      </c>
      <c r="HV22" s="289">
        <v>10.491899999999999</v>
      </c>
      <c r="HW22" s="289">
        <v>10.4884</v>
      </c>
      <c r="HX22" s="289">
        <v>10.395</v>
      </c>
      <c r="HY22" s="289">
        <v>10.2925</v>
      </c>
      <c r="HZ22" s="289">
        <v>10.1586</v>
      </c>
      <c r="IA22" s="289">
        <v>10.582800000000001</v>
      </c>
      <c r="IB22" s="289">
        <v>12.345000000000001</v>
      </c>
      <c r="IC22" s="289">
        <v>13.1663</v>
      </c>
      <c r="ID22" s="289">
        <v>13.1821</v>
      </c>
      <c r="IE22" s="185">
        <v>16</v>
      </c>
      <c r="IF22" s="1"/>
      <c r="IG22" s="1"/>
      <c r="IH22" s="185">
        <v>16</v>
      </c>
      <c r="II22" s="289">
        <v>10.9765</v>
      </c>
      <c r="IJ22" s="289">
        <v>10.9152</v>
      </c>
      <c r="IK22" s="289">
        <v>11.1867</v>
      </c>
      <c r="IL22" s="289">
        <v>11.013500000000001</v>
      </c>
      <c r="IM22" s="289">
        <v>10.7987</v>
      </c>
      <c r="IN22" s="289">
        <v>10.901199999999999</v>
      </c>
      <c r="IO22" s="289">
        <v>10.7799</v>
      </c>
      <c r="IP22" s="289">
        <v>11.0549</v>
      </c>
      <c r="IQ22" s="289">
        <v>11.074299999999999</v>
      </c>
      <c r="IR22" s="289">
        <v>10.825200000000001</v>
      </c>
      <c r="IS22" s="289">
        <v>10.868499999999999</v>
      </c>
      <c r="IT22" s="289">
        <v>10.8376</v>
      </c>
      <c r="IU22" s="185">
        <v>16</v>
      </c>
      <c r="IV22" s="1"/>
      <c r="IW22" s="1"/>
      <c r="IX22" s="185">
        <v>16</v>
      </c>
      <c r="IY22" s="289">
        <v>10.5732</v>
      </c>
      <c r="IZ22" s="289">
        <v>10.524900000000001</v>
      </c>
      <c r="JA22" s="289">
        <v>10.6942</v>
      </c>
      <c r="JB22" s="289">
        <v>11.0708</v>
      </c>
      <c r="JC22" s="289">
        <v>11.032500000000001</v>
      </c>
      <c r="JD22" s="289">
        <v>11.4527</v>
      </c>
      <c r="JE22" s="289">
        <v>11.052300000000001</v>
      </c>
      <c r="JF22" s="289">
        <v>10.8028</v>
      </c>
      <c r="JG22" s="289">
        <v>10.9818</v>
      </c>
      <c r="JH22" s="289">
        <v>10.9406</v>
      </c>
      <c r="JI22" s="289">
        <v>10.8675</v>
      </c>
      <c r="JJ22" s="289">
        <v>10.792199999999999</v>
      </c>
      <c r="JK22" s="185">
        <v>16</v>
      </c>
      <c r="JL22" s="1"/>
      <c r="JM22" s="1"/>
      <c r="JN22" s="185">
        <v>16</v>
      </c>
      <c r="JO22" s="289">
        <v>11.1858</v>
      </c>
      <c r="JP22" s="289">
        <v>11.155799999999999</v>
      </c>
      <c r="JQ22" s="289">
        <v>11.135</v>
      </c>
      <c r="JR22" s="289">
        <v>11.103199999999999</v>
      </c>
      <c r="JS22" s="289">
        <v>11.0189</v>
      </c>
      <c r="JT22" s="289">
        <v>10.8392</v>
      </c>
      <c r="JU22" s="289">
        <v>10.6372</v>
      </c>
      <c r="JV22" s="289">
        <v>10.6343</v>
      </c>
      <c r="JW22" s="289">
        <v>10.8355</v>
      </c>
      <c r="JX22" s="289">
        <v>10.940799999999999</v>
      </c>
      <c r="JY22" s="289">
        <v>10.6897</v>
      </c>
      <c r="JZ22" s="289">
        <v>10.693099999999999</v>
      </c>
      <c r="KA22" s="185">
        <v>16</v>
      </c>
      <c r="KB22" s="1"/>
      <c r="KC22" s="1"/>
      <c r="KD22" s="185">
        <v>16</v>
      </c>
      <c r="KE22" s="289">
        <v>10.8231</v>
      </c>
      <c r="KF22" s="289">
        <v>10.9626</v>
      </c>
      <c r="KG22" s="289">
        <v>10.963800000000001</v>
      </c>
      <c r="KH22" s="289">
        <v>11.284800000000001</v>
      </c>
      <c r="KI22" s="289">
        <v>11.6281</v>
      </c>
      <c r="KJ22" s="289">
        <v>11.432700000000001</v>
      </c>
      <c r="KK22" s="289">
        <v>11.4552</v>
      </c>
      <c r="KL22" s="289">
        <v>11.4414</v>
      </c>
      <c r="KM22" s="289">
        <v>11.585100000000001</v>
      </c>
      <c r="KN22" s="289">
        <v>11.3195</v>
      </c>
      <c r="KO22" s="289">
        <v>11.381</v>
      </c>
      <c r="KP22" s="289">
        <v>11.2903</v>
      </c>
      <c r="KQ22" s="185">
        <v>16</v>
      </c>
      <c r="KR22" s="1"/>
      <c r="KS22" s="1"/>
      <c r="KT22" s="185">
        <v>16</v>
      </c>
      <c r="KU22" s="289">
        <v>10.5274</v>
      </c>
      <c r="KV22" s="289">
        <v>10.972300000000001</v>
      </c>
      <c r="KW22" s="289">
        <v>10.817299999999999</v>
      </c>
      <c r="KX22" s="289">
        <v>10.610200000000001</v>
      </c>
      <c r="KY22" s="289">
        <v>10.142799999999999</v>
      </c>
      <c r="KZ22" s="289">
        <v>10.577500000000001</v>
      </c>
      <c r="LA22" s="289">
        <v>10.382099999999999</v>
      </c>
      <c r="LB22" s="289">
        <v>10.696099999999999</v>
      </c>
      <c r="LC22" s="289">
        <v>10.9793</v>
      </c>
      <c r="LD22" s="289">
        <v>11.2347</v>
      </c>
      <c r="LE22" s="289">
        <v>11.175700000000001</v>
      </c>
      <c r="LF22" s="289">
        <v>11.1877</v>
      </c>
      <c r="LG22" s="185">
        <v>16</v>
      </c>
      <c r="LH22" s="1"/>
      <c r="LI22" s="1"/>
      <c r="LJ22" s="185">
        <v>16</v>
      </c>
      <c r="LK22" s="289">
        <v>9.1922999999999995</v>
      </c>
      <c r="LL22" s="289">
        <v>9.0838000000000001</v>
      </c>
      <c r="LM22" s="289">
        <v>9.1181999999999999</v>
      </c>
      <c r="LN22" s="289">
        <v>9.0748999999999995</v>
      </c>
      <c r="LO22" s="289">
        <v>9.5204000000000004</v>
      </c>
      <c r="LP22" s="289">
        <v>9.6532</v>
      </c>
      <c r="LQ22" s="289">
        <v>9.7072000000000003</v>
      </c>
      <c r="LR22" s="289">
        <v>9.9667999999999992</v>
      </c>
      <c r="LS22" s="289">
        <v>10.0023</v>
      </c>
      <c r="LT22" s="289">
        <v>10.1084</v>
      </c>
      <c r="LU22" s="289">
        <v>10.209199999999999</v>
      </c>
      <c r="LV22" s="289">
        <v>10.1785</v>
      </c>
      <c r="LW22" s="185">
        <v>16</v>
      </c>
      <c r="LX22" s="1"/>
      <c r="LY22" s="1"/>
      <c r="LZ22" s="185">
        <v>16</v>
      </c>
      <c r="MA22" s="289">
        <v>9.8797999999999995</v>
      </c>
      <c r="MB22" s="289">
        <v>9.7218999999999998</v>
      </c>
      <c r="MC22" s="289">
        <v>9.5760000000000005</v>
      </c>
      <c r="MD22" s="289">
        <v>9.3093000000000004</v>
      </c>
      <c r="ME22" s="289">
        <v>9.1921999999999997</v>
      </c>
      <c r="MF22" s="289">
        <v>9.0523000000000007</v>
      </c>
      <c r="MG22" s="289">
        <v>9.3420000000000005</v>
      </c>
      <c r="MH22" s="289">
        <v>9.1205999999999996</v>
      </c>
      <c r="MI22" s="289">
        <v>9.4748000000000001</v>
      </c>
      <c r="MJ22" s="289">
        <v>9.3537999999999997</v>
      </c>
      <c r="MK22" s="289">
        <v>9.2362000000000002</v>
      </c>
      <c r="ML22" s="289">
        <v>9.1204000000000001</v>
      </c>
      <c r="MM22" s="185">
        <v>16</v>
      </c>
      <c r="MN22" s="1"/>
      <c r="MO22" s="1"/>
      <c r="MP22" s="185">
        <v>16</v>
      </c>
      <c r="MQ22" s="289">
        <v>9.5056999999999992</v>
      </c>
      <c r="MR22" s="289">
        <v>9.3987999999999996</v>
      </c>
      <c r="MS22" s="289">
        <v>9.3126999999999995</v>
      </c>
      <c r="MT22" s="289">
        <v>9.3987999999999996</v>
      </c>
      <c r="MU22" s="289">
        <v>9.5661000000000005</v>
      </c>
      <c r="MV22" s="289">
        <v>9.7879000000000005</v>
      </c>
      <c r="MW22" s="289">
        <v>9.4367999999999999</v>
      </c>
      <c r="MX22" s="289">
        <v>9.2515999999999998</v>
      </c>
      <c r="MY22" s="289">
        <v>9.3125</v>
      </c>
      <c r="MZ22" s="289">
        <v>9.5192999999999994</v>
      </c>
      <c r="NA22" s="289">
        <v>9.4962999999999997</v>
      </c>
      <c r="NB22" s="289">
        <v>9.4126999999999992</v>
      </c>
      <c r="NC22" s="185">
        <v>16</v>
      </c>
      <c r="ND22" s="1"/>
      <c r="NE22" s="1"/>
      <c r="NF22" s="185">
        <v>16</v>
      </c>
      <c r="NG22" s="289">
        <v>10.5383</v>
      </c>
      <c r="NH22" s="289">
        <v>9.9486000000000008</v>
      </c>
      <c r="NI22" s="289">
        <v>9.7527000000000008</v>
      </c>
      <c r="NJ22" s="289">
        <v>9.5084999999999997</v>
      </c>
      <c r="NK22" s="289">
        <v>9.2698</v>
      </c>
      <c r="NL22" s="289">
        <v>9.5767000000000007</v>
      </c>
      <c r="NM22" s="289">
        <v>9.3388000000000009</v>
      </c>
      <c r="NN22" s="289">
        <v>9.3533000000000008</v>
      </c>
      <c r="NO22" s="289">
        <v>9.3323</v>
      </c>
      <c r="NP22" s="289">
        <v>9.6308000000000007</v>
      </c>
      <c r="NQ22" s="289">
        <v>9.3787000000000003</v>
      </c>
      <c r="NR22" s="289">
        <v>9.4109999999999996</v>
      </c>
      <c r="NS22" s="185">
        <v>16</v>
      </c>
      <c r="NT22" s="1"/>
      <c r="NU22" s="1"/>
      <c r="NV22" s="185">
        <v>16</v>
      </c>
      <c r="NW22" s="289">
        <v>8.1661999999999999</v>
      </c>
      <c r="NX22" s="289">
        <v>8.4495000000000005</v>
      </c>
      <c r="NY22" s="289">
        <v>8.5672999999999995</v>
      </c>
      <c r="NZ22" s="289">
        <v>8.4928000000000008</v>
      </c>
      <c r="OA22" s="289">
        <v>8.5068999999999999</v>
      </c>
      <c r="OB22" s="289">
        <v>9.0463000000000005</v>
      </c>
      <c r="OC22" s="289">
        <v>8.8547999999999991</v>
      </c>
      <c r="OD22" s="289">
        <v>9.2324999999999999</v>
      </c>
      <c r="OE22" s="289">
        <v>10.523300000000001</v>
      </c>
      <c r="OF22" s="289">
        <v>10.18</v>
      </c>
      <c r="OG22" s="289">
        <v>10.0563</v>
      </c>
      <c r="OH22" s="289">
        <v>9.9490999999999996</v>
      </c>
      <c r="OI22" s="185">
        <v>16</v>
      </c>
      <c r="OJ22" s="1"/>
      <c r="OK22" s="1"/>
      <c r="OL22" s="185">
        <v>16</v>
      </c>
      <c r="OM22" s="289">
        <v>7.8005000000000004</v>
      </c>
      <c r="ON22" s="289">
        <v>7.7897999999999996</v>
      </c>
      <c r="OO22" s="289">
        <v>7.9987000000000004</v>
      </c>
      <c r="OP22" s="289">
        <v>7.9063999999999997</v>
      </c>
      <c r="OQ22" s="289">
        <v>7.8925000000000001</v>
      </c>
      <c r="OR22" s="289">
        <v>7.9633000000000003</v>
      </c>
      <c r="OS22" s="289">
        <v>7.8693</v>
      </c>
      <c r="OT22" s="289">
        <v>7.766</v>
      </c>
      <c r="OU22" s="289">
        <v>7.7793999999999999</v>
      </c>
      <c r="OV22" s="289">
        <v>7.7427000000000001</v>
      </c>
      <c r="OW22" s="289">
        <v>8.3800000000000008</v>
      </c>
      <c r="OX22" s="289">
        <v>8.1997999999999998</v>
      </c>
      <c r="OY22" s="185">
        <v>16</v>
      </c>
      <c r="OZ22" s="1"/>
      <c r="PA22" s="1"/>
      <c r="PB22" s="185">
        <v>16</v>
      </c>
      <c r="PC22" s="289">
        <v>7.4679000000000002</v>
      </c>
      <c r="PD22" s="289">
        <v>7.5297999999999998</v>
      </c>
      <c r="PE22" s="289">
        <v>7.5616000000000003</v>
      </c>
      <c r="PF22" s="289">
        <v>7.4995000000000003</v>
      </c>
      <c r="PG22" s="289">
        <v>7.4074999999999998</v>
      </c>
      <c r="PH22" s="289">
        <v>7.6342999999999996</v>
      </c>
      <c r="PI22" s="289">
        <v>7.6390000000000002</v>
      </c>
      <c r="PJ22" s="289">
        <v>7.4867999999999997</v>
      </c>
      <c r="PK22" s="289">
        <v>7.5416999999999996</v>
      </c>
      <c r="PL22" s="289">
        <v>7.6923000000000004</v>
      </c>
      <c r="PM22" s="289">
        <v>7.9181999999999997</v>
      </c>
      <c r="PN22" s="289">
        <v>7.8723000000000001</v>
      </c>
      <c r="PO22" s="185">
        <v>16</v>
      </c>
      <c r="PP22" s="1"/>
      <c r="PQ22" s="1"/>
      <c r="PR22" s="185">
        <v>16</v>
      </c>
      <c r="PS22" s="289">
        <v>5.6875</v>
      </c>
      <c r="PT22" s="289">
        <v>5.7675000000000001</v>
      </c>
      <c r="PU22" s="289">
        <v>6.57</v>
      </c>
      <c r="PV22" s="289">
        <v>6.3033000000000001</v>
      </c>
      <c r="PW22" s="289">
        <v>5.9408000000000003</v>
      </c>
      <c r="PX22" s="289">
        <v>6.2275</v>
      </c>
      <c r="PY22" s="289">
        <v>6.0282999999999998</v>
      </c>
      <c r="PZ22" s="289">
        <v>6.1425999999999998</v>
      </c>
      <c r="QA22" s="289">
        <v>6.2775999999999996</v>
      </c>
      <c r="QB22" s="289">
        <v>6.7042000000000002</v>
      </c>
      <c r="QC22" s="289">
        <v>8.0950000000000006</v>
      </c>
      <c r="QD22" s="289">
        <v>7.8192000000000004</v>
      </c>
      <c r="QE22" s="185">
        <v>16</v>
      </c>
      <c r="QF22" s="1"/>
      <c r="QG22" s="1"/>
      <c r="QH22" s="185">
        <v>16</v>
      </c>
      <c r="QI22" s="289">
        <v>3.1061000000000001</v>
      </c>
      <c r="QJ22" s="289">
        <v>3.1055000000000001</v>
      </c>
      <c r="QK22" s="289">
        <v>3.2848999999999999</v>
      </c>
      <c r="QL22" s="289">
        <v>3.3666</v>
      </c>
      <c r="QM22" s="289">
        <v>3.3325</v>
      </c>
      <c r="QN22" s="289">
        <v>3.3734000000000002</v>
      </c>
      <c r="QO22" s="289">
        <v>3.4024999999999999</v>
      </c>
      <c r="QP22" s="289">
        <v>3.3996</v>
      </c>
      <c r="QQ22" s="289">
        <v>3.4167999999999998</v>
      </c>
      <c r="QR22" s="289">
        <v>3.4136000000000002</v>
      </c>
      <c r="QS22" s="289">
        <v>3.4512999999999998</v>
      </c>
      <c r="QT22" s="289">
        <v>3.4542999999999999</v>
      </c>
      <c r="QU22" s="185">
        <v>16</v>
      </c>
      <c r="QV22" s="1"/>
      <c r="QW22" s="1"/>
      <c r="QX22" s="185">
        <v>16</v>
      </c>
      <c r="QY22" s="289">
        <v>3.113</v>
      </c>
      <c r="QZ22" s="289">
        <v>3.0966999999999998</v>
      </c>
      <c r="RA22" s="289">
        <v>3.1196000000000002</v>
      </c>
      <c r="RB22" s="289">
        <v>3.0989</v>
      </c>
      <c r="RC22" s="289">
        <v>3.1309999999999998</v>
      </c>
      <c r="RD22" s="289">
        <v>3.1221999999999999</v>
      </c>
      <c r="RE22" s="289">
        <v>3.1234999999999999</v>
      </c>
      <c r="RF22" s="289">
        <v>3.1164999999999998</v>
      </c>
      <c r="RG22" s="289">
        <v>3.1109</v>
      </c>
      <c r="RH22" s="289">
        <v>3.1135000000000002</v>
      </c>
      <c r="RI22" s="289">
        <v>3.2324999999999999</v>
      </c>
      <c r="RJ22" s="289">
        <v>3.1118000000000001</v>
      </c>
      <c r="RK22" s="185">
        <v>16</v>
      </c>
      <c r="RL22" s="1"/>
      <c r="RM22" s="1"/>
      <c r="RN22" s="185">
        <v>16</v>
      </c>
      <c r="RO22" s="289">
        <v>3.0642</v>
      </c>
      <c r="RP22" s="289">
        <v>3.0640000000000001</v>
      </c>
      <c r="RQ22" s="289">
        <v>3.0609999999999999</v>
      </c>
      <c r="RR22" s="289">
        <v>3.0649999999999999</v>
      </c>
      <c r="RS22" s="289">
        <v>3.1093999999999999</v>
      </c>
      <c r="RT22" s="289">
        <v>3.1191</v>
      </c>
      <c r="RU22" s="289">
        <v>3.1173999999999999</v>
      </c>
      <c r="RV22" s="289">
        <v>3.0733000000000001</v>
      </c>
      <c r="RW22" s="289">
        <v>3.0941000000000001</v>
      </c>
      <c r="RX22" s="289">
        <v>3.1360000000000001</v>
      </c>
      <c r="RY22" s="289">
        <v>3.1156000000000001</v>
      </c>
      <c r="RZ22" s="289">
        <v>3.1168999999999998</v>
      </c>
      <c r="SA22" s="185">
        <v>16</v>
      </c>
      <c r="SB22" s="1"/>
      <c r="SC22" s="1"/>
      <c r="SD22" s="185">
        <v>16</v>
      </c>
      <c r="SE22" s="289">
        <v>2.9521999999999999</v>
      </c>
      <c r="SF22" s="289">
        <v>2.9645999999999999</v>
      </c>
      <c r="SG22" s="289">
        <v>2.9758</v>
      </c>
      <c r="SH22" s="289">
        <v>2.9874000000000001</v>
      </c>
      <c r="SI22" s="289">
        <v>3.0002</v>
      </c>
      <c r="SJ22" s="289">
        <v>3.0122</v>
      </c>
      <c r="SK22" s="289">
        <v>3.0238</v>
      </c>
      <c r="SL22" s="289">
        <v>3.0369999999999999</v>
      </c>
      <c r="SM22" s="289">
        <v>3.0486</v>
      </c>
      <c r="SN22" s="289">
        <v>3.0621999999999998</v>
      </c>
      <c r="SO22" s="289">
        <v>3.07179</v>
      </c>
      <c r="SP22" s="289">
        <v>3.0629900000000001</v>
      </c>
      <c r="SQ22" s="185">
        <v>16</v>
      </c>
      <c r="SR22" s="1"/>
      <c r="SS22" s="1"/>
      <c r="ST22" s="185">
        <v>16</v>
      </c>
      <c r="SU22" s="289">
        <v>2.6560000000000001</v>
      </c>
      <c r="SV22" s="289">
        <v>2.6890000000000001</v>
      </c>
      <c r="SW22" s="289">
        <v>2.7170000000000001</v>
      </c>
      <c r="SX22" s="289">
        <v>2.746</v>
      </c>
      <c r="SY22" s="289">
        <v>2.778</v>
      </c>
      <c r="SZ22" s="289">
        <v>2.8058000000000001</v>
      </c>
      <c r="TA22" s="289">
        <v>2.8281999999999998</v>
      </c>
      <c r="TB22" s="289">
        <v>2.8546</v>
      </c>
      <c r="TC22" s="289">
        <v>2.8786</v>
      </c>
      <c r="TD22" s="289">
        <v>2.9018000000000002</v>
      </c>
      <c r="TE22" s="289">
        <v>2.9278</v>
      </c>
      <c r="TF22" s="289">
        <v>2.9394</v>
      </c>
      <c r="TG22" s="185">
        <v>16</v>
      </c>
      <c r="TH22" s="1"/>
      <c r="TI22" s="1"/>
      <c r="TJ22" s="185">
        <v>16</v>
      </c>
      <c r="TK22" s="289">
        <v>2.2909999999999999</v>
      </c>
      <c r="TL22" s="289">
        <v>2.3239999999999998</v>
      </c>
      <c r="TM22" s="289">
        <v>2.3519999999999999</v>
      </c>
      <c r="TN22" s="289">
        <v>2.3820000000000001</v>
      </c>
      <c r="TO22" s="289">
        <v>2.411</v>
      </c>
      <c r="TP22" s="289">
        <v>2.444</v>
      </c>
      <c r="TQ22" s="289">
        <v>2.4729999999999999</v>
      </c>
      <c r="TR22" s="289">
        <v>2.5049999999999999</v>
      </c>
      <c r="TS22" s="289">
        <v>2.536</v>
      </c>
      <c r="TT22" s="289">
        <v>2.5640000000000001</v>
      </c>
      <c r="TU22" s="289">
        <v>2.597</v>
      </c>
      <c r="TV22" s="289">
        <v>2.6269999999999998</v>
      </c>
      <c r="TW22" s="185">
        <v>16</v>
      </c>
    </row>
    <row r="23" spans="2:543" ht="20.100000000000001" customHeight="1">
      <c r="B23" s="64">
        <v>17</v>
      </c>
      <c r="C23" s="289">
        <v>20.360700000000001</v>
      </c>
      <c r="D23" s="289">
        <v>20.3992</v>
      </c>
      <c r="E23" s="289">
        <v>20.874300000000002</v>
      </c>
      <c r="F23" s="289">
        <v>19.840699999999998</v>
      </c>
      <c r="G23" s="289">
        <v>20.144300000000001</v>
      </c>
      <c r="H23" s="289">
        <v>20.6675</v>
      </c>
      <c r="I23" s="289">
        <v>20.941500000000001</v>
      </c>
      <c r="J23" s="289">
        <v>19.861799999999999</v>
      </c>
      <c r="K23" s="289">
        <v>19.976800000000001</v>
      </c>
      <c r="L23" s="289">
        <v>20.0398</v>
      </c>
      <c r="M23" s="289">
        <v>19.381799999999998</v>
      </c>
      <c r="N23" s="289">
        <v>19.796299999999999</v>
      </c>
      <c r="O23" s="64">
        <v>17</v>
      </c>
      <c r="R23" s="64">
        <v>17</v>
      </c>
      <c r="S23" s="289">
        <v>19.779299999999999</v>
      </c>
      <c r="T23" s="289">
        <v>19.951799999999999</v>
      </c>
      <c r="U23" s="289">
        <v>20.7637</v>
      </c>
      <c r="V23" s="289">
        <v>19.927</v>
      </c>
      <c r="W23" s="289">
        <v>20.049499999999998</v>
      </c>
      <c r="X23" s="289">
        <v>20.1235</v>
      </c>
      <c r="Y23" s="289">
        <v>19.941199999999998</v>
      </c>
      <c r="Z23" s="289">
        <v>19.860299999999999</v>
      </c>
      <c r="AA23" s="289">
        <v>19.903500000000001</v>
      </c>
      <c r="AB23" s="289">
        <v>20.607500000000002</v>
      </c>
      <c r="AC23" s="289">
        <v>20.507200000000001</v>
      </c>
      <c r="AD23" s="289">
        <v>21.2393</v>
      </c>
      <c r="AE23" s="64">
        <v>17</v>
      </c>
      <c r="AH23" s="185">
        <v>17</v>
      </c>
      <c r="AI23" s="289">
        <v>18.807700000000001</v>
      </c>
      <c r="AJ23" s="289">
        <v>18.645800000000001</v>
      </c>
      <c r="AK23" s="289">
        <v>22.151800000000001</v>
      </c>
      <c r="AL23" s="289">
        <v>24.115500000000001</v>
      </c>
      <c r="AM23" s="289">
        <v>24.270800000000001</v>
      </c>
      <c r="AN23" s="289">
        <v>22.543500000000002</v>
      </c>
      <c r="AO23" s="289">
        <v>22.364699999999999</v>
      </c>
      <c r="AP23" s="289">
        <v>22.262799999999999</v>
      </c>
      <c r="AQ23" s="289">
        <v>21.072800000000001</v>
      </c>
      <c r="AR23" s="289">
        <v>21.383199999999999</v>
      </c>
      <c r="AS23" s="289">
        <v>20.5303</v>
      </c>
      <c r="AT23" s="289">
        <v>20.1113</v>
      </c>
      <c r="AU23" s="185">
        <v>17</v>
      </c>
      <c r="AX23" s="185">
        <v>17</v>
      </c>
      <c r="AY23" s="289">
        <v>19.0457</v>
      </c>
      <c r="AZ23" s="289">
        <v>19.3569</v>
      </c>
      <c r="BA23" s="289">
        <v>19.3233</v>
      </c>
      <c r="BB23" s="289">
        <v>18.8489</v>
      </c>
      <c r="BC23" s="289">
        <v>19.1236</v>
      </c>
      <c r="BD23" s="289">
        <v>19.1645</v>
      </c>
      <c r="BE23" s="289">
        <v>18.9803</v>
      </c>
      <c r="BF23" s="289">
        <v>19.636500000000002</v>
      </c>
      <c r="BG23" s="289">
        <v>19.426500000000001</v>
      </c>
      <c r="BH23" s="289">
        <v>19.251999999999999</v>
      </c>
      <c r="BI23" s="289">
        <v>19.422799999999999</v>
      </c>
      <c r="BJ23" s="289">
        <v>19.045500000000001</v>
      </c>
      <c r="BK23" s="185">
        <v>17</v>
      </c>
      <c r="BN23" s="185">
        <v>17</v>
      </c>
      <c r="BO23" s="289">
        <v>18.811299999999999</v>
      </c>
      <c r="BP23" s="289">
        <v>18.515899999999998</v>
      </c>
      <c r="BQ23" s="290">
        <v>18.702300000000001</v>
      </c>
      <c r="BR23" s="289">
        <v>18.087</v>
      </c>
      <c r="BS23" s="289">
        <v>19.785399999999999</v>
      </c>
      <c r="BT23" s="289">
        <v>20.6953</v>
      </c>
      <c r="BU23" s="289">
        <v>18.885400000000001</v>
      </c>
      <c r="BV23" s="289">
        <v>19.233899999999998</v>
      </c>
      <c r="BW23" s="289">
        <v>18.877500000000001</v>
      </c>
      <c r="BX23" s="289">
        <v>18.8096</v>
      </c>
      <c r="BY23" s="289">
        <v>20.3371</v>
      </c>
      <c r="BZ23" s="289">
        <v>20.256599999999999</v>
      </c>
      <c r="CA23" s="185">
        <v>17</v>
      </c>
      <c r="CD23" s="185">
        <v>17</v>
      </c>
      <c r="CE23" s="289">
        <v>21.632999999999999</v>
      </c>
      <c r="CF23" s="289">
        <v>20.325399999999998</v>
      </c>
      <c r="CG23" s="289">
        <v>19.449300000000001</v>
      </c>
      <c r="CH23" s="289">
        <v>18.764600000000002</v>
      </c>
      <c r="CI23" s="289">
        <v>18.670000000000002</v>
      </c>
      <c r="CJ23" s="289">
        <v>18.115400000000001</v>
      </c>
      <c r="CK23" s="289">
        <v>17.7422</v>
      </c>
      <c r="CL23" s="289">
        <v>17.848299999999998</v>
      </c>
      <c r="CM23" s="289">
        <v>17.727799999999998</v>
      </c>
      <c r="CN23" s="289">
        <v>18.9008</v>
      </c>
      <c r="CO23" s="289">
        <v>19.226800000000001</v>
      </c>
      <c r="CP23" s="289">
        <v>19.120200000000001</v>
      </c>
      <c r="CQ23" s="185">
        <v>17</v>
      </c>
      <c r="CT23" s="185">
        <v>17</v>
      </c>
      <c r="CU23" s="289">
        <v>17.912099999999999</v>
      </c>
      <c r="CV23" s="289">
        <v>18.847100000000001</v>
      </c>
      <c r="CW23" s="289">
        <v>17.925999999999998</v>
      </c>
      <c r="CX23" s="289">
        <v>17.388000000000002</v>
      </c>
      <c r="CY23" s="289">
        <v>18.156199999999998</v>
      </c>
      <c r="CZ23" s="289">
        <v>18.8672</v>
      </c>
      <c r="DA23" s="289">
        <v>18.306100000000001</v>
      </c>
      <c r="DB23" s="289">
        <v>18.036300000000001</v>
      </c>
      <c r="DC23" s="289">
        <v>19.227499999999999</v>
      </c>
      <c r="DD23" s="289">
        <v>19.039899999999999</v>
      </c>
      <c r="DE23" s="289">
        <v>20.349</v>
      </c>
      <c r="DF23" s="289">
        <v>20.597300000000001</v>
      </c>
      <c r="DG23" s="185">
        <v>17</v>
      </c>
      <c r="DJ23" s="185">
        <v>17</v>
      </c>
      <c r="DK23" s="289">
        <v>14.582100000000001</v>
      </c>
      <c r="DL23" s="289">
        <v>14.8605</v>
      </c>
      <c r="DM23" s="289">
        <v>15.4003</v>
      </c>
      <c r="DN23" s="289">
        <v>15.389099999999999</v>
      </c>
      <c r="DO23" s="289">
        <v>15.1235</v>
      </c>
      <c r="DP23" s="289">
        <v>15.432700000000001</v>
      </c>
      <c r="DQ23" s="289">
        <v>15.747</v>
      </c>
      <c r="DR23" s="289">
        <v>16.354099999999999</v>
      </c>
      <c r="DS23" s="289">
        <v>16.816800000000001</v>
      </c>
      <c r="DT23" s="289">
        <v>16.580400000000001</v>
      </c>
      <c r="DU23" s="289">
        <v>16.740600000000001</v>
      </c>
      <c r="DV23" s="289">
        <v>17.152899999999999</v>
      </c>
      <c r="DW23" s="185">
        <v>17</v>
      </c>
      <c r="DZ23" s="185">
        <v>17</v>
      </c>
      <c r="EA23" s="289">
        <v>13.168900000000001</v>
      </c>
      <c r="EB23" s="289">
        <v>13.332000000000001</v>
      </c>
      <c r="EC23" s="289">
        <v>13.2456</v>
      </c>
      <c r="ED23" s="289">
        <v>13.098599999999999</v>
      </c>
      <c r="EE23" s="289">
        <v>12.9755</v>
      </c>
      <c r="EF23" s="289">
        <v>13.016400000000001</v>
      </c>
      <c r="EG23" s="289">
        <v>12.9611</v>
      </c>
      <c r="EH23" s="289">
        <v>13.0717</v>
      </c>
      <c r="EI23" s="289">
        <v>13.2644</v>
      </c>
      <c r="EJ23" s="289">
        <v>13.542299999999999</v>
      </c>
      <c r="EK23" s="289">
        <v>13.599500000000001</v>
      </c>
      <c r="EL23" s="289">
        <v>14.785299999999999</v>
      </c>
      <c r="EM23" s="185">
        <v>17</v>
      </c>
      <c r="EP23" s="185">
        <v>17</v>
      </c>
      <c r="EQ23" s="289">
        <v>12.6526</v>
      </c>
      <c r="ER23" s="289">
        <v>12.6982</v>
      </c>
      <c r="ES23" s="289">
        <v>12.454499999999999</v>
      </c>
      <c r="ET23" s="289">
        <v>12.1729</v>
      </c>
      <c r="EU23" s="289">
        <v>12.231299999999999</v>
      </c>
      <c r="EV23" s="289">
        <v>12.7812</v>
      </c>
      <c r="EW23" s="289">
        <v>12.7387</v>
      </c>
      <c r="EX23" s="289">
        <v>12.862500000000001</v>
      </c>
      <c r="EY23" s="289">
        <v>13.0854</v>
      </c>
      <c r="EZ23" s="289">
        <v>12.9725</v>
      </c>
      <c r="FA23" s="289">
        <v>13.017300000000001</v>
      </c>
      <c r="FB23" s="289">
        <v>12.951499999999999</v>
      </c>
      <c r="FC23" s="185">
        <v>17</v>
      </c>
      <c r="FF23" s="185">
        <v>17</v>
      </c>
      <c r="FG23" s="289">
        <v>13.626300000000001</v>
      </c>
      <c r="FH23" s="289">
        <v>12.7658</v>
      </c>
      <c r="FI23" s="289">
        <v>12.6591</v>
      </c>
      <c r="FJ23" s="289">
        <v>13.145799999999999</v>
      </c>
      <c r="FK23" s="289">
        <v>13.7302</v>
      </c>
      <c r="FL23" s="289">
        <v>13.997400000000001</v>
      </c>
      <c r="FM23" s="289">
        <v>13.344900000000001</v>
      </c>
      <c r="FN23" s="289">
        <v>13.1639</v>
      </c>
      <c r="FO23" s="289">
        <v>12.9749</v>
      </c>
      <c r="FP23" s="289">
        <v>12.8188</v>
      </c>
      <c r="FQ23" s="289">
        <v>13.2522</v>
      </c>
      <c r="FR23" s="289">
        <v>12.786899999999999</v>
      </c>
      <c r="FS23" s="185">
        <v>17</v>
      </c>
      <c r="FV23" s="185">
        <v>17</v>
      </c>
      <c r="FW23" s="289">
        <v>12.1028</v>
      </c>
      <c r="FX23" s="289">
        <v>12.114000000000001</v>
      </c>
      <c r="FY23" s="289">
        <v>12.017099999999999</v>
      </c>
      <c r="FZ23" s="289">
        <v>11.767899999999999</v>
      </c>
      <c r="GA23" s="289">
        <v>11.7219</v>
      </c>
      <c r="GB23" s="289">
        <v>11.8751</v>
      </c>
      <c r="GC23" s="289">
        <v>11.701000000000001</v>
      </c>
      <c r="GD23" s="289">
        <v>12.2424</v>
      </c>
      <c r="GE23" s="289">
        <v>12.964600000000001</v>
      </c>
      <c r="GF23" s="289">
        <v>13.364699999999999</v>
      </c>
      <c r="GG23" s="289">
        <v>13.5672</v>
      </c>
      <c r="GH23" s="289">
        <v>13.823</v>
      </c>
      <c r="GI23" s="185">
        <v>17</v>
      </c>
      <c r="GL23" s="185">
        <v>17</v>
      </c>
      <c r="GM23" s="289">
        <v>12.7364</v>
      </c>
      <c r="GN23" s="289">
        <v>12.942</v>
      </c>
      <c r="GO23" s="289">
        <v>12.5527</v>
      </c>
      <c r="GP23" s="289">
        <v>12.1934</v>
      </c>
      <c r="GQ23" s="289">
        <v>12.350099999999999</v>
      </c>
      <c r="GR23" s="289">
        <v>12.600099999999999</v>
      </c>
      <c r="GS23" s="289">
        <v>12.779500000000001</v>
      </c>
      <c r="GT23" s="289">
        <v>12.7256</v>
      </c>
      <c r="GU23" s="289">
        <v>12.8355</v>
      </c>
      <c r="GV23" s="289">
        <v>12.4101</v>
      </c>
      <c r="GW23" s="289">
        <v>12.262600000000001</v>
      </c>
      <c r="GX23" s="289">
        <v>12.3963</v>
      </c>
      <c r="GY23" s="185">
        <v>17</v>
      </c>
      <c r="HB23" s="185">
        <v>17</v>
      </c>
      <c r="HC23" s="289">
        <v>14.219200000000001</v>
      </c>
      <c r="HD23" s="289">
        <v>14.432600000000001</v>
      </c>
      <c r="HE23" s="289">
        <v>14.908300000000001</v>
      </c>
      <c r="HF23" s="289">
        <v>13.1683</v>
      </c>
      <c r="HG23" s="289">
        <v>13.298299999999999</v>
      </c>
      <c r="HH23" s="289">
        <v>13.452299999999999</v>
      </c>
      <c r="HI23" s="289">
        <v>13.6526</v>
      </c>
      <c r="HJ23" s="289">
        <v>12.8658</v>
      </c>
      <c r="HK23" s="289">
        <v>13.389200000000001</v>
      </c>
      <c r="HL23" s="289">
        <v>13.0884</v>
      </c>
      <c r="HM23" s="289">
        <v>13.206099999999999</v>
      </c>
      <c r="HN23" s="289">
        <v>12.7234</v>
      </c>
      <c r="HO23" s="185">
        <v>17</v>
      </c>
      <c r="HP23" s="1"/>
      <c r="HQ23" s="1"/>
      <c r="HR23" s="185">
        <v>17</v>
      </c>
      <c r="HS23" s="289">
        <v>10.920299999999999</v>
      </c>
      <c r="HT23" s="289">
        <v>10.741300000000001</v>
      </c>
      <c r="HU23" s="289">
        <v>10.777799999999999</v>
      </c>
      <c r="HV23" s="289">
        <v>10.484299999999999</v>
      </c>
      <c r="HW23" s="289">
        <v>10.476900000000001</v>
      </c>
      <c r="HX23" s="289">
        <v>10.365500000000001</v>
      </c>
      <c r="HY23" s="289">
        <v>10.322900000000001</v>
      </c>
      <c r="HZ23" s="289">
        <v>10.1586</v>
      </c>
      <c r="IA23" s="289">
        <v>10.582800000000001</v>
      </c>
      <c r="IB23" s="289">
        <v>12.719200000000001</v>
      </c>
      <c r="IC23" s="289">
        <v>13.1663</v>
      </c>
      <c r="ID23" s="289">
        <v>13.3317</v>
      </c>
      <c r="IE23" s="185">
        <v>17</v>
      </c>
      <c r="IF23" s="1"/>
      <c r="IG23" s="1"/>
      <c r="IH23" s="185">
        <v>17</v>
      </c>
      <c r="II23" s="289">
        <v>10.9419</v>
      </c>
      <c r="IJ23" s="289">
        <v>10.952199999999999</v>
      </c>
      <c r="IK23" s="289">
        <v>11.1348</v>
      </c>
      <c r="IL23" s="289">
        <v>10.9917</v>
      </c>
      <c r="IM23" s="289">
        <v>10.8032</v>
      </c>
      <c r="IN23" s="289">
        <v>10.901199999999999</v>
      </c>
      <c r="IO23" s="289">
        <v>10.7608</v>
      </c>
      <c r="IP23" s="289">
        <v>11.114800000000001</v>
      </c>
      <c r="IQ23" s="289">
        <v>11.074299999999999</v>
      </c>
      <c r="IR23" s="289">
        <v>10.8133</v>
      </c>
      <c r="IS23" s="289">
        <v>10.9145</v>
      </c>
      <c r="IT23" s="289">
        <v>10.8376</v>
      </c>
      <c r="IU23" s="185">
        <v>17</v>
      </c>
      <c r="IV23" s="1"/>
      <c r="IW23" s="1"/>
      <c r="IX23" s="185">
        <v>17</v>
      </c>
      <c r="IY23" s="289">
        <v>10.575200000000001</v>
      </c>
      <c r="IZ23" s="289">
        <v>10.516999999999999</v>
      </c>
      <c r="JA23" s="289">
        <v>10.666700000000001</v>
      </c>
      <c r="JB23" s="289">
        <v>11.0708</v>
      </c>
      <c r="JC23" s="289">
        <v>11.1532</v>
      </c>
      <c r="JD23" s="289">
        <v>11.411300000000001</v>
      </c>
      <c r="JE23" s="289">
        <v>11.052300000000001</v>
      </c>
      <c r="JF23" s="289">
        <v>10.824999999999999</v>
      </c>
      <c r="JG23" s="289">
        <v>10.9818</v>
      </c>
      <c r="JH23" s="289">
        <v>10.8765</v>
      </c>
      <c r="JI23" s="289">
        <v>10.859500000000001</v>
      </c>
      <c r="JJ23" s="289">
        <v>10.792199999999999</v>
      </c>
      <c r="JK23" s="185">
        <v>17</v>
      </c>
      <c r="JL23" s="1"/>
      <c r="JM23" s="1"/>
      <c r="JN23" s="185">
        <v>17</v>
      </c>
      <c r="JO23" s="289">
        <v>11.1858</v>
      </c>
      <c r="JP23" s="289">
        <v>11.153499999999999</v>
      </c>
      <c r="JQ23" s="289">
        <v>11.203799999999999</v>
      </c>
      <c r="JR23" s="289">
        <v>11.103199999999999</v>
      </c>
      <c r="JS23" s="289">
        <v>11.029</v>
      </c>
      <c r="JT23" s="289">
        <v>10.8332</v>
      </c>
      <c r="JU23" s="289">
        <v>10.6372</v>
      </c>
      <c r="JV23" s="289">
        <v>10.603999999999999</v>
      </c>
      <c r="JW23" s="289">
        <v>10.8355</v>
      </c>
      <c r="JX23" s="289">
        <v>10.940799999999999</v>
      </c>
      <c r="JY23" s="289">
        <v>10.650499999999999</v>
      </c>
      <c r="JZ23" s="289">
        <v>10.7378</v>
      </c>
      <c r="KA23" s="185">
        <v>17</v>
      </c>
      <c r="KB23" s="1"/>
      <c r="KC23" s="1"/>
      <c r="KD23" s="185">
        <v>17</v>
      </c>
      <c r="KE23" s="289">
        <v>10.8514</v>
      </c>
      <c r="KF23" s="289">
        <v>10.9627</v>
      </c>
      <c r="KG23" s="289">
        <v>10.9621</v>
      </c>
      <c r="KH23" s="289">
        <v>11.27</v>
      </c>
      <c r="KI23" s="289">
        <v>11.6281</v>
      </c>
      <c r="KJ23" s="289">
        <v>11.4259</v>
      </c>
      <c r="KK23" s="289">
        <v>11.4909</v>
      </c>
      <c r="KL23" s="289">
        <v>11.4048</v>
      </c>
      <c r="KM23" s="289">
        <v>11.585100000000001</v>
      </c>
      <c r="KN23" s="289">
        <v>11.3195</v>
      </c>
      <c r="KO23" s="289">
        <v>11.3583</v>
      </c>
      <c r="KP23" s="289">
        <v>11.2028</v>
      </c>
      <c r="KQ23" s="185">
        <v>17</v>
      </c>
      <c r="KR23" s="1"/>
      <c r="KS23" s="1"/>
      <c r="KT23" s="185">
        <v>17</v>
      </c>
      <c r="KU23" s="289">
        <v>10.487500000000001</v>
      </c>
      <c r="KV23" s="289">
        <v>10.972300000000001</v>
      </c>
      <c r="KW23" s="289">
        <v>10.817299999999999</v>
      </c>
      <c r="KX23" s="289">
        <v>10.639799999999999</v>
      </c>
      <c r="KY23" s="289">
        <v>10.2927</v>
      </c>
      <c r="KZ23" s="289">
        <v>10.5946</v>
      </c>
      <c r="LA23" s="289">
        <v>10.4308</v>
      </c>
      <c r="LB23" s="289">
        <v>10.696099999999999</v>
      </c>
      <c r="LC23" s="289">
        <v>10.9793</v>
      </c>
      <c r="LD23" s="289">
        <v>11.1785</v>
      </c>
      <c r="LE23" s="289">
        <v>11.175700000000001</v>
      </c>
      <c r="LF23" s="289">
        <v>11.2728</v>
      </c>
      <c r="LG23" s="185">
        <v>17</v>
      </c>
      <c r="LH23" s="1"/>
      <c r="LI23" s="1"/>
      <c r="LJ23" s="185">
        <v>17</v>
      </c>
      <c r="LK23" s="289">
        <v>9.1710999999999991</v>
      </c>
      <c r="LL23" s="289">
        <v>9.0838000000000001</v>
      </c>
      <c r="LM23" s="289">
        <v>9.1181999999999999</v>
      </c>
      <c r="LN23" s="289">
        <v>9.1714000000000002</v>
      </c>
      <c r="LO23" s="289">
        <v>9.4717000000000002</v>
      </c>
      <c r="LP23" s="289">
        <v>9.6532</v>
      </c>
      <c r="LQ23" s="289">
        <v>9.7522000000000002</v>
      </c>
      <c r="LR23" s="289">
        <v>9.9291999999999998</v>
      </c>
      <c r="LS23" s="289">
        <v>10.0023</v>
      </c>
      <c r="LT23" s="289">
        <v>10.068300000000001</v>
      </c>
      <c r="LU23" s="289">
        <v>10.209199999999999</v>
      </c>
      <c r="LV23" s="289">
        <v>10.185</v>
      </c>
      <c r="LW23" s="185">
        <v>17</v>
      </c>
      <c r="LX23" s="1"/>
      <c r="LY23" s="1"/>
      <c r="LZ23" s="185">
        <v>17</v>
      </c>
      <c r="MA23" s="289">
        <v>9.9017999999999997</v>
      </c>
      <c r="MB23" s="289">
        <v>9.6762999999999995</v>
      </c>
      <c r="MC23" s="289">
        <v>9.5843000000000007</v>
      </c>
      <c r="MD23" s="289">
        <v>9.2908000000000008</v>
      </c>
      <c r="ME23" s="289">
        <v>9.1609999999999996</v>
      </c>
      <c r="MF23" s="289">
        <v>9.0523000000000007</v>
      </c>
      <c r="MG23" s="289">
        <v>9.3542000000000005</v>
      </c>
      <c r="MH23" s="289">
        <v>9.0939999999999994</v>
      </c>
      <c r="MI23" s="289">
        <v>9.4748000000000001</v>
      </c>
      <c r="MJ23" s="289">
        <v>9.2752999999999997</v>
      </c>
      <c r="MK23" s="289">
        <v>9.2027999999999999</v>
      </c>
      <c r="ML23" s="289">
        <v>9.1204000000000001</v>
      </c>
      <c r="MM23" s="185">
        <v>17</v>
      </c>
      <c r="MN23" s="1"/>
      <c r="MO23" s="1"/>
      <c r="MP23" s="185">
        <v>17</v>
      </c>
      <c r="MQ23" s="289">
        <v>9.5056999999999992</v>
      </c>
      <c r="MR23" s="289">
        <v>9.3879999999999999</v>
      </c>
      <c r="MS23" s="289">
        <v>9.3436000000000003</v>
      </c>
      <c r="MT23" s="289">
        <v>9.3987999999999996</v>
      </c>
      <c r="MU23" s="289">
        <v>9.5820000000000007</v>
      </c>
      <c r="MV23" s="289">
        <v>9.8477999999999994</v>
      </c>
      <c r="MW23" s="289">
        <v>9.4367999999999999</v>
      </c>
      <c r="MX23" s="289">
        <v>9.2504000000000008</v>
      </c>
      <c r="MY23" s="289">
        <v>9.3125</v>
      </c>
      <c r="MZ23" s="289">
        <v>9.5878999999999994</v>
      </c>
      <c r="NA23" s="289">
        <v>9.4625000000000004</v>
      </c>
      <c r="NB23" s="289">
        <v>9.4126999999999992</v>
      </c>
      <c r="NC23" s="185">
        <v>17</v>
      </c>
      <c r="ND23" s="1"/>
      <c r="NE23" s="1"/>
      <c r="NF23" s="185">
        <v>17</v>
      </c>
      <c r="NG23" s="289">
        <v>10.5383</v>
      </c>
      <c r="NH23" s="289">
        <v>9.9314999999999998</v>
      </c>
      <c r="NI23" s="289">
        <v>9.7052999999999994</v>
      </c>
      <c r="NJ23" s="289">
        <v>9.5429999999999993</v>
      </c>
      <c r="NK23" s="289">
        <v>9.2698</v>
      </c>
      <c r="NL23" s="289">
        <v>9.5017999999999994</v>
      </c>
      <c r="NM23" s="289">
        <v>9.3343000000000007</v>
      </c>
      <c r="NN23" s="289">
        <v>9.3882999999999992</v>
      </c>
      <c r="NO23" s="289">
        <v>9.3323</v>
      </c>
      <c r="NP23" s="289">
        <v>9.6308000000000007</v>
      </c>
      <c r="NQ23" s="289">
        <v>9.3684999999999992</v>
      </c>
      <c r="NR23" s="289">
        <v>9.3789999999999996</v>
      </c>
      <c r="NS23" s="185">
        <v>17</v>
      </c>
      <c r="NT23" s="1"/>
      <c r="NU23" s="1"/>
      <c r="NV23" s="185">
        <v>17</v>
      </c>
      <c r="NW23" s="289">
        <v>8.2761999999999993</v>
      </c>
      <c r="NX23" s="289">
        <v>8.4651999999999994</v>
      </c>
      <c r="NY23" s="289">
        <v>8.5594999999999999</v>
      </c>
      <c r="NZ23" s="289">
        <v>8.4716000000000005</v>
      </c>
      <c r="OA23" s="289">
        <v>8.5068999999999999</v>
      </c>
      <c r="OB23" s="289">
        <v>9.0374999999999996</v>
      </c>
      <c r="OC23" s="289">
        <v>8.8535000000000004</v>
      </c>
      <c r="OD23" s="289">
        <v>9.2324999999999999</v>
      </c>
      <c r="OE23" s="289">
        <v>10.523300000000001</v>
      </c>
      <c r="OF23" s="289">
        <v>10.1312</v>
      </c>
      <c r="OG23" s="289">
        <v>9.9964999999999993</v>
      </c>
      <c r="OH23" s="289">
        <v>9.9497999999999998</v>
      </c>
      <c r="OI23" s="185">
        <v>17</v>
      </c>
      <c r="OJ23" s="1"/>
      <c r="OK23" s="1"/>
      <c r="OL23" s="185">
        <v>17</v>
      </c>
      <c r="OM23" s="289">
        <v>7.8085000000000004</v>
      </c>
      <c r="ON23" s="289">
        <v>7.7897999999999996</v>
      </c>
      <c r="OO23" s="289">
        <v>7.9987000000000004</v>
      </c>
      <c r="OP23" s="289">
        <v>7.8876999999999997</v>
      </c>
      <c r="OQ23" s="289">
        <v>7.9031000000000002</v>
      </c>
      <c r="OR23" s="289">
        <v>7.9581</v>
      </c>
      <c r="OS23" s="289">
        <v>7.8860999999999999</v>
      </c>
      <c r="OT23" s="289">
        <v>7.766</v>
      </c>
      <c r="OU23" s="289">
        <v>7.7793999999999999</v>
      </c>
      <c r="OV23" s="289">
        <v>7.7403000000000004</v>
      </c>
      <c r="OW23" s="289">
        <v>8.3800000000000008</v>
      </c>
      <c r="OX23" s="289">
        <v>8.1376000000000008</v>
      </c>
      <c r="OY23" s="185">
        <v>17</v>
      </c>
      <c r="OZ23" s="1"/>
      <c r="PA23" s="1"/>
      <c r="PB23" s="185">
        <v>17</v>
      </c>
      <c r="PC23" s="289">
        <v>7.5246000000000004</v>
      </c>
      <c r="PD23" s="289">
        <v>7.5007999999999999</v>
      </c>
      <c r="PE23" s="289">
        <v>7.5616000000000003</v>
      </c>
      <c r="PF23" s="289">
        <v>7.4736000000000002</v>
      </c>
      <c r="PG23" s="289">
        <v>7.4466999999999999</v>
      </c>
      <c r="PH23" s="289">
        <v>7.6342999999999996</v>
      </c>
      <c r="PI23" s="289">
        <v>7.6452999999999998</v>
      </c>
      <c r="PJ23" s="289">
        <v>7.5076999999999998</v>
      </c>
      <c r="PK23" s="289">
        <v>7.5416999999999996</v>
      </c>
      <c r="PL23" s="289">
        <v>7.7472000000000003</v>
      </c>
      <c r="PM23" s="289">
        <v>7.9181999999999997</v>
      </c>
      <c r="PN23" s="289">
        <v>7.9016999999999999</v>
      </c>
      <c r="PO23" s="185">
        <v>17</v>
      </c>
      <c r="PP23" s="1"/>
      <c r="PQ23" s="1"/>
      <c r="PR23" s="185">
        <v>17</v>
      </c>
      <c r="PS23" s="289">
        <v>5.3949999999999996</v>
      </c>
      <c r="PT23" s="289">
        <v>5.9924999999999997</v>
      </c>
      <c r="PU23" s="289">
        <v>6.9725000000000001</v>
      </c>
      <c r="PV23" s="289">
        <v>6.3033000000000001</v>
      </c>
      <c r="PW23" s="289">
        <v>5.9741999999999997</v>
      </c>
      <c r="PX23" s="289">
        <v>6.1867000000000001</v>
      </c>
      <c r="PY23" s="289">
        <v>6.0282999999999998</v>
      </c>
      <c r="PZ23" s="289">
        <v>6.1544999999999996</v>
      </c>
      <c r="QA23" s="289">
        <v>6.2775999999999996</v>
      </c>
      <c r="QB23" s="289">
        <v>6.7480000000000002</v>
      </c>
      <c r="QC23" s="289">
        <v>7.9</v>
      </c>
      <c r="QD23" s="289">
        <v>7.8192000000000004</v>
      </c>
      <c r="QE23" s="185">
        <v>17</v>
      </c>
      <c r="QF23" s="1"/>
      <c r="QG23" s="1"/>
      <c r="QH23" s="185">
        <v>17</v>
      </c>
      <c r="QI23" s="289">
        <v>3.1061000000000001</v>
      </c>
      <c r="QJ23" s="289">
        <v>3.105</v>
      </c>
      <c r="QK23" s="289">
        <v>3.3106</v>
      </c>
      <c r="QL23" s="289">
        <v>3.3666</v>
      </c>
      <c r="QM23" s="289">
        <v>3.3298000000000001</v>
      </c>
      <c r="QN23" s="289">
        <v>3.3673000000000002</v>
      </c>
      <c r="QO23" s="289">
        <v>3.4024999999999999</v>
      </c>
      <c r="QP23" s="289">
        <v>3.4047999999999998</v>
      </c>
      <c r="QQ23" s="289">
        <v>3.4167999999999998</v>
      </c>
      <c r="QR23" s="289">
        <v>3.4136000000000002</v>
      </c>
      <c r="QS23" s="289">
        <v>3.4525999999999999</v>
      </c>
      <c r="QT23" s="289">
        <v>3.4605999999999999</v>
      </c>
      <c r="QU23" s="185">
        <v>17</v>
      </c>
      <c r="QV23" s="1"/>
      <c r="QW23" s="1"/>
      <c r="QX23" s="185">
        <v>17</v>
      </c>
      <c r="QY23" s="289">
        <v>3.113</v>
      </c>
      <c r="QZ23" s="289">
        <v>3.1</v>
      </c>
      <c r="RA23" s="289">
        <v>3.1181999999999999</v>
      </c>
      <c r="RB23" s="289">
        <v>3.0939999999999999</v>
      </c>
      <c r="RC23" s="289">
        <v>3.1309999999999998</v>
      </c>
      <c r="RD23" s="289">
        <v>3.1166</v>
      </c>
      <c r="RE23" s="289">
        <v>3.1242000000000001</v>
      </c>
      <c r="RF23" s="289">
        <v>3.1078999999999999</v>
      </c>
      <c r="RG23" s="289">
        <v>3.1109</v>
      </c>
      <c r="RH23" s="289">
        <v>3.1135000000000002</v>
      </c>
      <c r="RI23" s="289">
        <v>3.2124999999999999</v>
      </c>
      <c r="RJ23" s="289">
        <v>3.1065</v>
      </c>
      <c r="RK23" s="185">
        <v>17</v>
      </c>
      <c r="RL23" s="1"/>
      <c r="RM23" s="1"/>
      <c r="RN23" s="185">
        <v>17</v>
      </c>
      <c r="RO23" s="289">
        <v>3.0646</v>
      </c>
      <c r="RP23" s="289">
        <v>3.0640000000000001</v>
      </c>
      <c r="RQ23" s="289">
        <v>3.0621999999999998</v>
      </c>
      <c r="RR23" s="289">
        <v>3.0649999999999999</v>
      </c>
      <c r="RS23" s="289">
        <v>3.1093999999999999</v>
      </c>
      <c r="RT23" s="289">
        <v>3.1193</v>
      </c>
      <c r="RU23" s="289">
        <v>3.1183999999999998</v>
      </c>
      <c r="RV23" s="289">
        <v>3.0733000000000001</v>
      </c>
      <c r="RW23" s="289">
        <v>3.0941000000000001</v>
      </c>
      <c r="RX23" s="289">
        <v>3.1343999999999999</v>
      </c>
      <c r="RY23" s="289">
        <v>3.113</v>
      </c>
      <c r="RZ23" s="289">
        <v>3.1372</v>
      </c>
      <c r="SA23" s="185">
        <v>17</v>
      </c>
      <c r="SB23" s="1"/>
      <c r="SC23" s="1"/>
      <c r="SD23" s="185">
        <v>17</v>
      </c>
      <c r="SE23" s="289">
        <v>2.9525999999999999</v>
      </c>
      <c r="SF23" s="289">
        <v>2.9645999999999999</v>
      </c>
      <c r="SG23" s="289">
        <v>2.9758</v>
      </c>
      <c r="SH23" s="289">
        <v>2.9885999999999999</v>
      </c>
      <c r="SI23" s="289">
        <v>3.0005999999999999</v>
      </c>
      <c r="SJ23" s="289">
        <v>3.0122</v>
      </c>
      <c r="SK23" s="289">
        <v>3.0249999999999999</v>
      </c>
      <c r="SL23" s="289">
        <v>3.0373999999999999</v>
      </c>
      <c r="SM23" s="289">
        <v>3.0489999999999999</v>
      </c>
      <c r="SN23" s="289">
        <v>3.0626000000000002</v>
      </c>
      <c r="SO23" s="289">
        <v>3.07179</v>
      </c>
      <c r="SP23" s="289">
        <v>3.06216</v>
      </c>
      <c r="SQ23" s="185">
        <v>17</v>
      </c>
      <c r="SR23" s="1"/>
      <c r="SS23" s="1"/>
      <c r="ST23" s="185">
        <v>17</v>
      </c>
      <c r="SU23" s="289">
        <v>2.6589999999999998</v>
      </c>
      <c r="SV23" s="289">
        <v>2.69</v>
      </c>
      <c r="SW23" s="289">
        <v>2.718</v>
      </c>
      <c r="SX23" s="289">
        <v>2.7469999999999999</v>
      </c>
      <c r="SY23" s="289">
        <v>2.7789999999999999</v>
      </c>
      <c r="SZ23" s="289">
        <v>2.8058000000000001</v>
      </c>
      <c r="TA23" s="289">
        <v>2.8290000000000002</v>
      </c>
      <c r="TB23" s="289">
        <v>2.8553999999999999</v>
      </c>
      <c r="TC23" s="289">
        <v>2.8786</v>
      </c>
      <c r="TD23" s="289">
        <v>2.9041999999999999</v>
      </c>
      <c r="TE23" s="289">
        <v>2.9281999999999999</v>
      </c>
      <c r="TF23" s="289">
        <v>2.9394</v>
      </c>
      <c r="TG23" s="185">
        <v>17</v>
      </c>
      <c r="TH23" s="1"/>
      <c r="TI23" s="1"/>
      <c r="TJ23" s="185">
        <v>17</v>
      </c>
      <c r="TK23" s="289">
        <v>2.2919999999999998</v>
      </c>
      <c r="TL23" s="289">
        <v>2.3250000000000002</v>
      </c>
      <c r="TM23" s="289">
        <v>2.3530000000000002</v>
      </c>
      <c r="TN23" s="289">
        <v>2.3820000000000001</v>
      </c>
      <c r="TO23" s="289">
        <v>2.4140000000000001</v>
      </c>
      <c r="TP23" s="289">
        <v>2.4449999999999998</v>
      </c>
      <c r="TQ23" s="289">
        <v>2.4729999999999999</v>
      </c>
      <c r="TR23" s="289">
        <v>2.5059999999999998</v>
      </c>
      <c r="TS23" s="289">
        <v>2.536</v>
      </c>
      <c r="TT23" s="289">
        <v>2.5649999999999999</v>
      </c>
      <c r="TU23" s="289">
        <v>2.5979999999999999</v>
      </c>
      <c r="TV23" s="289">
        <v>2.6269999999999998</v>
      </c>
      <c r="TW23" s="185">
        <v>17</v>
      </c>
    </row>
    <row r="24" spans="2:543" ht="20.100000000000001" customHeight="1">
      <c r="B24" s="64">
        <v>18</v>
      </c>
      <c r="C24" s="289">
        <v>20.311800000000002</v>
      </c>
      <c r="D24" s="289">
        <v>20.333500000000001</v>
      </c>
      <c r="E24" s="289">
        <v>20.703499999999998</v>
      </c>
      <c r="F24" s="289">
        <v>19.840699999999998</v>
      </c>
      <c r="G24" s="289">
        <v>20.078199999999999</v>
      </c>
      <c r="H24" s="289">
        <v>20.572800000000001</v>
      </c>
      <c r="I24" s="289">
        <v>20.941500000000001</v>
      </c>
      <c r="J24" s="289">
        <v>19.930299999999999</v>
      </c>
      <c r="K24" s="289">
        <v>19.976800000000001</v>
      </c>
      <c r="L24" s="289">
        <v>20.0838</v>
      </c>
      <c r="M24" s="289">
        <v>19.313700000000001</v>
      </c>
      <c r="N24" s="289">
        <v>19.796299999999999</v>
      </c>
      <c r="O24" s="64">
        <v>18</v>
      </c>
      <c r="R24" s="64">
        <v>18</v>
      </c>
      <c r="S24" s="289">
        <v>19.779299999999999</v>
      </c>
      <c r="T24" s="289">
        <v>20.202300000000001</v>
      </c>
      <c r="U24" s="289">
        <v>20.575299999999999</v>
      </c>
      <c r="V24" s="289">
        <v>19.927</v>
      </c>
      <c r="W24" s="289">
        <v>19.848700000000001</v>
      </c>
      <c r="X24" s="289">
        <v>20.058800000000002</v>
      </c>
      <c r="Y24" s="289">
        <v>19.941199999999998</v>
      </c>
      <c r="Z24" s="289">
        <v>19.886299999999999</v>
      </c>
      <c r="AA24" s="289">
        <v>19.900300000000001</v>
      </c>
      <c r="AB24" s="289">
        <v>20.607500000000002</v>
      </c>
      <c r="AC24" s="289">
        <v>20.809200000000001</v>
      </c>
      <c r="AD24" s="289">
        <v>20.9238</v>
      </c>
      <c r="AE24" s="64">
        <v>18</v>
      </c>
      <c r="AH24" s="185">
        <v>18</v>
      </c>
      <c r="AI24" s="289">
        <v>18.792999999999999</v>
      </c>
      <c r="AJ24" s="289">
        <v>18.571200000000001</v>
      </c>
      <c r="AK24" s="289">
        <v>21.928799999999999</v>
      </c>
      <c r="AL24" s="289">
        <v>24.209800000000001</v>
      </c>
      <c r="AM24" s="289">
        <v>24.270800000000001</v>
      </c>
      <c r="AN24" s="289">
        <v>22.216799999999999</v>
      </c>
      <c r="AO24" s="289">
        <v>22.3032</v>
      </c>
      <c r="AP24" s="289">
        <v>22.031300000000002</v>
      </c>
      <c r="AQ24" s="289">
        <v>21.069199999999999</v>
      </c>
      <c r="AR24" s="289">
        <v>21.383199999999999</v>
      </c>
      <c r="AS24" s="289">
        <v>20.4833</v>
      </c>
      <c r="AT24" s="289">
        <v>19.9513</v>
      </c>
      <c r="AU24" s="185">
        <v>18</v>
      </c>
      <c r="AX24" s="185">
        <v>18</v>
      </c>
      <c r="AY24" s="289">
        <v>18.9908</v>
      </c>
      <c r="AZ24" s="289">
        <v>19.3569</v>
      </c>
      <c r="BA24" s="289">
        <v>19.3233</v>
      </c>
      <c r="BB24" s="289">
        <v>18.951599999999999</v>
      </c>
      <c r="BC24" s="289">
        <v>19.071000000000002</v>
      </c>
      <c r="BD24" s="289">
        <v>19.148700000000002</v>
      </c>
      <c r="BE24" s="289">
        <v>19.078099999999999</v>
      </c>
      <c r="BF24" s="289">
        <v>19.636500000000002</v>
      </c>
      <c r="BG24" s="289">
        <v>19.366499999999998</v>
      </c>
      <c r="BH24" s="289">
        <v>19.2135</v>
      </c>
      <c r="BI24" s="289">
        <v>19.422799999999999</v>
      </c>
      <c r="BJ24" s="289">
        <v>18.970199999999998</v>
      </c>
      <c r="BK24" s="185">
        <v>18</v>
      </c>
      <c r="BN24" s="185">
        <v>18</v>
      </c>
      <c r="BO24" s="289">
        <v>18.836200000000002</v>
      </c>
      <c r="BP24" s="289">
        <v>18.515899999999998</v>
      </c>
      <c r="BQ24" s="290">
        <v>18.702300000000001</v>
      </c>
      <c r="BR24" s="289">
        <v>18.039400000000001</v>
      </c>
      <c r="BS24" s="289">
        <v>19.709399999999999</v>
      </c>
      <c r="BT24" s="289">
        <v>20.6953</v>
      </c>
      <c r="BU24" s="289">
        <v>18.835999999999999</v>
      </c>
      <c r="BV24" s="289">
        <v>19.010000000000002</v>
      </c>
      <c r="BW24" s="289">
        <v>18.8689</v>
      </c>
      <c r="BX24" s="289">
        <v>18.769300000000001</v>
      </c>
      <c r="BY24" s="289">
        <v>20.3371</v>
      </c>
      <c r="BZ24" s="289">
        <v>20.3337</v>
      </c>
      <c r="CA24" s="185">
        <v>18</v>
      </c>
      <c r="CD24" s="185">
        <v>18</v>
      </c>
      <c r="CE24" s="289">
        <v>21.664300000000001</v>
      </c>
      <c r="CF24" s="289">
        <v>20.3325</v>
      </c>
      <c r="CG24" s="289">
        <v>19.172999999999998</v>
      </c>
      <c r="CH24" s="289">
        <v>18.752800000000001</v>
      </c>
      <c r="CI24" s="289">
        <v>18.618300000000001</v>
      </c>
      <c r="CJ24" s="289">
        <v>18.115400000000001</v>
      </c>
      <c r="CK24" s="289">
        <v>17.561299999999999</v>
      </c>
      <c r="CL24" s="289">
        <v>17.716000000000001</v>
      </c>
      <c r="CM24" s="289">
        <v>17.727799999999998</v>
      </c>
      <c r="CN24" s="289">
        <v>19.075299999999999</v>
      </c>
      <c r="CO24" s="289">
        <v>19.122399999999999</v>
      </c>
      <c r="CP24" s="289">
        <v>19.120200000000001</v>
      </c>
      <c r="CQ24" s="185">
        <v>18</v>
      </c>
      <c r="CT24" s="185">
        <v>18</v>
      </c>
      <c r="CU24" s="289">
        <v>17.912099999999999</v>
      </c>
      <c r="CV24" s="289">
        <v>18.814800000000002</v>
      </c>
      <c r="CW24" s="289">
        <v>17.930800000000001</v>
      </c>
      <c r="CX24" s="289">
        <v>17.388000000000002</v>
      </c>
      <c r="CY24" s="289">
        <v>18.179500000000001</v>
      </c>
      <c r="CZ24" s="289">
        <v>18.9968</v>
      </c>
      <c r="DA24" s="289">
        <v>18.306100000000001</v>
      </c>
      <c r="DB24" s="289">
        <v>17.986899999999999</v>
      </c>
      <c r="DC24" s="289">
        <v>19.227499999999999</v>
      </c>
      <c r="DD24" s="289">
        <v>19.0046</v>
      </c>
      <c r="DE24" s="289">
        <v>20.288399999999999</v>
      </c>
      <c r="DF24" s="289">
        <v>20.597300000000001</v>
      </c>
      <c r="DG24" s="185">
        <v>18</v>
      </c>
      <c r="DJ24" s="185">
        <v>18</v>
      </c>
      <c r="DK24" s="289">
        <v>14.582100000000001</v>
      </c>
      <c r="DL24" s="289">
        <v>14.8979</v>
      </c>
      <c r="DM24" s="289">
        <v>15.4892</v>
      </c>
      <c r="DN24" s="289">
        <v>15.2455</v>
      </c>
      <c r="DO24" s="289">
        <v>15.1235</v>
      </c>
      <c r="DP24" s="289">
        <v>15.4192</v>
      </c>
      <c r="DQ24" s="289">
        <v>15.747</v>
      </c>
      <c r="DR24" s="289">
        <v>16.3658</v>
      </c>
      <c r="DS24" s="289">
        <v>16.771599999999999</v>
      </c>
      <c r="DT24" s="289">
        <v>16.580400000000001</v>
      </c>
      <c r="DU24" s="289">
        <v>16.7395</v>
      </c>
      <c r="DV24" s="289">
        <v>17.135999999999999</v>
      </c>
      <c r="DW24" s="185">
        <v>18</v>
      </c>
      <c r="DZ24" s="185">
        <v>18</v>
      </c>
      <c r="EA24" s="289">
        <v>13.290699999999999</v>
      </c>
      <c r="EB24" s="289">
        <v>13.2477</v>
      </c>
      <c r="EC24" s="289">
        <v>13.2456</v>
      </c>
      <c r="ED24" s="289">
        <v>13.098599999999999</v>
      </c>
      <c r="EE24" s="289">
        <v>12.9755</v>
      </c>
      <c r="EF24" s="289">
        <v>13.032299999999999</v>
      </c>
      <c r="EG24" s="289">
        <v>12.939</v>
      </c>
      <c r="EH24" s="289">
        <v>13.0717</v>
      </c>
      <c r="EI24" s="289">
        <v>13.222300000000001</v>
      </c>
      <c r="EJ24" s="289">
        <v>13.5616</v>
      </c>
      <c r="EK24" s="289">
        <v>13.599500000000001</v>
      </c>
      <c r="EL24" s="289">
        <v>14.7499</v>
      </c>
      <c r="EM24" s="185">
        <v>18</v>
      </c>
      <c r="EP24" s="185">
        <v>18</v>
      </c>
      <c r="EQ24" s="289">
        <v>12.6305</v>
      </c>
      <c r="ER24" s="289">
        <v>12.6982</v>
      </c>
      <c r="ES24" s="289">
        <v>12.454499999999999</v>
      </c>
      <c r="ET24" s="289">
        <v>12.1668</v>
      </c>
      <c r="EU24" s="289">
        <v>12.2378</v>
      </c>
      <c r="EV24" s="289">
        <v>12.691599999999999</v>
      </c>
      <c r="EW24" s="289">
        <v>12.629899999999999</v>
      </c>
      <c r="EX24" s="289">
        <v>12.862500000000001</v>
      </c>
      <c r="EY24" s="289">
        <v>13.054</v>
      </c>
      <c r="EZ24" s="289">
        <v>12.881600000000001</v>
      </c>
      <c r="FA24" s="289">
        <v>13.017300000000001</v>
      </c>
      <c r="FB24" s="289">
        <v>12.943899999999999</v>
      </c>
      <c r="FC24" s="185">
        <v>18</v>
      </c>
      <c r="FF24" s="185">
        <v>18</v>
      </c>
      <c r="FG24" s="289">
        <v>13.540100000000001</v>
      </c>
      <c r="FH24" s="289">
        <v>12.882199999999999</v>
      </c>
      <c r="FI24" s="289">
        <v>12.6591</v>
      </c>
      <c r="FJ24" s="289">
        <v>13.216799999999999</v>
      </c>
      <c r="FK24" s="289">
        <v>13.774699999999999</v>
      </c>
      <c r="FL24" s="289">
        <v>13.997400000000001</v>
      </c>
      <c r="FM24" s="289">
        <v>13.283200000000001</v>
      </c>
      <c r="FN24" s="289">
        <v>13.143000000000001</v>
      </c>
      <c r="FO24" s="289">
        <v>12.745799999999999</v>
      </c>
      <c r="FP24" s="289">
        <v>12.807700000000001</v>
      </c>
      <c r="FQ24" s="289">
        <v>13.2522</v>
      </c>
      <c r="FR24" s="289">
        <v>12.7768</v>
      </c>
      <c r="FS24" s="185">
        <v>18</v>
      </c>
      <c r="FV24" s="185">
        <v>18</v>
      </c>
      <c r="FW24" s="289">
        <v>12.0871</v>
      </c>
      <c r="FX24" s="289">
        <v>12.095700000000001</v>
      </c>
      <c r="FY24" s="289">
        <v>12.071</v>
      </c>
      <c r="FZ24" s="289">
        <v>11.767899999999999</v>
      </c>
      <c r="GA24" s="289">
        <v>11.7094</v>
      </c>
      <c r="GB24" s="289">
        <v>11.959099999999999</v>
      </c>
      <c r="GC24" s="289">
        <v>11.701000000000001</v>
      </c>
      <c r="GD24" s="289">
        <v>12.2631</v>
      </c>
      <c r="GE24" s="289">
        <v>12.964600000000001</v>
      </c>
      <c r="GF24" s="289">
        <v>13.271100000000001</v>
      </c>
      <c r="GG24" s="289">
        <v>13.5847</v>
      </c>
      <c r="GH24" s="289">
        <v>13.823</v>
      </c>
      <c r="GI24" s="185">
        <v>18</v>
      </c>
      <c r="GL24" s="185">
        <v>18</v>
      </c>
      <c r="GM24" s="289">
        <v>12.7364</v>
      </c>
      <c r="GN24" s="289">
        <v>12.8683</v>
      </c>
      <c r="GO24" s="289">
        <v>12.525399999999999</v>
      </c>
      <c r="GP24" s="289">
        <v>12.1934</v>
      </c>
      <c r="GQ24" s="289">
        <v>12.5684</v>
      </c>
      <c r="GR24" s="289">
        <v>12.5878</v>
      </c>
      <c r="GS24" s="289">
        <v>12.779500000000001</v>
      </c>
      <c r="GT24" s="289">
        <v>12.645799999999999</v>
      </c>
      <c r="GU24" s="289">
        <v>12.8355</v>
      </c>
      <c r="GV24" s="289">
        <v>12.4101</v>
      </c>
      <c r="GW24" s="289">
        <v>12.4353</v>
      </c>
      <c r="GX24" s="289">
        <v>12.4505</v>
      </c>
      <c r="GY24" s="185">
        <v>18</v>
      </c>
      <c r="HB24" s="185">
        <v>18</v>
      </c>
      <c r="HC24" s="289">
        <v>14.219200000000001</v>
      </c>
      <c r="HD24" s="289">
        <v>14.5288</v>
      </c>
      <c r="HE24" s="289">
        <v>14.569000000000001</v>
      </c>
      <c r="HF24" s="289">
        <v>13.0511</v>
      </c>
      <c r="HG24" s="289">
        <v>13.298299999999999</v>
      </c>
      <c r="HH24" s="289">
        <v>13.352499999999999</v>
      </c>
      <c r="HI24" s="289">
        <v>13.587</v>
      </c>
      <c r="HJ24" s="289">
        <v>12.8766</v>
      </c>
      <c r="HK24" s="289">
        <v>13.3475</v>
      </c>
      <c r="HL24" s="289">
        <v>13.0884</v>
      </c>
      <c r="HM24" s="289">
        <v>13.1012</v>
      </c>
      <c r="HN24" s="289">
        <v>12.698</v>
      </c>
      <c r="HO24" s="185">
        <v>18</v>
      </c>
      <c r="HP24" s="1"/>
      <c r="HQ24" s="1"/>
      <c r="HR24" s="185">
        <v>18</v>
      </c>
      <c r="HS24" s="289">
        <v>10.9458</v>
      </c>
      <c r="HT24" s="289">
        <v>10.741300000000001</v>
      </c>
      <c r="HU24" s="289">
        <v>10.777799999999999</v>
      </c>
      <c r="HV24" s="289">
        <v>10.4579</v>
      </c>
      <c r="HW24" s="289">
        <v>10.476900000000001</v>
      </c>
      <c r="HX24" s="289">
        <v>10.3399</v>
      </c>
      <c r="HY24" s="289">
        <v>10.2608</v>
      </c>
      <c r="HZ24" s="289">
        <v>10.1586</v>
      </c>
      <c r="IA24" s="289">
        <v>10.705399999999999</v>
      </c>
      <c r="IB24" s="289">
        <v>13.0633</v>
      </c>
      <c r="IC24" s="289">
        <v>13.1663</v>
      </c>
      <c r="ID24" s="289">
        <v>13.271699999999999</v>
      </c>
      <c r="IE24" s="185">
        <v>18</v>
      </c>
      <c r="IF24" s="1"/>
      <c r="IG24" s="1"/>
      <c r="IH24" s="185">
        <v>18</v>
      </c>
      <c r="II24" s="289">
        <v>10.986000000000001</v>
      </c>
      <c r="IJ24" s="289">
        <v>10.952199999999999</v>
      </c>
      <c r="IK24" s="289">
        <v>11.1348</v>
      </c>
      <c r="IL24" s="289">
        <v>10.9856</v>
      </c>
      <c r="IM24" s="289">
        <v>10.7905</v>
      </c>
      <c r="IN24" s="289">
        <v>10.901199999999999</v>
      </c>
      <c r="IO24" s="289">
        <v>10.7653</v>
      </c>
      <c r="IP24" s="289">
        <v>11.2676</v>
      </c>
      <c r="IQ24" s="289">
        <v>11.111000000000001</v>
      </c>
      <c r="IR24" s="289">
        <v>10.841799999999999</v>
      </c>
      <c r="IS24" s="289">
        <v>10.9145</v>
      </c>
      <c r="IT24" s="289">
        <v>10.8249</v>
      </c>
      <c r="IU24" s="185">
        <v>18</v>
      </c>
      <c r="IV24" s="1"/>
      <c r="IW24" s="1"/>
      <c r="IX24" s="185">
        <v>18</v>
      </c>
      <c r="IY24" s="289">
        <v>10.558999999999999</v>
      </c>
      <c r="IZ24" s="289">
        <v>10.5175</v>
      </c>
      <c r="JA24" s="289">
        <v>10.6212</v>
      </c>
      <c r="JB24" s="289">
        <v>11.047700000000001</v>
      </c>
      <c r="JC24" s="289">
        <v>11.0518</v>
      </c>
      <c r="JD24" s="289">
        <v>11.411300000000001</v>
      </c>
      <c r="JE24" s="289">
        <v>11.0275</v>
      </c>
      <c r="JF24" s="289">
        <v>10.75</v>
      </c>
      <c r="JG24" s="289">
        <v>10.9818</v>
      </c>
      <c r="JH24" s="289">
        <v>10.836399999999999</v>
      </c>
      <c r="JI24" s="289">
        <v>10.8527</v>
      </c>
      <c r="JJ24" s="289">
        <v>10.792199999999999</v>
      </c>
      <c r="JK24" s="185">
        <v>18</v>
      </c>
      <c r="JL24" s="1"/>
      <c r="JM24" s="1"/>
      <c r="JN24" s="185">
        <v>18</v>
      </c>
      <c r="JO24" s="289">
        <v>11.2339</v>
      </c>
      <c r="JP24" s="289">
        <v>11.1625</v>
      </c>
      <c r="JQ24" s="289">
        <v>11.227600000000001</v>
      </c>
      <c r="JR24" s="289">
        <v>11.103199999999999</v>
      </c>
      <c r="JS24" s="289">
        <v>11.037599999999999</v>
      </c>
      <c r="JT24" s="289">
        <v>10.800700000000001</v>
      </c>
      <c r="JU24" s="289">
        <v>10.6372</v>
      </c>
      <c r="JV24" s="289">
        <v>10.5809</v>
      </c>
      <c r="JW24" s="289">
        <v>10.8355</v>
      </c>
      <c r="JX24" s="289">
        <v>10.916399999999999</v>
      </c>
      <c r="JY24" s="289">
        <v>10.635</v>
      </c>
      <c r="JZ24" s="289">
        <v>10.7378</v>
      </c>
      <c r="KA24" s="185">
        <v>18</v>
      </c>
      <c r="KB24" s="1"/>
      <c r="KC24" s="1"/>
      <c r="KD24" s="185">
        <v>18</v>
      </c>
      <c r="KE24" s="289">
        <v>10.8514</v>
      </c>
      <c r="KF24" s="289">
        <v>10.9434</v>
      </c>
      <c r="KG24" s="289">
        <v>11.039</v>
      </c>
      <c r="KH24" s="289">
        <v>11.27</v>
      </c>
      <c r="KI24" s="289">
        <v>11.571300000000001</v>
      </c>
      <c r="KJ24" s="289">
        <v>11.399100000000001</v>
      </c>
      <c r="KK24" s="289">
        <v>11.4909</v>
      </c>
      <c r="KL24" s="289">
        <v>11.3848</v>
      </c>
      <c r="KM24" s="289">
        <v>11.533300000000001</v>
      </c>
      <c r="KN24" s="289">
        <v>11.3195</v>
      </c>
      <c r="KO24" s="289">
        <v>11.3508</v>
      </c>
      <c r="KP24" s="289">
        <v>11.2316</v>
      </c>
      <c r="KQ24" s="185">
        <v>18</v>
      </c>
      <c r="KR24" s="1"/>
      <c r="KS24" s="1"/>
      <c r="KT24" s="185">
        <v>18</v>
      </c>
      <c r="KU24" s="289">
        <v>10.5083</v>
      </c>
      <c r="KV24" s="289">
        <v>10.882300000000001</v>
      </c>
      <c r="KW24" s="289">
        <v>10.848100000000001</v>
      </c>
      <c r="KX24" s="289">
        <v>10.639799999999999</v>
      </c>
      <c r="KY24" s="289">
        <v>10.2927</v>
      </c>
      <c r="KZ24" s="289">
        <v>10.4983</v>
      </c>
      <c r="LA24" s="289">
        <v>10.4079</v>
      </c>
      <c r="LB24" s="289">
        <v>10.696099999999999</v>
      </c>
      <c r="LC24" s="289">
        <v>10.971299999999999</v>
      </c>
      <c r="LD24" s="289">
        <v>11.247199999999999</v>
      </c>
      <c r="LE24" s="289">
        <v>11.1442</v>
      </c>
      <c r="LF24" s="289">
        <v>11.306100000000001</v>
      </c>
      <c r="LG24" s="185">
        <v>18</v>
      </c>
      <c r="LH24" s="1"/>
      <c r="LI24" s="1"/>
      <c r="LJ24" s="185">
        <v>18</v>
      </c>
      <c r="LK24" s="289">
        <v>9.1992999999999991</v>
      </c>
      <c r="LL24" s="289">
        <v>9.0838000000000001</v>
      </c>
      <c r="LM24" s="289">
        <v>9.1181999999999999</v>
      </c>
      <c r="LN24" s="289">
        <v>9.1597000000000008</v>
      </c>
      <c r="LO24" s="289">
        <v>9.4863</v>
      </c>
      <c r="LP24" s="289">
        <v>9.6684000000000001</v>
      </c>
      <c r="LQ24" s="289">
        <v>9.7345000000000006</v>
      </c>
      <c r="LR24" s="289">
        <v>9.9291999999999998</v>
      </c>
      <c r="LS24" s="289">
        <v>9.9673999999999996</v>
      </c>
      <c r="LT24" s="289">
        <v>10.075699999999999</v>
      </c>
      <c r="LU24" s="289">
        <v>10.209199999999999</v>
      </c>
      <c r="LV24" s="289">
        <v>10.1966</v>
      </c>
      <c r="LW24" s="185">
        <v>18</v>
      </c>
      <c r="LX24" s="1"/>
      <c r="LY24" s="1"/>
      <c r="LZ24" s="185">
        <v>18</v>
      </c>
      <c r="MA24" s="289">
        <v>9.9778000000000002</v>
      </c>
      <c r="MB24" s="289">
        <v>9.6762999999999995</v>
      </c>
      <c r="MC24" s="289">
        <v>9.5843000000000007</v>
      </c>
      <c r="MD24" s="289">
        <v>9.3230000000000004</v>
      </c>
      <c r="ME24" s="289">
        <v>9.1645000000000003</v>
      </c>
      <c r="MF24" s="289">
        <v>9.0523000000000007</v>
      </c>
      <c r="MG24" s="289">
        <v>9.2918000000000003</v>
      </c>
      <c r="MH24" s="289">
        <v>9.0832999999999995</v>
      </c>
      <c r="MI24" s="289">
        <v>9.4941999999999993</v>
      </c>
      <c r="MJ24" s="289">
        <v>9.2349999999999994</v>
      </c>
      <c r="MK24" s="289">
        <v>9.2027999999999999</v>
      </c>
      <c r="ML24" s="289">
        <v>9.0798000000000005</v>
      </c>
      <c r="MM24" s="185">
        <v>18</v>
      </c>
      <c r="MN24" s="1"/>
      <c r="MO24" s="1"/>
      <c r="MP24" s="185">
        <v>18</v>
      </c>
      <c r="MQ24" s="289">
        <v>9.4482999999999997</v>
      </c>
      <c r="MR24" s="289">
        <v>9.3710000000000004</v>
      </c>
      <c r="MS24" s="289">
        <v>9.3224</v>
      </c>
      <c r="MT24" s="289">
        <v>9.4841999999999995</v>
      </c>
      <c r="MU24" s="289">
        <v>9.5088000000000008</v>
      </c>
      <c r="MV24" s="289">
        <v>9.8477999999999994</v>
      </c>
      <c r="MW24" s="289">
        <v>9.4152000000000005</v>
      </c>
      <c r="MX24" s="289">
        <v>9.1922999999999995</v>
      </c>
      <c r="MY24" s="289">
        <v>9.3125</v>
      </c>
      <c r="MZ24" s="289">
        <v>9.5350999999999999</v>
      </c>
      <c r="NA24" s="289">
        <v>9.4827999999999992</v>
      </c>
      <c r="NB24" s="289">
        <v>9.4126999999999992</v>
      </c>
      <c r="NC24" s="185">
        <v>18</v>
      </c>
      <c r="ND24" s="1"/>
      <c r="NE24" s="1"/>
      <c r="NF24" s="185">
        <v>18</v>
      </c>
      <c r="NG24" s="289">
        <v>10.5383</v>
      </c>
      <c r="NH24" s="289">
        <v>9.9190000000000005</v>
      </c>
      <c r="NI24" s="289">
        <v>9.6586999999999996</v>
      </c>
      <c r="NJ24" s="289">
        <v>9.5429999999999993</v>
      </c>
      <c r="NK24" s="289">
        <v>9.3590999999999998</v>
      </c>
      <c r="NL24" s="289">
        <v>9.4585000000000008</v>
      </c>
      <c r="NM24" s="289">
        <v>9.3343000000000007</v>
      </c>
      <c r="NN24" s="289">
        <v>9.3567999999999998</v>
      </c>
      <c r="NO24" s="289">
        <v>9.3092000000000006</v>
      </c>
      <c r="NP24" s="289">
        <v>9.6308000000000007</v>
      </c>
      <c r="NQ24" s="289">
        <v>9.4017999999999997</v>
      </c>
      <c r="NR24" s="289">
        <v>9.3577999999999992</v>
      </c>
      <c r="NS24" s="185">
        <v>18</v>
      </c>
      <c r="NT24" s="1"/>
      <c r="NU24" s="1"/>
      <c r="NV24" s="185">
        <v>18</v>
      </c>
      <c r="NW24" s="289">
        <v>8.2761999999999993</v>
      </c>
      <c r="NX24" s="289">
        <v>8.4628999999999994</v>
      </c>
      <c r="NY24" s="289">
        <v>8.5927000000000007</v>
      </c>
      <c r="NZ24" s="289">
        <v>8.5008999999999997</v>
      </c>
      <c r="OA24" s="289">
        <v>8.5068999999999999</v>
      </c>
      <c r="OB24" s="289">
        <v>8.9815000000000005</v>
      </c>
      <c r="OC24" s="289">
        <v>8.8392999999999997</v>
      </c>
      <c r="OD24" s="289">
        <v>9.1812000000000005</v>
      </c>
      <c r="OE24" s="289">
        <v>10.2058</v>
      </c>
      <c r="OF24" s="289">
        <v>10.1312</v>
      </c>
      <c r="OG24" s="289">
        <v>9.9764999999999997</v>
      </c>
      <c r="OH24" s="289">
        <v>9.8827999999999996</v>
      </c>
      <c r="OI24" s="185">
        <v>18</v>
      </c>
      <c r="OJ24" s="1"/>
      <c r="OK24" s="1"/>
      <c r="OL24" s="185">
        <v>18</v>
      </c>
      <c r="OM24" s="289">
        <v>7.8221999999999996</v>
      </c>
      <c r="ON24" s="289">
        <v>7.7779999999999996</v>
      </c>
      <c r="OO24" s="289">
        <v>7.9789000000000003</v>
      </c>
      <c r="OP24" s="289">
        <v>7.8978000000000002</v>
      </c>
      <c r="OQ24" s="289">
        <v>7.9031000000000002</v>
      </c>
      <c r="OR24" s="289">
        <v>7.9537000000000004</v>
      </c>
      <c r="OS24" s="289">
        <v>7.9282000000000004</v>
      </c>
      <c r="OT24" s="289">
        <v>7.766</v>
      </c>
      <c r="OU24" s="289">
        <v>7.7676999999999996</v>
      </c>
      <c r="OV24" s="289">
        <v>7.7336</v>
      </c>
      <c r="OW24" s="289">
        <v>8.3275000000000006</v>
      </c>
      <c r="OX24" s="289">
        <v>8.0915999999999997</v>
      </c>
      <c r="OY24" s="185">
        <v>18</v>
      </c>
      <c r="OZ24" s="1"/>
      <c r="PA24" s="1"/>
      <c r="PB24" s="185">
        <v>18</v>
      </c>
      <c r="PC24" s="289">
        <v>7.5254000000000003</v>
      </c>
      <c r="PD24" s="289">
        <v>7.5007999999999999</v>
      </c>
      <c r="PE24" s="289">
        <v>7.5616000000000003</v>
      </c>
      <c r="PF24" s="289">
        <v>7.4314999999999998</v>
      </c>
      <c r="PG24" s="289">
        <v>7.4179000000000004</v>
      </c>
      <c r="PH24" s="289">
        <v>7.5934999999999997</v>
      </c>
      <c r="PI24" s="289">
        <v>7.6574999999999998</v>
      </c>
      <c r="PJ24" s="289">
        <v>7.5076999999999998</v>
      </c>
      <c r="PK24" s="289">
        <v>7.5138999999999996</v>
      </c>
      <c r="PL24" s="289">
        <v>7.7949999999999999</v>
      </c>
      <c r="PM24" s="289">
        <v>7.9181999999999997</v>
      </c>
      <c r="PN24" s="289">
        <v>7.9272</v>
      </c>
      <c r="PO24" s="185">
        <v>18</v>
      </c>
      <c r="PP24" s="1"/>
      <c r="PQ24" s="1"/>
      <c r="PR24" s="185">
        <v>18</v>
      </c>
      <c r="PS24" s="289">
        <v>5.49</v>
      </c>
      <c r="PT24" s="289">
        <v>6.1</v>
      </c>
      <c r="PU24" s="289">
        <v>7.2074999999999996</v>
      </c>
      <c r="PV24" s="289">
        <v>6.2866999999999997</v>
      </c>
      <c r="PW24" s="289">
        <v>5.9492000000000003</v>
      </c>
      <c r="PX24" s="289">
        <v>6.1867000000000001</v>
      </c>
      <c r="PY24" s="289">
        <v>6.0449999999999999</v>
      </c>
      <c r="PZ24" s="289">
        <v>6.1673</v>
      </c>
      <c r="QA24" s="289">
        <v>6.2775999999999996</v>
      </c>
      <c r="QB24" s="289">
        <v>6.75</v>
      </c>
      <c r="QC24" s="289">
        <v>7.8</v>
      </c>
      <c r="QD24" s="289">
        <v>7.8192000000000004</v>
      </c>
      <c r="QE24" s="185">
        <v>18</v>
      </c>
      <c r="QF24" s="1"/>
      <c r="QG24" s="1"/>
      <c r="QH24" s="185">
        <v>18</v>
      </c>
      <c r="QI24" s="289">
        <v>3.1088</v>
      </c>
      <c r="QJ24" s="289">
        <v>3.1055000000000001</v>
      </c>
      <c r="QK24" s="289">
        <v>3.3033000000000001</v>
      </c>
      <c r="QL24" s="289">
        <v>3.3666</v>
      </c>
      <c r="QM24" s="289">
        <v>3.3319000000000001</v>
      </c>
      <c r="QN24" s="289">
        <v>3.3675000000000002</v>
      </c>
      <c r="QO24" s="289">
        <v>3.4024999999999999</v>
      </c>
      <c r="QP24" s="289">
        <v>3.4077999999999999</v>
      </c>
      <c r="QQ24" s="289">
        <v>3.4167999999999998</v>
      </c>
      <c r="QR24" s="289">
        <v>3.4178999999999999</v>
      </c>
      <c r="QS24" s="289">
        <v>3.4529999999999998</v>
      </c>
      <c r="QT24" s="289">
        <v>3.4605999999999999</v>
      </c>
      <c r="QU24" s="185">
        <v>18</v>
      </c>
      <c r="QV24" s="1"/>
      <c r="QW24" s="1"/>
      <c r="QX24" s="185">
        <v>18</v>
      </c>
      <c r="QY24" s="289">
        <v>3.113</v>
      </c>
      <c r="QZ24" s="289">
        <v>3.0977000000000001</v>
      </c>
      <c r="RA24" s="289">
        <v>3.12</v>
      </c>
      <c r="RB24" s="289">
        <v>3.0939999999999999</v>
      </c>
      <c r="RC24" s="289">
        <v>3.1288999999999998</v>
      </c>
      <c r="RD24" s="289">
        <v>3.1198999999999999</v>
      </c>
      <c r="RE24" s="289">
        <v>3.1242000000000001</v>
      </c>
      <c r="RF24" s="289">
        <v>3.1110000000000002</v>
      </c>
      <c r="RG24" s="289">
        <v>3.1107999999999998</v>
      </c>
      <c r="RH24" s="289">
        <v>3.1135000000000002</v>
      </c>
      <c r="RI24" s="289">
        <v>3.1850000000000001</v>
      </c>
      <c r="RJ24" s="289">
        <v>3.1053000000000002</v>
      </c>
      <c r="RK24" s="185">
        <v>18</v>
      </c>
      <c r="RL24" s="1"/>
      <c r="RM24" s="1"/>
      <c r="RN24" s="185">
        <v>18</v>
      </c>
      <c r="RO24" s="289">
        <v>3.0678999999999998</v>
      </c>
      <c r="RP24" s="289">
        <v>3.0634000000000001</v>
      </c>
      <c r="RQ24" s="289">
        <v>3.0609000000000002</v>
      </c>
      <c r="RR24" s="289">
        <v>3.0649999999999999</v>
      </c>
      <c r="RS24" s="289">
        <v>3.1093999999999999</v>
      </c>
      <c r="RT24" s="289">
        <v>3.121</v>
      </c>
      <c r="RU24" s="289">
        <v>3.1175000000000002</v>
      </c>
      <c r="RV24" s="289">
        <v>3.0768</v>
      </c>
      <c r="RW24" s="289">
        <v>3.0926</v>
      </c>
      <c r="RX24" s="289">
        <v>3.1343999999999999</v>
      </c>
      <c r="RY24" s="289">
        <v>3.1194999999999999</v>
      </c>
      <c r="RZ24" s="289">
        <v>3.1352000000000002</v>
      </c>
      <c r="SA24" s="185">
        <v>18</v>
      </c>
      <c r="SB24" s="1"/>
      <c r="SC24" s="1"/>
      <c r="SD24" s="185">
        <v>18</v>
      </c>
      <c r="SE24" s="289">
        <v>2.9529999999999998</v>
      </c>
      <c r="SF24" s="289">
        <v>2.9645999999999999</v>
      </c>
      <c r="SG24" s="289">
        <v>2.9758</v>
      </c>
      <c r="SH24" s="289">
        <v>2.9889999999999999</v>
      </c>
      <c r="SI24" s="289">
        <v>3.0009999999999999</v>
      </c>
      <c r="SJ24" s="289">
        <v>3.0125999999999999</v>
      </c>
      <c r="SK24" s="289">
        <v>3.0253999999999999</v>
      </c>
      <c r="SL24" s="289">
        <v>3.0373999999999999</v>
      </c>
      <c r="SM24" s="289">
        <v>3.0501999999999998</v>
      </c>
      <c r="SN24" s="289">
        <v>3.0630000000000002</v>
      </c>
      <c r="SO24" s="289">
        <v>3.07179</v>
      </c>
      <c r="SP24" s="289">
        <v>3.07531</v>
      </c>
      <c r="SQ24" s="185">
        <v>18</v>
      </c>
      <c r="SR24" s="1"/>
      <c r="SS24" s="1"/>
      <c r="ST24" s="185">
        <v>18</v>
      </c>
      <c r="SU24" s="289">
        <v>2.66</v>
      </c>
      <c r="SV24" s="289">
        <v>2.69</v>
      </c>
      <c r="SW24" s="289">
        <v>2.718</v>
      </c>
      <c r="SX24" s="289">
        <v>2.75</v>
      </c>
      <c r="SY24" s="289">
        <v>2.78</v>
      </c>
      <c r="SZ24" s="289">
        <v>2.8058000000000001</v>
      </c>
      <c r="TA24" s="289">
        <v>2.8313999999999999</v>
      </c>
      <c r="TB24" s="289">
        <v>2.8561999999999999</v>
      </c>
      <c r="TC24" s="289">
        <v>2.8794</v>
      </c>
      <c r="TD24" s="289">
        <v>2.9049999999999998</v>
      </c>
      <c r="TE24" s="289">
        <v>2.9281999999999999</v>
      </c>
      <c r="TF24" s="289">
        <v>2.9398</v>
      </c>
      <c r="TG24" s="185">
        <v>18</v>
      </c>
      <c r="TH24" s="1"/>
      <c r="TI24" s="1"/>
      <c r="TJ24" s="185">
        <v>18</v>
      </c>
      <c r="TK24" s="289">
        <v>2.2949999999999999</v>
      </c>
      <c r="TL24" s="289">
        <v>2.3260000000000001</v>
      </c>
      <c r="TM24" s="289">
        <v>2.3540000000000001</v>
      </c>
      <c r="TN24" s="289">
        <v>2.383</v>
      </c>
      <c r="TO24" s="289">
        <v>2.415</v>
      </c>
      <c r="TP24" s="289">
        <v>2.4449999999999998</v>
      </c>
      <c r="TQ24" s="289">
        <v>2.4740000000000002</v>
      </c>
      <c r="TR24" s="289">
        <v>2.5070000000000001</v>
      </c>
      <c r="TS24" s="289">
        <v>2.536</v>
      </c>
      <c r="TT24" s="289">
        <v>2.5680000000000001</v>
      </c>
      <c r="TU24" s="289">
        <v>2.5990000000000002</v>
      </c>
      <c r="TV24" s="289">
        <v>2.6269999999999998</v>
      </c>
      <c r="TW24" s="185">
        <v>18</v>
      </c>
    </row>
    <row r="25" spans="2:543" ht="20.100000000000001" customHeight="1">
      <c r="B25" s="64">
        <v>19</v>
      </c>
      <c r="C25" s="289">
        <v>20.3002</v>
      </c>
      <c r="D25" s="289">
        <v>20.297799999999999</v>
      </c>
      <c r="E25" s="289">
        <v>20.558499999999999</v>
      </c>
      <c r="F25" s="289">
        <v>19.796700000000001</v>
      </c>
      <c r="G25" s="289">
        <v>19.963699999999999</v>
      </c>
      <c r="H25" s="289">
        <v>20.572800000000001</v>
      </c>
      <c r="I25" s="289">
        <v>20.611000000000001</v>
      </c>
      <c r="J25" s="289">
        <v>20.038699999999999</v>
      </c>
      <c r="K25" s="289">
        <v>19.976800000000001</v>
      </c>
      <c r="L25" s="289">
        <v>19.991299999999999</v>
      </c>
      <c r="M25" s="289">
        <v>19.433299999999999</v>
      </c>
      <c r="N25" s="289">
        <v>19.796299999999999</v>
      </c>
      <c r="O25" s="64">
        <v>19</v>
      </c>
      <c r="R25" s="64">
        <v>19</v>
      </c>
      <c r="S25" s="289">
        <v>19.787500000000001</v>
      </c>
      <c r="T25" s="289">
        <v>20.2257</v>
      </c>
      <c r="U25" s="289">
        <v>20.6828</v>
      </c>
      <c r="V25" s="289">
        <v>19.927</v>
      </c>
      <c r="W25" s="289">
        <v>19.802800000000001</v>
      </c>
      <c r="X25" s="289">
        <v>20.429200000000002</v>
      </c>
      <c r="Y25" s="289">
        <v>19.941199999999998</v>
      </c>
      <c r="Z25" s="289">
        <v>19.991199999999999</v>
      </c>
      <c r="AA25" s="289">
        <v>19.900300000000001</v>
      </c>
      <c r="AB25" s="289">
        <v>20.467199999999998</v>
      </c>
      <c r="AC25" s="289">
        <v>20.691199999999998</v>
      </c>
      <c r="AD25" s="289">
        <v>20.9238</v>
      </c>
      <c r="AE25" s="64">
        <v>19</v>
      </c>
      <c r="AH25" s="185">
        <v>19</v>
      </c>
      <c r="AI25" s="289">
        <v>18.792999999999999</v>
      </c>
      <c r="AJ25" s="289">
        <v>18.5715</v>
      </c>
      <c r="AK25" s="289">
        <v>23.057300000000001</v>
      </c>
      <c r="AL25" s="289">
        <v>24.209800000000001</v>
      </c>
      <c r="AM25" s="289">
        <v>23.957999999999998</v>
      </c>
      <c r="AN25" s="289">
        <v>22.278300000000002</v>
      </c>
      <c r="AO25" s="289">
        <v>22.3032</v>
      </c>
      <c r="AP25" s="289">
        <v>22.056999999999999</v>
      </c>
      <c r="AQ25" s="289">
        <v>20.984999999999999</v>
      </c>
      <c r="AR25" s="289">
        <v>21.383199999999999</v>
      </c>
      <c r="AS25" s="289">
        <v>20.321200000000001</v>
      </c>
      <c r="AT25" s="289">
        <v>19.817299999999999</v>
      </c>
      <c r="AU25" s="185">
        <v>19</v>
      </c>
      <c r="AX25" s="185">
        <v>19</v>
      </c>
      <c r="AY25" s="289">
        <v>19.062999999999999</v>
      </c>
      <c r="AZ25" s="289">
        <v>19.362500000000001</v>
      </c>
      <c r="BA25" s="289">
        <v>19.3233</v>
      </c>
      <c r="BB25" s="289">
        <v>18.951599999999999</v>
      </c>
      <c r="BC25" s="289">
        <v>19.071000000000002</v>
      </c>
      <c r="BD25" s="289">
        <v>19.192399999999999</v>
      </c>
      <c r="BE25" s="289">
        <v>19.023299999999999</v>
      </c>
      <c r="BF25" s="289">
        <v>19.636500000000002</v>
      </c>
      <c r="BG25" s="289">
        <v>19.426200000000001</v>
      </c>
      <c r="BH25" s="289">
        <v>19.1602</v>
      </c>
      <c r="BI25" s="289">
        <v>19.422799999999999</v>
      </c>
      <c r="BJ25" s="289">
        <v>18.916499999999999</v>
      </c>
      <c r="BK25" s="185">
        <v>19</v>
      </c>
      <c r="BN25" s="185">
        <v>19</v>
      </c>
      <c r="BO25" s="289">
        <v>18.655000000000001</v>
      </c>
      <c r="BP25" s="289">
        <v>18.515899999999998</v>
      </c>
      <c r="BQ25" s="290">
        <v>18.702300000000001</v>
      </c>
      <c r="BR25" s="289">
        <v>17.9787</v>
      </c>
      <c r="BS25" s="289">
        <v>19.703299999999999</v>
      </c>
      <c r="BT25" s="289">
        <v>20.716000000000001</v>
      </c>
      <c r="BU25" s="289">
        <v>18.876300000000001</v>
      </c>
      <c r="BV25" s="289">
        <v>19.010000000000002</v>
      </c>
      <c r="BW25" s="289">
        <v>18.8399</v>
      </c>
      <c r="BX25" s="289">
        <v>18.801200000000001</v>
      </c>
      <c r="BY25" s="289">
        <v>20.3371</v>
      </c>
      <c r="BZ25" s="289">
        <v>20.1126</v>
      </c>
      <c r="CA25" s="185">
        <v>19</v>
      </c>
      <c r="CD25" s="185">
        <v>19</v>
      </c>
      <c r="CE25" s="289">
        <v>21.573799999999999</v>
      </c>
      <c r="CF25" s="289">
        <v>20.3325</v>
      </c>
      <c r="CG25" s="289">
        <v>19.172999999999998</v>
      </c>
      <c r="CH25" s="289">
        <v>18.558199999999999</v>
      </c>
      <c r="CI25" s="289">
        <v>18.676100000000002</v>
      </c>
      <c r="CJ25" s="289">
        <v>18.115400000000001</v>
      </c>
      <c r="CK25" s="289">
        <v>17.583600000000001</v>
      </c>
      <c r="CL25" s="289">
        <v>17.732399999999998</v>
      </c>
      <c r="CM25" s="289">
        <v>17.685700000000001</v>
      </c>
      <c r="CN25" s="289">
        <v>19.011700000000001</v>
      </c>
      <c r="CO25" s="289">
        <v>19.122399999999999</v>
      </c>
      <c r="CP25" s="289">
        <v>19.128900000000002</v>
      </c>
      <c r="CQ25" s="185">
        <v>19</v>
      </c>
      <c r="CT25" s="185">
        <v>19</v>
      </c>
      <c r="CU25" s="289">
        <v>18.210799999999999</v>
      </c>
      <c r="CV25" s="289">
        <v>18.389500000000002</v>
      </c>
      <c r="CW25" s="289">
        <v>17.403400000000001</v>
      </c>
      <c r="CX25" s="289">
        <v>17.5669</v>
      </c>
      <c r="CY25" s="289">
        <v>18.3217</v>
      </c>
      <c r="CZ25" s="289">
        <v>18.9968</v>
      </c>
      <c r="DA25" s="289">
        <v>18.492000000000001</v>
      </c>
      <c r="DB25" s="289">
        <v>18.259799999999998</v>
      </c>
      <c r="DC25" s="289">
        <v>19.227499999999999</v>
      </c>
      <c r="DD25" s="289">
        <v>18.872299999999999</v>
      </c>
      <c r="DE25" s="289">
        <v>20.189800000000002</v>
      </c>
      <c r="DF25" s="289">
        <v>20.597300000000001</v>
      </c>
      <c r="DG25" s="185">
        <v>19</v>
      </c>
      <c r="DJ25" s="185">
        <v>19</v>
      </c>
      <c r="DK25" s="289">
        <v>14.582100000000001</v>
      </c>
      <c r="DL25" s="289">
        <v>14.8971</v>
      </c>
      <c r="DM25" s="289">
        <v>15.427099999999999</v>
      </c>
      <c r="DN25" s="289">
        <v>15.2455</v>
      </c>
      <c r="DO25" s="289">
        <v>15.022500000000001</v>
      </c>
      <c r="DP25" s="289">
        <v>15.4199</v>
      </c>
      <c r="DQ25" s="289">
        <v>15.747</v>
      </c>
      <c r="DR25" s="289">
        <v>16.3993</v>
      </c>
      <c r="DS25" s="289">
        <v>16.771599999999999</v>
      </c>
      <c r="DT25" s="289">
        <v>16.425000000000001</v>
      </c>
      <c r="DU25" s="289">
        <v>16.757000000000001</v>
      </c>
      <c r="DV25" s="289">
        <v>17.100000000000001</v>
      </c>
      <c r="DW25" s="185">
        <v>19</v>
      </c>
      <c r="DZ25" s="185">
        <v>19</v>
      </c>
      <c r="EA25" s="289">
        <v>13.290699999999999</v>
      </c>
      <c r="EB25" s="289">
        <v>13.194900000000001</v>
      </c>
      <c r="EC25" s="289">
        <v>13.234</v>
      </c>
      <c r="ED25" s="289">
        <v>13.098599999999999</v>
      </c>
      <c r="EE25" s="289">
        <v>12.9755</v>
      </c>
      <c r="EF25" s="289">
        <v>13.1007</v>
      </c>
      <c r="EG25" s="289">
        <v>12.945399999999999</v>
      </c>
      <c r="EH25" s="289">
        <v>13.0748</v>
      </c>
      <c r="EI25" s="289">
        <v>13.1762</v>
      </c>
      <c r="EJ25" s="289">
        <v>13.5616</v>
      </c>
      <c r="EK25" s="289">
        <v>13.534800000000001</v>
      </c>
      <c r="EL25" s="289">
        <v>14.6028</v>
      </c>
      <c r="EM25" s="185">
        <v>19</v>
      </c>
      <c r="EP25" s="185">
        <v>19</v>
      </c>
      <c r="EQ25" s="289">
        <v>12.5868</v>
      </c>
      <c r="ER25" s="289">
        <v>12.6866</v>
      </c>
      <c r="ES25" s="289">
        <v>12.454499999999999</v>
      </c>
      <c r="ET25" s="289">
        <v>12.237</v>
      </c>
      <c r="EU25" s="289">
        <v>12.2378</v>
      </c>
      <c r="EV25" s="289">
        <v>12.737</v>
      </c>
      <c r="EW25" s="289">
        <v>12.545500000000001</v>
      </c>
      <c r="EX25" s="289">
        <v>12.862500000000001</v>
      </c>
      <c r="EY25" s="289">
        <v>12.924099999999999</v>
      </c>
      <c r="EZ25" s="289">
        <v>12.771699999999999</v>
      </c>
      <c r="FA25" s="289">
        <v>13.017300000000001</v>
      </c>
      <c r="FB25" s="289">
        <v>12.9575</v>
      </c>
      <c r="FC25" s="185">
        <v>19</v>
      </c>
      <c r="FF25" s="185">
        <v>19</v>
      </c>
      <c r="FG25" s="289">
        <v>13.4621</v>
      </c>
      <c r="FH25" s="289">
        <v>12.882199999999999</v>
      </c>
      <c r="FI25" s="289">
        <v>12.6591</v>
      </c>
      <c r="FJ25" s="289">
        <v>13.0816</v>
      </c>
      <c r="FK25" s="289">
        <v>13.7994</v>
      </c>
      <c r="FL25" s="289">
        <v>13.9115</v>
      </c>
      <c r="FM25" s="289">
        <v>13.2226</v>
      </c>
      <c r="FN25" s="289">
        <v>13.143000000000001</v>
      </c>
      <c r="FO25" s="289">
        <v>12.7492</v>
      </c>
      <c r="FP25" s="289">
        <v>12.7981</v>
      </c>
      <c r="FQ25" s="289">
        <v>13.2522</v>
      </c>
      <c r="FR25" s="289">
        <v>12.7624</v>
      </c>
      <c r="FS25" s="185">
        <v>19</v>
      </c>
      <c r="FV25" s="185">
        <v>19</v>
      </c>
      <c r="FW25" s="289">
        <v>12.0299</v>
      </c>
      <c r="FX25" s="289">
        <v>12.048299999999999</v>
      </c>
      <c r="FY25" s="289">
        <v>12.092499999999999</v>
      </c>
      <c r="FZ25" s="289">
        <v>11.709</v>
      </c>
      <c r="GA25" s="289">
        <v>11.766</v>
      </c>
      <c r="GB25" s="289">
        <v>11.959099999999999</v>
      </c>
      <c r="GC25" s="289">
        <v>11.7178</v>
      </c>
      <c r="GD25" s="289">
        <v>12.165100000000001</v>
      </c>
      <c r="GE25" s="289">
        <v>12.964600000000001</v>
      </c>
      <c r="GF25" s="289">
        <v>13.295199999999999</v>
      </c>
      <c r="GG25" s="289">
        <v>13.637499999999999</v>
      </c>
      <c r="GH25" s="289">
        <v>13.823</v>
      </c>
      <c r="GI25" s="185">
        <v>19</v>
      </c>
      <c r="GL25" s="185">
        <v>19</v>
      </c>
      <c r="GM25" s="289">
        <v>12.6884</v>
      </c>
      <c r="GN25" s="289">
        <v>12.8781</v>
      </c>
      <c r="GO25" s="289">
        <v>12.4892</v>
      </c>
      <c r="GP25" s="289">
        <v>12.1934</v>
      </c>
      <c r="GQ25" s="289">
        <v>12.692600000000001</v>
      </c>
      <c r="GR25" s="289">
        <v>12.592499999999999</v>
      </c>
      <c r="GS25" s="289">
        <v>12.779500000000001</v>
      </c>
      <c r="GT25" s="289">
        <v>12.5944</v>
      </c>
      <c r="GU25" s="289">
        <v>12.8355</v>
      </c>
      <c r="GV25" s="289">
        <v>12.4276</v>
      </c>
      <c r="GW25" s="289">
        <v>12.378299999999999</v>
      </c>
      <c r="GX25" s="289">
        <v>12.4505</v>
      </c>
      <c r="GY25" s="185">
        <v>19</v>
      </c>
      <c r="HB25" s="185">
        <v>19</v>
      </c>
      <c r="HC25" s="289">
        <v>14.219200000000001</v>
      </c>
      <c r="HD25" s="289">
        <v>14.611800000000001</v>
      </c>
      <c r="HE25" s="289">
        <v>14.0502</v>
      </c>
      <c r="HF25" s="289">
        <v>13.0511</v>
      </c>
      <c r="HG25" s="289">
        <v>13.2058</v>
      </c>
      <c r="HH25" s="289">
        <v>13.469799999999999</v>
      </c>
      <c r="HI25" s="289">
        <v>13.587</v>
      </c>
      <c r="HJ25" s="289">
        <v>12.9963</v>
      </c>
      <c r="HK25" s="289">
        <v>13.23</v>
      </c>
      <c r="HL25" s="289">
        <v>13.0884</v>
      </c>
      <c r="HM25" s="289">
        <v>13.0875</v>
      </c>
      <c r="HN25" s="289">
        <v>12.9331</v>
      </c>
      <c r="HO25" s="185">
        <v>19</v>
      </c>
      <c r="HP25" s="1"/>
      <c r="HQ25" s="1"/>
      <c r="HR25" s="185">
        <v>19</v>
      </c>
      <c r="HS25" s="289">
        <v>10.9445</v>
      </c>
      <c r="HT25" s="289">
        <v>10.7653</v>
      </c>
      <c r="HU25" s="289">
        <v>10.7613</v>
      </c>
      <c r="HV25" s="289">
        <v>10.482799999999999</v>
      </c>
      <c r="HW25" s="289">
        <v>10.476900000000001</v>
      </c>
      <c r="HX25" s="289">
        <v>10.315300000000001</v>
      </c>
      <c r="HY25" s="289">
        <v>10.2311</v>
      </c>
      <c r="HZ25" s="289">
        <v>10.1966</v>
      </c>
      <c r="IA25" s="289">
        <v>10.870200000000001</v>
      </c>
      <c r="IB25" s="289">
        <v>13.0633</v>
      </c>
      <c r="IC25" s="289">
        <v>13.0242</v>
      </c>
      <c r="ID25" s="289">
        <v>13.1275</v>
      </c>
      <c r="IE25" s="185">
        <v>19</v>
      </c>
      <c r="IF25" s="1"/>
      <c r="IG25" s="1"/>
      <c r="IH25" s="185">
        <v>19</v>
      </c>
      <c r="II25" s="289">
        <v>10.923400000000001</v>
      </c>
      <c r="IJ25" s="289">
        <v>10.952199999999999</v>
      </c>
      <c r="IK25" s="289">
        <v>11.1348</v>
      </c>
      <c r="IL25" s="289">
        <v>10.991099999999999</v>
      </c>
      <c r="IM25" s="289">
        <v>10.8033</v>
      </c>
      <c r="IN25" s="289">
        <v>10.8148</v>
      </c>
      <c r="IO25" s="289">
        <v>10.7628</v>
      </c>
      <c r="IP25" s="289">
        <v>11.2676</v>
      </c>
      <c r="IQ25" s="289">
        <v>11.1471</v>
      </c>
      <c r="IR25" s="289">
        <v>10.818099999999999</v>
      </c>
      <c r="IS25" s="289">
        <v>10.9145</v>
      </c>
      <c r="IT25" s="289">
        <v>10.846</v>
      </c>
      <c r="IU25" s="185">
        <v>19</v>
      </c>
      <c r="IV25" s="1"/>
      <c r="IW25" s="1"/>
      <c r="IX25" s="185">
        <v>19</v>
      </c>
      <c r="IY25" s="289">
        <v>10.5372</v>
      </c>
      <c r="IZ25" s="289">
        <v>10.5175</v>
      </c>
      <c r="JA25" s="289">
        <v>10.6212</v>
      </c>
      <c r="JB25" s="289">
        <v>11.084199999999999</v>
      </c>
      <c r="JC25" s="289">
        <v>11.132999999999999</v>
      </c>
      <c r="JD25" s="289">
        <v>11.411300000000001</v>
      </c>
      <c r="JE25" s="289">
        <v>10.991400000000001</v>
      </c>
      <c r="JF25" s="289">
        <v>10.747999999999999</v>
      </c>
      <c r="JG25" s="289">
        <v>10.9468</v>
      </c>
      <c r="JH25" s="289">
        <v>10.8703</v>
      </c>
      <c r="JI25" s="289">
        <v>10.8527</v>
      </c>
      <c r="JJ25" s="289">
        <v>10.773999999999999</v>
      </c>
      <c r="JK25" s="185">
        <v>19</v>
      </c>
      <c r="JL25" s="1"/>
      <c r="JM25" s="1"/>
      <c r="JN25" s="185">
        <v>19</v>
      </c>
      <c r="JO25" s="289">
        <v>11.2285</v>
      </c>
      <c r="JP25" s="289">
        <v>11.1389</v>
      </c>
      <c r="JQ25" s="289">
        <v>11.2193</v>
      </c>
      <c r="JR25" s="289">
        <v>11.1021</v>
      </c>
      <c r="JS25" s="289">
        <v>10.9963</v>
      </c>
      <c r="JT25" s="289">
        <v>10.800700000000001</v>
      </c>
      <c r="JU25" s="289">
        <v>10.6312</v>
      </c>
      <c r="JV25" s="289">
        <v>10.6088</v>
      </c>
      <c r="JW25" s="289">
        <v>10.8355</v>
      </c>
      <c r="JX25" s="289">
        <v>10.8462</v>
      </c>
      <c r="JY25" s="289">
        <v>10.676</v>
      </c>
      <c r="JZ25" s="289">
        <v>10.7378</v>
      </c>
      <c r="KA25" s="185">
        <v>19</v>
      </c>
      <c r="KB25" s="1"/>
      <c r="KC25" s="1"/>
      <c r="KD25" s="185">
        <v>19</v>
      </c>
      <c r="KE25" s="289">
        <v>10.8514</v>
      </c>
      <c r="KF25" s="289">
        <v>10.9337</v>
      </c>
      <c r="KG25" s="289">
        <v>10.998799999999999</v>
      </c>
      <c r="KH25" s="289">
        <v>11.27</v>
      </c>
      <c r="KI25" s="289">
        <v>11.5282</v>
      </c>
      <c r="KJ25" s="289">
        <v>11.3523</v>
      </c>
      <c r="KK25" s="289">
        <v>11.4909</v>
      </c>
      <c r="KL25" s="289">
        <v>11.348100000000001</v>
      </c>
      <c r="KM25" s="289">
        <v>11.533300000000001</v>
      </c>
      <c r="KN25" s="289">
        <v>11.454000000000001</v>
      </c>
      <c r="KO25" s="289">
        <v>11.3271</v>
      </c>
      <c r="KP25" s="289">
        <v>11.2316</v>
      </c>
      <c r="KQ25" s="185">
        <v>19</v>
      </c>
      <c r="KR25" s="1"/>
      <c r="KS25" s="1"/>
      <c r="KT25" s="185">
        <v>19</v>
      </c>
      <c r="KU25" s="289">
        <v>10.5083</v>
      </c>
      <c r="KV25" s="289">
        <v>10.7667</v>
      </c>
      <c r="KW25" s="289">
        <v>10.8713</v>
      </c>
      <c r="KX25" s="289">
        <v>10.639799999999999</v>
      </c>
      <c r="KY25" s="289">
        <v>10.2927</v>
      </c>
      <c r="KZ25" s="289">
        <v>10.5014</v>
      </c>
      <c r="LA25" s="289">
        <v>10.349</v>
      </c>
      <c r="LB25" s="289">
        <v>10.7273</v>
      </c>
      <c r="LC25" s="289">
        <v>10.9054</v>
      </c>
      <c r="LD25" s="289">
        <v>11.247199999999999</v>
      </c>
      <c r="LE25" s="289">
        <v>11.1823</v>
      </c>
      <c r="LF25" s="289">
        <v>11.2676</v>
      </c>
      <c r="LG25" s="185">
        <v>19</v>
      </c>
      <c r="LH25" s="1"/>
      <c r="LI25" s="1"/>
      <c r="LJ25" s="185">
        <v>19</v>
      </c>
      <c r="LK25" s="289">
        <v>9.1255000000000006</v>
      </c>
      <c r="LL25" s="289">
        <v>9.0652000000000008</v>
      </c>
      <c r="LM25" s="289">
        <v>9.0929000000000002</v>
      </c>
      <c r="LN25" s="289">
        <v>9.1904000000000003</v>
      </c>
      <c r="LO25" s="289">
        <v>9.4863</v>
      </c>
      <c r="LP25" s="289">
        <v>9.6077999999999992</v>
      </c>
      <c r="LQ25" s="289">
        <v>9.6468000000000007</v>
      </c>
      <c r="LR25" s="289">
        <v>9.9291999999999998</v>
      </c>
      <c r="LS25" s="289">
        <v>9.9657999999999998</v>
      </c>
      <c r="LT25" s="289">
        <v>9.9987999999999992</v>
      </c>
      <c r="LU25" s="289">
        <v>10.2484</v>
      </c>
      <c r="LV25" s="289">
        <v>10.205299999999999</v>
      </c>
      <c r="LW25" s="185">
        <v>19</v>
      </c>
      <c r="LX25" s="1"/>
      <c r="LY25" s="1"/>
      <c r="LZ25" s="185">
        <v>19</v>
      </c>
      <c r="MA25" s="289">
        <v>9.8878000000000004</v>
      </c>
      <c r="MB25" s="289">
        <v>9.6762999999999995</v>
      </c>
      <c r="MC25" s="289">
        <v>9.5843000000000007</v>
      </c>
      <c r="MD25" s="289">
        <v>9.2722999999999995</v>
      </c>
      <c r="ME25" s="289">
        <v>8.9952000000000005</v>
      </c>
      <c r="MF25" s="289">
        <v>9.0521999999999991</v>
      </c>
      <c r="MG25" s="289">
        <v>9.1854999999999993</v>
      </c>
      <c r="MH25" s="289">
        <v>9.0832999999999995</v>
      </c>
      <c r="MI25" s="289">
        <v>9.4478000000000009</v>
      </c>
      <c r="MJ25" s="289">
        <v>9.234</v>
      </c>
      <c r="MK25" s="289">
        <v>9.2027999999999999</v>
      </c>
      <c r="ML25" s="289">
        <v>9.1197999999999997</v>
      </c>
      <c r="MM25" s="185">
        <v>19</v>
      </c>
      <c r="MN25" s="1"/>
      <c r="MO25" s="1"/>
      <c r="MP25" s="185">
        <v>19</v>
      </c>
      <c r="MQ25" s="289">
        <v>9.4171999999999993</v>
      </c>
      <c r="MR25" s="289">
        <v>9.3904999999999994</v>
      </c>
      <c r="MS25" s="289">
        <v>9.3224</v>
      </c>
      <c r="MT25" s="289">
        <v>9.4882000000000009</v>
      </c>
      <c r="MU25" s="289">
        <v>9.5450999999999997</v>
      </c>
      <c r="MV25" s="289">
        <v>9.8477999999999994</v>
      </c>
      <c r="MW25" s="289">
        <v>9.3491</v>
      </c>
      <c r="MX25" s="289">
        <v>9.1873000000000005</v>
      </c>
      <c r="MY25" s="289">
        <v>9.3516999999999992</v>
      </c>
      <c r="MZ25" s="289">
        <v>9.5442999999999998</v>
      </c>
      <c r="NA25" s="289">
        <v>9.4827999999999992</v>
      </c>
      <c r="NB25" s="289">
        <v>9.4078999999999997</v>
      </c>
      <c r="NC25" s="185">
        <v>19</v>
      </c>
      <c r="ND25" s="1"/>
      <c r="NE25" s="1"/>
      <c r="NF25" s="185">
        <v>19</v>
      </c>
      <c r="NG25" s="289">
        <v>10.3485</v>
      </c>
      <c r="NH25" s="289">
        <v>9.9042999999999992</v>
      </c>
      <c r="NI25" s="289">
        <v>9.6888000000000005</v>
      </c>
      <c r="NJ25" s="289">
        <v>9.5429999999999993</v>
      </c>
      <c r="NK25" s="289">
        <v>9.3663000000000007</v>
      </c>
      <c r="NL25" s="289">
        <v>9.4038000000000004</v>
      </c>
      <c r="NM25" s="289">
        <v>9.3343000000000007</v>
      </c>
      <c r="NN25" s="289">
        <v>9.3331999999999997</v>
      </c>
      <c r="NO25" s="289">
        <v>9.3092000000000006</v>
      </c>
      <c r="NP25" s="289">
        <v>9.7113999999999994</v>
      </c>
      <c r="NQ25" s="289">
        <v>9.3549000000000007</v>
      </c>
      <c r="NR25" s="289">
        <v>9.3577999999999992</v>
      </c>
      <c r="NS25" s="185">
        <v>19</v>
      </c>
      <c r="NT25" s="1"/>
      <c r="NU25" s="1"/>
      <c r="NV25" s="185">
        <v>19</v>
      </c>
      <c r="NW25" s="289">
        <v>8.2761999999999993</v>
      </c>
      <c r="NX25" s="289">
        <v>8.4578000000000007</v>
      </c>
      <c r="NY25" s="289">
        <v>8.6047999999999991</v>
      </c>
      <c r="NZ25" s="289">
        <v>8.5008999999999997</v>
      </c>
      <c r="OA25" s="289">
        <v>8.5146999999999995</v>
      </c>
      <c r="OB25" s="289">
        <v>8.8803000000000001</v>
      </c>
      <c r="OC25" s="289">
        <v>8.8392999999999997</v>
      </c>
      <c r="OD25" s="289">
        <v>9.3018000000000001</v>
      </c>
      <c r="OE25" s="289">
        <v>10.315799999999999</v>
      </c>
      <c r="OF25" s="289">
        <v>10.1312</v>
      </c>
      <c r="OG25" s="289">
        <v>9.9440000000000008</v>
      </c>
      <c r="OH25" s="289">
        <v>9.7863000000000007</v>
      </c>
      <c r="OI25" s="185">
        <v>19</v>
      </c>
      <c r="OJ25" s="1"/>
      <c r="OK25" s="1"/>
      <c r="OL25" s="185">
        <v>19</v>
      </c>
      <c r="OM25" s="289">
        <v>7.8221999999999996</v>
      </c>
      <c r="ON25" s="289">
        <v>7.7691999999999997</v>
      </c>
      <c r="OO25" s="289">
        <v>7.992</v>
      </c>
      <c r="OP25" s="289">
        <v>7.8852000000000002</v>
      </c>
      <c r="OQ25" s="289">
        <v>7.9031000000000002</v>
      </c>
      <c r="OR25" s="289">
        <v>7.9424000000000001</v>
      </c>
      <c r="OS25" s="289">
        <v>7.8556999999999997</v>
      </c>
      <c r="OT25" s="289">
        <v>7.7645999999999997</v>
      </c>
      <c r="OU25" s="289">
        <v>7.7545999999999999</v>
      </c>
      <c r="OV25" s="289">
        <v>7.7336</v>
      </c>
      <c r="OW25" s="289">
        <v>8.2424999999999997</v>
      </c>
      <c r="OX25" s="289">
        <v>8.0786999999999995</v>
      </c>
      <c r="OY25" s="185">
        <v>19</v>
      </c>
      <c r="OZ25" s="1"/>
      <c r="PA25" s="1"/>
      <c r="PB25" s="185">
        <v>19</v>
      </c>
      <c r="PC25" s="289">
        <v>7.51</v>
      </c>
      <c r="PD25" s="289">
        <v>7.5007999999999999</v>
      </c>
      <c r="PE25" s="289">
        <v>7.5762</v>
      </c>
      <c r="PF25" s="289">
        <v>7.4276</v>
      </c>
      <c r="PG25" s="289">
        <v>7.4179000000000004</v>
      </c>
      <c r="PH25" s="289">
        <v>7.5842999999999998</v>
      </c>
      <c r="PI25" s="289">
        <v>7.6536</v>
      </c>
      <c r="PJ25" s="289">
        <v>7.5076999999999998</v>
      </c>
      <c r="PK25" s="289">
        <v>7.5054999999999996</v>
      </c>
      <c r="PL25" s="289">
        <v>7.7725999999999997</v>
      </c>
      <c r="PM25" s="289">
        <v>7.9020000000000001</v>
      </c>
      <c r="PN25" s="289">
        <v>7.8771000000000004</v>
      </c>
      <c r="PO25" s="185">
        <v>19</v>
      </c>
      <c r="PP25" s="1"/>
      <c r="PQ25" s="1"/>
      <c r="PR25" s="185">
        <v>19</v>
      </c>
      <c r="PS25" s="289">
        <v>5.3075000000000001</v>
      </c>
      <c r="PT25" s="289">
        <v>6.1</v>
      </c>
      <c r="PU25" s="289">
        <v>7.2074999999999996</v>
      </c>
      <c r="PV25" s="289">
        <v>6.2732999999999999</v>
      </c>
      <c r="PW25" s="289">
        <v>5.9275000000000002</v>
      </c>
      <c r="PX25" s="289">
        <v>6.1867000000000001</v>
      </c>
      <c r="PY25" s="289">
        <v>5.9896000000000003</v>
      </c>
      <c r="PZ25" s="289">
        <v>6.1849999999999996</v>
      </c>
      <c r="QA25" s="289">
        <v>6.2750000000000004</v>
      </c>
      <c r="QB25" s="289">
        <v>6.7607999999999997</v>
      </c>
      <c r="QC25" s="289">
        <v>7.8</v>
      </c>
      <c r="QD25" s="289">
        <v>7.7695999999999996</v>
      </c>
      <c r="QE25" s="185">
        <v>19</v>
      </c>
      <c r="QF25" s="1"/>
      <c r="QG25" s="1"/>
      <c r="QH25" s="185">
        <v>19</v>
      </c>
      <c r="QI25" s="289">
        <v>3.1061000000000001</v>
      </c>
      <c r="QJ25" s="289">
        <v>3.1053000000000002</v>
      </c>
      <c r="QK25" s="289">
        <v>3.3043</v>
      </c>
      <c r="QL25" s="289">
        <v>3.367</v>
      </c>
      <c r="QM25" s="289">
        <v>3.3290000000000002</v>
      </c>
      <c r="QN25" s="289">
        <v>3.3675000000000002</v>
      </c>
      <c r="QO25" s="289">
        <v>3.4020000000000001</v>
      </c>
      <c r="QP25" s="289">
        <v>3.3845000000000001</v>
      </c>
      <c r="QQ25" s="289">
        <v>3.4167999999999998</v>
      </c>
      <c r="QR25" s="289">
        <v>3.4215</v>
      </c>
      <c r="QS25" s="289">
        <v>3.4533999999999998</v>
      </c>
      <c r="QT25" s="289">
        <v>3.4605999999999999</v>
      </c>
      <c r="QU25" s="185">
        <v>19</v>
      </c>
      <c r="QV25" s="1"/>
      <c r="QW25" s="1"/>
      <c r="QX25" s="185">
        <v>19</v>
      </c>
      <c r="QY25" s="289">
        <v>3.1103000000000001</v>
      </c>
      <c r="QZ25" s="289">
        <v>3.0985999999999998</v>
      </c>
      <c r="RA25" s="289">
        <v>3.1190000000000002</v>
      </c>
      <c r="RB25" s="289">
        <v>3.0939999999999999</v>
      </c>
      <c r="RC25" s="289">
        <v>3.1269999999999998</v>
      </c>
      <c r="RD25" s="289">
        <v>3.1171000000000002</v>
      </c>
      <c r="RE25" s="289">
        <v>3.1242000000000001</v>
      </c>
      <c r="RF25" s="289">
        <v>3.1103999999999998</v>
      </c>
      <c r="RG25" s="289">
        <v>3.1107999999999998</v>
      </c>
      <c r="RH25" s="289">
        <v>3.1139999999999999</v>
      </c>
      <c r="RI25" s="289">
        <v>3.1608000000000001</v>
      </c>
      <c r="RJ25" s="289">
        <v>3.1053000000000002</v>
      </c>
      <c r="RK25" s="185">
        <v>19</v>
      </c>
      <c r="RL25" s="1"/>
      <c r="RM25" s="1"/>
      <c r="RN25" s="185">
        <v>19</v>
      </c>
      <c r="RO25" s="289">
        <v>3.0678999999999998</v>
      </c>
      <c r="RP25" s="289">
        <v>3.0621</v>
      </c>
      <c r="RQ25" s="289">
        <v>3.0617999999999999</v>
      </c>
      <c r="RR25" s="289">
        <v>3.0649999999999999</v>
      </c>
      <c r="RS25" s="289">
        <v>3.1038999999999999</v>
      </c>
      <c r="RT25" s="289">
        <v>3.1219999999999999</v>
      </c>
      <c r="RU25" s="289">
        <v>3.1175000000000002</v>
      </c>
      <c r="RV25" s="289">
        <v>3.0869</v>
      </c>
      <c r="RW25" s="289">
        <v>3.0916000000000001</v>
      </c>
      <c r="RX25" s="289">
        <v>3.1343999999999999</v>
      </c>
      <c r="RY25" s="289">
        <v>3.1168</v>
      </c>
      <c r="RZ25" s="289">
        <v>3.1204000000000001</v>
      </c>
      <c r="SA25" s="185">
        <v>19</v>
      </c>
      <c r="SB25" s="1"/>
      <c r="SC25" s="1"/>
      <c r="SD25" s="185">
        <v>19</v>
      </c>
      <c r="SE25" s="289">
        <v>2.9533999999999998</v>
      </c>
      <c r="SF25" s="289">
        <v>2.9649999999999999</v>
      </c>
      <c r="SG25" s="289">
        <v>2.9762</v>
      </c>
      <c r="SH25" s="289">
        <v>2.9893999999999998</v>
      </c>
      <c r="SI25" s="289">
        <v>3.0009999999999999</v>
      </c>
      <c r="SJ25" s="289">
        <v>3.0137999999999998</v>
      </c>
      <c r="SK25" s="289">
        <v>3.0257999999999998</v>
      </c>
      <c r="SL25" s="289">
        <v>3.0373999999999999</v>
      </c>
      <c r="SM25" s="289">
        <v>3.0506000000000002</v>
      </c>
      <c r="SN25" s="289">
        <v>3.0642</v>
      </c>
      <c r="SO25" s="289">
        <v>3.0683799999999999</v>
      </c>
      <c r="SP25" s="289">
        <v>3.0755599999999998</v>
      </c>
      <c r="SQ25" s="185">
        <v>19</v>
      </c>
      <c r="SR25" s="1"/>
      <c r="SS25" s="1"/>
      <c r="ST25" s="185">
        <v>19</v>
      </c>
      <c r="SU25" s="289">
        <v>2.661</v>
      </c>
      <c r="SV25" s="289">
        <v>2.69</v>
      </c>
      <c r="SW25" s="289">
        <v>2.718</v>
      </c>
      <c r="SX25" s="289">
        <v>2.7509999999999999</v>
      </c>
      <c r="SY25" s="289">
        <v>2.7810000000000001</v>
      </c>
      <c r="SZ25" s="289">
        <v>2.8066</v>
      </c>
      <c r="TA25" s="289">
        <v>2.8321999999999998</v>
      </c>
      <c r="TB25" s="289">
        <v>2.8561999999999999</v>
      </c>
      <c r="TC25" s="289">
        <v>2.8818000000000001</v>
      </c>
      <c r="TD25" s="289">
        <v>2.9058000000000002</v>
      </c>
      <c r="TE25" s="289">
        <v>2.9281999999999999</v>
      </c>
      <c r="TF25" s="289">
        <v>2.9409999999999998</v>
      </c>
      <c r="TG25" s="185">
        <v>19</v>
      </c>
      <c r="TH25" s="1"/>
      <c r="TI25" s="1"/>
      <c r="TJ25" s="185">
        <v>19</v>
      </c>
      <c r="TK25" s="289">
        <v>2.2959999999999998</v>
      </c>
      <c r="TL25" s="289">
        <v>2.3260000000000001</v>
      </c>
      <c r="TM25" s="289">
        <v>2.3540000000000001</v>
      </c>
      <c r="TN25" s="289">
        <v>2.3860000000000001</v>
      </c>
      <c r="TO25" s="289">
        <v>2.4159999999999999</v>
      </c>
      <c r="TP25" s="289">
        <v>2.4449999999999998</v>
      </c>
      <c r="TQ25" s="289">
        <v>2.4769999999999999</v>
      </c>
      <c r="TR25" s="289">
        <v>2.508</v>
      </c>
      <c r="TS25" s="289">
        <v>2.5369999999999999</v>
      </c>
      <c r="TT25" s="289">
        <v>2.569</v>
      </c>
      <c r="TU25" s="289">
        <v>2.5990000000000002</v>
      </c>
      <c r="TV25" s="289">
        <v>2.6280000000000001</v>
      </c>
      <c r="TW25" s="185">
        <v>19</v>
      </c>
    </row>
    <row r="26" spans="2:543" ht="20.100000000000001" customHeight="1">
      <c r="B26" s="64">
        <v>20</v>
      </c>
      <c r="C26" s="289">
        <v>20.402999999999999</v>
      </c>
      <c r="D26" s="289">
        <v>20.297799999999999</v>
      </c>
      <c r="E26" s="289">
        <v>20.558499999999999</v>
      </c>
      <c r="F26" s="289">
        <v>19.9377</v>
      </c>
      <c r="G26" s="289">
        <v>19.9663</v>
      </c>
      <c r="H26" s="289">
        <v>20.572800000000001</v>
      </c>
      <c r="I26" s="289">
        <v>20.395700000000001</v>
      </c>
      <c r="J26" s="289">
        <v>20.083500000000001</v>
      </c>
      <c r="K26" s="289">
        <v>20.052499999999998</v>
      </c>
      <c r="L26" s="289">
        <v>20.020700000000001</v>
      </c>
      <c r="M26" s="289">
        <v>19.433299999999999</v>
      </c>
      <c r="N26" s="289">
        <v>19.793199999999999</v>
      </c>
      <c r="O26" s="64">
        <v>20</v>
      </c>
      <c r="R26" s="64">
        <v>20</v>
      </c>
      <c r="S26" s="289">
        <v>19.757000000000001</v>
      </c>
      <c r="T26" s="289">
        <v>20.416499999999999</v>
      </c>
      <c r="U26" s="289">
        <v>20.441500000000001</v>
      </c>
      <c r="V26" s="289">
        <v>19.915800000000001</v>
      </c>
      <c r="W26" s="289">
        <v>19.831299999999999</v>
      </c>
      <c r="X26" s="289">
        <v>20.429200000000002</v>
      </c>
      <c r="Y26" s="289">
        <v>19.8537</v>
      </c>
      <c r="Z26" s="289">
        <v>20.0107</v>
      </c>
      <c r="AA26" s="289">
        <v>19.900300000000001</v>
      </c>
      <c r="AB26" s="289">
        <v>20.358699999999999</v>
      </c>
      <c r="AC26" s="289">
        <v>20.762799999999999</v>
      </c>
      <c r="AD26" s="289">
        <v>20.9238</v>
      </c>
      <c r="AE26" s="64">
        <v>20</v>
      </c>
      <c r="AH26" s="185">
        <v>20</v>
      </c>
      <c r="AI26" s="289">
        <v>18.792999999999999</v>
      </c>
      <c r="AJ26" s="289">
        <v>18.595199999999998</v>
      </c>
      <c r="AK26" s="289">
        <v>23.9008</v>
      </c>
      <c r="AL26" s="289">
        <v>24.209800000000001</v>
      </c>
      <c r="AM26" s="289">
        <v>23.603200000000001</v>
      </c>
      <c r="AN26" s="289">
        <v>22.608799999999999</v>
      </c>
      <c r="AO26" s="289">
        <v>22.3032</v>
      </c>
      <c r="AP26" s="289">
        <v>22.153500000000001</v>
      </c>
      <c r="AQ26" s="289">
        <v>20.984999999999999</v>
      </c>
      <c r="AR26" s="289">
        <v>21.176500000000001</v>
      </c>
      <c r="AS26" s="289">
        <v>20.238800000000001</v>
      </c>
      <c r="AT26" s="289">
        <v>19.817299999999999</v>
      </c>
      <c r="AU26" s="185">
        <v>20</v>
      </c>
      <c r="AX26" s="185">
        <v>20</v>
      </c>
      <c r="AY26" s="289">
        <v>19.062999999999999</v>
      </c>
      <c r="AZ26" s="289">
        <v>19.2578</v>
      </c>
      <c r="BA26" s="290">
        <v>19.217600000000001</v>
      </c>
      <c r="BB26" s="289">
        <v>18.951599999999999</v>
      </c>
      <c r="BC26" s="289">
        <v>19.071000000000002</v>
      </c>
      <c r="BD26" s="289">
        <v>19.101099999999999</v>
      </c>
      <c r="BE26" s="289">
        <v>19.0108</v>
      </c>
      <c r="BF26" s="289">
        <v>19.5669</v>
      </c>
      <c r="BG26" s="289">
        <v>19.352799999999998</v>
      </c>
      <c r="BH26" s="289">
        <v>19.1602</v>
      </c>
      <c r="BI26" s="289">
        <v>19.206299999999999</v>
      </c>
      <c r="BJ26" s="289">
        <v>18.9542</v>
      </c>
      <c r="BK26" s="185">
        <v>20</v>
      </c>
      <c r="BN26" s="185">
        <v>20</v>
      </c>
      <c r="BO26" s="289">
        <v>18.636099999999999</v>
      </c>
      <c r="BP26" s="289">
        <v>18.479700000000001</v>
      </c>
      <c r="BQ26" s="290">
        <v>18.702300000000001</v>
      </c>
      <c r="BR26" s="289">
        <v>18.033300000000001</v>
      </c>
      <c r="BS26" s="289">
        <v>19.703299999999999</v>
      </c>
      <c r="BT26" s="289">
        <v>20.6968</v>
      </c>
      <c r="BU26" s="289">
        <v>18.91</v>
      </c>
      <c r="BV26" s="289">
        <v>19.010000000000002</v>
      </c>
      <c r="BW26" s="289">
        <v>18.769400000000001</v>
      </c>
      <c r="BX26" s="289">
        <v>19.101800000000001</v>
      </c>
      <c r="BY26" s="289">
        <v>20.3371</v>
      </c>
      <c r="BZ26" s="289">
        <v>20.127700000000001</v>
      </c>
      <c r="CA26" s="185">
        <v>20</v>
      </c>
      <c r="CD26" s="185">
        <v>20</v>
      </c>
      <c r="CE26" s="289">
        <v>21.851400000000002</v>
      </c>
      <c r="CF26" s="289">
        <v>20.3325</v>
      </c>
      <c r="CG26" s="289">
        <v>19.172999999999998</v>
      </c>
      <c r="CH26" s="289">
        <v>18.4863</v>
      </c>
      <c r="CI26" s="289">
        <v>18.889800000000001</v>
      </c>
      <c r="CJ26" s="289">
        <v>17.932099999999998</v>
      </c>
      <c r="CK26" s="289">
        <v>17.513400000000001</v>
      </c>
      <c r="CL26" s="289">
        <v>17.732399999999998</v>
      </c>
      <c r="CM26" s="289">
        <v>17.760999999999999</v>
      </c>
      <c r="CN26" s="289">
        <v>18.886900000000001</v>
      </c>
      <c r="CO26" s="289">
        <v>19.122399999999999</v>
      </c>
      <c r="CP26" s="289">
        <v>19.0289</v>
      </c>
      <c r="CQ26" s="185">
        <v>20</v>
      </c>
      <c r="CT26" s="185">
        <v>20</v>
      </c>
      <c r="CU26" s="289">
        <v>18.232700000000001</v>
      </c>
      <c r="CV26" s="289">
        <v>18.143899999999999</v>
      </c>
      <c r="CW26" s="289">
        <v>17.403400000000001</v>
      </c>
      <c r="CX26" s="289">
        <v>17.459800000000001</v>
      </c>
      <c r="CY26" s="289">
        <v>18.376100000000001</v>
      </c>
      <c r="CZ26" s="289">
        <v>18.9968</v>
      </c>
      <c r="DA26" s="289">
        <v>18.4879</v>
      </c>
      <c r="DB26" s="289">
        <v>18.083200000000001</v>
      </c>
      <c r="DC26" s="289">
        <v>19.2514</v>
      </c>
      <c r="DD26" s="289">
        <v>18.672599999999999</v>
      </c>
      <c r="DE26" s="289">
        <v>20.189800000000002</v>
      </c>
      <c r="DF26" s="289">
        <v>20.428000000000001</v>
      </c>
      <c r="DG26" s="185">
        <v>20</v>
      </c>
      <c r="DJ26" s="185">
        <v>20</v>
      </c>
      <c r="DK26" s="289">
        <v>14.622299999999999</v>
      </c>
      <c r="DL26" s="289">
        <v>14.9473</v>
      </c>
      <c r="DM26" s="289">
        <v>15.4192</v>
      </c>
      <c r="DN26" s="289">
        <v>15.2455</v>
      </c>
      <c r="DO26" s="289">
        <v>15.12</v>
      </c>
      <c r="DP26" s="289">
        <v>15.4199</v>
      </c>
      <c r="DQ26" s="289">
        <v>15.801399999999999</v>
      </c>
      <c r="DR26" s="289">
        <v>16.431699999999999</v>
      </c>
      <c r="DS26" s="289">
        <v>16.771599999999999</v>
      </c>
      <c r="DT26" s="289">
        <v>16.395900000000001</v>
      </c>
      <c r="DU26" s="289">
        <v>16.7636</v>
      </c>
      <c r="DV26" s="289">
        <v>17.100000000000001</v>
      </c>
      <c r="DW26" s="185">
        <v>20</v>
      </c>
      <c r="DZ26" s="185">
        <v>20</v>
      </c>
      <c r="EA26" s="289">
        <v>13.290699999999999</v>
      </c>
      <c r="EB26" s="289">
        <v>13.226100000000001</v>
      </c>
      <c r="EC26" s="289">
        <v>13.1675</v>
      </c>
      <c r="ED26" s="289">
        <v>13.098599999999999</v>
      </c>
      <c r="EE26" s="289">
        <v>12.9193</v>
      </c>
      <c r="EF26" s="289">
        <v>13.0672</v>
      </c>
      <c r="EG26" s="289">
        <v>12.945399999999999</v>
      </c>
      <c r="EH26" s="289">
        <v>13.0505</v>
      </c>
      <c r="EI26" s="289">
        <v>13.2402</v>
      </c>
      <c r="EJ26" s="289">
        <v>13.5616</v>
      </c>
      <c r="EK26" s="289">
        <v>13.544499999999999</v>
      </c>
      <c r="EL26" s="289">
        <v>14.5562</v>
      </c>
      <c r="EM26" s="185">
        <v>20</v>
      </c>
      <c r="EP26" s="185">
        <v>20</v>
      </c>
      <c r="EQ26" s="289">
        <v>12.5868</v>
      </c>
      <c r="ER26" s="289">
        <v>12.6959</v>
      </c>
      <c r="ES26" s="289">
        <v>12.439</v>
      </c>
      <c r="ET26" s="289">
        <v>12.2479</v>
      </c>
      <c r="EU26" s="289">
        <v>12.2378</v>
      </c>
      <c r="EV26" s="289">
        <v>12.88</v>
      </c>
      <c r="EW26" s="289">
        <v>12.4976</v>
      </c>
      <c r="EX26" s="289">
        <v>12.872199999999999</v>
      </c>
      <c r="EY26" s="289">
        <v>12.9687</v>
      </c>
      <c r="EZ26" s="289">
        <v>12.771699999999999</v>
      </c>
      <c r="FA26" s="289">
        <v>12.952400000000001</v>
      </c>
      <c r="FB26" s="289">
        <v>12.9937</v>
      </c>
      <c r="FC26" s="185">
        <v>20</v>
      </c>
      <c r="FF26" s="185">
        <v>20</v>
      </c>
      <c r="FG26" s="289">
        <v>13.326700000000001</v>
      </c>
      <c r="FH26" s="289">
        <v>12.882199999999999</v>
      </c>
      <c r="FI26" s="289">
        <v>12.6591</v>
      </c>
      <c r="FJ26" s="289">
        <v>13.132199999999999</v>
      </c>
      <c r="FK26" s="289">
        <v>13.7994</v>
      </c>
      <c r="FL26" s="289">
        <v>13.9154</v>
      </c>
      <c r="FM26" s="289">
        <v>13.120100000000001</v>
      </c>
      <c r="FN26" s="289">
        <v>13.143000000000001</v>
      </c>
      <c r="FO26" s="289">
        <v>12.8192</v>
      </c>
      <c r="FP26" s="289">
        <v>12.8299</v>
      </c>
      <c r="FQ26" s="289">
        <v>13.2522</v>
      </c>
      <c r="FR26" s="289">
        <v>12.723599999999999</v>
      </c>
      <c r="FS26" s="185">
        <v>20</v>
      </c>
      <c r="FV26" s="185">
        <v>20</v>
      </c>
      <c r="FW26" s="289">
        <v>12.0261</v>
      </c>
      <c r="FX26" s="289">
        <v>12.048299999999999</v>
      </c>
      <c r="FY26" s="289">
        <v>12.092499999999999</v>
      </c>
      <c r="FZ26" s="289">
        <v>11.7783</v>
      </c>
      <c r="GA26" s="289">
        <v>11.7234</v>
      </c>
      <c r="GB26" s="289">
        <v>11.959099999999999</v>
      </c>
      <c r="GC26" s="289">
        <v>11.787699999999999</v>
      </c>
      <c r="GD26" s="289">
        <v>12.368499999999999</v>
      </c>
      <c r="GE26" s="289">
        <v>12.912699999999999</v>
      </c>
      <c r="GF26" s="289">
        <v>13.4445</v>
      </c>
      <c r="GG26" s="289">
        <v>13.637499999999999</v>
      </c>
      <c r="GH26" s="289">
        <v>13.845000000000001</v>
      </c>
      <c r="GI26" s="185">
        <v>20</v>
      </c>
      <c r="GL26" s="185">
        <v>20</v>
      </c>
      <c r="GM26" s="289">
        <v>12.666399999999999</v>
      </c>
      <c r="GN26" s="289">
        <v>12.844200000000001</v>
      </c>
      <c r="GO26" s="289">
        <v>12.472899999999999</v>
      </c>
      <c r="GP26" s="289">
        <v>12.2356</v>
      </c>
      <c r="GQ26" s="289">
        <v>12.5787</v>
      </c>
      <c r="GR26" s="289">
        <v>12.592499999999999</v>
      </c>
      <c r="GS26" s="289">
        <v>12.901300000000001</v>
      </c>
      <c r="GT26" s="289">
        <v>12.6073</v>
      </c>
      <c r="GU26" s="289">
        <v>12.8355</v>
      </c>
      <c r="GV26" s="289">
        <v>12.413500000000001</v>
      </c>
      <c r="GW26" s="289">
        <v>12.292400000000001</v>
      </c>
      <c r="GX26" s="289">
        <v>12.4505</v>
      </c>
      <c r="GY26" s="185">
        <v>20</v>
      </c>
      <c r="HB26" s="185">
        <v>20</v>
      </c>
      <c r="HC26" s="289">
        <v>13.905799999999999</v>
      </c>
      <c r="HD26" s="289">
        <v>14.672499999999999</v>
      </c>
      <c r="HE26" s="289">
        <v>14.1457</v>
      </c>
      <c r="HF26" s="289">
        <v>13.0511</v>
      </c>
      <c r="HG26" s="289">
        <v>13.1363</v>
      </c>
      <c r="HH26" s="289">
        <v>13.369400000000001</v>
      </c>
      <c r="HI26" s="289">
        <v>13.587</v>
      </c>
      <c r="HJ26" s="289">
        <v>12.955500000000001</v>
      </c>
      <c r="HK26" s="289">
        <v>13.23</v>
      </c>
      <c r="HL26" s="289">
        <v>13.105700000000001</v>
      </c>
      <c r="HM26" s="289">
        <v>12.9818</v>
      </c>
      <c r="HN26" s="289">
        <v>12.9331</v>
      </c>
      <c r="HO26" s="185">
        <v>20</v>
      </c>
      <c r="HP26" s="1"/>
      <c r="HQ26" s="1"/>
      <c r="HR26" s="185">
        <v>20</v>
      </c>
      <c r="HS26" s="289">
        <v>10.9445</v>
      </c>
      <c r="HT26" s="289">
        <v>10.734999999999999</v>
      </c>
      <c r="HU26" s="289">
        <v>10.704000000000001</v>
      </c>
      <c r="HV26" s="289">
        <v>10.482799999999999</v>
      </c>
      <c r="HW26" s="289">
        <v>10.426600000000001</v>
      </c>
      <c r="HX26" s="289">
        <v>10.2935</v>
      </c>
      <c r="HY26" s="289">
        <v>10.2311</v>
      </c>
      <c r="HZ26" s="289">
        <v>10.1395</v>
      </c>
      <c r="IA26" s="289">
        <v>10.836499999999999</v>
      </c>
      <c r="IB26" s="289">
        <v>13.0633</v>
      </c>
      <c r="IC26" s="289">
        <v>13.195</v>
      </c>
      <c r="ID26" s="289">
        <v>13.215</v>
      </c>
      <c r="IE26" s="185">
        <v>20</v>
      </c>
      <c r="IF26" s="1"/>
      <c r="IG26" s="1"/>
      <c r="IH26" s="185">
        <v>20</v>
      </c>
      <c r="II26" s="289">
        <v>10.9232</v>
      </c>
      <c r="IJ26" s="289">
        <v>10.995799999999999</v>
      </c>
      <c r="IK26" s="289">
        <v>11.1348</v>
      </c>
      <c r="IL26" s="289">
        <v>10.992000000000001</v>
      </c>
      <c r="IM26" s="289">
        <v>10.8033</v>
      </c>
      <c r="IN26" s="289">
        <v>10.776</v>
      </c>
      <c r="IO26" s="289">
        <v>10.752000000000001</v>
      </c>
      <c r="IP26" s="289">
        <v>11.2676</v>
      </c>
      <c r="IQ26" s="289">
        <v>11.0959</v>
      </c>
      <c r="IR26" s="289">
        <v>10.8133</v>
      </c>
      <c r="IS26" s="289">
        <v>10.9145</v>
      </c>
      <c r="IT26" s="289">
        <v>10.8553</v>
      </c>
      <c r="IU26" s="185">
        <v>20</v>
      </c>
      <c r="IV26" s="1"/>
      <c r="IW26" s="1"/>
      <c r="IX26" s="185">
        <v>20</v>
      </c>
      <c r="IY26" s="289">
        <v>10.5778</v>
      </c>
      <c r="IZ26" s="289">
        <v>10.5175</v>
      </c>
      <c r="JA26" s="289">
        <v>10.6212</v>
      </c>
      <c r="JB26" s="289">
        <v>11.001099999999999</v>
      </c>
      <c r="JC26" s="289">
        <v>11.2005</v>
      </c>
      <c r="JD26" s="289">
        <v>11.414</v>
      </c>
      <c r="JE26" s="289">
        <v>10.9618</v>
      </c>
      <c r="JF26" s="289">
        <v>10.747999999999999</v>
      </c>
      <c r="JG26" s="289">
        <v>10.927300000000001</v>
      </c>
      <c r="JH26" s="289">
        <v>10.825699999999999</v>
      </c>
      <c r="JI26" s="289">
        <v>10.8527</v>
      </c>
      <c r="JJ26" s="289">
        <v>10.8002</v>
      </c>
      <c r="JK26" s="185">
        <v>20</v>
      </c>
      <c r="JL26" s="1"/>
      <c r="JM26" s="1"/>
      <c r="JN26" s="185">
        <v>20</v>
      </c>
      <c r="JO26" s="289">
        <v>11.249499999999999</v>
      </c>
      <c r="JP26" s="289">
        <v>11.1389</v>
      </c>
      <c r="JQ26" s="289">
        <v>11.2193</v>
      </c>
      <c r="JR26" s="289">
        <v>11.129</v>
      </c>
      <c r="JS26" s="289">
        <v>10.966799999999999</v>
      </c>
      <c r="JT26" s="289">
        <v>10.800700000000001</v>
      </c>
      <c r="JU26" s="289">
        <v>10.595800000000001</v>
      </c>
      <c r="JV26" s="289">
        <v>10.6601</v>
      </c>
      <c r="JW26" s="289">
        <v>10.807</v>
      </c>
      <c r="JX26" s="289">
        <v>10.8307</v>
      </c>
      <c r="JY26" s="289">
        <v>10.676</v>
      </c>
      <c r="JZ26" s="289">
        <v>10.7567</v>
      </c>
      <c r="KA26" s="185">
        <v>20</v>
      </c>
      <c r="KB26" s="1"/>
      <c r="KC26" s="1"/>
      <c r="KD26" s="185">
        <v>20</v>
      </c>
      <c r="KE26" s="289">
        <v>10.8172</v>
      </c>
      <c r="KF26" s="289">
        <v>10.905799999999999</v>
      </c>
      <c r="KG26" s="289">
        <v>11.0128</v>
      </c>
      <c r="KH26" s="289">
        <v>11.2525</v>
      </c>
      <c r="KI26" s="289">
        <v>11.4933</v>
      </c>
      <c r="KJ26" s="289">
        <v>11.3523</v>
      </c>
      <c r="KK26" s="289">
        <v>11.4352</v>
      </c>
      <c r="KL26" s="289">
        <v>11.347200000000001</v>
      </c>
      <c r="KM26" s="289">
        <v>11.533300000000001</v>
      </c>
      <c r="KN26" s="289">
        <v>11.5068</v>
      </c>
      <c r="KO26" s="289">
        <v>11.333500000000001</v>
      </c>
      <c r="KP26" s="289">
        <v>11.2316</v>
      </c>
      <c r="KQ26" s="185">
        <v>20</v>
      </c>
      <c r="KR26" s="1"/>
      <c r="KS26" s="1"/>
      <c r="KT26" s="185">
        <v>20</v>
      </c>
      <c r="KU26" s="289">
        <v>10.5083</v>
      </c>
      <c r="KV26" s="289">
        <v>10.7722</v>
      </c>
      <c r="KW26" s="289">
        <v>10.8147</v>
      </c>
      <c r="KX26" s="289">
        <v>10.639799999999999</v>
      </c>
      <c r="KY26" s="289">
        <v>10.375999999999999</v>
      </c>
      <c r="KZ26" s="289">
        <v>10.5883</v>
      </c>
      <c r="LA26" s="289">
        <v>10.349</v>
      </c>
      <c r="LB26" s="289">
        <v>10.723000000000001</v>
      </c>
      <c r="LC26" s="289">
        <v>10.9163</v>
      </c>
      <c r="LD26" s="289">
        <v>11.247199999999999</v>
      </c>
      <c r="LE26" s="289">
        <v>11.164300000000001</v>
      </c>
      <c r="LF26" s="289">
        <v>11.2193</v>
      </c>
      <c r="LG26" s="185">
        <v>20</v>
      </c>
      <c r="LH26" s="1"/>
      <c r="LI26" s="1"/>
      <c r="LJ26" s="185">
        <v>20</v>
      </c>
      <c r="LK26" s="289">
        <v>9.1255000000000006</v>
      </c>
      <c r="LL26" s="289">
        <v>9.0638000000000005</v>
      </c>
      <c r="LM26" s="289">
        <v>9.0732999999999997</v>
      </c>
      <c r="LN26" s="289">
        <v>9.2345000000000006</v>
      </c>
      <c r="LO26" s="289">
        <v>9.4863</v>
      </c>
      <c r="LP26" s="289">
        <v>9.6257999999999999</v>
      </c>
      <c r="LQ26" s="289">
        <v>9.6462000000000003</v>
      </c>
      <c r="LR26" s="289">
        <v>9.8643000000000001</v>
      </c>
      <c r="LS26" s="289">
        <v>10.0116</v>
      </c>
      <c r="LT26" s="289">
        <v>9.9987999999999992</v>
      </c>
      <c r="LU26" s="289">
        <v>10.176</v>
      </c>
      <c r="LV26" s="289">
        <v>10.252599999999999</v>
      </c>
      <c r="LW26" s="185">
        <v>20</v>
      </c>
      <c r="LX26" s="1"/>
      <c r="LY26" s="1"/>
      <c r="LZ26" s="185">
        <v>20</v>
      </c>
      <c r="MA26" s="289">
        <v>9.8870000000000005</v>
      </c>
      <c r="MB26" s="289">
        <v>9.7021999999999995</v>
      </c>
      <c r="MC26" s="289">
        <v>9.6233000000000004</v>
      </c>
      <c r="MD26" s="289">
        <v>9.1966000000000001</v>
      </c>
      <c r="ME26" s="289">
        <v>8.9952000000000005</v>
      </c>
      <c r="MF26" s="289">
        <v>9.0502000000000002</v>
      </c>
      <c r="MG26" s="289">
        <v>9.1282999999999994</v>
      </c>
      <c r="MH26" s="289">
        <v>9.0832999999999995</v>
      </c>
      <c r="MI26" s="289">
        <v>9.4454999999999991</v>
      </c>
      <c r="MJ26" s="289">
        <v>9.2309999999999999</v>
      </c>
      <c r="MK26" s="289">
        <v>9.2120999999999995</v>
      </c>
      <c r="ML26" s="289">
        <v>9.1052</v>
      </c>
      <c r="MM26" s="185">
        <v>20</v>
      </c>
      <c r="MN26" s="1"/>
      <c r="MO26" s="1"/>
      <c r="MP26" s="185">
        <v>20</v>
      </c>
      <c r="MQ26" s="289">
        <v>9.4382999999999999</v>
      </c>
      <c r="MR26" s="289">
        <v>9.3904999999999994</v>
      </c>
      <c r="MS26" s="289">
        <v>9.3224</v>
      </c>
      <c r="MT26" s="289">
        <v>9.4388000000000005</v>
      </c>
      <c r="MU26" s="289">
        <v>9.5751000000000008</v>
      </c>
      <c r="MV26" s="289">
        <v>9.9243000000000006</v>
      </c>
      <c r="MW26" s="289">
        <v>9.3327000000000009</v>
      </c>
      <c r="MX26" s="289">
        <v>9.1873000000000005</v>
      </c>
      <c r="MY26" s="289">
        <v>9.4171999999999993</v>
      </c>
      <c r="MZ26" s="289">
        <v>9.5764999999999993</v>
      </c>
      <c r="NA26" s="289">
        <v>9.4827999999999992</v>
      </c>
      <c r="NB26" s="289">
        <v>9.3788</v>
      </c>
      <c r="NC26" s="185">
        <v>20</v>
      </c>
      <c r="ND26" s="1"/>
      <c r="NE26" s="1"/>
      <c r="NF26" s="185">
        <v>20</v>
      </c>
      <c r="NG26" s="289">
        <v>10.2258</v>
      </c>
      <c r="NH26" s="289">
        <v>9.8809000000000005</v>
      </c>
      <c r="NI26" s="289">
        <v>9.6462000000000003</v>
      </c>
      <c r="NJ26" s="289">
        <v>9.5236999999999998</v>
      </c>
      <c r="NK26" s="289">
        <v>9.2982999999999993</v>
      </c>
      <c r="NL26" s="289">
        <v>9.4038000000000004</v>
      </c>
      <c r="NM26" s="289">
        <v>9.3562999999999992</v>
      </c>
      <c r="NN26" s="289">
        <v>9.3217999999999996</v>
      </c>
      <c r="NO26" s="289">
        <v>9.3092000000000006</v>
      </c>
      <c r="NP26" s="289">
        <v>9.7142999999999997</v>
      </c>
      <c r="NQ26" s="289">
        <v>9.3460000000000001</v>
      </c>
      <c r="NR26" s="289">
        <v>9.3577999999999992</v>
      </c>
      <c r="NS26" s="185">
        <v>20</v>
      </c>
      <c r="NT26" s="1"/>
      <c r="NU26" s="1"/>
      <c r="NV26" s="185">
        <v>20</v>
      </c>
      <c r="NW26" s="289">
        <v>8.1978000000000009</v>
      </c>
      <c r="NX26" s="289">
        <v>8.5427</v>
      </c>
      <c r="NY26" s="289">
        <v>8.5640999999999998</v>
      </c>
      <c r="NZ26" s="289">
        <v>8.5008999999999997</v>
      </c>
      <c r="OA26" s="289">
        <v>8.5303000000000004</v>
      </c>
      <c r="OB26" s="289">
        <v>8.8966999999999992</v>
      </c>
      <c r="OC26" s="289">
        <v>8.8392999999999997</v>
      </c>
      <c r="OD26" s="289">
        <v>9.2302</v>
      </c>
      <c r="OE26" s="289">
        <v>10.315799999999999</v>
      </c>
      <c r="OF26" s="289">
        <v>10.093299999999999</v>
      </c>
      <c r="OG26" s="289">
        <v>9.9305000000000003</v>
      </c>
      <c r="OH26" s="289">
        <v>9.7863000000000007</v>
      </c>
      <c r="OI26" s="185">
        <v>20</v>
      </c>
      <c r="OJ26" s="1"/>
      <c r="OK26" s="1"/>
      <c r="OL26" s="185">
        <v>20</v>
      </c>
      <c r="OM26" s="289">
        <v>7.8221999999999996</v>
      </c>
      <c r="ON26" s="289">
        <v>7.8010000000000002</v>
      </c>
      <c r="OO26" s="289">
        <v>7.9492000000000003</v>
      </c>
      <c r="OP26" s="289">
        <v>7.8852000000000002</v>
      </c>
      <c r="OQ26" s="289">
        <v>7.8941999999999997</v>
      </c>
      <c r="OR26" s="289">
        <v>7.9097999999999997</v>
      </c>
      <c r="OS26" s="289">
        <v>7.8556999999999997</v>
      </c>
      <c r="OT26" s="289">
        <v>7.7756999999999996</v>
      </c>
      <c r="OU26" s="289">
        <v>7.7560000000000002</v>
      </c>
      <c r="OV26" s="289">
        <v>7.7336</v>
      </c>
      <c r="OW26" s="289">
        <v>8.2642000000000007</v>
      </c>
      <c r="OX26" s="289">
        <v>8.0739999999999998</v>
      </c>
      <c r="OY26" s="185">
        <v>20</v>
      </c>
      <c r="OZ26" s="1"/>
      <c r="PA26" s="1"/>
      <c r="PB26" s="185">
        <v>20</v>
      </c>
      <c r="PC26" s="289">
        <v>7.4667000000000003</v>
      </c>
      <c r="PD26" s="289">
        <v>7.5446</v>
      </c>
      <c r="PE26" s="289">
        <v>7.5560999999999998</v>
      </c>
      <c r="PF26" s="289">
        <v>7.4409999999999998</v>
      </c>
      <c r="PG26" s="289">
        <v>7.4179000000000004</v>
      </c>
      <c r="PH26" s="289">
        <v>7.5552000000000001</v>
      </c>
      <c r="PI26" s="289">
        <v>7.6452999999999998</v>
      </c>
      <c r="PJ26" s="289">
        <v>7.4789000000000003</v>
      </c>
      <c r="PK26" s="289">
        <v>7.4907000000000004</v>
      </c>
      <c r="PL26" s="289">
        <v>7.7725999999999997</v>
      </c>
      <c r="PM26" s="289">
        <v>7.9085000000000001</v>
      </c>
      <c r="PN26" s="289">
        <v>7.8810000000000002</v>
      </c>
      <c r="PO26" s="185">
        <v>20</v>
      </c>
      <c r="PP26" s="1"/>
      <c r="PQ26" s="1"/>
      <c r="PR26" s="185">
        <v>20</v>
      </c>
      <c r="PS26" s="289">
        <v>5.2824999999999998</v>
      </c>
      <c r="PT26" s="289">
        <v>6.1</v>
      </c>
      <c r="PU26" s="289">
        <v>7.2074999999999996</v>
      </c>
      <c r="PV26" s="289">
        <v>6.2450000000000001</v>
      </c>
      <c r="PW26" s="289">
        <v>5.92</v>
      </c>
      <c r="PX26" s="289">
        <v>6.1807999999999996</v>
      </c>
      <c r="PY26" s="289">
        <v>6.0412999999999997</v>
      </c>
      <c r="PZ26" s="289">
        <v>6.1849999999999996</v>
      </c>
      <c r="QA26" s="289">
        <v>6.2874999999999996</v>
      </c>
      <c r="QB26" s="289">
        <v>6.7061999999999999</v>
      </c>
      <c r="QC26" s="289">
        <v>7.8</v>
      </c>
      <c r="QD26" s="289">
        <v>7.7587999999999999</v>
      </c>
      <c r="QE26" s="185">
        <v>20</v>
      </c>
      <c r="QF26" s="1"/>
      <c r="QG26" s="1"/>
      <c r="QH26" s="185">
        <v>20</v>
      </c>
      <c r="QI26" s="289">
        <v>3.1057999999999999</v>
      </c>
      <c r="QJ26" s="289">
        <v>3.1053000000000002</v>
      </c>
      <c r="QK26" s="289">
        <v>3.3043</v>
      </c>
      <c r="QL26" s="289">
        <v>3.3681999999999999</v>
      </c>
      <c r="QM26" s="289">
        <v>3.3309000000000002</v>
      </c>
      <c r="QN26" s="289">
        <v>3.3675000000000002</v>
      </c>
      <c r="QO26" s="289">
        <v>3.3997999999999999</v>
      </c>
      <c r="QP26" s="289">
        <v>3.3769</v>
      </c>
      <c r="QQ26" s="289">
        <v>3.4144999999999999</v>
      </c>
      <c r="QR26" s="289">
        <v>3.4216000000000002</v>
      </c>
      <c r="QS26" s="289">
        <v>3.4533999999999998</v>
      </c>
      <c r="QT26" s="289">
        <v>3.4634999999999998</v>
      </c>
      <c r="QU26" s="185">
        <v>20</v>
      </c>
      <c r="QV26" s="1"/>
      <c r="QW26" s="1"/>
      <c r="QX26" s="185">
        <v>20</v>
      </c>
      <c r="QY26" s="289">
        <v>3.1095000000000002</v>
      </c>
      <c r="QZ26" s="289">
        <v>3.0943000000000001</v>
      </c>
      <c r="RA26" s="289">
        <v>3.1168999999999998</v>
      </c>
      <c r="RB26" s="289">
        <v>3.0939999999999999</v>
      </c>
      <c r="RC26" s="289">
        <v>3.1168999999999998</v>
      </c>
      <c r="RD26" s="289">
        <v>3.1171000000000002</v>
      </c>
      <c r="RE26" s="289">
        <v>3.1244000000000001</v>
      </c>
      <c r="RF26" s="289">
        <v>3.1118999999999999</v>
      </c>
      <c r="RG26" s="289">
        <v>3.1107999999999998</v>
      </c>
      <c r="RH26" s="289">
        <v>3.1122999999999998</v>
      </c>
      <c r="RI26" s="289">
        <v>3.1114000000000002</v>
      </c>
      <c r="RJ26" s="289">
        <v>3.1053000000000002</v>
      </c>
      <c r="RK26" s="185">
        <v>20</v>
      </c>
      <c r="RL26" s="1"/>
      <c r="RM26" s="1"/>
      <c r="RN26" s="185">
        <v>20</v>
      </c>
      <c r="RO26" s="289">
        <v>3.0678999999999998</v>
      </c>
      <c r="RP26" s="289">
        <v>3.0617999999999999</v>
      </c>
      <c r="RQ26" s="289">
        <v>3.0678999999999998</v>
      </c>
      <c r="RR26" s="289">
        <v>3.0649999999999999</v>
      </c>
      <c r="RS26" s="289">
        <v>3.0973999999999999</v>
      </c>
      <c r="RT26" s="289">
        <v>3.1202999999999999</v>
      </c>
      <c r="RU26" s="289">
        <v>3.1175000000000002</v>
      </c>
      <c r="RV26" s="289">
        <v>3.0876000000000001</v>
      </c>
      <c r="RW26" s="289">
        <v>3.0916000000000001</v>
      </c>
      <c r="RX26" s="289">
        <v>3.1339999999999999</v>
      </c>
      <c r="RY26" s="289">
        <v>3.1150000000000002</v>
      </c>
      <c r="RZ26" s="289">
        <v>3.1204000000000001</v>
      </c>
      <c r="SA26" s="185">
        <v>20</v>
      </c>
      <c r="SB26" s="1"/>
      <c r="SC26" s="1"/>
      <c r="SD26" s="185">
        <v>20</v>
      </c>
      <c r="SE26" s="289">
        <v>2.9533999999999998</v>
      </c>
      <c r="SF26" s="289">
        <v>2.9662000000000002</v>
      </c>
      <c r="SG26" s="289">
        <v>2.9773999999999998</v>
      </c>
      <c r="SH26" s="289">
        <v>2.9897999999999998</v>
      </c>
      <c r="SI26" s="289">
        <v>3.0009999999999999</v>
      </c>
      <c r="SJ26" s="289">
        <v>3.0142000000000002</v>
      </c>
      <c r="SK26" s="289">
        <v>3.0261999999999998</v>
      </c>
      <c r="SL26" s="289">
        <v>3.0377999999999998</v>
      </c>
      <c r="SM26" s="289">
        <v>3.0510000000000002</v>
      </c>
      <c r="SN26" s="289">
        <v>3.0642</v>
      </c>
      <c r="SO26" s="289">
        <v>3.0672600000000001</v>
      </c>
      <c r="SP26" s="289">
        <v>3.0760000000000001</v>
      </c>
      <c r="SQ26" s="185">
        <v>20</v>
      </c>
      <c r="SR26" s="1"/>
      <c r="SS26" s="1"/>
      <c r="ST26" s="185">
        <v>20</v>
      </c>
      <c r="SU26" s="289">
        <v>2.6619999999999999</v>
      </c>
      <c r="SV26" s="289">
        <v>2.6909999999999998</v>
      </c>
      <c r="SW26" s="289">
        <v>2.7189999999999999</v>
      </c>
      <c r="SX26" s="289">
        <v>2.7519999999999998</v>
      </c>
      <c r="SY26" s="289">
        <v>2.7810000000000001</v>
      </c>
      <c r="SZ26" s="289">
        <v>2.8090000000000002</v>
      </c>
      <c r="TA26" s="289">
        <v>2.8330000000000002</v>
      </c>
      <c r="TB26" s="289">
        <v>2.8561999999999999</v>
      </c>
      <c r="TC26" s="289">
        <v>2.8826000000000001</v>
      </c>
      <c r="TD26" s="289">
        <v>2.9066000000000001</v>
      </c>
      <c r="TE26" s="289">
        <v>2.9285999999999999</v>
      </c>
      <c r="TF26" s="289">
        <v>2.9413999999999998</v>
      </c>
      <c r="TG26" s="185">
        <v>20</v>
      </c>
      <c r="TH26" s="1"/>
      <c r="TI26" s="1"/>
      <c r="TJ26" s="185">
        <v>20</v>
      </c>
      <c r="TK26" s="289">
        <v>2.2970000000000002</v>
      </c>
      <c r="TL26" s="289">
        <v>2.3260000000000001</v>
      </c>
      <c r="TM26" s="289">
        <v>2.3540000000000001</v>
      </c>
      <c r="TN26" s="289">
        <v>2.387</v>
      </c>
      <c r="TO26" s="289">
        <v>2.4169999999999998</v>
      </c>
      <c r="TP26" s="289">
        <v>2.4460000000000002</v>
      </c>
      <c r="TQ26" s="289">
        <v>2.4780000000000002</v>
      </c>
      <c r="TR26" s="289">
        <v>2.508</v>
      </c>
      <c r="TS26" s="289">
        <v>2.54</v>
      </c>
      <c r="TT26" s="289">
        <v>2.57</v>
      </c>
      <c r="TU26" s="289">
        <v>2.5990000000000002</v>
      </c>
      <c r="TV26" s="289">
        <v>2.6309999999999998</v>
      </c>
      <c r="TW26" s="185">
        <v>20</v>
      </c>
    </row>
    <row r="27" spans="2:543" ht="20.100000000000001" customHeight="1">
      <c r="B27" s="64">
        <v>21</v>
      </c>
      <c r="C27" s="289">
        <v>20.46</v>
      </c>
      <c r="D27" s="289">
        <v>20.297799999999999</v>
      </c>
      <c r="E27" s="289">
        <v>20.558499999999999</v>
      </c>
      <c r="F27" s="289">
        <v>20.044699999999999</v>
      </c>
      <c r="G27" s="289">
        <v>19.9267</v>
      </c>
      <c r="H27" s="289">
        <v>20.475999999999999</v>
      </c>
      <c r="I27" s="289">
        <v>20.4407</v>
      </c>
      <c r="J27" s="289">
        <v>20.083500000000001</v>
      </c>
      <c r="K27" s="289">
        <v>19.994299999999999</v>
      </c>
      <c r="L27" s="289">
        <v>20.127199999999998</v>
      </c>
      <c r="M27" s="289">
        <v>19.433299999999999</v>
      </c>
      <c r="N27" s="289">
        <v>19.755700000000001</v>
      </c>
      <c r="O27" s="64">
        <v>21</v>
      </c>
      <c r="R27" s="64">
        <v>21</v>
      </c>
      <c r="S27" s="289">
        <v>19.678799999999999</v>
      </c>
      <c r="T27" s="289">
        <v>20.416499999999999</v>
      </c>
      <c r="U27" s="289">
        <v>20.441500000000001</v>
      </c>
      <c r="V27" s="289">
        <v>19.814499999999999</v>
      </c>
      <c r="W27" s="289">
        <v>19.814299999999999</v>
      </c>
      <c r="X27" s="289">
        <v>20.429200000000002</v>
      </c>
      <c r="Y27" s="289">
        <v>20</v>
      </c>
      <c r="Z27" s="289">
        <v>20.1175</v>
      </c>
      <c r="AA27" s="289">
        <v>19.985299999999999</v>
      </c>
      <c r="AB27" s="289">
        <v>20.264700000000001</v>
      </c>
      <c r="AC27" s="289">
        <v>20.762799999999999</v>
      </c>
      <c r="AD27" s="289">
        <v>20.733699999999999</v>
      </c>
      <c r="AE27" s="64">
        <v>21</v>
      </c>
      <c r="AH27" s="185">
        <v>21</v>
      </c>
      <c r="AI27" s="289">
        <v>18.738800000000001</v>
      </c>
      <c r="AJ27" s="289">
        <v>18.591000000000001</v>
      </c>
      <c r="AK27" s="289">
        <v>24.0868</v>
      </c>
      <c r="AL27" s="289">
        <v>23.901199999999999</v>
      </c>
      <c r="AM27" s="289">
        <v>23.6023</v>
      </c>
      <c r="AN27" s="289">
        <v>22.608799999999999</v>
      </c>
      <c r="AO27" s="289">
        <v>22.489699999999999</v>
      </c>
      <c r="AP27" s="289">
        <v>22.052700000000002</v>
      </c>
      <c r="AQ27" s="289">
        <v>20.984999999999999</v>
      </c>
      <c r="AR27" s="289">
        <v>21.1342</v>
      </c>
      <c r="AS27" s="289">
        <v>20.1858</v>
      </c>
      <c r="AT27" s="289">
        <v>19.817299999999999</v>
      </c>
      <c r="AU27" s="185">
        <v>21</v>
      </c>
      <c r="AX27" s="185">
        <v>21</v>
      </c>
      <c r="AY27" s="289">
        <v>19.062999999999999</v>
      </c>
      <c r="AZ27" s="289">
        <v>19.177800000000001</v>
      </c>
      <c r="BA27" s="290">
        <v>19.000399999999999</v>
      </c>
      <c r="BB27" s="289">
        <v>18.951599999999999</v>
      </c>
      <c r="BC27" s="289">
        <v>19.145399999999999</v>
      </c>
      <c r="BD27" s="289">
        <v>19.1753</v>
      </c>
      <c r="BE27" s="289">
        <v>19.0108</v>
      </c>
      <c r="BF27" s="289">
        <v>19.815300000000001</v>
      </c>
      <c r="BG27" s="289">
        <v>19.398099999999999</v>
      </c>
      <c r="BH27" s="289">
        <v>19.1602</v>
      </c>
      <c r="BI27" s="289">
        <v>19.3687</v>
      </c>
      <c r="BJ27" s="289">
        <v>18.963999999999999</v>
      </c>
      <c r="BK27" s="185">
        <v>21</v>
      </c>
      <c r="BN27" s="185">
        <v>21</v>
      </c>
      <c r="BO27" s="289">
        <v>18.636099999999999</v>
      </c>
      <c r="BP27" s="289">
        <v>18.536000000000001</v>
      </c>
      <c r="BQ27" s="290">
        <v>18.721599999999999</v>
      </c>
      <c r="BR27" s="289">
        <v>18.2819</v>
      </c>
      <c r="BS27" s="289">
        <v>19.703299999999999</v>
      </c>
      <c r="BT27" s="289">
        <v>20.553100000000001</v>
      </c>
      <c r="BU27" s="289">
        <v>19.079000000000001</v>
      </c>
      <c r="BV27" s="289">
        <v>19.061499999999999</v>
      </c>
      <c r="BW27" s="289">
        <v>18.767199999999999</v>
      </c>
      <c r="BX27" s="289">
        <v>19.101800000000001</v>
      </c>
      <c r="BY27" s="289">
        <v>20.155000000000001</v>
      </c>
      <c r="BZ27" s="289">
        <v>20.029299999999999</v>
      </c>
      <c r="CA27" s="185">
        <v>21</v>
      </c>
      <c r="CD27" s="185">
        <v>21</v>
      </c>
      <c r="CE27" s="289">
        <v>21.904399999999999</v>
      </c>
      <c r="CF27" s="289">
        <v>20.4526</v>
      </c>
      <c r="CG27" s="289">
        <v>19.172999999999998</v>
      </c>
      <c r="CH27" s="289">
        <v>18.837399999999999</v>
      </c>
      <c r="CI27" s="289">
        <v>18.889800000000001</v>
      </c>
      <c r="CJ27" s="289">
        <v>17.951899999999998</v>
      </c>
      <c r="CK27" s="289">
        <v>17.4937</v>
      </c>
      <c r="CL27" s="289">
        <v>17.732399999999998</v>
      </c>
      <c r="CM27" s="289">
        <v>17.764299999999999</v>
      </c>
      <c r="CN27" s="289">
        <v>18.8248</v>
      </c>
      <c r="CO27" s="289">
        <v>19.122399999999999</v>
      </c>
      <c r="CP27" s="289">
        <v>19.191299999999998</v>
      </c>
      <c r="CQ27" s="185">
        <v>21</v>
      </c>
      <c r="CT27" s="185">
        <v>21</v>
      </c>
      <c r="CU27" s="289">
        <v>18.194700000000001</v>
      </c>
      <c r="CV27" s="289">
        <v>18.143899999999999</v>
      </c>
      <c r="CW27" s="289">
        <v>17.403400000000001</v>
      </c>
      <c r="CX27" s="289">
        <v>17.282499999999999</v>
      </c>
      <c r="CY27" s="289">
        <v>18.546500000000002</v>
      </c>
      <c r="CZ27" s="289">
        <v>18.852699999999999</v>
      </c>
      <c r="DA27" s="289">
        <v>18.571899999999999</v>
      </c>
      <c r="DB27" s="289">
        <v>18.083200000000001</v>
      </c>
      <c r="DC27" s="289">
        <v>19.6097</v>
      </c>
      <c r="DD27" s="289">
        <v>18.589400000000001</v>
      </c>
      <c r="DE27" s="289">
        <v>20.189800000000002</v>
      </c>
      <c r="DF27" s="289">
        <v>20.409800000000001</v>
      </c>
      <c r="DG27" s="185">
        <v>21</v>
      </c>
      <c r="DJ27" s="185">
        <v>21</v>
      </c>
      <c r="DK27" s="289">
        <v>14.6524</v>
      </c>
      <c r="DL27" s="289">
        <v>14.958299999999999</v>
      </c>
      <c r="DM27" s="289">
        <v>15.295999999999999</v>
      </c>
      <c r="DN27" s="289">
        <v>15.312799999999999</v>
      </c>
      <c r="DO27" s="289">
        <v>15.200799999999999</v>
      </c>
      <c r="DP27" s="289">
        <v>15.4199</v>
      </c>
      <c r="DQ27" s="289">
        <v>15.912100000000001</v>
      </c>
      <c r="DR27" s="289">
        <v>16.4908</v>
      </c>
      <c r="DS27" s="289">
        <v>16.568000000000001</v>
      </c>
      <c r="DT27" s="289">
        <v>16.489899999999999</v>
      </c>
      <c r="DU27" s="289">
        <v>16.5748</v>
      </c>
      <c r="DV27" s="289">
        <v>17.100000000000001</v>
      </c>
      <c r="DW27" s="185">
        <v>21</v>
      </c>
      <c r="DZ27" s="185">
        <v>21</v>
      </c>
      <c r="EA27" s="289">
        <v>13.2737</v>
      </c>
      <c r="EB27" s="289">
        <v>13.2714</v>
      </c>
      <c r="EC27" s="289">
        <v>13.169499999999999</v>
      </c>
      <c r="ED27" s="289">
        <v>13.098599999999999</v>
      </c>
      <c r="EE27" s="289">
        <v>12.894399999999999</v>
      </c>
      <c r="EF27" s="289">
        <v>12.9885</v>
      </c>
      <c r="EG27" s="289">
        <v>12.945399999999999</v>
      </c>
      <c r="EH27" s="289">
        <v>13.0532</v>
      </c>
      <c r="EI27" s="289">
        <v>13.2402</v>
      </c>
      <c r="EJ27" s="289">
        <v>13.523099999999999</v>
      </c>
      <c r="EK27" s="289">
        <v>13.614599999999999</v>
      </c>
      <c r="EL27" s="289">
        <v>14.5562</v>
      </c>
      <c r="EM27" s="185">
        <v>21</v>
      </c>
      <c r="EP27" s="185">
        <v>21</v>
      </c>
      <c r="EQ27" s="289">
        <v>12.5868</v>
      </c>
      <c r="ER27" s="289">
        <v>12.6873</v>
      </c>
      <c r="ES27" s="289">
        <v>12.4339</v>
      </c>
      <c r="ET27" s="289">
        <v>12.2479</v>
      </c>
      <c r="EU27" s="289">
        <v>12.3177</v>
      </c>
      <c r="EV27" s="289">
        <v>12.8695</v>
      </c>
      <c r="EW27" s="289">
        <v>12.4976</v>
      </c>
      <c r="EX27" s="289">
        <v>13.0124</v>
      </c>
      <c r="EY27" s="289">
        <v>12.7179</v>
      </c>
      <c r="EZ27" s="289">
        <v>12.771699999999999</v>
      </c>
      <c r="FA27" s="289">
        <v>12.886900000000001</v>
      </c>
      <c r="FB27" s="289">
        <v>12.973000000000001</v>
      </c>
      <c r="FC27" s="185">
        <v>21</v>
      </c>
      <c r="FF27" s="185">
        <v>21</v>
      </c>
      <c r="FG27" s="289">
        <v>13.2516</v>
      </c>
      <c r="FH27" s="289">
        <v>12.785600000000001</v>
      </c>
      <c r="FI27" s="289">
        <v>12.6645</v>
      </c>
      <c r="FJ27" s="289">
        <v>13.2288</v>
      </c>
      <c r="FK27" s="289">
        <v>13.7994</v>
      </c>
      <c r="FL27" s="289">
        <v>13.7033</v>
      </c>
      <c r="FM27" s="289">
        <v>13.1921</v>
      </c>
      <c r="FN27" s="289">
        <v>13.1745</v>
      </c>
      <c r="FO27" s="289">
        <v>12.823499999999999</v>
      </c>
      <c r="FP27" s="289">
        <v>12.8299</v>
      </c>
      <c r="FQ27" s="289">
        <v>13.206300000000001</v>
      </c>
      <c r="FR27" s="289">
        <v>12.732699999999999</v>
      </c>
      <c r="FS27" s="185">
        <v>21</v>
      </c>
      <c r="FV27" s="185">
        <v>21</v>
      </c>
      <c r="FW27" s="289">
        <v>12.074400000000001</v>
      </c>
      <c r="FX27" s="289">
        <v>12.048299999999999</v>
      </c>
      <c r="FY27" s="289">
        <v>12.092499999999999</v>
      </c>
      <c r="FZ27" s="289">
        <v>11.692500000000001</v>
      </c>
      <c r="GA27" s="289">
        <v>11.658799999999999</v>
      </c>
      <c r="GB27" s="289">
        <v>11.900600000000001</v>
      </c>
      <c r="GC27" s="289">
        <v>11.696400000000001</v>
      </c>
      <c r="GD27" s="289">
        <v>12.368499999999999</v>
      </c>
      <c r="GE27" s="289">
        <v>13.186</v>
      </c>
      <c r="GF27" s="289">
        <v>13.3733</v>
      </c>
      <c r="GG27" s="289">
        <v>13.637499999999999</v>
      </c>
      <c r="GH27" s="289">
        <v>13.854200000000001</v>
      </c>
      <c r="GI27" s="185">
        <v>21</v>
      </c>
      <c r="GL27" s="185">
        <v>21</v>
      </c>
      <c r="GM27" s="289">
        <v>12.6478</v>
      </c>
      <c r="GN27" s="289">
        <v>12.844200000000001</v>
      </c>
      <c r="GO27" s="289">
        <v>12.472899999999999</v>
      </c>
      <c r="GP27" s="289">
        <v>12.3064</v>
      </c>
      <c r="GQ27" s="289">
        <v>12.9138</v>
      </c>
      <c r="GR27" s="289">
        <v>12.592499999999999</v>
      </c>
      <c r="GS27" s="289">
        <v>12.9162</v>
      </c>
      <c r="GT27" s="289">
        <v>12.7226</v>
      </c>
      <c r="GU27" s="289">
        <v>12.779299999999999</v>
      </c>
      <c r="GV27" s="289">
        <v>12.4818</v>
      </c>
      <c r="GW27" s="289">
        <v>12.292400000000001</v>
      </c>
      <c r="GX27" s="289">
        <v>12.4345</v>
      </c>
      <c r="GY27" s="185">
        <v>21</v>
      </c>
      <c r="HB27" s="185">
        <v>21</v>
      </c>
      <c r="HC27" s="289">
        <v>13.9777</v>
      </c>
      <c r="HD27" s="289">
        <v>14.5505</v>
      </c>
      <c r="HE27" s="289">
        <v>14.08</v>
      </c>
      <c r="HF27" s="289">
        <v>13.155799999999999</v>
      </c>
      <c r="HG27" s="289">
        <v>12.968</v>
      </c>
      <c r="HH27" s="289">
        <v>13.369400000000001</v>
      </c>
      <c r="HI27" s="289">
        <v>13.3895</v>
      </c>
      <c r="HJ27" s="289">
        <v>12.915900000000001</v>
      </c>
      <c r="HK27" s="289">
        <v>13.23</v>
      </c>
      <c r="HL27" s="289">
        <v>13.084</v>
      </c>
      <c r="HM27" s="289">
        <v>13.0502</v>
      </c>
      <c r="HN27" s="289">
        <v>12.9331</v>
      </c>
      <c r="HO27" s="185">
        <v>21</v>
      </c>
      <c r="HP27" s="1"/>
      <c r="HQ27" s="1"/>
      <c r="HR27" s="185">
        <v>21</v>
      </c>
      <c r="HS27" s="289">
        <v>10.9445</v>
      </c>
      <c r="HT27" s="289">
        <v>10.748900000000001</v>
      </c>
      <c r="HU27" s="289">
        <v>10.704000000000001</v>
      </c>
      <c r="HV27" s="289">
        <v>10.482799999999999</v>
      </c>
      <c r="HW27" s="289">
        <v>10.379200000000001</v>
      </c>
      <c r="HX27" s="289">
        <v>10.3156</v>
      </c>
      <c r="HY27" s="289">
        <v>10.2311</v>
      </c>
      <c r="HZ27" s="289">
        <v>10.1867</v>
      </c>
      <c r="IA27" s="289">
        <v>10.836499999999999</v>
      </c>
      <c r="IB27" s="289">
        <v>12.8475</v>
      </c>
      <c r="IC27" s="289">
        <v>13.18</v>
      </c>
      <c r="ID27" s="289">
        <v>13.215</v>
      </c>
      <c r="IE27" s="185">
        <v>21</v>
      </c>
      <c r="IF27" s="1"/>
      <c r="IG27" s="1"/>
      <c r="IH27" s="185">
        <v>21</v>
      </c>
      <c r="II27" s="289">
        <v>10.9232</v>
      </c>
      <c r="IJ27" s="289">
        <v>10.9778</v>
      </c>
      <c r="IK27" s="289">
        <v>11.166399999999999</v>
      </c>
      <c r="IL27" s="289">
        <v>11.004799999999999</v>
      </c>
      <c r="IM27" s="289">
        <v>10.8033</v>
      </c>
      <c r="IN27" s="289">
        <v>10.7494</v>
      </c>
      <c r="IO27" s="289">
        <v>10.720700000000001</v>
      </c>
      <c r="IP27" s="289">
        <v>11.1259</v>
      </c>
      <c r="IQ27" s="289">
        <v>10.9871</v>
      </c>
      <c r="IR27" s="289">
        <v>10.8133</v>
      </c>
      <c r="IS27" s="289">
        <v>10.9353</v>
      </c>
      <c r="IT27" s="289">
        <v>10.841200000000001</v>
      </c>
      <c r="IU27" s="185">
        <v>21</v>
      </c>
      <c r="IV27" s="1"/>
      <c r="IW27" s="1"/>
      <c r="IX27" s="185">
        <v>21</v>
      </c>
      <c r="IY27" s="289">
        <v>10.5589</v>
      </c>
      <c r="IZ27" s="289">
        <v>10.4528</v>
      </c>
      <c r="JA27" s="289">
        <v>10.688499999999999</v>
      </c>
      <c r="JB27" s="289">
        <v>10.9773</v>
      </c>
      <c r="JC27" s="289">
        <v>11.2005</v>
      </c>
      <c r="JD27" s="289">
        <v>11.4459</v>
      </c>
      <c r="JE27" s="289">
        <v>10.904500000000001</v>
      </c>
      <c r="JF27" s="289">
        <v>10.747999999999999</v>
      </c>
      <c r="JG27" s="289">
        <v>10.922700000000001</v>
      </c>
      <c r="JH27" s="289">
        <v>10.805999999999999</v>
      </c>
      <c r="JI27" s="289">
        <v>10.8527</v>
      </c>
      <c r="JJ27" s="289">
        <v>10.8492</v>
      </c>
      <c r="JK27" s="185">
        <v>21</v>
      </c>
      <c r="JL27" s="1"/>
      <c r="JM27" s="1"/>
      <c r="JN27" s="185">
        <v>21</v>
      </c>
      <c r="JO27" s="289">
        <v>11.232799999999999</v>
      </c>
      <c r="JP27" s="289">
        <v>11.1389</v>
      </c>
      <c r="JQ27" s="289">
        <v>11.2193</v>
      </c>
      <c r="JR27" s="289">
        <v>11.0776</v>
      </c>
      <c r="JS27" s="289">
        <v>10.9283</v>
      </c>
      <c r="JT27" s="289">
        <v>10.7913</v>
      </c>
      <c r="JU27" s="289">
        <v>10.6227</v>
      </c>
      <c r="JV27" s="289">
        <v>10.6601</v>
      </c>
      <c r="JW27" s="289">
        <v>10.8558</v>
      </c>
      <c r="JX27" s="289">
        <v>10.8752</v>
      </c>
      <c r="JY27" s="289">
        <v>10.676</v>
      </c>
      <c r="JZ27" s="289">
        <v>10.728300000000001</v>
      </c>
      <c r="KA27" s="185">
        <v>21</v>
      </c>
      <c r="KB27" s="1"/>
      <c r="KC27" s="1"/>
      <c r="KD27" s="185">
        <v>21</v>
      </c>
      <c r="KE27" s="289">
        <v>10.8264</v>
      </c>
      <c r="KF27" s="289">
        <v>10.9688</v>
      </c>
      <c r="KG27" s="289">
        <v>11.0128</v>
      </c>
      <c r="KH27" s="289">
        <v>11.250999999999999</v>
      </c>
      <c r="KI27" s="289">
        <v>11.5448</v>
      </c>
      <c r="KJ27" s="289">
        <v>11.3523</v>
      </c>
      <c r="KK27" s="289">
        <v>11.378500000000001</v>
      </c>
      <c r="KL27" s="289">
        <v>11.355</v>
      </c>
      <c r="KM27" s="289">
        <v>11.477399999999999</v>
      </c>
      <c r="KN27" s="289">
        <v>11.450699999999999</v>
      </c>
      <c r="KO27" s="289">
        <v>11.333500000000001</v>
      </c>
      <c r="KP27" s="289">
        <v>11.2403</v>
      </c>
      <c r="KQ27" s="185">
        <v>21</v>
      </c>
      <c r="KR27" s="1"/>
      <c r="KS27" s="1"/>
      <c r="KT27" s="185">
        <v>21</v>
      </c>
      <c r="KU27" s="289">
        <v>10.59</v>
      </c>
      <c r="KV27" s="289">
        <v>10.84</v>
      </c>
      <c r="KW27" s="289">
        <v>10.863300000000001</v>
      </c>
      <c r="KX27" s="289">
        <v>10.639799999999999</v>
      </c>
      <c r="KY27" s="289">
        <v>10.3498</v>
      </c>
      <c r="KZ27" s="289">
        <v>10.485799999999999</v>
      </c>
      <c r="LA27" s="289">
        <v>10.349</v>
      </c>
      <c r="LB27" s="289">
        <v>10.800700000000001</v>
      </c>
      <c r="LC27" s="289">
        <v>10.9163</v>
      </c>
      <c r="LD27" s="289">
        <v>11.280200000000001</v>
      </c>
      <c r="LE27" s="289">
        <v>11.164300000000001</v>
      </c>
      <c r="LF27" s="289">
        <v>11.2193</v>
      </c>
      <c r="LG27" s="185">
        <v>21</v>
      </c>
      <c r="LH27" s="1"/>
      <c r="LI27" s="1"/>
      <c r="LJ27" s="185">
        <v>21</v>
      </c>
      <c r="LK27" s="289">
        <v>9.1255000000000006</v>
      </c>
      <c r="LL27" s="289">
        <v>9.0690000000000008</v>
      </c>
      <c r="LM27" s="289">
        <v>9.0741999999999994</v>
      </c>
      <c r="LN27" s="289">
        <v>9.2345000000000006</v>
      </c>
      <c r="LO27" s="289">
        <v>9.4710000000000001</v>
      </c>
      <c r="LP27" s="289">
        <v>9.6982999999999997</v>
      </c>
      <c r="LQ27" s="289">
        <v>9.6462000000000003</v>
      </c>
      <c r="LR27" s="289">
        <v>9.7746999999999993</v>
      </c>
      <c r="LS27" s="289">
        <v>10.062799999999999</v>
      </c>
      <c r="LT27" s="289">
        <v>9.9987999999999992</v>
      </c>
      <c r="LU27" s="289">
        <v>10.176</v>
      </c>
      <c r="LV27" s="289">
        <v>10.192</v>
      </c>
      <c r="LW27" s="185">
        <v>21</v>
      </c>
      <c r="LX27" s="1"/>
      <c r="LY27" s="1"/>
      <c r="LZ27" s="185">
        <v>21</v>
      </c>
      <c r="MA27" s="289">
        <v>9.8870000000000005</v>
      </c>
      <c r="MB27" s="289">
        <v>9.7043999999999997</v>
      </c>
      <c r="MC27" s="289">
        <v>9.5683000000000007</v>
      </c>
      <c r="MD27" s="289">
        <v>9.2748000000000008</v>
      </c>
      <c r="ME27" s="289">
        <v>8.9952000000000005</v>
      </c>
      <c r="MF27" s="289">
        <v>9.0792000000000002</v>
      </c>
      <c r="MG27" s="289">
        <v>9.1999999999999993</v>
      </c>
      <c r="MH27" s="289">
        <v>9.1155000000000008</v>
      </c>
      <c r="MI27" s="289">
        <v>9.4184999999999999</v>
      </c>
      <c r="MJ27" s="289">
        <v>9.2309999999999999</v>
      </c>
      <c r="MK27" s="289">
        <v>9.2120999999999995</v>
      </c>
      <c r="ML27" s="289">
        <v>9.1174999999999997</v>
      </c>
      <c r="MM27" s="185">
        <v>21</v>
      </c>
      <c r="MN27" s="1"/>
      <c r="MO27" s="1"/>
      <c r="MP27" s="185">
        <v>21</v>
      </c>
      <c r="MQ27" s="289">
        <v>9.4085999999999999</v>
      </c>
      <c r="MR27" s="289">
        <v>9.3904999999999994</v>
      </c>
      <c r="MS27" s="289">
        <v>9.3254999999999999</v>
      </c>
      <c r="MT27" s="289">
        <v>9.4388000000000005</v>
      </c>
      <c r="MU27" s="289">
        <v>9.5751000000000008</v>
      </c>
      <c r="MV27" s="289">
        <v>9.9031000000000002</v>
      </c>
      <c r="MW27" s="289">
        <v>9.4117999999999995</v>
      </c>
      <c r="MX27" s="289">
        <v>9.1873000000000005</v>
      </c>
      <c r="MY27" s="289">
        <v>9.4250000000000007</v>
      </c>
      <c r="MZ27" s="289">
        <v>9.5333000000000006</v>
      </c>
      <c r="NA27" s="289">
        <v>9.4827999999999992</v>
      </c>
      <c r="NB27" s="289">
        <v>9.3789999999999996</v>
      </c>
      <c r="NC27" s="185">
        <v>21</v>
      </c>
      <c r="ND27" s="1"/>
      <c r="NE27" s="1"/>
      <c r="NF27" s="185">
        <v>21</v>
      </c>
      <c r="NG27" s="289">
        <v>10.2783</v>
      </c>
      <c r="NH27" s="289">
        <v>9.8809000000000005</v>
      </c>
      <c r="NI27" s="289">
        <v>9.6462000000000003</v>
      </c>
      <c r="NJ27" s="289">
        <v>9.3831000000000007</v>
      </c>
      <c r="NK27" s="289">
        <v>9.3086000000000002</v>
      </c>
      <c r="NL27" s="289">
        <v>9.4038000000000004</v>
      </c>
      <c r="NM27" s="289">
        <v>9.3008000000000006</v>
      </c>
      <c r="NN27" s="289">
        <v>9.3744999999999994</v>
      </c>
      <c r="NO27" s="289">
        <v>9.3712</v>
      </c>
      <c r="NP27" s="289">
        <v>9.6713000000000005</v>
      </c>
      <c r="NQ27" s="289">
        <v>9.3460000000000001</v>
      </c>
      <c r="NR27" s="289">
        <v>9.3298000000000005</v>
      </c>
      <c r="NS27" s="185">
        <v>21</v>
      </c>
      <c r="NT27" s="1"/>
      <c r="NU27" s="1"/>
      <c r="NV27" s="185">
        <v>21</v>
      </c>
      <c r="NW27" s="289">
        <v>8.1803000000000008</v>
      </c>
      <c r="NX27" s="289">
        <v>8.5449000000000002</v>
      </c>
      <c r="NY27" s="289">
        <v>8.5638000000000005</v>
      </c>
      <c r="NZ27" s="289">
        <v>8.4945000000000004</v>
      </c>
      <c r="OA27" s="289">
        <v>8.5848999999999993</v>
      </c>
      <c r="OB27" s="289">
        <v>8.8966999999999992</v>
      </c>
      <c r="OC27" s="289">
        <v>8.8217999999999996</v>
      </c>
      <c r="OD27" s="289">
        <v>9.1873000000000005</v>
      </c>
      <c r="OE27" s="289">
        <v>10.315799999999999</v>
      </c>
      <c r="OF27" s="289">
        <v>10.0863</v>
      </c>
      <c r="OG27" s="289">
        <v>9.9305000000000003</v>
      </c>
      <c r="OH27" s="289">
        <v>9.7863000000000007</v>
      </c>
      <c r="OI27" s="185">
        <v>21</v>
      </c>
      <c r="OJ27" s="1"/>
      <c r="OK27" s="1"/>
      <c r="OL27" s="185">
        <v>21</v>
      </c>
      <c r="OM27" s="289">
        <v>7.8274999999999997</v>
      </c>
      <c r="ON27" s="289">
        <v>7.7887000000000004</v>
      </c>
      <c r="OO27" s="289">
        <v>7.9233000000000002</v>
      </c>
      <c r="OP27" s="289">
        <v>7.8852000000000002</v>
      </c>
      <c r="OQ27" s="289">
        <v>7.8933999999999997</v>
      </c>
      <c r="OR27" s="289">
        <v>7.9168000000000003</v>
      </c>
      <c r="OS27" s="289">
        <v>7.8556999999999997</v>
      </c>
      <c r="OT27" s="289">
        <v>7.7575000000000003</v>
      </c>
      <c r="OU27" s="289">
        <v>7.7560000000000002</v>
      </c>
      <c r="OV27" s="289">
        <v>7.7484000000000002</v>
      </c>
      <c r="OW27" s="289">
        <v>8.2642000000000007</v>
      </c>
      <c r="OX27" s="289">
        <v>8.0739999999999998</v>
      </c>
      <c r="OY27" s="185">
        <v>21</v>
      </c>
      <c r="OZ27" s="1"/>
      <c r="PA27" s="1"/>
      <c r="PB27" s="185">
        <v>21</v>
      </c>
      <c r="PC27" s="289">
        <v>7.4667000000000003</v>
      </c>
      <c r="PD27" s="289">
        <v>7.5457999999999998</v>
      </c>
      <c r="PE27" s="289">
        <v>7.5242000000000004</v>
      </c>
      <c r="PF27" s="289">
        <v>7.4409999999999998</v>
      </c>
      <c r="PG27" s="289">
        <v>7.4019000000000004</v>
      </c>
      <c r="PH27" s="289">
        <v>7.5267999999999997</v>
      </c>
      <c r="PI27" s="289">
        <v>7.6452999999999998</v>
      </c>
      <c r="PJ27" s="289">
        <v>7.4854000000000003</v>
      </c>
      <c r="PK27" s="289">
        <v>7.5052000000000003</v>
      </c>
      <c r="PL27" s="289">
        <v>7.7725999999999997</v>
      </c>
      <c r="PM27" s="289">
        <v>7.9085000000000001</v>
      </c>
      <c r="PN27" s="289">
        <v>7.8673999999999999</v>
      </c>
      <c r="PO27" s="185">
        <v>21</v>
      </c>
      <c r="PP27" s="1"/>
      <c r="PQ27" s="1"/>
      <c r="PR27" s="185">
        <v>21</v>
      </c>
      <c r="PS27" s="289">
        <v>5.6074999999999999</v>
      </c>
      <c r="PT27" s="289">
        <v>5.7149999999999999</v>
      </c>
      <c r="PU27" s="289">
        <v>7.0824999999999996</v>
      </c>
      <c r="PV27" s="289">
        <v>6.1391999999999998</v>
      </c>
      <c r="PW27" s="289">
        <v>5.92</v>
      </c>
      <c r="PX27" s="289">
        <v>6.2008000000000001</v>
      </c>
      <c r="PY27" s="289">
        <v>6.0792999999999999</v>
      </c>
      <c r="PZ27" s="289">
        <v>6.1849999999999996</v>
      </c>
      <c r="QA27" s="289">
        <v>6.3055000000000003</v>
      </c>
      <c r="QB27" s="289">
        <v>6.6908000000000003</v>
      </c>
      <c r="QC27" s="289">
        <v>7.8</v>
      </c>
      <c r="QD27" s="289">
        <v>7.6809000000000003</v>
      </c>
      <c r="QE27" s="185">
        <v>21</v>
      </c>
      <c r="QF27" s="1"/>
      <c r="QG27" s="1"/>
      <c r="QH27" s="185">
        <v>21</v>
      </c>
      <c r="QI27" s="289">
        <v>3.1055999999999999</v>
      </c>
      <c r="QJ27" s="289">
        <v>3.1053000000000002</v>
      </c>
      <c r="QK27" s="289">
        <v>3.3043</v>
      </c>
      <c r="QL27" s="289">
        <v>3.3685999999999998</v>
      </c>
      <c r="QM27" s="289">
        <v>3.3220000000000001</v>
      </c>
      <c r="QN27" s="289">
        <v>3.3675000000000002</v>
      </c>
      <c r="QO27" s="289">
        <v>3.4011</v>
      </c>
      <c r="QP27" s="289">
        <v>3.3769</v>
      </c>
      <c r="QQ27" s="289">
        <v>3.4077999999999999</v>
      </c>
      <c r="QR27" s="289">
        <v>3.4106000000000001</v>
      </c>
      <c r="QS27" s="289">
        <v>3.4533999999999998</v>
      </c>
      <c r="QT27" s="289">
        <v>3.4662000000000002</v>
      </c>
      <c r="QU27" s="185">
        <v>21</v>
      </c>
      <c r="QV27" s="1"/>
      <c r="QW27" s="1"/>
      <c r="QX27" s="185">
        <v>21</v>
      </c>
      <c r="QY27" s="289">
        <v>3.1082000000000001</v>
      </c>
      <c r="QZ27" s="289">
        <v>3.0943000000000001</v>
      </c>
      <c r="RA27" s="289">
        <v>3.1168999999999998</v>
      </c>
      <c r="RB27" s="289">
        <v>3.0935999999999999</v>
      </c>
      <c r="RC27" s="289">
        <v>3.1132</v>
      </c>
      <c r="RD27" s="289">
        <v>3.1171000000000002</v>
      </c>
      <c r="RE27" s="289">
        <v>3.1255000000000002</v>
      </c>
      <c r="RF27" s="289">
        <v>3.1131000000000002</v>
      </c>
      <c r="RG27" s="289">
        <v>3.1093000000000002</v>
      </c>
      <c r="RH27" s="289">
        <v>3.1124999999999998</v>
      </c>
      <c r="RI27" s="289">
        <v>3.1114000000000002</v>
      </c>
      <c r="RJ27" s="289">
        <v>3.1055000000000001</v>
      </c>
      <c r="RK27" s="185">
        <v>21</v>
      </c>
      <c r="RL27" s="1"/>
      <c r="RM27" s="1"/>
      <c r="RN27" s="185">
        <v>21</v>
      </c>
      <c r="RO27" s="289">
        <v>3.0657000000000001</v>
      </c>
      <c r="RP27" s="289">
        <v>3.0608</v>
      </c>
      <c r="RQ27" s="289">
        <v>3.0737999999999999</v>
      </c>
      <c r="RR27" s="289">
        <v>3.0670000000000002</v>
      </c>
      <c r="RS27" s="289">
        <v>3.1023999999999998</v>
      </c>
      <c r="RT27" s="289">
        <v>3.1202999999999999</v>
      </c>
      <c r="RU27" s="289">
        <v>3.1149</v>
      </c>
      <c r="RV27" s="289">
        <v>3.0853000000000002</v>
      </c>
      <c r="RW27" s="289">
        <v>3.0916000000000001</v>
      </c>
      <c r="RX27" s="289">
        <v>3.1429</v>
      </c>
      <c r="RY27" s="289">
        <v>3.1150000000000002</v>
      </c>
      <c r="RZ27" s="289">
        <v>3.1204000000000001</v>
      </c>
      <c r="SA27" s="185">
        <v>21</v>
      </c>
      <c r="SB27" s="1"/>
      <c r="SC27" s="1"/>
      <c r="SD27" s="185">
        <v>21</v>
      </c>
      <c r="SE27" s="289">
        <v>2.9533999999999998</v>
      </c>
      <c r="SF27" s="289">
        <v>2.9666000000000001</v>
      </c>
      <c r="SG27" s="289">
        <v>2.9777999999999998</v>
      </c>
      <c r="SH27" s="289">
        <v>2.9897999999999998</v>
      </c>
      <c r="SI27" s="289">
        <v>3.0013999999999998</v>
      </c>
      <c r="SJ27" s="289">
        <v>3.0146000000000002</v>
      </c>
      <c r="SK27" s="289">
        <v>3.0261999999999998</v>
      </c>
      <c r="SL27" s="289">
        <v>3.0390000000000001</v>
      </c>
      <c r="SM27" s="289">
        <v>3.0514000000000001</v>
      </c>
      <c r="SN27" s="289">
        <v>3.0642</v>
      </c>
      <c r="SO27" s="289">
        <v>3.0661299999999998</v>
      </c>
      <c r="SP27" s="289">
        <v>3.0747499999999999</v>
      </c>
      <c r="SQ27" s="185">
        <v>21</v>
      </c>
      <c r="SR27" s="1"/>
      <c r="SS27" s="1"/>
      <c r="ST27" s="185">
        <v>21</v>
      </c>
      <c r="SU27" s="289">
        <v>2.6619999999999999</v>
      </c>
      <c r="SV27" s="289">
        <v>2.694</v>
      </c>
      <c r="SW27" s="289">
        <v>2.722</v>
      </c>
      <c r="SX27" s="289">
        <v>2.7530000000000001</v>
      </c>
      <c r="SY27" s="289">
        <v>2.7810000000000001</v>
      </c>
      <c r="SZ27" s="289">
        <v>2.8098000000000001</v>
      </c>
      <c r="TA27" s="289">
        <v>2.8338000000000001</v>
      </c>
      <c r="TB27" s="289">
        <v>2.8570000000000002</v>
      </c>
      <c r="TC27" s="289">
        <v>2.8834</v>
      </c>
      <c r="TD27" s="289">
        <v>2.9066000000000001</v>
      </c>
      <c r="TE27" s="289">
        <v>2.9298000000000002</v>
      </c>
      <c r="TF27" s="289">
        <v>2.9418000000000002</v>
      </c>
      <c r="TG27" s="185">
        <v>21</v>
      </c>
      <c r="TH27" s="1"/>
      <c r="TI27" s="1"/>
      <c r="TJ27" s="185">
        <v>21</v>
      </c>
      <c r="TK27" s="289">
        <v>2.298</v>
      </c>
      <c r="TL27" s="289">
        <v>2.327</v>
      </c>
      <c r="TM27" s="289">
        <v>2.355</v>
      </c>
      <c r="TN27" s="289">
        <v>2.3879999999999999</v>
      </c>
      <c r="TO27" s="289">
        <v>2.4169999999999998</v>
      </c>
      <c r="TP27" s="289">
        <v>2.4489999999999998</v>
      </c>
      <c r="TQ27" s="289">
        <v>2.4790000000000001</v>
      </c>
      <c r="TR27" s="289">
        <v>2.508</v>
      </c>
      <c r="TS27" s="289">
        <v>2.5409999999999999</v>
      </c>
      <c r="TT27" s="289">
        <v>2.5710000000000002</v>
      </c>
      <c r="TU27" s="289">
        <v>2.6</v>
      </c>
      <c r="TV27" s="289">
        <v>2.6320000000000001</v>
      </c>
      <c r="TW27" s="185">
        <v>21</v>
      </c>
    </row>
    <row r="28" spans="2:543" ht="20.100000000000001" customHeight="1">
      <c r="B28" s="64">
        <v>22</v>
      </c>
      <c r="C28" s="289">
        <v>20.450700000000001</v>
      </c>
      <c r="D28" s="289">
        <v>20.3063</v>
      </c>
      <c r="E28" s="289">
        <v>20.558499999999999</v>
      </c>
      <c r="F28" s="289">
        <v>20.0383</v>
      </c>
      <c r="G28" s="289">
        <v>19.9267</v>
      </c>
      <c r="H28" s="289">
        <v>20.244199999999999</v>
      </c>
      <c r="I28" s="289">
        <v>20.491299999999999</v>
      </c>
      <c r="J28" s="289">
        <v>20.083500000000001</v>
      </c>
      <c r="K28" s="289">
        <v>20</v>
      </c>
      <c r="L28" s="289">
        <v>20.044799999999999</v>
      </c>
      <c r="M28" s="289">
        <v>19.433299999999999</v>
      </c>
      <c r="N28" s="289">
        <v>19.748200000000001</v>
      </c>
      <c r="O28" s="64">
        <v>22</v>
      </c>
      <c r="R28" s="64">
        <v>22</v>
      </c>
      <c r="S28" s="289">
        <v>19.5793</v>
      </c>
      <c r="T28" s="289">
        <v>20.416499999999999</v>
      </c>
      <c r="U28" s="289">
        <v>20.441500000000001</v>
      </c>
      <c r="V28" s="289">
        <v>19.887699999999999</v>
      </c>
      <c r="W28" s="289">
        <v>19.881</v>
      </c>
      <c r="X28" s="289">
        <v>20.700199999999999</v>
      </c>
      <c r="Y28" s="289">
        <v>20.134799999999998</v>
      </c>
      <c r="Z28" s="289">
        <v>20.1175</v>
      </c>
      <c r="AA28" s="289">
        <v>20.173500000000001</v>
      </c>
      <c r="AB28" s="289">
        <v>20.184999999999999</v>
      </c>
      <c r="AC28" s="289">
        <v>20.762799999999999</v>
      </c>
      <c r="AD28" s="289">
        <v>20.7363</v>
      </c>
      <c r="AE28" s="64">
        <v>22</v>
      </c>
      <c r="AH28" s="185">
        <v>22</v>
      </c>
      <c r="AI28" s="289">
        <v>18.672499999999999</v>
      </c>
      <c r="AJ28" s="289">
        <v>18.799199999999999</v>
      </c>
      <c r="AK28" s="289">
        <v>24.0868</v>
      </c>
      <c r="AL28" s="289">
        <v>24.0077</v>
      </c>
      <c r="AM28" s="289">
        <v>23.296199999999999</v>
      </c>
      <c r="AN28" s="289">
        <v>22.608799999999999</v>
      </c>
      <c r="AO28" s="289">
        <v>22.627800000000001</v>
      </c>
      <c r="AP28" s="289">
        <v>22.175999999999998</v>
      </c>
      <c r="AQ28" s="289">
        <v>20.9697</v>
      </c>
      <c r="AR28" s="289">
        <v>21.090199999999999</v>
      </c>
      <c r="AS28" s="289">
        <v>20.1858</v>
      </c>
      <c r="AT28" s="289">
        <v>19.948699999999999</v>
      </c>
      <c r="AU28" s="185">
        <v>22</v>
      </c>
      <c r="AX28" s="185">
        <v>22</v>
      </c>
      <c r="AY28" s="289">
        <v>19.084399999999999</v>
      </c>
      <c r="AZ28" s="289">
        <v>19.183499999999999</v>
      </c>
      <c r="BA28" s="289">
        <v>18.909800000000001</v>
      </c>
      <c r="BB28" s="289">
        <v>18.951599999999999</v>
      </c>
      <c r="BC28" s="289">
        <v>19.090800000000002</v>
      </c>
      <c r="BD28" s="289">
        <v>18.980399999999999</v>
      </c>
      <c r="BE28" s="289">
        <v>19.0108</v>
      </c>
      <c r="BF28" s="289">
        <v>19.752199999999998</v>
      </c>
      <c r="BG28" s="289">
        <v>19.398099999999999</v>
      </c>
      <c r="BH28" s="289">
        <v>19.1492</v>
      </c>
      <c r="BI28" s="289">
        <v>19.48</v>
      </c>
      <c r="BJ28" s="289">
        <v>18.963999999999999</v>
      </c>
      <c r="BK28" s="185">
        <v>22</v>
      </c>
      <c r="BN28" s="185">
        <v>22</v>
      </c>
      <c r="BO28" s="289">
        <v>18.636099999999999</v>
      </c>
      <c r="BP28" s="289">
        <v>18.659400000000002</v>
      </c>
      <c r="BQ28" s="290">
        <v>18.761399999999998</v>
      </c>
      <c r="BR28" s="289">
        <v>18.2819</v>
      </c>
      <c r="BS28" s="289">
        <v>19.931899999999999</v>
      </c>
      <c r="BT28" s="289">
        <v>20.393699999999999</v>
      </c>
      <c r="BU28" s="289">
        <v>19.079000000000001</v>
      </c>
      <c r="BV28" s="289">
        <v>19.0305</v>
      </c>
      <c r="BW28" s="289">
        <v>18.829599999999999</v>
      </c>
      <c r="BX28" s="289">
        <v>19.101800000000001</v>
      </c>
      <c r="BY28" s="289">
        <v>20.412299999999998</v>
      </c>
      <c r="BZ28" s="289">
        <v>19.908200000000001</v>
      </c>
      <c r="CA28" s="185">
        <v>22</v>
      </c>
      <c r="CD28" s="185">
        <v>22</v>
      </c>
      <c r="CE28" s="289">
        <v>21.904399999999999</v>
      </c>
      <c r="CF28" s="289">
        <v>20.405899999999999</v>
      </c>
      <c r="CG28" s="289">
        <v>19.117000000000001</v>
      </c>
      <c r="CH28" s="289">
        <v>18.8187</v>
      </c>
      <c r="CI28" s="289">
        <v>18.889800000000001</v>
      </c>
      <c r="CJ28" s="289">
        <v>18.116700000000002</v>
      </c>
      <c r="CK28" s="289">
        <v>17.526</v>
      </c>
      <c r="CL28" s="289">
        <v>17.8584</v>
      </c>
      <c r="CM28" s="289">
        <v>17.700900000000001</v>
      </c>
      <c r="CN28" s="289">
        <v>18.8248</v>
      </c>
      <c r="CO28" s="289">
        <v>18.9724</v>
      </c>
      <c r="CP28" s="289">
        <v>19.229099999999999</v>
      </c>
      <c r="CQ28" s="185">
        <v>22</v>
      </c>
      <c r="CT28" s="185">
        <v>22</v>
      </c>
      <c r="CU28" s="289">
        <v>18.608000000000001</v>
      </c>
      <c r="CV28" s="289">
        <v>18.143899999999999</v>
      </c>
      <c r="CW28" s="289">
        <v>17.403400000000001</v>
      </c>
      <c r="CX28" s="289">
        <v>17.3078</v>
      </c>
      <c r="CY28" s="289">
        <v>18.546500000000002</v>
      </c>
      <c r="CZ28" s="289">
        <v>18.655899999999999</v>
      </c>
      <c r="DA28" s="289">
        <v>18.572900000000001</v>
      </c>
      <c r="DB28" s="289">
        <v>18.083200000000001</v>
      </c>
      <c r="DC28" s="289">
        <v>19.777000000000001</v>
      </c>
      <c r="DD28" s="289">
        <v>18.5945</v>
      </c>
      <c r="DE28" s="289">
        <v>20.189800000000002</v>
      </c>
      <c r="DF28" s="289">
        <v>20.43</v>
      </c>
      <c r="DG28" s="185">
        <v>22</v>
      </c>
      <c r="DJ28" s="185">
        <v>22</v>
      </c>
      <c r="DK28" s="289">
        <v>14.648400000000001</v>
      </c>
      <c r="DL28" s="289">
        <v>14.958299999999999</v>
      </c>
      <c r="DM28" s="289">
        <v>15.295999999999999</v>
      </c>
      <c r="DN28" s="289">
        <v>15.3973</v>
      </c>
      <c r="DO28" s="289">
        <v>15.212</v>
      </c>
      <c r="DP28" s="289">
        <v>15.2828</v>
      </c>
      <c r="DQ28" s="289">
        <v>15.9856</v>
      </c>
      <c r="DR28" s="289">
        <v>16.4908</v>
      </c>
      <c r="DS28" s="289">
        <v>16.539000000000001</v>
      </c>
      <c r="DT28" s="289">
        <v>16.561800000000002</v>
      </c>
      <c r="DU28" s="289">
        <v>16.5748</v>
      </c>
      <c r="DV28" s="289">
        <v>17.0139</v>
      </c>
      <c r="DW28" s="185">
        <v>22</v>
      </c>
      <c r="DZ28" s="185">
        <v>22</v>
      </c>
      <c r="EA28" s="289">
        <v>13.242000000000001</v>
      </c>
      <c r="EB28" s="289">
        <v>13.2913</v>
      </c>
      <c r="EC28" s="289">
        <v>13.270300000000001</v>
      </c>
      <c r="ED28" s="289">
        <v>13.0603</v>
      </c>
      <c r="EE28" s="289">
        <v>12.942500000000001</v>
      </c>
      <c r="EF28" s="289">
        <v>12.9885</v>
      </c>
      <c r="EG28" s="289">
        <v>12.9588</v>
      </c>
      <c r="EH28" s="289">
        <v>13.0814</v>
      </c>
      <c r="EI28" s="289">
        <v>13.2402</v>
      </c>
      <c r="EJ28" s="289">
        <v>13.5357</v>
      </c>
      <c r="EK28" s="289">
        <v>13.611499999999999</v>
      </c>
      <c r="EL28" s="289">
        <v>14.5562</v>
      </c>
      <c r="EM28" s="185">
        <v>22</v>
      </c>
      <c r="EP28" s="185">
        <v>22</v>
      </c>
      <c r="EQ28" s="289">
        <v>12.6555</v>
      </c>
      <c r="ER28" s="289">
        <v>12.6694</v>
      </c>
      <c r="ES28" s="289">
        <v>12.3909</v>
      </c>
      <c r="ET28" s="289">
        <v>12.2479</v>
      </c>
      <c r="EU28" s="289">
        <v>12.325799999999999</v>
      </c>
      <c r="EV28" s="289">
        <v>13.4015</v>
      </c>
      <c r="EW28" s="289">
        <v>12.4976</v>
      </c>
      <c r="EX28" s="289">
        <v>13.006399999999999</v>
      </c>
      <c r="EY28" s="289">
        <v>12.7179</v>
      </c>
      <c r="EZ28" s="289">
        <v>12.7988</v>
      </c>
      <c r="FA28" s="289">
        <v>12.9697</v>
      </c>
      <c r="FB28" s="289">
        <v>12.973000000000001</v>
      </c>
      <c r="FC28" s="185">
        <v>22</v>
      </c>
      <c r="FF28" s="185">
        <v>22</v>
      </c>
      <c r="FG28" s="289">
        <v>13.2516</v>
      </c>
      <c r="FH28" s="289">
        <v>12.6793</v>
      </c>
      <c r="FI28" s="289">
        <v>12.6935</v>
      </c>
      <c r="FJ28" s="289">
        <v>13.2288</v>
      </c>
      <c r="FK28" s="289">
        <v>13.780900000000001</v>
      </c>
      <c r="FL28" s="289">
        <v>13.7257</v>
      </c>
      <c r="FM28" s="289">
        <v>13.1921</v>
      </c>
      <c r="FN28" s="289">
        <v>13.126099999999999</v>
      </c>
      <c r="FO28" s="289">
        <v>12.904199999999999</v>
      </c>
      <c r="FP28" s="289">
        <v>12.8299</v>
      </c>
      <c r="FQ28" s="289">
        <v>13.0245</v>
      </c>
      <c r="FR28" s="289">
        <v>12.777699999999999</v>
      </c>
      <c r="FS28" s="185">
        <v>22</v>
      </c>
      <c r="FV28" s="185">
        <v>22</v>
      </c>
      <c r="FW28" s="289">
        <v>12.090299999999999</v>
      </c>
      <c r="FX28" s="289">
        <v>12.017200000000001</v>
      </c>
      <c r="FY28" s="289">
        <v>12.092499999999999</v>
      </c>
      <c r="FZ28" s="289">
        <v>11.692500000000001</v>
      </c>
      <c r="GA28" s="289">
        <v>11.658799999999999</v>
      </c>
      <c r="GB28" s="289">
        <v>11.8916</v>
      </c>
      <c r="GC28" s="289">
        <v>11.6638</v>
      </c>
      <c r="GD28" s="289">
        <v>12.368499999999999</v>
      </c>
      <c r="GE28" s="289">
        <v>13.1669</v>
      </c>
      <c r="GF28" s="289">
        <v>13.662800000000001</v>
      </c>
      <c r="GG28" s="289">
        <v>13.637499999999999</v>
      </c>
      <c r="GH28" s="289">
        <v>13.772</v>
      </c>
      <c r="GI28" s="185">
        <v>22</v>
      </c>
      <c r="GL28" s="185">
        <v>22</v>
      </c>
      <c r="GM28" s="289">
        <v>12.738799999999999</v>
      </c>
      <c r="GN28" s="289">
        <v>12.844200000000001</v>
      </c>
      <c r="GO28" s="289">
        <v>12.472899999999999</v>
      </c>
      <c r="GP28" s="289">
        <v>12.2188</v>
      </c>
      <c r="GQ28" s="289">
        <v>13.1412</v>
      </c>
      <c r="GR28" s="289">
        <v>12.54</v>
      </c>
      <c r="GS28" s="289">
        <v>12.854900000000001</v>
      </c>
      <c r="GT28" s="289">
        <v>12.7226</v>
      </c>
      <c r="GU28" s="289">
        <v>12.7623</v>
      </c>
      <c r="GV28" s="289">
        <v>12.4117</v>
      </c>
      <c r="GW28" s="289">
        <v>12.292400000000001</v>
      </c>
      <c r="GX28" s="289">
        <v>12.417</v>
      </c>
      <c r="GY28" s="185">
        <v>22</v>
      </c>
      <c r="HB28" s="185">
        <v>22</v>
      </c>
      <c r="HC28" s="289">
        <v>13.9382</v>
      </c>
      <c r="HD28" s="289">
        <v>14.5505</v>
      </c>
      <c r="HE28" s="289">
        <v>14.08</v>
      </c>
      <c r="HF28" s="289">
        <v>13.32</v>
      </c>
      <c r="HG28" s="289">
        <v>12.8695</v>
      </c>
      <c r="HH28" s="289">
        <v>13.369400000000001</v>
      </c>
      <c r="HI28" s="289">
        <v>13.315799999999999</v>
      </c>
      <c r="HJ28" s="289">
        <v>12.8733</v>
      </c>
      <c r="HK28" s="289">
        <v>13.241300000000001</v>
      </c>
      <c r="HL28" s="289">
        <v>12.9407</v>
      </c>
      <c r="HM28" s="289">
        <v>13.0502</v>
      </c>
      <c r="HN28" s="289">
        <v>12.8979</v>
      </c>
      <c r="HO28" s="185">
        <v>22</v>
      </c>
      <c r="HP28" s="1"/>
      <c r="HQ28" s="1"/>
      <c r="HR28" s="185">
        <v>22</v>
      </c>
      <c r="HS28" s="289">
        <v>10.923500000000001</v>
      </c>
      <c r="HT28" s="289">
        <v>10.793900000000001</v>
      </c>
      <c r="HU28" s="289">
        <v>10.704000000000001</v>
      </c>
      <c r="HV28" s="289">
        <v>10.461</v>
      </c>
      <c r="HW28" s="289">
        <v>10.4002</v>
      </c>
      <c r="HX28" s="289">
        <v>10.3156</v>
      </c>
      <c r="HY28" s="289">
        <v>10.204700000000001</v>
      </c>
      <c r="HZ28" s="289">
        <v>10.1343</v>
      </c>
      <c r="IA28" s="289">
        <v>10.836499999999999</v>
      </c>
      <c r="IB28" s="289">
        <v>12.761699999999999</v>
      </c>
      <c r="IC28" s="289">
        <v>13.575799999999999</v>
      </c>
      <c r="ID28" s="289">
        <v>13.215</v>
      </c>
      <c r="IE28" s="185">
        <v>22</v>
      </c>
      <c r="IF28" s="1"/>
      <c r="IG28" s="1"/>
      <c r="IH28" s="185">
        <v>22</v>
      </c>
      <c r="II28" s="289">
        <v>10.9232</v>
      </c>
      <c r="IJ28" s="289">
        <v>10.9755</v>
      </c>
      <c r="IK28" s="289">
        <v>11.112</v>
      </c>
      <c r="IL28" s="289">
        <v>11.004799999999999</v>
      </c>
      <c r="IM28" s="289">
        <v>10.8223</v>
      </c>
      <c r="IN28" s="289">
        <v>10.7713</v>
      </c>
      <c r="IO28" s="289">
        <v>10.720700000000001</v>
      </c>
      <c r="IP28" s="289">
        <v>11.1053</v>
      </c>
      <c r="IQ28" s="289">
        <v>10.9687</v>
      </c>
      <c r="IR28" s="289">
        <v>10.8133</v>
      </c>
      <c r="IS28" s="289">
        <v>10.9687</v>
      </c>
      <c r="IT28" s="289">
        <v>10.8363</v>
      </c>
      <c r="IU28" s="185">
        <v>22</v>
      </c>
      <c r="IV28" s="1"/>
      <c r="IW28" s="1"/>
      <c r="IX28" s="185">
        <v>22</v>
      </c>
      <c r="IY28" s="289">
        <v>10.5589</v>
      </c>
      <c r="IZ28" s="289">
        <v>10.440099999999999</v>
      </c>
      <c r="JA28" s="289">
        <v>10.688499999999999</v>
      </c>
      <c r="JB28" s="289">
        <v>11.030200000000001</v>
      </c>
      <c r="JC28" s="289">
        <v>11.2005</v>
      </c>
      <c r="JD28" s="289">
        <v>11.4809</v>
      </c>
      <c r="JE28" s="289">
        <v>10.870799999999999</v>
      </c>
      <c r="JF28" s="289">
        <v>10.8217</v>
      </c>
      <c r="JG28" s="289">
        <v>10.9346</v>
      </c>
      <c r="JH28" s="289">
        <v>10.805999999999999</v>
      </c>
      <c r="JI28" s="289">
        <v>10.952400000000001</v>
      </c>
      <c r="JJ28" s="289">
        <v>10.807499999999999</v>
      </c>
      <c r="JK28" s="185">
        <v>22</v>
      </c>
      <c r="JL28" s="1"/>
      <c r="JM28" s="1"/>
      <c r="JN28" s="185">
        <v>22</v>
      </c>
      <c r="JO28" s="289">
        <v>11.2515</v>
      </c>
      <c r="JP28" s="289">
        <v>11.0732</v>
      </c>
      <c r="JQ28" s="289">
        <v>11.2193</v>
      </c>
      <c r="JR28" s="289">
        <v>11.061400000000001</v>
      </c>
      <c r="JS28" s="289">
        <v>10.9283</v>
      </c>
      <c r="JT28" s="289">
        <v>10.834199999999999</v>
      </c>
      <c r="JU28" s="289">
        <v>10.649800000000001</v>
      </c>
      <c r="JV28" s="289">
        <v>10.6601</v>
      </c>
      <c r="JW28" s="289">
        <v>10.8232</v>
      </c>
      <c r="JX28" s="289">
        <v>10.8393</v>
      </c>
      <c r="JY28" s="289">
        <v>10.654299999999999</v>
      </c>
      <c r="JZ28" s="289">
        <v>10.6997</v>
      </c>
      <c r="KA28" s="185">
        <v>22</v>
      </c>
      <c r="KB28" s="1"/>
      <c r="KC28" s="1"/>
      <c r="KD28" s="185">
        <v>22</v>
      </c>
      <c r="KE28" s="289">
        <v>10.847</v>
      </c>
      <c r="KF28" s="289">
        <v>10.9688</v>
      </c>
      <c r="KG28" s="289">
        <v>11.0128</v>
      </c>
      <c r="KH28" s="289">
        <v>11.3065</v>
      </c>
      <c r="KI28" s="289">
        <v>11.573499999999999</v>
      </c>
      <c r="KJ28" s="289">
        <v>11.331200000000001</v>
      </c>
      <c r="KK28" s="289">
        <v>11.3954</v>
      </c>
      <c r="KL28" s="289">
        <v>11.355</v>
      </c>
      <c r="KM28" s="289">
        <v>11.4557</v>
      </c>
      <c r="KN28" s="289">
        <v>11.454800000000001</v>
      </c>
      <c r="KO28" s="289">
        <v>11.333500000000001</v>
      </c>
      <c r="KP28" s="289">
        <v>11.1555</v>
      </c>
      <c r="KQ28" s="185">
        <v>22</v>
      </c>
      <c r="KR28" s="1"/>
      <c r="KS28" s="1"/>
      <c r="KT28" s="185">
        <v>22</v>
      </c>
      <c r="KU28" s="289">
        <v>10.622199999999999</v>
      </c>
      <c r="KV28" s="289">
        <v>10.899800000000001</v>
      </c>
      <c r="KW28" s="289">
        <v>10.863300000000001</v>
      </c>
      <c r="KX28" s="289">
        <v>10.6225</v>
      </c>
      <c r="KY28" s="289">
        <v>10.266299999999999</v>
      </c>
      <c r="KZ28" s="289">
        <v>10.485799999999999</v>
      </c>
      <c r="LA28" s="289">
        <v>10.36</v>
      </c>
      <c r="LB28" s="289">
        <v>10.837899999999999</v>
      </c>
      <c r="LC28" s="289">
        <v>10.9163</v>
      </c>
      <c r="LD28" s="289">
        <v>11.174799999999999</v>
      </c>
      <c r="LE28" s="289">
        <v>11.2094</v>
      </c>
      <c r="LF28" s="289">
        <v>11.2193</v>
      </c>
      <c r="LG28" s="185">
        <v>22</v>
      </c>
      <c r="LH28" s="1"/>
      <c r="LI28" s="1"/>
      <c r="LJ28" s="185">
        <v>22</v>
      </c>
      <c r="LK28" s="289">
        <v>9.1189999999999998</v>
      </c>
      <c r="LL28" s="289">
        <v>9.0858000000000008</v>
      </c>
      <c r="LM28" s="289">
        <v>9.0741999999999994</v>
      </c>
      <c r="LN28" s="289">
        <v>9.2345000000000006</v>
      </c>
      <c r="LO28" s="289">
        <v>9.4909999999999997</v>
      </c>
      <c r="LP28" s="289">
        <v>9.7675999999999998</v>
      </c>
      <c r="LQ28" s="289">
        <v>9.6462000000000003</v>
      </c>
      <c r="LR28" s="289">
        <v>9.7713000000000001</v>
      </c>
      <c r="LS28" s="289">
        <v>10.062799999999999</v>
      </c>
      <c r="LT28" s="289">
        <v>9.9841999999999995</v>
      </c>
      <c r="LU28" s="289">
        <v>10.163500000000001</v>
      </c>
      <c r="LV28" s="289">
        <v>10.192</v>
      </c>
      <c r="LW28" s="185">
        <v>22</v>
      </c>
      <c r="LX28" s="1"/>
      <c r="LY28" s="1"/>
      <c r="LZ28" s="185">
        <v>22</v>
      </c>
      <c r="MA28" s="289">
        <v>9.8870000000000005</v>
      </c>
      <c r="MB28" s="289">
        <v>9.6797000000000004</v>
      </c>
      <c r="MC28" s="289">
        <v>9.5683000000000007</v>
      </c>
      <c r="MD28" s="289">
        <v>9.2748000000000008</v>
      </c>
      <c r="ME28" s="289">
        <v>8.9773999999999994</v>
      </c>
      <c r="MF28" s="289">
        <v>9.0798000000000005</v>
      </c>
      <c r="MG28" s="289">
        <v>9.1999999999999993</v>
      </c>
      <c r="MH28" s="289">
        <v>9.1382999999999992</v>
      </c>
      <c r="MI28" s="289">
        <v>9.4802</v>
      </c>
      <c r="MJ28" s="289">
        <v>9.2309999999999999</v>
      </c>
      <c r="MK28" s="289">
        <v>9.1967999999999996</v>
      </c>
      <c r="ML28" s="289">
        <v>9.1682000000000006</v>
      </c>
      <c r="MM28" s="185">
        <v>22</v>
      </c>
      <c r="MN28" s="1"/>
      <c r="MO28" s="1"/>
      <c r="MP28" s="185">
        <v>22</v>
      </c>
      <c r="MQ28" s="289">
        <v>9.4038000000000004</v>
      </c>
      <c r="MR28" s="289">
        <v>9.3591999999999995</v>
      </c>
      <c r="MS28" s="289">
        <v>9.3254999999999999</v>
      </c>
      <c r="MT28" s="289">
        <v>9.4388000000000005</v>
      </c>
      <c r="MU28" s="289">
        <v>9.5751000000000008</v>
      </c>
      <c r="MV28" s="289">
        <v>9.8643999999999998</v>
      </c>
      <c r="MW28" s="289">
        <v>9.3607999999999993</v>
      </c>
      <c r="MX28" s="289">
        <v>9.2293000000000003</v>
      </c>
      <c r="MY28" s="289">
        <v>9.4482999999999997</v>
      </c>
      <c r="MZ28" s="289">
        <v>9.5333000000000006</v>
      </c>
      <c r="NA28" s="289">
        <v>9.4827999999999992</v>
      </c>
      <c r="NB28" s="289">
        <v>9.4347999999999992</v>
      </c>
      <c r="NC28" s="185">
        <v>22</v>
      </c>
      <c r="ND28" s="1"/>
      <c r="NE28" s="1"/>
      <c r="NF28" s="185">
        <v>22</v>
      </c>
      <c r="NG28" s="289">
        <v>10.178000000000001</v>
      </c>
      <c r="NH28" s="289">
        <v>9.8809000000000005</v>
      </c>
      <c r="NI28" s="289">
        <v>9.6462000000000003</v>
      </c>
      <c r="NJ28" s="289">
        <v>9.4077000000000002</v>
      </c>
      <c r="NK28" s="289">
        <v>9.3241999999999994</v>
      </c>
      <c r="NL28" s="289">
        <v>9.3550000000000004</v>
      </c>
      <c r="NM28" s="289">
        <v>9.3012999999999995</v>
      </c>
      <c r="NN28" s="289">
        <v>9.3744999999999994</v>
      </c>
      <c r="NO28" s="289">
        <v>9.3223000000000003</v>
      </c>
      <c r="NP28" s="289">
        <v>9.6113999999999997</v>
      </c>
      <c r="NQ28" s="289">
        <v>9.3460000000000001</v>
      </c>
      <c r="NR28" s="289">
        <v>9.3338000000000001</v>
      </c>
      <c r="NS28" s="185">
        <v>22</v>
      </c>
      <c r="NT28" s="1"/>
      <c r="NU28" s="1"/>
      <c r="NV28" s="185">
        <v>22</v>
      </c>
      <c r="NW28" s="289">
        <v>8.2144999999999992</v>
      </c>
      <c r="NX28" s="289">
        <v>8.5449000000000002</v>
      </c>
      <c r="NY28" s="289">
        <v>8.5638000000000005</v>
      </c>
      <c r="NZ28" s="289">
        <v>8.4727999999999994</v>
      </c>
      <c r="OA28" s="289">
        <v>8.6212</v>
      </c>
      <c r="OB28" s="289">
        <v>8.8966999999999992</v>
      </c>
      <c r="OC28" s="289">
        <v>8.7896000000000001</v>
      </c>
      <c r="OD28" s="289">
        <v>9.3133999999999997</v>
      </c>
      <c r="OE28" s="289">
        <v>10.138299999999999</v>
      </c>
      <c r="OF28" s="289">
        <v>10.042</v>
      </c>
      <c r="OG28" s="289">
        <v>9.9305000000000003</v>
      </c>
      <c r="OH28" s="289">
        <v>9.7972000000000001</v>
      </c>
      <c r="OI28" s="185">
        <v>22</v>
      </c>
      <c r="OJ28" s="1"/>
      <c r="OK28" s="1"/>
      <c r="OL28" s="185">
        <v>22</v>
      </c>
      <c r="OM28" s="289">
        <v>7.8082000000000003</v>
      </c>
      <c r="ON28" s="289">
        <v>7.7460000000000004</v>
      </c>
      <c r="OO28" s="289">
        <v>7.9233000000000002</v>
      </c>
      <c r="OP28" s="289">
        <v>7.8738000000000001</v>
      </c>
      <c r="OQ28" s="289">
        <v>7.8878000000000004</v>
      </c>
      <c r="OR28" s="289">
        <v>7.9168000000000003</v>
      </c>
      <c r="OS28" s="289">
        <v>7.9097</v>
      </c>
      <c r="OT28" s="289">
        <v>7.7614999999999998</v>
      </c>
      <c r="OU28" s="289">
        <v>7.7560000000000002</v>
      </c>
      <c r="OV28" s="289">
        <v>7.7270000000000003</v>
      </c>
      <c r="OW28" s="289">
        <v>8.2882999999999996</v>
      </c>
      <c r="OX28" s="289">
        <v>8.0739999999999998</v>
      </c>
      <c r="OY28" s="185">
        <v>22</v>
      </c>
      <c r="OZ28" s="1"/>
      <c r="PA28" s="1"/>
      <c r="PB28" s="185">
        <v>22</v>
      </c>
      <c r="PC28" s="289">
        <v>7.4667000000000003</v>
      </c>
      <c r="PD28" s="289">
        <v>7.5785</v>
      </c>
      <c r="PE28" s="289">
        <v>7.5242000000000004</v>
      </c>
      <c r="PF28" s="289">
        <v>7.4409999999999998</v>
      </c>
      <c r="PG28" s="289">
        <v>7.4123999999999999</v>
      </c>
      <c r="PH28" s="289">
        <v>7.5506000000000002</v>
      </c>
      <c r="PI28" s="289">
        <v>7.6452999999999998</v>
      </c>
      <c r="PJ28" s="289">
        <v>7.4778000000000002</v>
      </c>
      <c r="PK28" s="289">
        <v>7.5052000000000003</v>
      </c>
      <c r="PL28" s="289">
        <v>7.7306999999999997</v>
      </c>
      <c r="PM28" s="289">
        <v>7.8975</v>
      </c>
      <c r="PN28" s="289">
        <v>7.8673999999999999</v>
      </c>
      <c r="PO28" s="185">
        <v>22</v>
      </c>
      <c r="PP28" s="1"/>
      <c r="PQ28" s="1"/>
      <c r="PR28" s="185">
        <v>22</v>
      </c>
      <c r="PS28" s="289">
        <v>5.6074999999999999</v>
      </c>
      <c r="PT28" s="289">
        <v>5.5225</v>
      </c>
      <c r="PU28" s="289">
        <v>7.0824999999999996</v>
      </c>
      <c r="PV28" s="289">
        <v>6.0483000000000002</v>
      </c>
      <c r="PW28" s="289">
        <v>5.92</v>
      </c>
      <c r="PX28" s="289">
        <v>6.2516999999999996</v>
      </c>
      <c r="PY28" s="289">
        <v>6.1582999999999997</v>
      </c>
      <c r="PZ28" s="289">
        <v>6.2651000000000003</v>
      </c>
      <c r="QA28" s="289">
        <v>6.3296999999999999</v>
      </c>
      <c r="QB28" s="289">
        <v>6.6908000000000003</v>
      </c>
      <c r="QC28" s="289">
        <v>7.7507999999999999</v>
      </c>
      <c r="QD28" s="289">
        <v>7.55</v>
      </c>
      <c r="QE28" s="185">
        <v>22</v>
      </c>
      <c r="QF28" s="1"/>
      <c r="QG28" s="1"/>
      <c r="QH28" s="185">
        <v>22</v>
      </c>
      <c r="QI28" s="289">
        <v>3.1059999999999999</v>
      </c>
      <c r="QJ28" s="289">
        <v>3.1057000000000001</v>
      </c>
      <c r="QK28" s="289">
        <v>3.3043</v>
      </c>
      <c r="QL28" s="289">
        <v>3.3690000000000002</v>
      </c>
      <c r="QM28" s="289">
        <v>3.3220000000000001</v>
      </c>
      <c r="QN28" s="289">
        <v>3.3702999999999999</v>
      </c>
      <c r="QO28" s="289">
        <v>3.4051999999999998</v>
      </c>
      <c r="QP28" s="289">
        <v>3.3769</v>
      </c>
      <c r="QQ28" s="289">
        <v>3.4068000000000001</v>
      </c>
      <c r="QR28" s="289">
        <v>3.4173</v>
      </c>
      <c r="QS28" s="289">
        <v>3.4538000000000002</v>
      </c>
      <c r="QT28" s="289">
        <v>3.9413</v>
      </c>
      <c r="QU28" s="185">
        <v>22</v>
      </c>
      <c r="QV28" s="1"/>
      <c r="QW28" s="1"/>
      <c r="QX28" s="185">
        <v>22</v>
      </c>
      <c r="QY28" s="289">
        <v>3.1051000000000002</v>
      </c>
      <c r="QZ28" s="289">
        <v>3.0943000000000001</v>
      </c>
      <c r="RA28" s="289">
        <v>3.1168999999999998</v>
      </c>
      <c r="RB28" s="289">
        <v>3.0935000000000001</v>
      </c>
      <c r="RC28" s="289">
        <v>3.1109</v>
      </c>
      <c r="RD28" s="289">
        <v>3.1168999999999998</v>
      </c>
      <c r="RE28" s="289">
        <v>3.1240999999999999</v>
      </c>
      <c r="RF28" s="289">
        <v>3.1131000000000002</v>
      </c>
      <c r="RG28" s="289">
        <v>3.1073</v>
      </c>
      <c r="RH28" s="289">
        <v>3.1114999999999999</v>
      </c>
      <c r="RI28" s="289">
        <v>3.1114000000000002</v>
      </c>
      <c r="RJ28" s="289">
        <v>3.1114000000000002</v>
      </c>
      <c r="RK28" s="185">
        <v>22</v>
      </c>
      <c r="RL28" s="1"/>
      <c r="RM28" s="1"/>
      <c r="RN28" s="185">
        <v>22</v>
      </c>
      <c r="RO28" s="289">
        <v>3.0630999999999999</v>
      </c>
      <c r="RP28" s="289">
        <v>3.0621</v>
      </c>
      <c r="RQ28" s="289">
        <v>3.0737999999999999</v>
      </c>
      <c r="RR28" s="289">
        <v>3.0636000000000001</v>
      </c>
      <c r="RS28" s="289">
        <v>3.105</v>
      </c>
      <c r="RT28" s="289">
        <v>3.1202999999999999</v>
      </c>
      <c r="RU28" s="289">
        <v>3.1166</v>
      </c>
      <c r="RV28" s="289">
        <v>3.0813999999999999</v>
      </c>
      <c r="RW28" s="289">
        <v>3.0863999999999998</v>
      </c>
      <c r="RX28" s="289">
        <v>3.1355</v>
      </c>
      <c r="RY28" s="289">
        <v>3.1150000000000002</v>
      </c>
      <c r="RZ28" s="289">
        <v>3.1204999999999998</v>
      </c>
      <c r="SA28" s="185">
        <v>22</v>
      </c>
      <c r="SB28" s="1"/>
      <c r="SC28" s="1"/>
      <c r="SD28" s="185">
        <v>22</v>
      </c>
      <c r="SE28" s="289">
        <v>2.9538000000000002</v>
      </c>
      <c r="SF28" s="289">
        <v>2.9670000000000001</v>
      </c>
      <c r="SG28" s="289">
        <v>2.9782000000000002</v>
      </c>
      <c r="SH28" s="289">
        <v>2.9897999999999998</v>
      </c>
      <c r="SI28" s="289">
        <v>3.0026000000000002</v>
      </c>
      <c r="SJ28" s="289">
        <v>3.0150000000000001</v>
      </c>
      <c r="SK28" s="289">
        <v>3.0261999999999998</v>
      </c>
      <c r="SL28" s="289">
        <v>3.0394000000000001</v>
      </c>
      <c r="SM28" s="289">
        <v>3.0514000000000001</v>
      </c>
      <c r="SN28" s="289">
        <v>3.0646</v>
      </c>
      <c r="SO28" s="289">
        <v>3.0661299999999998</v>
      </c>
      <c r="SP28" s="289">
        <v>3.0747499999999999</v>
      </c>
      <c r="SQ28" s="185">
        <v>22</v>
      </c>
      <c r="SR28" s="1"/>
      <c r="SS28" s="1"/>
      <c r="ST28" s="185">
        <v>22</v>
      </c>
      <c r="SU28" s="289">
        <v>2.6619999999999999</v>
      </c>
      <c r="SV28" s="289">
        <v>2.6949999999999998</v>
      </c>
      <c r="SW28" s="289">
        <v>2.7229999999999999</v>
      </c>
      <c r="SX28" s="289">
        <v>2.7530000000000001</v>
      </c>
      <c r="SY28" s="289">
        <v>2.782</v>
      </c>
      <c r="SZ28" s="289">
        <v>2.8106</v>
      </c>
      <c r="TA28" s="289">
        <v>2.8338000000000001</v>
      </c>
      <c r="TB28" s="289">
        <v>2.8593999999999999</v>
      </c>
      <c r="TC28" s="289">
        <v>2.8841999999999999</v>
      </c>
      <c r="TD28" s="289">
        <v>2.9066000000000001</v>
      </c>
      <c r="TE28" s="289">
        <v>2.9302000000000001</v>
      </c>
      <c r="TF28" s="289">
        <v>2.9422000000000001</v>
      </c>
      <c r="TG28" s="185">
        <v>22</v>
      </c>
      <c r="TH28" s="1"/>
      <c r="TI28" s="1"/>
      <c r="TJ28" s="185">
        <v>22</v>
      </c>
      <c r="TK28" s="289">
        <v>2.298</v>
      </c>
      <c r="TL28" s="289">
        <v>2.33</v>
      </c>
      <c r="TM28" s="289">
        <v>2.3580000000000001</v>
      </c>
      <c r="TN28" s="289">
        <v>2.3889999999999998</v>
      </c>
      <c r="TO28" s="289">
        <v>2.4169999999999998</v>
      </c>
      <c r="TP28" s="289">
        <v>2.4500000000000002</v>
      </c>
      <c r="TQ28" s="289">
        <v>2.48</v>
      </c>
      <c r="TR28" s="289">
        <v>2.5089999999999999</v>
      </c>
      <c r="TS28" s="289">
        <v>2.5419999999999998</v>
      </c>
      <c r="TT28" s="289">
        <v>2.5710000000000002</v>
      </c>
      <c r="TU28" s="289">
        <v>2.6030000000000002</v>
      </c>
      <c r="TV28" s="289">
        <v>2.633</v>
      </c>
      <c r="TW28" s="185">
        <v>22</v>
      </c>
    </row>
    <row r="29" spans="2:543" ht="20.100000000000001" customHeight="1">
      <c r="B29" s="64">
        <v>23</v>
      </c>
      <c r="C29" s="289">
        <v>20.450700000000001</v>
      </c>
      <c r="D29" s="289">
        <v>20.282499999999999</v>
      </c>
      <c r="E29" s="289">
        <v>20.4145</v>
      </c>
      <c r="F29" s="289">
        <v>20.180199999999999</v>
      </c>
      <c r="G29" s="289">
        <v>19.9267</v>
      </c>
      <c r="H29" s="289">
        <v>20.196300000000001</v>
      </c>
      <c r="I29" s="289">
        <v>20.656199999999998</v>
      </c>
      <c r="J29" s="289">
        <v>20.195699999999999</v>
      </c>
      <c r="K29" s="289">
        <v>20.002700000000001</v>
      </c>
      <c r="L29" s="289">
        <v>20.044799999999999</v>
      </c>
      <c r="M29" s="289">
        <v>19.492999999999999</v>
      </c>
      <c r="N29" s="289">
        <v>19.693200000000001</v>
      </c>
      <c r="O29" s="64">
        <v>23</v>
      </c>
      <c r="R29" s="64">
        <v>23</v>
      </c>
      <c r="S29" s="289">
        <v>19.7393</v>
      </c>
      <c r="T29" s="289">
        <v>20.4222</v>
      </c>
      <c r="U29" s="289">
        <v>20.482299999999999</v>
      </c>
      <c r="V29" s="289">
        <v>19.873999999999999</v>
      </c>
      <c r="W29" s="289">
        <v>19.881</v>
      </c>
      <c r="X29" s="289">
        <v>20.6</v>
      </c>
      <c r="Y29" s="289">
        <v>20.1907</v>
      </c>
      <c r="Z29" s="289">
        <v>20.1175</v>
      </c>
      <c r="AA29" s="289">
        <v>20.143799999999999</v>
      </c>
      <c r="AB29" s="289">
        <v>20.264299999999999</v>
      </c>
      <c r="AC29" s="289">
        <v>20.828299999999999</v>
      </c>
      <c r="AD29" s="289">
        <v>20.782299999999999</v>
      </c>
      <c r="AE29" s="64">
        <v>23</v>
      </c>
      <c r="AH29" s="185">
        <v>23</v>
      </c>
      <c r="AI29" s="289">
        <v>18.700700000000001</v>
      </c>
      <c r="AJ29" s="289">
        <v>18.799199999999999</v>
      </c>
      <c r="AK29" s="289">
        <v>24.0868</v>
      </c>
      <c r="AL29" s="289">
        <v>24.424800000000001</v>
      </c>
      <c r="AM29" s="289">
        <v>22.96</v>
      </c>
      <c r="AN29" s="289">
        <v>22.63</v>
      </c>
      <c r="AO29" s="289">
        <v>22.3597</v>
      </c>
      <c r="AP29" s="289">
        <v>22.175999999999998</v>
      </c>
      <c r="AQ29" s="289">
        <v>21.504999999999999</v>
      </c>
      <c r="AR29" s="289">
        <v>21.064</v>
      </c>
      <c r="AS29" s="289">
        <v>20.1858</v>
      </c>
      <c r="AT29" s="289">
        <v>20.090499999999999</v>
      </c>
      <c r="AU29" s="185">
        <v>23</v>
      </c>
      <c r="AX29" s="185">
        <v>23</v>
      </c>
      <c r="AY29" s="289">
        <v>19.190200000000001</v>
      </c>
      <c r="AZ29" s="289">
        <v>19.2652</v>
      </c>
      <c r="BA29" s="289">
        <v>18.869399999999999</v>
      </c>
      <c r="BB29" s="289">
        <v>18.847999999999999</v>
      </c>
      <c r="BC29" s="289">
        <v>19.030899999999999</v>
      </c>
      <c r="BD29" s="289">
        <v>18.980399999999999</v>
      </c>
      <c r="BE29" s="289">
        <v>19.0123</v>
      </c>
      <c r="BF29" s="289">
        <v>19.6798</v>
      </c>
      <c r="BG29" s="289">
        <v>19.398099999999999</v>
      </c>
      <c r="BH29" s="289">
        <v>19.142199999999999</v>
      </c>
      <c r="BI29" s="289">
        <v>19.413799999999998</v>
      </c>
      <c r="BJ29" s="289">
        <v>18.963999999999999</v>
      </c>
      <c r="BK29" s="185">
        <v>23</v>
      </c>
      <c r="BN29" s="185">
        <v>23</v>
      </c>
      <c r="BO29" s="289">
        <v>18.581299999999999</v>
      </c>
      <c r="BP29" s="289">
        <v>18.651800000000001</v>
      </c>
      <c r="BQ29" s="290">
        <v>18.600100000000001</v>
      </c>
      <c r="BR29" s="289">
        <v>18.2819</v>
      </c>
      <c r="BS29" s="289">
        <v>19.9054</v>
      </c>
      <c r="BT29" s="289">
        <v>20.3689</v>
      </c>
      <c r="BU29" s="289">
        <v>19.079000000000001</v>
      </c>
      <c r="BV29" s="289">
        <v>18.878399999999999</v>
      </c>
      <c r="BW29" s="289">
        <v>18.829599999999999</v>
      </c>
      <c r="BX29" s="289">
        <v>19.218299999999999</v>
      </c>
      <c r="BY29" s="289">
        <v>20.202300000000001</v>
      </c>
      <c r="BZ29" s="289">
        <v>19.908200000000001</v>
      </c>
      <c r="CA29" s="185">
        <v>23</v>
      </c>
      <c r="CD29" s="185">
        <v>23</v>
      </c>
      <c r="CE29" s="289">
        <v>21.904399999999999</v>
      </c>
      <c r="CF29" s="289">
        <v>20.448899999999998</v>
      </c>
      <c r="CG29" s="289">
        <v>19.106999999999999</v>
      </c>
      <c r="CH29" s="289">
        <v>18.8187</v>
      </c>
      <c r="CI29" s="289">
        <v>18.6859</v>
      </c>
      <c r="CJ29" s="289">
        <v>18.157</v>
      </c>
      <c r="CK29" s="289">
        <v>17.526</v>
      </c>
      <c r="CL29" s="289">
        <v>17.650099999999998</v>
      </c>
      <c r="CM29" s="289">
        <v>17.854500000000002</v>
      </c>
      <c r="CN29" s="289">
        <v>18.8248</v>
      </c>
      <c r="CO29" s="289">
        <v>18.824200000000001</v>
      </c>
      <c r="CP29" s="289">
        <v>19.3962</v>
      </c>
      <c r="CQ29" s="185">
        <v>23</v>
      </c>
      <c r="CT29" s="185">
        <v>23</v>
      </c>
      <c r="CU29" s="289">
        <v>18.508400000000002</v>
      </c>
      <c r="CV29" s="289">
        <v>18.276199999999999</v>
      </c>
      <c r="CW29" s="289">
        <v>17.299499999999998</v>
      </c>
      <c r="CX29" s="289">
        <v>17.420200000000001</v>
      </c>
      <c r="CY29" s="289">
        <v>18.546500000000002</v>
      </c>
      <c r="CZ29" s="289">
        <v>18.644400000000001</v>
      </c>
      <c r="DA29" s="289">
        <v>18.6022</v>
      </c>
      <c r="DB29" s="289">
        <v>18.267399999999999</v>
      </c>
      <c r="DC29" s="289">
        <v>19.839400000000001</v>
      </c>
      <c r="DD29" s="289">
        <v>18.5945</v>
      </c>
      <c r="DE29" s="289">
        <v>20.4193</v>
      </c>
      <c r="DF29" s="289">
        <v>20.492100000000001</v>
      </c>
      <c r="DG29" s="185">
        <v>23</v>
      </c>
      <c r="DJ29" s="185">
        <v>23</v>
      </c>
      <c r="DK29" s="289">
        <v>14.6983</v>
      </c>
      <c r="DL29" s="289">
        <v>14.958299999999999</v>
      </c>
      <c r="DM29" s="289">
        <v>15.295999999999999</v>
      </c>
      <c r="DN29" s="289">
        <v>15.383699999999999</v>
      </c>
      <c r="DO29" s="289">
        <v>15.2326</v>
      </c>
      <c r="DP29" s="289">
        <v>15.327400000000001</v>
      </c>
      <c r="DQ29" s="289">
        <v>15.972799999999999</v>
      </c>
      <c r="DR29" s="289">
        <v>16.4908</v>
      </c>
      <c r="DS29" s="289">
        <v>16.686499999999999</v>
      </c>
      <c r="DT29" s="289">
        <v>16.66</v>
      </c>
      <c r="DU29" s="289">
        <v>16.5748</v>
      </c>
      <c r="DV29" s="289">
        <v>17.103400000000001</v>
      </c>
      <c r="DW29" s="185">
        <v>23</v>
      </c>
      <c r="DZ29" s="185">
        <v>23</v>
      </c>
      <c r="EA29" s="289">
        <v>13.298400000000001</v>
      </c>
      <c r="EB29" s="289">
        <v>13.2913</v>
      </c>
      <c r="EC29" s="289">
        <v>13.270300000000001</v>
      </c>
      <c r="ED29" s="289">
        <v>13.0413</v>
      </c>
      <c r="EE29" s="289">
        <v>12.9132</v>
      </c>
      <c r="EF29" s="289">
        <v>12.9885</v>
      </c>
      <c r="EG29" s="289">
        <v>12.975099999999999</v>
      </c>
      <c r="EH29" s="289">
        <v>13.096299999999999</v>
      </c>
      <c r="EI29" s="289">
        <v>13.2369</v>
      </c>
      <c r="EJ29" s="289">
        <v>13.498900000000001</v>
      </c>
      <c r="EK29" s="289">
        <v>13.611499999999999</v>
      </c>
      <c r="EL29" s="289">
        <v>14.6378</v>
      </c>
      <c r="EM29" s="185">
        <v>23</v>
      </c>
      <c r="EP29" s="185">
        <v>23</v>
      </c>
      <c r="EQ29" s="289">
        <v>12.7098</v>
      </c>
      <c r="ER29" s="289">
        <v>12.7699</v>
      </c>
      <c r="ES29" s="289">
        <v>12.3841</v>
      </c>
      <c r="ET29" s="289">
        <v>12.2254</v>
      </c>
      <c r="EU29" s="289">
        <v>12.3414</v>
      </c>
      <c r="EV29" s="289">
        <v>13.4015</v>
      </c>
      <c r="EW29" s="289">
        <v>12.549899999999999</v>
      </c>
      <c r="EX29" s="289">
        <v>13.1424</v>
      </c>
      <c r="EY29" s="289">
        <v>12.7179</v>
      </c>
      <c r="EZ29" s="289">
        <v>12.9314</v>
      </c>
      <c r="FA29" s="289">
        <v>13.0617</v>
      </c>
      <c r="FB29" s="289">
        <v>12.973000000000001</v>
      </c>
      <c r="FC29" s="185">
        <v>23</v>
      </c>
      <c r="FF29" s="185">
        <v>23</v>
      </c>
      <c r="FG29" s="289">
        <v>13.2516</v>
      </c>
      <c r="FH29" s="289">
        <v>12.7408</v>
      </c>
      <c r="FI29" s="289">
        <v>12.683299999999999</v>
      </c>
      <c r="FJ29" s="289">
        <v>13.2288</v>
      </c>
      <c r="FK29" s="289">
        <v>13.7935</v>
      </c>
      <c r="FL29" s="289">
        <v>13.7668</v>
      </c>
      <c r="FM29" s="289">
        <v>13.1921</v>
      </c>
      <c r="FN29" s="289">
        <v>13.0854</v>
      </c>
      <c r="FO29" s="289">
        <v>12.904199999999999</v>
      </c>
      <c r="FP29" s="289">
        <v>12.8551</v>
      </c>
      <c r="FQ29" s="289">
        <v>13.0395</v>
      </c>
      <c r="FR29" s="289">
        <v>12.777699999999999</v>
      </c>
      <c r="FS29" s="185">
        <v>23</v>
      </c>
      <c r="FV29" s="185">
        <v>23</v>
      </c>
      <c r="FW29" s="289">
        <v>12.090299999999999</v>
      </c>
      <c r="FX29" s="289">
        <v>12.0558</v>
      </c>
      <c r="FY29" s="289">
        <v>12.061500000000001</v>
      </c>
      <c r="FZ29" s="289">
        <v>11.692500000000001</v>
      </c>
      <c r="GA29" s="289">
        <v>11.658799999999999</v>
      </c>
      <c r="GB29" s="289">
        <v>11.813000000000001</v>
      </c>
      <c r="GC29" s="289">
        <v>11.6174</v>
      </c>
      <c r="GD29" s="289">
        <v>12.2386</v>
      </c>
      <c r="GE29" s="289">
        <v>13.404500000000001</v>
      </c>
      <c r="GF29" s="289">
        <v>13.662800000000001</v>
      </c>
      <c r="GG29" s="289">
        <v>13.7033</v>
      </c>
      <c r="GH29" s="289">
        <v>13.852600000000001</v>
      </c>
      <c r="GI29" s="185">
        <v>23</v>
      </c>
      <c r="GL29" s="185">
        <v>23</v>
      </c>
      <c r="GM29" s="289">
        <v>12.772</v>
      </c>
      <c r="GN29" s="289">
        <v>12.8337</v>
      </c>
      <c r="GO29" s="289">
        <v>12.579599999999999</v>
      </c>
      <c r="GP29" s="289">
        <v>12.1896</v>
      </c>
      <c r="GQ29" s="289">
        <v>13.1412</v>
      </c>
      <c r="GR29" s="289">
        <v>12.4604</v>
      </c>
      <c r="GS29" s="289">
        <v>12.7798</v>
      </c>
      <c r="GT29" s="289">
        <v>12.7226</v>
      </c>
      <c r="GU29" s="289">
        <v>12.759399999999999</v>
      </c>
      <c r="GV29" s="289">
        <v>12.3613</v>
      </c>
      <c r="GW29" s="289">
        <v>12.2996</v>
      </c>
      <c r="GX29" s="289">
        <v>12.372</v>
      </c>
      <c r="GY29" s="185">
        <v>23</v>
      </c>
      <c r="HB29" s="185">
        <v>23</v>
      </c>
      <c r="HC29" s="289">
        <v>13.9145</v>
      </c>
      <c r="HD29" s="289">
        <v>14.5505</v>
      </c>
      <c r="HE29" s="289">
        <v>14.08</v>
      </c>
      <c r="HF29" s="289">
        <v>13.175000000000001</v>
      </c>
      <c r="HG29" s="289">
        <v>13.103</v>
      </c>
      <c r="HH29" s="289">
        <v>13.3248</v>
      </c>
      <c r="HI29" s="289">
        <v>13.2879</v>
      </c>
      <c r="HJ29" s="289">
        <v>12.8733</v>
      </c>
      <c r="HK29" s="289">
        <v>13.353</v>
      </c>
      <c r="HL29" s="289">
        <v>12.919600000000001</v>
      </c>
      <c r="HM29" s="289">
        <v>13.0502</v>
      </c>
      <c r="HN29" s="289">
        <v>12.812099999999999</v>
      </c>
      <c r="HO29" s="185">
        <v>23</v>
      </c>
      <c r="HP29" s="1"/>
      <c r="HQ29" s="1"/>
      <c r="HR29" s="185">
        <v>23</v>
      </c>
      <c r="HS29" s="289">
        <v>10.981299999999999</v>
      </c>
      <c r="HT29" s="289">
        <v>10.798</v>
      </c>
      <c r="HU29" s="289">
        <v>10.704000000000001</v>
      </c>
      <c r="HV29" s="289">
        <v>10.5223</v>
      </c>
      <c r="HW29" s="289">
        <v>10.3644</v>
      </c>
      <c r="HX29" s="289">
        <v>10.3156</v>
      </c>
      <c r="HY29" s="289">
        <v>10.1708</v>
      </c>
      <c r="HZ29" s="289">
        <v>10.1106</v>
      </c>
      <c r="IA29" s="289">
        <v>10.613300000000001</v>
      </c>
      <c r="IB29" s="289">
        <v>13.1233</v>
      </c>
      <c r="IC29" s="289">
        <v>13.575799999999999</v>
      </c>
      <c r="ID29" s="289">
        <v>13.1197</v>
      </c>
      <c r="IE29" s="185">
        <v>23</v>
      </c>
      <c r="IF29" s="1"/>
      <c r="IG29" s="1"/>
      <c r="IH29" s="185">
        <v>23</v>
      </c>
      <c r="II29" s="289">
        <v>10.882400000000001</v>
      </c>
      <c r="IJ29" s="289">
        <v>11.0023</v>
      </c>
      <c r="IK29" s="289">
        <v>11.079599999999999</v>
      </c>
      <c r="IL29" s="289">
        <v>11.004799999999999</v>
      </c>
      <c r="IM29" s="289">
        <v>10.7963</v>
      </c>
      <c r="IN29" s="289">
        <v>10.826599999999999</v>
      </c>
      <c r="IO29" s="289">
        <v>10.720700000000001</v>
      </c>
      <c r="IP29" s="289">
        <v>11.1213</v>
      </c>
      <c r="IQ29" s="289">
        <v>10.9687</v>
      </c>
      <c r="IR29" s="289">
        <v>10.797599999999999</v>
      </c>
      <c r="IS29" s="289">
        <v>11.0037</v>
      </c>
      <c r="IT29" s="289">
        <v>10.8363</v>
      </c>
      <c r="IU29" s="185">
        <v>23</v>
      </c>
      <c r="IV29" s="1"/>
      <c r="IW29" s="1"/>
      <c r="IX29" s="185">
        <v>23</v>
      </c>
      <c r="IY29" s="289">
        <v>10.5589</v>
      </c>
      <c r="IZ29" s="289">
        <v>10.438800000000001</v>
      </c>
      <c r="JA29" s="289">
        <v>10.7568</v>
      </c>
      <c r="JB29" s="289">
        <v>11.030200000000001</v>
      </c>
      <c r="JC29" s="289">
        <v>11.1915</v>
      </c>
      <c r="JD29" s="289">
        <v>11.444100000000001</v>
      </c>
      <c r="JE29" s="289">
        <v>10.870799999999999</v>
      </c>
      <c r="JF29" s="289">
        <v>10.803800000000001</v>
      </c>
      <c r="JG29" s="289">
        <v>10.9953</v>
      </c>
      <c r="JH29" s="289">
        <v>10.805999999999999</v>
      </c>
      <c r="JI29" s="289">
        <v>11.0021</v>
      </c>
      <c r="JJ29" s="289">
        <v>10.841100000000001</v>
      </c>
      <c r="JK29" s="185">
        <v>23</v>
      </c>
      <c r="JL29" s="1"/>
      <c r="JM29" s="1"/>
      <c r="JN29" s="185">
        <v>23</v>
      </c>
      <c r="JO29" s="289">
        <v>11.2515</v>
      </c>
      <c r="JP29" s="289">
        <v>11.068</v>
      </c>
      <c r="JQ29" s="289">
        <v>11.1759</v>
      </c>
      <c r="JR29" s="289">
        <v>11.041</v>
      </c>
      <c r="JS29" s="289">
        <v>10.9283</v>
      </c>
      <c r="JT29" s="289">
        <v>10.7982</v>
      </c>
      <c r="JU29" s="289">
        <v>10.594200000000001</v>
      </c>
      <c r="JV29" s="289">
        <v>10.7753</v>
      </c>
      <c r="JW29" s="289">
        <v>10.7798</v>
      </c>
      <c r="JX29" s="289">
        <v>10.8393</v>
      </c>
      <c r="JY29" s="289">
        <v>10.6425</v>
      </c>
      <c r="JZ29" s="289">
        <v>10.6457</v>
      </c>
      <c r="KA29" s="185">
        <v>23</v>
      </c>
      <c r="KB29" s="1"/>
      <c r="KC29" s="1"/>
      <c r="KD29" s="185">
        <v>23</v>
      </c>
      <c r="KE29" s="289">
        <v>10.9521</v>
      </c>
      <c r="KF29" s="289">
        <v>10.9688</v>
      </c>
      <c r="KG29" s="289">
        <v>10.9863</v>
      </c>
      <c r="KH29" s="289">
        <v>11.3119</v>
      </c>
      <c r="KI29" s="289">
        <v>11.573499999999999</v>
      </c>
      <c r="KJ29" s="289">
        <v>11.314299999999999</v>
      </c>
      <c r="KK29" s="289">
        <v>11.46</v>
      </c>
      <c r="KL29" s="289">
        <v>11.355</v>
      </c>
      <c r="KM29" s="289">
        <v>11.429399999999999</v>
      </c>
      <c r="KN29" s="289">
        <v>11.472200000000001</v>
      </c>
      <c r="KO29" s="289">
        <v>11.3637</v>
      </c>
      <c r="KP29" s="289">
        <v>11.1873</v>
      </c>
      <c r="KQ29" s="185">
        <v>23</v>
      </c>
      <c r="KR29" s="1"/>
      <c r="KS29" s="1"/>
      <c r="KT29" s="185">
        <v>23</v>
      </c>
      <c r="KU29" s="289">
        <v>10.6866</v>
      </c>
      <c r="KV29" s="289">
        <v>10.899800000000001</v>
      </c>
      <c r="KW29" s="289">
        <v>10.863300000000001</v>
      </c>
      <c r="KX29" s="289">
        <v>10.554500000000001</v>
      </c>
      <c r="KY29" s="289">
        <v>10.253</v>
      </c>
      <c r="KZ29" s="289">
        <v>10.485799999999999</v>
      </c>
      <c r="LA29" s="289">
        <v>10.410500000000001</v>
      </c>
      <c r="LB29" s="289">
        <v>10.8507</v>
      </c>
      <c r="LC29" s="289">
        <v>10.8955</v>
      </c>
      <c r="LD29" s="289">
        <v>11.139699999999999</v>
      </c>
      <c r="LE29" s="289">
        <v>11.2094</v>
      </c>
      <c r="LF29" s="289">
        <v>11.2295</v>
      </c>
      <c r="LG29" s="185">
        <v>23</v>
      </c>
      <c r="LH29" s="1"/>
      <c r="LI29" s="1"/>
      <c r="LJ29" s="185">
        <v>23</v>
      </c>
      <c r="LK29" s="289">
        <v>9.1219000000000001</v>
      </c>
      <c r="LL29" s="289">
        <v>9.0756999999999994</v>
      </c>
      <c r="LM29" s="289">
        <v>9.0707000000000004</v>
      </c>
      <c r="LN29" s="289">
        <v>9.2247000000000003</v>
      </c>
      <c r="LO29" s="289">
        <v>9.5132999999999992</v>
      </c>
      <c r="LP29" s="289">
        <v>9.7675999999999998</v>
      </c>
      <c r="LQ29" s="289">
        <v>9.7052999999999994</v>
      </c>
      <c r="LR29" s="289">
        <v>9.7853999999999992</v>
      </c>
      <c r="LS29" s="289">
        <v>10.062799999999999</v>
      </c>
      <c r="LT29" s="289">
        <v>9.9382999999999999</v>
      </c>
      <c r="LU29" s="289">
        <v>10.087400000000001</v>
      </c>
      <c r="LV29" s="289">
        <v>10.192</v>
      </c>
      <c r="LW29" s="185">
        <v>23</v>
      </c>
      <c r="LX29" s="1"/>
      <c r="LY29" s="1"/>
      <c r="LZ29" s="185">
        <v>23</v>
      </c>
      <c r="MA29" s="289">
        <v>9.7952999999999992</v>
      </c>
      <c r="MB29" s="289">
        <v>9.7089999999999996</v>
      </c>
      <c r="MC29" s="289">
        <v>9.5188000000000006</v>
      </c>
      <c r="MD29" s="289">
        <v>9.2748000000000008</v>
      </c>
      <c r="ME29" s="289">
        <v>8.9428000000000001</v>
      </c>
      <c r="MF29" s="289">
        <v>9.0570000000000004</v>
      </c>
      <c r="MG29" s="289">
        <v>9.1999999999999993</v>
      </c>
      <c r="MH29" s="289">
        <v>9.1227</v>
      </c>
      <c r="MI29" s="289">
        <v>9.4802</v>
      </c>
      <c r="MJ29" s="289">
        <v>9.1971000000000007</v>
      </c>
      <c r="MK29" s="289">
        <v>9.1409000000000002</v>
      </c>
      <c r="ML29" s="289">
        <v>9.1682000000000006</v>
      </c>
      <c r="MM29" s="185">
        <v>23</v>
      </c>
      <c r="MN29" s="1"/>
      <c r="MO29" s="1"/>
      <c r="MP29" s="185">
        <v>23</v>
      </c>
      <c r="MQ29" s="289">
        <v>9.4038000000000004</v>
      </c>
      <c r="MR29" s="289">
        <v>9.4108000000000001</v>
      </c>
      <c r="MS29" s="289">
        <v>9.3185000000000002</v>
      </c>
      <c r="MT29" s="289">
        <v>9.4388000000000005</v>
      </c>
      <c r="MU29" s="289">
        <v>9.6150000000000002</v>
      </c>
      <c r="MV29" s="289">
        <v>9.8567999999999998</v>
      </c>
      <c r="MW29" s="289">
        <v>9.3607999999999993</v>
      </c>
      <c r="MX29" s="289">
        <v>9.2562999999999995</v>
      </c>
      <c r="MY29" s="289">
        <v>9.4346999999999994</v>
      </c>
      <c r="MZ29" s="289">
        <v>9.5333000000000006</v>
      </c>
      <c r="NA29" s="289">
        <v>9.4098000000000006</v>
      </c>
      <c r="NB29" s="289">
        <v>9.5726999999999993</v>
      </c>
      <c r="NC29" s="185">
        <v>23</v>
      </c>
      <c r="ND29" s="1"/>
      <c r="NE29" s="1"/>
      <c r="NF29" s="185">
        <v>23</v>
      </c>
      <c r="NG29" s="289">
        <v>10.2874</v>
      </c>
      <c r="NH29" s="289">
        <v>9.9332999999999991</v>
      </c>
      <c r="NI29" s="289">
        <v>9.6675000000000004</v>
      </c>
      <c r="NJ29" s="289">
        <v>9.3643000000000001</v>
      </c>
      <c r="NK29" s="289">
        <v>9.3241999999999994</v>
      </c>
      <c r="NL29" s="289">
        <v>9.3780999999999999</v>
      </c>
      <c r="NM29" s="289">
        <v>9.3347999999999995</v>
      </c>
      <c r="NN29" s="289">
        <v>9.3744999999999994</v>
      </c>
      <c r="NO29" s="289">
        <v>9.3043999999999993</v>
      </c>
      <c r="NP29" s="289">
        <v>9.6481999999999992</v>
      </c>
      <c r="NQ29" s="289">
        <v>9.3287999999999993</v>
      </c>
      <c r="NR29" s="289">
        <v>9.3141999999999996</v>
      </c>
      <c r="NS29" s="185">
        <v>23</v>
      </c>
      <c r="NT29" s="1"/>
      <c r="NU29" s="1"/>
      <c r="NV29" s="185">
        <v>23</v>
      </c>
      <c r="NW29" s="289">
        <v>8.2682000000000002</v>
      </c>
      <c r="NX29" s="289">
        <v>8.5449000000000002</v>
      </c>
      <c r="NY29" s="289">
        <v>8.5638000000000005</v>
      </c>
      <c r="NZ29" s="289">
        <v>8.4550000000000001</v>
      </c>
      <c r="OA29" s="289">
        <v>8.6222999999999992</v>
      </c>
      <c r="OB29" s="289">
        <v>8.8928999999999991</v>
      </c>
      <c r="OC29" s="289">
        <v>8.8033000000000001</v>
      </c>
      <c r="OD29" s="289">
        <v>9.3133999999999997</v>
      </c>
      <c r="OE29" s="289">
        <v>10.305</v>
      </c>
      <c r="OF29" s="289">
        <v>10.033799999999999</v>
      </c>
      <c r="OG29" s="289">
        <v>9.9305000000000003</v>
      </c>
      <c r="OH29" s="289">
        <v>9.7568000000000001</v>
      </c>
      <c r="OI29" s="185">
        <v>23</v>
      </c>
      <c r="OJ29" s="1"/>
      <c r="OK29" s="1"/>
      <c r="OL29" s="185">
        <v>23</v>
      </c>
      <c r="OM29" s="289">
        <v>7.8033000000000001</v>
      </c>
      <c r="ON29" s="289">
        <v>7.7460000000000004</v>
      </c>
      <c r="OO29" s="289">
        <v>7.9233000000000002</v>
      </c>
      <c r="OP29" s="289">
        <v>7.8773</v>
      </c>
      <c r="OQ29" s="289">
        <v>7.8654999999999999</v>
      </c>
      <c r="OR29" s="289">
        <v>7.9168000000000003</v>
      </c>
      <c r="OS29" s="289">
        <v>7.8868</v>
      </c>
      <c r="OT29" s="289">
        <v>7.7596999999999996</v>
      </c>
      <c r="OU29" s="289">
        <v>7.7557999999999998</v>
      </c>
      <c r="OV29" s="289">
        <v>7.7195999999999998</v>
      </c>
      <c r="OW29" s="289">
        <v>8.2882999999999996</v>
      </c>
      <c r="OX29" s="289">
        <v>8.1318000000000001</v>
      </c>
      <c r="OY29" s="185">
        <v>23</v>
      </c>
      <c r="OZ29" s="1"/>
      <c r="PA29" s="1"/>
      <c r="PB29" s="185">
        <v>23</v>
      </c>
      <c r="PC29" s="289">
        <v>7.4295999999999998</v>
      </c>
      <c r="PD29" s="289">
        <v>7.5381</v>
      </c>
      <c r="PE29" s="289">
        <v>7.5431999999999997</v>
      </c>
      <c r="PF29" s="289">
        <v>7.4053000000000004</v>
      </c>
      <c r="PG29" s="289">
        <v>7.3940000000000001</v>
      </c>
      <c r="PH29" s="289">
        <v>7.5506000000000002</v>
      </c>
      <c r="PI29" s="289">
        <v>7.6167999999999996</v>
      </c>
      <c r="PJ29" s="289">
        <v>7.4858000000000002</v>
      </c>
      <c r="PK29" s="289">
        <v>7.5052000000000003</v>
      </c>
      <c r="PL29" s="289">
        <v>7.7381000000000002</v>
      </c>
      <c r="PM29" s="289">
        <v>7.8959999999999999</v>
      </c>
      <c r="PN29" s="289">
        <v>7.8673999999999999</v>
      </c>
      <c r="PO29" s="185">
        <v>23</v>
      </c>
      <c r="PP29" s="1"/>
      <c r="PQ29" s="1"/>
      <c r="PR29" s="185">
        <v>23</v>
      </c>
      <c r="PS29" s="289">
        <v>5.6074999999999999</v>
      </c>
      <c r="PT29" s="289">
        <v>5.47</v>
      </c>
      <c r="PU29" s="289">
        <v>7.0875000000000004</v>
      </c>
      <c r="PV29" s="289">
        <v>6.0483000000000002</v>
      </c>
      <c r="PW29" s="289">
        <v>5.9175000000000004</v>
      </c>
      <c r="PX29" s="289">
        <v>6.2866999999999997</v>
      </c>
      <c r="PY29" s="289">
        <v>6.1582999999999997</v>
      </c>
      <c r="PZ29" s="289">
        <v>6.2278000000000002</v>
      </c>
      <c r="QA29" s="289">
        <v>6.3128000000000002</v>
      </c>
      <c r="QB29" s="289">
        <v>6.6908000000000003</v>
      </c>
      <c r="QC29" s="289">
        <v>7.7066999999999997</v>
      </c>
      <c r="QD29" s="289">
        <v>7.5857999999999999</v>
      </c>
      <c r="QE29" s="185">
        <v>23</v>
      </c>
      <c r="QF29" s="1"/>
      <c r="QG29" s="1"/>
      <c r="QH29" s="185">
        <v>23</v>
      </c>
      <c r="QI29" s="289">
        <v>3.1059999999999999</v>
      </c>
      <c r="QJ29" s="289">
        <v>3.1061000000000001</v>
      </c>
      <c r="QK29" s="289">
        <v>3.3248000000000002</v>
      </c>
      <c r="QL29" s="289">
        <v>3.3694000000000002</v>
      </c>
      <c r="QM29" s="289">
        <v>3.3220000000000001</v>
      </c>
      <c r="QN29" s="289">
        <v>3.3742999999999999</v>
      </c>
      <c r="QO29" s="289">
        <v>3.4056000000000002</v>
      </c>
      <c r="QP29" s="289">
        <v>3.3593000000000002</v>
      </c>
      <c r="QQ29" s="289">
        <v>3.403</v>
      </c>
      <c r="QR29" s="289">
        <v>3.4173</v>
      </c>
      <c r="QS29" s="289">
        <v>3.4455</v>
      </c>
      <c r="QT29" s="289">
        <v>3.9969999999999999</v>
      </c>
      <c r="QU29" s="185">
        <v>23</v>
      </c>
      <c r="QV29" s="1"/>
      <c r="QW29" s="1"/>
      <c r="QX29" s="185">
        <v>23</v>
      </c>
      <c r="QY29" s="289">
        <v>3.1051000000000002</v>
      </c>
      <c r="QZ29" s="289">
        <v>3.0950000000000002</v>
      </c>
      <c r="RA29" s="289">
        <v>3.1124000000000001</v>
      </c>
      <c r="RB29" s="289">
        <v>3.0933999999999999</v>
      </c>
      <c r="RC29" s="289">
        <v>3.1109</v>
      </c>
      <c r="RD29" s="289">
        <v>3.1139000000000001</v>
      </c>
      <c r="RE29" s="289">
        <v>3.1230000000000002</v>
      </c>
      <c r="RF29" s="289">
        <v>3.1131000000000002</v>
      </c>
      <c r="RG29" s="289">
        <v>3.11</v>
      </c>
      <c r="RH29" s="289">
        <v>3.1120000000000001</v>
      </c>
      <c r="RI29" s="289">
        <v>3.1147999999999998</v>
      </c>
      <c r="RJ29" s="289">
        <v>3.1111</v>
      </c>
      <c r="RK29" s="185">
        <v>23</v>
      </c>
      <c r="RL29" s="1"/>
      <c r="RM29" s="1"/>
      <c r="RN29" s="185">
        <v>23</v>
      </c>
      <c r="RO29" s="289">
        <v>3.0625</v>
      </c>
      <c r="RP29" s="289">
        <v>3.0621</v>
      </c>
      <c r="RQ29" s="289">
        <v>3.0737999999999999</v>
      </c>
      <c r="RR29" s="289">
        <v>3.0670999999999999</v>
      </c>
      <c r="RS29" s="289">
        <v>3.1055999999999999</v>
      </c>
      <c r="RT29" s="289">
        <v>3.1168</v>
      </c>
      <c r="RU29" s="289">
        <v>3.1156000000000001</v>
      </c>
      <c r="RV29" s="289">
        <v>3.0813999999999999</v>
      </c>
      <c r="RW29" s="289">
        <v>3.0884</v>
      </c>
      <c r="RX29" s="289">
        <v>3.1284999999999998</v>
      </c>
      <c r="RY29" s="289">
        <v>3.1150000000000002</v>
      </c>
      <c r="RZ29" s="289">
        <v>3.1179000000000001</v>
      </c>
      <c r="SA29" s="185">
        <v>23</v>
      </c>
      <c r="SB29" s="1"/>
      <c r="SC29" s="1"/>
      <c r="SD29" s="185">
        <v>23</v>
      </c>
      <c r="SE29" s="289">
        <v>2.9550000000000001</v>
      </c>
      <c r="SF29" s="289">
        <v>2.9674</v>
      </c>
      <c r="SG29" s="289">
        <v>2.9786000000000001</v>
      </c>
      <c r="SH29" s="289">
        <v>2.9902000000000002</v>
      </c>
      <c r="SI29" s="289">
        <v>3.0030000000000001</v>
      </c>
      <c r="SJ29" s="289">
        <v>3.0150000000000001</v>
      </c>
      <c r="SK29" s="289">
        <v>3.0266000000000002</v>
      </c>
      <c r="SL29" s="289">
        <v>3.0398000000000001</v>
      </c>
      <c r="SM29" s="289">
        <v>3.0514000000000001</v>
      </c>
      <c r="SN29" s="289">
        <v>3.0649999999999999</v>
      </c>
      <c r="SO29" s="289">
        <v>3.0631900000000001</v>
      </c>
      <c r="SP29" s="289">
        <v>3.0747499999999999</v>
      </c>
      <c r="SQ29" s="185">
        <v>23</v>
      </c>
      <c r="SR29" s="1"/>
      <c r="SS29" s="1"/>
      <c r="ST29" s="185">
        <v>23</v>
      </c>
      <c r="SU29" s="289">
        <v>2.6629999999999998</v>
      </c>
      <c r="SV29" s="289">
        <v>2.6960000000000002</v>
      </c>
      <c r="SW29" s="289">
        <v>2.7240000000000002</v>
      </c>
      <c r="SX29" s="289">
        <v>2.7530000000000001</v>
      </c>
      <c r="SY29" s="289">
        <v>2.7850000000000001</v>
      </c>
      <c r="SZ29" s="289">
        <v>2.8113999999999999</v>
      </c>
      <c r="TA29" s="289">
        <v>2.8338000000000001</v>
      </c>
      <c r="TB29" s="289">
        <v>2.8601999999999999</v>
      </c>
      <c r="TC29" s="289">
        <v>2.8841999999999999</v>
      </c>
      <c r="TD29" s="289">
        <v>2.9074</v>
      </c>
      <c r="TE29" s="289">
        <v>2.9306000000000001</v>
      </c>
      <c r="TF29" s="289">
        <v>2.9422000000000001</v>
      </c>
      <c r="TG29" s="185">
        <v>23</v>
      </c>
      <c r="TH29" s="1"/>
      <c r="TI29" s="1"/>
      <c r="TJ29" s="185">
        <v>23</v>
      </c>
      <c r="TK29" s="289">
        <v>2.298</v>
      </c>
      <c r="TL29" s="289">
        <v>2.331</v>
      </c>
      <c r="TM29" s="289">
        <v>2.359</v>
      </c>
      <c r="TN29" s="289">
        <v>2.3889999999999998</v>
      </c>
      <c r="TO29" s="289">
        <v>2.4180000000000001</v>
      </c>
      <c r="TP29" s="289">
        <v>2.4510000000000001</v>
      </c>
      <c r="TQ29" s="289">
        <v>2.48</v>
      </c>
      <c r="TR29" s="289">
        <v>2.512</v>
      </c>
      <c r="TS29" s="289">
        <v>2.5430000000000001</v>
      </c>
      <c r="TT29" s="289">
        <v>2.5710000000000002</v>
      </c>
      <c r="TU29" s="289">
        <v>2.6040000000000001</v>
      </c>
      <c r="TV29" s="289">
        <v>2.6339999999999999</v>
      </c>
      <c r="TW29" s="185">
        <v>23</v>
      </c>
    </row>
    <row r="30" spans="2:543" ht="20.100000000000001" customHeight="1">
      <c r="B30" s="64">
        <v>24</v>
      </c>
      <c r="C30" s="289">
        <v>20.450700000000001</v>
      </c>
      <c r="D30" s="289">
        <v>20.297699999999999</v>
      </c>
      <c r="E30" s="289">
        <v>20.278199999999998</v>
      </c>
      <c r="F30" s="289">
        <v>20.180199999999999</v>
      </c>
      <c r="G30" s="289">
        <v>19.8657</v>
      </c>
      <c r="H30" s="289">
        <v>20.046500000000002</v>
      </c>
      <c r="I30" s="289">
        <v>20.656199999999998</v>
      </c>
      <c r="J30" s="289">
        <v>20.159800000000001</v>
      </c>
      <c r="K30" s="289">
        <v>19.960799999999999</v>
      </c>
      <c r="L30" s="289">
        <v>20.044799999999999</v>
      </c>
      <c r="M30" s="289">
        <v>19.466699999999999</v>
      </c>
      <c r="N30" s="289">
        <v>19.574000000000002</v>
      </c>
      <c r="O30" s="64">
        <v>24</v>
      </c>
      <c r="R30" s="64">
        <v>24</v>
      </c>
      <c r="S30" s="289">
        <v>19.7393</v>
      </c>
      <c r="T30" s="289">
        <v>20.6783</v>
      </c>
      <c r="U30" s="289">
        <v>20.578800000000001</v>
      </c>
      <c r="V30" s="289">
        <v>19.886500000000002</v>
      </c>
      <c r="W30" s="289">
        <v>19.881</v>
      </c>
      <c r="X30" s="289">
        <v>20.571200000000001</v>
      </c>
      <c r="Y30" s="289">
        <v>20.1812</v>
      </c>
      <c r="Z30" s="289">
        <v>20.402000000000001</v>
      </c>
      <c r="AA30" s="289">
        <v>20.032800000000002</v>
      </c>
      <c r="AB30" s="289">
        <v>20.264299999999999</v>
      </c>
      <c r="AC30" s="289">
        <v>20.963200000000001</v>
      </c>
      <c r="AD30" s="289">
        <v>20.752700000000001</v>
      </c>
      <c r="AE30" s="64">
        <v>24</v>
      </c>
      <c r="AH30" s="185">
        <v>24</v>
      </c>
      <c r="AI30" s="289">
        <v>18.688300000000002</v>
      </c>
      <c r="AJ30" s="289">
        <v>18.799199999999999</v>
      </c>
      <c r="AK30" s="289">
        <v>24.1113</v>
      </c>
      <c r="AL30" s="289">
        <v>24.5883</v>
      </c>
      <c r="AM30" s="289">
        <v>22.96</v>
      </c>
      <c r="AN30" s="289">
        <v>22.441299999999998</v>
      </c>
      <c r="AO30" s="289">
        <v>22.251000000000001</v>
      </c>
      <c r="AP30" s="289">
        <v>22.175999999999998</v>
      </c>
      <c r="AQ30" s="289">
        <v>21.568200000000001</v>
      </c>
      <c r="AR30" s="289">
        <v>21.03</v>
      </c>
      <c r="AS30" s="289">
        <v>20.1172</v>
      </c>
      <c r="AT30" s="289">
        <v>20.0562</v>
      </c>
      <c r="AU30" s="185">
        <v>24</v>
      </c>
      <c r="AX30" s="185">
        <v>24</v>
      </c>
      <c r="AY30" s="289">
        <v>19.1297</v>
      </c>
      <c r="AZ30" s="289">
        <v>19.2652</v>
      </c>
      <c r="BA30" s="289">
        <v>18.869399999999999</v>
      </c>
      <c r="BB30" s="289">
        <v>18.835899999999999</v>
      </c>
      <c r="BC30" s="289">
        <v>18.9755</v>
      </c>
      <c r="BD30" s="289">
        <v>18.980399999999999</v>
      </c>
      <c r="BE30" s="289">
        <v>19.065899999999999</v>
      </c>
      <c r="BF30" s="289">
        <v>19.746700000000001</v>
      </c>
      <c r="BG30" s="289">
        <v>19.447800000000001</v>
      </c>
      <c r="BH30" s="289">
        <v>19.105</v>
      </c>
      <c r="BI30" s="289">
        <v>19.413799999999998</v>
      </c>
      <c r="BJ30" s="289">
        <v>18.9133</v>
      </c>
      <c r="BK30" s="185">
        <v>24</v>
      </c>
      <c r="BN30" s="185">
        <v>24</v>
      </c>
      <c r="BO30" s="290">
        <v>18.7118</v>
      </c>
      <c r="BP30" s="290">
        <v>18.657399999999999</v>
      </c>
      <c r="BQ30" s="289">
        <v>18.5078</v>
      </c>
      <c r="BR30" s="289">
        <v>18.620999999999999</v>
      </c>
      <c r="BS30" s="289">
        <v>19.752800000000001</v>
      </c>
      <c r="BT30" s="289">
        <v>20.3689</v>
      </c>
      <c r="BU30" s="289">
        <v>19.069400000000002</v>
      </c>
      <c r="BV30" s="289">
        <v>18.817599999999999</v>
      </c>
      <c r="BW30" s="289">
        <v>18.829599999999999</v>
      </c>
      <c r="BX30" s="289">
        <v>19.366900000000001</v>
      </c>
      <c r="BY30" s="289">
        <v>20.298400000000001</v>
      </c>
      <c r="BZ30" s="289">
        <v>19.908200000000001</v>
      </c>
      <c r="CA30" s="185">
        <v>24</v>
      </c>
      <c r="CD30" s="185">
        <v>24</v>
      </c>
      <c r="CE30" s="289">
        <v>21.700199999999999</v>
      </c>
      <c r="CF30" s="289">
        <v>19.912700000000001</v>
      </c>
      <c r="CG30" s="289">
        <v>19.0837</v>
      </c>
      <c r="CH30" s="289">
        <v>18.8187</v>
      </c>
      <c r="CI30" s="289">
        <v>18.6633</v>
      </c>
      <c r="CJ30" s="289">
        <v>18.126999999999999</v>
      </c>
      <c r="CK30" s="289">
        <v>17.526</v>
      </c>
      <c r="CL30" s="289">
        <v>17.645800000000001</v>
      </c>
      <c r="CM30" s="289">
        <v>17.854500000000002</v>
      </c>
      <c r="CN30" s="289">
        <v>19.007999999999999</v>
      </c>
      <c r="CO30" s="289">
        <v>18.739999999999998</v>
      </c>
      <c r="CP30" s="289">
        <v>19.3962</v>
      </c>
      <c r="CQ30" s="185">
        <v>24</v>
      </c>
      <c r="CT30" s="185">
        <v>24</v>
      </c>
      <c r="CU30" s="289">
        <v>18.508400000000002</v>
      </c>
      <c r="CV30" s="289">
        <v>18.056799999999999</v>
      </c>
      <c r="CW30" s="289">
        <v>17.336099999999998</v>
      </c>
      <c r="CX30" s="289">
        <v>17.420200000000001</v>
      </c>
      <c r="CY30" s="289">
        <v>18.3826</v>
      </c>
      <c r="CZ30" s="289">
        <v>18.532499999999999</v>
      </c>
      <c r="DA30" s="289">
        <v>18.6022</v>
      </c>
      <c r="DB30" s="289">
        <v>18.302299999999999</v>
      </c>
      <c r="DC30" s="289">
        <v>19.596499999999999</v>
      </c>
      <c r="DD30" s="289">
        <v>18.5945</v>
      </c>
      <c r="DE30" s="289">
        <v>20.520499999999998</v>
      </c>
      <c r="DF30" s="289">
        <v>20.7179</v>
      </c>
      <c r="DG30" s="185">
        <v>24</v>
      </c>
      <c r="DJ30" s="185">
        <v>24</v>
      </c>
      <c r="DK30" s="289">
        <v>14.612</v>
      </c>
      <c r="DL30" s="289">
        <v>15.075699999999999</v>
      </c>
      <c r="DM30" s="289">
        <v>15.031700000000001</v>
      </c>
      <c r="DN30" s="289">
        <v>15.4518</v>
      </c>
      <c r="DO30" s="289">
        <v>15.2326</v>
      </c>
      <c r="DP30" s="289">
        <v>15.3072</v>
      </c>
      <c r="DQ30" s="289">
        <v>16.094999999999999</v>
      </c>
      <c r="DR30" s="289">
        <v>16.7182</v>
      </c>
      <c r="DS30" s="289">
        <v>16.871300000000002</v>
      </c>
      <c r="DT30" s="289">
        <v>16.528400000000001</v>
      </c>
      <c r="DU30" s="289">
        <v>16.512</v>
      </c>
      <c r="DV30" s="289">
        <v>17.184699999999999</v>
      </c>
      <c r="DW30" s="185">
        <v>24</v>
      </c>
      <c r="DZ30" s="185">
        <v>24</v>
      </c>
      <c r="EA30" s="289">
        <v>13.3194</v>
      </c>
      <c r="EB30" s="289">
        <v>13.2913</v>
      </c>
      <c r="EC30" s="289">
        <v>13.270300000000001</v>
      </c>
      <c r="ED30" s="289">
        <v>13.0448</v>
      </c>
      <c r="EE30" s="289">
        <v>12.880100000000001</v>
      </c>
      <c r="EF30" s="289">
        <v>13.0124</v>
      </c>
      <c r="EG30" s="289">
        <v>12.939299999999999</v>
      </c>
      <c r="EH30" s="289">
        <v>13.096299999999999</v>
      </c>
      <c r="EI30" s="289">
        <v>13.256600000000001</v>
      </c>
      <c r="EJ30" s="289">
        <v>13.555899999999999</v>
      </c>
      <c r="EK30" s="289">
        <v>13.611499999999999</v>
      </c>
      <c r="EL30" s="289">
        <v>14.635899999999999</v>
      </c>
      <c r="EM30" s="185">
        <v>24</v>
      </c>
      <c r="EP30" s="185">
        <v>24</v>
      </c>
      <c r="EQ30" s="289">
        <v>12.681699999999999</v>
      </c>
      <c r="ER30" s="289">
        <v>12.7699</v>
      </c>
      <c r="ES30" s="289">
        <v>12.3841</v>
      </c>
      <c r="ET30" s="289">
        <v>12.322699999999999</v>
      </c>
      <c r="EU30" s="289">
        <v>12.311299999999999</v>
      </c>
      <c r="EV30" s="289">
        <v>13.4015</v>
      </c>
      <c r="EW30" s="289">
        <v>12.5054</v>
      </c>
      <c r="EX30" s="289">
        <v>13.1486</v>
      </c>
      <c r="EY30" s="289">
        <v>12.7685</v>
      </c>
      <c r="EZ30" s="289">
        <v>12.8713</v>
      </c>
      <c r="FA30" s="289">
        <v>13.0617</v>
      </c>
      <c r="FB30" s="289">
        <v>12.9574</v>
      </c>
      <c r="FC30" s="185">
        <v>24</v>
      </c>
      <c r="FF30" s="185">
        <v>24</v>
      </c>
      <c r="FG30" s="289">
        <v>13.224</v>
      </c>
      <c r="FH30" s="289">
        <v>12.829599999999999</v>
      </c>
      <c r="FI30" s="289">
        <v>12.833</v>
      </c>
      <c r="FJ30" s="289">
        <v>13.117100000000001</v>
      </c>
      <c r="FK30" s="289">
        <v>13.7203</v>
      </c>
      <c r="FL30" s="289">
        <v>13.7668</v>
      </c>
      <c r="FM30" s="289">
        <v>13.2928</v>
      </c>
      <c r="FN30" s="289">
        <v>13.1762</v>
      </c>
      <c r="FO30" s="289">
        <v>12.904199999999999</v>
      </c>
      <c r="FP30" s="289">
        <v>12.857100000000001</v>
      </c>
      <c r="FQ30" s="289">
        <v>13.018800000000001</v>
      </c>
      <c r="FR30" s="289">
        <v>12.777699999999999</v>
      </c>
      <c r="FS30" s="185">
        <v>24</v>
      </c>
      <c r="FV30" s="185">
        <v>24</v>
      </c>
      <c r="FW30" s="289">
        <v>12.090299999999999</v>
      </c>
      <c r="FX30" s="289">
        <v>12.091699999999999</v>
      </c>
      <c r="FY30" s="289">
        <v>11.9885</v>
      </c>
      <c r="FZ30" s="289">
        <v>11.692500000000001</v>
      </c>
      <c r="GA30" s="289">
        <v>11.646699999999999</v>
      </c>
      <c r="GB30" s="289">
        <v>11.7789</v>
      </c>
      <c r="GC30" s="289">
        <v>11.6174</v>
      </c>
      <c r="GD30" s="289">
        <v>12.2948</v>
      </c>
      <c r="GE30" s="289">
        <v>13.8917</v>
      </c>
      <c r="GF30" s="289">
        <v>13.662800000000001</v>
      </c>
      <c r="GG30" s="289">
        <v>13.981199999999999</v>
      </c>
      <c r="GH30" s="289">
        <v>13.8169</v>
      </c>
      <c r="GI30" s="185">
        <v>24</v>
      </c>
      <c r="GL30" s="185">
        <v>24</v>
      </c>
      <c r="GM30" s="289">
        <v>12.772</v>
      </c>
      <c r="GN30" s="289">
        <v>12.8017</v>
      </c>
      <c r="GO30" s="289">
        <v>12.6052</v>
      </c>
      <c r="GP30" s="289">
        <v>12.240500000000001</v>
      </c>
      <c r="GQ30" s="289">
        <v>13.1412</v>
      </c>
      <c r="GR30" s="289">
        <v>12.5246</v>
      </c>
      <c r="GS30" s="289">
        <v>12.756</v>
      </c>
      <c r="GT30" s="289">
        <v>12.7683</v>
      </c>
      <c r="GU30" s="289">
        <v>12.688599999999999</v>
      </c>
      <c r="GV30" s="289">
        <v>12.3613</v>
      </c>
      <c r="GW30" s="289">
        <v>12.308999999999999</v>
      </c>
      <c r="GX30" s="289">
        <v>12.337899999999999</v>
      </c>
      <c r="GY30" s="185">
        <v>24</v>
      </c>
      <c r="HB30" s="185">
        <v>24</v>
      </c>
      <c r="HC30" s="289">
        <v>13.932499999999999</v>
      </c>
      <c r="HD30" s="289">
        <v>14.8163</v>
      </c>
      <c r="HE30" s="289">
        <v>14.148</v>
      </c>
      <c r="HF30" s="289">
        <v>13.1457</v>
      </c>
      <c r="HG30" s="289">
        <v>13.103</v>
      </c>
      <c r="HH30" s="289">
        <v>13.3782</v>
      </c>
      <c r="HI30" s="289">
        <v>13.231199999999999</v>
      </c>
      <c r="HJ30" s="289">
        <v>12.8733</v>
      </c>
      <c r="HK30" s="289">
        <v>13.3186</v>
      </c>
      <c r="HL30" s="289">
        <v>12.9495</v>
      </c>
      <c r="HM30" s="289">
        <v>13.089499999999999</v>
      </c>
      <c r="HN30" s="289">
        <v>12.944900000000001</v>
      </c>
      <c r="HO30" s="185">
        <v>24</v>
      </c>
      <c r="HP30" s="1"/>
      <c r="HQ30" s="1"/>
      <c r="HR30" s="185">
        <v>24</v>
      </c>
      <c r="HS30" s="289">
        <v>10.9232</v>
      </c>
      <c r="HT30" s="289">
        <v>10.798</v>
      </c>
      <c r="HU30" s="289">
        <v>10.704000000000001</v>
      </c>
      <c r="HV30" s="289">
        <v>10.5181</v>
      </c>
      <c r="HW30" s="289">
        <v>10.381</v>
      </c>
      <c r="HX30" s="289">
        <v>10.2753</v>
      </c>
      <c r="HY30" s="289">
        <v>10.117800000000001</v>
      </c>
      <c r="HZ30" s="289">
        <v>10.1106</v>
      </c>
      <c r="IA30" s="289">
        <v>10.587899999999999</v>
      </c>
      <c r="IB30" s="289">
        <v>13.559200000000001</v>
      </c>
      <c r="IC30" s="289">
        <v>13.575799999999999</v>
      </c>
      <c r="ID30" s="289">
        <v>13.174200000000001</v>
      </c>
      <c r="IE30" s="185">
        <v>24</v>
      </c>
      <c r="IF30" s="1"/>
      <c r="IG30" s="1"/>
      <c r="IH30" s="185">
        <v>24</v>
      </c>
      <c r="II30" s="289">
        <v>10.8918</v>
      </c>
      <c r="IJ30" s="289">
        <v>10.968299999999999</v>
      </c>
      <c r="IK30" s="289">
        <v>11.022</v>
      </c>
      <c r="IL30" s="289">
        <v>10.978999999999999</v>
      </c>
      <c r="IM30" s="289">
        <v>10.7598</v>
      </c>
      <c r="IN30" s="289">
        <v>10.826599999999999</v>
      </c>
      <c r="IO30" s="289">
        <v>10.7843</v>
      </c>
      <c r="IP30" s="289">
        <v>11.073600000000001</v>
      </c>
      <c r="IQ30" s="289">
        <v>10.9687</v>
      </c>
      <c r="IR30" s="289">
        <v>10.840400000000001</v>
      </c>
      <c r="IS30" s="289">
        <v>10.978999999999999</v>
      </c>
      <c r="IT30" s="289">
        <v>10.8363</v>
      </c>
      <c r="IU30" s="185">
        <v>24</v>
      </c>
      <c r="IV30" s="1"/>
      <c r="IW30" s="1"/>
      <c r="IX30" s="185">
        <v>24</v>
      </c>
      <c r="IY30" s="289">
        <v>10.5078</v>
      </c>
      <c r="IZ30" s="289">
        <v>10.499000000000001</v>
      </c>
      <c r="JA30" s="289">
        <v>10.8628</v>
      </c>
      <c r="JB30" s="289">
        <v>11.030200000000001</v>
      </c>
      <c r="JC30" s="289">
        <v>11.2799</v>
      </c>
      <c r="JD30" s="289">
        <v>11.4405</v>
      </c>
      <c r="JE30" s="289">
        <v>10.870799999999999</v>
      </c>
      <c r="JF30" s="289">
        <v>10.804</v>
      </c>
      <c r="JG30" s="289">
        <v>10.9953</v>
      </c>
      <c r="JH30" s="289">
        <v>10.8169</v>
      </c>
      <c r="JI30" s="289">
        <v>10.9756</v>
      </c>
      <c r="JJ30" s="289">
        <v>10.841100000000001</v>
      </c>
      <c r="JK30" s="185">
        <v>24</v>
      </c>
      <c r="JL30" s="1"/>
      <c r="JM30" s="1"/>
      <c r="JN30" s="185">
        <v>24</v>
      </c>
      <c r="JO30" s="289">
        <v>11.2515</v>
      </c>
      <c r="JP30" s="289">
        <v>11.0487</v>
      </c>
      <c r="JQ30" s="289">
        <v>11.1898</v>
      </c>
      <c r="JR30" s="289">
        <v>11.041</v>
      </c>
      <c r="JS30" s="289">
        <v>10.971500000000001</v>
      </c>
      <c r="JT30" s="289">
        <v>10.760999999999999</v>
      </c>
      <c r="JU30" s="289">
        <v>10.594200000000001</v>
      </c>
      <c r="JV30" s="289">
        <v>10.7356</v>
      </c>
      <c r="JW30" s="289">
        <v>10.834099999999999</v>
      </c>
      <c r="JX30" s="289">
        <v>10.8393</v>
      </c>
      <c r="JY30" s="289">
        <v>10.6678</v>
      </c>
      <c r="JZ30" s="289">
        <v>10.6532</v>
      </c>
      <c r="KA30" s="185">
        <v>24</v>
      </c>
      <c r="KB30" s="1"/>
      <c r="KC30" s="1"/>
      <c r="KD30" s="185">
        <v>24</v>
      </c>
      <c r="KE30" s="289">
        <v>11.001200000000001</v>
      </c>
      <c r="KF30" s="289">
        <v>10.942299999999999</v>
      </c>
      <c r="KG30" s="289">
        <v>10.973699999999999</v>
      </c>
      <c r="KH30" s="289">
        <v>11.3256</v>
      </c>
      <c r="KI30" s="289">
        <v>11.573499999999999</v>
      </c>
      <c r="KJ30" s="289">
        <v>11.307700000000001</v>
      </c>
      <c r="KK30" s="289">
        <v>11.446300000000001</v>
      </c>
      <c r="KL30" s="289">
        <v>11.3453</v>
      </c>
      <c r="KM30" s="289">
        <v>11.401199999999999</v>
      </c>
      <c r="KN30" s="289">
        <v>11.472200000000001</v>
      </c>
      <c r="KO30" s="289">
        <v>11.3949</v>
      </c>
      <c r="KP30" s="289">
        <v>11.1814</v>
      </c>
      <c r="KQ30" s="185">
        <v>24</v>
      </c>
      <c r="KR30" s="1"/>
      <c r="KS30" s="1"/>
      <c r="KT30" s="185">
        <v>24</v>
      </c>
      <c r="KU30" s="289">
        <v>10.8263</v>
      </c>
      <c r="KV30" s="289">
        <v>10.899800000000001</v>
      </c>
      <c r="KW30" s="289">
        <v>10.863300000000001</v>
      </c>
      <c r="KX30" s="289">
        <v>10.5525</v>
      </c>
      <c r="KY30" s="289">
        <v>10.238300000000001</v>
      </c>
      <c r="KZ30" s="289">
        <v>10.466900000000001</v>
      </c>
      <c r="LA30" s="289">
        <v>10.436199999999999</v>
      </c>
      <c r="LB30" s="289">
        <v>10.8507</v>
      </c>
      <c r="LC30" s="289">
        <v>10.827500000000001</v>
      </c>
      <c r="LD30" s="289">
        <v>11.2178</v>
      </c>
      <c r="LE30" s="289">
        <v>11.2094</v>
      </c>
      <c r="LF30" s="289">
        <v>11.285500000000001</v>
      </c>
      <c r="LG30" s="185">
        <v>24</v>
      </c>
      <c r="LH30" s="1"/>
      <c r="LI30" s="1"/>
      <c r="LJ30" s="185">
        <v>24</v>
      </c>
      <c r="LK30" s="289">
        <v>9.1521000000000008</v>
      </c>
      <c r="LL30" s="289">
        <v>9.0756999999999994</v>
      </c>
      <c r="LM30" s="289">
        <v>9.0707000000000004</v>
      </c>
      <c r="LN30" s="289">
        <v>9.2662999999999993</v>
      </c>
      <c r="LO30" s="289">
        <v>9.5244999999999997</v>
      </c>
      <c r="LP30" s="289">
        <v>9.7675999999999998</v>
      </c>
      <c r="LQ30" s="289">
        <v>9.6285000000000007</v>
      </c>
      <c r="LR30" s="289">
        <v>9.8388000000000009</v>
      </c>
      <c r="LS30" s="289">
        <v>10.2265</v>
      </c>
      <c r="LT30" s="289">
        <v>9.9723000000000006</v>
      </c>
      <c r="LU30" s="289">
        <v>10.087400000000001</v>
      </c>
      <c r="LV30" s="289">
        <v>10.1836</v>
      </c>
      <c r="LW30" s="185">
        <v>24</v>
      </c>
      <c r="LX30" s="1"/>
      <c r="LY30" s="1"/>
      <c r="LZ30" s="185">
        <v>24</v>
      </c>
      <c r="MA30" s="289">
        <v>9.7863000000000007</v>
      </c>
      <c r="MB30" s="289">
        <v>9.7278000000000002</v>
      </c>
      <c r="MC30" s="289">
        <v>9.5722000000000005</v>
      </c>
      <c r="MD30" s="289">
        <v>9.3524999999999991</v>
      </c>
      <c r="ME30" s="289">
        <v>8.9659999999999993</v>
      </c>
      <c r="MF30" s="289">
        <v>9.0570000000000004</v>
      </c>
      <c r="MG30" s="289">
        <v>9.1796000000000006</v>
      </c>
      <c r="MH30" s="289">
        <v>9.1158000000000001</v>
      </c>
      <c r="MI30" s="289">
        <v>9.4802</v>
      </c>
      <c r="MJ30" s="289">
        <v>9.1976999999999993</v>
      </c>
      <c r="MK30" s="289">
        <v>9.1547000000000001</v>
      </c>
      <c r="ML30" s="289">
        <v>9.1682000000000006</v>
      </c>
      <c r="MM30" s="185">
        <v>24</v>
      </c>
      <c r="MN30" s="1"/>
      <c r="MO30" s="1"/>
      <c r="MP30" s="185">
        <v>24</v>
      </c>
      <c r="MQ30" s="289">
        <v>9.4038000000000004</v>
      </c>
      <c r="MR30" s="289">
        <v>9.4395000000000007</v>
      </c>
      <c r="MS30" s="289">
        <v>9.2765000000000004</v>
      </c>
      <c r="MT30" s="289">
        <v>9.4388000000000005</v>
      </c>
      <c r="MU30" s="289">
        <v>9.5777999999999999</v>
      </c>
      <c r="MV30" s="289">
        <v>9.8706999999999994</v>
      </c>
      <c r="MW30" s="289">
        <v>9.3607999999999993</v>
      </c>
      <c r="MX30" s="289">
        <v>9.2322000000000006</v>
      </c>
      <c r="MY30" s="289">
        <v>9.4346999999999994</v>
      </c>
      <c r="MZ30" s="289">
        <v>9.5604999999999993</v>
      </c>
      <c r="NA30" s="289">
        <v>9.3789999999999996</v>
      </c>
      <c r="NB30" s="289">
        <v>9.5726999999999993</v>
      </c>
      <c r="NC30" s="185">
        <v>24</v>
      </c>
      <c r="ND30" s="1"/>
      <c r="NE30" s="1"/>
      <c r="NF30" s="185">
        <v>24</v>
      </c>
      <c r="NG30" s="289">
        <v>10.2874</v>
      </c>
      <c r="NH30" s="289">
        <v>9.9314999999999998</v>
      </c>
      <c r="NI30" s="289">
        <v>9.7116000000000007</v>
      </c>
      <c r="NJ30" s="289">
        <v>9.3316999999999997</v>
      </c>
      <c r="NK30" s="289">
        <v>9.3241999999999994</v>
      </c>
      <c r="NL30" s="289">
        <v>9.3717000000000006</v>
      </c>
      <c r="NM30" s="289">
        <v>9.3745999999999992</v>
      </c>
      <c r="NN30" s="289">
        <v>9.3867999999999991</v>
      </c>
      <c r="NO30" s="289">
        <v>9.2858000000000001</v>
      </c>
      <c r="NP30" s="289">
        <v>9.6481999999999992</v>
      </c>
      <c r="NQ30" s="289">
        <v>9.3190000000000008</v>
      </c>
      <c r="NR30" s="289">
        <v>9.3094999999999999</v>
      </c>
      <c r="NS30" s="185">
        <v>24</v>
      </c>
      <c r="NT30" s="1"/>
      <c r="NU30" s="1"/>
      <c r="NV30" s="185">
        <v>24</v>
      </c>
      <c r="NW30" s="289">
        <v>8.3320000000000007</v>
      </c>
      <c r="NX30" s="289">
        <v>8.5891999999999999</v>
      </c>
      <c r="NY30" s="289">
        <v>8.5784000000000002</v>
      </c>
      <c r="NZ30" s="289">
        <v>8.4616000000000007</v>
      </c>
      <c r="OA30" s="289">
        <v>8.6222999999999992</v>
      </c>
      <c r="OB30" s="289">
        <v>8.9123000000000001</v>
      </c>
      <c r="OC30" s="289">
        <v>8.8720999999999997</v>
      </c>
      <c r="OD30" s="289">
        <v>9.3133999999999997</v>
      </c>
      <c r="OE30" s="289">
        <v>10.0962</v>
      </c>
      <c r="OF30" s="289">
        <v>9.9930000000000003</v>
      </c>
      <c r="OG30" s="289">
        <v>9.9202999999999992</v>
      </c>
      <c r="OH30" s="289">
        <v>9.8027999999999995</v>
      </c>
      <c r="OI30" s="185">
        <v>24</v>
      </c>
      <c r="OJ30" s="1"/>
      <c r="OK30" s="1"/>
      <c r="OL30" s="185">
        <v>24</v>
      </c>
      <c r="OM30" s="289">
        <v>7.7946</v>
      </c>
      <c r="ON30" s="289">
        <v>7.7460000000000004</v>
      </c>
      <c r="OO30" s="289">
        <v>7.9233000000000002</v>
      </c>
      <c r="OP30" s="289">
        <v>7.8703000000000003</v>
      </c>
      <c r="OQ30" s="289">
        <v>7.8689</v>
      </c>
      <c r="OR30" s="289">
        <v>7.9581999999999997</v>
      </c>
      <c r="OS30" s="289">
        <v>7.8571</v>
      </c>
      <c r="OT30" s="289">
        <v>7.7596999999999996</v>
      </c>
      <c r="OU30" s="289">
        <v>7.7244999999999999</v>
      </c>
      <c r="OV30" s="289">
        <v>7.7229000000000001</v>
      </c>
      <c r="OW30" s="289">
        <v>8.2882999999999996</v>
      </c>
      <c r="OX30" s="289">
        <v>8.1156000000000006</v>
      </c>
      <c r="OY30" s="185">
        <v>24</v>
      </c>
      <c r="OZ30" s="1"/>
      <c r="PA30" s="1"/>
      <c r="PB30" s="185">
        <v>24</v>
      </c>
      <c r="PC30" s="289">
        <v>7.3122999999999996</v>
      </c>
      <c r="PD30" s="289">
        <v>7.5476999999999999</v>
      </c>
      <c r="PE30" s="289">
        <v>7.5431999999999997</v>
      </c>
      <c r="PF30" s="289">
        <v>7.3776000000000002</v>
      </c>
      <c r="PG30" s="289">
        <v>7.3860999999999999</v>
      </c>
      <c r="PH30" s="289">
        <v>7.5506000000000002</v>
      </c>
      <c r="PI30" s="289">
        <v>7.6292999999999997</v>
      </c>
      <c r="PJ30" s="289">
        <v>7.4756999999999998</v>
      </c>
      <c r="PK30" s="289">
        <v>7.5378999999999996</v>
      </c>
      <c r="PL30" s="289">
        <v>7.7625000000000002</v>
      </c>
      <c r="PM30" s="289">
        <v>7.8959999999999999</v>
      </c>
      <c r="PN30" s="289">
        <v>7.8426999999999998</v>
      </c>
      <c r="PO30" s="185">
        <v>24</v>
      </c>
      <c r="PP30" s="1"/>
      <c r="PQ30" s="1"/>
      <c r="PR30" s="185">
        <v>24</v>
      </c>
      <c r="PS30" s="289">
        <v>5.7050000000000001</v>
      </c>
      <c r="PT30" s="289">
        <v>5.95</v>
      </c>
      <c r="PU30" s="289">
        <v>7.28</v>
      </c>
      <c r="PV30" s="289">
        <v>6.0483000000000002</v>
      </c>
      <c r="PW30" s="289">
        <v>5.9192</v>
      </c>
      <c r="PX30" s="289">
        <v>6.2424999999999997</v>
      </c>
      <c r="PY30" s="289">
        <v>6.1582999999999997</v>
      </c>
      <c r="PZ30" s="289">
        <v>6.2149999999999999</v>
      </c>
      <c r="QA30" s="289">
        <v>6.3128000000000002</v>
      </c>
      <c r="QB30" s="289">
        <v>6.6695000000000002</v>
      </c>
      <c r="QC30" s="289">
        <v>7.7241999999999997</v>
      </c>
      <c r="QD30" s="289">
        <v>7.5857999999999999</v>
      </c>
      <c r="QE30" s="185">
        <v>24</v>
      </c>
      <c r="QF30" s="1"/>
      <c r="QG30" s="1"/>
      <c r="QH30" s="185">
        <v>24</v>
      </c>
      <c r="QI30" s="289">
        <v>3.1059999999999999</v>
      </c>
      <c r="QJ30" s="289">
        <v>3.1110000000000002</v>
      </c>
      <c r="QK30" s="289">
        <v>3.3325999999999998</v>
      </c>
      <c r="QL30" s="289">
        <v>3.3694000000000002</v>
      </c>
      <c r="QM30" s="289">
        <v>3.302</v>
      </c>
      <c r="QN30" s="289">
        <v>3.379</v>
      </c>
      <c r="QO30" s="289">
        <v>3.4056000000000002</v>
      </c>
      <c r="QP30" s="289">
        <v>3.3357999999999999</v>
      </c>
      <c r="QQ30" s="289">
        <v>3.4087999999999998</v>
      </c>
      <c r="QR30" s="289">
        <v>3.4173</v>
      </c>
      <c r="QS30" s="289">
        <v>3.4472999999999998</v>
      </c>
      <c r="QT30" s="289">
        <v>4.8875000000000002</v>
      </c>
      <c r="QU30" s="185">
        <v>24</v>
      </c>
      <c r="QV30" s="1"/>
      <c r="QW30" s="1"/>
      <c r="QX30" s="185">
        <v>24</v>
      </c>
      <c r="QY30" s="289">
        <v>3.1051000000000002</v>
      </c>
      <c r="QZ30" s="289">
        <v>3.0939999999999999</v>
      </c>
      <c r="RA30" s="289">
        <v>3.1172</v>
      </c>
      <c r="RB30" s="289">
        <v>3.0937000000000001</v>
      </c>
      <c r="RC30" s="289">
        <v>3.1109</v>
      </c>
      <c r="RD30" s="289">
        <v>3.1166</v>
      </c>
      <c r="RE30" s="289">
        <v>3.1229</v>
      </c>
      <c r="RF30" s="289">
        <v>3.1124000000000001</v>
      </c>
      <c r="RG30" s="289">
        <v>3.1162999999999998</v>
      </c>
      <c r="RH30" s="289">
        <v>3.1120000000000001</v>
      </c>
      <c r="RI30" s="289">
        <v>3.101</v>
      </c>
      <c r="RJ30" s="289">
        <v>3.1154999999999999</v>
      </c>
      <c r="RK30" s="185">
        <v>24</v>
      </c>
      <c r="RL30" s="1"/>
      <c r="RM30" s="1"/>
      <c r="RN30" s="185">
        <v>24</v>
      </c>
      <c r="RO30" s="289">
        <v>3.0617000000000001</v>
      </c>
      <c r="RP30" s="289">
        <v>3.0621</v>
      </c>
      <c r="RQ30" s="289">
        <v>3.0688</v>
      </c>
      <c r="RR30" s="289">
        <v>3.0828000000000002</v>
      </c>
      <c r="RS30" s="289">
        <v>3.1055999999999999</v>
      </c>
      <c r="RT30" s="289">
        <v>3.1215999999999999</v>
      </c>
      <c r="RU30" s="289">
        <v>3.1124999999999998</v>
      </c>
      <c r="RV30" s="289">
        <v>3.0813999999999999</v>
      </c>
      <c r="RW30" s="289">
        <v>3.1111</v>
      </c>
      <c r="RX30" s="289">
        <v>3.1252</v>
      </c>
      <c r="RY30" s="289">
        <v>3.1143000000000001</v>
      </c>
      <c r="RZ30" s="289">
        <v>3.1244999999999998</v>
      </c>
      <c r="SA30" s="185">
        <v>24</v>
      </c>
      <c r="SB30" s="1"/>
      <c r="SC30" s="1"/>
      <c r="SD30" s="185">
        <v>24</v>
      </c>
      <c r="SE30" s="289">
        <v>2.9554</v>
      </c>
      <c r="SF30" s="289">
        <v>2.9674</v>
      </c>
      <c r="SG30" s="289">
        <v>2.9786000000000001</v>
      </c>
      <c r="SH30" s="289">
        <v>2.9914000000000001</v>
      </c>
      <c r="SI30" s="289">
        <v>3.0034000000000001</v>
      </c>
      <c r="SJ30" s="289">
        <v>3.0150000000000001</v>
      </c>
      <c r="SK30" s="289">
        <v>3.0278</v>
      </c>
      <c r="SL30" s="289">
        <v>3.0402</v>
      </c>
      <c r="SM30" s="289">
        <v>3.0518000000000001</v>
      </c>
      <c r="SN30" s="289">
        <v>3.0653999999999999</v>
      </c>
      <c r="SO30" s="289">
        <v>3.0631900000000001</v>
      </c>
      <c r="SP30" s="289">
        <v>3.0773799999999998</v>
      </c>
      <c r="SQ30" s="185">
        <v>24</v>
      </c>
      <c r="SR30" s="1"/>
      <c r="SS30" s="1"/>
      <c r="ST30" s="185">
        <v>24</v>
      </c>
      <c r="SU30" s="289">
        <v>2.6659999999999999</v>
      </c>
      <c r="SV30" s="289">
        <v>2.6970000000000001</v>
      </c>
      <c r="SW30" s="289">
        <v>2.7250000000000001</v>
      </c>
      <c r="SX30" s="289">
        <v>2.754</v>
      </c>
      <c r="SY30" s="289">
        <v>2.786</v>
      </c>
      <c r="SZ30" s="289">
        <v>2.8113999999999999</v>
      </c>
      <c r="TA30" s="289">
        <v>2.8346</v>
      </c>
      <c r="TB30" s="289">
        <v>2.8610000000000002</v>
      </c>
      <c r="TC30" s="289">
        <v>2.8841999999999999</v>
      </c>
      <c r="TD30" s="289">
        <v>2.9098000000000002</v>
      </c>
      <c r="TE30" s="289">
        <v>2.931</v>
      </c>
      <c r="TF30" s="289">
        <v>2.9422000000000001</v>
      </c>
      <c r="TG30" s="185">
        <v>24</v>
      </c>
      <c r="TH30" s="1"/>
      <c r="TI30" s="1"/>
      <c r="TJ30" s="185">
        <v>24</v>
      </c>
      <c r="TK30" s="289">
        <v>2.2989999999999999</v>
      </c>
      <c r="TL30" s="289">
        <v>2.3319999999999999</v>
      </c>
      <c r="TM30" s="289">
        <v>2.36</v>
      </c>
      <c r="TN30" s="289">
        <v>2.3889999999999998</v>
      </c>
      <c r="TO30" s="289">
        <v>2.4209999999999998</v>
      </c>
      <c r="TP30" s="289">
        <v>2.452</v>
      </c>
      <c r="TQ30" s="289">
        <v>2.48</v>
      </c>
      <c r="TR30" s="289">
        <v>2.5129999999999999</v>
      </c>
      <c r="TS30" s="289">
        <v>2.5430000000000001</v>
      </c>
      <c r="TT30" s="289">
        <v>2.5720000000000001</v>
      </c>
      <c r="TU30" s="289">
        <v>2.605</v>
      </c>
      <c r="TV30" s="289">
        <v>2.6339999999999999</v>
      </c>
      <c r="TW30" s="185">
        <v>24</v>
      </c>
    </row>
    <row r="31" spans="2:543" ht="20.100000000000001" customHeight="1">
      <c r="B31" s="64">
        <v>25</v>
      </c>
      <c r="C31" s="289">
        <v>20.459800000000001</v>
      </c>
      <c r="D31" s="289">
        <v>20.243500000000001</v>
      </c>
      <c r="E31" s="289">
        <v>20.18</v>
      </c>
      <c r="F31" s="289">
        <v>20.180199999999999</v>
      </c>
      <c r="G31" s="289">
        <v>19.828199999999999</v>
      </c>
      <c r="H31" s="289">
        <v>20.0365</v>
      </c>
      <c r="I31" s="289">
        <v>20.656199999999998</v>
      </c>
      <c r="J31" s="289">
        <v>19.998200000000001</v>
      </c>
      <c r="K31" s="289">
        <v>19.960799999999999</v>
      </c>
      <c r="L31" s="289">
        <v>19.964700000000001</v>
      </c>
      <c r="M31" s="289">
        <v>19.368300000000001</v>
      </c>
      <c r="N31" s="289">
        <v>19.574000000000002</v>
      </c>
      <c r="O31" s="64">
        <v>25</v>
      </c>
      <c r="R31" s="64">
        <v>25</v>
      </c>
      <c r="S31" s="289">
        <v>19.7393</v>
      </c>
      <c r="T31" s="289">
        <v>20.583300000000001</v>
      </c>
      <c r="U31" s="289">
        <v>20.640799999999999</v>
      </c>
      <c r="V31" s="289">
        <v>19.886500000000002</v>
      </c>
      <c r="W31" s="289">
        <v>19.951000000000001</v>
      </c>
      <c r="X31" s="289">
        <v>20.250499999999999</v>
      </c>
      <c r="Y31" s="289">
        <v>20.1812</v>
      </c>
      <c r="Z31" s="289">
        <v>20.390699999999999</v>
      </c>
      <c r="AA31" s="289">
        <v>20.027999999999999</v>
      </c>
      <c r="AB31" s="289">
        <v>20.264299999999999</v>
      </c>
      <c r="AC31" s="289">
        <v>21.210699999999999</v>
      </c>
      <c r="AD31" s="289">
        <v>20.658200000000001</v>
      </c>
      <c r="AE31" s="64">
        <v>25</v>
      </c>
      <c r="AH31" s="185">
        <v>25</v>
      </c>
      <c r="AI31" s="289">
        <v>18.8018</v>
      </c>
      <c r="AJ31" s="289">
        <v>18.913799999999998</v>
      </c>
      <c r="AK31" s="289">
        <v>25.078199999999999</v>
      </c>
      <c r="AL31" s="289">
        <v>24.623000000000001</v>
      </c>
      <c r="AM31" s="289">
        <v>22.96</v>
      </c>
      <c r="AN31" s="289">
        <v>22.413</v>
      </c>
      <c r="AO31" s="289">
        <v>22.3627</v>
      </c>
      <c r="AP31" s="289">
        <v>22.036200000000001</v>
      </c>
      <c r="AQ31" s="289">
        <v>22.089700000000001</v>
      </c>
      <c r="AR31" s="289">
        <v>21.03</v>
      </c>
      <c r="AS31" s="289">
        <v>20.101199999999999</v>
      </c>
      <c r="AT31" s="289">
        <v>20.1175</v>
      </c>
      <c r="AU31" s="185">
        <v>25</v>
      </c>
      <c r="AX31" s="185">
        <v>25</v>
      </c>
      <c r="AY31" s="289">
        <v>19.077100000000002</v>
      </c>
      <c r="AZ31" s="289">
        <v>19.2652</v>
      </c>
      <c r="BA31" s="289">
        <v>18.869399999999999</v>
      </c>
      <c r="BB31" s="289">
        <v>18.957799999999999</v>
      </c>
      <c r="BC31" s="289">
        <v>19.0122</v>
      </c>
      <c r="BD31" s="289">
        <v>19.066099999999999</v>
      </c>
      <c r="BE31" s="289">
        <v>19.131499999999999</v>
      </c>
      <c r="BF31" s="289">
        <v>19.746700000000001</v>
      </c>
      <c r="BG31" s="289">
        <v>19.445900000000002</v>
      </c>
      <c r="BH31" s="289">
        <v>19.125800000000002</v>
      </c>
      <c r="BI31" s="289">
        <v>19.413799999999998</v>
      </c>
      <c r="BJ31" s="289">
        <v>18.938500000000001</v>
      </c>
      <c r="BK31" s="185">
        <v>25</v>
      </c>
      <c r="BN31" s="185">
        <v>25</v>
      </c>
      <c r="BO31" s="289">
        <v>18.797999999999998</v>
      </c>
      <c r="BP31" s="289">
        <v>18.657399999999999</v>
      </c>
      <c r="BQ31" s="289">
        <v>18.5078</v>
      </c>
      <c r="BR31" s="289">
        <v>18.8628</v>
      </c>
      <c r="BS31" s="289">
        <v>19.766100000000002</v>
      </c>
      <c r="BT31" s="289">
        <v>20.3689</v>
      </c>
      <c r="BU31" s="289">
        <v>19.0761</v>
      </c>
      <c r="BV31" s="289">
        <v>18.8672</v>
      </c>
      <c r="BW31" s="289">
        <v>18.853899999999999</v>
      </c>
      <c r="BX31" s="289">
        <v>19.416899999999998</v>
      </c>
      <c r="BY31" s="289">
        <v>20.298400000000001</v>
      </c>
      <c r="BZ31" s="289">
        <v>19.927499999999998</v>
      </c>
      <c r="CA31" s="185">
        <v>25</v>
      </c>
      <c r="CD31" s="185">
        <v>25</v>
      </c>
      <c r="CE31" s="289">
        <v>21.4512</v>
      </c>
      <c r="CF31" s="289">
        <v>19.7011</v>
      </c>
      <c r="CG31" s="289">
        <v>18.9877</v>
      </c>
      <c r="CH31" s="289">
        <v>18.8413</v>
      </c>
      <c r="CI31" s="289">
        <v>18.614999999999998</v>
      </c>
      <c r="CJ31" s="289">
        <v>18.126999999999999</v>
      </c>
      <c r="CK31" s="289">
        <v>17.561800000000002</v>
      </c>
      <c r="CL31" s="289">
        <v>17.711300000000001</v>
      </c>
      <c r="CM31" s="289">
        <v>17.854500000000002</v>
      </c>
      <c r="CN31" s="289">
        <v>19.0489</v>
      </c>
      <c r="CO31" s="289">
        <v>18.604099999999999</v>
      </c>
      <c r="CP31" s="289">
        <v>19.3962</v>
      </c>
      <c r="CQ31" s="185">
        <v>25</v>
      </c>
      <c r="CT31" s="185">
        <v>25</v>
      </c>
      <c r="CU31" s="289">
        <v>18.508400000000002</v>
      </c>
      <c r="CV31" s="289">
        <v>18.194800000000001</v>
      </c>
      <c r="CW31" s="289">
        <v>17.336099999999998</v>
      </c>
      <c r="CX31" s="289">
        <v>17.420200000000001</v>
      </c>
      <c r="CY31" s="289">
        <v>18.444400000000002</v>
      </c>
      <c r="CZ31" s="289">
        <v>18.320699999999999</v>
      </c>
      <c r="DA31" s="289">
        <v>18.6022</v>
      </c>
      <c r="DB31" s="289">
        <v>18.3202</v>
      </c>
      <c r="DC31" s="289">
        <v>19.596499999999999</v>
      </c>
      <c r="DD31" s="289">
        <v>18.648099999999999</v>
      </c>
      <c r="DE31" s="289">
        <v>20.690100000000001</v>
      </c>
      <c r="DF31" s="289">
        <v>20.7179</v>
      </c>
      <c r="DG31" s="185">
        <v>25</v>
      </c>
      <c r="DJ31" s="185">
        <v>25</v>
      </c>
      <c r="DK31" s="289">
        <v>14.612</v>
      </c>
      <c r="DL31" s="289">
        <v>15.0832</v>
      </c>
      <c r="DM31" s="289">
        <v>14.964399999999999</v>
      </c>
      <c r="DN31" s="289">
        <v>15.353899999999999</v>
      </c>
      <c r="DO31" s="289">
        <v>15.2326</v>
      </c>
      <c r="DP31" s="289">
        <v>15.408799999999999</v>
      </c>
      <c r="DQ31" s="289">
        <v>16.094999999999999</v>
      </c>
      <c r="DR31" s="289">
        <v>16.917100000000001</v>
      </c>
      <c r="DS31" s="289">
        <v>17.045300000000001</v>
      </c>
      <c r="DT31" s="289">
        <v>16.528400000000001</v>
      </c>
      <c r="DU31" s="289">
        <v>16.5306</v>
      </c>
      <c r="DV31" s="289">
        <v>17.1953</v>
      </c>
      <c r="DW31" s="185">
        <v>25</v>
      </c>
      <c r="DZ31" s="185">
        <v>25</v>
      </c>
      <c r="EA31" s="289">
        <v>13.372199999999999</v>
      </c>
      <c r="EB31" s="289">
        <v>13.2704</v>
      </c>
      <c r="EC31" s="289">
        <v>13.22</v>
      </c>
      <c r="ED31" s="289">
        <v>13.0908</v>
      </c>
      <c r="EE31" s="289">
        <v>12.880100000000001</v>
      </c>
      <c r="EF31" s="289">
        <v>13.005599999999999</v>
      </c>
      <c r="EG31" s="289">
        <v>12.928599999999999</v>
      </c>
      <c r="EH31" s="289">
        <v>13.096299999999999</v>
      </c>
      <c r="EI31" s="289">
        <v>13.2768</v>
      </c>
      <c r="EJ31" s="289">
        <v>13.5288</v>
      </c>
      <c r="EK31" s="289">
        <v>13.6152</v>
      </c>
      <c r="EL31" s="289">
        <v>14.700799999999999</v>
      </c>
      <c r="EM31" s="185">
        <v>25</v>
      </c>
      <c r="EP31" s="185">
        <v>25</v>
      </c>
      <c r="EQ31" s="289">
        <v>12.6616</v>
      </c>
      <c r="ER31" s="289">
        <v>12.7699</v>
      </c>
      <c r="ES31" s="289">
        <v>12.3841</v>
      </c>
      <c r="ET31" s="289">
        <v>12.2492</v>
      </c>
      <c r="EU31" s="289">
        <v>12.4764</v>
      </c>
      <c r="EV31" s="289">
        <v>13.4041</v>
      </c>
      <c r="EW31" s="289">
        <v>12.5093</v>
      </c>
      <c r="EX31" s="289">
        <v>13.1486</v>
      </c>
      <c r="EY31" s="289">
        <v>12.784599999999999</v>
      </c>
      <c r="EZ31" s="289">
        <v>12.943300000000001</v>
      </c>
      <c r="FA31" s="289">
        <v>13.0617</v>
      </c>
      <c r="FB31" s="289">
        <v>12.961</v>
      </c>
      <c r="FC31" s="185">
        <v>25</v>
      </c>
      <c r="FF31" s="185">
        <v>25</v>
      </c>
      <c r="FG31" s="289">
        <v>13.138299999999999</v>
      </c>
      <c r="FH31" s="289">
        <v>12.8294</v>
      </c>
      <c r="FI31" s="289">
        <v>12.833</v>
      </c>
      <c r="FJ31" s="289">
        <v>13.2087</v>
      </c>
      <c r="FK31" s="289">
        <v>14.0335</v>
      </c>
      <c r="FL31" s="289">
        <v>13.7668</v>
      </c>
      <c r="FM31" s="289">
        <v>13.521800000000001</v>
      </c>
      <c r="FN31" s="289">
        <v>13.128399999999999</v>
      </c>
      <c r="FO31" s="289">
        <v>12.8376</v>
      </c>
      <c r="FP31" s="289">
        <v>12.975899999999999</v>
      </c>
      <c r="FQ31" s="289">
        <v>13.018800000000001</v>
      </c>
      <c r="FR31" s="289">
        <v>12.899100000000001</v>
      </c>
      <c r="FS31" s="185">
        <v>25</v>
      </c>
      <c r="FV31" s="185">
        <v>25</v>
      </c>
      <c r="FW31" s="289">
        <v>12.0482</v>
      </c>
      <c r="FX31" s="289">
        <v>12.19</v>
      </c>
      <c r="FY31" s="289">
        <v>12.000400000000001</v>
      </c>
      <c r="FZ31" s="289">
        <v>11.692500000000001</v>
      </c>
      <c r="GA31" s="289">
        <v>11.729200000000001</v>
      </c>
      <c r="GB31" s="289">
        <v>11.881600000000001</v>
      </c>
      <c r="GC31" s="289">
        <v>11.6174</v>
      </c>
      <c r="GD31" s="289">
        <v>12.335699999999999</v>
      </c>
      <c r="GE31" s="289">
        <v>13.8917</v>
      </c>
      <c r="GF31" s="289">
        <v>13.599600000000001</v>
      </c>
      <c r="GG31" s="289">
        <v>14.129099999999999</v>
      </c>
      <c r="GH31" s="289">
        <v>13.8169</v>
      </c>
      <c r="GI31" s="185">
        <v>25</v>
      </c>
      <c r="GL31" s="185">
        <v>25</v>
      </c>
      <c r="GM31" s="289">
        <v>12.772</v>
      </c>
      <c r="GN31" s="289">
        <v>12.8584</v>
      </c>
      <c r="GO31" s="289">
        <v>12.5284</v>
      </c>
      <c r="GP31" s="289">
        <v>12.240500000000001</v>
      </c>
      <c r="GQ31" s="289">
        <v>13.033799999999999</v>
      </c>
      <c r="GR31" s="289">
        <v>12.698399999999999</v>
      </c>
      <c r="GS31" s="289">
        <v>12.756</v>
      </c>
      <c r="GT31" s="289">
        <v>12.8492</v>
      </c>
      <c r="GU31" s="289">
        <v>12.642200000000001</v>
      </c>
      <c r="GV31" s="289">
        <v>12.3613</v>
      </c>
      <c r="GW31" s="289">
        <v>12.457700000000001</v>
      </c>
      <c r="GX31" s="289">
        <v>12.3332</v>
      </c>
      <c r="GY31" s="185">
        <v>25</v>
      </c>
      <c r="HB31" s="185">
        <v>25</v>
      </c>
      <c r="HC31" s="289">
        <v>13.932499999999999</v>
      </c>
      <c r="HD31" s="289">
        <v>14.8528</v>
      </c>
      <c r="HE31" s="289">
        <v>14.320399999999999</v>
      </c>
      <c r="HF31" s="289">
        <v>13.309900000000001</v>
      </c>
      <c r="HG31" s="289">
        <v>13.103</v>
      </c>
      <c r="HH31" s="289">
        <v>13.3187</v>
      </c>
      <c r="HI31" s="289">
        <v>13.1915</v>
      </c>
      <c r="HJ31" s="289">
        <v>12.822699999999999</v>
      </c>
      <c r="HK31" s="289">
        <v>13.3733</v>
      </c>
      <c r="HL31" s="289">
        <v>12.9495</v>
      </c>
      <c r="HM31" s="289">
        <v>13.0151</v>
      </c>
      <c r="HN31" s="289">
        <v>12.8896</v>
      </c>
      <c r="HO31" s="185">
        <v>25</v>
      </c>
      <c r="HP31" s="1"/>
      <c r="HQ31" s="1"/>
      <c r="HR31" s="185">
        <v>25</v>
      </c>
      <c r="HS31" s="289">
        <v>10.952199999999999</v>
      </c>
      <c r="HT31" s="289">
        <v>10.798</v>
      </c>
      <c r="HU31" s="289">
        <v>10.6944</v>
      </c>
      <c r="HV31" s="289">
        <v>10.486800000000001</v>
      </c>
      <c r="HW31" s="289">
        <v>10.381</v>
      </c>
      <c r="HX31" s="289">
        <v>10.3032</v>
      </c>
      <c r="HY31" s="289">
        <v>10.055199999999999</v>
      </c>
      <c r="HZ31" s="289">
        <v>10.1106</v>
      </c>
      <c r="IA31" s="289">
        <v>10.7264</v>
      </c>
      <c r="IB31" s="289">
        <v>13.5025</v>
      </c>
      <c r="IC31" s="289">
        <v>13.9183</v>
      </c>
      <c r="ID31" s="289">
        <v>13.217499999999999</v>
      </c>
      <c r="IE31" s="185">
        <v>25</v>
      </c>
      <c r="IF31" s="1"/>
      <c r="IG31" s="1"/>
      <c r="IH31" s="185">
        <v>25</v>
      </c>
      <c r="II31" s="289">
        <v>10.964499999999999</v>
      </c>
      <c r="IJ31" s="289">
        <v>10.968299999999999</v>
      </c>
      <c r="IK31" s="289">
        <v>11.022</v>
      </c>
      <c r="IL31" s="289">
        <v>10.963699999999999</v>
      </c>
      <c r="IM31" s="289">
        <v>10.768800000000001</v>
      </c>
      <c r="IN31" s="289">
        <v>10.826599999999999</v>
      </c>
      <c r="IO31" s="289">
        <v>10.763999999999999</v>
      </c>
      <c r="IP31" s="289">
        <v>11.0489</v>
      </c>
      <c r="IQ31" s="289">
        <v>10.951700000000001</v>
      </c>
      <c r="IR31" s="289">
        <v>10.824</v>
      </c>
      <c r="IS31" s="289">
        <v>10.978999999999999</v>
      </c>
      <c r="IT31" s="289">
        <v>10.8203</v>
      </c>
      <c r="IU31" s="185">
        <v>25</v>
      </c>
      <c r="IV31" s="1"/>
      <c r="IW31" s="1"/>
      <c r="IX31" s="185">
        <v>25</v>
      </c>
      <c r="IY31" s="289">
        <v>10.520799999999999</v>
      </c>
      <c r="IZ31" s="289">
        <v>10.4885</v>
      </c>
      <c r="JA31" s="289">
        <v>10.8612</v>
      </c>
      <c r="JB31" s="289">
        <v>11.066700000000001</v>
      </c>
      <c r="JC31" s="289">
        <v>11.1935</v>
      </c>
      <c r="JD31" s="289">
        <v>11.4405</v>
      </c>
      <c r="JE31" s="289">
        <v>10.8954</v>
      </c>
      <c r="JF31" s="289">
        <v>10.8428</v>
      </c>
      <c r="JG31" s="289">
        <v>10.9953</v>
      </c>
      <c r="JH31" s="289">
        <v>10.8489</v>
      </c>
      <c r="JI31" s="289">
        <v>10.9682</v>
      </c>
      <c r="JJ31" s="289">
        <v>10.841100000000001</v>
      </c>
      <c r="JK31" s="185">
        <v>25</v>
      </c>
      <c r="JL31" s="1"/>
      <c r="JM31" s="1"/>
      <c r="JN31" s="185">
        <v>25</v>
      </c>
      <c r="JO31" s="289">
        <v>11.250500000000001</v>
      </c>
      <c r="JP31" s="289">
        <v>11.0807</v>
      </c>
      <c r="JQ31" s="289">
        <v>11.1898</v>
      </c>
      <c r="JR31" s="289">
        <v>11.041</v>
      </c>
      <c r="JS31" s="289">
        <v>10.9533</v>
      </c>
      <c r="JT31" s="289">
        <v>10.7897</v>
      </c>
      <c r="JU31" s="289">
        <v>10.594200000000001</v>
      </c>
      <c r="JV31" s="289">
        <v>10.7742</v>
      </c>
      <c r="JW31" s="289">
        <v>10.834099999999999</v>
      </c>
      <c r="JX31" s="289">
        <v>10.8948</v>
      </c>
      <c r="JY31" s="289">
        <v>10.618</v>
      </c>
      <c r="JZ31" s="289">
        <v>10.6532</v>
      </c>
      <c r="KA31" s="185">
        <v>25</v>
      </c>
      <c r="KB31" s="1"/>
      <c r="KC31" s="1"/>
      <c r="KD31" s="185">
        <v>25</v>
      </c>
      <c r="KE31" s="289">
        <v>11.001200000000001</v>
      </c>
      <c r="KF31" s="289">
        <v>10.9437</v>
      </c>
      <c r="KG31" s="289">
        <v>10.9695</v>
      </c>
      <c r="KH31" s="289">
        <v>11.3256</v>
      </c>
      <c r="KI31" s="289">
        <v>11.567299999999999</v>
      </c>
      <c r="KJ31" s="289">
        <v>11.342499999999999</v>
      </c>
      <c r="KK31" s="289">
        <v>11.446300000000001</v>
      </c>
      <c r="KL31" s="289">
        <v>11.3764</v>
      </c>
      <c r="KM31" s="289">
        <v>11.417999999999999</v>
      </c>
      <c r="KN31" s="289">
        <v>11.472200000000001</v>
      </c>
      <c r="KO31" s="289">
        <v>11.3447</v>
      </c>
      <c r="KP31" s="289">
        <v>11.1363</v>
      </c>
      <c r="KQ31" s="185">
        <v>25</v>
      </c>
      <c r="KR31" s="1"/>
      <c r="KS31" s="1"/>
      <c r="KT31" s="185">
        <v>25</v>
      </c>
      <c r="KU31" s="289">
        <v>10.770799999999999</v>
      </c>
      <c r="KV31" s="289">
        <v>10.979799999999999</v>
      </c>
      <c r="KW31" s="289">
        <v>10.8734</v>
      </c>
      <c r="KX31" s="289">
        <v>10.514699999999999</v>
      </c>
      <c r="KY31" s="289">
        <v>10.238300000000001</v>
      </c>
      <c r="KZ31" s="289">
        <v>10.4796</v>
      </c>
      <c r="LA31" s="289">
        <v>10.516</v>
      </c>
      <c r="LB31" s="289">
        <v>10.8507</v>
      </c>
      <c r="LC31" s="289">
        <v>10.774100000000001</v>
      </c>
      <c r="LD31" s="289">
        <v>11.180999999999999</v>
      </c>
      <c r="LE31" s="289">
        <v>11.2058</v>
      </c>
      <c r="LF31" s="289">
        <v>11.269600000000001</v>
      </c>
      <c r="LG31" s="185">
        <v>25</v>
      </c>
      <c r="LH31" s="1"/>
      <c r="LI31" s="1"/>
      <c r="LJ31" s="185">
        <v>25</v>
      </c>
      <c r="LK31" s="289">
        <v>9.1479999999999997</v>
      </c>
      <c r="LL31" s="289">
        <v>9.0756999999999994</v>
      </c>
      <c r="LM31" s="289">
        <v>9.0707000000000004</v>
      </c>
      <c r="LN31" s="289">
        <v>9.2698</v>
      </c>
      <c r="LO31" s="289">
        <v>9.5165000000000006</v>
      </c>
      <c r="LP31" s="289">
        <v>9.9473000000000003</v>
      </c>
      <c r="LQ31" s="289">
        <v>9.6129999999999995</v>
      </c>
      <c r="LR31" s="289">
        <v>9.8388000000000009</v>
      </c>
      <c r="LS31" s="289">
        <v>10.357799999999999</v>
      </c>
      <c r="LT31" s="289">
        <v>10.007899999999999</v>
      </c>
      <c r="LU31" s="289">
        <v>10.087400000000001</v>
      </c>
      <c r="LV31" s="289">
        <v>10.1907</v>
      </c>
      <c r="LW31" s="185">
        <v>25</v>
      </c>
      <c r="LX31" s="1"/>
      <c r="LY31" s="1"/>
      <c r="LZ31" s="185">
        <v>25</v>
      </c>
      <c r="MA31" s="289">
        <v>9.7683</v>
      </c>
      <c r="MB31" s="289">
        <v>9.7278000000000002</v>
      </c>
      <c r="MC31" s="289">
        <v>9.5722000000000005</v>
      </c>
      <c r="MD31" s="289">
        <v>9.3699999999999992</v>
      </c>
      <c r="ME31" s="289">
        <v>9.0397999999999996</v>
      </c>
      <c r="MF31" s="289">
        <v>9.0570000000000004</v>
      </c>
      <c r="MG31" s="289">
        <v>9.1106999999999996</v>
      </c>
      <c r="MH31" s="289">
        <v>9.1204999999999998</v>
      </c>
      <c r="MI31" s="289">
        <v>9.4847999999999999</v>
      </c>
      <c r="MJ31" s="289">
        <v>9.2242999999999995</v>
      </c>
      <c r="MK31" s="289">
        <v>9.1547000000000001</v>
      </c>
      <c r="ML31" s="289">
        <v>9.1234999999999999</v>
      </c>
      <c r="MM31" s="185">
        <v>25</v>
      </c>
      <c r="MN31" s="1"/>
      <c r="MO31" s="1"/>
      <c r="MP31" s="185">
        <v>25</v>
      </c>
      <c r="MQ31" s="289">
        <v>9.4463000000000008</v>
      </c>
      <c r="MR31" s="289">
        <v>9.4067000000000007</v>
      </c>
      <c r="MS31" s="289">
        <v>9.2398000000000007</v>
      </c>
      <c r="MT31" s="289">
        <v>9.3939000000000004</v>
      </c>
      <c r="MU31" s="289">
        <v>9.5090000000000003</v>
      </c>
      <c r="MV31" s="289">
        <v>9.8706999999999994</v>
      </c>
      <c r="MW31" s="289">
        <v>9.3484999999999996</v>
      </c>
      <c r="MX31" s="289">
        <v>9.2773000000000003</v>
      </c>
      <c r="MY31" s="289">
        <v>9.4346999999999994</v>
      </c>
      <c r="MZ31" s="289">
        <v>9.5736000000000008</v>
      </c>
      <c r="NA31" s="289">
        <v>9.4056999999999995</v>
      </c>
      <c r="NB31" s="289">
        <v>9.5726999999999993</v>
      </c>
      <c r="NC31" s="185">
        <v>25</v>
      </c>
      <c r="ND31" s="1"/>
      <c r="NE31" s="1"/>
      <c r="NF31" s="185">
        <v>25</v>
      </c>
      <c r="NG31" s="289">
        <v>10.2874</v>
      </c>
      <c r="NH31" s="289">
        <v>9.9565000000000001</v>
      </c>
      <c r="NI31" s="289">
        <v>9.6722999999999999</v>
      </c>
      <c r="NJ31" s="289">
        <v>9.3316999999999997</v>
      </c>
      <c r="NK31" s="289">
        <v>9.3589000000000002</v>
      </c>
      <c r="NL31" s="289">
        <v>9.4038000000000004</v>
      </c>
      <c r="NM31" s="289">
        <v>9.3745999999999992</v>
      </c>
      <c r="NN31" s="289">
        <v>9.3435000000000006</v>
      </c>
      <c r="NO31" s="289">
        <v>9.3055000000000003</v>
      </c>
      <c r="NP31" s="289">
        <v>9.6481999999999992</v>
      </c>
      <c r="NQ31" s="289">
        <v>9.3323999999999998</v>
      </c>
      <c r="NR31" s="289">
        <v>9.3695000000000004</v>
      </c>
      <c r="NS31" s="185">
        <v>25</v>
      </c>
      <c r="NT31" s="1"/>
      <c r="NU31" s="1"/>
      <c r="NV31" s="185">
        <v>25</v>
      </c>
      <c r="NW31" s="289">
        <v>8.3320000000000007</v>
      </c>
      <c r="NX31" s="289">
        <v>8.6379000000000001</v>
      </c>
      <c r="NY31" s="289">
        <v>8.5367999999999995</v>
      </c>
      <c r="NZ31" s="289">
        <v>8.4702999999999999</v>
      </c>
      <c r="OA31" s="289">
        <v>8.6222999999999992</v>
      </c>
      <c r="OB31" s="289">
        <v>8.8926999999999996</v>
      </c>
      <c r="OC31" s="289">
        <v>8.8646999999999991</v>
      </c>
      <c r="OD31" s="289">
        <v>9.69</v>
      </c>
      <c r="OE31" s="289">
        <v>10.1159</v>
      </c>
      <c r="OF31" s="289">
        <v>9.9930000000000003</v>
      </c>
      <c r="OG31" s="289">
        <v>9.8772000000000002</v>
      </c>
      <c r="OH31" s="289">
        <v>9.8103999999999996</v>
      </c>
      <c r="OI31" s="185">
        <v>25</v>
      </c>
      <c r="OJ31" s="1"/>
      <c r="OK31" s="1"/>
      <c r="OL31" s="185">
        <v>25</v>
      </c>
      <c r="OM31" s="289">
        <v>7.7912999999999997</v>
      </c>
      <c r="ON31" s="289">
        <v>7.7617000000000003</v>
      </c>
      <c r="OO31" s="289">
        <v>7.9406999999999996</v>
      </c>
      <c r="OP31" s="289">
        <v>7.8783000000000003</v>
      </c>
      <c r="OQ31" s="289">
        <v>7.8689</v>
      </c>
      <c r="OR31" s="289">
        <v>7.9770000000000003</v>
      </c>
      <c r="OS31" s="289">
        <v>7.8372999999999999</v>
      </c>
      <c r="OT31" s="289">
        <v>7.7596999999999996</v>
      </c>
      <c r="OU31" s="289">
        <v>7.7680999999999996</v>
      </c>
      <c r="OV31" s="289">
        <v>7.7629999999999999</v>
      </c>
      <c r="OW31" s="289">
        <v>8.1773000000000007</v>
      </c>
      <c r="OX31" s="289">
        <v>8.1267999999999994</v>
      </c>
      <c r="OY31" s="185">
        <v>25</v>
      </c>
      <c r="OZ31" s="1"/>
      <c r="PA31" s="1"/>
      <c r="PB31" s="185">
        <v>25</v>
      </c>
      <c r="PC31" s="289">
        <v>7.3608000000000002</v>
      </c>
      <c r="PD31" s="289">
        <v>7.5476999999999999</v>
      </c>
      <c r="PE31" s="289">
        <v>7.5431999999999997</v>
      </c>
      <c r="PF31" s="289">
        <v>7.4175000000000004</v>
      </c>
      <c r="PG31" s="289">
        <v>7.3822999999999999</v>
      </c>
      <c r="PH31" s="289">
        <v>7.5743</v>
      </c>
      <c r="PI31" s="289">
        <v>7.6078000000000001</v>
      </c>
      <c r="PJ31" s="289">
        <v>7.4756999999999998</v>
      </c>
      <c r="PK31" s="289">
        <v>7.5827999999999998</v>
      </c>
      <c r="PL31" s="289">
        <v>7.8502000000000001</v>
      </c>
      <c r="PM31" s="289">
        <v>7.8959999999999999</v>
      </c>
      <c r="PN31" s="289">
        <v>7.8343999999999996</v>
      </c>
      <c r="PO31" s="185">
        <v>25</v>
      </c>
      <c r="PP31" s="1"/>
      <c r="PQ31" s="1"/>
      <c r="PR31" s="185">
        <v>25</v>
      </c>
      <c r="PS31" s="289">
        <v>5.7725</v>
      </c>
      <c r="PT31" s="289">
        <v>5.6749999999999998</v>
      </c>
      <c r="PU31" s="289">
        <v>7.0425000000000004</v>
      </c>
      <c r="PV31" s="289">
        <v>6.0191999999999997</v>
      </c>
      <c r="PW31" s="289">
        <v>5.9950000000000001</v>
      </c>
      <c r="PX31" s="289">
        <v>6.2424999999999997</v>
      </c>
      <c r="PY31" s="289">
        <v>6.0983000000000001</v>
      </c>
      <c r="PZ31" s="289">
        <v>6.3049999999999997</v>
      </c>
      <c r="QA31" s="289">
        <v>6.3128000000000002</v>
      </c>
      <c r="QB31" s="289">
        <v>6.7034000000000002</v>
      </c>
      <c r="QC31" s="289">
        <v>7.6349999999999998</v>
      </c>
      <c r="QD31" s="289">
        <v>7.5857999999999999</v>
      </c>
      <c r="QE31" s="185">
        <v>25</v>
      </c>
      <c r="QF31" s="1"/>
      <c r="QG31" s="1"/>
      <c r="QH31" s="185">
        <v>25</v>
      </c>
      <c r="QI31" s="289">
        <v>3.1055000000000001</v>
      </c>
      <c r="QJ31" s="289">
        <v>3.1179000000000001</v>
      </c>
      <c r="QK31" s="289">
        <v>3.3325999999999998</v>
      </c>
      <c r="QL31" s="289">
        <v>3.3694000000000002</v>
      </c>
      <c r="QM31" s="289">
        <v>3.3025000000000002</v>
      </c>
      <c r="QN31" s="289">
        <v>3.3855</v>
      </c>
      <c r="QO31" s="289">
        <v>3.4056000000000002</v>
      </c>
      <c r="QP31" s="289">
        <v>3.3428</v>
      </c>
      <c r="QQ31" s="289">
        <v>3.4087999999999998</v>
      </c>
      <c r="QR31" s="289">
        <v>3.4175</v>
      </c>
      <c r="QS31" s="289">
        <v>3.4439000000000002</v>
      </c>
      <c r="QT31" s="289">
        <v>4.8875000000000002</v>
      </c>
      <c r="QU31" s="185">
        <v>25</v>
      </c>
      <c r="QV31" s="1"/>
      <c r="QW31" s="1"/>
      <c r="QX31" s="185">
        <v>25</v>
      </c>
      <c r="QY31" s="289">
        <v>3.1051000000000002</v>
      </c>
      <c r="QZ31" s="289">
        <v>3.0939000000000001</v>
      </c>
      <c r="RA31" s="289">
        <v>3.1149</v>
      </c>
      <c r="RB31" s="289">
        <v>3.0937000000000001</v>
      </c>
      <c r="RC31" s="289">
        <v>3.1097000000000001</v>
      </c>
      <c r="RD31" s="289">
        <v>3.1156999999999999</v>
      </c>
      <c r="RE31" s="289">
        <v>3.1229</v>
      </c>
      <c r="RF31" s="289">
        <v>3.1112000000000002</v>
      </c>
      <c r="RG31" s="289">
        <v>3.1124000000000001</v>
      </c>
      <c r="RH31" s="289">
        <v>3.1120000000000001</v>
      </c>
      <c r="RI31" s="289">
        <v>3.1002999999999998</v>
      </c>
      <c r="RJ31" s="289">
        <v>3.1110000000000002</v>
      </c>
      <c r="RK31" s="185">
        <v>25</v>
      </c>
      <c r="RL31" s="1"/>
      <c r="RM31" s="1"/>
      <c r="RN31" s="185">
        <v>25</v>
      </c>
      <c r="RO31" s="289">
        <v>3.0735999999999999</v>
      </c>
      <c r="RP31" s="289">
        <v>3.0609999999999999</v>
      </c>
      <c r="RQ31" s="289">
        <v>3.0693000000000001</v>
      </c>
      <c r="RR31" s="289">
        <v>3.0855999999999999</v>
      </c>
      <c r="RS31" s="289">
        <v>3.1055999999999999</v>
      </c>
      <c r="RT31" s="289">
        <v>3.1221999999999999</v>
      </c>
      <c r="RU31" s="289">
        <v>3.1113</v>
      </c>
      <c r="RV31" s="289">
        <v>3.0836000000000001</v>
      </c>
      <c r="RW31" s="289">
        <v>3.1208</v>
      </c>
      <c r="RX31" s="289">
        <v>3.1252</v>
      </c>
      <c r="RY31" s="289">
        <v>3.1194000000000002</v>
      </c>
      <c r="RZ31" s="289">
        <v>3.1194999999999999</v>
      </c>
      <c r="SA31" s="185">
        <v>25</v>
      </c>
      <c r="SB31" s="1"/>
      <c r="SC31" s="1"/>
      <c r="SD31" s="185">
        <v>25</v>
      </c>
      <c r="SE31" s="289">
        <v>2.9558</v>
      </c>
      <c r="SF31" s="289">
        <v>2.9674</v>
      </c>
      <c r="SG31" s="289">
        <v>2.9786000000000001</v>
      </c>
      <c r="SH31" s="289">
        <v>2.9918</v>
      </c>
      <c r="SI31" s="289">
        <v>3.0038</v>
      </c>
      <c r="SJ31" s="289">
        <v>3.0154000000000001</v>
      </c>
      <c r="SK31" s="289">
        <v>3.0282</v>
      </c>
      <c r="SL31" s="289">
        <v>3.0402</v>
      </c>
      <c r="SM31" s="289">
        <v>3.0529999999999999</v>
      </c>
      <c r="SN31" s="289">
        <v>3.0657999999999999</v>
      </c>
      <c r="SO31" s="289">
        <v>3.0631900000000001</v>
      </c>
      <c r="SP31" s="289">
        <v>3.0836899999999998</v>
      </c>
      <c r="SQ31" s="185">
        <v>25</v>
      </c>
      <c r="SR31" s="1"/>
      <c r="SS31" s="1"/>
      <c r="ST31" s="185">
        <v>25</v>
      </c>
      <c r="SU31" s="289">
        <v>2.6669999999999998</v>
      </c>
      <c r="SV31" s="289">
        <v>2.6970000000000001</v>
      </c>
      <c r="SW31" s="289">
        <v>2.7250000000000001</v>
      </c>
      <c r="SX31" s="289">
        <v>2.7570000000000001</v>
      </c>
      <c r="SY31" s="289">
        <v>2.7869999999999999</v>
      </c>
      <c r="SZ31" s="289">
        <v>2.8113999999999999</v>
      </c>
      <c r="TA31" s="289">
        <v>2.8370000000000002</v>
      </c>
      <c r="TB31" s="289">
        <v>2.8618000000000001</v>
      </c>
      <c r="TC31" s="289">
        <v>2.8849999999999998</v>
      </c>
      <c r="TD31" s="289">
        <v>2.9106000000000001</v>
      </c>
      <c r="TE31" s="289">
        <v>2.931</v>
      </c>
      <c r="TF31" s="289">
        <v>2.9426000000000001</v>
      </c>
      <c r="TG31" s="185">
        <v>25</v>
      </c>
      <c r="TH31" s="1"/>
      <c r="TI31" s="1"/>
      <c r="TJ31" s="185">
        <v>25</v>
      </c>
      <c r="TK31" s="289">
        <v>2.302</v>
      </c>
      <c r="TL31" s="289">
        <v>2.3330000000000002</v>
      </c>
      <c r="TM31" s="289">
        <v>2.3610000000000002</v>
      </c>
      <c r="TN31" s="289">
        <v>2.39</v>
      </c>
      <c r="TO31" s="289">
        <v>2.4220000000000002</v>
      </c>
      <c r="TP31" s="289">
        <v>2.452</v>
      </c>
      <c r="TQ31" s="289">
        <v>2.4809999999999999</v>
      </c>
      <c r="TR31" s="289">
        <v>2.5139999999999998</v>
      </c>
      <c r="TS31" s="289">
        <v>2.5430000000000001</v>
      </c>
      <c r="TT31" s="289">
        <v>2.5750000000000002</v>
      </c>
      <c r="TU31" s="289">
        <v>2.6059999999999999</v>
      </c>
      <c r="TV31" s="289">
        <v>2.6339999999999999</v>
      </c>
      <c r="TW31" s="185">
        <v>25</v>
      </c>
    </row>
    <row r="32" spans="2:543" ht="20.100000000000001" customHeight="1">
      <c r="B32" s="64">
        <v>26</v>
      </c>
      <c r="C32" s="289">
        <v>20.630800000000001</v>
      </c>
      <c r="D32" s="289">
        <v>20.6525</v>
      </c>
      <c r="E32" s="289">
        <v>20.1313</v>
      </c>
      <c r="F32" s="289">
        <v>20.318300000000001</v>
      </c>
      <c r="G32" s="289">
        <v>19.887</v>
      </c>
      <c r="H32" s="289">
        <v>20.0365</v>
      </c>
      <c r="I32" s="289">
        <v>20.515000000000001</v>
      </c>
      <c r="J32" s="289">
        <v>19.919799999999999</v>
      </c>
      <c r="K32" s="289">
        <v>19.960799999999999</v>
      </c>
      <c r="L32" s="289">
        <v>19.953499999999998</v>
      </c>
      <c r="M32" s="289">
        <v>19.369199999999999</v>
      </c>
      <c r="N32" s="289">
        <v>19.574000000000002</v>
      </c>
      <c r="O32" s="64">
        <v>26</v>
      </c>
      <c r="R32" s="64">
        <v>26</v>
      </c>
      <c r="S32" s="289">
        <v>19.9833</v>
      </c>
      <c r="T32" s="289">
        <v>20.475200000000001</v>
      </c>
      <c r="U32" s="289">
        <v>20.7882</v>
      </c>
      <c r="V32" s="289">
        <v>19.886500000000002</v>
      </c>
      <c r="W32" s="289">
        <v>19.872</v>
      </c>
      <c r="X32" s="289">
        <v>20.048300000000001</v>
      </c>
      <c r="Y32" s="289">
        <v>20.1812</v>
      </c>
      <c r="Z32" s="289">
        <v>20.296700000000001</v>
      </c>
      <c r="AA32" s="289">
        <v>20.027999999999999</v>
      </c>
      <c r="AB32" s="289">
        <v>20.183700000000002</v>
      </c>
      <c r="AC32" s="289">
        <v>21.435700000000001</v>
      </c>
      <c r="AD32" s="289">
        <v>20.658200000000001</v>
      </c>
      <c r="AE32" s="64">
        <v>26</v>
      </c>
      <c r="AH32" s="185">
        <v>26</v>
      </c>
      <c r="AI32" s="289">
        <v>18.8018</v>
      </c>
      <c r="AJ32" s="289">
        <v>19.119700000000002</v>
      </c>
      <c r="AK32" s="289">
        <v>25.118500000000001</v>
      </c>
      <c r="AL32" s="289">
        <v>24.623000000000001</v>
      </c>
      <c r="AM32" s="289">
        <v>22.7928</v>
      </c>
      <c r="AN32" s="289">
        <v>22.6662</v>
      </c>
      <c r="AO32" s="289">
        <v>22.3627</v>
      </c>
      <c r="AP32" s="289">
        <v>21.984000000000002</v>
      </c>
      <c r="AQ32" s="289">
        <v>22.367799999999999</v>
      </c>
      <c r="AR32" s="289">
        <v>21.03</v>
      </c>
      <c r="AS32" s="289">
        <v>20.057700000000001</v>
      </c>
      <c r="AT32" s="289">
        <v>20.1175</v>
      </c>
      <c r="AU32" s="185">
        <v>26</v>
      </c>
      <c r="AX32" s="185">
        <v>26</v>
      </c>
      <c r="AY32" s="289">
        <v>18.985900000000001</v>
      </c>
      <c r="AZ32" s="289">
        <v>19.139399999999998</v>
      </c>
      <c r="BA32" s="289">
        <v>19.136900000000001</v>
      </c>
      <c r="BB32" s="289">
        <v>19.0046</v>
      </c>
      <c r="BC32" s="289">
        <v>19.0122</v>
      </c>
      <c r="BD32" s="289">
        <v>19.183299999999999</v>
      </c>
      <c r="BE32" s="289">
        <v>19.089400000000001</v>
      </c>
      <c r="BF32" s="289">
        <v>19.746700000000001</v>
      </c>
      <c r="BG32" s="289">
        <v>19.4587</v>
      </c>
      <c r="BH32" s="289">
        <v>19.087800000000001</v>
      </c>
      <c r="BI32" s="289">
        <v>19.398700000000002</v>
      </c>
      <c r="BJ32" s="289">
        <v>18.938500000000001</v>
      </c>
      <c r="BK32" s="185">
        <v>26</v>
      </c>
      <c r="BN32" s="185">
        <v>26</v>
      </c>
      <c r="BO32" s="289">
        <v>18.517800000000001</v>
      </c>
      <c r="BP32" s="289">
        <v>18.657399999999999</v>
      </c>
      <c r="BQ32" s="289">
        <v>18.5078</v>
      </c>
      <c r="BR32" s="289">
        <v>18.8139</v>
      </c>
      <c r="BS32" s="289">
        <v>19.704799999999999</v>
      </c>
      <c r="BT32" s="289">
        <v>20.1264</v>
      </c>
      <c r="BU32" s="289">
        <v>18.8506</v>
      </c>
      <c r="BV32" s="289">
        <v>18.8672</v>
      </c>
      <c r="BW32" s="289">
        <v>18.851600000000001</v>
      </c>
      <c r="BX32" s="289">
        <v>19.462299999999999</v>
      </c>
      <c r="BY32" s="289">
        <v>20.298400000000001</v>
      </c>
      <c r="BZ32" s="289">
        <v>19.927499999999998</v>
      </c>
      <c r="CA32" s="185">
        <v>26</v>
      </c>
      <c r="CD32" s="185">
        <v>26</v>
      </c>
      <c r="CE32" s="289">
        <v>21.369199999999999</v>
      </c>
      <c r="CF32" s="289">
        <v>19.7011</v>
      </c>
      <c r="CG32" s="289">
        <v>18.9877</v>
      </c>
      <c r="CH32" s="289">
        <v>18.652100000000001</v>
      </c>
      <c r="CI32" s="289">
        <v>18.568899999999999</v>
      </c>
      <c r="CJ32" s="289">
        <v>18.126999999999999</v>
      </c>
      <c r="CK32" s="289">
        <v>17.689299999999999</v>
      </c>
      <c r="CL32" s="289">
        <v>17.697700000000001</v>
      </c>
      <c r="CM32" s="289">
        <v>17.748699999999999</v>
      </c>
      <c r="CN32" s="289">
        <v>19.200900000000001</v>
      </c>
      <c r="CO32" s="289">
        <v>18.604099999999999</v>
      </c>
      <c r="CP32" s="289">
        <v>19.3962</v>
      </c>
      <c r="CQ32" s="185">
        <v>26</v>
      </c>
      <c r="CT32" s="185">
        <v>26</v>
      </c>
      <c r="CU32" s="289">
        <v>18.428000000000001</v>
      </c>
      <c r="CV32" s="289">
        <v>18.289300000000001</v>
      </c>
      <c r="CW32" s="289">
        <v>17.336099999999998</v>
      </c>
      <c r="CX32" s="289">
        <v>17.4359</v>
      </c>
      <c r="CY32" s="289">
        <v>18.4694</v>
      </c>
      <c r="CZ32" s="289">
        <v>18.320699999999999</v>
      </c>
      <c r="DA32" s="289">
        <v>18.608899999999998</v>
      </c>
      <c r="DB32" s="289">
        <v>18.4971</v>
      </c>
      <c r="DC32" s="289">
        <v>19.596499999999999</v>
      </c>
      <c r="DD32" s="289">
        <v>18.565799999999999</v>
      </c>
      <c r="DE32" s="289">
        <v>20.705100000000002</v>
      </c>
      <c r="DF32" s="289">
        <v>20.7179</v>
      </c>
      <c r="DG32" s="185">
        <v>26</v>
      </c>
      <c r="DJ32" s="185">
        <v>26</v>
      </c>
      <c r="DK32" s="289">
        <v>14.612</v>
      </c>
      <c r="DL32" s="289">
        <v>14.9712</v>
      </c>
      <c r="DM32" s="289">
        <v>14.934699999999999</v>
      </c>
      <c r="DN32" s="289">
        <v>15.353899999999999</v>
      </c>
      <c r="DO32" s="289">
        <v>15.2918</v>
      </c>
      <c r="DP32" s="289">
        <v>15.455500000000001</v>
      </c>
      <c r="DQ32" s="289">
        <v>16.094999999999999</v>
      </c>
      <c r="DR32" s="289">
        <v>17.0975</v>
      </c>
      <c r="DS32" s="289">
        <v>17.045300000000001</v>
      </c>
      <c r="DT32" s="289">
        <v>16.528400000000001</v>
      </c>
      <c r="DU32" s="289">
        <v>16.470500000000001</v>
      </c>
      <c r="DV32" s="289">
        <v>17.1953</v>
      </c>
      <c r="DW32" s="185">
        <v>26</v>
      </c>
      <c r="DZ32" s="185">
        <v>26</v>
      </c>
      <c r="EA32" s="289">
        <v>13.372199999999999</v>
      </c>
      <c r="EB32" s="289">
        <v>13.209</v>
      </c>
      <c r="EC32" s="289">
        <v>13.202</v>
      </c>
      <c r="ED32" s="289">
        <v>13.101000000000001</v>
      </c>
      <c r="EE32" s="289">
        <v>12.880100000000001</v>
      </c>
      <c r="EF32" s="289">
        <v>13.021800000000001</v>
      </c>
      <c r="EG32" s="289">
        <v>12.9572</v>
      </c>
      <c r="EH32" s="289">
        <v>13.1328</v>
      </c>
      <c r="EI32" s="289">
        <v>13.301500000000001</v>
      </c>
      <c r="EJ32" s="289">
        <v>13.5288</v>
      </c>
      <c r="EK32" s="289">
        <v>13.6374</v>
      </c>
      <c r="EL32" s="289">
        <v>14.700799999999999</v>
      </c>
      <c r="EM32" s="185">
        <v>26</v>
      </c>
      <c r="EP32" s="185">
        <v>26</v>
      </c>
      <c r="EQ32" s="289">
        <v>12.6286</v>
      </c>
      <c r="ER32" s="289">
        <v>12.7517</v>
      </c>
      <c r="ES32" s="289">
        <v>12.372400000000001</v>
      </c>
      <c r="ET32" s="289">
        <v>12.2768</v>
      </c>
      <c r="EU32" s="289">
        <v>12.4764</v>
      </c>
      <c r="EV32" s="289">
        <v>13.396599999999999</v>
      </c>
      <c r="EW32" s="289">
        <v>12.632999999999999</v>
      </c>
      <c r="EX32" s="289">
        <v>13.1486</v>
      </c>
      <c r="EY32" s="289">
        <v>12.875400000000001</v>
      </c>
      <c r="EZ32" s="289">
        <v>12.9916</v>
      </c>
      <c r="FA32" s="289">
        <v>13.0223</v>
      </c>
      <c r="FB32" s="289">
        <v>12.961</v>
      </c>
      <c r="FC32" s="185">
        <v>26</v>
      </c>
      <c r="FF32" s="291">
        <v>26</v>
      </c>
      <c r="FG32" s="292">
        <v>13.171200000000001</v>
      </c>
      <c r="FH32" s="292">
        <v>12.8294</v>
      </c>
      <c r="FI32" s="292">
        <v>12.833</v>
      </c>
      <c r="FJ32" s="292">
        <v>13.139200000000001</v>
      </c>
      <c r="FK32" s="292">
        <v>14.004</v>
      </c>
      <c r="FL32" s="292">
        <v>13.849</v>
      </c>
      <c r="FM32" s="292">
        <v>13.679600000000001</v>
      </c>
      <c r="FN32" s="292">
        <v>13.128399999999999</v>
      </c>
      <c r="FO32" s="292">
        <v>12.9123</v>
      </c>
      <c r="FP32" s="292">
        <v>12.9839</v>
      </c>
      <c r="FQ32" s="292">
        <v>13.018800000000001</v>
      </c>
      <c r="FR32" s="292">
        <v>12.899100000000001</v>
      </c>
      <c r="FS32" s="291">
        <v>26</v>
      </c>
      <c r="FV32" s="185">
        <v>26</v>
      </c>
      <c r="FW32" s="289">
        <v>12.051600000000001</v>
      </c>
      <c r="FX32" s="289">
        <v>12.173</v>
      </c>
      <c r="FY32" s="289">
        <v>11.955500000000001</v>
      </c>
      <c r="FZ32" s="289">
        <v>11.6252</v>
      </c>
      <c r="GA32" s="289">
        <v>11.703200000000001</v>
      </c>
      <c r="GB32" s="289">
        <v>11.881600000000001</v>
      </c>
      <c r="GC32" s="289">
        <v>11.6393</v>
      </c>
      <c r="GD32" s="289">
        <v>12.395200000000001</v>
      </c>
      <c r="GE32" s="289">
        <v>13.8917</v>
      </c>
      <c r="GF32" s="289">
        <v>13.488899999999999</v>
      </c>
      <c r="GG32" s="289">
        <v>14.1778</v>
      </c>
      <c r="GH32" s="289">
        <v>13.8169</v>
      </c>
      <c r="GI32" s="185">
        <v>26</v>
      </c>
      <c r="GL32" s="185">
        <v>26</v>
      </c>
      <c r="GM32" s="289">
        <v>12.9412</v>
      </c>
      <c r="GN32" s="289">
        <v>12.853899999999999</v>
      </c>
      <c r="GO32" s="289">
        <v>12.5381</v>
      </c>
      <c r="GP32" s="289">
        <v>12.240500000000001</v>
      </c>
      <c r="GQ32" s="289">
        <v>12.9588</v>
      </c>
      <c r="GR32" s="289">
        <v>12.7141</v>
      </c>
      <c r="GS32" s="289">
        <v>12.756</v>
      </c>
      <c r="GT32" s="289">
        <v>12.936</v>
      </c>
      <c r="GU32" s="289">
        <v>12.642200000000001</v>
      </c>
      <c r="GV32" s="289">
        <v>12.387700000000001</v>
      </c>
      <c r="GW32" s="289">
        <v>12.3912</v>
      </c>
      <c r="GX32" s="289">
        <v>12.3332</v>
      </c>
      <c r="GY32" s="185">
        <v>26</v>
      </c>
      <c r="HB32" s="185">
        <v>26</v>
      </c>
      <c r="HC32" s="289">
        <v>13.932499999999999</v>
      </c>
      <c r="HD32" s="289">
        <v>14.832700000000001</v>
      </c>
      <c r="HE32" s="289">
        <v>14.2683</v>
      </c>
      <c r="HF32" s="289">
        <v>13.309900000000001</v>
      </c>
      <c r="HG32" s="289">
        <v>13.172800000000001</v>
      </c>
      <c r="HH32" s="289">
        <v>13.305099999999999</v>
      </c>
      <c r="HI32" s="289">
        <v>13.1915</v>
      </c>
      <c r="HJ32" s="289">
        <v>12.827400000000001</v>
      </c>
      <c r="HK32" s="289">
        <v>13.4549</v>
      </c>
      <c r="HL32" s="289">
        <v>12.9495</v>
      </c>
      <c r="HM32" s="289">
        <v>12.9305</v>
      </c>
      <c r="HN32" s="289">
        <v>12.8896</v>
      </c>
      <c r="HO32" s="185">
        <v>26</v>
      </c>
      <c r="HP32" s="1"/>
      <c r="HQ32" s="1"/>
      <c r="HR32" s="185">
        <v>26</v>
      </c>
      <c r="HS32" s="289">
        <v>10.8934</v>
      </c>
      <c r="HT32" s="289">
        <v>10.7818</v>
      </c>
      <c r="HU32" s="289">
        <v>10.674799999999999</v>
      </c>
      <c r="HV32" s="289">
        <v>10.462</v>
      </c>
      <c r="HW32" s="289">
        <v>10.381</v>
      </c>
      <c r="HX32" s="289">
        <v>10.318</v>
      </c>
      <c r="HY32" s="289">
        <v>10.026400000000001</v>
      </c>
      <c r="HZ32" s="289">
        <v>10.0991</v>
      </c>
      <c r="IA32" s="289">
        <v>10.7879</v>
      </c>
      <c r="IB32" s="289">
        <v>13.5025</v>
      </c>
      <c r="IC32" s="289">
        <v>13.495799999999999</v>
      </c>
      <c r="ID32" s="289">
        <v>13.217499999999999</v>
      </c>
      <c r="IE32" s="185">
        <v>26</v>
      </c>
      <c r="IF32" s="1"/>
      <c r="IG32" s="1"/>
      <c r="IH32" s="185">
        <v>26</v>
      </c>
      <c r="II32" s="289">
        <v>10.948600000000001</v>
      </c>
      <c r="IJ32" s="289">
        <v>10.968299999999999</v>
      </c>
      <c r="IK32" s="289">
        <v>11.022</v>
      </c>
      <c r="IL32" s="289">
        <v>11.0053</v>
      </c>
      <c r="IM32" s="289">
        <v>10.8354</v>
      </c>
      <c r="IN32" s="289">
        <v>10.808</v>
      </c>
      <c r="IO32" s="289">
        <v>10.784599999999999</v>
      </c>
      <c r="IP32" s="289">
        <v>11.0489</v>
      </c>
      <c r="IQ32" s="289">
        <v>10.9391</v>
      </c>
      <c r="IR32" s="289">
        <v>10.8348</v>
      </c>
      <c r="IS32" s="289">
        <v>10.978999999999999</v>
      </c>
      <c r="IT32" s="289">
        <v>10.8203</v>
      </c>
      <c r="IU32" s="185">
        <v>26</v>
      </c>
      <c r="IV32" s="1"/>
      <c r="IW32" s="1"/>
      <c r="IX32" s="185">
        <v>26</v>
      </c>
      <c r="IY32" s="289">
        <v>10.5063</v>
      </c>
      <c r="IZ32" s="289">
        <v>10.4885</v>
      </c>
      <c r="JA32" s="289">
        <v>10.8612</v>
      </c>
      <c r="JB32" s="289">
        <v>11.0656</v>
      </c>
      <c r="JC32" s="289">
        <v>11.285399999999999</v>
      </c>
      <c r="JD32" s="289">
        <v>11.4405</v>
      </c>
      <c r="JE32" s="289">
        <v>10.930300000000001</v>
      </c>
      <c r="JF32" s="289">
        <v>10.922000000000001</v>
      </c>
      <c r="JG32" s="289">
        <v>11.0877</v>
      </c>
      <c r="JH32" s="289">
        <v>10.828900000000001</v>
      </c>
      <c r="JI32" s="289">
        <v>10.9682</v>
      </c>
      <c r="JJ32" s="289">
        <v>10.841100000000001</v>
      </c>
      <c r="JK32" s="185">
        <v>26</v>
      </c>
      <c r="JL32" s="1"/>
      <c r="JM32" s="1"/>
      <c r="JN32" s="185">
        <v>26</v>
      </c>
      <c r="JO32" s="289">
        <v>11.235300000000001</v>
      </c>
      <c r="JP32" s="289">
        <v>11.095499999999999</v>
      </c>
      <c r="JQ32" s="289">
        <v>11.1898</v>
      </c>
      <c r="JR32" s="289">
        <v>11.036099999999999</v>
      </c>
      <c r="JS32" s="289">
        <v>10.9801</v>
      </c>
      <c r="JT32" s="289">
        <v>10.7897</v>
      </c>
      <c r="JU32" s="289">
        <v>10.630699999999999</v>
      </c>
      <c r="JV32" s="289">
        <v>10.882199999999999</v>
      </c>
      <c r="JW32" s="289">
        <v>10.834099999999999</v>
      </c>
      <c r="JX32" s="289">
        <v>10.856</v>
      </c>
      <c r="JY32" s="289">
        <v>10.6083</v>
      </c>
      <c r="JZ32" s="289">
        <v>10.6532</v>
      </c>
      <c r="KA32" s="185">
        <v>26</v>
      </c>
      <c r="KB32" s="1"/>
      <c r="KC32" s="1"/>
      <c r="KD32" s="185">
        <v>26</v>
      </c>
      <c r="KE32" s="289">
        <v>11.001200000000001</v>
      </c>
      <c r="KF32" s="289">
        <v>11.0558</v>
      </c>
      <c r="KG32" s="289">
        <v>10.9915</v>
      </c>
      <c r="KH32" s="289">
        <v>11.3256</v>
      </c>
      <c r="KI32" s="289">
        <v>11.5608</v>
      </c>
      <c r="KJ32" s="289">
        <v>11.3004</v>
      </c>
      <c r="KK32" s="289">
        <v>11.446300000000001</v>
      </c>
      <c r="KL32" s="289">
        <v>11.385899999999999</v>
      </c>
      <c r="KM32" s="289">
        <v>11.417999999999999</v>
      </c>
      <c r="KN32" s="289">
        <v>11.442399999999999</v>
      </c>
      <c r="KO32" s="289">
        <v>11.2797</v>
      </c>
      <c r="KP32" s="289">
        <v>11.1363</v>
      </c>
      <c r="KQ32" s="185">
        <v>26</v>
      </c>
      <c r="KR32" s="1"/>
      <c r="KS32" s="1"/>
      <c r="KT32" s="185">
        <v>26</v>
      </c>
      <c r="KU32" s="289">
        <v>10.770799999999999</v>
      </c>
      <c r="KV32" s="289">
        <v>10.9815</v>
      </c>
      <c r="KW32" s="289">
        <v>10.800800000000001</v>
      </c>
      <c r="KX32" s="289">
        <v>10.434799999999999</v>
      </c>
      <c r="KY32" s="289">
        <v>10.238300000000001</v>
      </c>
      <c r="KZ32" s="289">
        <v>10.518800000000001</v>
      </c>
      <c r="LA32" s="289">
        <v>10.520300000000001</v>
      </c>
      <c r="LB32" s="289">
        <v>10.861499999999999</v>
      </c>
      <c r="LC32" s="289">
        <v>10.797499999999999</v>
      </c>
      <c r="LD32" s="289">
        <v>11.180999999999999</v>
      </c>
      <c r="LE32" s="289">
        <v>11.2879</v>
      </c>
      <c r="LF32" s="289">
        <v>11.269600000000001</v>
      </c>
      <c r="LG32" s="185">
        <v>26</v>
      </c>
      <c r="LH32" s="1"/>
      <c r="LI32" s="1"/>
      <c r="LJ32" s="185">
        <v>26</v>
      </c>
      <c r="LK32" s="289">
        <v>9.1227</v>
      </c>
      <c r="LL32" s="289">
        <v>9.1060999999999996</v>
      </c>
      <c r="LM32" s="289">
        <v>9.0403000000000002</v>
      </c>
      <c r="LN32" s="289">
        <v>9.2908000000000008</v>
      </c>
      <c r="LO32" s="289">
        <v>9.5165000000000006</v>
      </c>
      <c r="LP32" s="289">
        <v>9.9359999999999999</v>
      </c>
      <c r="LQ32" s="289">
        <v>9.7018000000000004</v>
      </c>
      <c r="LR32" s="289">
        <v>9.8388000000000009</v>
      </c>
      <c r="LS32" s="289">
        <v>10.2425</v>
      </c>
      <c r="LT32" s="289">
        <v>9.9467999999999996</v>
      </c>
      <c r="LU32" s="289">
        <v>10.1333</v>
      </c>
      <c r="LV32" s="289">
        <v>10.1907</v>
      </c>
      <c r="LW32" s="185">
        <v>26</v>
      </c>
      <c r="LX32" s="1"/>
      <c r="LY32" s="1"/>
      <c r="LZ32" s="185">
        <v>26</v>
      </c>
      <c r="MA32" s="289">
        <v>9.6922999999999995</v>
      </c>
      <c r="MB32" s="289">
        <v>9.7278000000000002</v>
      </c>
      <c r="MC32" s="289">
        <v>9.5722000000000005</v>
      </c>
      <c r="MD32" s="289">
        <v>9.2767999999999997</v>
      </c>
      <c r="ME32" s="289">
        <v>9.0805000000000007</v>
      </c>
      <c r="MF32" s="289">
        <v>9.0730000000000004</v>
      </c>
      <c r="MG32" s="289">
        <v>9.1087000000000007</v>
      </c>
      <c r="MH32" s="289">
        <v>9.1204999999999998</v>
      </c>
      <c r="MI32" s="289">
        <v>9.4314999999999998</v>
      </c>
      <c r="MJ32" s="289">
        <v>9.2172999999999998</v>
      </c>
      <c r="MK32" s="289">
        <v>9.1547000000000001</v>
      </c>
      <c r="ML32" s="289">
        <v>9.1234999999999999</v>
      </c>
      <c r="MM32" s="185">
        <v>26</v>
      </c>
      <c r="MN32" s="1"/>
      <c r="MO32" s="1"/>
      <c r="MP32" s="185">
        <v>26</v>
      </c>
      <c r="MQ32" s="289">
        <v>9.4838000000000005</v>
      </c>
      <c r="MR32" s="289">
        <v>9.3797999999999995</v>
      </c>
      <c r="MS32" s="289">
        <v>9.2398000000000007</v>
      </c>
      <c r="MT32" s="289">
        <v>9.4443000000000001</v>
      </c>
      <c r="MU32" s="289">
        <v>9.5327999999999999</v>
      </c>
      <c r="MV32" s="289">
        <v>9.8706999999999994</v>
      </c>
      <c r="MW32" s="289">
        <v>9.3337000000000003</v>
      </c>
      <c r="MX32" s="289">
        <v>9.2268000000000008</v>
      </c>
      <c r="MY32" s="289">
        <v>9.4789999999999992</v>
      </c>
      <c r="MZ32" s="289">
        <v>9.5756999999999994</v>
      </c>
      <c r="NA32" s="289">
        <v>9.4056999999999995</v>
      </c>
      <c r="NB32" s="289">
        <v>9.5726999999999993</v>
      </c>
      <c r="NC32" s="185">
        <v>26</v>
      </c>
      <c r="ND32" s="1"/>
      <c r="NE32" s="1"/>
      <c r="NF32" s="185">
        <v>26</v>
      </c>
      <c r="NG32" s="289">
        <v>10.201700000000001</v>
      </c>
      <c r="NH32" s="289">
        <v>9.9357000000000006</v>
      </c>
      <c r="NI32" s="289">
        <v>9.6917000000000009</v>
      </c>
      <c r="NJ32" s="289">
        <v>9.3316999999999997</v>
      </c>
      <c r="NK32" s="289">
        <v>9.3844999999999992</v>
      </c>
      <c r="NL32" s="289">
        <v>9.4589999999999996</v>
      </c>
      <c r="NM32" s="289">
        <v>9.3745999999999992</v>
      </c>
      <c r="NN32" s="289">
        <v>9.3309999999999995</v>
      </c>
      <c r="NO32" s="289">
        <v>9.3055000000000003</v>
      </c>
      <c r="NP32" s="289">
        <v>9.6029999999999998</v>
      </c>
      <c r="NQ32" s="289">
        <v>9.3194999999999997</v>
      </c>
      <c r="NR32" s="289">
        <v>9.3695000000000004</v>
      </c>
      <c r="NS32" s="185">
        <v>26</v>
      </c>
      <c r="NT32" s="1"/>
      <c r="NU32" s="1"/>
      <c r="NV32" s="185">
        <v>26</v>
      </c>
      <c r="NW32" s="289">
        <v>8.3320000000000007</v>
      </c>
      <c r="NX32" s="289">
        <v>8.6140000000000008</v>
      </c>
      <c r="NY32" s="289">
        <v>8.5410000000000004</v>
      </c>
      <c r="NZ32" s="289">
        <v>8.4702999999999999</v>
      </c>
      <c r="OA32" s="289">
        <v>8.6402000000000001</v>
      </c>
      <c r="OB32" s="289">
        <v>8.9252000000000002</v>
      </c>
      <c r="OC32" s="289">
        <v>8.8646999999999991</v>
      </c>
      <c r="OD32" s="289">
        <v>9.6457999999999995</v>
      </c>
      <c r="OE32" s="289">
        <v>10.111700000000001</v>
      </c>
      <c r="OF32" s="289">
        <v>9.9930000000000003</v>
      </c>
      <c r="OG32" s="289">
        <v>9.9145000000000003</v>
      </c>
      <c r="OH32" s="289">
        <v>9.8103999999999996</v>
      </c>
      <c r="OI32" s="185">
        <v>26</v>
      </c>
      <c r="OJ32" s="1"/>
      <c r="OK32" s="1"/>
      <c r="OL32" s="185">
        <v>26</v>
      </c>
      <c r="OM32" s="289">
        <v>7.7912999999999997</v>
      </c>
      <c r="ON32" s="289">
        <v>7.7502000000000004</v>
      </c>
      <c r="OO32" s="289">
        <v>7.8958000000000004</v>
      </c>
      <c r="OP32" s="289">
        <v>7.8544999999999998</v>
      </c>
      <c r="OQ32" s="289">
        <v>7.8689</v>
      </c>
      <c r="OR32" s="289">
        <v>7.9413</v>
      </c>
      <c r="OS32" s="289">
        <v>7.8312999999999997</v>
      </c>
      <c r="OT32" s="289">
        <v>7.7904999999999998</v>
      </c>
      <c r="OU32" s="289">
        <v>7.8243</v>
      </c>
      <c r="OV32" s="289">
        <v>7.7629999999999999</v>
      </c>
      <c r="OW32" s="289">
        <v>8.2352000000000007</v>
      </c>
      <c r="OX32" s="289">
        <v>8.1267999999999994</v>
      </c>
      <c r="OY32" s="185">
        <v>26</v>
      </c>
      <c r="OZ32" s="1"/>
      <c r="PA32" s="1"/>
      <c r="PB32" s="185">
        <v>26</v>
      </c>
      <c r="PC32" s="289">
        <v>7.4215</v>
      </c>
      <c r="PD32" s="289">
        <v>7.5476999999999999</v>
      </c>
      <c r="PE32" s="289">
        <v>7.56</v>
      </c>
      <c r="PF32" s="289">
        <v>7.4329999999999998</v>
      </c>
      <c r="PG32" s="289">
        <v>7.3822999999999999</v>
      </c>
      <c r="PH32" s="289">
        <v>7.6352000000000002</v>
      </c>
      <c r="PI32" s="289">
        <v>7.6116999999999999</v>
      </c>
      <c r="PJ32" s="289">
        <v>7.4756999999999998</v>
      </c>
      <c r="PK32" s="289">
        <v>7.5364000000000004</v>
      </c>
      <c r="PL32" s="289">
        <v>7.8296999999999999</v>
      </c>
      <c r="PM32" s="289">
        <v>7.87</v>
      </c>
      <c r="PN32" s="289">
        <v>7.8343999999999996</v>
      </c>
      <c r="PO32" s="185">
        <v>26</v>
      </c>
      <c r="PP32" s="1"/>
      <c r="PQ32" s="1"/>
      <c r="PR32" s="185">
        <v>26</v>
      </c>
      <c r="PS32" s="289">
        <v>5.8075000000000001</v>
      </c>
      <c r="PT32" s="289">
        <v>5.6749999999999998</v>
      </c>
      <c r="PU32" s="289">
        <v>7.0425000000000004</v>
      </c>
      <c r="PV32" s="289">
        <v>5.9349999999999996</v>
      </c>
      <c r="PW32" s="289">
        <v>6.0350000000000001</v>
      </c>
      <c r="PX32" s="289">
        <v>6.2424999999999997</v>
      </c>
      <c r="PY32" s="289">
        <v>6.1054000000000004</v>
      </c>
      <c r="PZ32" s="289">
        <v>6.3167</v>
      </c>
      <c r="QA32" s="289">
        <v>6.3685</v>
      </c>
      <c r="QB32" s="289">
        <v>6.7607999999999997</v>
      </c>
      <c r="QC32" s="289">
        <v>7.6349999999999998</v>
      </c>
      <c r="QD32" s="289">
        <v>7.5857999999999999</v>
      </c>
      <c r="QE32" s="185">
        <v>26</v>
      </c>
      <c r="QF32" s="1"/>
      <c r="QG32" s="1"/>
      <c r="QH32" s="185">
        <v>26</v>
      </c>
      <c r="QI32" s="289">
        <v>3.1055999999999999</v>
      </c>
      <c r="QJ32" s="289">
        <v>3.2075</v>
      </c>
      <c r="QK32" s="289">
        <v>3.3353000000000002</v>
      </c>
      <c r="QL32" s="289">
        <v>3.3679000000000001</v>
      </c>
      <c r="QM32" s="289">
        <v>3.2919</v>
      </c>
      <c r="QN32" s="289">
        <v>3.3855</v>
      </c>
      <c r="QO32" s="289">
        <v>3.4060000000000001</v>
      </c>
      <c r="QP32" s="289">
        <v>3.3555000000000001</v>
      </c>
      <c r="QQ32" s="289">
        <v>3.4087999999999998</v>
      </c>
      <c r="QR32" s="289">
        <v>3.4199000000000002</v>
      </c>
      <c r="QS32" s="289">
        <v>3.448</v>
      </c>
      <c r="QT32" s="289">
        <v>4.8875000000000002</v>
      </c>
      <c r="QU32" s="185">
        <v>26</v>
      </c>
      <c r="QV32" s="1"/>
      <c r="QW32" s="1"/>
      <c r="QX32" s="185">
        <v>26</v>
      </c>
      <c r="QY32" s="289">
        <v>3.1044</v>
      </c>
      <c r="QZ32" s="289">
        <v>3.0937999999999999</v>
      </c>
      <c r="RA32" s="289">
        <v>3.1118999999999999</v>
      </c>
      <c r="RB32" s="289">
        <v>3.0937000000000001</v>
      </c>
      <c r="RC32" s="289">
        <v>3.1172</v>
      </c>
      <c r="RD32" s="289">
        <v>3.1160000000000001</v>
      </c>
      <c r="RE32" s="289">
        <v>3.1229</v>
      </c>
      <c r="RF32" s="289">
        <v>3.1109</v>
      </c>
      <c r="RG32" s="289">
        <v>3.1124000000000001</v>
      </c>
      <c r="RH32" s="289">
        <v>3.1124999999999998</v>
      </c>
      <c r="RI32" s="289">
        <v>3.1021000000000001</v>
      </c>
      <c r="RJ32" s="289">
        <v>3.1110000000000002</v>
      </c>
      <c r="RK32" s="185">
        <v>26</v>
      </c>
      <c r="RL32" s="1"/>
      <c r="RM32" s="1"/>
      <c r="RN32" s="185">
        <v>26</v>
      </c>
      <c r="RO32" s="289">
        <v>3.0735999999999999</v>
      </c>
      <c r="RP32" s="289">
        <v>3.0621</v>
      </c>
      <c r="RQ32" s="289">
        <v>3.0706000000000002</v>
      </c>
      <c r="RR32" s="289">
        <v>3.0855999999999999</v>
      </c>
      <c r="RS32" s="289">
        <v>3.1030000000000002</v>
      </c>
      <c r="RT32" s="289">
        <v>3.1225000000000001</v>
      </c>
      <c r="RU32" s="289">
        <v>3.1113</v>
      </c>
      <c r="RV32" s="289">
        <v>3.0855000000000001</v>
      </c>
      <c r="RW32" s="289">
        <v>3.1040000000000001</v>
      </c>
      <c r="RX32" s="289">
        <v>3.1252</v>
      </c>
      <c r="RY32" s="289">
        <v>3.1193</v>
      </c>
      <c r="RZ32" s="289">
        <v>3.1194999999999999</v>
      </c>
      <c r="SA32" s="185">
        <v>26</v>
      </c>
      <c r="SB32" s="1"/>
      <c r="SC32" s="1"/>
      <c r="SD32" s="185">
        <v>26</v>
      </c>
      <c r="SE32" s="289">
        <v>2.9561999999999999</v>
      </c>
      <c r="SF32" s="289">
        <v>2.9678</v>
      </c>
      <c r="SG32" s="289">
        <v>2.9790000000000001</v>
      </c>
      <c r="SH32" s="289">
        <v>2.9922</v>
      </c>
      <c r="SI32" s="289">
        <v>3.0038</v>
      </c>
      <c r="SJ32" s="289">
        <v>3.0165999999999999</v>
      </c>
      <c r="SK32" s="289">
        <v>3.0286</v>
      </c>
      <c r="SL32" s="289">
        <v>3.0402</v>
      </c>
      <c r="SM32" s="289">
        <v>3.0541999999999998</v>
      </c>
      <c r="SN32" s="289">
        <v>3.0670000000000002</v>
      </c>
      <c r="SO32" s="289">
        <v>3.06115</v>
      </c>
      <c r="SP32" s="289">
        <v>3.08413</v>
      </c>
      <c r="SQ32" s="185">
        <v>26</v>
      </c>
      <c r="SR32" s="1"/>
      <c r="SS32" s="1"/>
      <c r="ST32" s="185">
        <v>26</v>
      </c>
      <c r="SU32" s="289">
        <v>2.6680000000000001</v>
      </c>
      <c r="SV32" s="289">
        <v>2.6970000000000001</v>
      </c>
      <c r="SW32" s="289">
        <v>2.7250000000000001</v>
      </c>
      <c r="SX32" s="289">
        <v>2.758</v>
      </c>
      <c r="SY32" s="289">
        <v>2.7879999999999998</v>
      </c>
      <c r="SZ32" s="289">
        <v>2.8121999999999998</v>
      </c>
      <c r="TA32" s="289">
        <v>2.8378000000000001</v>
      </c>
      <c r="TB32" s="289">
        <v>2.8618000000000001</v>
      </c>
      <c r="TC32" s="289">
        <v>2.8874</v>
      </c>
      <c r="TD32" s="289">
        <v>2.9114</v>
      </c>
      <c r="TE32" s="289">
        <v>2.931</v>
      </c>
      <c r="TF32" s="289">
        <v>2.9438</v>
      </c>
      <c r="TG32" s="185">
        <v>26</v>
      </c>
      <c r="TH32" s="1"/>
      <c r="TI32" s="1"/>
      <c r="TJ32" s="185">
        <v>26</v>
      </c>
      <c r="TK32" s="289">
        <v>2.3029999999999999</v>
      </c>
      <c r="TL32" s="289">
        <v>2.3330000000000002</v>
      </c>
      <c r="TM32" s="289">
        <v>2.3610000000000002</v>
      </c>
      <c r="TN32" s="289">
        <v>2.3929999999999998</v>
      </c>
      <c r="TO32" s="289">
        <v>2.423</v>
      </c>
      <c r="TP32" s="289">
        <v>2.452</v>
      </c>
      <c r="TQ32" s="289">
        <v>2.484</v>
      </c>
      <c r="TR32" s="289">
        <v>2.5150000000000001</v>
      </c>
      <c r="TS32" s="289">
        <v>2.544</v>
      </c>
      <c r="TT32" s="289">
        <v>2.5760000000000001</v>
      </c>
      <c r="TU32" s="289">
        <v>2.6059999999999999</v>
      </c>
      <c r="TV32" s="289">
        <v>2.6349999999999998</v>
      </c>
      <c r="TW32" s="185">
        <v>26</v>
      </c>
    </row>
    <row r="33" spans="2:543" ht="20.100000000000001" customHeight="1">
      <c r="B33" s="64">
        <v>27</v>
      </c>
      <c r="C33" s="289">
        <v>20.668299999999999</v>
      </c>
      <c r="D33" s="289">
        <v>20.6525</v>
      </c>
      <c r="E33" s="289">
        <v>20.1313</v>
      </c>
      <c r="F33" s="289">
        <v>20.299199999999999</v>
      </c>
      <c r="G33" s="289">
        <v>19.837700000000002</v>
      </c>
      <c r="H33" s="289">
        <v>20.0365</v>
      </c>
      <c r="I33" s="289">
        <v>20.465199999999999</v>
      </c>
      <c r="J33" s="289">
        <v>19.9437</v>
      </c>
      <c r="K33" s="289">
        <v>20.162700000000001</v>
      </c>
      <c r="L33" s="289">
        <v>19.871200000000002</v>
      </c>
      <c r="M33" s="289">
        <v>19.369199999999999</v>
      </c>
      <c r="N33" s="289">
        <v>19.428699999999999</v>
      </c>
      <c r="O33" s="64">
        <v>27</v>
      </c>
      <c r="R33" s="64">
        <v>27</v>
      </c>
      <c r="S33" s="289">
        <v>20.159800000000001</v>
      </c>
      <c r="T33" s="289">
        <v>20.8523</v>
      </c>
      <c r="U33" s="289">
        <v>20.766200000000001</v>
      </c>
      <c r="V33" s="289">
        <v>19.869499999999999</v>
      </c>
      <c r="W33" s="289">
        <v>19.8903</v>
      </c>
      <c r="X33" s="289">
        <v>20.048300000000001</v>
      </c>
      <c r="Y33" s="289">
        <v>20.023800000000001</v>
      </c>
      <c r="Z33" s="289">
        <v>20.293299999999999</v>
      </c>
      <c r="AA33" s="289">
        <v>20.027999999999999</v>
      </c>
      <c r="AB33" s="289">
        <v>20.189699999999998</v>
      </c>
      <c r="AC33" s="289">
        <v>21.546199999999999</v>
      </c>
      <c r="AD33" s="289">
        <v>20.658200000000001</v>
      </c>
      <c r="AE33" s="64">
        <v>27</v>
      </c>
      <c r="AH33" s="185">
        <v>27</v>
      </c>
      <c r="AI33" s="289">
        <v>18.8018</v>
      </c>
      <c r="AJ33" s="289">
        <v>19.087800000000001</v>
      </c>
      <c r="AK33" s="289">
        <v>24.294799999999999</v>
      </c>
      <c r="AL33" s="289">
        <v>24.623000000000001</v>
      </c>
      <c r="AM33" s="289">
        <v>22.562999999999999</v>
      </c>
      <c r="AN33" s="289">
        <v>22.796299999999999</v>
      </c>
      <c r="AO33" s="289">
        <v>22.3627</v>
      </c>
      <c r="AP33" s="289">
        <v>21.972300000000001</v>
      </c>
      <c r="AQ33" s="289">
        <v>22.367799999999999</v>
      </c>
      <c r="AR33" s="289">
        <v>20.920500000000001</v>
      </c>
      <c r="AS33" s="289">
        <v>20.046500000000002</v>
      </c>
      <c r="AT33" s="289">
        <v>20.1175</v>
      </c>
      <c r="AU33" s="185">
        <v>27</v>
      </c>
      <c r="AX33" s="185">
        <v>27</v>
      </c>
      <c r="AY33" s="289">
        <v>18.985900000000001</v>
      </c>
      <c r="AZ33" s="289">
        <v>19.118500000000001</v>
      </c>
      <c r="BA33" s="289">
        <v>19.0151</v>
      </c>
      <c r="BB33" s="289">
        <v>19.094200000000001</v>
      </c>
      <c r="BC33" s="289">
        <v>19.0122</v>
      </c>
      <c r="BD33" s="289">
        <v>19.2271</v>
      </c>
      <c r="BE33" s="289">
        <v>19.0623</v>
      </c>
      <c r="BF33" s="289">
        <v>19.840199999999999</v>
      </c>
      <c r="BG33" s="289">
        <v>19.577500000000001</v>
      </c>
      <c r="BH33" s="289">
        <v>19.087800000000001</v>
      </c>
      <c r="BI33" s="289">
        <v>19.4468</v>
      </c>
      <c r="BJ33" s="289">
        <v>18.964300000000001</v>
      </c>
      <c r="BK33" s="185">
        <v>27</v>
      </c>
      <c r="BN33" s="185">
        <v>27</v>
      </c>
      <c r="BO33" s="289">
        <v>18.478000000000002</v>
      </c>
      <c r="BP33" s="289">
        <v>18.565899999999999</v>
      </c>
      <c r="BQ33" s="289">
        <v>18.5364</v>
      </c>
      <c r="BR33" s="289">
        <v>19.053000000000001</v>
      </c>
      <c r="BS33" s="289">
        <v>19.704799999999999</v>
      </c>
      <c r="BT33" s="289">
        <v>20.090800000000002</v>
      </c>
      <c r="BU33" s="289">
        <v>18.770900000000001</v>
      </c>
      <c r="BV33" s="289">
        <v>18.8672</v>
      </c>
      <c r="BW33" s="289">
        <v>18.986999999999998</v>
      </c>
      <c r="BX33" s="289">
        <v>19.438300000000002</v>
      </c>
      <c r="BY33" s="289">
        <v>20.3935</v>
      </c>
      <c r="BZ33" s="289">
        <v>19.847300000000001</v>
      </c>
      <c r="CA33" s="185">
        <v>27</v>
      </c>
      <c r="CD33" s="185">
        <v>27</v>
      </c>
      <c r="CE33" s="289">
        <v>21.343900000000001</v>
      </c>
      <c r="CF33" s="289">
        <v>19.7011</v>
      </c>
      <c r="CG33" s="289">
        <v>18.9877</v>
      </c>
      <c r="CH33" s="289">
        <v>18.922499999999999</v>
      </c>
      <c r="CI33" s="289">
        <v>18.418500000000002</v>
      </c>
      <c r="CJ33" s="289">
        <v>17.989999999999998</v>
      </c>
      <c r="CK33" s="289">
        <v>17.749199999999998</v>
      </c>
      <c r="CL33" s="289">
        <v>17.697700000000001</v>
      </c>
      <c r="CM33" s="289">
        <v>17.883099999999999</v>
      </c>
      <c r="CN33" s="289">
        <v>19.077000000000002</v>
      </c>
      <c r="CO33" s="289">
        <v>18.604099999999999</v>
      </c>
      <c r="CP33" s="289">
        <v>19.584800000000001</v>
      </c>
      <c r="CQ33" s="185">
        <v>27</v>
      </c>
      <c r="CT33" s="185">
        <v>27</v>
      </c>
      <c r="CU33" s="289">
        <v>18.5352</v>
      </c>
      <c r="CV33" s="289">
        <v>18.167999999999999</v>
      </c>
      <c r="CW33" s="289">
        <v>17.336099999999998</v>
      </c>
      <c r="CX33" s="289">
        <v>17.586600000000001</v>
      </c>
      <c r="CY33" s="289">
        <v>18.452000000000002</v>
      </c>
      <c r="CZ33" s="289">
        <v>18.320699999999999</v>
      </c>
      <c r="DA33" s="289">
        <v>18.756900000000002</v>
      </c>
      <c r="DB33" s="289">
        <v>18.446000000000002</v>
      </c>
      <c r="DC33" s="289">
        <v>19.7211</v>
      </c>
      <c r="DD33" s="289">
        <v>18.514700000000001</v>
      </c>
      <c r="DE33" s="289">
        <v>20.705100000000002</v>
      </c>
      <c r="DF33" s="289">
        <v>20.627099999999999</v>
      </c>
      <c r="DG33" s="185">
        <v>27</v>
      </c>
      <c r="DJ33" s="185">
        <v>27</v>
      </c>
      <c r="DK33" s="289">
        <v>14.649900000000001</v>
      </c>
      <c r="DL33" s="289">
        <v>14.922800000000001</v>
      </c>
      <c r="DM33" s="289">
        <v>14.952400000000001</v>
      </c>
      <c r="DN33" s="289">
        <v>15.353899999999999</v>
      </c>
      <c r="DO33" s="289">
        <v>15.263500000000001</v>
      </c>
      <c r="DP33" s="289">
        <v>15.455500000000001</v>
      </c>
      <c r="DQ33" s="289">
        <v>16.098800000000001</v>
      </c>
      <c r="DR33" s="289">
        <v>16.985900000000001</v>
      </c>
      <c r="DS33" s="289">
        <v>17.045300000000001</v>
      </c>
      <c r="DT33" s="289">
        <v>16.5138</v>
      </c>
      <c r="DU33" s="289">
        <v>16.5548</v>
      </c>
      <c r="DV33" s="289">
        <v>17.1953</v>
      </c>
      <c r="DW33" s="185">
        <v>27</v>
      </c>
      <c r="DZ33" s="185">
        <v>27</v>
      </c>
      <c r="EA33" s="289">
        <v>13.372199999999999</v>
      </c>
      <c r="EB33" s="289">
        <v>13.2248</v>
      </c>
      <c r="EC33" s="289">
        <v>13.1349</v>
      </c>
      <c r="ED33" s="289">
        <v>13.101000000000001</v>
      </c>
      <c r="EE33" s="289">
        <v>12.865600000000001</v>
      </c>
      <c r="EF33" s="289">
        <v>13.0174</v>
      </c>
      <c r="EG33" s="289">
        <v>12.9572</v>
      </c>
      <c r="EH33" s="289">
        <v>13.138299999999999</v>
      </c>
      <c r="EI33" s="289">
        <v>13.3848</v>
      </c>
      <c r="EJ33" s="289">
        <v>13.5288</v>
      </c>
      <c r="EK33" s="289">
        <v>13.641999999999999</v>
      </c>
      <c r="EL33" s="289">
        <v>14.742900000000001</v>
      </c>
      <c r="EM33" s="185">
        <v>27</v>
      </c>
      <c r="EP33" s="185">
        <v>27</v>
      </c>
      <c r="EQ33" s="289">
        <v>12.6286</v>
      </c>
      <c r="ER33" s="289">
        <v>12.7028</v>
      </c>
      <c r="ES33" s="289">
        <v>12.357900000000001</v>
      </c>
      <c r="ET33" s="289">
        <v>12.123100000000001</v>
      </c>
      <c r="EU33" s="289">
        <v>12.4764</v>
      </c>
      <c r="EV33" s="289">
        <v>13.2424</v>
      </c>
      <c r="EW33" s="289">
        <v>12.646800000000001</v>
      </c>
      <c r="EX33" s="289">
        <v>12.9979</v>
      </c>
      <c r="EY33" s="289">
        <v>12.952999999999999</v>
      </c>
      <c r="EZ33" s="289">
        <v>12.9916</v>
      </c>
      <c r="FA33" s="289">
        <v>13.0267</v>
      </c>
      <c r="FB33" s="289">
        <v>13.02</v>
      </c>
      <c r="FC33" s="185">
        <v>27</v>
      </c>
      <c r="FF33" s="185">
        <v>27</v>
      </c>
      <c r="FG33" s="289">
        <v>13.1319</v>
      </c>
      <c r="FH33" s="289">
        <v>12.8294</v>
      </c>
      <c r="FI33" s="289">
        <v>12.8035</v>
      </c>
      <c r="FJ33" s="289">
        <v>13.166700000000001</v>
      </c>
      <c r="FK33" s="289">
        <v>14.004</v>
      </c>
      <c r="FL33" s="289">
        <v>13.9542</v>
      </c>
      <c r="FM33" s="289">
        <v>13.6541</v>
      </c>
      <c r="FN33" s="289">
        <v>13.128399999999999</v>
      </c>
      <c r="FO33" s="289">
        <v>12.8233</v>
      </c>
      <c r="FP33" s="289">
        <v>12.966900000000001</v>
      </c>
      <c r="FQ33" s="289">
        <v>12.979900000000001</v>
      </c>
      <c r="FR33" s="289">
        <v>12.9764</v>
      </c>
      <c r="FS33" s="185">
        <v>27</v>
      </c>
      <c r="FV33" s="185">
        <v>27</v>
      </c>
      <c r="FW33" s="289">
        <v>12.085599999999999</v>
      </c>
      <c r="FX33" s="289">
        <v>12.173</v>
      </c>
      <c r="FY33" s="289">
        <v>11.955500000000001</v>
      </c>
      <c r="FZ33" s="289">
        <v>11.6294</v>
      </c>
      <c r="GA33" s="289">
        <v>11.694800000000001</v>
      </c>
      <c r="GB33" s="289">
        <v>11.881600000000001</v>
      </c>
      <c r="GC33" s="289">
        <v>11.664099999999999</v>
      </c>
      <c r="GD33" s="289">
        <v>12.4259</v>
      </c>
      <c r="GE33" s="289">
        <v>13.7788</v>
      </c>
      <c r="GF33" s="289">
        <v>13.4459</v>
      </c>
      <c r="GG33" s="289">
        <v>14.1778</v>
      </c>
      <c r="GH33" s="289">
        <v>13.8163</v>
      </c>
      <c r="GI33" s="185">
        <v>27</v>
      </c>
      <c r="GL33" s="185">
        <v>27</v>
      </c>
      <c r="GM33" s="289">
        <v>12.9018</v>
      </c>
      <c r="GN33" s="289">
        <v>12.850300000000001</v>
      </c>
      <c r="GO33" s="289">
        <v>12.5009</v>
      </c>
      <c r="GP33" s="289">
        <v>12.1973</v>
      </c>
      <c r="GQ33" s="289">
        <v>13.181900000000001</v>
      </c>
      <c r="GR33" s="289">
        <v>12.7141</v>
      </c>
      <c r="GS33" s="289">
        <v>12.774900000000001</v>
      </c>
      <c r="GT33" s="289">
        <v>13.045299999999999</v>
      </c>
      <c r="GU33" s="289">
        <v>12.642200000000001</v>
      </c>
      <c r="GV33" s="289">
        <v>12.320499999999999</v>
      </c>
      <c r="GW33" s="289">
        <v>12.366899999999999</v>
      </c>
      <c r="GX33" s="289">
        <v>12.3332</v>
      </c>
      <c r="GY33" s="185">
        <v>27</v>
      </c>
      <c r="HB33" s="185">
        <v>27</v>
      </c>
      <c r="HC33" s="289">
        <v>14.095000000000001</v>
      </c>
      <c r="HD33" s="289">
        <v>14.9275</v>
      </c>
      <c r="HE33" s="289">
        <v>14.235799999999999</v>
      </c>
      <c r="HF33" s="289">
        <v>13.309900000000001</v>
      </c>
      <c r="HG33" s="289">
        <v>13.137499999999999</v>
      </c>
      <c r="HH33" s="289">
        <v>13.277799999999999</v>
      </c>
      <c r="HI33" s="289">
        <v>13.1915</v>
      </c>
      <c r="HJ33" s="289">
        <v>12.897500000000001</v>
      </c>
      <c r="HK33" s="289">
        <v>13.4549</v>
      </c>
      <c r="HL33" s="289">
        <v>12.979799999999999</v>
      </c>
      <c r="HM33" s="289">
        <v>12.866</v>
      </c>
      <c r="HN33" s="289">
        <v>12.8896</v>
      </c>
      <c r="HO33" s="185">
        <v>27</v>
      </c>
      <c r="HP33" s="1"/>
      <c r="HQ33" s="1"/>
      <c r="HR33" s="185">
        <v>27</v>
      </c>
      <c r="HS33" s="289">
        <v>10.8934</v>
      </c>
      <c r="HT33" s="289">
        <v>10.785500000000001</v>
      </c>
      <c r="HU33" s="289">
        <v>10.6793</v>
      </c>
      <c r="HV33" s="289">
        <v>10.462</v>
      </c>
      <c r="HW33" s="289">
        <v>10.4</v>
      </c>
      <c r="HX33" s="289">
        <v>10.293799999999999</v>
      </c>
      <c r="HY33" s="289">
        <v>10.026400000000001</v>
      </c>
      <c r="HZ33" s="289">
        <v>10.1183</v>
      </c>
      <c r="IA33" s="289">
        <v>10.7653</v>
      </c>
      <c r="IB33" s="289">
        <v>13.5025</v>
      </c>
      <c r="IC33" s="289">
        <v>13.3142</v>
      </c>
      <c r="ID33" s="289">
        <v>13.311400000000001</v>
      </c>
      <c r="IE33" s="185">
        <v>27</v>
      </c>
      <c r="IF33" s="1"/>
      <c r="IG33" s="1"/>
      <c r="IH33" s="185">
        <v>27</v>
      </c>
      <c r="II33" s="289">
        <v>10.975300000000001</v>
      </c>
      <c r="IJ33" s="289">
        <v>11.0397</v>
      </c>
      <c r="IK33" s="289">
        <v>11.0166</v>
      </c>
      <c r="IL33" s="289">
        <v>10.9369</v>
      </c>
      <c r="IM33" s="289">
        <v>10.8354</v>
      </c>
      <c r="IN33" s="289">
        <v>10.818899999999999</v>
      </c>
      <c r="IO33" s="289">
        <v>10.8712</v>
      </c>
      <c r="IP33" s="289">
        <v>11.0489</v>
      </c>
      <c r="IQ33" s="289">
        <v>10.9438</v>
      </c>
      <c r="IR33" s="289">
        <v>10.8291</v>
      </c>
      <c r="IS33" s="289">
        <v>10.9733</v>
      </c>
      <c r="IT33" s="289">
        <v>10.8132</v>
      </c>
      <c r="IU33" s="185">
        <v>27</v>
      </c>
      <c r="IV33" s="1"/>
      <c r="IW33" s="1"/>
      <c r="IX33" s="185">
        <v>27</v>
      </c>
      <c r="IY33" s="289">
        <v>10.500400000000001</v>
      </c>
      <c r="IZ33" s="289">
        <v>10.4885</v>
      </c>
      <c r="JA33" s="289">
        <v>10.8612</v>
      </c>
      <c r="JB33" s="289">
        <v>11.084199999999999</v>
      </c>
      <c r="JC33" s="289">
        <v>11.2097</v>
      </c>
      <c r="JD33" s="289">
        <v>11.4382</v>
      </c>
      <c r="JE33" s="289">
        <v>10.9148</v>
      </c>
      <c r="JF33" s="289">
        <v>10.922000000000001</v>
      </c>
      <c r="JG33" s="289">
        <v>11.105</v>
      </c>
      <c r="JH33" s="289">
        <v>10.7918</v>
      </c>
      <c r="JI33" s="289">
        <v>10.9682</v>
      </c>
      <c r="JJ33" s="289">
        <v>10.8597</v>
      </c>
      <c r="JK33" s="185">
        <v>27</v>
      </c>
      <c r="JL33" s="1"/>
      <c r="JM33" s="1"/>
      <c r="JN33" s="185">
        <v>27</v>
      </c>
      <c r="JO33" s="289">
        <v>11.289</v>
      </c>
      <c r="JP33" s="289">
        <v>11.095499999999999</v>
      </c>
      <c r="JQ33" s="289">
        <v>11.1898</v>
      </c>
      <c r="JR33" s="289">
        <v>11.0571</v>
      </c>
      <c r="JS33" s="289">
        <v>10.937200000000001</v>
      </c>
      <c r="JT33" s="289">
        <v>10.7897</v>
      </c>
      <c r="JU33" s="289">
        <v>10.6683</v>
      </c>
      <c r="JV33" s="289">
        <v>10.815300000000001</v>
      </c>
      <c r="JW33" s="289">
        <v>10.8475</v>
      </c>
      <c r="JX33" s="289">
        <v>10.841699999999999</v>
      </c>
      <c r="JY33" s="289">
        <v>10.6083</v>
      </c>
      <c r="JZ33" s="289">
        <v>10.6845</v>
      </c>
      <c r="KA33" s="185">
        <v>27</v>
      </c>
      <c r="KB33" s="1"/>
      <c r="KC33" s="1"/>
      <c r="KD33" s="185">
        <v>27</v>
      </c>
      <c r="KE33" s="289">
        <v>10.962</v>
      </c>
      <c r="KF33" s="289">
        <v>11.0932</v>
      </c>
      <c r="KG33" s="289">
        <v>11.013</v>
      </c>
      <c r="KH33" s="289">
        <v>11.343299999999999</v>
      </c>
      <c r="KI33" s="289">
        <v>11.476000000000001</v>
      </c>
      <c r="KJ33" s="289">
        <v>11.3004</v>
      </c>
      <c r="KK33" s="289">
        <v>11.433999999999999</v>
      </c>
      <c r="KL33" s="289">
        <v>11.3712</v>
      </c>
      <c r="KM33" s="289">
        <v>11.417999999999999</v>
      </c>
      <c r="KN33" s="289">
        <v>11.515000000000001</v>
      </c>
      <c r="KO33" s="289">
        <v>11.2713</v>
      </c>
      <c r="KP33" s="289">
        <v>11.1363</v>
      </c>
      <c r="KQ33" s="185">
        <v>27</v>
      </c>
      <c r="KR33" s="1"/>
      <c r="KS33" s="1"/>
      <c r="KT33" s="185">
        <v>27</v>
      </c>
      <c r="KU33" s="289">
        <v>10.770799999999999</v>
      </c>
      <c r="KV33" s="289">
        <v>11.058400000000001</v>
      </c>
      <c r="KW33" s="289">
        <v>10.72</v>
      </c>
      <c r="KX33" s="289">
        <v>10.434799999999999</v>
      </c>
      <c r="KY33" s="289">
        <v>10.247299999999999</v>
      </c>
      <c r="KZ33" s="289">
        <v>10.4734</v>
      </c>
      <c r="LA33" s="289">
        <v>10.520300000000001</v>
      </c>
      <c r="LB33" s="289">
        <v>10.875299999999999</v>
      </c>
      <c r="LC33" s="289">
        <v>10.811500000000001</v>
      </c>
      <c r="LD33" s="289">
        <v>11.180999999999999</v>
      </c>
      <c r="LE33" s="289">
        <v>11.3398</v>
      </c>
      <c r="LF33" s="289">
        <v>11.2744</v>
      </c>
      <c r="LG33" s="185">
        <v>27</v>
      </c>
      <c r="LH33" s="1"/>
      <c r="LI33" s="1"/>
      <c r="LJ33" s="185">
        <v>27</v>
      </c>
      <c r="LK33" s="289">
        <v>9.1227</v>
      </c>
      <c r="LL33" s="289">
        <v>9.0831</v>
      </c>
      <c r="LM33" s="289">
        <v>9.0297999999999998</v>
      </c>
      <c r="LN33" s="289">
        <v>9.3528000000000002</v>
      </c>
      <c r="LO33" s="289">
        <v>9.5165000000000006</v>
      </c>
      <c r="LP33" s="289">
        <v>9.8202999999999996</v>
      </c>
      <c r="LQ33" s="289">
        <v>9.7157999999999998</v>
      </c>
      <c r="LR33" s="289">
        <v>9.8488000000000007</v>
      </c>
      <c r="LS33" s="289">
        <v>10.256500000000001</v>
      </c>
      <c r="LT33" s="289">
        <v>9.9467999999999996</v>
      </c>
      <c r="LU33" s="289">
        <v>10.1065</v>
      </c>
      <c r="LV33" s="289">
        <v>10.2014</v>
      </c>
      <c r="LW33" s="185">
        <v>27</v>
      </c>
      <c r="LX33" s="1"/>
      <c r="LY33" s="1"/>
      <c r="LZ33" s="185">
        <v>27</v>
      </c>
      <c r="MA33" s="289">
        <v>9.6829999999999998</v>
      </c>
      <c r="MB33" s="289">
        <v>9.7182999999999993</v>
      </c>
      <c r="MC33" s="289">
        <v>9.6539999999999999</v>
      </c>
      <c r="MD33" s="289">
        <v>9.3123000000000005</v>
      </c>
      <c r="ME33" s="289">
        <v>9.0805000000000007</v>
      </c>
      <c r="MF33" s="289">
        <v>9.0594999999999999</v>
      </c>
      <c r="MG33" s="289">
        <v>9.1599000000000004</v>
      </c>
      <c r="MH33" s="289">
        <v>9.1204999999999998</v>
      </c>
      <c r="MI33" s="289">
        <v>9.4841999999999995</v>
      </c>
      <c r="MJ33" s="289">
        <v>9.2469000000000001</v>
      </c>
      <c r="MK33" s="289">
        <v>9.1476000000000006</v>
      </c>
      <c r="ML33" s="289">
        <v>9.0922999999999998</v>
      </c>
      <c r="MM33" s="185">
        <v>27</v>
      </c>
      <c r="MN33" s="1"/>
      <c r="MO33" s="1"/>
      <c r="MP33" s="185">
        <v>27</v>
      </c>
      <c r="MQ33" s="289">
        <v>9.5288000000000004</v>
      </c>
      <c r="MR33" s="289">
        <v>9.3797999999999995</v>
      </c>
      <c r="MS33" s="289">
        <v>9.2398000000000007</v>
      </c>
      <c r="MT33" s="289">
        <v>9.4077999999999999</v>
      </c>
      <c r="MU33" s="289">
        <v>9.4939999999999998</v>
      </c>
      <c r="MV33" s="289">
        <v>9.9804999999999993</v>
      </c>
      <c r="MW33" s="289">
        <v>9.3657000000000004</v>
      </c>
      <c r="MX33" s="289">
        <v>9.2268000000000008</v>
      </c>
      <c r="MY33" s="289">
        <v>9.4217999999999993</v>
      </c>
      <c r="MZ33" s="289">
        <v>9.6242000000000001</v>
      </c>
      <c r="NA33" s="289">
        <v>9.4056999999999995</v>
      </c>
      <c r="NB33" s="289">
        <v>9.5980000000000008</v>
      </c>
      <c r="NC33" s="185">
        <v>27</v>
      </c>
      <c r="ND33" s="1"/>
      <c r="NE33" s="1"/>
      <c r="NF33" s="185">
        <v>27</v>
      </c>
      <c r="NG33" s="289">
        <v>10.2242</v>
      </c>
      <c r="NH33" s="289">
        <v>9.9835999999999991</v>
      </c>
      <c r="NI33" s="289">
        <v>9.6454000000000004</v>
      </c>
      <c r="NJ33" s="289">
        <v>9.3004999999999995</v>
      </c>
      <c r="NK33" s="289">
        <v>9.5467999999999993</v>
      </c>
      <c r="NL33" s="289">
        <v>9.4589999999999996</v>
      </c>
      <c r="NM33" s="289">
        <v>9.3856000000000002</v>
      </c>
      <c r="NN33" s="289">
        <v>9.3080999999999996</v>
      </c>
      <c r="NO33" s="289">
        <v>9.3055000000000003</v>
      </c>
      <c r="NP33" s="289">
        <v>9.6373999999999995</v>
      </c>
      <c r="NQ33" s="289">
        <v>9.2944999999999993</v>
      </c>
      <c r="NR33" s="289">
        <v>9.3695000000000004</v>
      </c>
      <c r="NS33" s="185">
        <v>27</v>
      </c>
      <c r="NT33" s="1"/>
      <c r="NU33" s="1"/>
      <c r="NV33" s="185">
        <v>27</v>
      </c>
      <c r="NW33" s="289">
        <v>8.2939000000000007</v>
      </c>
      <c r="NX33" s="289">
        <v>8.5831999999999997</v>
      </c>
      <c r="NY33" s="289">
        <v>8.5282</v>
      </c>
      <c r="NZ33" s="289">
        <v>8.4702999999999999</v>
      </c>
      <c r="OA33" s="289">
        <v>8.6378000000000004</v>
      </c>
      <c r="OB33" s="289">
        <v>8.9536999999999995</v>
      </c>
      <c r="OC33" s="289">
        <v>8.8646999999999991</v>
      </c>
      <c r="OD33" s="289">
        <v>9.6000999999999994</v>
      </c>
      <c r="OE33" s="289">
        <v>10.111700000000001</v>
      </c>
      <c r="OF33" s="289">
        <v>10.035299999999999</v>
      </c>
      <c r="OG33" s="289">
        <v>9.9107000000000003</v>
      </c>
      <c r="OH33" s="289">
        <v>9.8103999999999996</v>
      </c>
      <c r="OI33" s="185">
        <v>27</v>
      </c>
      <c r="OJ33" s="1"/>
      <c r="OK33" s="1"/>
      <c r="OL33" s="185">
        <v>27</v>
      </c>
      <c r="OM33" s="289">
        <v>7.7912999999999997</v>
      </c>
      <c r="ON33" s="289">
        <v>7.7556000000000003</v>
      </c>
      <c r="OO33" s="289">
        <v>7.8905000000000003</v>
      </c>
      <c r="OP33" s="289">
        <v>7.8544999999999998</v>
      </c>
      <c r="OQ33" s="289">
        <v>7.8731</v>
      </c>
      <c r="OR33" s="289">
        <v>7.9482999999999997</v>
      </c>
      <c r="OS33" s="289">
        <v>7.8312999999999997</v>
      </c>
      <c r="OT33" s="289">
        <v>7.7583000000000002</v>
      </c>
      <c r="OU33" s="289">
        <v>7.8071999999999999</v>
      </c>
      <c r="OV33" s="289">
        <v>7.7629999999999999</v>
      </c>
      <c r="OW33" s="289">
        <v>8.2357999999999993</v>
      </c>
      <c r="OX33" s="289">
        <v>8.1647999999999996</v>
      </c>
      <c r="OY33" s="185">
        <v>27</v>
      </c>
      <c r="OZ33" s="1"/>
      <c r="PA33" s="1"/>
      <c r="PB33" s="185">
        <v>27</v>
      </c>
      <c r="PC33" s="289">
        <v>7.3867000000000003</v>
      </c>
      <c r="PD33" s="289">
        <v>7.5331000000000001</v>
      </c>
      <c r="PE33" s="289">
        <v>7.5484</v>
      </c>
      <c r="PF33" s="289">
        <v>7.3794000000000004</v>
      </c>
      <c r="PG33" s="289">
        <v>7.3822999999999999</v>
      </c>
      <c r="PH33" s="289">
        <v>7.6077000000000004</v>
      </c>
      <c r="PI33" s="289">
        <v>7.5903</v>
      </c>
      <c r="PJ33" s="289">
        <v>7.4829999999999997</v>
      </c>
      <c r="PK33" s="289">
        <v>7.5316999999999998</v>
      </c>
      <c r="PL33" s="289">
        <v>7.8296999999999999</v>
      </c>
      <c r="PM33" s="289">
        <v>7.9095000000000004</v>
      </c>
      <c r="PN33" s="289">
        <v>7.8324999999999996</v>
      </c>
      <c r="PO33" s="185">
        <v>27</v>
      </c>
      <c r="PP33" s="1"/>
      <c r="PQ33" s="1"/>
      <c r="PR33" s="185">
        <v>27</v>
      </c>
      <c r="PS33" s="289">
        <v>5.7</v>
      </c>
      <c r="PT33" s="289">
        <v>5.6749999999999998</v>
      </c>
      <c r="PU33" s="289">
        <v>7.0425000000000004</v>
      </c>
      <c r="PV33" s="289">
        <v>5.8883000000000001</v>
      </c>
      <c r="PW33" s="289">
        <v>6.0549999999999997</v>
      </c>
      <c r="PX33" s="289">
        <v>6.25</v>
      </c>
      <c r="PY33" s="289">
        <v>6.15</v>
      </c>
      <c r="PZ33" s="289">
        <v>6.3167</v>
      </c>
      <c r="QA33" s="289">
        <v>6.3917999999999999</v>
      </c>
      <c r="QB33" s="289">
        <v>6.8007999999999997</v>
      </c>
      <c r="QC33" s="289">
        <v>7.6349999999999998</v>
      </c>
      <c r="QD33" s="289">
        <v>7.5708000000000002</v>
      </c>
      <c r="QE33" s="185">
        <v>27</v>
      </c>
      <c r="QF33" s="1"/>
      <c r="QG33" s="1"/>
      <c r="QH33" s="185">
        <v>27</v>
      </c>
      <c r="QI33" s="289">
        <v>3.1057999999999999</v>
      </c>
      <c r="QJ33" s="289">
        <v>3.2075</v>
      </c>
      <c r="QK33" s="289">
        <v>3.3353000000000002</v>
      </c>
      <c r="QL33" s="289">
        <v>3.3073000000000001</v>
      </c>
      <c r="QM33" s="289">
        <v>3.3092999999999999</v>
      </c>
      <c r="QN33" s="289">
        <v>3.3855</v>
      </c>
      <c r="QO33" s="289">
        <v>3.4072</v>
      </c>
      <c r="QP33" s="289">
        <v>3.3671000000000002</v>
      </c>
      <c r="QQ33" s="289">
        <v>3.3904999999999998</v>
      </c>
      <c r="QR33" s="289">
        <v>3.4285999999999999</v>
      </c>
      <c r="QS33" s="289">
        <v>3.448</v>
      </c>
      <c r="QT33" s="289">
        <v>4.7374999999999998</v>
      </c>
      <c r="QU33" s="185">
        <v>27</v>
      </c>
      <c r="QV33" s="1"/>
      <c r="QW33" s="1"/>
      <c r="QX33" s="185">
        <v>27</v>
      </c>
      <c r="QY33" s="289">
        <v>3.1044</v>
      </c>
      <c r="QZ33" s="289">
        <v>3.0973999999999999</v>
      </c>
      <c r="RA33" s="289">
        <v>3.1114000000000002</v>
      </c>
      <c r="RB33" s="289">
        <v>3.0945999999999998</v>
      </c>
      <c r="RC33" s="289">
        <v>3.1242000000000001</v>
      </c>
      <c r="RD33" s="289">
        <v>3.1160000000000001</v>
      </c>
      <c r="RE33" s="289">
        <v>3.1251000000000002</v>
      </c>
      <c r="RF33" s="289">
        <v>3.1103999999999998</v>
      </c>
      <c r="RG33" s="289">
        <v>3.1124000000000001</v>
      </c>
      <c r="RH33" s="289">
        <v>3.1135000000000002</v>
      </c>
      <c r="RI33" s="289">
        <v>3.1168</v>
      </c>
      <c r="RJ33" s="289">
        <v>3.1110000000000002</v>
      </c>
      <c r="RK33" s="185">
        <v>27</v>
      </c>
      <c r="RL33" s="1"/>
      <c r="RM33" s="1"/>
      <c r="RN33" s="185">
        <v>27</v>
      </c>
      <c r="RO33" s="289">
        <v>3.0735999999999999</v>
      </c>
      <c r="RP33" s="289">
        <v>3.0609000000000002</v>
      </c>
      <c r="RQ33" s="289">
        <v>3.0794999999999999</v>
      </c>
      <c r="RR33" s="289">
        <v>3.0855999999999999</v>
      </c>
      <c r="RS33" s="289">
        <v>3.1025999999999998</v>
      </c>
      <c r="RT33" s="289">
        <v>3.1225000000000001</v>
      </c>
      <c r="RU33" s="289">
        <v>3.1113</v>
      </c>
      <c r="RV33" s="289">
        <v>3.081</v>
      </c>
      <c r="RW33" s="289">
        <v>3.1040000000000001</v>
      </c>
      <c r="RX33" s="289">
        <v>3.1190000000000002</v>
      </c>
      <c r="RY33" s="289">
        <v>3.1137999999999999</v>
      </c>
      <c r="RZ33" s="289">
        <v>3.1194999999999999</v>
      </c>
      <c r="SA33" s="185">
        <v>27</v>
      </c>
      <c r="SB33" s="1"/>
      <c r="SC33" s="1"/>
      <c r="SD33" s="185">
        <v>27</v>
      </c>
      <c r="SE33" s="289">
        <v>2.9561999999999999</v>
      </c>
      <c r="SF33" s="289">
        <v>2.9689999999999999</v>
      </c>
      <c r="SG33" s="289">
        <v>2.9802</v>
      </c>
      <c r="SH33" s="289">
        <v>2.9925999999999999</v>
      </c>
      <c r="SI33" s="289">
        <v>3.0038</v>
      </c>
      <c r="SJ33" s="289">
        <v>3.0169999999999999</v>
      </c>
      <c r="SK33" s="289">
        <v>3.0289999999999999</v>
      </c>
      <c r="SL33" s="289">
        <v>3.0406</v>
      </c>
      <c r="SM33" s="289">
        <v>3.0546000000000002</v>
      </c>
      <c r="SN33" s="289">
        <v>3.0670000000000002</v>
      </c>
      <c r="SO33" s="289">
        <v>3.06216</v>
      </c>
      <c r="SP33" s="289">
        <v>3.08413</v>
      </c>
      <c r="SQ33" s="185">
        <v>27</v>
      </c>
      <c r="SR33" s="1"/>
      <c r="SS33" s="1"/>
      <c r="ST33" s="185">
        <v>27</v>
      </c>
      <c r="SU33" s="289">
        <v>2.669</v>
      </c>
      <c r="SV33" s="289">
        <v>2.698</v>
      </c>
      <c r="SW33" s="289">
        <v>2.726</v>
      </c>
      <c r="SX33" s="289">
        <v>2.7589999999999999</v>
      </c>
      <c r="SY33" s="289">
        <v>2.7879999999999998</v>
      </c>
      <c r="SZ33" s="289">
        <v>2.8146</v>
      </c>
      <c r="TA33" s="289">
        <v>2.8386</v>
      </c>
      <c r="TB33" s="289">
        <v>2.8618000000000001</v>
      </c>
      <c r="TC33" s="289">
        <v>2.8881999999999999</v>
      </c>
      <c r="TD33" s="289">
        <v>2.9121999999999999</v>
      </c>
      <c r="TE33" s="289">
        <v>2.9314</v>
      </c>
      <c r="TF33" s="289">
        <v>2.9441999999999999</v>
      </c>
      <c r="TG33" s="185">
        <v>27</v>
      </c>
      <c r="TH33" s="1"/>
      <c r="TI33" s="1"/>
      <c r="TJ33" s="185">
        <v>27</v>
      </c>
      <c r="TK33" s="289">
        <v>2.3039999999999998</v>
      </c>
      <c r="TL33" s="289">
        <v>2.3330000000000002</v>
      </c>
      <c r="TM33" s="289">
        <v>2.3610000000000002</v>
      </c>
      <c r="TN33" s="289">
        <v>2.3940000000000001</v>
      </c>
      <c r="TO33" s="289">
        <v>2.4239999999999999</v>
      </c>
      <c r="TP33" s="289">
        <v>2.4529999999999998</v>
      </c>
      <c r="TQ33" s="289">
        <v>2.4849999999999999</v>
      </c>
      <c r="TR33" s="289">
        <v>2.5150000000000001</v>
      </c>
      <c r="TS33" s="289">
        <v>2.5470000000000002</v>
      </c>
      <c r="TT33" s="289">
        <v>2.577</v>
      </c>
      <c r="TU33" s="289">
        <v>2.6059999999999999</v>
      </c>
      <c r="TV33" s="289">
        <v>2.6379999999999999</v>
      </c>
      <c r="TW33" s="185">
        <v>27</v>
      </c>
    </row>
    <row r="34" spans="2:543" ht="20.100000000000001" customHeight="1">
      <c r="B34" s="64">
        <v>28</v>
      </c>
      <c r="C34" s="289">
        <v>20.641500000000001</v>
      </c>
      <c r="D34" s="289">
        <v>20.6525</v>
      </c>
      <c r="E34" s="289">
        <v>20.1313</v>
      </c>
      <c r="F34" s="289">
        <v>20.356000000000002</v>
      </c>
      <c r="G34" s="289">
        <v>19.793299999999999</v>
      </c>
      <c r="H34" s="289">
        <v>19.870699999999999</v>
      </c>
      <c r="I34" s="289">
        <v>20.433</v>
      </c>
      <c r="J34" s="289">
        <v>19.9437</v>
      </c>
      <c r="K34" s="289">
        <v>20.351700000000001</v>
      </c>
      <c r="L34" s="289">
        <v>19.8553</v>
      </c>
      <c r="M34" s="289">
        <v>19.369199999999999</v>
      </c>
      <c r="N34" s="289">
        <v>19.398299999999999</v>
      </c>
      <c r="O34" s="64">
        <v>28</v>
      </c>
      <c r="R34" s="64">
        <v>28</v>
      </c>
      <c r="S34" s="289">
        <v>20.0152</v>
      </c>
      <c r="T34" s="289">
        <v>20.8523</v>
      </c>
      <c r="U34" s="289">
        <v>20.766200000000001</v>
      </c>
      <c r="V34" s="289">
        <v>19.836200000000002</v>
      </c>
      <c r="W34" s="289">
        <v>19.878299999999999</v>
      </c>
      <c r="X34" s="289">
        <v>20.048300000000001</v>
      </c>
      <c r="Y34" s="289">
        <v>20.0245</v>
      </c>
      <c r="Z34" s="289">
        <v>20.3522</v>
      </c>
      <c r="AA34" s="289">
        <v>20.111799999999999</v>
      </c>
      <c r="AB34" s="289">
        <v>20.188800000000001</v>
      </c>
      <c r="AC34" s="289">
        <v>21.546199999999999</v>
      </c>
      <c r="AD34" s="289">
        <v>20.6112</v>
      </c>
      <c r="AE34" s="64">
        <v>28</v>
      </c>
      <c r="AH34" s="185">
        <v>28</v>
      </c>
      <c r="AI34" s="289">
        <v>18.831299999999999</v>
      </c>
      <c r="AJ34" s="289">
        <v>19.1585</v>
      </c>
      <c r="AK34" s="289">
        <v>23.097000000000001</v>
      </c>
      <c r="AL34" s="289">
        <v>24.8583</v>
      </c>
      <c r="AM34" s="289">
        <v>22.293199999999999</v>
      </c>
      <c r="AN34" s="289">
        <v>22.796299999999999</v>
      </c>
      <c r="AO34" s="289">
        <v>22.3842</v>
      </c>
      <c r="AP34" s="289">
        <v>21.920200000000001</v>
      </c>
      <c r="AQ34" s="289">
        <v>22.367799999999999</v>
      </c>
      <c r="AR34" s="289">
        <v>20.9818</v>
      </c>
      <c r="AS34" s="289">
        <v>20.046700000000001</v>
      </c>
      <c r="AT34" s="289">
        <v>20.1175</v>
      </c>
      <c r="AU34" s="185">
        <v>28</v>
      </c>
      <c r="AX34" s="185">
        <v>28</v>
      </c>
      <c r="AY34" s="289">
        <v>18.985900000000001</v>
      </c>
      <c r="AZ34" s="289">
        <v>19.163</v>
      </c>
      <c r="BA34" s="289">
        <v>19.0989</v>
      </c>
      <c r="BB34" s="289">
        <v>19.094200000000001</v>
      </c>
      <c r="BC34" s="289">
        <v>19.065799999999999</v>
      </c>
      <c r="BD34" s="289">
        <v>19.144200000000001</v>
      </c>
      <c r="BE34" s="289">
        <v>19.0623</v>
      </c>
      <c r="BF34" s="289">
        <v>19.9086</v>
      </c>
      <c r="BG34" s="289">
        <v>19.636299999999999</v>
      </c>
      <c r="BH34" s="289">
        <v>19.087800000000001</v>
      </c>
      <c r="BI34" s="289">
        <v>19.5185</v>
      </c>
      <c r="BJ34" s="289">
        <v>18.944500000000001</v>
      </c>
      <c r="BK34" s="185">
        <v>28</v>
      </c>
      <c r="BN34" s="185">
        <v>28</v>
      </c>
      <c r="BO34" s="290">
        <v>18.478000000000002</v>
      </c>
      <c r="BP34" s="289">
        <v>18.645600000000002</v>
      </c>
      <c r="BQ34" s="289">
        <v>18.326799999999999</v>
      </c>
      <c r="BR34" s="289">
        <v>18.8644</v>
      </c>
      <c r="BS34" s="289">
        <v>19.704799999999999</v>
      </c>
      <c r="BT34" s="289">
        <v>19.875399999999999</v>
      </c>
      <c r="BU34" s="289">
        <v>18.6234</v>
      </c>
      <c r="BV34" s="289">
        <v>18.8339</v>
      </c>
      <c r="BW34" s="289">
        <v>18.898599999999998</v>
      </c>
      <c r="BX34" s="289">
        <v>19.438300000000002</v>
      </c>
      <c r="BY34" s="289">
        <v>20.5304</v>
      </c>
      <c r="BZ34" s="289">
        <v>19.882300000000001</v>
      </c>
      <c r="CA34" s="185">
        <v>28</v>
      </c>
      <c r="CD34" s="185">
        <v>28</v>
      </c>
      <c r="CE34" s="289">
        <v>21.202400000000001</v>
      </c>
      <c r="CF34" s="289">
        <v>19.833500000000001</v>
      </c>
      <c r="CG34" s="289">
        <v>18.852799999999998</v>
      </c>
      <c r="CH34" s="289">
        <v>19.111899999999999</v>
      </c>
      <c r="CI34" s="289">
        <v>18.418500000000002</v>
      </c>
      <c r="CJ34" s="289">
        <v>17.877500000000001</v>
      </c>
      <c r="CK34" s="289">
        <v>17.7561</v>
      </c>
      <c r="CL34" s="289">
        <v>17.697700000000001</v>
      </c>
      <c r="CM34" s="289">
        <v>17.993300000000001</v>
      </c>
      <c r="CN34" s="289">
        <v>19.096</v>
      </c>
      <c r="CO34" s="289">
        <v>18.5379</v>
      </c>
      <c r="CP34" s="289">
        <v>19.722300000000001</v>
      </c>
      <c r="CQ34" s="185">
        <v>28</v>
      </c>
      <c r="CT34" s="185">
        <v>28</v>
      </c>
      <c r="CU34" s="289">
        <v>18.471499999999999</v>
      </c>
      <c r="CV34" s="289">
        <v>18.167999999999999</v>
      </c>
      <c r="CW34" s="289">
        <v>17.336099999999998</v>
      </c>
      <c r="CX34" s="289">
        <v>17.4298</v>
      </c>
      <c r="CY34" s="289">
        <v>18.4572</v>
      </c>
      <c r="CZ34" s="289">
        <v>18.871600000000001</v>
      </c>
      <c r="DA34" s="289">
        <v>18.811399999999999</v>
      </c>
      <c r="DB34" s="289">
        <v>18.446000000000002</v>
      </c>
      <c r="DC34" s="289">
        <v>19.8322</v>
      </c>
      <c r="DD34" s="289">
        <v>18.648499999999999</v>
      </c>
      <c r="DE34" s="289">
        <v>20.705100000000002</v>
      </c>
      <c r="DF34" s="289">
        <v>20.644500000000001</v>
      </c>
      <c r="DG34" s="185">
        <v>28</v>
      </c>
      <c r="DJ34" s="185">
        <v>28</v>
      </c>
      <c r="DK34" s="289">
        <v>14.588699999999999</v>
      </c>
      <c r="DL34" s="289">
        <v>14.962400000000001</v>
      </c>
      <c r="DM34" s="289">
        <v>15.105600000000001</v>
      </c>
      <c r="DN34" s="289">
        <v>15.3834</v>
      </c>
      <c r="DO34" s="289">
        <v>15.323499999999999</v>
      </c>
      <c r="DP34" s="289">
        <v>15.455500000000001</v>
      </c>
      <c r="DQ34" s="289">
        <v>16.2364</v>
      </c>
      <c r="DR34" s="289">
        <v>17.1065</v>
      </c>
      <c r="DS34" s="289">
        <v>17.114899999999999</v>
      </c>
      <c r="DT34" s="289">
        <v>16.4998</v>
      </c>
      <c r="DU34" s="289">
        <v>16.549199999999999</v>
      </c>
      <c r="DV34" s="289">
        <v>17.1953</v>
      </c>
      <c r="DW34" s="185">
        <v>28</v>
      </c>
      <c r="DZ34" s="185">
        <v>28</v>
      </c>
      <c r="EA34" s="289">
        <v>13.493</v>
      </c>
      <c r="EB34" s="289">
        <v>13.299200000000001</v>
      </c>
      <c r="EC34" s="289">
        <v>13.1273</v>
      </c>
      <c r="ED34" s="289">
        <v>13.101000000000001</v>
      </c>
      <c r="EE34" s="289">
        <v>12.861599999999999</v>
      </c>
      <c r="EF34" s="289">
        <v>13.032299999999999</v>
      </c>
      <c r="EG34" s="289">
        <v>12.9572</v>
      </c>
      <c r="EH34" s="289">
        <v>13.1059</v>
      </c>
      <c r="EI34" s="289">
        <v>13.3848</v>
      </c>
      <c r="EJ34" s="289">
        <v>13.526300000000001</v>
      </c>
      <c r="EK34" s="289">
        <v>13.7219</v>
      </c>
      <c r="EL34" s="289">
        <v>14.742900000000001</v>
      </c>
      <c r="EM34" s="185">
        <v>28</v>
      </c>
      <c r="EP34" s="185">
        <v>28</v>
      </c>
      <c r="EQ34" s="289">
        <v>12.6286</v>
      </c>
      <c r="ER34" s="289">
        <v>12.868</v>
      </c>
      <c r="ES34" s="289">
        <v>12.3546</v>
      </c>
      <c r="ET34" s="289">
        <v>12.123100000000001</v>
      </c>
      <c r="EU34" s="289">
        <v>12.5219</v>
      </c>
      <c r="EV34" s="289">
        <v>13.1884</v>
      </c>
      <c r="EW34" s="289">
        <v>12.646800000000001</v>
      </c>
      <c r="EX34" s="289">
        <v>13.109</v>
      </c>
      <c r="EY34" s="289">
        <v>13.011900000000001</v>
      </c>
      <c r="EZ34" s="289">
        <v>12.9916</v>
      </c>
      <c r="FA34" s="289">
        <v>13.0745</v>
      </c>
      <c r="FB34" s="289">
        <v>13.0547</v>
      </c>
      <c r="FC34" s="185">
        <v>28</v>
      </c>
      <c r="FF34" s="185">
        <v>28</v>
      </c>
      <c r="FG34" s="289">
        <v>12.932499999999999</v>
      </c>
      <c r="FH34" s="289">
        <v>12.8675</v>
      </c>
      <c r="FI34" s="289">
        <v>12.679500000000001</v>
      </c>
      <c r="FJ34" s="289">
        <v>13.209300000000001</v>
      </c>
      <c r="FK34" s="289">
        <v>14.004</v>
      </c>
      <c r="FL34" s="289">
        <v>13.861599999999999</v>
      </c>
      <c r="FM34" s="289">
        <v>13.442500000000001</v>
      </c>
      <c r="FN34" s="289">
        <v>13.176</v>
      </c>
      <c r="FO34" s="289">
        <v>12.917</v>
      </c>
      <c r="FP34" s="289">
        <v>12.966900000000001</v>
      </c>
      <c r="FQ34" s="289">
        <v>12.9984</v>
      </c>
      <c r="FR34" s="289">
        <v>13.005800000000001</v>
      </c>
      <c r="FS34" s="185">
        <v>28</v>
      </c>
      <c r="FV34" s="185">
        <v>28</v>
      </c>
      <c r="FW34" s="289">
        <v>12.040800000000001</v>
      </c>
      <c r="FX34" s="289">
        <v>12.173</v>
      </c>
      <c r="FY34" s="289">
        <v>11.955500000000001</v>
      </c>
      <c r="FZ34" s="289">
        <v>11.5824</v>
      </c>
      <c r="GA34" s="289">
        <v>11.695600000000001</v>
      </c>
      <c r="GB34" s="289">
        <v>11.882199999999999</v>
      </c>
      <c r="GC34" s="289">
        <v>11.6172</v>
      </c>
      <c r="GD34" s="289">
        <v>12.4259</v>
      </c>
      <c r="GE34" s="289">
        <v>13.6677</v>
      </c>
      <c r="GF34" s="289">
        <v>13.491400000000001</v>
      </c>
      <c r="GG34" s="289">
        <v>14.1778</v>
      </c>
      <c r="GH34" s="289">
        <v>13.8483</v>
      </c>
      <c r="GI34" s="185">
        <v>28</v>
      </c>
      <c r="GL34" s="185">
        <v>28</v>
      </c>
      <c r="GM34" s="289">
        <v>12.854900000000001</v>
      </c>
      <c r="GN34" s="289">
        <v>12.850300000000001</v>
      </c>
      <c r="GO34" s="289">
        <v>12.5009</v>
      </c>
      <c r="GP34" s="289">
        <v>12.157500000000001</v>
      </c>
      <c r="GQ34" s="289">
        <v>12.9955</v>
      </c>
      <c r="GR34" s="289">
        <v>12.7141</v>
      </c>
      <c r="GS34" s="289">
        <v>12.6975</v>
      </c>
      <c r="GT34" s="289">
        <v>12.984</v>
      </c>
      <c r="GU34" s="289">
        <v>12.549099999999999</v>
      </c>
      <c r="GV34" s="289">
        <v>12.385899999999999</v>
      </c>
      <c r="GW34" s="289">
        <v>12.366899999999999</v>
      </c>
      <c r="GX34" s="289">
        <v>12.3459</v>
      </c>
      <c r="GY34" s="185">
        <v>28</v>
      </c>
      <c r="HB34" s="185">
        <v>28</v>
      </c>
      <c r="HC34" s="289">
        <v>13.934200000000001</v>
      </c>
      <c r="HD34" s="289">
        <v>14.9322</v>
      </c>
      <c r="HE34" s="289">
        <v>14.2163</v>
      </c>
      <c r="HF34" s="289">
        <v>13.2318</v>
      </c>
      <c r="HG34" s="289">
        <v>13.133800000000001</v>
      </c>
      <c r="HH34" s="289">
        <v>13.277799999999999</v>
      </c>
      <c r="HI34" s="289">
        <v>13.2247</v>
      </c>
      <c r="HJ34" s="289">
        <v>13.1378</v>
      </c>
      <c r="HK34" s="289">
        <v>13.4549</v>
      </c>
      <c r="HL34" s="289">
        <v>13.148999999999999</v>
      </c>
      <c r="HM34" s="289">
        <v>12.9475</v>
      </c>
      <c r="HN34" s="289">
        <v>12.8896</v>
      </c>
      <c r="HO34" s="185">
        <v>28</v>
      </c>
      <c r="HP34" s="1"/>
      <c r="HQ34" s="1"/>
      <c r="HR34" s="185">
        <v>28</v>
      </c>
      <c r="HS34" s="289">
        <v>10.8934</v>
      </c>
      <c r="HT34" s="289">
        <v>10.743</v>
      </c>
      <c r="HU34" s="289">
        <v>10.6957</v>
      </c>
      <c r="HV34" s="289">
        <v>10.462</v>
      </c>
      <c r="HW34" s="289">
        <v>10.3848</v>
      </c>
      <c r="HX34" s="289">
        <v>10.2841</v>
      </c>
      <c r="HY34" s="289">
        <v>10.026400000000001</v>
      </c>
      <c r="HZ34" s="289">
        <v>10.173</v>
      </c>
      <c r="IA34" s="289">
        <v>10.7653</v>
      </c>
      <c r="IB34" s="289">
        <v>13.4</v>
      </c>
      <c r="IC34" s="289">
        <v>13.2117</v>
      </c>
      <c r="ID34" s="289">
        <v>13.311400000000001</v>
      </c>
      <c r="IE34" s="185">
        <v>28</v>
      </c>
      <c r="IF34" s="1"/>
      <c r="IG34" s="1"/>
      <c r="IH34" s="185">
        <v>28</v>
      </c>
      <c r="II34" s="289">
        <v>10.975300000000001</v>
      </c>
      <c r="IJ34" s="289">
        <v>11.079000000000001</v>
      </c>
      <c r="IK34" s="289">
        <v>11.0253</v>
      </c>
      <c r="IL34" s="289">
        <v>10.9312</v>
      </c>
      <c r="IM34" s="289">
        <v>10.8354</v>
      </c>
      <c r="IN34" s="289">
        <v>10.8398</v>
      </c>
      <c r="IO34" s="289">
        <v>10.9436</v>
      </c>
      <c r="IP34" s="289">
        <v>11.0413</v>
      </c>
      <c r="IQ34" s="289">
        <v>10.924300000000001</v>
      </c>
      <c r="IR34" s="289">
        <v>10.8291</v>
      </c>
      <c r="IS34" s="289">
        <v>10.981</v>
      </c>
      <c r="IT34" s="289">
        <v>10.810499999999999</v>
      </c>
      <c r="IU34" s="185">
        <v>28</v>
      </c>
      <c r="IV34" s="1"/>
      <c r="IW34" s="1"/>
      <c r="IX34" s="185">
        <v>28</v>
      </c>
      <c r="IY34" s="289">
        <v>10.5039</v>
      </c>
      <c r="IZ34" s="289">
        <v>10.476100000000001</v>
      </c>
      <c r="JA34" s="289">
        <v>10.8568</v>
      </c>
      <c r="JB34" s="289">
        <v>11.1578</v>
      </c>
      <c r="JC34" s="289">
        <v>11.2097</v>
      </c>
      <c r="JD34" s="289">
        <v>11.409000000000001</v>
      </c>
      <c r="JE34" s="289">
        <v>10.9337</v>
      </c>
      <c r="JF34" s="289">
        <v>10.922000000000001</v>
      </c>
      <c r="JG34" s="289">
        <v>11.0418</v>
      </c>
      <c r="JH34" s="289">
        <v>10.731299999999999</v>
      </c>
      <c r="JI34" s="289">
        <v>11.0242</v>
      </c>
      <c r="JJ34" s="289">
        <v>10.874700000000001</v>
      </c>
      <c r="JK34" s="185">
        <v>28</v>
      </c>
      <c r="JL34" s="1"/>
      <c r="JM34" s="1"/>
      <c r="JN34" s="185">
        <v>28</v>
      </c>
      <c r="JO34" s="289">
        <v>11.263199999999999</v>
      </c>
      <c r="JP34" s="289">
        <v>11.095499999999999</v>
      </c>
      <c r="JQ34" s="289">
        <v>11.1898</v>
      </c>
      <c r="JR34" s="289">
        <v>11.0595</v>
      </c>
      <c r="JS34" s="289">
        <v>10.964499999999999</v>
      </c>
      <c r="JT34" s="289">
        <v>10.764200000000001</v>
      </c>
      <c r="JU34" s="289">
        <v>10.7165</v>
      </c>
      <c r="JV34" s="289">
        <v>10.815300000000001</v>
      </c>
      <c r="JW34" s="289">
        <v>10.875999999999999</v>
      </c>
      <c r="JX34" s="289">
        <v>10.891</v>
      </c>
      <c r="JY34" s="289">
        <v>10.6083</v>
      </c>
      <c r="JZ34" s="289">
        <v>10.693199999999999</v>
      </c>
      <c r="KA34" s="185">
        <v>28</v>
      </c>
      <c r="KB34" s="1"/>
      <c r="KC34" s="1"/>
      <c r="KD34" s="185">
        <v>28</v>
      </c>
      <c r="KE34" s="289">
        <v>10.9178</v>
      </c>
      <c r="KF34" s="289">
        <v>11.0715</v>
      </c>
      <c r="KG34" s="289">
        <v>11.013</v>
      </c>
      <c r="KH34" s="289">
        <v>11.2881</v>
      </c>
      <c r="KI34" s="289">
        <v>11.4556</v>
      </c>
      <c r="KJ34" s="289">
        <v>11.3004</v>
      </c>
      <c r="KK34" s="289">
        <v>11.4582</v>
      </c>
      <c r="KL34" s="289">
        <v>11.366</v>
      </c>
      <c r="KM34" s="289">
        <v>11.4107</v>
      </c>
      <c r="KN34" s="289">
        <v>11.517799999999999</v>
      </c>
      <c r="KO34" s="289">
        <v>11.2713</v>
      </c>
      <c r="KP34" s="289">
        <v>11.15</v>
      </c>
      <c r="KQ34" s="185">
        <v>28</v>
      </c>
      <c r="KR34" s="1"/>
      <c r="KS34" s="1"/>
      <c r="KT34" s="185">
        <v>28</v>
      </c>
      <c r="KU34" s="289">
        <v>10.826700000000001</v>
      </c>
      <c r="KV34" s="289">
        <v>11.0329</v>
      </c>
      <c r="KW34" s="289">
        <v>10.7498</v>
      </c>
      <c r="KX34" s="289">
        <v>10.434799999999999</v>
      </c>
      <c r="KY34" s="289">
        <v>10.251899999999999</v>
      </c>
      <c r="KZ34" s="289">
        <v>10.4808</v>
      </c>
      <c r="LA34" s="289">
        <v>10.520300000000001</v>
      </c>
      <c r="LB34" s="289">
        <v>10.911799999999999</v>
      </c>
      <c r="LC34" s="289">
        <v>10.811500000000001</v>
      </c>
      <c r="LD34" s="289">
        <v>11.1784</v>
      </c>
      <c r="LE34" s="289">
        <v>11.3522</v>
      </c>
      <c r="LF34" s="289">
        <v>11.2744</v>
      </c>
      <c r="LG34" s="185">
        <v>28</v>
      </c>
      <c r="LH34" s="1"/>
      <c r="LI34" s="1"/>
      <c r="LJ34" s="185">
        <v>28</v>
      </c>
      <c r="LK34" s="289">
        <v>9.1227</v>
      </c>
      <c r="LL34" s="289">
        <v>9.0815000000000001</v>
      </c>
      <c r="LM34" s="289">
        <v>9.0243000000000002</v>
      </c>
      <c r="LN34" s="289">
        <v>9.3528000000000002</v>
      </c>
      <c r="LO34" s="289">
        <v>9.5585000000000004</v>
      </c>
      <c r="LP34" s="289">
        <v>9.9998000000000005</v>
      </c>
      <c r="LQ34" s="289">
        <v>9.7157999999999998</v>
      </c>
      <c r="LR34" s="289">
        <v>9.8267000000000007</v>
      </c>
      <c r="LS34" s="289">
        <v>10.166700000000001</v>
      </c>
      <c r="LT34" s="289">
        <v>9.9467999999999996</v>
      </c>
      <c r="LU34" s="289">
        <v>10.153499999999999</v>
      </c>
      <c r="LV34" s="289">
        <v>10.2479</v>
      </c>
      <c r="LW34" s="185">
        <v>28</v>
      </c>
      <c r="LX34" s="1"/>
      <c r="LY34" s="1"/>
      <c r="LZ34" s="185">
        <v>28</v>
      </c>
      <c r="MA34" s="289">
        <v>9.6829999999999998</v>
      </c>
      <c r="MB34" s="289">
        <v>9.6617999999999995</v>
      </c>
      <c r="MC34" s="289">
        <v>9.5314999999999994</v>
      </c>
      <c r="MD34" s="289">
        <v>9.2670999999999992</v>
      </c>
      <c r="ME34" s="289">
        <v>9.0805000000000007</v>
      </c>
      <c r="MF34" s="289">
        <v>9.0606000000000009</v>
      </c>
      <c r="MG34" s="289">
        <v>9.157</v>
      </c>
      <c r="MH34" s="289">
        <v>9.1443999999999992</v>
      </c>
      <c r="MI34" s="289">
        <v>9.5258000000000003</v>
      </c>
      <c r="MJ34" s="289">
        <v>9.2469000000000001</v>
      </c>
      <c r="MK34" s="289">
        <v>9.1646999999999998</v>
      </c>
      <c r="ML34" s="289">
        <v>9.0957000000000008</v>
      </c>
      <c r="MM34" s="185">
        <v>28</v>
      </c>
      <c r="MN34" s="1"/>
      <c r="MO34" s="1"/>
      <c r="MP34" s="185">
        <v>28</v>
      </c>
      <c r="MQ34" s="289">
        <v>9.5103000000000009</v>
      </c>
      <c r="MR34" s="289">
        <v>9.3797999999999995</v>
      </c>
      <c r="MS34" s="289">
        <v>9.1712000000000007</v>
      </c>
      <c r="MT34" s="289">
        <v>9.4072999999999993</v>
      </c>
      <c r="MU34" s="289">
        <v>9.4939999999999998</v>
      </c>
      <c r="MV34" s="289">
        <v>10.0197</v>
      </c>
      <c r="MW34" s="289">
        <v>9.3627000000000002</v>
      </c>
      <c r="MX34" s="289">
        <v>9.2268000000000008</v>
      </c>
      <c r="MY34" s="289">
        <v>9.4032</v>
      </c>
      <c r="MZ34" s="289">
        <v>9.6776999999999997</v>
      </c>
      <c r="NA34" s="289">
        <v>9.3930000000000007</v>
      </c>
      <c r="NB34" s="289">
        <v>9.5200999999999993</v>
      </c>
      <c r="NC34" s="185">
        <v>28</v>
      </c>
      <c r="ND34" s="1"/>
      <c r="NE34" s="1"/>
      <c r="NF34" s="185">
        <v>28</v>
      </c>
      <c r="NG34" s="289">
        <v>10.225199999999999</v>
      </c>
      <c r="NH34" s="289">
        <v>9.9835999999999991</v>
      </c>
      <c r="NI34" s="289">
        <v>9.6454000000000004</v>
      </c>
      <c r="NJ34" s="289">
        <v>9.3084000000000007</v>
      </c>
      <c r="NK34" s="289">
        <v>9.6715</v>
      </c>
      <c r="NL34" s="289">
        <v>9.4589999999999996</v>
      </c>
      <c r="NM34" s="289">
        <v>9.4235000000000007</v>
      </c>
      <c r="NN34" s="289">
        <v>9.3393999999999995</v>
      </c>
      <c r="NO34" s="289">
        <v>9.3565000000000005</v>
      </c>
      <c r="NP34" s="289">
        <v>9.6298999999999992</v>
      </c>
      <c r="NQ34" s="289">
        <v>9.2944999999999993</v>
      </c>
      <c r="NR34" s="289">
        <v>9.4187999999999992</v>
      </c>
      <c r="NS34" s="185">
        <v>28</v>
      </c>
      <c r="NT34" s="1"/>
      <c r="NU34" s="1"/>
      <c r="NV34" s="185">
        <v>28</v>
      </c>
      <c r="NW34" s="289">
        <v>8.2810000000000006</v>
      </c>
      <c r="NX34" s="289">
        <v>8.5582999999999991</v>
      </c>
      <c r="NY34" s="289">
        <v>8.5251999999999999</v>
      </c>
      <c r="NZ34" s="289">
        <v>8.4747000000000003</v>
      </c>
      <c r="OA34" s="289">
        <v>8.7081</v>
      </c>
      <c r="OB34" s="289">
        <v>8.9536999999999995</v>
      </c>
      <c r="OC34" s="289">
        <v>8.8670000000000009</v>
      </c>
      <c r="OD34" s="289">
        <v>9.8149999999999995</v>
      </c>
      <c r="OE34" s="289">
        <v>10.111700000000001</v>
      </c>
      <c r="OF34" s="289">
        <v>10.029299999999999</v>
      </c>
      <c r="OG34" s="289">
        <v>9.9404000000000003</v>
      </c>
      <c r="OH34" s="289">
        <v>9.8103999999999996</v>
      </c>
      <c r="OI34" s="185">
        <v>28</v>
      </c>
      <c r="OJ34" s="1"/>
      <c r="OK34" s="1"/>
      <c r="OL34" s="185">
        <v>28</v>
      </c>
      <c r="OM34" s="289">
        <v>7.8205</v>
      </c>
      <c r="ON34" s="289">
        <v>7.7843999999999998</v>
      </c>
      <c r="OO34" s="289">
        <v>7.8905000000000003</v>
      </c>
      <c r="OP34" s="289">
        <v>7.8544999999999998</v>
      </c>
      <c r="OQ34" s="289">
        <v>7.9058999999999999</v>
      </c>
      <c r="OR34" s="289">
        <v>7.9577</v>
      </c>
      <c r="OS34" s="289">
        <v>7.8312999999999997</v>
      </c>
      <c r="OT34" s="289">
        <v>7.7637</v>
      </c>
      <c r="OU34" s="289">
        <v>7.8071999999999999</v>
      </c>
      <c r="OV34" s="289">
        <v>7.8272000000000004</v>
      </c>
      <c r="OW34" s="289">
        <v>8.1999999999999993</v>
      </c>
      <c r="OX34" s="289">
        <v>8.1647999999999996</v>
      </c>
      <c r="OY34" s="185">
        <v>28</v>
      </c>
      <c r="OZ34" s="1"/>
      <c r="PA34" s="1"/>
      <c r="PB34" s="185">
        <v>28</v>
      </c>
      <c r="PC34" s="289">
        <v>7.3867000000000003</v>
      </c>
      <c r="PD34" s="289">
        <v>7.5571000000000002</v>
      </c>
      <c r="PE34" s="289">
        <v>7.5437000000000003</v>
      </c>
      <c r="PF34" s="289">
        <v>7.3794000000000004</v>
      </c>
      <c r="PG34" s="289">
        <v>7.3987999999999996</v>
      </c>
      <c r="PH34" s="289">
        <v>7.6108000000000002</v>
      </c>
      <c r="PI34" s="289">
        <v>7.5903</v>
      </c>
      <c r="PJ34" s="289">
        <v>7.5019999999999998</v>
      </c>
      <c r="PK34" s="289">
        <v>7.5373999999999999</v>
      </c>
      <c r="PL34" s="289">
        <v>7.8296999999999999</v>
      </c>
      <c r="PM34" s="289">
        <v>7.875</v>
      </c>
      <c r="PN34" s="289">
        <v>7.8441999999999998</v>
      </c>
      <c r="PO34" s="185">
        <v>28</v>
      </c>
      <c r="PP34" s="1"/>
      <c r="PQ34" s="1"/>
      <c r="PR34" s="185">
        <v>28</v>
      </c>
      <c r="PS34" s="289">
        <v>5.69</v>
      </c>
      <c r="PT34" s="289">
        <v>5.8375000000000004</v>
      </c>
      <c r="PU34" s="289">
        <v>6.875</v>
      </c>
      <c r="PV34" s="289">
        <v>5.7850000000000001</v>
      </c>
      <c r="PW34" s="289">
        <v>6.0549999999999997</v>
      </c>
      <c r="PX34" s="289">
        <v>6.2549999999999999</v>
      </c>
      <c r="PY34" s="289">
        <v>6.12</v>
      </c>
      <c r="PZ34" s="289">
        <v>6.3167</v>
      </c>
      <c r="QA34" s="289">
        <v>6.3878000000000004</v>
      </c>
      <c r="QB34" s="289">
        <v>7.1666999999999996</v>
      </c>
      <c r="QC34" s="289">
        <v>7.6966999999999999</v>
      </c>
      <c r="QD34" s="289">
        <v>7.5533000000000001</v>
      </c>
      <c r="QE34" s="185">
        <v>28</v>
      </c>
      <c r="QF34" s="1"/>
      <c r="QG34" s="1"/>
      <c r="QH34" s="185">
        <v>28</v>
      </c>
      <c r="QI34" s="289">
        <v>3.1063999999999998</v>
      </c>
      <c r="QJ34" s="289">
        <v>3.2075</v>
      </c>
      <c r="QK34" s="289">
        <v>3.3353000000000002</v>
      </c>
      <c r="QL34" s="289">
        <v>3.298</v>
      </c>
      <c r="QM34" s="289">
        <v>3.3148</v>
      </c>
      <c r="QN34" s="289">
        <v>3.3902999999999999</v>
      </c>
      <c r="QO34" s="289">
        <v>3.4077999999999999</v>
      </c>
      <c r="QP34" s="289">
        <v>3.3671000000000002</v>
      </c>
      <c r="QQ34" s="289">
        <v>3.3733</v>
      </c>
      <c r="QR34" s="289">
        <v>3.4256000000000002</v>
      </c>
      <c r="QS34" s="289">
        <v>3.448</v>
      </c>
      <c r="QT34" s="289">
        <v>5.0999999999999996</v>
      </c>
      <c r="QU34" s="185">
        <v>28</v>
      </c>
      <c r="QV34" s="1"/>
      <c r="QW34" s="1"/>
      <c r="QX34" s="185">
        <v>28</v>
      </c>
      <c r="QY34" s="289">
        <v>3.0989</v>
      </c>
      <c r="QZ34" s="289">
        <v>3.0973999999999999</v>
      </c>
      <c r="RA34" s="289">
        <v>3.1114000000000002</v>
      </c>
      <c r="RB34" s="289">
        <v>3.0975999999999999</v>
      </c>
      <c r="RC34" s="289">
        <v>3.1294</v>
      </c>
      <c r="RD34" s="289">
        <v>3.1160000000000001</v>
      </c>
      <c r="RE34" s="289">
        <v>3.121</v>
      </c>
      <c r="RF34" s="289">
        <v>3.1116999999999999</v>
      </c>
      <c r="RG34" s="289">
        <v>3.1114000000000002</v>
      </c>
      <c r="RH34" s="289">
        <v>3.1135000000000002</v>
      </c>
      <c r="RI34" s="289">
        <v>3.1168</v>
      </c>
      <c r="RJ34" s="289">
        <v>3.1059000000000001</v>
      </c>
      <c r="RK34" s="185">
        <v>28</v>
      </c>
      <c r="RL34" s="1"/>
      <c r="RM34" s="1"/>
      <c r="RN34" s="185">
        <v>28</v>
      </c>
      <c r="RO34" s="289">
        <v>3.0790999999999999</v>
      </c>
      <c r="RP34" s="289">
        <v>3.0608</v>
      </c>
      <c r="RQ34" s="289">
        <v>3.0901999999999998</v>
      </c>
      <c r="RR34" s="289">
        <v>3.0758000000000001</v>
      </c>
      <c r="RS34" s="289">
        <v>3.1078999999999999</v>
      </c>
      <c r="RT34" s="289">
        <v>3.1225000000000001</v>
      </c>
      <c r="RU34" s="289">
        <v>3.11</v>
      </c>
      <c r="RV34" s="289">
        <v>3.0789</v>
      </c>
      <c r="RW34" s="289">
        <v>3.1040000000000001</v>
      </c>
      <c r="RX34" s="289">
        <v>3.1181000000000001</v>
      </c>
      <c r="RY34" s="289">
        <v>3.1158999999999999</v>
      </c>
      <c r="RZ34" s="289">
        <v>3.1194999999999999</v>
      </c>
      <c r="SA34" s="185">
        <v>28</v>
      </c>
      <c r="SB34" s="1"/>
      <c r="SC34" s="1"/>
      <c r="SD34" s="185">
        <v>28</v>
      </c>
      <c r="SE34" s="289">
        <v>2.9561999999999999</v>
      </c>
      <c r="SF34" s="289">
        <v>2.9693999999999998</v>
      </c>
      <c r="SG34" s="289">
        <v>2.9805999999999999</v>
      </c>
      <c r="SH34" s="289">
        <v>2.9925999999999999</v>
      </c>
      <c r="SI34" s="289">
        <v>3.0042</v>
      </c>
      <c r="SJ34" s="289">
        <v>3.0173999999999999</v>
      </c>
      <c r="SK34" s="289">
        <v>3.0289999999999999</v>
      </c>
      <c r="SL34" s="289">
        <v>3.0417999999999998</v>
      </c>
      <c r="SM34" s="289">
        <v>3.0558000000000001</v>
      </c>
      <c r="SN34" s="289">
        <v>3.0670000000000002</v>
      </c>
      <c r="SO34" s="289">
        <v>3.0760399999999999</v>
      </c>
      <c r="SP34" s="289">
        <v>3.0710000000000002</v>
      </c>
      <c r="SQ34" s="185">
        <v>28</v>
      </c>
      <c r="SR34" s="1"/>
      <c r="SS34" s="1"/>
      <c r="ST34" s="185">
        <v>28</v>
      </c>
      <c r="SU34" s="289">
        <v>2.669</v>
      </c>
      <c r="SV34" s="289">
        <v>2.7010000000000001</v>
      </c>
      <c r="SW34" s="289">
        <v>2.7290000000000001</v>
      </c>
      <c r="SX34" s="289">
        <v>2.76</v>
      </c>
      <c r="SY34" s="289">
        <v>2.7879999999999998</v>
      </c>
      <c r="SZ34" s="289">
        <v>2.8153999999999999</v>
      </c>
      <c r="TA34" s="289">
        <v>2.8393999999999999</v>
      </c>
      <c r="TB34" s="289">
        <v>2.8626</v>
      </c>
      <c r="TC34" s="289">
        <v>2.8889999999999998</v>
      </c>
      <c r="TD34" s="289">
        <v>2.9121999999999999</v>
      </c>
      <c r="TE34" s="289">
        <v>2.9325999999999999</v>
      </c>
      <c r="TF34" s="289">
        <v>2.9445999999999999</v>
      </c>
      <c r="TG34" s="185">
        <v>28</v>
      </c>
      <c r="TH34" s="1"/>
      <c r="TI34" s="1"/>
      <c r="TJ34" s="185">
        <v>28</v>
      </c>
      <c r="TK34" s="289">
        <v>2.3050000000000002</v>
      </c>
      <c r="TL34" s="289">
        <v>2.3340000000000001</v>
      </c>
      <c r="TM34" s="289">
        <v>2.3620000000000001</v>
      </c>
      <c r="TN34" s="289">
        <v>2.395</v>
      </c>
      <c r="TO34" s="289">
        <v>2.4239999999999999</v>
      </c>
      <c r="TP34" s="289">
        <v>2.456</v>
      </c>
      <c r="TQ34" s="289">
        <v>2.4860000000000002</v>
      </c>
      <c r="TR34" s="289">
        <v>2.5150000000000001</v>
      </c>
      <c r="TS34" s="289">
        <v>2.548</v>
      </c>
      <c r="TT34" s="289">
        <v>2.5779999999999998</v>
      </c>
      <c r="TU34" s="289">
        <v>2.6070000000000002</v>
      </c>
      <c r="TV34" s="289">
        <v>2.6389999999999998</v>
      </c>
      <c r="TW34" s="185">
        <v>28</v>
      </c>
    </row>
    <row r="35" spans="2:543" ht="20.100000000000001" customHeight="1">
      <c r="B35" s="64">
        <v>29</v>
      </c>
      <c r="C35" s="289">
        <v>20.738299999999999</v>
      </c>
      <c r="D35" s="293"/>
      <c r="E35" s="289">
        <v>19.957699999999999</v>
      </c>
      <c r="F35" s="289">
        <v>20.470700000000001</v>
      </c>
      <c r="G35" s="289">
        <v>19.793299999999999</v>
      </c>
      <c r="H35" s="289">
        <v>19.8797</v>
      </c>
      <c r="I35" s="289">
        <v>20.512</v>
      </c>
      <c r="J35" s="289">
        <v>19.9437</v>
      </c>
      <c r="K35" s="289">
        <v>20.356999999999999</v>
      </c>
      <c r="L35" s="289">
        <v>19.836500000000001</v>
      </c>
      <c r="M35" s="289">
        <v>19.339300000000001</v>
      </c>
      <c r="N35" s="289">
        <v>19.4407</v>
      </c>
      <c r="O35" s="64">
        <v>29</v>
      </c>
      <c r="R35" s="64">
        <v>29</v>
      </c>
      <c r="S35" s="289">
        <v>20.216799999999999</v>
      </c>
      <c r="T35" s="293"/>
      <c r="U35" s="289">
        <v>20.766200000000001</v>
      </c>
      <c r="V35" s="289">
        <v>19.9785</v>
      </c>
      <c r="W35" s="289">
        <v>19.948699999999999</v>
      </c>
      <c r="X35" s="289">
        <v>19.792999999999999</v>
      </c>
      <c r="Y35" s="289">
        <v>19.977</v>
      </c>
      <c r="Z35" s="289">
        <v>20.3522</v>
      </c>
      <c r="AA35" s="289">
        <v>20.1052</v>
      </c>
      <c r="AB35" s="289">
        <v>20.193000000000001</v>
      </c>
      <c r="AC35" s="289">
        <v>21.546199999999999</v>
      </c>
      <c r="AD35" s="289">
        <v>20.6828</v>
      </c>
      <c r="AE35" s="64">
        <v>29</v>
      </c>
      <c r="AH35" s="185">
        <v>29</v>
      </c>
      <c r="AI35" s="289">
        <v>18.9407</v>
      </c>
      <c r="AJ35" s="289">
        <v>19.397300000000001</v>
      </c>
      <c r="AK35" s="289">
        <v>23.097000000000001</v>
      </c>
      <c r="AL35" s="289">
        <v>24.8492</v>
      </c>
      <c r="AM35" s="289">
        <v>22.363299999999999</v>
      </c>
      <c r="AN35" s="289">
        <v>22.796299999999999</v>
      </c>
      <c r="AO35" s="289">
        <v>22.0275</v>
      </c>
      <c r="AP35" s="289">
        <v>22.116800000000001</v>
      </c>
      <c r="AQ35" s="289">
        <v>22.440200000000001</v>
      </c>
      <c r="AR35" s="289">
        <v>20.879799999999999</v>
      </c>
      <c r="AS35" s="289">
        <v>20.046700000000001</v>
      </c>
      <c r="AT35" s="289">
        <v>19.851700000000001</v>
      </c>
      <c r="AU35" s="185">
        <v>29</v>
      </c>
      <c r="AX35" s="185">
        <v>29</v>
      </c>
      <c r="AY35" s="289">
        <v>18.928000000000001</v>
      </c>
      <c r="AZ35" s="293"/>
      <c r="BA35" s="289">
        <v>19.3201</v>
      </c>
      <c r="BB35" s="289">
        <v>19.094200000000001</v>
      </c>
      <c r="BC35" s="289">
        <v>19.052099999999999</v>
      </c>
      <c r="BD35" s="289">
        <v>19.168500000000002</v>
      </c>
      <c r="BE35" s="289">
        <v>19.0623</v>
      </c>
      <c r="BF35" s="289">
        <v>19.993400000000001</v>
      </c>
      <c r="BG35" s="289">
        <v>19.636299999999999</v>
      </c>
      <c r="BH35" s="289">
        <v>19.082000000000001</v>
      </c>
      <c r="BI35" s="289">
        <v>19.560700000000001</v>
      </c>
      <c r="BJ35" s="289">
        <v>18.944500000000001</v>
      </c>
      <c r="BK35" s="185">
        <v>29</v>
      </c>
      <c r="BN35" s="185">
        <v>29</v>
      </c>
      <c r="BO35" s="290">
        <v>18.478000000000002</v>
      </c>
      <c r="BP35" s="293"/>
      <c r="BQ35" s="289">
        <v>18.3445</v>
      </c>
      <c r="BR35" s="289">
        <v>18.8644</v>
      </c>
      <c r="BS35" s="289">
        <v>19.5608</v>
      </c>
      <c r="BT35" s="289">
        <v>20.055299999999999</v>
      </c>
      <c r="BU35" s="289">
        <v>18.6234</v>
      </c>
      <c r="BV35" s="289">
        <v>18.669699999999999</v>
      </c>
      <c r="BW35" s="289">
        <v>18.812000000000001</v>
      </c>
      <c r="BX35" s="289">
        <v>19.438300000000002</v>
      </c>
      <c r="BY35" s="289">
        <v>20.497699999999998</v>
      </c>
      <c r="BZ35" s="289">
        <v>19.6829</v>
      </c>
      <c r="CA35" s="185">
        <v>29</v>
      </c>
      <c r="CD35" s="185">
        <v>29</v>
      </c>
      <c r="CE35" s="290">
        <v>21.202400000000001</v>
      </c>
      <c r="CF35" s="293"/>
      <c r="CG35" s="289">
        <v>18.866099999999999</v>
      </c>
      <c r="CH35" s="289">
        <v>19.067</v>
      </c>
      <c r="CI35" s="289">
        <v>18.418500000000002</v>
      </c>
      <c r="CJ35" s="289">
        <v>17.9862</v>
      </c>
      <c r="CK35" s="289">
        <v>17.688600000000001</v>
      </c>
      <c r="CL35" s="289">
        <v>17.6205</v>
      </c>
      <c r="CM35" s="289">
        <v>18.13</v>
      </c>
      <c r="CN35" s="289">
        <v>19.096</v>
      </c>
      <c r="CO35" s="289">
        <v>18.52</v>
      </c>
      <c r="CP35" s="289">
        <v>19.7867</v>
      </c>
      <c r="CQ35" s="185">
        <v>29</v>
      </c>
      <c r="CT35" s="185">
        <v>29</v>
      </c>
      <c r="CU35" s="290">
        <v>18.452999999999999</v>
      </c>
      <c r="CV35" s="293">
        <v>18.167999999999999</v>
      </c>
      <c r="CW35" s="289">
        <v>17.5273</v>
      </c>
      <c r="CX35" s="289">
        <v>17.3993</v>
      </c>
      <c r="CY35" s="289">
        <v>18.4572</v>
      </c>
      <c r="CZ35" s="289">
        <v>19.128299999999999</v>
      </c>
      <c r="DA35" s="289">
        <v>18.860199999999999</v>
      </c>
      <c r="DB35" s="289">
        <v>18.446000000000002</v>
      </c>
      <c r="DC35" s="289">
        <v>19.5044</v>
      </c>
      <c r="DD35" s="289">
        <v>18.8443</v>
      </c>
      <c r="DE35" s="289">
        <v>20.647500000000001</v>
      </c>
      <c r="DF35" s="289">
        <v>20.705200000000001</v>
      </c>
      <c r="DG35" s="185">
        <v>29</v>
      </c>
      <c r="DJ35" s="185">
        <v>29</v>
      </c>
      <c r="DK35" s="290">
        <v>14.587199999999999</v>
      </c>
      <c r="DL35" s="293"/>
      <c r="DM35" s="289">
        <v>15.105600000000001</v>
      </c>
      <c r="DN35" s="289">
        <v>15.321300000000001</v>
      </c>
      <c r="DO35" s="289">
        <v>15.3581</v>
      </c>
      <c r="DP35" s="289">
        <v>15.4816</v>
      </c>
      <c r="DQ35" s="289">
        <v>16.2681</v>
      </c>
      <c r="DR35" s="289">
        <v>17.1065</v>
      </c>
      <c r="DS35" s="289">
        <v>16.959499999999998</v>
      </c>
      <c r="DT35" s="289">
        <v>16.554500000000001</v>
      </c>
      <c r="DU35" s="289">
        <v>16.549199999999999</v>
      </c>
      <c r="DV35" s="289">
        <v>17.276</v>
      </c>
      <c r="DW35" s="185">
        <v>29</v>
      </c>
      <c r="DZ35" s="185">
        <v>29</v>
      </c>
      <c r="EA35" s="290">
        <v>13.440799999999999</v>
      </c>
      <c r="EB35" s="293"/>
      <c r="EC35" s="289">
        <v>13.0837</v>
      </c>
      <c r="ED35" s="289">
        <v>13.1371</v>
      </c>
      <c r="EE35" s="289">
        <v>12.8772</v>
      </c>
      <c r="EF35" s="289">
        <v>13.032299999999999</v>
      </c>
      <c r="EG35" s="289">
        <v>12.9445</v>
      </c>
      <c r="EH35" s="289">
        <v>13.081099999999999</v>
      </c>
      <c r="EI35" s="289">
        <v>13.3848</v>
      </c>
      <c r="EJ35" s="289">
        <v>13.5701</v>
      </c>
      <c r="EK35" s="289">
        <v>13.7667</v>
      </c>
      <c r="EL35" s="289">
        <v>14.742900000000001</v>
      </c>
      <c r="EM35" s="185">
        <v>29</v>
      </c>
      <c r="EP35" s="185">
        <v>29</v>
      </c>
      <c r="EQ35" s="290">
        <v>12.699299999999999</v>
      </c>
      <c r="ER35" s="293"/>
      <c r="ES35" s="289">
        <v>12.3546</v>
      </c>
      <c r="ET35" s="289">
        <v>12.123100000000001</v>
      </c>
      <c r="EU35" s="289">
        <v>12.4831</v>
      </c>
      <c r="EV35" s="289">
        <v>13.0235</v>
      </c>
      <c r="EW35" s="289">
        <v>12.646800000000001</v>
      </c>
      <c r="EX35" s="289">
        <v>13.336600000000001</v>
      </c>
      <c r="EY35" s="289">
        <v>13.011900000000001</v>
      </c>
      <c r="EZ35" s="289">
        <v>12.869300000000001</v>
      </c>
      <c r="FA35" s="289">
        <v>13.092499999999999</v>
      </c>
      <c r="FB35" s="289">
        <v>13.0547</v>
      </c>
      <c r="FC35" s="185">
        <v>29</v>
      </c>
      <c r="FF35" s="185">
        <v>29</v>
      </c>
      <c r="FG35" s="289">
        <v>12.932499999999999</v>
      </c>
      <c r="FH35" s="289">
        <v>12.8779</v>
      </c>
      <c r="FI35" s="289">
        <v>12.6706</v>
      </c>
      <c r="FJ35" s="289">
        <v>13.209300000000001</v>
      </c>
      <c r="FK35" s="289">
        <v>14.015599999999999</v>
      </c>
      <c r="FL35" s="289">
        <v>13.6652</v>
      </c>
      <c r="FM35" s="289">
        <v>13.442500000000001</v>
      </c>
      <c r="FN35" s="289">
        <v>13.170299999999999</v>
      </c>
      <c r="FO35" s="289">
        <v>12.8521</v>
      </c>
      <c r="FP35" s="289">
        <v>12.966900000000001</v>
      </c>
      <c r="FQ35" s="289">
        <v>12.9861</v>
      </c>
      <c r="FR35" s="289">
        <v>13.0101</v>
      </c>
      <c r="FS35" s="185">
        <v>29</v>
      </c>
      <c r="FV35" s="185">
        <v>29</v>
      </c>
      <c r="FW35" s="290">
        <v>12.023899999999999</v>
      </c>
      <c r="FX35" s="293"/>
      <c r="FY35" s="289">
        <v>11.9505</v>
      </c>
      <c r="FZ35" s="289">
        <v>11.5868</v>
      </c>
      <c r="GA35" s="289">
        <v>11.695600000000001</v>
      </c>
      <c r="GB35" s="289">
        <v>11.893800000000001</v>
      </c>
      <c r="GC35" s="289">
        <v>11.652699999999999</v>
      </c>
      <c r="GD35" s="289">
        <v>12.4259</v>
      </c>
      <c r="GE35" s="289">
        <v>13.3414</v>
      </c>
      <c r="GF35" s="289">
        <v>13.1973</v>
      </c>
      <c r="GG35" s="289">
        <v>14.244300000000001</v>
      </c>
      <c r="GH35" s="289">
        <v>13.9658</v>
      </c>
      <c r="GI35" s="185">
        <v>29</v>
      </c>
      <c r="GL35" s="185">
        <v>29</v>
      </c>
      <c r="GM35" s="290">
        <v>12.929500000000001</v>
      </c>
      <c r="GN35" s="293"/>
      <c r="GO35" s="289">
        <v>12.5009</v>
      </c>
      <c r="GP35" s="289">
        <v>12.2278</v>
      </c>
      <c r="GQ35" s="289">
        <v>12.884600000000001</v>
      </c>
      <c r="GR35" s="289">
        <v>12.7042</v>
      </c>
      <c r="GS35" s="289">
        <v>12.6469</v>
      </c>
      <c r="GT35" s="289">
        <v>12.984</v>
      </c>
      <c r="GU35" s="289">
        <v>12.5168</v>
      </c>
      <c r="GV35" s="289">
        <v>12.477600000000001</v>
      </c>
      <c r="GW35" s="289">
        <v>12.366899999999999</v>
      </c>
      <c r="GX35" s="289">
        <v>12.3653</v>
      </c>
      <c r="GY35" s="185">
        <v>29</v>
      </c>
      <c r="HB35" s="185">
        <v>29</v>
      </c>
      <c r="HC35" s="290">
        <v>14.1675</v>
      </c>
      <c r="HD35" s="293"/>
      <c r="HE35" s="289">
        <v>14.2163</v>
      </c>
      <c r="HF35" s="289">
        <v>13.755000000000001</v>
      </c>
      <c r="HG35" s="289">
        <v>13.159000000000001</v>
      </c>
      <c r="HH35" s="289">
        <v>13.277799999999999</v>
      </c>
      <c r="HI35" s="289">
        <v>13.216699999999999</v>
      </c>
      <c r="HJ35" s="289">
        <v>13.2462</v>
      </c>
      <c r="HK35" s="289">
        <v>13.5243</v>
      </c>
      <c r="HL35" s="289">
        <v>13.2662</v>
      </c>
      <c r="HM35" s="289">
        <v>12.9475</v>
      </c>
      <c r="HN35" s="289">
        <v>12.879300000000001</v>
      </c>
      <c r="HO35" s="185">
        <v>29</v>
      </c>
      <c r="HP35" s="1"/>
      <c r="HQ35" s="1"/>
      <c r="HR35" s="185">
        <v>29</v>
      </c>
      <c r="HS35" s="290">
        <v>10.8698</v>
      </c>
      <c r="HT35" s="293">
        <v>10.734400000000001</v>
      </c>
      <c r="HU35" s="289">
        <v>10.696199999999999</v>
      </c>
      <c r="HV35" s="289">
        <v>10.4702</v>
      </c>
      <c r="HW35" s="289">
        <v>10.3925</v>
      </c>
      <c r="HX35" s="289">
        <v>10.2841</v>
      </c>
      <c r="HY35" s="289">
        <v>10.019</v>
      </c>
      <c r="HZ35" s="289">
        <v>10.142099999999999</v>
      </c>
      <c r="IA35" s="289">
        <v>10.7653</v>
      </c>
      <c r="IB35" s="289">
        <v>13.308299999999999</v>
      </c>
      <c r="IC35" s="289">
        <v>13.2325</v>
      </c>
      <c r="ID35" s="289">
        <v>13.311400000000001</v>
      </c>
      <c r="IE35" s="185">
        <v>29</v>
      </c>
      <c r="IF35" s="1"/>
      <c r="IG35" s="1"/>
      <c r="IH35" s="185">
        <v>29</v>
      </c>
      <c r="II35" s="290">
        <v>10.975300000000001</v>
      </c>
      <c r="IJ35" s="293"/>
      <c r="IK35" s="289">
        <v>11.047000000000001</v>
      </c>
      <c r="IL35" s="289">
        <v>10.9312</v>
      </c>
      <c r="IM35" s="289">
        <v>10.7803</v>
      </c>
      <c r="IN35" s="289">
        <v>10.866099999999999</v>
      </c>
      <c r="IO35" s="289">
        <v>10.9436</v>
      </c>
      <c r="IP35" s="289">
        <v>11.0382</v>
      </c>
      <c r="IQ35" s="289">
        <v>10.920299999999999</v>
      </c>
      <c r="IR35" s="289">
        <v>10.8291</v>
      </c>
      <c r="IS35" s="289">
        <v>10.9695</v>
      </c>
      <c r="IT35" s="289">
        <v>10.866199999999999</v>
      </c>
      <c r="IU35" s="185">
        <v>29</v>
      </c>
      <c r="IV35" s="1"/>
      <c r="IW35" s="1"/>
      <c r="IX35" s="185">
        <v>29</v>
      </c>
      <c r="IY35" s="290">
        <v>10.5039</v>
      </c>
      <c r="IZ35" s="293"/>
      <c r="JA35" s="289">
        <v>10.9329</v>
      </c>
      <c r="JB35" s="289">
        <v>11.1135</v>
      </c>
      <c r="JC35" s="289">
        <v>11.2097</v>
      </c>
      <c r="JD35" s="289">
        <v>11.430199999999999</v>
      </c>
      <c r="JE35" s="289">
        <v>10.896800000000001</v>
      </c>
      <c r="JF35" s="289">
        <v>10.9528</v>
      </c>
      <c r="JG35" s="289">
        <v>11.0152</v>
      </c>
      <c r="JH35" s="289">
        <v>10.731299999999999</v>
      </c>
      <c r="JI35" s="289">
        <v>11.052</v>
      </c>
      <c r="JJ35" s="289">
        <v>10.881</v>
      </c>
      <c r="JK35" s="185">
        <v>29</v>
      </c>
      <c r="JL35" s="1"/>
      <c r="JM35" s="1"/>
      <c r="JN35" s="185">
        <v>29</v>
      </c>
      <c r="JO35" s="290">
        <v>11.299099999999999</v>
      </c>
      <c r="JP35" s="293"/>
      <c r="JQ35" s="289">
        <v>11.250500000000001</v>
      </c>
      <c r="JR35" s="289">
        <v>11.103300000000001</v>
      </c>
      <c r="JS35" s="289">
        <v>10.964499999999999</v>
      </c>
      <c r="JT35" s="289">
        <v>10.8127</v>
      </c>
      <c r="JU35" s="289">
        <v>10.643000000000001</v>
      </c>
      <c r="JV35" s="289">
        <v>10.815300000000001</v>
      </c>
      <c r="JW35" s="289">
        <v>10.885999999999999</v>
      </c>
      <c r="JX35" s="289">
        <v>10.9092</v>
      </c>
      <c r="JY35" s="289">
        <v>10.606999999999999</v>
      </c>
      <c r="JZ35" s="289">
        <v>10.7362</v>
      </c>
      <c r="KA35" s="185">
        <v>29</v>
      </c>
      <c r="KB35" s="1"/>
      <c r="KC35" s="1"/>
      <c r="KD35" s="185">
        <v>29</v>
      </c>
      <c r="KE35" s="290">
        <v>10.8789</v>
      </c>
      <c r="KF35" s="293">
        <v>11.0715</v>
      </c>
      <c r="KG35" s="289">
        <v>11.013</v>
      </c>
      <c r="KH35" s="289">
        <v>11.3109</v>
      </c>
      <c r="KI35" s="289">
        <v>11.451499999999999</v>
      </c>
      <c r="KJ35" s="289">
        <v>11.317500000000001</v>
      </c>
      <c r="KK35" s="289">
        <v>11.511100000000001</v>
      </c>
      <c r="KL35" s="289">
        <v>11.366</v>
      </c>
      <c r="KM35" s="289">
        <v>11.434799999999999</v>
      </c>
      <c r="KN35" s="289">
        <v>11.511799999999999</v>
      </c>
      <c r="KO35" s="289">
        <v>11.2713</v>
      </c>
      <c r="KP35" s="289">
        <v>11.1348</v>
      </c>
      <c r="KQ35" s="185">
        <v>29</v>
      </c>
      <c r="KR35" s="1"/>
      <c r="KS35" s="1"/>
      <c r="KT35" s="185">
        <v>29</v>
      </c>
      <c r="KU35" s="290">
        <v>10.887499999999999</v>
      </c>
      <c r="KV35" s="293"/>
      <c r="KW35" s="289">
        <v>10.767099999999999</v>
      </c>
      <c r="KX35" s="289">
        <v>10.431800000000001</v>
      </c>
      <c r="KY35" s="289">
        <v>10.316599999999999</v>
      </c>
      <c r="KZ35" s="289">
        <v>10.4808</v>
      </c>
      <c r="LA35" s="289">
        <v>10.509499999999999</v>
      </c>
      <c r="LB35" s="289">
        <v>10.9337</v>
      </c>
      <c r="LC35" s="289">
        <v>10.811500000000001</v>
      </c>
      <c r="LD35" s="289">
        <v>11.1068</v>
      </c>
      <c r="LE35" s="289">
        <v>11.3385</v>
      </c>
      <c r="LF35" s="289">
        <v>11.2744</v>
      </c>
      <c r="LG35" s="185">
        <v>29</v>
      </c>
      <c r="LH35" s="1"/>
      <c r="LI35" s="1"/>
      <c r="LJ35" s="185">
        <v>29</v>
      </c>
      <c r="LK35" s="290">
        <v>9.1295000000000002</v>
      </c>
      <c r="LL35" s="293"/>
      <c r="LM35" s="289">
        <v>9.0243000000000002</v>
      </c>
      <c r="LN35" s="289">
        <v>9.3528000000000002</v>
      </c>
      <c r="LO35" s="289">
        <v>9.57</v>
      </c>
      <c r="LP35" s="289">
        <v>9.9614999999999991</v>
      </c>
      <c r="LQ35" s="289">
        <v>9.7157999999999998</v>
      </c>
      <c r="LR35" s="289">
        <v>9.8543000000000003</v>
      </c>
      <c r="LS35" s="289">
        <v>10.166700000000001</v>
      </c>
      <c r="LT35" s="289">
        <v>9.9816000000000003</v>
      </c>
      <c r="LU35" s="289">
        <v>10.1496</v>
      </c>
      <c r="LV35" s="289">
        <v>10.2479</v>
      </c>
      <c r="LW35" s="185">
        <v>29</v>
      </c>
      <c r="LX35" s="1"/>
      <c r="LY35" s="1"/>
      <c r="LZ35" s="185">
        <v>29</v>
      </c>
      <c r="MA35" s="290">
        <v>9.6829999999999998</v>
      </c>
      <c r="MB35" s="293"/>
      <c r="MC35" s="289">
        <v>9.5138999999999996</v>
      </c>
      <c r="MD35" s="289">
        <v>9.2670999999999992</v>
      </c>
      <c r="ME35" s="289">
        <v>9.0945</v>
      </c>
      <c r="MF35" s="289">
        <v>9.0608000000000004</v>
      </c>
      <c r="MG35" s="289">
        <v>9.157</v>
      </c>
      <c r="MH35" s="289">
        <v>9.1122999999999994</v>
      </c>
      <c r="MI35" s="289">
        <v>9.5541999999999998</v>
      </c>
      <c r="MJ35" s="289">
        <v>9.2469000000000001</v>
      </c>
      <c r="MK35" s="289">
        <v>9.2371999999999996</v>
      </c>
      <c r="ML35" s="289">
        <v>9.1423000000000005</v>
      </c>
      <c r="MM35" s="185">
        <v>29</v>
      </c>
      <c r="MN35" s="1"/>
      <c r="MO35" s="1"/>
      <c r="MP35" s="185">
        <v>29</v>
      </c>
      <c r="MQ35" s="290">
        <v>9.5122999999999998</v>
      </c>
      <c r="MR35" s="293">
        <v>9.3748000000000005</v>
      </c>
      <c r="MS35" s="289">
        <v>9.1775000000000002</v>
      </c>
      <c r="MT35" s="289">
        <v>9.4520999999999997</v>
      </c>
      <c r="MU35" s="289">
        <v>9.4939999999999998</v>
      </c>
      <c r="MV35" s="289">
        <v>10.0787</v>
      </c>
      <c r="MW35" s="289">
        <v>9.3610000000000007</v>
      </c>
      <c r="MX35" s="289">
        <v>9.2341999999999995</v>
      </c>
      <c r="MY35" s="289">
        <v>9.4087999999999994</v>
      </c>
      <c r="MZ35" s="289">
        <v>9.6776999999999997</v>
      </c>
      <c r="NA35" s="289">
        <v>9.3691999999999993</v>
      </c>
      <c r="NB35" s="289">
        <v>9.5722000000000005</v>
      </c>
      <c r="NC35" s="185">
        <v>29</v>
      </c>
      <c r="ND35" s="1"/>
      <c r="NE35" s="1"/>
      <c r="NF35" s="185">
        <v>29</v>
      </c>
      <c r="NG35" s="290">
        <v>10.1745</v>
      </c>
      <c r="NH35" s="293"/>
      <c r="NI35" s="289">
        <v>9.6454000000000004</v>
      </c>
      <c r="NJ35" s="289">
        <v>9.3285</v>
      </c>
      <c r="NK35" s="289">
        <v>9.7498000000000005</v>
      </c>
      <c r="NL35" s="289">
        <v>9.4717000000000002</v>
      </c>
      <c r="NM35" s="289">
        <v>9.3680000000000003</v>
      </c>
      <c r="NN35" s="289">
        <v>9.3393999999999995</v>
      </c>
      <c r="NO35" s="289">
        <v>9.3157999999999994</v>
      </c>
      <c r="NP35" s="289">
        <v>9.6503999999999994</v>
      </c>
      <c r="NQ35" s="289">
        <v>9.2944999999999993</v>
      </c>
      <c r="NR35" s="289">
        <v>9.4632000000000005</v>
      </c>
      <c r="NS35" s="185">
        <v>29</v>
      </c>
      <c r="NT35" s="1"/>
      <c r="NU35" s="1"/>
      <c r="NV35" s="185">
        <v>29</v>
      </c>
      <c r="NW35" s="290">
        <v>8.2661999999999995</v>
      </c>
      <c r="NX35" s="293"/>
      <c r="NY35" s="289">
        <v>8.5251999999999999</v>
      </c>
      <c r="NZ35" s="289">
        <v>8.5190000000000001</v>
      </c>
      <c r="OA35" s="289">
        <v>8.8802000000000003</v>
      </c>
      <c r="OB35" s="289">
        <v>8.9536999999999995</v>
      </c>
      <c r="OC35" s="289">
        <v>8.8930000000000007</v>
      </c>
      <c r="OD35" s="289">
        <v>9.9600000000000009</v>
      </c>
      <c r="OE35" s="289">
        <v>10.2438</v>
      </c>
      <c r="OF35" s="289">
        <v>10.148999999999999</v>
      </c>
      <c r="OG35" s="289">
        <v>9.9404000000000003</v>
      </c>
      <c r="OH35" s="289">
        <v>9.8821999999999992</v>
      </c>
      <c r="OI35" s="185">
        <v>29</v>
      </c>
      <c r="OJ35" s="1"/>
      <c r="OK35" s="1"/>
      <c r="OL35" s="185">
        <v>29</v>
      </c>
      <c r="OM35" s="290">
        <v>7.8311999999999999</v>
      </c>
      <c r="ON35" s="293"/>
      <c r="OO35" s="289">
        <v>7.8905000000000003</v>
      </c>
      <c r="OP35" s="289">
        <v>7.8917000000000002</v>
      </c>
      <c r="OQ35" s="289">
        <v>7.9263000000000003</v>
      </c>
      <c r="OR35" s="289">
        <v>7.9577</v>
      </c>
      <c r="OS35" s="289">
        <v>7.7717000000000001</v>
      </c>
      <c r="OT35" s="289">
        <v>7.7548000000000004</v>
      </c>
      <c r="OU35" s="289">
        <v>7.8071999999999999</v>
      </c>
      <c r="OV35" s="289">
        <v>8.14</v>
      </c>
      <c r="OW35" s="289">
        <v>8.2164999999999999</v>
      </c>
      <c r="OX35" s="289">
        <v>8.1647999999999996</v>
      </c>
      <c r="OY35" s="185">
        <v>29</v>
      </c>
      <c r="OZ35" s="1"/>
      <c r="PA35" s="1"/>
      <c r="PB35" s="185">
        <v>29</v>
      </c>
      <c r="PC35" s="290">
        <v>7.3867000000000003</v>
      </c>
      <c r="PD35" s="293">
        <v>7.5389999999999997</v>
      </c>
      <c r="PE35" s="289">
        <v>7.5479000000000003</v>
      </c>
      <c r="PF35" s="289">
        <v>7.3794000000000004</v>
      </c>
      <c r="PG35" s="289">
        <v>7.3840000000000003</v>
      </c>
      <c r="PH35" s="289">
        <v>7.6322999999999999</v>
      </c>
      <c r="PI35" s="289">
        <v>7.5903</v>
      </c>
      <c r="PJ35" s="289">
        <v>7.5163000000000002</v>
      </c>
      <c r="PK35" s="289">
        <v>7.5373999999999999</v>
      </c>
      <c r="PL35" s="289">
        <v>7.9550000000000001</v>
      </c>
      <c r="PM35" s="289">
        <v>7.87</v>
      </c>
      <c r="PN35" s="289">
        <v>7.8441999999999998</v>
      </c>
      <c r="PO35" s="185">
        <v>29</v>
      </c>
      <c r="PP35" s="1"/>
      <c r="PQ35" s="1"/>
      <c r="PR35" s="185">
        <v>29</v>
      </c>
      <c r="PS35" s="290">
        <v>5.69</v>
      </c>
      <c r="PT35" s="293"/>
      <c r="PU35" s="289">
        <v>6.7275</v>
      </c>
      <c r="PV35" s="289">
        <v>5.8982999999999999</v>
      </c>
      <c r="PW35" s="289">
        <v>6.0549999999999997</v>
      </c>
      <c r="PX35" s="289">
        <v>6.2717000000000001</v>
      </c>
      <c r="PY35" s="289">
        <v>6.0881999999999996</v>
      </c>
      <c r="PZ35" s="289">
        <v>6.3342000000000001</v>
      </c>
      <c r="QA35" s="289">
        <v>6.4195000000000002</v>
      </c>
      <c r="QB35" s="289">
        <v>7.1666999999999996</v>
      </c>
      <c r="QC35" s="289">
        <v>7.6783000000000001</v>
      </c>
      <c r="QD35" s="289">
        <v>7.6425000000000001</v>
      </c>
      <c r="QE35" s="185">
        <v>29</v>
      </c>
      <c r="QF35" s="1"/>
      <c r="QG35" s="1"/>
      <c r="QH35" s="185">
        <v>29</v>
      </c>
      <c r="QI35" s="290">
        <v>3.1063000000000001</v>
      </c>
      <c r="QJ35" s="293"/>
      <c r="QK35" s="289">
        <v>3.3586</v>
      </c>
      <c r="QL35" s="289">
        <v>3.2673000000000001</v>
      </c>
      <c r="QM35" s="289">
        <v>3.3148</v>
      </c>
      <c r="QN35" s="289">
        <v>3.3917999999999999</v>
      </c>
      <c r="QO35" s="289">
        <v>3.4018999999999999</v>
      </c>
      <c r="QP35" s="289">
        <v>3.3671000000000002</v>
      </c>
      <c r="QQ35" s="289">
        <v>3.3908</v>
      </c>
      <c r="QR35" s="289">
        <v>3.43</v>
      </c>
      <c r="QS35" s="289">
        <v>3.4481000000000002</v>
      </c>
      <c r="QT35" s="289">
        <v>5.7625000000000002</v>
      </c>
      <c r="QU35" s="185">
        <v>29</v>
      </c>
      <c r="QV35" s="1"/>
      <c r="QW35" s="1"/>
      <c r="QX35" s="185">
        <v>29</v>
      </c>
      <c r="QY35" s="290">
        <v>3.0939000000000001</v>
      </c>
      <c r="QZ35" s="293"/>
      <c r="RA35" s="289">
        <v>3.1114000000000002</v>
      </c>
      <c r="RB35" s="289">
        <v>3.0960999999999999</v>
      </c>
      <c r="RC35" s="289">
        <v>3.1227</v>
      </c>
      <c r="RD35" s="289">
        <v>3.1194999999999999</v>
      </c>
      <c r="RE35" s="289">
        <v>3.1208999999999998</v>
      </c>
      <c r="RF35" s="289">
        <v>3.1116999999999999</v>
      </c>
      <c r="RG35" s="289">
        <v>3.1198999999999999</v>
      </c>
      <c r="RH35" s="289">
        <v>3.1175999999999999</v>
      </c>
      <c r="RI35" s="289">
        <v>3.1168</v>
      </c>
      <c r="RJ35" s="289">
        <v>3.1055999999999999</v>
      </c>
      <c r="RK35" s="185">
        <v>29</v>
      </c>
      <c r="RL35" s="1"/>
      <c r="RM35" s="1"/>
      <c r="RN35" s="185">
        <v>29</v>
      </c>
      <c r="RO35" s="290">
        <v>3.0687000000000002</v>
      </c>
      <c r="RP35" s="293">
        <v>3.0608</v>
      </c>
      <c r="RQ35" s="289">
        <v>3.0901999999999998</v>
      </c>
      <c r="RR35" s="289">
        <v>3.0764999999999998</v>
      </c>
      <c r="RS35" s="289">
        <v>3.1133999999999999</v>
      </c>
      <c r="RT35" s="289">
        <v>3.1225000000000001</v>
      </c>
      <c r="RU35" s="289">
        <v>3.1139000000000001</v>
      </c>
      <c r="RV35" s="289">
        <v>3.081</v>
      </c>
      <c r="RW35" s="289">
        <v>3.1071</v>
      </c>
      <c r="RX35" s="289">
        <v>3.1364000000000001</v>
      </c>
      <c r="RY35" s="289">
        <v>3.1158999999999999</v>
      </c>
      <c r="RZ35" s="289">
        <v>3.1133999999999999</v>
      </c>
      <c r="SA35" s="185">
        <v>29</v>
      </c>
      <c r="SB35" s="1"/>
      <c r="SC35" s="1"/>
      <c r="SD35" s="185">
        <v>29</v>
      </c>
      <c r="SE35" s="290">
        <v>2.9565999999999999</v>
      </c>
      <c r="SF35" s="293"/>
      <c r="SG35" s="289">
        <v>2.9809999999999999</v>
      </c>
      <c r="SH35" s="289">
        <v>2.9925999999999999</v>
      </c>
      <c r="SI35" s="289">
        <v>3.0053999999999998</v>
      </c>
      <c r="SJ35" s="289">
        <v>3.0177999999999998</v>
      </c>
      <c r="SK35" s="289">
        <v>3.0289999999999999</v>
      </c>
      <c r="SL35" s="289">
        <v>3.0421999999999998</v>
      </c>
      <c r="SM35" s="289">
        <v>3.0558000000000001</v>
      </c>
      <c r="SN35" s="289">
        <v>3.0674000000000001</v>
      </c>
      <c r="SO35" s="289">
        <v>3.0730599999999999</v>
      </c>
      <c r="SP35" s="289">
        <v>3.0710000000000002</v>
      </c>
      <c r="SQ35" s="185">
        <v>29</v>
      </c>
      <c r="SR35" s="1"/>
      <c r="SS35" s="1"/>
      <c r="ST35" s="185">
        <v>29</v>
      </c>
      <c r="SU35" s="290">
        <v>2.669</v>
      </c>
      <c r="SV35" s="293"/>
      <c r="SW35" s="289">
        <v>2.73</v>
      </c>
      <c r="SX35" s="289">
        <v>2.76</v>
      </c>
      <c r="SY35" s="289">
        <v>2.7890000000000001</v>
      </c>
      <c r="SZ35" s="289">
        <v>2.8161999999999998</v>
      </c>
      <c r="TA35" s="289">
        <v>2.8393999999999999</v>
      </c>
      <c r="TB35" s="289">
        <v>2.8650000000000002</v>
      </c>
      <c r="TC35" s="289">
        <v>2.8898000000000001</v>
      </c>
      <c r="TD35" s="289">
        <v>2.9121999999999999</v>
      </c>
      <c r="TE35" s="289">
        <v>2.9329999999999998</v>
      </c>
      <c r="TF35" s="289">
        <v>2.9449999999999998</v>
      </c>
      <c r="TG35" s="185">
        <v>29</v>
      </c>
      <c r="TH35" s="1"/>
      <c r="TI35" s="1"/>
      <c r="TJ35" s="185">
        <v>29</v>
      </c>
      <c r="TK35" s="290">
        <v>2.3050000000000002</v>
      </c>
      <c r="TL35" s="293"/>
      <c r="TM35" s="289">
        <v>2.3650000000000002</v>
      </c>
      <c r="TN35" s="289">
        <v>2.3959999999999999</v>
      </c>
      <c r="TO35" s="289">
        <v>2.4239999999999999</v>
      </c>
      <c r="TP35" s="289">
        <v>2.4569999999999999</v>
      </c>
      <c r="TQ35" s="289">
        <v>2.4870000000000001</v>
      </c>
      <c r="TR35" s="289">
        <v>2.516</v>
      </c>
      <c r="TS35" s="289">
        <v>2.5489999999999999</v>
      </c>
      <c r="TT35" s="289">
        <v>2.5779999999999998</v>
      </c>
      <c r="TU35" s="289">
        <v>2.61</v>
      </c>
      <c r="TV35" s="289">
        <v>2.64</v>
      </c>
      <c r="TW35" s="185">
        <v>29</v>
      </c>
    </row>
    <row r="36" spans="2:543" ht="20.100000000000001" customHeight="1">
      <c r="B36" s="64">
        <v>30</v>
      </c>
      <c r="C36" s="289">
        <v>20.738299999999999</v>
      </c>
      <c r="D36" s="293"/>
      <c r="E36" s="289">
        <v>20.119499999999999</v>
      </c>
      <c r="F36" s="289">
        <v>20.567</v>
      </c>
      <c r="G36" s="289">
        <v>19.793299999999999</v>
      </c>
      <c r="H36" s="289">
        <v>19.9847</v>
      </c>
      <c r="I36" s="289">
        <v>20.377800000000001</v>
      </c>
      <c r="J36" s="289">
        <v>19.9268</v>
      </c>
      <c r="K36" s="289">
        <v>20.305800000000001</v>
      </c>
      <c r="L36" s="289">
        <v>19.836500000000001</v>
      </c>
      <c r="M36" s="289">
        <v>19.324999999999999</v>
      </c>
      <c r="N36" s="289">
        <v>19.414300000000001</v>
      </c>
      <c r="O36" s="64">
        <v>30</v>
      </c>
      <c r="R36" s="64">
        <v>30</v>
      </c>
      <c r="S36" s="289">
        <v>20.2697</v>
      </c>
      <c r="T36" s="293"/>
      <c r="U36" s="289">
        <v>20.567699999999999</v>
      </c>
      <c r="V36" s="289">
        <v>19.9712</v>
      </c>
      <c r="W36" s="289">
        <v>19.948699999999999</v>
      </c>
      <c r="X36" s="289">
        <v>19.802700000000002</v>
      </c>
      <c r="Y36" s="289">
        <v>19.953499999999998</v>
      </c>
      <c r="Z36" s="289">
        <v>20.3522</v>
      </c>
      <c r="AA36" s="289">
        <v>20.306000000000001</v>
      </c>
      <c r="AB36" s="289">
        <v>20.325500000000002</v>
      </c>
      <c r="AC36" s="289">
        <v>21.8185</v>
      </c>
      <c r="AD36" s="289">
        <v>20.577000000000002</v>
      </c>
      <c r="AE36" s="64">
        <v>30</v>
      </c>
      <c r="AH36" s="185">
        <v>30</v>
      </c>
      <c r="AI36" s="289">
        <v>18.802199999999999</v>
      </c>
      <c r="AJ36" s="293"/>
      <c r="AK36" s="289">
        <v>23.097000000000001</v>
      </c>
      <c r="AL36" s="289">
        <v>24.388200000000001</v>
      </c>
      <c r="AM36" s="289">
        <v>22.204000000000001</v>
      </c>
      <c r="AN36" s="289">
        <v>22.971499999999999</v>
      </c>
      <c r="AO36" s="289">
        <v>21.961500000000001</v>
      </c>
      <c r="AP36" s="289">
        <v>22.116800000000001</v>
      </c>
      <c r="AQ36" s="289">
        <v>22.4573</v>
      </c>
      <c r="AR36" s="289">
        <v>21.1648</v>
      </c>
      <c r="AS36" s="289">
        <v>20.046700000000001</v>
      </c>
      <c r="AT36" s="289">
        <v>20.047699999999999</v>
      </c>
      <c r="AU36" s="185">
        <v>30</v>
      </c>
      <c r="AX36" s="185">
        <v>30</v>
      </c>
      <c r="AY36" s="289">
        <v>19.0381</v>
      </c>
      <c r="AZ36" s="293"/>
      <c r="BA36" s="289">
        <v>19.379300000000001</v>
      </c>
      <c r="BB36" s="289">
        <v>18.941400000000002</v>
      </c>
      <c r="BC36" s="289">
        <v>19.165199999999999</v>
      </c>
      <c r="BD36" s="289">
        <v>19.168500000000002</v>
      </c>
      <c r="BE36" s="289">
        <v>19.069900000000001</v>
      </c>
      <c r="BF36" s="289">
        <v>20.031400000000001</v>
      </c>
      <c r="BG36" s="289">
        <v>19.636299999999999</v>
      </c>
      <c r="BH36" s="289">
        <v>19.054300000000001</v>
      </c>
      <c r="BI36" s="289">
        <v>19.6113</v>
      </c>
      <c r="BJ36" s="289">
        <v>18.944500000000001</v>
      </c>
      <c r="BK36" s="185">
        <v>30</v>
      </c>
      <c r="BN36" s="185">
        <v>30</v>
      </c>
      <c r="BO36" s="290">
        <v>18.467199999999998</v>
      </c>
      <c r="BP36" s="293"/>
      <c r="BQ36" s="289">
        <v>18.3445</v>
      </c>
      <c r="BR36" s="289">
        <v>18.8644</v>
      </c>
      <c r="BS36" s="289">
        <v>19.5915</v>
      </c>
      <c r="BT36" s="289">
        <v>19.863299999999999</v>
      </c>
      <c r="BU36" s="289">
        <v>18.6234</v>
      </c>
      <c r="BV36" s="289">
        <v>18.935400000000001</v>
      </c>
      <c r="BW36" s="289">
        <v>18.812000000000001</v>
      </c>
      <c r="BX36" s="289">
        <v>19.478999999999999</v>
      </c>
      <c r="BY36" s="289">
        <v>20.410799999999998</v>
      </c>
      <c r="BZ36" s="289">
        <v>19.6829</v>
      </c>
      <c r="CA36" s="185">
        <v>30</v>
      </c>
      <c r="CD36" s="185">
        <v>30</v>
      </c>
      <c r="CE36" s="290">
        <v>21.202400000000001</v>
      </c>
      <c r="CF36" s="293"/>
      <c r="CG36" s="289">
        <v>18.885300000000001</v>
      </c>
      <c r="CH36" s="289">
        <v>19.067</v>
      </c>
      <c r="CI36" s="289">
        <v>18.4849</v>
      </c>
      <c r="CJ36" s="289">
        <v>17.897300000000001</v>
      </c>
      <c r="CK36" s="289">
        <v>17.688600000000001</v>
      </c>
      <c r="CL36" s="289">
        <v>17.8049</v>
      </c>
      <c r="CM36" s="289">
        <v>18.197900000000001</v>
      </c>
      <c r="CN36" s="289">
        <v>19.096</v>
      </c>
      <c r="CO36" s="289">
        <v>18.584800000000001</v>
      </c>
      <c r="CP36" s="289">
        <v>19.735399999999998</v>
      </c>
      <c r="CQ36" s="185">
        <v>30</v>
      </c>
      <c r="CT36" s="185">
        <v>30</v>
      </c>
      <c r="CU36" s="290">
        <v>18.290600000000001</v>
      </c>
      <c r="CV36" s="293"/>
      <c r="CW36" s="289">
        <v>17.460999999999999</v>
      </c>
      <c r="CX36" s="289">
        <v>17.212499999999999</v>
      </c>
      <c r="CY36" s="289">
        <v>18.4572</v>
      </c>
      <c r="CZ36" s="289">
        <v>18.911300000000001</v>
      </c>
      <c r="DA36" s="289">
        <v>18.8979</v>
      </c>
      <c r="DB36" s="289">
        <v>18.283000000000001</v>
      </c>
      <c r="DC36" s="289">
        <v>19.5002</v>
      </c>
      <c r="DD36" s="289">
        <v>18.8443</v>
      </c>
      <c r="DE36" s="289">
        <v>20.552099999999999</v>
      </c>
      <c r="DF36" s="289">
        <v>20.731400000000001</v>
      </c>
      <c r="DG36" s="185">
        <v>30</v>
      </c>
      <c r="DJ36" s="185">
        <v>30</v>
      </c>
      <c r="DK36" s="290">
        <v>14.687799999999999</v>
      </c>
      <c r="DL36" s="293"/>
      <c r="DM36" s="289">
        <v>15.105600000000001</v>
      </c>
      <c r="DN36" s="289">
        <v>15.2225</v>
      </c>
      <c r="DO36" s="289">
        <v>15.373699999999999</v>
      </c>
      <c r="DP36" s="289">
        <v>15.567600000000001</v>
      </c>
      <c r="DQ36" s="289">
        <v>16.2638</v>
      </c>
      <c r="DR36" s="289">
        <v>17.1065</v>
      </c>
      <c r="DS36" s="289">
        <v>17.007300000000001</v>
      </c>
      <c r="DT36" s="289">
        <v>16.450299999999999</v>
      </c>
      <c r="DU36" s="289">
        <v>16.549199999999999</v>
      </c>
      <c r="DV36" s="289">
        <v>17.271000000000001</v>
      </c>
      <c r="DW36" s="185">
        <v>30</v>
      </c>
      <c r="DZ36" s="185">
        <v>30</v>
      </c>
      <c r="EA36" s="290">
        <v>13.3104</v>
      </c>
      <c r="EB36" s="293"/>
      <c r="EC36" s="289">
        <v>13.0837</v>
      </c>
      <c r="ED36" s="289">
        <v>13.1356</v>
      </c>
      <c r="EE36" s="289">
        <v>12.866</v>
      </c>
      <c r="EF36" s="289">
        <v>13.032299999999999</v>
      </c>
      <c r="EG36" s="289">
        <v>12.9878</v>
      </c>
      <c r="EH36" s="289">
        <v>13.110900000000001</v>
      </c>
      <c r="EI36" s="289">
        <v>13.4541</v>
      </c>
      <c r="EJ36" s="289">
        <v>13.484299999999999</v>
      </c>
      <c r="EK36" s="289">
        <v>13.7667</v>
      </c>
      <c r="EL36" s="289">
        <v>14.695499999999999</v>
      </c>
      <c r="EM36" s="185">
        <v>30</v>
      </c>
      <c r="EP36" s="185">
        <v>30</v>
      </c>
      <c r="EQ36" s="290">
        <v>12.780200000000001</v>
      </c>
      <c r="ER36" s="293"/>
      <c r="ES36" s="289">
        <v>12.3546</v>
      </c>
      <c r="ET36" s="289">
        <v>12.154999999999999</v>
      </c>
      <c r="EU36" s="289">
        <v>12.5275</v>
      </c>
      <c r="EV36" s="289">
        <v>13.0235</v>
      </c>
      <c r="EW36" s="289">
        <v>12.709099999999999</v>
      </c>
      <c r="EX36" s="289">
        <v>13.2539</v>
      </c>
      <c r="EY36" s="289">
        <v>13.011900000000001</v>
      </c>
      <c r="EZ36" s="289">
        <v>12.8948</v>
      </c>
      <c r="FA36" s="289">
        <v>13.083600000000001</v>
      </c>
      <c r="FB36" s="289">
        <v>13.0547</v>
      </c>
      <c r="FC36" s="185">
        <v>30</v>
      </c>
      <c r="FF36" s="194">
        <v>30</v>
      </c>
      <c r="FG36" s="294">
        <v>12.932499999999999</v>
      </c>
      <c r="FH36" s="295"/>
      <c r="FI36" s="296">
        <v>12.803900000000001</v>
      </c>
      <c r="FJ36" s="296">
        <v>13.209300000000001</v>
      </c>
      <c r="FK36" s="296">
        <v>13.943899999999999</v>
      </c>
      <c r="FL36" s="296">
        <v>13.653</v>
      </c>
      <c r="FM36" s="296">
        <v>13.442500000000001</v>
      </c>
      <c r="FN36" s="296">
        <v>13.184699999999999</v>
      </c>
      <c r="FO36" s="296">
        <v>12.8521</v>
      </c>
      <c r="FP36" s="296">
        <v>13.011200000000001</v>
      </c>
      <c r="FQ36" s="296">
        <v>13.0372</v>
      </c>
      <c r="FR36" s="296">
        <v>13.0101</v>
      </c>
      <c r="FS36" s="194">
        <v>30</v>
      </c>
      <c r="FV36" s="185">
        <v>30</v>
      </c>
      <c r="FW36" s="290">
        <v>12.023899999999999</v>
      </c>
      <c r="FX36" s="293"/>
      <c r="FY36" s="289">
        <v>11.959</v>
      </c>
      <c r="FZ36" s="289">
        <v>11.5428</v>
      </c>
      <c r="GA36" s="289">
        <v>11.695600000000001</v>
      </c>
      <c r="GB36" s="289">
        <v>11.838900000000001</v>
      </c>
      <c r="GC36" s="289">
        <v>11.6821</v>
      </c>
      <c r="GD36" s="289">
        <v>12.4953</v>
      </c>
      <c r="GE36" s="289">
        <v>13.4217</v>
      </c>
      <c r="GF36" s="289">
        <v>13.1973</v>
      </c>
      <c r="GG36" s="289">
        <v>14.0344</v>
      </c>
      <c r="GH36" s="289">
        <v>13.990399999999999</v>
      </c>
      <c r="GI36" s="185">
        <v>30</v>
      </c>
      <c r="GL36" s="185">
        <v>30</v>
      </c>
      <c r="GM36" s="290">
        <v>12.9975</v>
      </c>
      <c r="GN36" s="293"/>
      <c r="GO36" s="289">
        <v>12.5426</v>
      </c>
      <c r="GP36" s="289">
        <v>12.3698</v>
      </c>
      <c r="GQ36" s="289">
        <v>12.884600000000001</v>
      </c>
      <c r="GR36" s="289">
        <v>12.656700000000001</v>
      </c>
      <c r="GS36" s="289">
        <v>12.6798</v>
      </c>
      <c r="GT36" s="289">
        <v>12.984</v>
      </c>
      <c r="GU36" s="289">
        <v>12.501099999999999</v>
      </c>
      <c r="GV36" s="289">
        <v>12.4023</v>
      </c>
      <c r="GW36" s="289">
        <v>12.489000000000001</v>
      </c>
      <c r="GX36" s="289">
        <v>12.3567</v>
      </c>
      <c r="GY36" s="185">
        <v>30</v>
      </c>
      <c r="HB36" s="185">
        <v>30</v>
      </c>
      <c r="HC36" s="290">
        <v>14.151300000000001</v>
      </c>
      <c r="HD36" s="293"/>
      <c r="HE36" s="289">
        <v>14.2163</v>
      </c>
      <c r="HF36" s="289">
        <v>13.8667</v>
      </c>
      <c r="HG36" s="289">
        <v>13.233700000000001</v>
      </c>
      <c r="HH36" s="289">
        <v>13.202299999999999</v>
      </c>
      <c r="HI36" s="289">
        <v>13.282500000000001</v>
      </c>
      <c r="HJ36" s="289">
        <v>13.2462</v>
      </c>
      <c r="HK36" s="289">
        <v>13.504200000000001</v>
      </c>
      <c r="HL36" s="289">
        <v>13.282299999999999</v>
      </c>
      <c r="HM36" s="289">
        <v>12.9475</v>
      </c>
      <c r="HN36" s="289">
        <v>12.928800000000001</v>
      </c>
      <c r="HO36" s="185">
        <v>30</v>
      </c>
      <c r="HP36" s="1"/>
      <c r="HQ36" s="1"/>
      <c r="HR36" s="185">
        <v>30</v>
      </c>
      <c r="HS36" s="290">
        <v>10.878399999999999</v>
      </c>
      <c r="HT36" s="293"/>
      <c r="HU36" s="289">
        <v>10.696199999999999</v>
      </c>
      <c r="HV36" s="289">
        <v>10.446400000000001</v>
      </c>
      <c r="HW36" s="289">
        <v>10.3447</v>
      </c>
      <c r="HX36" s="289">
        <v>10.2841</v>
      </c>
      <c r="HY36" s="289">
        <v>10.070600000000001</v>
      </c>
      <c r="HZ36" s="289">
        <v>10.1822</v>
      </c>
      <c r="IA36" s="289">
        <v>10.7919</v>
      </c>
      <c r="IB36" s="289">
        <v>13.369199999999999</v>
      </c>
      <c r="IC36" s="289">
        <v>13.2325</v>
      </c>
      <c r="ID36" s="289">
        <v>13.3538</v>
      </c>
      <c r="IE36" s="185">
        <v>30</v>
      </c>
      <c r="IF36" s="1"/>
      <c r="IG36" s="1"/>
      <c r="IH36" s="185">
        <v>30</v>
      </c>
      <c r="II36" s="290">
        <v>11.0402</v>
      </c>
      <c r="IJ36" s="293"/>
      <c r="IK36" s="289">
        <v>11.081300000000001</v>
      </c>
      <c r="IL36" s="289">
        <v>10.9312</v>
      </c>
      <c r="IM36" s="289">
        <v>10.7788</v>
      </c>
      <c r="IN36" s="289">
        <v>10.7926</v>
      </c>
      <c r="IO36" s="289">
        <v>10.9436</v>
      </c>
      <c r="IP36" s="289">
        <v>11.092000000000001</v>
      </c>
      <c r="IQ36" s="289">
        <v>10.920299999999999</v>
      </c>
      <c r="IR36" s="289">
        <v>10.7523</v>
      </c>
      <c r="IS36" s="289">
        <v>10.9345</v>
      </c>
      <c r="IT36" s="289">
        <v>10.866199999999999</v>
      </c>
      <c r="IU36" s="185">
        <v>30</v>
      </c>
      <c r="IV36" s="1"/>
      <c r="IW36" s="1"/>
      <c r="IX36" s="185">
        <v>30</v>
      </c>
      <c r="IY36" s="290">
        <v>10.5039</v>
      </c>
      <c r="IZ36" s="293"/>
      <c r="JA36" s="289">
        <v>10.9633</v>
      </c>
      <c r="JB36" s="289">
        <v>11.1135</v>
      </c>
      <c r="JC36" s="289">
        <v>11.1373</v>
      </c>
      <c r="JD36" s="289">
        <v>11.3973</v>
      </c>
      <c r="JE36" s="289">
        <v>10.896800000000001</v>
      </c>
      <c r="JF36" s="289">
        <v>10.934699999999999</v>
      </c>
      <c r="JG36" s="289">
        <v>11.0502</v>
      </c>
      <c r="JH36" s="289">
        <v>10.731299999999999</v>
      </c>
      <c r="JI36" s="289">
        <v>11.045400000000001</v>
      </c>
      <c r="JJ36" s="289">
        <v>10.875500000000001</v>
      </c>
      <c r="JK36" s="185">
        <v>30</v>
      </c>
      <c r="JL36" s="1"/>
      <c r="JM36" s="1"/>
      <c r="JN36" s="185">
        <v>30</v>
      </c>
      <c r="JO36" s="290">
        <v>11.299099999999999</v>
      </c>
      <c r="JP36" s="293"/>
      <c r="JQ36" s="289">
        <v>11.322800000000001</v>
      </c>
      <c r="JR36" s="289">
        <v>11.1159</v>
      </c>
      <c r="JS36" s="289">
        <v>10.964499999999999</v>
      </c>
      <c r="JT36" s="289">
        <v>10.8428</v>
      </c>
      <c r="JU36" s="289">
        <v>10.620100000000001</v>
      </c>
      <c r="JV36" s="289">
        <v>10.833299999999999</v>
      </c>
      <c r="JW36" s="289">
        <v>10.849500000000001</v>
      </c>
      <c r="JX36" s="289">
        <v>10.9092</v>
      </c>
      <c r="JY36" s="289">
        <v>10.567</v>
      </c>
      <c r="JZ36" s="289">
        <v>10.777699999999999</v>
      </c>
      <c r="KA36" s="185">
        <v>30</v>
      </c>
      <c r="KB36" s="1"/>
      <c r="KC36" s="1"/>
      <c r="KD36" s="185">
        <v>30</v>
      </c>
      <c r="KE36" s="290">
        <v>10.9145</v>
      </c>
      <c r="KF36" s="293"/>
      <c r="KG36" s="289">
        <v>11.0578</v>
      </c>
      <c r="KH36" s="289">
        <v>11.338699999999999</v>
      </c>
      <c r="KI36" s="289">
        <v>11.451499999999999</v>
      </c>
      <c r="KJ36" s="289">
        <v>11.4116</v>
      </c>
      <c r="KK36" s="289">
        <v>11.4801</v>
      </c>
      <c r="KL36" s="289">
        <v>11.366</v>
      </c>
      <c r="KM36" s="289">
        <v>11.410600000000001</v>
      </c>
      <c r="KN36" s="289">
        <v>11.529299999999999</v>
      </c>
      <c r="KO36" s="289">
        <v>11.247</v>
      </c>
      <c r="KP36" s="289">
        <v>11.2042</v>
      </c>
      <c r="KQ36" s="185">
        <v>30</v>
      </c>
      <c r="KR36" s="1"/>
      <c r="KS36" s="1"/>
      <c r="KT36" s="185">
        <v>30</v>
      </c>
      <c r="KU36" s="290">
        <v>10.8842</v>
      </c>
      <c r="KV36" s="293"/>
      <c r="KW36" s="289">
        <v>10.767099999999999</v>
      </c>
      <c r="KX36" s="289">
        <v>10.430400000000001</v>
      </c>
      <c r="KY36" s="289">
        <v>10.4063</v>
      </c>
      <c r="KZ36" s="289">
        <v>10.4808</v>
      </c>
      <c r="LA36" s="289">
        <v>10.464499999999999</v>
      </c>
      <c r="LB36" s="289">
        <v>10.980600000000001</v>
      </c>
      <c r="LC36" s="289">
        <v>10.927199999999999</v>
      </c>
      <c r="LD36" s="289">
        <v>11.0693</v>
      </c>
      <c r="LE36" s="289">
        <v>11.3385</v>
      </c>
      <c r="LF36" s="289">
        <v>11.218</v>
      </c>
      <c r="LG36" s="185">
        <v>30</v>
      </c>
      <c r="LH36" s="1"/>
      <c r="LI36" s="1"/>
      <c r="LJ36" s="185">
        <v>30</v>
      </c>
      <c r="LK36" s="290">
        <v>9.1585000000000001</v>
      </c>
      <c r="LL36" s="293"/>
      <c r="LM36" s="289">
        <v>9.0243000000000002</v>
      </c>
      <c r="LN36" s="289">
        <v>9.3195999999999994</v>
      </c>
      <c r="LO36" s="289">
        <v>9.5586000000000002</v>
      </c>
      <c r="LP36" s="289">
        <v>9.9614999999999991</v>
      </c>
      <c r="LQ36" s="289">
        <v>9.7652000000000001</v>
      </c>
      <c r="LR36" s="289">
        <v>9.8989999999999991</v>
      </c>
      <c r="LS36" s="289">
        <v>10.166700000000001</v>
      </c>
      <c r="LT36" s="289">
        <v>10.000299999999999</v>
      </c>
      <c r="LU36" s="289">
        <v>10.119300000000001</v>
      </c>
      <c r="LV36" s="289">
        <v>10.2479</v>
      </c>
      <c r="LW36" s="185">
        <v>30</v>
      </c>
      <c r="LX36" s="1"/>
      <c r="LY36" s="1"/>
      <c r="LZ36" s="185">
        <v>30</v>
      </c>
      <c r="MA36" s="290">
        <v>9.6908999999999992</v>
      </c>
      <c r="MB36" s="293"/>
      <c r="MC36" s="289">
        <v>9.5380000000000003</v>
      </c>
      <c r="MD36" s="289">
        <v>9.2670999999999992</v>
      </c>
      <c r="ME36" s="289">
        <v>9.0780999999999992</v>
      </c>
      <c r="MF36" s="289">
        <v>9.09</v>
      </c>
      <c r="MG36" s="289">
        <v>9.157</v>
      </c>
      <c r="MH36" s="289">
        <v>9.1364999999999998</v>
      </c>
      <c r="MI36" s="289">
        <v>9.5541999999999998</v>
      </c>
      <c r="MJ36" s="289">
        <v>9.2721999999999998</v>
      </c>
      <c r="MK36" s="289">
        <v>9.2761999999999993</v>
      </c>
      <c r="ML36" s="289">
        <v>9.1423000000000005</v>
      </c>
      <c r="MM36" s="185">
        <v>30</v>
      </c>
      <c r="MN36" s="1"/>
      <c r="MO36" s="1"/>
      <c r="MP36" s="185">
        <v>30</v>
      </c>
      <c r="MQ36" s="290">
        <v>9.5122999999999998</v>
      </c>
      <c r="MR36" s="293"/>
      <c r="MS36" s="289">
        <v>9.1882999999999999</v>
      </c>
      <c r="MT36" s="289">
        <v>9.4520999999999997</v>
      </c>
      <c r="MU36" s="289">
        <v>9.5274000000000001</v>
      </c>
      <c r="MV36" s="289">
        <v>9.9537999999999993</v>
      </c>
      <c r="MW36" s="289">
        <v>9.3610000000000007</v>
      </c>
      <c r="MX36" s="289">
        <v>9.2093000000000007</v>
      </c>
      <c r="MY36" s="289">
        <v>9.4290000000000003</v>
      </c>
      <c r="MZ36" s="289">
        <v>9.6776999999999997</v>
      </c>
      <c r="NA36" s="289">
        <v>9.4057999999999993</v>
      </c>
      <c r="NB36" s="289">
        <v>9.5997000000000003</v>
      </c>
      <c r="NC36" s="185">
        <v>30</v>
      </c>
      <c r="ND36" s="1"/>
      <c r="NE36" s="1"/>
      <c r="NF36" s="185">
        <v>30</v>
      </c>
      <c r="NG36" s="290">
        <v>10.1752</v>
      </c>
      <c r="NH36" s="293"/>
      <c r="NI36" s="289">
        <v>9.5953999999999997</v>
      </c>
      <c r="NJ36" s="289">
        <v>9.2871000000000006</v>
      </c>
      <c r="NK36" s="289">
        <v>9.7498000000000005</v>
      </c>
      <c r="NL36" s="289">
        <v>9.4875000000000007</v>
      </c>
      <c r="NM36" s="289">
        <v>9.3826999999999998</v>
      </c>
      <c r="NN36" s="289">
        <v>9.3393999999999995</v>
      </c>
      <c r="NO36" s="289">
        <v>9.3582000000000001</v>
      </c>
      <c r="NP36" s="289">
        <v>9.6356999999999999</v>
      </c>
      <c r="NQ36" s="289">
        <v>9.3550000000000004</v>
      </c>
      <c r="NR36" s="289">
        <v>9.5143000000000004</v>
      </c>
      <c r="NS36" s="185">
        <v>30</v>
      </c>
      <c r="NT36" s="1"/>
      <c r="NU36" s="1"/>
      <c r="NV36" s="185">
        <v>30</v>
      </c>
      <c r="NW36" s="290">
        <v>8.3603000000000005</v>
      </c>
      <c r="NX36" s="293"/>
      <c r="NY36" s="289">
        <v>8.5251999999999999</v>
      </c>
      <c r="NZ36" s="289">
        <v>8.4817999999999998</v>
      </c>
      <c r="OA36" s="289">
        <v>8.7873000000000001</v>
      </c>
      <c r="OB36" s="289">
        <v>9.0406999999999993</v>
      </c>
      <c r="OC36" s="289">
        <v>8.8861000000000008</v>
      </c>
      <c r="OD36" s="289">
        <v>9.9600000000000009</v>
      </c>
      <c r="OE36" s="289">
        <v>10.106199999999999</v>
      </c>
      <c r="OF36" s="289">
        <v>10.157500000000001</v>
      </c>
      <c r="OG36" s="289">
        <v>9.9404000000000003</v>
      </c>
      <c r="OH36" s="289">
        <v>9.8382000000000005</v>
      </c>
      <c r="OI36" s="185">
        <v>30</v>
      </c>
      <c r="OJ36" s="1"/>
      <c r="OK36" s="1"/>
      <c r="OL36" s="185">
        <v>30</v>
      </c>
      <c r="OM36" s="290">
        <v>7.8151999999999999</v>
      </c>
      <c r="ON36" s="293"/>
      <c r="OO36" s="289">
        <v>7.8905000000000003</v>
      </c>
      <c r="OP36" s="289">
        <v>7.9267000000000003</v>
      </c>
      <c r="OQ36" s="289">
        <v>7.9085000000000001</v>
      </c>
      <c r="OR36" s="289">
        <v>7.9577</v>
      </c>
      <c r="OS36" s="289">
        <v>7.7808000000000002</v>
      </c>
      <c r="OT36" s="289">
        <v>7.7746000000000004</v>
      </c>
      <c r="OU36" s="289">
        <v>7.8198999999999996</v>
      </c>
      <c r="OV36" s="289">
        <v>8.2966999999999995</v>
      </c>
      <c r="OW36" s="289">
        <v>8.2164999999999999</v>
      </c>
      <c r="OX36" s="289">
        <v>8.1430000000000007</v>
      </c>
      <c r="OY36" s="185">
        <v>30</v>
      </c>
      <c r="OZ36" s="1"/>
      <c r="PA36" s="1"/>
      <c r="PB36" s="185">
        <v>30</v>
      </c>
      <c r="PC36" s="290">
        <v>7.4348999999999998</v>
      </c>
      <c r="PD36" s="293"/>
      <c r="PE36" s="289">
        <v>7.5526</v>
      </c>
      <c r="PF36" s="289">
        <v>7.4042000000000003</v>
      </c>
      <c r="PG36" s="289">
        <v>7.3849999999999998</v>
      </c>
      <c r="PH36" s="289">
        <v>7.6322999999999999</v>
      </c>
      <c r="PI36" s="289">
        <v>7.5959000000000003</v>
      </c>
      <c r="PJ36" s="289">
        <v>7.4930000000000003</v>
      </c>
      <c r="PK36" s="289">
        <v>7.5373999999999999</v>
      </c>
      <c r="PL36" s="289">
        <v>7.8903999999999996</v>
      </c>
      <c r="PM36" s="289">
        <v>7.8857999999999997</v>
      </c>
      <c r="PN36" s="289">
        <v>7.8441999999999998</v>
      </c>
      <c r="PO36" s="185">
        <v>30</v>
      </c>
      <c r="PP36" s="1"/>
      <c r="PQ36" s="1"/>
      <c r="PR36" s="185">
        <v>30</v>
      </c>
      <c r="PS36" s="290">
        <v>5.69</v>
      </c>
      <c r="PT36" s="293"/>
      <c r="PU36" s="289">
        <v>6.8274999999999997</v>
      </c>
      <c r="PV36" s="289">
        <v>5.8982999999999999</v>
      </c>
      <c r="PW36" s="289">
        <v>6.1582999999999997</v>
      </c>
      <c r="PX36" s="289">
        <v>6.3091999999999997</v>
      </c>
      <c r="PY36" s="289">
        <v>6.0881999999999996</v>
      </c>
      <c r="PZ36" s="289">
        <v>6.3246000000000002</v>
      </c>
      <c r="QA36" s="289">
        <v>6.4042000000000003</v>
      </c>
      <c r="QB36" s="289">
        <v>7.1666999999999996</v>
      </c>
      <c r="QC36" s="289">
        <v>7.6516999999999999</v>
      </c>
      <c r="QD36" s="289">
        <v>7.6841999999999997</v>
      </c>
      <c r="QE36" s="185">
        <v>30</v>
      </c>
      <c r="QF36" s="1"/>
      <c r="QG36" s="1"/>
      <c r="QH36" s="185">
        <v>30</v>
      </c>
      <c r="QI36" s="290">
        <v>3.1063000000000001</v>
      </c>
      <c r="QJ36" s="293"/>
      <c r="QK36" s="289">
        <v>3.3597999999999999</v>
      </c>
      <c r="QL36" s="289">
        <v>3.2763</v>
      </c>
      <c r="QM36" s="289">
        <v>3.3148</v>
      </c>
      <c r="QN36" s="289">
        <v>3.3917999999999999</v>
      </c>
      <c r="QO36" s="289">
        <v>3.4005999999999998</v>
      </c>
      <c r="QP36" s="289">
        <v>3.3826000000000001</v>
      </c>
      <c r="QQ36" s="289">
        <v>3.4039999999999999</v>
      </c>
      <c r="QR36" s="289">
        <v>3.43</v>
      </c>
      <c r="QS36" s="289">
        <v>3.4498000000000002</v>
      </c>
      <c r="QT36" s="289">
        <v>5.3250000000000002</v>
      </c>
      <c r="QU36" s="185">
        <v>30</v>
      </c>
      <c r="QV36" s="1"/>
      <c r="QW36" s="1"/>
      <c r="QX36" s="185">
        <v>30</v>
      </c>
      <c r="QY36" s="290">
        <v>3.1030000000000002</v>
      </c>
      <c r="QZ36" s="293"/>
      <c r="RA36" s="289">
        <v>3.1049000000000002</v>
      </c>
      <c r="RB36" s="289">
        <v>3.1021999999999998</v>
      </c>
      <c r="RC36" s="289">
        <v>3.1227</v>
      </c>
      <c r="RD36" s="289">
        <v>3.1212</v>
      </c>
      <c r="RE36" s="289">
        <v>3.1189</v>
      </c>
      <c r="RF36" s="289">
        <v>3.1116999999999999</v>
      </c>
      <c r="RG36" s="289">
        <v>3.1177999999999999</v>
      </c>
      <c r="RH36" s="289">
        <v>3.1293000000000002</v>
      </c>
      <c r="RI36" s="289">
        <v>3.1124999999999998</v>
      </c>
      <c r="RJ36" s="289">
        <v>3.1059000000000001</v>
      </c>
      <c r="RK36" s="185">
        <v>30</v>
      </c>
      <c r="RL36" s="1"/>
      <c r="RM36" s="1"/>
      <c r="RN36" s="185">
        <v>30</v>
      </c>
      <c r="RO36" s="290">
        <v>3.0659000000000001</v>
      </c>
      <c r="RP36" s="293"/>
      <c r="RQ36" s="289">
        <v>3.0901999999999998</v>
      </c>
      <c r="RR36" s="289">
        <v>3.0790000000000002</v>
      </c>
      <c r="RS36" s="289">
        <v>3.1168</v>
      </c>
      <c r="RT36" s="289">
        <v>3.1225000000000001</v>
      </c>
      <c r="RU36" s="289">
        <v>3.1160999999999999</v>
      </c>
      <c r="RV36" s="289">
        <v>3.081</v>
      </c>
      <c r="RW36" s="289">
        <v>3.1160999999999999</v>
      </c>
      <c r="RX36" s="289">
        <v>3.1320999999999999</v>
      </c>
      <c r="RY36" s="289">
        <v>3.1158999999999999</v>
      </c>
      <c r="RZ36" s="289">
        <v>3.1154000000000002</v>
      </c>
      <c r="SA36" s="185">
        <v>30</v>
      </c>
      <c r="SB36" s="1"/>
      <c r="SC36" s="1"/>
      <c r="SD36" s="185">
        <v>30</v>
      </c>
      <c r="SE36" s="290">
        <v>2.9578000000000002</v>
      </c>
      <c r="SF36" s="293"/>
      <c r="SG36" s="289">
        <v>2.9813999999999998</v>
      </c>
      <c r="SH36" s="289">
        <v>2.9929999999999999</v>
      </c>
      <c r="SI36" s="289">
        <v>3.0057999999999998</v>
      </c>
      <c r="SJ36" s="289">
        <v>3.0177999999999998</v>
      </c>
      <c r="SK36" s="289">
        <v>3.0293999999999999</v>
      </c>
      <c r="SL36" s="289">
        <v>3.0426000000000002</v>
      </c>
      <c r="SM36" s="289">
        <v>3.0558000000000001</v>
      </c>
      <c r="SN36" s="289">
        <v>3.0678000000000001</v>
      </c>
      <c r="SO36" s="289">
        <v>3.0676899999999998</v>
      </c>
      <c r="SP36" s="289">
        <v>3.0710000000000002</v>
      </c>
      <c r="SQ36" s="185">
        <v>30</v>
      </c>
      <c r="SR36" s="1"/>
      <c r="SS36" s="1"/>
      <c r="ST36" s="185">
        <v>30</v>
      </c>
      <c r="SU36" s="290">
        <v>2.67</v>
      </c>
      <c r="SV36" s="293"/>
      <c r="SW36" s="289">
        <v>2.7309999999999999</v>
      </c>
      <c r="SX36" s="289">
        <v>2.76</v>
      </c>
      <c r="SY36" s="289">
        <v>2.7919999999999998</v>
      </c>
      <c r="SZ36" s="289">
        <v>2.8170000000000002</v>
      </c>
      <c r="TA36" s="289">
        <v>2.8393999999999999</v>
      </c>
      <c r="TB36" s="289">
        <v>2.8658000000000001</v>
      </c>
      <c r="TC36" s="289">
        <v>2.8898000000000001</v>
      </c>
      <c r="TD36" s="289">
        <v>2.9129999999999998</v>
      </c>
      <c r="TE36" s="289">
        <v>2.9333999999999998</v>
      </c>
      <c r="TF36" s="289">
        <v>2.9449999999999998</v>
      </c>
      <c r="TG36" s="185">
        <v>30</v>
      </c>
      <c r="TH36" s="1"/>
      <c r="TI36" s="1"/>
      <c r="TJ36" s="185">
        <v>30</v>
      </c>
      <c r="TK36" s="290">
        <v>2.3050000000000002</v>
      </c>
      <c r="TL36" s="293"/>
      <c r="TM36" s="289">
        <v>2.3660000000000001</v>
      </c>
      <c r="TN36" s="289">
        <v>2.3959999999999999</v>
      </c>
      <c r="TO36" s="289">
        <v>2.4249999999999998</v>
      </c>
      <c r="TP36" s="289">
        <v>2.4580000000000002</v>
      </c>
      <c r="TQ36" s="289">
        <v>2.4870000000000001</v>
      </c>
      <c r="TR36" s="289">
        <v>2.5190000000000001</v>
      </c>
      <c r="TS36" s="289">
        <v>2.5499999999999998</v>
      </c>
      <c r="TT36" s="289">
        <v>2.5779999999999998</v>
      </c>
      <c r="TU36" s="289">
        <v>2.6110000000000002</v>
      </c>
      <c r="TV36" s="289">
        <v>2.641</v>
      </c>
      <c r="TW36" s="185">
        <v>30</v>
      </c>
    </row>
    <row r="37" spans="2:543" ht="20.100000000000001" customHeight="1">
      <c r="B37" s="64">
        <v>31</v>
      </c>
      <c r="C37" s="289">
        <v>20.738299999999999</v>
      </c>
      <c r="D37" s="293"/>
      <c r="E37" s="289">
        <v>19.994199999999999</v>
      </c>
      <c r="F37" s="293"/>
      <c r="G37" s="289">
        <v>19.596499999999999</v>
      </c>
      <c r="H37" s="293"/>
      <c r="I37" s="289">
        <v>20.377800000000001</v>
      </c>
      <c r="J37" s="289">
        <v>19.994499999999999</v>
      </c>
      <c r="K37" s="435"/>
      <c r="L37" s="289">
        <v>19.836500000000001</v>
      </c>
      <c r="M37" s="435"/>
      <c r="N37" s="289">
        <v>19.361499999999999</v>
      </c>
      <c r="O37" s="64">
        <v>31</v>
      </c>
      <c r="R37" s="64">
        <v>31</v>
      </c>
      <c r="S37" s="289">
        <v>20.2697</v>
      </c>
      <c r="T37" s="293"/>
      <c r="U37" s="289">
        <v>20.604700000000001</v>
      </c>
      <c r="V37" s="293"/>
      <c r="W37" s="289">
        <v>19.948699999999999</v>
      </c>
      <c r="X37" s="293"/>
      <c r="Y37" s="289">
        <v>19.844799999999999</v>
      </c>
      <c r="Z37" s="289">
        <v>20.229299999999999</v>
      </c>
      <c r="AA37" s="297"/>
      <c r="AB37" s="289">
        <v>20.325500000000002</v>
      </c>
      <c r="AC37" s="297"/>
      <c r="AD37" s="289">
        <v>20.583500000000001</v>
      </c>
      <c r="AE37" s="64">
        <v>31</v>
      </c>
      <c r="AH37" s="185">
        <v>31</v>
      </c>
      <c r="AI37" s="289">
        <v>18.706700000000001</v>
      </c>
      <c r="AJ37" s="293"/>
      <c r="AK37" s="289">
        <v>23.5122</v>
      </c>
      <c r="AL37" s="293"/>
      <c r="AM37" s="289">
        <v>22.204000000000001</v>
      </c>
      <c r="AN37" s="293"/>
      <c r="AO37" s="289">
        <v>21.9907</v>
      </c>
      <c r="AP37" s="289">
        <v>22.116800000000001</v>
      </c>
      <c r="AQ37" s="297"/>
      <c r="AR37" s="289">
        <v>21.376999999999999</v>
      </c>
      <c r="AS37" s="297"/>
      <c r="AT37" s="289">
        <v>19.948699999999999</v>
      </c>
      <c r="AU37" s="185">
        <v>31</v>
      </c>
      <c r="AX37" s="185">
        <v>31</v>
      </c>
      <c r="AY37" s="289">
        <v>18.997199999999999</v>
      </c>
      <c r="AZ37" s="293"/>
      <c r="BA37" s="289">
        <v>19.379300000000001</v>
      </c>
      <c r="BB37" s="293"/>
      <c r="BC37" s="289">
        <v>19.2395</v>
      </c>
      <c r="BD37" s="293"/>
      <c r="BE37" s="289">
        <v>19.09</v>
      </c>
      <c r="BF37" s="289">
        <v>20.098800000000001</v>
      </c>
      <c r="BG37" s="297"/>
      <c r="BH37" s="289">
        <v>19.116700000000002</v>
      </c>
      <c r="BI37" s="297"/>
      <c r="BJ37" s="289">
        <v>18.845199999999998</v>
      </c>
      <c r="BK37" s="185">
        <v>31</v>
      </c>
      <c r="BN37" s="185">
        <v>31</v>
      </c>
      <c r="BO37" s="289">
        <v>18.619599999999998</v>
      </c>
      <c r="BP37" s="293"/>
      <c r="BQ37" s="289">
        <v>18.3445</v>
      </c>
      <c r="BR37" s="293"/>
      <c r="BS37" s="289">
        <v>19.7499</v>
      </c>
      <c r="BT37" s="293"/>
      <c r="BU37" s="289">
        <v>18.551500000000001</v>
      </c>
      <c r="BV37" s="289">
        <v>19.065899999999999</v>
      </c>
      <c r="BW37" s="297"/>
      <c r="BX37" s="289">
        <v>19.802199999999999</v>
      </c>
      <c r="BY37" s="297"/>
      <c r="BZ37" s="289">
        <v>19.6829</v>
      </c>
      <c r="CA37" s="185">
        <v>31</v>
      </c>
      <c r="CD37" s="185">
        <v>31</v>
      </c>
      <c r="CE37" s="289">
        <v>21.0212</v>
      </c>
      <c r="CF37" s="293"/>
      <c r="CG37" s="289">
        <v>18.809200000000001</v>
      </c>
      <c r="CH37" s="293"/>
      <c r="CI37" s="289">
        <v>18.5121</v>
      </c>
      <c r="CJ37" s="293"/>
      <c r="CK37" s="289">
        <v>17.688600000000001</v>
      </c>
      <c r="CL37" s="289">
        <v>17.876000000000001</v>
      </c>
      <c r="CM37" s="297"/>
      <c r="CN37" s="185">
        <v>19.147400000000001</v>
      </c>
      <c r="CO37" s="297"/>
      <c r="CP37" s="289">
        <v>19.735399999999998</v>
      </c>
      <c r="CQ37" s="185">
        <v>31</v>
      </c>
      <c r="CT37" s="185">
        <v>31</v>
      </c>
      <c r="CU37" s="289">
        <v>18.290600000000001</v>
      </c>
      <c r="CV37" s="293"/>
      <c r="CW37" s="289">
        <v>17.401499999999999</v>
      </c>
      <c r="CX37" s="293"/>
      <c r="CY37" s="289">
        <v>18.4527</v>
      </c>
      <c r="CZ37" s="293"/>
      <c r="DA37" s="289">
        <v>18.8979</v>
      </c>
      <c r="DB37" s="289">
        <v>18.577300000000001</v>
      </c>
      <c r="DC37" s="297"/>
      <c r="DD37" s="185">
        <v>18.8443</v>
      </c>
      <c r="DE37" s="297"/>
      <c r="DF37" s="289">
        <v>20.664000000000001</v>
      </c>
      <c r="DG37" s="185">
        <v>31</v>
      </c>
      <c r="DJ37" s="185">
        <v>31</v>
      </c>
      <c r="DK37" s="289">
        <v>14.8414</v>
      </c>
      <c r="DL37" s="293"/>
      <c r="DM37" s="289">
        <v>15.154199999999999</v>
      </c>
      <c r="DN37" s="293"/>
      <c r="DO37" s="289">
        <v>15.373699999999999</v>
      </c>
      <c r="DP37" s="293"/>
      <c r="DQ37" s="289">
        <v>16.213999999999999</v>
      </c>
      <c r="DR37" s="289">
        <v>16.886299999999999</v>
      </c>
      <c r="DS37" s="297"/>
      <c r="DT37" s="185">
        <v>16.6219</v>
      </c>
      <c r="DU37" s="297"/>
      <c r="DV37" s="289">
        <v>17.206499999999998</v>
      </c>
      <c r="DW37" s="185">
        <v>31</v>
      </c>
      <c r="DZ37" s="185">
        <v>31</v>
      </c>
      <c r="EA37" s="289">
        <v>13.367100000000001</v>
      </c>
      <c r="EB37" s="293"/>
      <c r="EC37" s="289">
        <v>13.0837</v>
      </c>
      <c r="ED37" s="293"/>
      <c r="EE37" s="289">
        <v>12.8462</v>
      </c>
      <c r="EF37" s="293"/>
      <c r="EG37" s="289">
        <v>13.0578</v>
      </c>
      <c r="EH37" s="289">
        <v>13.110900000000001</v>
      </c>
      <c r="EI37" s="297"/>
      <c r="EJ37" s="185">
        <v>13.4239</v>
      </c>
      <c r="EK37" s="297"/>
      <c r="EL37" s="289">
        <v>14.718</v>
      </c>
      <c r="EM37" s="185">
        <v>31</v>
      </c>
      <c r="EP37" s="185">
        <v>31</v>
      </c>
      <c r="EQ37" s="289">
        <v>12.7134</v>
      </c>
      <c r="ER37" s="293"/>
      <c r="ES37" s="289">
        <v>12.3546</v>
      </c>
      <c r="ET37" s="293"/>
      <c r="EU37" s="289">
        <v>12.6328</v>
      </c>
      <c r="EV37" s="293"/>
      <c r="EW37" s="289">
        <v>12.732100000000001</v>
      </c>
      <c r="EX37" s="289">
        <v>13.3104</v>
      </c>
      <c r="EY37" s="297"/>
      <c r="EZ37" s="185">
        <v>12.8903</v>
      </c>
      <c r="FA37" s="297"/>
      <c r="FB37" s="289">
        <v>13.076499999999999</v>
      </c>
      <c r="FC37" s="185">
        <v>31</v>
      </c>
      <c r="FF37" s="185">
        <v>31</v>
      </c>
      <c r="FG37" s="289">
        <v>12.9504</v>
      </c>
      <c r="FH37" s="293"/>
      <c r="FI37" s="289">
        <v>12.8489</v>
      </c>
      <c r="FJ37" s="293"/>
      <c r="FK37" s="289">
        <v>13.9169</v>
      </c>
      <c r="FL37" s="293"/>
      <c r="FM37" s="289">
        <v>13.2837</v>
      </c>
      <c r="FN37" s="289">
        <v>13.2746</v>
      </c>
      <c r="FO37" s="297"/>
      <c r="FP37" s="185">
        <v>13.09</v>
      </c>
      <c r="FQ37" s="297"/>
      <c r="FR37" s="289">
        <v>13.0101</v>
      </c>
      <c r="FS37" s="185">
        <v>31</v>
      </c>
      <c r="FV37" s="185">
        <v>31</v>
      </c>
      <c r="FW37" s="289">
        <v>12.023899999999999</v>
      </c>
      <c r="FX37" s="293"/>
      <c r="FY37" s="289">
        <v>11.9678</v>
      </c>
      <c r="FZ37" s="293"/>
      <c r="GA37" s="289">
        <v>11.6256</v>
      </c>
      <c r="GB37" s="293"/>
      <c r="GC37" s="289">
        <v>11.6821</v>
      </c>
      <c r="GD37" s="289">
        <v>12.4148</v>
      </c>
      <c r="GE37" s="297"/>
      <c r="GF37" s="185">
        <v>13.1973</v>
      </c>
      <c r="GG37" s="297"/>
      <c r="GH37" s="289">
        <v>13.9787</v>
      </c>
      <c r="GI37" s="185">
        <v>31</v>
      </c>
      <c r="GL37" s="185">
        <v>31</v>
      </c>
      <c r="GM37" s="289">
        <v>12.9975</v>
      </c>
      <c r="GN37" s="293">
        <v>12.850300000000001</v>
      </c>
      <c r="GO37" s="289">
        <v>12.464</v>
      </c>
      <c r="GP37" s="293">
        <v>12.3698</v>
      </c>
      <c r="GQ37" s="289">
        <v>12.884600000000001</v>
      </c>
      <c r="GR37" s="293">
        <v>12.656700000000001</v>
      </c>
      <c r="GS37" s="289">
        <v>12.703799999999999</v>
      </c>
      <c r="GT37" s="289">
        <v>13.014799999999999</v>
      </c>
      <c r="GU37" s="297">
        <v>12.501099999999999</v>
      </c>
      <c r="GV37" s="185">
        <v>12.4023</v>
      </c>
      <c r="GW37" s="297">
        <v>12.489000000000001</v>
      </c>
      <c r="GX37" s="289">
        <v>12.357100000000001</v>
      </c>
      <c r="GY37" s="185">
        <v>31</v>
      </c>
      <c r="HB37" s="185">
        <v>31</v>
      </c>
      <c r="HC37" s="289">
        <v>14.1975</v>
      </c>
      <c r="HD37" s="293">
        <v>12.850300000000001</v>
      </c>
      <c r="HE37" s="289">
        <v>14.3317</v>
      </c>
      <c r="HF37" s="293">
        <v>12.3698</v>
      </c>
      <c r="HG37" s="289">
        <v>13.233700000000001</v>
      </c>
      <c r="HH37" s="293">
        <v>12.656700000000001</v>
      </c>
      <c r="HI37" s="289">
        <v>13.2643</v>
      </c>
      <c r="HJ37" s="289">
        <v>13.2462</v>
      </c>
      <c r="HK37" s="297">
        <v>12.501099999999999</v>
      </c>
      <c r="HL37" s="185">
        <v>13.0825</v>
      </c>
      <c r="HM37" s="297">
        <v>12.489000000000001</v>
      </c>
      <c r="HN37" s="289">
        <v>13.0587</v>
      </c>
      <c r="HO37" s="185">
        <v>31</v>
      </c>
      <c r="HP37" s="1"/>
      <c r="HQ37" s="1"/>
      <c r="HR37" s="185">
        <v>31</v>
      </c>
      <c r="HS37" s="289">
        <v>10.8444</v>
      </c>
      <c r="HT37" s="293"/>
      <c r="HU37" s="289">
        <v>10.696199999999999</v>
      </c>
      <c r="HV37" s="293"/>
      <c r="HW37" s="289">
        <v>10.3066</v>
      </c>
      <c r="HX37" s="293"/>
      <c r="HY37" s="289">
        <v>10.061</v>
      </c>
      <c r="HZ37" s="289">
        <v>10.1822</v>
      </c>
      <c r="IA37" s="297"/>
      <c r="IB37" s="185">
        <v>12.914199999999999</v>
      </c>
      <c r="IC37" s="297"/>
      <c r="ID37" s="289">
        <v>13.5383</v>
      </c>
      <c r="IE37" s="185">
        <v>31</v>
      </c>
      <c r="IF37" s="1"/>
      <c r="IG37" s="1"/>
      <c r="IH37" s="185">
        <v>31</v>
      </c>
      <c r="II37" s="289">
        <v>11.0855</v>
      </c>
      <c r="IJ37" s="293"/>
      <c r="IK37" s="289">
        <v>11.050700000000001</v>
      </c>
      <c r="IL37" s="293"/>
      <c r="IM37" s="289">
        <v>10.7873</v>
      </c>
      <c r="IN37" s="293"/>
      <c r="IO37" s="289">
        <v>10.997299999999999</v>
      </c>
      <c r="IP37" s="289">
        <v>11.106199999999999</v>
      </c>
      <c r="IQ37" s="297"/>
      <c r="IR37" s="185">
        <v>10.7112</v>
      </c>
      <c r="IS37" s="297"/>
      <c r="IT37" s="289">
        <v>10.866199999999999</v>
      </c>
      <c r="IU37" s="185">
        <v>31</v>
      </c>
      <c r="IV37" s="1"/>
      <c r="IW37" s="1"/>
      <c r="IX37" s="185">
        <v>31</v>
      </c>
      <c r="IY37" s="289">
        <v>10.4598</v>
      </c>
      <c r="IZ37" s="293"/>
      <c r="JA37" s="289">
        <v>10.951000000000001</v>
      </c>
      <c r="JB37" s="293"/>
      <c r="JC37" s="289">
        <v>11.1303</v>
      </c>
      <c r="JD37" s="293"/>
      <c r="JE37" s="289">
        <v>10.896800000000001</v>
      </c>
      <c r="JF37" s="289">
        <v>10.9047</v>
      </c>
      <c r="JG37" s="297"/>
      <c r="JH37" s="185">
        <v>10.709300000000001</v>
      </c>
      <c r="JI37" s="297"/>
      <c r="JJ37" s="289">
        <v>10.875500000000001</v>
      </c>
      <c r="JK37" s="185">
        <v>31</v>
      </c>
      <c r="JL37" s="1"/>
      <c r="JM37" s="1"/>
      <c r="JN37" s="185">
        <v>31</v>
      </c>
      <c r="JO37" s="289">
        <v>11.299099999999999</v>
      </c>
      <c r="JP37" s="293"/>
      <c r="JQ37" s="289">
        <v>11.2942</v>
      </c>
      <c r="JR37" s="293"/>
      <c r="JS37" s="289">
        <v>10.903</v>
      </c>
      <c r="JT37" s="293"/>
      <c r="JU37" s="289">
        <v>10.620100000000001</v>
      </c>
      <c r="JV37" s="289">
        <v>10.893599999999999</v>
      </c>
      <c r="JW37" s="297"/>
      <c r="JX37" s="185">
        <v>10.9092</v>
      </c>
      <c r="JY37" s="297"/>
      <c r="JZ37" s="289">
        <v>10.710900000000001</v>
      </c>
      <c r="KA37" s="185">
        <v>31</v>
      </c>
      <c r="KB37" s="1"/>
      <c r="KC37" s="1"/>
      <c r="KD37" s="185">
        <v>31</v>
      </c>
      <c r="KE37" s="289">
        <v>11.084300000000001</v>
      </c>
      <c r="KF37" s="293"/>
      <c r="KG37" s="289">
        <v>11.154</v>
      </c>
      <c r="KH37" s="293"/>
      <c r="KI37" s="289">
        <v>11.451499999999999</v>
      </c>
      <c r="KJ37" s="293"/>
      <c r="KK37" s="289">
        <v>11.430199999999999</v>
      </c>
      <c r="KL37" s="289">
        <v>11.373900000000001</v>
      </c>
      <c r="KM37" s="297"/>
      <c r="KN37" s="185">
        <v>11.529299999999999</v>
      </c>
      <c r="KO37" s="297"/>
      <c r="KP37" s="289">
        <v>11.264799999999999</v>
      </c>
      <c r="KQ37" s="185">
        <v>31</v>
      </c>
      <c r="KR37" s="1"/>
      <c r="KS37" s="1"/>
      <c r="KT37" s="185">
        <v>31</v>
      </c>
      <c r="KU37" s="289">
        <v>10.9863</v>
      </c>
      <c r="KV37" s="293"/>
      <c r="KW37" s="289">
        <v>10.767099999999999</v>
      </c>
      <c r="KX37" s="293"/>
      <c r="KY37" s="289">
        <v>10.320499999999999</v>
      </c>
      <c r="KZ37" s="293"/>
      <c r="LA37" s="289">
        <v>10.4878</v>
      </c>
      <c r="LB37" s="289">
        <v>10.980600000000001</v>
      </c>
      <c r="LC37" s="297"/>
      <c r="LD37" s="185">
        <v>11.107799999999999</v>
      </c>
      <c r="LE37" s="297"/>
      <c r="LF37" s="289">
        <v>11.236000000000001</v>
      </c>
      <c r="LG37" s="185">
        <v>31</v>
      </c>
      <c r="LH37" s="1"/>
      <c r="LI37" s="1"/>
      <c r="LJ37" s="185">
        <v>31</v>
      </c>
      <c r="LK37" s="289">
        <v>9.1714000000000002</v>
      </c>
      <c r="LL37" s="293"/>
      <c r="LM37" s="289">
        <v>9.0243000000000002</v>
      </c>
      <c r="LN37" s="293"/>
      <c r="LO37" s="289">
        <v>9.6134000000000004</v>
      </c>
      <c r="LP37" s="293"/>
      <c r="LQ37" s="289">
        <v>9.6943999999999999</v>
      </c>
      <c r="LR37" s="289">
        <v>9.9192999999999998</v>
      </c>
      <c r="LS37" s="297"/>
      <c r="LT37" s="185">
        <v>10.1593</v>
      </c>
      <c r="LU37" s="297"/>
      <c r="LV37" s="289">
        <v>10.3125</v>
      </c>
      <c r="LW37" s="185">
        <v>31</v>
      </c>
      <c r="LX37" s="1"/>
      <c r="LY37" s="1"/>
      <c r="LZ37" s="185">
        <v>31</v>
      </c>
      <c r="MA37" s="289">
        <v>9.6686999999999994</v>
      </c>
      <c r="MB37" s="293"/>
      <c r="MC37" s="289">
        <v>9.5203000000000007</v>
      </c>
      <c r="MD37" s="293"/>
      <c r="ME37" s="289">
        <v>9.0851000000000006</v>
      </c>
      <c r="MF37" s="293"/>
      <c r="MG37" s="289">
        <v>9.1920000000000002</v>
      </c>
      <c r="MH37" s="289">
        <v>9.1438000000000006</v>
      </c>
      <c r="MI37" s="297"/>
      <c r="MJ37" s="185">
        <v>9.2421000000000006</v>
      </c>
      <c r="MK37" s="297"/>
      <c r="ML37" s="289">
        <v>9.1423000000000005</v>
      </c>
      <c r="MM37" s="185">
        <v>31</v>
      </c>
      <c r="MN37" s="1"/>
      <c r="MO37" s="1"/>
      <c r="MP37" s="185">
        <v>31</v>
      </c>
      <c r="MQ37" s="289">
        <v>9.5122999999999998</v>
      </c>
      <c r="MR37" s="293"/>
      <c r="MS37" s="289">
        <v>9.2331000000000003</v>
      </c>
      <c r="MT37" s="293"/>
      <c r="MU37" s="289">
        <v>9.5326000000000004</v>
      </c>
      <c r="MV37" s="293"/>
      <c r="MW37" s="289">
        <v>9.3610000000000007</v>
      </c>
      <c r="MX37" s="289">
        <v>9.2317</v>
      </c>
      <c r="MY37" s="297"/>
      <c r="MZ37" s="185">
        <v>9.6442999999999994</v>
      </c>
      <c r="NA37" s="297"/>
      <c r="NB37" s="289">
        <v>9.5997000000000003</v>
      </c>
      <c r="NC37" s="185">
        <v>31</v>
      </c>
      <c r="ND37" s="1"/>
      <c r="NE37" s="1"/>
      <c r="NF37" s="185">
        <v>31</v>
      </c>
      <c r="NG37" s="289">
        <v>10.1752</v>
      </c>
      <c r="NH37" s="293"/>
      <c r="NI37" s="289">
        <v>9.5158000000000005</v>
      </c>
      <c r="NJ37" s="293"/>
      <c r="NK37" s="289">
        <v>9.7498000000000005</v>
      </c>
      <c r="NL37" s="293"/>
      <c r="NM37" s="289">
        <v>9.4260000000000002</v>
      </c>
      <c r="NN37" s="289">
        <v>9.3818999999999999</v>
      </c>
      <c r="NO37" s="297"/>
      <c r="NP37" s="185">
        <v>9.6356999999999999</v>
      </c>
      <c r="NQ37" s="297"/>
      <c r="NR37" s="289">
        <v>9.5221999999999998</v>
      </c>
      <c r="NS37" s="185">
        <v>31</v>
      </c>
      <c r="NT37" s="1"/>
      <c r="NU37" s="1"/>
      <c r="NV37" s="185">
        <v>31</v>
      </c>
      <c r="NW37" s="289">
        <v>8.4640000000000004</v>
      </c>
      <c r="NX37" s="293"/>
      <c r="NY37" s="289">
        <v>8.5165000000000006</v>
      </c>
      <c r="NZ37" s="293"/>
      <c r="OA37" s="289">
        <v>8.7873000000000001</v>
      </c>
      <c r="OB37" s="293"/>
      <c r="OC37" s="289">
        <v>8.9177999999999997</v>
      </c>
      <c r="OD37" s="289">
        <v>9.9600000000000009</v>
      </c>
      <c r="OE37" s="297"/>
      <c r="OF37" s="185">
        <v>10.219799999999999</v>
      </c>
      <c r="OG37" s="297"/>
      <c r="OH37" s="289">
        <v>9.8650000000000002</v>
      </c>
      <c r="OI37" s="185">
        <v>31</v>
      </c>
      <c r="OJ37" s="1"/>
      <c r="OK37" s="1"/>
      <c r="OL37" s="185">
        <v>31</v>
      </c>
      <c r="OM37" s="289">
        <v>7.8392999999999997</v>
      </c>
      <c r="ON37" s="293"/>
      <c r="OO37" s="289">
        <v>7.8905000000000003</v>
      </c>
      <c r="OP37" s="293"/>
      <c r="OQ37" s="289">
        <v>7.9081999999999999</v>
      </c>
      <c r="OR37" s="293"/>
      <c r="OS37" s="289">
        <v>7.8087999999999997</v>
      </c>
      <c r="OT37" s="289">
        <v>7.7746000000000004</v>
      </c>
      <c r="OU37" s="297"/>
      <c r="OV37" s="185">
        <v>8.1033000000000008</v>
      </c>
      <c r="OW37" s="297"/>
      <c r="OX37" s="289">
        <v>8.0832999999999995</v>
      </c>
      <c r="OY37" s="185">
        <v>31</v>
      </c>
      <c r="OZ37" s="1"/>
      <c r="PA37" s="1"/>
      <c r="PB37" s="185">
        <v>31</v>
      </c>
      <c r="PC37" s="289">
        <v>7.3907999999999996</v>
      </c>
      <c r="PD37" s="293"/>
      <c r="PE37" s="289">
        <v>7.5526</v>
      </c>
      <c r="PF37" s="293"/>
      <c r="PG37" s="289">
        <v>7.4095000000000004</v>
      </c>
      <c r="PH37" s="293"/>
      <c r="PI37" s="289">
        <v>7.6135000000000002</v>
      </c>
      <c r="PJ37" s="289">
        <v>7.5205000000000002</v>
      </c>
      <c r="PK37" s="297"/>
      <c r="PL37" s="185">
        <v>7.9172000000000002</v>
      </c>
      <c r="PM37" s="297"/>
      <c r="PN37" s="289">
        <v>7.8509000000000002</v>
      </c>
      <c r="PO37" s="185">
        <v>31</v>
      </c>
      <c r="PP37" s="1"/>
      <c r="PQ37" s="1"/>
      <c r="PR37" s="185">
        <v>31</v>
      </c>
      <c r="PS37" s="289">
        <v>5.6950000000000003</v>
      </c>
      <c r="PT37" s="293"/>
      <c r="PU37" s="289">
        <v>6.8174999999999999</v>
      </c>
      <c r="PV37" s="293"/>
      <c r="PW37" s="289">
        <v>6.1775000000000002</v>
      </c>
      <c r="PX37" s="293"/>
      <c r="PY37" s="289">
        <v>6.0881999999999996</v>
      </c>
      <c r="PZ37" s="289">
        <v>6.3113999999999999</v>
      </c>
      <c r="QA37" s="297"/>
      <c r="QB37" s="185">
        <v>7.1717000000000004</v>
      </c>
      <c r="QC37" s="297"/>
      <c r="QD37" s="289">
        <v>7.6841999999999997</v>
      </c>
      <c r="QE37" s="185">
        <v>31</v>
      </c>
      <c r="QF37" s="1"/>
      <c r="QG37" s="1"/>
      <c r="QH37" s="185">
        <v>31</v>
      </c>
      <c r="QI37" s="289">
        <v>3.1063000000000001</v>
      </c>
      <c r="QJ37" s="293"/>
      <c r="QK37" s="289">
        <v>3.35</v>
      </c>
      <c r="QL37" s="293"/>
      <c r="QM37" s="289">
        <v>3.3144999999999998</v>
      </c>
      <c r="QN37" s="293"/>
      <c r="QO37" s="289">
        <v>3.4005999999999998</v>
      </c>
      <c r="QP37" s="289">
        <v>3.3794</v>
      </c>
      <c r="QQ37" s="297"/>
      <c r="QR37" s="185">
        <v>3.43</v>
      </c>
      <c r="QS37" s="297"/>
      <c r="QT37" s="289">
        <v>4.9400000000000004</v>
      </c>
      <c r="QU37" s="185">
        <v>31</v>
      </c>
      <c r="QV37" s="1"/>
      <c r="QW37" s="1"/>
      <c r="QX37" s="185">
        <v>31</v>
      </c>
      <c r="QY37" s="289">
        <v>3.1030000000000002</v>
      </c>
      <c r="QZ37" s="293"/>
      <c r="RA37" s="289">
        <v>3.0975999999999999</v>
      </c>
      <c r="RB37" s="293"/>
      <c r="RC37" s="289">
        <v>3.1227</v>
      </c>
      <c r="RD37" s="293"/>
      <c r="RE37" s="289">
        <v>3.1204000000000001</v>
      </c>
      <c r="RF37" s="289">
        <v>3.1145</v>
      </c>
      <c r="RG37" s="297"/>
      <c r="RH37" s="185">
        <v>3.1293000000000002</v>
      </c>
      <c r="RI37" s="297"/>
      <c r="RJ37" s="289">
        <v>3.1099000000000001</v>
      </c>
      <c r="RK37" s="185">
        <v>31</v>
      </c>
      <c r="RL37" s="1"/>
      <c r="RM37" s="1"/>
      <c r="RN37" s="185">
        <v>31</v>
      </c>
      <c r="RO37" s="289">
        <v>3.0659999999999998</v>
      </c>
      <c r="RP37" s="293"/>
      <c r="RQ37" s="289">
        <v>3.0834999999999999</v>
      </c>
      <c r="RR37" s="293"/>
      <c r="RS37" s="289">
        <v>3.1168</v>
      </c>
      <c r="RT37" s="293"/>
      <c r="RU37" s="289">
        <v>3.1141000000000001</v>
      </c>
      <c r="RV37" s="289">
        <v>3.081</v>
      </c>
      <c r="RW37" s="297"/>
      <c r="RX37" s="185">
        <v>3.1309</v>
      </c>
      <c r="RY37" s="297"/>
      <c r="RZ37" s="289">
        <v>3.1230000000000002</v>
      </c>
      <c r="SA37" s="185">
        <v>31</v>
      </c>
      <c r="SB37" s="1"/>
      <c r="SC37" s="1"/>
      <c r="SD37" s="185">
        <v>31</v>
      </c>
      <c r="SE37" s="289">
        <v>2.9582000000000002</v>
      </c>
      <c r="SF37" s="293"/>
      <c r="SG37" s="289">
        <v>2.9813999999999998</v>
      </c>
      <c r="SH37" s="293"/>
      <c r="SI37" s="289">
        <v>3.0062000000000002</v>
      </c>
      <c r="SJ37" s="293"/>
      <c r="SK37" s="289">
        <v>3.0306000000000002</v>
      </c>
      <c r="SL37" s="289">
        <v>3.0430000000000001</v>
      </c>
      <c r="SM37" s="297"/>
      <c r="SN37" s="185">
        <v>3.0682</v>
      </c>
      <c r="SO37" s="297"/>
      <c r="SP37" s="289">
        <v>3.0738799999999999</v>
      </c>
      <c r="SQ37" s="185">
        <v>31</v>
      </c>
      <c r="SR37" s="1"/>
      <c r="SS37" s="1"/>
      <c r="ST37" s="185">
        <v>31</v>
      </c>
      <c r="SU37" s="289">
        <v>2.673</v>
      </c>
      <c r="SV37" s="293"/>
      <c r="SW37" s="289">
        <v>2.7320000000000002</v>
      </c>
      <c r="SX37" s="293"/>
      <c r="SY37" s="289">
        <v>2.7930000000000001</v>
      </c>
      <c r="SZ37" s="293"/>
      <c r="TA37" s="289">
        <v>2.8401999999999998</v>
      </c>
      <c r="TB37" s="289">
        <v>2.8666</v>
      </c>
      <c r="TC37" s="297"/>
      <c r="TD37" s="185">
        <v>2.9154</v>
      </c>
      <c r="TE37" s="297"/>
      <c r="TF37" s="289">
        <v>2.9449999999999998</v>
      </c>
      <c r="TG37" s="185">
        <v>31</v>
      </c>
      <c r="TH37" s="1"/>
      <c r="TI37" s="1"/>
      <c r="TJ37" s="185">
        <v>31</v>
      </c>
      <c r="TK37" s="289">
        <v>2.306</v>
      </c>
      <c r="TL37" s="293"/>
      <c r="TM37" s="289">
        <v>2.367</v>
      </c>
      <c r="TN37" s="293"/>
      <c r="TO37" s="289">
        <v>2.4279999999999999</v>
      </c>
      <c r="TP37" s="293"/>
      <c r="TQ37" s="289">
        <v>2.4870000000000001</v>
      </c>
      <c r="TR37" s="289">
        <v>2.52</v>
      </c>
      <c r="TS37" s="297"/>
      <c r="TT37" s="185">
        <v>2.5790000000000002</v>
      </c>
      <c r="TU37" s="297"/>
      <c r="TV37" s="289">
        <v>2.641</v>
      </c>
      <c r="TW37" s="185">
        <v>31</v>
      </c>
    </row>
    <row r="41" spans="2:543" ht="20.100000000000001" customHeight="1">
      <c r="R41" s="1" t="s">
        <v>776</v>
      </c>
      <c r="S41" s="1"/>
      <c r="T41" s="1"/>
      <c r="U41" s="1"/>
      <c r="V41" s="1"/>
      <c r="W41" s="1"/>
      <c r="X41" s="1"/>
      <c r="Y41" s="1"/>
      <c r="Z41" s="1"/>
      <c r="AA41" s="1"/>
      <c r="AB41" s="1"/>
      <c r="AC41" s="1"/>
      <c r="AD41" s="1"/>
      <c r="AE41" s="1"/>
      <c r="AX41" s="1"/>
      <c r="AY41" s="1"/>
      <c r="AZ41" s="1"/>
      <c r="BA41" s="1"/>
      <c r="BB41" s="1"/>
      <c r="BC41" s="1"/>
      <c r="BD41" s="1"/>
      <c r="BE41" s="1"/>
      <c r="BF41" s="1"/>
      <c r="BG41" s="1"/>
      <c r="BH41" s="1"/>
      <c r="BI41" s="1"/>
      <c r="BJ41" s="1"/>
      <c r="BK41" s="1"/>
    </row>
    <row r="42" spans="2:543" ht="20.100000000000001" customHeight="1">
      <c r="R42" s="596" t="s">
        <v>777</v>
      </c>
      <c r="S42" s="596"/>
      <c r="T42" s="596"/>
      <c r="U42" s="596"/>
      <c r="V42" s="596"/>
      <c r="W42" s="596"/>
      <c r="X42" s="596"/>
      <c r="Y42" s="596"/>
      <c r="Z42" s="596"/>
      <c r="AA42" s="596"/>
      <c r="AB42" s="596"/>
      <c r="AC42" s="596"/>
      <c r="AD42" s="596"/>
      <c r="AE42" s="596"/>
      <c r="AX42" s="596"/>
      <c r="AY42" s="596"/>
      <c r="AZ42" s="596"/>
      <c r="BA42" s="596"/>
      <c r="BB42" s="596"/>
      <c r="BC42" s="596"/>
      <c r="BD42" s="596"/>
      <c r="BE42" s="596"/>
      <c r="BF42" s="596"/>
      <c r="BG42" s="596"/>
      <c r="BH42" s="596"/>
      <c r="BI42" s="596"/>
      <c r="BJ42" s="596"/>
      <c r="BK42" s="596"/>
      <c r="BZ42" s="298"/>
    </row>
    <row r="43" spans="2:543" ht="20.100000000000001" customHeight="1">
      <c r="R43" s="596"/>
      <c r="S43" s="596"/>
      <c r="T43" s="596"/>
      <c r="U43" s="596"/>
      <c r="V43" s="596"/>
      <c r="W43" s="596"/>
      <c r="X43" s="596"/>
      <c r="Y43" s="596"/>
      <c r="Z43" s="596"/>
      <c r="AA43" s="596"/>
      <c r="AB43" s="596"/>
      <c r="AC43" s="596"/>
      <c r="AD43" s="596"/>
      <c r="AE43" s="596"/>
      <c r="AX43" s="596"/>
      <c r="AY43" s="596"/>
      <c r="AZ43" s="596"/>
      <c r="BA43" s="596"/>
      <c r="BB43" s="596"/>
      <c r="BC43" s="596"/>
      <c r="BD43" s="596"/>
      <c r="BE43" s="596"/>
      <c r="BF43" s="596"/>
      <c r="BG43" s="596"/>
      <c r="BH43" s="596"/>
      <c r="BI43" s="596"/>
      <c r="BJ43" s="596"/>
      <c r="BK43" s="596"/>
    </row>
    <row r="44" spans="2:543" ht="20.100000000000001" customHeight="1">
      <c r="R44" s="596"/>
      <c r="S44" s="596"/>
      <c r="T44" s="596"/>
      <c r="U44" s="596"/>
      <c r="V44" s="596"/>
      <c r="W44" s="596"/>
      <c r="X44" s="596"/>
      <c r="Y44" s="596"/>
      <c r="Z44" s="596"/>
      <c r="AA44" s="596"/>
      <c r="AB44" s="596"/>
      <c r="AC44" s="596"/>
      <c r="AD44" s="596"/>
      <c r="AE44" s="596"/>
      <c r="AX44" s="596"/>
      <c r="AY44" s="596"/>
      <c r="AZ44" s="596"/>
      <c r="BA44" s="596"/>
      <c r="BB44" s="596"/>
      <c r="BC44" s="596"/>
      <c r="BD44" s="596"/>
      <c r="BE44" s="596"/>
      <c r="BF44" s="596"/>
      <c r="BG44" s="596"/>
      <c r="BH44" s="596"/>
      <c r="BI44" s="596"/>
      <c r="BJ44" s="596"/>
      <c r="BK44" s="596"/>
    </row>
    <row r="45" spans="2:543" ht="20.100000000000001" customHeight="1">
      <c r="R45" s="1"/>
      <c r="S45" s="1"/>
      <c r="T45" s="1"/>
      <c r="U45" s="1"/>
      <c r="V45" s="1"/>
      <c r="W45" s="1"/>
      <c r="X45" s="1"/>
      <c r="Y45" s="1"/>
      <c r="Z45" s="1"/>
      <c r="AA45" s="1"/>
      <c r="AB45" s="1"/>
      <c r="AC45" s="1"/>
      <c r="AD45" s="1"/>
      <c r="AE45" s="1"/>
      <c r="AX45" s="1"/>
      <c r="AY45" s="1"/>
      <c r="AZ45" s="1"/>
      <c r="BA45" s="1"/>
      <c r="BB45" s="1"/>
      <c r="BC45" s="1"/>
      <c r="BD45" s="1"/>
      <c r="BE45" s="1"/>
      <c r="BF45" s="1"/>
      <c r="BG45" s="1"/>
      <c r="BH45" s="1"/>
      <c r="BI45" s="1"/>
      <c r="BJ45" s="1"/>
      <c r="BK45" s="1"/>
    </row>
    <row r="46" spans="2:543" ht="20.100000000000001" customHeight="1">
      <c r="R46" s="1" t="s">
        <v>778</v>
      </c>
      <c r="S46" s="1"/>
      <c r="T46" s="1"/>
      <c r="U46" s="1"/>
      <c r="V46" s="1"/>
      <c r="W46" s="1"/>
      <c r="X46" s="1"/>
      <c r="Y46" s="1"/>
      <c r="Z46" s="1"/>
      <c r="AA46" s="1"/>
      <c r="AB46" s="1"/>
      <c r="AC46" s="1"/>
      <c r="AD46" s="1"/>
      <c r="AE46" s="1"/>
      <c r="AX46" s="1"/>
      <c r="AY46" s="1"/>
      <c r="AZ46" s="1"/>
      <c r="BA46" s="1"/>
      <c r="BB46" s="1"/>
      <c r="BC46" s="1"/>
      <c r="BD46" s="1"/>
      <c r="BE46" s="1"/>
      <c r="BF46" s="1"/>
      <c r="BG46" s="1"/>
      <c r="BH46" s="1"/>
      <c r="BI46" s="1"/>
      <c r="BJ46" s="1"/>
      <c r="BK46" s="1"/>
    </row>
    <row r="47" spans="2:543" ht="20.100000000000001" customHeight="1">
      <c r="R47" s="1" t="s">
        <v>779</v>
      </c>
      <c r="S47" s="1"/>
      <c r="T47" s="1"/>
      <c r="U47" s="1"/>
      <c r="V47" s="1"/>
      <c r="W47" s="1"/>
      <c r="X47" s="1"/>
      <c r="Y47" s="1"/>
      <c r="Z47" s="1"/>
      <c r="AA47" s="1"/>
      <c r="AB47" s="1"/>
      <c r="AC47" s="1"/>
      <c r="AD47" s="1"/>
      <c r="AE47" s="1"/>
      <c r="AX47" s="1"/>
      <c r="AY47" s="1"/>
      <c r="AZ47" s="1"/>
      <c r="BA47" s="1"/>
      <c r="BB47" s="1"/>
      <c r="BC47" s="1"/>
      <c r="BD47" s="1"/>
      <c r="BE47" s="1"/>
      <c r="BF47" s="1"/>
      <c r="BG47" s="1"/>
      <c r="BH47" s="1"/>
      <c r="BI47" s="1"/>
      <c r="BJ47" s="1"/>
      <c r="BK47" s="1"/>
    </row>
  </sheetData>
  <mergeCells count="70">
    <mergeCell ref="R2:AE2"/>
    <mergeCell ref="R3:AE3"/>
    <mergeCell ref="B2:O2"/>
    <mergeCell ref="B3:O3"/>
    <mergeCell ref="AX42:BK44"/>
    <mergeCell ref="AH2:AU2"/>
    <mergeCell ref="AH3:AU3"/>
    <mergeCell ref="R42:AE44"/>
    <mergeCell ref="BN3:CA3"/>
    <mergeCell ref="AX2:BK2"/>
    <mergeCell ref="AX3:BK3"/>
    <mergeCell ref="BN2:CA2"/>
    <mergeCell ref="DZ2:EM2"/>
    <mergeCell ref="DZ3:EM3"/>
    <mergeCell ref="CD2:CQ2"/>
    <mergeCell ref="CD3:CQ3"/>
    <mergeCell ref="CT2:DG2"/>
    <mergeCell ref="CT3:DG3"/>
    <mergeCell ref="DJ2:DW2"/>
    <mergeCell ref="DJ3:DW3"/>
    <mergeCell ref="HB2:HO2"/>
    <mergeCell ref="HR2:IE2"/>
    <mergeCell ref="IH2:IU2"/>
    <mergeCell ref="GL2:GY2"/>
    <mergeCell ref="GL3:GY3"/>
    <mergeCell ref="EP2:FC2"/>
    <mergeCell ref="EP3:FC3"/>
    <mergeCell ref="FF2:FS2"/>
    <mergeCell ref="FF3:FS3"/>
    <mergeCell ref="FV2:GI2"/>
    <mergeCell ref="FV3:GI3"/>
    <mergeCell ref="IX2:JK2"/>
    <mergeCell ref="JN2:KA2"/>
    <mergeCell ref="KD2:KQ2"/>
    <mergeCell ref="KT2:LG2"/>
    <mergeCell ref="LJ2:LW2"/>
    <mergeCell ref="LZ2:MM2"/>
    <mergeCell ref="MP2:NC2"/>
    <mergeCell ref="NF2:NS2"/>
    <mergeCell ref="NV2:OI2"/>
    <mergeCell ref="OL2:OY2"/>
    <mergeCell ref="PB2:PO2"/>
    <mergeCell ref="PR2:QE2"/>
    <mergeCell ref="QH2:QU2"/>
    <mergeCell ref="QX2:RK2"/>
    <mergeCell ref="RN2:SA2"/>
    <mergeCell ref="SD2:SQ2"/>
    <mergeCell ref="ST2:TG2"/>
    <mergeCell ref="TJ2:TW2"/>
    <mergeCell ref="HB3:HO3"/>
    <mergeCell ref="HR3:IE3"/>
    <mergeCell ref="IH3:IU3"/>
    <mergeCell ref="IX3:JK3"/>
    <mergeCell ref="JN3:KA3"/>
    <mergeCell ref="KD3:KQ3"/>
    <mergeCell ref="KT3:LG3"/>
    <mergeCell ref="LJ3:LW3"/>
    <mergeCell ref="LZ3:MM3"/>
    <mergeCell ref="MP3:NC3"/>
    <mergeCell ref="NF3:NS3"/>
    <mergeCell ref="NV3:OI3"/>
    <mergeCell ref="OL3:OY3"/>
    <mergeCell ref="SD3:SQ3"/>
    <mergeCell ref="ST3:TG3"/>
    <mergeCell ref="TJ3:TW3"/>
    <mergeCell ref="PB3:PO3"/>
    <mergeCell ref="PR3:QE3"/>
    <mergeCell ref="QH3:QU3"/>
    <mergeCell ref="QX3:RK3"/>
    <mergeCell ref="RN3:SA3"/>
  </mergeCells>
  <phoneticPr fontId="9" type="noConversion"/>
  <pageMargins left="0.7" right="0.7" top="0.75" bottom="0.75" header="0.3" footer="0.3"/>
  <pageSetup orientation="portrait" horizontalDpi="0"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O29"/>
  <sheetViews>
    <sheetView topLeftCell="F8" zoomScale="80" zoomScaleNormal="80" workbookViewId="0">
      <selection activeCell="H30" sqref="H30"/>
    </sheetView>
  </sheetViews>
  <sheetFormatPr defaultColWidth="9.33203125" defaultRowHeight="20.100000000000001" customHeight="1"/>
  <cols>
    <col min="1" max="1" width="9.33203125" style="12"/>
    <col min="2" max="18" width="11.109375" style="12" customWidth="1"/>
    <col min="19" max="16384" width="9.33203125" style="12"/>
  </cols>
  <sheetData>
    <row r="2" spans="2:15" ht="20.100000000000001" customHeight="1">
      <c r="B2" s="587" t="s">
        <v>780</v>
      </c>
      <c r="C2" s="587"/>
      <c r="D2" s="587"/>
      <c r="E2" s="587"/>
      <c r="F2" s="587"/>
      <c r="G2" s="587"/>
      <c r="H2" s="587"/>
      <c r="I2" s="587"/>
      <c r="J2" s="587"/>
      <c r="K2" s="587"/>
      <c r="L2" s="587"/>
      <c r="M2" s="587"/>
      <c r="N2" s="587"/>
      <c r="O2" s="587"/>
    </row>
    <row r="3" spans="2:15" ht="20.100000000000001" customHeight="1">
      <c r="B3" s="587" t="s">
        <v>781</v>
      </c>
      <c r="C3" s="587"/>
      <c r="D3" s="587"/>
      <c r="E3" s="587"/>
      <c r="F3" s="587"/>
      <c r="G3" s="587"/>
      <c r="H3" s="587"/>
      <c r="I3" s="587"/>
      <c r="J3" s="587"/>
      <c r="K3" s="587"/>
      <c r="L3" s="587"/>
      <c r="M3" s="587"/>
      <c r="N3" s="587"/>
      <c r="O3" s="587"/>
    </row>
    <row r="4" spans="2:15" ht="20.100000000000001" customHeight="1">
      <c r="B4" s="193" t="s">
        <v>782</v>
      </c>
      <c r="C4" s="193" t="s">
        <v>783</v>
      </c>
      <c r="D4" s="193" t="s">
        <v>784</v>
      </c>
      <c r="E4" s="193" t="s">
        <v>785</v>
      </c>
      <c r="F4" s="193" t="s">
        <v>786</v>
      </c>
      <c r="G4" s="193" t="s">
        <v>787</v>
      </c>
      <c r="H4" s="193" t="s">
        <v>788</v>
      </c>
      <c r="I4" s="193" t="s">
        <v>789</v>
      </c>
      <c r="J4" s="193" t="s">
        <v>790</v>
      </c>
      <c r="K4" s="193" t="s">
        <v>791</v>
      </c>
      <c r="L4" s="193" t="s">
        <v>792</v>
      </c>
      <c r="M4" s="193" t="s">
        <v>793</v>
      </c>
      <c r="N4" s="193" t="s">
        <v>794</v>
      </c>
      <c r="O4" s="193" t="s">
        <v>782</v>
      </c>
    </row>
    <row r="5" spans="2:15" ht="20.100000000000001" customHeight="1">
      <c r="B5" s="301">
        <v>2000</v>
      </c>
      <c r="C5" s="310">
        <v>44.930830116377997</v>
      </c>
      <c r="D5" s="310">
        <v>45.329380314521998</v>
      </c>
      <c r="E5" s="310">
        <v>45.580680782035003</v>
      </c>
      <c r="F5" s="310">
        <v>45.840018271642002</v>
      </c>
      <c r="G5" s="310">
        <v>46.011379073729003</v>
      </c>
      <c r="H5" s="310">
        <v>46.283920241006001</v>
      </c>
      <c r="I5" s="310">
        <v>46.464466209717997</v>
      </c>
      <c r="J5" s="310">
        <v>46.719785188278003</v>
      </c>
      <c r="K5" s="310">
        <v>47.061071604014998</v>
      </c>
      <c r="L5" s="310">
        <v>47.385135825852998</v>
      </c>
      <c r="M5" s="310">
        <v>47.790287862832997</v>
      </c>
      <c r="N5" s="310">
        <v>48.307671180741004</v>
      </c>
      <c r="O5" s="301">
        <v>2000</v>
      </c>
    </row>
    <row r="6" spans="2:15" ht="20.100000000000001" customHeight="1">
      <c r="B6" s="301">
        <v>2001</v>
      </c>
      <c r="C6" s="310">
        <v>48.575476247933999</v>
      </c>
      <c r="D6" s="310">
        <v>48.543328159565</v>
      </c>
      <c r="E6" s="310">
        <v>48.850887781723998</v>
      </c>
      <c r="F6" s="310">
        <v>49.097308632382997</v>
      </c>
      <c r="G6" s="310">
        <v>49.209970463624998</v>
      </c>
      <c r="H6" s="310">
        <v>49.326363767191999</v>
      </c>
      <c r="I6" s="310">
        <v>49.198201964029998</v>
      </c>
      <c r="J6" s="310">
        <v>49.489687547186001</v>
      </c>
      <c r="K6" s="310">
        <v>49.950381149771999</v>
      </c>
      <c r="L6" s="310">
        <v>50.176135367754</v>
      </c>
      <c r="M6" s="310">
        <v>50.365148908872001</v>
      </c>
      <c r="N6" s="310">
        <v>50.434898785092997</v>
      </c>
      <c r="O6" s="301">
        <v>2001</v>
      </c>
    </row>
    <row r="7" spans="2:15" ht="20.100000000000001" customHeight="1">
      <c r="B7" s="301">
        <v>2002</v>
      </c>
      <c r="C7" s="310">
        <v>50.900472009715998</v>
      </c>
      <c r="D7" s="310">
        <v>50.867749849081001</v>
      </c>
      <c r="E7" s="310">
        <v>51.127948444495999</v>
      </c>
      <c r="F7" s="310">
        <v>51.407234972562001</v>
      </c>
      <c r="G7" s="310">
        <v>51.511429231397997</v>
      </c>
      <c r="H7" s="310">
        <v>51.762586176958997</v>
      </c>
      <c r="I7" s="310">
        <v>51.911181353361997</v>
      </c>
      <c r="J7" s="310">
        <v>52.108560301263999</v>
      </c>
      <c r="K7" s="310">
        <v>52.421983564994001</v>
      </c>
      <c r="L7" s="310">
        <v>52.653036086686001</v>
      </c>
      <c r="M7" s="310">
        <v>53.078877281373998</v>
      </c>
      <c r="N7" s="310">
        <v>53.309929803065003</v>
      </c>
      <c r="O7" s="301">
        <v>2002</v>
      </c>
    </row>
    <row r="8" spans="2:15" ht="20.100000000000001" customHeight="1">
      <c r="B8" s="301">
        <v>2003</v>
      </c>
      <c r="C8" s="310">
        <v>53.525440675315998</v>
      </c>
      <c r="D8" s="310">
        <v>53.674122454969996</v>
      </c>
      <c r="E8" s="310">
        <v>54.012930412785998</v>
      </c>
      <c r="F8" s="310">
        <v>54.105144199469997</v>
      </c>
      <c r="G8" s="310">
        <v>53.930559670748998</v>
      </c>
      <c r="H8" s="310">
        <v>53.975112399147001</v>
      </c>
      <c r="I8" s="310">
        <v>54.053338701333999</v>
      </c>
      <c r="J8" s="310">
        <v>54.215489910502001</v>
      </c>
      <c r="K8" s="310">
        <v>54.538238163896999</v>
      </c>
      <c r="L8" s="310">
        <v>54.738207386707003</v>
      </c>
      <c r="M8" s="310">
        <v>55.192541605370003</v>
      </c>
      <c r="N8" s="310">
        <v>55.429810786837997</v>
      </c>
      <c r="O8" s="301">
        <v>2003</v>
      </c>
    </row>
    <row r="9" spans="2:15" ht="20.100000000000001" customHeight="1">
      <c r="B9" s="301">
        <v>2004</v>
      </c>
      <c r="C9" s="310">
        <v>55.774317349450001</v>
      </c>
      <c r="D9" s="310">
        <v>56.107944757452998</v>
      </c>
      <c r="E9" s="310">
        <v>56.298070935616998</v>
      </c>
      <c r="F9" s="310">
        <v>56.383031952562</v>
      </c>
      <c r="G9" s="310">
        <v>56.241602942646999</v>
      </c>
      <c r="H9" s="310">
        <v>56.331744509406001</v>
      </c>
      <c r="I9" s="310">
        <v>56.479390179097003</v>
      </c>
      <c r="J9" s="310">
        <v>56.828041181560003</v>
      </c>
      <c r="K9" s="310">
        <v>57.297917049664001</v>
      </c>
      <c r="L9" s="310">
        <v>57.694747165395</v>
      </c>
      <c r="M9" s="310">
        <v>58.186899397696997</v>
      </c>
      <c r="N9" s="310">
        <v>58.307088153376</v>
      </c>
      <c r="O9" s="301">
        <v>2004</v>
      </c>
    </row>
    <row r="10" spans="2:15" ht="20.100000000000001" customHeight="1">
      <c r="B10" s="301">
        <v>2005</v>
      </c>
      <c r="C10" s="310">
        <v>58.309160373300998</v>
      </c>
      <c r="D10" s="310">
        <v>58.503430991316002</v>
      </c>
      <c r="E10" s="310">
        <v>58.767120976834001</v>
      </c>
      <c r="F10" s="310">
        <v>58.976415189308</v>
      </c>
      <c r="G10" s="310">
        <v>58.828251464635997</v>
      </c>
      <c r="H10" s="310">
        <v>58.771783471665998</v>
      </c>
      <c r="I10" s="310">
        <v>59.001799883395002</v>
      </c>
      <c r="J10" s="310">
        <v>59.072255360862002</v>
      </c>
      <c r="K10" s="310">
        <v>59.309006487348</v>
      </c>
      <c r="L10" s="310">
        <v>59.454579937113998</v>
      </c>
      <c r="M10" s="310">
        <v>59.882493351727</v>
      </c>
      <c r="N10" s="310">
        <v>60.250312388501001</v>
      </c>
      <c r="O10" s="301">
        <v>2005</v>
      </c>
    </row>
    <row r="11" spans="2:15" ht="20.100000000000001" customHeight="1">
      <c r="B11" s="301">
        <v>2006</v>
      </c>
      <c r="C11" s="310">
        <v>60.603625885795999</v>
      </c>
      <c r="D11" s="310">
        <v>60.696357727462001</v>
      </c>
      <c r="E11" s="310">
        <v>60.772511809722999</v>
      </c>
      <c r="F11" s="310">
        <v>60.861617266518998</v>
      </c>
      <c r="G11" s="310">
        <v>60.590674511262002</v>
      </c>
      <c r="H11" s="310">
        <v>60.642998064380002</v>
      </c>
      <c r="I11" s="310">
        <v>60.809293713400997</v>
      </c>
      <c r="J11" s="310">
        <v>61.119608647242003</v>
      </c>
      <c r="K11" s="310">
        <v>61.736612130056002</v>
      </c>
      <c r="L11" s="310">
        <v>62.006518775350997</v>
      </c>
      <c r="M11" s="310">
        <v>62.331857303652001</v>
      </c>
      <c r="N11" s="310">
        <v>62.692423570686003</v>
      </c>
      <c r="O11" s="301">
        <v>2006</v>
      </c>
    </row>
    <row r="12" spans="2:15" ht="20.100000000000001" customHeight="1">
      <c r="B12" s="301">
        <v>2007</v>
      </c>
      <c r="C12" s="310">
        <v>63.016207934043997</v>
      </c>
      <c r="D12" s="310">
        <v>63.192346627710997</v>
      </c>
      <c r="E12" s="310">
        <v>63.329113142792998</v>
      </c>
      <c r="F12" s="310">
        <v>63.291295129151997</v>
      </c>
      <c r="G12" s="310">
        <v>62.982534360255002</v>
      </c>
      <c r="H12" s="310">
        <v>63.058170387535</v>
      </c>
      <c r="I12" s="310">
        <v>63.326004812904003</v>
      </c>
      <c r="J12" s="310">
        <v>63.583996193627002</v>
      </c>
      <c r="K12" s="310">
        <v>64.077702590875006</v>
      </c>
      <c r="L12" s="310">
        <v>64.327405091895997</v>
      </c>
      <c r="M12" s="310">
        <v>64.781221255576995</v>
      </c>
      <c r="N12" s="310">
        <v>65.049055680945997</v>
      </c>
      <c r="O12" s="301">
        <v>2007</v>
      </c>
    </row>
    <row r="13" spans="2:15" ht="20.100000000000001" customHeight="1">
      <c r="B13" s="301">
        <v>2008</v>
      </c>
      <c r="C13" s="310">
        <v>65.350563680104003</v>
      </c>
      <c r="D13" s="310">
        <v>65.544834298119</v>
      </c>
      <c r="E13" s="310">
        <v>66.019890716036002</v>
      </c>
      <c r="F13" s="310">
        <v>66.170126660633997</v>
      </c>
      <c r="G13" s="310">
        <v>66.098635073205003</v>
      </c>
      <c r="H13" s="310">
        <v>66.372168103369006</v>
      </c>
      <c r="I13" s="310">
        <v>66.742059360067998</v>
      </c>
      <c r="J13" s="310">
        <v>67.127492266209003</v>
      </c>
      <c r="K13" s="310">
        <v>67.584934814760004</v>
      </c>
      <c r="L13" s="310">
        <v>68.045485693200007</v>
      </c>
      <c r="M13" s="310">
        <v>68.818941780386993</v>
      </c>
      <c r="N13" s="310">
        <v>69.295552363249001</v>
      </c>
      <c r="O13" s="301">
        <v>2008</v>
      </c>
    </row>
    <row r="14" spans="2:15" ht="20.100000000000001" customHeight="1">
      <c r="B14" s="301">
        <v>2009</v>
      </c>
      <c r="C14" s="310">
        <v>69.456149407474001</v>
      </c>
      <c r="D14" s="310">
        <v>69.609493681960004</v>
      </c>
      <c r="E14" s="310">
        <v>70.009950182560999</v>
      </c>
      <c r="F14" s="310">
        <v>70.254990188749005</v>
      </c>
      <c r="G14" s="310">
        <v>70.050358471107998</v>
      </c>
      <c r="H14" s="310">
        <v>70.179354161469007</v>
      </c>
      <c r="I14" s="310">
        <v>70.370516449595002</v>
      </c>
      <c r="J14" s="310">
        <v>70.538884318540994</v>
      </c>
      <c r="K14" s="310">
        <v>70.892715870817995</v>
      </c>
      <c r="L14" s="310">
        <v>71.107190633106001</v>
      </c>
      <c r="M14" s="310">
        <v>71.476045779843005</v>
      </c>
      <c r="N14" s="310">
        <v>71.771855174205001</v>
      </c>
      <c r="O14" s="301">
        <v>2009</v>
      </c>
    </row>
    <row r="15" spans="2:15" ht="20.100000000000001" customHeight="1">
      <c r="B15" s="301">
        <v>2010</v>
      </c>
      <c r="C15" s="310">
        <v>72.552045976151007</v>
      </c>
      <c r="D15" s="310">
        <v>72.971670511062001</v>
      </c>
      <c r="E15" s="310">
        <v>73.489725492434005</v>
      </c>
      <c r="F15" s="310">
        <v>73.255564640854004</v>
      </c>
      <c r="G15" s="310">
        <v>72.793977652452</v>
      </c>
      <c r="H15" s="310">
        <v>72.771183233271003</v>
      </c>
      <c r="I15" s="310">
        <v>72.929190002590005</v>
      </c>
      <c r="J15" s="310">
        <v>73.131749500306</v>
      </c>
      <c r="K15" s="310">
        <v>73.515110186520999</v>
      </c>
      <c r="L15" s="310">
        <v>73.968926350203006</v>
      </c>
      <c r="M15" s="310">
        <v>74.561581248891997</v>
      </c>
      <c r="N15" s="310">
        <v>74.930954450610002</v>
      </c>
      <c r="O15" s="301">
        <v>2010</v>
      </c>
    </row>
    <row r="16" spans="2:15" ht="20.100000000000001" customHeight="1">
      <c r="B16" s="301">
        <v>2011</v>
      </c>
      <c r="C16" s="310">
        <v>75.295991345633993</v>
      </c>
      <c r="D16" s="310">
        <v>75.578460244005001</v>
      </c>
      <c r="E16" s="310">
        <v>75.723450928540998</v>
      </c>
      <c r="F16" s="310">
        <v>75.717440951979995</v>
      </c>
      <c r="G16" s="310">
        <v>75.159264378868997</v>
      </c>
      <c r="H16" s="310">
        <v>75.155508143518006</v>
      </c>
      <c r="I16" s="310">
        <v>75.516106737184003</v>
      </c>
      <c r="J16" s="310">
        <v>75.635555021334994</v>
      </c>
      <c r="K16" s="310">
        <v>75.821113047658997</v>
      </c>
      <c r="L16" s="310">
        <v>76.332712302421996</v>
      </c>
      <c r="M16" s="310">
        <v>77.158332832501998</v>
      </c>
      <c r="N16" s="310">
        <v>77.792385359696993</v>
      </c>
      <c r="O16" s="301">
        <v>2011</v>
      </c>
    </row>
    <row r="17" spans="2:15" ht="20.100000000000001" customHeight="1">
      <c r="B17" s="301">
        <v>2012</v>
      </c>
      <c r="C17" s="310">
        <v>78.343049462107004</v>
      </c>
      <c r="D17" s="310">
        <v>78.502313840976001</v>
      </c>
      <c r="E17" s="310">
        <v>78.547388665184002</v>
      </c>
      <c r="F17" s="310">
        <v>78.300979626179995</v>
      </c>
      <c r="G17" s="310">
        <v>78.053819340104994</v>
      </c>
      <c r="H17" s="310">
        <v>78.413666686699997</v>
      </c>
      <c r="I17" s="310">
        <v>78.853897469800003</v>
      </c>
      <c r="J17" s="310">
        <v>79.090540296892996</v>
      </c>
      <c r="K17" s="310">
        <v>79.439118937436007</v>
      </c>
      <c r="L17" s="310">
        <v>79.841036119959</v>
      </c>
      <c r="M17" s="310">
        <v>80.383436504597995</v>
      </c>
      <c r="N17" s="310">
        <v>80.568243283851004</v>
      </c>
      <c r="O17" s="301">
        <v>2012</v>
      </c>
    </row>
    <row r="18" spans="2:15" ht="20.100000000000001" customHeight="1">
      <c r="B18" s="301">
        <v>2013</v>
      </c>
      <c r="C18" s="310">
        <v>80.892782018150001</v>
      </c>
      <c r="D18" s="310">
        <v>81.290942965322003</v>
      </c>
      <c r="E18" s="310">
        <v>81.887433139010994</v>
      </c>
      <c r="F18" s="310">
        <v>81.941522928061005</v>
      </c>
      <c r="G18" s="310">
        <v>81.668820241600997</v>
      </c>
      <c r="H18" s="310">
        <v>81.619237934972006</v>
      </c>
      <c r="I18" s="310">
        <v>81.592193040447</v>
      </c>
      <c r="J18" s="310">
        <v>81.824328385119003</v>
      </c>
      <c r="K18" s="310">
        <v>82.132339683875003</v>
      </c>
      <c r="L18" s="310">
        <v>82.522988160346003</v>
      </c>
      <c r="M18" s="310">
        <v>83.292265160165996</v>
      </c>
      <c r="N18" s="310">
        <v>83.770058296773001</v>
      </c>
      <c r="O18" s="301">
        <v>2013</v>
      </c>
    </row>
    <row r="19" spans="2:15" ht="20.100000000000001" customHeight="1">
      <c r="B19" s="301">
        <v>2014</v>
      </c>
      <c r="C19" s="310">
        <v>84.519051625699007</v>
      </c>
      <c r="D19" s="310">
        <v>84.733157040687999</v>
      </c>
      <c r="E19" s="310">
        <v>84.965292385360002</v>
      </c>
      <c r="F19" s="310">
        <v>84.806779253561004</v>
      </c>
      <c r="G19" s="310">
        <v>84.535579061242004</v>
      </c>
      <c r="H19" s="310">
        <v>84.682072239918</v>
      </c>
      <c r="I19" s="310">
        <v>84.914958831660996</v>
      </c>
      <c r="J19" s="310">
        <v>85.219965142136004</v>
      </c>
      <c r="K19" s="310">
        <v>85.596339924274005</v>
      </c>
      <c r="L19" s="310">
        <v>86.069625578460005</v>
      </c>
      <c r="M19" s="310">
        <v>86.763777871266001</v>
      </c>
      <c r="N19" s="310">
        <v>87.188983712964003</v>
      </c>
      <c r="O19" s="301">
        <v>2014</v>
      </c>
    </row>
    <row r="20" spans="2:15" ht="20.100000000000001" customHeight="1">
      <c r="B20" s="301">
        <v>2015</v>
      </c>
      <c r="C20" s="310">
        <v>87.110102770598999</v>
      </c>
      <c r="D20" s="310">
        <v>87.275377126028999</v>
      </c>
      <c r="E20" s="310">
        <v>87.630716990203993</v>
      </c>
      <c r="F20" s="310">
        <v>87.403840375022995</v>
      </c>
      <c r="G20" s="310">
        <v>86.967365827272999</v>
      </c>
      <c r="H20" s="310">
        <v>87.113107758880005</v>
      </c>
      <c r="I20" s="310">
        <v>87.240819760803006</v>
      </c>
      <c r="J20" s="310">
        <v>87.424875292986002</v>
      </c>
      <c r="K20" s="310">
        <v>87.752419015566005</v>
      </c>
      <c r="L20" s="310">
        <v>88.203918504718004</v>
      </c>
      <c r="M20" s="310">
        <v>88.685467876675006</v>
      </c>
      <c r="N20" s="310">
        <v>89.046817717411002</v>
      </c>
      <c r="O20" s="301">
        <v>2015</v>
      </c>
    </row>
    <row r="21" spans="2:15" ht="20.100000000000001" customHeight="1">
      <c r="B21" s="301">
        <v>2016</v>
      </c>
      <c r="C21" s="310">
        <v>89.386381393112998</v>
      </c>
      <c r="D21" s="310">
        <v>89.777781116653998</v>
      </c>
      <c r="E21" s="310">
        <v>89.910000600998004</v>
      </c>
      <c r="F21" s="310">
        <v>89.625277961416003</v>
      </c>
      <c r="G21" s="310">
        <v>89.225614520102994</v>
      </c>
      <c r="H21" s="310">
        <v>89.324027886291006</v>
      </c>
      <c r="I21" s="310">
        <v>89.556914478034003</v>
      </c>
      <c r="J21" s="310">
        <v>89.809333493598999</v>
      </c>
      <c r="K21" s="310">
        <v>90.357743854798997</v>
      </c>
      <c r="L21" s="310">
        <v>90.906154215998995</v>
      </c>
      <c r="M21" s="310">
        <v>91.616833944348002</v>
      </c>
      <c r="N21" s="310">
        <v>92.039034797764003</v>
      </c>
      <c r="O21" s="301">
        <v>2016</v>
      </c>
    </row>
    <row r="22" spans="2:15" ht="20.100000000000001" customHeight="1">
      <c r="B22" s="301">
        <v>2017</v>
      </c>
      <c r="C22" s="310">
        <v>93.603882444858996</v>
      </c>
      <c r="D22" s="310">
        <v>94.144780335356998</v>
      </c>
      <c r="E22" s="310">
        <v>94.722489332292</v>
      </c>
      <c r="F22" s="310">
        <v>94.838932628162993</v>
      </c>
      <c r="G22" s="310">
        <v>94.725494320571997</v>
      </c>
      <c r="H22" s="310">
        <v>94.963639641805003</v>
      </c>
      <c r="I22" s="310">
        <v>95.322735741331002</v>
      </c>
      <c r="J22" s="310">
        <v>95.793767654305995</v>
      </c>
      <c r="K22" s="310">
        <v>96.093515235290994</v>
      </c>
      <c r="L22" s="310">
        <v>96.698269126750006</v>
      </c>
      <c r="M22" s="310">
        <v>97.695173988822006</v>
      </c>
      <c r="N22" s="310">
        <v>98.272882985755999</v>
      </c>
      <c r="O22" s="301">
        <v>2017</v>
      </c>
    </row>
    <row r="23" spans="2:15" ht="20.100000000000001" customHeight="1">
      <c r="B23" s="301">
        <v>2018</v>
      </c>
      <c r="C23" s="310">
        <v>98.794999699501005</v>
      </c>
      <c r="D23" s="310">
        <v>99.171374481640001</v>
      </c>
      <c r="E23" s="310">
        <v>99.492156980588007</v>
      </c>
      <c r="F23" s="310">
        <v>99.154847046097004</v>
      </c>
      <c r="G23" s="310">
        <v>98.994080173086999</v>
      </c>
      <c r="H23" s="310">
        <v>99.376464931786998</v>
      </c>
      <c r="I23" s="310">
        <v>99.909099104513999</v>
      </c>
      <c r="J23" s="310">
        <v>100.492</v>
      </c>
      <c r="K23" s="310">
        <v>100.917</v>
      </c>
      <c r="L23" s="310">
        <v>101.44</v>
      </c>
      <c r="M23" s="310">
        <v>102.303</v>
      </c>
      <c r="N23" s="310">
        <v>103.02</v>
      </c>
      <c r="O23" s="301">
        <v>2018</v>
      </c>
    </row>
    <row r="24" spans="2:15" ht="20.100000000000001" customHeight="1">
      <c r="B24" s="301">
        <v>2019</v>
      </c>
      <c r="C24" s="310">
        <v>103.108</v>
      </c>
      <c r="D24" s="310">
        <v>103.07899999999999</v>
      </c>
      <c r="E24" s="310">
        <v>103.476</v>
      </c>
      <c r="F24" s="310">
        <v>103.53100000000001</v>
      </c>
      <c r="G24" s="310">
        <v>103.233</v>
      </c>
      <c r="H24" s="310">
        <v>103.29900000000001</v>
      </c>
      <c r="I24" s="310">
        <v>103.687</v>
      </c>
      <c r="J24" s="310">
        <v>103.67</v>
      </c>
      <c r="K24" s="310">
        <v>103.94199999999999</v>
      </c>
      <c r="L24" s="310">
        <v>104.503</v>
      </c>
      <c r="M24" s="310">
        <v>105.346</v>
      </c>
      <c r="N24" s="310">
        <v>105.934</v>
      </c>
      <c r="O24" s="301">
        <v>2019</v>
      </c>
    </row>
    <row r="25" spans="2:15" ht="20.100000000000001" customHeight="1">
      <c r="B25" s="301">
        <v>2020</v>
      </c>
      <c r="C25" s="310">
        <v>106.447</v>
      </c>
      <c r="D25" s="310">
        <v>106.889</v>
      </c>
      <c r="E25" s="310">
        <v>106.83799999999999</v>
      </c>
      <c r="F25" s="310">
        <v>105.755</v>
      </c>
      <c r="G25" s="310">
        <v>106.16200000000001</v>
      </c>
      <c r="H25" s="310">
        <v>106.74299999999999</v>
      </c>
      <c r="I25" s="310">
        <v>107.444</v>
      </c>
      <c r="J25" s="310">
        <v>107.867</v>
      </c>
      <c r="K25" s="310">
        <v>108.114</v>
      </c>
      <c r="L25" s="310">
        <v>108.774</v>
      </c>
      <c r="M25" s="310">
        <v>108.85599999999999</v>
      </c>
      <c r="N25" s="310">
        <v>109.271</v>
      </c>
      <c r="O25" s="301">
        <v>2020</v>
      </c>
    </row>
    <row r="26" spans="2:15" ht="20.100000000000001" customHeight="1">
      <c r="B26" s="301">
        <v>2021</v>
      </c>
      <c r="C26" s="436">
        <v>110.21</v>
      </c>
      <c r="D26" s="436">
        <v>110.907</v>
      </c>
      <c r="E26" s="436">
        <v>111.824</v>
      </c>
      <c r="F26" s="436">
        <v>112.19</v>
      </c>
      <c r="G26" s="436">
        <v>112.419</v>
      </c>
      <c r="H26" s="436">
        <v>113.018</v>
      </c>
      <c r="I26" s="436">
        <v>113.682</v>
      </c>
      <c r="J26" s="436">
        <v>113.899</v>
      </c>
      <c r="K26" s="436">
        <v>114.601</v>
      </c>
      <c r="L26" s="436">
        <v>115.56100000000001</v>
      </c>
      <c r="M26" s="436">
        <v>116.884</v>
      </c>
      <c r="N26" s="436">
        <v>117.30800000000001</v>
      </c>
      <c r="O26" s="301">
        <v>2021</v>
      </c>
    </row>
    <row r="27" spans="2:15" ht="20.100000000000001" customHeight="1">
      <c r="B27" s="301">
        <v>2022</v>
      </c>
      <c r="C27" s="493">
        <v>118.002</v>
      </c>
      <c r="D27" s="310">
        <v>118.98099999999999</v>
      </c>
      <c r="E27" s="310">
        <v>120.15900000000001</v>
      </c>
      <c r="F27" s="310">
        <v>120.809</v>
      </c>
      <c r="G27" s="310">
        <v>121.02200000000001</v>
      </c>
      <c r="H27" s="310">
        <v>122.044</v>
      </c>
      <c r="I27" s="310">
        <v>122.94799999999999</v>
      </c>
      <c r="J27" s="310">
        <v>123.803</v>
      </c>
      <c r="K27" s="310">
        <v>124.571</v>
      </c>
      <c r="L27" s="310">
        <v>125.276</v>
      </c>
      <c r="M27" s="310">
        <v>125.997</v>
      </c>
      <c r="N27" s="310">
        <v>126.47799999999999</v>
      </c>
      <c r="O27" s="301">
        <v>2022</v>
      </c>
    </row>
    <row r="28" spans="2:15" ht="20.100000000000001" customHeight="1">
      <c r="B28" s="301">
        <v>2023</v>
      </c>
      <c r="C28" s="437">
        <f>+N27</f>
        <v>126.47799999999999</v>
      </c>
      <c r="D28" s="437">
        <f>+C28</f>
        <v>126.47799999999999</v>
      </c>
      <c r="E28" s="437">
        <f t="shared" ref="E28:N28" si="0">+D28</f>
        <v>126.47799999999999</v>
      </c>
      <c r="F28" s="437">
        <f t="shared" si="0"/>
        <v>126.47799999999999</v>
      </c>
      <c r="G28" s="437">
        <f t="shared" si="0"/>
        <v>126.47799999999999</v>
      </c>
      <c r="H28" s="437">
        <f t="shared" si="0"/>
        <v>126.47799999999999</v>
      </c>
      <c r="I28" s="437">
        <f t="shared" si="0"/>
        <v>126.47799999999999</v>
      </c>
      <c r="J28" s="437">
        <f t="shared" si="0"/>
        <v>126.47799999999999</v>
      </c>
      <c r="K28" s="437">
        <f t="shared" si="0"/>
        <v>126.47799999999999</v>
      </c>
      <c r="L28" s="437">
        <f t="shared" si="0"/>
        <v>126.47799999999999</v>
      </c>
      <c r="M28" s="437">
        <f t="shared" si="0"/>
        <v>126.47799999999999</v>
      </c>
      <c r="N28" s="437">
        <f t="shared" si="0"/>
        <v>126.47799999999999</v>
      </c>
      <c r="O28" s="301">
        <v>2023</v>
      </c>
    </row>
    <row r="29" spans="2:15" ht="20.100000000000001" customHeight="1">
      <c r="B29" s="193" t="s">
        <v>782</v>
      </c>
      <c r="C29" s="193" t="s">
        <v>783</v>
      </c>
      <c r="D29" s="193" t="s">
        <v>784</v>
      </c>
      <c r="E29" s="193" t="s">
        <v>785</v>
      </c>
      <c r="F29" s="193" t="s">
        <v>786</v>
      </c>
      <c r="G29" s="193" t="s">
        <v>787</v>
      </c>
      <c r="H29" s="193" t="s">
        <v>788</v>
      </c>
      <c r="I29" s="193" t="s">
        <v>789</v>
      </c>
      <c r="J29" s="193" t="s">
        <v>790</v>
      </c>
      <c r="K29" s="193" t="s">
        <v>791</v>
      </c>
      <c r="L29" s="193" t="s">
        <v>792</v>
      </c>
      <c r="M29" s="193" t="s">
        <v>793</v>
      </c>
      <c r="N29" s="193" t="s">
        <v>794</v>
      </c>
      <c r="O29" s="193" t="s">
        <v>782</v>
      </c>
    </row>
  </sheetData>
  <mergeCells count="2">
    <mergeCell ref="B2:O2"/>
    <mergeCell ref="B3:O3"/>
  </mergeCells>
  <phoneticPr fontId="9" type="noConversion"/>
  <pageMargins left="0.7" right="0.7" top="0.75" bottom="0.75" header="0.3" footer="0.3"/>
  <pageSetup orientation="portrait" horizontalDpi="0" verticalDpi="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C5845-FBEC-5C44-A6D1-0826582A28FF}">
  <dimension ref="A1:O271"/>
  <sheetViews>
    <sheetView workbookViewId="0">
      <pane ySplit="2" topLeftCell="A4" activePane="bottomLeft" state="frozen"/>
      <selection pane="bottomLeft" activeCell="B86" sqref="B86"/>
    </sheetView>
  </sheetViews>
  <sheetFormatPr defaultColWidth="10.6640625" defaultRowHeight="15.95"/>
  <cols>
    <col min="1" max="1" width="14.44140625" style="419" customWidth="1"/>
    <col min="2" max="2" width="43.88671875" style="419" customWidth="1"/>
    <col min="3" max="15" width="14.33203125" style="419" customWidth="1"/>
    <col min="16" max="16384" width="10.6640625" style="419"/>
  </cols>
  <sheetData>
    <row r="1" spans="1:15" ht="17.100000000000001">
      <c r="A1" s="416"/>
      <c r="B1" s="417"/>
      <c r="C1" s="453">
        <v>44562</v>
      </c>
      <c r="D1" s="453">
        <v>44593</v>
      </c>
      <c r="E1" s="453">
        <v>44621</v>
      </c>
      <c r="F1" s="453">
        <v>44652</v>
      </c>
      <c r="G1" s="453">
        <v>44682</v>
      </c>
      <c r="H1" s="453">
        <v>44713</v>
      </c>
      <c r="I1" s="453">
        <v>44743</v>
      </c>
      <c r="J1" s="453">
        <v>44774</v>
      </c>
      <c r="K1" s="453">
        <v>44805</v>
      </c>
      <c r="L1" s="453">
        <v>44835</v>
      </c>
      <c r="M1" s="453">
        <v>44866</v>
      </c>
      <c r="N1" s="453">
        <v>44896</v>
      </c>
      <c r="O1" s="418"/>
    </row>
    <row r="2" spans="1:15" ht="17.100000000000001">
      <c r="A2" s="416" t="s">
        <v>795</v>
      </c>
      <c r="B2" s="420" t="s">
        <v>796</v>
      </c>
      <c r="C2" s="421" t="s">
        <v>797</v>
      </c>
      <c r="D2" s="421" t="s">
        <v>798</v>
      </c>
      <c r="E2" s="421" t="s">
        <v>799</v>
      </c>
      <c r="F2" s="421" t="s">
        <v>800</v>
      </c>
      <c r="G2" s="421" t="s">
        <v>801</v>
      </c>
      <c r="H2" s="421" t="s">
        <v>802</v>
      </c>
      <c r="I2" s="421" t="s">
        <v>803</v>
      </c>
      <c r="J2" s="421" t="s">
        <v>804</v>
      </c>
      <c r="K2" s="421" t="s">
        <v>805</v>
      </c>
      <c r="L2" s="421" t="s">
        <v>806</v>
      </c>
      <c r="M2" s="421" t="s">
        <v>807</v>
      </c>
      <c r="N2" s="421" t="s">
        <v>808</v>
      </c>
      <c r="O2" s="421" t="s">
        <v>809</v>
      </c>
    </row>
    <row r="3" spans="1:15" ht="17.100000000000001">
      <c r="A3" s="416"/>
      <c r="B3" s="422" t="s">
        <v>810</v>
      </c>
      <c r="C3" s="423"/>
      <c r="D3" s="423"/>
      <c r="E3" s="423"/>
      <c r="F3" s="423"/>
      <c r="G3" s="423"/>
      <c r="H3" s="423"/>
      <c r="I3" s="423"/>
      <c r="J3" s="423"/>
      <c r="K3" s="423"/>
      <c r="L3" s="423"/>
      <c r="M3" s="423"/>
      <c r="N3" s="423"/>
      <c r="O3" s="423"/>
    </row>
    <row r="4" spans="1:15" ht="17.100000000000001">
      <c r="A4" s="416"/>
      <c r="B4" s="420" t="s">
        <v>811</v>
      </c>
      <c r="C4" s="423"/>
      <c r="D4" s="423"/>
      <c r="E4" s="423"/>
      <c r="F4" s="423"/>
      <c r="G4" s="423"/>
      <c r="H4" s="423"/>
      <c r="I4" s="423"/>
      <c r="J4" s="423"/>
      <c r="K4" s="423"/>
      <c r="L4" s="423"/>
      <c r="M4" s="423"/>
      <c r="N4" s="423"/>
      <c r="O4" s="423"/>
    </row>
    <row r="5" spans="1:15" ht="17.100000000000001">
      <c r="A5" s="416"/>
      <c r="B5" s="420" t="s">
        <v>812</v>
      </c>
      <c r="C5" s="424"/>
      <c r="D5" s="423"/>
      <c r="E5" s="423"/>
      <c r="F5" s="423"/>
      <c r="G5" s="423"/>
      <c r="H5" s="423"/>
      <c r="I5" s="423"/>
      <c r="J5" s="423"/>
      <c r="K5" s="423"/>
      <c r="L5" s="423"/>
      <c r="M5" s="423"/>
      <c r="N5" s="423"/>
      <c r="O5" s="423"/>
    </row>
    <row r="6" spans="1:15" ht="17.100000000000001">
      <c r="A6" s="425">
        <f>+Cuentas!B7</f>
        <v>1175000</v>
      </c>
      <c r="B6" s="452" t="str">
        <f>+CONCATENATE("        Intereses Bonos - ",A6)</f>
        <v xml:space="preserve">        Intereses Bonos - 1175000</v>
      </c>
      <c r="C6" s="423">
        <f>+SUMIFS('Intereses Percibidos'!$I:$I,'Intereses Percibidos'!$D:$D,"Intereses - Bonds",'Intereses Percibidos'!$B:$B,Rev!$A6,'Intereses Percibidos'!$C:$C,"&gt;="&amp;Rev!C$1,'Intereses Percibidos'!$C:$C,"&lt;="&amp;EOMONTH(Rev!C$1,0))</f>
        <v>0</v>
      </c>
      <c r="D6" s="423">
        <f>+SUMIFS('Intereses Percibidos'!$I:$I,'Intereses Percibidos'!$D:$D,"Intereses - Bonds",'Intereses Percibidos'!$B:$B,Rev!$A6,'Intereses Percibidos'!$C:$C,"&gt;="&amp;Rev!D$1,'Intereses Percibidos'!$C:$C,"&lt;="&amp;EOMONTH(Rev!D$1,0))</f>
        <v>0</v>
      </c>
      <c r="E6" s="423">
        <f>+SUMIFS('Intereses Percibidos'!$I:$I,'Intereses Percibidos'!$D:$D,"Intereses - Bonds",'Intereses Percibidos'!$B:$B,Rev!$A6,'Intereses Percibidos'!$C:$C,"&gt;="&amp;Rev!E$1,'Intereses Percibidos'!$C:$C,"&lt;="&amp;EOMONTH(Rev!E$1,0))</f>
        <v>0</v>
      </c>
      <c r="F6" s="423">
        <f>+SUMIFS('Intereses Percibidos'!$I:$I,'Intereses Percibidos'!$D:$D,"Intereses - Bonds",'Intereses Percibidos'!$B:$B,Rev!$A6,'Intereses Percibidos'!$C:$C,"&gt;="&amp;Rev!F$1,'Intereses Percibidos'!$C:$C,"&lt;="&amp;EOMONTH(Rev!F$1,0))</f>
        <v>0</v>
      </c>
      <c r="G6" s="423">
        <f>+SUMIFS('Intereses Percibidos'!$I:$I,'Intereses Percibidos'!$D:$D,"Intereses - Bonds",'Intereses Percibidos'!$B:$B,Rev!$A6,'Intereses Percibidos'!$C:$C,"&gt;="&amp;Rev!G$1,'Intereses Percibidos'!$C:$C,"&lt;="&amp;EOMONTH(Rev!G$1,0))</f>
        <v>0</v>
      </c>
      <c r="H6" s="423">
        <f>+SUMIFS('Intereses Percibidos'!$I:$I,'Intereses Percibidos'!$D:$D,"Intereses - Bonds",'Intereses Percibidos'!$B:$B,Rev!$A6,'Intereses Percibidos'!$C:$C,"&gt;="&amp;Rev!H$1,'Intereses Percibidos'!$C:$C,"&lt;="&amp;EOMONTH(Rev!H$1,0))</f>
        <v>0</v>
      </c>
      <c r="I6" s="423">
        <f>+SUMIFS('Intereses Percibidos'!$I:$I,'Intereses Percibidos'!$D:$D,"Intereses - Bonds",'Intereses Percibidos'!$B:$B,Rev!$A6,'Intereses Percibidos'!$C:$C,"&gt;="&amp;Rev!I$1,'Intereses Percibidos'!$C:$C,"&lt;="&amp;EOMONTH(Rev!I$1,0))</f>
        <v>0</v>
      </c>
      <c r="J6" s="423">
        <f>+SUMIFS('Intereses Percibidos'!$I:$I,'Intereses Percibidos'!$D:$D,"Intereses - Bonds",'Intereses Percibidos'!$B:$B,Rev!$A6,'Intereses Percibidos'!$C:$C,"&gt;="&amp;Rev!J$1,'Intereses Percibidos'!$C:$C,"&lt;="&amp;EOMONTH(Rev!J$1,0))</f>
        <v>0</v>
      </c>
      <c r="K6" s="423">
        <f>+SUMIFS('Intereses Percibidos'!$I:$I,'Intereses Percibidos'!$D:$D,"Intereses - Bonds",'Intereses Percibidos'!$B:$B,Rev!$A6,'Intereses Percibidos'!$C:$C,"&gt;="&amp;Rev!K$1,'Intereses Percibidos'!$C:$C,"&lt;="&amp;EOMONTH(Rev!K$1,0))</f>
        <v>0</v>
      </c>
      <c r="L6" s="423">
        <f>+SUMIFS('Intereses Percibidos'!$I:$I,'Intereses Percibidos'!$D:$D,"Intereses - Bonds",'Intereses Percibidos'!$B:$B,Rev!$A6,'Intereses Percibidos'!$C:$C,"&gt;="&amp;Rev!L$1,'Intereses Percibidos'!$C:$C,"&lt;="&amp;EOMONTH(Rev!L$1,0))</f>
        <v>0</v>
      </c>
      <c r="M6" s="423">
        <f>+SUMIFS('Intereses Percibidos'!$I:$I,'Intereses Percibidos'!$D:$D,"Intereses - Bonds",'Intereses Percibidos'!$B:$B,Rev!$A6,'Intereses Percibidos'!$C:$C,"&gt;="&amp;Rev!M$1,'Intereses Percibidos'!$C:$C,"&lt;="&amp;EOMONTH(Rev!M$1,0))</f>
        <v>0</v>
      </c>
      <c r="N6" s="423">
        <f>+SUMIFS('Intereses Percibidos'!$I:$I,'Intereses Percibidos'!$D:$D,"Intereses - Bonds",'Intereses Percibidos'!$B:$B,Rev!$A6,'Intereses Percibidos'!$C:$C,"&gt;="&amp;Rev!N$1,'Intereses Percibidos'!$C:$C,"&lt;="&amp;EOMONTH(Rev!N$1,0))</f>
        <v>0</v>
      </c>
      <c r="O6" s="423">
        <f>SUM(C6:N6)</f>
        <v>0</v>
      </c>
    </row>
    <row r="7" spans="1:15" ht="17.100000000000001">
      <c r="A7" s="425">
        <f>+Cuentas!B8</f>
        <v>1179000</v>
      </c>
      <c r="B7" s="452" t="str">
        <f t="shared" ref="B7:B16" si="0">+CONCATENATE("        Intereses Bonos - ",A7)</f>
        <v xml:space="preserve">        Intereses Bonos - 1179000</v>
      </c>
      <c r="C7" s="423">
        <f>+SUMIFS('Intereses Percibidos'!$I:$I,'Intereses Percibidos'!$D:$D,"Intereses - Bonds",'Intereses Percibidos'!$B:$B,Rev!$A7,'Intereses Percibidos'!$C:$C,"&gt;="&amp;Rev!C$1,'Intereses Percibidos'!$C:$C,"&lt;="&amp;EOMONTH(Rev!C$1,0))</f>
        <v>0</v>
      </c>
      <c r="D7" s="423">
        <f>+SUMIFS('Intereses Percibidos'!$I:$I,'Intereses Percibidos'!$D:$D,"Intereses - Bonds",'Intereses Percibidos'!$B:$B,Rev!$A7,'Intereses Percibidos'!$C:$C,"&gt;="&amp;Rev!D$1,'Intereses Percibidos'!$C:$C,"&lt;="&amp;EOMONTH(Rev!D$1,0))</f>
        <v>0</v>
      </c>
      <c r="E7" s="423">
        <f>+SUMIFS('Intereses Percibidos'!$I:$I,'Intereses Percibidos'!$D:$D,"Intereses - Bonds",'Intereses Percibidos'!$B:$B,Rev!$A7,'Intereses Percibidos'!$C:$C,"&gt;="&amp;Rev!E$1,'Intereses Percibidos'!$C:$C,"&lt;="&amp;EOMONTH(Rev!E$1,0))</f>
        <v>0</v>
      </c>
      <c r="F7" s="423">
        <f>+SUMIFS('Intereses Percibidos'!$I:$I,'Intereses Percibidos'!$D:$D,"Intereses - Bonds",'Intereses Percibidos'!$B:$B,Rev!$A7,'Intereses Percibidos'!$C:$C,"&gt;="&amp;Rev!F$1,'Intereses Percibidos'!$C:$C,"&lt;="&amp;EOMONTH(Rev!F$1,0))</f>
        <v>0</v>
      </c>
      <c r="G7" s="423">
        <f>+SUMIFS('Intereses Percibidos'!$I:$I,'Intereses Percibidos'!$D:$D,"Intereses - Bonds",'Intereses Percibidos'!$B:$B,Rev!$A7,'Intereses Percibidos'!$C:$C,"&gt;="&amp;Rev!G$1,'Intereses Percibidos'!$C:$C,"&lt;="&amp;EOMONTH(Rev!G$1,0))</f>
        <v>0</v>
      </c>
      <c r="H7" s="423">
        <f>+SUMIFS('Intereses Percibidos'!$I:$I,'Intereses Percibidos'!$D:$D,"Intereses - Bonds",'Intereses Percibidos'!$B:$B,Rev!$A7,'Intereses Percibidos'!$C:$C,"&gt;="&amp;Rev!H$1,'Intereses Percibidos'!$C:$C,"&lt;="&amp;EOMONTH(Rev!H$1,0))</f>
        <v>0</v>
      </c>
      <c r="I7" s="423">
        <f>+SUMIFS('Intereses Percibidos'!$I:$I,'Intereses Percibidos'!$D:$D,"Intereses - Bonds",'Intereses Percibidos'!$B:$B,Rev!$A7,'Intereses Percibidos'!$C:$C,"&gt;="&amp;Rev!I$1,'Intereses Percibidos'!$C:$C,"&lt;="&amp;EOMONTH(Rev!I$1,0))</f>
        <v>0</v>
      </c>
      <c r="J7" s="423">
        <f>+SUMIFS('Intereses Percibidos'!$I:$I,'Intereses Percibidos'!$D:$D,"Intereses - Bonds",'Intereses Percibidos'!$B:$B,Rev!$A7,'Intereses Percibidos'!$C:$C,"&gt;="&amp;Rev!J$1,'Intereses Percibidos'!$C:$C,"&lt;="&amp;EOMONTH(Rev!J$1,0))</f>
        <v>0</v>
      </c>
      <c r="K7" s="423">
        <f>+SUMIFS('Intereses Percibidos'!$I:$I,'Intereses Percibidos'!$D:$D,"Intereses - Bonds",'Intereses Percibidos'!$B:$B,Rev!$A7,'Intereses Percibidos'!$C:$C,"&gt;="&amp;Rev!K$1,'Intereses Percibidos'!$C:$C,"&lt;="&amp;EOMONTH(Rev!K$1,0))</f>
        <v>0</v>
      </c>
      <c r="L7" s="423">
        <f>+SUMIFS('Intereses Percibidos'!$I:$I,'Intereses Percibidos'!$D:$D,"Intereses - Bonds",'Intereses Percibidos'!$B:$B,Rev!$A7,'Intereses Percibidos'!$C:$C,"&gt;="&amp;Rev!L$1,'Intereses Percibidos'!$C:$C,"&lt;="&amp;EOMONTH(Rev!L$1,0))</f>
        <v>0</v>
      </c>
      <c r="M7" s="423">
        <f>+SUMIFS('Intereses Percibidos'!$I:$I,'Intereses Percibidos'!$D:$D,"Intereses - Bonds",'Intereses Percibidos'!$B:$B,Rev!$A7,'Intereses Percibidos'!$C:$C,"&gt;="&amp;Rev!M$1,'Intereses Percibidos'!$C:$C,"&lt;="&amp;EOMONTH(Rev!M$1,0))</f>
        <v>0</v>
      </c>
      <c r="N7" s="423">
        <f>+SUMIFS('Intereses Percibidos'!$I:$I,'Intereses Percibidos'!$D:$D,"Intereses - Bonds",'Intereses Percibidos'!$B:$B,Rev!$A7,'Intereses Percibidos'!$C:$C,"&gt;="&amp;Rev!N$1,'Intereses Percibidos'!$C:$C,"&lt;="&amp;EOMONTH(Rev!N$1,0))</f>
        <v>0</v>
      </c>
      <c r="O7" s="423">
        <f>SUM(C7:N7)</f>
        <v>0</v>
      </c>
    </row>
    <row r="8" spans="1:15" ht="17.100000000000001">
      <c r="A8" s="425">
        <f>+Cuentas!B9</f>
        <v>1427200</v>
      </c>
      <c r="B8" s="452" t="str">
        <f t="shared" si="0"/>
        <v xml:space="preserve">        Intereses Bonos - 1427200</v>
      </c>
      <c r="C8" s="423">
        <f>+SUMIFS('Intereses Percibidos'!$I:$I,'Intereses Percibidos'!$D:$D,"Intereses - Bonds",'Intereses Percibidos'!$B:$B,Rev!$A8,'Intereses Percibidos'!$C:$C,"&gt;="&amp;Rev!C$1,'Intereses Percibidos'!$C:$C,"&lt;="&amp;EOMONTH(Rev!C$1,0))</f>
        <v>0</v>
      </c>
      <c r="D8" s="423">
        <f>+SUMIFS('Intereses Percibidos'!$I:$I,'Intereses Percibidos'!$D:$D,"Intereses - Bonds",'Intereses Percibidos'!$B:$B,Rev!$A8,'Intereses Percibidos'!$C:$C,"&gt;="&amp;Rev!D$1,'Intereses Percibidos'!$C:$C,"&lt;="&amp;EOMONTH(Rev!D$1,0))</f>
        <v>0</v>
      </c>
      <c r="E8" s="423">
        <f>+SUMIFS('Intereses Percibidos'!$I:$I,'Intereses Percibidos'!$D:$D,"Intereses - Bonds",'Intereses Percibidos'!$B:$B,Rev!$A8,'Intereses Percibidos'!$C:$C,"&gt;="&amp;Rev!E$1,'Intereses Percibidos'!$C:$C,"&lt;="&amp;EOMONTH(Rev!E$1,0))</f>
        <v>0</v>
      </c>
      <c r="F8" s="423">
        <f>+SUMIFS('Intereses Percibidos'!$I:$I,'Intereses Percibidos'!$D:$D,"Intereses - Bonds",'Intereses Percibidos'!$B:$B,Rev!$A8,'Intereses Percibidos'!$C:$C,"&gt;="&amp;Rev!F$1,'Intereses Percibidos'!$C:$C,"&lt;="&amp;EOMONTH(Rev!F$1,0))</f>
        <v>0</v>
      </c>
      <c r="G8" s="423">
        <f>+SUMIFS('Intereses Percibidos'!$I:$I,'Intereses Percibidos'!$D:$D,"Intereses - Bonds",'Intereses Percibidos'!$B:$B,Rev!$A8,'Intereses Percibidos'!$C:$C,"&gt;="&amp;Rev!G$1,'Intereses Percibidos'!$C:$C,"&lt;="&amp;EOMONTH(Rev!G$1,0))</f>
        <v>0</v>
      </c>
      <c r="H8" s="423">
        <f>+SUMIFS('Intereses Percibidos'!$I:$I,'Intereses Percibidos'!$D:$D,"Intereses - Bonds",'Intereses Percibidos'!$B:$B,Rev!$A8,'Intereses Percibidos'!$C:$C,"&gt;="&amp;Rev!H$1,'Intereses Percibidos'!$C:$C,"&lt;="&amp;EOMONTH(Rev!H$1,0))</f>
        <v>0</v>
      </c>
      <c r="I8" s="423">
        <f>+SUMIFS('Intereses Percibidos'!$I:$I,'Intereses Percibidos'!$D:$D,"Intereses - Bonds",'Intereses Percibidos'!$B:$B,Rev!$A8,'Intereses Percibidos'!$C:$C,"&gt;="&amp;Rev!I$1,'Intereses Percibidos'!$C:$C,"&lt;="&amp;EOMONTH(Rev!I$1,0))</f>
        <v>0</v>
      </c>
      <c r="J8" s="423">
        <f>+SUMIFS('Intereses Percibidos'!$I:$I,'Intereses Percibidos'!$D:$D,"Intereses - Bonds",'Intereses Percibidos'!$B:$B,Rev!$A8,'Intereses Percibidos'!$C:$C,"&gt;="&amp;Rev!J$1,'Intereses Percibidos'!$C:$C,"&lt;="&amp;EOMONTH(Rev!J$1,0))</f>
        <v>0</v>
      </c>
      <c r="K8" s="423">
        <f>+SUMIFS('Intereses Percibidos'!$I:$I,'Intereses Percibidos'!$D:$D,"Intereses - Bonds",'Intereses Percibidos'!$B:$B,Rev!$A8,'Intereses Percibidos'!$C:$C,"&gt;="&amp;Rev!K$1,'Intereses Percibidos'!$C:$C,"&lt;="&amp;EOMONTH(Rev!K$1,0))</f>
        <v>0</v>
      </c>
      <c r="L8" s="423">
        <f>+SUMIFS('Intereses Percibidos'!$I:$I,'Intereses Percibidos'!$D:$D,"Intereses - Bonds",'Intereses Percibidos'!$B:$B,Rev!$A8,'Intereses Percibidos'!$C:$C,"&gt;="&amp;Rev!L$1,'Intereses Percibidos'!$C:$C,"&lt;="&amp;EOMONTH(Rev!L$1,0))</f>
        <v>0</v>
      </c>
      <c r="M8" s="423">
        <f>+SUMIFS('Intereses Percibidos'!$I:$I,'Intereses Percibidos'!$D:$D,"Intereses - Bonds",'Intereses Percibidos'!$B:$B,Rev!$A8,'Intereses Percibidos'!$C:$C,"&gt;="&amp;Rev!M$1,'Intereses Percibidos'!$C:$C,"&lt;="&amp;EOMONTH(Rev!M$1,0))</f>
        <v>0</v>
      </c>
      <c r="N8" s="423">
        <f>+SUMIFS('Intereses Percibidos'!$I:$I,'Intereses Percibidos'!$D:$D,"Intereses - Bonds",'Intereses Percibidos'!$B:$B,Rev!$A8,'Intereses Percibidos'!$C:$C,"&gt;="&amp;Rev!N$1,'Intereses Percibidos'!$C:$C,"&lt;="&amp;EOMONTH(Rev!N$1,0))</f>
        <v>0</v>
      </c>
      <c r="O8" s="423">
        <f t="shared" ref="O8:O16" si="1">SUM(C8:N8)</f>
        <v>0</v>
      </c>
    </row>
    <row r="9" spans="1:15" ht="17.100000000000001">
      <c r="A9" s="425" t="str">
        <f>+Cuentas!B10</f>
        <v>B22235000</v>
      </c>
      <c r="B9" s="452" t="str">
        <f t="shared" si="0"/>
        <v xml:space="preserve">        Intereses Bonos - B22235000</v>
      </c>
      <c r="C9" s="423">
        <f>+SUMIFS('Intereses Percibidos'!$I:$I,'Intereses Percibidos'!$D:$D,"Intereses - Bonds",'Intereses Percibidos'!$B:$B,Rev!$A9,'Intereses Percibidos'!$C:$C,"&gt;="&amp;Rev!C$1,'Intereses Percibidos'!$C:$C,"&lt;="&amp;EOMONTH(Rev!C$1,0))</f>
        <v>0</v>
      </c>
      <c r="D9" s="423">
        <f>+SUMIFS('Intereses Percibidos'!$I:$I,'Intereses Percibidos'!$D:$D,"Intereses - Bonds",'Intereses Percibidos'!$B:$B,Rev!$A9,'Intereses Percibidos'!$C:$C,"&gt;="&amp;Rev!D$1,'Intereses Percibidos'!$C:$C,"&lt;="&amp;EOMONTH(Rev!D$1,0))</f>
        <v>0</v>
      </c>
      <c r="E9" s="423">
        <f>+SUMIFS('Intereses Percibidos'!$I:$I,'Intereses Percibidos'!$D:$D,"Intereses - Bonds",'Intereses Percibidos'!$B:$B,Rev!$A9,'Intereses Percibidos'!$C:$C,"&gt;="&amp;Rev!E$1,'Intereses Percibidos'!$C:$C,"&lt;="&amp;EOMONTH(Rev!E$1,0))</f>
        <v>0</v>
      </c>
      <c r="F9" s="423">
        <f>+SUMIFS('Intereses Percibidos'!$I:$I,'Intereses Percibidos'!$D:$D,"Intereses - Bonds",'Intereses Percibidos'!$B:$B,Rev!$A9,'Intereses Percibidos'!$C:$C,"&gt;="&amp;Rev!F$1,'Intereses Percibidos'!$C:$C,"&lt;="&amp;EOMONTH(Rev!F$1,0))</f>
        <v>0</v>
      </c>
      <c r="G9" s="423">
        <f>+SUMIFS('Intereses Percibidos'!$I:$I,'Intereses Percibidos'!$D:$D,"Intereses - Bonds",'Intereses Percibidos'!$B:$B,Rev!$A9,'Intereses Percibidos'!$C:$C,"&gt;="&amp;Rev!G$1,'Intereses Percibidos'!$C:$C,"&lt;="&amp;EOMONTH(Rev!G$1,0))</f>
        <v>0</v>
      </c>
      <c r="H9" s="423">
        <f>+SUMIFS('Intereses Percibidos'!$I:$I,'Intereses Percibidos'!$D:$D,"Intereses - Bonds",'Intereses Percibidos'!$B:$B,Rev!$A9,'Intereses Percibidos'!$C:$C,"&gt;="&amp;Rev!H$1,'Intereses Percibidos'!$C:$C,"&lt;="&amp;EOMONTH(Rev!H$1,0))</f>
        <v>0</v>
      </c>
      <c r="I9" s="423">
        <f>+SUMIFS('Intereses Percibidos'!$I:$I,'Intereses Percibidos'!$D:$D,"Intereses - Bonds",'Intereses Percibidos'!$B:$B,Rev!$A9,'Intereses Percibidos'!$C:$C,"&gt;="&amp;Rev!I$1,'Intereses Percibidos'!$C:$C,"&lt;="&amp;EOMONTH(Rev!I$1,0))</f>
        <v>0</v>
      </c>
      <c r="J9" s="423">
        <f>+SUMIFS('Intereses Percibidos'!$I:$I,'Intereses Percibidos'!$D:$D,"Intereses - Bonds",'Intereses Percibidos'!$B:$B,Rev!$A9,'Intereses Percibidos'!$C:$C,"&gt;="&amp;Rev!J$1,'Intereses Percibidos'!$C:$C,"&lt;="&amp;EOMONTH(Rev!J$1,0))</f>
        <v>0</v>
      </c>
      <c r="K9" s="423">
        <f>+SUMIFS('Intereses Percibidos'!$I:$I,'Intereses Percibidos'!$D:$D,"Intereses - Bonds",'Intereses Percibidos'!$B:$B,Rev!$A9,'Intereses Percibidos'!$C:$C,"&gt;="&amp;Rev!K$1,'Intereses Percibidos'!$C:$C,"&lt;="&amp;EOMONTH(Rev!K$1,0))</f>
        <v>0</v>
      </c>
      <c r="L9" s="423">
        <f>+SUMIFS('Intereses Percibidos'!$I:$I,'Intereses Percibidos'!$D:$D,"Intereses - Bonds",'Intereses Percibidos'!$B:$B,Rev!$A9,'Intereses Percibidos'!$C:$C,"&gt;="&amp;Rev!L$1,'Intereses Percibidos'!$C:$C,"&lt;="&amp;EOMONTH(Rev!L$1,0))</f>
        <v>0</v>
      </c>
      <c r="M9" s="423">
        <f>+SUMIFS('Intereses Percibidos'!$I:$I,'Intereses Percibidos'!$D:$D,"Intereses - Bonds",'Intereses Percibidos'!$B:$B,Rev!$A9,'Intereses Percibidos'!$C:$C,"&gt;="&amp;Rev!M$1,'Intereses Percibidos'!$C:$C,"&lt;="&amp;EOMONTH(Rev!M$1,0))</f>
        <v>0</v>
      </c>
      <c r="N9" s="423">
        <f>+SUMIFS('Intereses Percibidos'!$I:$I,'Intereses Percibidos'!$D:$D,"Intereses - Bonds",'Intereses Percibidos'!$B:$B,Rev!$A9,'Intereses Percibidos'!$C:$C,"&gt;="&amp;Rev!N$1,'Intereses Percibidos'!$C:$C,"&lt;="&amp;EOMONTH(Rev!N$1,0))</f>
        <v>0</v>
      </c>
      <c r="O9" s="423">
        <f t="shared" si="1"/>
        <v>0</v>
      </c>
    </row>
    <row r="10" spans="1:15" ht="17.100000000000001">
      <c r="A10" s="425">
        <f>+Cuentas!B11</f>
        <v>700833580</v>
      </c>
      <c r="B10" s="452" t="str">
        <f t="shared" si="0"/>
        <v xml:space="preserve">        Intereses Bonos - 700833580</v>
      </c>
      <c r="C10" s="423">
        <f>+SUMIFS('Intereses Percibidos'!$I:$I,'Intereses Percibidos'!$D:$D,"Intereses - Bonds",'Intereses Percibidos'!$B:$B,Rev!$A10,'Intereses Percibidos'!$C:$C,"&gt;="&amp;Rev!C$1,'Intereses Percibidos'!$C:$C,"&lt;="&amp;EOMONTH(Rev!C$1,0))</f>
        <v>0</v>
      </c>
      <c r="D10" s="423">
        <f>+SUMIFS('Intereses Percibidos'!$I:$I,'Intereses Percibidos'!$D:$D,"Intereses - Bonds",'Intereses Percibidos'!$B:$B,Rev!$A10,'Intereses Percibidos'!$C:$C,"&gt;="&amp;Rev!D$1,'Intereses Percibidos'!$C:$C,"&lt;="&amp;EOMONTH(Rev!D$1,0))</f>
        <v>0</v>
      </c>
      <c r="E10" s="423">
        <f>+SUMIFS('Intereses Percibidos'!$I:$I,'Intereses Percibidos'!$D:$D,"Intereses - Bonds",'Intereses Percibidos'!$B:$B,Rev!$A10,'Intereses Percibidos'!$C:$C,"&gt;="&amp;Rev!E$1,'Intereses Percibidos'!$C:$C,"&lt;="&amp;EOMONTH(Rev!E$1,0))</f>
        <v>0</v>
      </c>
      <c r="F10" s="423">
        <f>+SUMIFS('Intereses Percibidos'!$I:$I,'Intereses Percibidos'!$D:$D,"Intereses - Bonds",'Intereses Percibidos'!$B:$B,Rev!$A10,'Intereses Percibidos'!$C:$C,"&gt;="&amp;Rev!F$1,'Intereses Percibidos'!$C:$C,"&lt;="&amp;EOMONTH(Rev!F$1,0))</f>
        <v>0</v>
      </c>
      <c r="G10" s="423">
        <f>+SUMIFS('Intereses Percibidos'!$I:$I,'Intereses Percibidos'!$D:$D,"Intereses - Bonds",'Intereses Percibidos'!$B:$B,Rev!$A10,'Intereses Percibidos'!$C:$C,"&gt;="&amp;Rev!G$1,'Intereses Percibidos'!$C:$C,"&lt;="&amp;EOMONTH(Rev!G$1,0))</f>
        <v>0</v>
      </c>
      <c r="H10" s="423">
        <f>+SUMIFS('Intereses Percibidos'!$I:$I,'Intereses Percibidos'!$D:$D,"Intereses - Bonds",'Intereses Percibidos'!$B:$B,Rev!$A10,'Intereses Percibidos'!$C:$C,"&gt;="&amp;Rev!H$1,'Intereses Percibidos'!$C:$C,"&lt;="&amp;EOMONTH(Rev!H$1,0))</f>
        <v>0</v>
      </c>
      <c r="I10" s="423">
        <f>+SUMIFS('Intereses Percibidos'!$I:$I,'Intereses Percibidos'!$D:$D,"Intereses - Bonds",'Intereses Percibidos'!$B:$B,Rev!$A10,'Intereses Percibidos'!$C:$C,"&gt;="&amp;Rev!I$1,'Intereses Percibidos'!$C:$C,"&lt;="&amp;EOMONTH(Rev!I$1,0))</f>
        <v>0</v>
      </c>
      <c r="J10" s="423">
        <f>+SUMIFS('Intereses Percibidos'!$I:$I,'Intereses Percibidos'!$D:$D,"Intereses - Bonds",'Intereses Percibidos'!$B:$B,Rev!$A10,'Intereses Percibidos'!$C:$C,"&gt;="&amp;Rev!J$1,'Intereses Percibidos'!$C:$C,"&lt;="&amp;EOMONTH(Rev!J$1,0))</f>
        <v>0</v>
      </c>
      <c r="K10" s="423">
        <f>+SUMIFS('Intereses Percibidos'!$I:$I,'Intereses Percibidos'!$D:$D,"Intereses - Bonds",'Intereses Percibidos'!$B:$B,Rev!$A10,'Intereses Percibidos'!$C:$C,"&gt;="&amp;Rev!K$1,'Intereses Percibidos'!$C:$C,"&lt;="&amp;EOMONTH(Rev!K$1,0))</f>
        <v>0</v>
      </c>
      <c r="L10" s="423">
        <f>+SUMIFS('Intereses Percibidos'!$I:$I,'Intereses Percibidos'!$D:$D,"Intereses - Bonds",'Intereses Percibidos'!$B:$B,Rev!$A10,'Intereses Percibidos'!$C:$C,"&gt;="&amp;Rev!L$1,'Intereses Percibidos'!$C:$C,"&lt;="&amp;EOMONTH(Rev!L$1,0))</f>
        <v>0</v>
      </c>
      <c r="M10" s="423">
        <f>+SUMIFS('Intereses Percibidos'!$I:$I,'Intereses Percibidos'!$D:$D,"Intereses - Bonds",'Intereses Percibidos'!$B:$B,Rev!$A10,'Intereses Percibidos'!$C:$C,"&gt;="&amp;Rev!M$1,'Intereses Percibidos'!$C:$C,"&lt;="&amp;EOMONTH(Rev!M$1,0))</f>
        <v>0</v>
      </c>
      <c r="N10" s="423">
        <f>+SUMIFS('Intereses Percibidos'!$I:$I,'Intereses Percibidos'!$D:$D,"Intereses - Bonds",'Intereses Percibidos'!$B:$B,Rev!$A10,'Intereses Percibidos'!$C:$C,"&gt;="&amp;Rev!N$1,'Intereses Percibidos'!$C:$C,"&lt;="&amp;EOMONTH(Rev!N$1,0))</f>
        <v>0</v>
      </c>
      <c r="O10" s="423">
        <f t="shared" si="1"/>
        <v>0</v>
      </c>
    </row>
    <row r="11" spans="1:15" ht="17.100000000000001">
      <c r="A11" s="425" t="str">
        <f>+Cuentas!B12</f>
        <v>F</v>
      </c>
      <c r="B11" s="452" t="str">
        <f t="shared" si="0"/>
        <v xml:space="preserve">        Intereses Bonos - F</v>
      </c>
      <c r="C11" s="423">
        <f>+SUMIFS('Intereses Percibidos'!$I:$I,'Intereses Percibidos'!$D:$D,"Intereses - Bonds",'Intereses Percibidos'!$B:$B,Rev!$A11,'Intereses Percibidos'!$C:$C,"&gt;="&amp;Rev!C$1,'Intereses Percibidos'!$C:$C,"&lt;="&amp;EOMONTH(Rev!C$1,0))</f>
        <v>0</v>
      </c>
      <c r="D11" s="423">
        <f>+SUMIFS('Intereses Percibidos'!$I:$I,'Intereses Percibidos'!$D:$D,"Intereses - Bonds",'Intereses Percibidos'!$B:$B,Rev!$A11,'Intereses Percibidos'!$C:$C,"&gt;="&amp;Rev!D$1,'Intereses Percibidos'!$C:$C,"&lt;="&amp;EOMONTH(Rev!D$1,0))</f>
        <v>0</v>
      </c>
      <c r="E11" s="423">
        <f>+SUMIFS('Intereses Percibidos'!$I:$I,'Intereses Percibidos'!$D:$D,"Intereses - Bonds",'Intereses Percibidos'!$B:$B,Rev!$A11,'Intereses Percibidos'!$C:$C,"&gt;="&amp;Rev!E$1,'Intereses Percibidos'!$C:$C,"&lt;="&amp;EOMONTH(Rev!E$1,0))</f>
        <v>0</v>
      </c>
      <c r="F11" s="423">
        <f>+SUMIFS('Intereses Percibidos'!$I:$I,'Intereses Percibidos'!$D:$D,"Intereses - Bonds",'Intereses Percibidos'!$B:$B,Rev!$A11,'Intereses Percibidos'!$C:$C,"&gt;="&amp;Rev!F$1,'Intereses Percibidos'!$C:$C,"&lt;="&amp;EOMONTH(Rev!F$1,0))</f>
        <v>0</v>
      </c>
      <c r="G11" s="423">
        <f>+SUMIFS('Intereses Percibidos'!$I:$I,'Intereses Percibidos'!$D:$D,"Intereses - Bonds",'Intereses Percibidos'!$B:$B,Rev!$A11,'Intereses Percibidos'!$C:$C,"&gt;="&amp;Rev!G$1,'Intereses Percibidos'!$C:$C,"&lt;="&amp;EOMONTH(Rev!G$1,0))</f>
        <v>0</v>
      </c>
      <c r="H11" s="423">
        <f>+SUMIFS('Intereses Percibidos'!$I:$I,'Intereses Percibidos'!$D:$D,"Intereses - Bonds",'Intereses Percibidos'!$B:$B,Rev!$A11,'Intereses Percibidos'!$C:$C,"&gt;="&amp;Rev!H$1,'Intereses Percibidos'!$C:$C,"&lt;="&amp;EOMONTH(Rev!H$1,0))</f>
        <v>0</v>
      </c>
      <c r="I11" s="423">
        <f>+SUMIFS('Intereses Percibidos'!$I:$I,'Intereses Percibidos'!$D:$D,"Intereses - Bonds",'Intereses Percibidos'!$B:$B,Rev!$A11,'Intereses Percibidos'!$C:$C,"&gt;="&amp;Rev!I$1,'Intereses Percibidos'!$C:$C,"&lt;="&amp;EOMONTH(Rev!I$1,0))</f>
        <v>0</v>
      </c>
      <c r="J11" s="423">
        <f>+SUMIFS('Intereses Percibidos'!$I:$I,'Intereses Percibidos'!$D:$D,"Intereses - Bonds",'Intereses Percibidos'!$B:$B,Rev!$A11,'Intereses Percibidos'!$C:$C,"&gt;="&amp;Rev!J$1,'Intereses Percibidos'!$C:$C,"&lt;="&amp;EOMONTH(Rev!J$1,0))</f>
        <v>0</v>
      </c>
      <c r="K11" s="423">
        <f>+SUMIFS('Intereses Percibidos'!$I:$I,'Intereses Percibidos'!$D:$D,"Intereses - Bonds",'Intereses Percibidos'!$B:$B,Rev!$A11,'Intereses Percibidos'!$C:$C,"&gt;="&amp;Rev!K$1,'Intereses Percibidos'!$C:$C,"&lt;="&amp;EOMONTH(Rev!K$1,0))</f>
        <v>0</v>
      </c>
      <c r="L11" s="423">
        <f>+SUMIFS('Intereses Percibidos'!$I:$I,'Intereses Percibidos'!$D:$D,"Intereses - Bonds",'Intereses Percibidos'!$B:$B,Rev!$A11,'Intereses Percibidos'!$C:$C,"&gt;="&amp;Rev!L$1,'Intereses Percibidos'!$C:$C,"&lt;="&amp;EOMONTH(Rev!L$1,0))</f>
        <v>0</v>
      </c>
      <c r="M11" s="423">
        <f>+SUMIFS('Intereses Percibidos'!$I:$I,'Intereses Percibidos'!$D:$D,"Intereses - Bonds",'Intereses Percibidos'!$B:$B,Rev!$A11,'Intereses Percibidos'!$C:$C,"&gt;="&amp;Rev!M$1,'Intereses Percibidos'!$C:$C,"&lt;="&amp;EOMONTH(Rev!M$1,0))</f>
        <v>0</v>
      </c>
      <c r="N11" s="423">
        <f>+SUMIFS('Intereses Percibidos'!$I:$I,'Intereses Percibidos'!$D:$D,"Intereses - Bonds",'Intereses Percibidos'!$B:$B,Rev!$A11,'Intereses Percibidos'!$C:$C,"&gt;="&amp;Rev!N$1,'Intereses Percibidos'!$C:$C,"&lt;="&amp;EOMONTH(Rev!N$1,0))</f>
        <v>0</v>
      </c>
      <c r="O11" s="423">
        <f t="shared" si="1"/>
        <v>0</v>
      </c>
    </row>
    <row r="12" spans="1:15" ht="17.100000000000001">
      <c r="A12" s="425" t="str">
        <f>+Cuentas!B13</f>
        <v>G</v>
      </c>
      <c r="B12" s="452" t="str">
        <f t="shared" si="0"/>
        <v xml:space="preserve">        Intereses Bonos - G</v>
      </c>
      <c r="C12" s="423">
        <f>+SUMIFS('Intereses Percibidos'!$I:$I,'Intereses Percibidos'!$D:$D,"Intereses - Bonds",'Intereses Percibidos'!$B:$B,Rev!$A12,'Intereses Percibidos'!$C:$C,"&gt;="&amp;Rev!C$1,'Intereses Percibidos'!$C:$C,"&lt;="&amp;EOMONTH(Rev!C$1,0))</f>
        <v>0</v>
      </c>
      <c r="D12" s="423">
        <f>+SUMIFS('Intereses Percibidos'!$I:$I,'Intereses Percibidos'!$D:$D,"Intereses - Bonds",'Intereses Percibidos'!$B:$B,Rev!$A12,'Intereses Percibidos'!$C:$C,"&gt;="&amp;Rev!D$1,'Intereses Percibidos'!$C:$C,"&lt;="&amp;EOMONTH(Rev!D$1,0))</f>
        <v>0</v>
      </c>
      <c r="E12" s="423">
        <f>+SUMIFS('Intereses Percibidos'!$I:$I,'Intereses Percibidos'!$D:$D,"Intereses - Bonds",'Intereses Percibidos'!$B:$B,Rev!$A12,'Intereses Percibidos'!$C:$C,"&gt;="&amp;Rev!E$1,'Intereses Percibidos'!$C:$C,"&lt;="&amp;EOMONTH(Rev!E$1,0))</f>
        <v>0</v>
      </c>
      <c r="F12" s="423">
        <f>+SUMIFS('Intereses Percibidos'!$I:$I,'Intereses Percibidos'!$D:$D,"Intereses - Bonds",'Intereses Percibidos'!$B:$B,Rev!$A12,'Intereses Percibidos'!$C:$C,"&gt;="&amp;Rev!F$1,'Intereses Percibidos'!$C:$C,"&lt;="&amp;EOMONTH(Rev!F$1,0))</f>
        <v>0</v>
      </c>
      <c r="G12" s="423">
        <f>+SUMIFS('Intereses Percibidos'!$I:$I,'Intereses Percibidos'!$D:$D,"Intereses - Bonds",'Intereses Percibidos'!$B:$B,Rev!$A12,'Intereses Percibidos'!$C:$C,"&gt;="&amp;Rev!G$1,'Intereses Percibidos'!$C:$C,"&lt;="&amp;EOMONTH(Rev!G$1,0))</f>
        <v>0</v>
      </c>
      <c r="H12" s="423">
        <f>+SUMIFS('Intereses Percibidos'!$I:$I,'Intereses Percibidos'!$D:$D,"Intereses - Bonds",'Intereses Percibidos'!$B:$B,Rev!$A12,'Intereses Percibidos'!$C:$C,"&gt;="&amp;Rev!H$1,'Intereses Percibidos'!$C:$C,"&lt;="&amp;EOMONTH(Rev!H$1,0))</f>
        <v>0</v>
      </c>
      <c r="I12" s="423">
        <f>+SUMIFS('Intereses Percibidos'!$I:$I,'Intereses Percibidos'!$D:$D,"Intereses - Bonds",'Intereses Percibidos'!$B:$B,Rev!$A12,'Intereses Percibidos'!$C:$C,"&gt;="&amp;Rev!I$1,'Intereses Percibidos'!$C:$C,"&lt;="&amp;EOMONTH(Rev!I$1,0))</f>
        <v>0</v>
      </c>
      <c r="J12" s="423">
        <f>+SUMIFS('Intereses Percibidos'!$I:$I,'Intereses Percibidos'!$D:$D,"Intereses - Bonds",'Intereses Percibidos'!$B:$B,Rev!$A12,'Intereses Percibidos'!$C:$C,"&gt;="&amp;Rev!J$1,'Intereses Percibidos'!$C:$C,"&lt;="&amp;EOMONTH(Rev!J$1,0))</f>
        <v>0</v>
      </c>
      <c r="K12" s="423">
        <f>+SUMIFS('Intereses Percibidos'!$I:$I,'Intereses Percibidos'!$D:$D,"Intereses - Bonds",'Intereses Percibidos'!$B:$B,Rev!$A12,'Intereses Percibidos'!$C:$C,"&gt;="&amp;Rev!K$1,'Intereses Percibidos'!$C:$C,"&lt;="&amp;EOMONTH(Rev!K$1,0))</f>
        <v>0</v>
      </c>
      <c r="L12" s="423">
        <f>+SUMIFS('Intereses Percibidos'!$I:$I,'Intereses Percibidos'!$D:$D,"Intereses - Bonds",'Intereses Percibidos'!$B:$B,Rev!$A12,'Intereses Percibidos'!$C:$C,"&gt;="&amp;Rev!L$1,'Intereses Percibidos'!$C:$C,"&lt;="&amp;EOMONTH(Rev!L$1,0))</f>
        <v>0</v>
      </c>
      <c r="M12" s="423">
        <f>+SUMIFS('Intereses Percibidos'!$I:$I,'Intereses Percibidos'!$D:$D,"Intereses - Bonds",'Intereses Percibidos'!$B:$B,Rev!$A12,'Intereses Percibidos'!$C:$C,"&gt;="&amp;Rev!M$1,'Intereses Percibidos'!$C:$C,"&lt;="&amp;EOMONTH(Rev!M$1,0))</f>
        <v>0</v>
      </c>
      <c r="N12" s="423">
        <f>+SUMIFS('Intereses Percibidos'!$I:$I,'Intereses Percibidos'!$D:$D,"Intereses - Bonds",'Intereses Percibidos'!$B:$B,Rev!$A12,'Intereses Percibidos'!$C:$C,"&gt;="&amp;Rev!N$1,'Intereses Percibidos'!$C:$C,"&lt;="&amp;EOMONTH(Rev!N$1,0))</f>
        <v>0</v>
      </c>
      <c r="O12" s="423">
        <f t="shared" si="1"/>
        <v>0</v>
      </c>
    </row>
    <row r="13" spans="1:15" ht="17.100000000000001">
      <c r="A13" s="425" t="str">
        <f>+Cuentas!B14</f>
        <v>H</v>
      </c>
      <c r="B13" s="452" t="str">
        <f t="shared" si="0"/>
        <v xml:space="preserve">        Intereses Bonos - H</v>
      </c>
      <c r="C13" s="423">
        <f>+SUMIFS('Intereses Percibidos'!$I:$I,'Intereses Percibidos'!$D:$D,"Intereses - Bonds",'Intereses Percibidos'!$B:$B,Rev!$A13,'Intereses Percibidos'!$C:$C,"&gt;="&amp;Rev!C$1,'Intereses Percibidos'!$C:$C,"&lt;="&amp;EOMONTH(Rev!C$1,0))</f>
        <v>0</v>
      </c>
      <c r="D13" s="423">
        <f>+SUMIFS('Intereses Percibidos'!$I:$I,'Intereses Percibidos'!$D:$D,"Intereses - Bonds",'Intereses Percibidos'!$B:$B,Rev!$A13,'Intereses Percibidos'!$C:$C,"&gt;="&amp;Rev!D$1,'Intereses Percibidos'!$C:$C,"&lt;="&amp;EOMONTH(Rev!D$1,0))</f>
        <v>0</v>
      </c>
      <c r="E13" s="423">
        <f>+SUMIFS('Intereses Percibidos'!$I:$I,'Intereses Percibidos'!$D:$D,"Intereses - Bonds",'Intereses Percibidos'!$B:$B,Rev!$A13,'Intereses Percibidos'!$C:$C,"&gt;="&amp;Rev!E$1,'Intereses Percibidos'!$C:$C,"&lt;="&amp;EOMONTH(Rev!E$1,0))</f>
        <v>0</v>
      </c>
      <c r="F13" s="423">
        <f>+SUMIFS('Intereses Percibidos'!$I:$I,'Intereses Percibidos'!$D:$D,"Intereses - Bonds",'Intereses Percibidos'!$B:$B,Rev!$A13,'Intereses Percibidos'!$C:$C,"&gt;="&amp;Rev!F$1,'Intereses Percibidos'!$C:$C,"&lt;="&amp;EOMONTH(Rev!F$1,0))</f>
        <v>0</v>
      </c>
      <c r="G13" s="423">
        <f>+SUMIFS('Intereses Percibidos'!$I:$I,'Intereses Percibidos'!$D:$D,"Intereses - Bonds",'Intereses Percibidos'!$B:$B,Rev!$A13,'Intereses Percibidos'!$C:$C,"&gt;="&amp;Rev!G$1,'Intereses Percibidos'!$C:$C,"&lt;="&amp;EOMONTH(Rev!G$1,0))</f>
        <v>0</v>
      </c>
      <c r="H13" s="423">
        <f>+SUMIFS('Intereses Percibidos'!$I:$I,'Intereses Percibidos'!$D:$D,"Intereses - Bonds",'Intereses Percibidos'!$B:$B,Rev!$A13,'Intereses Percibidos'!$C:$C,"&gt;="&amp;Rev!H$1,'Intereses Percibidos'!$C:$C,"&lt;="&amp;EOMONTH(Rev!H$1,0))</f>
        <v>0</v>
      </c>
      <c r="I13" s="423">
        <f>+SUMIFS('Intereses Percibidos'!$I:$I,'Intereses Percibidos'!$D:$D,"Intereses - Bonds",'Intereses Percibidos'!$B:$B,Rev!$A13,'Intereses Percibidos'!$C:$C,"&gt;="&amp;Rev!I$1,'Intereses Percibidos'!$C:$C,"&lt;="&amp;EOMONTH(Rev!I$1,0))</f>
        <v>0</v>
      </c>
      <c r="J13" s="423">
        <f>+SUMIFS('Intereses Percibidos'!$I:$I,'Intereses Percibidos'!$D:$D,"Intereses - Bonds",'Intereses Percibidos'!$B:$B,Rev!$A13,'Intereses Percibidos'!$C:$C,"&gt;="&amp;Rev!J$1,'Intereses Percibidos'!$C:$C,"&lt;="&amp;EOMONTH(Rev!J$1,0))</f>
        <v>0</v>
      </c>
      <c r="K13" s="423">
        <f>+SUMIFS('Intereses Percibidos'!$I:$I,'Intereses Percibidos'!$D:$D,"Intereses - Bonds",'Intereses Percibidos'!$B:$B,Rev!$A13,'Intereses Percibidos'!$C:$C,"&gt;="&amp;Rev!K$1,'Intereses Percibidos'!$C:$C,"&lt;="&amp;EOMONTH(Rev!K$1,0))</f>
        <v>0</v>
      </c>
      <c r="L13" s="423">
        <f>+SUMIFS('Intereses Percibidos'!$I:$I,'Intereses Percibidos'!$D:$D,"Intereses - Bonds",'Intereses Percibidos'!$B:$B,Rev!$A13,'Intereses Percibidos'!$C:$C,"&gt;="&amp;Rev!L$1,'Intereses Percibidos'!$C:$C,"&lt;="&amp;EOMONTH(Rev!L$1,0))</f>
        <v>0</v>
      </c>
      <c r="M13" s="423">
        <f>+SUMIFS('Intereses Percibidos'!$I:$I,'Intereses Percibidos'!$D:$D,"Intereses - Bonds",'Intereses Percibidos'!$B:$B,Rev!$A13,'Intereses Percibidos'!$C:$C,"&gt;="&amp;Rev!M$1,'Intereses Percibidos'!$C:$C,"&lt;="&amp;EOMONTH(Rev!M$1,0))</f>
        <v>0</v>
      </c>
      <c r="N13" s="423">
        <f>+SUMIFS('Intereses Percibidos'!$I:$I,'Intereses Percibidos'!$D:$D,"Intereses - Bonds",'Intereses Percibidos'!$B:$B,Rev!$A13,'Intereses Percibidos'!$C:$C,"&gt;="&amp;Rev!N$1,'Intereses Percibidos'!$C:$C,"&lt;="&amp;EOMONTH(Rev!N$1,0))</f>
        <v>0</v>
      </c>
      <c r="O13" s="423">
        <f t="shared" si="1"/>
        <v>0</v>
      </c>
    </row>
    <row r="14" spans="1:15" ht="17.100000000000001">
      <c r="A14" s="425" t="str">
        <f>+Cuentas!B15</f>
        <v>I</v>
      </c>
      <c r="B14" s="452" t="str">
        <f t="shared" si="0"/>
        <v xml:space="preserve">        Intereses Bonos - I</v>
      </c>
      <c r="C14" s="423">
        <f>+SUMIFS('Intereses Percibidos'!$I:$I,'Intereses Percibidos'!$D:$D,"Intereses - Bonds",'Intereses Percibidos'!$B:$B,Rev!$A14,'Intereses Percibidos'!$C:$C,"&gt;="&amp;Rev!C$1,'Intereses Percibidos'!$C:$C,"&lt;="&amp;EOMONTH(Rev!C$1,0))</f>
        <v>0</v>
      </c>
      <c r="D14" s="423">
        <f>+SUMIFS('Intereses Percibidos'!$I:$I,'Intereses Percibidos'!$D:$D,"Intereses - Bonds",'Intereses Percibidos'!$B:$B,Rev!$A14,'Intereses Percibidos'!$C:$C,"&gt;="&amp;Rev!D$1,'Intereses Percibidos'!$C:$C,"&lt;="&amp;EOMONTH(Rev!D$1,0))</f>
        <v>0</v>
      </c>
      <c r="E14" s="423">
        <f>+SUMIFS('Intereses Percibidos'!$I:$I,'Intereses Percibidos'!$D:$D,"Intereses - Bonds",'Intereses Percibidos'!$B:$B,Rev!$A14,'Intereses Percibidos'!$C:$C,"&gt;="&amp;Rev!E$1,'Intereses Percibidos'!$C:$C,"&lt;="&amp;EOMONTH(Rev!E$1,0))</f>
        <v>0</v>
      </c>
      <c r="F14" s="423">
        <f>+SUMIFS('Intereses Percibidos'!$I:$I,'Intereses Percibidos'!$D:$D,"Intereses - Bonds",'Intereses Percibidos'!$B:$B,Rev!$A14,'Intereses Percibidos'!$C:$C,"&gt;="&amp;Rev!F$1,'Intereses Percibidos'!$C:$C,"&lt;="&amp;EOMONTH(Rev!F$1,0))</f>
        <v>0</v>
      </c>
      <c r="G14" s="423">
        <f>+SUMIFS('Intereses Percibidos'!$I:$I,'Intereses Percibidos'!$D:$D,"Intereses - Bonds",'Intereses Percibidos'!$B:$B,Rev!$A14,'Intereses Percibidos'!$C:$C,"&gt;="&amp;Rev!G$1,'Intereses Percibidos'!$C:$C,"&lt;="&amp;EOMONTH(Rev!G$1,0))</f>
        <v>0</v>
      </c>
      <c r="H14" s="423">
        <f>+SUMIFS('Intereses Percibidos'!$I:$I,'Intereses Percibidos'!$D:$D,"Intereses - Bonds",'Intereses Percibidos'!$B:$B,Rev!$A14,'Intereses Percibidos'!$C:$C,"&gt;="&amp;Rev!H$1,'Intereses Percibidos'!$C:$C,"&lt;="&amp;EOMONTH(Rev!H$1,0))</f>
        <v>0</v>
      </c>
      <c r="I14" s="423">
        <f>+SUMIFS('Intereses Percibidos'!$I:$I,'Intereses Percibidos'!$D:$D,"Intereses - Bonds",'Intereses Percibidos'!$B:$B,Rev!$A14,'Intereses Percibidos'!$C:$C,"&gt;="&amp;Rev!I$1,'Intereses Percibidos'!$C:$C,"&lt;="&amp;EOMONTH(Rev!I$1,0))</f>
        <v>0</v>
      </c>
      <c r="J14" s="423">
        <f>+SUMIFS('Intereses Percibidos'!$I:$I,'Intereses Percibidos'!$D:$D,"Intereses - Bonds",'Intereses Percibidos'!$B:$B,Rev!$A14,'Intereses Percibidos'!$C:$C,"&gt;="&amp;Rev!J$1,'Intereses Percibidos'!$C:$C,"&lt;="&amp;EOMONTH(Rev!J$1,0))</f>
        <v>0</v>
      </c>
      <c r="K14" s="423">
        <f>+SUMIFS('Intereses Percibidos'!$I:$I,'Intereses Percibidos'!$D:$D,"Intereses - Bonds",'Intereses Percibidos'!$B:$B,Rev!$A14,'Intereses Percibidos'!$C:$C,"&gt;="&amp;Rev!K$1,'Intereses Percibidos'!$C:$C,"&lt;="&amp;EOMONTH(Rev!K$1,0))</f>
        <v>0</v>
      </c>
      <c r="L14" s="423">
        <f>+SUMIFS('Intereses Percibidos'!$I:$I,'Intereses Percibidos'!$D:$D,"Intereses - Bonds",'Intereses Percibidos'!$B:$B,Rev!$A14,'Intereses Percibidos'!$C:$C,"&gt;="&amp;Rev!L$1,'Intereses Percibidos'!$C:$C,"&lt;="&amp;EOMONTH(Rev!L$1,0))</f>
        <v>0</v>
      </c>
      <c r="M14" s="423">
        <f>+SUMIFS('Intereses Percibidos'!$I:$I,'Intereses Percibidos'!$D:$D,"Intereses - Bonds",'Intereses Percibidos'!$B:$B,Rev!$A14,'Intereses Percibidos'!$C:$C,"&gt;="&amp;Rev!M$1,'Intereses Percibidos'!$C:$C,"&lt;="&amp;EOMONTH(Rev!M$1,0))</f>
        <v>0</v>
      </c>
      <c r="N14" s="423">
        <f>+SUMIFS('Intereses Percibidos'!$I:$I,'Intereses Percibidos'!$D:$D,"Intereses - Bonds",'Intereses Percibidos'!$B:$B,Rev!$A14,'Intereses Percibidos'!$C:$C,"&gt;="&amp;Rev!N$1,'Intereses Percibidos'!$C:$C,"&lt;="&amp;EOMONTH(Rev!N$1,0))</f>
        <v>0</v>
      </c>
      <c r="O14" s="423">
        <f t="shared" si="1"/>
        <v>0</v>
      </c>
    </row>
    <row r="15" spans="1:15" ht="17.100000000000001">
      <c r="A15" s="425" t="str">
        <f>+Cuentas!B16</f>
        <v>J</v>
      </c>
      <c r="B15" s="452" t="str">
        <f t="shared" si="0"/>
        <v xml:space="preserve">        Intereses Bonos - J</v>
      </c>
      <c r="C15" s="423">
        <f>+SUMIFS('Intereses Percibidos'!$I:$I,'Intereses Percibidos'!$D:$D,"Intereses - Bonds",'Intereses Percibidos'!$B:$B,Rev!$A15,'Intereses Percibidos'!$C:$C,"&gt;="&amp;Rev!C$1,'Intereses Percibidos'!$C:$C,"&lt;="&amp;EOMONTH(Rev!C$1,0))</f>
        <v>0</v>
      </c>
      <c r="D15" s="423">
        <f>+SUMIFS('Intereses Percibidos'!$I:$I,'Intereses Percibidos'!$D:$D,"Intereses - Bonds",'Intereses Percibidos'!$B:$B,Rev!$A15,'Intereses Percibidos'!$C:$C,"&gt;="&amp;Rev!D$1,'Intereses Percibidos'!$C:$C,"&lt;="&amp;EOMONTH(Rev!D$1,0))</f>
        <v>0</v>
      </c>
      <c r="E15" s="423">
        <f>+SUMIFS('Intereses Percibidos'!$I:$I,'Intereses Percibidos'!$D:$D,"Intereses - Bonds",'Intereses Percibidos'!$B:$B,Rev!$A15,'Intereses Percibidos'!$C:$C,"&gt;="&amp;Rev!E$1,'Intereses Percibidos'!$C:$C,"&lt;="&amp;EOMONTH(Rev!E$1,0))</f>
        <v>0</v>
      </c>
      <c r="F15" s="423">
        <f>+SUMIFS('Intereses Percibidos'!$I:$I,'Intereses Percibidos'!$D:$D,"Intereses - Bonds",'Intereses Percibidos'!$B:$B,Rev!$A15,'Intereses Percibidos'!$C:$C,"&gt;="&amp;Rev!F$1,'Intereses Percibidos'!$C:$C,"&lt;="&amp;EOMONTH(Rev!F$1,0))</f>
        <v>0</v>
      </c>
      <c r="G15" s="423">
        <f>+SUMIFS('Intereses Percibidos'!$I:$I,'Intereses Percibidos'!$D:$D,"Intereses - Bonds",'Intereses Percibidos'!$B:$B,Rev!$A15,'Intereses Percibidos'!$C:$C,"&gt;="&amp;Rev!G$1,'Intereses Percibidos'!$C:$C,"&lt;="&amp;EOMONTH(Rev!G$1,0))</f>
        <v>0</v>
      </c>
      <c r="H15" s="423">
        <f>+SUMIFS('Intereses Percibidos'!$I:$I,'Intereses Percibidos'!$D:$D,"Intereses - Bonds",'Intereses Percibidos'!$B:$B,Rev!$A15,'Intereses Percibidos'!$C:$C,"&gt;="&amp;Rev!H$1,'Intereses Percibidos'!$C:$C,"&lt;="&amp;EOMONTH(Rev!H$1,0))</f>
        <v>0</v>
      </c>
      <c r="I15" s="423">
        <f>+SUMIFS('Intereses Percibidos'!$I:$I,'Intereses Percibidos'!$D:$D,"Intereses - Bonds",'Intereses Percibidos'!$B:$B,Rev!$A15,'Intereses Percibidos'!$C:$C,"&gt;="&amp;Rev!I$1,'Intereses Percibidos'!$C:$C,"&lt;="&amp;EOMONTH(Rev!I$1,0))</f>
        <v>0</v>
      </c>
      <c r="J15" s="423">
        <f>+SUMIFS('Intereses Percibidos'!$I:$I,'Intereses Percibidos'!$D:$D,"Intereses - Bonds",'Intereses Percibidos'!$B:$B,Rev!$A15,'Intereses Percibidos'!$C:$C,"&gt;="&amp;Rev!J$1,'Intereses Percibidos'!$C:$C,"&lt;="&amp;EOMONTH(Rev!J$1,0))</f>
        <v>0</v>
      </c>
      <c r="K15" s="423">
        <f>+SUMIFS('Intereses Percibidos'!$I:$I,'Intereses Percibidos'!$D:$D,"Intereses - Bonds",'Intereses Percibidos'!$B:$B,Rev!$A15,'Intereses Percibidos'!$C:$C,"&gt;="&amp;Rev!K$1,'Intereses Percibidos'!$C:$C,"&lt;="&amp;EOMONTH(Rev!K$1,0))</f>
        <v>0</v>
      </c>
      <c r="L15" s="423">
        <f>+SUMIFS('Intereses Percibidos'!$I:$I,'Intereses Percibidos'!$D:$D,"Intereses - Bonds",'Intereses Percibidos'!$B:$B,Rev!$A15,'Intereses Percibidos'!$C:$C,"&gt;="&amp;Rev!L$1,'Intereses Percibidos'!$C:$C,"&lt;="&amp;EOMONTH(Rev!L$1,0))</f>
        <v>0</v>
      </c>
      <c r="M15" s="423">
        <f>+SUMIFS('Intereses Percibidos'!$I:$I,'Intereses Percibidos'!$D:$D,"Intereses - Bonds",'Intereses Percibidos'!$B:$B,Rev!$A15,'Intereses Percibidos'!$C:$C,"&gt;="&amp;Rev!M$1,'Intereses Percibidos'!$C:$C,"&lt;="&amp;EOMONTH(Rev!M$1,0))</f>
        <v>0</v>
      </c>
      <c r="N15" s="423">
        <f>+SUMIFS('Intereses Percibidos'!$I:$I,'Intereses Percibidos'!$D:$D,"Intereses - Bonds",'Intereses Percibidos'!$B:$B,Rev!$A15,'Intereses Percibidos'!$C:$C,"&gt;="&amp;Rev!N$1,'Intereses Percibidos'!$C:$C,"&lt;="&amp;EOMONTH(Rev!N$1,0))</f>
        <v>0</v>
      </c>
      <c r="O15" s="423">
        <f t="shared" si="1"/>
        <v>0</v>
      </c>
    </row>
    <row r="16" spans="1:15" ht="17.100000000000001">
      <c r="A16" s="425" t="str">
        <f>+Cuentas!B17</f>
        <v>K</v>
      </c>
      <c r="B16" s="452" t="str">
        <f t="shared" si="0"/>
        <v xml:space="preserve">        Intereses Bonos - K</v>
      </c>
      <c r="C16" s="423">
        <f>+SUMIFS('Intereses Percibidos'!$I:$I,'Intereses Percibidos'!$D:$D,"Intereses - Bonds",'Intereses Percibidos'!$B:$B,Rev!$A16,'Intereses Percibidos'!$C:$C,"&gt;="&amp;Rev!C$1,'Intereses Percibidos'!$C:$C,"&lt;="&amp;EOMONTH(Rev!C$1,0))</f>
        <v>0</v>
      </c>
      <c r="D16" s="423">
        <f>+SUMIFS('Intereses Percibidos'!$I:$I,'Intereses Percibidos'!$D:$D,"Intereses - Bonds",'Intereses Percibidos'!$B:$B,Rev!$A16,'Intereses Percibidos'!$C:$C,"&gt;="&amp;Rev!D$1,'Intereses Percibidos'!$C:$C,"&lt;="&amp;EOMONTH(Rev!D$1,0))</f>
        <v>0</v>
      </c>
      <c r="E16" s="423">
        <f>+SUMIFS('Intereses Percibidos'!$I:$I,'Intereses Percibidos'!$D:$D,"Intereses - Bonds",'Intereses Percibidos'!$B:$B,Rev!$A16,'Intereses Percibidos'!$C:$C,"&gt;="&amp;Rev!E$1,'Intereses Percibidos'!$C:$C,"&lt;="&amp;EOMONTH(Rev!E$1,0))</f>
        <v>0</v>
      </c>
      <c r="F16" s="423">
        <f>+SUMIFS('Intereses Percibidos'!$I:$I,'Intereses Percibidos'!$D:$D,"Intereses - Bonds",'Intereses Percibidos'!$B:$B,Rev!$A16,'Intereses Percibidos'!$C:$C,"&gt;="&amp;Rev!F$1,'Intereses Percibidos'!$C:$C,"&lt;="&amp;EOMONTH(Rev!F$1,0))</f>
        <v>0</v>
      </c>
      <c r="G16" s="423">
        <f>+SUMIFS('Intereses Percibidos'!$I:$I,'Intereses Percibidos'!$D:$D,"Intereses - Bonds",'Intereses Percibidos'!$B:$B,Rev!$A16,'Intereses Percibidos'!$C:$C,"&gt;="&amp;Rev!G$1,'Intereses Percibidos'!$C:$C,"&lt;="&amp;EOMONTH(Rev!G$1,0))</f>
        <v>0</v>
      </c>
      <c r="H16" s="423">
        <f>+SUMIFS('Intereses Percibidos'!$I:$I,'Intereses Percibidos'!$D:$D,"Intereses - Bonds",'Intereses Percibidos'!$B:$B,Rev!$A16,'Intereses Percibidos'!$C:$C,"&gt;="&amp;Rev!H$1,'Intereses Percibidos'!$C:$C,"&lt;="&amp;EOMONTH(Rev!H$1,0))</f>
        <v>0</v>
      </c>
      <c r="I16" s="423">
        <f>+SUMIFS('Intereses Percibidos'!$I:$I,'Intereses Percibidos'!$D:$D,"Intereses - Bonds",'Intereses Percibidos'!$B:$B,Rev!$A16,'Intereses Percibidos'!$C:$C,"&gt;="&amp;Rev!I$1,'Intereses Percibidos'!$C:$C,"&lt;="&amp;EOMONTH(Rev!I$1,0))</f>
        <v>0</v>
      </c>
      <c r="J16" s="423">
        <f>+SUMIFS('Intereses Percibidos'!$I:$I,'Intereses Percibidos'!$D:$D,"Intereses - Bonds",'Intereses Percibidos'!$B:$B,Rev!$A16,'Intereses Percibidos'!$C:$C,"&gt;="&amp;Rev!J$1,'Intereses Percibidos'!$C:$C,"&lt;="&amp;EOMONTH(Rev!J$1,0))</f>
        <v>0</v>
      </c>
      <c r="K16" s="423">
        <f>+SUMIFS('Intereses Percibidos'!$I:$I,'Intereses Percibidos'!$D:$D,"Intereses - Bonds",'Intereses Percibidos'!$B:$B,Rev!$A16,'Intereses Percibidos'!$C:$C,"&gt;="&amp;Rev!K$1,'Intereses Percibidos'!$C:$C,"&lt;="&amp;EOMONTH(Rev!K$1,0))</f>
        <v>0</v>
      </c>
      <c r="L16" s="423">
        <f>+SUMIFS('Intereses Percibidos'!$I:$I,'Intereses Percibidos'!$D:$D,"Intereses - Bonds",'Intereses Percibidos'!$B:$B,Rev!$A16,'Intereses Percibidos'!$C:$C,"&gt;="&amp;Rev!L$1,'Intereses Percibidos'!$C:$C,"&lt;="&amp;EOMONTH(Rev!L$1,0))</f>
        <v>0</v>
      </c>
      <c r="M16" s="423">
        <f>+SUMIFS('Intereses Percibidos'!$I:$I,'Intereses Percibidos'!$D:$D,"Intereses - Bonds",'Intereses Percibidos'!$B:$B,Rev!$A16,'Intereses Percibidos'!$C:$C,"&gt;="&amp;Rev!M$1,'Intereses Percibidos'!$C:$C,"&lt;="&amp;EOMONTH(Rev!M$1,0))</f>
        <v>0</v>
      </c>
      <c r="N16" s="423">
        <f>+SUMIFS('Intereses Percibidos'!$I:$I,'Intereses Percibidos'!$D:$D,"Intereses - Bonds",'Intereses Percibidos'!$B:$B,Rev!$A16,'Intereses Percibidos'!$C:$C,"&gt;="&amp;Rev!N$1,'Intereses Percibidos'!$C:$C,"&lt;="&amp;EOMONTH(Rev!N$1,0))</f>
        <v>0</v>
      </c>
      <c r="O16" s="423">
        <f t="shared" si="1"/>
        <v>0</v>
      </c>
    </row>
    <row r="17" spans="1:15" ht="17.100000000000001">
      <c r="A17" s="416"/>
      <c r="B17" s="426" t="s">
        <v>813</v>
      </c>
      <c r="C17" s="427">
        <f>SUM(C6:C16)</f>
        <v>0</v>
      </c>
      <c r="D17" s="427">
        <f t="shared" ref="D17:O17" si="2">SUM(D6:D16)</f>
        <v>0</v>
      </c>
      <c r="E17" s="427">
        <f t="shared" si="2"/>
        <v>0</v>
      </c>
      <c r="F17" s="427">
        <f t="shared" si="2"/>
        <v>0</v>
      </c>
      <c r="G17" s="427">
        <f t="shared" si="2"/>
        <v>0</v>
      </c>
      <c r="H17" s="427">
        <f t="shared" si="2"/>
        <v>0</v>
      </c>
      <c r="I17" s="427">
        <f t="shared" si="2"/>
        <v>0</v>
      </c>
      <c r="J17" s="427">
        <f t="shared" si="2"/>
        <v>0</v>
      </c>
      <c r="K17" s="427">
        <f t="shared" si="2"/>
        <v>0</v>
      </c>
      <c r="L17" s="427">
        <f t="shared" si="2"/>
        <v>0</v>
      </c>
      <c r="M17" s="427">
        <f t="shared" si="2"/>
        <v>0</v>
      </c>
      <c r="N17" s="427">
        <f t="shared" si="2"/>
        <v>0</v>
      </c>
      <c r="O17" s="427">
        <f t="shared" si="2"/>
        <v>0</v>
      </c>
    </row>
    <row r="18" spans="1:15" ht="17.100000000000001">
      <c r="A18" s="416"/>
      <c r="B18" s="420" t="s">
        <v>796</v>
      </c>
      <c r="C18" s="423"/>
      <c r="D18" s="423"/>
      <c r="E18" s="423"/>
      <c r="F18" s="423"/>
      <c r="G18" s="423"/>
      <c r="H18" s="423"/>
      <c r="I18" s="423"/>
      <c r="J18" s="423"/>
      <c r="K18" s="423"/>
      <c r="L18" s="423"/>
      <c r="M18" s="423"/>
      <c r="N18" s="423"/>
      <c r="O18" s="423"/>
    </row>
    <row r="19" spans="1:15" ht="17.100000000000001">
      <c r="A19" s="416"/>
      <c r="B19" s="420" t="s">
        <v>814</v>
      </c>
      <c r="C19" s="423"/>
      <c r="D19" s="423"/>
      <c r="E19" s="423"/>
      <c r="F19" s="423"/>
      <c r="G19" s="423"/>
      <c r="H19" s="423"/>
      <c r="I19" s="423" t="s">
        <v>815</v>
      </c>
      <c r="J19" s="423"/>
      <c r="K19" s="423"/>
      <c r="L19" s="423"/>
      <c r="M19" s="423"/>
      <c r="N19" s="423"/>
      <c r="O19" s="423"/>
    </row>
    <row r="20" spans="1:15" ht="17.100000000000001">
      <c r="A20" s="425">
        <f>+A6</f>
        <v>1175000</v>
      </c>
      <c r="B20" s="452" t="str">
        <f>+CONCATENATE("        Intereses Cash - ",A20)</f>
        <v xml:space="preserve">        Intereses Cash - 1175000</v>
      </c>
      <c r="C20" s="423">
        <f>SUMIFS('Intereses Percibidos'!$I:$I,'Intereses Percibidos'!$D:$D,"Intereses - Cash",'Intereses Percibidos'!$B:$B,Rev!$A20,'Intereses Percibidos'!$C:$C,"&gt;="&amp;Rev!C$1,'Intereses Percibidos'!$C:$C,"&lt;="&amp;EOMONTH(Rev!C$1,0))</f>
        <v>1.74</v>
      </c>
      <c r="D20" s="423">
        <f>SUMIFS('Intereses Percibidos'!$I:$I,'Intereses Percibidos'!$D:$D,"Intereses - Cash",'Intereses Percibidos'!$B:$B,Rev!$A20,'Intereses Percibidos'!$C:$C,"&gt;="&amp;Rev!D$1,'Intereses Percibidos'!$C:$C,"&lt;="&amp;EOMONTH(Rev!D$1,0))</f>
        <v>1.36</v>
      </c>
      <c r="E20" s="423">
        <f>SUMIFS('Intereses Percibidos'!$I:$I,'Intereses Percibidos'!$D:$D,"Intereses - Cash",'Intereses Percibidos'!$B:$B,Rev!$A20,'Intereses Percibidos'!$C:$C,"&gt;="&amp;Rev!E$1,'Intereses Percibidos'!$C:$C,"&lt;="&amp;EOMONTH(Rev!E$1,0))</f>
        <v>2.11</v>
      </c>
      <c r="F20" s="423">
        <f>SUMIFS('Intereses Percibidos'!$I:$I,'Intereses Percibidos'!$D:$D,"Intereses - Cash",'Intereses Percibidos'!$B:$B,Rev!$A20,'Intereses Percibidos'!$C:$C,"&gt;="&amp;Rev!F$1,'Intereses Percibidos'!$C:$C,"&lt;="&amp;EOMONTH(Rev!F$1,0))</f>
        <v>12.45</v>
      </c>
      <c r="G20" s="423">
        <f>SUMIFS('Intereses Percibidos'!$I:$I,'Intereses Percibidos'!$D:$D,"Intereses - Cash",'Intereses Percibidos'!$B:$B,Rev!$A20,'Intereses Percibidos'!$C:$C,"&gt;="&amp;Rev!G$1,'Intereses Percibidos'!$C:$C,"&lt;="&amp;EOMONTH(Rev!G$1,0))</f>
        <v>32.03</v>
      </c>
      <c r="H20" s="423">
        <f>SUMIFS('Intereses Percibidos'!$I:$I,'Intereses Percibidos'!$D:$D,"Intereses - Cash",'Intereses Percibidos'!$B:$B,Rev!$A20,'Intereses Percibidos'!$C:$C,"&gt;="&amp;Rev!H$1,'Intereses Percibidos'!$C:$C,"&lt;="&amp;EOMONTH(Rev!H$1,0))</f>
        <v>22.99</v>
      </c>
      <c r="I20" s="423">
        <f>SUMIFS('Intereses Percibidos'!$I:$I,'Intereses Percibidos'!$D:$D,"Intereses - Cash",'Intereses Percibidos'!$B:$B,Rev!$A20,'Intereses Percibidos'!$C:$C,"&gt;="&amp;Rev!I$1,'Intereses Percibidos'!$C:$C,"&lt;="&amp;EOMONTH(Rev!I$1,0))</f>
        <v>32.89</v>
      </c>
      <c r="J20" s="423">
        <f>SUMIFS('Intereses Percibidos'!$I:$I,'Intereses Percibidos'!$D:$D,"Intereses - Cash",'Intereses Percibidos'!$B:$B,Rev!$A20,'Intereses Percibidos'!$C:$C,"&gt;="&amp;Rev!J$1,'Intereses Percibidos'!$C:$C,"&lt;="&amp;EOMONTH(Rev!J$1,0))</f>
        <v>40.909999999999997</v>
      </c>
      <c r="K20" s="423">
        <f>SUMIFS('Intereses Percibidos'!$I:$I,'Intereses Percibidos'!$D:$D,"Intereses - Cash",'Intereses Percibidos'!$B:$B,Rev!$A20,'Intereses Percibidos'!$C:$C,"&gt;="&amp;Rev!K$1,'Intereses Percibidos'!$C:$C,"&lt;="&amp;EOMONTH(Rev!K$1,0))</f>
        <v>38.28</v>
      </c>
      <c r="L20" s="423">
        <f>SUMIFS('Intereses Percibidos'!$I:$I,'Intereses Percibidos'!$D:$D,"Intereses - Cash",'Intereses Percibidos'!$B:$B,Rev!$A20,'Intereses Percibidos'!$C:$C,"&gt;="&amp;Rev!L$1,'Intereses Percibidos'!$C:$C,"&lt;="&amp;EOMONTH(Rev!L$1,0))</f>
        <v>282.01</v>
      </c>
      <c r="M20" s="423">
        <f>SUMIFS('Intereses Percibidos'!$I:$I,'Intereses Percibidos'!$D:$D,"Intereses - Cash",'Intereses Percibidos'!$B:$B,Rev!$A20,'Intereses Percibidos'!$C:$C,"&gt;="&amp;Rev!M$1,'Intereses Percibidos'!$C:$C,"&lt;="&amp;EOMONTH(Rev!M$1,0))</f>
        <v>92.38</v>
      </c>
      <c r="N20" s="423">
        <f>SUMIFS('Intereses Percibidos'!$I:$I,'Intereses Percibidos'!$D:$D,"Intereses - Cash",'Intereses Percibidos'!$B:$B,Rev!$A20,'Intereses Percibidos'!$C:$C,"&gt;="&amp;Rev!N$1,'Intereses Percibidos'!$C:$C,"&lt;="&amp;EOMONTH(Rev!N$1,0))</f>
        <v>107.56</v>
      </c>
      <c r="O20" s="423">
        <f>SUM(C20:N20)</f>
        <v>666.71</v>
      </c>
    </row>
    <row r="21" spans="1:15" ht="17.100000000000001">
      <c r="A21" s="425">
        <f t="shared" ref="A21:A30" si="3">+A7</f>
        <v>1179000</v>
      </c>
      <c r="B21" s="452" t="str">
        <f t="shared" ref="B21:B30" si="4">+CONCATENATE("        Intereses Cash - ",A21)</f>
        <v xml:space="preserve">        Intereses Cash - 1179000</v>
      </c>
      <c r="C21" s="423">
        <f>SUMIFS('Intereses Percibidos'!$I:$I,'Intereses Percibidos'!$D:$D,"Intereses - Cash",'Intereses Percibidos'!$B:$B,Rev!$A21,'Intereses Percibidos'!$C:$C,"&gt;="&amp;Rev!C$1,'Intereses Percibidos'!$C:$C,"&lt;="&amp;EOMONTH(Rev!C$1,0))</f>
        <v>19.39</v>
      </c>
      <c r="D21" s="423">
        <f>SUMIFS('Intereses Percibidos'!$I:$I,'Intereses Percibidos'!$D:$D,"Intereses - Cash",'Intereses Percibidos'!$B:$B,Rev!$A21,'Intereses Percibidos'!$C:$C,"&gt;="&amp;Rev!D$1,'Intereses Percibidos'!$C:$C,"&lt;="&amp;EOMONTH(Rev!D$1,0))</f>
        <v>9.5790550000000003</v>
      </c>
      <c r="E21" s="423">
        <f>SUMIFS('Intereses Percibidos'!$I:$I,'Intereses Percibidos'!$D:$D,"Intereses - Cash",'Intereses Percibidos'!$B:$B,Rev!$A21,'Intereses Percibidos'!$C:$C,"&gt;="&amp;Rev!E$1,'Intereses Percibidos'!$C:$C,"&lt;="&amp;EOMONTH(Rev!E$1,0))</f>
        <v>7.8800000000000008</v>
      </c>
      <c r="F21" s="423">
        <f>SUMIFS('Intereses Percibidos'!$I:$I,'Intereses Percibidos'!$D:$D,"Intereses - Cash",'Intereses Percibidos'!$B:$B,Rev!$A21,'Intereses Percibidos'!$C:$C,"&gt;="&amp;Rev!F$1,'Intereses Percibidos'!$C:$C,"&lt;="&amp;EOMONTH(Rev!F$1,0))</f>
        <v>33.69</v>
      </c>
      <c r="G21" s="423">
        <f>SUMIFS('Intereses Percibidos'!$I:$I,'Intereses Percibidos'!$D:$D,"Intereses - Cash",'Intereses Percibidos'!$B:$B,Rev!$A21,'Intereses Percibidos'!$C:$C,"&gt;="&amp;Rev!G$1,'Intereses Percibidos'!$C:$C,"&lt;="&amp;EOMONTH(Rev!G$1,0))</f>
        <v>94.94</v>
      </c>
      <c r="H21" s="423">
        <f>SUMIFS('Intereses Percibidos'!$I:$I,'Intereses Percibidos'!$D:$D,"Intereses - Cash",'Intereses Percibidos'!$B:$B,Rev!$A21,'Intereses Percibidos'!$C:$C,"&gt;="&amp;Rev!H$1,'Intereses Percibidos'!$C:$C,"&lt;="&amp;EOMONTH(Rev!H$1,0))</f>
        <v>117.26</v>
      </c>
      <c r="I21" s="423">
        <f>SUMIFS('Intereses Percibidos'!$I:$I,'Intereses Percibidos'!$D:$D,"Intereses - Cash",'Intereses Percibidos'!$B:$B,Rev!$A21,'Intereses Percibidos'!$C:$C,"&gt;="&amp;Rev!I$1,'Intereses Percibidos'!$C:$C,"&lt;="&amp;EOMONTH(Rev!I$1,0))</f>
        <v>224.99</v>
      </c>
      <c r="J21" s="423">
        <f>SUMIFS('Intereses Percibidos'!$I:$I,'Intereses Percibidos'!$D:$D,"Intereses - Cash",'Intereses Percibidos'!$B:$B,Rev!$A21,'Intereses Percibidos'!$C:$C,"&gt;="&amp;Rev!J$1,'Intereses Percibidos'!$C:$C,"&lt;="&amp;EOMONTH(Rev!J$1,0))</f>
        <v>381.608317</v>
      </c>
      <c r="K21" s="423">
        <f>SUMIFS('Intereses Percibidos'!$I:$I,'Intereses Percibidos'!$D:$D,"Intereses - Cash",'Intereses Percibidos'!$B:$B,Rev!$A21,'Intereses Percibidos'!$C:$C,"&gt;="&amp;Rev!K$1,'Intereses Percibidos'!$C:$C,"&lt;="&amp;EOMONTH(Rev!K$1,0))</f>
        <v>456.44104000000004</v>
      </c>
      <c r="L21" s="423">
        <f>SUMIFS('Intereses Percibidos'!$I:$I,'Intereses Percibidos'!$D:$D,"Intereses - Cash",'Intereses Percibidos'!$B:$B,Rev!$A21,'Intereses Percibidos'!$C:$C,"&gt;="&amp;Rev!L$1,'Intereses Percibidos'!$C:$C,"&lt;="&amp;EOMONTH(Rev!L$1,0))</f>
        <v>651.94422800000007</v>
      </c>
      <c r="M21" s="423">
        <f>SUMIFS('Intereses Percibidos'!$I:$I,'Intereses Percibidos'!$D:$D,"Intereses - Cash",'Intereses Percibidos'!$B:$B,Rev!$A21,'Intereses Percibidos'!$C:$C,"&gt;="&amp;Rev!M$1,'Intereses Percibidos'!$C:$C,"&lt;="&amp;EOMONTH(Rev!M$1,0))</f>
        <v>808.06681300000002</v>
      </c>
      <c r="N21" s="423">
        <f>SUMIFS('Intereses Percibidos'!$I:$I,'Intereses Percibidos'!$D:$D,"Intereses - Cash",'Intereses Percibidos'!$B:$B,Rev!$A21,'Intereses Percibidos'!$C:$C,"&gt;="&amp;Rev!N$1,'Intereses Percibidos'!$C:$C,"&lt;="&amp;EOMONTH(Rev!N$1,0))</f>
        <v>1153.6267189999999</v>
      </c>
      <c r="O21" s="423">
        <f>SUM(C21:N21)</f>
        <v>3959.4161720000002</v>
      </c>
    </row>
    <row r="22" spans="1:15" ht="17.100000000000001">
      <c r="A22" s="425">
        <f t="shared" si="3"/>
        <v>1427200</v>
      </c>
      <c r="B22" s="452" t="str">
        <f t="shared" si="4"/>
        <v xml:space="preserve">        Intereses Cash - 1427200</v>
      </c>
      <c r="C22" s="423">
        <f>SUMIFS('Intereses Percibidos'!$I:$I,'Intereses Percibidos'!$D:$D,"Intereses - Cash",'Intereses Percibidos'!$B:$B,Rev!$A22,'Intereses Percibidos'!$C:$C,"&gt;="&amp;Rev!C$1,'Intereses Percibidos'!$C:$C,"&lt;="&amp;EOMONTH(Rev!C$1,0))</f>
        <v>0.38</v>
      </c>
      <c r="D22" s="423">
        <f>SUMIFS('Intereses Percibidos'!$I:$I,'Intereses Percibidos'!$D:$D,"Intereses - Cash",'Intereses Percibidos'!$B:$B,Rev!$A22,'Intereses Percibidos'!$C:$C,"&gt;="&amp;Rev!D$1,'Intereses Percibidos'!$C:$C,"&lt;="&amp;EOMONTH(Rev!D$1,0))</f>
        <v>0.41</v>
      </c>
      <c r="E22" s="423">
        <f>SUMIFS('Intereses Percibidos'!$I:$I,'Intereses Percibidos'!$D:$D,"Intereses - Cash",'Intereses Percibidos'!$B:$B,Rev!$A22,'Intereses Percibidos'!$C:$C,"&gt;="&amp;Rev!E$1,'Intereses Percibidos'!$C:$C,"&lt;="&amp;EOMONTH(Rev!E$1,0))</f>
        <v>1.57</v>
      </c>
      <c r="F22" s="423">
        <f>SUMIFS('Intereses Percibidos'!$I:$I,'Intereses Percibidos'!$D:$D,"Intereses - Cash",'Intereses Percibidos'!$B:$B,Rev!$A22,'Intereses Percibidos'!$C:$C,"&gt;="&amp;Rev!F$1,'Intereses Percibidos'!$C:$C,"&lt;="&amp;EOMONTH(Rev!F$1,0))</f>
        <v>3.76</v>
      </c>
      <c r="G22" s="423">
        <f>SUMIFS('Intereses Percibidos'!$I:$I,'Intereses Percibidos'!$D:$D,"Intereses - Cash",'Intereses Percibidos'!$B:$B,Rev!$A22,'Intereses Percibidos'!$C:$C,"&gt;="&amp;Rev!G$1,'Intereses Percibidos'!$C:$C,"&lt;="&amp;EOMONTH(Rev!G$1,0))</f>
        <v>3.65</v>
      </c>
      <c r="H22" s="423">
        <f>SUMIFS('Intereses Percibidos'!$I:$I,'Intereses Percibidos'!$D:$D,"Intereses - Cash",'Intereses Percibidos'!$B:$B,Rev!$A22,'Intereses Percibidos'!$C:$C,"&gt;="&amp;Rev!H$1,'Intereses Percibidos'!$C:$C,"&lt;="&amp;EOMONTH(Rev!H$1,0))</f>
        <v>4</v>
      </c>
      <c r="I22" s="423">
        <f>SUMIFS('Intereses Percibidos'!$I:$I,'Intereses Percibidos'!$D:$D,"Intereses - Cash",'Intereses Percibidos'!$B:$B,Rev!$A22,'Intereses Percibidos'!$C:$C,"&gt;="&amp;Rev!I$1,'Intereses Percibidos'!$C:$C,"&lt;="&amp;EOMONTH(Rev!I$1,0))</f>
        <v>9.7100000000000009</v>
      </c>
      <c r="J22" s="423">
        <f>SUMIFS('Intereses Percibidos'!$I:$I,'Intereses Percibidos'!$D:$D,"Intereses - Cash",'Intereses Percibidos'!$B:$B,Rev!$A22,'Intereses Percibidos'!$C:$C,"&gt;="&amp;Rev!J$1,'Intereses Percibidos'!$C:$C,"&lt;="&amp;EOMONTH(Rev!J$1,0))</f>
        <v>26.59</v>
      </c>
      <c r="K22" s="423">
        <f>SUMIFS('Intereses Percibidos'!$I:$I,'Intereses Percibidos'!$D:$D,"Intereses - Cash",'Intereses Percibidos'!$B:$B,Rev!$A22,'Intereses Percibidos'!$C:$C,"&gt;="&amp;Rev!K$1,'Intereses Percibidos'!$C:$C,"&lt;="&amp;EOMONTH(Rev!K$1,0))</f>
        <v>26.37</v>
      </c>
      <c r="L22" s="423">
        <f>SUMIFS('Intereses Percibidos'!$I:$I,'Intereses Percibidos'!$D:$D,"Intereses - Cash",'Intereses Percibidos'!$B:$B,Rev!$A22,'Intereses Percibidos'!$C:$C,"&gt;="&amp;Rev!L$1,'Intereses Percibidos'!$C:$C,"&lt;="&amp;EOMONTH(Rev!L$1,0))</f>
        <v>30.24</v>
      </c>
      <c r="M22" s="423">
        <f>SUMIFS('Intereses Percibidos'!$I:$I,'Intereses Percibidos'!$D:$D,"Intereses - Cash",'Intereses Percibidos'!$B:$B,Rev!$A22,'Intereses Percibidos'!$C:$C,"&gt;="&amp;Rev!M$1,'Intereses Percibidos'!$C:$C,"&lt;="&amp;EOMONTH(Rev!M$1,0))</f>
        <v>40.97</v>
      </c>
      <c r="N22" s="423">
        <f>SUMIFS('Intereses Percibidos'!$I:$I,'Intereses Percibidos'!$D:$D,"Intereses - Cash",'Intereses Percibidos'!$B:$B,Rev!$A22,'Intereses Percibidos'!$C:$C,"&gt;="&amp;Rev!N$1,'Intereses Percibidos'!$C:$C,"&lt;="&amp;EOMONTH(Rev!N$1,0))</f>
        <v>40.99</v>
      </c>
      <c r="O22" s="423">
        <f t="shared" ref="O22:O30" si="5">SUM(C22:N22)</f>
        <v>188.64</v>
      </c>
    </row>
    <row r="23" spans="1:15" ht="17.100000000000001">
      <c r="A23" s="425" t="str">
        <f t="shared" si="3"/>
        <v>B22235000</v>
      </c>
      <c r="B23" s="452" t="str">
        <f t="shared" si="4"/>
        <v xml:space="preserve">        Intereses Cash - B22235000</v>
      </c>
      <c r="C23" s="423">
        <f>SUMIFS('Intereses Percibidos'!$I:$I,'Intereses Percibidos'!$D:$D,"Intereses - Cash",'Intereses Percibidos'!$B:$B,Rev!$A23,'Intereses Percibidos'!$C:$C,"&gt;="&amp;Rev!C$1,'Intereses Percibidos'!$C:$C,"&lt;="&amp;EOMONTH(Rev!C$1,0))</f>
        <v>10.73</v>
      </c>
      <c r="D23" s="423">
        <f>SUMIFS('Intereses Percibidos'!$I:$I,'Intereses Percibidos'!$D:$D,"Intereses - Cash",'Intereses Percibidos'!$B:$B,Rev!$A23,'Intereses Percibidos'!$C:$C,"&gt;="&amp;Rev!D$1,'Intereses Percibidos'!$C:$C,"&lt;="&amp;EOMONTH(Rev!D$1,0))</f>
        <v>15.04</v>
      </c>
      <c r="E23" s="423">
        <f>SUMIFS('Intereses Percibidos'!$I:$I,'Intereses Percibidos'!$D:$D,"Intereses - Cash",'Intereses Percibidos'!$B:$B,Rev!$A23,'Intereses Percibidos'!$C:$C,"&gt;="&amp;Rev!E$1,'Intereses Percibidos'!$C:$C,"&lt;="&amp;EOMONTH(Rev!E$1,0))</f>
        <v>12.88</v>
      </c>
      <c r="F23" s="423">
        <f>SUMIFS('Intereses Percibidos'!$I:$I,'Intereses Percibidos'!$D:$D,"Intereses - Cash",'Intereses Percibidos'!$B:$B,Rev!$A23,'Intereses Percibidos'!$C:$C,"&gt;="&amp;Rev!F$1,'Intereses Percibidos'!$C:$C,"&lt;="&amp;EOMONTH(Rev!F$1,0))</f>
        <v>12.07</v>
      </c>
      <c r="G23" s="423">
        <f>SUMIFS('Intereses Percibidos'!$I:$I,'Intereses Percibidos'!$D:$D,"Intereses - Cash",'Intereses Percibidos'!$B:$B,Rev!$A23,'Intereses Percibidos'!$C:$C,"&gt;="&amp;Rev!G$1,'Intereses Percibidos'!$C:$C,"&lt;="&amp;EOMONTH(Rev!G$1,0))</f>
        <v>9.14</v>
      </c>
      <c r="H23" s="423">
        <f>SUMIFS('Intereses Percibidos'!$I:$I,'Intereses Percibidos'!$D:$D,"Intereses - Cash",'Intereses Percibidos'!$B:$B,Rev!$A23,'Intereses Percibidos'!$C:$C,"&gt;="&amp;Rev!H$1,'Intereses Percibidos'!$C:$C,"&lt;="&amp;EOMONTH(Rev!H$1,0))</f>
        <v>4.1100000000000003</v>
      </c>
      <c r="I23" s="423">
        <f>SUMIFS('Intereses Percibidos'!$I:$I,'Intereses Percibidos'!$D:$D,"Intereses - Cash",'Intereses Percibidos'!$B:$B,Rev!$A23,'Intereses Percibidos'!$C:$C,"&gt;="&amp;Rev!I$1,'Intereses Percibidos'!$C:$C,"&lt;="&amp;EOMONTH(Rev!I$1,0))</f>
        <v>111.3</v>
      </c>
      <c r="J23" s="423">
        <f>SUMIFS('Intereses Percibidos'!$I:$I,'Intereses Percibidos'!$D:$D,"Intereses - Cash",'Intereses Percibidos'!$B:$B,Rev!$A23,'Intereses Percibidos'!$C:$C,"&gt;="&amp;Rev!J$1,'Intereses Percibidos'!$C:$C,"&lt;="&amp;EOMONTH(Rev!J$1,0))</f>
        <v>356.21</v>
      </c>
      <c r="K23" s="423">
        <f>SUMIFS('Intereses Percibidos'!$I:$I,'Intereses Percibidos'!$D:$D,"Intereses - Cash",'Intereses Percibidos'!$B:$B,Rev!$A23,'Intereses Percibidos'!$C:$C,"&gt;="&amp;Rev!K$1,'Intereses Percibidos'!$C:$C,"&lt;="&amp;EOMONTH(Rev!K$1,0))</f>
        <v>2637.08</v>
      </c>
      <c r="L23" s="423">
        <f>SUMIFS('Intereses Percibidos'!$I:$I,'Intereses Percibidos'!$D:$D,"Intereses - Cash",'Intereses Percibidos'!$B:$B,Rev!$A23,'Intereses Percibidos'!$C:$C,"&gt;="&amp;Rev!L$1,'Intereses Percibidos'!$C:$C,"&lt;="&amp;EOMONTH(Rev!L$1,0))</f>
        <v>2971.2</v>
      </c>
      <c r="M23" s="423">
        <f>SUMIFS('Intereses Percibidos'!$I:$I,'Intereses Percibidos'!$D:$D,"Intereses - Cash",'Intereses Percibidos'!$B:$B,Rev!$A23,'Intereses Percibidos'!$C:$C,"&gt;="&amp;Rev!M$1,'Intereses Percibidos'!$C:$C,"&lt;="&amp;EOMONTH(Rev!M$1,0))</f>
        <v>2562.87</v>
      </c>
      <c r="N23" s="423">
        <f>SUMIFS('Intereses Percibidos'!$I:$I,'Intereses Percibidos'!$D:$D,"Intereses - Cash",'Intereses Percibidos'!$B:$B,Rev!$A23,'Intereses Percibidos'!$C:$C,"&gt;="&amp;Rev!N$1,'Intereses Percibidos'!$C:$C,"&lt;="&amp;EOMONTH(Rev!N$1,0))</f>
        <v>2781.06</v>
      </c>
      <c r="O23" s="423">
        <f t="shared" si="5"/>
        <v>11483.69</v>
      </c>
    </row>
    <row r="24" spans="1:15" ht="17.100000000000001">
      <c r="A24" s="425">
        <f t="shared" si="3"/>
        <v>700833580</v>
      </c>
      <c r="B24" s="452" t="str">
        <f t="shared" si="4"/>
        <v xml:space="preserve">        Intereses Cash - 700833580</v>
      </c>
      <c r="C24" s="423">
        <f>SUMIFS('Intereses Percibidos'!$I:$I,'Intereses Percibidos'!$D:$D,"Intereses - Cash",'Intereses Percibidos'!$B:$B,Rev!$A24,'Intereses Percibidos'!$C:$C,"&gt;="&amp;Rev!C$1,'Intereses Percibidos'!$C:$C,"&lt;="&amp;EOMONTH(Rev!C$1,0))</f>
        <v>0</v>
      </c>
      <c r="D24" s="423">
        <f>SUMIFS('Intereses Percibidos'!$I:$I,'Intereses Percibidos'!$D:$D,"Intereses - Cash",'Intereses Percibidos'!$B:$B,Rev!$A24,'Intereses Percibidos'!$C:$C,"&gt;="&amp;Rev!D$1,'Intereses Percibidos'!$C:$C,"&lt;="&amp;EOMONTH(Rev!D$1,0))</f>
        <v>0</v>
      </c>
      <c r="E24" s="423">
        <f>SUMIFS('Intereses Percibidos'!$I:$I,'Intereses Percibidos'!$D:$D,"Intereses - Cash",'Intereses Percibidos'!$B:$B,Rev!$A24,'Intereses Percibidos'!$C:$C,"&gt;="&amp;Rev!E$1,'Intereses Percibidos'!$C:$C,"&lt;="&amp;EOMONTH(Rev!E$1,0))</f>
        <v>0</v>
      </c>
      <c r="F24" s="423">
        <f>SUMIFS('Intereses Percibidos'!$I:$I,'Intereses Percibidos'!$D:$D,"Intereses - Cash",'Intereses Percibidos'!$B:$B,Rev!$A24,'Intereses Percibidos'!$C:$C,"&gt;="&amp;Rev!F$1,'Intereses Percibidos'!$C:$C,"&lt;="&amp;EOMONTH(Rev!F$1,0))</f>
        <v>0</v>
      </c>
      <c r="G24" s="423">
        <f>SUMIFS('Intereses Percibidos'!$I:$I,'Intereses Percibidos'!$D:$D,"Intereses - Cash",'Intereses Percibidos'!$B:$B,Rev!$A24,'Intereses Percibidos'!$C:$C,"&gt;="&amp;Rev!G$1,'Intereses Percibidos'!$C:$C,"&lt;="&amp;EOMONTH(Rev!G$1,0))</f>
        <v>0</v>
      </c>
      <c r="H24" s="423">
        <f>SUMIFS('Intereses Percibidos'!$I:$I,'Intereses Percibidos'!$D:$D,"Intereses - Cash",'Intereses Percibidos'!$B:$B,Rev!$A24,'Intereses Percibidos'!$C:$C,"&gt;="&amp;Rev!H$1,'Intereses Percibidos'!$C:$C,"&lt;="&amp;EOMONTH(Rev!H$1,0))</f>
        <v>0</v>
      </c>
      <c r="I24" s="423">
        <f>SUMIFS('Intereses Percibidos'!$I:$I,'Intereses Percibidos'!$D:$D,"Intereses - Cash",'Intereses Percibidos'!$B:$B,Rev!$A24,'Intereses Percibidos'!$C:$C,"&gt;="&amp;Rev!I$1,'Intereses Percibidos'!$C:$C,"&lt;="&amp;EOMONTH(Rev!I$1,0))</f>
        <v>0</v>
      </c>
      <c r="J24" s="423">
        <f>SUMIFS('Intereses Percibidos'!$I:$I,'Intereses Percibidos'!$D:$D,"Intereses - Cash",'Intereses Percibidos'!$B:$B,Rev!$A24,'Intereses Percibidos'!$C:$C,"&gt;="&amp;Rev!J$1,'Intereses Percibidos'!$C:$C,"&lt;="&amp;EOMONTH(Rev!J$1,0))</f>
        <v>0</v>
      </c>
      <c r="K24" s="423">
        <f>SUMIFS('Intereses Percibidos'!$I:$I,'Intereses Percibidos'!$D:$D,"Intereses - Cash",'Intereses Percibidos'!$B:$B,Rev!$A24,'Intereses Percibidos'!$C:$C,"&gt;="&amp;Rev!K$1,'Intereses Percibidos'!$C:$C,"&lt;="&amp;EOMONTH(Rev!K$1,0))</f>
        <v>0</v>
      </c>
      <c r="L24" s="423">
        <f>SUMIFS('Intereses Percibidos'!$I:$I,'Intereses Percibidos'!$D:$D,"Intereses - Cash",'Intereses Percibidos'!$B:$B,Rev!$A24,'Intereses Percibidos'!$C:$C,"&gt;="&amp;Rev!L$1,'Intereses Percibidos'!$C:$C,"&lt;="&amp;EOMONTH(Rev!L$1,0))</f>
        <v>0</v>
      </c>
      <c r="M24" s="423">
        <f>SUMIFS('Intereses Percibidos'!$I:$I,'Intereses Percibidos'!$D:$D,"Intereses - Cash",'Intereses Percibidos'!$B:$B,Rev!$A24,'Intereses Percibidos'!$C:$C,"&gt;="&amp;Rev!M$1,'Intereses Percibidos'!$C:$C,"&lt;="&amp;EOMONTH(Rev!M$1,0))</f>
        <v>0</v>
      </c>
      <c r="N24" s="423">
        <f>SUMIFS('Intereses Percibidos'!$I:$I,'Intereses Percibidos'!$D:$D,"Intereses - Cash",'Intereses Percibidos'!$B:$B,Rev!$A24,'Intereses Percibidos'!$C:$C,"&gt;="&amp;Rev!N$1,'Intereses Percibidos'!$C:$C,"&lt;="&amp;EOMONTH(Rev!N$1,0))</f>
        <v>0</v>
      </c>
      <c r="O24" s="423">
        <f t="shared" si="5"/>
        <v>0</v>
      </c>
    </row>
    <row r="25" spans="1:15" ht="17.100000000000001">
      <c r="A25" s="425" t="str">
        <f t="shared" si="3"/>
        <v>F</v>
      </c>
      <c r="B25" s="452" t="str">
        <f t="shared" si="4"/>
        <v xml:space="preserve">        Intereses Cash - F</v>
      </c>
      <c r="C25" s="423">
        <f>SUMIFS('Intereses Percibidos'!$I:$I,'Intereses Percibidos'!$D:$D,"Intereses - Cash",'Intereses Percibidos'!$B:$B,Rev!$A25,'Intereses Percibidos'!$C:$C,"&gt;="&amp;Rev!C$1,'Intereses Percibidos'!$C:$C,"&lt;="&amp;EOMONTH(Rev!C$1,0))</f>
        <v>0</v>
      </c>
      <c r="D25" s="423">
        <f>SUMIFS('Intereses Percibidos'!$I:$I,'Intereses Percibidos'!$D:$D,"Intereses - Cash",'Intereses Percibidos'!$B:$B,Rev!$A25,'Intereses Percibidos'!$C:$C,"&gt;="&amp;Rev!D$1,'Intereses Percibidos'!$C:$C,"&lt;="&amp;EOMONTH(Rev!D$1,0))</f>
        <v>0</v>
      </c>
      <c r="E25" s="423">
        <f>SUMIFS('Intereses Percibidos'!$I:$I,'Intereses Percibidos'!$D:$D,"Intereses - Cash",'Intereses Percibidos'!$B:$B,Rev!$A25,'Intereses Percibidos'!$C:$C,"&gt;="&amp;Rev!E$1,'Intereses Percibidos'!$C:$C,"&lt;="&amp;EOMONTH(Rev!E$1,0))</f>
        <v>0</v>
      </c>
      <c r="F25" s="423">
        <f>SUMIFS('Intereses Percibidos'!$I:$I,'Intereses Percibidos'!$D:$D,"Intereses - Cash",'Intereses Percibidos'!$B:$B,Rev!$A25,'Intereses Percibidos'!$C:$C,"&gt;="&amp;Rev!F$1,'Intereses Percibidos'!$C:$C,"&lt;="&amp;EOMONTH(Rev!F$1,0))</f>
        <v>0</v>
      </c>
      <c r="G25" s="423">
        <f>SUMIFS('Intereses Percibidos'!$I:$I,'Intereses Percibidos'!$D:$D,"Intereses - Cash",'Intereses Percibidos'!$B:$B,Rev!$A25,'Intereses Percibidos'!$C:$C,"&gt;="&amp;Rev!G$1,'Intereses Percibidos'!$C:$C,"&lt;="&amp;EOMONTH(Rev!G$1,0))</f>
        <v>0</v>
      </c>
      <c r="H25" s="423">
        <f>SUMIFS('Intereses Percibidos'!$I:$I,'Intereses Percibidos'!$D:$D,"Intereses - Cash",'Intereses Percibidos'!$B:$B,Rev!$A25,'Intereses Percibidos'!$C:$C,"&gt;="&amp;Rev!H$1,'Intereses Percibidos'!$C:$C,"&lt;="&amp;EOMONTH(Rev!H$1,0))</f>
        <v>0</v>
      </c>
      <c r="I25" s="423">
        <f>SUMIFS('Intereses Percibidos'!$I:$I,'Intereses Percibidos'!$D:$D,"Intereses - Cash",'Intereses Percibidos'!$B:$B,Rev!$A25,'Intereses Percibidos'!$C:$C,"&gt;="&amp;Rev!I$1,'Intereses Percibidos'!$C:$C,"&lt;="&amp;EOMONTH(Rev!I$1,0))</f>
        <v>0</v>
      </c>
      <c r="J25" s="423">
        <f>SUMIFS('Intereses Percibidos'!$I:$I,'Intereses Percibidos'!$D:$D,"Intereses - Cash",'Intereses Percibidos'!$B:$B,Rev!$A25,'Intereses Percibidos'!$C:$C,"&gt;="&amp;Rev!J$1,'Intereses Percibidos'!$C:$C,"&lt;="&amp;EOMONTH(Rev!J$1,0))</f>
        <v>0</v>
      </c>
      <c r="K25" s="423">
        <f>SUMIFS('Intereses Percibidos'!$I:$I,'Intereses Percibidos'!$D:$D,"Intereses - Cash",'Intereses Percibidos'!$B:$B,Rev!$A25,'Intereses Percibidos'!$C:$C,"&gt;="&amp;Rev!K$1,'Intereses Percibidos'!$C:$C,"&lt;="&amp;EOMONTH(Rev!K$1,0))</f>
        <v>0</v>
      </c>
      <c r="L25" s="423">
        <f>SUMIFS('Intereses Percibidos'!$I:$I,'Intereses Percibidos'!$D:$D,"Intereses - Cash",'Intereses Percibidos'!$B:$B,Rev!$A25,'Intereses Percibidos'!$C:$C,"&gt;="&amp;Rev!L$1,'Intereses Percibidos'!$C:$C,"&lt;="&amp;EOMONTH(Rev!L$1,0))</f>
        <v>0</v>
      </c>
      <c r="M25" s="423">
        <f>SUMIFS('Intereses Percibidos'!$I:$I,'Intereses Percibidos'!$D:$D,"Intereses - Cash",'Intereses Percibidos'!$B:$B,Rev!$A25,'Intereses Percibidos'!$C:$C,"&gt;="&amp;Rev!M$1,'Intereses Percibidos'!$C:$C,"&lt;="&amp;EOMONTH(Rev!M$1,0))</f>
        <v>0</v>
      </c>
      <c r="N25" s="423">
        <f>SUMIFS('Intereses Percibidos'!$I:$I,'Intereses Percibidos'!$D:$D,"Intereses - Cash",'Intereses Percibidos'!$B:$B,Rev!$A25,'Intereses Percibidos'!$C:$C,"&gt;="&amp;Rev!N$1,'Intereses Percibidos'!$C:$C,"&lt;="&amp;EOMONTH(Rev!N$1,0))</f>
        <v>0</v>
      </c>
      <c r="O25" s="423">
        <f t="shared" si="5"/>
        <v>0</v>
      </c>
    </row>
    <row r="26" spans="1:15" ht="17.100000000000001">
      <c r="A26" s="425" t="str">
        <f t="shared" si="3"/>
        <v>G</v>
      </c>
      <c r="B26" s="452" t="str">
        <f t="shared" si="4"/>
        <v xml:space="preserve">        Intereses Cash - G</v>
      </c>
      <c r="C26" s="423">
        <f>SUMIFS('Intereses Percibidos'!$I:$I,'Intereses Percibidos'!$D:$D,"Intereses - Cash",'Intereses Percibidos'!$B:$B,Rev!$A26,'Intereses Percibidos'!$C:$C,"&gt;="&amp;Rev!C$1,'Intereses Percibidos'!$C:$C,"&lt;="&amp;EOMONTH(Rev!C$1,0))</f>
        <v>0</v>
      </c>
      <c r="D26" s="423">
        <f>SUMIFS('Intereses Percibidos'!$I:$I,'Intereses Percibidos'!$D:$D,"Intereses - Cash",'Intereses Percibidos'!$B:$B,Rev!$A26,'Intereses Percibidos'!$C:$C,"&gt;="&amp;Rev!D$1,'Intereses Percibidos'!$C:$C,"&lt;="&amp;EOMONTH(Rev!D$1,0))</f>
        <v>0</v>
      </c>
      <c r="E26" s="423">
        <f>SUMIFS('Intereses Percibidos'!$I:$I,'Intereses Percibidos'!$D:$D,"Intereses - Cash",'Intereses Percibidos'!$B:$B,Rev!$A26,'Intereses Percibidos'!$C:$C,"&gt;="&amp;Rev!E$1,'Intereses Percibidos'!$C:$C,"&lt;="&amp;EOMONTH(Rev!E$1,0))</f>
        <v>0</v>
      </c>
      <c r="F26" s="423">
        <f>SUMIFS('Intereses Percibidos'!$I:$I,'Intereses Percibidos'!$D:$D,"Intereses - Cash",'Intereses Percibidos'!$B:$B,Rev!$A26,'Intereses Percibidos'!$C:$C,"&gt;="&amp;Rev!F$1,'Intereses Percibidos'!$C:$C,"&lt;="&amp;EOMONTH(Rev!F$1,0))</f>
        <v>0</v>
      </c>
      <c r="G26" s="423">
        <f>SUMIFS('Intereses Percibidos'!$I:$I,'Intereses Percibidos'!$D:$D,"Intereses - Cash",'Intereses Percibidos'!$B:$B,Rev!$A26,'Intereses Percibidos'!$C:$C,"&gt;="&amp;Rev!G$1,'Intereses Percibidos'!$C:$C,"&lt;="&amp;EOMONTH(Rev!G$1,0))</f>
        <v>0</v>
      </c>
      <c r="H26" s="423">
        <f>SUMIFS('Intereses Percibidos'!$I:$I,'Intereses Percibidos'!$D:$D,"Intereses - Cash",'Intereses Percibidos'!$B:$B,Rev!$A26,'Intereses Percibidos'!$C:$C,"&gt;="&amp;Rev!H$1,'Intereses Percibidos'!$C:$C,"&lt;="&amp;EOMONTH(Rev!H$1,0))</f>
        <v>0</v>
      </c>
      <c r="I26" s="423">
        <f>SUMIFS('Intereses Percibidos'!$I:$I,'Intereses Percibidos'!$D:$D,"Intereses - Cash",'Intereses Percibidos'!$B:$B,Rev!$A26,'Intereses Percibidos'!$C:$C,"&gt;="&amp;Rev!I$1,'Intereses Percibidos'!$C:$C,"&lt;="&amp;EOMONTH(Rev!I$1,0))</f>
        <v>0</v>
      </c>
      <c r="J26" s="423">
        <f>SUMIFS('Intereses Percibidos'!$I:$I,'Intereses Percibidos'!$D:$D,"Intereses - Cash",'Intereses Percibidos'!$B:$B,Rev!$A26,'Intereses Percibidos'!$C:$C,"&gt;="&amp;Rev!J$1,'Intereses Percibidos'!$C:$C,"&lt;="&amp;EOMONTH(Rev!J$1,0))</f>
        <v>0</v>
      </c>
      <c r="K26" s="423">
        <f>SUMIFS('Intereses Percibidos'!$I:$I,'Intereses Percibidos'!$D:$D,"Intereses - Cash",'Intereses Percibidos'!$B:$B,Rev!$A26,'Intereses Percibidos'!$C:$C,"&gt;="&amp;Rev!K$1,'Intereses Percibidos'!$C:$C,"&lt;="&amp;EOMONTH(Rev!K$1,0))</f>
        <v>0</v>
      </c>
      <c r="L26" s="423">
        <f>SUMIFS('Intereses Percibidos'!$I:$I,'Intereses Percibidos'!$D:$D,"Intereses - Cash",'Intereses Percibidos'!$B:$B,Rev!$A26,'Intereses Percibidos'!$C:$C,"&gt;="&amp;Rev!L$1,'Intereses Percibidos'!$C:$C,"&lt;="&amp;EOMONTH(Rev!L$1,0))</f>
        <v>0</v>
      </c>
      <c r="M26" s="423">
        <f>SUMIFS('Intereses Percibidos'!$I:$I,'Intereses Percibidos'!$D:$D,"Intereses - Cash",'Intereses Percibidos'!$B:$B,Rev!$A26,'Intereses Percibidos'!$C:$C,"&gt;="&amp;Rev!M$1,'Intereses Percibidos'!$C:$C,"&lt;="&amp;EOMONTH(Rev!M$1,0))</f>
        <v>0</v>
      </c>
      <c r="N26" s="423">
        <f>SUMIFS('Intereses Percibidos'!$I:$I,'Intereses Percibidos'!$D:$D,"Intereses - Cash",'Intereses Percibidos'!$B:$B,Rev!$A26,'Intereses Percibidos'!$C:$C,"&gt;="&amp;Rev!N$1,'Intereses Percibidos'!$C:$C,"&lt;="&amp;EOMONTH(Rev!N$1,0))</f>
        <v>0</v>
      </c>
      <c r="O26" s="423">
        <f t="shared" si="5"/>
        <v>0</v>
      </c>
    </row>
    <row r="27" spans="1:15" ht="17.100000000000001">
      <c r="A27" s="425" t="str">
        <f t="shared" si="3"/>
        <v>H</v>
      </c>
      <c r="B27" s="452" t="str">
        <f t="shared" si="4"/>
        <v xml:space="preserve">        Intereses Cash - H</v>
      </c>
      <c r="C27" s="423">
        <f>SUMIFS('Intereses Percibidos'!$I:$I,'Intereses Percibidos'!$D:$D,"Intereses - Cash",'Intereses Percibidos'!$B:$B,Rev!$A27,'Intereses Percibidos'!$C:$C,"&gt;="&amp;Rev!C$1,'Intereses Percibidos'!$C:$C,"&lt;="&amp;EOMONTH(Rev!C$1,0))</f>
        <v>0</v>
      </c>
      <c r="D27" s="423">
        <f>SUMIFS('Intereses Percibidos'!$I:$I,'Intereses Percibidos'!$D:$D,"Intereses - Cash",'Intereses Percibidos'!$B:$B,Rev!$A27,'Intereses Percibidos'!$C:$C,"&gt;="&amp;Rev!D$1,'Intereses Percibidos'!$C:$C,"&lt;="&amp;EOMONTH(Rev!D$1,0))</f>
        <v>0</v>
      </c>
      <c r="E27" s="423">
        <f>SUMIFS('Intereses Percibidos'!$I:$I,'Intereses Percibidos'!$D:$D,"Intereses - Cash",'Intereses Percibidos'!$B:$B,Rev!$A27,'Intereses Percibidos'!$C:$C,"&gt;="&amp;Rev!E$1,'Intereses Percibidos'!$C:$C,"&lt;="&amp;EOMONTH(Rev!E$1,0))</f>
        <v>0</v>
      </c>
      <c r="F27" s="423">
        <f>SUMIFS('Intereses Percibidos'!$I:$I,'Intereses Percibidos'!$D:$D,"Intereses - Cash",'Intereses Percibidos'!$B:$B,Rev!$A27,'Intereses Percibidos'!$C:$C,"&gt;="&amp;Rev!F$1,'Intereses Percibidos'!$C:$C,"&lt;="&amp;EOMONTH(Rev!F$1,0))</f>
        <v>0</v>
      </c>
      <c r="G27" s="423">
        <f>SUMIFS('Intereses Percibidos'!$I:$I,'Intereses Percibidos'!$D:$D,"Intereses - Cash",'Intereses Percibidos'!$B:$B,Rev!$A27,'Intereses Percibidos'!$C:$C,"&gt;="&amp;Rev!G$1,'Intereses Percibidos'!$C:$C,"&lt;="&amp;EOMONTH(Rev!G$1,0))</f>
        <v>0</v>
      </c>
      <c r="H27" s="423">
        <f>SUMIFS('Intereses Percibidos'!$I:$I,'Intereses Percibidos'!$D:$D,"Intereses - Cash",'Intereses Percibidos'!$B:$B,Rev!$A27,'Intereses Percibidos'!$C:$C,"&gt;="&amp;Rev!H$1,'Intereses Percibidos'!$C:$C,"&lt;="&amp;EOMONTH(Rev!H$1,0))</f>
        <v>0</v>
      </c>
      <c r="I27" s="423">
        <f>SUMIFS('Intereses Percibidos'!$I:$I,'Intereses Percibidos'!$D:$D,"Intereses - Cash",'Intereses Percibidos'!$B:$B,Rev!$A27,'Intereses Percibidos'!$C:$C,"&gt;="&amp;Rev!I$1,'Intereses Percibidos'!$C:$C,"&lt;="&amp;EOMONTH(Rev!I$1,0))</f>
        <v>0</v>
      </c>
      <c r="J27" s="423">
        <f>SUMIFS('Intereses Percibidos'!$I:$I,'Intereses Percibidos'!$D:$D,"Intereses - Cash",'Intereses Percibidos'!$B:$B,Rev!$A27,'Intereses Percibidos'!$C:$C,"&gt;="&amp;Rev!J$1,'Intereses Percibidos'!$C:$C,"&lt;="&amp;EOMONTH(Rev!J$1,0))</f>
        <v>0</v>
      </c>
      <c r="K27" s="423">
        <f>SUMIFS('Intereses Percibidos'!$I:$I,'Intereses Percibidos'!$D:$D,"Intereses - Cash",'Intereses Percibidos'!$B:$B,Rev!$A27,'Intereses Percibidos'!$C:$C,"&gt;="&amp;Rev!K$1,'Intereses Percibidos'!$C:$C,"&lt;="&amp;EOMONTH(Rev!K$1,0))</f>
        <v>0</v>
      </c>
      <c r="L27" s="423">
        <f>SUMIFS('Intereses Percibidos'!$I:$I,'Intereses Percibidos'!$D:$D,"Intereses - Cash",'Intereses Percibidos'!$B:$B,Rev!$A27,'Intereses Percibidos'!$C:$C,"&gt;="&amp;Rev!L$1,'Intereses Percibidos'!$C:$C,"&lt;="&amp;EOMONTH(Rev!L$1,0))</f>
        <v>0</v>
      </c>
      <c r="M27" s="423">
        <f>SUMIFS('Intereses Percibidos'!$I:$I,'Intereses Percibidos'!$D:$D,"Intereses - Cash",'Intereses Percibidos'!$B:$B,Rev!$A27,'Intereses Percibidos'!$C:$C,"&gt;="&amp;Rev!M$1,'Intereses Percibidos'!$C:$C,"&lt;="&amp;EOMONTH(Rev!M$1,0))</f>
        <v>0</v>
      </c>
      <c r="N27" s="423">
        <f>SUMIFS('Intereses Percibidos'!$I:$I,'Intereses Percibidos'!$D:$D,"Intereses - Cash",'Intereses Percibidos'!$B:$B,Rev!$A27,'Intereses Percibidos'!$C:$C,"&gt;="&amp;Rev!N$1,'Intereses Percibidos'!$C:$C,"&lt;="&amp;EOMONTH(Rev!N$1,0))</f>
        <v>0</v>
      </c>
      <c r="O27" s="423">
        <f t="shared" si="5"/>
        <v>0</v>
      </c>
    </row>
    <row r="28" spans="1:15" ht="17.100000000000001">
      <c r="A28" s="425" t="str">
        <f t="shared" si="3"/>
        <v>I</v>
      </c>
      <c r="B28" s="452" t="str">
        <f t="shared" si="4"/>
        <v xml:space="preserve">        Intereses Cash - I</v>
      </c>
      <c r="C28" s="423">
        <f>SUMIFS('Intereses Percibidos'!$I:$I,'Intereses Percibidos'!$D:$D,"Intereses - Cash",'Intereses Percibidos'!$B:$B,Rev!$A28,'Intereses Percibidos'!$C:$C,"&gt;="&amp;Rev!C$1,'Intereses Percibidos'!$C:$C,"&lt;="&amp;EOMONTH(Rev!C$1,0))</f>
        <v>0</v>
      </c>
      <c r="D28" s="423">
        <f>SUMIFS('Intereses Percibidos'!$I:$I,'Intereses Percibidos'!$D:$D,"Intereses - Cash",'Intereses Percibidos'!$B:$B,Rev!$A28,'Intereses Percibidos'!$C:$C,"&gt;="&amp;Rev!D$1,'Intereses Percibidos'!$C:$C,"&lt;="&amp;EOMONTH(Rev!D$1,0))</f>
        <v>0</v>
      </c>
      <c r="E28" s="423">
        <f>SUMIFS('Intereses Percibidos'!$I:$I,'Intereses Percibidos'!$D:$D,"Intereses - Cash",'Intereses Percibidos'!$B:$B,Rev!$A28,'Intereses Percibidos'!$C:$C,"&gt;="&amp;Rev!E$1,'Intereses Percibidos'!$C:$C,"&lt;="&amp;EOMONTH(Rev!E$1,0))</f>
        <v>0</v>
      </c>
      <c r="F28" s="423">
        <f>SUMIFS('Intereses Percibidos'!$I:$I,'Intereses Percibidos'!$D:$D,"Intereses - Cash",'Intereses Percibidos'!$B:$B,Rev!$A28,'Intereses Percibidos'!$C:$C,"&gt;="&amp;Rev!F$1,'Intereses Percibidos'!$C:$C,"&lt;="&amp;EOMONTH(Rev!F$1,0))</f>
        <v>0</v>
      </c>
      <c r="G28" s="423">
        <f>SUMIFS('Intereses Percibidos'!$I:$I,'Intereses Percibidos'!$D:$D,"Intereses - Cash",'Intereses Percibidos'!$B:$B,Rev!$A28,'Intereses Percibidos'!$C:$C,"&gt;="&amp;Rev!G$1,'Intereses Percibidos'!$C:$C,"&lt;="&amp;EOMONTH(Rev!G$1,0))</f>
        <v>0</v>
      </c>
      <c r="H28" s="423">
        <f>SUMIFS('Intereses Percibidos'!$I:$I,'Intereses Percibidos'!$D:$D,"Intereses - Cash",'Intereses Percibidos'!$B:$B,Rev!$A28,'Intereses Percibidos'!$C:$C,"&gt;="&amp;Rev!H$1,'Intereses Percibidos'!$C:$C,"&lt;="&amp;EOMONTH(Rev!H$1,0))</f>
        <v>0</v>
      </c>
      <c r="I28" s="423">
        <f>SUMIFS('Intereses Percibidos'!$I:$I,'Intereses Percibidos'!$D:$D,"Intereses - Cash",'Intereses Percibidos'!$B:$B,Rev!$A28,'Intereses Percibidos'!$C:$C,"&gt;="&amp;Rev!I$1,'Intereses Percibidos'!$C:$C,"&lt;="&amp;EOMONTH(Rev!I$1,0))</f>
        <v>0</v>
      </c>
      <c r="J28" s="423">
        <f>SUMIFS('Intereses Percibidos'!$I:$I,'Intereses Percibidos'!$D:$D,"Intereses - Cash",'Intereses Percibidos'!$B:$B,Rev!$A28,'Intereses Percibidos'!$C:$C,"&gt;="&amp;Rev!J$1,'Intereses Percibidos'!$C:$C,"&lt;="&amp;EOMONTH(Rev!J$1,0))</f>
        <v>0</v>
      </c>
      <c r="K28" s="423">
        <f>SUMIFS('Intereses Percibidos'!$I:$I,'Intereses Percibidos'!$D:$D,"Intereses - Cash",'Intereses Percibidos'!$B:$B,Rev!$A28,'Intereses Percibidos'!$C:$C,"&gt;="&amp;Rev!K$1,'Intereses Percibidos'!$C:$C,"&lt;="&amp;EOMONTH(Rev!K$1,0))</f>
        <v>0</v>
      </c>
      <c r="L28" s="423">
        <f>SUMIFS('Intereses Percibidos'!$I:$I,'Intereses Percibidos'!$D:$D,"Intereses - Cash",'Intereses Percibidos'!$B:$B,Rev!$A28,'Intereses Percibidos'!$C:$C,"&gt;="&amp;Rev!L$1,'Intereses Percibidos'!$C:$C,"&lt;="&amp;EOMONTH(Rev!L$1,0))</f>
        <v>0</v>
      </c>
      <c r="M28" s="423">
        <f>SUMIFS('Intereses Percibidos'!$I:$I,'Intereses Percibidos'!$D:$D,"Intereses - Cash",'Intereses Percibidos'!$B:$B,Rev!$A28,'Intereses Percibidos'!$C:$C,"&gt;="&amp;Rev!M$1,'Intereses Percibidos'!$C:$C,"&lt;="&amp;EOMONTH(Rev!M$1,0))</f>
        <v>0</v>
      </c>
      <c r="N28" s="423">
        <f>SUMIFS('Intereses Percibidos'!$I:$I,'Intereses Percibidos'!$D:$D,"Intereses - Cash",'Intereses Percibidos'!$B:$B,Rev!$A28,'Intereses Percibidos'!$C:$C,"&gt;="&amp;Rev!N$1,'Intereses Percibidos'!$C:$C,"&lt;="&amp;EOMONTH(Rev!N$1,0))</f>
        <v>0</v>
      </c>
      <c r="O28" s="423">
        <f t="shared" si="5"/>
        <v>0</v>
      </c>
    </row>
    <row r="29" spans="1:15" ht="17.100000000000001">
      <c r="A29" s="425" t="str">
        <f t="shared" si="3"/>
        <v>J</v>
      </c>
      <c r="B29" s="452" t="str">
        <f t="shared" si="4"/>
        <v xml:space="preserve">        Intereses Cash - J</v>
      </c>
      <c r="C29" s="423">
        <f>SUMIFS('Intereses Percibidos'!$I:$I,'Intereses Percibidos'!$D:$D,"Intereses - Cash",'Intereses Percibidos'!$B:$B,Rev!$A29,'Intereses Percibidos'!$C:$C,"&gt;="&amp;Rev!C$1,'Intereses Percibidos'!$C:$C,"&lt;="&amp;EOMONTH(Rev!C$1,0))</f>
        <v>0</v>
      </c>
      <c r="D29" s="423">
        <f>SUMIFS('Intereses Percibidos'!$I:$I,'Intereses Percibidos'!$D:$D,"Intereses - Cash",'Intereses Percibidos'!$B:$B,Rev!$A29,'Intereses Percibidos'!$C:$C,"&gt;="&amp;Rev!D$1,'Intereses Percibidos'!$C:$C,"&lt;="&amp;EOMONTH(Rev!D$1,0))</f>
        <v>0</v>
      </c>
      <c r="E29" s="423">
        <f>SUMIFS('Intereses Percibidos'!$I:$I,'Intereses Percibidos'!$D:$D,"Intereses - Cash",'Intereses Percibidos'!$B:$B,Rev!$A29,'Intereses Percibidos'!$C:$C,"&gt;="&amp;Rev!E$1,'Intereses Percibidos'!$C:$C,"&lt;="&amp;EOMONTH(Rev!E$1,0))</f>
        <v>0</v>
      </c>
      <c r="F29" s="423">
        <f>SUMIFS('Intereses Percibidos'!$I:$I,'Intereses Percibidos'!$D:$D,"Intereses - Cash",'Intereses Percibidos'!$B:$B,Rev!$A29,'Intereses Percibidos'!$C:$C,"&gt;="&amp;Rev!F$1,'Intereses Percibidos'!$C:$C,"&lt;="&amp;EOMONTH(Rev!F$1,0))</f>
        <v>0</v>
      </c>
      <c r="G29" s="423">
        <f>SUMIFS('Intereses Percibidos'!$I:$I,'Intereses Percibidos'!$D:$D,"Intereses - Cash",'Intereses Percibidos'!$B:$B,Rev!$A29,'Intereses Percibidos'!$C:$C,"&gt;="&amp;Rev!G$1,'Intereses Percibidos'!$C:$C,"&lt;="&amp;EOMONTH(Rev!G$1,0))</f>
        <v>0</v>
      </c>
      <c r="H29" s="423">
        <f>SUMIFS('Intereses Percibidos'!$I:$I,'Intereses Percibidos'!$D:$D,"Intereses - Cash",'Intereses Percibidos'!$B:$B,Rev!$A29,'Intereses Percibidos'!$C:$C,"&gt;="&amp;Rev!H$1,'Intereses Percibidos'!$C:$C,"&lt;="&amp;EOMONTH(Rev!H$1,0))</f>
        <v>0</v>
      </c>
      <c r="I29" s="423">
        <f>SUMIFS('Intereses Percibidos'!$I:$I,'Intereses Percibidos'!$D:$D,"Intereses - Cash",'Intereses Percibidos'!$B:$B,Rev!$A29,'Intereses Percibidos'!$C:$C,"&gt;="&amp;Rev!I$1,'Intereses Percibidos'!$C:$C,"&lt;="&amp;EOMONTH(Rev!I$1,0))</f>
        <v>0</v>
      </c>
      <c r="J29" s="423">
        <f>SUMIFS('Intereses Percibidos'!$I:$I,'Intereses Percibidos'!$D:$D,"Intereses - Cash",'Intereses Percibidos'!$B:$B,Rev!$A29,'Intereses Percibidos'!$C:$C,"&gt;="&amp;Rev!J$1,'Intereses Percibidos'!$C:$C,"&lt;="&amp;EOMONTH(Rev!J$1,0))</f>
        <v>0</v>
      </c>
      <c r="K29" s="423">
        <f>SUMIFS('Intereses Percibidos'!$I:$I,'Intereses Percibidos'!$D:$D,"Intereses - Cash",'Intereses Percibidos'!$B:$B,Rev!$A29,'Intereses Percibidos'!$C:$C,"&gt;="&amp;Rev!K$1,'Intereses Percibidos'!$C:$C,"&lt;="&amp;EOMONTH(Rev!K$1,0))</f>
        <v>0</v>
      </c>
      <c r="L29" s="423">
        <f>SUMIFS('Intereses Percibidos'!$I:$I,'Intereses Percibidos'!$D:$D,"Intereses - Cash",'Intereses Percibidos'!$B:$B,Rev!$A29,'Intereses Percibidos'!$C:$C,"&gt;="&amp;Rev!L$1,'Intereses Percibidos'!$C:$C,"&lt;="&amp;EOMONTH(Rev!L$1,0))</f>
        <v>0</v>
      </c>
      <c r="M29" s="423">
        <f>SUMIFS('Intereses Percibidos'!$I:$I,'Intereses Percibidos'!$D:$D,"Intereses - Cash",'Intereses Percibidos'!$B:$B,Rev!$A29,'Intereses Percibidos'!$C:$C,"&gt;="&amp;Rev!M$1,'Intereses Percibidos'!$C:$C,"&lt;="&amp;EOMONTH(Rev!M$1,0))</f>
        <v>0</v>
      </c>
      <c r="N29" s="423">
        <f>SUMIFS('Intereses Percibidos'!$I:$I,'Intereses Percibidos'!$D:$D,"Intereses - Cash",'Intereses Percibidos'!$B:$B,Rev!$A29,'Intereses Percibidos'!$C:$C,"&gt;="&amp;Rev!N$1,'Intereses Percibidos'!$C:$C,"&lt;="&amp;EOMONTH(Rev!N$1,0))</f>
        <v>0</v>
      </c>
      <c r="O29" s="423">
        <f t="shared" si="5"/>
        <v>0</v>
      </c>
    </row>
    <row r="30" spans="1:15" ht="17.100000000000001">
      <c r="A30" s="425" t="str">
        <f t="shared" si="3"/>
        <v>K</v>
      </c>
      <c r="B30" s="452" t="str">
        <f t="shared" si="4"/>
        <v xml:space="preserve">        Intereses Cash - K</v>
      </c>
      <c r="C30" s="423">
        <f>SUMIFS('Intereses Percibidos'!$I:$I,'Intereses Percibidos'!$D:$D,"Intereses - Cash",'Intereses Percibidos'!$B:$B,Rev!$A30,'Intereses Percibidos'!$C:$C,"&gt;="&amp;Rev!C$1,'Intereses Percibidos'!$C:$C,"&lt;="&amp;EOMONTH(Rev!C$1,0))</f>
        <v>0</v>
      </c>
      <c r="D30" s="423">
        <f>SUMIFS('Intereses Percibidos'!$I:$I,'Intereses Percibidos'!$D:$D,"Intereses - Cash",'Intereses Percibidos'!$B:$B,Rev!$A30,'Intereses Percibidos'!$C:$C,"&gt;="&amp;Rev!D$1,'Intereses Percibidos'!$C:$C,"&lt;="&amp;EOMONTH(Rev!D$1,0))</f>
        <v>0</v>
      </c>
      <c r="E30" s="423">
        <f>SUMIFS('Intereses Percibidos'!$I:$I,'Intereses Percibidos'!$D:$D,"Intereses - Cash",'Intereses Percibidos'!$B:$B,Rev!$A30,'Intereses Percibidos'!$C:$C,"&gt;="&amp;Rev!E$1,'Intereses Percibidos'!$C:$C,"&lt;="&amp;EOMONTH(Rev!E$1,0))</f>
        <v>0</v>
      </c>
      <c r="F30" s="423">
        <f>SUMIFS('Intereses Percibidos'!$I:$I,'Intereses Percibidos'!$D:$D,"Intereses - Cash",'Intereses Percibidos'!$B:$B,Rev!$A30,'Intereses Percibidos'!$C:$C,"&gt;="&amp;Rev!F$1,'Intereses Percibidos'!$C:$C,"&lt;="&amp;EOMONTH(Rev!F$1,0))</f>
        <v>0</v>
      </c>
      <c r="G30" s="423">
        <f>SUMIFS('Intereses Percibidos'!$I:$I,'Intereses Percibidos'!$D:$D,"Intereses - Cash",'Intereses Percibidos'!$B:$B,Rev!$A30,'Intereses Percibidos'!$C:$C,"&gt;="&amp;Rev!G$1,'Intereses Percibidos'!$C:$C,"&lt;="&amp;EOMONTH(Rev!G$1,0))</f>
        <v>0</v>
      </c>
      <c r="H30" s="423">
        <f>SUMIFS('Intereses Percibidos'!$I:$I,'Intereses Percibidos'!$D:$D,"Intereses - Cash",'Intereses Percibidos'!$B:$B,Rev!$A30,'Intereses Percibidos'!$C:$C,"&gt;="&amp;Rev!H$1,'Intereses Percibidos'!$C:$C,"&lt;="&amp;EOMONTH(Rev!H$1,0))</f>
        <v>0</v>
      </c>
      <c r="I30" s="423">
        <f>SUMIFS('Intereses Percibidos'!$I:$I,'Intereses Percibidos'!$D:$D,"Intereses - Cash",'Intereses Percibidos'!$B:$B,Rev!$A30,'Intereses Percibidos'!$C:$C,"&gt;="&amp;Rev!I$1,'Intereses Percibidos'!$C:$C,"&lt;="&amp;EOMONTH(Rev!I$1,0))</f>
        <v>0</v>
      </c>
      <c r="J30" s="423">
        <f>SUMIFS('Intereses Percibidos'!$I:$I,'Intereses Percibidos'!$D:$D,"Intereses - Cash",'Intereses Percibidos'!$B:$B,Rev!$A30,'Intereses Percibidos'!$C:$C,"&gt;="&amp;Rev!J$1,'Intereses Percibidos'!$C:$C,"&lt;="&amp;EOMONTH(Rev!J$1,0))</f>
        <v>0</v>
      </c>
      <c r="K30" s="423">
        <f>SUMIFS('Intereses Percibidos'!$I:$I,'Intereses Percibidos'!$D:$D,"Intereses - Cash",'Intereses Percibidos'!$B:$B,Rev!$A30,'Intereses Percibidos'!$C:$C,"&gt;="&amp;Rev!K$1,'Intereses Percibidos'!$C:$C,"&lt;="&amp;EOMONTH(Rev!K$1,0))</f>
        <v>0</v>
      </c>
      <c r="L30" s="423">
        <f>SUMIFS('Intereses Percibidos'!$I:$I,'Intereses Percibidos'!$D:$D,"Intereses - Cash",'Intereses Percibidos'!$B:$B,Rev!$A30,'Intereses Percibidos'!$C:$C,"&gt;="&amp;Rev!L$1,'Intereses Percibidos'!$C:$C,"&lt;="&amp;EOMONTH(Rev!L$1,0))</f>
        <v>0</v>
      </c>
      <c r="M30" s="423">
        <f>SUMIFS('Intereses Percibidos'!$I:$I,'Intereses Percibidos'!$D:$D,"Intereses - Cash",'Intereses Percibidos'!$B:$B,Rev!$A30,'Intereses Percibidos'!$C:$C,"&gt;="&amp;Rev!M$1,'Intereses Percibidos'!$C:$C,"&lt;="&amp;EOMONTH(Rev!M$1,0))</f>
        <v>0</v>
      </c>
      <c r="N30" s="423">
        <f>SUMIFS('Intereses Percibidos'!$I:$I,'Intereses Percibidos'!$D:$D,"Intereses - Cash",'Intereses Percibidos'!$B:$B,Rev!$A30,'Intereses Percibidos'!$C:$C,"&gt;="&amp;Rev!N$1,'Intereses Percibidos'!$C:$C,"&lt;="&amp;EOMONTH(Rev!N$1,0))</f>
        <v>0</v>
      </c>
      <c r="O30" s="423">
        <f t="shared" si="5"/>
        <v>0</v>
      </c>
    </row>
    <row r="31" spans="1:15" ht="17.100000000000001">
      <c r="A31" s="416"/>
      <c r="B31" s="426" t="s">
        <v>816</v>
      </c>
      <c r="C31" s="427">
        <f>SUM(C20:C30)</f>
        <v>32.239999999999995</v>
      </c>
      <c r="D31" s="427">
        <f t="shared" ref="D31:O31" si="6">SUM(D20:D30)</f>
        <v>26.389054999999999</v>
      </c>
      <c r="E31" s="427">
        <f t="shared" si="6"/>
        <v>24.44</v>
      </c>
      <c r="F31" s="427">
        <f t="shared" si="6"/>
        <v>61.97</v>
      </c>
      <c r="G31" s="427">
        <f t="shared" si="6"/>
        <v>139.76</v>
      </c>
      <c r="H31" s="427">
        <f t="shared" si="6"/>
        <v>148.36000000000001</v>
      </c>
      <c r="I31" s="427">
        <f t="shared" si="6"/>
        <v>378.89</v>
      </c>
      <c r="J31" s="427">
        <f t="shared" si="6"/>
        <v>805.31831699999998</v>
      </c>
      <c r="K31" s="427">
        <f t="shared" si="6"/>
        <v>3158.1710400000002</v>
      </c>
      <c r="L31" s="427">
        <f t="shared" si="6"/>
        <v>3935.3942280000001</v>
      </c>
      <c r="M31" s="427">
        <f t="shared" si="6"/>
        <v>3504.2868129999997</v>
      </c>
      <c r="N31" s="427">
        <f t="shared" si="6"/>
        <v>4083.2367189999995</v>
      </c>
      <c r="O31" s="427">
        <f t="shared" si="6"/>
        <v>16298.456172000002</v>
      </c>
    </row>
    <row r="32" spans="1:15" ht="17.100000000000001">
      <c r="A32" s="416"/>
      <c r="B32" s="420"/>
      <c r="C32" s="423"/>
      <c r="D32" s="423"/>
      <c r="E32" s="423"/>
      <c r="F32" s="423"/>
      <c r="G32" s="423"/>
      <c r="H32" s="423"/>
      <c r="I32" s="423"/>
      <c r="J32" s="423"/>
      <c r="K32" s="423"/>
      <c r="L32" s="423"/>
      <c r="M32" s="423"/>
      <c r="N32" s="423"/>
      <c r="O32" s="423"/>
    </row>
    <row r="33" spans="1:15" ht="17.100000000000001">
      <c r="A33" s="416"/>
      <c r="B33" s="420" t="s">
        <v>817</v>
      </c>
      <c r="C33" s="423"/>
      <c r="D33" s="423"/>
      <c r="E33" s="423"/>
      <c r="F33" s="423"/>
      <c r="G33" s="423"/>
      <c r="H33" s="423"/>
      <c r="I33" s="423"/>
      <c r="J33" s="423"/>
      <c r="K33" s="423"/>
      <c r="L33" s="423"/>
      <c r="M33" s="423"/>
      <c r="N33" s="423"/>
      <c r="O33" s="423"/>
    </row>
    <row r="34" spans="1:15" ht="17.100000000000001">
      <c r="A34" s="425">
        <f>+A20</f>
        <v>1175000</v>
      </c>
      <c r="B34" s="452" t="str">
        <f>+CONCATENATE("        Intereses Commitment - ",A34)</f>
        <v xml:space="preserve">        Intereses Commitment - 1175000</v>
      </c>
      <c r="C34" s="423">
        <f>+SUMIFS('Intereses Percibidos'!$I:$I,'Intereses Percibidos'!$D:$D,"Intereses - Commitment",'Intereses Percibidos'!$B:$B,Rev!$A34,'Intereses Percibidos'!$C:$C,"&gt;="&amp;Rev!C$1,'Intereses Percibidos'!$C:$C,"&lt;="&amp;EOMONTH(Rev!C$1,0))</f>
        <v>0</v>
      </c>
      <c r="D34" s="423">
        <f>+SUMIFS('Intereses Percibidos'!$I:$I,'Intereses Percibidos'!$D:$D,"Intereses - Commitment",'Intereses Percibidos'!$B:$B,Rev!$A34,'Intereses Percibidos'!$C:$C,"&gt;="&amp;Rev!D$1,'Intereses Percibidos'!$C:$C,"&lt;="&amp;EOMONTH(Rev!D$1,0))</f>
        <v>0</v>
      </c>
      <c r="E34" s="423">
        <f>+SUMIFS('Intereses Percibidos'!$I:$I,'Intereses Percibidos'!$D:$D,"Intereses - Commitment",'Intereses Percibidos'!$B:$B,Rev!$A34,'Intereses Percibidos'!$C:$C,"&gt;="&amp;Rev!E$1,'Intereses Percibidos'!$C:$C,"&lt;="&amp;EOMONTH(Rev!E$1,0))</f>
        <v>0</v>
      </c>
      <c r="F34" s="423">
        <f>+SUMIFS('Intereses Percibidos'!$I:$I,'Intereses Percibidos'!$D:$D,"Intereses - Commitment",'Intereses Percibidos'!$B:$B,Rev!$A34,'Intereses Percibidos'!$C:$C,"&gt;="&amp;Rev!F$1,'Intereses Percibidos'!$C:$C,"&lt;="&amp;EOMONTH(Rev!F$1,0))</f>
        <v>0</v>
      </c>
      <c r="G34" s="423">
        <f>+SUMIFS('Intereses Percibidos'!$I:$I,'Intereses Percibidos'!$D:$D,"Intereses - Commitment",'Intereses Percibidos'!$B:$B,Rev!$A34,'Intereses Percibidos'!$C:$C,"&gt;="&amp;Rev!G$1,'Intereses Percibidos'!$C:$C,"&lt;="&amp;EOMONTH(Rev!G$1,0))</f>
        <v>0</v>
      </c>
      <c r="H34" s="423">
        <f>+SUMIFS('Intereses Percibidos'!$I:$I,'Intereses Percibidos'!$D:$D,"Intereses - Commitment",'Intereses Percibidos'!$B:$B,Rev!$A34,'Intereses Percibidos'!$C:$C,"&gt;="&amp;Rev!H$1,'Intereses Percibidos'!$C:$C,"&lt;="&amp;EOMONTH(Rev!H$1,0))</f>
        <v>0</v>
      </c>
      <c r="I34" s="423">
        <f>+SUMIFS('Intereses Percibidos'!$I:$I,'Intereses Percibidos'!$D:$D,"Intereses - Commitment",'Intereses Percibidos'!$B:$B,Rev!$A34,'Intereses Percibidos'!$C:$C,"&gt;="&amp;Rev!I$1,'Intereses Percibidos'!$C:$C,"&lt;="&amp;EOMONTH(Rev!I$1,0))</f>
        <v>0</v>
      </c>
      <c r="J34" s="423">
        <f>+SUMIFS('Intereses Percibidos'!$I:$I,'Intereses Percibidos'!$D:$D,"Intereses - Commitment",'Intereses Percibidos'!$B:$B,Rev!$A34,'Intereses Percibidos'!$C:$C,"&gt;="&amp;Rev!J$1,'Intereses Percibidos'!$C:$C,"&lt;="&amp;EOMONTH(Rev!J$1,0))</f>
        <v>0</v>
      </c>
      <c r="K34" s="423">
        <f>+SUMIFS('Intereses Percibidos'!$I:$I,'Intereses Percibidos'!$D:$D,"Intereses - Commitment",'Intereses Percibidos'!$B:$B,Rev!$A34,'Intereses Percibidos'!$C:$C,"&gt;="&amp;Rev!K$1,'Intereses Percibidos'!$C:$C,"&lt;="&amp;EOMONTH(Rev!K$1,0))</f>
        <v>0</v>
      </c>
      <c r="L34" s="423">
        <f>+SUMIFS('Intereses Percibidos'!$I:$I,'Intereses Percibidos'!$D:$D,"Intereses - Commitment",'Intereses Percibidos'!$B:$B,Rev!$A34,'Intereses Percibidos'!$C:$C,"&gt;="&amp;Rev!L$1,'Intereses Percibidos'!$C:$C,"&lt;="&amp;EOMONTH(Rev!L$1,0))</f>
        <v>0</v>
      </c>
      <c r="M34" s="423">
        <f>+SUMIFS('Intereses Percibidos'!$I:$I,'Intereses Percibidos'!$D:$D,"Intereses - Commitment",'Intereses Percibidos'!$B:$B,Rev!$A34,'Intereses Percibidos'!$C:$C,"&gt;="&amp;Rev!M$1,'Intereses Percibidos'!$C:$C,"&lt;="&amp;EOMONTH(Rev!M$1,0))</f>
        <v>0</v>
      </c>
      <c r="N34" s="423">
        <f>+SUMIFS('Intereses Percibidos'!$I:$I,'Intereses Percibidos'!$D:$D,"Intereses - Commitment",'Intereses Percibidos'!$B:$B,Rev!$A34,'Intereses Percibidos'!$C:$C,"&gt;="&amp;Rev!N$1,'Intereses Percibidos'!$C:$C,"&lt;="&amp;EOMONTH(Rev!N$1,0))</f>
        <v>0</v>
      </c>
      <c r="O34" s="423">
        <f>SUM(C34:N34)</f>
        <v>0</v>
      </c>
    </row>
    <row r="35" spans="1:15" ht="17.100000000000001">
      <c r="A35" s="425">
        <f t="shared" ref="A35:A44" si="7">+A21</f>
        <v>1179000</v>
      </c>
      <c r="B35" s="452" t="str">
        <f t="shared" ref="B35:B44" si="8">+CONCATENATE("        Intereses Commitment - ",A35)</f>
        <v xml:space="preserve">        Intereses Commitment - 1179000</v>
      </c>
      <c r="C35" s="423">
        <f>+SUMIFS('Intereses Percibidos'!$I:$I,'Intereses Percibidos'!$D:$D,"Intereses - Commitment",'Intereses Percibidos'!$B:$B,Rev!$A35,'Intereses Percibidos'!$C:$C,"&gt;="&amp;Rev!C$1,'Intereses Percibidos'!$C:$C,"&lt;="&amp;EOMONTH(Rev!C$1,0))</f>
        <v>0</v>
      </c>
      <c r="D35" s="423">
        <f>+SUMIFS('Intereses Percibidos'!$I:$I,'Intereses Percibidos'!$D:$D,"Intereses - Commitment",'Intereses Percibidos'!$B:$B,Rev!$A35,'Intereses Percibidos'!$C:$C,"&gt;="&amp;Rev!D$1,'Intereses Percibidos'!$C:$C,"&lt;="&amp;EOMONTH(Rev!D$1,0))</f>
        <v>0</v>
      </c>
      <c r="E35" s="423">
        <f>+SUMIFS('Intereses Percibidos'!$I:$I,'Intereses Percibidos'!$D:$D,"Intereses - Commitment",'Intereses Percibidos'!$B:$B,Rev!$A35,'Intereses Percibidos'!$C:$C,"&gt;="&amp;Rev!E$1,'Intereses Percibidos'!$C:$C,"&lt;="&amp;EOMONTH(Rev!E$1,0))</f>
        <v>0</v>
      </c>
      <c r="F35" s="423">
        <f>+SUMIFS('Intereses Percibidos'!$I:$I,'Intereses Percibidos'!$D:$D,"Intereses - Commitment",'Intereses Percibidos'!$B:$B,Rev!$A35,'Intereses Percibidos'!$C:$C,"&gt;="&amp;Rev!F$1,'Intereses Percibidos'!$C:$C,"&lt;="&amp;EOMONTH(Rev!F$1,0))</f>
        <v>0</v>
      </c>
      <c r="G35" s="423">
        <f>+SUMIFS('Intereses Percibidos'!$I:$I,'Intereses Percibidos'!$D:$D,"Intereses - Commitment",'Intereses Percibidos'!$B:$B,Rev!$A35,'Intereses Percibidos'!$C:$C,"&gt;="&amp;Rev!G$1,'Intereses Percibidos'!$C:$C,"&lt;="&amp;EOMONTH(Rev!G$1,0))</f>
        <v>0</v>
      </c>
      <c r="H35" s="423">
        <f>+SUMIFS('Intereses Percibidos'!$I:$I,'Intereses Percibidos'!$D:$D,"Intereses - Commitment",'Intereses Percibidos'!$B:$B,Rev!$A35,'Intereses Percibidos'!$C:$C,"&gt;="&amp;Rev!H$1,'Intereses Percibidos'!$C:$C,"&lt;="&amp;EOMONTH(Rev!H$1,0))</f>
        <v>0</v>
      </c>
      <c r="I35" s="423">
        <f>+SUMIFS('Intereses Percibidos'!$I:$I,'Intereses Percibidos'!$D:$D,"Intereses - Commitment",'Intereses Percibidos'!$B:$B,Rev!$A35,'Intereses Percibidos'!$C:$C,"&gt;="&amp;Rev!I$1,'Intereses Percibidos'!$C:$C,"&lt;="&amp;EOMONTH(Rev!I$1,0))</f>
        <v>0</v>
      </c>
      <c r="J35" s="423">
        <f>+SUMIFS('Intereses Percibidos'!$I:$I,'Intereses Percibidos'!$D:$D,"Intereses - Commitment",'Intereses Percibidos'!$B:$B,Rev!$A35,'Intereses Percibidos'!$C:$C,"&gt;="&amp;Rev!J$1,'Intereses Percibidos'!$C:$C,"&lt;="&amp;EOMONTH(Rev!J$1,0))</f>
        <v>0</v>
      </c>
      <c r="K35" s="423">
        <f>+SUMIFS('Intereses Percibidos'!$I:$I,'Intereses Percibidos'!$D:$D,"Intereses - Commitment",'Intereses Percibidos'!$B:$B,Rev!$A35,'Intereses Percibidos'!$C:$C,"&gt;="&amp;Rev!K$1,'Intereses Percibidos'!$C:$C,"&lt;="&amp;EOMONTH(Rev!K$1,0))</f>
        <v>0</v>
      </c>
      <c r="L35" s="423">
        <f>+SUMIFS('Intereses Percibidos'!$I:$I,'Intereses Percibidos'!$D:$D,"Intereses - Commitment",'Intereses Percibidos'!$B:$B,Rev!$A35,'Intereses Percibidos'!$C:$C,"&gt;="&amp;Rev!L$1,'Intereses Percibidos'!$C:$C,"&lt;="&amp;EOMONTH(Rev!L$1,0))</f>
        <v>0</v>
      </c>
      <c r="M35" s="423">
        <f>+SUMIFS('Intereses Percibidos'!$I:$I,'Intereses Percibidos'!$D:$D,"Intereses - Commitment",'Intereses Percibidos'!$B:$B,Rev!$A35,'Intereses Percibidos'!$C:$C,"&gt;="&amp;Rev!M$1,'Intereses Percibidos'!$C:$C,"&lt;="&amp;EOMONTH(Rev!M$1,0))</f>
        <v>0</v>
      </c>
      <c r="N35" s="423">
        <f>+SUMIFS('Intereses Percibidos'!$I:$I,'Intereses Percibidos'!$D:$D,"Intereses - Commitment",'Intereses Percibidos'!$B:$B,Rev!$A35,'Intereses Percibidos'!$C:$C,"&gt;="&amp;Rev!N$1,'Intereses Percibidos'!$C:$C,"&lt;="&amp;EOMONTH(Rev!N$1,0))</f>
        <v>0</v>
      </c>
      <c r="O35" s="423">
        <f>SUM(C35:N35)</f>
        <v>0</v>
      </c>
    </row>
    <row r="36" spans="1:15" ht="17.100000000000001">
      <c r="A36" s="425">
        <f t="shared" si="7"/>
        <v>1427200</v>
      </c>
      <c r="B36" s="452" t="str">
        <f t="shared" si="8"/>
        <v xml:space="preserve">        Intereses Commitment - 1427200</v>
      </c>
      <c r="C36" s="423">
        <f>+SUMIFS('Intereses Percibidos'!$I:$I,'Intereses Percibidos'!$D:$D,"Intereses - Commitment",'Intereses Percibidos'!$B:$B,Rev!$A36,'Intereses Percibidos'!$C:$C,"&gt;="&amp;Rev!C$1,'Intereses Percibidos'!$C:$C,"&lt;="&amp;EOMONTH(Rev!C$1,0))</f>
        <v>0</v>
      </c>
      <c r="D36" s="423">
        <f>+SUMIFS('Intereses Percibidos'!$I:$I,'Intereses Percibidos'!$D:$D,"Intereses - Commitment",'Intereses Percibidos'!$B:$B,Rev!$A36,'Intereses Percibidos'!$C:$C,"&gt;="&amp;Rev!D$1,'Intereses Percibidos'!$C:$C,"&lt;="&amp;EOMONTH(Rev!D$1,0))</f>
        <v>0</v>
      </c>
      <c r="E36" s="423">
        <f>+SUMIFS('Intereses Percibidos'!$I:$I,'Intereses Percibidos'!$D:$D,"Intereses - Commitment",'Intereses Percibidos'!$B:$B,Rev!$A36,'Intereses Percibidos'!$C:$C,"&gt;="&amp;Rev!E$1,'Intereses Percibidos'!$C:$C,"&lt;="&amp;EOMONTH(Rev!E$1,0))</f>
        <v>0</v>
      </c>
      <c r="F36" s="423">
        <f>+SUMIFS('Intereses Percibidos'!$I:$I,'Intereses Percibidos'!$D:$D,"Intereses - Commitment",'Intereses Percibidos'!$B:$B,Rev!$A36,'Intereses Percibidos'!$C:$C,"&gt;="&amp;Rev!F$1,'Intereses Percibidos'!$C:$C,"&lt;="&amp;EOMONTH(Rev!F$1,0))</f>
        <v>0</v>
      </c>
      <c r="G36" s="423">
        <f>+SUMIFS('Intereses Percibidos'!$I:$I,'Intereses Percibidos'!$D:$D,"Intereses - Commitment",'Intereses Percibidos'!$B:$B,Rev!$A36,'Intereses Percibidos'!$C:$C,"&gt;="&amp;Rev!G$1,'Intereses Percibidos'!$C:$C,"&lt;="&amp;EOMONTH(Rev!G$1,0))</f>
        <v>0</v>
      </c>
      <c r="H36" s="423">
        <f>+SUMIFS('Intereses Percibidos'!$I:$I,'Intereses Percibidos'!$D:$D,"Intereses - Commitment",'Intereses Percibidos'!$B:$B,Rev!$A36,'Intereses Percibidos'!$C:$C,"&gt;="&amp;Rev!H$1,'Intereses Percibidos'!$C:$C,"&lt;="&amp;EOMONTH(Rev!H$1,0))</f>
        <v>0</v>
      </c>
      <c r="I36" s="423">
        <f>+SUMIFS('Intereses Percibidos'!$I:$I,'Intereses Percibidos'!$D:$D,"Intereses - Commitment",'Intereses Percibidos'!$B:$B,Rev!$A36,'Intereses Percibidos'!$C:$C,"&gt;="&amp;Rev!I$1,'Intereses Percibidos'!$C:$C,"&lt;="&amp;EOMONTH(Rev!I$1,0))</f>
        <v>0</v>
      </c>
      <c r="J36" s="423">
        <f>+SUMIFS('Intereses Percibidos'!$I:$I,'Intereses Percibidos'!$D:$D,"Intereses - Commitment",'Intereses Percibidos'!$B:$B,Rev!$A36,'Intereses Percibidos'!$C:$C,"&gt;="&amp;Rev!J$1,'Intereses Percibidos'!$C:$C,"&lt;="&amp;EOMONTH(Rev!J$1,0))</f>
        <v>0</v>
      </c>
      <c r="K36" s="423">
        <f>+SUMIFS('Intereses Percibidos'!$I:$I,'Intereses Percibidos'!$D:$D,"Intereses - Commitment",'Intereses Percibidos'!$B:$B,Rev!$A36,'Intereses Percibidos'!$C:$C,"&gt;="&amp;Rev!K$1,'Intereses Percibidos'!$C:$C,"&lt;="&amp;EOMONTH(Rev!K$1,0))</f>
        <v>0</v>
      </c>
      <c r="L36" s="423">
        <f>+SUMIFS('Intereses Percibidos'!$I:$I,'Intereses Percibidos'!$D:$D,"Intereses - Commitment",'Intereses Percibidos'!$B:$B,Rev!$A36,'Intereses Percibidos'!$C:$C,"&gt;="&amp;Rev!L$1,'Intereses Percibidos'!$C:$C,"&lt;="&amp;EOMONTH(Rev!L$1,0))</f>
        <v>0</v>
      </c>
      <c r="M36" s="423">
        <f>+SUMIFS('Intereses Percibidos'!$I:$I,'Intereses Percibidos'!$D:$D,"Intereses - Commitment",'Intereses Percibidos'!$B:$B,Rev!$A36,'Intereses Percibidos'!$C:$C,"&gt;="&amp;Rev!M$1,'Intereses Percibidos'!$C:$C,"&lt;="&amp;EOMONTH(Rev!M$1,0))</f>
        <v>0</v>
      </c>
      <c r="N36" s="423">
        <f>+SUMIFS('Intereses Percibidos'!$I:$I,'Intereses Percibidos'!$D:$D,"Intereses - Commitment",'Intereses Percibidos'!$B:$B,Rev!$A36,'Intereses Percibidos'!$C:$C,"&gt;="&amp;Rev!N$1,'Intereses Percibidos'!$C:$C,"&lt;="&amp;EOMONTH(Rev!N$1,0))</f>
        <v>0</v>
      </c>
      <c r="O36" s="423">
        <f t="shared" ref="O36:O44" si="9">SUM(C36:N36)</f>
        <v>0</v>
      </c>
    </row>
    <row r="37" spans="1:15" ht="17.100000000000001">
      <c r="A37" s="425" t="str">
        <f t="shared" si="7"/>
        <v>B22235000</v>
      </c>
      <c r="B37" s="452" t="str">
        <f t="shared" si="8"/>
        <v xml:space="preserve">        Intereses Commitment - B22235000</v>
      </c>
      <c r="C37" s="423">
        <f>+SUMIFS('Intereses Percibidos'!$I:$I,'Intereses Percibidos'!$D:$D,"Intereses - Commitment",'Intereses Percibidos'!$B:$B,Rev!$A37,'Intereses Percibidos'!$C:$C,"&gt;="&amp;Rev!C$1,'Intereses Percibidos'!$C:$C,"&lt;="&amp;EOMONTH(Rev!C$1,0))</f>
        <v>0</v>
      </c>
      <c r="D37" s="423">
        <f>+SUMIFS('Intereses Percibidos'!$I:$I,'Intereses Percibidos'!$D:$D,"Intereses - Commitment",'Intereses Percibidos'!$B:$B,Rev!$A37,'Intereses Percibidos'!$C:$C,"&gt;="&amp;Rev!D$1,'Intereses Percibidos'!$C:$C,"&lt;="&amp;EOMONTH(Rev!D$1,0))</f>
        <v>0</v>
      </c>
      <c r="E37" s="423">
        <f>+SUMIFS('Intereses Percibidos'!$I:$I,'Intereses Percibidos'!$D:$D,"Intereses - Commitment",'Intereses Percibidos'!$B:$B,Rev!$A37,'Intereses Percibidos'!$C:$C,"&gt;="&amp;Rev!E$1,'Intereses Percibidos'!$C:$C,"&lt;="&amp;EOMONTH(Rev!E$1,0))</f>
        <v>0</v>
      </c>
      <c r="F37" s="423">
        <f>+SUMIFS('Intereses Percibidos'!$I:$I,'Intereses Percibidos'!$D:$D,"Intereses - Commitment",'Intereses Percibidos'!$B:$B,Rev!$A37,'Intereses Percibidos'!$C:$C,"&gt;="&amp;Rev!F$1,'Intereses Percibidos'!$C:$C,"&lt;="&amp;EOMONTH(Rev!F$1,0))</f>
        <v>0</v>
      </c>
      <c r="G37" s="423">
        <f>+SUMIFS('Intereses Percibidos'!$I:$I,'Intereses Percibidos'!$D:$D,"Intereses - Commitment",'Intereses Percibidos'!$B:$B,Rev!$A37,'Intereses Percibidos'!$C:$C,"&gt;="&amp;Rev!G$1,'Intereses Percibidos'!$C:$C,"&lt;="&amp;EOMONTH(Rev!G$1,0))</f>
        <v>0</v>
      </c>
      <c r="H37" s="423">
        <f>+SUMIFS('Intereses Percibidos'!$I:$I,'Intereses Percibidos'!$D:$D,"Intereses - Commitment",'Intereses Percibidos'!$B:$B,Rev!$A37,'Intereses Percibidos'!$C:$C,"&gt;="&amp;Rev!H$1,'Intereses Percibidos'!$C:$C,"&lt;="&amp;EOMONTH(Rev!H$1,0))</f>
        <v>0</v>
      </c>
      <c r="I37" s="423">
        <f>+SUMIFS('Intereses Percibidos'!$I:$I,'Intereses Percibidos'!$D:$D,"Intereses - Commitment",'Intereses Percibidos'!$B:$B,Rev!$A37,'Intereses Percibidos'!$C:$C,"&gt;="&amp;Rev!I$1,'Intereses Percibidos'!$C:$C,"&lt;="&amp;EOMONTH(Rev!I$1,0))</f>
        <v>0</v>
      </c>
      <c r="J37" s="423">
        <f>+SUMIFS('Intereses Percibidos'!$I:$I,'Intereses Percibidos'!$D:$D,"Intereses - Commitment",'Intereses Percibidos'!$B:$B,Rev!$A37,'Intereses Percibidos'!$C:$C,"&gt;="&amp;Rev!J$1,'Intereses Percibidos'!$C:$C,"&lt;="&amp;EOMONTH(Rev!J$1,0))</f>
        <v>0</v>
      </c>
      <c r="K37" s="423">
        <f>+SUMIFS('Intereses Percibidos'!$I:$I,'Intereses Percibidos'!$D:$D,"Intereses - Commitment",'Intereses Percibidos'!$B:$B,Rev!$A37,'Intereses Percibidos'!$C:$C,"&gt;="&amp;Rev!K$1,'Intereses Percibidos'!$C:$C,"&lt;="&amp;EOMONTH(Rev!K$1,0))</f>
        <v>0</v>
      </c>
      <c r="L37" s="423">
        <f>+SUMIFS('Intereses Percibidos'!$I:$I,'Intereses Percibidos'!$D:$D,"Intereses - Commitment",'Intereses Percibidos'!$B:$B,Rev!$A37,'Intereses Percibidos'!$C:$C,"&gt;="&amp;Rev!L$1,'Intereses Percibidos'!$C:$C,"&lt;="&amp;EOMONTH(Rev!L$1,0))</f>
        <v>0</v>
      </c>
      <c r="M37" s="423">
        <f>+SUMIFS('Intereses Percibidos'!$I:$I,'Intereses Percibidos'!$D:$D,"Intereses - Commitment",'Intereses Percibidos'!$B:$B,Rev!$A37,'Intereses Percibidos'!$C:$C,"&gt;="&amp;Rev!M$1,'Intereses Percibidos'!$C:$C,"&lt;="&amp;EOMONTH(Rev!M$1,0))</f>
        <v>0</v>
      </c>
      <c r="N37" s="423">
        <f>+SUMIFS('Intereses Percibidos'!$I:$I,'Intereses Percibidos'!$D:$D,"Intereses - Commitment",'Intereses Percibidos'!$B:$B,Rev!$A37,'Intereses Percibidos'!$C:$C,"&gt;="&amp;Rev!N$1,'Intereses Percibidos'!$C:$C,"&lt;="&amp;EOMONTH(Rev!N$1,0))</f>
        <v>0</v>
      </c>
      <c r="O37" s="423">
        <f t="shared" si="9"/>
        <v>0</v>
      </c>
    </row>
    <row r="38" spans="1:15" ht="17.100000000000001">
      <c r="A38" s="425">
        <f t="shared" si="7"/>
        <v>700833580</v>
      </c>
      <c r="B38" s="452" t="str">
        <f t="shared" si="8"/>
        <v xml:space="preserve">        Intereses Commitment - 700833580</v>
      </c>
      <c r="C38" s="423">
        <f>+SUMIFS('Intereses Percibidos'!$I:$I,'Intereses Percibidos'!$D:$D,"Intereses - Commitment",'Intereses Percibidos'!$B:$B,Rev!$A38,'Intereses Percibidos'!$C:$C,"&gt;="&amp;Rev!C$1,'Intereses Percibidos'!$C:$C,"&lt;="&amp;EOMONTH(Rev!C$1,0))</f>
        <v>0</v>
      </c>
      <c r="D38" s="423">
        <f>+SUMIFS('Intereses Percibidos'!$I:$I,'Intereses Percibidos'!$D:$D,"Intereses - Commitment",'Intereses Percibidos'!$B:$B,Rev!$A38,'Intereses Percibidos'!$C:$C,"&gt;="&amp;Rev!D$1,'Intereses Percibidos'!$C:$C,"&lt;="&amp;EOMONTH(Rev!D$1,0))</f>
        <v>0</v>
      </c>
      <c r="E38" s="423">
        <f>+SUMIFS('Intereses Percibidos'!$I:$I,'Intereses Percibidos'!$D:$D,"Intereses - Commitment",'Intereses Percibidos'!$B:$B,Rev!$A38,'Intereses Percibidos'!$C:$C,"&gt;="&amp;Rev!E$1,'Intereses Percibidos'!$C:$C,"&lt;="&amp;EOMONTH(Rev!E$1,0))</f>
        <v>0</v>
      </c>
      <c r="F38" s="423">
        <f>+SUMIFS('Intereses Percibidos'!$I:$I,'Intereses Percibidos'!$D:$D,"Intereses - Commitment",'Intereses Percibidos'!$B:$B,Rev!$A38,'Intereses Percibidos'!$C:$C,"&gt;="&amp;Rev!F$1,'Intereses Percibidos'!$C:$C,"&lt;="&amp;EOMONTH(Rev!F$1,0))</f>
        <v>0</v>
      </c>
      <c r="G38" s="423">
        <f>+SUMIFS('Intereses Percibidos'!$I:$I,'Intereses Percibidos'!$D:$D,"Intereses - Commitment",'Intereses Percibidos'!$B:$B,Rev!$A38,'Intereses Percibidos'!$C:$C,"&gt;="&amp;Rev!G$1,'Intereses Percibidos'!$C:$C,"&lt;="&amp;EOMONTH(Rev!G$1,0))</f>
        <v>0</v>
      </c>
      <c r="H38" s="423">
        <f>+SUMIFS('Intereses Percibidos'!$I:$I,'Intereses Percibidos'!$D:$D,"Intereses - Commitment",'Intereses Percibidos'!$B:$B,Rev!$A38,'Intereses Percibidos'!$C:$C,"&gt;="&amp;Rev!H$1,'Intereses Percibidos'!$C:$C,"&lt;="&amp;EOMONTH(Rev!H$1,0))</f>
        <v>0</v>
      </c>
      <c r="I38" s="423">
        <f>+SUMIFS('Intereses Percibidos'!$I:$I,'Intereses Percibidos'!$D:$D,"Intereses - Commitment",'Intereses Percibidos'!$B:$B,Rev!$A38,'Intereses Percibidos'!$C:$C,"&gt;="&amp;Rev!I$1,'Intereses Percibidos'!$C:$C,"&lt;="&amp;EOMONTH(Rev!I$1,0))</f>
        <v>0</v>
      </c>
      <c r="J38" s="423">
        <f>+SUMIFS('Intereses Percibidos'!$I:$I,'Intereses Percibidos'!$D:$D,"Intereses - Commitment",'Intereses Percibidos'!$B:$B,Rev!$A38,'Intereses Percibidos'!$C:$C,"&gt;="&amp;Rev!J$1,'Intereses Percibidos'!$C:$C,"&lt;="&amp;EOMONTH(Rev!J$1,0))</f>
        <v>0</v>
      </c>
      <c r="K38" s="423">
        <f>+SUMIFS('Intereses Percibidos'!$I:$I,'Intereses Percibidos'!$D:$D,"Intereses - Commitment",'Intereses Percibidos'!$B:$B,Rev!$A38,'Intereses Percibidos'!$C:$C,"&gt;="&amp;Rev!K$1,'Intereses Percibidos'!$C:$C,"&lt;="&amp;EOMONTH(Rev!K$1,0))</f>
        <v>0</v>
      </c>
      <c r="L38" s="423">
        <f>+SUMIFS('Intereses Percibidos'!$I:$I,'Intereses Percibidos'!$D:$D,"Intereses - Commitment",'Intereses Percibidos'!$B:$B,Rev!$A38,'Intereses Percibidos'!$C:$C,"&gt;="&amp;Rev!L$1,'Intereses Percibidos'!$C:$C,"&lt;="&amp;EOMONTH(Rev!L$1,0))</f>
        <v>0</v>
      </c>
      <c r="M38" s="423">
        <f>+SUMIFS('Intereses Percibidos'!$I:$I,'Intereses Percibidos'!$D:$D,"Intereses - Commitment",'Intereses Percibidos'!$B:$B,Rev!$A38,'Intereses Percibidos'!$C:$C,"&gt;="&amp;Rev!M$1,'Intereses Percibidos'!$C:$C,"&lt;="&amp;EOMONTH(Rev!M$1,0))</f>
        <v>0</v>
      </c>
      <c r="N38" s="423">
        <f>+SUMIFS('Intereses Percibidos'!$I:$I,'Intereses Percibidos'!$D:$D,"Intereses - Commitment",'Intereses Percibidos'!$B:$B,Rev!$A38,'Intereses Percibidos'!$C:$C,"&gt;="&amp;Rev!N$1,'Intereses Percibidos'!$C:$C,"&lt;="&amp;EOMONTH(Rev!N$1,0))</f>
        <v>0</v>
      </c>
      <c r="O38" s="423">
        <f t="shared" si="9"/>
        <v>0</v>
      </c>
    </row>
    <row r="39" spans="1:15" ht="17.100000000000001">
      <c r="A39" s="425" t="str">
        <f t="shared" si="7"/>
        <v>F</v>
      </c>
      <c r="B39" s="452" t="str">
        <f t="shared" si="8"/>
        <v xml:space="preserve">        Intereses Commitment - F</v>
      </c>
      <c r="C39" s="423">
        <f>+SUMIFS('Intereses Percibidos'!$I:$I,'Intereses Percibidos'!$D:$D,"Intereses - Commitment",'Intereses Percibidos'!$B:$B,Rev!$A39,'Intereses Percibidos'!$C:$C,"&gt;="&amp;Rev!C$1,'Intereses Percibidos'!$C:$C,"&lt;="&amp;EOMONTH(Rev!C$1,0))</f>
        <v>0</v>
      </c>
      <c r="D39" s="423">
        <f>+SUMIFS('Intereses Percibidos'!$I:$I,'Intereses Percibidos'!$D:$D,"Intereses - Commitment",'Intereses Percibidos'!$B:$B,Rev!$A39,'Intereses Percibidos'!$C:$C,"&gt;="&amp;Rev!D$1,'Intereses Percibidos'!$C:$C,"&lt;="&amp;EOMONTH(Rev!D$1,0))</f>
        <v>0</v>
      </c>
      <c r="E39" s="423">
        <f>+SUMIFS('Intereses Percibidos'!$I:$I,'Intereses Percibidos'!$D:$D,"Intereses - Commitment",'Intereses Percibidos'!$B:$B,Rev!$A39,'Intereses Percibidos'!$C:$C,"&gt;="&amp;Rev!E$1,'Intereses Percibidos'!$C:$C,"&lt;="&amp;EOMONTH(Rev!E$1,0))</f>
        <v>0</v>
      </c>
      <c r="F39" s="423">
        <f>+SUMIFS('Intereses Percibidos'!$I:$I,'Intereses Percibidos'!$D:$D,"Intereses - Commitment",'Intereses Percibidos'!$B:$B,Rev!$A39,'Intereses Percibidos'!$C:$C,"&gt;="&amp;Rev!F$1,'Intereses Percibidos'!$C:$C,"&lt;="&amp;EOMONTH(Rev!F$1,0))</f>
        <v>0</v>
      </c>
      <c r="G39" s="423">
        <f>+SUMIFS('Intereses Percibidos'!$I:$I,'Intereses Percibidos'!$D:$D,"Intereses - Commitment",'Intereses Percibidos'!$B:$B,Rev!$A39,'Intereses Percibidos'!$C:$C,"&gt;="&amp;Rev!G$1,'Intereses Percibidos'!$C:$C,"&lt;="&amp;EOMONTH(Rev!G$1,0))</f>
        <v>0</v>
      </c>
      <c r="H39" s="423">
        <f>+SUMIFS('Intereses Percibidos'!$I:$I,'Intereses Percibidos'!$D:$D,"Intereses - Commitment",'Intereses Percibidos'!$B:$B,Rev!$A39,'Intereses Percibidos'!$C:$C,"&gt;="&amp;Rev!H$1,'Intereses Percibidos'!$C:$C,"&lt;="&amp;EOMONTH(Rev!H$1,0))</f>
        <v>0</v>
      </c>
      <c r="I39" s="423">
        <f>+SUMIFS('Intereses Percibidos'!$I:$I,'Intereses Percibidos'!$D:$D,"Intereses - Commitment",'Intereses Percibidos'!$B:$B,Rev!$A39,'Intereses Percibidos'!$C:$C,"&gt;="&amp;Rev!I$1,'Intereses Percibidos'!$C:$C,"&lt;="&amp;EOMONTH(Rev!I$1,0))</f>
        <v>0</v>
      </c>
      <c r="J39" s="423">
        <f>+SUMIFS('Intereses Percibidos'!$I:$I,'Intereses Percibidos'!$D:$D,"Intereses - Commitment",'Intereses Percibidos'!$B:$B,Rev!$A39,'Intereses Percibidos'!$C:$C,"&gt;="&amp;Rev!J$1,'Intereses Percibidos'!$C:$C,"&lt;="&amp;EOMONTH(Rev!J$1,0))</f>
        <v>0</v>
      </c>
      <c r="K39" s="423">
        <f>+SUMIFS('Intereses Percibidos'!$I:$I,'Intereses Percibidos'!$D:$D,"Intereses - Commitment",'Intereses Percibidos'!$B:$B,Rev!$A39,'Intereses Percibidos'!$C:$C,"&gt;="&amp;Rev!K$1,'Intereses Percibidos'!$C:$C,"&lt;="&amp;EOMONTH(Rev!K$1,0))</f>
        <v>0</v>
      </c>
      <c r="L39" s="423">
        <f>+SUMIFS('Intereses Percibidos'!$I:$I,'Intereses Percibidos'!$D:$D,"Intereses - Commitment",'Intereses Percibidos'!$B:$B,Rev!$A39,'Intereses Percibidos'!$C:$C,"&gt;="&amp;Rev!L$1,'Intereses Percibidos'!$C:$C,"&lt;="&amp;EOMONTH(Rev!L$1,0))</f>
        <v>0</v>
      </c>
      <c r="M39" s="423">
        <f>+SUMIFS('Intereses Percibidos'!$I:$I,'Intereses Percibidos'!$D:$D,"Intereses - Commitment",'Intereses Percibidos'!$B:$B,Rev!$A39,'Intereses Percibidos'!$C:$C,"&gt;="&amp;Rev!M$1,'Intereses Percibidos'!$C:$C,"&lt;="&amp;EOMONTH(Rev!M$1,0))</f>
        <v>0</v>
      </c>
      <c r="N39" s="423">
        <f>+SUMIFS('Intereses Percibidos'!$I:$I,'Intereses Percibidos'!$D:$D,"Intereses - Commitment",'Intereses Percibidos'!$B:$B,Rev!$A39,'Intereses Percibidos'!$C:$C,"&gt;="&amp;Rev!N$1,'Intereses Percibidos'!$C:$C,"&lt;="&amp;EOMONTH(Rev!N$1,0))</f>
        <v>0</v>
      </c>
      <c r="O39" s="423">
        <f t="shared" si="9"/>
        <v>0</v>
      </c>
    </row>
    <row r="40" spans="1:15" ht="17.100000000000001">
      <c r="A40" s="425" t="str">
        <f t="shared" si="7"/>
        <v>G</v>
      </c>
      <c r="B40" s="452" t="str">
        <f t="shared" si="8"/>
        <v xml:space="preserve">        Intereses Commitment - G</v>
      </c>
      <c r="C40" s="423">
        <f>+SUMIFS('Intereses Percibidos'!$I:$I,'Intereses Percibidos'!$D:$D,"Intereses - Commitment",'Intereses Percibidos'!$B:$B,Rev!$A40,'Intereses Percibidos'!$C:$C,"&gt;="&amp;Rev!C$1,'Intereses Percibidos'!$C:$C,"&lt;="&amp;EOMONTH(Rev!C$1,0))</f>
        <v>0</v>
      </c>
      <c r="D40" s="423">
        <f>+SUMIFS('Intereses Percibidos'!$I:$I,'Intereses Percibidos'!$D:$D,"Intereses - Commitment",'Intereses Percibidos'!$B:$B,Rev!$A40,'Intereses Percibidos'!$C:$C,"&gt;="&amp;Rev!D$1,'Intereses Percibidos'!$C:$C,"&lt;="&amp;EOMONTH(Rev!D$1,0))</f>
        <v>0</v>
      </c>
      <c r="E40" s="423">
        <f>+SUMIFS('Intereses Percibidos'!$I:$I,'Intereses Percibidos'!$D:$D,"Intereses - Commitment",'Intereses Percibidos'!$B:$B,Rev!$A40,'Intereses Percibidos'!$C:$C,"&gt;="&amp;Rev!E$1,'Intereses Percibidos'!$C:$C,"&lt;="&amp;EOMONTH(Rev!E$1,0))</f>
        <v>0</v>
      </c>
      <c r="F40" s="423">
        <f>+SUMIFS('Intereses Percibidos'!$I:$I,'Intereses Percibidos'!$D:$D,"Intereses - Commitment",'Intereses Percibidos'!$B:$B,Rev!$A40,'Intereses Percibidos'!$C:$C,"&gt;="&amp;Rev!F$1,'Intereses Percibidos'!$C:$C,"&lt;="&amp;EOMONTH(Rev!F$1,0))</f>
        <v>0</v>
      </c>
      <c r="G40" s="423">
        <f>+SUMIFS('Intereses Percibidos'!$I:$I,'Intereses Percibidos'!$D:$D,"Intereses - Commitment",'Intereses Percibidos'!$B:$B,Rev!$A40,'Intereses Percibidos'!$C:$C,"&gt;="&amp;Rev!G$1,'Intereses Percibidos'!$C:$C,"&lt;="&amp;EOMONTH(Rev!G$1,0))</f>
        <v>0</v>
      </c>
      <c r="H40" s="423">
        <f>+SUMIFS('Intereses Percibidos'!$I:$I,'Intereses Percibidos'!$D:$D,"Intereses - Commitment",'Intereses Percibidos'!$B:$B,Rev!$A40,'Intereses Percibidos'!$C:$C,"&gt;="&amp;Rev!H$1,'Intereses Percibidos'!$C:$C,"&lt;="&amp;EOMONTH(Rev!H$1,0))</f>
        <v>0</v>
      </c>
      <c r="I40" s="423">
        <f>+SUMIFS('Intereses Percibidos'!$I:$I,'Intereses Percibidos'!$D:$D,"Intereses - Commitment",'Intereses Percibidos'!$B:$B,Rev!$A40,'Intereses Percibidos'!$C:$C,"&gt;="&amp;Rev!I$1,'Intereses Percibidos'!$C:$C,"&lt;="&amp;EOMONTH(Rev!I$1,0))</f>
        <v>0</v>
      </c>
      <c r="J40" s="423">
        <f>+SUMIFS('Intereses Percibidos'!$I:$I,'Intereses Percibidos'!$D:$D,"Intereses - Commitment",'Intereses Percibidos'!$B:$B,Rev!$A40,'Intereses Percibidos'!$C:$C,"&gt;="&amp;Rev!J$1,'Intereses Percibidos'!$C:$C,"&lt;="&amp;EOMONTH(Rev!J$1,0))</f>
        <v>0</v>
      </c>
      <c r="K40" s="423">
        <f>+SUMIFS('Intereses Percibidos'!$I:$I,'Intereses Percibidos'!$D:$D,"Intereses - Commitment",'Intereses Percibidos'!$B:$B,Rev!$A40,'Intereses Percibidos'!$C:$C,"&gt;="&amp;Rev!K$1,'Intereses Percibidos'!$C:$C,"&lt;="&amp;EOMONTH(Rev!K$1,0))</f>
        <v>0</v>
      </c>
      <c r="L40" s="423">
        <f>+SUMIFS('Intereses Percibidos'!$I:$I,'Intereses Percibidos'!$D:$D,"Intereses - Commitment",'Intereses Percibidos'!$B:$B,Rev!$A40,'Intereses Percibidos'!$C:$C,"&gt;="&amp;Rev!L$1,'Intereses Percibidos'!$C:$C,"&lt;="&amp;EOMONTH(Rev!L$1,0))</f>
        <v>0</v>
      </c>
      <c r="M40" s="423">
        <f>+SUMIFS('Intereses Percibidos'!$I:$I,'Intereses Percibidos'!$D:$D,"Intereses - Commitment",'Intereses Percibidos'!$B:$B,Rev!$A40,'Intereses Percibidos'!$C:$C,"&gt;="&amp;Rev!M$1,'Intereses Percibidos'!$C:$C,"&lt;="&amp;EOMONTH(Rev!M$1,0))</f>
        <v>0</v>
      </c>
      <c r="N40" s="423">
        <f>+SUMIFS('Intereses Percibidos'!$I:$I,'Intereses Percibidos'!$D:$D,"Intereses - Commitment",'Intereses Percibidos'!$B:$B,Rev!$A40,'Intereses Percibidos'!$C:$C,"&gt;="&amp;Rev!N$1,'Intereses Percibidos'!$C:$C,"&lt;="&amp;EOMONTH(Rev!N$1,0))</f>
        <v>0</v>
      </c>
      <c r="O40" s="423">
        <f t="shared" si="9"/>
        <v>0</v>
      </c>
    </row>
    <row r="41" spans="1:15" ht="17.100000000000001">
      <c r="A41" s="425" t="str">
        <f t="shared" si="7"/>
        <v>H</v>
      </c>
      <c r="B41" s="452" t="str">
        <f t="shared" si="8"/>
        <v xml:space="preserve">        Intereses Commitment - H</v>
      </c>
      <c r="C41" s="423">
        <f>+SUMIFS('Intereses Percibidos'!$I:$I,'Intereses Percibidos'!$D:$D,"Intereses - Commitment",'Intereses Percibidos'!$B:$B,Rev!$A41,'Intereses Percibidos'!$C:$C,"&gt;="&amp;Rev!C$1,'Intereses Percibidos'!$C:$C,"&lt;="&amp;EOMONTH(Rev!C$1,0))</f>
        <v>0</v>
      </c>
      <c r="D41" s="423">
        <f>+SUMIFS('Intereses Percibidos'!$I:$I,'Intereses Percibidos'!$D:$D,"Intereses - Commitment",'Intereses Percibidos'!$B:$B,Rev!$A41,'Intereses Percibidos'!$C:$C,"&gt;="&amp;Rev!D$1,'Intereses Percibidos'!$C:$C,"&lt;="&amp;EOMONTH(Rev!D$1,0))</f>
        <v>0</v>
      </c>
      <c r="E41" s="423">
        <f>+SUMIFS('Intereses Percibidos'!$I:$I,'Intereses Percibidos'!$D:$D,"Intereses - Commitment",'Intereses Percibidos'!$B:$B,Rev!$A41,'Intereses Percibidos'!$C:$C,"&gt;="&amp;Rev!E$1,'Intereses Percibidos'!$C:$C,"&lt;="&amp;EOMONTH(Rev!E$1,0))</f>
        <v>0</v>
      </c>
      <c r="F41" s="423">
        <f>+SUMIFS('Intereses Percibidos'!$I:$I,'Intereses Percibidos'!$D:$D,"Intereses - Commitment",'Intereses Percibidos'!$B:$B,Rev!$A41,'Intereses Percibidos'!$C:$C,"&gt;="&amp;Rev!F$1,'Intereses Percibidos'!$C:$C,"&lt;="&amp;EOMONTH(Rev!F$1,0))</f>
        <v>0</v>
      </c>
      <c r="G41" s="423">
        <f>+SUMIFS('Intereses Percibidos'!$I:$I,'Intereses Percibidos'!$D:$D,"Intereses - Commitment",'Intereses Percibidos'!$B:$B,Rev!$A41,'Intereses Percibidos'!$C:$C,"&gt;="&amp;Rev!G$1,'Intereses Percibidos'!$C:$C,"&lt;="&amp;EOMONTH(Rev!G$1,0))</f>
        <v>0</v>
      </c>
      <c r="H41" s="423">
        <f>+SUMIFS('Intereses Percibidos'!$I:$I,'Intereses Percibidos'!$D:$D,"Intereses - Commitment",'Intereses Percibidos'!$B:$B,Rev!$A41,'Intereses Percibidos'!$C:$C,"&gt;="&amp;Rev!H$1,'Intereses Percibidos'!$C:$C,"&lt;="&amp;EOMONTH(Rev!H$1,0))</f>
        <v>0</v>
      </c>
      <c r="I41" s="423">
        <f>+SUMIFS('Intereses Percibidos'!$I:$I,'Intereses Percibidos'!$D:$D,"Intereses - Commitment",'Intereses Percibidos'!$B:$B,Rev!$A41,'Intereses Percibidos'!$C:$C,"&gt;="&amp;Rev!I$1,'Intereses Percibidos'!$C:$C,"&lt;="&amp;EOMONTH(Rev!I$1,0))</f>
        <v>0</v>
      </c>
      <c r="J41" s="423">
        <f>+SUMIFS('Intereses Percibidos'!$I:$I,'Intereses Percibidos'!$D:$D,"Intereses - Commitment",'Intereses Percibidos'!$B:$B,Rev!$A41,'Intereses Percibidos'!$C:$C,"&gt;="&amp;Rev!J$1,'Intereses Percibidos'!$C:$C,"&lt;="&amp;EOMONTH(Rev!J$1,0))</f>
        <v>0</v>
      </c>
      <c r="K41" s="423">
        <f>+SUMIFS('Intereses Percibidos'!$I:$I,'Intereses Percibidos'!$D:$D,"Intereses - Commitment",'Intereses Percibidos'!$B:$B,Rev!$A41,'Intereses Percibidos'!$C:$C,"&gt;="&amp;Rev!K$1,'Intereses Percibidos'!$C:$C,"&lt;="&amp;EOMONTH(Rev!K$1,0))</f>
        <v>0</v>
      </c>
      <c r="L41" s="423">
        <f>+SUMIFS('Intereses Percibidos'!$I:$I,'Intereses Percibidos'!$D:$D,"Intereses - Commitment",'Intereses Percibidos'!$B:$B,Rev!$A41,'Intereses Percibidos'!$C:$C,"&gt;="&amp;Rev!L$1,'Intereses Percibidos'!$C:$C,"&lt;="&amp;EOMONTH(Rev!L$1,0))</f>
        <v>0</v>
      </c>
      <c r="M41" s="423">
        <f>+SUMIFS('Intereses Percibidos'!$I:$I,'Intereses Percibidos'!$D:$D,"Intereses - Commitment",'Intereses Percibidos'!$B:$B,Rev!$A41,'Intereses Percibidos'!$C:$C,"&gt;="&amp;Rev!M$1,'Intereses Percibidos'!$C:$C,"&lt;="&amp;EOMONTH(Rev!M$1,0))</f>
        <v>0</v>
      </c>
      <c r="N41" s="423">
        <f>+SUMIFS('Intereses Percibidos'!$I:$I,'Intereses Percibidos'!$D:$D,"Intereses - Commitment",'Intereses Percibidos'!$B:$B,Rev!$A41,'Intereses Percibidos'!$C:$C,"&gt;="&amp;Rev!N$1,'Intereses Percibidos'!$C:$C,"&lt;="&amp;EOMONTH(Rev!N$1,0))</f>
        <v>0</v>
      </c>
      <c r="O41" s="423">
        <f t="shared" si="9"/>
        <v>0</v>
      </c>
    </row>
    <row r="42" spans="1:15" ht="17.100000000000001">
      <c r="A42" s="425" t="str">
        <f t="shared" si="7"/>
        <v>I</v>
      </c>
      <c r="B42" s="452" t="str">
        <f t="shared" si="8"/>
        <v xml:space="preserve">        Intereses Commitment - I</v>
      </c>
      <c r="C42" s="423">
        <f>+SUMIFS('Intereses Percibidos'!$I:$I,'Intereses Percibidos'!$D:$D,"Intereses - Commitment",'Intereses Percibidos'!$B:$B,Rev!$A42,'Intereses Percibidos'!$C:$C,"&gt;="&amp;Rev!C$1,'Intereses Percibidos'!$C:$C,"&lt;="&amp;EOMONTH(Rev!C$1,0))</f>
        <v>0</v>
      </c>
      <c r="D42" s="423">
        <f>+SUMIFS('Intereses Percibidos'!$I:$I,'Intereses Percibidos'!$D:$D,"Intereses - Commitment",'Intereses Percibidos'!$B:$B,Rev!$A42,'Intereses Percibidos'!$C:$C,"&gt;="&amp;Rev!D$1,'Intereses Percibidos'!$C:$C,"&lt;="&amp;EOMONTH(Rev!D$1,0))</f>
        <v>0</v>
      </c>
      <c r="E42" s="423">
        <f>+SUMIFS('Intereses Percibidos'!$I:$I,'Intereses Percibidos'!$D:$D,"Intereses - Commitment",'Intereses Percibidos'!$B:$B,Rev!$A42,'Intereses Percibidos'!$C:$C,"&gt;="&amp;Rev!E$1,'Intereses Percibidos'!$C:$C,"&lt;="&amp;EOMONTH(Rev!E$1,0))</f>
        <v>0</v>
      </c>
      <c r="F42" s="423">
        <f>+SUMIFS('Intereses Percibidos'!$I:$I,'Intereses Percibidos'!$D:$D,"Intereses - Commitment",'Intereses Percibidos'!$B:$B,Rev!$A42,'Intereses Percibidos'!$C:$C,"&gt;="&amp;Rev!F$1,'Intereses Percibidos'!$C:$C,"&lt;="&amp;EOMONTH(Rev!F$1,0))</f>
        <v>0</v>
      </c>
      <c r="G42" s="423">
        <f>+SUMIFS('Intereses Percibidos'!$I:$I,'Intereses Percibidos'!$D:$D,"Intereses - Commitment",'Intereses Percibidos'!$B:$B,Rev!$A42,'Intereses Percibidos'!$C:$C,"&gt;="&amp;Rev!G$1,'Intereses Percibidos'!$C:$C,"&lt;="&amp;EOMONTH(Rev!G$1,0))</f>
        <v>0</v>
      </c>
      <c r="H42" s="423">
        <f>+SUMIFS('Intereses Percibidos'!$I:$I,'Intereses Percibidos'!$D:$D,"Intereses - Commitment",'Intereses Percibidos'!$B:$B,Rev!$A42,'Intereses Percibidos'!$C:$C,"&gt;="&amp;Rev!H$1,'Intereses Percibidos'!$C:$C,"&lt;="&amp;EOMONTH(Rev!H$1,0))</f>
        <v>0</v>
      </c>
      <c r="I42" s="423">
        <f>+SUMIFS('Intereses Percibidos'!$I:$I,'Intereses Percibidos'!$D:$D,"Intereses - Commitment",'Intereses Percibidos'!$B:$B,Rev!$A42,'Intereses Percibidos'!$C:$C,"&gt;="&amp;Rev!I$1,'Intereses Percibidos'!$C:$C,"&lt;="&amp;EOMONTH(Rev!I$1,0))</f>
        <v>0</v>
      </c>
      <c r="J42" s="423">
        <f>+SUMIFS('Intereses Percibidos'!$I:$I,'Intereses Percibidos'!$D:$D,"Intereses - Commitment",'Intereses Percibidos'!$B:$B,Rev!$A42,'Intereses Percibidos'!$C:$C,"&gt;="&amp;Rev!J$1,'Intereses Percibidos'!$C:$C,"&lt;="&amp;EOMONTH(Rev!J$1,0))</f>
        <v>0</v>
      </c>
      <c r="K42" s="423">
        <f>+SUMIFS('Intereses Percibidos'!$I:$I,'Intereses Percibidos'!$D:$D,"Intereses - Commitment",'Intereses Percibidos'!$B:$B,Rev!$A42,'Intereses Percibidos'!$C:$C,"&gt;="&amp;Rev!K$1,'Intereses Percibidos'!$C:$C,"&lt;="&amp;EOMONTH(Rev!K$1,0))</f>
        <v>0</v>
      </c>
      <c r="L42" s="423">
        <f>+SUMIFS('Intereses Percibidos'!$I:$I,'Intereses Percibidos'!$D:$D,"Intereses - Commitment",'Intereses Percibidos'!$B:$B,Rev!$A42,'Intereses Percibidos'!$C:$C,"&gt;="&amp;Rev!L$1,'Intereses Percibidos'!$C:$C,"&lt;="&amp;EOMONTH(Rev!L$1,0))</f>
        <v>0</v>
      </c>
      <c r="M42" s="423">
        <f>+SUMIFS('Intereses Percibidos'!$I:$I,'Intereses Percibidos'!$D:$D,"Intereses - Commitment",'Intereses Percibidos'!$B:$B,Rev!$A42,'Intereses Percibidos'!$C:$C,"&gt;="&amp;Rev!M$1,'Intereses Percibidos'!$C:$C,"&lt;="&amp;EOMONTH(Rev!M$1,0))</f>
        <v>0</v>
      </c>
      <c r="N42" s="423">
        <f>+SUMIFS('Intereses Percibidos'!$I:$I,'Intereses Percibidos'!$D:$D,"Intereses - Commitment",'Intereses Percibidos'!$B:$B,Rev!$A42,'Intereses Percibidos'!$C:$C,"&gt;="&amp;Rev!N$1,'Intereses Percibidos'!$C:$C,"&lt;="&amp;EOMONTH(Rev!N$1,0))</f>
        <v>0</v>
      </c>
      <c r="O42" s="423">
        <f t="shared" si="9"/>
        <v>0</v>
      </c>
    </row>
    <row r="43" spans="1:15" ht="17.100000000000001">
      <c r="A43" s="425" t="str">
        <f t="shared" si="7"/>
        <v>J</v>
      </c>
      <c r="B43" s="452" t="str">
        <f t="shared" si="8"/>
        <v xml:space="preserve">        Intereses Commitment - J</v>
      </c>
      <c r="C43" s="423">
        <f>+SUMIFS('Intereses Percibidos'!$I:$I,'Intereses Percibidos'!$D:$D,"Intereses - Commitment",'Intereses Percibidos'!$B:$B,Rev!$A43,'Intereses Percibidos'!$C:$C,"&gt;="&amp;Rev!C$1,'Intereses Percibidos'!$C:$C,"&lt;="&amp;EOMONTH(Rev!C$1,0))</f>
        <v>0</v>
      </c>
      <c r="D43" s="423">
        <f>+SUMIFS('Intereses Percibidos'!$I:$I,'Intereses Percibidos'!$D:$D,"Intereses - Commitment",'Intereses Percibidos'!$B:$B,Rev!$A43,'Intereses Percibidos'!$C:$C,"&gt;="&amp;Rev!D$1,'Intereses Percibidos'!$C:$C,"&lt;="&amp;EOMONTH(Rev!D$1,0))</f>
        <v>0</v>
      </c>
      <c r="E43" s="423">
        <f>+SUMIFS('Intereses Percibidos'!$I:$I,'Intereses Percibidos'!$D:$D,"Intereses - Commitment",'Intereses Percibidos'!$B:$B,Rev!$A43,'Intereses Percibidos'!$C:$C,"&gt;="&amp;Rev!E$1,'Intereses Percibidos'!$C:$C,"&lt;="&amp;EOMONTH(Rev!E$1,0))</f>
        <v>0</v>
      </c>
      <c r="F43" s="423">
        <f>+SUMIFS('Intereses Percibidos'!$I:$I,'Intereses Percibidos'!$D:$D,"Intereses - Commitment",'Intereses Percibidos'!$B:$B,Rev!$A43,'Intereses Percibidos'!$C:$C,"&gt;="&amp;Rev!F$1,'Intereses Percibidos'!$C:$C,"&lt;="&amp;EOMONTH(Rev!F$1,0))</f>
        <v>0</v>
      </c>
      <c r="G43" s="423">
        <f>+SUMIFS('Intereses Percibidos'!$I:$I,'Intereses Percibidos'!$D:$D,"Intereses - Commitment",'Intereses Percibidos'!$B:$B,Rev!$A43,'Intereses Percibidos'!$C:$C,"&gt;="&amp;Rev!G$1,'Intereses Percibidos'!$C:$C,"&lt;="&amp;EOMONTH(Rev!G$1,0))</f>
        <v>0</v>
      </c>
      <c r="H43" s="423">
        <f>+SUMIFS('Intereses Percibidos'!$I:$I,'Intereses Percibidos'!$D:$D,"Intereses - Commitment",'Intereses Percibidos'!$B:$B,Rev!$A43,'Intereses Percibidos'!$C:$C,"&gt;="&amp;Rev!H$1,'Intereses Percibidos'!$C:$C,"&lt;="&amp;EOMONTH(Rev!H$1,0))</f>
        <v>0</v>
      </c>
      <c r="I43" s="423">
        <f>+SUMIFS('Intereses Percibidos'!$I:$I,'Intereses Percibidos'!$D:$D,"Intereses - Commitment",'Intereses Percibidos'!$B:$B,Rev!$A43,'Intereses Percibidos'!$C:$C,"&gt;="&amp;Rev!I$1,'Intereses Percibidos'!$C:$C,"&lt;="&amp;EOMONTH(Rev!I$1,0))</f>
        <v>0</v>
      </c>
      <c r="J43" s="423">
        <f>+SUMIFS('Intereses Percibidos'!$I:$I,'Intereses Percibidos'!$D:$D,"Intereses - Commitment",'Intereses Percibidos'!$B:$B,Rev!$A43,'Intereses Percibidos'!$C:$C,"&gt;="&amp;Rev!J$1,'Intereses Percibidos'!$C:$C,"&lt;="&amp;EOMONTH(Rev!J$1,0))</f>
        <v>0</v>
      </c>
      <c r="K43" s="423">
        <f>+SUMIFS('Intereses Percibidos'!$I:$I,'Intereses Percibidos'!$D:$D,"Intereses - Commitment",'Intereses Percibidos'!$B:$B,Rev!$A43,'Intereses Percibidos'!$C:$C,"&gt;="&amp;Rev!K$1,'Intereses Percibidos'!$C:$C,"&lt;="&amp;EOMONTH(Rev!K$1,0))</f>
        <v>0</v>
      </c>
      <c r="L43" s="423">
        <f>+SUMIFS('Intereses Percibidos'!$I:$I,'Intereses Percibidos'!$D:$D,"Intereses - Commitment",'Intereses Percibidos'!$B:$B,Rev!$A43,'Intereses Percibidos'!$C:$C,"&gt;="&amp;Rev!L$1,'Intereses Percibidos'!$C:$C,"&lt;="&amp;EOMONTH(Rev!L$1,0))</f>
        <v>0</v>
      </c>
      <c r="M43" s="423">
        <f>+SUMIFS('Intereses Percibidos'!$I:$I,'Intereses Percibidos'!$D:$D,"Intereses - Commitment",'Intereses Percibidos'!$B:$B,Rev!$A43,'Intereses Percibidos'!$C:$C,"&gt;="&amp;Rev!M$1,'Intereses Percibidos'!$C:$C,"&lt;="&amp;EOMONTH(Rev!M$1,0))</f>
        <v>0</v>
      </c>
      <c r="N43" s="423">
        <f>+SUMIFS('Intereses Percibidos'!$I:$I,'Intereses Percibidos'!$D:$D,"Intereses - Commitment",'Intereses Percibidos'!$B:$B,Rev!$A43,'Intereses Percibidos'!$C:$C,"&gt;="&amp;Rev!N$1,'Intereses Percibidos'!$C:$C,"&lt;="&amp;EOMONTH(Rev!N$1,0))</f>
        <v>0</v>
      </c>
      <c r="O43" s="423">
        <f t="shared" si="9"/>
        <v>0</v>
      </c>
    </row>
    <row r="44" spans="1:15" ht="17.100000000000001">
      <c r="A44" s="425" t="str">
        <f t="shared" si="7"/>
        <v>K</v>
      </c>
      <c r="B44" s="452" t="str">
        <f t="shared" si="8"/>
        <v xml:space="preserve">        Intereses Commitment - K</v>
      </c>
      <c r="C44" s="423">
        <f>+SUMIFS('Intereses Percibidos'!$I:$I,'Intereses Percibidos'!$D:$D,"Intereses - Commitment",'Intereses Percibidos'!$B:$B,Rev!$A44,'Intereses Percibidos'!$C:$C,"&gt;="&amp;Rev!C$1,'Intereses Percibidos'!$C:$C,"&lt;="&amp;EOMONTH(Rev!C$1,0))</f>
        <v>0</v>
      </c>
      <c r="D44" s="423">
        <f>+SUMIFS('Intereses Percibidos'!$I:$I,'Intereses Percibidos'!$D:$D,"Intereses - Commitment",'Intereses Percibidos'!$B:$B,Rev!$A44,'Intereses Percibidos'!$C:$C,"&gt;="&amp;Rev!D$1,'Intereses Percibidos'!$C:$C,"&lt;="&amp;EOMONTH(Rev!D$1,0))</f>
        <v>0</v>
      </c>
      <c r="E44" s="423">
        <f>+SUMIFS('Intereses Percibidos'!$I:$I,'Intereses Percibidos'!$D:$D,"Intereses - Commitment",'Intereses Percibidos'!$B:$B,Rev!$A44,'Intereses Percibidos'!$C:$C,"&gt;="&amp;Rev!E$1,'Intereses Percibidos'!$C:$C,"&lt;="&amp;EOMONTH(Rev!E$1,0))</f>
        <v>0</v>
      </c>
      <c r="F44" s="423">
        <f>+SUMIFS('Intereses Percibidos'!$I:$I,'Intereses Percibidos'!$D:$D,"Intereses - Commitment",'Intereses Percibidos'!$B:$B,Rev!$A44,'Intereses Percibidos'!$C:$C,"&gt;="&amp;Rev!F$1,'Intereses Percibidos'!$C:$C,"&lt;="&amp;EOMONTH(Rev!F$1,0))</f>
        <v>0</v>
      </c>
      <c r="G44" s="423">
        <f>+SUMIFS('Intereses Percibidos'!$I:$I,'Intereses Percibidos'!$D:$D,"Intereses - Commitment",'Intereses Percibidos'!$B:$B,Rev!$A44,'Intereses Percibidos'!$C:$C,"&gt;="&amp;Rev!G$1,'Intereses Percibidos'!$C:$C,"&lt;="&amp;EOMONTH(Rev!G$1,0))</f>
        <v>0</v>
      </c>
      <c r="H44" s="423">
        <f>+SUMIFS('Intereses Percibidos'!$I:$I,'Intereses Percibidos'!$D:$D,"Intereses - Commitment",'Intereses Percibidos'!$B:$B,Rev!$A44,'Intereses Percibidos'!$C:$C,"&gt;="&amp;Rev!H$1,'Intereses Percibidos'!$C:$C,"&lt;="&amp;EOMONTH(Rev!H$1,0))</f>
        <v>0</v>
      </c>
      <c r="I44" s="423">
        <f>+SUMIFS('Intereses Percibidos'!$I:$I,'Intereses Percibidos'!$D:$D,"Intereses - Commitment",'Intereses Percibidos'!$B:$B,Rev!$A44,'Intereses Percibidos'!$C:$C,"&gt;="&amp;Rev!I$1,'Intereses Percibidos'!$C:$C,"&lt;="&amp;EOMONTH(Rev!I$1,0))</f>
        <v>0</v>
      </c>
      <c r="J44" s="423">
        <f>+SUMIFS('Intereses Percibidos'!$I:$I,'Intereses Percibidos'!$D:$D,"Intereses - Commitment",'Intereses Percibidos'!$B:$B,Rev!$A44,'Intereses Percibidos'!$C:$C,"&gt;="&amp;Rev!J$1,'Intereses Percibidos'!$C:$C,"&lt;="&amp;EOMONTH(Rev!J$1,0))</f>
        <v>0</v>
      </c>
      <c r="K44" s="423">
        <f>+SUMIFS('Intereses Percibidos'!$I:$I,'Intereses Percibidos'!$D:$D,"Intereses - Commitment",'Intereses Percibidos'!$B:$B,Rev!$A44,'Intereses Percibidos'!$C:$C,"&gt;="&amp;Rev!K$1,'Intereses Percibidos'!$C:$C,"&lt;="&amp;EOMONTH(Rev!K$1,0))</f>
        <v>0</v>
      </c>
      <c r="L44" s="423">
        <f>+SUMIFS('Intereses Percibidos'!$I:$I,'Intereses Percibidos'!$D:$D,"Intereses - Commitment",'Intereses Percibidos'!$B:$B,Rev!$A44,'Intereses Percibidos'!$C:$C,"&gt;="&amp;Rev!L$1,'Intereses Percibidos'!$C:$C,"&lt;="&amp;EOMONTH(Rev!L$1,0))</f>
        <v>0</v>
      </c>
      <c r="M44" s="423">
        <f>+SUMIFS('Intereses Percibidos'!$I:$I,'Intereses Percibidos'!$D:$D,"Intereses - Commitment",'Intereses Percibidos'!$B:$B,Rev!$A44,'Intereses Percibidos'!$C:$C,"&gt;="&amp;Rev!M$1,'Intereses Percibidos'!$C:$C,"&lt;="&amp;EOMONTH(Rev!M$1,0))</f>
        <v>0</v>
      </c>
      <c r="N44" s="423">
        <f>+SUMIFS('Intereses Percibidos'!$I:$I,'Intereses Percibidos'!$D:$D,"Intereses - Commitment",'Intereses Percibidos'!$B:$B,Rev!$A44,'Intereses Percibidos'!$C:$C,"&gt;="&amp;Rev!N$1,'Intereses Percibidos'!$C:$C,"&lt;="&amp;EOMONTH(Rev!N$1,0))</f>
        <v>0</v>
      </c>
      <c r="O44" s="423">
        <f t="shared" si="9"/>
        <v>0</v>
      </c>
    </row>
    <row r="45" spans="1:15" ht="17.100000000000001">
      <c r="A45" s="416"/>
      <c r="B45" s="426" t="s">
        <v>818</v>
      </c>
      <c r="C45" s="427">
        <f>SUM(C34:C44)</f>
        <v>0</v>
      </c>
      <c r="D45" s="427">
        <f t="shared" ref="D45:O45" si="10">SUM(D34:D44)</f>
        <v>0</v>
      </c>
      <c r="E45" s="427">
        <f t="shared" si="10"/>
        <v>0</v>
      </c>
      <c r="F45" s="427">
        <f t="shared" si="10"/>
        <v>0</v>
      </c>
      <c r="G45" s="427">
        <f t="shared" si="10"/>
        <v>0</v>
      </c>
      <c r="H45" s="427">
        <f t="shared" si="10"/>
        <v>0</v>
      </c>
      <c r="I45" s="427">
        <f t="shared" si="10"/>
        <v>0</v>
      </c>
      <c r="J45" s="427">
        <f t="shared" si="10"/>
        <v>0</v>
      </c>
      <c r="K45" s="427">
        <f t="shared" si="10"/>
        <v>0</v>
      </c>
      <c r="L45" s="427">
        <f t="shared" si="10"/>
        <v>0</v>
      </c>
      <c r="M45" s="427">
        <f t="shared" si="10"/>
        <v>0</v>
      </c>
      <c r="N45" s="427">
        <f t="shared" si="10"/>
        <v>0</v>
      </c>
      <c r="O45" s="427">
        <f t="shared" si="10"/>
        <v>0</v>
      </c>
    </row>
    <row r="46" spans="1:15" ht="17.100000000000001">
      <c r="A46" s="416"/>
      <c r="B46" s="420" t="s">
        <v>796</v>
      </c>
      <c r="C46" s="423"/>
      <c r="D46" s="423"/>
      <c r="E46" s="423"/>
      <c r="F46" s="423"/>
      <c r="G46" s="423"/>
      <c r="H46" s="423"/>
      <c r="I46" s="423"/>
      <c r="J46" s="423"/>
      <c r="K46" s="423"/>
      <c r="L46" s="423"/>
      <c r="M46" s="423"/>
      <c r="N46" s="423"/>
      <c r="O46" s="423"/>
    </row>
    <row r="47" spans="1:15" ht="17.100000000000001">
      <c r="A47" s="416"/>
      <c r="B47" s="420" t="s">
        <v>819</v>
      </c>
      <c r="C47" s="423"/>
      <c r="D47" s="423"/>
      <c r="E47" s="423"/>
      <c r="F47" s="423"/>
      <c r="G47" s="423"/>
      <c r="H47" s="423"/>
      <c r="I47" s="423"/>
      <c r="J47" s="423"/>
      <c r="K47" s="423"/>
      <c r="L47" s="423"/>
      <c r="M47" s="423"/>
      <c r="N47" s="423"/>
      <c r="O47" s="423"/>
    </row>
    <row r="48" spans="1:15" ht="17.100000000000001">
      <c r="A48" s="425">
        <f>+A34</f>
        <v>1175000</v>
      </c>
      <c r="B48" s="452" t="str">
        <f>+CONCATENATE("        Total de Intereses - ",A48)</f>
        <v xml:space="preserve">        Total de Intereses - 1175000</v>
      </c>
      <c r="C48" s="428">
        <f>+C6+C20+C34</f>
        <v>1.74</v>
      </c>
      <c r="D48" s="428">
        <f t="shared" ref="D48:N48" si="11">+D6+D20+D34</f>
        <v>1.36</v>
      </c>
      <c r="E48" s="428">
        <f t="shared" si="11"/>
        <v>2.11</v>
      </c>
      <c r="F48" s="428">
        <f t="shared" si="11"/>
        <v>12.45</v>
      </c>
      <c r="G48" s="428">
        <f t="shared" si="11"/>
        <v>32.03</v>
      </c>
      <c r="H48" s="428">
        <f t="shared" si="11"/>
        <v>22.99</v>
      </c>
      <c r="I48" s="428">
        <f t="shared" si="11"/>
        <v>32.89</v>
      </c>
      <c r="J48" s="428">
        <f t="shared" si="11"/>
        <v>40.909999999999997</v>
      </c>
      <c r="K48" s="428">
        <f t="shared" si="11"/>
        <v>38.28</v>
      </c>
      <c r="L48" s="428">
        <f t="shared" si="11"/>
        <v>282.01</v>
      </c>
      <c r="M48" s="428">
        <f t="shared" si="11"/>
        <v>92.38</v>
      </c>
      <c r="N48" s="428">
        <f t="shared" si="11"/>
        <v>107.56</v>
      </c>
      <c r="O48" s="423">
        <f>SUM(C48:N48)</f>
        <v>666.71</v>
      </c>
    </row>
    <row r="49" spans="1:15" ht="17.100000000000001">
      <c r="A49" s="425">
        <f t="shared" ref="A49:A58" si="12">+A35</f>
        <v>1179000</v>
      </c>
      <c r="B49" s="452" t="str">
        <f t="shared" ref="B49:B58" si="13">+CONCATENATE("        Total de Intereses - ",A49)</f>
        <v xml:space="preserve">        Total de Intereses - 1179000</v>
      </c>
      <c r="C49" s="428">
        <f t="shared" ref="C49:N58" si="14">+C7+C21+C35</f>
        <v>19.39</v>
      </c>
      <c r="D49" s="428">
        <f t="shared" si="14"/>
        <v>9.5790550000000003</v>
      </c>
      <c r="E49" s="428">
        <f t="shared" si="14"/>
        <v>7.8800000000000008</v>
      </c>
      <c r="F49" s="428">
        <f t="shared" si="14"/>
        <v>33.69</v>
      </c>
      <c r="G49" s="428">
        <f t="shared" si="14"/>
        <v>94.94</v>
      </c>
      <c r="H49" s="428">
        <f t="shared" si="14"/>
        <v>117.26</v>
      </c>
      <c r="I49" s="428">
        <f t="shared" si="14"/>
        <v>224.99</v>
      </c>
      <c r="J49" s="428">
        <f t="shared" si="14"/>
        <v>381.608317</v>
      </c>
      <c r="K49" s="428">
        <f t="shared" si="14"/>
        <v>456.44104000000004</v>
      </c>
      <c r="L49" s="428">
        <f t="shared" si="14"/>
        <v>651.94422800000007</v>
      </c>
      <c r="M49" s="428">
        <f t="shared" si="14"/>
        <v>808.06681300000002</v>
      </c>
      <c r="N49" s="428">
        <f t="shared" si="14"/>
        <v>1153.6267189999999</v>
      </c>
      <c r="O49" s="423">
        <f>SUM(C49:N49)</f>
        <v>3959.4161720000002</v>
      </c>
    </row>
    <row r="50" spans="1:15" ht="17.100000000000001">
      <c r="A50" s="425">
        <f t="shared" si="12"/>
        <v>1427200</v>
      </c>
      <c r="B50" s="452" t="str">
        <f t="shared" si="13"/>
        <v xml:space="preserve">        Total de Intereses - 1427200</v>
      </c>
      <c r="C50" s="428">
        <f t="shared" si="14"/>
        <v>0.38</v>
      </c>
      <c r="D50" s="428">
        <f t="shared" si="14"/>
        <v>0.41</v>
      </c>
      <c r="E50" s="428">
        <f t="shared" si="14"/>
        <v>1.57</v>
      </c>
      <c r="F50" s="428">
        <f t="shared" si="14"/>
        <v>3.76</v>
      </c>
      <c r="G50" s="428">
        <f t="shared" si="14"/>
        <v>3.65</v>
      </c>
      <c r="H50" s="428">
        <f t="shared" si="14"/>
        <v>4</v>
      </c>
      <c r="I50" s="428">
        <f t="shared" si="14"/>
        <v>9.7100000000000009</v>
      </c>
      <c r="J50" s="428">
        <f t="shared" si="14"/>
        <v>26.59</v>
      </c>
      <c r="K50" s="428">
        <f t="shared" si="14"/>
        <v>26.37</v>
      </c>
      <c r="L50" s="428">
        <f t="shared" si="14"/>
        <v>30.24</v>
      </c>
      <c r="M50" s="428">
        <f t="shared" si="14"/>
        <v>40.97</v>
      </c>
      <c r="N50" s="428">
        <f t="shared" si="14"/>
        <v>40.99</v>
      </c>
      <c r="O50" s="423">
        <f t="shared" ref="O50:O58" si="15">SUM(C50:N50)</f>
        <v>188.64</v>
      </c>
    </row>
    <row r="51" spans="1:15" ht="17.100000000000001">
      <c r="A51" s="425" t="str">
        <f t="shared" si="12"/>
        <v>B22235000</v>
      </c>
      <c r="B51" s="452" t="str">
        <f t="shared" si="13"/>
        <v xml:space="preserve">        Total de Intereses - B22235000</v>
      </c>
      <c r="C51" s="428">
        <f t="shared" si="14"/>
        <v>10.73</v>
      </c>
      <c r="D51" s="428">
        <f t="shared" si="14"/>
        <v>15.04</v>
      </c>
      <c r="E51" s="428">
        <f t="shared" si="14"/>
        <v>12.88</v>
      </c>
      <c r="F51" s="428">
        <f t="shared" si="14"/>
        <v>12.07</v>
      </c>
      <c r="G51" s="428">
        <f t="shared" si="14"/>
        <v>9.14</v>
      </c>
      <c r="H51" s="428">
        <f t="shared" si="14"/>
        <v>4.1100000000000003</v>
      </c>
      <c r="I51" s="428">
        <f t="shared" si="14"/>
        <v>111.3</v>
      </c>
      <c r="J51" s="428">
        <f t="shared" si="14"/>
        <v>356.21</v>
      </c>
      <c r="K51" s="428">
        <f t="shared" si="14"/>
        <v>2637.08</v>
      </c>
      <c r="L51" s="428">
        <f t="shared" si="14"/>
        <v>2971.2</v>
      </c>
      <c r="M51" s="428">
        <f t="shared" si="14"/>
        <v>2562.87</v>
      </c>
      <c r="N51" s="428">
        <f t="shared" si="14"/>
        <v>2781.06</v>
      </c>
      <c r="O51" s="423">
        <f t="shared" si="15"/>
        <v>11483.69</v>
      </c>
    </row>
    <row r="52" spans="1:15" ht="17.100000000000001">
      <c r="A52" s="425">
        <f t="shared" si="12"/>
        <v>700833580</v>
      </c>
      <c r="B52" s="452" t="str">
        <f t="shared" si="13"/>
        <v xml:space="preserve">        Total de Intereses - 700833580</v>
      </c>
      <c r="C52" s="428">
        <f t="shared" si="14"/>
        <v>0</v>
      </c>
      <c r="D52" s="428">
        <f t="shared" si="14"/>
        <v>0</v>
      </c>
      <c r="E52" s="428">
        <f t="shared" si="14"/>
        <v>0</v>
      </c>
      <c r="F52" s="428">
        <f t="shared" si="14"/>
        <v>0</v>
      </c>
      <c r="G52" s="428">
        <f t="shared" si="14"/>
        <v>0</v>
      </c>
      <c r="H52" s="428">
        <f t="shared" si="14"/>
        <v>0</v>
      </c>
      <c r="I52" s="428">
        <f t="shared" si="14"/>
        <v>0</v>
      </c>
      <c r="J52" s="428">
        <f t="shared" si="14"/>
        <v>0</v>
      </c>
      <c r="K52" s="428">
        <f t="shared" si="14"/>
        <v>0</v>
      </c>
      <c r="L52" s="428">
        <f t="shared" si="14"/>
        <v>0</v>
      </c>
      <c r="M52" s="428">
        <f t="shared" si="14"/>
        <v>0</v>
      </c>
      <c r="N52" s="428">
        <f t="shared" si="14"/>
        <v>0</v>
      </c>
      <c r="O52" s="423">
        <f t="shared" si="15"/>
        <v>0</v>
      </c>
    </row>
    <row r="53" spans="1:15" ht="17.100000000000001">
      <c r="A53" s="425" t="str">
        <f t="shared" si="12"/>
        <v>F</v>
      </c>
      <c r="B53" s="452" t="str">
        <f t="shared" si="13"/>
        <v xml:space="preserve">        Total de Intereses - F</v>
      </c>
      <c r="C53" s="428">
        <f t="shared" si="14"/>
        <v>0</v>
      </c>
      <c r="D53" s="428">
        <f t="shared" si="14"/>
        <v>0</v>
      </c>
      <c r="E53" s="428">
        <f t="shared" si="14"/>
        <v>0</v>
      </c>
      <c r="F53" s="428">
        <f t="shared" si="14"/>
        <v>0</v>
      </c>
      <c r="G53" s="428">
        <f t="shared" si="14"/>
        <v>0</v>
      </c>
      <c r="H53" s="428">
        <f t="shared" si="14"/>
        <v>0</v>
      </c>
      <c r="I53" s="428">
        <f t="shared" si="14"/>
        <v>0</v>
      </c>
      <c r="J53" s="428">
        <f t="shared" si="14"/>
        <v>0</v>
      </c>
      <c r="K53" s="428">
        <f t="shared" si="14"/>
        <v>0</v>
      </c>
      <c r="L53" s="428">
        <f t="shared" si="14"/>
        <v>0</v>
      </c>
      <c r="M53" s="428">
        <f t="shared" si="14"/>
        <v>0</v>
      </c>
      <c r="N53" s="428">
        <f t="shared" si="14"/>
        <v>0</v>
      </c>
      <c r="O53" s="423">
        <f t="shared" si="15"/>
        <v>0</v>
      </c>
    </row>
    <row r="54" spans="1:15" ht="17.100000000000001">
      <c r="A54" s="425" t="str">
        <f t="shared" si="12"/>
        <v>G</v>
      </c>
      <c r="B54" s="452" t="str">
        <f t="shared" si="13"/>
        <v xml:space="preserve">        Total de Intereses - G</v>
      </c>
      <c r="C54" s="428">
        <f t="shared" si="14"/>
        <v>0</v>
      </c>
      <c r="D54" s="428">
        <f t="shared" si="14"/>
        <v>0</v>
      </c>
      <c r="E54" s="428">
        <f t="shared" si="14"/>
        <v>0</v>
      </c>
      <c r="F54" s="428">
        <f t="shared" si="14"/>
        <v>0</v>
      </c>
      <c r="G54" s="428">
        <f t="shared" si="14"/>
        <v>0</v>
      </c>
      <c r="H54" s="428">
        <f t="shared" si="14"/>
        <v>0</v>
      </c>
      <c r="I54" s="428">
        <f t="shared" si="14"/>
        <v>0</v>
      </c>
      <c r="J54" s="428">
        <f t="shared" si="14"/>
        <v>0</v>
      </c>
      <c r="K54" s="428">
        <f t="shared" si="14"/>
        <v>0</v>
      </c>
      <c r="L54" s="428">
        <f t="shared" si="14"/>
        <v>0</v>
      </c>
      <c r="M54" s="428">
        <f t="shared" si="14"/>
        <v>0</v>
      </c>
      <c r="N54" s="428">
        <f t="shared" si="14"/>
        <v>0</v>
      </c>
      <c r="O54" s="423">
        <f t="shared" si="15"/>
        <v>0</v>
      </c>
    </row>
    <row r="55" spans="1:15" ht="17.100000000000001">
      <c r="A55" s="425" t="str">
        <f t="shared" si="12"/>
        <v>H</v>
      </c>
      <c r="B55" s="452" t="str">
        <f t="shared" si="13"/>
        <v xml:space="preserve">        Total de Intereses - H</v>
      </c>
      <c r="C55" s="428">
        <f t="shared" si="14"/>
        <v>0</v>
      </c>
      <c r="D55" s="428">
        <f t="shared" si="14"/>
        <v>0</v>
      </c>
      <c r="E55" s="428">
        <f t="shared" si="14"/>
        <v>0</v>
      </c>
      <c r="F55" s="428">
        <f t="shared" si="14"/>
        <v>0</v>
      </c>
      <c r="G55" s="428">
        <f t="shared" si="14"/>
        <v>0</v>
      </c>
      <c r="H55" s="428">
        <f t="shared" si="14"/>
        <v>0</v>
      </c>
      <c r="I55" s="428">
        <f t="shared" si="14"/>
        <v>0</v>
      </c>
      <c r="J55" s="428">
        <f t="shared" si="14"/>
        <v>0</v>
      </c>
      <c r="K55" s="428">
        <f t="shared" si="14"/>
        <v>0</v>
      </c>
      <c r="L55" s="428">
        <f t="shared" si="14"/>
        <v>0</v>
      </c>
      <c r="M55" s="428">
        <f t="shared" si="14"/>
        <v>0</v>
      </c>
      <c r="N55" s="428">
        <f t="shared" si="14"/>
        <v>0</v>
      </c>
      <c r="O55" s="423">
        <f t="shared" si="15"/>
        <v>0</v>
      </c>
    </row>
    <row r="56" spans="1:15" ht="17.100000000000001">
      <c r="A56" s="425" t="str">
        <f t="shared" si="12"/>
        <v>I</v>
      </c>
      <c r="B56" s="452" t="str">
        <f t="shared" si="13"/>
        <v xml:space="preserve">        Total de Intereses - I</v>
      </c>
      <c r="C56" s="428">
        <f t="shared" si="14"/>
        <v>0</v>
      </c>
      <c r="D56" s="428">
        <f t="shared" si="14"/>
        <v>0</v>
      </c>
      <c r="E56" s="428">
        <f t="shared" si="14"/>
        <v>0</v>
      </c>
      <c r="F56" s="428">
        <f t="shared" si="14"/>
        <v>0</v>
      </c>
      <c r="G56" s="428">
        <f t="shared" si="14"/>
        <v>0</v>
      </c>
      <c r="H56" s="428">
        <f t="shared" si="14"/>
        <v>0</v>
      </c>
      <c r="I56" s="428">
        <f t="shared" si="14"/>
        <v>0</v>
      </c>
      <c r="J56" s="428">
        <f t="shared" si="14"/>
        <v>0</v>
      </c>
      <c r="K56" s="428">
        <f t="shared" si="14"/>
        <v>0</v>
      </c>
      <c r="L56" s="428">
        <f t="shared" si="14"/>
        <v>0</v>
      </c>
      <c r="M56" s="428">
        <f t="shared" si="14"/>
        <v>0</v>
      </c>
      <c r="N56" s="428">
        <f t="shared" si="14"/>
        <v>0</v>
      </c>
      <c r="O56" s="423">
        <f t="shared" si="15"/>
        <v>0</v>
      </c>
    </row>
    <row r="57" spans="1:15" ht="17.100000000000001">
      <c r="A57" s="425" t="str">
        <f t="shared" si="12"/>
        <v>J</v>
      </c>
      <c r="B57" s="452" t="str">
        <f t="shared" si="13"/>
        <v xml:space="preserve">        Total de Intereses - J</v>
      </c>
      <c r="C57" s="428">
        <f t="shared" si="14"/>
        <v>0</v>
      </c>
      <c r="D57" s="428">
        <f t="shared" si="14"/>
        <v>0</v>
      </c>
      <c r="E57" s="428">
        <f t="shared" si="14"/>
        <v>0</v>
      </c>
      <c r="F57" s="428">
        <f t="shared" si="14"/>
        <v>0</v>
      </c>
      <c r="G57" s="428">
        <f t="shared" si="14"/>
        <v>0</v>
      </c>
      <c r="H57" s="428">
        <f t="shared" si="14"/>
        <v>0</v>
      </c>
      <c r="I57" s="428">
        <f t="shared" si="14"/>
        <v>0</v>
      </c>
      <c r="J57" s="428">
        <f t="shared" si="14"/>
        <v>0</v>
      </c>
      <c r="K57" s="428">
        <f t="shared" si="14"/>
        <v>0</v>
      </c>
      <c r="L57" s="428">
        <f t="shared" si="14"/>
        <v>0</v>
      </c>
      <c r="M57" s="428">
        <f t="shared" si="14"/>
        <v>0</v>
      </c>
      <c r="N57" s="428">
        <f t="shared" si="14"/>
        <v>0</v>
      </c>
      <c r="O57" s="423">
        <f t="shared" si="15"/>
        <v>0</v>
      </c>
    </row>
    <row r="58" spans="1:15" ht="17.100000000000001">
      <c r="A58" s="425" t="str">
        <f t="shared" si="12"/>
        <v>K</v>
      </c>
      <c r="B58" s="452" t="str">
        <f t="shared" si="13"/>
        <v xml:space="preserve">        Total de Intereses - K</v>
      </c>
      <c r="C58" s="428">
        <f t="shared" si="14"/>
        <v>0</v>
      </c>
      <c r="D58" s="428">
        <f t="shared" si="14"/>
        <v>0</v>
      </c>
      <c r="E58" s="428">
        <f t="shared" si="14"/>
        <v>0</v>
      </c>
      <c r="F58" s="428">
        <f t="shared" si="14"/>
        <v>0</v>
      </c>
      <c r="G58" s="428">
        <f t="shared" si="14"/>
        <v>0</v>
      </c>
      <c r="H58" s="428">
        <f t="shared" si="14"/>
        <v>0</v>
      </c>
      <c r="I58" s="428">
        <f t="shared" si="14"/>
        <v>0</v>
      </c>
      <c r="J58" s="428">
        <f t="shared" si="14"/>
        <v>0</v>
      </c>
      <c r="K58" s="428">
        <f t="shared" si="14"/>
        <v>0</v>
      </c>
      <c r="L58" s="428">
        <f t="shared" si="14"/>
        <v>0</v>
      </c>
      <c r="M58" s="428">
        <f t="shared" si="14"/>
        <v>0</v>
      </c>
      <c r="N58" s="428">
        <f t="shared" si="14"/>
        <v>0</v>
      </c>
      <c r="O58" s="423">
        <f t="shared" si="15"/>
        <v>0</v>
      </c>
    </row>
    <row r="59" spans="1:15" ht="17.100000000000001">
      <c r="A59" s="416"/>
      <c r="B59" s="426" t="s">
        <v>819</v>
      </c>
      <c r="C59" s="427">
        <f>SUM(C48:C58)</f>
        <v>32.239999999999995</v>
      </c>
      <c r="D59" s="427">
        <f t="shared" ref="D59:O59" si="16">SUM(D48:D58)</f>
        <v>26.389054999999999</v>
      </c>
      <c r="E59" s="427">
        <f t="shared" si="16"/>
        <v>24.44</v>
      </c>
      <c r="F59" s="427">
        <f t="shared" si="16"/>
        <v>61.97</v>
      </c>
      <c r="G59" s="427">
        <f t="shared" si="16"/>
        <v>139.76</v>
      </c>
      <c r="H59" s="427">
        <f t="shared" si="16"/>
        <v>148.36000000000001</v>
      </c>
      <c r="I59" s="427">
        <f t="shared" si="16"/>
        <v>378.89</v>
      </c>
      <c r="J59" s="427">
        <f t="shared" si="16"/>
        <v>805.31831699999998</v>
      </c>
      <c r="K59" s="427">
        <f t="shared" si="16"/>
        <v>3158.1710400000002</v>
      </c>
      <c r="L59" s="427">
        <f t="shared" si="16"/>
        <v>3935.3942280000001</v>
      </c>
      <c r="M59" s="427">
        <f t="shared" si="16"/>
        <v>3504.2868129999997</v>
      </c>
      <c r="N59" s="427">
        <f t="shared" si="16"/>
        <v>4083.2367189999995</v>
      </c>
      <c r="O59" s="427">
        <f t="shared" si="16"/>
        <v>16298.456172000002</v>
      </c>
    </row>
    <row r="60" spans="1:15" ht="17.100000000000001">
      <c r="A60" s="416"/>
      <c r="B60" s="420" t="s">
        <v>796</v>
      </c>
      <c r="C60" s="423"/>
      <c r="D60" s="423"/>
      <c r="E60" s="423"/>
      <c r="F60" s="423"/>
      <c r="G60" s="423"/>
      <c r="H60" s="423"/>
      <c r="I60" s="423"/>
      <c r="J60" s="423"/>
      <c r="K60" s="423"/>
      <c r="L60" s="423"/>
      <c r="M60" s="423"/>
      <c r="N60" s="423"/>
      <c r="O60" s="423"/>
    </row>
    <row r="61" spans="1:15" ht="17.100000000000001">
      <c r="A61" s="416"/>
      <c r="B61" s="420" t="s">
        <v>820</v>
      </c>
      <c r="C61" s="424"/>
      <c r="D61" s="423"/>
      <c r="E61" s="423"/>
      <c r="F61" s="423"/>
      <c r="G61" s="423"/>
      <c r="H61" s="423"/>
      <c r="I61" s="423"/>
      <c r="J61" s="423"/>
      <c r="K61" s="423"/>
      <c r="L61" s="423"/>
      <c r="M61" s="423"/>
      <c r="N61" s="423"/>
      <c r="O61" s="423"/>
    </row>
    <row r="62" spans="1:15" ht="17.100000000000001">
      <c r="A62" s="425">
        <f>+A48</f>
        <v>1175000</v>
      </c>
      <c r="B62" s="452" t="str">
        <f>+CONCATENATE("        Int C/V de Bonos - ",A62)</f>
        <v xml:space="preserve">        Int C/V de Bonos - 1175000</v>
      </c>
      <c r="C62" s="431">
        <f>SUMIFS('Intereses en Compra-Venta Bonos'!$I:$I,'Intereses en Compra-Venta Bonos'!$B:$B,Rev!$A62,'Intereses en Compra-Venta Bonos'!$C:$C,"&gt;="&amp;Rev!C$1,'Intereses en Compra-Venta Bonos'!$C:$C,"&lt;="&amp;EOMONTH(Rev!C$1,0))</f>
        <v>0</v>
      </c>
      <c r="D62" s="431">
        <f>SUMIFS('Intereses en Compra-Venta Bonos'!$I:$I,'Intereses en Compra-Venta Bonos'!$B:$B,Rev!$A62,'Intereses en Compra-Venta Bonos'!$C:$C,"&gt;="&amp;Rev!D$1,'Intereses en Compra-Venta Bonos'!$C:$C,"&lt;="&amp;EOMONTH(Rev!D$1,0))</f>
        <v>0</v>
      </c>
      <c r="E62" s="431">
        <f>SUMIFS('Intereses en Compra-Venta Bonos'!$I:$I,'Intereses en Compra-Venta Bonos'!$B:$B,Rev!$A62,'Intereses en Compra-Venta Bonos'!$C:$C,"&gt;="&amp;Rev!E$1,'Intereses en Compra-Venta Bonos'!$C:$C,"&lt;="&amp;EOMONTH(Rev!E$1,0))</f>
        <v>0</v>
      </c>
      <c r="F62" s="431">
        <f>SUMIFS('Intereses en Compra-Venta Bonos'!$I:$I,'Intereses en Compra-Venta Bonos'!$B:$B,Rev!$A62,'Intereses en Compra-Venta Bonos'!$C:$C,"&gt;="&amp;Rev!F$1,'Intereses en Compra-Venta Bonos'!$C:$C,"&lt;="&amp;EOMONTH(Rev!F$1,0))</f>
        <v>0</v>
      </c>
      <c r="G62" s="431">
        <f>SUMIFS('Intereses en Compra-Venta Bonos'!$I:$I,'Intereses en Compra-Venta Bonos'!$B:$B,Rev!$A62,'Intereses en Compra-Venta Bonos'!$C:$C,"&gt;="&amp;Rev!G$1,'Intereses en Compra-Venta Bonos'!$C:$C,"&lt;="&amp;EOMONTH(Rev!G$1,0))</f>
        <v>0</v>
      </c>
      <c r="H62" s="431">
        <f>SUMIFS('Intereses en Compra-Venta Bonos'!$I:$I,'Intereses en Compra-Venta Bonos'!$B:$B,Rev!$A62,'Intereses en Compra-Venta Bonos'!$C:$C,"&gt;="&amp;Rev!H$1,'Intereses en Compra-Venta Bonos'!$C:$C,"&lt;="&amp;EOMONTH(Rev!H$1,0))</f>
        <v>0</v>
      </c>
      <c r="I62" s="431">
        <f>SUMIFS('Intereses en Compra-Venta Bonos'!$I:$I,'Intereses en Compra-Venta Bonos'!$B:$B,Rev!$A62,'Intereses en Compra-Venta Bonos'!$C:$C,"&gt;="&amp;Rev!I$1,'Intereses en Compra-Venta Bonos'!$C:$C,"&lt;="&amp;EOMONTH(Rev!I$1,0))</f>
        <v>0</v>
      </c>
      <c r="J62" s="431">
        <f>SUMIFS('Intereses en Compra-Venta Bonos'!$I:$I,'Intereses en Compra-Venta Bonos'!$B:$B,Rev!$A62,'Intereses en Compra-Venta Bonos'!$C:$C,"&gt;="&amp;Rev!J$1,'Intereses en Compra-Venta Bonos'!$C:$C,"&lt;="&amp;EOMONTH(Rev!J$1,0))</f>
        <v>0</v>
      </c>
      <c r="K62" s="431">
        <f>SUMIFS('Intereses en Compra-Venta Bonos'!$I:$I,'Intereses en Compra-Venta Bonos'!$B:$B,Rev!$A62,'Intereses en Compra-Venta Bonos'!$C:$C,"&gt;="&amp;Rev!K$1,'Intereses en Compra-Venta Bonos'!$C:$C,"&lt;="&amp;EOMONTH(Rev!K$1,0))</f>
        <v>0</v>
      </c>
      <c r="L62" s="431">
        <f>SUMIFS('Intereses en Compra-Venta Bonos'!$I:$I,'Intereses en Compra-Venta Bonos'!$B:$B,Rev!$A62,'Intereses en Compra-Venta Bonos'!$C:$C,"&gt;="&amp;Rev!L$1,'Intereses en Compra-Venta Bonos'!$C:$C,"&lt;="&amp;EOMONTH(Rev!L$1,0))</f>
        <v>0</v>
      </c>
      <c r="M62" s="431">
        <f>SUMIFS('Intereses en Compra-Venta Bonos'!$I:$I,'Intereses en Compra-Venta Bonos'!$B:$B,Rev!$A62,'Intereses en Compra-Venta Bonos'!$C:$C,"&gt;="&amp;Rev!M$1,'Intereses en Compra-Venta Bonos'!$C:$C,"&lt;="&amp;EOMONTH(Rev!M$1,0))</f>
        <v>0</v>
      </c>
      <c r="N62" s="431">
        <f>SUMIFS('Intereses en Compra-Venta Bonos'!$I:$I,'Intereses en Compra-Venta Bonos'!$B:$B,Rev!$A62,'Intereses en Compra-Venta Bonos'!$C:$C,"&gt;="&amp;Rev!N$1,'Intereses en Compra-Venta Bonos'!$C:$C,"&lt;="&amp;EOMONTH(Rev!N$1,0))</f>
        <v>0</v>
      </c>
      <c r="O62" s="431">
        <f>SUM(C62:N62)</f>
        <v>0</v>
      </c>
    </row>
    <row r="63" spans="1:15" ht="17.100000000000001">
      <c r="A63" s="425">
        <f t="shared" ref="A63:A72" si="17">+A49</f>
        <v>1179000</v>
      </c>
      <c r="B63" s="452" t="str">
        <f t="shared" ref="B63:B72" si="18">+CONCATENATE("        Int C/V de Bonos - ",A63)</f>
        <v xml:space="preserve">        Int C/V de Bonos - 1179000</v>
      </c>
      <c r="C63" s="431">
        <f>SUMIFS('Intereses en Compra-Venta Bonos'!$I:$I,'Intereses en Compra-Venta Bonos'!$B:$B,Rev!$A63,'Intereses en Compra-Venta Bonos'!$C:$C,"&gt;="&amp;Rev!C$1,'Intereses en Compra-Venta Bonos'!$C:$C,"&lt;="&amp;EOMONTH(Rev!C$1,0))</f>
        <v>0</v>
      </c>
      <c r="D63" s="431">
        <f>SUMIFS('Intereses en Compra-Venta Bonos'!$I:$I,'Intereses en Compra-Venta Bonos'!$B:$B,Rev!$A63,'Intereses en Compra-Venta Bonos'!$C:$C,"&gt;="&amp;Rev!D$1,'Intereses en Compra-Venta Bonos'!$C:$C,"&lt;="&amp;EOMONTH(Rev!D$1,0))</f>
        <v>0</v>
      </c>
      <c r="E63" s="431">
        <f>SUMIFS('Intereses en Compra-Venta Bonos'!$I:$I,'Intereses en Compra-Venta Bonos'!$B:$B,Rev!$A63,'Intereses en Compra-Venta Bonos'!$C:$C,"&gt;="&amp;Rev!E$1,'Intereses en Compra-Venta Bonos'!$C:$C,"&lt;="&amp;EOMONTH(Rev!E$1,0))</f>
        <v>0</v>
      </c>
      <c r="F63" s="431">
        <f>SUMIFS('Intereses en Compra-Venta Bonos'!$I:$I,'Intereses en Compra-Venta Bonos'!$B:$B,Rev!$A63,'Intereses en Compra-Venta Bonos'!$C:$C,"&gt;="&amp;Rev!F$1,'Intereses en Compra-Venta Bonos'!$C:$C,"&lt;="&amp;EOMONTH(Rev!F$1,0))</f>
        <v>0</v>
      </c>
      <c r="G63" s="431">
        <f>SUMIFS('Intereses en Compra-Venta Bonos'!$I:$I,'Intereses en Compra-Venta Bonos'!$B:$B,Rev!$A63,'Intereses en Compra-Venta Bonos'!$C:$C,"&gt;="&amp;Rev!G$1,'Intereses en Compra-Venta Bonos'!$C:$C,"&lt;="&amp;EOMONTH(Rev!G$1,0))</f>
        <v>0</v>
      </c>
      <c r="H63" s="431">
        <f>SUMIFS('Intereses en Compra-Venta Bonos'!$I:$I,'Intereses en Compra-Venta Bonos'!$B:$B,Rev!$A63,'Intereses en Compra-Venta Bonos'!$C:$C,"&gt;="&amp;Rev!H$1,'Intereses en Compra-Venta Bonos'!$C:$C,"&lt;="&amp;EOMONTH(Rev!H$1,0))</f>
        <v>0</v>
      </c>
      <c r="I63" s="431">
        <f>SUMIFS('Intereses en Compra-Venta Bonos'!$I:$I,'Intereses en Compra-Venta Bonos'!$B:$B,Rev!$A63,'Intereses en Compra-Venta Bonos'!$C:$C,"&gt;="&amp;Rev!I$1,'Intereses en Compra-Venta Bonos'!$C:$C,"&lt;="&amp;EOMONTH(Rev!I$1,0))</f>
        <v>0</v>
      </c>
      <c r="J63" s="431">
        <f>SUMIFS('Intereses en Compra-Venta Bonos'!$I:$I,'Intereses en Compra-Venta Bonos'!$B:$B,Rev!$A63,'Intereses en Compra-Venta Bonos'!$C:$C,"&gt;="&amp;Rev!J$1,'Intereses en Compra-Venta Bonos'!$C:$C,"&lt;="&amp;EOMONTH(Rev!J$1,0))</f>
        <v>0</v>
      </c>
      <c r="K63" s="431">
        <f>SUMIFS('Intereses en Compra-Venta Bonos'!$I:$I,'Intereses en Compra-Venta Bonos'!$B:$B,Rev!$A63,'Intereses en Compra-Venta Bonos'!$C:$C,"&gt;="&amp;Rev!K$1,'Intereses en Compra-Venta Bonos'!$C:$C,"&lt;="&amp;EOMONTH(Rev!K$1,0))</f>
        <v>0</v>
      </c>
      <c r="L63" s="431">
        <f>SUMIFS('Intereses en Compra-Venta Bonos'!$I:$I,'Intereses en Compra-Venta Bonos'!$B:$B,Rev!$A63,'Intereses en Compra-Venta Bonos'!$C:$C,"&gt;="&amp;Rev!L$1,'Intereses en Compra-Venta Bonos'!$C:$C,"&lt;="&amp;EOMONTH(Rev!L$1,0))</f>
        <v>0</v>
      </c>
      <c r="M63" s="431">
        <f>SUMIFS('Intereses en Compra-Venta Bonos'!$I:$I,'Intereses en Compra-Venta Bonos'!$B:$B,Rev!$A63,'Intereses en Compra-Venta Bonos'!$C:$C,"&gt;="&amp;Rev!M$1,'Intereses en Compra-Venta Bonos'!$C:$C,"&lt;="&amp;EOMONTH(Rev!M$1,0))</f>
        <v>0</v>
      </c>
      <c r="N63" s="431">
        <f>SUMIFS('Intereses en Compra-Venta Bonos'!$I:$I,'Intereses en Compra-Venta Bonos'!$B:$B,Rev!$A63,'Intereses en Compra-Venta Bonos'!$C:$C,"&gt;="&amp;Rev!N$1,'Intereses en Compra-Venta Bonos'!$C:$C,"&lt;="&amp;EOMONTH(Rev!N$1,0))</f>
        <v>0</v>
      </c>
      <c r="O63" s="431">
        <f>SUM(C63:N63)</f>
        <v>0</v>
      </c>
    </row>
    <row r="64" spans="1:15" ht="17.100000000000001">
      <c r="A64" s="425">
        <f t="shared" si="17"/>
        <v>1427200</v>
      </c>
      <c r="B64" s="452" t="str">
        <f t="shared" si="18"/>
        <v xml:space="preserve">        Int C/V de Bonos - 1427200</v>
      </c>
      <c r="C64" s="431">
        <f>SUMIFS('Intereses en Compra-Venta Bonos'!$I:$I,'Intereses en Compra-Venta Bonos'!$B:$B,Rev!$A64,'Intereses en Compra-Venta Bonos'!$C:$C,"&gt;="&amp;Rev!C$1,'Intereses en Compra-Venta Bonos'!$C:$C,"&lt;="&amp;EOMONTH(Rev!C$1,0))</f>
        <v>0</v>
      </c>
      <c r="D64" s="431">
        <f>SUMIFS('Intereses en Compra-Venta Bonos'!$I:$I,'Intereses en Compra-Venta Bonos'!$B:$B,Rev!$A64,'Intereses en Compra-Venta Bonos'!$C:$C,"&gt;="&amp;Rev!D$1,'Intereses en Compra-Venta Bonos'!$C:$C,"&lt;="&amp;EOMONTH(Rev!D$1,0))</f>
        <v>0</v>
      </c>
      <c r="E64" s="431">
        <f>SUMIFS('Intereses en Compra-Venta Bonos'!$I:$I,'Intereses en Compra-Venta Bonos'!$B:$B,Rev!$A64,'Intereses en Compra-Venta Bonos'!$C:$C,"&gt;="&amp;Rev!E$1,'Intereses en Compra-Venta Bonos'!$C:$C,"&lt;="&amp;EOMONTH(Rev!E$1,0))</f>
        <v>0</v>
      </c>
      <c r="F64" s="431">
        <f>SUMIFS('Intereses en Compra-Venta Bonos'!$I:$I,'Intereses en Compra-Venta Bonos'!$B:$B,Rev!$A64,'Intereses en Compra-Venta Bonos'!$C:$C,"&gt;="&amp;Rev!F$1,'Intereses en Compra-Venta Bonos'!$C:$C,"&lt;="&amp;EOMONTH(Rev!F$1,0))</f>
        <v>0</v>
      </c>
      <c r="G64" s="431">
        <f>SUMIFS('Intereses en Compra-Venta Bonos'!$I:$I,'Intereses en Compra-Venta Bonos'!$B:$B,Rev!$A64,'Intereses en Compra-Venta Bonos'!$C:$C,"&gt;="&amp;Rev!G$1,'Intereses en Compra-Venta Bonos'!$C:$C,"&lt;="&amp;EOMONTH(Rev!G$1,0))</f>
        <v>0</v>
      </c>
      <c r="H64" s="431">
        <f>SUMIFS('Intereses en Compra-Venta Bonos'!$I:$I,'Intereses en Compra-Venta Bonos'!$B:$B,Rev!$A64,'Intereses en Compra-Venta Bonos'!$C:$C,"&gt;="&amp;Rev!H$1,'Intereses en Compra-Venta Bonos'!$C:$C,"&lt;="&amp;EOMONTH(Rev!H$1,0))</f>
        <v>0</v>
      </c>
      <c r="I64" s="431">
        <f>SUMIFS('Intereses en Compra-Venta Bonos'!$I:$I,'Intereses en Compra-Venta Bonos'!$B:$B,Rev!$A64,'Intereses en Compra-Venta Bonos'!$C:$C,"&gt;="&amp;Rev!I$1,'Intereses en Compra-Venta Bonos'!$C:$C,"&lt;="&amp;EOMONTH(Rev!I$1,0))</f>
        <v>0</v>
      </c>
      <c r="J64" s="431">
        <f>SUMIFS('Intereses en Compra-Venta Bonos'!$I:$I,'Intereses en Compra-Venta Bonos'!$B:$B,Rev!$A64,'Intereses en Compra-Venta Bonos'!$C:$C,"&gt;="&amp;Rev!J$1,'Intereses en Compra-Venta Bonos'!$C:$C,"&lt;="&amp;EOMONTH(Rev!J$1,0))</f>
        <v>0</v>
      </c>
      <c r="K64" s="431">
        <f>SUMIFS('Intereses en Compra-Venta Bonos'!$I:$I,'Intereses en Compra-Venta Bonos'!$B:$B,Rev!$A64,'Intereses en Compra-Venta Bonos'!$C:$C,"&gt;="&amp;Rev!K$1,'Intereses en Compra-Venta Bonos'!$C:$C,"&lt;="&amp;EOMONTH(Rev!K$1,0))</f>
        <v>0</v>
      </c>
      <c r="L64" s="431">
        <f>SUMIFS('Intereses en Compra-Venta Bonos'!$I:$I,'Intereses en Compra-Venta Bonos'!$B:$B,Rev!$A64,'Intereses en Compra-Venta Bonos'!$C:$C,"&gt;="&amp;Rev!L$1,'Intereses en Compra-Venta Bonos'!$C:$C,"&lt;="&amp;EOMONTH(Rev!L$1,0))</f>
        <v>0</v>
      </c>
      <c r="M64" s="431">
        <f>SUMIFS('Intereses en Compra-Venta Bonos'!$I:$I,'Intereses en Compra-Venta Bonos'!$B:$B,Rev!$A64,'Intereses en Compra-Venta Bonos'!$C:$C,"&gt;="&amp;Rev!M$1,'Intereses en Compra-Venta Bonos'!$C:$C,"&lt;="&amp;EOMONTH(Rev!M$1,0))</f>
        <v>0</v>
      </c>
      <c r="N64" s="431">
        <f>SUMIFS('Intereses en Compra-Venta Bonos'!$I:$I,'Intereses en Compra-Venta Bonos'!$B:$B,Rev!$A64,'Intereses en Compra-Venta Bonos'!$C:$C,"&gt;="&amp;Rev!N$1,'Intereses en Compra-Venta Bonos'!$C:$C,"&lt;="&amp;EOMONTH(Rev!N$1,0))</f>
        <v>0</v>
      </c>
      <c r="O64" s="431">
        <f t="shared" ref="O64:O72" si="19">SUM(C64:N64)</f>
        <v>0</v>
      </c>
    </row>
    <row r="65" spans="1:15" ht="17.100000000000001">
      <c r="A65" s="425" t="str">
        <f t="shared" si="17"/>
        <v>B22235000</v>
      </c>
      <c r="B65" s="452" t="str">
        <f t="shared" si="18"/>
        <v xml:space="preserve">        Int C/V de Bonos - B22235000</v>
      </c>
      <c r="C65" s="431">
        <f>SUMIFS('Intereses en Compra-Venta Bonos'!$I:$I,'Intereses en Compra-Venta Bonos'!$B:$B,Rev!$A65,'Intereses en Compra-Venta Bonos'!$C:$C,"&gt;="&amp;Rev!C$1,'Intereses en Compra-Venta Bonos'!$C:$C,"&lt;="&amp;EOMONTH(Rev!C$1,0))</f>
        <v>0</v>
      </c>
      <c r="D65" s="431">
        <f>SUMIFS('Intereses en Compra-Venta Bonos'!$I:$I,'Intereses en Compra-Venta Bonos'!$B:$B,Rev!$A65,'Intereses en Compra-Venta Bonos'!$C:$C,"&gt;="&amp;Rev!D$1,'Intereses en Compra-Venta Bonos'!$C:$C,"&lt;="&amp;EOMONTH(Rev!D$1,0))</f>
        <v>0</v>
      </c>
      <c r="E65" s="431">
        <f>SUMIFS('Intereses en Compra-Venta Bonos'!$I:$I,'Intereses en Compra-Venta Bonos'!$B:$B,Rev!$A65,'Intereses en Compra-Venta Bonos'!$C:$C,"&gt;="&amp;Rev!E$1,'Intereses en Compra-Venta Bonos'!$C:$C,"&lt;="&amp;EOMONTH(Rev!E$1,0))</f>
        <v>0</v>
      </c>
      <c r="F65" s="431">
        <f>SUMIFS('Intereses en Compra-Venta Bonos'!$I:$I,'Intereses en Compra-Venta Bonos'!$B:$B,Rev!$A65,'Intereses en Compra-Venta Bonos'!$C:$C,"&gt;="&amp;Rev!F$1,'Intereses en Compra-Venta Bonos'!$C:$C,"&lt;="&amp;EOMONTH(Rev!F$1,0))</f>
        <v>0</v>
      </c>
      <c r="G65" s="431">
        <f>SUMIFS('Intereses en Compra-Venta Bonos'!$I:$I,'Intereses en Compra-Venta Bonos'!$B:$B,Rev!$A65,'Intereses en Compra-Venta Bonos'!$C:$C,"&gt;="&amp;Rev!G$1,'Intereses en Compra-Venta Bonos'!$C:$C,"&lt;="&amp;EOMONTH(Rev!G$1,0))</f>
        <v>0</v>
      </c>
      <c r="H65" s="431">
        <f>SUMIFS('Intereses en Compra-Venta Bonos'!$I:$I,'Intereses en Compra-Venta Bonos'!$B:$B,Rev!$A65,'Intereses en Compra-Venta Bonos'!$C:$C,"&gt;="&amp;Rev!H$1,'Intereses en Compra-Venta Bonos'!$C:$C,"&lt;="&amp;EOMONTH(Rev!H$1,0))</f>
        <v>0</v>
      </c>
      <c r="I65" s="431">
        <f>SUMIFS('Intereses en Compra-Venta Bonos'!$I:$I,'Intereses en Compra-Venta Bonos'!$B:$B,Rev!$A65,'Intereses en Compra-Venta Bonos'!$C:$C,"&gt;="&amp;Rev!I$1,'Intereses en Compra-Venta Bonos'!$C:$C,"&lt;="&amp;EOMONTH(Rev!I$1,0))</f>
        <v>0</v>
      </c>
      <c r="J65" s="431">
        <f>SUMIFS('Intereses en Compra-Venta Bonos'!$I:$I,'Intereses en Compra-Venta Bonos'!$B:$B,Rev!$A65,'Intereses en Compra-Venta Bonos'!$C:$C,"&gt;="&amp;Rev!J$1,'Intereses en Compra-Venta Bonos'!$C:$C,"&lt;="&amp;EOMONTH(Rev!J$1,0))</f>
        <v>0</v>
      </c>
      <c r="K65" s="431">
        <f>SUMIFS('Intereses en Compra-Venta Bonos'!$I:$I,'Intereses en Compra-Venta Bonos'!$B:$B,Rev!$A65,'Intereses en Compra-Venta Bonos'!$C:$C,"&gt;="&amp;Rev!K$1,'Intereses en Compra-Venta Bonos'!$C:$C,"&lt;="&amp;EOMONTH(Rev!K$1,0))</f>
        <v>0</v>
      </c>
      <c r="L65" s="431">
        <f>SUMIFS('Intereses en Compra-Venta Bonos'!$I:$I,'Intereses en Compra-Venta Bonos'!$B:$B,Rev!$A65,'Intereses en Compra-Venta Bonos'!$C:$C,"&gt;="&amp;Rev!L$1,'Intereses en Compra-Venta Bonos'!$C:$C,"&lt;="&amp;EOMONTH(Rev!L$1,0))</f>
        <v>0</v>
      </c>
      <c r="M65" s="431">
        <f>SUMIFS('Intereses en Compra-Venta Bonos'!$I:$I,'Intereses en Compra-Venta Bonos'!$B:$B,Rev!$A65,'Intereses en Compra-Venta Bonos'!$C:$C,"&gt;="&amp;Rev!M$1,'Intereses en Compra-Venta Bonos'!$C:$C,"&lt;="&amp;EOMONTH(Rev!M$1,0))</f>
        <v>0</v>
      </c>
      <c r="N65" s="431">
        <f>SUMIFS('Intereses en Compra-Venta Bonos'!$I:$I,'Intereses en Compra-Venta Bonos'!$B:$B,Rev!$A65,'Intereses en Compra-Venta Bonos'!$C:$C,"&gt;="&amp;Rev!N$1,'Intereses en Compra-Venta Bonos'!$C:$C,"&lt;="&amp;EOMONTH(Rev!N$1,0))</f>
        <v>0</v>
      </c>
      <c r="O65" s="431">
        <f t="shared" si="19"/>
        <v>0</v>
      </c>
    </row>
    <row r="66" spans="1:15" ht="17.100000000000001">
      <c r="A66" s="425">
        <f t="shared" si="17"/>
        <v>700833580</v>
      </c>
      <c r="B66" s="452" t="str">
        <f t="shared" si="18"/>
        <v xml:space="preserve">        Int C/V de Bonos - 700833580</v>
      </c>
      <c r="C66" s="431">
        <f>SUMIFS('Intereses en Compra-Venta Bonos'!$I:$I,'Intereses en Compra-Venta Bonos'!$B:$B,Rev!$A66,'Intereses en Compra-Venta Bonos'!$C:$C,"&gt;="&amp;Rev!C$1,'Intereses en Compra-Venta Bonos'!$C:$C,"&lt;="&amp;EOMONTH(Rev!C$1,0))</f>
        <v>0</v>
      </c>
      <c r="D66" s="431">
        <f>SUMIFS('Intereses en Compra-Venta Bonos'!$I:$I,'Intereses en Compra-Venta Bonos'!$B:$B,Rev!$A66,'Intereses en Compra-Venta Bonos'!$C:$C,"&gt;="&amp;Rev!D$1,'Intereses en Compra-Venta Bonos'!$C:$C,"&lt;="&amp;EOMONTH(Rev!D$1,0))</f>
        <v>0</v>
      </c>
      <c r="E66" s="431">
        <f>SUMIFS('Intereses en Compra-Venta Bonos'!$I:$I,'Intereses en Compra-Venta Bonos'!$B:$B,Rev!$A66,'Intereses en Compra-Venta Bonos'!$C:$C,"&gt;="&amp;Rev!E$1,'Intereses en Compra-Venta Bonos'!$C:$C,"&lt;="&amp;EOMONTH(Rev!E$1,0))</f>
        <v>0</v>
      </c>
      <c r="F66" s="431">
        <f>SUMIFS('Intereses en Compra-Venta Bonos'!$I:$I,'Intereses en Compra-Venta Bonos'!$B:$B,Rev!$A66,'Intereses en Compra-Venta Bonos'!$C:$C,"&gt;="&amp;Rev!F$1,'Intereses en Compra-Venta Bonos'!$C:$C,"&lt;="&amp;EOMONTH(Rev!F$1,0))</f>
        <v>0</v>
      </c>
      <c r="G66" s="431">
        <f>SUMIFS('Intereses en Compra-Venta Bonos'!$I:$I,'Intereses en Compra-Venta Bonos'!$B:$B,Rev!$A66,'Intereses en Compra-Venta Bonos'!$C:$C,"&gt;="&amp;Rev!G$1,'Intereses en Compra-Venta Bonos'!$C:$C,"&lt;="&amp;EOMONTH(Rev!G$1,0))</f>
        <v>0</v>
      </c>
      <c r="H66" s="431">
        <f>SUMIFS('Intereses en Compra-Venta Bonos'!$I:$I,'Intereses en Compra-Venta Bonos'!$B:$B,Rev!$A66,'Intereses en Compra-Venta Bonos'!$C:$C,"&gt;="&amp;Rev!H$1,'Intereses en Compra-Venta Bonos'!$C:$C,"&lt;="&amp;EOMONTH(Rev!H$1,0))</f>
        <v>0</v>
      </c>
      <c r="I66" s="431">
        <f>SUMIFS('Intereses en Compra-Venta Bonos'!$I:$I,'Intereses en Compra-Venta Bonos'!$B:$B,Rev!$A66,'Intereses en Compra-Venta Bonos'!$C:$C,"&gt;="&amp;Rev!I$1,'Intereses en Compra-Venta Bonos'!$C:$C,"&lt;="&amp;EOMONTH(Rev!I$1,0))</f>
        <v>0</v>
      </c>
      <c r="J66" s="431">
        <f>SUMIFS('Intereses en Compra-Venta Bonos'!$I:$I,'Intereses en Compra-Venta Bonos'!$B:$B,Rev!$A66,'Intereses en Compra-Venta Bonos'!$C:$C,"&gt;="&amp;Rev!J$1,'Intereses en Compra-Venta Bonos'!$C:$C,"&lt;="&amp;EOMONTH(Rev!J$1,0))</f>
        <v>0</v>
      </c>
      <c r="K66" s="431">
        <f>SUMIFS('Intereses en Compra-Venta Bonos'!$I:$I,'Intereses en Compra-Venta Bonos'!$B:$B,Rev!$A66,'Intereses en Compra-Venta Bonos'!$C:$C,"&gt;="&amp;Rev!K$1,'Intereses en Compra-Venta Bonos'!$C:$C,"&lt;="&amp;EOMONTH(Rev!K$1,0))</f>
        <v>0</v>
      </c>
      <c r="L66" s="431">
        <f>SUMIFS('Intereses en Compra-Venta Bonos'!$I:$I,'Intereses en Compra-Venta Bonos'!$B:$B,Rev!$A66,'Intereses en Compra-Venta Bonos'!$C:$C,"&gt;="&amp;Rev!L$1,'Intereses en Compra-Venta Bonos'!$C:$C,"&lt;="&amp;EOMONTH(Rev!L$1,0))</f>
        <v>0</v>
      </c>
      <c r="M66" s="431">
        <f>SUMIFS('Intereses en Compra-Venta Bonos'!$I:$I,'Intereses en Compra-Venta Bonos'!$B:$B,Rev!$A66,'Intereses en Compra-Venta Bonos'!$C:$C,"&gt;="&amp;Rev!M$1,'Intereses en Compra-Venta Bonos'!$C:$C,"&lt;="&amp;EOMONTH(Rev!M$1,0))</f>
        <v>0</v>
      </c>
      <c r="N66" s="431">
        <f>SUMIFS('Intereses en Compra-Venta Bonos'!$I:$I,'Intereses en Compra-Venta Bonos'!$B:$B,Rev!$A66,'Intereses en Compra-Venta Bonos'!$C:$C,"&gt;="&amp;Rev!N$1,'Intereses en Compra-Venta Bonos'!$C:$C,"&lt;="&amp;EOMONTH(Rev!N$1,0))</f>
        <v>0</v>
      </c>
      <c r="O66" s="431">
        <f t="shared" si="19"/>
        <v>0</v>
      </c>
    </row>
    <row r="67" spans="1:15" ht="17.100000000000001">
      <c r="A67" s="425" t="str">
        <f t="shared" si="17"/>
        <v>F</v>
      </c>
      <c r="B67" s="452" t="str">
        <f t="shared" si="18"/>
        <v xml:space="preserve">        Int C/V de Bonos - F</v>
      </c>
      <c r="C67" s="431">
        <f>SUMIFS('Intereses en Compra-Venta Bonos'!$I:$I,'Intereses en Compra-Venta Bonos'!$B:$B,Rev!$A67,'Intereses en Compra-Venta Bonos'!$C:$C,"&gt;="&amp;Rev!C$1,'Intereses en Compra-Venta Bonos'!$C:$C,"&lt;="&amp;EOMONTH(Rev!C$1,0))</f>
        <v>0</v>
      </c>
      <c r="D67" s="431">
        <f>SUMIFS('Intereses en Compra-Venta Bonos'!$I:$I,'Intereses en Compra-Venta Bonos'!$B:$B,Rev!$A67,'Intereses en Compra-Venta Bonos'!$C:$C,"&gt;="&amp;Rev!D$1,'Intereses en Compra-Venta Bonos'!$C:$C,"&lt;="&amp;EOMONTH(Rev!D$1,0))</f>
        <v>0</v>
      </c>
      <c r="E67" s="431">
        <f>SUMIFS('Intereses en Compra-Venta Bonos'!$I:$I,'Intereses en Compra-Venta Bonos'!$B:$B,Rev!$A67,'Intereses en Compra-Venta Bonos'!$C:$C,"&gt;="&amp;Rev!E$1,'Intereses en Compra-Venta Bonos'!$C:$C,"&lt;="&amp;EOMONTH(Rev!E$1,0))</f>
        <v>0</v>
      </c>
      <c r="F67" s="431">
        <f>SUMIFS('Intereses en Compra-Venta Bonos'!$I:$I,'Intereses en Compra-Venta Bonos'!$B:$B,Rev!$A67,'Intereses en Compra-Venta Bonos'!$C:$C,"&gt;="&amp;Rev!F$1,'Intereses en Compra-Venta Bonos'!$C:$C,"&lt;="&amp;EOMONTH(Rev!F$1,0))</f>
        <v>0</v>
      </c>
      <c r="G67" s="431">
        <f>SUMIFS('Intereses en Compra-Venta Bonos'!$I:$I,'Intereses en Compra-Venta Bonos'!$B:$B,Rev!$A67,'Intereses en Compra-Venta Bonos'!$C:$C,"&gt;="&amp;Rev!G$1,'Intereses en Compra-Venta Bonos'!$C:$C,"&lt;="&amp;EOMONTH(Rev!G$1,0))</f>
        <v>0</v>
      </c>
      <c r="H67" s="431">
        <f>SUMIFS('Intereses en Compra-Venta Bonos'!$I:$I,'Intereses en Compra-Venta Bonos'!$B:$B,Rev!$A67,'Intereses en Compra-Venta Bonos'!$C:$C,"&gt;="&amp;Rev!H$1,'Intereses en Compra-Venta Bonos'!$C:$C,"&lt;="&amp;EOMONTH(Rev!H$1,0))</f>
        <v>0</v>
      </c>
      <c r="I67" s="431">
        <f>SUMIFS('Intereses en Compra-Venta Bonos'!$I:$I,'Intereses en Compra-Venta Bonos'!$B:$B,Rev!$A67,'Intereses en Compra-Venta Bonos'!$C:$C,"&gt;="&amp;Rev!I$1,'Intereses en Compra-Venta Bonos'!$C:$C,"&lt;="&amp;EOMONTH(Rev!I$1,0))</f>
        <v>0</v>
      </c>
      <c r="J67" s="431">
        <f>SUMIFS('Intereses en Compra-Venta Bonos'!$I:$I,'Intereses en Compra-Venta Bonos'!$B:$B,Rev!$A67,'Intereses en Compra-Venta Bonos'!$C:$C,"&gt;="&amp;Rev!J$1,'Intereses en Compra-Venta Bonos'!$C:$C,"&lt;="&amp;EOMONTH(Rev!J$1,0))</f>
        <v>0</v>
      </c>
      <c r="K67" s="431">
        <f>SUMIFS('Intereses en Compra-Venta Bonos'!$I:$I,'Intereses en Compra-Venta Bonos'!$B:$B,Rev!$A67,'Intereses en Compra-Venta Bonos'!$C:$C,"&gt;="&amp;Rev!K$1,'Intereses en Compra-Venta Bonos'!$C:$C,"&lt;="&amp;EOMONTH(Rev!K$1,0))</f>
        <v>0</v>
      </c>
      <c r="L67" s="431">
        <f>SUMIFS('Intereses en Compra-Venta Bonos'!$I:$I,'Intereses en Compra-Venta Bonos'!$B:$B,Rev!$A67,'Intereses en Compra-Venta Bonos'!$C:$C,"&gt;="&amp;Rev!L$1,'Intereses en Compra-Venta Bonos'!$C:$C,"&lt;="&amp;EOMONTH(Rev!L$1,0))</f>
        <v>0</v>
      </c>
      <c r="M67" s="431">
        <f>SUMIFS('Intereses en Compra-Venta Bonos'!$I:$I,'Intereses en Compra-Venta Bonos'!$B:$B,Rev!$A67,'Intereses en Compra-Venta Bonos'!$C:$C,"&gt;="&amp;Rev!M$1,'Intereses en Compra-Venta Bonos'!$C:$C,"&lt;="&amp;EOMONTH(Rev!M$1,0))</f>
        <v>0</v>
      </c>
      <c r="N67" s="431">
        <f>SUMIFS('Intereses en Compra-Venta Bonos'!$I:$I,'Intereses en Compra-Venta Bonos'!$B:$B,Rev!$A67,'Intereses en Compra-Venta Bonos'!$C:$C,"&gt;="&amp;Rev!N$1,'Intereses en Compra-Venta Bonos'!$C:$C,"&lt;="&amp;EOMONTH(Rev!N$1,0))</f>
        <v>0</v>
      </c>
      <c r="O67" s="431">
        <f t="shared" si="19"/>
        <v>0</v>
      </c>
    </row>
    <row r="68" spans="1:15" ht="17.100000000000001">
      <c r="A68" s="425" t="str">
        <f t="shared" si="17"/>
        <v>G</v>
      </c>
      <c r="B68" s="452" t="str">
        <f t="shared" si="18"/>
        <v xml:space="preserve">        Int C/V de Bonos - G</v>
      </c>
      <c r="C68" s="431">
        <f>SUMIFS('Intereses en Compra-Venta Bonos'!$I:$I,'Intereses en Compra-Venta Bonos'!$B:$B,Rev!$A68,'Intereses en Compra-Venta Bonos'!$C:$C,"&gt;="&amp;Rev!C$1,'Intereses en Compra-Venta Bonos'!$C:$C,"&lt;="&amp;EOMONTH(Rev!C$1,0))</f>
        <v>0</v>
      </c>
      <c r="D68" s="431">
        <f>SUMIFS('Intereses en Compra-Venta Bonos'!$I:$I,'Intereses en Compra-Venta Bonos'!$B:$B,Rev!$A68,'Intereses en Compra-Venta Bonos'!$C:$C,"&gt;="&amp;Rev!D$1,'Intereses en Compra-Venta Bonos'!$C:$C,"&lt;="&amp;EOMONTH(Rev!D$1,0))</f>
        <v>0</v>
      </c>
      <c r="E68" s="431">
        <f>SUMIFS('Intereses en Compra-Venta Bonos'!$I:$I,'Intereses en Compra-Venta Bonos'!$B:$B,Rev!$A68,'Intereses en Compra-Venta Bonos'!$C:$C,"&gt;="&amp;Rev!E$1,'Intereses en Compra-Venta Bonos'!$C:$C,"&lt;="&amp;EOMONTH(Rev!E$1,0))</f>
        <v>0</v>
      </c>
      <c r="F68" s="431">
        <f>SUMIFS('Intereses en Compra-Venta Bonos'!$I:$I,'Intereses en Compra-Venta Bonos'!$B:$B,Rev!$A68,'Intereses en Compra-Venta Bonos'!$C:$C,"&gt;="&amp;Rev!F$1,'Intereses en Compra-Venta Bonos'!$C:$C,"&lt;="&amp;EOMONTH(Rev!F$1,0))</f>
        <v>0</v>
      </c>
      <c r="G68" s="431">
        <f>SUMIFS('Intereses en Compra-Venta Bonos'!$I:$I,'Intereses en Compra-Venta Bonos'!$B:$B,Rev!$A68,'Intereses en Compra-Venta Bonos'!$C:$C,"&gt;="&amp;Rev!G$1,'Intereses en Compra-Venta Bonos'!$C:$C,"&lt;="&amp;EOMONTH(Rev!G$1,0))</f>
        <v>0</v>
      </c>
      <c r="H68" s="431">
        <f>SUMIFS('Intereses en Compra-Venta Bonos'!$I:$I,'Intereses en Compra-Venta Bonos'!$B:$B,Rev!$A68,'Intereses en Compra-Venta Bonos'!$C:$C,"&gt;="&amp;Rev!H$1,'Intereses en Compra-Venta Bonos'!$C:$C,"&lt;="&amp;EOMONTH(Rev!H$1,0))</f>
        <v>0</v>
      </c>
      <c r="I68" s="431">
        <f>SUMIFS('Intereses en Compra-Venta Bonos'!$I:$I,'Intereses en Compra-Venta Bonos'!$B:$B,Rev!$A68,'Intereses en Compra-Venta Bonos'!$C:$C,"&gt;="&amp;Rev!I$1,'Intereses en Compra-Venta Bonos'!$C:$C,"&lt;="&amp;EOMONTH(Rev!I$1,0))</f>
        <v>0</v>
      </c>
      <c r="J68" s="431">
        <f>SUMIFS('Intereses en Compra-Venta Bonos'!$I:$I,'Intereses en Compra-Venta Bonos'!$B:$B,Rev!$A68,'Intereses en Compra-Venta Bonos'!$C:$C,"&gt;="&amp;Rev!J$1,'Intereses en Compra-Venta Bonos'!$C:$C,"&lt;="&amp;EOMONTH(Rev!J$1,0))</f>
        <v>0</v>
      </c>
      <c r="K68" s="431">
        <f>SUMIFS('Intereses en Compra-Venta Bonos'!$I:$I,'Intereses en Compra-Venta Bonos'!$B:$B,Rev!$A68,'Intereses en Compra-Venta Bonos'!$C:$C,"&gt;="&amp;Rev!K$1,'Intereses en Compra-Venta Bonos'!$C:$C,"&lt;="&amp;EOMONTH(Rev!K$1,0))</f>
        <v>0</v>
      </c>
      <c r="L68" s="431">
        <f>SUMIFS('Intereses en Compra-Venta Bonos'!$I:$I,'Intereses en Compra-Venta Bonos'!$B:$B,Rev!$A68,'Intereses en Compra-Venta Bonos'!$C:$C,"&gt;="&amp;Rev!L$1,'Intereses en Compra-Venta Bonos'!$C:$C,"&lt;="&amp;EOMONTH(Rev!L$1,0))</f>
        <v>0</v>
      </c>
      <c r="M68" s="431">
        <f>SUMIFS('Intereses en Compra-Venta Bonos'!$I:$I,'Intereses en Compra-Venta Bonos'!$B:$B,Rev!$A68,'Intereses en Compra-Venta Bonos'!$C:$C,"&gt;="&amp;Rev!M$1,'Intereses en Compra-Venta Bonos'!$C:$C,"&lt;="&amp;EOMONTH(Rev!M$1,0))</f>
        <v>0</v>
      </c>
      <c r="N68" s="431">
        <f>SUMIFS('Intereses en Compra-Venta Bonos'!$I:$I,'Intereses en Compra-Venta Bonos'!$B:$B,Rev!$A68,'Intereses en Compra-Venta Bonos'!$C:$C,"&gt;="&amp;Rev!N$1,'Intereses en Compra-Venta Bonos'!$C:$C,"&lt;="&amp;EOMONTH(Rev!N$1,0))</f>
        <v>0</v>
      </c>
      <c r="O68" s="431">
        <f t="shared" si="19"/>
        <v>0</v>
      </c>
    </row>
    <row r="69" spans="1:15" ht="17.100000000000001">
      <c r="A69" s="425" t="str">
        <f t="shared" si="17"/>
        <v>H</v>
      </c>
      <c r="B69" s="452" t="str">
        <f t="shared" si="18"/>
        <v xml:space="preserve">        Int C/V de Bonos - H</v>
      </c>
      <c r="C69" s="431">
        <f>SUMIFS('Intereses en Compra-Venta Bonos'!$I:$I,'Intereses en Compra-Venta Bonos'!$B:$B,Rev!$A69,'Intereses en Compra-Venta Bonos'!$C:$C,"&gt;="&amp;Rev!C$1,'Intereses en Compra-Venta Bonos'!$C:$C,"&lt;="&amp;EOMONTH(Rev!C$1,0))</f>
        <v>0</v>
      </c>
      <c r="D69" s="431">
        <f>SUMIFS('Intereses en Compra-Venta Bonos'!$I:$I,'Intereses en Compra-Venta Bonos'!$B:$B,Rev!$A69,'Intereses en Compra-Venta Bonos'!$C:$C,"&gt;="&amp;Rev!D$1,'Intereses en Compra-Venta Bonos'!$C:$C,"&lt;="&amp;EOMONTH(Rev!D$1,0))</f>
        <v>0</v>
      </c>
      <c r="E69" s="431">
        <f>SUMIFS('Intereses en Compra-Venta Bonos'!$I:$I,'Intereses en Compra-Venta Bonos'!$B:$B,Rev!$A69,'Intereses en Compra-Venta Bonos'!$C:$C,"&gt;="&amp;Rev!E$1,'Intereses en Compra-Venta Bonos'!$C:$C,"&lt;="&amp;EOMONTH(Rev!E$1,0))</f>
        <v>0</v>
      </c>
      <c r="F69" s="431">
        <f>SUMIFS('Intereses en Compra-Venta Bonos'!$I:$I,'Intereses en Compra-Venta Bonos'!$B:$B,Rev!$A69,'Intereses en Compra-Venta Bonos'!$C:$C,"&gt;="&amp;Rev!F$1,'Intereses en Compra-Venta Bonos'!$C:$C,"&lt;="&amp;EOMONTH(Rev!F$1,0))</f>
        <v>0</v>
      </c>
      <c r="G69" s="431">
        <f>SUMIFS('Intereses en Compra-Venta Bonos'!$I:$I,'Intereses en Compra-Venta Bonos'!$B:$B,Rev!$A69,'Intereses en Compra-Venta Bonos'!$C:$C,"&gt;="&amp;Rev!G$1,'Intereses en Compra-Venta Bonos'!$C:$C,"&lt;="&amp;EOMONTH(Rev!G$1,0))</f>
        <v>0</v>
      </c>
      <c r="H69" s="431">
        <f>SUMIFS('Intereses en Compra-Venta Bonos'!$I:$I,'Intereses en Compra-Venta Bonos'!$B:$B,Rev!$A69,'Intereses en Compra-Venta Bonos'!$C:$C,"&gt;="&amp;Rev!H$1,'Intereses en Compra-Venta Bonos'!$C:$C,"&lt;="&amp;EOMONTH(Rev!H$1,0))</f>
        <v>0</v>
      </c>
      <c r="I69" s="431">
        <f>SUMIFS('Intereses en Compra-Venta Bonos'!$I:$I,'Intereses en Compra-Venta Bonos'!$B:$B,Rev!$A69,'Intereses en Compra-Venta Bonos'!$C:$C,"&gt;="&amp;Rev!I$1,'Intereses en Compra-Venta Bonos'!$C:$C,"&lt;="&amp;EOMONTH(Rev!I$1,0))</f>
        <v>0</v>
      </c>
      <c r="J69" s="431">
        <f>SUMIFS('Intereses en Compra-Venta Bonos'!$I:$I,'Intereses en Compra-Venta Bonos'!$B:$B,Rev!$A69,'Intereses en Compra-Venta Bonos'!$C:$C,"&gt;="&amp;Rev!J$1,'Intereses en Compra-Venta Bonos'!$C:$C,"&lt;="&amp;EOMONTH(Rev!J$1,0))</f>
        <v>0</v>
      </c>
      <c r="K69" s="431">
        <f>SUMIFS('Intereses en Compra-Venta Bonos'!$I:$I,'Intereses en Compra-Venta Bonos'!$B:$B,Rev!$A69,'Intereses en Compra-Venta Bonos'!$C:$C,"&gt;="&amp;Rev!K$1,'Intereses en Compra-Venta Bonos'!$C:$C,"&lt;="&amp;EOMONTH(Rev!K$1,0))</f>
        <v>0</v>
      </c>
      <c r="L69" s="431">
        <f>SUMIFS('Intereses en Compra-Venta Bonos'!$I:$I,'Intereses en Compra-Venta Bonos'!$B:$B,Rev!$A69,'Intereses en Compra-Venta Bonos'!$C:$C,"&gt;="&amp;Rev!L$1,'Intereses en Compra-Venta Bonos'!$C:$C,"&lt;="&amp;EOMONTH(Rev!L$1,0))</f>
        <v>0</v>
      </c>
      <c r="M69" s="431">
        <f>SUMIFS('Intereses en Compra-Venta Bonos'!$I:$I,'Intereses en Compra-Venta Bonos'!$B:$B,Rev!$A69,'Intereses en Compra-Venta Bonos'!$C:$C,"&gt;="&amp;Rev!M$1,'Intereses en Compra-Venta Bonos'!$C:$C,"&lt;="&amp;EOMONTH(Rev!M$1,0))</f>
        <v>0</v>
      </c>
      <c r="N69" s="431">
        <f>SUMIFS('Intereses en Compra-Venta Bonos'!$I:$I,'Intereses en Compra-Venta Bonos'!$B:$B,Rev!$A69,'Intereses en Compra-Venta Bonos'!$C:$C,"&gt;="&amp;Rev!N$1,'Intereses en Compra-Venta Bonos'!$C:$C,"&lt;="&amp;EOMONTH(Rev!N$1,0))</f>
        <v>0</v>
      </c>
      <c r="O69" s="431">
        <f t="shared" si="19"/>
        <v>0</v>
      </c>
    </row>
    <row r="70" spans="1:15" ht="17.100000000000001">
      <c r="A70" s="425" t="str">
        <f t="shared" si="17"/>
        <v>I</v>
      </c>
      <c r="B70" s="452" t="str">
        <f t="shared" si="18"/>
        <v xml:space="preserve">        Int C/V de Bonos - I</v>
      </c>
      <c r="C70" s="431">
        <f>SUMIFS('Intereses en Compra-Venta Bonos'!$I:$I,'Intereses en Compra-Venta Bonos'!$B:$B,Rev!$A70,'Intereses en Compra-Venta Bonos'!$C:$C,"&gt;="&amp;Rev!C$1,'Intereses en Compra-Venta Bonos'!$C:$C,"&lt;="&amp;EOMONTH(Rev!C$1,0))</f>
        <v>0</v>
      </c>
      <c r="D70" s="431">
        <f>SUMIFS('Intereses en Compra-Venta Bonos'!$I:$I,'Intereses en Compra-Venta Bonos'!$B:$B,Rev!$A70,'Intereses en Compra-Venta Bonos'!$C:$C,"&gt;="&amp;Rev!D$1,'Intereses en Compra-Venta Bonos'!$C:$C,"&lt;="&amp;EOMONTH(Rev!D$1,0))</f>
        <v>0</v>
      </c>
      <c r="E70" s="431">
        <f>SUMIFS('Intereses en Compra-Venta Bonos'!$I:$I,'Intereses en Compra-Venta Bonos'!$B:$B,Rev!$A70,'Intereses en Compra-Venta Bonos'!$C:$C,"&gt;="&amp;Rev!E$1,'Intereses en Compra-Venta Bonos'!$C:$C,"&lt;="&amp;EOMONTH(Rev!E$1,0))</f>
        <v>0</v>
      </c>
      <c r="F70" s="431">
        <f>SUMIFS('Intereses en Compra-Venta Bonos'!$I:$I,'Intereses en Compra-Venta Bonos'!$B:$B,Rev!$A70,'Intereses en Compra-Venta Bonos'!$C:$C,"&gt;="&amp;Rev!F$1,'Intereses en Compra-Venta Bonos'!$C:$C,"&lt;="&amp;EOMONTH(Rev!F$1,0))</f>
        <v>0</v>
      </c>
      <c r="G70" s="431">
        <f>SUMIFS('Intereses en Compra-Venta Bonos'!$I:$I,'Intereses en Compra-Venta Bonos'!$B:$B,Rev!$A70,'Intereses en Compra-Venta Bonos'!$C:$C,"&gt;="&amp;Rev!G$1,'Intereses en Compra-Venta Bonos'!$C:$C,"&lt;="&amp;EOMONTH(Rev!G$1,0))</f>
        <v>0</v>
      </c>
      <c r="H70" s="431">
        <f>SUMIFS('Intereses en Compra-Venta Bonos'!$I:$I,'Intereses en Compra-Venta Bonos'!$B:$B,Rev!$A70,'Intereses en Compra-Venta Bonos'!$C:$C,"&gt;="&amp;Rev!H$1,'Intereses en Compra-Venta Bonos'!$C:$C,"&lt;="&amp;EOMONTH(Rev!H$1,0))</f>
        <v>0</v>
      </c>
      <c r="I70" s="431">
        <f>SUMIFS('Intereses en Compra-Venta Bonos'!$I:$I,'Intereses en Compra-Venta Bonos'!$B:$B,Rev!$A70,'Intereses en Compra-Venta Bonos'!$C:$C,"&gt;="&amp;Rev!I$1,'Intereses en Compra-Venta Bonos'!$C:$C,"&lt;="&amp;EOMONTH(Rev!I$1,0))</f>
        <v>0</v>
      </c>
      <c r="J70" s="431">
        <f>SUMIFS('Intereses en Compra-Venta Bonos'!$I:$I,'Intereses en Compra-Venta Bonos'!$B:$B,Rev!$A70,'Intereses en Compra-Venta Bonos'!$C:$C,"&gt;="&amp;Rev!J$1,'Intereses en Compra-Venta Bonos'!$C:$C,"&lt;="&amp;EOMONTH(Rev!J$1,0))</f>
        <v>0</v>
      </c>
      <c r="K70" s="431">
        <f>SUMIFS('Intereses en Compra-Venta Bonos'!$I:$I,'Intereses en Compra-Venta Bonos'!$B:$B,Rev!$A70,'Intereses en Compra-Venta Bonos'!$C:$C,"&gt;="&amp;Rev!K$1,'Intereses en Compra-Venta Bonos'!$C:$C,"&lt;="&amp;EOMONTH(Rev!K$1,0))</f>
        <v>0</v>
      </c>
      <c r="L70" s="431">
        <f>SUMIFS('Intereses en Compra-Venta Bonos'!$I:$I,'Intereses en Compra-Venta Bonos'!$B:$B,Rev!$A70,'Intereses en Compra-Venta Bonos'!$C:$C,"&gt;="&amp;Rev!L$1,'Intereses en Compra-Venta Bonos'!$C:$C,"&lt;="&amp;EOMONTH(Rev!L$1,0))</f>
        <v>0</v>
      </c>
      <c r="M70" s="431">
        <f>SUMIFS('Intereses en Compra-Venta Bonos'!$I:$I,'Intereses en Compra-Venta Bonos'!$B:$B,Rev!$A70,'Intereses en Compra-Venta Bonos'!$C:$C,"&gt;="&amp;Rev!M$1,'Intereses en Compra-Venta Bonos'!$C:$C,"&lt;="&amp;EOMONTH(Rev!M$1,0))</f>
        <v>0</v>
      </c>
      <c r="N70" s="431">
        <f>SUMIFS('Intereses en Compra-Venta Bonos'!$I:$I,'Intereses en Compra-Venta Bonos'!$B:$B,Rev!$A70,'Intereses en Compra-Venta Bonos'!$C:$C,"&gt;="&amp;Rev!N$1,'Intereses en Compra-Venta Bonos'!$C:$C,"&lt;="&amp;EOMONTH(Rev!N$1,0))</f>
        <v>0</v>
      </c>
      <c r="O70" s="431">
        <f t="shared" si="19"/>
        <v>0</v>
      </c>
    </row>
    <row r="71" spans="1:15" ht="17.100000000000001">
      <c r="A71" s="425" t="str">
        <f t="shared" si="17"/>
        <v>J</v>
      </c>
      <c r="B71" s="452" t="str">
        <f t="shared" si="18"/>
        <v xml:space="preserve">        Int C/V de Bonos - J</v>
      </c>
      <c r="C71" s="431">
        <f>SUMIFS('Intereses en Compra-Venta Bonos'!$I:$I,'Intereses en Compra-Venta Bonos'!$B:$B,Rev!$A71,'Intereses en Compra-Venta Bonos'!$C:$C,"&gt;="&amp;Rev!C$1,'Intereses en Compra-Venta Bonos'!$C:$C,"&lt;="&amp;EOMONTH(Rev!C$1,0))</f>
        <v>0</v>
      </c>
      <c r="D71" s="431">
        <f>SUMIFS('Intereses en Compra-Venta Bonos'!$I:$I,'Intereses en Compra-Venta Bonos'!$B:$B,Rev!$A71,'Intereses en Compra-Venta Bonos'!$C:$C,"&gt;="&amp;Rev!D$1,'Intereses en Compra-Venta Bonos'!$C:$C,"&lt;="&amp;EOMONTH(Rev!D$1,0))</f>
        <v>0</v>
      </c>
      <c r="E71" s="431">
        <f>SUMIFS('Intereses en Compra-Venta Bonos'!$I:$I,'Intereses en Compra-Venta Bonos'!$B:$B,Rev!$A71,'Intereses en Compra-Venta Bonos'!$C:$C,"&gt;="&amp;Rev!E$1,'Intereses en Compra-Venta Bonos'!$C:$C,"&lt;="&amp;EOMONTH(Rev!E$1,0))</f>
        <v>0</v>
      </c>
      <c r="F71" s="431">
        <f>SUMIFS('Intereses en Compra-Venta Bonos'!$I:$I,'Intereses en Compra-Venta Bonos'!$B:$B,Rev!$A71,'Intereses en Compra-Venta Bonos'!$C:$C,"&gt;="&amp;Rev!F$1,'Intereses en Compra-Venta Bonos'!$C:$C,"&lt;="&amp;EOMONTH(Rev!F$1,0))</f>
        <v>0</v>
      </c>
      <c r="G71" s="431">
        <f>SUMIFS('Intereses en Compra-Venta Bonos'!$I:$I,'Intereses en Compra-Venta Bonos'!$B:$B,Rev!$A71,'Intereses en Compra-Venta Bonos'!$C:$C,"&gt;="&amp;Rev!G$1,'Intereses en Compra-Venta Bonos'!$C:$C,"&lt;="&amp;EOMONTH(Rev!G$1,0))</f>
        <v>0</v>
      </c>
      <c r="H71" s="431">
        <f>SUMIFS('Intereses en Compra-Venta Bonos'!$I:$I,'Intereses en Compra-Venta Bonos'!$B:$B,Rev!$A71,'Intereses en Compra-Venta Bonos'!$C:$C,"&gt;="&amp;Rev!H$1,'Intereses en Compra-Venta Bonos'!$C:$C,"&lt;="&amp;EOMONTH(Rev!H$1,0))</f>
        <v>0</v>
      </c>
      <c r="I71" s="431">
        <f>SUMIFS('Intereses en Compra-Venta Bonos'!$I:$I,'Intereses en Compra-Venta Bonos'!$B:$B,Rev!$A71,'Intereses en Compra-Venta Bonos'!$C:$C,"&gt;="&amp;Rev!I$1,'Intereses en Compra-Venta Bonos'!$C:$C,"&lt;="&amp;EOMONTH(Rev!I$1,0))</f>
        <v>0</v>
      </c>
      <c r="J71" s="431">
        <f>SUMIFS('Intereses en Compra-Venta Bonos'!$I:$I,'Intereses en Compra-Venta Bonos'!$B:$B,Rev!$A71,'Intereses en Compra-Venta Bonos'!$C:$C,"&gt;="&amp;Rev!J$1,'Intereses en Compra-Venta Bonos'!$C:$C,"&lt;="&amp;EOMONTH(Rev!J$1,0))</f>
        <v>0</v>
      </c>
      <c r="K71" s="431">
        <f>SUMIFS('Intereses en Compra-Venta Bonos'!$I:$I,'Intereses en Compra-Venta Bonos'!$B:$B,Rev!$A71,'Intereses en Compra-Venta Bonos'!$C:$C,"&gt;="&amp;Rev!K$1,'Intereses en Compra-Venta Bonos'!$C:$C,"&lt;="&amp;EOMONTH(Rev!K$1,0))</f>
        <v>0</v>
      </c>
      <c r="L71" s="431">
        <f>SUMIFS('Intereses en Compra-Venta Bonos'!$I:$I,'Intereses en Compra-Venta Bonos'!$B:$B,Rev!$A71,'Intereses en Compra-Venta Bonos'!$C:$C,"&gt;="&amp;Rev!L$1,'Intereses en Compra-Venta Bonos'!$C:$C,"&lt;="&amp;EOMONTH(Rev!L$1,0))</f>
        <v>0</v>
      </c>
      <c r="M71" s="431">
        <f>SUMIFS('Intereses en Compra-Venta Bonos'!$I:$I,'Intereses en Compra-Venta Bonos'!$B:$B,Rev!$A71,'Intereses en Compra-Venta Bonos'!$C:$C,"&gt;="&amp;Rev!M$1,'Intereses en Compra-Venta Bonos'!$C:$C,"&lt;="&amp;EOMONTH(Rev!M$1,0))</f>
        <v>0</v>
      </c>
      <c r="N71" s="431">
        <f>SUMIFS('Intereses en Compra-Venta Bonos'!$I:$I,'Intereses en Compra-Venta Bonos'!$B:$B,Rev!$A71,'Intereses en Compra-Venta Bonos'!$C:$C,"&gt;="&amp;Rev!N$1,'Intereses en Compra-Venta Bonos'!$C:$C,"&lt;="&amp;EOMONTH(Rev!N$1,0))</f>
        <v>0</v>
      </c>
      <c r="O71" s="431">
        <f t="shared" si="19"/>
        <v>0</v>
      </c>
    </row>
    <row r="72" spans="1:15" ht="17.100000000000001">
      <c r="A72" s="425" t="str">
        <f t="shared" si="17"/>
        <v>K</v>
      </c>
      <c r="B72" s="452" t="str">
        <f t="shared" si="18"/>
        <v xml:space="preserve">        Int C/V de Bonos - K</v>
      </c>
      <c r="C72" s="431">
        <f>SUMIFS('Intereses en Compra-Venta Bonos'!$I:$I,'Intereses en Compra-Venta Bonos'!$B:$B,Rev!$A72,'Intereses en Compra-Venta Bonos'!$C:$C,"&gt;="&amp;Rev!C$1,'Intereses en Compra-Venta Bonos'!$C:$C,"&lt;="&amp;EOMONTH(Rev!C$1,0))</f>
        <v>0</v>
      </c>
      <c r="D72" s="431">
        <f>SUMIFS('Intereses en Compra-Venta Bonos'!$I:$I,'Intereses en Compra-Venta Bonos'!$B:$B,Rev!$A72,'Intereses en Compra-Venta Bonos'!$C:$C,"&gt;="&amp;Rev!D$1,'Intereses en Compra-Venta Bonos'!$C:$C,"&lt;="&amp;EOMONTH(Rev!D$1,0))</f>
        <v>0</v>
      </c>
      <c r="E72" s="431">
        <f>SUMIFS('Intereses en Compra-Venta Bonos'!$I:$I,'Intereses en Compra-Venta Bonos'!$B:$B,Rev!$A72,'Intereses en Compra-Venta Bonos'!$C:$C,"&gt;="&amp;Rev!E$1,'Intereses en Compra-Venta Bonos'!$C:$C,"&lt;="&amp;EOMONTH(Rev!E$1,0))</f>
        <v>0</v>
      </c>
      <c r="F72" s="431">
        <f>SUMIFS('Intereses en Compra-Venta Bonos'!$I:$I,'Intereses en Compra-Venta Bonos'!$B:$B,Rev!$A72,'Intereses en Compra-Venta Bonos'!$C:$C,"&gt;="&amp;Rev!F$1,'Intereses en Compra-Venta Bonos'!$C:$C,"&lt;="&amp;EOMONTH(Rev!F$1,0))</f>
        <v>0</v>
      </c>
      <c r="G72" s="431">
        <f>SUMIFS('Intereses en Compra-Venta Bonos'!$I:$I,'Intereses en Compra-Venta Bonos'!$B:$B,Rev!$A72,'Intereses en Compra-Venta Bonos'!$C:$C,"&gt;="&amp;Rev!G$1,'Intereses en Compra-Venta Bonos'!$C:$C,"&lt;="&amp;EOMONTH(Rev!G$1,0))</f>
        <v>0</v>
      </c>
      <c r="H72" s="431">
        <f>SUMIFS('Intereses en Compra-Venta Bonos'!$I:$I,'Intereses en Compra-Venta Bonos'!$B:$B,Rev!$A72,'Intereses en Compra-Venta Bonos'!$C:$C,"&gt;="&amp;Rev!H$1,'Intereses en Compra-Venta Bonos'!$C:$C,"&lt;="&amp;EOMONTH(Rev!H$1,0))</f>
        <v>0</v>
      </c>
      <c r="I72" s="431">
        <f>SUMIFS('Intereses en Compra-Venta Bonos'!$I:$I,'Intereses en Compra-Venta Bonos'!$B:$B,Rev!$A72,'Intereses en Compra-Venta Bonos'!$C:$C,"&gt;="&amp;Rev!I$1,'Intereses en Compra-Venta Bonos'!$C:$C,"&lt;="&amp;EOMONTH(Rev!I$1,0))</f>
        <v>0</v>
      </c>
      <c r="J72" s="431">
        <f>SUMIFS('Intereses en Compra-Venta Bonos'!$I:$I,'Intereses en Compra-Venta Bonos'!$B:$B,Rev!$A72,'Intereses en Compra-Venta Bonos'!$C:$C,"&gt;="&amp;Rev!J$1,'Intereses en Compra-Venta Bonos'!$C:$C,"&lt;="&amp;EOMONTH(Rev!J$1,0))</f>
        <v>0</v>
      </c>
      <c r="K72" s="431">
        <f>SUMIFS('Intereses en Compra-Venta Bonos'!$I:$I,'Intereses en Compra-Venta Bonos'!$B:$B,Rev!$A72,'Intereses en Compra-Venta Bonos'!$C:$C,"&gt;="&amp;Rev!K$1,'Intereses en Compra-Venta Bonos'!$C:$C,"&lt;="&amp;EOMONTH(Rev!K$1,0))</f>
        <v>0</v>
      </c>
      <c r="L72" s="431">
        <f>SUMIFS('Intereses en Compra-Venta Bonos'!$I:$I,'Intereses en Compra-Venta Bonos'!$B:$B,Rev!$A72,'Intereses en Compra-Venta Bonos'!$C:$C,"&gt;="&amp;Rev!L$1,'Intereses en Compra-Venta Bonos'!$C:$C,"&lt;="&amp;EOMONTH(Rev!L$1,0))</f>
        <v>0</v>
      </c>
      <c r="M72" s="431">
        <f>SUMIFS('Intereses en Compra-Venta Bonos'!$I:$I,'Intereses en Compra-Venta Bonos'!$B:$B,Rev!$A72,'Intereses en Compra-Venta Bonos'!$C:$C,"&gt;="&amp;Rev!M$1,'Intereses en Compra-Venta Bonos'!$C:$C,"&lt;="&amp;EOMONTH(Rev!M$1,0))</f>
        <v>0</v>
      </c>
      <c r="N72" s="431">
        <f>SUMIFS('Intereses en Compra-Venta Bonos'!$I:$I,'Intereses en Compra-Venta Bonos'!$B:$B,Rev!$A72,'Intereses en Compra-Venta Bonos'!$C:$C,"&gt;="&amp;Rev!N$1,'Intereses en Compra-Venta Bonos'!$C:$C,"&lt;="&amp;EOMONTH(Rev!N$1,0))</f>
        <v>0</v>
      </c>
      <c r="O72" s="431">
        <f t="shared" si="19"/>
        <v>0</v>
      </c>
    </row>
    <row r="73" spans="1:15" ht="17.100000000000001">
      <c r="A73" s="416"/>
      <c r="B73" s="426" t="s">
        <v>821</v>
      </c>
      <c r="C73" s="427">
        <f>SUM(C62:C72)</f>
        <v>0</v>
      </c>
      <c r="D73" s="427">
        <f t="shared" ref="D73:O73" si="20">SUM(D62:D72)</f>
        <v>0</v>
      </c>
      <c r="E73" s="427">
        <f t="shared" si="20"/>
        <v>0</v>
      </c>
      <c r="F73" s="427">
        <f t="shared" si="20"/>
        <v>0</v>
      </c>
      <c r="G73" s="427">
        <f t="shared" si="20"/>
        <v>0</v>
      </c>
      <c r="H73" s="427">
        <f t="shared" si="20"/>
        <v>0</v>
      </c>
      <c r="I73" s="427">
        <f t="shared" si="20"/>
        <v>0</v>
      </c>
      <c r="J73" s="427">
        <f t="shared" si="20"/>
        <v>0</v>
      </c>
      <c r="K73" s="427">
        <f t="shared" si="20"/>
        <v>0</v>
      </c>
      <c r="L73" s="427">
        <f t="shared" si="20"/>
        <v>0</v>
      </c>
      <c r="M73" s="427">
        <f t="shared" si="20"/>
        <v>0</v>
      </c>
      <c r="N73" s="427">
        <f t="shared" si="20"/>
        <v>0</v>
      </c>
      <c r="O73" s="427">
        <f t="shared" si="20"/>
        <v>0</v>
      </c>
    </row>
    <row r="74" spans="1:15" ht="17.100000000000001">
      <c r="A74" s="416"/>
      <c r="B74" s="429"/>
      <c r="C74" s="423"/>
      <c r="D74" s="423"/>
      <c r="E74" s="423"/>
      <c r="F74" s="423"/>
      <c r="G74" s="423"/>
      <c r="H74" s="423"/>
      <c r="I74" s="423"/>
      <c r="J74" s="423"/>
      <c r="K74" s="423"/>
      <c r="L74" s="423"/>
      <c r="M74" s="423"/>
      <c r="N74" s="423"/>
      <c r="O74" s="423"/>
    </row>
    <row r="75" spans="1:15" ht="17.100000000000001">
      <c r="A75" s="416"/>
      <c r="B75" s="420" t="s">
        <v>822</v>
      </c>
      <c r="C75" s="423"/>
      <c r="D75" s="423"/>
      <c r="E75" s="423"/>
      <c r="F75" s="423"/>
      <c r="G75" s="423"/>
      <c r="H75" s="423"/>
      <c r="I75" s="423"/>
      <c r="J75" s="423"/>
      <c r="K75" s="423"/>
      <c r="L75" s="423"/>
      <c r="M75" s="423"/>
      <c r="N75" s="423"/>
      <c r="O75" s="423"/>
    </row>
    <row r="76" spans="1:15" ht="17.100000000000001">
      <c r="A76" s="425">
        <f>+A62</f>
        <v>1175000</v>
      </c>
      <c r="B76" s="452" t="str">
        <f>+CONCATENATE("        Dividendos Emisoras Mx - ",A76)</f>
        <v xml:space="preserve">        Dividendos Emisoras Mx - 1175000</v>
      </c>
      <c r="C76" s="423">
        <f>SUMIFS('Dividendos Nacionales'!$F:$F,'Dividendos Nacionales'!$B:$B,Rev!$A76,'Dividendos Nacionales'!$C:$C,"&gt;="&amp;Rev!C$1,'Dividendos Nacionales'!$C:$C,"&lt;="&amp;EOMONTH(Rev!C$1,0))</f>
        <v>0</v>
      </c>
      <c r="D76" s="423">
        <f>SUMIFS('Dividendos Nacionales'!$F:$F,'Dividendos Nacionales'!$B:$B,Rev!$A76,'Dividendos Nacionales'!$C:$C,"&gt;="&amp;Rev!D$1,'Dividendos Nacionales'!$C:$C,"&lt;="&amp;EOMONTH(Rev!D$1,0))</f>
        <v>0</v>
      </c>
      <c r="E76" s="423">
        <f>SUMIFS('Dividendos Nacionales'!$F:$F,'Dividendos Nacionales'!$B:$B,Rev!$A76,'Dividendos Nacionales'!$C:$C,"&gt;="&amp;Rev!E$1,'Dividendos Nacionales'!$C:$C,"&lt;="&amp;EOMONTH(Rev!E$1,0))</f>
        <v>0</v>
      </c>
      <c r="F76" s="423">
        <f>SUMIFS('Dividendos Nacionales'!$F:$F,'Dividendos Nacionales'!$B:$B,Rev!$A76,'Dividendos Nacionales'!$C:$C,"&gt;="&amp;Rev!F$1,'Dividendos Nacionales'!$C:$C,"&lt;="&amp;EOMONTH(Rev!F$1,0))</f>
        <v>0</v>
      </c>
      <c r="G76" s="423">
        <f>SUMIFS('Dividendos Nacionales'!$F:$F,'Dividendos Nacionales'!$B:$B,Rev!$A76,'Dividendos Nacionales'!$C:$C,"&gt;="&amp;Rev!G$1,'Dividendos Nacionales'!$C:$C,"&lt;="&amp;EOMONTH(Rev!G$1,0))</f>
        <v>0</v>
      </c>
      <c r="H76" s="423">
        <f>SUMIFS('Dividendos Nacionales'!$F:$F,'Dividendos Nacionales'!$B:$B,Rev!$A76,'Dividendos Nacionales'!$C:$C,"&gt;="&amp;Rev!H$1,'Dividendos Nacionales'!$C:$C,"&lt;="&amp;EOMONTH(Rev!H$1,0))</f>
        <v>0</v>
      </c>
      <c r="I76" s="423">
        <f>SUMIFS('Dividendos Nacionales'!$F:$F,'Dividendos Nacionales'!$B:$B,Rev!$A76,'Dividendos Nacionales'!$C:$C,"&gt;="&amp;Rev!I$1,'Dividendos Nacionales'!$C:$C,"&lt;="&amp;EOMONTH(Rev!I$1,0))</f>
        <v>0</v>
      </c>
      <c r="J76" s="423">
        <f>SUMIFS('Dividendos Nacionales'!$F:$F,'Dividendos Nacionales'!$B:$B,Rev!$A76,'Dividendos Nacionales'!$C:$C,"&gt;="&amp;Rev!J$1,'Dividendos Nacionales'!$C:$C,"&lt;="&amp;EOMONTH(Rev!J$1,0))</f>
        <v>0</v>
      </c>
      <c r="K76" s="423">
        <f>SUMIFS('Dividendos Nacionales'!$F:$F,'Dividendos Nacionales'!$B:$B,Rev!$A76,'Dividendos Nacionales'!$C:$C,"&gt;="&amp;Rev!K$1,'Dividendos Nacionales'!$C:$C,"&lt;="&amp;EOMONTH(Rev!K$1,0))</f>
        <v>0</v>
      </c>
      <c r="L76" s="423">
        <f>SUMIFS('Dividendos Nacionales'!$F:$F,'Dividendos Nacionales'!$B:$B,Rev!$A76,'Dividendos Nacionales'!$C:$C,"&gt;="&amp;Rev!L$1,'Dividendos Nacionales'!$C:$C,"&lt;="&amp;EOMONTH(Rev!L$1,0))</f>
        <v>0</v>
      </c>
      <c r="M76" s="423">
        <f>SUMIFS('Dividendos Nacionales'!$F:$F,'Dividendos Nacionales'!$B:$B,Rev!$A76,'Dividendos Nacionales'!$C:$C,"&gt;="&amp;Rev!M$1,'Dividendos Nacionales'!$C:$C,"&lt;="&amp;EOMONTH(Rev!M$1,0))</f>
        <v>0</v>
      </c>
      <c r="N76" s="423">
        <f>SUMIFS('Dividendos Nacionales'!$F:$F,'Dividendos Nacionales'!$B:$B,Rev!$A76,'Dividendos Nacionales'!$C:$C,"&gt;="&amp;Rev!N$1,'Dividendos Nacionales'!$C:$C,"&lt;="&amp;EOMONTH(Rev!N$1,0))</f>
        <v>0</v>
      </c>
      <c r="O76" s="423">
        <f>SUM(C76:N76)</f>
        <v>0</v>
      </c>
    </row>
    <row r="77" spans="1:15" ht="17.100000000000001">
      <c r="A77" s="425">
        <f t="shared" ref="A77:A86" si="21">+A63</f>
        <v>1179000</v>
      </c>
      <c r="B77" s="452" t="str">
        <f t="shared" ref="B77:B86" si="22">+CONCATENATE("        Dividendos Emisoras Mx - ",A77)</f>
        <v xml:space="preserve">        Dividendos Emisoras Mx - 1179000</v>
      </c>
      <c r="C77" s="423">
        <f>SUMIFS('Dividendos Nacionales'!$F:$F,'Dividendos Nacionales'!$B:$B,Rev!$A77,'Dividendos Nacionales'!$C:$C,"&gt;="&amp;Rev!C$1,'Dividendos Nacionales'!$C:$C,"&lt;="&amp;EOMONTH(Rev!C$1,0))</f>
        <v>0</v>
      </c>
      <c r="D77" s="423">
        <f>SUMIFS('Dividendos Nacionales'!$F:$F,'Dividendos Nacionales'!$B:$B,Rev!$A77,'Dividendos Nacionales'!$C:$C,"&gt;="&amp;Rev!D$1,'Dividendos Nacionales'!$C:$C,"&lt;="&amp;EOMONTH(Rev!D$1,0))</f>
        <v>0</v>
      </c>
      <c r="E77" s="423">
        <f>SUMIFS('Dividendos Nacionales'!$F:$F,'Dividendos Nacionales'!$B:$B,Rev!$A77,'Dividendos Nacionales'!$C:$C,"&gt;="&amp;Rev!E$1,'Dividendos Nacionales'!$C:$C,"&lt;="&amp;EOMONTH(Rev!E$1,0))</f>
        <v>0</v>
      </c>
      <c r="F77" s="423">
        <f>SUMIFS('Dividendos Nacionales'!$F:$F,'Dividendos Nacionales'!$B:$B,Rev!$A77,'Dividendos Nacionales'!$C:$C,"&gt;="&amp;Rev!F$1,'Dividendos Nacionales'!$C:$C,"&lt;="&amp;EOMONTH(Rev!F$1,0))</f>
        <v>0</v>
      </c>
      <c r="G77" s="423">
        <f>SUMIFS('Dividendos Nacionales'!$F:$F,'Dividendos Nacionales'!$B:$B,Rev!$A77,'Dividendos Nacionales'!$C:$C,"&gt;="&amp;Rev!G$1,'Dividendos Nacionales'!$C:$C,"&lt;="&amp;EOMONTH(Rev!G$1,0))</f>
        <v>0</v>
      </c>
      <c r="H77" s="423">
        <f>SUMIFS('Dividendos Nacionales'!$F:$F,'Dividendos Nacionales'!$B:$B,Rev!$A77,'Dividendos Nacionales'!$C:$C,"&gt;="&amp;Rev!H$1,'Dividendos Nacionales'!$C:$C,"&lt;="&amp;EOMONTH(Rev!H$1,0))</f>
        <v>0</v>
      </c>
      <c r="I77" s="423">
        <f>SUMIFS('Dividendos Nacionales'!$F:$F,'Dividendos Nacionales'!$B:$B,Rev!$A77,'Dividendos Nacionales'!$C:$C,"&gt;="&amp;Rev!I$1,'Dividendos Nacionales'!$C:$C,"&lt;="&amp;EOMONTH(Rev!I$1,0))</f>
        <v>0</v>
      </c>
      <c r="J77" s="423">
        <f>SUMIFS('Dividendos Nacionales'!$F:$F,'Dividendos Nacionales'!$B:$B,Rev!$A77,'Dividendos Nacionales'!$C:$C,"&gt;="&amp;Rev!J$1,'Dividendos Nacionales'!$C:$C,"&lt;="&amp;EOMONTH(Rev!J$1,0))</f>
        <v>0</v>
      </c>
      <c r="K77" s="423">
        <f>SUMIFS('Dividendos Nacionales'!$F:$F,'Dividendos Nacionales'!$B:$B,Rev!$A77,'Dividendos Nacionales'!$C:$C,"&gt;="&amp;Rev!K$1,'Dividendos Nacionales'!$C:$C,"&lt;="&amp;EOMONTH(Rev!K$1,0))</f>
        <v>0</v>
      </c>
      <c r="L77" s="423">
        <f>SUMIFS('Dividendos Nacionales'!$F:$F,'Dividendos Nacionales'!$B:$B,Rev!$A77,'Dividendos Nacionales'!$C:$C,"&gt;="&amp;Rev!L$1,'Dividendos Nacionales'!$C:$C,"&lt;="&amp;EOMONTH(Rev!L$1,0))</f>
        <v>0</v>
      </c>
      <c r="M77" s="423">
        <f>SUMIFS('Dividendos Nacionales'!$F:$F,'Dividendos Nacionales'!$B:$B,Rev!$A77,'Dividendos Nacionales'!$C:$C,"&gt;="&amp;Rev!M$1,'Dividendos Nacionales'!$C:$C,"&lt;="&amp;EOMONTH(Rev!M$1,0))</f>
        <v>0</v>
      </c>
      <c r="N77" s="423">
        <f>SUMIFS('Dividendos Nacionales'!$F:$F,'Dividendos Nacionales'!$B:$B,Rev!$A77,'Dividendos Nacionales'!$C:$C,"&gt;="&amp;Rev!N$1,'Dividendos Nacionales'!$C:$C,"&lt;="&amp;EOMONTH(Rev!N$1,0))</f>
        <v>0</v>
      </c>
      <c r="O77" s="423">
        <f>SUM(C77:N77)</f>
        <v>0</v>
      </c>
    </row>
    <row r="78" spans="1:15" ht="17.100000000000001">
      <c r="A78" s="425">
        <f t="shared" si="21"/>
        <v>1427200</v>
      </c>
      <c r="B78" s="452" t="str">
        <f t="shared" si="22"/>
        <v xml:space="preserve">        Dividendos Emisoras Mx - 1427200</v>
      </c>
      <c r="C78" s="423">
        <f>SUMIFS('Dividendos Nacionales'!$F:$F,'Dividendos Nacionales'!$B:$B,Rev!$A78,'Dividendos Nacionales'!$C:$C,"&gt;="&amp;Rev!C$1,'Dividendos Nacionales'!$C:$C,"&lt;="&amp;EOMONTH(Rev!C$1,0))</f>
        <v>0</v>
      </c>
      <c r="D78" s="423">
        <f>SUMIFS('Dividendos Nacionales'!$F:$F,'Dividendos Nacionales'!$B:$B,Rev!$A78,'Dividendos Nacionales'!$C:$C,"&gt;="&amp;Rev!D$1,'Dividendos Nacionales'!$C:$C,"&lt;="&amp;EOMONTH(Rev!D$1,0))</f>
        <v>0</v>
      </c>
      <c r="E78" s="423">
        <f>SUMIFS('Dividendos Nacionales'!$F:$F,'Dividendos Nacionales'!$B:$B,Rev!$A78,'Dividendos Nacionales'!$C:$C,"&gt;="&amp;Rev!E$1,'Dividendos Nacionales'!$C:$C,"&lt;="&amp;EOMONTH(Rev!E$1,0))</f>
        <v>0</v>
      </c>
      <c r="F78" s="423">
        <f>SUMIFS('Dividendos Nacionales'!$F:$F,'Dividendos Nacionales'!$B:$B,Rev!$A78,'Dividendos Nacionales'!$C:$C,"&gt;="&amp;Rev!F$1,'Dividendos Nacionales'!$C:$C,"&lt;="&amp;EOMONTH(Rev!F$1,0))</f>
        <v>0</v>
      </c>
      <c r="G78" s="423">
        <f>SUMIFS('Dividendos Nacionales'!$F:$F,'Dividendos Nacionales'!$B:$B,Rev!$A78,'Dividendos Nacionales'!$C:$C,"&gt;="&amp;Rev!G$1,'Dividendos Nacionales'!$C:$C,"&lt;="&amp;EOMONTH(Rev!G$1,0))</f>
        <v>0</v>
      </c>
      <c r="H78" s="423">
        <f>SUMIFS('Dividendos Nacionales'!$F:$F,'Dividendos Nacionales'!$B:$B,Rev!$A78,'Dividendos Nacionales'!$C:$C,"&gt;="&amp;Rev!H$1,'Dividendos Nacionales'!$C:$C,"&lt;="&amp;EOMONTH(Rev!H$1,0))</f>
        <v>0</v>
      </c>
      <c r="I78" s="423">
        <f>SUMIFS('Dividendos Nacionales'!$F:$F,'Dividendos Nacionales'!$B:$B,Rev!$A78,'Dividendos Nacionales'!$C:$C,"&gt;="&amp;Rev!I$1,'Dividendos Nacionales'!$C:$C,"&lt;="&amp;EOMONTH(Rev!I$1,0))</f>
        <v>0</v>
      </c>
      <c r="J78" s="423">
        <f>SUMIFS('Dividendos Nacionales'!$F:$F,'Dividendos Nacionales'!$B:$B,Rev!$A78,'Dividendos Nacionales'!$C:$C,"&gt;="&amp;Rev!J$1,'Dividendos Nacionales'!$C:$C,"&lt;="&amp;EOMONTH(Rev!J$1,0))</f>
        <v>0</v>
      </c>
      <c r="K78" s="423">
        <f>SUMIFS('Dividendos Nacionales'!$F:$F,'Dividendos Nacionales'!$B:$B,Rev!$A78,'Dividendos Nacionales'!$C:$C,"&gt;="&amp;Rev!K$1,'Dividendos Nacionales'!$C:$C,"&lt;="&amp;EOMONTH(Rev!K$1,0))</f>
        <v>0</v>
      </c>
      <c r="L78" s="423">
        <f>SUMIFS('Dividendos Nacionales'!$F:$F,'Dividendos Nacionales'!$B:$B,Rev!$A78,'Dividendos Nacionales'!$C:$C,"&gt;="&amp;Rev!L$1,'Dividendos Nacionales'!$C:$C,"&lt;="&amp;EOMONTH(Rev!L$1,0))</f>
        <v>0</v>
      </c>
      <c r="M78" s="423">
        <f>SUMIFS('Dividendos Nacionales'!$F:$F,'Dividendos Nacionales'!$B:$B,Rev!$A78,'Dividendos Nacionales'!$C:$C,"&gt;="&amp;Rev!M$1,'Dividendos Nacionales'!$C:$C,"&lt;="&amp;EOMONTH(Rev!M$1,0))</f>
        <v>0</v>
      </c>
      <c r="N78" s="423">
        <f>SUMIFS('Dividendos Nacionales'!$F:$F,'Dividendos Nacionales'!$B:$B,Rev!$A78,'Dividendos Nacionales'!$C:$C,"&gt;="&amp;Rev!N$1,'Dividendos Nacionales'!$C:$C,"&lt;="&amp;EOMONTH(Rev!N$1,0))</f>
        <v>0</v>
      </c>
      <c r="O78" s="423">
        <f t="shared" ref="O78:O86" si="23">SUM(C78:N78)</f>
        <v>0</v>
      </c>
    </row>
    <row r="79" spans="1:15" ht="17.100000000000001">
      <c r="A79" s="425" t="str">
        <f t="shared" si="21"/>
        <v>B22235000</v>
      </c>
      <c r="B79" s="452" t="str">
        <f t="shared" si="22"/>
        <v xml:space="preserve">        Dividendos Emisoras Mx - B22235000</v>
      </c>
      <c r="C79" s="423">
        <f>SUMIFS('Dividendos Nacionales'!$F:$F,'Dividendos Nacionales'!$B:$B,Rev!$A79,'Dividendos Nacionales'!$C:$C,"&gt;="&amp;Rev!C$1,'Dividendos Nacionales'!$C:$C,"&lt;="&amp;EOMONTH(Rev!C$1,0))</f>
        <v>0</v>
      </c>
      <c r="D79" s="423">
        <f>SUMIFS('Dividendos Nacionales'!$F:$F,'Dividendos Nacionales'!$B:$B,Rev!$A79,'Dividendos Nacionales'!$C:$C,"&gt;="&amp;Rev!D$1,'Dividendos Nacionales'!$C:$C,"&lt;="&amp;EOMONTH(Rev!D$1,0))</f>
        <v>0</v>
      </c>
      <c r="E79" s="423">
        <f>SUMIFS('Dividendos Nacionales'!$F:$F,'Dividendos Nacionales'!$B:$B,Rev!$A79,'Dividendos Nacionales'!$C:$C,"&gt;="&amp;Rev!E$1,'Dividendos Nacionales'!$C:$C,"&lt;="&amp;EOMONTH(Rev!E$1,0))</f>
        <v>0</v>
      </c>
      <c r="F79" s="423">
        <f>SUMIFS('Dividendos Nacionales'!$F:$F,'Dividendos Nacionales'!$B:$B,Rev!$A79,'Dividendos Nacionales'!$C:$C,"&gt;="&amp;Rev!F$1,'Dividendos Nacionales'!$C:$C,"&lt;="&amp;EOMONTH(Rev!F$1,0))</f>
        <v>0</v>
      </c>
      <c r="G79" s="423">
        <f>SUMIFS('Dividendos Nacionales'!$F:$F,'Dividendos Nacionales'!$B:$B,Rev!$A79,'Dividendos Nacionales'!$C:$C,"&gt;="&amp;Rev!G$1,'Dividendos Nacionales'!$C:$C,"&lt;="&amp;EOMONTH(Rev!G$1,0))</f>
        <v>0</v>
      </c>
      <c r="H79" s="423">
        <f>SUMIFS('Dividendos Nacionales'!$F:$F,'Dividendos Nacionales'!$B:$B,Rev!$A79,'Dividendos Nacionales'!$C:$C,"&gt;="&amp;Rev!H$1,'Dividendos Nacionales'!$C:$C,"&lt;="&amp;EOMONTH(Rev!H$1,0))</f>
        <v>0</v>
      </c>
      <c r="I79" s="423">
        <f>SUMIFS('Dividendos Nacionales'!$F:$F,'Dividendos Nacionales'!$B:$B,Rev!$A79,'Dividendos Nacionales'!$C:$C,"&gt;="&amp;Rev!I$1,'Dividendos Nacionales'!$C:$C,"&lt;="&amp;EOMONTH(Rev!I$1,0))</f>
        <v>0</v>
      </c>
      <c r="J79" s="423">
        <f>SUMIFS('Dividendos Nacionales'!$F:$F,'Dividendos Nacionales'!$B:$B,Rev!$A79,'Dividendos Nacionales'!$C:$C,"&gt;="&amp;Rev!J$1,'Dividendos Nacionales'!$C:$C,"&lt;="&amp;EOMONTH(Rev!J$1,0))</f>
        <v>0</v>
      </c>
      <c r="K79" s="423">
        <f>SUMIFS('Dividendos Nacionales'!$F:$F,'Dividendos Nacionales'!$B:$B,Rev!$A79,'Dividendos Nacionales'!$C:$C,"&gt;="&amp;Rev!K$1,'Dividendos Nacionales'!$C:$C,"&lt;="&amp;EOMONTH(Rev!K$1,0))</f>
        <v>0</v>
      </c>
      <c r="L79" s="423">
        <f>SUMIFS('Dividendos Nacionales'!$F:$F,'Dividendos Nacionales'!$B:$B,Rev!$A79,'Dividendos Nacionales'!$C:$C,"&gt;="&amp;Rev!L$1,'Dividendos Nacionales'!$C:$C,"&lt;="&amp;EOMONTH(Rev!L$1,0))</f>
        <v>0</v>
      </c>
      <c r="M79" s="423">
        <f>SUMIFS('Dividendos Nacionales'!$F:$F,'Dividendos Nacionales'!$B:$B,Rev!$A79,'Dividendos Nacionales'!$C:$C,"&gt;="&amp;Rev!M$1,'Dividendos Nacionales'!$C:$C,"&lt;="&amp;EOMONTH(Rev!M$1,0))</f>
        <v>0</v>
      </c>
      <c r="N79" s="423">
        <f>SUMIFS('Dividendos Nacionales'!$F:$F,'Dividendos Nacionales'!$B:$B,Rev!$A79,'Dividendos Nacionales'!$C:$C,"&gt;="&amp;Rev!N$1,'Dividendos Nacionales'!$C:$C,"&lt;="&amp;EOMONTH(Rev!N$1,0))</f>
        <v>0</v>
      </c>
      <c r="O79" s="423">
        <f t="shared" si="23"/>
        <v>0</v>
      </c>
    </row>
    <row r="80" spans="1:15" ht="17.100000000000001">
      <c r="A80" s="425">
        <f t="shared" si="21"/>
        <v>700833580</v>
      </c>
      <c r="B80" s="452" t="str">
        <f t="shared" si="22"/>
        <v xml:space="preserve">        Dividendos Emisoras Mx - 700833580</v>
      </c>
      <c r="C80" s="423">
        <f>SUMIFS('Dividendos Nacionales'!$F:$F,'Dividendos Nacionales'!$B:$B,Rev!$A80,'Dividendos Nacionales'!$C:$C,"&gt;="&amp;Rev!C$1,'Dividendos Nacionales'!$C:$C,"&lt;="&amp;EOMONTH(Rev!C$1,0))</f>
        <v>0</v>
      </c>
      <c r="D80" s="423">
        <f>SUMIFS('Dividendos Nacionales'!$F:$F,'Dividendos Nacionales'!$B:$B,Rev!$A80,'Dividendos Nacionales'!$C:$C,"&gt;="&amp;Rev!D$1,'Dividendos Nacionales'!$C:$C,"&lt;="&amp;EOMONTH(Rev!D$1,0))</f>
        <v>0</v>
      </c>
      <c r="E80" s="423">
        <f>SUMIFS('Dividendos Nacionales'!$F:$F,'Dividendos Nacionales'!$B:$B,Rev!$A80,'Dividendos Nacionales'!$C:$C,"&gt;="&amp;Rev!E$1,'Dividendos Nacionales'!$C:$C,"&lt;="&amp;EOMONTH(Rev!E$1,0))</f>
        <v>0</v>
      </c>
      <c r="F80" s="423">
        <f>SUMIFS('Dividendos Nacionales'!$F:$F,'Dividendos Nacionales'!$B:$B,Rev!$A80,'Dividendos Nacionales'!$C:$C,"&gt;="&amp;Rev!F$1,'Dividendos Nacionales'!$C:$C,"&lt;="&amp;EOMONTH(Rev!F$1,0))</f>
        <v>0</v>
      </c>
      <c r="G80" s="423">
        <f>SUMIFS('Dividendos Nacionales'!$F:$F,'Dividendos Nacionales'!$B:$B,Rev!$A80,'Dividendos Nacionales'!$C:$C,"&gt;="&amp;Rev!G$1,'Dividendos Nacionales'!$C:$C,"&lt;="&amp;EOMONTH(Rev!G$1,0))</f>
        <v>0</v>
      </c>
      <c r="H80" s="423">
        <f>SUMIFS('Dividendos Nacionales'!$F:$F,'Dividendos Nacionales'!$B:$B,Rev!$A80,'Dividendos Nacionales'!$C:$C,"&gt;="&amp;Rev!H$1,'Dividendos Nacionales'!$C:$C,"&lt;="&amp;EOMONTH(Rev!H$1,0))</f>
        <v>0</v>
      </c>
      <c r="I80" s="423">
        <f>SUMIFS('Dividendos Nacionales'!$F:$F,'Dividendos Nacionales'!$B:$B,Rev!$A80,'Dividendos Nacionales'!$C:$C,"&gt;="&amp;Rev!I$1,'Dividendos Nacionales'!$C:$C,"&lt;="&amp;EOMONTH(Rev!I$1,0))</f>
        <v>0</v>
      </c>
      <c r="J80" s="423">
        <f>SUMIFS('Dividendos Nacionales'!$F:$F,'Dividendos Nacionales'!$B:$B,Rev!$A80,'Dividendos Nacionales'!$C:$C,"&gt;="&amp;Rev!J$1,'Dividendos Nacionales'!$C:$C,"&lt;="&amp;EOMONTH(Rev!J$1,0))</f>
        <v>0</v>
      </c>
      <c r="K80" s="423">
        <f>SUMIFS('Dividendos Nacionales'!$F:$F,'Dividendos Nacionales'!$B:$B,Rev!$A80,'Dividendos Nacionales'!$C:$C,"&gt;="&amp;Rev!K$1,'Dividendos Nacionales'!$C:$C,"&lt;="&amp;EOMONTH(Rev!K$1,0))</f>
        <v>0</v>
      </c>
      <c r="L80" s="423">
        <f>SUMIFS('Dividendos Nacionales'!$F:$F,'Dividendos Nacionales'!$B:$B,Rev!$A80,'Dividendos Nacionales'!$C:$C,"&gt;="&amp;Rev!L$1,'Dividendos Nacionales'!$C:$C,"&lt;="&amp;EOMONTH(Rev!L$1,0))</f>
        <v>0</v>
      </c>
      <c r="M80" s="423">
        <f>SUMIFS('Dividendos Nacionales'!$F:$F,'Dividendos Nacionales'!$B:$B,Rev!$A80,'Dividendos Nacionales'!$C:$C,"&gt;="&amp;Rev!M$1,'Dividendos Nacionales'!$C:$C,"&lt;="&amp;EOMONTH(Rev!M$1,0))</f>
        <v>0</v>
      </c>
      <c r="N80" s="423">
        <f>SUMIFS('Dividendos Nacionales'!$F:$F,'Dividendos Nacionales'!$B:$B,Rev!$A80,'Dividendos Nacionales'!$C:$C,"&gt;="&amp;Rev!N$1,'Dividendos Nacionales'!$C:$C,"&lt;="&amp;EOMONTH(Rev!N$1,0))</f>
        <v>0</v>
      </c>
      <c r="O80" s="423">
        <f t="shared" si="23"/>
        <v>0</v>
      </c>
    </row>
    <row r="81" spans="1:15" ht="17.100000000000001">
      <c r="A81" s="425" t="str">
        <f t="shared" si="21"/>
        <v>F</v>
      </c>
      <c r="B81" s="452" t="str">
        <f t="shared" si="22"/>
        <v xml:space="preserve">        Dividendos Emisoras Mx - F</v>
      </c>
      <c r="C81" s="423">
        <f>SUMIFS('Dividendos Nacionales'!$F:$F,'Dividendos Nacionales'!$B:$B,Rev!$A81,'Dividendos Nacionales'!$C:$C,"&gt;="&amp;Rev!C$1,'Dividendos Nacionales'!$C:$C,"&lt;="&amp;EOMONTH(Rev!C$1,0))</f>
        <v>0</v>
      </c>
      <c r="D81" s="423">
        <f>SUMIFS('Dividendos Nacionales'!$F:$F,'Dividendos Nacionales'!$B:$B,Rev!$A81,'Dividendos Nacionales'!$C:$C,"&gt;="&amp;Rev!D$1,'Dividendos Nacionales'!$C:$C,"&lt;="&amp;EOMONTH(Rev!D$1,0))</f>
        <v>0</v>
      </c>
      <c r="E81" s="423">
        <f>SUMIFS('Dividendos Nacionales'!$F:$F,'Dividendos Nacionales'!$B:$B,Rev!$A81,'Dividendos Nacionales'!$C:$C,"&gt;="&amp;Rev!E$1,'Dividendos Nacionales'!$C:$C,"&lt;="&amp;EOMONTH(Rev!E$1,0))</f>
        <v>0</v>
      </c>
      <c r="F81" s="423">
        <f>SUMIFS('Dividendos Nacionales'!$F:$F,'Dividendos Nacionales'!$B:$B,Rev!$A81,'Dividendos Nacionales'!$C:$C,"&gt;="&amp;Rev!F$1,'Dividendos Nacionales'!$C:$C,"&lt;="&amp;EOMONTH(Rev!F$1,0))</f>
        <v>0</v>
      </c>
      <c r="G81" s="423">
        <f>SUMIFS('Dividendos Nacionales'!$F:$F,'Dividendos Nacionales'!$B:$B,Rev!$A81,'Dividendos Nacionales'!$C:$C,"&gt;="&amp;Rev!G$1,'Dividendos Nacionales'!$C:$C,"&lt;="&amp;EOMONTH(Rev!G$1,0))</f>
        <v>0</v>
      </c>
      <c r="H81" s="423">
        <f>SUMIFS('Dividendos Nacionales'!$F:$F,'Dividendos Nacionales'!$B:$B,Rev!$A81,'Dividendos Nacionales'!$C:$C,"&gt;="&amp;Rev!H$1,'Dividendos Nacionales'!$C:$C,"&lt;="&amp;EOMONTH(Rev!H$1,0))</f>
        <v>0</v>
      </c>
      <c r="I81" s="423">
        <f>SUMIFS('Dividendos Nacionales'!$F:$F,'Dividendos Nacionales'!$B:$B,Rev!$A81,'Dividendos Nacionales'!$C:$C,"&gt;="&amp;Rev!I$1,'Dividendos Nacionales'!$C:$C,"&lt;="&amp;EOMONTH(Rev!I$1,0))</f>
        <v>0</v>
      </c>
      <c r="J81" s="423">
        <f>SUMIFS('Dividendos Nacionales'!$F:$F,'Dividendos Nacionales'!$B:$B,Rev!$A81,'Dividendos Nacionales'!$C:$C,"&gt;="&amp;Rev!J$1,'Dividendos Nacionales'!$C:$C,"&lt;="&amp;EOMONTH(Rev!J$1,0))</f>
        <v>0</v>
      </c>
      <c r="K81" s="423">
        <f>SUMIFS('Dividendos Nacionales'!$F:$F,'Dividendos Nacionales'!$B:$B,Rev!$A81,'Dividendos Nacionales'!$C:$C,"&gt;="&amp;Rev!K$1,'Dividendos Nacionales'!$C:$C,"&lt;="&amp;EOMONTH(Rev!K$1,0))</f>
        <v>0</v>
      </c>
      <c r="L81" s="423">
        <f>SUMIFS('Dividendos Nacionales'!$F:$F,'Dividendos Nacionales'!$B:$B,Rev!$A81,'Dividendos Nacionales'!$C:$C,"&gt;="&amp;Rev!L$1,'Dividendos Nacionales'!$C:$C,"&lt;="&amp;EOMONTH(Rev!L$1,0))</f>
        <v>0</v>
      </c>
      <c r="M81" s="423">
        <f>SUMIFS('Dividendos Nacionales'!$F:$F,'Dividendos Nacionales'!$B:$B,Rev!$A81,'Dividendos Nacionales'!$C:$C,"&gt;="&amp;Rev!M$1,'Dividendos Nacionales'!$C:$C,"&lt;="&amp;EOMONTH(Rev!M$1,0))</f>
        <v>0</v>
      </c>
      <c r="N81" s="423">
        <f>SUMIFS('Dividendos Nacionales'!$F:$F,'Dividendos Nacionales'!$B:$B,Rev!$A81,'Dividendos Nacionales'!$C:$C,"&gt;="&amp;Rev!N$1,'Dividendos Nacionales'!$C:$C,"&lt;="&amp;EOMONTH(Rev!N$1,0))</f>
        <v>0</v>
      </c>
      <c r="O81" s="423">
        <f t="shared" si="23"/>
        <v>0</v>
      </c>
    </row>
    <row r="82" spans="1:15" ht="17.100000000000001">
      <c r="A82" s="425" t="str">
        <f t="shared" si="21"/>
        <v>G</v>
      </c>
      <c r="B82" s="452" t="str">
        <f t="shared" si="22"/>
        <v xml:space="preserve">        Dividendos Emisoras Mx - G</v>
      </c>
      <c r="C82" s="423">
        <f>SUMIFS('Dividendos Nacionales'!$F:$F,'Dividendos Nacionales'!$B:$B,Rev!$A82,'Dividendos Nacionales'!$C:$C,"&gt;="&amp;Rev!C$1,'Dividendos Nacionales'!$C:$C,"&lt;="&amp;EOMONTH(Rev!C$1,0))</f>
        <v>0</v>
      </c>
      <c r="D82" s="423">
        <f>SUMIFS('Dividendos Nacionales'!$F:$F,'Dividendos Nacionales'!$B:$B,Rev!$A82,'Dividendos Nacionales'!$C:$C,"&gt;="&amp;Rev!D$1,'Dividendos Nacionales'!$C:$C,"&lt;="&amp;EOMONTH(Rev!D$1,0))</f>
        <v>0</v>
      </c>
      <c r="E82" s="423">
        <f>SUMIFS('Dividendos Nacionales'!$F:$F,'Dividendos Nacionales'!$B:$B,Rev!$A82,'Dividendos Nacionales'!$C:$C,"&gt;="&amp;Rev!E$1,'Dividendos Nacionales'!$C:$C,"&lt;="&amp;EOMONTH(Rev!E$1,0))</f>
        <v>0</v>
      </c>
      <c r="F82" s="423">
        <f>SUMIFS('Dividendos Nacionales'!$F:$F,'Dividendos Nacionales'!$B:$B,Rev!$A82,'Dividendos Nacionales'!$C:$C,"&gt;="&amp;Rev!F$1,'Dividendos Nacionales'!$C:$C,"&lt;="&amp;EOMONTH(Rev!F$1,0))</f>
        <v>0</v>
      </c>
      <c r="G82" s="423">
        <f>SUMIFS('Dividendos Nacionales'!$F:$F,'Dividendos Nacionales'!$B:$B,Rev!$A82,'Dividendos Nacionales'!$C:$C,"&gt;="&amp;Rev!G$1,'Dividendos Nacionales'!$C:$C,"&lt;="&amp;EOMONTH(Rev!G$1,0))</f>
        <v>0</v>
      </c>
      <c r="H82" s="423">
        <f>SUMIFS('Dividendos Nacionales'!$F:$F,'Dividendos Nacionales'!$B:$B,Rev!$A82,'Dividendos Nacionales'!$C:$C,"&gt;="&amp;Rev!H$1,'Dividendos Nacionales'!$C:$C,"&lt;="&amp;EOMONTH(Rev!H$1,0))</f>
        <v>0</v>
      </c>
      <c r="I82" s="423">
        <f>SUMIFS('Dividendos Nacionales'!$F:$F,'Dividendos Nacionales'!$B:$B,Rev!$A82,'Dividendos Nacionales'!$C:$C,"&gt;="&amp;Rev!I$1,'Dividendos Nacionales'!$C:$C,"&lt;="&amp;EOMONTH(Rev!I$1,0))</f>
        <v>0</v>
      </c>
      <c r="J82" s="423">
        <f>SUMIFS('Dividendos Nacionales'!$F:$F,'Dividendos Nacionales'!$B:$B,Rev!$A82,'Dividendos Nacionales'!$C:$C,"&gt;="&amp;Rev!J$1,'Dividendos Nacionales'!$C:$C,"&lt;="&amp;EOMONTH(Rev!J$1,0))</f>
        <v>0</v>
      </c>
      <c r="K82" s="423">
        <f>SUMIFS('Dividendos Nacionales'!$F:$F,'Dividendos Nacionales'!$B:$B,Rev!$A82,'Dividendos Nacionales'!$C:$C,"&gt;="&amp;Rev!K$1,'Dividendos Nacionales'!$C:$C,"&lt;="&amp;EOMONTH(Rev!K$1,0))</f>
        <v>0</v>
      </c>
      <c r="L82" s="423">
        <f>SUMIFS('Dividendos Nacionales'!$F:$F,'Dividendos Nacionales'!$B:$B,Rev!$A82,'Dividendos Nacionales'!$C:$C,"&gt;="&amp;Rev!L$1,'Dividendos Nacionales'!$C:$C,"&lt;="&amp;EOMONTH(Rev!L$1,0))</f>
        <v>0</v>
      </c>
      <c r="M82" s="423">
        <f>SUMIFS('Dividendos Nacionales'!$F:$F,'Dividendos Nacionales'!$B:$B,Rev!$A82,'Dividendos Nacionales'!$C:$C,"&gt;="&amp;Rev!M$1,'Dividendos Nacionales'!$C:$C,"&lt;="&amp;EOMONTH(Rev!M$1,0))</f>
        <v>0</v>
      </c>
      <c r="N82" s="423">
        <f>SUMIFS('Dividendos Nacionales'!$F:$F,'Dividendos Nacionales'!$B:$B,Rev!$A82,'Dividendos Nacionales'!$C:$C,"&gt;="&amp;Rev!N$1,'Dividendos Nacionales'!$C:$C,"&lt;="&amp;EOMONTH(Rev!N$1,0))</f>
        <v>0</v>
      </c>
      <c r="O82" s="423">
        <f t="shared" si="23"/>
        <v>0</v>
      </c>
    </row>
    <row r="83" spans="1:15" ht="17.100000000000001">
      <c r="A83" s="425" t="str">
        <f t="shared" si="21"/>
        <v>H</v>
      </c>
      <c r="B83" s="452" t="str">
        <f t="shared" si="22"/>
        <v xml:space="preserve">        Dividendos Emisoras Mx - H</v>
      </c>
      <c r="C83" s="423">
        <f>SUMIFS('Dividendos Nacionales'!$F:$F,'Dividendos Nacionales'!$B:$B,Rev!$A83,'Dividendos Nacionales'!$C:$C,"&gt;="&amp;Rev!C$1,'Dividendos Nacionales'!$C:$C,"&lt;="&amp;EOMONTH(Rev!C$1,0))</f>
        <v>0</v>
      </c>
      <c r="D83" s="423">
        <f>SUMIFS('Dividendos Nacionales'!$F:$F,'Dividendos Nacionales'!$B:$B,Rev!$A83,'Dividendos Nacionales'!$C:$C,"&gt;="&amp;Rev!D$1,'Dividendos Nacionales'!$C:$C,"&lt;="&amp;EOMONTH(Rev!D$1,0))</f>
        <v>0</v>
      </c>
      <c r="E83" s="423">
        <f>SUMIFS('Dividendos Nacionales'!$F:$F,'Dividendos Nacionales'!$B:$B,Rev!$A83,'Dividendos Nacionales'!$C:$C,"&gt;="&amp;Rev!E$1,'Dividendos Nacionales'!$C:$C,"&lt;="&amp;EOMONTH(Rev!E$1,0))</f>
        <v>0</v>
      </c>
      <c r="F83" s="423">
        <f>SUMIFS('Dividendos Nacionales'!$F:$F,'Dividendos Nacionales'!$B:$B,Rev!$A83,'Dividendos Nacionales'!$C:$C,"&gt;="&amp;Rev!F$1,'Dividendos Nacionales'!$C:$C,"&lt;="&amp;EOMONTH(Rev!F$1,0))</f>
        <v>0</v>
      </c>
      <c r="G83" s="423">
        <f>SUMIFS('Dividendos Nacionales'!$F:$F,'Dividendos Nacionales'!$B:$B,Rev!$A83,'Dividendos Nacionales'!$C:$C,"&gt;="&amp;Rev!G$1,'Dividendos Nacionales'!$C:$C,"&lt;="&amp;EOMONTH(Rev!G$1,0))</f>
        <v>0</v>
      </c>
      <c r="H83" s="423">
        <f>SUMIFS('Dividendos Nacionales'!$F:$F,'Dividendos Nacionales'!$B:$B,Rev!$A83,'Dividendos Nacionales'!$C:$C,"&gt;="&amp;Rev!H$1,'Dividendos Nacionales'!$C:$C,"&lt;="&amp;EOMONTH(Rev!H$1,0))</f>
        <v>0</v>
      </c>
      <c r="I83" s="423">
        <f>SUMIFS('Dividendos Nacionales'!$F:$F,'Dividendos Nacionales'!$B:$B,Rev!$A83,'Dividendos Nacionales'!$C:$C,"&gt;="&amp;Rev!I$1,'Dividendos Nacionales'!$C:$C,"&lt;="&amp;EOMONTH(Rev!I$1,0))</f>
        <v>0</v>
      </c>
      <c r="J83" s="423">
        <f>SUMIFS('Dividendos Nacionales'!$F:$F,'Dividendos Nacionales'!$B:$B,Rev!$A83,'Dividendos Nacionales'!$C:$C,"&gt;="&amp;Rev!J$1,'Dividendos Nacionales'!$C:$C,"&lt;="&amp;EOMONTH(Rev!J$1,0))</f>
        <v>0</v>
      </c>
      <c r="K83" s="423">
        <f>SUMIFS('Dividendos Nacionales'!$F:$F,'Dividendos Nacionales'!$B:$B,Rev!$A83,'Dividendos Nacionales'!$C:$C,"&gt;="&amp;Rev!K$1,'Dividendos Nacionales'!$C:$C,"&lt;="&amp;EOMONTH(Rev!K$1,0))</f>
        <v>0</v>
      </c>
      <c r="L83" s="423">
        <f>SUMIFS('Dividendos Nacionales'!$F:$F,'Dividendos Nacionales'!$B:$B,Rev!$A83,'Dividendos Nacionales'!$C:$C,"&gt;="&amp;Rev!L$1,'Dividendos Nacionales'!$C:$C,"&lt;="&amp;EOMONTH(Rev!L$1,0))</f>
        <v>0</v>
      </c>
      <c r="M83" s="423">
        <f>SUMIFS('Dividendos Nacionales'!$F:$F,'Dividendos Nacionales'!$B:$B,Rev!$A83,'Dividendos Nacionales'!$C:$C,"&gt;="&amp;Rev!M$1,'Dividendos Nacionales'!$C:$C,"&lt;="&amp;EOMONTH(Rev!M$1,0))</f>
        <v>0</v>
      </c>
      <c r="N83" s="423">
        <f>SUMIFS('Dividendos Nacionales'!$F:$F,'Dividendos Nacionales'!$B:$B,Rev!$A83,'Dividendos Nacionales'!$C:$C,"&gt;="&amp;Rev!N$1,'Dividendos Nacionales'!$C:$C,"&lt;="&amp;EOMONTH(Rev!N$1,0))</f>
        <v>0</v>
      </c>
      <c r="O83" s="423">
        <f t="shared" si="23"/>
        <v>0</v>
      </c>
    </row>
    <row r="84" spans="1:15" ht="17.100000000000001">
      <c r="A84" s="425" t="str">
        <f t="shared" si="21"/>
        <v>I</v>
      </c>
      <c r="B84" s="452" t="str">
        <f t="shared" si="22"/>
        <v xml:space="preserve">        Dividendos Emisoras Mx - I</v>
      </c>
      <c r="C84" s="423">
        <f>SUMIFS('Dividendos Nacionales'!$F:$F,'Dividendos Nacionales'!$B:$B,Rev!$A84,'Dividendos Nacionales'!$C:$C,"&gt;="&amp;Rev!C$1,'Dividendos Nacionales'!$C:$C,"&lt;="&amp;EOMONTH(Rev!C$1,0))</f>
        <v>0</v>
      </c>
      <c r="D84" s="423">
        <f>SUMIFS('Dividendos Nacionales'!$F:$F,'Dividendos Nacionales'!$B:$B,Rev!$A84,'Dividendos Nacionales'!$C:$C,"&gt;="&amp;Rev!D$1,'Dividendos Nacionales'!$C:$C,"&lt;="&amp;EOMONTH(Rev!D$1,0))</f>
        <v>0</v>
      </c>
      <c r="E84" s="423">
        <f>SUMIFS('Dividendos Nacionales'!$F:$F,'Dividendos Nacionales'!$B:$B,Rev!$A84,'Dividendos Nacionales'!$C:$C,"&gt;="&amp;Rev!E$1,'Dividendos Nacionales'!$C:$C,"&lt;="&amp;EOMONTH(Rev!E$1,0))</f>
        <v>0</v>
      </c>
      <c r="F84" s="423">
        <f>SUMIFS('Dividendos Nacionales'!$F:$F,'Dividendos Nacionales'!$B:$B,Rev!$A84,'Dividendos Nacionales'!$C:$C,"&gt;="&amp;Rev!F$1,'Dividendos Nacionales'!$C:$C,"&lt;="&amp;EOMONTH(Rev!F$1,0))</f>
        <v>0</v>
      </c>
      <c r="G84" s="423">
        <f>SUMIFS('Dividendos Nacionales'!$F:$F,'Dividendos Nacionales'!$B:$B,Rev!$A84,'Dividendos Nacionales'!$C:$C,"&gt;="&amp;Rev!G$1,'Dividendos Nacionales'!$C:$C,"&lt;="&amp;EOMONTH(Rev!G$1,0))</f>
        <v>0</v>
      </c>
      <c r="H84" s="423">
        <f>SUMIFS('Dividendos Nacionales'!$F:$F,'Dividendos Nacionales'!$B:$B,Rev!$A84,'Dividendos Nacionales'!$C:$C,"&gt;="&amp;Rev!H$1,'Dividendos Nacionales'!$C:$C,"&lt;="&amp;EOMONTH(Rev!H$1,0))</f>
        <v>0</v>
      </c>
      <c r="I84" s="423">
        <f>SUMIFS('Dividendos Nacionales'!$F:$F,'Dividendos Nacionales'!$B:$B,Rev!$A84,'Dividendos Nacionales'!$C:$C,"&gt;="&amp;Rev!I$1,'Dividendos Nacionales'!$C:$C,"&lt;="&amp;EOMONTH(Rev!I$1,0))</f>
        <v>0</v>
      </c>
      <c r="J84" s="423">
        <f>SUMIFS('Dividendos Nacionales'!$F:$F,'Dividendos Nacionales'!$B:$B,Rev!$A84,'Dividendos Nacionales'!$C:$C,"&gt;="&amp;Rev!J$1,'Dividendos Nacionales'!$C:$C,"&lt;="&amp;EOMONTH(Rev!J$1,0))</f>
        <v>0</v>
      </c>
      <c r="K84" s="423">
        <f>SUMIFS('Dividendos Nacionales'!$F:$F,'Dividendos Nacionales'!$B:$B,Rev!$A84,'Dividendos Nacionales'!$C:$C,"&gt;="&amp;Rev!K$1,'Dividendos Nacionales'!$C:$C,"&lt;="&amp;EOMONTH(Rev!K$1,0))</f>
        <v>0</v>
      </c>
      <c r="L84" s="423">
        <f>SUMIFS('Dividendos Nacionales'!$F:$F,'Dividendos Nacionales'!$B:$B,Rev!$A84,'Dividendos Nacionales'!$C:$C,"&gt;="&amp;Rev!L$1,'Dividendos Nacionales'!$C:$C,"&lt;="&amp;EOMONTH(Rev!L$1,0))</f>
        <v>0</v>
      </c>
      <c r="M84" s="423">
        <f>SUMIFS('Dividendos Nacionales'!$F:$F,'Dividendos Nacionales'!$B:$B,Rev!$A84,'Dividendos Nacionales'!$C:$C,"&gt;="&amp;Rev!M$1,'Dividendos Nacionales'!$C:$C,"&lt;="&amp;EOMONTH(Rev!M$1,0))</f>
        <v>0</v>
      </c>
      <c r="N84" s="423">
        <f>SUMIFS('Dividendos Nacionales'!$F:$F,'Dividendos Nacionales'!$B:$B,Rev!$A84,'Dividendos Nacionales'!$C:$C,"&gt;="&amp;Rev!N$1,'Dividendos Nacionales'!$C:$C,"&lt;="&amp;EOMONTH(Rev!N$1,0))</f>
        <v>0</v>
      </c>
      <c r="O84" s="423">
        <f t="shared" si="23"/>
        <v>0</v>
      </c>
    </row>
    <row r="85" spans="1:15" ht="17.100000000000001">
      <c r="A85" s="425" t="str">
        <f t="shared" si="21"/>
        <v>J</v>
      </c>
      <c r="B85" s="452" t="str">
        <f t="shared" si="22"/>
        <v xml:space="preserve">        Dividendos Emisoras Mx - J</v>
      </c>
      <c r="C85" s="423">
        <f>SUMIFS('Dividendos Nacionales'!$F:$F,'Dividendos Nacionales'!$B:$B,Rev!$A85,'Dividendos Nacionales'!$C:$C,"&gt;="&amp;Rev!C$1,'Dividendos Nacionales'!$C:$C,"&lt;="&amp;EOMONTH(Rev!C$1,0))</f>
        <v>0</v>
      </c>
      <c r="D85" s="423">
        <f>SUMIFS('Dividendos Nacionales'!$F:$F,'Dividendos Nacionales'!$B:$B,Rev!$A85,'Dividendos Nacionales'!$C:$C,"&gt;="&amp;Rev!D$1,'Dividendos Nacionales'!$C:$C,"&lt;="&amp;EOMONTH(Rev!D$1,0))</f>
        <v>0</v>
      </c>
      <c r="E85" s="423">
        <f>SUMIFS('Dividendos Nacionales'!$F:$F,'Dividendos Nacionales'!$B:$B,Rev!$A85,'Dividendos Nacionales'!$C:$C,"&gt;="&amp;Rev!E$1,'Dividendos Nacionales'!$C:$C,"&lt;="&amp;EOMONTH(Rev!E$1,0))</f>
        <v>0</v>
      </c>
      <c r="F85" s="423">
        <f>SUMIFS('Dividendos Nacionales'!$F:$F,'Dividendos Nacionales'!$B:$B,Rev!$A85,'Dividendos Nacionales'!$C:$C,"&gt;="&amp;Rev!F$1,'Dividendos Nacionales'!$C:$C,"&lt;="&amp;EOMONTH(Rev!F$1,0))</f>
        <v>0</v>
      </c>
      <c r="G85" s="423">
        <f>SUMIFS('Dividendos Nacionales'!$F:$F,'Dividendos Nacionales'!$B:$B,Rev!$A85,'Dividendos Nacionales'!$C:$C,"&gt;="&amp;Rev!G$1,'Dividendos Nacionales'!$C:$C,"&lt;="&amp;EOMONTH(Rev!G$1,0))</f>
        <v>0</v>
      </c>
      <c r="H85" s="423">
        <f>SUMIFS('Dividendos Nacionales'!$F:$F,'Dividendos Nacionales'!$B:$B,Rev!$A85,'Dividendos Nacionales'!$C:$C,"&gt;="&amp;Rev!H$1,'Dividendos Nacionales'!$C:$C,"&lt;="&amp;EOMONTH(Rev!H$1,0))</f>
        <v>0</v>
      </c>
      <c r="I85" s="423">
        <f>SUMIFS('Dividendos Nacionales'!$F:$F,'Dividendos Nacionales'!$B:$B,Rev!$A85,'Dividendos Nacionales'!$C:$C,"&gt;="&amp;Rev!I$1,'Dividendos Nacionales'!$C:$C,"&lt;="&amp;EOMONTH(Rev!I$1,0))</f>
        <v>0</v>
      </c>
      <c r="J85" s="423">
        <f>SUMIFS('Dividendos Nacionales'!$F:$F,'Dividendos Nacionales'!$B:$B,Rev!$A85,'Dividendos Nacionales'!$C:$C,"&gt;="&amp;Rev!J$1,'Dividendos Nacionales'!$C:$C,"&lt;="&amp;EOMONTH(Rev!J$1,0))</f>
        <v>0</v>
      </c>
      <c r="K85" s="423">
        <f>SUMIFS('Dividendos Nacionales'!$F:$F,'Dividendos Nacionales'!$B:$B,Rev!$A85,'Dividendos Nacionales'!$C:$C,"&gt;="&amp;Rev!K$1,'Dividendos Nacionales'!$C:$C,"&lt;="&amp;EOMONTH(Rev!K$1,0))</f>
        <v>0</v>
      </c>
      <c r="L85" s="423">
        <f>SUMIFS('Dividendos Nacionales'!$F:$F,'Dividendos Nacionales'!$B:$B,Rev!$A85,'Dividendos Nacionales'!$C:$C,"&gt;="&amp;Rev!L$1,'Dividendos Nacionales'!$C:$C,"&lt;="&amp;EOMONTH(Rev!L$1,0))</f>
        <v>0</v>
      </c>
      <c r="M85" s="423">
        <f>SUMIFS('Dividendos Nacionales'!$F:$F,'Dividendos Nacionales'!$B:$B,Rev!$A85,'Dividendos Nacionales'!$C:$C,"&gt;="&amp;Rev!M$1,'Dividendos Nacionales'!$C:$C,"&lt;="&amp;EOMONTH(Rev!M$1,0))</f>
        <v>0</v>
      </c>
      <c r="N85" s="423">
        <f>SUMIFS('Dividendos Nacionales'!$F:$F,'Dividendos Nacionales'!$B:$B,Rev!$A85,'Dividendos Nacionales'!$C:$C,"&gt;="&amp;Rev!N$1,'Dividendos Nacionales'!$C:$C,"&lt;="&amp;EOMONTH(Rev!N$1,0))</f>
        <v>0</v>
      </c>
      <c r="O85" s="423">
        <f t="shared" si="23"/>
        <v>0</v>
      </c>
    </row>
    <row r="86" spans="1:15" ht="17.100000000000001">
      <c r="A86" s="425" t="str">
        <f t="shared" si="21"/>
        <v>K</v>
      </c>
      <c r="B86" s="452" t="str">
        <f t="shared" si="22"/>
        <v xml:space="preserve">        Dividendos Emisoras Mx - K</v>
      </c>
      <c r="C86" s="423">
        <f>SUMIFS('Dividendos Nacionales'!$F:$F,'Dividendos Nacionales'!$B:$B,Rev!$A86,'Dividendos Nacionales'!$C:$C,"&gt;="&amp;Rev!C$1,'Dividendos Nacionales'!$C:$C,"&lt;="&amp;EOMONTH(Rev!C$1,0))</f>
        <v>0</v>
      </c>
      <c r="D86" s="423">
        <f>SUMIFS('Dividendos Nacionales'!$F:$F,'Dividendos Nacionales'!$B:$B,Rev!$A86,'Dividendos Nacionales'!$C:$C,"&gt;="&amp;Rev!D$1,'Dividendos Nacionales'!$C:$C,"&lt;="&amp;EOMONTH(Rev!D$1,0))</f>
        <v>0</v>
      </c>
      <c r="E86" s="423">
        <f>SUMIFS('Dividendos Nacionales'!$F:$F,'Dividendos Nacionales'!$B:$B,Rev!$A86,'Dividendos Nacionales'!$C:$C,"&gt;="&amp;Rev!E$1,'Dividendos Nacionales'!$C:$C,"&lt;="&amp;EOMONTH(Rev!E$1,0))</f>
        <v>0</v>
      </c>
      <c r="F86" s="423">
        <f>SUMIFS('Dividendos Nacionales'!$F:$F,'Dividendos Nacionales'!$B:$B,Rev!$A86,'Dividendos Nacionales'!$C:$C,"&gt;="&amp;Rev!F$1,'Dividendos Nacionales'!$C:$C,"&lt;="&amp;EOMONTH(Rev!F$1,0))</f>
        <v>0</v>
      </c>
      <c r="G86" s="423">
        <f>SUMIFS('Dividendos Nacionales'!$F:$F,'Dividendos Nacionales'!$B:$B,Rev!$A86,'Dividendos Nacionales'!$C:$C,"&gt;="&amp;Rev!G$1,'Dividendos Nacionales'!$C:$C,"&lt;="&amp;EOMONTH(Rev!G$1,0))</f>
        <v>0</v>
      </c>
      <c r="H86" s="423">
        <f>SUMIFS('Dividendos Nacionales'!$F:$F,'Dividendos Nacionales'!$B:$B,Rev!$A86,'Dividendos Nacionales'!$C:$C,"&gt;="&amp;Rev!H$1,'Dividendos Nacionales'!$C:$C,"&lt;="&amp;EOMONTH(Rev!H$1,0))</f>
        <v>0</v>
      </c>
      <c r="I86" s="423">
        <f>SUMIFS('Dividendos Nacionales'!$F:$F,'Dividendos Nacionales'!$B:$B,Rev!$A86,'Dividendos Nacionales'!$C:$C,"&gt;="&amp;Rev!I$1,'Dividendos Nacionales'!$C:$C,"&lt;="&amp;EOMONTH(Rev!I$1,0))</f>
        <v>0</v>
      </c>
      <c r="J86" s="423">
        <f>SUMIFS('Dividendos Nacionales'!$F:$F,'Dividendos Nacionales'!$B:$B,Rev!$A86,'Dividendos Nacionales'!$C:$C,"&gt;="&amp;Rev!J$1,'Dividendos Nacionales'!$C:$C,"&lt;="&amp;EOMONTH(Rev!J$1,0))</f>
        <v>0</v>
      </c>
      <c r="K86" s="423">
        <f>SUMIFS('Dividendos Nacionales'!$F:$F,'Dividendos Nacionales'!$B:$B,Rev!$A86,'Dividendos Nacionales'!$C:$C,"&gt;="&amp;Rev!K$1,'Dividendos Nacionales'!$C:$C,"&lt;="&amp;EOMONTH(Rev!K$1,0))</f>
        <v>0</v>
      </c>
      <c r="L86" s="423">
        <f>SUMIFS('Dividendos Nacionales'!$F:$F,'Dividendos Nacionales'!$B:$B,Rev!$A86,'Dividendos Nacionales'!$C:$C,"&gt;="&amp;Rev!L$1,'Dividendos Nacionales'!$C:$C,"&lt;="&amp;EOMONTH(Rev!L$1,0))</f>
        <v>0</v>
      </c>
      <c r="M86" s="423">
        <f>SUMIFS('Dividendos Nacionales'!$F:$F,'Dividendos Nacionales'!$B:$B,Rev!$A86,'Dividendos Nacionales'!$C:$C,"&gt;="&amp;Rev!M$1,'Dividendos Nacionales'!$C:$C,"&lt;="&amp;EOMONTH(Rev!M$1,0))</f>
        <v>0</v>
      </c>
      <c r="N86" s="423">
        <f>SUMIFS('Dividendos Nacionales'!$F:$F,'Dividendos Nacionales'!$B:$B,Rev!$A86,'Dividendos Nacionales'!$C:$C,"&gt;="&amp;Rev!N$1,'Dividendos Nacionales'!$C:$C,"&lt;="&amp;EOMONTH(Rev!N$1,0))</f>
        <v>0</v>
      </c>
      <c r="O86" s="423">
        <f t="shared" si="23"/>
        <v>0</v>
      </c>
    </row>
    <row r="87" spans="1:15" ht="17.100000000000001">
      <c r="A87" s="416"/>
      <c r="B87" s="426" t="s">
        <v>823</v>
      </c>
      <c r="C87" s="427">
        <f>SUM(C76:C86)</f>
        <v>0</v>
      </c>
      <c r="D87" s="427">
        <f t="shared" ref="D87:O87" si="24">SUM(D76:D86)</f>
        <v>0</v>
      </c>
      <c r="E87" s="427">
        <f t="shared" si="24"/>
        <v>0</v>
      </c>
      <c r="F87" s="427">
        <f t="shared" si="24"/>
        <v>0</v>
      </c>
      <c r="G87" s="427">
        <f t="shared" si="24"/>
        <v>0</v>
      </c>
      <c r="H87" s="427">
        <f t="shared" si="24"/>
        <v>0</v>
      </c>
      <c r="I87" s="427">
        <f t="shared" si="24"/>
        <v>0</v>
      </c>
      <c r="J87" s="427">
        <f t="shared" si="24"/>
        <v>0</v>
      </c>
      <c r="K87" s="427">
        <f t="shared" si="24"/>
        <v>0</v>
      </c>
      <c r="L87" s="427">
        <f t="shared" si="24"/>
        <v>0</v>
      </c>
      <c r="M87" s="427">
        <f t="shared" si="24"/>
        <v>0</v>
      </c>
      <c r="N87" s="427">
        <f t="shared" si="24"/>
        <v>0</v>
      </c>
      <c r="O87" s="427">
        <f t="shared" si="24"/>
        <v>0</v>
      </c>
    </row>
    <row r="88" spans="1:15" ht="17.100000000000001">
      <c r="A88" s="416"/>
      <c r="B88" s="429"/>
      <c r="C88" s="423"/>
      <c r="D88" s="423"/>
      <c r="E88" s="423"/>
      <c r="F88" s="423"/>
      <c r="G88" s="423"/>
      <c r="H88" s="423"/>
      <c r="I88" s="423"/>
      <c r="J88" s="423"/>
      <c r="K88" s="423"/>
      <c r="L88" s="423"/>
      <c r="M88" s="423"/>
      <c r="N88" s="423"/>
      <c r="O88" s="423"/>
    </row>
    <row r="89" spans="1:15" ht="17.100000000000001">
      <c r="A89" s="416"/>
      <c r="B89" s="420" t="s">
        <v>822</v>
      </c>
      <c r="C89" s="423"/>
      <c r="D89" s="423"/>
      <c r="E89" s="423"/>
      <c r="F89" s="423"/>
      <c r="G89" s="423"/>
      <c r="H89" s="423"/>
      <c r="I89" s="423"/>
      <c r="J89" s="423"/>
      <c r="K89" s="423"/>
      <c r="L89" s="423"/>
      <c r="M89" s="423"/>
      <c r="N89" s="423"/>
      <c r="O89" s="423"/>
    </row>
    <row r="90" spans="1:15" ht="17.100000000000001">
      <c r="A90" s="425">
        <f>+A76</f>
        <v>1175000</v>
      </c>
      <c r="B90" s="452" t="str">
        <f>+CONCATENATE("        Dividendos Emisoras off shore- ",A90)</f>
        <v xml:space="preserve">        Dividendos Emisoras off shore- 1175000</v>
      </c>
      <c r="C90" s="423">
        <f>+SUMIFS('Dividendos Extranjero'!$I:$I,'Dividendos Extranjero'!$B:$B,Rev!$A90,'Dividendos Extranjero'!$C:$C,"&gt;="&amp;Rev!C$1,'Dividendos Extranjero'!$C:$C,"&lt;="&amp;EOMONTH(Rev!C$1,0))</f>
        <v>2132.4499999999998</v>
      </c>
      <c r="D90" s="423">
        <f>+SUMIFS('Dividendos Extranjero'!$I:$I,'Dividendos Extranjero'!$B:$B,Rev!$A90,'Dividendos Extranjero'!$C:$C,"&gt;="&amp;Rev!D$1,'Dividendos Extranjero'!$C:$C,"&lt;="&amp;EOMONTH(Rev!D$1,0))</f>
        <v>2763.6500000000005</v>
      </c>
      <c r="E90" s="423">
        <f>+SUMIFS('Dividendos Extranjero'!$I:$I,'Dividendos Extranjero'!$B:$B,Rev!$A90,'Dividendos Extranjero'!$C:$C,"&gt;="&amp;Rev!E$1,'Dividendos Extranjero'!$C:$C,"&lt;="&amp;EOMONTH(Rev!E$1,0))</f>
        <v>2886.5400000000004</v>
      </c>
      <c r="F90" s="423">
        <f>+SUMIFS('Dividendos Extranjero'!$I:$I,'Dividendos Extranjero'!$B:$B,Rev!$A90,'Dividendos Extranjero'!$C:$C,"&gt;="&amp;Rev!F$1,'Dividendos Extranjero'!$C:$C,"&lt;="&amp;EOMONTH(Rev!F$1,0))</f>
        <v>3392.9599999999996</v>
      </c>
      <c r="G90" s="423">
        <f>+SUMIFS('Dividendos Extranjero'!$I:$I,'Dividendos Extranjero'!$B:$B,Rev!$A90,'Dividendos Extranjero'!$C:$C,"&gt;="&amp;Rev!G$1,'Dividendos Extranjero'!$C:$C,"&lt;="&amp;EOMONTH(Rev!G$1,0))</f>
        <v>2519.77</v>
      </c>
      <c r="H90" s="423">
        <f>+SUMIFS('Dividendos Extranjero'!$I:$I,'Dividendos Extranjero'!$B:$B,Rev!$A90,'Dividendos Extranjero'!$C:$C,"&gt;="&amp;Rev!H$1,'Dividendos Extranjero'!$C:$C,"&lt;="&amp;EOMONTH(Rev!H$1,0))</f>
        <v>3096.2299999999991</v>
      </c>
      <c r="I90" s="423">
        <f>+SUMIFS('Dividendos Extranjero'!$I:$I,'Dividendos Extranjero'!$B:$B,Rev!$A90,'Dividendos Extranjero'!$C:$C,"&gt;="&amp;Rev!I$1,'Dividendos Extranjero'!$C:$C,"&lt;="&amp;EOMONTH(Rev!I$1,0))</f>
        <v>2305.75</v>
      </c>
      <c r="J90" s="423">
        <f>+SUMIFS('Dividendos Extranjero'!$I:$I,'Dividendos Extranjero'!$B:$B,Rev!$A90,'Dividendos Extranjero'!$C:$C,"&gt;="&amp;Rev!J$1,'Dividendos Extranjero'!$C:$C,"&lt;="&amp;EOMONTH(Rev!J$1,0))</f>
        <v>1826.79</v>
      </c>
      <c r="K90" s="423">
        <f>+SUMIFS('Dividendos Extranjero'!$I:$I,'Dividendos Extranjero'!$B:$B,Rev!$A90,'Dividendos Extranjero'!$C:$C,"&gt;="&amp;Rev!K$1,'Dividendos Extranjero'!$C:$C,"&lt;="&amp;EOMONTH(Rev!K$1,0))</f>
        <v>2856.63</v>
      </c>
      <c r="L90" s="423">
        <f>+SUMIFS('Dividendos Extranjero'!$I:$I,'Dividendos Extranjero'!$B:$B,Rev!$A90,'Dividendos Extranjero'!$C:$C,"&gt;="&amp;Rev!L$1,'Dividendos Extranjero'!$C:$C,"&lt;="&amp;EOMONTH(Rev!L$1,0))</f>
        <v>3062.01</v>
      </c>
      <c r="M90" s="423">
        <f>+SUMIFS('Dividendos Extranjero'!$I:$I,'Dividendos Extranjero'!$B:$B,Rev!$A90,'Dividendos Extranjero'!$C:$C,"&gt;="&amp;Rev!M$1,'Dividendos Extranjero'!$C:$C,"&lt;="&amp;EOMONTH(Rev!M$1,0))</f>
        <v>1801.3400000000001</v>
      </c>
      <c r="N90" s="423">
        <f>+SUMIFS('Dividendos Extranjero'!$I:$I,'Dividendos Extranjero'!$B:$B,Rev!$A90,'Dividendos Extranjero'!$C:$C,"&gt;="&amp;Rev!N$1,'Dividendos Extranjero'!$C:$C,"&lt;="&amp;EOMONTH(Rev!N$1,0))</f>
        <v>4349.05</v>
      </c>
      <c r="O90" s="423">
        <f>SUM(C90:N90)</f>
        <v>32993.17</v>
      </c>
    </row>
    <row r="91" spans="1:15" ht="17.100000000000001">
      <c r="A91" s="425">
        <f t="shared" ref="A91:A100" si="25">+A77</f>
        <v>1179000</v>
      </c>
      <c r="B91" s="452" t="str">
        <f t="shared" ref="B91:B100" si="26">+CONCATENATE("        Dividendos Emisoras off shore- ",A91)</f>
        <v xml:space="preserve">        Dividendos Emisoras off shore- 1179000</v>
      </c>
      <c r="C91" s="423">
        <f>+SUMIFS('Dividendos Extranjero'!$I:$I,'Dividendos Extranjero'!$B:$B,Rev!$A91,'Dividendos Extranjero'!$C:$C,"&gt;="&amp;Rev!C$1,'Dividendos Extranjero'!$C:$C,"&lt;="&amp;EOMONTH(Rev!C$1,0))</f>
        <v>0</v>
      </c>
      <c r="D91" s="423">
        <f>+SUMIFS('Dividendos Extranjero'!$I:$I,'Dividendos Extranjero'!$B:$B,Rev!$A91,'Dividendos Extranjero'!$C:$C,"&gt;="&amp;Rev!D$1,'Dividendos Extranjero'!$C:$C,"&lt;="&amp;EOMONTH(Rev!D$1,0))</f>
        <v>2049.2247649999999</v>
      </c>
      <c r="E91" s="423">
        <f>+SUMIFS('Dividendos Extranjero'!$I:$I,'Dividendos Extranjero'!$B:$B,Rev!$A91,'Dividendos Extranjero'!$C:$C,"&gt;="&amp;Rev!E$1,'Dividendos Extranjero'!$C:$C,"&lt;="&amp;EOMONTH(Rev!E$1,0))</f>
        <v>1823.76</v>
      </c>
      <c r="F91" s="423">
        <f>+SUMIFS('Dividendos Extranjero'!$I:$I,'Dividendos Extranjero'!$B:$B,Rev!$A91,'Dividendos Extranjero'!$C:$C,"&gt;="&amp;Rev!F$1,'Dividendos Extranjero'!$C:$C,"&lt;="&amp;EOMONTH(Rev!F$1,0))</f>
        <v>0</v>
      </c>
      <c r="G91" s="423">
        <f>+SUMIFS('Dividendos Extranjero'!$I:$I,'Dividendos Extranjero'!$B:$B,Rev!$A91,'Dividendos Extranjero'!$C:$C,"&gt;="&amp;Rev!G$1,'Dividendos Extranjero'!$C:$C,"&lt;="&amp;EOMONTH(Rev!G$1,0))</f>
        <v>3836.46</v>
      </c>
      <c r="H91" s="423">
        <f>+SUMIFS('Dividendos Extranjero'!$I:$I,'Dividendos Extranjero'!$B:$B,Rev!$A91,'Dividendos Extranjero'!$C:$C,"&gt;="&amp;Rev!H$1,'Dividendos Extranjero'!$C:$C,"&lt;="&amp;EOMONTH(Rev!H$1,0))</f>
        <v>3320.37</v>
      </c>
      <c r="I91" s="423">
        <f>+SUMIFS('Dividendos Extranjero'!$I:$I,'Dividendos Extranjero'!$B:$B,Rev!$A91,'Dividendos Extranjero'!$C:$C,"&gt;="&amp;Rev!I$1,'Dividendos Extranjero'!$C:$C,"&lt;="&amp;EOMONTH(Rev!I$1,0))</f>
        <v>0</v>
      </c>
      <c r="J91" s="423">
        <f>+SUMIFS('Dividendos Extranjero'!$I:$I,'Dividendos Extranjero'!$B:$B,Rev!$A91,'Dividendos Extranjero'!$C:$C,"&gt;="&amp;Rev!J$1,'Dividendos Extranjero'!$C:$C,"&lt;="&amp;EOMONTH(Rev!J$1,0))</f>
        <v>4353.3255040000004</v>
      </c>
      <c r="K91" s="423">
        <f>+SUMIFS('Dividendos Extranjero'!$I:$I,'Dividendos Extranjero'!$B:$B,Rev!$A91,'Dividendos Extranjero'!$C:$C,"&gt;="&amp;Rev!K$1,'Dividendos Extranjero'!$C:$C,"&lt;="&amp;EOMONTH(Rev!K$1,0))</f>
        <v>7530.07</v>
      </c>
      <c r="L91" s="423">
        <f>+SUMIFS('Dividendos Extranjero'!$I:$I,'Dividendos Extranjero'!$B:$B,Rev!$A91,'Dividendos Extranjero'!$C:$C,"&gt;="&amp;Rev!L$1,'Dividendos Extranjero'!$C:$C,"&lt;="&amp;EOMONTH(Rev!L$1,0))</f>
        <v>0</v>
      </c>
      <c r="M91" s="423">
        <f>+SUMIFS('Dividendos Extranjero'!$I:$I,'Dividendos Extranjero'!$B:$B,Rev!$A91,'Dividendos Extranjero'!$C:$C,"&gt;="&amp;Rev!M$1,'Dividendos Extranjero'!$C:$C,"&lt;="&amp;EOMONTH(Rev!M$1,0))</f>
        <v>0</v>
      </c>
      <c r="N91" s="423">
        <f>+SUMIFS('Dividendos Extranjero'!$I:$I,'Dividendos Extranjero'!$B:$B,Rev!$A91,'Dividendos Extranjero'!$C:$C,"&gt;="&amp;Rev!N$1,'Dividendos Extranjero'!$C:$C,"&lt;="&amp;EOMONTH(Rev!N$1,0))</f>
        <v>8276.16</v>
      </c>
      <c r="O91" s="423">
        <f>SUM(C91:N91)</f>
        <v>31189.370268999999</v>
      </c>
    </row>
    <row r="92" spans="1:15" ht="17.100000000000001">
      <c r="A92" s="425">
        <f t="shared" si="25"/>
        <v>1427200</v>
      </c>
      <c r="B92" s="452" t="str">
        <f t="shared" si="26"/>
        <v xml:space="preserve">        Dividendos Emisoras off shore- 1427200</v>
      </c>
      <c r="C92" s="423">
        <f>+SUMIFS('Dividendos Extranjero'!$I:$I,'Dividendos Extranjero'!$B:$B,Rev!$A92,'Dividendos Extranjero'!$C:$C,"&gt;="&amp;Rev!C$1,'Dividendos Extranjero'!$C:$C,"&lt;="&amp;EOMONTH(Rev!C$1,0))</f>
        <v>39.06</v>
      </c>
      <c r="D92" s="423">
        <f>+SUMIFS('Dividendos Extranjero'!$I:$I,'Dividendos Extranjero'!$B:$B,Rev!$A92,'Dividendos Extranjero'!$C:$C,"&gt;="&amp;Rev!D$1,'Dividendos Extranjero'!$C:$C,"&lt;="&amp;EOMONTH(Rev!D$1,0))</f>
        <v>27.57</v>
      </c>
      <c r="E92" s="423">
        <f>+SUMIFS('Dividendos Extranjero'!$I:$I,'Dividendos Extranjero'!$B:$B,Rev!$A92,'Dividendos Extranjero'!$C:$C,"&gt;="&amp;Rev!E$1,'Dividendos Extranjero'!$C:$C,"&lt;="&amp;EOMONTH(Rev!E$1,0))</f>
        <v>91.62</v>
      </c>
      <c r="F92" s="423">
        <f>+SUMIFS('Dividendos Extranjero'!$I:$I,'Dividendos Extranjero'!$B:$B,Rev!$A92,'Dividendos Extranjero'!$C:$C,"&gt;="&amp;Rev!F$1,'Dividendos Extranjero'!$C:$C,"&lt;="&amp;EOMONTH(Rev!F$1,0))</f>
        <v>55.269999999999996</v>
      </c>
      <c r="G92" s="423">
        <f>+SUMIFS('Dividendos Extranjero'!$I:$I,'Dividendos Extranjero'!$B:$B,Rev!$A92,'Dividendos Extranjero'!$C:$C,"&gt;="&amp;Rev!G$1,'Dividendos Extranjero'!$C:$C,"&lt;="&amp;EOMONTH(Rev!G$1,0))</f>
        <v>28.82</v>
      </c>
      <c r="H92" s="423">
        <f>+SUMIFS('Dividendos Extranjero'!$I:$I,'Dividendos Extranjero'!$B:$B,Rev!$A92,'Dividendos Extranjero'!$C:$C,"&gt;="&amp;Rev!H$1,'Dividendos Extranjero'!$C:$C,"&lt;="&amp;EOMONTH(Rev!H$1,0))</f>
        <v>93.62</v>
      </c>
      <c r="I92" s="423">
        <f>+SUMIFS('Dividendos Extranjero'!$I:$I,'Dividendos Extranjero'!$B:$B,Rev!$A92,'Dividendos Extranjero'!$C:$C,"&gt;="&amp;Rev!I$1,'Dividendos Extranjero'!$C:$C,"&lt;="&amp;EOMONTH(Rev!I$1,0))</f>
        <v>64.52</v>
      </c>
      <c r="J92" s="423">
        <f>+SUMIFS('Dividendos Extranjero'!$I:$I,'Dividendos Extranjero'!$B:$B,Rev!$A92,'Dividendos Extranjero'!$C:$C,"&gt;="&amp;Rev!J$1,'Dividendos Extranjero'!$C:$C,"&lt;="&amp;EOMONTH(Rev!J$1,0))</f>
        <v>25.12</v>
      </c>
      <c r="K92" s="423">
        <f>+SUMIFS('Dividendos Extranjero'!$I:$I,'Dividendos Extranjero'!$B:$B,Rev!$A92,'Dividendos Extranjero'!$C:$C,"&gt;="&amp;Rev!K$1,'Dividendos Extranjero'!$C:$C,"&lt;="&amp;EOMONTH(Rev!K$1,0))</f>
        <v>78.8</v>
      </c>
      <c r="L92" s="423">
        <f>+SUMIFS('Dividendos Extranjero'!$I:$I,'Dividendos Extranjero'!$B:$B,Rev!$A92,'Dividendos Extranjero'!$C:$C,"&gt;="&amp;Rev!L$1,'Dividendos Extranjero'!$C:$C,"&lt;="&amp;EOMONTH(Rev!L$1,0))</f>
        <v>69.98</v>
      </c>
      <c r="M92" s="423">
        <f>+SUMIFS('Dividendos Extranjero'!$I:$I,'Dividendos Extranjero'!$B:$B,Rev!$A92,'Dividendos Extranjero'!$C:$C,"&gt;="&amp;Rev!M$1,'Dividendos Extranjero'!$C:$C,"&lt;="&amp;EOMONTH(Rev!M$1,0))</f>
        <v>17.23</v>
      </c>
      <c r="N92" s="423">
        <f>+SUMIFS('Dividendos Extranjero'!$I:$I,'Dividendos Extranjero'!$B:$B,Rev!$A92,'Dividendos Extranjero'!$C:$C,"&gt;="&amp;Rev!N$1,'Dividendos Extranjero'!$C:$C,"&lt;="&amp;EOMONTH(Rev!N$1,0))</f>
        <v>110.31</v>
      </c>
      <c r="O92" s="423">
        <f t="shared" ref="O92:O100" si="27">SUM(C92:N92)</f>
        <v>701.92000000000007</v>
      </c>
    </row>
    <row r="93" spans="1:15" ht="17.100000000000001">
      <c r="A93" s="425" t="str">
        <f t="shared" si="25"/>
        <v>B22235000</v>
      </c>
      <c r="B93" s="452" t="str">
        <f t="shared" si="26"/>
        <v xml:space="preserve">        Dividendos Emisoras off shore- B22235000</v>
      </c>
      <c r="C93" s="423">
        <f>+SUMIFS('Dividendos Extranjero'!$I:$I,'Dividendos Extranjero'!$B:$B,Rev!$A93,'Dividendos Extranjero'!$C:$C,"&gt;="&amp;Rev!C$1,'Dividendos Extranjero'!$C:$C,"&lt;="&amp;EOMONTH(Rev!C$1,0))</f>
        <v>0</v>
      </c>
      <c r="D93" s="423">
        <f>+SUMIFS('Dividendos Extranjero'!$I:$I,'Dividendos Extranjero'!$B:$B,Rev!$A93,'Dividendos Extranjero'!$C:$C,"&gt;="&amp;Rev!D$1,'Dividendos Extranjero'!$C:$C,"&lt;="&amp;EOMONTH(Rev!D$1,0))</f>
        <v>0</v>
      </c>
      <c r="E93" s="423">
        <f>+SUMIFS('Dividendos Extranjero'!$I:$I,'Dividendos Extranjero'!$B:$B,Rev!$A93,'Dividendos Extranjero'!$C:$C,"&gt;="&amp;Rev!E$1,'Dividendos Extranjero'!$C:$C,"&lt;="&amp;EOMONTH(Rev!E$1,0))</f>
        <v>0</v>
      </c>
      <c r="F93" s="423">
        <f>+SUMIFS('Dividendos Extranjero'!$I:$I,'Dividendos Extranjero'!$B:$B,Rev!$A93,'Dividendos Extranjero'!$C:$C,"&gt;="&amp;Rev!F$1,'Dividendos Extranjero'!$C:$C,"&lt;="&amp;EOMONTH(Rev!F$1,0))</f>
        <v>0</v>
      </c>
      <c r="G93" s="423">
        <f>+SUMIFS('Dividendos Extranjero'!$I:$I,'Dividendos Extranjero'!$B:$B,Rev!$A93,'Dividendos Extranjero'!$C:$C,"&gt;="&amp;Rev!G$1,'Dividendos Extranjero'!$C:$C,"&lt;="&amp;EOMONTH(Rev!G$1,0))</f>
        <v>0</v>
      </c>
      <c r="H93" s="423">
        <f>+SUMIFS('Dividendos Extranjero'!$I:$I,'Dividendos Extranjero'!$B:$B,Rev!$A93,'Dividendos Extranjero'!$C:$C,"&gt;="&amp;Rev!H$1,'Dividendos Extranjero'!$C:$C,"&lt;="&amp;EOMONTH(Rev!H$1,0))</f>
        <v>0</v>
      </c>
      <c r="I93" s="423">
        <f>+SUMIFS('Dividendos Extranjero'!$I:$I,'Dividendos Extranjero'!$B:$B,Rev!$A93,'Dividendos Extranjero'!$C:$C,"&gt;="&amp;Rev!I$1,'Dividendos Extranjero'!$C:$C,"&lt;="&amp;EOMONTH(Rev!I$1,0))</f>
        <v>0</v>
      </c>
      <c r="J93" s="423">
        <f>+SUMIFS('Dividendos Extranjero'!$I:$I,'Dividendos Extranjero'!$B:$B,Rev!$A93,'Dividendos Extranjero'!$C:$C,"&gt;="&amp;Rev!J$1,'Dividendos Extranjero'!$C:$C,"&lt;="&amp;EOMONTH(Rev!J$1,0))</f>
        <v>0</v>
      </c>
      <c r="K93" s="423">
        <f>+SUMIFS('Dividendos Extranjero'!$I:$I,'Dividendos Extranjero'!$B:$B,Rev!$A93,'Dividendos Extranjero'!$C:$C,"&gt;="&amp;Rev!K$1,'Dividendos Extranjero'!$C:$C,"&lt;="&amp;EOMONTH(Rev!K$1,0))</f>
        <v>0</v>
      </c>
      <c r="L93" s="423">
        <f>+SUMIFS('Dividendos Extranjero'!$I:$I,'Dividendos Extranjero'!$B:$B,Rev!$A93,'Dividendos Extranjero'!$C:$C,"&gt;="&amp;Rev!L$1,'Dividendos Extranjero'!$C:$C,"&lt;="&amp;EOMONTH(Rev!L$1,0))</f>
        <v>0</v>
      </c>
      <c r="M93" s="423">
        <f>+SUMIFS('Dividendos Extranjero'!$I:$I,'Dividendos Extranjero'!$B:$B,Rev!$A93,'Dividendos Extranjero'!$C:$C,"&gt;="&amp;Rev!M$1,'Dividendos Extranjero'!$C:$C,"&lt;="&amp;EOMONTH(Rev!M$1,0))</f>
        <v>0</v>
      </c>
      <c r="N93" s="423">
        <f>+SUMIFS('Dividendos Extranjero'!$I:$I,'Dividendos Extranjero'!$B:$B,Rev!$A93,'Dividendos Extranjero'!$C:$C,"&gt;="&amp;Rev!N$1,'Dividendos Extranjero'!$C:$C,"&lt;="&amp;EOMONTH(Rev!N$1,0))</f>
        <v>0</v>
      </c>
      <c r="O93" s="423">
        <f t="shared" si="27"/>
        <v>0</v>
      </c>
    </row>
    <row r="94" spans="1:15" ht="17.100000000000001">
      <c r="A94" s="425">
        <f t="shared" si="25"/>
        <v>700833580</v>
      </c>
      <c r="B94" s="452" t="str">
        <f t="shared" si="26"/>
        <v xml:space="preserve">        Dividendos Emisoras off shore- 700833580</v>
      </c>
      <c r="C94" s="423">
        <f>+SUMIFS('Dividendos Extranjero'!$I:$I,'Dividendos Extranjero'!$B:$B,Rev!$A94,'Dividendos Extranjero'!$C:$C,"&gt;="&amp;Rev!C$1,'Dividendos Extranjero'!$C:$C,"&lt;="&amp;EOMONTH(Rev!C$1,0))</f>
        <v>0</v>
      </c>
      <c r="D94" s="423">
        <f>+SUMIFS('Dividendos Extranjero'!$I:$I,'Dividendos Extranjero'!$B:$B,Rev!$A94,'Dividendos Extranjero'!$C:$C,"&gt;="&amp;Rev!D$1,'Dividendos Extranjero'!$C:$C,"&lt;="&amp;EOMONTH(Rev!D$1,0))</f>
        <v>0</v>
      </c>
      <c r="E94" s="423">
        <f>+SUMIFS('Dividendos Extranjero'!$I:$I,'Dividendos Extranjero'!$B:$B,Rev!$A94,'Dividendos Extranjero'!$C:$C,"&gt;="&amp;Rev!E$1,'Dividendos Extranjero'!$C:$C,"&lt;="&amp;EOMONTH(Rev!E$1,0))</f>
        <v>0</v>
      </c>
      <c r="F94" s="423">
        <f>+SUMIFS('Dividendos Extranjero'!$I:$I,'Dividendos Extranjero'!$B:$B,Rev!$A94,'Dividendos Extranjero'!$C:$C,"&gt;="&amp;Rev!F$1,'Dividendos Extranjero'!$C:$C,"&lt;="&amp;EOMONTH(Rev!F$1,0))</f>
        <v>0</v>
      </c>
      <c r="G94" s="423">
        <f>+SUMIFS('Dividendos Extranjero'!$I:$I,'Dividendos Extranjero'!$B:$B,Rev!$A94,'Dividendos Extranjero'!$C:$C,"&gt;="&amp;Rev!G$1,'Dividendos Extranjero'!$C:$C,"&lt;="&amp;EOMONTH(Rev!G$1,0))</f>
        <v>0</v>
      </c>
      <c r="H94" s="423">
        <f>+SUMIFS('Dividendos Extranjero'!$I:$I,'Dividendos Extranjero'!$B:$B,Rev!$A94,'Dividendos Extranjero'!$C:$C,"&gt;="&amp;Rev!H$1,'Dividendos Extranjero'!$C:$C,"&lt;="&amp;EOMONTH(Rev!H$1,0))</f>
        <v>0</v>
      </c>
      <c r="I94" s="423">
        <f>+SUMIFS('Dividendos Extranjero'!$I:$I,'Dividendos Extranjero'!$B:$B,Rev!$A94,'Dividendos Extranjero'!$C:$C,"&gt;="&amp;Rev!I$1,'Dividendos Extranjero'!$C:$C,"&lt;="&amp;EOMONTH(Rev!I$1,0))</f>
        <v>0</v>
      </c>
      <c r="J94" s="423">
        <f>+SUMIFS('Dividendos Extranjero'!$I:$I,'Dividendos Extranjero'!$B:$B,Rev!$A94,'Dividendos Extranjero'!$C:$C,"&gt;="&amp;Rev!J$1,'Dividendos Extranjero'!$C:$C,"&lt;="&amp;EOMONTH(Rev!J$1,0))</f>
        <v>0</v>
      </c>
      <c r="K94" s="423">
        <f>+SUMIFS('Dividendos Extranjero'!$I:$I,'Dividendos Extranjero'!$B:$B,Rev!$A94,'Dividendos Extranjero'!$C:$C,"&gt;="&amp;Rev!K$1,'Dividendos Extranjero'!$C:$C,"&lt;="&amp;EOMONTH(Rev!K$1,0))</f>
        <v>0</v>
      </c>
      <c r="L94" s="423">
        <f>+SUMIFS('Dividendos Extranjero'!$I:$I,'Dividendos Extranjero'!$B:$B,Rev!$A94,'Dividendos Extranjero'!$C:$C,"&gt;="&amp;Rev!L$1,'Dividendos Extranjero'!$C:$C,"&lt;="&amp;EOMONTH(Rev!L$1,0))</f>
        <v>0</v>
      </c>
      <c r="M94" s="423">
        <f>+SUMIFS('Dividendos Extranjero'!$I:$I,'Dividendos Extranjero'!$B:$B,Rev!$A94,'Dividendos Extranjero'!$C:$C,"&gt;="&amp;Rev!M$1,'Dividendos Extranjero'!$C:$C,"&lt;="&amp;EOMONTH(Rev!M$1,0))</f>
        <v>0</v>
      </c>
      <c r="N94" s="423">
        <f>+SUMIFS('Dividendos Extranjero'!$I:$I,'Dividendos Extranjero'!$B:$B,Rev!$A94,'Dividendos Extranjero'!$C:$C,"&gt;="&amp;Rev!N$1,'Dividendos Extranjero'!$C:$C,"&lt;="&amp;EOMONTH(Rev!N$1,0))</f>
        <v>0</v>
      </c>
      <c r="O94" s="423">
        <f t="shared" si="27"/>
        <v>0</v>
      </c>
    </row>
    <row r="95" spans="1:15" ht="17.100000000000001">
      <c r="A95" s="425" t="str">
        <f t="shared" si="25"/>
        <v>F</v>
      </c>
      <c r="B95" s="452" t="str">
        <f t="shared" si="26"/>
        <v xml:space="preserve">        Dividendos Emisoras off shore- F</v>
      </c>
      <c r="C95" s="423">
        <f>+SUMIFS('Dividendos Extranjero'!$I:$I,'Dividendos Extranjero'!$B:$B,Rev!$A95,'Dividendos Extranjero'!$C:$C,"&gt;="&amp;Rev!C$1,'Dividendos Extranjero'!$C:$C,"&lt;="&amp;EOMONTH(Rev!C$1,0))</f>
        <v>0</v>
      </c>
      <c r="D95" s="423">
        <f>+SUMIFS('Dividendos Extranjero'!$I:$I,'Dividendos Extranjero'!$B:$B,Rev!$A95,'Dividendos Extranjero'!$C:$C,"&gt;="&amp;Rev!D$1,'Dividendos Extranjero'!$C:$C,"&lt;="&amp;EOMONTH(Rev!D$1,0))</f>
        <v>0</v>
      </c>
      <c r="E95" s="423">
        <f>+SUMIFS('Dividendos Extranjero'!$I:$I,'Dividendos Extranjero'!$B:$B,Rev!$A95,'Dividendos Extranjero'!$C:$C,"&gt;="&amp;Rev!E$1,'Dividendos Extranjero'!$C:$C,"&lt;="&amp;EOMONTH(Rev!E$1,0))</f>
        <v>0</v>
      </c>
      <c r="F95" s="423">
        <f>+SUMIFS('Dividendos Extranjero'!$I:$I,'Dividendos Extranjero'!$B:$B,Rev!$A95,'Dividendos Extranjero'!$C:$C,"&gt;="&amp;Rev!F$1,'Dividendos Extranjero'!$C:$C,"&lt;="&amp;EOMONTH(Rev!F$1,0))</f>
        <v>0</v>
      </c>
      <c r="G95" s="423">
        <f>+SUMIFS('Dividendos Extranjero'!$I:$I,'Dividendos Extranjero'!$B:$B,Rev!$A95,'Dividendos Extranjero'!$C:$C,"&gt;="&amp;Rev!G$1,'Dividendos Extranjero'!$C:$C,"&lt;="&amp;EOMONTH(Rev!G$1,0))</f>
        <v>0</v>
      </c>
      <c r="H95" s="423">
        <f>+SUMIFS('Dividendos Extranjero'!$I:$I,'Dividendos Extranjero'!$B:$B,Rev!$A95,'Dividendos Extranjero'!$C:$C,"&gt;="&amp;Rev!H$1,'Dividendos Extranjero'!$C:$C,"&lt;="&amp;EOMONTH(Rev!H$1,0))</f>
        <v>0</v>
      </c>
      <c r="I95" s="423">
        <f>+SUMIFS('Dividendos Extranjero'!$I:$I,'Dividendos Extranjero'!$B:$B,Rev!$A95,'Dividendos Extranjero'!$C:$C,"&gt;="&amp;Rev!I$1,'Dividendos Extranjero'!$C:$C,"&lt;="&amp;EOMONTH(Rev!I$1,0))</f>
        <v>0</v>
      </c>
      <c r="J95" s="423">
        <f>+SUMIFS('Dividendos Extranjero'!$I:$I,'Dividendos Extranjero'!$B:$B,Rev!$A95,'Dividendos Extranjero'!$C:$C,"&gt;="&amp;Rev!J$1,'Dividendos Extranjero'!$C:$C,"&lt;="&amp;EOMONTH(Rev!J$1,0))</f>
        <v>0</v>
      </c>
      <c r="K95" s="423">
        <f>+SUMIFS('Dividendos Extranjero'!$I:$I,'Dividendos Extranjero'!$B:$B,Rev!$A95,'Dividendos Extranjero'!$C:$C,"&gt;="&amp;Rev!K$1,'Dividendos Extranjero'!$C:$C,"&lt;="&amp;EOMONTH(Rev!K$1,0))</f>
        <v>0</v>
      </c>
      <c r="L95" s="423">
        <f>+SUMIFS('Dividendos Extranjero'!$I:$I,'Dividendos Extranjero'!$B:$B,Rev!$A95,'Dividendos Extranjero'!$C:$C,"&gt;="&amp;Rev!L$1,'Dividendos Extranjero'!$C:$C,"&lt;="&amp;EOMONTH(Rev!L$1,0))</f>
        <v>0</v>
      </c>
      <c r="M95" s="423">
        <f>+SUMIFS('Dividendos Extranjero'!$I:$I,'Dividendos Extranjero'!$B:$B,Rev!$A95,'Dividendos Extranjero'!$C:$C,"&gt;="&amp;Rev!M$1,'Dividendos Extranjero'!$C:$C,"&lt;="&amp;EOMONTH(Rev!M$1,0))</f>
        <v>0</v>
      </c>
      <c r="N95" s="423">
        <f>+SUMIFS('Dividendos Extranjero'!$I:$I,'Dividendos Extranjero'!$B:$B,Rev!$A95,'Dividendos Extranjero'!$C:$C,"&gt;="&amp;Rev!N$1,'Dividendos Extranjero'!$C:$C,"&lt;="&amp;EOMONTH(Rev!N$1,0))</f>
        <v>0</v>
      </c>
      <c r="O95" s="423">
        <f t="shared" si="27"/>
        <v>0</v>
      </c>
    </row>
    <row r="96" spans="1:15" ht="17.100000000000001">
      <c r="A96" s="425" t="str">
        <f t="shared" si="25"/>
        <v>G</v>
      </c>
      <c r="B96" s="452" t="str">
        <f t="shared" si="26"/>
        <v xml:space="preserve">        Dividendos Emisoras off shore- G</v>
      </c>
      <c r="C96" s="423">
        <f>+SUMIFS('Dividendos Extranjero'!$I:$I,'Dividendos Extranjero'!$B:$B,Rev!$A96,'Dividendos Extranjero'!$C:$C,"&gt;="&amp;Rev!C$1,'Dividendos Extranjero'!$C:$C,"&lt;="&amp;EOMONTH(Rev!C$1,0))</f>
        <v>0</v>
      </c>
      <c r="D96" s="423">
        <f>+SUMIFS('Dividendos Extranjero'!$I:$I,'Dividendos Extranjero'!$B:$B,Rev!$A96,'Dividendos Extranjero'!$C:$C,"&gt;="&amp;Rev!D$1,'Dividendos Extranjero'!$C:$C,"&lt;="&amp;EOMONTH(Rev!D$1,0))</f>
        <v>0</v>
      </c>
      <c r="E96" s="423">
        <f>+SUMIFS('Dividendos Extranjero'!$I:$I,'Dividendos Extranjero'!$B:$B,Rev!$A96,'Dividendos Extranjero'!$C:$C,"&gt;="&amp;Rev!E$1,'Dividendos Extranjero'!$C:$C,"&lt;="&amp;EOMONTH(Rev!E$1,0))</f>
        <v>0</v>
      </c>
      <c r="F96" s="423">
        <f>+SUMIFS('Dividendos Extranjero'!$I:$I,'Dividendos Extranjero'!$B:$B,Rev!$A96,'Dividendos Extranjero'!$C:$C,"&gt;="&amp;Rev!F$1,'Dividendos Extranjero'!$C:$C,"&lt;="&amp;EOMONTH(Rev!F$1,0))</f>
        <v>0</v>
      </c>
      <c r="G96" s="423">
        <f>+SUMIFS('Dividendos Extranjero'!$I:$I,'Dividendos Extranjero'!$B:$B,Rev!$A96,'Dividendos Extranjero'!$C:$C,"&gt;="&amp;Rev!G$1,'Dividendos Extranjero'!$C:$C,"&lt;="&amp;EOMONTH(Rev!G$1,0))</f>
        <v>0</v>
      </c>
      <c r="H96" s="423">
        <f>+SUMIFS('Dividendos Extranjero'!$I:$I,'Dividendos Extranjero'!$B:$B,Rev!$A96,'Dividendos Extranjero'!$C:$C,"&gt;="&amp;Rev!H$1,'Dividendos Extranjero'!$C:$C,"&lt;="&amp;EOMONTH(Rev!H$1,0))</f>
        <v>0</v>
      </c>
      <c r="I96" s="423">
        <f>+SUMIFS('Dividendos Extranjero'!$I:$I,'Dividendos Extranjero'!$B:$B,Rev!$A96,'Dividendos Extranjero'!$C:$C,"&gt;="&amp;Rev!I$1,'Dividendos Extranjero'!$C:$C,"&lt;="&amp;EOMONTH(Rev!I$1,0))</f>
        <v>0</v>
      </c>
      <c r="J96" s="423">
        <f>+SUMIFS('Dividendos Extranjero'!$I:$I,'Dividendos Extranjero'!$B:$B,Rev!$A96,'Dividendos Extranjero'!$C:$C,"&gt;="&amp;Rev!J$1,'Dividendos Extranjero'!$C:$C,"&lt;="&amp;EOMONTH(Rev!J$1,0))</f>
        <v>0</v>
      </c>
      <c r="K96" s="423">
        <f>+SUMIFS('Dividendos Extranjero'!$I:$I,'Dividendos Extranjero'!$B:$B,Rev!$A96,'Dividendos Extranjero'!$C:$C,"&gt;="&amp;Rev!K$1,'Dividendos Extranjero'!$C:$C,"&lt;="&amp;EOMONTH(Rev!K$1,0))</f>
        <v>0</v>
      </c>
      <c r="L96" s="423">
        <f>+SUMIFS('Dividendos Extranjero'!$I:$I,'Dividendos Extranjero'!$B:$B,Rev!$A96,'Dividendos Extranjero'!$C:$C,"&gt;="&amp;Rev!L$1,'Dividendos Extranjero'!$C:$C,"&lt;="&amp;EOMONTH(Rev!L$1,0))</f>
        <v>0</v>
      </c>
      <c r="M96" s="423">
        <f>+SUMIFS('Dividendos Extranjero'!$I:$I,'Dividendos Extranjero'!$B:$B,Rev!$A96,'Dividendos Extranjero'!$C:$C,"&gt;="&amp;Rev!M$1,'Dividendos Extranjero'!$C:$C,"&lt;="&amp;EOMONTH(Rev!M$1,0))</f>
        <v>0</v>
      </c>
      <c r="N96" s="423">
        <f>+SUMIFS('Dividendos Extranjero'!$I:$I,'Dividendos Extranjero'!$B:$B,Rev!$A96,'Dividendos Extranjero'!$C:$C,"&gt;="&amp;Rev!N$1,'Dividendos Extranjero'!$C:$C,"&lt;="&amp;EOMONTH(Rev!N$1,0))</f>
        <v>0</v>
      </c>
      <c r="O96" s="423">
        <f t="shared" si="27"/>
        <v>0</v>
      </c>
    </row>
    <row r="97" spans="1:15" ht="17.100000000000001">
      <c r="A97" s="425" t="str">
        <f t="shared" si="25"/>
        <v>H</v>
      </c>
      <c r="B97" s="452" t="str">
        <f t="shared" si="26"/>
        <v xml:space="preserve">        Dividendos Emisoras off shore- H</v>
      </c>
      <c r="C97" s="423">
        <f>+SUMIFS('Dividendos Extranjero'!$I:$I,'Dividendos Extranjero'!$B:$B,Rev!$A97,'Dividendos Extranjero'!$C:$C,"&gt;="&amp;Rev!C$1,'Dividendos Extranjero'!$C:$C,"&lt;="&amp;EOMONTH(Rev!C$1,0))</f>
        <v>0</v>
      </c>
      <c r="D97" s="423">
        <f>+SUMIFS('Dividendos Extranjero'!$I:$I,'Dividendos Extranjero'!$B:$B,Rev!$A97,'Dividendos Extranjero'!$C:$C,"&gt;="&amp;Rev!D$1,'Dividendos Extranjero'!$C:$C,"&lt;="&amp;EOMONTH(Rev!D$1,0))</f>
        <v>0</v>
      </c>
      <c r="E97" s="423">
        <f>+SUMIFS('Dividendos Extranjero'!$I:$I,'Dividendos Extranjero'!$B:$B,Rev!$A97,'Dividendos Extranjero'!$C:$C,"&gt;="&amp;Rev!E$1,'Dividendos Extranjero'!$C:$C,"&lt;="&amp;EOMONTH(Rev!E$1,0))</f>
        <v>0</v>
      </c>
      <c r="F97" s="423">
        <f>+SUMIFS('Dividendos Extranjero'!$I:$I,'Dividendos Extranjero'!$B:$B,Rev!$A97,'Dividendos Extranjero'!$C:$C,"&gt;="&amp;Rev!F$1,'Dividendos Extranjero'!$C:$C,"&lt;="&amp;EOMONTH(Rev!F$1,0))</f>
        <v>0</v>
      </c>
      <c r="G97" s="423">
        <f>+SUMIFS('Dividendos Extranjero'!$I:$I,'Dividendos Extranjero'!$B:$B,Rev!$A97,'Dividendos Extranjero'!$C:$C,"&gt;="&amp;Rev!G$1,'Dividendos Extranjero'!$C:$C,"&lt;="&amp;EOMONTH(Rev!G$1,0))</f>
        <v>0</v>
      </c>
      <c r="H97" s="423">
        <f>+SUMIFS('Dividendos Extranjero'!$I:$I,'Dividendos Extranjero'!$B:$B,Rev!$A97,'Dividendos Extranjero'!$C:$C,"&gt;="&amp;Rev!H$1,'Dividendos Extranjero'!$C:$C,"&lt;="&amp;EOMONTH(Rev!H$1,0))</f>
        <v>0</v>
      </c>
      <c r="I97" s="423">
        <f>+SUMIFS('Dividendos Extranjero'!$I:$I,'Dividendos Extranjero'!$B:$B,Rev!$A97,'Dividendos Extranjero'!$C:$C,"&gt;="&amp;Rev!I$1,'Dividendos Extranjero'!$C:$C,"&lt;="&amp;EOMONTH(Rev!I$1,0))</f>
        <v>0</v>
      </c>
      <c r="J97" s="423">
        <f>+SUMIFS('Dividendos Extranjero'!$I:$I,'Dividendos Extranjero'!$B:$B,Rev!$A97,'Dividendos Extranjero'!$C:$C,"&gt;="&amp;Rev!J$1,'Dividendos Extranjero'!$C:$C,"&lt;="&amp;EOMONTH(Rev!J$1,0))</f>
        <v>0</v>
      </c>
      <c r="K97" s="423">
        <f>+SUMIFS('Dividendos Extranjero'!$I:$I,'Dividendos Extranjero'!$B:$B,Rev!$A97,'Dividendos Extranjero'!$C:$C,"&gt;="&amp;Rev!K$1,'Dividendos Extranjero'!$C:$C,"&lt;="&amp;EOMONTH(Rev!K$1,0))</f>
        <v>0</v>
      </c>
      <c r="L97" s="423">
        <f>+SUMIFS('Dividendos Extranjero'!$I:$I,'Dividendos Extranjero'!$B:$B,Rev!$A97,'Dividendos Extranjero'!$C:$C,"&gt;="&amp;Rev!L$1,'Dividendos Extranjero'!$C:$C,"&lt;="&amp;EOMONTH(Rev!L$1,0))</f>
        <v>0</v>
      </c>
      <c r="M97" s="423">
        <f>+SUMIFS('Dividendos Extranjero'!$I:$I,'Dividendos Extranjero'!$B:$B,Rev!$A97,'Dividendos Extranjero'!$C:$C,"&gt;="&amp;Rev!M$1,'Dividendos Extranjero'!$C:$C,"&lt;="&amp;EOMONTH(Rev!M$1,0))</f>
        <v>0</v>
      </c>
      <c r="N97" s="423">
        <f>+SUMIFS('Dividendos Extranjero'!$I:$I,'Dividendos Extranjero'!$B:$B,Rev!$A97,'Dividendos Extranjero'!$C:$C,"&gt;="&amp;Rev!N$1,'Dividendos Extranjero'!$C:$C,"&lt;="&amp;EOMONTH(Rev!N$1,0))</f>
        <v>0</v>
      </c>
      <c r="O97" s="423">
        <f t="shared" si="27"/>
        <v>0</v>
      </c>
    </row>
    <row r="98" spans="1:15" ht="17.100000000000001">
      <c r="A98" s="425" t="str">
        <f t="shared" si="25"/>
        <v>I</v>
      </c>
      <c r="B98" s="452" t="str">
        <f t="shared" si="26"/>
        <v xml:space="preserve">        Dividendos Emisoras off shore- I</v>
      </c>
      <c r="C98" s="423">
        <f>+SUMIFS('Dividendos Extranjero'!$I:$I,'Dividendos Extranjero'!$B:$B,Rev!$A98,'Dividendos Extranjero'!$C:$C,"&gt;="&amp;Rev!C$1,'Dividendos Extranjero'!$C:$C,"&lt;="&amp;EOMONTH(Rev!C$1,0))</f>
        <v>0</v>
      </c>
      <c r="D98" s="423">
        <f>+SUMIFS('Dividendos Extranjero'!$I:$I,'Dividendos Extranjero'!$B:$B,Rev!$A98,'Dividendos Extranjero'!$C:$C,"&gt;="&amp;Rev!D$1,'Dividendos Extranjero'!$C:$C,"&lt;="&amp;EOMONTH(Rev!D$1,0))</f>
        <v>0</v>
      </c>
      <c r="E98" s="423">
        <f>+SUMIFS('Dividendos Extranjero'!$I:$I,'Dividendos Extranjero'!$B:$B,Rev!$A98,'Dividendos Extranjero'!$C:$C,"&gt;="&amp;Rev!E$1,'Dividendos Extranjero'!$C:$C,"&lt;="&amp;EOMONTH(Rev!E$1,0))</f>
        <v>0</v>
      </c>
      <c r="F98" s="423">
        <f>+SUMIFS('Dividendos Extranjero'!$I:$I,'Dividendos Extranjero'!$B:$B,Rev!$A98,'Dividendos Extranjero'!$C:$C,"&gt;="&amp;Rev!F$1,'Dividendos Extranjero'!$C:$C,"&lt;="&amp;EOMONTH(Rev!F$1,0))</f>
        <v>0</v>
      </c>
      <c r="G98" s="423">
        <f>+SUMIFS('Dividendos Extranjero'!$I:$I,'Dividendos Extranjero'!$B:$B,Rev!$A98,'Dividendos Extranjero'!$C:$C,"&gt;="&amp;Rev!G$1,'Dividendos Extranjero'!$C:$C,"&lt;="&amp;EOMONTH(Rev!G$1,0))</f>
        <v>0</v>
      </c>
      <c r="H98" s="423">
        <f>+SUMIFS('Dividendos Extranjero'!$I:$I,'Dividendos Extranjero'!$B:$B,Rev!$A98,'Dividendos Extranjero'!$C:$C,"&gt;="&amp;Rev!H$1,'Dividendos Extranjero'!$C:$C,"&lt;="&amp;EOMONTH(Rev!H$1,0))</f>
        <v>0</v>
      </c>
      <c r="I98" s="423">
        <f>+SUMIFS('Dividendos Extranjero'!$I:$I,'Dividendos Extranjero'!$B:$B,Rev!$A98,'Dividendos Extranjero'!$C:$C,"&gt;="&amp;Rev!I$1,'Dividendos Extranjero'!$C:$C,"&lt;="&amp;EOMONTH(Rev!I$1,0))</f>
        <v>0</v>
      </c>
      <c r="J98" s="423">
        <f>+SUMIFS('Dividendos Extranjero'!$I:$I,'Dividendos Extranjero'!$B:$B,Rev!$A98,'Dividendos Extranjero'!$C:$C,"&gt;="&amp;Rev!J$1,'Dividendos Extranjero'!$C:$C,"&lt;="&amp;EOMONTH(Rev!J$1,0))</f>
        <v>0</v>
      </c>
      <c r="K98" s="423">
        <f>+SUMIFS('Dividendos Extranjero'!$I:$I,'Dividendos Extranjero'!$B:$B,Rev!$A98,'Dividendos Extranjero'!$C:$C,"&gt;="&amp;Rev!K$1,'Dividendos Extranjero'!$C:$C,"&lt;="&amp;EOMONTH(Rev!K$1,0))</f>
        <v>0</v>
      </c>
      <c r="L98" s="423">
        <f>+SUMIFS('Dividendos Extranjero'!$I:$I,'Dividendos Extranjero'!$B:$B,Rev!$A98,'Dividendos Extranjero'!$C:$C,"&gt;="&amp;Rev!L$1,'Dividendos Extranjero'!$C:$C,"&lt;="&amp;EOMONTH(Rev!L$1,0))</f>
        <v>0</v>
      </c>
      <c r="M98" s="423">
        <f>+SUMIFS('Dividendos Extranjero'!$I:$I,'Dividendos Extranjero'!$B:$B,Rev!$A98,'Dividendos Extranjero'!$C:$C,"&gt;="&amp;Rev!M$1,'Dividendos Extranjero'!$C:$C,"&lt;="&amp;EOMONTH(Rev!M$1,0))</f>
        <v>0</v>
      </c>
      <c r="N98" s="423">
        <f>+SUMIFS('Dividendos Extranjero'!$I:$I,'Dividendos Extranjero'!$B:$B,Rev!$A98,'Dividendos Extranjero'!$C:$C,"&gt;="&amp;Rev!N$1,'Dividendos Extranjero'!$C:$C,"&lt;="&amp;EOMONTH(Rev!N$1,0))</f>
        <v>0</v>
      </c>
      <c r="O98" s="423">
        <f t="shared" si="27"/>
        <v>0</v>
      </c>
    </row>
    <row r="99" spans="1:15" ht="17.100000000000001">
      <c r="A99" s="425" t="str">
        <f t="shared" si="25"/>
        <v>J</v>
      </c>
      <c r="B99" s="452" t="str">
        <f t="shared" si="26"/>
        <v xml:space="preserve">        Dividendos Emisoras off shore- J</v>
      </c>
      <c r="C99" s="423">
        <f>+SUMIFS('Dividendos Extranjero'!$I:$I,'Dividendos Extranjero'!$B:$B,Rev!$A99,'Dividendos Extranjero'!$C:$C,"&gt;="&amp;Rev!C$1,'Dividendos Extranjero'!$C:$C,"&lt;="&amp;EOMONTH(Rev!C$1,0))</f>
        <v>0</v>
      </c>
      <c r="D99" s="423">
        <f>+SUMIFS('Dividendos Extranjero'!$I:$I,'Dividendos Extranjero'!$B:$B,Rev!$A99,'Dividendos Extranjero'!$C:$C,"&gt;="&amp;Rev!D$1,'Dividendos Extranjero'!$C:$C,"&lt;="&amp;EOMONTH(Rev!D$1,0))</f>
        <v>0</v>
      </c>
      <c r="E99" s="423">
        <f>+SUMIFS('Dividendos Extranjero'!$I:$I,'Dividendos Extranjero'!$B:$B,Rev!$A99,'Dividendos Extranjero'!$C:$C,"&gt;="&amp;Rev!E$1,'Dividendos Extranjero'!$C:$C,"&lt;="&amp;EOMONTH(Rev!E$1,0))</f>
        <v>0</v>
      </c>
      <c r="F99" s="423">
        <f>+SUMIFS('Dividendos Extranjero'!$I:$I,'Dividendos Extranjero'!$B:$B,Rev!$A99,'Dividendos Extranjero'!$C:$C,"&gt;="&amp;Rev!F$1,'Dividendos Extranjero'!$C:$C,"&lt;="&amp;EOMONTH(Rev!F$1,0))</f>
        <v>0</v>
      </c>
      <c r="G99" s="423">
        <f>+SUMIFS('Dividendos Extranjero'!$I:$I,'Dividendos Extranjero'!$B:$B,Rev!$A99,'Dividendos Extranjero'!$C:$C,"&gt;="&amp;Rev!G$1,'Dividendos Extranjero'!$C:$C,"&lt;="&amp;EOMONTH(Rev!G$1,0))</f>
        <v>0</v>
      </c>
      <c r="H99" s="423">
        <f>+SUMIFS('Dividendos Extranjero'!$I:$I,'Dividendos Extranjero'!$B:$B,Rev!$A99,'Dividendos Extranjero'!$C:$C,"&gt;="&amp;Rev!H$1,'Dividendos Extranjero'!$C:$C,"&lt;="&amp;EOMONTH(Rev!H$1,0))</f>
        <v>0</v>
      </c>
      <c r="I99" s="423">
        <f>+SUMIFS('Dividendos Extranjero'!$I:$I,'Dividendos Extranjero'!$B:$B,Rev!$A99,'Dividendos Extranjero'!$C:$C,"&gt;="&amp;Rev!I$1,'Dividendos Extranjero'!$C:$C,"&lt;="&amp;EOMONTH(Rev!I$1,0))</f>
        <v>0</v>
      </c>
      <c r="J99" s="423">
        <f>+SUMIFS('Dividendos Extranjero'!$I:$I,'Dividendos Extranjero'!$B:$B,Rev!$A99,'Dividendos Extranjero'!$C:$C,"&gt;="&amp;Rev!J$1,'Dividendos Extranjero'!$C:$C,"&lt;="&amp;EOMONTH(Rev!J$1,0))</f>
        <v>0</v>
      </c>
      <c r="K99" s="423">
        <f>+SUMIFS('Dividendos Extranjero'!$I:$I,'Dividendos Extranjero'!$B:$B,Rev!$A99,'Dividendos Extranjero'!$C:$C,"&gt;="&amp;Rev!K$1,'Dividendos Extranjero'!$C:$C,"&lt;="&amp;EOMONTH(Rev!K$1,0))</f>
        <v>0</v>
      </c>
      <c r="L99" s="423">
        <f>+SUMIFS('Dividendos Extranjero'!$I:$I,'Dividendos Extranjero'!$B:$B,Rev!$A99,'Dividendos Extranjero'!$C:$C,"&gt;="&amp;Rev!L$1,'Dividendos Extranjero'!$C:$C,"&lt;="&amp;EOMONTH(Rev!L$1,0))</f>
        <v>0</v>
      </c>
      <c r="M99" s="423">
        <f>+SUMIFS('Dividendos Extranjero'!$I:$I,'Dividendos Extranjero'!$B:$B,Rev!$A99,'Dividendos Extranjero'!$C:$C,"&gt;="&amp;Rev!M$1,'Dividendos Extranjero'!$C:$C,"&lt;="&amp;EOMONTH(Rev!M$1,0))</f>
        <v>0</v>
      </c>
      <c r="N99" s="423">
        <f>+SUMIFS('Dividendos Extranjero'!$I:$I,'Dividendos Extranjero'!$B:$B,Rev!$A99,'Dividendos Extranjero'!$C:$C,"&gt;="&amp;Rev!N$1,'Dividendos Extranjero'!$C:$C,"&lt;="&amp;EOMONTH(Rev!N$1,0))</f>
        <v>0</v>
      </c>
      <c r="O99" s="423">
        <f t="shared" si="27"/>
        <v>0</v>
      </c>
    </row>
    <row r="100" spans="1:15" ht="17.100000000000001">
      <c r="A100" s="425" t="str">
        <f t="shared" si="25"/>
        <v>K</v>
      </c>
      <c r="B100" s="452" t="str">
        <f t="shared" si="26"/>
        <v xml:space="preserve">        Dividendos Emisoras off shore- K</v>
      </c>
      <c r="C100" s="423">
        <f>+SUMIFS('Dividendos Extranjero'!$I:$I,'Dividendos Extranjero'!$B:$B,Rev!$A100,'Dividendos Extranjero'!$C:$C,"&gt;="&amp;Rev!C$1,'Dividendos Extranjero'!$C:$C,"&lt;="&amp;EOMONTH(Rev!C$1,0))</f>
        <v>0</v>
      </c>
      <c r="D100" s="423">
        <f>+SUMIFS('Dividendos Extranjero'!$I:$I,'Dividendos Extranjero'!$B:$B,Rev!$A100,'Dividendos Extranjero'!$C:$C,"&gt;="&amp;Rev!D$1,'Dividendos Extranjero'!$C:$C,"&lt;="&amp;EOMONTH(Rev!D$1,0))</f>
        <v>0</v>
      </c>
      <c r="E100" s="423">
        <f>+SUMIFS('Dividendos Extranjero'!$I:$I,'Dividendos Extranjero'!$B:$B,Rev!$A100,'Dividendos Extranjero'!$C:$C,"&gt;="&amp;Rev!E$1,'Dividendos Extranjero'!$C:$C,"&lt;="&amp;EOMONTH(Rev!E$1,0))</f>
        <v>0</v>
      </c>
      <c r="F100" s="423">
        <f>+SUMIFS('Dividendos Extranjero'!$I:$I,'Dividendos Extranjero'!$B:$B,Rev!$A100,'Dividendos Extranjero'!$C:$C,"&gt;="&amp;Rev!F$1,'Dividendos Extranjero'!$C:$C,"&lt;="&amp;EOMONTH(Rev!F$1,0))</f>
        <v>0</v>
      </c>
      <c r="G100" s="423">
        <f>+SUMIFS('Dividendos Extranjero'!$I:$I,'Dividendos Extranjero'!$B:$B,Rev!$A100,'Dividendos Extranjero'!$C:$C,"&gt;="&amp;Rev!G$1,'Dividendos Extranjero'!$C:$C,"&lt;="&amp;EOMONTH(Rev!G$1,0))</f>
        <v>0</v>
      </c>
      <c r="H100" s="423">
        <f>+SUMIFS('Dividendos Extranjero'!$I:$I,'Dividendos Extranjero'!$B:$B,Rev!$A100,'Dividendos Extranjero'!$C:$C,"&gt;="&amp;Rev!H$1,'Dividendos Extranjero'!$C:$C,"&lt;="&amp;EOMONTH(Rev!H$1,0))</f>
        <v>0</v>
      </c>
      <c r="I100" s="423">
        <f>+SUMIFS('Dividendos Extranjero'!$I:$I,'Dividendos Extranjero'!$B:$B,Rev!$A100,'Dividendos Extranjero'!$C:$C,"&gt;="&amp;Rev!I$1,'Dividendos Extranjero'!$C:$C,"&lt;="&amp;EOMONTH(Rev!I$1,0))</f>
        <v>0</v>
      </c>
      <c r="J100" s="423">
        <f>+SUMIFS('Dividendos Extranjero'!$I:$I,'Dividendos Extranjero'!$B:$B,Rev!$A100,'Dividendos Extranjero'!$C:$C,"&gt;="&amp;Rev!J$1,'Dividendos Extranjero'!$C:$C,"&lt;="&amp;EOMONTH(Rev!J$1,0))</f>
        <v>0</v>
      </c>
      <c r="K100" s="423">
        <f>+SUMIFS('Dividendos Extranjero'!$I:$I,'Dividendos Extranjero'!$B:$B,Rev!$A100,'Dividendos Extranjero'!$C:$C,"&gt;="&amp;Rev!K$1,'Dividendos Extranjero'!$C:$C,"&lt;="&amp;EOMONTH(Rev!K$1,0))</f>
        <v>0</v>
      </c>
      <c r="L100" s="423">
        <f>+SUMIFS('Dividendos Extranjero'!$I:$I,'Dividendos Extranjero'!$B:$B,Rev!$A100,'Dividendos Extranjero'!$C:$C,"&gt;="&amp;Rev!L$1,'Dividendos Extranjero'!$C:$C,"&lt;="&amp;EOMONTH(Rev!L$1,0))</f>
        <v>0</v>
      </c>
      <c r="M100" s="423">
        <f>+SUMIFS('Dividendos Extranjero'!$I:$I,'Dividendos Extranjero'!$B:$B,Rev!$A100,'Dividendos Extranjero'!$C:$C,"&gt;="&amp;Rev!M$1,'Dividendos Extranjero'!$C:$C,"&lt;="&amp;EOMONTH(Rev!M$1,0))</f>
        <v>0</v>
      </c>
      <c r="N100" s="423">
        <f>+SUMIFS('Dividendos Extranjero'!$I:$I,'Dividendos Extranjero'!$B:$B,Rev!$A100,'Dividendos Extranjero'!$C:$C,"&gt;="&amp;Rev!N$1,'Dividendos Extranjero'!$C:$C,"&lt;="&amp;EOMONTH(Rev!N$1,0))</f>
        <v>0</v>
      </c>
      <c r="O100" s="423">
        <f t="shared" si="27"/>
        <v>0</v>
      </c>
    </row>
    <row r="101" spans="1:15" ht="17.100000000000001">
      <c r="A101" s="416"/>
      <c r="B101" s="426" t="s">
        <v>824</v>
      </c>
      <c r="C101" s="427">
        <f>SUM(C90:C100)</f>
        <v>2171.5099999999998</v>
      </c>
      <c r="D101" s="427">
        <f t="shared" ref="D101:O101" si="28">SUM(D90:D100)</f>
        <v>4840.4447650000002</v>
      </c>
      <c r="E101" s="427">
        <f t="shared" si="28"/>
        <v>4801.92</v>
      </c>
      <c r="F101" s="427">
        <f t="shared" si="28"/>
        <v>3448.2299999999996</v>
      </c>
      <c r="G101" s="427">
        <f t="shared" si="28"/>
        <v>6385.0499999999993</v>
      </c>
      <c r="H101" s="427">
        <f t="shared" si="28"/>
        <v>6510.2199999999984</v>
      </c>
      <c r="I101" s="427">
        <f t="shared" si="28"/>
        <v>2370.27</v>
      </c>
      <c r="J101" s="427">
        <f t="shared" si="28"/>
        <v>6205.2355040000002</v>
      </c>
      <c r="K101" s="427">
        <f t="shared" si="28"/>
        <v>10465.5</v>
      </c>
      <c r="L101" s="427">
        <f t="shared" si="28"/>
        <v>3131.9900000000002</v>
      </c>
      <c r="M101" s="427">
        <f t="shared" si="28"/>
        <v>1818.5700000000002</v>
      </c>
      <c r="N101" s="427">
        <f t="shared" si="28"/>
        <v>12735.519999999999</v>
      </c>
      <c r="O101" s="427">
        <f t="shared" si="28"/>
        <v>64884.460268999996</v>
      </c>
    </row>
    <row r="102" spans="1:15" ht="17.100000000000001">
      <c r="A102" s="416"/>
      <c r="B102" s="420" t="s">
        <v>796</v>
      </c>
      <c r="C102" s="423"/>
      <c r="D102" s="423"/>
      <c r="E102" s="423"/>
      <c r="F102" s="423"/>
      <c r="G102" s="423"/>
      <c r="H102" s="423"/>
      <c r="I102" s="423"/>
      <c r="J102" s="423"/>
      <c r="K102" s="423"/>
      <c r="L102" s="423"/>
      <c r="M102" s="423"/>
      <c r="N102" s="423"/>
      <c r="O102" s="423"/>
    </row>
    <row r="103" spans="1:15" ht="17.100000000000001">
      <c r="A103" s="416"/>
      <c r="B103" s="420" t="s">
        <v>825</v>
      </c>
      <c r="C103" s="423"/>
      <c r="D103" s="423"/>
      <c r="E103" s="423"/>
      <c r="F103" s="423"/>
      <c r="G103" s="423"/>
      <c r="H103" s="423"/>
      <c r="I103" s="423"/>
      <c r="J103" s="423"/>
      <c r="K103" s="423"/>
      <c r="L103" s="423"/>
      <c r="M103" s="423"/>
      <c r="N103" s="423"/>
      <c r="O103" s="423"/>
    </row>
    <row r="104" spans="1:15" ht="17.100000000000001">
      <c r="A104" s="425">
        <f>+A90</f>
        <v>1175000</v>
      </c>
      <c r="B104" s="452" t="str">
        <f>+CONCATENATE("        Retenciones sobre Div off Shore - ",A104)</f>
        <v xml:space="preserve">        Retenciones sobre Div off Shore - 1175000</v>
      </c>
      <c r="C104" s="432">
        <f>+SUMIFS('Div Extranjero - Retención'!$H:$H,'Div Extranjero - Retención'!$B:$B,Rev!$A104,'Div Extranjero - Retención'!$C:$C,"&gt;="&amp;Rev!C$1,'Div Extranjero - Retención'!$C:$C,"&lt;="&amp;EOMONTH(Rev!C$1,0))</f>
        <v>0</v>
      </c>
      <c r="D104" s="432">
        <f>+SUMIFS('Div Extranjero - Retención'!$H:$H,'Div Extranjero - Retención'!$B:$B,Rev!$A104,'Div Extranjero - Retención'!$C:$C,"&gt;="&amp;Rev!D$1,'Div Extranjero - Retención'!$C:$C,"&lt;="&amp;EOMONTH(Rev!D$1,0))</f>
        <v>0</v>
      </c>
      <c r="E104" s="432">
        <f>+SUMIFS('Div Extranjero - Retención'!$H:$H,'Div Extranjero - Retención'!$B:$B,Rev!$A104,'Div Extranjero - Retención'!$C:$C,"&gt;="&amp;Rev!E$1,'Div Extranjero - Retención'!$C:$C,"&lt;="&amp;EOMONTH(Rev!E$1,0))</f>
        <v>0</v>
      </c>
      <c r="F104" s="432">
        <f>+SUMIFS('Div Extranjero - Retención'!$H:$H,'Div Extranjero - Retención'!$B:$B,Rev!$A104,'Div Extranjero - Retención'!$C:$C,"&gt;="&amp;Rev!F$1,'Div Extranjero - Retención'!$C:$C,"&lt;="&amp;EOMONTH(Rev!F$1,0))</f>
        <v>0</v>
      </c>
      <c r="G104" s="432">
        <f>+SUMIFS('Div Extranjero - Retención'!$H:$H,'Div Extranjero - Retención'!$B:$B,Rev!$A104,'Div Extranjero - Retención'!$C:$C,"&gt;="&amp;Rev!G$1,'Div Extranjero - Retención'!$C:$C,"&lt;="&amp;EOMONTH(Rev!G$1,0))</f>
        <v>0</v>
      </c>
      <c r="H104" s="432">
        <f>+SUMIFS('Div Extranjero - Retención'!$H:$H,'Div Extranjero - Retención'!$B:$B,Rev!$A104,'Div Extranjero - Retención'!$C:$C,"&gt;="&amp;Rev!H$1,'Div Extranjero - Retención'!$C:$C,"&lt;="&amp;EOMONTH(Rev!H$1,0))</f>
        <v>0</v>
      </c>
      <c r="I104" s="432">
        <f>+SUMIFS('Div Extranjero - Retención'!$H:$H,'Div Extranjero - Retención'!$B:$B,Rev!$A104,'Div Extranjero - Retención'!$C:$C,"&gt;="&amp;Rev!I$1,'Div Extranjero - Retención'!$C:$C,"&lt;="&amp;EOMONTH(Rev!I$1,0))</f>
        <v>0</v>
      </c>
      <c r="J104" s="432">
        <f>+SUMIFS('Div Extranjero - Retención'!$H:$H,'Div Extranjero - Retención'!$B:$B,Rev!$A104,'Div Extranjero - Retención'!$C:$C,"&gt;="&amp;Rev!J$1,'Div Extranjero - Retención'!$C:$C,"&lt;="&amp;EOMONTH(Rev!J$1,0))</f>
        <v>0</v>
      </c>
      <c r="K104" s="432">
        <f>+SUMIFS('Div Extranjero - Retención'!$H:$H,'Div Extranjero - Retención'!$B:$B,Rev!$A104,'Div Extranjero - Retención'!$C:$C,"&gt;="&amp;Rev!K$1,'Div Extranjero - Retención'!$C:$C,"&lt;="&amp;EOMONTH(Rev!K$1,0))</f>
        <v>0</v>
      </c>
      <c r="L104" s="432">
        <f>+SUMIFS('Div Extranjero - Retención'!$H:$H,'Div Extranjero - Retención'!$B:$B,Rev!$A104,'Div Extranjero - Retención'!$C:$C,"&gt;="&amp;Rev!L$1,'Div Extranjero - Retención'!$C:$C,"&lt;="&amp;EOMONTH(Rev!L$1,0))</f>
        <v>0</v>
      </c>
      <c r="M104" s="432">
        <f>+SUMIFS('Div Extranjero - Retención'!$H:$H,'Div Extranjero - Retención'!$B:$B,Rev!$A104,'Div Extranjero - Retención'!$C:$C,"&gt;="&amp;Rev!M$1,'Div Extranjero - Retención'!$C:$C,"&lt;="&amp;EOMONTH(Rev!M$1,0))</f>
        <v>0</v>
      </c>
      <c r="N104" s="432">
        <f>+SUMIFS('Div Extranjero - Retención'!$H:$H,'Div Extranjero - Retención'!$B:$B,Rev!$A104,'Div Extranjero - Retención'!$C:$C,"&gt;="&amp;Rev!N$1,'Div Extranjero - Retención'!$C:$C,"&lt;="&amp;EOMONTH(Rev!N$1,0))</f>
        <v>0</v>
      </c>
      <c r="O104" s="423">
        <f>SUM(C104:N104)</f>
        <v>0</v>
      </c>
    </row>
    <row r="105" spans="1:15" ht="17.100000000000001">
      <c r="A105" s="425">
        <f t="shared" ref="A105:A114" si="29">+A91</f>
        <v>1179000</v>
      </c>
      <c r="B105" s="452" t="str">
        <f t="shared" ref="B105:B114" si="30">+CONCATENATE("        Retenciones sobre Div off Shore - ",A105)</f>
        <v xml:space="preserve">        Retenciones sobre Div off Shore - 1179000</v>
      </c>
      <c r="C105" s="432">
        <f>+SUMIFS('Div Extranjero - Retención'!$H:$H,'Div Extranjero - Retención'!$B:$B,Rev!$A105,'Div Extranjero - Retención'!$C:$C,"&gt;="&amp;Rev!C$1,'Div Extranjero - Retención'!$C:$C,"&lt;="&amp;EOMONTH(Rev!C$1,0))</f>
        <v>0</v>
      </c>
      <c r="D105" s="432">
        <f>+SUMIFS('Div Extranjero - Retención'!$H:$H,'Div Extranjero - Retención'!$B:$B,Rev!$A105,'Div Extranjero - Retención'!$C:$C,"&gt;="&amp;Rev!D$1,'Div Extranjero - Retención'!$C:$C,"&lt;="&amp;EOMONTH(Rev!D$1,0))</f>
        <v>0</v>
      </c>
      <c r="E105" s="432">
        <f>+SUMIFS('Div Extranjero - Retención'!$H:$H,'Div Extranjero - Retención'!$B:$B,Rev!$A105,'Div Extranjero - Retención'!$C:$C,"&gt;="&amp;Rev!E$1,'Div Extranjero - Retención'!$C:$C,"&lt;="&amp;EOMONTH(Rev!E$1,0))</f>
        <v>0</v>
      </c>
      <c r="F105" s="432">
        <f>+SUMIFS('Div Extranjero - Retención'!$H:$H,'Div Extranjero - Retención'!$B:$B,Rev!$A105,'Div Extranjero - Retención'!$C:$C,"&gt;="&amp;Rev!F$1,'Div Extranjero - Retención'!$C:$C,"&lt;="&amp;EOMONTH(Rev!F$1,0))</f>
        <v>0</v>
      </c>
      <c r="G105" s="432">
        <f>+SUMIFS('Div Extranjero - Retención'!$H:$H,'Div Extranjero - Retención'!$B:$B,Rev!$A105,'Div Extranjero - Retención'!$C:$C,"&gt;="&amp;Rev!G$1,'Div Extranjero - Retención'!$C:$C,"&lt;="&amp;EOMONTH(Rev!G$1,0))</f>
        <v>0</v>
      </c>
      <c r="H105" s="432">
        <f>+SUMIFS('Div Extranjero - Retención'!$H:$H,'Div Extranjero - Retención'!$B:$B,Rev!$A105,'Div Extranjero - Retención'!$C:$C,"&gt;="&amp;Rev!H$1,'Div Extranjero - Retención'!$C:$C,"&lt;="&amp;EOMONTH(Rev!H$1,0))</f>
        <v>0</v>
      </c>
      <c r="I105" s="432">
        <f>+SUMIFS('Div Extranjero - Retención'!$H:$H,'Div Extranjero - Retención'!$B:$B,Rev!$A105,'Div Extranjero - Retención'!$C:$C,"&gt;="&amp;Rev!I$1,'Div Extranjero - Retención'!$C:$C,"&lt;="&amp;EOMONTH(Rev!I$1,0))</f>
        <v>0</v>
      </c>
      <c r="J105" s="432">
        <f>+SUMIFS('Div Extranjero - Retención'!$H:$H,'Div Extranjero - Retención'!$B:$B,Rev!$A105,'Div Extranjero - Retención'!$C:$C,"&gt;="&amp;Rev!J$1,'Div Extranjero - Retención'!$C:$C,"&lt;="&amp;EOMONTH(Rev!J$1,0))</f>
        <v>0</v>
      </c>
      <c r="K105" s="432">
        <f>+SUMIFS('Div Extranjero - Retención'!$H:$H,'Div Extranjero - Retención'!$B:$B,Rev!$A105,'Div Extranjero - Retención'!$C:$C,"&gt;="&amp;Rev!K$1,'Div Extranjero - Retención'!$C:$C,"&lt;="&amp;EOMONTH(Rev!K$1,0))</f>
        <v>0</v>
      </c>
      <c r="L105" s="432">
        <f>+SUMIFS('Div Extranjero - Retención'!$H:$H,'Div Extranjero - Retención'!$B:$B,Rev!$A105,'Div Extranjero - Retención'!$C:$C,"&gt;="&amp;Rev!L$1,'Div Extranjero - Retención'!$C:$C,"&lt;="&amp;EOMONTH(Rev!L$1,0))</f>
        <v>0</v>
      </c>
      <c r="M105" s="432">
        <f>+SUMIFS('Div Extranjero - Retención'!$H:$H,'Div Extranjero - Retención'!$B:$B,Rev!$A105,'Div Extranjero - Retención'!$C:$C,"&gt;="&amp;Rev!M$1,'Div Extranjero - Retención'!$C:$C,"&lt;="&amp;EOMONTH(Rev!M$1,0))</f>
        <v>0</v>
      </c>
      <c r="N105" s="432">
        <f>+SUMIFS('Div Extranjero - Retención'!$H:$H,'Div Extranjero - Retención'!$B:$B,Rev!$A105,'Div Extranjero - Retención'!$C:$C,"&gt;="&amp;Rev!N$1,'Div Extranjero - Retención'!$C:$C,"&lt;="&amp;EOMONTH(Rev!N$1,0))</f>
        <v>0</v>
      </c>
      <c r="O105" s="423">
        <f>SUM(C105:N105)</f>
        <v>0</v>
      </c>
    </row>
    <row r="106" spans="1:15" ht="17.100000000000001">
      <c r="A106" s="425">
        <f t="shared" si="29"/>
        <v>1427200</v>
      </c>
      <c r="B106" s="452" t="str">
        <f t="shared" si="30"/>
        <v xml:space="preserve">        Retenciones sobre Div off Shore - 1427200</v>
      </c>
      <c r="C106" s="432">
        <f>+SUMIFS('Div Extranjero - Retención'!$H:$H,'Div Extranjero - Retención'!$B:$B,Rev!$A106,'Div Extranjero - Retención'!$C:$C,"&gt;="&amp;Rev!C$1,'Div Extranjero - Retención'!$C:$C,"&lt;="&amp;EOMONTH(Rev!C$1,0))</f>
        <v>0</v>
      </c>
      <c r="D106" s="432">
        <f>+SUMIFS('Div Extranjero - Retención'!$H:$H,'Div Extranjero - Retención'!$B:$B,Rev!$A106,'Div Extranjero - Retención'!$C:$C,"&gt;="&amp;Rev!D$1,'Div Extranjero - Retención'!$C:$C,"&lt;="&amp;EOMONTH(Rev!D$1,0))</f>
        <v>0</v>
      </c>
      <c r="E106" s="432">
        <f>+SUMIFS('Div Extranjero - Retención'!$H:$H,'Div Extranjero - Retención'!$B:$B,Rev!$A106,'Div Extranjero - Retención'!$C:$C,"&gt;="&amp;Rev!E$1,'Div Extranjero - Retención'!$C:$C,"&lt;="&amp;EOMONTH(Rev!E$1,0))</f>
        <v>0</v>
      </c>
      <c r="F106" s="432">
        <f>+SUMIFS('Div Extranjero - Retención'!$H:$H,'Div Extranjero - Retención'!$B:$B,Rev!$A106,'Div Extranjero - Retención'!$C:$C,"&gt;="&amp;Rev!F$1,'Div Extranjero - Retención'!$C:$C,"&lt;="&amp;EOMONTH(Rev!F$1,0))</f>
        <v>0</v>
      </c>
      <c r="G106" s="432">
        <f>+SUMIFS('Div Extranjero - Retención'!$H:$H,'Div Extranjero - Retención'!$B:$B,Rev!$A106,'Div Extranjero - Retención'!$C:$C,"&gt;="&amp;Rev!G$1,'Div Extranjero - Retención'!$C:$C,"&lt;="&amp;EOMONTH(Rev!G$1,0))</f>
        <v>0</v>
      </c>
      <c r="H106" s="432">
        <f>+SUMIFS('Div Extranjero - Retención'!$H:$H,'Div Extranjero - Retención'!$B:$B,Rev!$A106,'Div Extranjero - Retención'!$C:$C,"&gt;="&amp;Rev!H$1,'Div Extranjero - Retención'!$C:$C,"&lt;="&amp;EOMONTH(Rev!H$1,0))</f>
        <v>0</v>
      </c>
      <c r="I106" s="432">
        <f>+SUMIFS('Div Extranjero - Retención'!$H:$H,'Div Extranjero - Retención'!$B:$B,Rev!$A106,'Div Extranjero - Retención'!$C:$C,"&gt;="&amp;Rev!I$1,'Div Extranjero - Retención'!$C:$C,"&lt;="&amp;EOMONTH(Rev!I$1,0))</f>
        <v>0</v>
      </c>
      <c r="J106" s="432">
        <f>+SUMIFS('Div Extranjero - Retención'!$H:$H,'Div Extranjero - Retención'!$B:$B,Rev!$A106,'Div Extranjero - Retención'!$C:$C,"&gt;="&amp;Rev!J$1,'Div Extranjero - Retención'!$C:$C,"&lt;="&amp;EOMONTH(Rev!J$1,0))</f>
        <v>0</v>
      </c>
      <c r="K106" s="432">
        <f>+SUMIFS('Div Extranjero - Retención'!$H:$H,'Div Extranjero - Retención'!$B:$B,Rev!$A106,'Div Extranjero - Retención'!$C:$C,"&gt;="&amp;Rev!K$1,'Div Extranjero - Retención'!$C:$C,"&lt;="&amp;EOMONTH(Rev!K$1,0))</f>
        <v>0</v>
      </c>
      <c r="L106" s="432">
        <f>+SUMIFS('Div Extranjero - Retención'!$H:$H,'Div Extranjero - Retención'!$B:$B,Rev!$A106,'Div Extranjero - Retención'!$C:$C,"&gt;="&amp;Rev!L$1,'Div Extranjero - Retención'!$C:$C,"&lt;="&amp;EOMONTH(Rev!L$1,0))</f>
        <v>0</v>
      </c>
      <c r="M106" s="432">
        <f>+SUMIFS('Div Extranjero - Retención'!$H:$H,'Div Extranjero - Retención'!$B:$B,Rev!$A106,'Div Extranjero - Retención'!$C:$C,"&gt;="&amp;Rev!M$1,'Div Extranjero - Retención'!$C:$C,"&lt;="&amp;EOMONTH(Rev!M$1,0))</f>
        <v>0</v>
      </c>
      <c r="N106" s="432">
        <f>+SUMIFS('Div Extranjero - Retención'!$H:$H,'Div Extranjero - Retención'!$B:$B,Rev!$A106,'Div Extranjero - Retención'!$C:$C,"&gt;="&amp;Rev!N$1,'Div Extranjero - Retención'!$C:$C,"&lt;="&amp;EOMONTH(Rev!N$1,0))</f>
        <v>0</v>
      </c>
      <c r="O106" s="423">
        <f t="shared" ref="O106:O114" si="31">SUM(C106:N106)</f>
        <v>0</v>
      </c>
    </row>
    <row r="107" spans="1:15" ht="17.100000000000001">
      <c r="A107" s="425" t="str">
        <f t="shared" si="29"/>
        <v>B22235000</v>
      </c>
      <c r="B107" s="452" t="str">
        <f t="shared" si="30"/>
        <v xml:space="preserve">        Retenciones sobre Div off Shore - B22235000</v>
      </c>
      <c r="C107" s="432">
        <f>+SUMIFS('Div Extranjero - Retención'!$H:$H,'Div Extranjero - Retención'!$B:$B,Rev!$A107,'Div Extranjero - Retención'!$C:$C,"&gt;="&amp;Rev!C$1,'Div Extranjero - Retención'!$C:$C,"&lt;="&amp;EOMONTH(Rev!C$1,0))</f>
        <v>0</v>
      </c>
      <c r="D107" s="432">
        <f>+SUMIFS('Div Extranjero - Retención'!$H:$H,'Div Extranjero - Retención'!$B:$B,Rev!$A107,'Div Extranjero - Retención'!$C:$C,"&gt;="&amp;Rev!D$1,'Div Extranjero - Retención'!$C:$C,"&lt;="&amp;EOMONTH(Rev!D$1,0))</f>
        <v>0</v>
      </c>
      <c r="E107" s="432">
        <f>+SUMIFS('Div Extranjero - Retención'!$H:$H,'Div Extranjero - Retención'!$B:$B,Rev!$A107,'Div Extranjero - Retención'!$C:$C,"&gt;="&amp;Rev!E$1,'Div Extranjero - Retención'!$C:$C,"&lt;="&amp;EOMONTH(Rev!E$1,0))</f>
        <v>0</v>
      </c>
      <c r="F107" s="432">
        <f>+SUMIFS('Div Extranjero - Retención'!$H:$H,'Div Extranjero - Retención'!$B:$B,Rev!$A107,'Div Extranjero - Retención'!$C:$C,"&gt;="&amp;Rev!F$1,'Div Extranjero - Retención'!$C:$C,"&lt;="&amp;EOMONTH(Rev!F$1,0))</f>
        <v>0</v>
      </c>
      <c r="G107" s="432">
        <f>+SUMIFS('Div Extranjero - Retención'!$H:$H,'Div Extranjero - Retención'!$B:$B,Rev!$A107,'Div Extranjero - Retención'!$C:$C,"&gt;="&amp;Rev!G$1,'Div Extranjero - Retención'!$C:$C,"&lt;="&amp;EOMONTH(Rev!G$1,0))</f>
        <v>0</v>
      </c>
      <c r="H107" s="432">
        <f>+SUMIFS('Div Extranjero - Retención'!$H:$H,'Div Extranjero - Retención'!$B:$B,Rev!$A107,'Div Extranjero - Retención'!$C:$C,"&gt;="&amp;Rev!H$1,'Div Extranjero - Retención'!$C:$C,"&lt;="&amp;EOMONTH(Rev!H$1,0))</f>
        <v>0</v>
      </c>
      <c r="I107" s="432">
        <f>+SUMIFS('Div Extranjero - Retención'!$H:$H,'Div Extranjero - Retención'!$B:$B,Rev!$A107,'Div Extranjero - Retención'!$C:$C,"&gt;="&amp;Rev!I$1,'Div Extranjero - Retención'!$C:$C,"&lt;="&amp;EOMONTH(Rev!I$1,0))</f>
        <v>0</v>
      </c>
      <c r="J107" s="432">
        <f>+SUMIFS('Div Extranjero - Retención'!$H:$H,'Div Extranjero - Retención'!$B:$B,Rev!$A107,'Div Extranjero - Retención'!$C:$C,"&gt;="&amp;Rev!J$1,'Div Extranjero - Retención'!$C:$C,"&lt;="&amp;EOMONTH(Rev!J$1,0))</f>
        <v>0</v>
      </c>
      <c r="K107" s="432">
        <f>+SUMIFS('Div Extranjero - Retención'!$H:$H,'Div Extranjero - Retención'!$B:$B,Rev!$A107,'Div Extranjero - Retención'!$C:$C,"&gt;="&amp;Rev!K$1,'Div Extranjero - Retención'!$C:$C,"&lt;="&amp;EOMONTH(Rev!K$1,0))</f>
        <v>0</v>
      </c>
      <c r="L107" s="432">
        <f>+SUMIFS('Div Extranjero - Retención'!$H:$H,'Div Extranjero - Retención'!$B:$B,Rev!$A107,'Div Extranjero - Retención'!$C:$C,"&gt;="&amp;Rev!L$1,'Div Extranjero - Retención'!$C:$C,"&lt;="&amp;EOMONTH(Rev!L$1,0))</f>
        <v>0</v>
      </c>
      <c r="M107" s="432">
        <f>+SUMIFS('Div Extranjero - Retención'!$H:$H,'Div Extranjero - Retención'!$B:$B,Rev!$A107,'Div Extranjero - Retención'!$C:$C,"&gt;="&amp;Rev!M$1,'Div Extranjero - Retención'!$C:$C,"&lt;="&amp;EOMONTH(Rev!M$1,0))</f>
        <v>0</v>
      </c>
      <c r="N107" s="432">
        <f>+SUMIFS('Div Extranjero - Retención'!$H:$H,'Div Extranjero - Retención'!$B:$B,Rev!$A107,'Div Extranjero - Retención'!$C:$C,"&gt;="&amp;Rev!N$1,'Div Extranjero - Retención'!$C:$C,"&lt;="&amp;EOMONTH(Rev!N$1,0))</f>
        <v>0</v>
      </c>
      <c r="O107" s="423">
        <f t="shared" si="31"/>
        <v>0</v>
      </c>
    </row>
    <row r="108" spans="1:15" ht="17.100000000000001">
      <c r="A108" s="425">
        <f t="shared" si="29"/>
        <v>700833580</v>
      </c>
      <c r="B108" s="452" t="str">
        <f t="shared" si="30"/>
        <v xml:space="preserve">        Retenciones sobre Div off Shore - 700833580</v>
      </c>
      <c r="C108" s="432">
        <f>+SUMIFS('Div Extranjero - Retención'!$H:$H,'Div Extranjero - Retención'!$B:$B,Rev!$A108,'Div Extranjero - Retención'!$C:$C,"&gt;="&amp;Rev!C$1,'Div Extranjero - Retención'!$C:$C,"&lt;="&amp;EOMONTH(Rev!C$1,0))</f>
        <v>0</v>
      </c>
      <c r="D108" s="432">
        <f>+SUMIFS('Div Extranjero - Retención'!$H:$H,'Div Extranjero - Retención'!$B:$B,Rev!$A108,'Div Extranjero - Retención'!$C:$C,"&gt;="&amp;Rev!D$1,'Div Extranjero - Retención'!$C:$C,"&lt;="&amp;EOMONTH(Rev!D$1,0))</f>
        <v>0</v>
      </c>
      <c r="E108" s="432">
        <f>+SUMIFS('Div Extranjero - Retención'!$H:$H,'Div Extranjero - Retención'!$B:$B,Rev!$A108,'Div Extranjero - Retención'!$C:$C,"&gt;="&amp;Rev!E$1,'Div Extranjero - Retención'!$C:$C,"&lt;="&amp;EOMONTH(Rev!E$1,0))</f>
        <v>0</v>
      </c>
      <c r="F108" s="432">
        <f>+SUMIFS('Div Extranjero - Retención'!$H:$H,'Div Extranjero - Retención'!$B:$B,Rev!$A108,'Div Extranjero - Retención'!$C:$C,"&gt;="&amp;Rev!F$1,'Div Extranjero - Retención'!$C:$C,"&lt;="&amp;EOMONTH(Rev!F$1,0))</f>
        <v>0</v>
      </c>
      <c r="G108" s="432">
        <f>+SUMIFS('Div Extranjero - Retención'!$H:$H,'Div Extranjero - Retención'!$B:$B,Rev!$A108,'Div Extranjero - Retención'!$C:$C,"&gt;="&amp;Rev!G$1,'Div Extranjero - Retención'!$C:$C,"&lt;="&amp;EOMONTH(Rev!G$1,0))</f>
        <v>0</v>
      </c>
      <c r="H108" s="432">
        <f>+SUMIFS('Div Extranjero - Retención'!$H:$H,'Div Extranjero - Retención'!$B:$B,Rev!$A108,'Div Extranjero - Retención'!$C:$C,"&gt;="&amp;Rev!H$1,'Div Extranjero - Retención'!$C:$C,"&lt;="&amp;EOMONTH(Rev!H$1,0))</f>
        <v>0</v>
      </c>
      <c r="I108" s="432">
        <f>+SUMIFS('Div Extranjero - Retención'!$H:$H,'Div Extranjero - Retención'!$B:$B,Rev!$A108,'Div Extranjero - Retención'!$C:$C,"&gt;="&amp;Rev!I$1,'Div Extranjero - Retención'!$C:$C,"&lt;="&amp;EOMONTH(Rev!I$1,0))</f>
        <v>0</v>
      </c>
      <c r="J108" s="432">
        <f>+SUMIFS('Div Extranjero - Retención'!$H:$H,'Div Extranjero - Retención'!$B:$B,Rev!$A108,'Div Extranjero - Retención'!$C:$C,"&gt;="&amp;Rev!J$1,'Div Extranjero - Retención'!$C:$C,"&lt;="&amp;EOMONTH(Rev!J$1,0))</f>
        <v>0</v>
      </c>
      <c r="K108" s="432">
        <f>+SUMIFS('Div Extranjero - Retención'!$H:$H,'Div Extranjero - Retención'!$B:$B,Rev!$A108,'Div Extranjero - Retención'!$C:$C,"&gt;="&amp;Rev!K$1,'Div Extranjero - Retención'!$C:$C,"&lt;="&amp;EOMONTH(Rev!K$1,0))</f>
        <v>0</v>
      </c>
      <c r="L108" s="432">
        <f>+SUMIFS('Div Extranjero - Retención'!$H:$H,'Div Extranjero - Retención'!$B:$B,Rev!$A108,'Div Extranjero - Retención'!$C:$C,"&gt;="&amp;Rev!L$1,'Div Extranjero - Retención'!$C:$C,"&lt;="&amp;EOMONTH(Rev!L$1,0))</f>
        <v>0</v>
      </c>
      <c r="M108" s="432">
        <f>+SUMIFS('Div Extranjero - Retención'!$H:$H,'Div Extranjero - Retención'!$B:$B,Rev!$A108,'Div Extranjero - Retención'!$C:$C,"&gt;="&amp;Rev!M$1,'Div Extranjero - Retención'!$C:$C,"&lt;="&amp;EOMONTH(Rev!M$1,0))</f>
        <v>0</v>
      </c>
      <c r="N108" s="432">
        <f>+SUMIFS('Div Extranjero - Retención'!$H:$H,'Div Extranjero - Retención'!$B:$B,Rev!$A108,'Div Extranjero - Retención'!$C:$C,"&gt;="&amp;Rev!N$1,'Div Extranjero - Retención'!$C:$C,"&lt;="&amp;EOMONTH(Rev!N$1,0))</f>
        <v>0</v>
      </c>
      <c r="O108" s="423">
        <f t="shared" si="31"/>
        <v>0</v>
      </c>
    </row>
    <row r="109" spans="1:15" ht="17.100000000000001">
      <c r="A109" s="425" t="str">
        <f t="shared" si="29"/>
        <v>F</v>
      </c>
      <c r="B109" s="452" t="str">
        <f t="shared" si="30"/>
        <v xml:space="preserve">        Retenciones sobre Div off Shore - F</v>
      </c>
      <c r="C109" s="432">
        <f>+SUMIFS('Div Extranjero - Retención'!$H:$H,'Div Extranjero - Retención'!$B:$B,Rev!$A109,'Div Extranjero - Retención'!$C:$C,"&gt;="&amp;Rev!C$1,'Div Extranjero - Retención'!$C:$C,"&lt;="&amp;EOMONTH(Rev!C$1,0))</f>
        <v>0</v>
      </c>
      <c r="D109" s="432">
        <f>+SUMIFS('Div Extranjero - Retención'!$H:$H,'Div Extranjero - Retención'!$B:$B,Rev!$A109,'Div Extranjero - Retención'!$C:$C,"&gt;="&amp;Rev!D$1,'Div Extranjero - Retención'!$C:$C,"&lt;="&amp;EOMONTH(Rev!D$1,0))</f>
        <v>0</v>
      </c>
      <c r="E109" s="432">
        <f>+SUMIFS('Div Extranjero - Retención'!$H:$H,'Div Extranjero - Retención'!$B:$B,Rev!$A109,'Div Extranjero - Retención'!$C:$C,"&gt;="&amp;Rev!E$1,'Div Extranjero - Retención'!$C:$C,"&lt;="&amp;EOMONTH(Rev!E$1,0))</f>
        <v>0</v>
      </c>
      <c r="F109" s="432">
        <f>+SUMIFS('Div Extranjero - Retención'!$H:$H,'Div Extranjero - Retención'!$B:$B,Rev!$A109,'Div Extranjero - Retención'!$C:$C,"&gt;="&amp;Rev!F$1,'Div Extranjero - Retención'!$C:$C,"&lt;="&amp;EOMONTH(Rev!F$1,0))</f>
        <v>0</v>
      </c>
      <c r="G109" s="432">
        <f>+SUMIFS('Div Extranjero - Retención'!$H:$H,'Div Extranjero - Retención'!$B:$B,Rev!$A109,'Div Extranjero - Retención'!$C:$C,"&gt;="&amp;Rev!G$1,'Div Extranjero - Retención'!$C:$C,"&lt;="&amp;EOMONTH(Rev!G$1,0))</f>
        <v>0</v>
      </c>
      <c r="H109" s="432">
        <f>+SUMIFS('Div Extranjero - Retención'!$H:$H,'Div Extranjero - Retención'!$B:$B,Rev!$A109,'Div Extranjero - Retención'!$C:$C,"&gt;="&amp;Rev!H$1,'Div Extranjero - Retención'!$C:$C,"&lt;="&amp;EOMONTH(Rev!H$1,0))</f>
        <v>0</v>
      </c>
      <c r="I109" s="432">
        <f>+SUMIFS('Div Extranjero - Retención'!$H:$H,'Div Extranjero - Retención'!$B:$B,Rev!$A109,'Div Extranjero - Retención'!$C:$C,"&gt;="&amp;Rev!I$1,'Div Extranjero - Retención'!$C:$C,"&lt;="&amp;EOMONTH(Rev!I$1,0))</f>
        <v>0</v>
      </c>
      <c r="J109" s="432">
        <f>+SUMIFS('Div Extranjero - Retención'!$H:$H,'Div Extranjero - Retención'!$B:$B,Rev!$A109,'Div Extranjero - Retención'!$C:$C,"&gt;="&amp;Rev!J$1,'Div Extranjero - Retención'!$C:$C,"&lt;="&amp;EOMONTH(Rev!J$1,0))</f>
        <v>0</v>
      </c>
      <c r="K109" s="432">
        <f>+SUMIFS('Div Extranjero - Retención'!$H:$H,'Div Extranjero - Retención'!$B:$B,Rev!$A109,'Div Extranjero - Retención'!$C:$C,"&gt;="&amp;Rev!K$1,'Div Extranjero - Retención'!$C:$C,"&lt;="&amp;EOMONTH(Rev!K$1,0))</f>
        <v>0</v>
      </c>
      <c r="L109" s="432">
        <f>+SUMIFS('Div Extranjero - Retención'!$H:$H,'Div Extranjero - Retención'!$B:$B,Rev!$A109,'Div Extranjero - Retención'!$C:$C,"&gt;="&amp;Rev!L$1,'Div Extranjero - Retención'!$C:$C,"&lt;="&amp;EOMONTH(Rev!L$1,0))</f>
        <v>0</v>
      </c>
      <c r="M109" s="432">
        <f>+SUMIFS('Div Extranjero - Retención'!$H:$H,'Div Extranjero - Retención'!$B:$B,Rev!$A109,'Div Extranjero - Retención'!$C:$C,"&gt;="&amp;Rev!M$1,'Div Extranjero - Retención'!$C:$C,"&lt;="&amp;EOMONTH(Rev!M$1,0))</f>
        <v>0</v>
      </c>
      <c r="N109" s="432">
        <f>+SUMIFS('Div Extranjero - Retención'!$H:$H,'Div Extranjero - Retención'!$B:$B,Rev!$A109,'Div Extranjero - Retención'!$C:$C,"&gt;="&amp;Rev!N$1,'Div Extranjero - Retención'!$C:$C,"&lt;="&amp;EOMONTH(Rev!N$1,0))</f>
        <v>0</v>
      </c>
      <c r="O109" s="423">
        <f t="shared" si="31"/>
        <v>0</v>
      </c>
    </row>
    <row r="110" spans="1:15" ht="17.100000000000001">
      <c r="A110" s="425" t="str">
        <f t="shared" si="29"/>
        <v>G</v>
      </c>
      <c r="B110" s="452" t="str">
        <f t="shared" si="30"/>
        <v xml:space="preserve">        Retenciones sobre Div off Shore - G</v>
      </c>
      <c r="C110" s="432">
        <f>+SUMIFS('Div Extranjero - Retención'!$H:$H,'Div Extranjero - Retención'!$B:$B,Rev!$A110,'Div Extranjero - Retención'!$C:$C,"&gt;="&amp;Rev!C$1,'Div Extranjero - Retención'!$C:$C,"&lt;="&amp;EOMONTH(Rev!C$1,0))</f>
        <v>0</v>
      </c>
      <c r="D110" s="432">
        <f>+SUMIFS('Div Extranjero - Retención'!$H:$H,'Div Extranjero - Retención'!$B:$B,Rev!$A110,'Div Extranjero - Retención'!$C:$C,"&gt;="&amp;Rev!D$1,'Div Extranjero - Retención'!$C:$C,"&lt;="&amp;EOMONTH(Rev!D$1,0))</f>
        <v>0</v>
      </c>
      <c r="E110" s="432">
        <f>+SUMIFS('Div Extranjero - Retención'!$H:$H,'Div Extranjero - Retención'!$B:$B,Rev!$A110,'Div Extranjero - Retención'!$C:$C,"&gt;="&amp;Rev!E$1,'Div Extranjero - Retención'!$C:$C,"&lt;="&amp;EOMONTH(Rev!E$1,0))</f>
        <v>0</v>
      </c>
      <c r="F110" s="432">
        <f>+SUMIFS('Div Extranjero - Retención'!$H:$H,'Div Extranjero - Retención'!$B:$B,Rev!$A110,'Div Extranjero - Retención'!$C:$C,"&gt;="&amp;Rev!F$1,'Div Extranjero - Retención'!$C:$C,"&lt;="&amp;EOMONTH(Rev!F$1,0))</f>
        <v>0</v>
      </c>
      <c r="G110" s="432">
        <f>+SUMIFS('Div Extranjero - Retención'!$H:$H,'Div Extranjero - Retención'!$B:$B,Rev!$A110,'Div Extranjero - Retención'!$C:$C,"&gt;="&amp;Rev!G$1,'Div Extranjero - Retención'!$C:$C,"&lt;="&amp;EOMONTH(Rev!G$1,0))</f>
        <v>0</v>
      </c>
      <c r="H110" s="432">
        <f>+SUMIFS('Div Extranjero - Retención'!$H:$H,'Div Extranjero - Retención'!$B:$B,Rev!$A110,'Div Extranjero - Retención'!$C:$C,"&gt;="&amp;Rev!H$1,'Div Extranjero - Retención'!$C:$C,"&lt;="&amp;EOMONTH(Rev!H$1,0))</f>
        <v>0</v>
      </c>
      <c r="I110" s="432">
        <f>+SUMIFS('Div Extranjero - Retención'!$H:$H,'Div Extranjero - Retención'!$B:$B,Rev!$A110,'Div Extranjero - Retención'!$C:$C,"&gt;="&amp;Rev!I$1,'Div Extranjero - Retención'!$C:$C,"&lt;="&amp;EOMONTH(Rev!I$1,0))</f>
        <v>0</v>
      </c>
      <c r="J110" s="432">
        <f>+SUMIFS('Div Extranjero - Retención'!$H:$H,'Div Extranjero - Retención'!$B:$B,Rev!$A110,'Div Extranjero - Retención'!$C:$C,"&gt;="&amp;Rev!J$1,'Div Extranjero - Retención'!$C:$C,"&lt;="&amp;EOMONTH(Rev!J$1,0))</f>
        <v>0</v>
      </c>
      <c r="K110" s="432">
        <f>+SUMIFS('Div Extranjero - Retención'!$H:$H,'Div Extranjero - Retención'!$B:$B,Rev!$A110,'Div Extranjero - Retención'!$C:$C,"&gt;="&amp;Rev!K$1,'Div Extranjero - Retención'!$C:$C,"&lt;="&amp;EOMONTH(Rev!K$1,0))</f>
        <v>0</v>
      </c>
      <c r="L110" s="432">
        <f>+SUMIFS('Div Extranjero - Retención'!$H:$H,'Div Extranjero - Retención'!$B:$B,Rev!$A110,'Div Extranjero - Retención'!$C:$C,"&gt;="&amp;Rev!L$1,'Div Extranjero - Retención'!$C:$C,"&lt;="&amp;EOMONTH(Rev!L$1,0))</f>
        <v>0</v>
      </c>
      <c r="M110" s="432">
        <f>+SUMIFS('Div Extranjero - Retención'!$H:$H,'Div Extranjero - Retención'!$B:$B,Rev!$A110,'Div Extranjero - Retención'!$C:$C,"&gt;="&amp;Rev!M$1,'Div Extranjero - Retención'!$C:$C,"&lt;="&amp;EOMONTH(Rev!M$1,0))</f>
        <v>0</v>
      </c>
      <c r="N110" s="432">
        <f>+SUMIFS('Div Extranjero - Retención'!$H:$H,'Div Extranjero - Retención'!$B:$B,Rev!$A110,'Div Extranjero - Retención'!$C:$C,"&gt;="&amp;Rev!N$1,'Div Extranjero - Retención'!$C:$C,"&lt;="&amp;EOMONTH(Rev!N$1,0))</f>
        <v>0</v>
      </c>
      <c r="O110" s="423">
        <f t="shared" si="31"/>
        <v>0</v>
      </c>
    </row>
    <row r="111" spans="1:15" ht="17.100000000000001">
      <c r="A111" s="425" t="str">
        <f t="shared" si="29"/>
        <v>H</v>
      </c>
      <c r="B111" s="452" t="str">
        <f t="shared" si="30"/>
        <v xml:space="preserve">        Retenciones sobre Div off Shore - H</v>
      </c>
      <c r="C111" s="432">
        <f>+SUMIFS('Div Extranjero - Retención'!$H:$H,'Div Extranjero - Retención'!$B:$B,Rev!$A111,'Div Extranjero - Retención'!$C:$C,"&gt;="&amp;Rev!C$1,'Div Extranjero - Retención'!$C:$C,"&lt;="&amp;EOMONTH(Rev!C$1,0))</f>
        <v>0</v>
      </c>
      <c r="D111" s="432">
        <f>+SUMIFS('Div Extranjero - Retención'!$H:$H,'Div Extranjero - Retención'!$B:$B,Rev!$A111,'Div Extranjero - Retención'!$C:$C,"&gt;="&amp;Rev!D$1,'Div Extranjero - Retención'!$C:$C,"&lt;="&amp;EOMONTH(Rev!D$1,0))</f>
        <v>0</v>
      </c>
      <c r="E111" s="432">
        <f>+SUMIFS('Div Extranjero - Retención'!$H:$H,'Div Extranjero - Retención'!$B:$B,Rev!$A111,'Div Extranjero - Retención'!$C:$C,"&gt;="&amp;Rev!E$1,'Div Extranjero - Retención'!$C:$C,"&lt;="&amp;EOMONTH(Rev!E$1,0))</f>
        <v>0</v>
      </c>
      <c r="F111" s="432">
        <f>+SUMIFS('Div Extranjero - Retención'!$H:$H,'Div Extranjero - Retención'!$B:$B,Rev!$A111,'Div Extranjero - Retención'!$C:$C,"&gt;="&amp;Rev!F$1,'Div Extranjero - Retención'!$C:$C,"&lt;="&amp;EOMONTH(Rev!F$1,0))</f>
        <v>0</v>
      </c>
      <c r="G111" s="432">
        <f>+SUMIFS('Div Extranjero - Retención'!$H:$H,'Div Extranjero - Retención'!$B:$B,Rev!$A111,'Div Extranjero - Retención'!$C:$C,"&gt;="&amp;Rev!G$1,'Div Extranjero - Retención'!$C:$C,"&lt;="&amp;EOMONTH(Rev!G$1,0))</f>
        <v>0</v>
      </c>
      <c r="H111" s="432">
        <f>+SUMIFS('Div Extranjero - Retención'!$H:$H,'Div Extranjero - Retención'!$B:$B,Rev!$A111,'Div Extranjero - Retención'!$C:$C,"&gt;="&amp;Rev!H$1,'Div Extranjero - Retención'!$C:$C,"&lt;="&amp;EOMONTH(Rev!H$1,0))</f>
        <v>0</v>
      </c>
      <c r="I111" s="432">
        <f>+SUMIFS('Div Extranjero - Retención'!$H:$H,'Div Extranjero - Retención'!$B:$B,Rev!$A111,'Div Extranjero - Retención'!$C:$C,"&gt;="&amp;Rev!I$1,'Div Extranjero - Retención'!$C:$C,"&lt;="&amp;EOMONTH(Rev!I$1,0))</f>
        <v>0</v>
      </c>
      <c r="J111" s="432">
        <f>+SUMIFS('Div Extranjero - Retención'!$H:$H,'Div Extranjero - Retención'!$B:$B,Rev!$A111,'Div Extranjero - Retención'!$C:$C,"&gt;="&amp;Rev!J$1,'Div Extranjero - Retención'!$C:$C,"&lt;="&amp;EOMONTH(Rev!J$1,0))</f>
        <v>0</v>
      </c>
      <c r="K111" s="432">
        <f>+SUMIFS('Div Extranjero - Retención'!$H:$H,'Div Extranjero - Retención'!$B:$B,Rev!$A111,'Div Extranjero - Retención'!$C:$C,"&gt;="&amp;Rev!K$1,'Div Extranjero - Retención'!$C:$C,"&lt;="&amp;EOMONTH(Rev!K$1,0))</f>
        <v>0</v>
      </c>
      <c r="L111" s="432">
        <f>+SUMIFS('Div Extranjero - Retención'!$H:$H,'Div Extranjero - Retención'!$B:$B,Rev!$A111,'Div Extranjero - Retención'!$C:$C,"&gt;="&amp;Rev!L$1,'Div Extranjero - Retención'!$C:$C,"&lt;="&amp;EOMONTH(Rev!L$1,0))</f>
        <v>0</v>
      </c>
      <c r="M111" s="432">
        <f>+SUMIFS('Div Extranjero - Retención'!$H:$H,'Div Extranjero - Retención'!$B:$B,Rev!$A111,'Div Extranjero - Retención'!$C:$C,"&gt;="&amp;Rev!M$1,'Div Extranjero - Retención'!$C:$C,"&lt;="&amp;EOMONTH(Rev!M$1,0))</f>
        <v>0</v>
      </c>
      <c r="N111" s="432">
        <f>+SUMIFS('Div Extranjero - Retención'!$H:$H,'Div Extranjero - Retención'!$B:$B,Rev!$A111,'Div Extranjero - Retención'!$C:$C,"&gt;="&amp;Rev!N$1,'Div Extranjero - Retención'!$C:$C,"&lt;="&amp;EOMONTH(Rev!N$1,0))</f>
        <v>0</v>
      </c>
      <c r="O111" s="423">
        <f t="shared" si="31"/>
        <v>0</v>
      </c>
    </row>
    <row r="112" spans="1:15" ht="17.100000000000001">
      <c r="A112" s="425" t="str">
        <f t="shared" si="29"/>
        <v>I</v>
      </c>
      <c r="B112" s="452" t="str">
        <f t="shared" si="30"/>
        <v xml:space="preserve">        Retenciones sobre Div off Shore - I</v>
      </c>
      <c r="C112" s="432">
        <f>+SUMIFS('Div Extranjero - Retención'!$H:$H,'Div Extranjero - Retención'!$B:$B,Rev!$A112,'Div Extranjero - Retención'!$C:$C,"&gt;="&amp;Rev!C$1,'Div Extranjero - Retención'!$C:$C,"&lt;="&amp;EOMONTH(Rev!C$1,0))</f>
        <v>0</v>
      </c>
      <c r="D112" s="432">
        <f>+SUMIFS('Div Extranjero - Retención'!$H:$H,'Div Extranjero - Retención'!$B:$B,Rev!$A112,'Div Extranjero - Retención'!$C:$C,"&gt;="&amp;Rev!D$1,'Div Extranjero - Retención'!$C:$C,"&lt;="&amp;EOMONTH(Rev!D$1,0))</f>
        <v>0</v>
      </c>
      <c r="E112" s="432">
        <f>+SUMIFS('Div Extranjero - Retención'!$H:$H,'Div Extranjero - Retención'!$B:$B,Rev!$A112,'Div Extranjero - Retención'!$C:$C,"&gt;="&amp;Rev!E$1,'Div Extranjero - Retención'!$C:$C,"&lt;="&amp;EOMONTH(Rev!E$1,0))</f>
        <v>0</v>
      </c>
      <c r="F112" s="432">
        <f>+SUMIFS('Div Extranjero - Retención'!$H:$H,'Div Extranjero - Retención'!$B:$B,Rev!$A112,'Div Extranjero - Retención'!$C:$C,"&gt;="&amp;Rev!F$1,'Div Extranjero - Retención'!$C:$C,"&lt;="&amp;EOMONTH(Rev!F$1,0))</f>
        <v>0</v>
      </c>
      <c r="G112" s="432">
        <f>+SUMIFS('Div Extranjero - Retención'!$H:$H,'Div Extranjero - Retención'!$B:$B,Rev!$A112,'Div Extranjero - Retención'!$C:$C,"&gt;="&amp;Rev!G$1,'Div Extranjero - Retención'!$C:$C,"&lt;="&amp;EOMONTH(Rev!G$1,0))</f>
        <v>0</v>
      </c>
      <c r="H112" s="432">
        <f>+SUMIFS('Div Extranjero - Retención'!$H:$H,'Div Extranjero - Retención'!$B:$B,Rev!$A112,'Div Extranjero - Retención'!$C:$C,"&gt;="&amp;Rev!H$1,'Div Extranjero - Retención'!$C:$C,"&lt;="&amp;EOMONTH(Rev!H$1,0))</f>
        <v>0</v>
      </c>
      <c r="I112" s="432">
        <f>+SUMIFS('Div Extranjero - Retención'!$H:$H,'Div Extranjero - Retención'!$B:$B,Rev!$A112,'Div Extranjero - Retención'!$C:$C,"&gt;="&amp;Rev!I$1,'Div Extranjero - Retención'!$C:$C,"&lt;="&amp;EOMONTH(Rev!I$1,0))</f>
        <v>0</v>
      </c>
      <c r="J112" s="432">
        <f>+SUMIFS('Div Extranjero - Retención'!$H:$H,'Div Extranjero - Retención'!$B:$B,Rev!$A112,'Div Extranjero - Retención'!$C:$C,"&gt;="&amp;Rev!J$1,'Div Extranjero - Retención'!$C:$C,"&lt;="&amp;EOMONTH(Rev!J$1,0))</f>
        <v>0</v>
      </c>
      <c r="K112" s="432">
        <f>+SUMIFS('Div Extranjero - Retención'!$H:$H,'Div Extranjero - Retención'!$B:$B,Rev!$A112,'Div Extranjero - Retención'!$C:$C,"&gt;="&amp;Rev!K$1,'Div Extranjero - Retención'!$C:$C,"&lt;="&amp;EOMONTH(Rev!K$1,0))</f>
        <v>0</v>
      </c>
      <c r="L112" s="432">
        <f>+SUMIFS('Div Extranjero - Retención'!$H:$H,'Div Extranjero - Retención'!$B:$B,Rev!$A112,'Div Extranjero - Retención'!$C:$C,"&gt;="&amp;Rev!L$1,'Div Extranjero - Retención'!$C:$C,"&lt;="&amp;EOMONTH(Rev!L$1,0))</f>
        <v>0</v>
      </c>
      <c r="M112" s="432">
        <f>+SUMIFS('Div Extranjero - Retención'!$H:$H,'Div Extranjero - Retención'!$B:$B,Rev!$A112,'Div Extranjero - Retención'!$C:$C,"&gt;="&amp;Rev!M$1,'Div Extranjero - Retención'!$C:$C,"&lt;="&amp;EOMONTH(Rev!M$1,0))</f>
        <v>0</v>
      </c>
      <c r="N112" s="432">
        <f>+SUMIFS('Div Extranjero - Retención'!$H:$H,'Div Extranjero - Retención'!$B:$B,Rev!$A112,'Div Extranjero - Retención'!$C:$C,"&gt;="&amp;Rev!N$1,'Div Extranjero - Retención'!$C:$C,"&lt;="&amp;EOMONTH(Rev!N$1,0))</f>
        <v>0</v>
      </c>
      <c r="O112" s="423">
        <f t="shared" si="31"/>
        <v>0</v>
      </c>
    </row>
    <row r="113" spans="1:15" ht="17.100000000000001">
      <c r="A113" s="425" t="str">
        <f t="shared" si="29"/>
        <v>J</v>
      </c>
      <c r="B113" s="452" t="str">
        <f t="shared" si="30"/>
        <v xml:space="preserve">        Retenciones sobre Div off Shore - J</v>
      </c>
      <c r="C113" s="432">
        <f>+SUMIFS('Div Extranjero - Retención'!$H:$H,'Div Extranjero - Retención'!$B:$B,Rev!$A113,'Div Extranjero - Retención'!$C:$C,"&gt;="&amp;Rev!C$1,'Div Extranjero - Retención'!$C:$C,"&lt;="&amp;EOMONTH(Rev!C$1,0))</f>
        <v>0</v>
      </c>
      <c r="D113" s="432">
        <f>+SUMIFS('Div Extranjero - Retención'!$H:$H,'Div Extranjero - Retención'!$B:$B,Rev!$A113,'Div Extranjero - Retención'!$C:$C,"&gt;="&amp;Rev!D$1,'Div Extranjero - Retención'!$C:$C,"&lt;="&amp;EOMONTH(Rev!D$1,0))</f>
        <v>0</v>
      </c>
      <c r="E113" s="432">
        <f>+SUMIFS('Div Extranjero - Retención'!$H:$H,'Div Extranjero - Retención'!$B:$B,Rev!$A113,'Div Extranjero - Retención'!$C:$C,"&gt;="&amp;Rev!E$1,'Div Extranjero - Retención'!$C:$C,"&lt;="&amp;EOMONTH(Rev!E$1,0))</f>
        <v>0</v>
      </c>
      <c r="F113" s="432">
        <f>+SUMIFS('Div Extranjero - Retención'!$H:$H,'Div Extranjero - Retención'!$B:$B,Rev!$A113,'Div Extranjero - Retención'!$C:$C,"&gt;="&amp;Rev!F$1,'Div Extranjero - Retención'!$C:$C,"&lt;="&amp;EOMONTH(Rev!F$1,0))</f>
        <v>0</v>
      </c>
      <c r="G113" s="432">
        <f>+SUMIFS('Div Extranjero - Retención'!$H:$H,'Div Extranjero - Retención'!$B:$B,Rev!$A113,'Div Extranjero - Retención'!$C:$C,"&gt;="&amp;Rev!G$1,'Div Extranjero - Retención'!$C:$C,"&lt;="&amp;EOMONTH(Rev!G$1,0))</f>
        <v>0</v>
      </c>
      <c r="H113" s="432">
        <f>+SUMIFS('Div Extranjero - Retención'!$H:$H,'Div Extranjero - Retención'!$B:$B,Rev!$A113,'Div Extranjero - Retención'!$C:$C,"&gt;="&amp;Rev!H$1,'Div Extranjero - Retención'!$C:$C,"&lt;="&amp;EOMONTH(Rev!H$1,0))</f>
        <v>0</v>
      </c>
      <c r="I113" s="432">
        <f>+SUMIFS('Div Extranjero - Retención'!$H:$H,'Div Extranjero - Retención'!$B:$B,Rev!$A113,'Div Extranjero - Retención'!$C:$C,"&gt;="&amp;Rev!I$1,'Div Extranjero - Retención'!$C:$C,"&lt;="&amp;EOMONTH(Rev!I$1,0))</f>
        <v>0</v>
      </c>
      <c r="J113" s="432">
        <f>+SUMIFS('Div Extranjero - Retención'!$H:$H,'Div Extranjero - Retención'!$B:$B,Rev!$A113,'Div Extranjero - Retención'!$C:$C,"&gt;="&amp;Rev!J$1,'Div Extranjero - Retención'!$C:$C,"&lt;="&amp;EOMONTH(Rev!J$1,0))</f>
        <v>0</v>
      </c>
      <c r="K113" s="432">
        <f>+SUMIFS('Div Extranjero - Retención'!$H:$H,'Div Extranjero - Retención'!$B:$B,Rev!$A113,'Div Extranjero - Retención'!$C:$C,"&gt;="&amp;Rev!K$1,'Div Extranjero - Retención'!$C:$C,"&lt;="&amp;EOMONTH(Rev!K$1,0))</f>
        <v>0</v>
      </c>
      <c r="L113" s="432">
        <f>+SUMIFS('Div Extranjero - Retención'!$H:$H,'Div Extranjero - Retención'!$B:$B,Rev!$A113,'Div Extranjero - Retención'!$C:$C,"&gt;="&amp;Rev!L$1,'Div Extranjero - Retención'!$C:$C,"&lt;="&amp;EOMONTH(Rev!L$1,0))</f>
        <v>0</v>
      </c>
      <c r="M113" s="432">
        <f>+SUMIFS('Div Extranjero - Retención'!$H:$H,'Div Extranjero - Retención'!$B:$B,Rev!$A113,'Div Extranjero - Retención'!$C:$C,"&gt;="&amp;Rev!M$1,'Div Extranjero - Retención'!$C:$C,"&lt;="&amp;EOMONTH(Rev!M$1,0))</f>
        <v>0</v>
      </c>
      <c r="N113" s="432">
        <f>+SUMIFS('Div Extranjero - Retención'!$H:$H,'Div Extranjero - Retención'!$B:$B,Rev!$A113,'Div Extranjero - Retención'!$C:$C,"&gt;="&amp;Rev!N$1,'Div Extranjero - Retención'!$C:$C,"&lt;="&amp;EOMONTH(Rev!N$1,0))</f>
        <v>0</v>
      </c>
      <c r="O113" s="423">
        <f t="shared" si="31"/>
        <v>0</v>
      </c>
    </row>
    <row r="114" spans="1:15" ht="17.100000000000001">
      <c r="A114" s="425" t="str">
        <f t="shared" si="29"/>
        <v>K</v>
      </c>
      <c r="B114" s="452" t="str">
        <f t="shared" si="30"/>
        <v xml:space="preserve">        Retenciones sobre Div off Shore - K</v>
      </c>
      <c r="C114" s="432">
        <f>+SUMIFS('Div Extranjero - Retención'!$H:$H,'Div Extranjero - Retención'!$B:$B,Rev!$A114,'Div Extranjero - Retención'!$C:$C,"&gt;="&amp;Rev!C$1,'Div Extranjero - Retención'!$C:$C,"&lt;="&amp;EOMONTH(Rev!C$1,0))</f>
        <v>0</v>
      </c>
      <c r="D114" s="432">
        <f>+SUMIFS('Div Extranjero - Retención'!$H:$H,'Div Extranjero - Retención'!$B:$B,Rev!$A114,'Div Extranjero - Retención'!$C:$C,"&gt;="&amp;Rev!D$1,'Div Extranjero - Retención'!$C:$C,"&lt;="&amp;EOMONTH(Rev!D$1,0))</f>
        <v>0</v>
      </c>
      <c r="E114" s="432">
        <f>+SUMIFS('Div Extranjero - Retención'!$H:$H,'Div Extranjero - Retención'!$B:$B,Rev!$A114,'Div Extranjero - Retención'!$C:$C,"&gt;="&amp;Rev!E$1,'Div Extranjero - Retención'!$C:$C,"&lt;="&amp;EOMONTH(Rev!E$1,0))</f>
        <v>0</v>
      </c>
      <c r="F114" s="432">
        <f>+SUMIFS('Div Extranjero - Retención'!$H:$H,'Div Extranjero - Retención'!$B:$B,Rev!$A114,'Div Extranjero - Retención'!$C:$C,"&gt;="&amp;Rev!F$1,'Div Extranjero - Retención'!$C:$C,"&lt;="&amp;EOMONTH(Rev!F$1,0))</f>
        <v>0</v>
      </c>
      <c r="G114" s="432">
        <f>+SUMIFS('Div Extranjero - Retención'!$H:$H,'Div Extranjero - Retención'!$B:$B,Rev!$A114,'Div Extranjero - Retención'!$C:$C,"&gt;="&amp;Rev!G$1,'Div Extranjero - Retención'!$C:$C,"&lt;="&amp;EOMONTH(Rev!G$1,0))</f>
        <v>0</v>
      </c>
      <c r="H114" s="432">
        <f>+SUMIFS('Div Extranjero - Retención'!$H:$H,'Div Extranjero - Retención'!$B:$B,Rev!$A114,'Div Extranjero - Retención'!$C:$C,"&gt;="&amp;Rev!H$1,'Div Extranjero - Retención'!$C:$C,"&lt;="&amp;EOMONTH(Rev!H$1,0))</f>
        <v>0</v>
      </c>
      <c r="I114" s="432">
        <f>+SUMIFS('Div Extranjero - Retención'!$H:$H,'Div Extranjero - Retención'!$B:$B,Rev!$A114,'Div Extranjero - Retención'!$C:$C,"&gt;="&amp;Rev!I$1,'Div Extranjero - Retención'!$C:$C,"&lt;="&amp;EOMONTH(Rev!I$1,0))</f>
        <v>0</v>
      </c>
      <c r="J114" s="432">
        <f>+SUMIFS('Div Extranjero - Retención'!$H:$H,'Div Extranjero - Retención'!$B:$B,Rev!$A114,'Div Extranjero - Retención'!$C:$C,"&gt;="&amp;Rev!J$1,'Div Extranjero - Retención'!$C:$C,"&lt;="&amp;EOMONTH(Rev!J$1,0))</f>
        <v>0</v>
      </c>
      <c r="K114" s="432">
        <f>+SUMIFS('Div Extranjero - Retención'!$H:$H,'Div Extranjero - Retención'!$B:$B,Rev!$A114,'Div Extranjero - Retención'!$C:$C,"&gt;="&amp;Rev!K$1,'Div Extranjero - Retención'!$C:$C,"&lt;="&amp;EOMONTH(Rev!K$1,0))</f>
        <v>0</v>
      </c>
      <c r="L114" s="432">
        <f>+SUMIFS('Div Extranjero - Retención'!$H:$H,'Div Extranjero - Retención'!$B:$B,Rev!$A114,'Div Extranjero - Retención'!$C:$C,"&gt;="&amp;Rev!L$1,'Div Extranjero - Retención'!$C:$C,"&lt;="&amp;EOMONTH(Rev!L$1,0))</f>
        <v>0</v>
      </c>
      <c r="M114" s="432">
        <f>+SUMIFS('Div Extranjero - Retención'!$H:$H,'Div Extranjero - Retención'!$B:$B,Rev!$A114,'Div Extranjero - Retención'!$C:$C,"&gt;="&amp;Rev!M$1,'Div Extranjero - Retención'!$C:$C,"&lt;="&amp;EOMONTH(Rev!M$1,0))</f>
        <v>0</v>
      </c>
      <c r="N114" s="432">
        <f>+SUMIFS('Div Extranjero - Retención'!$H:$H,'Div Extranjero - Retención'!$B:$B,Rev!$A114,'Div Extranjero - Retención'!$C:$C,"&gt;="&amp;Rev!N$1,'Div Extranjero - Retención'!$C:$C,"&lt;="&amp;EOMONTH(Rev!N$1,0))</f>
        <v>0</v>
      </c>
      <c r="O114" s="423">
        <f t="shared" si="31"/>
        <v>0</v>
      </c>
    </row>
    <row r="115" spans="1:15" ht="17.100000000000001">
      <c r="A115" s="416"/>
      <c r="B115" s="426" t="s">
        <v>826</v>
      </c>
      <c r="C115" s="427">
        <f>SUM(C104:C114)</f>
        <v>0</v>
      </c>
      <c r="D115" s="427">
        <f t="shared" ref="D115:O115" si="32">SUM(D104:D114)</f>
        <v>0</v>
      </c>
      <c r="E115" s="427">
        <f t="shared" si="32"/>
        <v>0</v>
      </c>
      <c r="F115" s="427">
        <f t="shared" si="32"/>
        <v>0</v>
      </c>
      <c r="G115" s="427">
        <f t="shared" si="32"/>
        <v>0</v>
      </c>
      <c r="H115" s="427">
        <f t="shared" si="32"/>
        <v>0</v>
      </c>
      <c r="I115" s="427">
        <f t="shared" si="32"/>
        <v>0</v>
      </c>
      <c r="J115" s="427">
        <f t="shared" si="32"/>
        <v>0</v>
      </c>
      <c r="K115" s="427">
        <f t="shared" si="32"/>
        <v>0</v>
      </c>
      <c r="L115" s="427">
        <f t="shared" si="32"/>
        <v>0</v>
      </c>
      <c r="M115" s="427">
        <f t="shared" si="32"/>
        <v>0</v>
      </c>
      <c r="N115" s="427">
        <f t="shared" si="32"/>
        <v>0</v>
      </c>
      <c r="O115" s="427">
        <f t="shared" si="32"/>
        <v>0</v>
      </c>
    </row>
    <row r="116" spans="1:15" ht="17.100000000000001">
      <c r="A116" s="416"/>
      <c r="B116" s="429"/>
      <c r="C116" s="423"/>
      <c r="D116" s="423"/>
      <c r="E116" s="423"/>
      <c r="F116" s="423"/>
      <c r="G116" s="423"/>
      <c r="H116" s="423"/>
      <c r="I116" s="423"/>
      <c r="J116" s="423"/>
      <c r="K116" s="423"/>
      <c r="L116" s="423"/>
      <c r="M116" s="423"/>
      <c r="N116" s="423"/>
      <c r="O116" s="423"/>
    </row>
    <row r="117" spans="1:15" ht="17.100000000000001">
      <c r="A117" s="416"/>
      <c r="B117" s="420" t="s">
        <v>827</v>
      </c>
      <c r="C117" s="423"/>
      <c r="D117" s="423"/>
      <c r="E117" s="423"/>
      <c r="F117" s="423"/>
      <c r="G117" s="423"/>
      <c r="H117" s="423"/>
      <c r="I117" s="423"/>
      <c r="J117" s="423"/>
      <c r="K117" s="423"/>
      <c r="L117" s="423"/>
      <c r="M117" s="423"/>
      <c r="N117" s="423"/>
      <c r="O117" s="423"/>
    </row>
    <row r="118" spans="1:15" ht="17.100000000000001">
      <c r="A118" s="425">
        <f>+A104</f>
        <v>1175000</v>
      </c>
      <c r="B118" s="452" t="str">
        <f>+CONCATENATE("        CG Acciones- ",A118)</f>
        <v xml:space="preserve">        CG Acciones- 1175000</v>
      </c>
      <c r="C118" s="431">
        <f>+SUMIFS(Ventas!$X:$X,Ventas!$R:$R,"Acciones",Ventas!$B:$B,Rev!$A118,Ventas!$S:$S,"&gt;="&amp;Rev!C$1,Ventas!$S:$S,"&lt;="&amp;EOMONTH(Rev!C$1,0))</f>
        <v>39039.748166818805</v>
      </c>
      <c r="D118" s="431">
        <f>+SUMIFS(Ventas!$X:$X,Ventas!$R:$R,"Acciones",Ventas!$B:$B,Rev!$A118,Ventas!$S:$S,"&gt;="&amp;Rev!D$1,Ventas!$S:$S,"&lt;="&amp;EOMONTH(Rev!D$1,0))</f>
        <v>6693.114094982082</v>
      </c>
      <c r="E118" s="431">
        <f>+SUMIFS(Ventas!$X:$X,Ventas!$R:$R,"Acciones",Ventas!$B:$B,Rev!$A118,Ventas!$S:$S,"&gt;="&amp;Rev!E$1,Ventas!$S:$S,"&lt;="&amp;EOMONTH(Rev!E$1,0))</f>
        <v>6322.2617959139225</v>
      </c>
      <c r="F118" s="431">
        <f>+SUMIFS(Ventas!$X:$X,Ventas!$R:$R,"Acciones",Ventas!$B:$B,Rev!$A118,Ventas!$S:$S,"&gt;="&amp;Rev!F$1,Ventas!$S:$S,"&lt;="&amp;EOMONTH(Rev!F$1,0))</f>
        <v>181823.11653410006</v>
      </c>
      <c r="G118" s="431">
        <f>+SUMIFS(Ventas!$X:$X,Ventas!$R:$R,"Acciones",Ventas!$B:$B,Rev!$A118,Ventas!$S:$S,"&gt;="&amp;Rev!G$1,Ventas!$S:$S,"&lt;="&amp;EOMONTH(Rev!G$1,0))</f>
        <v>-8214.8985494858098</v>
      </c>
      <c r="H118" s="431">
        <f>+SUMIFS(Ventas!$X:$X,Ventas!$R:$R,"Acciones",Ventas!$B:$B,Rev!$A118,Ventas!$S:$S,"&gt;="&amp;Rev!H$1,Ventas!$S:$S,"&lt;="&amp;EOMONTH(Rev!H$1,0))</f>
        <v>-13138.083774138833</v>
      </c>
      <c r="I118" s="431">
        <f>+SUMIFS(Ventas!$X:$X,Ventas!$R:$R,"Acciones",Ventas!$B:$B,Rev!$A118,Ventas!$S:$S,"&gt;="&amp;Rev!I$1,Ventas!$S:$S,"&lt;="&amp;EOMONTH(Rev!I$1,0))</f>
        <v>-3631.3123458739028</v>
      </c>
      <c r="J118" s="431">
        <f>+SUMIFS(Ventas!$X:$X,Ventas!$R:$R,"Acciones",Ventas!$B:$B,Rev!$A118,Ventas!$S:$S,"&gt;="&amp;Rev!J$1,Ventas!$S:$S,"&lt;="&amp;EOMONTH(Rev!J$1,0))</f>
        <v>7095.8773505904019</v>
      </c>
      <c r="K118" s="431">
        <f>+SUMIFS(Ventas!$X:$X,Ventas!$R:$R,"Acciones",Ventas!$B:$B,Rev!$A118,Ventas!$S:$S,"&gt;="&amp;Rev!K$1,Ventas!$S:$S,"&lt;="&amp;EOMONTH(Rev!K$1,0))</f>
        <v>-6592.2154877268149</v>
      </c>
      <c r="L118" s="431">
        <f>+SUMIFS(Ventas!$X:$X,Ventas!$R:$R,"Acciones",Ventas!$B:$B,Rev!$A118,Ventas!$S:$S,"&gt;="&amp;Rev!L$1,Ventas!$S:$S,"&lt;="&amp;EOMONTH(Rev!L$1,0))</f>
        <v>-11416.368732793517</v>
      </c>
      <c r="M118" s="431">
        <f>+SUMIFS(Ventas!$X:$X,Ventas!$R:$R,"Acciones",Ventas!$B:$B,Rev!$A118,Ventas!$S:$S,"&gt;="&amp;Rev!M$1,Ventas!$S:$S,"&lt;="&amp;EOMONTH(Rev!M$1,0))</f>
        <v>-7042.7244643736149</v>
      </c>
      <c r="N118" s="431">
        <f>+SUMIFS(Ventas!$X:$X,Ventas!$R:$R,"Acciones",Ventas!$B:$B,Rev!$A118,Ventas!$S:$S,"&gt;="&amp;Rev!N$1,Ventas!$S:$S,"&lt;="&amp;EOMONTH(Rev!N$1,0))</f>
        <v>-6767.4236006456485</v>
      </c>
      <c r="O118" s="431">
        <f>SUM(C118:N118)</f>
        <v>184171.09098736712</v>
      </c>
    </row>
    <row r="119" spans="1:15" ht="17.100000000000001">
      <c r="A119" s="425">
        <f t="shared" ref="A119:A128" si="33">+A105</f>
        <v>1179000</v>
      </c>
      <c r="B119" s="452" t="str">
        <f t="shared" ref="B119:B128" si="34">+CONCATENATE("        CG Acciones- ",A119)</f>
        <v xml:space="preserve">        CG Acciones- 1179000</v>
      </c>
      <c r="C119" s="431">
        <f>+SUMIFS(Ventas!$X:$X,Ventas!$R:$R,"Acciones",Ventas!$B:$B,Rev!$A119,Ventas!$S:$S,"&gt;="&amp;Rev!C$1,Ventas!$S:$S,"&lt;="&amp;EOMONTH(Rev!C$1,0))</f>
        <v>37652.806299236159</v>
      </c>
      <c r="D119" s="431">
        <f>+SUMIFS(Ventas!$X:$X,Ventas!$R:$R,"Acciones",Ventas!$B:$B,Rev!$A119,Ventas!$S:$S,"&gt;="&amp;Rev!D$1,Ventas!$S:$S,"&lt;="&amp;EOMONTH(Rev!D$1,0))</f>
        <v>103794.33556251921</v>
      </c>
      <c r="E119" s="431">
        <f>+SUMIFS(Ventas!$X:$X,Ventas!$R:$R,"Acciones",Ventas!$B:$B,Rev!$A119,Ventas!$S:$S,"&gt;="&amp;Rev!E$1,Ventas!$S:$S,"&lt;="&amp;EOMONTH(Rev!E$1,0))</f>
        <v>-15857.445132598983</v>
      </c>
      <c r="F119" s="431">
        <f>+SUMIFS(Ventas!$X:$X,Ventas!$R:$R,"Acciones",Ventas!$B:$B,Rev!$A119,Ventas!$S:$S,"&gt;="&amp;Rev!F$1,Ventas!$S:$S,"&lt;="&amp;EOMONTH(Rev!F$1,0))</f>
        <v>101881.23234205118</v>
      </c>
      <c r="G119" s="431">
        <f>+SUMIFS(Ventas!$X:$X,Ventas!$R:$R,"Acciones",Ventas!$B:$B,Rev!$A119,Ventas!$S:$S,"&gt;="&amp;Rev!G$1,Ventas!$S:$S,"&lt;="&amp;EOMONTH(Rev!G$1,0))</f>
        <v>-657.32514053046725</v>
      </c>
      <c r="H119" s="431">
        <f>+SUMIFS(Ventas!$X:$X,Ventas!$R:$R,"Acciones",Ventas!$B:$B,Rev!$A119,Ventas!$S:$S,"&gt;="&amp;Rev!H$1,Ventas!$S:$S,"&lt;="&amp;EOMONTH(Rev!H$1,0))</f>
        <v>-170327.76206229982</v>
      </c>
      <c r="I119" s="431">
        <f>+SUMIFS(Ventas!$X:$X,Ventas!$R:$R,"Acciones",Ventas!$B:$B,Rev!$A119,Ventas!$S:$S,"&gt;="&amp;Rev!I$1,Ventas!$S:$S,"&lt;="&amp;EOMONTH(Rev!I$1,0))</f>
        <v>1238.1800000000003</v>
      </c>
      <c r="J119" s="431">
        <f>+SUMIFS(Ventas!$X:$X,Ventas!$R:$R,"Acciones",Ventas!$B:$B,Rev!$A119,Ventas!$S:$S,"&gt;="&amp;Rev!J$1,Ventas!$S:$S,"&lt;="&amp;EOMONTH(Rev!J$1,0))</f>
        <v>-87197.705009933707</v>
      </c>
      <c r="K119" s="431">
        <f>+SUMIFS(Ventas!$X:$X,Ventas!$R:$R,"Acciones",Ventas!$B:$B,Rev!$A119,Ventas!$S:$S,"&gt;="&amp;Rev!K$1,Ventas!$S:$S,"&lt;="&amp;EOMONTH(Rev!K$1,0))</f>
        <v>13302.316403030551</v>
      </c>
      <c r="L119" s="431">
        <f>+SUMIFS(Ventas!$X:$X,Ventas!$R:$R,"Acciones",Ventas!$B:$B,Rev!$A119,Ventas!$S:$S,"&gt;="&amp;Rev!L$1,Ventas!$S:$S,"&lt;="&amp;EOMONTH(Rev!L$1,0))</f>
        <v>-26219.080957789945</v>
      </c>
      <c r="M119" s="431">
        <f>+SUMIFS(Ventas!$X:$X,Ventas!$R:$R,"Acciones",Ventas!$B:$B,Rev!$A119,Ventas!$S:$S,"&gt;="&amp;Rev!M$1,Ventas!$S:$S,"&lt;="&amp;EOMONTH(Rev!M$1,0))</f>
        <v>1430.8785903172393</v>
      </c>
      <c r="N119" s="431">
        <f>+SUMIFS(Ventas!$X:$X,Ventas!$R:$R,"Acciones",Ventas!$B:$B,Rev!$A119,Ventas!$S:$S,"&gt;="&amp;Rev!N$1,Ventas!$S:$S,"&lt;="&amp;EOMONTH(Rev!N$1,0))</f>
        <v>0</v>
      </c>
      <c r="O119" s="431">
        <f>SUM(C119:N119)</f>
        <v>-40959.569105998569</v>
      </c>
    </row>
    <row r="120" spans="1:15" ht="17.100000000000001">
      <c r="A120" s="425">
        <f t="shared" si="33"/>
        <v>1427200</v>
      </c>
      <c r="B120" s="452" t="str">
        <f t="shared" si="34"/>
        <v xml:space="preserve">        CG Acciones- 1427200</v>
      </c>
      <c r="C120" s="431">
        <f>+SUMIFS(Ventas!$X:$X,Ventas!$R:$R,"Acciones",Ventas!$B:$B,Rev!$A120,Ventas!$S:$S,"&gt;="&amp;Rev!C$1,Ventas!$S:$S,"&lt;="&amp;EOMONTH(Rev!C$1,0))</f>
        <v>-10963.56903509595</v>
      </c>
      <c r="D120" s="431">
        <f>+SUMIFS(Ventas!$X:$X,Ventas!$R:$R,"Acciones",Ventas!$B:$B,Rev!$A120,Ventas!$S:$S,"&gt;="&amp;Rev!D$1,Ventas!$S:$S,"&lt;="&amp;EOMONTH(Rev!D$1,0))</f>
        <v>-15747.798677552626</v>
      </c>
      <c r="E120" s="431">
        <f>+SUMIFS(Ventas!$X:$X,Ventas!$R:$R,"Acciones",Ventas!$B:$B,Rev!$A120,Ventas!$S:$S,"&gt;="&amp;Rev!E$1,Ventas!$S:$S,"&lt;="&amp;EOMONTH(Rev!E$1,0))</f>
        <v>-16900.032612044499</v>
      </c>
      <c r="F120" s="431">
        <f>+SUMIFS(Ventas!$X:$X,Ventas!$R:$R,"Acciones",Ventas!$B:$B,Rev!$A120,Ventas!$S:$S,"&gt;="&amp;Rev!F$1,Ventas!$S:$S,"&lt;="&amp;EOMONTH(Rev!F$1,0))</f>
        <v>-20.641052934407071</v>
      </c>
      <c r="G120" s="431">
        <f>+SUMIFS(Ventas!$X:$X,Ventas!$R:$R,"Acciones",Ventas!$B:$B,Rev!$A120,Ventas!$S:$S,"&gt;="&amp;Rev!G$1,Ventas!$S:$S,"&lt;="&amp;EOMONTH(Rev!G$1,0))</f>
        <v>-11118.229912616967</v>
      </c>
      <c r="H120" s="431">
        <f>+SUMIFS(Ventas!$X:$X,Ventas!$R:$R,"Acciones",Ventas!$B:$B,Rev!$A120,Ventas!$S:$S,"&gt;="&amp;Rev!H$1,Ventas!$S:$S,"&lt;="&amp;EOMONTH(Rev!H$1,0))</f>
        <v>-5344.1026584970077</v>
      </c>
      <c r="I120" s="431">
        <f>+SUMIFS(Ventas!$X:$X,Ventas!$R:$R,"Acciones",Ventas!$B:$B,Rev!$A120,Ventas!$S:$S,"&gt;="&amp;Rev!I$1,Ventas!$S:$S,"&lt;="&amp;EOMONTH(Rev!I$1,0))</f>
        <v>-37740.550722487977</v>
      </c>
      <c r="J120" s="431">
        <f>+SUMIFS(Ventas!$X:$X,Ventas!$R:$R,"Acciones",Ventas!$B:$B,Rev!$A120,Ventas!$S:$S,"&gt;="&amp;Rev!J$1,Ventas!$S:$S,"&lt;="&amp;EOMONTH(Rev!J$1,0))</f>
        <v>-12938.38503030303</v>
      </c>
      <c r="K120" s="431">
        <f>+SUMIFS(Ventas!$X:$X,Ventas!$R:$R,"Acciones",Ventas!$B:$B,Rev!$A120,Ventas!$S:$S,"&gt;="&amp;Rev!K$1,Ventas!$S:$S,"&lt;="&amp;EOMONTH(Rev!K$1,0))</f>
        <v>-67.859999999999673</v>
      </c>
      <c r="L120" s="431">
        <f>+SUMIFS(Ventas!$X:$X,Ventas!$R:$R,"Acciones",Ventas!$B:$B,Rev!$A120,Ventas!$S:$S,"&gt;="&amp;Rev!L$1,Ventas!$S:$S,"&lt;="&amp;EOMONTH(Rev!L$1,0))</f>
        <v>-25826.278740691192</v>
      </c>
      <c r="M120" s="431">
        <f>+SUMIFS(Ventas!$X:$X,Ventas!$R:$R,"Acciones",Ventas!$B:$B,Rev!$A120,Ventas!$S:$S,"&gt;="&amp;Rev!M$1,Ventas!$S:$S,"&lt;="&amp;EOMONTH(Rev!M$1,0))</f>
        <v>-12420.973885281384</v>
      </c>
      <c r="N120" s="431">
        <f>+SUMIFS(Ventas!$X:$X,Ventas!$R:$R,"Acciones",Ventas!$B:$B,Rev!$A120,Ventas!$S:$S,"&gt;="&amp;Rev!N$1,Ventas!$S:$S,"&lt;="&amp;EOMONTH(Rev!N$1,0))</f>
        <v>-11558.05584285714</v>
      </c>
      <c r="O120" s="431">
        <f t="shared" ref="O120:O128" si="35">SUM(C120:N120)</f>
        <v>-160646.47817036218</v>
      </c>
    </row>
    <row r="121" spans="1:15" ht="17.100000000000001">
      <c r="A121" s="425" t="str">
        <f t="shared" si="33"/>
        <v>B22235000</v>
      </c>
      <c r="B121" s="452" t="str">
        <f t="shared" si="34"/>
        <v xml:space="preserve">        CG Acciones- B22235000</v>
      </c>
      <c r="C121" s="431">
        <f>+SUMIFS(Ventas!$X:$X,Ventas!$R:$R,"Acciones",Ventas!$B:$B,Rev!$A121,Ventas!$S:$S,"&gt;="&amp;Rev!C$1,Ventas!$S:$S,"&lt;="&amp;EOMONTH(Rev!C$1,0))</f>
        <v>0</v>
      </c>
      <c r="D121" s="431">
        <f>+SUMIFS(Ventas!$X:$X,Ventas!$R:$R,"Acciones",Ventas!$B:$B,Rev!$A121,Ventas!$S:$S,"&gt;="&amp;Rev!D$1,Ventas!$S:$S,"&lt;="&amp;EOMONTH(Rev!D$1,0))</f>
        <v>0</v>
      </c>
      <c r="E121" s="431">
        <f>+SUMIFS(Ventas!$X:$X,Ventas!$R:$R,"Acciones",Ventas!$B:$B,Rev!$A121,Ventas!$S:$S,"&gt;="&amp;Rev!E$1,Ventas!$S:$S,"&lt;="&amp;EOMONTH(Rev!E$1,0))</f>
        <v>0</v>
      </c>
      <c r="F121" s="431">
        <f>+SUMIFS(Ventas!$X:$X,Ventas!$R:$R,"Acciones",Ventas!$B:$B,Rev!$A121,Ventas!$S:$S,"&gt;="&amp;Rev!F$1,Ventas!$S:$S,"&lt;="&amp;EOMONTH(Rev!F$1,0))</f>
        <v>-8734.1498406522733</v>
      </c>
      <c r="G121" s="431">
        <f>+SUMIFS(Ventas!$X:$X,Ventas!$R:$R,"Acciones",Ventas!$B:$B,Rev!$A121,Ventas!$S:$S,"&gt;="&amp;Rev!G$1,Ventas!$S:$S,"&lt;="&amp;EOMONTH(Rev!G$1,0))</f>
        <v>0</v>
      </c>
      <c r="H121" s="431">
        <f>+SUMIFS(Ventas!$X:$X,Ventas!$R:$R,"Acciones",Ventas!$B:$B,Rev!$A121,Ventas!$S:$S,"&gt;="&amp;Rev!H$1,Ventas!$S:$S,"&lt;="&amp;EOMONTH(Rev!H$1,0))</f>
        <v>0</v>
      </c>
      <c r="I121" s="431">
        <f>+SUMIFS(Ventas!$X:$X,Ventas!$R:$R,"Acciones",Ventas!$B:$B,Rev!$A121,Ventas!$S:$S,"&gt;="&amp;Rev!I$1,Ventas!$S:$S,"&lt;="&amp;EOMONTH(Rev!I$1,0))</f>
        <v>0</v>
      </c>
      <c r="J121" s="431">
        <f>+SUMIFS(Ventas!$X:$X,Ventas!$R:$R,"Acciones",Ventas!$B:$B,Rev!$A121,Ventas!$S:$S,"&gt;="&amp;Rev!J$1,Ventas!$S:$S,"&lt;="&amp;EOMONTH(Rev!J$1,0))</f>
        <v>0</v>
      </c>
      <c r="K121" s="431">
        <f>+SUMIFS(Ventas!$X:$X,Ventas!$R:$R,"Acciones",Ventas!$B:$B,Rev!$A121,Ventas!$S:$S,"&gt;="&amp;Rev!K$1,Ventas!$S:$S,"&lt;="&amp;EOMONTH(Rev!K$1,0))</f>
        <v>0</v>
      </c>
      <c r="L121" s="431">
        <f>+SUMIFS(Ventas!$X:$X,Ventas!$R:$R,"Acciones",Ventas!$B:$B,Rev!$A121,Ventas!$S:$S,"&gt;="&amp;Rev!L$1,Ventas!$S:$S,"&lt;="&amp;EOMONTH(Rev!L$1,0))</f>
        <v>0</v>
      </c>
      <c r="M121" s="431">
        <f>+SUMIFS(Ventas!$X:$X,Ventas!$R:$R,"Acciones",Ventas!$B:$B,Rev!$A121,Ventas!$S:$S,"&gt;="&amp;Rev!M$1,Ventas!$S:$S,"&lt;="&amp;EOMONTH(Rev!M$1,0))</f>
        <v>0</v>
      </c>
      <c r="N121" s="431">
        <f>+SUMIFS(Ventas!$X:$X,Ventas!$R:$R,"Acciones",Ventas!$B:$B,Rev!$A121,Ventas!$S:$S,"&gt;="&amp;Rev!N$1,Ventas!$S:$S,"&lt;="&amp;EOMONTH(Rev!N$1,0))</f>
        <v>0</v>
      </c>
      <c r="O121" s="431">
        <f t="shared" si="35"/>
        <v>-8734.1498406522733</v>
      </c>
    </row>
    <row r="122" spans="1:15" ht="17.100000000000001">
      <c r="A122" s="425">
        <f t="shared" si="33"/>
        <v>700833580</v>
      </c>
      <c r="B122" s="452" t="str">
        <f t="shared" si="34"/>
        <v xml:space="preserve">        CG Acciones- 700833580</v>
      </c>
      <c r="C122" s="431">
        <f>+SUMIFS(Ventas!$X:$X,Ventas!$R:$R,"Acciones",Ventas!$B:$B,Rev!$A122,Ventas!$S:$S,"&gt;="&amp;Rev!C$1,Ventas!$S:$S,"&lt;="&amp;EOMONTH(Rev!C$1,0))</f>
        <v>0</v>
      </c>
      <c r="D122" s="431">
        <f>+SUMIFS(Ventas!$X:$X,Ventas!$R:$R,"Acciones",Ventas!$B:$B,Rev!$A122,Ventas!$S:$S,"&gt;="&amp;Rev!D$1,Ventas!$S:$S,"&lt;="&amp;EOMONTH(Rev!D$1,0))</f>
        <v>0</v>
      </c>
      <c r="E122" s="431">
        <f>+SUMIFS(Ventas!$X:$X,Ventas!$R:$R,"Acciones",Ventas!$B:$B,Rev!$A122,Ventas!$S:$S,"&gt;="&amp;Rev!E$1,Ventas!$S:$S,"&lt;="&amp;EOMONTH(Rev!E$1,0))</f>
        <v>0</v>
      </c>
      <c r="F122" s="431">
        <f>+SUMIFS(Ventas!$X:$X,Ventas!$R:$R,"Acciones",Ventas!$B:$B,Rev!$A122,Ventas!$S:$S,"&gt;="&amp;Rev!F$1,Ventas!$S:$S,"&lt;="&amp;EOMONTH(Rev!F$1,0))</f>
        <v>0</v>
      </c>
      <c r="G122" s="431">
        <f>+SUMIFS(Ventas!$X:$X,Ventas!$R:$R,"Acciones",Ventas!$B:$B,Rev!$A122,Ventas!$S:$S,"&gt;="&amp;Rev!G$1,Ventas!$S:$S,"&lt;="&amp;EOMONTH(Rev!G$1,0))</f>
        <v>0</v>
      </c>
      <c r="H122" s="431">
        <f>+SUMIFS(Ventas!$X:$X,Ventas!$R:$R,"Acciones",Ventas!$B:$B,Rev!$A122,Ventas!$S:$S,"&gt;="&amp;Rev!H$1,Ventas!$S:$S,"&lt;="&amp;EOMONTH(Rev!H$1,0))</f>
        <v>0</v>
      </c>
      <c r="I122" s="431">
        <f>+SUMIFS(Ventas!$X:$X,Ventas!$R:$R,"Acciones",Ventas!$B:$B,Rev!$A122,Ventas!$S:$S,"&gt;="&amp;Rev!I$1,Ventas!$S:$S,"&lt;="&amp;EOMONTH(Rev!I$1,0))</f>
        <v>0</v>
      </c>
      <c r="J122" s="431">
        <f>+SUMIFS(Ventas!$X:$X,Ventas!$R:$R,"Acciones",Ventas!$B:$B,Rev!$A122,Ventas!$S:$S,"&gt;="&amp;Rev!J$1,Ventas!$S:$S,"&lt;="&amp;EOMONTH(Rev!J$1,0))</f>
        <v>0</v>
      </c>
      <c r="K122" s="431">
        <f>+SUMIFS(Ventas!$X:$X,Ventas!$R:$R,"Acciones",Ventas!$B:$B,Rev!$A122,Ventas!$S:$S,"&gt;="&amp;Rev!K$1,Ventas!$S:$S,"&lt;="&amp;EOMONTH(Rev!K$1,0))</f>
        <v>0</v>
      </c>
      <c r="L122" s="431">
        <f>+SUMIFS(Ventas!$X:$X,Ventas!$R:$R,"Acciones",Ventas!$B:$B,Rev!$A122,Ventas!$S:$S,"&gt;="&amp;Rev!L$1,Ventas!$S:$S,"&lt;="&amp;EOMONTH(Rev!L$1,0))</f>
        <v>0</v>
      </c>
      <c r="M122" s="431">
        <f>+SUMIFS(Ventas!$X:$X,Ventas!$R:$R,"Acciones",Ventas!$B:$B,Rev!$A122,Ventas!$S:$S,"&gt;="&amp;Rev!M$1,Ventas!$S:$S,"&lt;="&amp;EOMONTH(Rev!M$1,0))</f>
        <v>0</v>
      </c>
      <c r="N122" s="431">
        <f>+SUMIFS(Ventas!$X:$X,Ventas!$R:$R,"Acciones",Ventas!$B:$B,Rev!$A122,Ventas!$S:$S,"&gt;="&amp;Rev!N$1,Ventas!$S:$S,"&lt;="&amp;EOMONTH(Rev!N$1,0))</f>
        <v>0</v>
      </c>
      <c r="O122" s="431">
        <f t="shared" si="35"/>
        <v>0</v>
      </c>
    </row>
    <row r="123" spans="1:15" ht="17.100000000000001">
      <c r="A123" s="425" t="str">
        <f t="shared" si="33"/>
        <v>F</v>
      </c>
      <c r="B123" s="452" t="str">
        <f t="shared" si="34"/>
        <v xml:space="preserve">        CG Acciones- F</v>
      </c>
      <c r="C123" s="431">
        <f>+SUMIFS(Ventas!$X:$X,Ventas!$R:$R,"Acciones",Ventas!$B:$B,Rev!$A123,Ventas!$S:$S,"&gt;="&amp;Rev!C$1,Ventas!$S:$S,"&lt;="&amp;EOMONTH(Rev!C$1,0))</f>
        <v>0</v>
      </c>
      <c r="D123" s="431">
        <f>+SUMIFS(Ventas!$X:$X,Ventas!$R:$R,"Acciones",Ventas!$B:$B,Rev!$A123,Ventas!$S:$S,"&gt;="&amp;Rev!D$1,Ventas!$S:$S,"&lt;="&amp;EOMONTH(Rev!D$1,0))</f>
        <v>0</v>
      </c>
      <c r="E123" s="431">
        <f>+SUMIFS(Ventas!$X:$X,Ventas!$R:$R,"Acciones",Ventas!$B:$B,Rev!$A123,Ventas!$S:$S,"&gt;="&amp;Rev!E$1,Ventas!$S:$S,"&lt;="&amp;EOMONTH(Rev!E$1,0))</f>
        <v>0</v>
      </c>
      <c r="F123" s="431">
        <f>+SUMIFS(Ventas!$X:$X,Ventas!$R:$R,"Acciones",Ventas!$B:$B,Rev!$A123,Ventas!$S:$S,"&gt;="&amp;Rev!F$1,Ventas!$S:$S,"&lt;="&amp;EOMONTH(Rev!F$1,0))</f>
        <v>0</v>
      </c>
      <c r="G123" s="431">
        <f>+SUMIFS(Ventas!$X:$X,Ventas!$R:$R,"Acciones",Ventas!$B:$B,Rev!$A123,Ventas!$S:$S,"&gt;="&amp;Rev!G$1,Ventas!$S:$S,"&lt;="&amp;EOMONTH(Rev!G$1,0))</f>
        <v>0</v>
      </c>
      <c r="H123" s="431">
        <f>+SUMIFS(Ventas!$X:$X,Ventas!$R:$R,"Acciones",Ventas!$B:$B,Rev!$A123,Ventas!$S:$S,"&gt;="&amp;Rev!H$1,Ventas!$S:$S,"&lt;="&amp;EOMONTH(Rev!H$1,0))</f>
        <v>0</v>
      </c>
      <c r="I123" s="431">
        <f>+SUMIFS(Ventas!$X:$X,Ventas!$R:$R,"Acciones",Ventas!$B:$B,Rev!$A123,Ventas!$S:$S,"&gt;="&amp;Rev!I$1,Ventas!$S:$S,"&lt;="&amp;EOMONTH(Rev!I$1,0))</f>
        <v>0</v>
      </c>
      <c r="J123" s="431">
        <f>+SUMIFS(Ventas!$X:$X,Ventas!$R:$R,"Acciones",Ventas!$B:$B,Rev!$A123,Ventas!$S:$S,"&gt;="&amp;Rev!J$1,Ventas!$S:$S,"&lt;="&amp;EOMONTH(Rev!J$1,0))</f>
        <v>0</v>
      </c>
      <c r="K123" s="431">
        <f>+SUMIFS(Ventas!$X:$X,Ventas!$R:$R,"Acciones",Ventas!$B:$B,Rev!$A123,Ventas!$S:$S,"&gt;="&amp;Rev!K$1,Ventas!$S:$S,"&lt;="&amp;EOMONTH(Rev!K$1,0))</f>
        <v>0</v>
      </c>
      <c r="L123" s="431">
        <f>+SUMIFS(Ventas!$X:$X,Ventas!$R:$R,"Acciones",Ventas!$B:$B,Rev!$A123,Ventas!$S:$S,"&gt;="&amp;Rev!L$1,Ventas!$S:$S,"&lt;="&amp;EOMONTH(Rev!L$1,0))</f>
        <v>0</v>
      </c>
      <c r="M123" s="431">
        <f>+SUMIFS(Ventas!$X:$X,Ventas!$R:$R,"Acciones",Ventas!$B:$B,Rev!$A123,Ventas!$S:$S,"&gt;="&amp;Rev!M$1,Ventas!$S:$S,"&lt;="&amp;EOMONTH(Rev!M$1,0))</f>
        <v>0</v>
      </c>
      <c r="N123" s="431">
        <f>+SUMIFS(Ventas!$X:$X,Ventas!$R:$R,"Acciones",Ventas!$B:$B,Rev!$A123,Ventas!$S:$S,"&gt;="&amp;Rev!N$1,Ventas!$S:$S,"&lt;="&amp;EOMONTH(Rev!N$1,0))</f>
        <v>0</v>
      </c>
      <c r="O123" s="431">
        <f t="shared" si="35"/>
        <v>0</v>
      </c>
    </row>
    <row r="124" spans="1:15" ht="17.100000000000001">
      <c r="A124" s="425" t="str">
        <f t="shared" si="33"/>
        <v>G</v>
      </c>
      <c r="B124" s="452" t="str">
        <f t="shared" si="34"/>
        <v xml:space="preserve">        CG Acciones- G</v>
      </c>
      <c r="C124" s="431">
        <f>+SUMIFS(Ventas!$X:$X,Ventas!$R:$R,"Acciones",Ventas!$B:$B,Rev!$A124,Ventas!$S:$S,"&gt;="&amp;Rev!C$1,Ventas!$S:$S,"&lt;="&amp;EOMONTH(Rev!C$1,0))</f>
        <v>0</v>
      </c>
      <c r="D124" s="431">
        <f>+SUMIFS(Ventas!$X:$X,Ventas!$R:$R,"Acciones",Ventas!$B:$B,Rev!$A124,Ventas!$S:$S,"&gt;="&amp;Rev!D$1,Ventas!$S:$S,"&lt;="&amp;EOMONTH(Rev!D$1,0))</f>
        <v>0</v>
      </c>
      <c r="E124" s="431">
        <f>+SUMIFS(Ventas!$X:$X,Ventas!$R:$R,"Acciones",Ventas!$B:$B,Rev!$A124,Ventas!$S:$S,"&gt;="&amp;Rev!E$1,Ventas!$S:$S,"&lt;="&amp;EOMONTH(Rev!E$1,0))</f>
        <v>0</v>
      </c>
      <c r="F124" s="431">
        <f>+SUMIFS(Ventas!$X:$X,Ventas!$R:$R,"Acciones",Ventas!$B:$B,Rev!$A124,Ventas!$S:$S,"&gt;="&amp;Rev!F$1,Ventas!$S:$S,"&lt;="&amp;EOMONTH(Rev!F$1,0))</f>
        <v>0</v>
      </c>
      <c r="G124" s="431">
        <f>+SUMIFS(Ventas!$X:$X,Ventas!$R:$R,"Acciones",Ventas!$B:$B,Rev!$A124,Ventas!$S:$S,"&gt;="&amp;Rev!G$1,Ventas!$S:$S,"&lt;="&amp;EOMONTH(Rev!G$1,0))</f>
        <v>0</v>
      </c>
      <c r="H124" s="431">
        <f>+SUMIFS(Ventas!$X:$X,Ventas!$R:$R,"Acciones",Ventas!$B:$B,Rev!$A124,Ventas!$S:$S,"&gt;="&amp;Rev!H$1,Ventas!$S:$S,"&lt;="&amp;EOMONTH(Rev!H$1,0))</f>
        <v>0</v>
      </c>
      <c r="I124" s="431">
        <f>+SUMIFS(Ventas!$X:$X,Ventas!$R:$R,"Acciones",Ventas!$B:$B,Rev!$A124,Ventas!$S:$S,"&gt;="&amp;Rev!I$1,Ventas!$S:$S,"&lt;="&amp;EOMONTH(Rev!I$1,0))</f>
        <v>0</v>
      </c>
      <c r="J124" s="431">
        <f>+SUMIFS(Ventas!$X:$X,Ventas!$R:$R,"Acciones",Ventas!$B:$B,Rev!$A124,Ventas!$S:$S,"&gt;="&amp;Rev!J$1,Ventas!$S:$S,"&lt;="&amp;EOMONTH(Rev!J$1,0))</f>
        <v>0</v>
      </c>
      <c r="K124" s="431">
        <f>+SUMIFS(Ventas!$X:$X,Ventas!$R:$R,"Acciones",Ventas!$B:$B,Rev!$A124,Ventas!$S:$S,"&gt;="&amp;Rev!K$1,Ventas!$S:$S,"&lt;="&amp;EOMONTH(Rev!K$1,0))</f>
        <v>0</v>
      </c>
      <c r="L124" s="431">
        <f>+SUMIFS(Ventas!$X:$X,Ventas!$R:$R,"Acciones",Ventas!$B:$B,Rev!$A124,Ventas!$S:$S,"&gt;="&amp;Rev!L$1,Ventas!$S:$S,"&lt;="&amp;EOMONTH(Rev!L$1,0))</f>
        <v>0</v>
      </c>
      <c r="M124" s="431">
        <f>+SUMIFS(Ventas!$X:$X,Ventas!$R:$R,"Acciones",Ventas!$B:$B,Rev!$A124,Ventas!$S:$S,"&gt;="&amp;Rev!M$1,Ventas!$S:$S,"&lt;="&amp;EOMONTH(Rev!M$1,0))</f>
        <v>0</v>
      </c>
      <c r="N124" s="431">
        <f>+SUMIFS(Ventas!$X:$X,Ventas!$R:$R,"Acciones",Ventas!$B:$B,Rev!$A124,Ventas!$S:$S,"&gt;="&amp;Rev!N$1,Ventas!$S:$S,"&lt;="&amp;EOMONTH(Rev!N$1,0))</f>
        <v>0</v>
      </c>
      <c r="O124" s="431">
        <f t="shared" si="35"/>
        <v>0</v>
      </c>
    </row>
    <row r="125" spans="1:15" ht="17.100000000000001">
      <c r="A125" s="425" t="str">
        <f t="shared" si="33"/>
        <v>H</v>
      </c>
      <c r="B125" s="452" t="str">
        <f t="shared" si="34"/>
        <v xml:space="preserve">        CG Acciones- H</v>
      </c>
      <c r="C125" s="431">
        <f>+SUMIFS(Ventas!$X:$X,Ventas!$R:$R,"Acciones",Ventas!$B:$B,Rev!$A125,Ventas!$S:$S,"&gt;="&amp;Rev!C$1,Ventas!$S:$S,"&lt;="&amp;EOMONTH(Rev!C$1,0))</f>
        <v>0</v>
      </c>
      <c r="D125" s="431">
        <f>+SUMIFS(Ventas!$X:$X,Ventas!$R:$R,"Acciones",Ventas!$B:$B,Rev!$A125,Ventas!$S:$S,"&gt;="&amp;Rev!D$1,Ventas!$S:$S,"&lt;="&amp;EOMONTH(Rev!D$1,0))</f>
        <v>0</v>
      </c>
      <c r="E125" s="431">
        <f>+SUMIFS(Ventas!$X:$X,Ventas!$R:$R,"Acciones",Ventas!$B:$B,Rev!$A125,Ventas!$S:$S,"&gt;="&amp;Rev!E$1,Ventas!$S:$S,"&lt;="&amp;EOMONTH(Rev!E$1,0))</f>
        <v>0</v>
      </c>
      <c r="F125" s="431">
        <f>+SUMIFS(Ventas!$X:$X,Ventas!$R:$R,"Acciones",Ventas!$B:$B,Rev!$A125,Ventas!$S:$S,"&gt;="&amp;Rev!F$1,Ventas!$S:$S,"&lt;="&amp;EOMONTH(Rev!F$1,0))</f>
        <v>0</v>
      </c>
      <c r="G125" s="431">
        <f>+SUMIFS(Ventas!$X:$X,Ventas!$R:$R,"Acciones",Ventas!$B:$B,Rev!$A125,Ventas!$S:$S,"&gt;="&amp;Rev!G$1,Ventas!$S:$S,"&lt;="&amp;EOMONTH(Rev!G$1,0))</f>
        <v>0</v>
      </c>
      <c r="H125" s="431">
        <f>+SUMIFS(Ventas!$X:$X,Ventas!$R:$R,"Acciones",Ventas!$B:$B,Rev!$A125,Ventas!$S:$S,"&gt;="&amp;Rev!H$1,Ventas!$S:$S,"&lt;="&amp;EOMONTH(Rev!H$1,0))</f>
        <v>0</v>
      </c>
      <c r="I125" s="431">
        <f>+SUMIFS(Ventas!$X:$X,Ventas!$R:$R,"Acciones",Ventas!$B:$B,Rev!$A125,Ventas!$S:$S,"&gt;="&amp;Rev!I$1,Ventas!$S:$S,"&lt;="&amp;EOMONTH(Rev!I$1,0))</f>
        <v>0</v>
      </c>
      <c r="J125" s="431">
        <f>+SUMIFS(Ventas!$X:$X,Ventas!$R:$R,"Acciones",Ventas!$B:$B,Rev!$A125,Ventas!$S:$S,"&gt;="&amp;Rev!J$1,Ventas!$S:$S,"&lt;="&amp;EOMONTH(Rev!J$1,0))</f>
        <v>0</v>
      </c>
      <c r="K125" s="431">
        <f>+SUMIFS(Ventas!$X:$X,Ventas!$R:$R,"Acciones",Ventas!$B:$B,Rev!$A125,Ventas!$S:$S,"&gt;="&amp;Rev!K$1,Ventas!$S:$S,"&lt;="&amp;EOMONTH(Rev!K$1,0))</f>
        <v>0</v>
      </c>
      <c r="L125" s="431">
        <f>+SUMIFS(Ventas!$X:$X,Ventas!$R:$R,"Acciones",Ventas!$B:$B,Rev!$A125,Ventas!$S:$S,"&gt;="&amp;Rev!L$1,Ventas!$S:$S,"&lt;="&amp;EOMONTH(Rev!L$1,0))</f>
        <v>0</v>
      </c>
      <c r="M125" s="431">
        <f>+SUMIFS(Ventas!$X:$X,Ventas!$R:$R,"Acciones",Ventas!$B:$B,Rev!$A125,Ventas!$S:$S,"&gt;="&amp;Rev!M$1,Ventas!$S:$S,"&lt;="&amp;EOMONTH(Rev!M$1,0))</f>
        <v>0</v>
      </c>
      <c r="N125" s="431">
        <f>+SUMIFS(Ventas!$X:$X,Ventas!$R:$R,"Acciones",Ventas!$B:$B,Rev!$A125,Ventas!$S:$S,"&gt;="&amp;Rev!N$1,Ventas!$S:$S,"&lt;="&amp;EOMONTH(Rev!N$1,0))</f>
        <v>0</v>
      </c>
      <c r="O125" s="431">
        <f t="shared" si="35"/>
        <v>0</v>
      </c>
    </row>
    <row r="126" spans="1:15" ht="17.100000000000001">
      <c r="A126" s="425" t="str">
        <f t="shared" si="33"/>
        <v>I</v>
      </c>
      <c r="B126" s="452" t="str">
        <f t="shared" si="34"/>
        <v xml:space="preserve">        CG Acciones- I</v>
      </c>
      <c r="C126" s="431">
        <f>+SUMIFS(Ventas!$X:$X,Ventas!$R:$R,"Acciones",Ventas!$B:$B,Rev!$A126,Ventas!$S:$S,"&gt;="&amp;Rev!C$1,Ventas!$S:$S,"&lt;="&amp;EOMONTH(Rev!C$1,0))</f>
        <v>0</v>
      </c>
      <c r="D126" s="431">
        <f>+SUMIFS(Ventas!$X:$X,Ventas!$R:$R,"Acciones",Ventas!$B:$B,Rev!$A126,Ventas!$S:$S,"&gt;="&amp;Rev!D$1,Ventas!$S:$S,"&lt;="&amp;EOMONTH(Rev!D$1,0))</f>
        <v>0</v>
      </c>
      <c r="E126" s="431">
        <f>+SUMIFS(Ventas!$X:$X,Ventas!$R:$R,"Acciones",Ventas!$B:$B,Rev!$A126,Ventas!$S:$S,"&gt;="&amp;Rev!E$1,Ventas!$S:$S,"&lt;="&amp;EOMONTH(Rev!E$1,0))</f>
        <v>0</v>
      </c>
      <c r="F126" s="431">
        <f>+SUMIFS(Ventas!$X:$X,Ventas!$R:$R,"Acciones",Ventas!$B:$B,Rev!$A126,Ventas!$S:$S,"&gt;="&amp;Rev!F$1,Ventas!$S:$S,"&lt;="&amp;EOMONTH(Rev!F$1,0))</f>
        <v>0</v>
      </c>
      <c r="G126" s="431">
        <f>+SUMIFS(Ventas!$X:$X,Ventas!$R:$R,"Acciones",Ventas!$B:$B,Rev!$A126,Ventas!$S:$S,"&gt;="&amp;Rev!G$1,Ventas!$S:$S,"&lt;="&amp;EOMONTH(Rev!G$1,0))</f>
        <v>0</v>
      </c>
      <c r="H126" s="431">
        <f>+SUMIFS(Ventas!$X:$X,Ventas!$R:$R,"Acciones",Ventas!$B:$B,Rev!$A126,Ventas!$S:$S,"&gt;="&amp;Rev!H$1,Ventas!$S:$S,"&lt;="&amp;EOMONTH(Rev!H$1,0))</f>
        <v>0</v>
      </c>
      <c r="I126" s="431">
        <f>+SUMIFS(Ventas!$X:$X,Ventas!$R:$R,"Acciones",Ventas!$B:$B,Rev!$A126,Ventas!$S:$S,"&gt;="&amp;Rev!I$1,Ventas!$S:$S,"&lt;="&amp;EOMONTH(Rev!I$1,0))</f>
        <v>0</v>
      </c>
      <c r="J126" s="431">
        <f>+SUMIFS(Ventas!$X:$X,Ventas!$R:$R,"Acciones",Ventas!$B:$B,Rev!$A126,Ventas!$S:$S,"&gt;="&amp;Rev!J$1,Ventas!$S:$S,"&lt;="&amp;EOMONTH(Rev!J$1,0))</f>
        <v>0</v>
      </c>
      <c r="K126" s="431">
        <f>+SUMIFS(Ventas!$X:$X,Ventas!$R:$R,"Acciones",Ventas!$B:$B,Rev!$A126,Ventas!$S:$S,"&gt;="&amp;Rev!K$1,Ventas!$S:$S,"&lt;="&amp;EOMONTH(Rev!K$1,0))</f>
        <v>0</v>
      </c>
      <c r="L126" s="431">
        <f>+SUMIFS(Ventas!$X:$X,Ventas!$R:$R,"Acciones",Ventas!$B:$B,Rev!$A126,Ventas!$S:$S,"&gt;="&amp;Rev!L$1,Ventas!$S:$S,"&lt;="&amp;EOMONTH(Rev!L$1,0))</f>
        <v>0</v>
      </c>
      <c r="M126" s="431">
        <f>+SUMIFS(Ventas!$X:$X,Ventas!$R:$R,"Acciones",Ventas!$B:$B,Rev!$A126,Ventas!$S:$S,"&gt;="&amp;Rev!M$1,Ventas!$S:$S,"&lt;="&amp;EOMONTH(Rev!M$1,0))</f>
        <v>0</v>
      </c>
      <c r="N126" s="431">
        <f>+SUMIFS(Ventas!$X:$X,Ventas!$R:$R,"Acciones",Ventas!$B:$B,Rev!$A126,Ventas!$S:$S,"&gt;="&amp;Rev!N$1,Ventas!$S:$S,"&lt;="&amp;EOMONTH(Rev!N$1,0))</f>
        <v>0</v>
      </c>
      <c r="O126" s="431">
        <f t="shared" si="35"/>
        <v>0</v>
      </c>
    </row>
    <row r="127" spans="1:15" ht="17.100000000000001">
      <c r="A127" s="425" t="str">
        <f t="shared" si="33"/>
        <v>J</v>
      </c>
      <c r="B127" s="452" t="str">
        <f t="shared" si="34"/>
        <v xml:space="preserve">        CG Acciones- J</v>
      </c>
      <c r="C127" s="431">
        <f>+SUMIFS(Ventas!$X:$X,Ventas!$R:$R,"Acciones",Ventas!$B:$B,Rev!$A127,Ventas!$S:$S,"&gt;="&amp;Rev!C$1,Ventas!$S:$S,"&lt;="&amp;EOMONTH(Rev!C$1,0))</f>
        <v>0</v>
      </c>
      <c r="D127" s="431">
        <f>+SUMIFS(Ventas!$X:$X,Ventas!$R:$R,"Acciones",Ventas!$B:$B,Rev!$A127,Ventas!$S:$S,"&gt;="&amp;Rev!D$1,Ventas!$S:$S,"&lt;="&amp;EOMONTH(Rev!D$1,0))</f>
        <v>0</v>
      </c>
      <c r="E127" s="431">
        <f>+SUMIFS(Ventas!$X:$X,Ventas!$R:$R,"Acciones",Ventas!$B:$B,Rev!$A127,Ventas!$S:$S,"&gt;="&amp;Rev!E$1,Ventas!$S:$S,"&lt;="&amp;EOMONTH(Rev!E$1,0))</f>
        <v>0</v>
      </c>
      <c r="F127" s="431">
        <f>+SUMIFS(Ventas!$X:$X,Ventas!$R:$R,"Acciones",Ventas!$B:$B,Rev!$A127,Ventas!$S:$S,"&gt;="&amp;Rev!F$1,Ventas!$S:$S,"&lt;="&amp;EOMONTH(Rev!F$1,0))</f>
        <v>0</v>
      </c>
      <c r="G127" s="431">
        <f>+SUMIFS(Ventas!$X:$X,Ventas!$R:$R,"Acciones",Ventas!$B:$B,Rev!$A127,Ventas!$S:$S,"&gt;="&amp;Rev!G$1,Ventas!$S:$S,"&lt;="&amp;EOMONTH(Rev!G$1,0))</f>
        <v>0</v>
      </c>
      <c r="H127" s="431">
        <f>+SUMIFS(Ventas!$X:$X,Ventas!$R:$R,"Acciones",Ventas!$B:$B,Rev!$A127,Ventas!$S:$S,"&gt;="&amp;Rev!H$1,Ventas!$S:$S,"&lt;="&amp;EOMONTH(Rev!H$1,0))</f>
        <v>0</v>
      </c>
      <c r="I127" s="431">
        <f>+SUMIFS(Ventas!$X:$X,Ventas!$R:$R,"Acciones",Ventas!$B:$B,Rev!$A127,Ventas!$S:$S,"&gt;="&amp;Rev!I$1,Ventas!$S:$S,"&lt;="&amp;EOMONTH(Rev!I$1,0))</f>
        <v>0</v>
      </c>
      <c r="J127" s="431">
        <f>+SUMIFS(Ventas!$X:$X,Ventas!$R:$R,"Acciones",Ventas!$B:$B,Rev!$A127,Ventas!$S:$S,"&gt;="&amp;Rev!J$1,Ventas!$S:$S,"&lt;="&amp;EOMONTH(Rev!J$1,0))</f>
        <v>0</v>
      </c>
      <c r="K127" s="431">
        <f>+SUMIFS(Ventas!$X:$X,Ventas!$R:$R,"Acciones",Ventas!$B:$B,Rev!$A127,Ventas!$S:$S,"&gt;="&amp;Rev!K$1,Ventas!$S:$S,"&lt;="&amp;EOMONTH(Rev!K$1,0))</f>
        <v>0</v>
      </c>
      <c r="L127" s="431">
        <f>+SUMIFS(Ventas!$X:$X,Ventas!$R:$R,"Acciones",Ventas!$B:$B,Rev!$A127,Ventas!$S:$S,"&gt;="&amp;Rev!L$1,Ventas!$S:$S,"&lt;="&amp;EOMONTH(Rev!L$1,0))</f>
        <v>0</v>
      </c>
      <c r="M127" s="431">
        <f>+SUMIFS(Ventas!$X:$X,Ventas!$R:$R,"Acciones",Ventas!$B:$B,Rev!$A127,Ventas!$S:$S,"&gt;="&amp;Rev!M$1,Ventas!$S:$S,"&lt;="&amp;EOMONTH(Rev!M$1,0))</f>
        <v>0</v>
      </c>
      <c r="N127" s="431">
        <f>+SUMIFS(Ventas!$X:$X,Ventas!$R:$R,"Acciones",Ventas!$B:$B,Rev!$A127,Ventas!$S:$S,"&gt;="&amp;Rev!N$1,Ventas!$S:$S,"&lt;="&amp;EOMONTH(Rev!N$1,0))</f>
        <v>0</v>
      </c>
      <c r="O127" s="431">
        <f t="shared" si="35"/>
        <v>0</v>
      </c>
    </row>
    <row r="128" spans="1:15" ht="17.100000000000001">
      <c r="A128" s="425" t="str">
        <f t="shared" si="33"/>
        <v>K</v>
      </c>
      <c r="B128" s="452" t="str">
        <f t="shared" si="34"/>
        <v xml:space="preserve">        CG Acciones- K</v>
      </c>
      <c r="C128" s="431">
        <f>+SUMIFS(Ventas!$X:$X,Ventas!$R:$R,"Acciones",Ventas!$B:$B,Rev!$A128,Ventas!$S:$S,"&gt;="&amp;Rev!C$1,Ventas!$S:$S,"&lt;="&amp;EOMONTH(Rev!C$1,0))</f>
        <v>0</v>
      </c>
      <c r="D128" s="431">
        <f>+SUMIFS(Ventas!$X:$X,Ventas!$R:$R,"Acciones",Ventas!$B:$B,Rev!$A128,Ventas!$S:$S,"&gt;="&amp;Rev!D$1,Ventas!$S:$S,"&lt;="&amp;EOMONTH(Rev!D$1,0))</f>
        <v>0</v>
      </c>
      <c r="E128" s="431">
        <f>+SUMIFS(Ventas!$X:$X,Ventas!$R:$R,"Acciones",Ventas!$B:$B,Rev!$A128,Ventas!$S:$S,"&gt;="&amp;Rev!E$1,Ventas!$S:$S,"&lt;="&amp;EOMONTH(Rev!E$1,0))</f>
        <v>0</v>
      </c>
      <c r="F128" s="431">
        <f>+SUMIFS(Ventas!$X:$X,Ventas!$R:$R,"Acciones",Ventas!$B:$B,Rev!$A128,Ventas!$S:$S,"&gt;="&amp;Rev!F$1,Ventas!$S:$S,"&lt;="&amp;EOMONTH(Rev!F$1,0))</f>
        <v>0</v>
      </c>
      <c r="G128" s="431">
        <f>+SUMIFS(Ventas!$X:$X,Ventas!$R:$R,"Acciones",Ventas!$B:$B,Rev!$A128,Ventas!$S:$S,"&gt;="&amp;Rev!G$1,Ventas!$S:$S,"&lt;="&amp;EOMONTH(Rev!G$1,0))</f>
        <v>0</v>
      </c>
      <c r="H128" s="431">
        <f>+SUMIFS(Ventas!$X:$X,Ventas!$R:$R,"Acciones",Ventas!$B:$B,Rev!$A128,Ventas!$S:$S,"&gt;="&amp;Rev!H$1,Ventas!$S:$S,"&lt;="&amp;EOMONTH(Rev!H$1,0))</f>
        <v>0</v>
      </c>
      <c r="I128" s="431">
        <f>+SUMIFS(Ventas!$X:$X,Ventas!$R:$R,"Acciones",Ventas!$B:$B,Rev!$A128,Ventas!$S:$S,"&gt;="&amp;Rev!I$1,Ventas!$S:$S,"&lt;="&amp;EOMONTH(Rev!I$1,0))</f>
        <v>0</v>
      </c>
      <c r="J128" s="431">
        <f>+SUMIFS(Ventas!$X:$X,Ventas!$R:$R,"Acciones",Ventas!$B:$B,Rev!$A128,Ventas!$S:$S,"&gt;="&amp;Rev!J$1,Ventas!$S:$S,"&lt;="&amp;EOMONTH(Rev!J$1,0))</f>
        <v>0</v>
      </c>
      <c r="K128" s="431">
        <f>+SUMIFS(Ventas!$X:$X,Ventas!$R:$R,"Acciones",Ventas!$B:$B,Rev!$A128,Ventas!$S:$S,"&gt;="&amp;Rev!K$1,Ventas!$S:$S,"&lt;="&amp;EOMONTH(Rev!K$1,0))</f>
        <v>0</v>
      </c>
      <c r="L128" s="431">
        <f>+SUMIFS(Ventas!$X:$X,Ventas!$R:$R,"Acciones",Ventas!$B:$B,Rev!$A128,Ventas!$S:$S,"&gt;="&amp;Rev!L$1,Ventas!$S:$S,"&lt;="&amp;EOMONTH(Rev!L$1,0))</f>
        <v>0</v>
      </c>
      <c r="M128" s="431">
        <f>+SUMIFS(Ventas!$X:$X,Ventas!$R:$R,"Acciones",Ventas!$B:$B,Rev!$A128,Ventas!$S:$S,"&gt;="&amp;Rev!M$1,Ventas!$S:$S,"&lt;="&amp;EOMONTH(Rev!M$1,0))</f>
        <v>0</v>
      </c>
      <c r="N128" s="431">
        <f>+SUMIFS(Ventas!$X:$X,Ventas!$R:$R,"Acciones",Ventas!$B:$B,Rev!$A128,Ventas!$S:$S,"&gt;="&amp;Rev!N$1,Ventas!$S:$S,"&lt;="&amp;EOMONTH(Rev!N$1,0))</f>
        <v>0</v>
      </c>
      <c r="O128" s="431">
        <f t="shared" si="35"/>
        <v>0</v>
      </c>
    </row>
    <row r="129" spans="1:15" ht="17.100000000000001">
      <c r="A129" s="416"/>
      <c r="B129" s="426" t="s">
        <v>828</v>
      </c>
      <c r="C129" s="427">
        <f>SUM(C118:C128)</f>
        <v>65728.985430959016</v>
      </c>
      <c r="D129" s="427">
        <f t="shared" ref="D129:O129" si="36">SUM(D118:D128)</f>
        <v>94739.650979948667</v>
      </c>
      <c r="E129" s="427">
        <f t="shared" si="36"/>
        <v>-26435.215948729558</v>
      </c>
      <c r="F129" s="427">
        <f t="shared" si="36"/>
        <v>274949.55798256455</v>
      </c>
      <c r="G129" s="427">
        <f t="shared" si="36"/>
        <v>-19990.453602633243</v>
      </c>
      <c r="H129" s="427">
        <f t="shared" si="36"/>
        <v>-188809.94849493564</v>
      </c>
      <c r="I129" s="427">
        <f t="shared" si="36"/>
        <v>-40133.683068361875</v>
      </c>
      <c r="J129" s="427">
        <f t="shared" si="36"/>
        <v>-93040.212689646345</v>
      </c>
      <c r="K129" s="427">
        <f t="shared" si="36"/>
        <v>6642.2409153037361</v>
      </c>
      <c r="L129" s="427">
        <f t="shared" si="36"/>
        <v>-63461.728431274649</v>
      </c>
      <c r="M129" s="427">
        <f t="shared" si="36"/>
        <v>-18032.819759337759</v>
      </c>
      <c r="N129" s="427">
        <f t="shared" si="36"/>
        <v>-18325.479443502787</v>
      </c>
      <c r="O129" s="427">
        <f t="shared" si="36"/>
        <v>-26169.106129645923</v>
      </c>
    </row>
    <row r="130" spans="1:15" ht="17.100000000000001">
      <c r="A130" s="416"/>
      <c r="B130" s="420" t="s">
        <v>796</v>
      </c>
      <c r="C130" s="423"/>
      <c r="D130" s="423"/>
      <c r="E130" s="423"/>
      <c r="F130" s="423"/>
      <c r="G130" s="423"/>
      <c r="H130" s="423"/>
      <c r="I130" s="423"/>
      <c r="J130" s="423"/>
      <c r="K130" s="423"/>
      <c r="L130" s="423"/>
      <c r="M130" s="423"/>
      <c r="N130" s="423"/>
      <c r="O130" s="423"/>
    </row>
    <row r="131" spans="1:15" ht="17.100000000000001">
      <c r="A131" s="416"/>
      <c r="B131" s="420" t="s">
        <v>829</v>
      </c>
      <c r="C131" s="423"/>
      <c r="D131" s="423"/>
      <c r="E131" s="423"/>
      <c r="F131" s="423"/>
      <c r="G131" s="423"/>
      <c r="H131" s="423"/>
      <c r="I131" s="423"/>
      <c r="J131" s="423"/>
      <c r="K131" s="423"/>
      <c r="L131" s="423"/>
      <c r="M131" s="423"/>
      <c r="N131" s="423"/>
      <c r="O131" s="423"/>
    </row>
    <row r="132" spans="1:15" ht="17.100000000000001">
      <c r="A132" s="425">
        <f>+A118</f>
        <v>1175000</v>
      </c>
      <c r="B132" s="452" t="str">
        <f>+CONCATENATE("        CG Bonos- ",A132)</f>
        <v xml:space="preserve">        CG Bonos- 1175000</v>
      </c>
      <c r="C132" s="431">
        <f>+SUMIFS(Ventas!$X:$X,Ventas!$R:$R,"Bonos",Ventas!$B:$B,Rev!$A132,Ventas!$S:$S,"&gt;="&amp;Rev!C$1,Ventas!$S:$S,"&lt;="&amp;EOMONTH(Rev!C$1,0))</f>
        <v>0</v>
      </c>
      <c r="D132" s="431">
        <f>+SUMIFS(Ventas!$X:$X,Ventas!$R:$R,"Bonos",Ventas!$B:$B,Rev!$A132,Ventas!$S:$S,"&gt;="&amp;Rev!D$1,Ventas!$S:$S,"&lt;="&amp;EOMONTH(Rev!D$1,0))</f>
        <v>0</v>
      </c>
      <c r="E132" s="431">
        <f>+SUMIFS(Ventas!$X:$X,Ventas!$R:$R,"Bonos",Ventas!$B:$B,Rev!$A132,Ventas!$S:$S,"&gt;="&amp;Rev!E$1,Ventas!$S:$S,"&lt;="&amp;EOMONTH(Rev!E$1,0))</f>
        <v>0</v>
      </c>
      <c r="F132" s="431">
        <f>+SUMIFS(Ventas!$X:$X,Ventas!$R:$R,"Bonos",Ventas!$B:$B,Rev!$A132,Ventas!$S:$S,"&gt;="&amp;Rev!F$1,Ventas!$S:$S,"&lt;="&amp;EOMONTH(Rev!F$1,0))</f>
        <v>0</v>
      </c>
      <c r="G132" s="431">
        <f>+SUMIFS(Ventas!$X:$X,Ventas!$R:$R,"Bonos",Ventas!$B:$B,Rev!$A132,Ventas!$S:$S,"&gt;="&amp;Rev!G$1,Ventas!$S:$S,"&lt;="&amp;EOMONTH(Rev!G$1,0))</f>
        <v>0</v>
      </c>
      <c r="H132" s="431">
        <f>+SUMIFS(Ventas!$X:$X,Ventas!$R:$R,"Bonos",Ventas!$B:$B,Rev!$A132,Ventas!$S:$S,"&gt;="&amp;Rev!H$1,Ventas!$S:$S,"&lt;="&amp;EOMONTH(Rev!H$1,0))</f>
        <v>0</v>
      </c>
      <c r="I132" s="431">
        <f>+SUMIFS(Ventas!$X:$X,Ventas!$R:$R,"Bonos",Ventas!$B:$B,Rev!$A132,Ventas!$S:$S,"&gt;="&amp;Rev!I$1,Ventas!$S:$S,"&lt;="&amp;EOMONTH(Rev!I$1,0))</f>
        <v>0</v>
      </c>
      <c r="J132" s="431">
        <f>+SUMIFS(Ventas!$X:$X,Ventas!$R:$R,"Bonos",Ventas!$B:$B,Rev!$A132,Ventas!$S:$S,"&gt;="&amp;Rev!J$1,Ventas!$S:$S,"&lt;="&amp;EOMONTH(Rev!J$1,0))</f>
        <v>0</v>
      </c>
      <c r="K132" s="431">
        <f>+SUMIFS(Ventas!$X:$X,Ventas!$R:$R,"Bonos",Ventas!$B:$B,Rev!$A132,Ventas!$S:$S,"&gt;="&amp;Rev!K$1,Ventas!$S:$S,"&lt;="&amp;EOMONTH(Rev!K$1,0))</f>
        <v>0</v>
      </c>
      <c r="L132" s="431">
        <f>+SUMIFS(Ventas!$X:$X,Ventas!$R:$R,"Bonos",Ventas!$B:$B,Rev!$A132,Ventas!$S:$S,"&gt;="&amp;Rev!L$1,Ventas!$S:$S,"&lt;="&amp;EOMONTH(Rev!L$1,0))</f>
        <v>0</v>
      </c>
      <c r="M132" s="431">
        <f>+SUMIFS(Ventas!$X:$X,Ventas!$R:$R,"Bonos",Ventas!$B:$B,Rev!$A132,Ventas!$S:$S,"&gt;="&amp;Rev!M$1,Ventas!$S:$S,"&lt;="&amp;EOMONTH(Rev!M$1,0))</f>
        <v>0</v>
      </c>
      <c r="N132" s="431">
        <f>+SUMIFS(Ventas!$X:$X,Ventas!$R:$R,"Bonos",Ventas!$B:$B,Rev!$A132,Ventas!$S:$S,"&gt;="&amp;Rev!N$1,Ventas!$S:$S,"&lt;="&amp;EOMONTH(Rev!N$1,0))</f>
        <v>0</v>
      </c>
      <c r="O132" s="431">
        <f>SUM(C132:N132)</f>
        <v>0</v>
      </c>
    </row>
    <row r="133" spans="1:15" ht="17.100000000000001">
      <c r="A133" s="425">
        <f t="shared" ref="A133:A142" si="37">+A119</f>
        <v>1179000</v>
      </c>
      <c r="B133" s="452" t="str">
        <f t="shared" ref="B133:B142" si="38">+CONCATENATE("        CG Bonos- ",A133)</f>
        <v xml:space="preserve">        CG Bonos- 1179000</v>
      </c>
      <c r="C133" s="431">
        <f>+SUMIFS(Ventas!$X:$X,Ventas!$R:$R,"Bonos",Ventas!$B:$B,Rev!$A133,Ventas!$S:$S,"&gt;="&amp;Rev!C$1,Ventas!$S:$S,"&lt;="&amp;EOMONTH(Rev!C$1,0))</f>
        <v>0</v>
      </c>
      <c r="D133" s="431">
        <f>+SUMIFS(Ventas!$X:$X,Ventas!$R:$R,"Bonos",Ventas!$B:$B,Rev!$A133,Ventas!$S:$S,"&gt;="&amp;Rev!D$1,Ventas!$S:$S,"&lt;="&amp;EOMONTH(Rev!D$1,0))</f>
        <v>0</v>
      </c>
      <c r="E133" s="431">
        <f>+SUMIFS(Ventas!$X:$X,Ventas!$R:$R,"Bonos",Ventas!$B:$B,Rev!$A133,Ventas!$S:$S,"&gt;="&amp;Rev!E$1,Ventas!$S:$S,"&lt;="&amp;EOMONTH(Rev!E$1,0))</f>
        <v>0</v>
      </c>
      <c r="F133" s="431">
        <f>+SUMIFS(Ventas!$X:$X,Ventas!$R:$R,"Bonos",Ventas!$B:$B,Rev!$A133,Ventas!$S:$S,"&gt;="&amp;Rev!F$1,Ventas!$S:$S,"&lt;="&amp;EOMONTH(Rev!F$1,0))</f>
        <v>0</v>
      </c>
      <c r="G133" s="431">
        <f>+SUMIFS(Ventas!$X:$X,Ventas!$R:$R,"Bonos",Ventas!$B:$B,Rev!$A133,Ventas!$S:$S,"&gt;="&amp;Rev!G$1,Ventas!$S:$S,"&lt;="&amp;EOMONTH(Rev!G$1,0))</f>
        <v>0</v>
      </c>
      <c r="H133" s="431">
        <f>+SUMIFS(Ventas!$X:$X,Ventas!$R:$R,"Bonos",Ventas!$B:$B,Rev!$A133,Ventas!$S:$S,"&gt;="&amp;Rev!H$1,Ventas!$S:$S,"&lt;="&amp;EOMONTH(Rev!H$1,0))</f>
        <v>0</v>
      </c>
      <c r="I133" s="431">
        <f>+SUMIFS(Ventas!$X:$X,Ventas!$R:$R,"Bonos",Ventas!$B:$B,Rev!$A133,Ventas!$S:$S,"&gt;="&amp;Rev!I$1,Ventas!$S:$S,"&lt;="&amp;EOMONTH(Rev!I$1,0))</f>
        <v>0</v>
      </c>
      <c r="J133" s="431">
        <f>+SUMIFS(Ventas!$X:$X,Ventas!$R:$R,"Bonos",Ventas!$B:$B,Rev!$A133,Ventas!$S:$S,"&gt;="&amp;Rev!J$1,Ventas!$S:$S,"&lt;="&amp;EOMONTH(Rev!J$1,0))</f>
        <v>0</v>
      </c>
      <c r="K133" s="431">
        <f>+SUMIFS(Ventas!$X:$X,Ventas!$R:$R,"Bonos",Ventas!$B:$B,Rev!$A133,Ventas!$S:$S,"&gt;="&amp;Rev!K$1,Ventas!$S:$S,"&lt;="&amp;EOMONTH(Rev!K$1,0))</f>
        <v>0</v>
      </c>
      <c r="L133" s="431">
        <f>+SUMIFS(Ventas!$X:$X,Ventas!$R:$R,"Bonos",Ventas!$B:$B,Rev!$A133,Ventas!$S:$S,"&gt;="&amp;Rev!L$1,Ventas!$S:$S,"&lt;="&amp;EOMONTH(Rev!L$1,0))</f>
        <v>0</v>
      </c>
      <c r="M133" s="431">
        <f>+SUMIFS(Ventas!$X:$X,Ventas!$R:$R,"Bonos",Ventas!$B:$B,Rev!$A133,Ventas!$S:$S,"&gt;="&amp;Rev!M$1,Ventas!$S:$S,"&lt;="&amp;EOMONTH(Rev!M$1,0))</f>
        <v>0</v>
      </c>
      <c r="N133" s="431">
        <f>+SUMIFS(Ventas!$X:$X,Ventas!$R:$R,"Bonos",Ventas!$B:$B,Rev!$A133,Ventas!$S:$S,"&gt;="&amp;Rev!N$1,Ventas!$S:$S,"&lt;="&amp;EOMONTH(Rev!N$1,0))</f>
        <v>0</v>
      </c>
      <c r="O133" s="431">
        <f>SUM(C133:N133)</f>
        <v>0</v>
      </c>
    </row>
    <row r="134" spans="1:15" ht="17.100000000000001">
      <c r="A134" s="425">
        <f t="shared" si="37"/>
        <v>1427200</v>
      </c>
      <c r="B134" s="452" t="str">
        <f t="shared" si="38"/>
        <v xml:space="preserve">        CG Bonos- 1427200</v>
      </c>
      <c r="C134" s="431">
        <f>+SUMIFS(Ventas!$X:$X,Ventas!$R:$R,"Bonos",Ventas!$B:$B,Rev!$A134,Ventas!$S:$S,"&gt;="&amp;Rev!C$1,Ventas!$S:$S,"&lt;="&amp;EOMONTH(Rev!C$1,0))</f>
        <v>0</v>
      </c>
      <c r="D134" s="431">
        <f>+SUMIFS(Ventas!$X:$X,Ventas!$R:$R,"Bonos",Ventas!$B:$B,Rev!$A134,Ventas!$S:$S,"&gt;="&amp;Rev!D$1,Ventas!$S:$S,"&lt;="&amp;EOMONTH(Rev!D$1,0))</f>
        <v>0</v>
      </c>
      <c r="E134" s="431">
        <f>+SUMIFS(Ventas!$X:$X,Ventas!$R:$R,"Bonos",Ventas!$B:$B,Rev!$A134,Ventas!$S:$S,"&gt;="&amp;Rev!E$1,Ventas!$S:$S,"&lt;="&amp;EOMONTH(Rev!E$1,0))</f>
        <v>0</v>
      </c>
      <c r="F134" s="431">
        <f>+SUMIFS(Ventas!$X:$X,Ventas!$R:$R,"Bonos",Ventas!$B:$B,Rev!$A134,Ventas!$S:$S,"&gt;="&amp;Rev!F$1,Ventas!$S:$S,"&lt;="&amp;EOMONTH(Rev!F$1,0))</f>
        <v>0</v>
      </c>
      <c r="G134" s="431">
        <f>+SUMIFS(Ventas!$X:$X,Ventas!$R:$R,"Bonos",Ventas!$B:$B,Rev!$A134,Ventas!$S:$S,"&gt;="&amp;Rev!G$1,Ventas!$S:$S,"&lt;="&amp;EOMONTH(Rev!G$1,0))</f>
        <v>0</v>
      </c>
      <c r="H134" s="431">
        <f>+SUMIFS(Ventas!$X:$X,Ventas!$R:$R,"Bonos",Ventas!$B:$B,Rev!$A134,Ventas!$S:$S,"&gt;="&amp;Rev!H$1,Ventas!$S:$S,"&lt;="&amp;EOMONTH(Rev!H$1,0))</f>
        <v>0</v>
      </c>
      <c r="I134" s="431">
        <f>+SUMIFS(Ventas!$X:$X,Ventas!$R:$R,"Bonos",Ventas!$B:$B,Rev!$A134,Ventas!$S:$S,"&gt;="&amp;Rev!I$1,Ventas!$S:$S,"&lt;="&amp;EOMONTH(Rev!I$1,0))</f>
        <v>0</v>
      </c>
      <c r="J134" s="431">
        <f>+SUMIFS(Ventas!$X:$X,Ventas!$R:$R,"Bonos",Ventas!$B:$B,Rev!$A134,Ventas!$S:$S,"&gt;="&amp;Rev!J$1,Ventas!$S:$S,"&lt;="&amp;EOMONTH(Rev!J$1,0))</f>
        <v>0</v>
      </c>
      <c r="K134" s="431">
        <f>+SUMIFS(Ventas!$X:$X,Ventas!$R:$R,"Bonos",Ventas!$B:$B,Rev!$A134,Ventas!$S:$S,"&gt;="&amp;Rev!K$1,Ventas!$S:$S,"&lt;="&amp;EOMONTH(Rev!K$1,0))</f>
        <v>0</v>
      </c>
      <c r="L134" s="431">
        <f>+SUMIFS(Ventas!$X:$X,Ventas!$R:$R,"Bonos",Ventas!$B:$B,Rev!$A134,Ventas!$S:$S,"&gt;="&amp;Rev!L$1,Ventas!$S:$S,"&lt;="&amp;EOMONTH(Rev!L$1,0))</f>
        <v>0</v>
      </c>
      <c r="M134" s="431">
        <f>+SUMIFS(Ventas!$X:$X,Ventas!$R:$R,"Bonos",Ventas!$B:$B,Rev!$A134,Ventas!$S:$S,"&gt;="&amp;Rev!M$1,Ventas!$S:$S,"&lt;="&amp;EOMONTH(Rev!M$1,0))</f>
        <v>0</v>
      </c>
      <c r="N134" s="431">
        <f>+SUMIFS(Ventas!$X:$X,Ventas!$R:$R,"Bonos",Ventas!$B:$B,Rev!$A134,Ventas!$S:$S,"&gt;="&amp;Rev!N$1,Ventas!$S:$S,"&lt;="&amp;EOMONTH(Rev!N$1,0))</f>
        <v>0</v>
      </c>
      <c r="O134" s="431">
        <f t="shared" ref="O134:O142" si="39">SUM(C134:N134)</f>
        <v>0</v>
      </c>
    </row>
    <row r="135" spans="1:15" ht="17.100000000000001">
      <c r="A135" s="425" t="str">
        <f t="shared" si="37"/>
        <v>B22235000</v>
      </c>
      <c r="B135" s="452" t="str">
        <f t="shared" si="38"/>
        <v xml:space="preserve">        CG Bonos- B22235000</v>
      </c>
      <c r="C135" s="431">
        <f>+SUMIFS(Ventas!$X:$X,Ventas!$R:$R,"Bonos",Ventas!$B:$B,Rev!$A135,Ventas!$S:$S,"&gt;="&amp;Rev!C$1,Ventas!$S:$S,"&lt;="&amp;EOMONTH(Rev!C$1,0))</f>
        <v>0</v>
      </c>
      <c r="D135" s="431">
        <f>+SUMIFS(Ventas!$X:$X,Ventas!$R:$R,"Bonos",Ventas!$B:$B,Rev!$A135,Ventas!$S:$S,"&gt;="&amp;Rev!D$1,Ventas!$S:$S,"&lt;="&amp;EOMONTH(Rev!D$1,0))</f>
        <v>0</v>
      </c>
      <c r="E135" s="431">
        <f>+SUMIFS(Ventas!$X:$X,Ventas!$R:$R,"Bonos",Ventas!$B:$B,Rev!$A135,Ventas!$S:$S,"&gt;="&amp;Rev!E$1,Ventas!$S:$S,"&lt;="&amp;EOMONTH(Rev!E$1,0))</f>
        <v>0</v>
      </c>
      <c r="F135" s="431">
        <f>+SUMIFS(Ventas!$X:$X,Ventas!$R:$R,"Bonos",Ventas!$B:$B,Rev!$A135,Ventas!$S:$S,"&gt;="&amp;Rev!F$1,Ventas!$S:$S,"&lt;="&amp;EOMONTH(Rev!F$1,0))</f>
        <v>0</v>
      </c>
      <c r="G135" s="431">
        <f>+SUMIFS(Ventas!$X:$X,Ventas!$R:$R,"Bonos",Ventas!$B:$B,Rev!$A135,Ventas!$S:$S,"&gt;="&amp;Rev!G$1,Ventas!$S:$S,"&lt;="&amp;EOMONTH(Rev!G$1,0))</f>
        <v>0</v>
      </c>
      <c r="H135" s="431">
        <f>+SUMIFS(Ventas!$X:$X,Ventas!$R:$R,"Bonos",Ventas!$B:$B,Rev!$A135,Ventas!$S:$S,"&gt;="&amp;Rev!H$1,Ventas!$S:$S,"&lt;="&amp;EOMONTH(Rev!H$1,0))</f>
        <v>0</v>
      </c>
      <c r="I135" s="431">
        <f>+SUMIFS(Ventas!$X:$X,Ventas!$R:$R,"Bonos",Ventas!$B:$B,Rev!$A135,Ventas!$S:$S,"&gt;="&amp;Rev!I$1,Ventas!$S:$S,"&lt;="&amp;EOMONTH(Rev!I$1,0))</f>
        <v>0</v>
      </c>
      <c r="J135" s="431">
        <f>+SUMIFS(Ventas!$X:$X,Ventas!$R:$R,"Bonos",Ventas!$B:$B,Rev!$A135,Ventas!$S:$S,"&gt;="&amp;Rev!J$1,Ventas!$S:$S,"&lt;="&amp;EOMONTH(Rev!J$1,0))</f>
        <v>0</v>
      </c>
      <c r="K135" s="431">
        <f>+SUMIFS(Ventas!$X:$X,Ventas!$R:$R,"Bonos",Ventas!$B:$B,Rev!$A135,Ventas!$S:$S,"&gt;="&amp;Rev!K$1,Ventas!$S:$S,"&lt;="&amp;EOMONTH(Rev!K$1,0))</f>
        <v>0</v>
      </c>
      <c r="L135" s="431">
        <f>+SUMIFS(Ventas!$X:$X,Ventas!$R:$R,"Bonos",Ventas!$B:$B,Rev!$A135,Ventas!$S:$S,"&gt;="&amp;Rev!L$1,Ventas!$S:$S,"&lt;="&amp;EOMONTH(Rev!L$1,0))</f>
        <v>0</v>
      </c>
      <c r="M135" s="431">
        <f>+SUMIFS(Ventas!$X:$X,Ventas!$R:$R,"Bonos",Ventas!$B:$B,Rev!$A135,Ventas!$S:$S,"&gt;="&amp;Rev!M$1,Ventas!$S:$S,"&lt;="&amp;EOMONTH(Rev!M$1,0))</f>
        <v>0</v>
      </c>
      <c r="N135" s="431">
        <f>+SUMIFS(Ventas!$X:$X,Ventas!$R:$R,"Bonos",Ventas!$B:$B,Rev!$A135,Ventas!$S:$S,"&gt;="&amp;Rev!N$1,Ventas!$S:$S,"&lt;="&amp;EOMONTH(Rev!N$1,0))</f>
        <v>0</v>
      </c>
      <c r="O135" s="431">
        <f t="shared" si="39"/>
        <v>0</v>
      </c>
    </row>
    <row r="136" spans="1:15" ht="17.100000000000001">
      <c r="A136" s="425">
        <f t="shared" si="37"/>
        <v>700833580</v>
      </c>
      <c r="B136" s="452" t="str">
        <f t="shared" si="38"/>
        <v xml:space="preserve">        CG Bonos- 700833580</v>
      </c>
      <c r="C136" s="431">
        <f>+SUMIFS(Ventas!$X:$X,Ventas!$R:$R,"Bonos",Ventas!$B:$B,Rev!$A136,Ventas!$S:$S,"&gt;="&amp;Rev!C$1,Ventas!$S:$S,"&lt;="&amp;EOMONTH(Rev!C$1,0))</f>
        <v>0</v>
      </c>
      <c r="D136" s="431">
        <f>+SUMIFS(Ventas!$X:$X,Ventas!$R:$R,"Bonos",Ventas!$B:$B,Rev!$A136,Ventas!$S:$S,"&gt;="&amp;Rev!D$1,Ventas!$S:$S,"&lt;="&amp;EOMONTH(Rev!D$1,0))</f>
        <v>0</v>
      </c>
      <c r="E136" s="431">
        <f>+SUMIFS(Ventas!$X:$X,Ventas!$R:$R,"Bonos",Ventas!$B:$B,Rev!$A136,Ventas!$S:$S,"&gt;="&amp;Rev!E$1,Ventas!$S:$S,"&lt;="&amp;EOMONTH(Rev!E$1,0))</f>
        <v>0</v>
      </c>
      <c r="F136" s="431">
        <f>+SUMIFS(Ventas!$X:$X,Ventas!$R:$R,"Bonos",Ventas!$B:$B,Rev!$A136,Ventas!$S:$S,"&gt;="&amp;Rev!F$1,Ventas!$S:$S,"&lt;="&amp;EOMONTH(Rev!F$1,0))</f>
        <v>0</v>
      </c>
      <c r="G136" s="431">
        <f>+SUMIFS(Ventas!$X:$X,Ventas!$R:$R,"Bonos",Ventas!$B:$B,Rev!$A136,Ventas!$S:$S,"&gt;="&amp;Rev!G$1,Ventas!$S:$S,"&lt;="&amp;EOMONTH(Rev!G$1,0))</f>
        <v>0</v>
      </c>
      <c r="H136" s="431">
        <f>+SUMIFS(Ventas!$X:$X,Ventas!$R:$R,"Bonos",Ventas!$B:$B,Rev!$A136,Ventas!$S:$S,"&gt;="&amp;Rev!H$1,Ventas!$S:$S,"&lt;="&amp;EOMONTH(Rev!H$1,0))</f>
        <v>0</v>
      </c>
      <c r="I136" s="431">
        <f>+SUMIFS(Ventas!$X:$X,Ventas!$R:$R,"Bonos",Ventas!$B:$B,Rev!$A136,Ventas!$S:$S,"&gt;="&amp;Rev!I$1,Ventas!$S:$S,"&lt;="&amp;EOMONTH(Rev!I$1,0))</f>
        <v>0</v>
      </c>
      <c r="J136" s="431">
        <f>+SUMIFS(Ventas!$X:$X,Ventas!$R:$R,"Bonos",Ventas!$B:$B,Rev!$A136,Ventas!$S:$S,"&gt;="&amp;Rev!J$1,Ventas!$S:$S,"&lt;="&amp;EOMONTH(Rev!J$1,0))</f>
        <v>0</v>
      </c>
      <c r="K136" s="431">
        <f>+SUMIFS(Ventas!$X:$X,Ventas!$R:$R,"Bonos",Ventas!$B:$B,Rev!$A136,Ventas!$S:$S,"&gt;="&amp;Rev!K$1,Ventas!$S:$S,"&lt;="&amp;EOMONTH(Rev!K$1,0))</f>
        <v>0</v>
      </c>
      <c r="L136" s="431">
        <f>+SUMIFS(Ventas!$X:$X,Ventas!$R:$R,"Bonos",Ventas!$B:$B,Rev!$A136,Ventas!$S:$S,"&gt;="&amp;Rev!L$1,Ventas!$S:$S,"&lt;="&amp;EOMONTH(Rev!L$1,0))</f>
        <v>0</v>
      </c>
      <c r="M136" s="431">
        <f>+SUMIFS(Ventas!$X:$X,Ventas!$R:$R,"Bonos",Ventas!$B:$B,Rev!$A136,Ventas!$S:$S,"&gt;="&amp;Rev!M$1,Ventas!$S:$S,"&lt;="&amp;EOMONTH(Rev!M$1,0))</f>
        <v>0</v>
      </c>
      <c r="N136" s="431">
        <f>+SUMIFS(Ventas!$X:$X,Ventas!$R:$R,"Bonos",Ventas!$B:$B,Rev!$A136,Ventas!$S:$S,"&gt;="&amp;Rev!N$1,Ventas!$S:$S,"&lt;="&amp;EOMONTH(Rev!N$1,0))</f>
        <v>0</v>
      </c>
      <c r="O136" s="431">
        <f t="shared" si="39"/>
        <v>0</v>
      </c>
    </row>
    <row r="137" spans="1:15" ht="17.100000000000001">
      <c r="A137" s="425" t="str">
        <f t="shared" si="37"/>
        <v>F</v>
      </c>
      <c r="B137" s="452" t="str">
        <f t="shared" si="38"/>
        <v xml:space="preserve">        CG Bonos- F</v>
      </c>
      <c r="C137" s="431">
        <f>+SUMIFS(Ventas!$X:$X,Ventas!$R:$R,"Bonos",Ventas!$B:$B,Rev!$A137,Ventas!$S:$S,"&gt;="&amp;Rev!C$1,Ventas!$S:$S,"&lt;="&amp;EOMONTH(Rev!C$1,0))</f>
        <v>0</v>
      </c>
      <c r="D137" s="431">
        <f>+SUMIFS(Ventas!$X:$X,Ventas!$R:$R,"Bonos",Ventas!$B:$B,Rev!$A137,Ventas!$S:$S,"&gt;="&amp;Rev!D$1,Ventas!$S:$S,"&lt;="&amp;EOMONTH(Rev!D$1,0))</f>
        <v>0</v>
      </c>
      <c r="E137" s="431">
        <f>+SUMIFS(Ventas!$X:$X,Ventas!$R:$R,"Bonos",Ventas!$B:$B,Rev!$A137,Ventas!$S:$S,"&gt;="&amp;Rev!E$1,Ventas!$S:$S,"&lt;="&amp;EOMONTH(Rev!E$1,0))</f>
        <v>0</v>
      </c>
      <c r="F137" s="431">
        <f>+SUMIFS(Ventas!$X:$X,Ventas!$R:$R,"Bonos",Ventas!$B:$B,Rev!$A137,Ventas!$S:$S,"&gt;="&amp;Rev!F$1,Ventas!$S:$S,"&lt;="&amp;EOMONTH(Rev!F$1,0))</f>
        <v>0</v>
      </c>
      <c r="G137" s="431">
        <f>+SUMIFS(Ventas!$X:$X,Ventas!$R:$R,"Bonos",Ventas!$B:$B,Rev!$A137,Ventas!$S:$S,"&gt;="&amp;Rev!G$1,Ventas!$S:$S,"&lt;="&amp;EOMONTH(Rev!G$1,0))</f>
        <v>0</v>
      </c>
      <c r="H137" s="431">
        <f>+SUMIFS(Ventas!$X:$X,Ventas!$R:$R,"Bonos",Ventas!$B:$B,Rev!$A137,Ventas!$S:$S,"&gt;="&amp;Rev!H$1,Ventas!$S:$S,"&lt;="&amp;EOMONTH(Rev!H$1,0))</f>
        <v>0</v>
      </c>
      <c r="I137" s="431">
        <f>+SUMIFS(Ventas!$X:$X,Ventas!$R:$R,"Bonos",Ventas!$B:$B,Rev!$A137,Ventas!$S:$S,"&gt;="&amp;Rev!I$1,Ventas!$S:$S,"&lt;="&amp;EOMONTH(Rev!I$1,0))</f>
        <v>0</v>
      </c>
      <c r="J137" s="431">
        <f>+SUMIFS(Ventas!$X:$X,Ventas!$R:$R,"Bonos",Ventas!$B:$B,Rev!$A137,Ventas!$S:$S,"&gt;="&amp;Rev!J$1,Ventas!$S:$S,"&lt;="&amp;EOMONTH(Rev!J$1,0))</f>
        <v>0</v>
      </c>
      <c r="K137" s="431">
        <f>+SUMIFS(Ventas!$X:$X,Ventas!$R:$R,"Bonos",Ventas!$B:$B,Rev!$A137,Ventas!$S:$S,"&gt;="&amp;Rev!K$1,Ventas!$S:$S,"&lt;="&amp;EOMONTH(Rev!K$1,0))</f>
        <v>0</v>
      </c>
      <c r="L137" s="431">
        <f>+SUMIFS(Ventas!$X:$X,Ventas!$R:$R,"Bonos",Ventas!$B:$B,Rev!$A137,Ventas!$S:$S,"&gt;="&amp;Rev!L$1,Ventas!$S:$S,"&lt;="&amp;EOMONTH(Rev!L$1,0))</f>
        <v>0</v>
      </c>
      <c r="M137" s="431">
        <f>+SUMIFS(Ventas!$X:$X,Ventas!$R:$R,"Bonos",Ventas!$B:$B,Rev!$A137,Ventas!$S:$S,"&gt;="&amp;Rev!M$1,Ventas!$S:$S,"&lt;="&amp;EOMONTH(Rev!M$1,0))</f>
        <v>0</v>
      </c>
      <c r="N137" s="431">
        <f>+SUMIFS(Ventas!$X:$X,Ventas!$R:$R,"Bonos",Ventas!$B:$B,Rev!$A137,Ventas!$S:$S,"&gt;="&amp;Rev!N$1,Ventas!$S:$S,"&lt;="&amp;EOMONTH(Rev!N$1,0))</f>
        <v>0</v>
      </c>
      <c r="O137" s="431">
        <f t="shared" si="39"/>
        <v>0</v>
      </c>
    </row>
    <row r="138" spans="1:15" ht="17.100000000000001">
      <c r="A138" s="425" t="str">
        <f t="shared" si="37"/>
        <v>G</v>
      </c>
      <c r="B138" s="452" t="str">
        <f t="shared" si="38"/>
        <v xml:space="preserve">        CG Bonos- G</v>
      </c>
      <c r="C138" s="431">
        <f>+SUMIFS(Ventas!$X:$X,Ventas!$R:$R,"Bonos",Ventas!$B:$B,Rev!$A138,Ventas!$S:$S,"&gt;="&amp;Rev!C$1,Ventas!$S:$S,"&lt;="&amp;EOMONTH(Rev!C$1,0))</f>
        <v>0</v>
      </c>
      <c r="D138" s="431">
        <f>+SUMIFS(Ventas!$X:$X,Ventas!$R:$R,"Bonos",Ventas!$B:$B,Rev!$A138,Ventas!$S:$S,"&gt;="&amp;Rev!D$1,Ventas!$S:$S,"&lt;="&amp;EOMONTH(Rev!D$1,0))</f>
        <v>0</v>
      </c>
      <c r="E138" s="431">
        <f>+SUMIFS(Ventas!$X:$X,Ventas!$R:$R,"Bonos",Ventas!$B:$B,Rev!$A138,Ventas!$S:$S,"&gt;="&amp;Rev!E$1,Ventas!$S:$S,"&lt;="&amp;EOMONTH(Rev!E$1,0))</f>
        <v>0</v>
      </c>
      <c r="F138" s="431">
        <f>+SUMIFS(Ventas!$X:$X,Ventas!$R:$R,"Bonos",Ventas!$B:$B,Rev!$A138,Ventas!$S:$S,"&gt;="&amp;Rev!F$1,Ventas!$S:$S,"&lt;="&amp;EOMONTH(Rev!F$1,0))</f>
        <v>0</v>
      </c>
      <c r="G138" s="431">
        <f>+SUMIFS(Ventas!$X:$X,Ventas!$R:$R,"Bonos",Ventas!$B:$B,Rev!$A138,Ventas!$S:$S,"&gt;="&amp;Rev!G$1,Ventas!$S:$S,"&lt;="&amp;EOMONTH(Rev!G$1,0))</f>
        <v>0</v>
      </c>
      <c r="H138" s="431">
        <f>+SUMIFS(Ventas!$X:$X,Ventas!$R:$R,"Bonos",Ventas!$B:$B,Rev!$A138,Ventas!$S:$S,"&gt;="&amp;Rev!H$1,Ventas!$S:$S,"&lt;="&amp;EOMONTH(Rev!H$1,0))</f>
        <v>0</v>
      </c>
      <c r="I138" s="431">
        <f>+SUMIFS(Ventas!$X:$X,Ventas!$R:$R,"Bonos",Ventas!$B:$B,Rev!$A138,Ventas!$S:$S,"&gt;="&amp;Rev!I$1,Ventas!$S:$S,"&lt;="&amp;EOMONTH(Rev!I$1,0))</f>
        <v>0</v>
      </c>
      <c r="J138" s="431">
        <f>+SUMIFS(Ventas!$X:$X,Ventas!$R:$R,"Bonos",Ventas!$B:$B,Rev!$A138,Ventas!$S:$S,"&gt;="&amp;Rev!J$1,Ventas!$S:$S,"&lt;="&amp;EOMONTH(Rev!J$1,0))</f>
        <v>0</v>
      </c>
      <c r="K138" s="431">
        <f>+SUMIFS(Ventas!$X:$X,Ventas!$R:$R,"Bonos",Ventas!$B:$B,Rev!$A138,Ventas!$S:$S,"&gt;="&amp;Rev!K$1,Ventas!$S:$S,"&lt;="&amp;EOMONTH(Rev!K$1,0))</f>
        <v>0</v>
      </c>
      <c r="L138" s="431">
        <f>+SUMIFS(Ventas!$X:$X,Ventas!$R:$R,"Bonos",Ventas!$B:$B,Rev!$A138,Ventas!$S:$S,"&gt;="&amp;Rev!L$1,Ventas!$S:$S,"&lt;="&amp;EOMONTH(Rev!L$1,0))</f>
        <v>0</v>
      </c>
      <c r="M138" s="431">
        <f>+SUMIFS(Ventas!$X:$X,Ventas!$R:$R,"Bonos",Ventas!$B:$B,Rev!$A138,Ventas!$S:$S,"&gt;="&amp;Rev!M$1,Ventas!$S:$S,"&lt;="&amp;EOMONTH(Rev!M$1,0))</f>
        <v>0</v>
      </c>
      <c r="N138" s="431">
        <f>+SUMIFS(Ventas!$X:$X,Ventas!$R:$R,"Bonos",Ventas!$B:$B,Rev!$A138,Ventas!$S:$S,"&gt;="&amp;Rev!N$1,Ventas!$S:$S,"&lt;="&amp;EOMONTH(Rev!N$1,0))</f>
        <v>0</v>
      </c>
      <c r="O138" s="431">
        <f t="shared" si="39"/>
        <v>0</v>
      </c>
    </row>
    <row r="139" spans="1:15" ht="17.100000000000001">
      <c r="A139" s="425" t="str">
        <f t="shared" si="37"/>
        <v>H</v>
      </c>
      <c r="B139" s="452" t="str">
        <f t="shared" si="38"/>
        <v xml:space="preserve">        CG Bonos- H</v>
      </c>
      <c r="C139" s="431">
        <f>+SUMIFS(Ventas!$X:$X,Ventas!$R:$R,"Bonos",Ventas!$B:$B,Rev!$A139,Ventas!$S:$S,"&gt;="&amp;Rev!C$1,Ventas!$S:$S,"&lt;="&amp;EOMONTH(Rev!C$1,0))</f>
        <v>0</v>
      </c>
      <c r="D139" s="431">
        <f>+SUMIFS(Ventas!$X:$X,Ventas!$R:$R,"Bonos",Ventas!$B:$B,Rev!$A139,Ventas!$S:$S,"&gt;="&amp;Rev!D$1,Ventas!$S:$S,"&lt;="&amp;EOMONTH(Rev!D$1,0))</f>
        <v>0</v>
      </c>
      <c r="E139" s="431">
        <f>+SUMIFS(Ventas!$X:$X,Ventas!$R:$R,"Bonos",Ventas!$B:$B,Rev!$A139,Ventas!$S:$S,"&gt;="&amp;Rev!E$1,Ventas!$S:$S,"&lt;="&amp;EOMONTH(Rev!E$1,0))</f>
        <v>0</v>
      </c>
      <c r="F139" s="431">
        <f>+SUMIFS(Ventas!$X:$X,Ventas!$R:$R,"Bonos",Ventas!$B:$B,Rev!$A139,Ventas!$S:$S,"&gt;="&amp;Rev!F$1,Ventas!$S:$S,"&lt;="&amp;EOMONTH(Rev!F$1,0))</f>
        <v>0</v>
      </c>
      <c r="G139" s="431">
        <f>+SUMIFS(Ventas!$X:$X,Ventas!$R:$R,"Bonos",Ventas!$B:$B,Rev!$A139,Ventas!$S:$S,"&gt;="&amp;Rev!G$1,Ventas!$S:$S,"&lt;="&amp;EOMONTH(Rev!G$1,0))</f>
        <v>0</v>
      </c>
      <c r="H139" s="431">
        <f>+SUMIFS(Ventas!$X:$X,Ventas!$R:$R,"Bonos",Ventas!$B:$B,Rev!$A139,Ventas!$S:$S,"&gt;="&amp;Rev!H$1,Ventas!$S:$S,"&lt;="&amp;EOMONTH(Rev!H$1,0))</f>
        <v>0</v>
      </c>
      <c r="I139" s="431">
        <f>+SUMIFS(Ventas!$X:$X,Ventas!$R:$R,"Bonos",Ventas!$B:$B,Rev!$A139,Ventas!$S:$S,"&gt;="&amp;Rev!I$1,Ventas!$S:$S,"&lt;="&amp;EOMONTH(Rev!I$1,0))</f>
        <v>0</v>
      </c>
      <c r="J139" s="431">
        <f>+SUMIFS(Ventas!$X:$X,Ventas!$R:$R,"Bonos",Ventas!$B:$B,Rev!$A139,Ventas!$S:$S,"&gt;="&amp;Rev!J$1,Ventas!$S:$S,"&lt;="&amp;EOMONTH(Rev!J$1,0))</f>
        <v>0</v>
      </c>
      <c r="K139" s="431">
        <f>+SUMIFS(Ventas!$X:$X,Ventas!$R:$R,"Bonos",Ventas!$B:$B,Rev!$A139,Ventas!$S:$S,"&gt;="&amp;Rev!K$1,Ventas!$S:$S,"&lt;="&amp;EOMONTH(Rev!K$1,0))</f>
        <v>0</v>
      </c>
      <c r="L139" s="431">
        <f>+SUMIFS(Ventas!$X:$X,Ventas!$R:$R,"Bonos",Ventas!$B:$B,Rev!$A139,Ventas!$S:$S,"&gt;="&amp;Rev!L$1,Ventas!$S:$S,"&lt;="&amp;EOMONTH(Rev!L$1,0))</f>
        <v>0</v>
      </c>
      <c r="M139" s="431">
        <f>+SUMIFS(Ventas!$X:$X,Ventas!$R:$R,"Bonos",Ventas!$B:$B,Rev!$A139,Ventas!$S:$S,"&gt;="&amp;Rev!M$1,Ventas!$S:$S,"&lt;="&amp;EOMONTH(Rev!M$1,0))</f>
        <v>0</v>
      </c>
      <c r="N139" s="431">
        <f>+SUMIFS(Ventas!$X:$X,Ventas!$R:$R,"Bonos",Ventas!$B:$B,Rev!$A139,Ventas!$S:$S,"&gt;="&amp;Rev!N$1,Ventas!$S:$S,"&lt;="&amp;EOMONTH(Rev!N$1,0))</f>
        <v>0</v>
      </c>
      <c r="O139" s="431">
        <f t="shared" si="39"/>
        <v>0</v>
      </c>
    </row>
    <row r="140" spans="1:15" ht="17.100000000000001">
      <c r="A140" s="425" t="str">
        <f t="shared" si="37"/>
        <v>I</v>
      </c>
      <c r="B140" s="452" t="str">
        <f t="shared" si="38"/>
        <v xml:space="preserve">        CG Bonos- I</v>
      </c>
      <c r="C140" s="431">
        <f>+SUMIFS(Ventas!$X:$X,Ventas!$R:$R,"Bonos",Ventas!$B:$B,Rev!$A140,Ventas!$S:$S,"&gt;="&amp;Rev!C$1,Ventas!$S:$S,"&lt;="&amp;EOMONTH(Rev!C$1,0))</f>
        <v>0</v>
      </c>
      <c r="D140" s="431">
        <f>+SUMIFS(Ventas!$X:$X,Ventas!$R:$R,"Bonos",Ventas!$B:$B,Rev!$A140,Ventas!$S:$S,"&gt;="&amp;Rev!D$1,Ventas!$S:$S,"&lt;="&amp;EOMONTH(Rev!D$1,0))</f>
        <v>0</v>
      </c>
      <c r="E140" s="431">
        <f>+SUMIFS(Ventas!$X:$X,Ventas!$R:$R,"Bonos",Ventas!$B:$B,Rev!$A140,Ventas!$S:$S,"&gt;="&amp;Rev!E$1,Ventas!$S:$S,"&lt;="&amp;EOMONTH(Rev!E$1,0))</f>
        <v>0</v>
      </c>
      <c r="F140" s="431">
        <f>+SUMIFS(Ventas!$X:$X,Ventas!$R:$R,"Bonos",Ventas!$B:$B,Rev!$A140,Ventas!$S:$S,"&gt;="&amp;Rev!F$1,Ventas!$S:$S,"&lt;="&amp;EOMONTH(Rev!F$1,0))</f>
        <v>0</v>
      </c>
      <c r="G140" s="431">
        <f>+SUMIFS(Ventas!$X:$X,Ventas!$R:$R,"Bonos",Ventas!$B:$B,Rev!$A140,Ventas!$S:$S,"&gt;="&amp;Rev!G$1,Ventas!$S:$S,"&lt;="&amp;EOMONTH(Rev!G$1,0))</f>
        <v>0</v>
      </c>
      <c r="H140" s="431">
        <f>+SUMIFS(Ventas!$X:$X,Ventas!$R:$R,"Bonos",Ventas!$B:$B,Rev!$A140,Ventas!$S:$S,"&gt;="&amp;Rev!H$1,Ventas!$S:$S,"&lt;="&amp;EOMONTH(Rev!H$1,0))</f>
        <v>0</v>
      </c>
      <c r="I140" s="431">
        <f>+SUMIFS(Ventas!$X:$X,Ventas!$R:$R,"Bonos",Ventas!$B:$B,Rev!$A140,Ventas!$S:$S,"&gt;="&amp;Rev!I$1,Ventas!$S:$S,"&lt;="&amp;EOMONTH(Rev!I$1,0))</f>
        <v>0</v>
      </c>
      <c r="J140" s="431">
        <f>+SUMIFS(Ventas!$X:$X,Ventas!$R:$R,"Bonos",Ventas!$B:$B,Rev!$A140,Ventas!$S:$S,"&gt;="&amp;Rev!J$1,Ventas!$S:$S,"&lt;="&amp;EOMONTH(Rev!J$1,0))</f>
        <v>0</v>
      </c>
      <c r="K140" s="431">
        <f>+SUMIFS(Ventas!$X:$X,Ventas!$R:$R,"Bonos",Ventas!$B:$B,Rev!$A140,Ventas!$S:$S,"&gt;="&amp;Rev!K$1,Ventas!$S:$S,"&lt;="&amp;EOMONTH(Rev!K$1,0))</f>
        <v>0</v>
      </c>
      <c r="L140" s="431">
        <f>+SUMIFS(Ventas!$X:$X,Ventas!$R:$R,"Bonos",Ventas!$B:$B,Rev!$A140,Ventas!$S:$S,"&gt;="&amp;Rev!L$1,Ventas!$S:$S,"&lt;="&amp;EOMONTH(Rev!L$1,0))</f>
        <v>0</v>
      </c>
      <c r="M140" s="431">
        <f>+SUMIFS(Ventas!$X:$X,Ventas!$R:$R,"Bonos",Ventas!$B:$B,Rev!$A140,Ventas!$S:$S,"&gt;="&amp;Rev!M$1,Ventas!$S:$S,"&lt;="&amp;EOMONTH(Rev!M$1,0))</f>
        <v>0</v>
      </c>
      <c r="N140" s="431">
        <f>+SUMIFS(Ventas!$X:$X,Ventas!$R:$R,"Bonos",Ventas!$B:$B,Rev!$A140,Ventas!$S:$S,"&gt;="&amp;Rev!N$1,Ventas!$S:$S,"&lt;="&amp;EOMONTH(Rev!N$1,0))</f>
        <v>0</v>
      </c>
      <c r="O140" s="431">
        <f t="shared" si="39"/>
        <v>0</v>
      </c>
    </row>
    <row r="141" spans="1:15" ht="17.100000000000001">
      <c r="A141" s="425" t="str">
        <f t="shared" si="37"/>
        <v>J</v>
      </c>
      <c r="B141" s="452" t="str">
        <f t="shared" si="38"/>
        <v xml:space="preserve">        CG Bonos- J</v>
      </c>
      <c r="C141" s="431">
        <f>+SUMIFS(Ventas!$X:$X,Ventas!$R:$R,"Bonos",Ventas!$B:$B,Rev!$A141,Ventas!$S:$S,"&gt;="&amp;Rev!C$1,Ventas!$S:$S,"&lt;="&amp;EOMONTH(Rev!C$1,0))</f>
        <v>0</v>
      </c>
      <c r="D141" s="431">
        <f>+SUMIFS(Ventas!$X:$X,Ventas!$R:$R,"Bonos",Ventas!$B:$B,Rev!$A141,Ventas!$S:$S,"&gt;="&amp;Rev!D$1,Ventas!$S:$S,"&lt;="&amp;EOMONTH(Rev!D$1,0))</f>
        <v>0</v>
      </c>
      <c r="E141" s="431">
        <f>+SUMIFS(Ventas!$X:$X,Ventas!$R:$R,"Bonos",Ventas!$B:$B,Rev!$A141,Ventas!$S:$S,"&gt;="&amp;Rev!E$1,Ventas!$S:$S,"&lt;="&amp;EOMONTH(Rev!E$1,0))</f>
        <v>0</v>
      </c>
      <c r="F141" s="431">
        <f>+SUMIFS(Ventas!$X:$X,Ventas!$R:$R,"Bonos",Ventas!$B:$B,Rev!$A141,Ventas!$S:$S,"&gt;="&amp;Rev!F$1,Ventas!$S:$S,"&lt;="&amp;EOMONTH(Rev!F$1,0))</f>
        <v>0</v>
      </c>
      <c r="G141" s="431">
        <f>+SUMIFS(Ventas!$X:$X,Ventas!$R:$R,"Bonos",Ventas!$B:$B,Rev!$A141,Ventas!$S:$S,"&gt;="&amp;Rev!G$1,Ventas!$S:$S,"&lt;="&amp;EOMONTH(Rev!G$1,0))</f>
        <v>0</v>
      </c>
      <c r="H141" s="431">
        <f>+SUMIFS(Ventas!$X:$X,Ventas!$R:$R,"Bonos",Ventas!$B:$B,Rev!$A141,Ventas!$S:$S,"&gt;="&amp;Rev!H$1,Ventas!$S:$S,"&lt;="&amp;EOMONTH(Rev!H$1,0))</f>
        <v>0</v>
      </c>
      <c r="I141" s="431">
        <f>+SUMIFS(Ventas!$X:$X,Ventas!$R:$R,"Bonos",Ventas!$B:$B,Rev!$A141,Ventas!$S:$S,"&gt;="&amp;Rev!I$1,Ventas!$S:$S,"&lt;="&amp;EOMONTH(Rev!I$1,0))</f>
        <v>0</v>
      </c>
      <c r="J141" s="431">
        <f>+SUMIFS(Ventas!$X:$X,Ventas!$R:$R,"Bonos",Ventas!$B:$B,Rev!$A141,Ventas!$S:$S,"&gt;="&amp;Rev!J$1,Ventas!$S:$S,"&lt;="&amp;EOMONTH(Rev!J$1,0))</f>
        <v>0</v>
      </c>
      <c r="K141" s="431">
        <f>+SUMIFS(Ventas!$X:$X,Ventas!$R:$R,"Bonos",Ventas!$B:$B,Rev!$A141,Ventas!$S:$S,"&gt;="&amp;Rev!K$1,Ventas!$S:$S,"&lt;="&amp;EOMONTH(Rev!K$1,0))</f>
        <v>0</v>
      </c>
      <c r="L141" s="431">
        <f>+SUMIFS(Ventas!$X:$X,Ventas!$R:$R,"Bonos",Ventas!$B:$B,Rev!$A141,Ventas!$S:$S,"&gt;="&amp;Rev!L$1,Ventas!$S:$S,"&lt;="&amp;EOMONTH(Rev!L$1,0))</f>
        <v>0</v>
      </c>
      <c r="M141" s="431">
        <f>+SUMIFS(Ventas!$X:$X,Ventas!$R:$R,"Bonos",Ventas!$B:$B,Rev!$A141,Ventas!$S:$S,"&gt;="&amp;Rev!M$1,Ventas!$S:$S,"&lt;="&amp;EOMONTH(Rev!M$1,0))</f>
        <v>0</v>
      </c>
      <c r="N141" s="431">
        <f>+SUMIFS(Ventas!$X:$X,Ventas!$R:$R,"Bonos",Ventas!$B:$B,Rev!$A141,Ventas!$S:$S,"&gt;="&amp;Rev!N$1,Ventas!$S:$S,"&lt;="&amp;EOMONTH(Rev!N$1,0))</f>
        <v>0</v>
      </c>
      <c r="O141" s="431">
        <f t="shared" si="39"/>
        <v>0</v>
      </c>
    </row>
    <row r="142" spans="1:15" ht="17.100000000000001">
      <c r="A142" s="425" t="str">
        <f t="shared" si="37"/>
        <v>K</v>
      </c>
      <c r="B142" s="452" t="str">
        <f t="shared" si="38"/>
        <v xml:space="preserve">        CG Bonos- K</v>
      </c>
      <c r="C142" s="431">
        <f>+SUMIFS(Ventas!$X:$X,Ventas!$R:$R,"Bonos",Ventas!$B:$B,Rev!$A142,Ventas!$S:$S,"&gt;="&amp;Rev!C$1,Ventas!$S:$S,"&lt;="&amp;EOMONTH(Rev!C$1,0))</f>
        <v>0</v>
      </c>
      <c r="D142" s="431">
        <f>+SUMIFS(Ventas!$X:$X,Ventas!$R:$R,"Bonos",Ventas!$B:$B,Rev!$A142,Ventas!$S:$S,"&gt;="&amp;Rev!D$1,Ventas!$S:$S,"&lt;="&amp;EOMONTH(Rev!D$1,0))</f>
        <v>0</v>
      </c>
      <c r="E142" s="431">
        <f>+SUMIFS(Ventas!$X:$X,Ventas!$R:$R,"Bonos",Ventas!$B:$B,Rev!$A142,Ventas!$S:$S,"&gt;="&amp;Rev!E$1,Ventas!$S:$S,"&lt;="&amp;EOMONTH(Rev!E$1,0))</f>
        <v>0</v>
      </c>
      <c r="F142" s="431">
        <f>+SUMIFS(Ventas!$X:$X,Ventas!$R:$R,"Bonos",Ventas!$B:$B,Rev!$A142,Ventas!$S:$S,"&gt;="&amp;Rev!F$1,Ventas!$S:$S,"&lt;="&amp;EOMONTH(Rev!F$1,0))</f>
        <v>0</v>
      </c>
      <c r="G142" s="431">
        <f>+SUMIFS(Ventas!$X:$X,Ventas!$R:$R,"Bonos",Ventas!$B:$B,Rev!$A142,Ventas!$S:$S,"&gt;="&amp;Rev!G$1,Ventas!$S:$S,"&lt;="&amp;EOMONTH(Rev!G$1,0))</f>
        <v>0</v>
      </c>
      <c r="H142" s="431">
        <f>+SUMIFS(Ventas!$X:$X,Ventas!$R:$R,"Bonos",Ventas!$B:$B,Rev!$A142,Ventas!$S:$S,"&gt;="&amp;Rev!H$1,Ventas!$S:$S,"&lt;="&amp;EOMONTH(Rev!H$1,0))</f>
        <v>0</v>
      </c>
      <c r="I142" s="431">
        <f>+SUMIFS(Ventas!$X:$X,Ventas!$R:$R,"Bonos",Ventas!$B:$B,Rev!$A142,Ventas!$S:$S,"&gt;="&amp;Rev!I$1,Ventas!$S:$S,"&lt;="&amp;EOMONTH(Rev!I$1,0))</f>
        <v>0</v>
      </c>
      <c r="J142" s="431">
        <f>+SUMIFS(Ventas!$X:$X,Ventas!$R:$R,"Bonos",Ventas!$B:$B,Rev!$A142,Ventas!$S:$S,"&gt;="&amp;Rev!J$1,Ventas!$S:$S,"&lt;="&amp;EOMONTH(Rev!J$1,0))</f>
        <v>0</v>
      </c>
      <c r="K142" s="431">
        <f>+SUMIFS(Ventas!$X:$X,Ventas!$R:$R,"Bonos",Ventas!$B:$B,Rev!$A142,Ventas!$S:$S,"&gt;="&amp;Rev!K$1,Ventas!$S:$S,"&lt;="&amp;EOMONTH(Rev!K$1,0))</f>
        <v>0</v>
      </c>
      <c r="L142" s="431">
        <f>+SUMIFS(Ventas!$X:$X,Ventas!$R:$R,"Bonos",Ventas!$B:$B,Rev!$A142,Ventas!$S:$S,"&gt;="&amp;Rev!L$1,Ventas!$S:$S,"&lt;="&amp;EOMONTH(Rev!L$1,0))</f>
        <v>0</v>
      </c>
      <c r="M142" s="431">
        <f>+SUMIFS(Ventas!$X:$X,Ventas!$R:$R,"Bonos",Ventas!$B:$B,Rev!$A142,Ventas!$S:$S,"&gt;="&amp;Rev!M$1,Ventas!$S:$S,"&lt;="&amp;EOMONTH(Rev!M$1,0))</f>
        <v>0</v>
      </c>
      <c r="N142" s="431">
        <f>+SUMIFS(Ventas!$X:$X,Ventas!$R:$R,"Bonos",Ventas!$B:$B,Rev!$A142,Ventas!$S:$S,"&gt;="&amp;Rev!N$1,Ventas!$S:$S,"&lt;="&amp;EOMONTH(Rev!N$1,0))</f>
        <v>0</v>
      </c>
      <c r="O142" s="431">
        <f t="shared" si="39"/>
        <v>0</v>
      </c>
    </row>
    <row r="143" spans="1:15" ht="17.100000000000001">
      <c r="A143" s="416"/>
      <c r="B143" s="426" t="s">
        <v>830</v>
      </c>
      <c r="C143" s="427">
        <f>SUM(C132:C142)</f>
        <v>0</v>
      </c>
      <c r="D143" s="427">
        <f t="shared" ref="D143:O143" si="40">SUM(D132:D142)</f>
        <v>0</v>
      </c>
      <c r="E143" s="427">
        <f t="shared" si="40"/>
        <v>0</v>
      </c>
      <c r="F143" s="427">
        <f t="shared" si="40"/>
        <v>0</v>
      </c>
      <c r="G143" s="427">
        <f t="shared" si="40"/>
        <v>0</v>
      </c>
      <c r="H143" s="427">
        <f t="shared" si="40"/>
        <v>0</v>
      </c>
      <c r="I143" s="427">
        <f t="shared" si="40"/>
        <v>0</v>
      </c>
      <c r="J143" s="427">
        <f t="shared" si="40"/>
        <v>0</v>
      </c>
      <c r="K143" s="427">
        <f t="shared" si="40"/>
        <v>0</v>
      </c>
      <c r="L143" s="427">
        <f t="shared" si="40"/>
        <v>0</v>
      </c>
      <c r="M143" s="427">
        <f t="shared" si="40"/>
        <v>0</v>
      </c>
      <c r="N143" s="427">
        <f t="shared" si="40"/>
        <v>0</v>
      </c>
      <c r="O143" s="427">
        <f t="shared" si="40"/>
        <v>0</v>
      </c>
    </row>
    <row r="144" spans="1:15" ht="17.100000000000001">
      <c r="A144" s="416"/>
      <c r="B144" s="420" t="s">
        <v>796</v>
      </c>
      <c r="C144" s="423"/>
      <c r="D144" s="423"/>
      <c r="E144" s="423"/>
      <c r="F144" s="423"/>
      <c r="G144" s="423"/>
      <c r="H144" s="423"/>
      <c r="I144" s="423"/>
      <c r="J144" s="423"/>
      <c r="K144" s="423"/>
      <c r="L144" s="423"/>
      <c r="M144" s="423"/>
      <c r="N144" s="423"/>
      <c r="O144" s="423"/>
    </row>
    <row r="145" spans="1:15" ht="17.100000000000001">
      <c r="A145" s="416"/>
      <c r="B145" s="420" t="s">
        <v>831</v>
      </c>
      <c r="C145" s="423"/>
      <c r="D145" s="423"/>
      <c r="E145" s="423"/>
      <c r="F145" s="423"/>
      <c r="G145" s="423"/>
      <c r="H145" s="423"/>
      <c r="I145" s="423"/>
      <c r="J145" s="423"/>
      <c r="K145" s="423"/>
      <c r="L145" s="423"/>
      <c r="M145" s="423"/>
      <c r="N145" s="423"/>
      <c r="O145" s="423"/>
    </row>
    <row r="146" spans="1:15" ht="17.100000000000001">
      <c r="A146" s="425">
        <f>+A132</f>
        <v>1175000</v>
      </c>
      <c r="B146" s="452" t="str">
        <f>+CONCATENATE("        Total CG - ",A146)</f>
        <v xml:space="preserve">        Total CG - 1175000</v>
      </c>
      <c r="C146" s="430">
        <f>+C118+C132</f>
        <v>39039.748166818805</v>
      </c>
      <c r="D146" s="430">
        <f t="shared" ref="D146:N146" si="41">+D118+D132</f>
        <v>6693.114094982082</v>
      </c>
      <c r="E146" s="430">
        <f t="shared" si="41"/>
        <v>6322.2617959139225</v>
      </c>
      <c r="F146" s="430">
        <f t="shared" si="41"/>
        <v>181823.11653410006</v>
      </c>
      <c r="G146" s="430">
        <f t="shared" si="41"/>
        <v>-8214.8985494858098</v>
      </c>
      <c r="H146" s="430">
        <f t="shared" si="41"/>
        <v>-13138.083774138833</v>
      </c>
      <c r="I146" s="430">
        <f t="shared" si="41"/>
        <v>-3631.3123458739028</v>
      </c>
      <c r="J146" s="430">
        <f t="shared" si="41"/>
        <v>7095.8773505904019</v>
      </c>
      <c r="K146" s="430">
        <f t="shared" si="41"/>
        <v>-6592.2154877268149</v>
      </c>
      <c r="L146" s="430">
        <f t="shared" si="41"/>
        <v>-11416.368732793517</v>
      </c>
      <c r="M146" s="430">
        <f t="shared" si="41"/>
        <v>-7042.7244643736149</v>
      </c>
      <c r="N146" s="430">
        <f t="shared" si="41"/>
        <v>-6767.4236006456485</v>
      </c>
      <c r="O146" s="431">
        <f>SUM(C146:N146)</f>
        <v>184171.09098736712</v>
      </c>
    </row>
    <row r="147" spans="1:15" ht="17.100000000000001">
      <c r="A147" s="425">
        <f t="shared" ref="A147:A156" si="42">+A133</f>
        <v>1179000</v>
      </c>
      <c r="B147" s="452" t="str">
        <f t="shared" ref="B147:B156" si="43">+CONCATENATE("        Total CG - ",A147)</f>
        <v xml:space="preserve">        Total CG - 1179000</v>
      </c>
      <c r="C147" s="430">
        <f t="shared" ref="C147:N156" si="44">+C119+C133</f>
        <v>37652.806299236159</v>
      </c>
      <c r="D147" s="430">
        <f t="shared" si="44"/>
        <v>103794.33556251921</v>
      </c>
      <c r="E147" s="430">
        <f t="shared" si="44"/>
        <v>-15857.445132598983</v>
      </c>
      <c r="F147" s="430">
        <f t="shared" si="44"/>
        <v>101881.23234205118</v>
      </c>
      <c r="G147" s="430">
        <f t="shared" si="44"/>
        <v>-657.32514053046725</v>
      </c>
      <c r="H147" s="430">
        <f t="shared" si="44"/>
        <v>-170327.76206229982</v>
      </c>
      <c r="I147" s="430">
        <f t="shared" si="44"/>
        <v>1238.1800000000003</v>
      </c>
      <c r="J147" s="430">
        <f t="shared" si="44"/>
        <v>-87197.705009933707</v>
      </c>
      <c r="K147" s="430">
        <f t="shared" si="44"/>
        <v>13302.316403030551</v>
      </c>
      <c r="L147" s="430">
        <f t="shared" si="44"/>
        <v>-26219.080957789945</v>
      </c>
      <c r="M147" s="430">
        <f t="shared" si="44"/>
        <v>1430.8785903172393</v>
      </c>
      <c r="N147" s="430">
        <f t="shared" si="44"/>
        <v>0</v>
      </c>
      <c r="O147" s="431">
        <f>SUM(C147:N147)</f>
        <v>-40959.569105998569</v>
      </c>
    </row>
    <row r="148" spans="1:15" ht="17.100000000000001">
      <c r="A148" s="425">
        <f t="shared" si="42"/>
        <v>1427200</v>
      </c>
      <c r="B148" s="452" t="str">
        <f t="shared" si="43"/>
        <v xml:space="preserve">        Total CG - 1427200</v>
      </c>
      <c r="C148" s="430">
        <f t="shared" si="44"/>
        <v>-10963.56903509595</v>
      </c>
      <c r="D148" s="430">
        <f t="shared" si="44"/>
        <v>-15747.798677552626</v>
      </c>
      <c r="E148" s="430">
        <f t="shared" si="44"/>
        <v>-16900.032612044499</v>
      </c>
      <c r="F148" s="430">
        <f t="shared" si="44"/>
        <v>-20.641052934407071</v>
      </c>
      <c r="G148" s="430">
        <f t="shared" si="44"/>
        <v>-11118.229912616967</v>
      </c>
      <c r="H148" s="430">
        <f t="shared" si="44"/>
        <v>-5344.1026584970077</v>
      </c>
      <c r="I148" s="430">
        <f t="shared" si="44"/>
        <v>-37740.550722487977</v>
      </c>
      <c r="J148" s="430">
        <f t="shared" si="44"/>
        <v>-12938.38503030303</v>
      </c>
      <c r="K148" s="430">
        <f t="shared" si="44"/>
        <v>-67.859999999999673</v>
      </c>
      <c r="L148" s="430">
        <f t="shared" si="44"/>
        <v>-25826.278740691192</v>
      </c>
      <c r="M148" s="430">
        <f t="shared" si="44"/>
        <v>-12420.973885281384</v>
      </c>
      <c r="N148" s="430">
        <f t="shared" si="44"/>
        <v>-11558.05584285714</v>
      </c>
      <c r="O148" s="431">
        <f t="shared" ref="O148:O156" si="45">SUM(C148:N148)</f>
        <v>-160646.47817036218</v>
      </c>
    </row>
    <row r="149" spans="1:15" ht="17.100000000000001">
      <c r="A149" s="425" t="str">
        <f t="shared" si="42"/>
        <v>B22235000</v>
      </c>
      <c r="B149" s="452" t="str">
        <f t="shared" si="43"/>
        <v xml:space="preserve">        Total CG - B22235000</v>
      </c>
      <c r="C149" s="430">
        <f t="shared" si="44"/>
        <v>0</v>
      </c>
      <c r="D149" s="430">
        <f t="shared" si="44"/>
        <v>0</v>
      </c>
      <c r="E149" s="430">
        <f t="shared" si="44"/>
        <v>0</v>
      </c>
      <c r="F149" s="430">
        <f t="shared" si="44"/>
        <v>-8734.1498406522733</v>
      </c>
      <c r="G149" s="430">
        <f t="shared" si="44"/>
        <v>0</v>
      </c>
      <c r="H149" s="430">
        <f t="shared" si="44"/>
        <v>0</v>
      </c>
      <c r="I149" s="430">
        <f t="shared" si="44"/>
        <v>0</v>
      </c>
      <c r="J149" s="430">
        <f t="shared" si="44"/>
        <v>0</v>
      </c>
      <c r="K149" s="430">
        <f t="shared" si="44"/>
        <v>0</v>
      </c>
      <c r="L149" s="430">
        <f t="shared" si="44"/>
        <v>0</v>
      </c>
      <c r="M149" s="430">
        <f t="shared" si="44"/>
        <v>0</v>
      </c>
      <c r="N149" s="430">
        <f t="shared" si="44"/>
        <v>0</v>
      </c>
      <c r="O149" s="431">
        <f t="shared" si="45"/>
        <v>-8734.1498406522733</v>
      </c>
    </row>
    <row r="150" spans="1:15" ht="17.100000000000001">
      <c r="A150" s="425">
        <f t="shared" si="42"/>
        <v>700833580</v>
      </c>
      <c r="B150" s="452" t="str">
        <f t="shared" si="43"/>
        <v xml:space="preserve">        Total CG - 700833580</v>
      </c>
      <c r="C150" s="430">
        <f t="shared" si="44"/>
        <v>0</v>
      </c>
      <c r="D150" s="430">
        <f t="shared" si="44"/>
        <v>0</v>
      </c>
      <c r="E150" s="430">
        <f t="shared" si="44"/>
        <v>0</v>
      </c>
      <c r="F150" s="430">
        <f t="shared" si="44"/>
        <v>0</v>
      </c>
      <c r="G150" s="430">
        <f t="shared" si="44"/>
        <v>0</v>
      </c>
      <c r="H150" s="430">
        <f t="shared" si="44"/>
        <v>0</v>
      </c>
      <c r="I150" s="430">
        <f t="shared" si="44"/>
        <v>0</v>
      </c>
      <c r="J150" s="430">
        <f t="shared" si="44"/>
        <v>0</v>
      </c>
      <c r="K150" s="430">
        <f t="shared" si="44"/>
        <v>0</v>
      </c>
      <c r="L150" s="430">
        <f t="shared" si="44"/>
        <v>0</v>
      </c>
      <c r="M150" s="430">
        <f t="shared" si="44"/>
        <v>0</v>
      </c>
      <c r="N150" s="430">
        <f t="shared" si="44"/>
        <v>0</v>
      </c>
      <c r="O150" s="431">
        <f t="shared" si="45"/>
        <v>0</v>
      </c>
    </row>
    <row r="151" spans="1:15" ht="17.100000000000001">
      <c r="A151" s="425" t="str">
        <f t="shared" si="42"/>
        <v>F</v>
      </c>
      <c r="B151" s="452" t="str">
        <f t="shared" si="43"/>
        <v xml:space="preserve">        Total CG - F</v>
      </c>
      <c r="C151" s="430">
        <f t="shared" si="44"/>
        <v>0</v>
      </c>
      <c r="D151" s="430">
        <f t="shared" si="44"/>
        <v>0</v>
      </c>
      <c r="E151" s="430">
        <f t="shared" si="44"/>
        <v>0</v>
      </c>
      <c r="F151" s="430">
        <f t="shared" si="44"/>
        <v>0</v>
      </c>
      <c r="G151" s="430">
        <f t="shared" si="44"/>
        <v>0</v>
      </c>
      <c r="H151" s="430">
        <f t="shared" si="44"/>
        <v>0</v>
      </c>
      <c r="I151" s="430">
        <f t="shared" si="44"/>
        <v>0</v>
      </c>
      <c r="J151" s="430">
        <f t="shared" si="44"/>
        <v>0</v>
      </c>
      <c r="K151" s="430">
        <f t="shared" si="44"/>
        <v>0</v>
      </c>
      <c r="L151" s="430">
        <f t="shared" si="44"/>
        <v>0</v>
      </c>
      <c r="M151" s="430">
        <f t="shared" si="44"/>
        <v>0</v>
      </c>
      <c r="N151" s="430">
        <f t="shared" si="44"/>
        <v>0</v>
      </c>
      <c r="O151" s="431">
        <f t="shared" si="45"/>
        <v>0</v>
      </c>
    </row>
    <row r="152" spans="1:15" ht="17.100000000000001">
      <c r="A152" s="425" t="str">
        <f t="shared" si="42"/>
        <v>G</v>
      </c>
      <c r="B152" s="452" t="str">
        <f t="shared" si="43"/>
        <v xml:space="preserve">        Total CG - G</v>
      </c>
      <c r="C152" s="430">
        <f t="shared" si="44"/>
        <v>0</v>
      </c>
      <c r="D152" s="430">
        <f t="shared" si="44"/>
        <v>0</v>
      </c>
      <c r="E152" s="430">
        <f t="shared" si="44"/>
        <v>0</v>
      </c>
      <c r="F152" s="430">
        <f t="shared" si="44"/>
        <v>0</v>
      </c>
      <c r="G152" s="430">
        <f t="shared" si="44"/>
        <v>0</v>
      </c>
      <c r="H152" s="430">
        <f t="shared" si="44"/>
        <v>0</v>
      </c>
      <c r="I152" s="430">
        <f t="shared" si="44"/>
        <v>0</v>
      </c>
      <c r="J152" s="430">
        <f t="shared" si="44"/>
        <v>0</v>
      </c>
      <c r="K152" s="430">
        <f t="shared" si="44"/>
        <v>0</v>
      </c>
      <c r="L152" s="430">
        <f t="shared" si="44"/>
        <v>0</v>
      </c>
      <c r="M152" s="430">
        <f t="shared" si="44"/>
        <v>0</v>
      </c>
      <c r="N152" s="430">
        <f t="shared" si="44"/>
        <v>0</v>
      </c>
      <c r="O152" s="431">
        <f t="shared" si="45"/>
        <v>0</v>
      </c>
    </row>
    <row r="153" spans="1:15" ht="17.100000000000001">
      <c r="A153" s="425" t="str">
        <f t="shared" si="42"/>
        <v>H</v>
      </c>
      <c r="B153" s="452" t="str">
        <f t="shared" si="43"/>
        <v xml:space="preserve">        Total CG - H</v>
      </c>
      <c r="C153" s="430">
        <f t="shared" si="44"/>
        <v>0</v>
      </c>
      <c r="D153" s="430">
        <f t="shared" si="44"/>
        <v>0</v>
      </c>
      <c r="E153" s="430">
        <f t="shared" si="44"/>
        <v>0</v>
      </c>
      <c r="F153" s="430">
        <f t="shared" si="44"/>
        <v>0</v>
      </c>
      <c r="G153" s="430">
        <f t="shared" si="44"/>
        <v>0</v>
      </c>
      <c r="H153" s="430">
        <f t="shared" si="44"/>
        <v>0</v>
      </c>
      <c r="I153" s="430">
        <f t="shared" si="44"/>
        <v>0</v>
      </c>
      <c r="J153" s="430">
        <f t="shared" si="44"/>
        <v>0</v>
      </c>
      <c r="K153" s="430">
        <f t="shared" si="44"/>
        <v>0</v>
      </c>
      <c r="L153" s="430">
        <f t="shared" si="44"/>
        <v>0</v>
      </c>
      <c r="M153" s="430">
        <f t="shared" si="44"/>
        <v>0</v>
      </c>
      <c r="N153" s="430">
        <f t="shared" si="44"/>
        <v>0</v>
      </c>
      <c r="O153" s="431">
        <f t="shared" si="45"/>
        <v>0</v>
      </c>
    </row>
    <row r="154" spans="1:15" ht="17.100000000000001">
      <c r="A154" s="425" t="str">
        <f t="shared" si="42"/>
        <v>I</v>
      </c>
      <c r="B154" s="452" t="str">
        <f t="shared" si="43"/>
        <v xml:space="preserve">        Total CG - I</v>
      </c>
      <c r="C154" s="430">
        <f t="shared" si="44"/>
        <v>0</v>
      </c>
      <c r="D154" s="430">
        <f t="shared" si="44"/>
        <v>0</v>
      </c>
      <c r="E154" s="430">
        <f t="shared" si="44"/>
        <v>0</v>
      </c>
      <c r="F154" s="430">
        <f t="shared" si="44"/>
        <v>0</v>
      </c>
      <c r="G154" s="430">
        <f t="shared" si="44"/>
        <v>0</v>
      </c>
      <c r="H154" s="430">
        <f t="shared" si="44"/>
        <v>0</v>
      </c>
      <c r="I154" s="430">
        <f t="shared" si="44"/>
        <v>0</v>
      </c>
      <c r="J154" s="430">
        <f t="shared" si="44"/>
        <v>0</v>
      </c>
      <c r="K154" s="430">
        <f t="shared" si="44"/>
        <v>0</v>
      </c>
      <c r="L154" s="430">
        <f t="shared" si="44"/>
        <v>0</v>
      </c>
      <c r="M154" s="430">
        <f t="shared" si="44"/>
        <v>0</v>
      </c>
      <c r="N154" s="430">
        <f t="shared" si="44"/>
        <v>0</v>
      </c>
      <c r="O154" s="431">
        <f t="shared" si="45"/>
        <v>0</v>
      </c>
    </row>
    <row r="155" spans="1:15" ht="17.100000000000001">
      <c r="A155" s="425" t="str">
        <f t="shared" si="42"/>
        <v>J</v>
      </c>
      <c r="B155" s="452" t="str">
        <f t="shared" si="43"/>
        <v xml:space="preserve">        Total CG - J</v>
      </c>
      <c r="C155" s="430">
        <f t="shared" si="44"/>
        <v>0</v>
      </c>
      <c r="D155" s="430">
        <f t="shared" si="44"/>
        <v>0</v>
      </c>
      <c r="E155" s="430">
        <f t="shared" si="44"/>
        <v>0</v>
      </c>
      <c r="F155" s="430">
        <f t="shared" si="44"/>
        <v>0</v>
      </c>
      <c r="G155" s="430">
        <f t="shared" si="44"/>
        <v>0</v>
      </c>
      <c r="H155" s="430">
        <f t="shared" si="44"/>
        <v>0</v>
      </c>
      <c r="I155" s="430">
        <f t="shared" si="44"/>
        <v>0</v>
      </c>
      <c r="J155" s="430">
        <f t="shared" si="44"/>
        <v>0</v>
      </c>
      <c r="K155" s="430">
        <f t="shared" si="44"/>
        <v>0</v>
      </c>
      <c r="L155" s="430">
        <f t="shared" si="44"/>
        <v>0</v>
      </c>
      <c r="M155" s="430">
        <f t="shared" si="44"/>
        <v>0</v>
      </c>
      <c r="N155" s="430">
        <f t="shared" si="44"/>
        <v>0</v>
      </c>
      <c r="O155" s="431">
        <f t="shared" si="45"/>
        <v>0</v>
      </c>
    </row>
    <row r="156" spans="1:15" ht="17.100000000000001">
      <c r="A156" s="425" t="str">
        <f t="shared" si="42"/>
        <v>K</v>
      </c>
      <c r="B156" s="452" t="str">
        <f t="shared" si="43"/>
        <v xml:space="preserve">        Total CG - K</v>
      </c>
      <c r="C156" s="430">
        <f t="shared" si="44"/>
        <v>0</v>
      </c>
      <c r="D156" s="430">
        <f t="shared" si="44"/>
        <v>0</v>
      </c>
      <c r="E156" s="430">
        <f t="shared" si="44"/>
        <v>0</v>
      </c>
      <c r="F156" s="430">
        <f t="shared" si="44"/>
        <v>0</v>
      </c>
      <c r="G156" s="430">
        <f t="shared" si="44"/>
        <v>0</v>
      </c>
      <c r="H156" s="430">
        <f t="shared" si="44"/>
        <v>0</v>
      </c>
      <c r="I156" s="430">
        <f t="shared" si="44"/>
        <v>0</v>
      </c>
      <c r="J156" s="430">
        <f t="shared" si="44"/>
        <v>0</v>
      </c>
      <c r="K156" s="430">
        <f t="shared" si="44"/>
        <v>0</v>
      </c>
      <c r="L156" s="430">
        <f t="shared" si="44"/>
        <v>0</v>
      </c>
      <c r="M156" s="430">
        <f t="shared" si="44"/>
        <v>0</v>
      </c>
      <c r="N156" s="430">
        <f t="shared" si="44"/>
        <v>0</v>
      </c>
      <c r="O156" s="431">
        <f t="shared" si="45"/>
        <v>0</v>
      </c>
    </row>
    <row r="157" spans="1:15" ht="17.100000000000001">
      <c r="A157" s="416"/>
      <c r="B157" s="426" t="s">
        <v>831</v>
      </c>
      <c r="C157" s="427">
        <f>SUM(C146:C156)</f>
        <v>65728.985430959016</v>
      </c>
      <c r="D157" s="427">
        <f t="shared" ref="D157:O157" si="46">SUM(D146:D156)</f>
        <v>94739.650979948667</v>
      </c>
      <c r="E157" s="427">
        <f t="shared" si="46"/>
        <v>-26435.215948729558</v>
      </c>
      <c r="F157" s="427">
        <f t="shared" si="46"/>
        <v>274949.55798256455</v>
      </c>
      <c r="G157" s="427">
        <f t="shared" si="46"/>
        <v>-19990.453602633243</v>
      </c>
      <c r="H157" s="427">
        <f t="shared" si="46"/>
        <v>-188809.94849493564</v>
      </c>
      <c r="I157" s="427">
        <f t="shared" si="46"/>
        <v>-40133.683068361875</v>
      </c>
      <c r="J157" s="427">
        <f t="shared" si="46"/>
        <v>-93040.212689646345</v>
      </c>
      <c r="K157" s="427">
        <f t="shared" si="46"/>
        <v>6642.2409153037361</v>
      </c>
      <c r="L157" s="427">
        <f t="shared" si="46"/>
        <v>-63461.728431274649</v>
      </c>
      <c r="M157" s="427">
        <f t="shared" si="46"/>
        <v>-18032.819759337759</v>
      </c>
      <c r="N157" s="427">
        <f t="shared" si="46"/>
        <v>-18325.479443502787</v>
      </c>
      <c r="O157" s="427">
        <f t="shared" si="46"/>
        <v>-26169.106129645923</v>
      </c>
    </row>
    <row r="158" spans="1:15" ht="17.100000000000001">
      <c r="A158" s="416"/>
      <c r="B158" s="429"/>
      <c r="C158" s="423"/>
      <c r="D158" s="423"/>
      <c r="E158" s="423"/>
      <c r="F158" s="423"/>
      <c r="G158" s="423"/>
      <c r="H158" s="423"/>
      <c r="I158" s="423"/>
      <c r="J158" s="423"/>
      <c r="K158" s="423"/>
      <c r="L158" s="423"/>
      <c r="M158" s="423"/>
      <c r="N158" s="423"/>
      <c r="O158" s="423"/>
    </row>
    <row r="159" spans="1:15" ht="17.100000000000001">
      <c r="A159" s="416"/>
      <c r="B159" s="420" t="s">
        <v>832</v>
      </c>
      <c r="C159" s="423"/>
      <c r="D159" s="423"/>
      <c r="E159" s="423"/>
      <c r="F159" s="423"/>
      <c r="G159" s="423"/>
      <c r="H159" s="423"/>
      <c r="I159" s="423"/>
      <c r="J159" s="423"/>
      <c r="K159" s="423"/>
      <c r="L159" s="423"/>
      <c r="M159" s="423"/>
      <c r="N159" s="423"/>
      <c r="O159" s="423"/>
    </row>
    <row r="160" spans="1:15" ht="17.100000000000001">
      <c r="A160" s="425">
        <f>+A146</f>
        <v>1175000</v>
      </c>
      <c r="B160" s="452" t="str">
        <f t="shared" ref="B160:B170" si="47">+CONCATENATE("        Ganancias Cabiarias Realizadas - ",A160)</f>
        <v xml:space="preserve">        Ganancias Cabiarias Realizadas - 1175000</v>
      </c>
      <c r="C160" s="431">
        <f>+SUMIFS('Ganancias Cambiarias'!$I:$I,'Ganancias Cambiarias'!$B:$B,Rev!$A160,'Ganancias Cambiarias'!$C:$C,"&gt;="&amp;Rev!C$1,'Ganancias Cambiarias'!$C:$C,"&lt;="&amp;EOMONTH(Rev!C$1,0))</f>
        <v>0</v>
      </c>
      <c r="D160" s="431">
        <f>+SUMIFS('Ganancias Cambiarias'!$I:$I,'Ganancias Cambiarias'!$B:$B,Rev!$A160,'Ganancias Cambiarias'!$C:$C,"&gt;="&amp;Rev!D$1,'Ganancias Cambiarias'!$C:$C,"&lt;="&amp;EOMONTH(Rev!D$1,0))</f>
        <v>0</v>
      </c>
      <c r="E160" s="431">
        <f>+SUMIFS('Ganancias Cambiarias'!$I:$I,'Ganancias Cambiarias'!$B:$B,Rev!$A160,'Ganancias Cambiarias'!$C:$C,"&gt;="&amp;Rev!E$1,'Ganancias Cambiarias'!$C:$C,"&lt;="&amp;EOMONTH(Rev!E$1,0))</f>
        <v>0</v>
      </c>
      <c r="F160" s="431">
        <f>+SUMIFS('Ganancias Cambiarias'!$I:$I,'Ganancias Cambiarias'!$B:$B,Rev!$A160,'Ganancias Cambiarias'!$C:$C,"&gt;="&amp;Rev!F$1,'Ganancias Cambiarias'!$C:$C,"&lt;="&amp;EOMONTH(Rev!F$1,0))</f>
        <v>0</v>
      </c>
      <c r="G160" s="431">
        <f>+SUMIFS('Ganancias Cambiarias'!$I:$I,'Ganancias Cambiarias'!$B:$B,Rev!$A160,'Ganancias Cambiarias'!$C:$C,"&gt;="&amp;Rev!G$1,'Ganancias Cambiarias'!$C:$C,"&lt;="&amp;EOMONTH(Rev!G$1,0))</f>
        <v>0</v>
      </c>
      <c r="H160" s="431">
        <f>+SUMIFS('Ganancias Cambiarias'!$I:$I,'Ganancias Cambiarias'!$B:$B,Rev!$A160,'Ganancias Cambiarias'!$C:$C,"&gt;="&amp;Rev!H$1,'Ganancias Cambiarias'!$C:$C,"&lt;="&amp;EOMONTH(Rev!H$1,0))</f>
        <v>0</v>
      </c>
      <c r="I160" s="431">
        <f>+SUMIFS('Ganancias Cambiarias'!$I:$I,'Ganancias Cambiarias'!$B:$B,Rev!$A160,'Ganancias Cambiarias'!$C:$C,"&gt;="&amp;Rev!I$1,'Ganancias Cambiarias'!$C:$C,"&lt;="&amp;EOMONTH(Rev!I$1,0))</f>
        <v>0</v>
      </c>
      <c r="J160" s="431">
        <f>+SUMIFS('Ganancias Cambiarias'!$I:$I,'Ganancias Cambiarias'!$B:$B,Rev!$A160,'Ganancias Cambiarias'!$C:$C,"&gt;="&amp;Rev!J$1,'Ganancias Cambiarias'!$C:$C,"&lt;="&amp;EOMONTH(Rev!J$1,0))</f>
        <v>0</v>
      </c>
      <c r="K160" s="431">
        <f>+SUMIFS('Ganancias Cambiarias'!$I:$I,'Ganancias Cambiarias'!$B:$B,Rev!$A160,'Ganancias Cambiarias'!$C:$C,"&gt;="&amp;Rev!K$1,'Ganancias Cambiarias'!$C:$C,"&lt;="&amp;EOMONTH(Rev!K$1,0))</f>
        <v>0</v>
      </c>
      <c r="L160" s="431">
        <f>+SUMIFS('Ganancias Cambiarias'!$I:$I,'Ganancias Cambiarias'!$B:$B,Rev!$A160,'Ganancias Cambiarias'!$C:$C,"&gt;="&amp;Rev!L$1,'Ganancias Cambiarias'!$C:$C,"&lt;="&amp;EOMONTH(Rev!L$1,0))</f>
        <v>0</v>
      </c>
      <c r="M160" s="431">
        <f>+SUMIFS('Ganancias Cambiarias'!$I:$I,'Ganancias Cambiarias'!$B:$B,Rev!$A160,'Ganancias Cambiarias'!$C:$C,"&gt;="&amp;Rev!M$1,'Ganancias Cambiarias'!$C:$C,"&lt;="&amp;EOMONTH(Rev!M$1,0))</f>
        <v>0</v>
      </c>
      <c r="N160" s="431">
        <f>+SUMIFS('Ganancias Cambiarias'!$I:$I,'Ganancias Cambiarias'!$B:$B,Rev!$A160,'Ganancias Cambiarias'!$C:$C,"&gt;="&amp;Rev!N$1,'Ganancias Cambiarias'!$C:$C,"&lt;="&amp;EOMONTH(Rev!N$1,0))</f>
        <v>0</v>
      </c>
      <c r="O160" s="423">
        <f>SUM(C160:N160)</f>
        <v>0</v>
      </c>
    </row>
    <row r="161" spans="1:15" ht="17.100000000000001">
      <c r="A161" s="425">
        <f t="shared" ref="A161:A170" si="48">+A147</f>
        <v>1179000</v>
      </c>
      <c r="B161" s="452" t="str">
        <f t="shared" si="47"/>
        <v xml:space="preserve">        Ganancias Cabiarias Realizadas - 1179000</v>
      </c>
      <c r="C161" s="431">
        <f>+SUMIFS('Ganancias Cambiarias'!$I:$I,'Ganancias Cambiarias'!$B:$B,Rev!$A161,'Ganancias Cambiarias'!$C:$C,"&gt;="&amp;Rev!C$1,'Ganancias Cambiarias'!$C:$C,"&lt;="&amp;EOMONTH(Rev!C$1,0))</f>
        <v>0</v>
      </c>
      <c r="D161" s="431">
        <f>+SUMIFS('Ganancias Cambiarias'!$I:$I,'Ganancias Cambiarias'!$B:$B,Rev!$A161,'Ganancias Cambiarias'!$C:$C,"&gt;="&amp;Rev!D$1,'Ganancias Cambiarias'!$C:$C,"&lt;="&amp;EOMONTH(Rev!D$1,0))</f>
        <v>0</v>
      </c>
      <c r="E161" s="431">
        <f>+SUMIFS('Ganancias Cambiarias'!$I:$I,'Ganancias Cambiarias'!$B:$B,Rev!$A161,'Ganancias Cambiarias'!$C:$C,"&gt;="&amp;Rev!E$1,'Ganancias Cambiarias'!$C:$C,"&lt;="&amp;EOMONTH(Rev!E$1,0))</f>
        <v>0</v>
      </c>
      <c r="F161" s="431">
        <f>+SUMIFS('Ganancias Cambiarias'!$I:$I,'Ganancias Cambiarias'!$B:$B,Rev!$A161,'Ganancias Cambiarias'!$C:$C,"&gt;="&amp;Rev!F$1,'Ganancias Cambiarias'!$C:$C,"&lt;="&amp;EOMONTH(Rev!F$1,0))</f>
        <v>0</v>
      </c>
      <c r="G161" s="431">
        <f>+SUMIFS('Ganancias Cambiarias'!$I:$I,'Ganancias Cambiarias'!$B:$B,Rev!$A161,'Ganancias Cambiarias'!$C:$C,"&gt;="&amp;Rev!G$1,'Ganancias Cambiarias'!$C:$C,"&lt;="&amp;EOMONTH(Rev!G$1,0))</f>
        <v>0</v>
      </c>
      <c r="H161" s="431">
        <f>+SUMIFS('Ganancias Cambiarias'!$I:$I,'Ganancias Cambiarias'!$B:$B,Rev!$A161,'Ganancias Cambiarias'!$C:$C,"&gt;="&amp;Rev!H$1,'Ganancias Cambiarias'!$C:$C,"&lt;="&amp;EOMONTH(Rev!H$1,0))</f>
        <v>0</v>
      </c>
      <c r="I161" s="431">
        <f>+SUMIFS('Ganancias Cambiarias'!$I:$I,'Ganancias Cambiarias'!$B:$B,Rev!$A161,'Ganancias Cambiarias'!$C:$C,"&gt;="&amp;Rev!I$1,'Ganancias Cambiarias'!$C:$C,"&lt;="&amp;EOMONTH(Rev!I$1,0))</f>
        <v>0</v>
      </c>
      <c r="J161" s="431">
        <f>+SUMIFS('Ganancias Cambiarias'!$I:$I,'Ganancias Cambiarias'!$B:$B,Rev!$A161,'Ganancias Cambiarias'!$C:$C,"&gt;="&amp;Rev!J$1,'Ganancias Cambiarias'!$C:$C,"&lt;="&amp;EOMONTH(Rev!J$1,0))</f>
        <v>0</v>
      </c>
      <c r="K161" s="431">
        <f>+SUMIFS('Ganancias Cambiarias'!$I:$I,'Ganancias Cambiarias'!$B:$B,Rev!$A161,'Ganancias Cambiarias'!$C:$C,"&gt;="&amp;Rev!K$1,'Ganancias Cambiarias'!$C:$C,"&lt;="&amp;EOMONTH(Rev!K$1,0))</f>
        <v>0</v>
      </c>
      <c r="L161" s="431">
        <f>+SUMIFS('Ganancias Cambiarias'!$I:$I,'Ganancias Cambiarias'!$B:$B,Rev!$A161,'Ganancias Cambiarias'!$C:$C,"&gt;="&amp;Rev!L$1,'Ganancias Cambiarias'!$C:$C,"&lt;="&amp;EOMONTH(Rev!L$1,0))</f>
        <v>0</v>
      </c>
      <c r="M161" s="431">
        <f>+SUMIFS('Ganancias Cambiarias'!$I:$I,'Ganancias Cambiarias'!$B:$B,Rev!$A161,'Ganancias Cambiarias'!$C:$C,"&gt;="&amp;Rev!M$1,'Ganancias Cambiarias'!$C:$C,"&lt;="&amp;EOMONTH(Rev!M$1,0))</f>
        <v>0</v>
      </c>
      <c r="N161" s="431">
        <f>+SUMIFS('Ganancias Cambiarias'!$I:$I,'Ganancias Cambiarias'!$B:$B,Rev!$A161,'Ganancias Cambiarias'!$C:$C,"&gt;="&amp;Rev!N$1,'Ganancias Cambiarias'!$C:$C,"&lt;="&amp;EOMONTH(Rev!N$1,0))</f>
        <v>0</v>
      </c>
      <c r="O161" s="423">
        <f>SUM(C161:N161)</f>
        <v>0</v>
      </c>
    </row>
    <row r="162" spans="1:15" ht="17.100000000000001">
      <c r="A162" s="425">
        <f t="shared" si="48"/>
        <v>1427200</v>
      </c>
      <c r="B162" s="452" t="str">
        <f t="shared" si="47"/>
        <v xml:space="preserve">        Ganancias Cabiarias Realizadas - 1427200</v>
      </c>
      <c r="C162" s="431">
        <f>+SUMIFS('Ganancias Cambiarias'!$I:$I,'Ganancias Cambiarias'!$B:$B,Rev!$A162,'Ganancias Cambiarias'!$C:$C,"&gt;="&amp;Rev!C$1,'Ganancias Cambiarias'!$C:$C,"&lt;="&amp;EOMONTH(Rev!C$1,0))</f>
        <v>0</v>
      </c>
      <c r="D162" s="431">
        <f>+SUMIFS('Ganancias Cambiarias'!$I:$I,'Ganancias Cambiarias'!$B:$B,Rev!$A162,'Ganancias Cambiarias'!$C:$C,"&gt;="&amp;Rev!D$1,'Ganancias Cambiarias'!$C:$C,"&lt;="&amp;EOMONTH(Rev!D$1,0))</f>
        <v>0</v>
      </c>
      <c r="E162" s="431">
        <f>+SUMIFS('Ganancias Cambiarias'!$I:$I,'Ganancias Cambiarias'!$B:$B,Rev!$A162,'Ganancias Cambiarias'!$C:$C,"&gt;="&amp;Rev!E$1,'Ganancias Cambiarias'!$C:$C,"&lt;="&amp;EOMONTH(Rev!E$1,0))</f>
        <v>0</v>
      </c>
      <c r="F162" s="431">
        <f>+SUMIFS('Ganancias Cambiarias'!$I:$I,'Ganancias Cambiarias'!$B:$B,Rev!$A162,'Ganancias Cambiarias'!$C:$C,"&gt;="&amp;Rev!F$1,'Ganancias Cambiarias'!$C:$C,"&lt;="&amp;EOMONTH(Rev!F$1,0))</f>
        <v>0</v>
      </c>
      <c r="G162" s="431">
        <f>+SUMIFS('Ganancias Cambiarias'!$I:$I,'Ganancias Cambiarias'!$B:$B,Rev!$A162,'Ganancias Cambiarias'!$C:$C,"&gt;="&amp;Rev!G$1,'Ganancias Cambiarias'!$C:$C,"&lt;="&amp;EOMONTH(Rev!G$1,0))</f>
        <v>0</v>
      </c>
      <c r="H162" s="431">
        <f>+SUMIFS('Ganancias Cambiarias'!$I:$I,'Ganancias Cambiarias'!$B:$B,Rev!$A162,'Ganancias Cambiarias'!$C:$C,"&gt;="&amp;Rev!H$1,'Ganancias Cambiarias'!$C:$C,"&lt;="&amp;EOMONTH(Rev!H$1,0))</f>
        <v>0</v>
      </c>
      <c r="I162" s="431">
        <f>+SUMIFS('Ganancias Cambiarias'!$I:$I,'Ganancias Cambiarias'!$B:$B,Rev!$A162,'Ganancias Cambiarias'!$C:$C,"&gt;="&amp;Rev!I$1,'Ganancias Cambiarias'!$C:$C,"&lt;="&amp;EOMONTH(Rev!I$1,0))</f>
        <v>0</v>
      </c>
      <c r="J162" s="431">
        <f>+SUMIFS('Ganancias Cambiarias'!$I:$I,'Ganancias Cambiarias'!$B:$B,Rev!$A162,'Ganancias Cambiarias'!$C:$C,"&gt;="&amp;Rev!J$1,'Ganancias Cambiarias'!$C:$C,"&lt;="&amp;EOMONTH(Rev!J$1,0))</f>
        <v>0</v>
      </c>
      <c r="K162" s="431">
        <f>+SUMIFS('Ganancias Cambiarias'!$I:$I,'Ganancias Cambiarias'!$B:$B,Rev!$A162,'Ganancias Cambiarias'!$C:$C,"&gt;="&amp;Rev!K$1,'Ganancias Cambiarias'!$C:$C,"&lt;="&amp;EOMONTH(Rev!K$1,0))</f>
        <v>0</v>
      </c>
      <c r="L162" s="431">
        <f>+SUMIFS('Ganancias Cambiarias'!$I:$I,'Ganancias Cambiarias'!$B:$B,Rev!$A162,'Ganancias Cambiarias'!$C:$C,"&gt;="&amp;Rev!L$1,'Ganancias Cambiarias'!$C:$C,"&lt;="&amp;EOMONTH(Rev!L$1,0))</f>
        <v>0</v>
      </c>
      <c r="M162" s="431">
        <f>+SUMIFS('Ganancias Cambiarias'!$I:$I,'Ganancias Cambiarias'!$B:$B,Rev!$A162,'Ganancias Cambiarias'!$C:$C,"&gt;="&amp;Rev!M$1,'Ganancias Cambiarias'!$C:$C,"&lt;="&amp;EOMONTH(Rev!M$1,0))</f>
        <v>0</v>
      </c>
      <c r="N162" s="431">
        <f>+SUMIFS('Ganancias Cambiarias'!$I:$I,'Ganancias Cambiarias'!$B:$B,Rev!$A162,'Ganancias Cambiarias'!$C:$C,"&gt;="&amp;Rev!N$1,'Ganancias Cambiarias'!$C:$C,"&lt;="&amp;EOMONTH(Rev!N$1,0))</f>
        <v>0</v>
      </c>
      <c r="O162" s="423">
        <f t="shared" ref="O162:O170" si="49">SUM(C162:N162)</f>
        <v>0</v>
      </c>
    </row>
    <row r="163" spans="1:15" ht="17.100000000000001">
      <c r="A163" s="425" t="str">
        <f t="shared" si="48"/>
        <v>B22235000</v>
      </c>
      <c r="B163" s="452" t="str">
        <f t="shared" si="47"/>
        <v xml:space="preserve">        Ganancias Cabiarias Realizadas - B22235000</v>
      </c>
      <c r="C163" s="431">
        <f>+SUMIFS('Ganancias Cambiarias'!$I:$I,'Ganancias Cambiarias'!$B:$B,Rev!$A163,'Ganancias Cambiarias'!$C:$C,"&gt;="&amp;Rev!C$1,'Ganancias Cambiarias'!$C:$C,"&lt;="&amp;EOMONTH(Rev!C$1,0))</f>
        <v>0</v>
      </c>
      <c r="D163" s="431">
        <f>+SUMIFS('Ganancias Cambiarias'!$I:$I,'Ganancias Cambiarias'!$B:$B,Rev!$A163,'Ganancias Cambiarias'!$C:$C,"&gt;="&amp;Rev!D$1,'Ganancias Cambiarias'!$C:$C,"&lt;="&amp;EOMONTH(Rev!D$1,0))</f>
        <v>0</v>
      </c>
      <c r="E163" s="431">
        <f>+SUMIFS('Ganancias Cambiarias'!$I:$I,'Ganancias Cambiarias'!$B:$B,Rev!$A163,'Ganancias Cambiarias'!$C:$C,"&gt;="&amp;Rev!E$1,'Ganancias Cambiarias'!$C:$C,"&lt;="&amp;EOMONTH(Rev!E$1,0))</f>
        <v>0</v>
      </c>
      <c r="F163" s="431">
        <f>+SUMIFS('Ganancias Cambiarias'!$I:$I,'Ganancias Cambiarias'!$B:$B,Rev!$A163,'Ganancias Cambiarias'!$C:$C,"&gt;="&amp;Rev!F$1,'Ganancias Cambiarias'!$C:$C,"&lt;="&amp;EOMONTH(Rev!F$1,0))</f>
        <v>0</v>
      </c>
      <c r="G163" s="431">
        <f>+SUMIFS('Ganancias Cambiarias'!$I:$I,'Ganancias Cambiarias'!$B:$B,Rev!$A163,'Ganancias Cambiarias'!$C:$C,"&gt;="&amp;Rev!G$1,'Ganancias Cambiarias'!$C:$C,"&lt;="&amp;EOMONTH(Rev!G$1,0))</f>
        <v>0</v>
      </c>
      <c r="H163" s="431">
        <f>+SUMIFS('Ganancias Cambiarias'!$I:$I,'Ganancias Cambiarias'!$B:$B,Rev!$A163,'Ganancias Cambiarias'!$C:$C,"&gt;="&amp;Rev!H$1,'Ganancias Cambiarias'!$C:$C,"&lt;="&amp;EOMONTH(Rev!H$1,0))</f>
        <v>0</v>
      </c>
      <c r="I163" s="431">
        <f>+SUMIFS('Ganancias Cambiarias'!$I:$I,'Ganancias Cambiarias'!$B:$B,Rev!$A163,'Ganancias Cambiarias'!$C:$C,"&gt;="&amp;Rev!I$1,'Ganancias Cambiarias'!$C:$C,"&lt;="&amp;EOMONTH(Rev!I$1,0))</f>
        <v>0</v>
      </c>
      <c r="J163" s="431">
        <f>+SUMIFS('Ganancias Cambiarias'!$I:$I,'Ganancias Cambiarias'!$B:$B,Rev!$A163,'Ganancias Cambiarias'!$C:$C,"&gt;="&amp;Rev!J$1,'Ganancias Cambiarias'!$C:$C,"&lt;="&amp;EOMONTH(Rev!J$1,0))</f>
        <v>0</v>
      </c>
      <c r="K163" s="431">
        <f>+SUMIFS('Ganancias Cambiarias'!$I:$I,'Ganancias Cambiarias'!$B:$B,Rev!$A163,'Ganancias Cambiarias'!$C:$C,"&gt;="&amp;Rev!K$1,'Ganancias Cambiarias'!$C:$C,"&lt;="&amp;EOMONTH(Rev!K$1,0))</f>
        <v>0</v>
      </c>
      <c r="L163" s="431">
        <f>+SUMIFS('Ganancias Cambiarias'!$I:$I,'Ganancias Cambiarias'!$B:$B,Rev!$A163,'Ganancias Cambiarias'!$C:$C,"&gt;="&amp;Rev!L$1,'Ganancias Cambiarias'!$C:$C,"&lt;="&amp;EOMONTH(Rev!L$1,0))</f>
        <v>0</v>
      </c>
      <c r="M163" s="431">
        <f>+SUMIFS('Ganancias Cambiarias'!$I:$I,'Ganancias Cambiarias'!$B:$B,Rev!$A163,'Ganancias Cambiarias'!$C:$C,"&gt;="&amp;Rev!M$1,'Ganancias Cambiarias'!$C:$C,"&lt;="&amp;EOMONTH(Rev!M$1,0))</f>
        <v>0</v>
      </c>
      <c r="N163" s="431">
        <f>+SUMIFS('Ganancias Cambiarias'!$I:$I,'Ganancias Cambiarias'!$B:$B,Rev!$A163,'Ganancias Cambiarias'!$C:$C,"&gt;="&amp;Rev!N$1,'Ganancias Cambiarias'!$C:$C,"&lt;="&amp;EOMONTH(Rev!N$1,0))</f>
        <v>0</v>
      </c>
      <c r="O163" s="423">
        <f t="shared" si="49"/>
        <v>0</v>
      </c>
    </row>
    <row r="164" spans="1:15" ht="17.100000000000001">
      <c r="A164" s="425">
        <f t="shared" si="48"/>
        <v>700833580</v>
      </c>
      <c r="B164" s="452" t="str">
        <f t="shared" si="47"/>
        <v xml:space="preserve">        Ganancias Cabiarias Realizadas - 700833580</v>
      </c>
      <c r="C164" s="431">
        <f>+SUMIFS('Ganancias Cambiarias'!$I:$I,'Ganancias Cambiarias'!$B:$B,Rev!$A164,'Ganancias Cambiarias'!$C:$C,"&gt;="&amp;Rev!C$1,'Ganancias Cambiarias'!$C:$C,"&lt;="&amp;EOMONTH(Rev!C$1,0))</f>
        <v>0</v>
      </c>
      <c r="D164" s="431">
        <f>+SUMIFS('Ganancias Cambiarias'!$I:$I,'Ganancias Cambiarias'!$B:$B,Rev!$A164,'Ganancias Cambiarias'!$C:$C,"&gt;="&amp;Rev!D$1,'Ganancias Cambiarias'!$C:$C,"&lt;="&amp;EOMONTH(Rev!D$1,0))</f>
        <v>0</v>
      </c>
      <c r="E164" s="431">
        <f>+SUMIFS('Ganancias Cambiarias'!$I:$I,'Ganancias Cambiarias'!$B:$B,Rev!$A164,'Ganancias Cambiarias'!$C:$C,"&gt;="&amp;Rev!E$1,'Ganancias Cambiarias'!$C:$C,"&lt;="&amp;EOMONTH(Rev!E$1,0))</f>
        <v>0</v>
      </c>
      <c r="F164" s="431">
        <f>+SUMIFS('Ganancias Cambiarias'!$I:$I,'Ganancias Cambiarias'!$B:$B,Rev!$A164,'Ganancias Cambiarias'!$C:$C,"&gt;="&amp;Rev!F$1,'Ganancias Cambiarias'!$C:$C,"&lt;="&amp;EOMONTH(Rev!F$1,0))</f>
        <v>0</v>
      </c>
      <c r="G164" s="431">
        <f>+SUMIFS('Ganancias Cambiarias'!$I:$I,'Ganancias Cambiarias'!$B:$B,Rev!$A164,'Ganancias Cambiarias'!$C:$C,"&gt;="&amp;Rev!G$1,'Ganancias Cambiarias'!$C:$C,"&lt;="&amp;EOMONTH(Rev!G$1,0))</f>
        <v>0</v>
      </c>
      <c r="H164" s="431">
        <f>+SUMIFS('Ganancias Cambiarias'!$I:$I,'Ganancias Cambiarias'!$B:$B,Rev!$A164,'Ganancias Cambiarias'!$C:$C,"&gt;="&amp;Rev!H$1,'Ganancias Cambiarias'!$C:$C,"&lt;="&amp;EOMONTH(Rev!H$1,0))</f>
        <v>0</v>
      </c>
      <c r="I164" s="431">
        <f>+SUMIFS('Ganancias Cambiarias'!$I:$I,'Ganancias Cambiarias'!$B:$B,Rev!$A164,'Ganancias Cambiarias'!$C:$C,"&gt;="&amp;Rev!I$1,'Ganancias Cambiarias'!$C:$C,"&lt;="&amp;EOMONTH(Rev!I$1,0))</f>
        <v>0</v>
      </c>
      <c r="J164" s="431">
        <f>+SUMIFS('Ganancias Cambiarias'!$I:$I,'Ganancias Cambiarias'!$B:$B,Rev!$A164,'Ganancias Cambiarias'!$C:$C,"&gt;="&amp;Rev!J$1,'Ganancias Cambiarias'!$C:$C,"&lt;="&amp;EOMONTH(Rev!J$1,0))</f>
        <v>0</v>
      </c>
      <c r="K164" s="431">
        <f>+SUMIFS('Ganancias Cambiarias'!$I:$I,'Ganancias Cambiarias'!$B:$B,Rev!$A164,'Ganancias Cambiarias'!$C:$C,"&gt;="&amp;Rev!K$1,'Ganancias Cambiarias'!$C:$C,"&lt;="&amp;EOMONTH(Rev!K$1,0))</f>
        <v>0</v>
      </c>
      <c r="L164" s="431">
        <f>+SUMIFS('Ganancias Cambiarias'!$I:$I,'Ganancias Cambiarias'!$B:$B,Rev!$A164,'Ganancias Cambiarias'!$C:$C,"&gt;="&amp;Rev!L$1,'Ganancias Cambiarias'!$C:$C,"&lt;="&amp;EOMONTH(Rev!L$1,0))</f>
        <v>0</v>
      </c>
      <c r="M164" s="431">
        <f>+SUMIFS('Ganancias Cambiarias'!$I:$I,'Ganancias Cambiarias'!$B:$B,Rev!$A164,'Ganancias Cambiarias'!$C:$C,"&gt;="&amp;Rev!M$1,'Ganancias Cambiarias'!$C:$C,"&lt;="&amp;EOMONTH(Rev!M$1,0))</f>
        <v>0</v>
      </c>
      <c r="N164" s="431">
        <f>+SUMIFS('Ganancias Cambiarias'!$I:$I,'Ganancias Cambiarias'!$B:$B,Rev!$A164,'Ganancias Cambiarias'!$C:$C,"&gt;="&amp;Rev!N$1,'Ganancias Cambiarias'!$C:$C,"&lt;="&amp;EOMONTH(Rev!N$1,0))</f>
        <v>0</v>
      </c>
      <c r="O164" s="423">
        <f t="shared" si="49"/>
        <v>0</v>
      </c>
    </row>
    <row r="165" spans="1:15" ht="17.100000000000001">
      <c r="A165" s="425" t="str">
        <f t="shared" si="48"/>
        <v>F</v>
      </c>
      <c r="B165" s="452" t="str">
        <f t="shared" si="47"/>
        <v xml:space="preserve">        Ganancias Cabiarias Realizadas - F</v>
      </c>
      <c r="C165" s="431">
        <f>+SUMIFS('Ganancias Cambiarias'!$I:$I,'Ganancias Cambiarias'!$B:$B,Rev!$A165,'Ganancias Cambiarias'!$C:$C,"&gt;="&amp;Rev!C$1,'Ganancias Cambiarias'!$C:$C,"&lt;="&amp;EOMONTH(Rev!C$1,0))</f>
        <v>0</v>
      </c>
      <c r="D165" s="431">
        <f>+SUMIFS('Ganancias Cambiarias'!$I:$I,'Ganancias Cambiarias'!$B:$B,Rev!$A165,'Ganancias Cambiarias'!$C:$C,"&gt;="&amp;Rev!D$1,'Ganancias Cambiarias'!$C:$C,"&lt;="&amp;EOMONTH(Rev!D$1,0))</f>
        <v>0</v>
      </c>
      <c r="E165" s="431">
        <f>+SUMIFS('Ganancias Cambiarias'!$I:$I,'Ganancias Cambiarias'!$B:$B,Rev!$A165,'Ganancias Cambiarias'!$C:$C,"&gt;="&amp;Rev!E$1,'Ganancias Cambiarias'!$C:$C,"&lt;="&amp;EOMONTH(Rev!E$1,0))</f>
        <v>0</v>
      </c>
      <c r="F165" s="431">
        <f>+SUMIFS('Ganancias Cambiarias'!$I:$I,'Ganancias Cambiarias'!$B:$B,Rev!$A165,'Ganancias Cambiarias'!$C:$C,"&gt;="&amp;Rev!F$1,'Ganancias Cambiarias'!$C:$C,"&lt;="&amp;EOMONTH(Rev!F$1,0))</f>
        <v>0</v>
      </c>
      <c r="G165" s="431">
        <f>+SUMIFS('Ganancias Cambiarias'!$I:$I,'Ganancias Cambiarias'!$B:$B,Rev!$A165,'Ganancias Cambiarias'!$C:$C,"&gt;="&amp;Rev!G$1,'Ganancias Cambiarias'!$C:$C,"&lt;="&amp;EOMONTH(Rev!G$1,0))</f>
        <v>0</v>
      </c>
      <c r="H165" s="431">
        <f>+SUMIFS('Ganancias Cambiarias'!$I:$I,'Ganancias Cambiarias'!$B:$B,Rev!$A165,'Ganancias Cambiarias'!$C:$C,"&gt;="&amp;Rev!H$1,'Ganancias Cambiarias'!$C:$C,"&lt;="&amp;EOMONTH(Rev!H$1,0))</f>
        <v>0</v>
      </c>
      <c r="I165" s="431">
        <f>+SUMIFS('Ganancias Cambiarias'!$I:$I,'Ganancias Cambiarias'!$B:$B,Rev!$A165,'Ganancias Cambiarias'!$C:$C,"&gt;="&amp;Rev!I$1,'Ganancias Cambiarias'!$C:$C,"&lt;="&amp;EOMONTH(Rev!I$1,0))</f>
        <v>0</v>
      </c>
      <c r="J165" s="431">
        <f>+SUMIFS('Ganancias Cambiarias'!$I:$I,'Ganancias Cambiarias'!$B:$B,Rev!$A165,'Ganancias Cambiarias'!$C:$C,"&gt;="&amp;Rev!J$1,'Ganancias Cambiarias'!$C:$C,"&lt;="&amp;EOMONTH(Rev!J$1,0))</f>
        <v>0</v>
      </c>
      <c r="K165" s="431">
        <f>+SUMIFS('Ganancias Cambiarias'!$I:$I,'Ganancias Cambiarias'!$B:$B,Rev!$A165,'Ganancias Cambiarias'!$C:$C,"&gt;="&amp;Rev!K$1,'Ganancias Cambiarias'!$C:$C,"&lt;="&amp;EOMONTH(Rev!K$1,0))</f>
        <v>0</v>
      </c>
      <c r="L165" s="431">
        <f>+SUMIFS('Ganancias Cambiarias'!$I:$I,'Ganancias Cambiarias'!$B:$B,Rev!$A165,'Ganancias Cambiarias'!$C:$C,"&gt;="&amp;Rev!L$1,'Ganancias Cambiarias'!$C:$C,"&lt;="&amp;EOMONTH(Rev!L$1,0))</f>
        <v>0</v>
      </c>
      <c r="M165" s="431">
        <f>+SUMIFS('Ganancias Cambiarias'!$I:$I,'Ganancias Cambiarias'!$B:$B,Rev!$A165,'Ganancias Cambiarias'!$C:$C,"&gt;="&amp;Rev!M$1,'Ganancias Cambiarias'!$C:$C,"&lt;="&amp;EOMONTH(Rev!M$1,0))</f>
        <v>0</v>
      </c>
      <c r="N165" s="431">
        <f>+SUMIFS('Ganancias Cambiarias'!$I:$I,'Ganancias Cambiarias'!$B:$B,Rev!$A165,'Ganancias Cambiarias'!$C:$C,"&gt;="&amp;Rev!N$1,'Ganancias Cambiarias'!$C:$C,"&lt;="&amp;EOMONTH(Rev!N$1,0))</f>
        <v>0</v>
      </c>
      <c r="O165" s="423">
        <f t="shared" si="49"/>
        <v>0</v>
      </c>
    </row>
    <row r="166" spans="1:15" ht="17.100000000000001">
      <c r="A166" s="425" t="str">
        <f t="shared" si="48"/>
        <v>G</v>
      </c>
      <c r="B166" s="452" t="str">
        <f t="shared" si="47"/>
        <v xml:space="preserve">        Ganancias Cabiarias Realizadas - G</v>
      </c>
      <c r="C166" s="431">
        <f>+SUMIFS('Ganancias Cambiarias'!$I:$I,'Ganancias Cambiarias'!$B:$B,Rev!$A166,'Ganancias Cambiarias'!$C:$C,"&gt;="&amp;Rev!C$1,'Ganancias Cambiarias'!$C:$C,"&lt;="&amp;EOMONTH(Rev!C$1,0))</f>
        <v>0</v>
      </c>
      <c r="D166" s="431">
        <f>+SUMIFS('Ganancias Cambiarias'!$I:$I,'Ganancias Cambiarias'!$B:$B,Rev!$A166,'Ganancias Cambiarias'!$C:$C,"&gt;="&amp;Rev!D$1,'Ganancias Cambiarias'!$C:$C,"&lt;="&amp;EOMONTH(Rev!D$1,0))</f>
        <v>0</v>
      </c>
      <c r="E166" s="431">
        <f>+SUMIFS('Ganancias Cambiarias'!$I:$I,'Ganancias Cambiarias'!$B:$B,Rev!$A166,'Ganancias Cambiarias'!$C:$C,"&gt;="&amp;Rev!E$1,'Ganancias Cambiarias'!$C:$C,"&lt;="&amp;EOMONTH(Rev!E$1,0))</f>
        <v>0</v>
      </c>
      <c r="F166" s="431">
        <f>+SUMIFS('Ganancias Cambiarias'!$I:$I,'Ganancias Cambiarias'!$B:$B,Rev!$A166,'Ganancias Cambiarias'!$C:$C,"&gt;="&amp;Rev!F$1,'Ganancias Cambiarias'!$C:$C,"&lt;="&amp;EOMONTH(Rev!F$1,0))</f>
        <v>0</v>
      </c>
      <c r="G166" s="431">
        <f>+SUMIFS('Ganancias Cambiarias'!$I:$I,'Ganancias Cambiarias'!$B:$B,Rev!$A166,'Ganancias Cambiarias'!$C:$C,"&gt;="&amp;Rev!G$1,'Ganancias Cambiarias'!$C:$C,"&lt;="&amp;EOMONTH(Rev!G$1,0))</f>
        <v>0</v>
      </c>
      <c r="H166" s="431">
        <f>+SUMIFS('Ganancias Cambiarias'!$I:$I,'Ganancias Cambiarias'!$B:$B,Rev!$A166,'Ganancias Cambiarias'!$C:$C,"&gt;="&amp;Rev!H$1,'Ganancias Cambiarias'!$C:$C,"&lt;="&amp;EOMONTH(Rev!H$1,0))</f>
        <v>0</v>
      </c>
      <c r="I166" s="431">
        <f>+SUMIFS('Ganancias Cambiarias'!$I:$I,'Ganancias Cambiarias'!$B:$B,Rev!$A166,'Ganancias Cambiarias'!$C:$C,"&gt;="&amp;Rev!I$1,'Ganancias Cambiarias'!$C:$C,"&lt;="&amp;EOMONTH(Rev!I$1,0))</f>
        <v>0</v>
      </c>
      <c r="J166" s="431">
        <f>+SUMIFS('Ganancias Cambiarias'!$I:$I,'Ganancias Cambiarias'!$B:$B,Rev!$A166,'Ganancias Cambiarias'!$C:$C,"&gt;="&amp;Rev!J$1,'Ganancias Cambiarias'!$C:$C,"&lt;="&amp;EOMONTH(Rev!J$1,0))</f>
        <v>0</v>
      </c>
      <c r="K166" s="431">
        <f>+SUMIFS('Ganancias Cambiarias'!$I:$I,'Ganancias Cambiarias'!$B:$B,Rev!$A166,'Ganancias Cambiarias'!$C:$C,"&gt;="&amp;Rev!K$1,'Ganancias Cambiarias'!$C:$C,"&lt;="&amp;EOMONTH(Rev!K$1,0))</f>
        <v>0</v>
      </c>
      <c r="L166" s="431">
        <f>+SUMIFS('Ganancias Cambiarias'!$I:$I,'Ganancias Cambiarias'!$B:$B,Rev!$A166,'Ganancias Cambiarias'!$C:$C,"&gt;="&amp;Rev!L$1,'Ganancias Cambiarias'!$C:$C,"&lt;="&amp;EOMONTH(Rev!L$1,0))</f>
        <v>0</v>
      </c>
      <c r="M166" s="431">
        <f>+SUMIFS('Ganancias Cambiarias'!$I:$I,'Ganancias Cambiarias'!$B:$B,Rev!$A166,'Ganancias Cambiarias'!$C:$C,"&gt;="&amp;Rev!M$1,'Ganancias Cambiarias'!$C:$C,"&lt;="&amp;EOMONTH(Rev!M$1,0))</f>
        <v>0</v>
      </c>
      <c r="N166" s="431">
        <f>+SUMIFS('Ganancias Cambiarias'!$I:$I,'Ganancias Cambiarias'!$B:$B,Rev!$A166,'Ganancias Cambiarias'!$C:$C,"&gt;="&amp;Rev!N$1,'Ganancias Cambiarias'!$C:$C,"&lt;="&amp;EOMONTH(Rev!N$1,0))</f>
        <v>0</v>
      </c>
      <c r="O166" s="423">
        <f t="shared" si="49"/>
        <v>0</v>
      </c>
    </row>
    <row r="167" spans="1:15" ht="17.100000000000001">
      <c r="A167" s="425" t="str">
        <f t="shared" si="48"/>
        <v>H</v>
      </c>
      <c r="B167" s="452" t="str">
        <f t="shared" si="47"/>
        <v xml:space="preserve">        Ganancias Cabiarias Realizadas - H</v>
      </c>
      <c r="C167" s="431">
        <f>+SUMIFS('Ganancias Cambiarias'!$I:$I,'Ganancias Cambiarias'!$B:$B,Rev!$A167,'Ganancias Cambiarias'!$C:$C,"&gt;="&amp;Rev!C$1,'Ganancias Cambiarias'!$C:$C,"&lt;="&amp;EOMONTH(Rev!C$1,0))</f>
        <v>0</v>
      </c>
      <c r="D167" s="431">
        <f>+SUMIFS('Ganancias Cambiarias'!$I:$I,'Ganancias Cambiarias'!$B:$B,Rev!$A167,'Ganancias Cambiarias'!$C:$C,"&gt;="&amp;Rev!D$1,'Ganancias Cambiarias'!$C:$C,"&lt;="&amp;EOMONTH(Rev!D$1,0))</f>
        <v>0</v>
      </c>
      <c r="E167" s="431">
        <f>+SUMIFS('Ganancias Cambiarias'!$I:$I,'Ganancias Cambiarias'!$B:$B,Rev!$A167,'Ganancias Cambiarias'!$C:$C,"&gt;="&amp;Rev!E$1,'Ganancias Cambiarias'!$C:$C,"&lt;="&amp;EOMONTH(Rev!E$1,0))</f>
        <v>0</v>
      </c>
      <c r="F167" s="431">
        <f>+SUMIFS('Ganancias Cambiarias'!$I:$I,'Ganancias Cambiarias'!$B:$B,Rev!$A167,'Ganancias Cambiarias'!$C:$C,"&gt;="&amp;Rev!F$1,'Ganancias Cambiarias'!$C:$C,"&lt;="&amp;EOMONTH(Rev!F$1,0))</f>
        <v>0</v>
      </c>
      <c r="G167" s="431">
        <f>+SUMIFS('Ganancias Cambiarias'!$I:$I,'Ganancias Cambiarias'!$B:$B,Rev!$A167,'Ganancias Cambiarias'!$C:$C,"&gt;="&amp;Rev!G$1,'Ganancias Cambiarias'!$C:$C,"&lt;="&amp;EOMONTH(Rev!G$1,0))</f>
        <v>0</v>
      </c>
      <c r="H167" s="431">
        <f>+SUMIFS('Ganancias Cambiarias'!$I:$I,'Ganancias Cambiarias'!$B:$B,Rev!$A167,'Ganancias Cambiarias'!$C:$C,"&gt;="&amp;Rev!H$1,'Ganancias Cambiarias'!$C:$C,"&lt;="&amp;EOMONTH(Rev!H$1,0))</f>
        <v>0</v>
      </c>
      <c r="I167" s="431">
        <f>+SUMIFS('Ganancias Cambiarias'!$I:$I,'Ganancias Cambiarias'!$B:$B,Rev!$A167,'Ganancias Cambiarias'!$C:$C,"&gt;="&amp;Rev!I$1,'Ganancias Cambiarias'!$C:$C,"&lt;="&amp;EOMONTH(Rev!I$1,0))</f>
        <v>0</v>
      </c>
      <c r="J167" s="431">
        <f>+SUMIFS('Ganancias Cambiarias'!$I:$I,'Ganancias Cambiarias'!$B:$B,Rev!$A167,'Ganancias Cambiarias'!$C:$C,"&gt;="&amp;Rev!J$1,'Ganancias Cambiarias'!$C:$C,"&lt;="&amp;EOMONTH(Rev!J$1,0))</f>
        <v>0</v>
      </c>
      <c r="K167" s="431">
        <f>+SUMIFS('Ganancias Cambiarias'!$I:$I,'Ganancias Cambiarias'!$B:$B,Rev!$A167,'Ganancias Cambiarias'!$C:$C,"&gt;="&amp;Rev!K$1,'Ganancias Cambiarias'!$C:$C,"&lt;="&amp;EOMONTH(Rev!K$1,0))</f>
        <v>0</v>
      </c>
      <c r="L167" s="431">
        <f>+SUMIFS('Ganancias Cambiarias'!$I:$I,'Ganancias Cambiarias'!$B:$B,Rev!$A167,'Ganancias Cambiarias'!$C:$C,"&gt;="&amp;Rev!L$1,'Ganancias Cambiarias'!$C:$C,"&lt;="&amp;EOMONTH(Rev!L$1,0))</f>
        <v>0</v>
      </c>
      <c r="M167" s="431">
        <f>+SUMIFS('Ganancias Cambiarias'!$I:$I,'Ganancias Cambiarias'!$B:$B,Rev!$A167,'Ganancias Cambiarias'!$C:$C,"&gt;="&amp;Rev!M$1,'Ganancias Cambiarias'!$C:$C,"&lt;="&amp;EOMONTH(Rev!M$1,0))</f>
        <v>0</v>
      </c>
      <c r="N167" s="431">
        <f>+SUMIFS('Ganancias Cambiarias'!$I:$I,'Ganancias Cambiarias'!$B:$B,Rev!$A167,'Ganancias Cambiarias'!$C:$C,"&gt;="&amp;Rev!N$1,'Ganancias Cambiarias'!$C:$C,"&lt;="&amp;EOMONTH(Rev!N$1,0))</f>
        <v>0</v>
      </c>
      <c r="O167" s="423">
        <f t="shared" si="49"/>
        <v>0</v>
      </c>
    </row>
    <row r="168" spans="1:15" ht="17.100000000000001">
      <c r="A168" s="425" t="str">
        <f t="shared" si="48"/>
        <v>I</v>
      </c>
      <c r="B168" s="452" t="str">
        <f t="shared" si="47"/>
        <v xml:space="preserve">        Ganancias Cabiarias Realizadas - I</v>
      </c>
      <c r="C168" s="431">
        <f>+SUMIFS('Ganancias Cambiarias'!$I:$I,'Ganancias Cambiarias'!$B:$B,Rev!$A168,'Ganancias Cambiarias'!$C:$C,"&gt;="&amp;Rev!C$1,'Ganancias Cambiarias'!$C:$C,"&lt;="&amp;EOMONTH(Rev!C$1,0))</f>
        <v>0</v>
      </c>
      <c r="D168" s="431">
        <f>+SUMIFS('Ganancias Cambiarias'!$I:$I,'Ganancias Cambiarias'!$B:$B,Rev!$A168,'Ganancias Cambiarias'!$C:$C,"&gt;="&amp;Rev!D$1,'Ganancias Cambiarias'!$C:$C,"&lt;="&amp;EOMONTH(Rev!D$1,0))</f>
        <v>0</v>
      </c>
      <c r="E168" s="431">
        <f>+SUMIFS('Ganancias Cambiarias'!$I:$I,'Ganancias Cambiarias'!$B:$B,Rev!$A168,'Ganancias Cambiarias'!$C:$C,"&gt;="&amp;Rev!E$1,'Ganancias Cambiarias'!$C:$C,"&lt;="&amp;EOMONTH(Rev!E$1,0))</f>
        <v>0</v>
      </c>
      <c r="F168" s="431">
        <f>+SUMIFS('Ganancias Cambiarias'!$I:$I,'Ganancias Cambiarias'!$B:$B,Rev!$A168,'Ganancias Cambiarias'!$C:$C,"&gt;="&amp;Rev!F$1,'Ganancias Cambiarias'!$C:$C,"&lt;="&amp;EOMONTH(Rev!F$1,0))</f>
        <v>0</v>
      </c>
      <c r="G168" s="431">
        <f>+SUMIFS('Ganancias Cambiarias'!$I:$I,'Ganancias Cambiarias'!$B:$B,Rev!$A168,'Ganancias Cambiarias'!$C:$C,"&gt;="&amp;Rev!G$1,'Ganancias Cambiarias'!$C:$C,"&lt;="&amp;EOMONTH(Rev!G$1,0))</f>
        <v>0</v>
      </c>
      <c r="H168" s="431">
        <f>+SUMIFS('Ganancias Cambiarias'!$I:$I,'Ganancias Cambiarias'!$B:$B,Rev!$A168,'Ganancias Cambiarias'!$C:$C,"&gt;="&amp;Rev!H$1,'Ganancias Cambiarias'!$C:$C,"&lt;="&amp;EOMONTH(Rev!H$1,0))</f>
        <v>0</v>
      </c>
      <c r="I168" s="431">
        <f>+SUMIFS('Ganancias Cambiarias'!$I:$I,'Ganancias Cambiarias'!$B:$B,Rev!$A168,'Ganancias Cambiarias'!$C:$C,"&gt;="&amp;Rev!I$1,'Ganancias Cambiarias'!$C:$C,"&lt;="&amp;EOMONTH(Rev!I$1,0))</f>
        <v>0</v>
      </c>
      <c r="J168" s="431">
        <f>+SUMIFS('Ganancias Cambiarias'!$I:$I,'Ganancias Cambiarias'!$B:$B,Rev!$A168,'Ganancias Cambiarias'!$C:$C,"&gt;="&amp;Rev!J$1,'Ganancias Cambiarias'!$C:$C,"&lt;="&amp;EOMONTH(Rev!J$1,0))</f>
        <v>0</v>
      </c>
      <c r="K168" s="431">
        <f>+SUMIFS('Ganancias Cambiarias'!$I:$I,'Ganancias Cambiarias'!$B:$B,Rev!$A168,'Ganancias Cambiarias'!$C:$C,"&gt;="&amp;Rev!K$1,'Ganancias Cambiarias'!$C:$C,"&lt;="&amp;EOMONTH(Rev!K$1,0))</f>
        <v>0</v>
      </c>
      <c r="L168" s="431">
        <f>+SUMIFS('Ganancias Cambiarias'!$I:$I,'Ganancias Cambiarias'!$B:$B,Rev!$A168,'Ganancias Cambiarias'!$C:$C,"&gt;="&amp;Rev!L$1,'Ganancias Cambiarias'!$C:$C,"&lt;="&amp;EOMONTH(Rev!L$1,0))</f>
        <v>0</v>
      </c>
      <c r="M168" s="431">
        <f>+SUMIFS('Ganancias Cambiarias'!$I:$I,'Ganancias Cambiarias'!$B:$B,Rev!$A168,'Ganancias Cambiarias'!$C:$C,"&gt;="&amp;Rev!M$1,'Ganancias Cambiarias'!$C:$C,"&lt;="&amp;EOMONTH(Rev!M$1,0))</f>
        <v>0</v>
      </c>
      <c r="N168" s="431">
        <f>+SUMIFS('Ganancias Cambiarias'!$I:$I,'Ganancias Cambiarias'!$B:$B,Rev!$A168,'Ganancias Cambiarias'!$C:$C,"&gt;="&amp;Rev!N$1,'Ganancias Cambiarias'!$C:$C,"&lt;="&amp;EOMONTH(Rev!N$1,0))</f>
        <v>0</v>
      </c>
      <c r="O168" s="423">
        <f t="shared" si="49"/>
        <v>0</v>
      </c>
    </row>
    <row r="169" spans="1:15" ht="17.100000000000001">
      <c r="A169" s="425" t="str">
        <f t="shared" si="48"/>
        <v>J</v>
      </c>
      <c r="B169" s="452" t="str">
        <f t="shared" si="47"/>
        <v xml:space="preserve">        Ganancias Cabiarias Realizadas - J</v>
      </c>
      <c r="C169" s="431">
        <f>+SUMIFS('Ganancias Cambiarias'!$I:$I,'Ganancias Cambiarias'!$B:$B,Rev!$A169,'Ganancias Cambiarias'!$C:$C,"&gt;="&amp;Rev!C$1,'Ganancias Cambiarias'!$C:$C,"&lt;="&amp;EOMONTH(Rev!C$1,0))</f>
        <v>0</v>
      </c>
      <c r="D169" s="431">
        <f>+SUMIFS('Ganancias Cambiarias'!$I:$I,'Ganancias Cambiarias'!$B:$B,Rev!$A169,'Ganancias Cambiarias'!$C:$C,"&gt;="&amp;Rev!D$1,'Ganancias Cambiarias'!$C:$C,"&lt;="&amp;EOMONTH(Rev!D$1,0))</f>
        <v>0</v>
      </c>
      <c r="E169" s="431">
        <f>+SUMIFS('Ganancias Cambiarias'!$I:$I,'Ganancias Cambiarias'!$B:$B,Rev!$A169,'Ganancias Cambiarias'!$C:$C,"&gt;="&amp;Rev!E$1,'Ganancias Cambiarias'!$C:$C,"&lt;="&amp;EOMONTH(Rev!E$1,0))</f>
        <v>0</v>
      </c>
      <c r="F169" s="431">
        <f>+SUMIFS('Ganancias Cambiarias'!$I:$I,'Ganancias Cambiarias'!$B:$B,Rev!$A169,'Ganancias Cambiarias'!$C:$C,"&gt;="&amp;Rev!F$1,'Ganancias Cambiarias'!$C:$C,"&lt;="&amp;EOMONTH(Rev!F$1,0))</f>
        <v>0</v>
      </c>
      <c r="G169" s="431">
        <f>+SUMIFS('Ganancias Cambiarias'!$I:$I,'Ganancias Cambiarias'!$B:$B,Rev!$A169,'Ganancias Cambiarias'!$C:$C,"&gt;="&amp;Rev!G$1,'Ganancias Cambiarias'!$C:$C,"&lt;="&amp;EOMONTH(Rev!G$1,0))</f>
        <v>0</v>
      </c>
      <c r="H169" s="431">
        <f>+SUMIFS('Ganancias Cambiarias'!$I:$I,'Ganancias Cambiarias'!$B:$B,Rev!$A169,'Ganancias Cambiarias'!$C:$C,"&gt;="&amp;Rev!H$1,'Ganancias Cambiarias'!$C:$C,"&lt;="&amp;EOMONTH(Rev!H$1,0))</f>
        <v>0</v>
      </c>
      <c r="I169" s="431">
        <f>+SUMIFS('Ganancias Cambiarias'!$I:$I,'Ganancias Cambiarias'!$B:$B,Rev!$A169,'Ganancias Cambiarias'!$C:$C,"&gt;="&amp;Rev!I$1,'Ganancias Cambiarias'!$C:$C,"&lt;="&amp;EOMONTH(Rev!I$1,0))</f>
        <v>0</v>
      </c>
      <c r="J169" s="431">
        <f>+SUMIFS('Ganancias Cambiarias'!$I:$I,'Ganancias Cambiarias'!$B:$B,Rev!$A169,'Ganancias Cambiarias'!$C:$C,"&gt;="&amp;Rev!J$1,'Ganancias Cambiarias'!$C:$C,"&lt;="&amp;EOMONTH(Rev!J$1,0))</f>
        <v>0</v>
      </c>
      <c r="K169" s="431">
        <f>+SUMIFS('Ganancias Cambiarias'!$I:$I,'Ganancias Cambiarias'!$B:$B,Rev!$A169,'Ganancias Cambiarias'!$C:$C,"&gt;="&amp;Rev!K$1,'Ganancias Cambiarias'!$C:$C,"&lt;="&amp;EOMONTH(Rev!K$1,0))</f>
        <v>0</v>
      </c>
      <c r="L169" s="431">
        <f>+SUMIFS('Ganancias Cambiarias'!$I:$I,'Ganancias Cambiarias'!$B:$B,Rev!$A169,'Ganancias Cambiarias'!$C:$C,"&gt;="&amp;Rev!L$1,'Ganancias Cambiarias'!$C:$C,"&lt;="&amp;EOMONTH(Rev!L$1,0))</f>
        <v>0</v>
      </c>
      <c r="M169" s="431">
        <f>+SUMIFS('Ganancias Cambiarias'!$I:$I,'Ganancias Cambiarias'!$B:$B,Rev!$A169,'Ganancias Cambiarias'!$C:$C,"&gt;="&amp;Rev!M$1,'Ganancias Cambiarias'!$C:$C,"&lt;="&amp;EOMONTH(Rev!M$1,0))</f>
        <v>0</v>
      </c>
      <c r="N169" s="431">
        <f>+SUMIFS('Ganancias Cambiarias'!$I:$I,'Ganancias Cambiarias'!$B:$B,Rev!$A169,'Ganancias Cambiarias'!$C:$C,"&gt;="&amp;Rev!N$1,'Ganancias Cambiarias'!$C:$C,"&lt;="&amp;EOMONTH(Rev!N$1,0))</f>
        <v>0</v>
      </c>
      <c r="O169" s="423">
        <f t="shared" si="49"/>
        <v>0</v>
      </c>
    </row>
    <row r="170" spans="1:15" ht="17.100000000000001">
      <c r="A170" s="425" t="str">
        <f t="shared" si="48"/>
        <v>K</v>
      </c>
      <c r="B170" s="452" t="str">
        <f t="shared" si="47"/>
        <v xml:space="preserve">        Ganancias Cabiarias Realizadas - K</v>
      </c>
      <c r="C170" s="431">
        <f>+SUMIFS('Ganancias Cambiarias'!$I:$I,'Ganancias Cambiarias'!$B:$B,Rev!$A170,'Ganancias Cambiarias'!$C:$C,"&gt;="&amp;Rev!C$1,'Ganancias Cambiarias'!$C:$C,"&lt;="&amp;EOMONTH(Rev!C$1,0))</f>
        <v>0</v>
      </c>
      <c r="D170" s="431">
        <f>+SUMIFS('Ganancias Cambiarias'!$I:$I,'Ganancias Cambiarias'!$B:$B,Rev!$A170,'Ganancias Cambiarias'!$C:$C,"&gt;="&amp;Rev!D$1,'Ganancias Cambiarias'!$C:$C,"&lt;="&amp;EOMONTH(Rev!D$1,0))</f>
        <v>0</v>
      </c>
      <c r="E170" s="431">
        <f>+SUMIFS('Ganancias Cambiarias'!$I:$I,'Ganancias Cambiarias'!$B:$B,Rev!$A170,'Ganancias Cambiarias'!$C:$C,"&gt;="&amp;Rev!E$1,'Ganancias Cambiarias'!$C:$C,"&lt;="&amp;EOMONTH(Rev!E$1,0))</f>
        <v>0</v>
      </c>
      <c r="F170" s="431">
        <f>+SUMIFS('Ganancias Cambiarias'!$I:$I,'Ganancias Cambiarias'!$B:$B,Rev!$A170,'Ganancias Cambiarias'!$C:$C,"&gt;="&amp;Rev!F$1,'Ganancias Cambiarias'!$C:$C,"&lt;="&amp;EOMONTH(Rev!F$1,0))</f>
        <v>0</v>
      </c>
      <c r="G170" s="431">
        <f>+SUMIFS('Ganancias Cambiarias'!$I:$I,'Ganancias Cambiarias'!$B:$B,Rev!$A170,'Ganancias Cambiarias'!$C:$C,"&gt;="&amp;Rev!G$1,'Ganancias Cambiarias'!$C:$C,"&lt;="&amp;EOMONTH(Rev!G$1,0))</f>
        <v>0</v>
      </c>
      <c r="H170" s="431">
        <f>+SUMIFS('Ganancias Cambiarias'!$I:$I,'Ganancias Cambiarias'!$B:$B,Rev!$A170,'Ganancias Cambiarias'!$C:$C,"&gt;="&amp;Rev!H$1,'Ganancias Cambiarias'!$C:$C,"&lt;="&amp;EOMONTH(Rev!H$1,0))</f>
        <v>0</v>
      </c>
      <c r="I170" s="431">
        <f>+SUMIFS('Ganancias Cambiarias'!$I:$I,'Ganancias Cambiarias'!$B:$B,Rev!$A170,'Ganancias Cambiarias'!$C:$C,"&gt;="&amp;Rev!I$1,'Ganancias Cambiarias'!$C:$C,"&lt;="&amp;EOMONTH(Rev!I$1,0))</f>
        <v>0</v>
      </c>
      <c r="J170" s="431">
        <f>+SUMIFS('Ganancias Cambiarias'!$I:$I,'Ganancias Cambiarias'!$B:$B,Rev!$A170,'Ganancias Cambiarias'!$C:$C,"&gt;="&amp;Rev!J$1,'Ganancias Cambiarias'!$C:$C,"&lt;="&amp;EOMONTH(Rev!J$1,0))</f>
        <v>0</v>
      </c>
      <c r="K170" s="431">
        <f>+SUMIFS('Ganancias Cambiarias'!$I:$I,'Ganancias Cambiarias'!$B:$B,Rev!$A170,'Ganancias Cambiarias'!$C:$C,"&gt;="&amp;Rev!K$1,'Ganancias Cambiarias'!$C:$C,"&lt;="&amp;EOMONTH(Rev!K$1,0))</f>
        <v>0</v>
      </c>
      <c r="L170" s="431">
        <f>+SUMIFS('Ganancias Cambiarias'!$I:$I,'Ganancias Cambiarias'!$B:$B,Rev!$A170,'Ganancias Cambiarias'!$C:$C,"&gt;="&amp;Rev!L$1,'Ganancias Cambiarias'!$C:$C,"&lt;="&amp;EOMONTH(Rev!L$1,0))</f>
        <v>0</v>
      </c>
      <c r="M170" s="431">
        <f>+SUMIFS('Ganancias Cambiarias'!$I:$I,'Ganancias Cambiarias'!$B:$B,Rev!$A170,'Ganancias Cambiarias'!$C:$C,"&gt;="&amp;Rev!M$1,'Ganancias Cambiarias'!$C:$C,"&lt;="&amp;EOMONTH(Rev!M$1,0))</f>
        <v>0</v>
      </c>
      <c r="N170" s="431">
        <f>+SUMIFS('Ganancias Cambiarias'!$I:$I,'Ganancias Cambiarias'!$B:$B,Rev!$A170,'Ganancias Cambiarias'!$C:$C,"&gt;="&amp;Rev!N$1,'Ganancias Cambiarias'!$C:$C,"&lt;="&amp;EOMONTH(Rev!N$1,0))</f>
        <v>0</v>
      </c>
      <c r="O170" s="423">
        <f t="shared" si="49"/>
        <v>0</v>
      </c>
    </row>
    <row r="171" spans="1:15" ht="17.100000000000001">
      <c r="A171" s="416"/>
      <c r="B171" s="426" t="s">
        <v>833</v>
      </c>
      <c r="C171" s="427">
        <f>SUM(C160:C170)</f>
        <v>0</v>
      </c>
      <c r="D171" s="427">
        <f t="shared" ref="D171:O171" si="50">SUM(D160:D170)</f>
        <v>0</v>
      </c>
      <c r="E171" s="427">
        <f t="shared" si="50"/>
        <v>0</v>
      </c>
      <c r="F171" s="427">
        <f t="shared" si="50"/>
        <v>0</v>
      </c>
      <c r="G171" s="427">
        <f t="shared" si="50"/>
        <v>0</v>
      </c>
      <c r="H171" s="427">
        <f t="shared" si="50"/>
        <v>0</v>
      </c>
      <c r="I171" s="427">
        <f t="shared" si="50"/>
        <v>0</v>
      </c>
      <c r="J171" s="427">
        <f t="shared" si="50"/>
        <v>0</v>
      </c>
      <c r="K171" s="427">
        <f t="shared" si="50"/>
        <v>0</v>
      </c>
      <c r="L171" s="427">
        <f t="shared" si="50"/>
        <v>0</v>
      </c>
      <c r="M171" s="427">
        <f t="shared" si="50"/>
        <v>0</v>
      </c>
      <c r="N171" s="427">
        <f t="shared" si="50"/>
        <v>0</v>
      </c>
      <c r="O171" s="427">
        <f t="shared" si="50"/>
        <v>0</v>
      </c>
    </row>
    <row r="172" spans="1:15" ht="17.100000000000001">
      <c r="A172" s="416"/>
      <c r="B172" s="429"/>
      <c r="C172" s="423"/>
      <c r="D172" s="423"/>
      <c r="E172" s="423"/>
      <c r="F172" s="423"/>
      <c r="G172" s="423"/>
      <c r="H172" s="423"/>
      <c r="I172" s="423"/>
      <c r="J172" s="423"/>
      <c r="K172" s="423"/>
      <c r="L172" s="423"/>
      <c r="M172" s="423"/>
      <c r="N172" s="423"/>
      <c r="O172" s="423"/>
    </row>
    <row r="173" spans="1:15" ht="17.100000000000001">
      <c r="A173" s="416"/>
      <c r="B173" s="420" t="s">
        <v>834</v>
      </c>
      <c r="C173" s="423"/>
      <c r="D173" s="423"/>
      <c r="E173" s="423"/>
      <c r="F173" s="423"/>
      <c r="G173" s="423"/>
      <c r="H173" s="423"/>
      <c r="I173" s="423"/>
      <c r="J173" s="423"/>
      <c r="K173" s="423"/>
      <c r="L173" s="423"/>
      <c r="M173" s="423"/>
      <c r="N173" s="423"/>
      <c r="O173" s="423"/>
    </row>
    <row r="174" spans="1:15" ht="17.100000000000001">
      <c r="A174" s="425">
        <f>+A160</f>
        <v>1175000</v>
      </c>
      <c r="B174" s="452" t="str">
        <f>+CONCATENATE("        Otros Ingresos - ",A174)</f>
        <v xml:space="preserve">        Otros Ingresos - 1175000</v>
      </c>
      <c r="C174" s="423">
        <f>+SUMIFS('Otros Ingresos'!$I:$I,'Otros Ingresos'!$B:$B,Rev!$A174,'Otros Ingresos'!$C:$C,"&gt;="&amp;Rev!C$1,'Otros Ingresos'!$C:$C,"&lt;="&amp;EOMONTH(Rev!C$1,0))</f>
        <v>0</v>
      </c>
      <c r="D174" s="423">
        <f>+SUMIFS('Otros Ingresos'!$I:$I,'Otros Ingresos'!$B:$B,Rev!$A174,'Otros Ingresos'!$C:$C,"&gt;="&amp;Rev!D$1,'Otros Ingresos'!$C:$C,"&lt;="&amp;EOMONTH(Rev!D$1,0))</f>
        <v>0</v>
      </c>
      <c r="E174" s="423">
        <f>+SUMIFS('Otros Ingresos'!$I:$I,'Otros Ingresos'!$B:$B,Rev!$A174,'Otros Ingresos'!$C:$C,"&gt;="&amp;Rev!E$1,'Otros Ingresos'!$C:$C,"&lt;="&amp;EOMONTH(Rev!E$1,0))</f>
        <v>0</v>
      </c>
      <c r="F174" s="423">
        <f>+SUMIFS('Otros Ingresos'!$I:$I,'Otros Ingresos'!$B:$B,Rev!$A174,'Otros Ingresos'!$C:$C,"&gt;="&amp;Rev!F$1,'Otros Ingresos'!$C:$C,"&lt;="&amp;EOMONTH(Rev!F$1,0))</f>
        <v>0</v>
      </c>
      <c r="G174" s="423">
        <f>+SUMIFS('Otros Ingresos'!$I:$I,'Otros Ingresos'!$B:$B,Rev!$A174,'Otros Ingresos'!$C:$C,"&gt;="&amp;Rev!G$1,'Otros Ingresos'!$C:$C,"&lt;="&amp;EOMONTH(Rev!G$1,0))</f>
        <v>0</v>
      </c>
      <c r="H174" s="423">
        <f>+SUMIFS('Otros Ingresos'!$I:$I,'Otros Ingresos'!$B:$B,Rev!$A174,'Otros Ingresos'!$C:$C,"&gt;="&amp;Rev!H$1,'Otros Ingresos'!$C:$C,"&lt;="&amp;EOMONTH(Rev!H$1,0))</f>
        <v>0</v>
      </c>
      <c r="I174" s="423">
        <f>+SUMIFS('Otros Ingresos'!$I:$I,'Otros Ingresos'!$B:$B,Rev!$A174,'Otros Ingresos'!$C:$C,"&gt;="&amp;Rev!I$1,'Otros Ingresos'!$C:$C,"&lt;="&amp;EOMONTH(Rev!I$1,0))</f>
        <v>0</v>
      </c>
      <c r="J174" s="423">
        <f>+SUMIFS('Otros Ingresos'!$I:$I,'Otros Ingresos'!$B:$B,Rev!$A174,'Otros Ingresos'!$C:$C,"&gt;="&amp;Rev!J$1,'Otros Ingresos'!$C:$C,"&lt;="&amp;EOMONTH(Rev!J$1,0))</f>
        <v>0</v>
      </c>
      <c r="K174" s="423">
        <f>+SUMIFS('Otros Ingresos'!$I:$I,'Otros Ingresos'!$B:$B,Rev!$A174,'Otros Ingresos'!$C:$C,"&gt;="&amp;Rev!K$1,'Otros Ingresos'!$C:$C,"&lt;="&amp;EOMONTH(Rev!K$1,0))</f>
        <v>0</v>
      </c>
      <c r="L174" s="423">
        <f>+SUMIFS('Otros Ingresos'!$I:$I,'Otros Ingresos'!$B:$B,Rev!$A174,'Otros Ingresos'!$C:$C,"&gt;="&amp;Rev!L$1,'Otros Ingresos'!$C:$C,"&lt;="&amp;EOMONTH(Rev!L$1,0))</f>
        <v>0</v>
      </c>
      <c r="M174" s="423">
        <f>+SUMIFS('Otros Ingresos'!$I:$I,'Otros Ingresos'!$B:$B,Rev!$A174,'Otros Ingresos'!$C:$C,"&gt;="&amp;Rev!M$1,'Otros Ingresos'!$C:$C,"&lt;="&amp;EOMONTH(Rev!M$1,0))</f>
        <v>0</v>
      </c>
      <c r="N174" s="423">
        <f>+SUMIFS('Otros Ingresos'!$I:$I,'Otros Ingresos'!$B:$B,Rev!$A174,'Otros Ingresos'!$C:$C,"&gt;="&amp;Rev!N$1,'Otros Ingresos'!$C:$C,"&lt;="&amp;EOMONTH(Rev!N$1,0))</f>
        <v>0</v>
      </c>
      <c r="O174" s="423">
        <f>SUM(C174:N174)</f>
        <v>0</v>
      </c>
    </row>
    <row r="175" spans="1:15" ht="17.100000000000001">
      <c r="A175" s="425">
        <f t="shared" ref="A175:A184" si="51">+A161</f>
        <v>1179000</v>
      </c>
      <c r="B175" s="452" t="str">
        <f t="shared" ref="B175:B184" si="52">+CONCATENATE("        Otros Ingresos - ",A175)</f>
        <v xml:space="preserve">        Otros Ingresos - 1179000</v>
      </c>
      <c r="C175" s="423">
        <f>+SUMIFS('Otros Ingresos'!$I:$I,'Otros Ingresos'!$B:$B,Rev!$A175,'Otros Ingresos'!$C:$C,"&gt;="&amp;Rev!C$1,'Otros Ingresos'!$C:$C,"&lt;="&amp;EOMONTH(Rev!C$1,0))</f>
        <v>0</v>
      </c>
      <c r="D175" s="423">
        <f>+SUMIFS('Otros Ingresos'!$I:$I,'Otros Ingresos'!$B:$B,Rev!$A175,'Otros Ingresos'!$C:$C,"&gt;="&amp;Rev!D$1,'Otros Ingresos'!$C:$C,"&lt;="&amp;EOMONTH(Rev!D$1,0))</f>
        <v>0</v>
      </c>
      <c r="E175" s="423">
        <f>+SUMIFS('Otros Ingresos'!$I:$I,'Otros Ingresos'!$B:$B,Rev!$A175,'Otros Ingresos'!$C:$C,"&gt;="&amp;Rev!E$1,'Otros Ingresos'!$C:$C,"&lt;="&amp;EOMONTH(Rev!E$1,0))</f>
        <v>0</v>
      </c>
      <c r="F175" s="423">
        <f>+SUMIFS('Otros Ingresos'!$I:$I,'Otros Ingresos'!$B:$B,Rev!$A175,'Otros Ingresos'!$C:$C,"&gt;="&amp;Rev!F$1,'Otros Ingresos'!$C:$C,"&lt;="&amp;EOMONTH(Rev!F$1,0))</f>
        <v>0</v>
      </c>
      <c r="G175" s="423">
        <f>+SUMIFS('Otros Ingresos'!$I:$I,'Otros Ingresos'!$B:$B,Rev!$A175,'Otros Ingresos'!$C:$C,"&gt;="&amp;Rev!G$1,'Otros Ingresos'!$C:$C,"&lt;="&amp;EOMONTH(Rev!G$1,0))</f>
        <v>0</v>
      </c>
      <c r="H175" s="423">
        <f>+SUMIFS('Otros Ingresos'!$I:$I,'Otros Ingresos'!$B:$B,Rev!$A175,'Otros Ingresos'!$C:$C,"&gt;="&amp;Rev!H$1,'Otros Ingresos'!$C:$C,"&lt;="&amp;EOMONTH(Rev!H$1,0))</f>
        <v>0</v>
      </c>
      <c r="I175" s="423">
        <f>+SUMIFS('Otros Ingresos'!$I:$I,'Otros Ingresos'!$B:$B,Rev!$A175,'Otros Ingresos'!$C:$C,"&gt;="&amp;Rev!I$1,'Otros Ingresos'!$C:$C,"&lt;="&amp;EOMONTH(Rev!I$1,0))</f>
        <v>0</v>
      </c>
      <c r="J175" s="423">
        <f>+SUMIFS('Otros Ingresos'!$I:$I,'Otros Ingresos'!$B:$B,Rev!$A175,'Otros Ingresos'!$C:$C,"&gt;="&amp;Rev!J$1,'Otros Ingresos'!$C:$C,"&lt;="&amp;EOMONTH(Rev!J$1,0))</f>
        <v>0</v>
      </c>
      <c r="K175" s="423">
        <f>+SUMIFS('Otros Ingresos'!$I:$I,'Otros Ingresos'!$B:$B,Rev!$A175,'Otros Ingresos'!$C:$C,"&gt;="&amp;Rev!K$1,'Otros Ingresos'!$C:$C,"&lt;="&amp;EOMONTH(Rev!K$1,0))</f>
        <v>0</v>
      </c>
      <c r="L175" s="423">
        <f>+SUMIFS('Otros Ingresos'!$I:$I,'Otros Ingresos'!$B:$B,Rev!$A175,'Otros Ingresos'!$C:$C,"&gt;="&amp;Rev!L$1,'Otros Ingresos'!$C:$C,"&lt;="&amp;EOMONTH(Rev!L$1,0))</f>
        <v>0</v>
      </c>
      <c r="M175" s="423">
        <f>+SUMIFS('Otros Ingresos'!$I:$I,'Otros Ingresos'!$B:$B,Rev!$A175,'Otros Ingresos'!$C:$C,"&gt;="&amp;Rev!M$1,'Otros Ingresos'!$C:$C,"&lt;="&amp;EOMONTH(Rev!M$1,0))</f>
        <v>0</v>
      </c>
      <c r="N175" s="423">
        <f>+SUMIFS('Otros Ingresos'!$I:$I,'Otros Ingresos'!$B:$B,Rev!$A175,'Otros Ingresos'!$C:$C,"&gt;="&amp;Rev!N$1,'Otros Ingresos'!$C:$C,"&lt;="&amp;EOMONTH(Rev!N$1,0))</f>
        <v>0</v>
      </c>
      <c r="O175" s="423">
        <f>SUM(C175:N175)</f>
        <v>0</v>
      </c>
    </row>
    <row r="176" spans="1:15" ht="17.100000000000001">
      <c r="A176" s="425">
        <f t="shared" si="51"/>
        <v>1427200</v>
      </c>
      <c r="B176" s="452" t="str">
        <f t="shared" si="52"/>
        <v xml:space="preserve">        Otros Ingresos - 1427200</v>
      </c>
      <c r="C176" s="423">
        <f>+SUMIFS('Otros Ingresos'!$I:$I,'Otros Ingresos'!$B:$B,Rev!$A176,'Otros Ingresos'!$C:$C,"&gt;="&amp;Rev!C$1,'Otros Ingresos'!$C:$C,"&lt;="&amp;EOMONTH(Rev!C$1,0))</f>
        <v>0</v>
      </c>
      <c r="D176" s="423">
        <f>+SUMIFS('Otros Ingresos'!$I:$I,'Otros Ingresos'!$B:$B,Rev!$A176,'Otros Ingresos'!$C:$C,"&gt;="&amp;Rev!D$1,'Otros Ingresos'!$C:$C,"&lt;="&amp;EOMONTH(Rev!D$1,0))</f>
        <v>0</v>
      </c>
      <c r="E176" s="423">
        <f>+SUMIFS('Otros Ingresos'!$I:$I,'Otros Ingresos'!$B:$B,Rev!$A176,'Otros Ingresos'!$C:$C,"&gt;="&amp;Rev!E$1,'Otros Ingresos'!$C:$C,"&lt;="&amp;EOMONTH(Rev!E$1,0))</f>
        <v>0</v>
      </c>
      <c r="F176" s="423">
        <f>+SUMIFS('Otros Ingresos'!$I:$I,'Otros Ingresos'!$B:$B,Rev!$A176,'Otros Ingresos'!$C:$C,"&gt;="&amp;Rev!F$1,'Otros Ingresos'!$C:$C,"&lt;="&amp;EOMONTH(Rev!F$1,0))</f>
        <v>0</v>
      </c>
      <c r="G176" s="423">
        <f>+SUMIFS('Otros Ingresos'!$I:$I,'Otros Ingresos'!$B:$B,Rev!$A176,'Otros Ingresos'!$C:$C,"&gt;="&amp;Rev!G$1,'Otros Ingresos'!$C:$C,"&lt;="&amp;EOMONTH(Rev!G$1,0))</f>
        <v>0</v>
      </c>
      <c r="H176" s="423">
        <f>+SUMIFS('Otros Ingresos'!$I:$I,'Otros Ingresos'!$B:$B,Rev!$A176,'Otros Ingresos'!$C:$C,"&gt;="&amp;Rev!H$1,'Otros Ingresos'!$C:$C,"&lt;="&amp;EOMONTH(Rev!H$1,0))</f>
        <v>0</v>
      </c>
      <c r="I176" s="423">
        <f>+SUMIFS('Otros Ingresos'!$I:$I,'Otros Ingresos'!$B:$B,Rev!$A176,'Otros Ingresos'!$C:$C,"&gt;="&amp;Rev!I$1,'Otros Ingresos'!$C:$C,"&lt;="&amp;EOMONTH(Rev!I$1,0))</f>
        <v>0</v>
      </c>
      <c r="J176" s="423">
        <f>+SUMIFS('Otros Ingresos'!$I:$I,'Otros Ingresos'!$B:$B,Rev!$A176,'Otros Ingresos'!$C:$C,"&gt;="&amp;Rev!J$1,'Otros Ingresos'!$C:$C,"&lt;="&amp;EOMONTH(Rev!J$1,0))</f>
        <v>0</v>
      </c>
      <c r="K176" s="423">
        <f>+SUMIFS('Otros Ingresos'!$I:$I,'Otros Ingresos'!$B:$B,Rev!$A176,'Otros Ingresos'!$C:$C,"&gt;="&amp;Rev!K$1,'Otros Ingresos'!$C:$C,"&lt;="&amp;EOMONTH(Rev!K$1,0))</f>
        <v>0</v>
      </c>
      <c r="L176" s="423">
        <f>+SUMIFS('Otros Ingresos'!$I:$I,'Otros Ingresos'!$B:$B,Rev!$A176,'Otros Ingresos'!$C:$C,"&gt;="&amp;Rev!L$1,'Otros Ingresos'!$C:$C,"&lt;="&amp;EOMONTH(Rev!L$1,0))</f>
        <v>0</v>
      </c>
      <c r="M176" s="423">
        <f>+SUMIFS('Otros Ingresos'!$I:$I,'Otros Ingresos'!$B:$B,Rev!$A176,'Otros Ingresos'!$C:$C,"&gt;="&amp;Rev!M$1,'Otros Ingresos'!$C:$C,"&lt;="&amp;EOMONTH(Rev!M$1,0))</f>
        <v>0</v>
      </c>
      <c r="N176" s="423">
        <f>+SUMIFS('Otros Ingresos'!$I:$I,'Otros Ingresos'!$B:$B,Rev!$A176,'Otros Ingresos'!$C:$C,"&gt;="&amp;Rev!N$1,'Otros Ingresos'!$C:$C,"&lt;="&amp;EOMONTH(Rev!N$1,0))</f>
        <v>0</v>
      </c>
      <c r="O176" s="423">
        <f t="shared" ref="O176:O184" si="53">SUM(C176:N176)</f>
        <v>0</v>
      </c>
    </row>
    <row r="177" spans="1:15" ht="17.100000000000001">
      <c r="A177" s="425" t="str">
        <f t="shared" si="51"/>
        <v>B22235000</v>
      </c>
      <c r="B177" s="452" t="str">
        <f t="shared" si="52"/>
        <v xml:space="preserve">        Otros Ingresos - B22235000</v>
      </c>
      <c r="C177" s="423">
        <f>+SUMIFS('Otros Ingresos'!$I:$I,'Otros Ingresos'!$B:$B,Rev!$A177,'Otros Ingresos'!$C:$C,"&gt;="&amp;Rev!C$1,'Otros Ingresos'!$C:$C,"&lt;="&amp;EOMONTH(Rev!C$1,0))</f>
        <v>0</v>
      </c>
      <c r="D177" s="423">
        <f>+SUMIFS('Otros Ingresos'!$I:$I,'Otros Ingresos'!$B:$B,Rev!$A177,'Otros Ingresos'!$C:$C,"&gt;="&amp;Rev!D$1,'Otros Ingresos'!$C:$C,"&lt;="&amp;EOMONTH(Rev!D$1,0))</f>
        <v>0</v>
      </c>
      <c r="E177" s="423">
        <f>+SUMIFS('Otros Ingresos'!$I:$I,'Otros Ingresos'!$B:$B,Rev!$A177,'Otros Ingresos'!$C:$C,"&gt;="&amp;Rev!E$1,'Otros Ingresos'!$C:$C,"&lt;="&amp;EOMONTH(Rev!E$1,0))</f>
        <v>0</v>
      </c>
      <c r="F177" s="423">
        <f>+SUMIFS('Otros Ingresos'!$I:$I,'Otros Ingresos'!$B:$B,Rev!$A177,'Otros Ingresos'!$C:$C,"&gt;="&amp;Rev!F$1,'Otros Ingresos'!$C:$C,"&lt;="&amp;EOMONTH(Rev!F$1,0))</f>
        <v>0</v>
      </c>
      <c r="G177" s="423">
        <f>+SUMIFS('Otros Ingresos'!$I:$I,'Otros Ingresos'!$B:$B,Rev!$A177,'Otros Ingresos'!$C:$C,"&gt;="&amp;Rev!G$1,'Otros Ingresos'!$C:$C,"&lt;="&amp;EOMONTH(Rev!G$1,0))</f>
        <v>0</v>
      </c>
      <c r="H177" s="423">
        <f>+SUMIFS('Otros Ingresos'!$I:$I,'Otros Ingresos'!$B:$B,Rev!$A177,'Otros Ingresos'!$C:$C,"&gt;="&amp;Rev!H$1,'Otros Ingresos'!$C:$C,"&lt;="&amp;EOMONTH(Rev!H$1,0))</f>
        <v>0</v>
      </c>
      <c r="I177" s="423">
        <f>+SUMIFS('Otros Ingresos'!$I:$I,'Otros Ingresos'!$B:$B,Rev!$A177,'Otros Ingresos'!$C:$C,"&gt;="&amp;Rev!I$1,'Otros Ingresos'!$C:$C,"&lt;="&amp;EOMONTH(Rev!I$1,0))</f>
        <v>0</v>
      </c>
      <c r="J177" s="423">
        <f>+SUMIFS('Otros Ingresos'!$I:$I,'Otros Ingresos'!$B:$B,Rev!$A177,'Otros Ingresos'!$C:$C,"&gt;="&amp;Rev!J$1,'Otros Ingresos'!$C:$C,"&lt;="&amp;EOMONTH(Rev!J$1,0))</f>
        <v>0</v>
      </c>
      <c r="K177" s="423">
        <f>+SUMIFS('Otros Ingresos'!$I:$I,'Otros Ingresos'!$B:$B,Rev!$A177,'Otros Ingresos'!$C:$C,"&gt;="&amp;Rev!K$1,'Otros Ingresos'!$C:$C,"&lt;="&amp;EOMONTH(Rev!K$1,0))</f>
        <v>0</v>
      </c>
      <c r="L177" s="423">
        <f>+SUMIFS('Otros Ingresos'!$I:$I,'Otros Ingresos'!$B:$B,Rev!$A177,'Otros Ingresos'!$C:$C,"&gt;="&amp;Rev!L$1,'Otros Ingresos'!$C:$C,"&lt;="&amp;EOMONTH(Rev!L$1,0))</f>
        <v>0</v>
      </c>
      <c r="M177" s="423">
        <f>+SUMIFS('Otros Ingresos'!$I:$I,'Otros Ingresos'!$B:$B,Rev!$A177,'Otros Ingresos'!$C:$C,"&gt;="&amp;Rev!M$1,'Otros Ingresos'!$C:$C,"&lt;="&amp;EOMONTH(Rev!M$1,0))</f>
        <v>0</v>
      </c>
      <c r="N177" s="423">
        <f>+SUMIFS('Otros Ingresos'!$I:$I,'Otros Ingresos'!$B:$B,Rev!$A177,'Otros Ingresos'!$C:$C,"&gt;="&amp;Rev!N$1,'Otros Ingresos'!$C:$C,"&lt;="&amp;EOMONTH(Rev!N$1,0))</f>
        <v>0</v>
      </c>
      <c r="O177" s="423">
        <f t="shared" si="53"/>
        <v>0</v>
      </c>
    </row>
    <row r="178" spans="1:15" ht="17.100000000000001">
      <c r="A178" s="425">
        <f t="shared" si="51"/>
        <v>700833580</v>
      </c>
      <c r="B178" s="452" t="str">
        <f t="shared" si="52"/>
        <v xml:space="preserve">        Otros Ingresos - 700833580</v>
      </c>
      <c r="C178" s="423">
        <f>+SUMIFS('Otros Ingresos'!$I:$I,'Otros Ingresos'!$B:$B,Rev!$A178,'Otros Ingresos'!$C:$C,"&gt;="&amp;Rev!C$1,'Otros Ingresos'!$C:$C,"&lt;="&amp;EOMONTH(Rev!C$1,0))</f>
        <v>0</v>
      </c>
      <c r="D178" s="423">
        <f>+SUMIFS('Otros Ingresos'!$I:$I,'Otros Ingresos'!$B:$B,Rev!$A178,'Otros Ingresos'!$C:$C,"&gt;="&amp;Rev!D$1,'Otros Ingresos'!$C:$C,"&lt;="&amp;EOMONTH(Rev!D$1,0))</f>
        <v>0</v>
      </c>
      <c r="E178" s="423">
        <f>+SUMIFS('Otros Ingresos'!$I:$I,'Otros Ingresos'!$B:$B,Rev!$A178,'Otros Ingresos'!$C:$C,"&gt;="&amp;Rev!E$1,'Otros Ingresos'!$C:$C,"&lt;="&amp;EOMONTH(Rev!E$1,0))</f>
        <v>0</v>
      </c>
      <c r="F178" s="423">
        <f>+SUMIFS('Otros Ingresos'!$I:$I,'Otros Ingresos'!$B:$B,Rev!$A178,'Otros Ingresos'!$C:$C,"&gt;="&amp;Rev!F$1,'Otros Ingresos'!$C:$C,"&lt;="&amp;EOMONTH(Rev!F$1,0))</f>
        <v>0</v>
      </c>
      <c r="G178" s="423">
        <f>+SUMIFS('Otros Ingresos'!$I:$I,'Otros Ingresos'!$B:$B,Rev!$A178,'Otros Ingresos'!$C:$C,"&gt;="&amp;Rev!G$1,'Otros Ingresos'!$C:$C,"&lt;="&amp;EOMONTH(Rev!G$1,0))</f>
        <v>0</v>
      </c>
      <c r="H178" s="423">
        <f>+SUMIFS('Otros Ingresos'!$I:$I,'Otros Ingresos'!$B:$B,Rev!$A178,'Otros Ingresos'!$C:$C,"&gt;="&amp;Rev!H$1,'Otros Ingresos'!$C:$C,"&lt;="&amp;EOMONTH(Rev!H$1,0))</f>
        <v>0</v>
      </c>
      <c r="I178" s="423">
        <f>+SUMIFS('Otros Ingresos'!$I:$I,'Otros Ingresos'!$B:$B,Rev!$A178,'Otros Ingresos'!$C:$C,"&gt;="&amp;Rev!I$1,'Otros Ingresos'!$C:$C,"&lt;="&amp;EOMONTH(Rev!I$1,0))</f>
        <v>0</v>
      </c>
      <c r="J178" s="423">
        <f>+SUMIFS('Otros Ingresos'!$I:$I,'Otros Ingresos'!$B:$B,Rev!$A178,'Otros Ingresos'!$C:$C,"&gt;="&amp;Rev!J$1,'Otros Ingresos'!$C:$C,"&lt;="&amp;EOMONTH(Rev!J$1,0))</f>
        <v>0</v>
      </c>
      <c r="K178" s="423">
        <f>+SUMIFS('Otros Ingresos'!$I:$I,'Otros Ingresos'!$B:$B,Rev!$A178,'Otros Ingresos'!$C:$C,"&gt;="&amp;Rev!K$1,'Otros Ingresos'!$C:$C,"&lt;="&amp;EOMONTH(Rev!K$1,0))</f>
        <v>0</v>
      </c>
      <c r="L178" s="423">
        <f>+SUMIFS('Otros Ingresos'!$I:$I,'Otros Ingresos'!$B:$B,Rev!$A178,'Otros Ingresos'!$C:$C,"&gt;="&amp;Rev!L$1,'Otros Ingresos'!$C:$C,"&lt;="&amp;EOMONTH(Rev!L$1,0))</f>
        <v>0</v>
      </c>
      <c r="M178" s="423">
        <f>+SUMIFS('Otros Ingresos'!$I:$I,'Otros Ingresos'!$B:$B,Rev!$A178,'Otros Ingresos'!$C:$C,"&gt;="&amp;Rev!M$1,'Otros Ingresos'!$C:$C,"&lt;="&amp;EOMONTH(Rev!M$1,0))</f>
        <v>0</v>
      </c>
      <c r="N178" s="423">
        <f>+SUMIFS('Otros Ingresos'!$I:$I,'Otros Ingresos'!$B:$B,Rev!$A178,'Otros Ingresos'!$C:$C,"&gt;="&amp;Rev!N$1,'Otros Ingresos'!$C:$C,"&lt;="&amp;EOMONTH(Rev!N$1,0))</f>
        <v>0</v>
      </c>
      <c r="O178" s="423">
        <f t="shared" si="53"/>
        <v>0</v>
      </c>
    </row>
    <row r="179" spans="1:15" ht="17.100000000000001">
      <c r="A179" s="425" t="str">
        <f t="shared" si="51"/>
        <v>F</v>
      </c>
      <c r="B179" s="452" t="str">
        <f t="shared" si="52"/>
        <v xml:space="preserve">        Otros Ingresos - F</v>
      </c>
      <c r="C179" s="423">
        <f>+SUMIFS('Otros Ingresos'!$I:$I,'Otros Ingresos'!$B:$B,Rev!$A179,'Otros Ingresos'!$C:$C,"&gt;="&amp;Rev!C$1,'Otros Ingresos'!$C:$C,"&lt;="&amp;EOMONTH(Rev!C$1,0))</f>
        <v>0</v>
      </c>
      <c r="D179" s="423">
        <f>+SUMIFS('Otros Ingresos'!$I:$I,'Otros Ingresos'!$B:$B,Rev!$A179,'Otros Ingresos'!$C:$C,"&gt;="&amp;Rev!D$1,'Otros Ingresos'!$C:$C,"&lt;="&amp;EOMONTH(Rev!D$1,0))</f>
        <v>0</v>
      </c>
      <c r="E179" s="423">
        <f>+SUMIFS('Otros Ingresos'!$I:$I,'Otros Ingresos'!$B:$B,Rev!$A179,'Otros Ingresos'!$C:$C,"&gt;="&amp;Rev!E$1,'Otros Ingresos'!$C:$C,"&lt;="&amp;EOMONTH(Rev!E$1,0))</f>
        <v>0</v>
      </c>
      <c r="F179" s="423">
        <f>+SUMIFS('Otros Ingresos'!$I:$I,'Otros Ingresos'!$B:$B,Rev!$A179,'Otros Ingresos'!$C:$C,"&gt;="&amp;Rev!F$1,'Otros Ingresos'!$C:$C,"&lt;="&amp;EOMONTH(Rev!F$1,0))</f>
        <v>0</v>
      </c>
      <c r="G179" s="423">
        <f>+SUMIFS('Otros Ingresos'!$I:$I,'Otros Ingresos'!$B:$B,Rev!$A179,'Otros Ingresos'!$C:$C,"&gt;="&amp;Rev!G$1,'Otros Ingresos'!$C:$C,"&lt;="&amp;EOMONTH(Rev!G$1,0))</f>
        <v>0</v>
      </c>
      <c r="H179" s="423">
        <f>+SUMIFS('Otros Ingresos'!$I:$I,'Otros Ingresos'!$B:$B,Rev!$A179,'Otros Ingresos'!$C:$C,"&gt;="&amp;Rev!H$1,'Otros Ingresos'!$C:$C,"&lt;="&amp;EOMONTH(Rev!H$1,0))</f>
        <v>0</v>
      </c>
      <c r="I179" s="423">
        <f>+SUMIFS('Otros Ingresos'!$I:$I,'Otros Ingresos'!$B:$B,Rev!$A179,'Otros Ingresos'!$C:$C,"&gt;="&amp;Rev!I$1,'Otros Ingresos'!$C:$C,"&lt;="&amp;EOMONTH(Rev!I$1,0))</f>
        <v>0</v>
      </c>
      <c r="J179" s="423">
        <f>+SUMIFS('Otros Ingresos'!$I:$I,'Otros Ingresos'!$B:$B,Rev!$A179,'Otros Ingresos'!$C:$C,"&gt;="&amp;Rev!J$1,'Otros Ingresos'!$C:$C,"&lt;="&amp;EOMONTH(Rev!J$1,0))</f>
        <v>0</v>
      </c>
      <c r="K179" s="423">
        <f>+SUMIFS('Otros Ingresos'!$I:$I,'Otros Ingresos'!$B:$B,Rev!$A179,'Otros Ingresos'!$C:$C,"&gt;="&amp;Rev!K$1,'Otros Ingresos'!$C:$C,"&lt;="&amp;EOMONTH(Rev!K$1,0))</f>
        <v>0</v>
      </c>
      <c r="L179" s="423">
        <f>+SUMIFS('Otros Ingresos'!$I:$I,'Otros Ingresos'!$B:$B,Rev!$A179,'Otros Ingresos'!$C:$C,"&gt;="&amp;Rev!L$1,'Otros Ingresos'!$C:$C,"&lt;="&amp;EOMONTH(Rev!L$1,0))</f>
        <v>0</v>
      </c>
      <c r="M179" s="423">
        <f>+SUMIFS('Otros Ingresos'!$I:$I,'Otros Ingresos'!$B:$B,Rev!$A179,'Otros Ingresos'!$C:$C,"&gt;="&amp;Rev!M$1,'Otros Ingresos'!$C:$C,"&lt;="&amp;EOMONTH(Rev!M$1,0))</f>
        <v>0</v>
      </c>
      <c r="N179" s="423">
        <f>+SUMIFS('Otros Ingresos'!$I:$I,'Otros Ingresos'!$B:$B,Rev!$A179,'Otros Ingresos'!$C:$C,"&gt;="&amp;Rev!N$1,'Otros Ingresos'!$C:$C,"&lt;="&amp;EOMONTH(Rev!N$1,0))</f>
        <v>0</v>
      </c>
      <c r="O179" s="423">
        <f t="shared" si="53"/>
        <v>0</v>
      </c>
    </row>
    <row r="180" spans="1:15" ht="17.100000000000001">
      <c r="A180" s="425" t="str">
        <f t="shared" si="51"/>
        <v>G</v>
      </c>
      <c r="B180" s="452" t="str">
        <f t="shared" si="52"/>
        <v xml:space="preserve">        Otros Ingresos - G</v>
      </c>
      <c r="C180" s="423">
        <f>+SUMIFS('Otros Ingresos'!$I:$I,'Otros Ingresos'!$B:$B,Rev!$A180,'Otros Ingresos'!$C:$C,"&gt;="&amp;Rev!C$1,'Otros Ingresos'!$C:$C,"&lt;="&amp;EOMONTH(Rev!C$1,0))</f>
        <v>0</v>
      </c>
      <c r="D180" s="423">
        <f>+SUMIFS('Otros Ingresos'!$I:$I,'Otros Ingresos'!$B:$B,Rev!$A180,'Otros Ingresos'!$C:$C,"&gt;="&amp;Rev!D$1,'Otros Ingresos'!$C:$C,"&lt;="&amp;EOMONTH(Rev!D$1,0))</f>
        <v>0</v>
      </c>
      <c r="E180" s="423">
        <f>+SUMIFS('Otros Ingresos'!$I:$I,'Otros Ingresos'!$B:$B,Rev!$A180,'Otros Ingresos'!$C:$C,"&gt;="&amp;Rev!E$1,'Otros Ingresos'!$C:$C,"&lt;="&amp;EOMONTH(Rev!E$1,0))</f>
        <v>0</v>
      </c>
      <c r="F180" s="423">
        <f>+SUMIFS('Otros Ingresos'!$I:$I,'Otros Ingresos'!$B:$B,Rev!$A180,'Otros Ingresos'!$C:$C,"&gt;="&amp;Rev!F$1,'Otros Ingresos'!$C:$C,"&lt;="&amp;EOMONTH(Rev!F$1,0))</f>
        <v>0</v>
      </c>
      <c r="G180" s="423">
        <f>+SUMIFS('Otros Ingresos'!$I:$I,'Otros Ingresos'!$B:$B,Rev!$A180,'Otros Ingresos'!$C:$C,"&gt;="&amp;Rev!G$1,'Otros Ingresos'!$C:$C,"&lt;="&amp;EOMONTH(Rev!G$1,0))</f>
        <v>0</v>
      </c>
      <c r="H180" s="423">
        <f>+SUMIFS('Otros Ingresos'!$I:$I,'Otros Ingresos'!$B:$B,Rev!$A180,'Otros Ingresos'!$C:$C,"&gt;="&amp;Rev!H$1,'Otros Ingresos'!$C:$C,"&lt;="&amp;EOMONTH(Rev!H$1,0))</f>
        <v>0</v>
      </c>
      <c r="I180" s="423">
        <f>+SUMIFS('Otros Ingresos'!$I:$I,'Otros Ingresos'!$B:$B,Rev!$A180,'Otros Ingresos'!$C:$C,"&gt;="&amp;Rev!I$1,'Otros Ingresos'!$C:$C,"&lt;="&amp;EOMONTH(Rev!I$1,0))</f>
        <v>0</v>
      </c>
      <c r="J180" s="423">
        <f>+SUMIFS('Otros Ingresos'!$I:$I,'Otros Ingresos'!$B:$B,Rev!$A180,'Otros Ingresos'!$C:$C,"&gt;="&amp;Rev!J$1,'Otros Ingresos'!$C:$C,"&lt;="&amp;EOMONTH(Rev!J$1,0))</f>
        <v>0</v>
      </c>
      <c r="K180" s="423">
        <f>+SUMIFS('Otros Ingresos'!$I:$I,'Otros Ingresos'!$B:$B,Rev!$A180,'Otros Ingresos'!$C:$C,"&gt;="&amp;Rev!K$1,'Otros Ingresos'!$C:$C,"&lt;="&amp;EOMONTH(Rev!K$1,0))</f>
        <v>0</v>
      </c>
      <c r="L180" s="423">
        <f>+SUMIFS('Otros Ingresos'!$I:$I,'Otros Ingresos'!$B:$B,Rev!$A180,'Otros Ingresos'!$C:$C,"&gt;="&amp;Rev!L$1,'Otros Ingresos'!$C:$C,"&lt;="&amp;EOMONTH(Rev!L$1,0))</f>
        <v>0</v>
      </c>
      <c r="M180" s="423">
        <f>+SUMIFS('Otros Ingresos'!$I:$I,'Otros Ingresos'!$B:$B,Rev!$A180,'Otros Ingresos'!$C:$C,"&gt;="&amp;Rev!M$1,'Otros Ingresos'!$C:$C,"&lt;="&amp;EOMONTH(Rev!M$1,0))</f>
        <v>0</v>
      </c>
      <c r="N180" s="423">
        <f>+SUMIFS('Otros Ingresos'!$I:$I,'Otros Ingresos'!$B:$B,Rev!$A180,'Otros Ingresos'!$C:$C,"&gt;="&amp;Rev!N$1,'Otros Ingresos'!$C:$C,"&lt;="&amp;EOMONTH(Rev!N$1,0))</f>
        <v>0</v>
      </c>
      <c r="O180" s="423">
        <f t="shared" si="53"/>
        <v>0</v>
      </c>
    </row>
    <row r="181" spans="1:15" ht="17.100000000000001">
      <c r="A181" s="425" t="str">
        <f t="shared" si="51"/>
        <v>H</v>
      </c>
      <c r="B181" s="452" t="str">
        <f t="shared" si="52"/>
        <v xml:space="preserve">        Otros Ingresos - H</v>
      </c>
      <c r="C181" s="423">
        <f>+SUMIFS('Otros Ingresos'!$I:$I,'Otros Ingresos'!$B:$B,Rev!$A181,'Otros Ingresos'!$C:$C,"&gt;="&amp;Rev!C$1,'Otros Ingresos'!$C:$C,"&lt;="&amp;EOMONTH(Rev!C$1,0))</f>
        <v>0</v>
      </c>
      <c r="D181" s="423">
        <f>+SUMIFS('Otros Ingresos'!$I:$I,'Otros Ingresos'!$B:$B,Rev!$A181,'Otros Ingresos'!$C:$C,"&gt;="&amp;Rev!D$1,'Otros Ingresos'!$C:$C,"&lt;="&amp;EOMONTH(Rev!D$1,0))</f>
        <v>0</v>
      </c>
      <c r="E181" s="423">
        <f>+SUMIFS('Otros Ingresos'!$I:$I,'Otros Ingresos'!$B:$B,Rev!$A181,'Otros Ingresos'!$C:$C,"&gt;="&amp;Rev!E$1,'Otros Ingresos'!$C:$C,"&lt;="&amp;EOMONTH(Rev!E$1,0))</f>
        <v>0</v>
      </c>
      <c r="F181" s="423">
        <f>+SUMIFS('Otros Ingresos'!$I:$I,'Otros Ingresos'!$B:$B,Rev!$A181,'Otros Ingresos'!$C:$C,"&gt;="&amp;Rev!F$1,'Otros Ingresos'!$C:$C,"&lt;="&amp;EOMONTH(Rev!F$1,0))</f>
        <v>0</v>
      </c>
      <c r="G181" s="423">
        <f>+SUMIFS('Otros Ingresos'!$I:$I,'Otros Ingresos'!$B:$B,Rev!$A181,'Otros Ingresos'!$C:$C,"&gt;="&amp;Rev!G$1,'Otros Ingresos'!$C:$C,"&lt;="&amp;EOMONTH(Rev!G$1,0))</f>
        <v>0</v>
      </c>
      <c r="H181" s="423">
        <f>+SUMIFS('Otros Ingresos'!$I:$I,'Otros Ingresos'!$B:$B,Rev!$A181,'Otros Ingresos'!$C:$C,"&gt;="&amp;Rev!H$1,'Otros Ingresos'!$C:$C,"&lt;="&amp;EOMONTH(Rev!H$1,0))</f>
        <v>0</v>
      </c>
      <c r="I181" s="423">
        <f>+SUMIFS('Otros Ingresos'!$I:$I,'Otros Ingresos'!$B:$B,Rev!$A181,'Otros Ingresos'!$C:$C,"&gt;="&amp;Rev!I$1,'Otros Ingresos'!$C:$C,"&lt;="&amp;EOMONTH(Rev!I$1,0))</f>
        <v>0</v>
      </c>
      <c r="J181" s="423">
        <f>+SUMIFS('Otros Ingresos'!$I:$I,'Otros Ingresos'!$B:$B,Rev!$A181,'Otros Ingresos'!$C:$C,"&gt;="&amp;Rev!J$1,'Otros Ingresos'!$C:$C,"&lt;="&amp;EOMONTH(Rev!J$1,0))</f>
        <v>0</v>
      </c>
      <c r="K181" s="423">
        <f>+SUMIFS('Otros Ingresos'!$I:$I,'Otros Ingresos'!$B:$B,Rev!$A181,'Otros Ingresos'!$C:$C,"&gt;="&amp;Rev!K$1,'Otros Ingresos'!$C:$C,"&lt;="&amp;EOMONTH(Rev!K$1,0))</f>
        <v>0</v>
      </c>
      <c r="L181" s="423">
        <f>+SUMIFS('Otros Ingresos'!$I:$I,'Otros Ingresos'!$B:$B,Rev!$A181,'Otros Ingresos'!$C:$C,"&gt;="&amp;Rev!L$1,'Otros Ingresos'!$C:$C,"&lt;="&amp;EOMONTH(Rev!L$1,0))</f>
        <v>0</v>
      </c>
      <c r="M181" s="423">
        <f>+SUMIFS('Otros Ingresos'!$I:$I,'Otros Ingresos'!$B:$B,Rev!$A181,'Otros Ingresos'!$C:$C,"&gt;="&amp;Rev!M$1,'Otros Ingresos'!$C:$C,"&lt;="&amp;EOMONTH(Rev!M$1,0))</f>
        <v>0</v>
      </c>
      <c r="N181" s="423">
        <f>+SUMIFS('Otros Ingresos'!$I:$I,'Otros Ingresos'!$B:$B,Rev!$A181,'Otros Ingresos'!$C:$C,"&gt;="&amp;Rev!N$1,'Otros Ingresos'!$C:$C,"&lt;="&amp;EOMONTH(Rev!N$1,0))</f>
        <v>0</v>
      </c>
      <c r="O181" s="423">
        <f t="shared" si="53"/>
        <v>0</v>
      </c>
    </row>
    <row r="182" spans="1:15" ht="17.100000000000001">
      <c r="A182" s="425" t="str">
        <f t="shared" si="51"/>
        <v>I</v>
      </c>
      <c r="B182" s="452" t="str">
        <f t="shared" si="52"/>
        <v xml:space="preserve">        Otros Ingresos - I</v>
      </c>
      <c r="C182" s="423">
        <f>+SUMIFS('Otros Ingresos'!$I:$I,'Otros Ingresos'!$B:$B,Rev!$A182,'Otros Ingresos'!$C:$C,"&gt;="&amp;Rev!C$1,'Otros Ingresos'!$C:$C,"&lt;="&amp;EOMONTH(Rev!C$1,0))</f>
        <v>0</v>
      </c>
      <c r="D182" s="423">
        <f>+SUMIFS('Otros Ingresos'!$I:$I,'Otros Ingresos'!$B:$B,Rev!$A182,'Otros Ingresos'!$C:$C,"&gt;="&amp;Rev!D$1,'Otros Ingresos'!$C:$C,"&lt;="&amp;EOMONTH(Rev!D$1,0))</f>
        <v>0</v>
      </c>
      <c r="E182" s="423">
        <f>+SUMIFS('Otros Ingresos'!$I:$I,'Otros Ingresos'!$B:$B,Rev!$A182,'Otros Ingresos'!$C:$C,"&gt;="&amp;Rev!E$1,'Otros Ingresos'!$C:$C,"&lt;="&amp;EOMONTH(Rev!E$1,0))</f>
        <v>0</v>
      </c>
      <c r="F182" s="423">
        <f>+SUMIFS('Otros Ingresos'!$I:$I,'Otros Ingresos'!$B:$B,Rev!$A182,'Otros Ingresos'!$C:$C,"&gt;="&amp;Rev!F$1,'Otros Ingresos'!$C:$C,"&lt;="&amp;EOMONTH(Rev!F$1,0))</f>
        <v>0</v>
      </c>
      <c r="G182" s="423">
        <f>+SUMIFS('Otros Ingresos'!$I:$I,'Otros Ingresos'!$B:$B,Rev!$A182,'Otros Ingresos'!$C:$C,"&gt;="&amp;Rev!G$1,'Otros Ingresos'!$C:$C,"&lt;="&amp;EOMONTH(Rev!G$1,0))</f>
        <v>0</v>
      </c>
      <c r="H182" s="423">
        <f>+SUMIFS('Otros Ingresos'!$I:$I,'Otros Ingresos'!$B:$B,Rev!$A182,'Otros Ingresos'!$C:$C,"&gt;="&amp;Rev!H$1,'Otros Ingresos'!$C:$C,"&lt;="&amp;EOMONTH(Rev!H$1,0))</f>
        <v>0</v>
      </c>
      <c r="I182" s="423">
        <f>+SUMIFS('Otros Ingresos'!$I:$I,'Otros Ingresos'!$B:$B,Rev!$A182,'Otros Ingresos'!$C:$C,"&gt;="&amp;Rev!I$1,'Otros Ingresos'!$C:$C,"&lt;="&amp;EOMONTH(Rev!I$1,0))</f>
        <v>0</v>
      </c>
      <c r="J182" s="423">
        <f>+SUMIFS('Otros Ingresos'!$I:$I,'Otros Ingresos'!$B:$B,Rev!$A182,'Otros Ingresos'!$C:$C,"&gt;="&amp;Rev!J$1,'Otros Ingresos'!$C:$C,"&lt;="&amp;EOMONTH(Rev!J$1,0))</f>
        <v>0</v>
      </c>
      <c r="K182" s="423">
        <f>+SUMIFS('Otros Ingresos'!$I:$I,'Otros Ingresos'!$B:$B,Rev!$A182,'Otros Ingresos'!$C:$C,"&gt;="&amp;Rev!K$1,'Otros Ingresos'!$C:$C,"&lt;="&amp;EOMONTH(Rev!K$1,0))</f>
        <v>0</v>
      </c>
      <c r="L182" s="423">
        <f>+SUMIFS('Otros Ingresos'!$I:$I,'Otros Ingresos'!$B:$B,Rev!$A182,'Otros Ingresos'!$C:$C,"&gt;="&amp;Rev!L$1,'Otros Ingresos'!$C:$C,"&lt;="&amp;EOMONTH(Rev!L$1,0))</f>
        <v>0</v>
      </c>
      <c r="M182" s="423">
        <f>+SUMIFS('Otros Ingresos'!$I:$I,'Otros Ingresos'!$B:$B,Rev!$A182,'Otros Ingresos'!$C:$C,"&gt;="&amp;Rev!M$1,'Otros Ingresos'!$C:$C,"&lt;="&amp;EOMONTH(Rev!M$1,0))</f>
        <v>0</v>
      </c>
      <c r="N182" s="423">
        <f>+SUMIFS('Otros Ingresos'!$I:$I,'Otros Ingresos'!$B:$B,Rev!$A182,'Otros Ingresos'!$C:$C,"&gt;="&amp;Rev!N$1,'Otros Ingresos'!$C:$C,"&lt;="&amp;EOMONTH(Rev!N$1,0))</f>
        <v>0</v>
      </c>
      <c r="O182" s="423">
        <f t="shared" si="53"/>
        <v>0</v>
      </c>
    </row>
    <row r="183" spans="1:15" ht="17.100000000000001">
      <c r="A183" s="425" t="str">
        <f t="shared" si="51"/>
        <v>J</v>
      </c>
      <c r="B183" s="452" t="str">
        <f t="shared" si="52"/>
        <v xml:space="preserve">        Otros Ingresos - J</v>
      </c>
      <c r="C183" s="423">
        <f>+SUMIFS('Otros Ingresos'!$I:$I,'Otros Ingresos'!$B:$B,Rev!$A183,'Otros Ingresos'!$C:$C,"&gt;="&amp;Rev!C$1,'Otros Ingresos'!$C:$C,"&lt;="&amp;EOMONTH(Rev!C$1,0))</f>
        <v>0</v>
      </c>
      <c r="D183" s="423">
        <f>+SUMIFS('Otros Ingresos'!$I:$I,'Otros Ingresos'!$B:$B,Rev!$A183,'Otros Ingresos'!$C:$C,"&gt;="&amp;Rev!D$1,'Otros Ingresos'!$C:$C,"&lt;="&amp;EOMONTH(Rev!D$1,0))</f>
        <v>0</v>
      </c>
      <c r="E183" s="423">
        <f>+SUMIFS('Otros Ingresos'!$I:$I,'Otros Ingresos'!$B:$B,Rev!$A183,'Otros Ingresos'!$C:$C,"&gt;="&amp;Rev!E$1,'Otros Ingresos'!$C:$C,"&lt;="&amp;EOMONTH(Rev!E$1,0))</f>
        <v>0</v>
      </c>
      <c r="F183" s="423">
        <f>+SUMIFS('Otros Ingresos'!$I:$I,'Otros Ingresos'!$B:$B,Rev!$A183,'Otros Ingresos'!$C:$C,"&gt;="&amp;Rev!F$1,'Otros Ingresos'!$C:$C,"&lt;="&amp;EOMONTH(Rev!F$1,0))</f>
        <v>0</v>
      </c>
      <c r="G183" s="423">
        <f>+SUMIFS('Otros Ingresos'!$I:$I,'Otros Ingresos'!$B:$B,Rev!$A183,'Otros Ingresos'!$C:$C,"&gt;="&amp;Rev!G$1,'Otros Ingresos'!$C:$C,"&lt;="&amp;EOMONTH(Rev!G$1,0))</f>
        <v>0</v>
      </c>
      <c r="H183" s="423">
        <f>+SUMIFS('Otros Ingresos'!$I:$I,'Otros Ingresos'!$B:$B,Rev!$A183,'Otros Ingresos'!$C:$C,"&gt;="&amp;Rev!H$1,'Otros Ingresos'!$C:$C,"&lt;="&amp;EOMONTH(Rev!H$1,0))</f>
        <v>0</v>
      </c>
      <c r="I183" s="423">
        <f>+SUMIFS('Otros Ingresos'!$I:$I,'Otros Ingresos'!$B:$B,Rev!$A183,'Otros Ingresos'!$C:$C,"&gt;="&amp;Rev!I$1,'Otros Ingresos'!$C:$C,"&lt;="&amp;EOMONTH(Rev!I$1,0))</f>
        <v>0</v>
      </c>
      <c r="J183" s="423">
        <f>+SUMIFS('Otros Ingresos'!$I:$I,'Otros Ingresos'!$B:$B,Rev!$A183,'Otros Ingresos'!$C:$C,"&gt;="&amp;Rev!J$1,'Otros Ingresos'!$C:$C,"&lt;="&amp;EOMONTH(Rev!J$1,0))</f>
        <v>0</v>
      </c>
      <c r="K183" s="423">
        <f>+SUMIFS('Otros Ingresos'!$I:$I,'Otros Ingresos'!$B:$B,Rev!$A183,'Otros Ingresos'!$C:$C,"&gt;="&amp;Rev!K$1,'Otros Ingresos'!$C:$C,"&lt;="&amp;EOMONTH(Rev!K$1,0))</f>
        <v>0</v>
      </c>
      <c r="L183" s="423">
        <f>+SUMIFS('Otros Ingresos'!$I:$I,'Otros Ingresos'!$B:$B,Rev!$A183,'Otros Ingresos'!$C:$C,"&gt;="&amp;Rev!L$1,'Otros Ingresos'!$C:$C,"&lt;="&amp;EOMONTH(Rev!L$1,0))</f>
        <v>0</v>
      </c>
      <c r="M183" s="423">
        <f>+SUMIFS('Otros Ingresos'!$I:$I,'Otros Ingresos'!$B:$B,Rev!$A183,'Otros Ingresos'!$C:$C,"&gt;="&amp;Rev!M$1,'Otros Ingresos'!$C:$C,"&lt;="&amp;EOMONTH(Rev!M$1,0))</f>
        <v>0</v>
      </c>
      <c r="N183" s="423">
        <f>+SUMIFS('Otros Ingresos'!$I:$I,'Otros Ingresos'!$B:$B,Rev!$A183,'Otros Ingresos'!$C:$C,"&gt;="&amp;Rev!N$1,'Otros Ingresos'!$C:$C,"&lt;="&amp;EOMONTH(Rev!N$1,0))</f>
        <v>0</v>
      </c>
      <c r="O183" s="423">
        <f t="shared" si="53"/>
        <v>0</v>
      </c>
    </row>
    <row r="184" spans="1:15" ht="17.100000000000001">
      <c r="A184" s="425" t="str">
        <f t="shared" si="51"/>
        <v>K</v>
      </c>
      <c r="B184" s="452" t="str">
        <f t="shared" si="52"/>
        <v xml:space="preserve">        Otros Ingresos - K</v>
      </c>
      <c r="C184" s="423">
        <f>+SUMIFS('Otros Ingresos'!$I:$I,'Otros Ingresos'!$B:$B,Rev!$A184,'Otros Ingresos'!$C:$C,"&gt;="&amp;Rev!C$1,'Otros Ingresos'!$C:$C,"&lt;="&amp;EOMONTH(Rev!C$1,0))</f>
        <v>0</v>
      </c>
      <c r="D184" s="423">
        <f>+SUMIFS('Otros Ingresos'!$I:$I,'Otros Ingresos'!$B:$B,Rev!$A184,'Otros Ingresos'!$C:$C,"&gt;="&amp;Rev!D$1,'Otros Ingresos'!$C:$C,"&lt;="&amp;EOMONTH(Rev!D$1,0))</f>
        <v>0</v>
      </c>
      <c r="E184" s="423">
        <f>+SUMIFS('Otros Ingresos'!$I:$I,'Otros Ingresos'!$B:$B,Rev!$A184,'Otros Ingresos'!$C:$C,"&gt;="&amp;Rev!E$1,'Otros Ingresos'!$C:$C,"&lt;="&amp;EOMONTH(Rev!E$1,0))</f>
        <v>0</v>
      </c>
      <c r="F184" s="423">
        <f>+SUMIFS('Otros Ingresos'!$I:$I,'Otros Ingresos'!$B:$B,Rev!$A184,'Otros Ingresos'!$C:$C,"&gt;="&amp;Rev!F$1,'Otros Ingresos'!$C:$C,"&lt;="&amp;EOMONTH(Rev!F$1,0))</f>
        <v>0</v>
      </c>
      <c r="G184" s="423">
        <f>+SUMIFS('Otros Ingresos'!$I:$I,'Otros Ingresos'!$B:$B,Rev!$A184,'Otros Ingresos'!$C:$C,"&gt;="&amp;Rev!G$1,'Otros Ingresos'!$C:$C,"&lt;="&amp;EOMONTH(Rev!G$1,0))</f>
        <v>0</v>
      </c>
      <c r="H184" s="423">
        <f>+SUMIFS('Otros Ingresos'!$I:$I,'Otros Ingresos'!$B:$B,Rev!$A184,'Otros Ingresos'!$C:$C,"&gt;="&amp;Rev!H$1,'Otros Ingresos'!$C:$C,"&lt;="&amp;EOMONTH(Rev!H$1,0))</f>
        <v>0</v>
      </c>
      <c r="I184" s="423">
        <f>+SUMIFS('Otros Ingresos'!$I:$I,'Otros Ingresos'!$B:$B,Rev!$A184,'Otros Ingresos'!$C:$C,"&gt;="&amp;Rev!I$1,'Otros Ingresos'!$C:$C,"&lt;="&amp;EOMONTH(Rev!I$1,0))</f>
        <v>0</v>
      </c>
      <c r="J184" s="423">
        <f>+SUMIFS('Otros Ingresos'!$I:$I,'Otros Ingresos'!$B:$B,Rev!$A184,'Otros Ingresos'!$C:$C,"&gt;="&amp;Rev!J$1,'Otros Ingresos'!$C:$C,"&lt;="&amp;EOMONTH(Rev!J$1,0))</f>
        <v>0</v>
      </c>
      <c r="K184" s="423">
        <f>+SUMIFS('Otros Ingresos'!$I:$I,'Otros Ingresos'!$B:$B,Rev!$A184,'Otros Ingresos'!$C:$C,"&gt;="&amp;Rev!K$1,'Otros Ingresos'!$C:$C,"&lt;="&amp;EOMONTH(Rev!K$1,0))</f>
        <v>0</v>
      </c>
      <c r="L184" s="423">
        <f>+SUMIFS('Otros Ingresos'!$I:$I,'Otros Ingresos'!$B:$B,Rev!$A184,'Otros Ingresos'!$C:$C,"&gt;="&amp;Rev!L$1,'Otros Ingresos'!$C:$C,"&lt;="&amp;EOMONTH(Rev!L$1,0))</f>
        <v>0</v>
      </c>
      <c r="M184" s="423">
        <f>+SUMIFS('Otros Ingresos'!$I:$I,'Otros Ingresos'!$B:$B,Rev!$A184,'Otros Ingresos'!$C:$C,"&gt;="&amp;Rev!M$1,'Otros Ingresos'!$C:$C,"&lt;="&amp;EOMONTH(Rev!M$1,0))</f>
        <v>0</v>
      </c>
      <c r="N184" s="423">
        <f>+SUMIFS('Otros Ingresos'!$I:$I,'Otros Ingresos'!$B:$B,Rev!$A184,'Otros Ingresos'!$C:$C,"&gt;="&amp;Rev!N$1,'Otros Ingresos'!$C:$C,"&lt;="&amp;EOMONTH(Rev!N$1,0))</f>
        <v>0</v>
      </c>
      <c r="O184" s="423">
        <f t="shared" si="53"/>
        <v>0</v>
      </c>
    </row>
    <row r="185" spans="1:15" ht="17.100000000000001">
      <c r="A185" s="416"/>
      <c r="B185" s="426" t="s">
        <v>835</v>
      </c>
      <c r="C185" s="427">
        <f>SUM(C174:C184)</f>
        <v>0</v>
      </c>
      <c r="D185" s="427">
        <f t="shared" ref="D185:O185" si="54">SUM(D174:D184)</f>
        <v>0</v>
      </c>
      <c r="E185" s="427">
        <f t="shared" si="54"/>
        <v>0</v>
      </c>
      <c r="F185" s="427">
        <f t="shared" si="54"/>
        <v>0</v>
      </c>
      <c r="G185" s="427">
        <f t="shared" si="54"/>
        <v>0</v>
      </c>
      <c r="H185" s="427">
        <f t="shared" si="54"/>
        <v>0</v>
      </c>
      <c r="I185" s="427">
        <f t="shared" si="54"/>
        <v>0</v>
      </c>
      <c r="J185" s="427">
        <f t="shared" si="54"/>
        <v>0</v>
      </c>
      <c r="K185" s="427">
        <f t="shared" si="54"/>
        <v>0</v>
      </c>
      <c r="L185" s="427">
        <f t="shared" si="54"/>
        <v>0</v>
      </c>
      <c r="M185" s="427">
        <f t="shared" si="54"/>
        <v>0</v>
      </c>
      <c r="N185" s="427">
        <f t="shared" si="54"/>
        <v>0</v>
      </c>
      <c r="O185" s="427">
        <f t="shared" si="54"/>
        <v>0</v>
      </c>
    </row>
    <row r="186" spans="1:15" ht="17.100000000000001">
      <c r="A186" s="416"/>
      <c r="B186" s="429"/>
      <c r="C186" s="423"/>
      <c r="D186" s="423"/>
      <c r="E186" s="423"/>
      <c r="F186" s="423"/>
      <c r="G186" s="423"/>
      <c r="H186" s="423"/>
      <c r="I186" s="423"/>
      <c r="J186" s="423"/>
      <c r="K186" s="423"/>
      <c r="L186" s="423"/>
      <c r="M186" s="423"/>
      <c r="N186" s="423"/>
      <c r="O186" s="423"/>
    </row>
    <row r="187" spans="1:15" ht="17.100000000000001">
      <c r="A187" s="416"/>
      <c r="B187" s="420" t="s">
        <v>836</v>
      </c>
      <c r="C187" s="423"/>
      <c r="D187" s="423"/>
      <c r="E187" s="423"/>
      <c r="F187" s="423"/>
      <c r="G187" s="423"/>
      <c r="H187" s="423"/>
      <c r="I187" s="423"/>
      <c r="J187" s="423"/>
      <c r="K187" s="423"/>
      <c r="L187" s="423"/>
      <c r="M187" s="423"/>
      <c r="N187" s="423"/>
      <c r="O187" s="423"/>
    </row>
    <row r="188" spans="1:15" ht="17.100000000000001">
      <c r="A188" s="425">
        <f>+A174</f>
        <v>1175000</v>
      </c>
      <c r="B188" s="452" t="str">
        <f>+CONCATENATE("        Cross Currency Swap -  ",A188)</f>
        <v xml:space="preserve">        Cross Currency Swap -  1175000</v>
      </c>
      <c r="C188" s="431">
        <f>+SUMIFS(Swap!$I:$I,Swap!$B:$B,Rev!$A188,Swap!$C:$C,"&gt;="&amp;Rev!C$1,Swap!$C:$C,"&lt;="&amp;EOMONTH(Rev!C$1,0))</f>
        <v>0</v>
      </c>
      <c r="D188" s="431">
        <f>+SUMIFS(Swap!$I:$I,Swap!$B:$B,Rev!$A188,Swap!$C:$C,"&gt;="&amp;Rev!D$1,Swap!$C:$C,"&lt;="&amp;EOMONTH(Rev!D$1,0))</f>
        <v>0</v>
      </c>
      <c r="E188" s="431">
        <f>+SUMIFS(Swap!$I:$I,Swap!$B:$B,Rev!$A188,Swap!$C:$C,"&gt;="&amp;Rev!E$1,Swap!$C:$C,"&lt;="&amp;EOMONTH(Rev!E$1,0))</f>
        <v>0</v>
      </c>
      <c r="F188" s="431">
        <f>+SUMIFS(Swap!$I:$I,Swap!$B:$B,Rev!$A188,Swap!$C:$C,"&gt;="&amp;Rev!F$1,Swap!$C:$C,"&lt;="&amp;EOMONTH(Rev!F$1,0))</f>
        <v>0</v>
      </c>
      <c r="G188" s="431">
        <f>+SUMIFS(Swap!$I:$I,Swap!$B:$B,Rev!$A188,Swap!$C:$C,"&gt;="&amp;Rev!G$1,Swap!$C:$C,"&lt;="&amp;EOMONTH(Rev!G$1,0))</f>
        <v>0</v>
      </c>
      <c r="H188" s="431">
        <f>+SUMIFS(Swap!$I:$I,Swap!$B:$B,Rev!$A188,Swap!$C:$C,"&gt;="&amp;Rev!H$1,Swap!$C:$C,"&lt;="&amp;EOMONTH(Rev!H$1,0))</f>
        <v>0</v>
      </c>
      <c r="I188" s="431">
        <f>+SUMIFS(Swap!$I:$I,Swap!$B:$B,Rev!$A188,Swap!$C:$C,"&gt;="&amp;Rev!I$1,Swap!$C:$C,"&lt;="&amp;EOMONTH(Rev!I$1,0))</f>
        <v>0</v>
      </c>
      <c r="J188" s="431">
        <f>+SUMIFS(Swap!$I:$I,Swap!$B:$B,Rev!$A188,Swap!$C:$C,"&gt;="&amp;Rev!J$1,Swap!$C:$C,"&lt;="&amp;EOMONTH(Rev!J$1,0))</f>
        <v>0</v>
      </c>
      <c r="K188" s="431">
        <f>+SUMIFS(Swap!$I:$I,Swap!$B:$B,Rev!$A188,Swap!$C:$C,"&gt;="&amp;Rev!K$1,Swap!$C:$C,"&lt;="&amp;EOMONTH(Rev!K$1,0))</f>
        <v>0</v>
      </c>
      <c r="L188" s="431">
        <f>+SUMIFS(Swap!$I:$I,Swap!$B:$B,Rev!$A188,Swap!$C:$C,"&gt;="&amp;Rev!L$1,Swap!$C:$C,"&lt;="&amp;EOMONTH(Rev!L$1,0))</f>
        <v>0</v>
      </c>
      <c r="M188" s="431">
        <f>+SUMIFS(Swap!$I:$I,Swap!$B:$B,Rev!$A188,Swap!$C:$C,"&gt;="&amp;Rev!M$1,Swap!$C:$C,"&lt;="&amp;EOMONTH(Rev!M$1,0))</f>
        <v>0</v>
      </c>
      <c r="N188" s="431">
        <f>+SUMIFS(Swap!$I:$I,Swap!$B:$B,Rev!$A188,Swap!$C:$C,"&gt;="&amp;Rev!N$1,Swap!$C:$C,"&lt;="&amp;EOMONTH(Rev!N$1,0))</f>
        <v>0</v>
      </c>
      <c r="O188" s="431">
        <f>SUM(C188:N188)</f>
        <v>0</v>
      </c>
    </row>
    <row r="189" spans="1:15" ht="17.100000000000001">
      <c r="A189" s="425">
        <f t="shared" ref="A189:A198" si="55">+A175</f>
        <v>1179000</v>
      </c>
      <c r="B189" s="452" t="str">
        <f t="shared" ref="B189:B198" si="56">+CONCATENATE("        Cross Currency Swap -  ",A189)</f>
        <v xml:space="preserve">        Cross Currency Swap -  1179000</v>
      </c>
      <c r="C189" s="431">
        <f>+SUMIFS(Swap!$I:$I,Swap!$B:$B,Rev!$A189,Swap!$C:$C,"&gt;="&amp;Rev!C$1,Swap!$C:$C,"&lt;="&amp;EOMONTH(Rev!C$1,0))</f>
        <v>0</v>
      </c>
      <c r="D189" s="431">
        <f>+SUMIFS(Swap!$I:$I,Swap!$B:$B,Rev!$A189,Swap!$C:$C,"&gt;="&amp;Rev!D$1,Swap!$C:$C,"&lt;="&amp;EOMONTH(Rev!D$1,0))</f>
        <v>0</v>
      </c>
      <c r="E189" s="431">
        <f>+SUMIFS(Swap!$I:$I,Swap!$B:$B,Rev!$A189,Swap!$C:$C,"&gt;="&amp;Rev!E$1,Swap!$C:$C,"&lt;="&amp;EOMONTH(Rev!E$1,0))</f>
        <v>0</v>
      </c>
      <c r="F189" s="431">
        <f>+SUMIFS(Swap!$I:$I,Swap!$B:$B,Rev!$A189,Swap!$C:$C,"&gt;="&amp;Rev!F$1,Swap!$C:$C,"&lt;="&amp;EOMONTH(Rev!F$1,0))</f>
        <v>0</v>
      </c>
      <c r="G189" s="431">
        <f>+SUMIFS(Swap!$I:$I,Swap!$B:$B,Rev!$A189,Swap!$C:$C,"&gt;="&amp;Rev!G$1,Swap!$C:$C,"&lt;="&amp;EOMONTH(Rev!G$1,0))</f>
        <v>0</v>
      </c>
      <c r="H189" s="431">
        <f>+SUMIFS(Swap!$I:$I,Swap!$B:$B,Rev!$A189,Swap!$C:$C,"&gt;="&amp;Rev!H$1,Swap!$C:$C,"&lt;="&amp;EOMONTH(Rev!H$1,0))</f>
        <v>0</v>
      </c>
      <c r="I189" s="431">
        <f>+SUMIFS(Swap!$I:$I,Swap!$B:$B,Rev!$A189,Swap!$C:$C,"&gt;="&amp;Rev!I$1,Swap!$C:$C,"&lt;="&amp;EOMONTH(Rev!I$1,0))</f>
        <v>0</v>
      </c>
      <c r="J189" s="431">
        <f>+SUMIFS(Swap!$I:$I,Swap!$B:$B,Rev!$A189,Swap!$C:$C,"&gt;="&amp;Rev!J$1,Swap!$C:$C,"&lt;="&amp;EOMONTH(Rev!J$1,0))</f>
        <v>0</v>
      </c>
      <c r="K189" s="431">
        <f>+SUMIFS(Swap!$I:$I,Swap!$B:$B,Rev!$A189,Swap!$C:$C,"&gt;="&amp;Rev!K$1,Swap!$C:$C,"&lt;="&amp;EOMONTH(Rev!K$1,0))</f>
        <v>0</v>
      </c>
      <c r="L189" s="431">
        <f>+SUMIFS(Swap!$I:$I,Swap!$B:$B,Rev!$A189,Swap!$C:$C,"&gt;="&amp;Rev!L$1,Swap!$C:$C,"&lt;="&amp;EOMONTH(Rev!L$1,0))</f>
        <v>0</v>
      </c>
      <c r="M189" s="431">
        <f>+SUMIFS(Swap!$I:$I,Swap!$B:$B,Rev!$A189,Swap!$C:$C,"&gt;="&amp;Rev!M$1,Swap!$C:$C,"&lt;="&amp;EOMONTH(Rev!M$1,0))</f>
        <v>0</v>
      </c>
      <c r="N189" s="431">
        <f>+SUMIFS(Swap!$I:$I,Swap!$B:$B,Rev!$A189,Swap!$C:$C,"&gt;="&amp;Rev!N$1,Swap!$C:$C,"&lt;="&amp;EOMONTH(Rev!N$1,0))</f>
        <v>0</v>
      </c>
      <c r="O189" s="431">
        <f>SUM(C189:N189)</f>
        <v>0</v>
      </c>
    </row>
    <row r="190" spans="1:15" ht="17.100000000000001">
      <c r="A190" s="425">
        <f t="shared" si="55"/>
        <v>1427200</v>
      </c>
      <c r="B190" s="452" t="str">
        <f t="shared" si="56"/>
        <v xml:space="preserve">        Cross Currency Swap -  1427200</v>
      </c>
      <c r="C190" s="431">
        <f>+SUMIFS(Swap!$I:$I,Swap!$B:$B,Rev!$A190,Swap!$C:$C,"&gt;="&amp;Rev!C$1,Swap!$C:$C,"&lt;="&amp;EOMONTH(Rev!C$1,0))</f>
        <v>0</v>
      </c>
      <c r="D190" s="431">
        <f>+SUMIFS(Swap!$I:$I,Swap!$B:$B,Rev!$A190,Swap!$C:$C,"&gt;="&amp;Rev!D$1,Swap!$C:$C,"&lt;="&amp;EOMONTH(Rev!D$1,0))</f>
        <v>0</v>
      </c>
      <c r="E190" s="431">
        <f>+SUMIFS(Swap!$I:$I,Swap!$B:$B,Rev!$A190,Swap!$C:$C,"&gt;="&amp;Rev!E$1,Swap!$C:$C,"&lt;="&amp;EOMONTH(Rev!E$1,0))</f>
        <v>0</v>
      </c>
      <c r="F190" s="431">
        <f>+SUMIFS(Swap!$I:$I,Swap!$B:$B,Rev!$A190,Swap!$C:$C,"&gt;="&amp;Rev!F$1,Swap!$C:$C,"&lt;="&amp;EOMONTH(Rev!F$1,0))</f>
        <v>0</v>
      </c>
      <c r="G190" s="431">
        <f>+SUMIFS(Swap!$I:$I,Swap!$B:$B,Rev!$A190,Swap!$C:$C,"&gt;="&amp;Rev!G$1,Swap!$C:$C,"&lt;="&amp;EOMONTH(Rev!G$1,0))</f>
        <v>0</v>
      </c>
      <c r="H190" s="431">
        <f>+SUMIFS(Swap!$I:$I,Swap!$B:$B,Rev!$A190,Swap!$C:$C,"&gt;="&amp;Rev!H$1,Swap!$C:$C,"&lt;="&amp;EOMONTH(Rev!H$1,0))</f>
        <v>0</v>
      </c>
      <c r="I190" s="431">
        <f>+SUMIFS(Swap!$I:$I,Swap!$B:$B,Rev!$A190,Swap!$C:$C,"&gt;="&amp;Rev!I$1,Swap!$C:$C,"&lt;="&amp;EOMONTH(Rev!I$1,0))</f>
        <v>0</v>
      </c>
      <c r="J190" s="431">
        <f>+SUMIFS(Swap!$I:$I,Swap!$B:$B,Rev!$A190,Swap!$C:$C,"&gt;="&amp;Rev!J$1,Swap!$C:$C,"&lt;="&amp;EOMONTH(Rev!J$1,0))</f>
        <v>0</v>
      </c>
      <c r="K190" s="431">
        <f>+SUMIFS(Swap!$I:$I,Swap!$B:$B,Rev!$A190,Swap!$C:$C,"&gt;="&amp;Rev!K$1,Swap!$C:$C,"&lt;="&amp;EOMONTH(Rev!K$1,0))</f>
        <v>0</v>
      </c>
      <c r="L190" s="431">
        <f>+SUMIFS(Swap!$I:$I,Swap!$B:$B,Rev!$A190,Swap!$C:$C,"&gt;="&amp;Rev!L$1,Swap!$C:$C,"&lt;="&amp;EOMONTH(Rev!L$1,0))</f>
        <v>0</v>
      </c>
      <c r="M190" s="431">
        <f>+SUMIFS(Swap!$I:$I,Swap!$B:$B,Rev!$A190,Swap!$C:$C,"&gt;="&amp;Rev!M$1,Swap!$C:$C,"&lt;="&amp;EOMONTH(Rev!M$1,0))</f>
        <v>0</v>
      </c>
      <c r="N190" s="431">
        <f>+SUMIFS(Swap!$I:$I,Swap!$B:$B,Rev!$A190,Swap!$C:$C,"&gt;="&amp;Rev!N$1,Swap!$C:$C,"&lt;="&amp;EOMONTH(Rev!N$1,0))</f>
        <v>0</v>
      </c>
      <c r="O190" s="431">
        <f t="shared" ref="O190:O198" si="57">SUM(C190:N190)</f>
        <v>0</v>
      </c>
    </row>
    <row r="191" spans="1:15" ht="17.100000000000001">
      <c r="A191" s="425" t="str">
        <f t="shared" si="55"/>
        <v>B22235000</v>
      </c>
      <c r="B191" s="452" t="str">
        <f t="shared" si="56"/>
        <v xml:space="preserve">        Cross Currency Swap -  B22235000</v>
      </c>
      <c r="C191" s="431">
        <f>+SUMIFS(Swap!$I:$I,Swap!$B:$B,Rev!$A191,Swap!$C:$C,"&gt;="&amp;Rev!C$1,Swap!$C:$C,"&lt;="&amp;EOMONTH(Rev!C$1,0))</f>
        <v>0</v>
      </c>
      <c r="D191" s="431">
        <f>+SUMIFS(Swap!$I:$I,Swap!$B:$B,Rev!$A191,Swap!$C:$C,"&gt;="&amp;Rev!D$1,Swap!$C:$C,"&lt;="&amp;EOMONTH(Rev!D$1,0))</f>
        <v>0</v>
      </c>
      <c r="E191" s="431">
        <f>+SUMIFS(Swap!$I:$I,Swap!$B:$B,Rev!$A191,Swap!$C:$C,"&gt;="&amp;Rev!E$1,Swap!$C:$C,"&lt;="&amp;EOMONTH(Rev!E$1,0))</f>
        <v>0</v>
      </c>
      <c r="F191" s="431">
        <f>+SUMIFS(Swap!$I:$I,Swap!$B:$B,Rev!$A191,Swap!$C:$C,"&gt;="&amp;Rev!F$1,Swap!$C:$C,"&lt;="&amp;EOMONTH(Rev!F$1,0))</f>
        <v>0</v>
      </c>
      <c r="G191" s="431">
        <f>+SUMIFS(Swap!$I:$I,Swap!$B:$B,Rev!$A191,Swap!$C:$C,"&gt;="&amp;Rev!G$1,Swap!$C:$C,"&lt;="&amp;EOMONTH(Rev!G$1,0))</f>
        <v>0</v>
      </c>
      <c r="H191" s="431">
        <f>+SUMIFS(Swap!$I:$I,Swap!$B:$B,Rev!$A191,Swap!$C:$C,"&gt;="&amp;Rev!H$1,Swap!$C:$C,"&lt;="&amp;EOMONTH(Rev!H$1,0))</f>
        <v>0</v>
      </c>
      <c r="I191" s="431">
        <f>+SUMIFS(Swap!$I:$I,Swap!$B:$B,Rev!$A191,Swap!$C:$C,"&gt;="&amp;Rev!I$1,Swap!$C:$C,"&lt;="&amp;EOMONTH(Rev!I$1,0))</f>
        <v>0</v>
      </c>
      <c r="J191" s="431">
        <f>+SUMIFS(Swap!$I:$I,Swap!$B:$B,Rev!$A191,Swap!$C:$C,"&gt;="&amp;Rev!J$1,Swap!$C:$C,"&lt;="&amp;EOMONTH(Rev!J$1,0))</f>
        <v>0</v>
      </c>
      <c r="K191" s="431">
        <f>+SUMIFS(Swap!$I:$I,Swap!$B:$B,Rev!$A191,Swap!$C:$C,"&gt;="&amp;Rev!K$1,Swap!$C:$C,"&lt;="&amp;EOMONTH(Rev!K$1,0))</f>
        <v>0</v>
      </c>
      <c r="L191" s="431">
        <f>+SUMIFS(Swap!$I:$I,Swap!$B:$B,Rev!$A191,Swap!$C:$C,"&gt;="&amp;Rev!L$1,Swap!$C:$C,"&lt;="&amp;EOMONTH(Rev!L$1,0))</f>
        <v>0</v>
      </c>
      <c r="M191" s="431">
        <f>+SUMIFS(Swap!$I:$I,Swap!$B:$B,Rev!$A191,Swap!$C:$C,"&gt;="&amp;Rev!M$1,Swap!$C:$C,"&lt;="&amp;EOMONTH(Rev!M$1,0))</f>
        <v>0</v>
      </c>
      <c r="N191" s="431">
        <f>+SUMIFS(Swap!$I:$I,Swap!$B:$B,Rev!$A191,Swap!$C:$C,"&gt;="&amp;Rev!N$1,Swap!$C:$C,"&lt;="&amp;EOMONTH(Rev!N$1,0))</f>
        <v>0</v>
      </c>
      <c r="O191" s="431">
        <f t="shared" si="57"/>
        <v>0</v>
      </c>
    </row>
    <row r="192" spans="1:15" ht="17.100000000000001">
      <c r="A192" s="425">
        <f t="shared" si="55"/>
        <v>700833580</v>
      </c>
      <c r="B192" s="452" t="str">
        <f t="shared" si="56"/>
        <v xml:space="preserve">        Cross Currency Swap -  700833580</v>
      </c>
      <c r="C192" s="431">
        <f>+SUMIFS(Swap!$I:$I,Swap!$B:$B,Rev!$A192,Swap!$C:$C,"&gt;="&amp;Rev!C$1,Swap!$C:$C,"&lt;="&amp;EOMONTH(Rev!C$1,0))</f>
        <v>0</v>
      </c>
      <c r="D192" s="431">
        <f>+SUMIFS(Swap!$I:$I,Swap!$B:$B,Rev!$A192,Swap!$C:$C,"&gt;="&amp;Rev!D$1,Swap!$C:$C,"&lt;="&amp;EOMONTH(Rev!D$1,0))</f>
        <v>0</v>
      </c>
      <c r="E192" s="431">
        <f>+SUMIFS(Swap!$I:$I,Swap!$B:$B,Rev!$A192,Swap!$C:$C,"&gt;="&amp;Rev!E$1,Swap!$C:$C,"&lt;="&amp;EOMONTH(Rev!E$1,0))</f>
        <v>0</v>
      </c>
      <c r="F192" s="431">
        <f>+SUMIFS(Swap!$I:$I,Swap!$B:$B,Rev!$A192,Swap!$C:$C,"&gt;="&amp;Rev!F$1,Swap!$C:$C,"&lt;="&amp;EOMONTH(Rev!F$1,0))</f>
        <v>0</v>
      </c>
      <c r="G192" s="431">
        <f>+SUMIFS(Swap!$I:$I,Swap!$B:$B,Rev!$A192,Swap!$C:$C,"&gt;="&amp;Rev!G$1,Swap!$C:$C,"&lt;="&amp;EOMONTH(Rev!G$1,0))</f>
        <v>0</v>
      </c>
      <c r="H192" s="431">
        <f>+SUMIFS(Swap!$I:$I,Swap!$B:$B,Rev!$A192,Swap!$C:$C,"&gt;="&amp;Rev!H$1,Swap!$C:$C,"&lt;="&amp;EOMONTH(Rev!H$1,0))</f>
        <v>0</v>
      </c>
      <c r="I192" s="431">
        <f>+SUMIFS(Swap!$I:$I,Swap!$B:$B,Rev!$A192,Swap!$C:$C,"&gt;="&amp;Rev!I$1,Swap!$C:$C,"&lt;="&amp;EOMONTH(Rev!I$1,0))</f>
        <v>0</v>
      </c>
      <c r="J192" s="431">
        <f>+SUMIFS(Swap!$I:$I,Swap!$B:$B,Rev!$A192,Swap!$C:$C,"&gt;="&amp;Rev!J$1,Swap!$C:$C,"&lt;="&amp;EOMONTH(Rev!J$1,0))</f>
        <v>0</v>
      </c>
      <c r="K192" s="431">
        <f>+SUMIFS(Swap!$I:$I,Swap!$B:$B,Rev!$A192,Swap!$C:$C,"&gt;="&amp;Rev!K$1,Swap!$C:$C,"&lt;="&amp;EOMONTH(Rev!K$1,0))</f>
        <v>0</v>
      </c>
      <c r="L192" s="431">
        <f>+SUMIFS(Swap!$I:$I,Swap!$B:$B,Rev!$A192,Swap!$C:$C,"&gt;="&amp;Rev!L$1,Swap!$C:$C,"&lt;="&amp;EOMONTH(Rev!L$1,0))</f>
        <v>0</v>
      </c>
      <c r="M192" s="431">
        <f>+SUMIFS(Swap!$I:$I,Swap!$B:$B,Rev!$A192,Swap!$C:$C,"&gt;="&amp;Rev!M$1,Swap!$C:$C,"&lt;="&amp;EOMONTH(Rev!M$1,0))</f>
        <v>0</v>
      </c>
      <c r="N192" s="431">
        <f>+SUMIFS(Swap!$I:$I,Swap!$B:$B,Rev!$A192,Swap!$C:$C,"&gt;="&amp;Rev!N$1,Swap!$C:$C,"&lt;="&amp;EOMONTH(Rev!N$1,0))</f>
        <v>0</v>
      </c>
      <c r="O192" s="431">
        <f t="shared" si="57"/>
        <v>0</v>
      </c>
    </row>
    <row r="193" spans="1:15" ht="17.100000000000001">
      <c r="A193" s="425" t="str">
        <f t="shared" si="55"/>
        <v>F</v>
      </c>
      <c r="B193" s="452" t="str">
        <f t="shared" si="56"/>
        <v xml:space="preserve">        Cross Currency Swap -  F</v>
      </c>
      <c r="C193" s="431">
        <f>+SUMIFS(Swap!$I:$I,Swap!$B:$B,Rev!$A193,Swap!$C:$C,"&gt;="&amp;Rev!C$1,Swap!$C:$C,"&lt;="&amp;EOMONTH(Rev!C$1,0))</f>
        <v>0</v>
      </c>
      <c r="D193" s="431">
        <f>+SUMIFS(Swap!$I:$I,Swap!$B:$B,Rev!$A193,Swap!$C:$C,"&gt;="&amp;Rev!D$1,Swap!$C:$C,"&lt;="&amp;EOMONTH(Rev!D$1,0))</f>
        <v>0</v>
      </c>
      <c r="E193" s="431">
        <f>+SUMIFS(Swap!$I:$I,Swap!$B:$B,Rev!$A193,Swap!$C:$C,"&gt;="&amp;Rev!E$1,Swap!$C:$C,"&lt;="&amp;EOMONTH(Rev!E$1,0))</f>
        <v>0</v>
      </c>
      <c r="F193" s="431">
        <f>+SUMIFS(Swap!$I:$I,Swap!$B:$B,Rev!$A193,Swap!$C:$C,"&gt;="&amp;Rev!F$1,Swap!$C:$C,"&lt;="&amp;EOMONTH(Rev!F$1,0))</f>
        <v>0</v>
      </c>
      <c r="G193" s="431">
        <f>+SUMIFS(Swap!$I:$I,Swap!$B:$B,Rev!$A193,Swap!$C:$C,"&gt;="&amp;Rev!G$1,Swap!$C:$C,"&lt;="&amp;EOMONTH(Rev!G$1,0))</f>
        <v>0</v>
      </c>
      <c r="H193" s="431">
        <f>+SUMIFS(Swap!$I:$I,Swap!$B:$B,Rev!$A193,Swap!$C:$C,"&gt;="&amp;Rev!H$1,Swap!$C:$C,"&lt;="&amp;EOMONTH(Rev!H$1,0))</f>
        <v>0</v>
      </c>
      <c r="I193" s="431">
        <f>+SUMIFS(Swap!$I:$I,Swap!$B:$B,Rev!$A193,Swap!$C:$C,"&gt;="&amp;Rev!I$1,Swap!$C:$C,"&lt;="&amp;EOMONTH(Rev!I$1,0))</f>
        <v>0</v>
      </c>
      <c r="J193" s="431">
        <f>+SUMIFS(Swap!$I:$I,Swap!$B:$B,Rev!$A193,Swap!$C:$C,"&gt;="&amp;Rev!J$1,Swap!$C:$C,"&lt;="&amp;EOMONTH(Rev!J$1,0))</f>
        <v>0</v>
      </c>
      <c r="K193" s="431">
        <f>+SUMIFS(Swap!$I:$I,Swap!$B:$B,Rev!$A193,Swap!$C:$C,"&gt;="&amp;Rev!K$1,Swap!$C:$C,"&lt;="&amp;EOMONTH(Rev!K$1,0))</f>
        <v>0</v>
      </c>
      <c r="L193" s="431">
        <f>+SUMIFS(Swap!$I:$I,Swap!$B:$B,Rev!$A193,Swap!$C:$C,"&gt;="&amp;Rev!L$1,Swap!$C:$C,"&lt;="&amp;EOMONTH(Rev!L$1,0))</f>
        <v>0</v>
      </c>
      <c r="M193" s="431">
        <f>+SUMIFS(Swap!$I:$I,Swap!$B:$B,Rev!$A193,Swap!$C:$C,"&gt;="&amp;Rev!M$1,Swap!$C:$C,"&lt;="&amp;EOMONTH(Rev!M$1,0))</f>
        <v>0</v>
      </c>
      <c r="N193" s="431">
        <f>+SUMIFS(Swap!$I:$I,Swap!$B:$B,Rev!$A193,Swap!$C:$C,"&gt;="&amp;Rev!N$1,Swap!$C:$C,"&lt;="&amp;EOMONTH(Rev!N$1,0))</f>
        <v>0</v>
      </c>
      <c r="O193" s="431">
        <f t="shared" si="57"/>
        <v>0</v>
      </c>
    </row>
    <row r="194" spans="1:15" ht="17.100000000000001">
      <c r="A194" s="425" t="str">
        <f t="shared" si="55"/>
        <v>G</v>
      </c>
      <c r="B194" s="452" t="str">
        <f t="shared" si="56"/>
        <v xml:space="preserve">        Cross Currency Swap -  G</v>
      </c>
      <c r="C194" s="431">
        <f>+SUMIFS(Swap!$I:$I,Swap!$B:$B,Rev!$A194,Swap!$C:$C,"&gt;="&amp;Rev!C$1,Swap!$C:$C,"&lt;="&amp;EOMONTH(Rev!C$1,0))</f>
        <v>0</v>
      </c>
      <c r="D194" s="431">
        <f>+SUMIFS(Swap!$I:$I,Swap!$B:$B,Rev!$A194,Swap!$C:$C,"&gt;="&amp;Rev!D$1,Swap!$C:$C,"&lt;="&amp;EOMONTH(Rev!D$1,0))</f>
        <v>0</v>
      </c>
      <c r="E194" s="431">
        <f>+SUMIFS(Swap!$I:$I,Swap!$B:$B,Rev!$A194,Swap!$C:$C,"&gt;="&amp;Rev!E$1,Swap!$C:$C,"&lt;="&amp;EOMONTH(Rev!E$1,0))</f>
        <v>0</v>
      </c>
      <c r="F194" s="431">
        <f>+SUMIFS(Swap!$I:$I,Swap!$B:$B,Rev!$A194,Swap!$C:$C,"&gt;="&amp;Rev!F$1,Swap!$C:$C,"&lt;="&amp;EOMONTH(Rev!F$1,0))</f>
        <v>0</v>
      </c>
      <c r="G194" s="431">
        <f>+SUMIFS(Swap!$I:$I,Swap!$B:$B,Rev!$A194,Swap!$C:$C,"&gt;="&amp;Rev!G$1,Swap!$C:$C,"&lt;="&amp;EOMONTH(Rev!G$1,0))</f>
        <v>0</v>
      </c>
      <c r="H194" s="431">
        <f>+SUMIFS(Swap!$I:$I,Swap!$B:$B,Rev!$A194,Swap!$C:$C,"&gt;="&amp;Rev!H$1,Swap!$C:$C,"&lt;="&amp;EOMONTH(Rev!H$1,0))</f>
        <v>0</v>
      </c>
      <c r="I194" s="431">
        <f>+SUMIFS(Swap!$I:$I,Swap!$B:$B,Rev!$A194,Swap!$C:$C,"&gt;="&amp;Rev!I$1,Swap!$C:$C,"&lt;="&amp;EOMONTH(Rev!I$1,0))</f>
        <v>0</v>
      </c>
      <c r="J194" s="431">
        <f>+SUMIFS(Swap!$I:$I,Swap!$B:$B,Rev!$A194,Swap!$C:$C,"&gt;="&amp;Rev!J$1,Swap!$C:$C,"&lt;="&amp;EOMONTH(Rev!J$1,0))</f>
        <v>0</v>
      </c>
      <c r="K194" s="431">
        <f>+SUMIFS(Swap!$I:$I,Swap!$B:$B,Rev!$A194,Swap!$C:$C,"&gt;="&amp;Rev!K$1,Swap!$C:$C,"&lt;="&amp;EOMONTH(Rev!K$1,0))</f>
        <v>0</v>
      </c>
      <c r="L194" s="431">
        <f>+SUMIFS(Swap!$I:$I,Swap!$B:$B,Rev!$A194,Swap!$C:$C,"&gt;="&amp;Rev!L$1,Swap!$C:$C,"&lt;="&amp;EOMONTH(Rev!L$1,0))</f>
        <v>0</v>
      </c>
      <c r="M194" s="431">
        <f>+SUMIFS(Swap!$I:$I,Swap!$B:$B,Rev!$A194,Swap!$C:$C,"&gt;="&amp;Rev!M$1,Swap!$C:$C,"&lt;="&amp;EOMONTH(Rev!M$1,0))</f>
        <v>0</v>
      </c>
      <c r="N194" s="431">
        <f>+SUMIFS(Swap!$I:$I,Swap!$B:$B,Rev!$A194,Swap!$C:$C,"&gt;="&amp;Rev!N$1,Swap!$C:$C,"&lt;="&amp;EOMONTH(Rev!N$1,0))</f>
        <v>0</v>
      </c>
      <c r="O194" s="431">
        <f t="shared" si="57"/>
        <v>0</v>
      </c>
    </row>
    <row r="195" spans="1:15" ht="17.100000000000001">
      <c r="A195" s="425" t="str">
        <f t="shared" si="55"/>
        <v>H</v>
      </c>
      <c r="B195" s="452" t="str">
        <f t="shared" si="56"/>
        <v xml:space="preserve">        Cross Currency Swap -  H</v>
      </c>
      <c r="C195" s="431">
        <f>+SUMIFS(Swap!$I:$I,Swap!$B:$B,Rev!$A195,Swap!$C:$C,"&gt;="&amp;Rev!C$1,Swap!$C:$C,"&lt;="&amp;EOMONTH(Rev!C$1,0))</f>
        <v>0</v>
      </c>
      <c r="D195" s="431">
        <f>+SUMIFS(Swap!$I:$I,Swap!$B:$B,Rev!$A195,Swap!$C:$C,"&gt;="&amp;Rev!D$1,Swap!$C:$C,"&lt;="&amp;EOMONTH(Rev!D$1,0))</f>
        <v>0</v>
      </c>
      <c r="E195" s="431">
        <f>+SUMIFS(Swap!$I:$I,Swap!$B:$B,Rev!$A195,Swap!$C:$C,"&gt;="&amp;Rev!E$1,Swap!$C:$C,"&lt;="&amp;EOMONTH(Rev!E$1,0))</f>
        <v>0</v>
      </c>
      <c r="F195" s="431">
        <f>+SUMIFS(Swap!$I:$I,Swap!$B:$B,Rev!$A195,Swap!$C:$C,"&gt;="&amp;Rev!F$1,Swap!$C:$C,"&lt;="&amp;EOMONTH(Rev!F$1,0))</f>
        <v>0</v>
      </c>
      <c r="G195" s="431">
        <f>+SUMIFS(Swap!$I:$I,Swap!$B:$B,Rev!$A195,Swap!$C:$C,"&gt;="&amp;Rev!G$1,Swap!$C:$C,"&lt;="&amp;EOMONTH(Rev!G$1,0))</f>
        <v>0</v>
      </c>
      <c r="H195" s="431">
        <f>+SUMIFS(Swap!$I:$I,Swap!$B:$B,Rev!$A195,Swap!$C:$C,"&gt;="&amp;Rev!H$1,Swap!$C:$C,"&lt;="&amp;EOMONTH(Rev!H$1,0))</f>
        <v>0</v>
      </c>
      <c r="I195" s="431">
        <f>+SUMIFS(Swap!$I:$I,Swap!$B:$B,Rev!$A195,Swap!$C:$C,"&gt;="&amp;Rev!I$1,Swap!$C:$C,"&lt;="&amp;EOMONTH(Rev!I$1,0))</f>
        <v>0</v>
      </c>
      <c r="J195" s="431">
        <f>+SUMIFS(Swap!$I:$I,Swap!$B:$B,Rev!$A195,Swap!$C:$C,"&gt;="&amp;Rev!J$1,Swap!$C:$C,"&lt;="&amp;EOMONTH(Rev!J$1,0))</f>
        <v>0</v>
      </c>
      <c r="K195" s="431">
        <f>+SUMIFS(Swap!$I:$I,Swap!$B:$B,Rev!$A195,Swap!$C:$C,"&gt;="&amp;Rev!K$1,Swap!$C:$C,"&lt;="&amp;EOMONTH(Rev!K$1,0))</f>
        <v>0</v>
      </c>
      <c r="L195" s="431">
        <f>+SUMIFS(Swap!$I:$I,Swap!$B:$B,Rev!$A195,Swap!$C:$C,"&gt;="&amp;Rev!L$1,Swap!$C:$C,"&lt;="&amp;EOMONTH(Rev!L$1,0))</f>
        <v>0</v>
      </c>
      <c r="M195" s="431">
        <f>+SUMIFS(Swap!$I:$I,Swap!$B:$B,Rev!$A195,Swap!$C:$C,"&gt;="&amp;Rev!M$1,Swap!$C:$C,"&lt;="&amp;EOMONTH(Rev!M$1,0))</f>
        <v>0</v>
      </c>
      <c r="N195" s="431">
        <f>+SUMIFS(Swap!$I:$I,Swap!$B:$B,Rev!$A195,Swap!$C:$C,"&gt;="&amp;Rev!N$1,Swap!$C:$C,"&lt;="&amp;EOMONTH(Rev!N$1,0))</f>
        <v>0</v>
      </c>
      <c r="O195" s="431">
        <f t="shared" si="57"/>
        <v>0</v>
      </c>
    </row>
    <row r="196" spans="1:15" ht="17.100000000000001">
      <c r="A196" s="425" t="str">
        <f t="shared" si="55"/>
        <v>I</v>
      </c>
      <c r="B196" s="452" t="str">
        <f t="shared" si="56"/>
        <v xml:space="preserve">        Cross Currency Swap -  I</v>
      </c>
      <c r="C196" s="431">
        <f>+SUMIFS(Swap!$I:$I,Swap!$B:$B,Rev!$A196,Swap!$C:$C,"&gt;="&amp;Rev!C$1,Swap!$C:$C,"&lt;="&amp;EOMONTH(Rev!C$1,0))</f>
        <v>0</v>
      </c>
      <c r="D196" s="431">
        <f>+SUMIFS(Swap!$I:$I,Swap!$B:$B,Rev!$A196,Swap!$C:$C,"&gt;="&amp;Rev!D$1,Swap!$C:$C,"&lt;="&amp;EOMONTH(Rev!D$1,0))</f>
        <v>0</v>
      </c>
      <c r="E196" s="431">
        <f>+SUMIFS(Swap!$I:$I,Swap!$B:$B,Rev!$A196,Swap!$C:$C,"&gt;="&amp;Rev!E$1,Swap!$C:$C,"&lt;="&amp;EOMONTH(Rev!E$1,0))</f>
        <v>0</v>
      </c>
      <c r="F196" s="431">
        <f>+SUMIFS(Swap!$I:$I,Swap!$B:$B,Rev!$A196,Swap!$C:$C,"&gt;="&amp;Rev!F$1,Swap!$C:$C,"&lt;="&amp;EOMONTH(Rev!F$1,0))</f>
        <v>0</v>
      </c>
      <c r="G196" s="431">
        <f>+SUMIFS(Swap!$I:$I,Swap!$B:$B,Rev!$A196,Swap!$C:$C,"&gt;="&amp;Rev!G$1,Swap!$C:$C,"&lt;="&amp;EOMONTH(Rev!G$1,0))</f>
        <v>0</v>
      </c>
      <c r="H196" s="431">
        <f>+SUMIFS(Swap!$I:$I,Swap!$B:$B,Rev!$A196,Swap!$C:$C,"&gt;="&amp;Rev!H$1,Swap!$C:$C,"&lt;="&amp;EOMONTH(Rev!H$1,0))</f>
        <v>0</v>
      </c>
      <c r="I196" s="431">
        <f>+SUMIFS(Swap!$I:$I,Swap!$B:$B,Rev!$A196,Swap!$C:$C,"&gt;="&amp;Rev!I$1,Swap!$C:$C,"&lt;="&amp;EOMONTH(Rev!I$1,0))</f>
        <v>0</v>
      </c>
      <c r="J196" s="431">
        <f>+SUMIFS(Swap!$I:$I,Swap!$B:$B,Rev!$A196,Swap!$C:$C,"&gt;="&amp;Rev!J$1,Swap!$C:$C,"&lt;="&amp;EOMONTH(Rev!J$1,0))</f>
        <v>0</v>
      </c>
      <c r="K196" s="431">
        <f>+SUMIFS(Swap!$I:$I,Swap!$B:$B,Rev!$A196,Swap!$C:$C,"&gt;="&amp;Rev!K$1,Swap!$C:$C,"&lt;="&amp;EOMONTH(Rev!K$1,0))</f>
        <v>0</v>
      </c>
      <c r="L196" s="431">
        <f>+SUMIFS(Swap!$I:$I,Swap!$B:$B,Rev!$A196,Swap!$C:$C,"&gt;="&amp;Rev!L$1,Swap!$C:$C,"&lt;="&amp;EOMONTH(Rev!L$1,0))</f>
        <v>0</v>
      </c>
      <c r="M196" s="431">
        <f>+SUMIFS(Swap!$I:$I,Swap!$B:$B,Rev!$A196,Swap!$C:$C,"&gt;="&amp;Rev!M$1,Swap!$C:$C,"&lt;="&amp;EOMONTH(Rev!M$1,0))</f>
        <v>0</v>
      </c>
      <c r="N196" s="431">
        <f>+SUMIFS(Swap!$I:$I,Swap!$B:$B,Rev!$A196,Swap!$C:$C,"&gt;="&amp;Rev!N$1,Swap!$C:$C,"&lt;="&amp;EOMONTH(Rev!N$1,0))</f>
        <v>0</v>
      </c>
      <c r="O196" s="431">
        <f t="shared" si="57"/>
        <v>0</v>
      </c>
    </row>
    <row r="197" spans="1:15" ht="17.100000000000001">
      <c r="A197" s="425" t="str">
        <f t="shared" si="55"/>
        <v>J</v>
      </c>
      <c r="B197" s="452" t="str">
        <f t="shared" si="56"/>
        <v xml:space="preserve">        Cross Currency Swap -  J</v>
      </c>
      <c r="C197" s="431">
        <f>+SUMIFS(Swap!$I:$I,Swap!$B:$B,Rev!$A197,Swap!$C:$C,"&gt;="&amp;Rev!C$1,Swap!$C:$C,"&lt;="&amp;EOMONTH(Rev!C$1,0))</f>
        <v>0</v>
      </c>
      <c r="D197" s="431">
        <f>+SUMIFS(Swap!$I:$I,Swap!$B:$B,Rev!$A197,Swap!$C:$C,"&gt;="&amp;Rev!D$1,Swap!$C:$C,"&lt;="&amp;EOMONTH(Rev!D$1,0))</f>
        <v>0</v>
      </c>
      <c r="E197" s="431">
        <f>+SUMIFS(Swap!$I:$I,Swap!$B:$B,Rev!$A197,Swap!$C:$C,"&gt;="&amp;Rev!E$1,Swap!$C:$C,"&lt;="&amp;EOMONTH(Rev!E$1,0))</f>
        <v>0</v>
      </c>
      <c r="F197" s="431">
        <f>+SUMIFS(Swap!$I:$I,Swap!$B:$B,Rev!$A197,Swap!$C:$C,"&gt;="&amp;Rev!F$1,Swap!$C:$C,"&lt;="&amp;EOMONTH(Rev!F$1,0))</f>
        <v>0</v>
      </c>
      <c r="G197" s="431">
        <f>+SUMIFS(Swap!$I:$I,Swap!$B:$B,Rev!$A197,Swap!$C:$C,"&gt;="&amp;Rev!G$1,Swap!$C:$C,"&lt;="&amp;EOMONTH(Rev!G$1,0))</f>
        <v>0</v>
      </c>
      <c r="H197" s="431">
        <f>+SUMIFS(Swap!$I:$I,Swap!$B:$B,Rev!$A197,Swap!$C:$C,"&gt;="&amp;Rev!H$1,Swap!$C:$C,"&lt;="&amp;EOMONTH(Rev!H$1,0))</f>
        <v>0</v>
      </c>
      <c r="I197" s="431">
        <f>+SUMIFS(Swap!$I:$I,Swap!$B:$B,Rev!$A197,Swap!$C:$C,"&gt;="&amp;Rev!I$1,Swap!$C:$C,"&lt;="&amp;EOMONTH(Rev!I$1,0))</f>
        <v>0</v>
      </c>
      <c r="J197" s="431">
        <f>+SUMIFS(Swap!$I:$I,Swap!$B:$B,Rev!$A197,Swap!$C:$C,"&gt;="&amp;Rev!J$1,Swap!$C:$C,"&lt;="&amp;EOMONTH(Rev!J$1,0))</f>
        <v>0</v>
      </c>
      <c r="K197" s="431">
        <f>+SUMIFS(Swap!$I:$I,Swap!$B:$B,Rev!$A197,Swap!$C:$C,"&gt;="&amp;Rev!K$1,Swap!$C:$C,"&lt;="&amp;EOMONTH(Rev!K$1,0))</f>
        <v>0</v>
      </c>
      <c r="L197" s="431">
        <f>+SUMIFS(Swap!$I:$I,Swap!$B:$B,Rev!$A197,Swap!$C:$C,"&gt;="&amp;Rev!L$1,Swap!$C:$C,"&lt;="&amp;EOMONTH(Rev!L$1,0))</f>
        <v>0</v>
      </c>
      <c r="M197" s="431">
        <f>+SUMIFS(Swap!$I:$I,Swap!$B:$B,Rev!$A197,Swap!$C:$C,"&gt;="&amp;Rev!M$1,Swap!$C:$C,"&lt;="&amp;EOMONTH(Rev!M$1,0))</f>
        <v>0</v>
      </c>
      <c r="N197" s="431">
        <f>+SUMIFS(Swap!$I:$I,Swap!$B:$B,Rev!$A197,Swap!$C:$C,"&gt;="&amp;Rev!N$1,Swap!$C:$C,"&lt;="&amp;EOMONTH(Rev!N$1,0))</f>
        <v>0</v>
      </c>
      <c r="O197" s="431">
        <f t="shared" si="57"/>
        <v>0</v>
      </c>
    </row>
    <row r="198" spans="1:15" ht="17.100000000000001">
      <c r="A198" s="425" t="str">
        <f t="shared" si="55"/>
        <v>K</v>
      </c>
      <c r="B198" s="452" t="str">
        <f t="shared" si="56"/>
        <v xml:space="preserve">        Cross Currency Swap -  K</v>
      </c>
      <c r="C198" s="431">
        <f>+SUMIFS(Swap!$I:$I,Swap!$B:$B,Rev!$A198,Swap!$C:$C,"&gt;="&amp;Rev!C$1,Swap!$C:$C,"&lt;="&amp;EOMONTH(Rev!C$1,0))</f>
        <v>0</v>
      </c>
      <c r="D198" s="431">
        <f>+SUMIFS(Swap!$I:$I,Swap!$B:$B,Rev!$A198,Swap!$C:$C,"&gt;="&amp;Rev!D$1,Swap!$C:$C,"&lt;="&amp;EOMONTH(Rev!D$1,0))</f>
        <v>0</v>
      </c>
      <c r="E198" s="431">
        <f>+SUMIFS(Swap!$I:$I,Swap!$B:$B,Rev!$A198,Swap!$C:$C,"&gt;="&amp;Rev!E$1,Swap!$C:$C,"&lt;="&amp;EOMONTH(Rev!E$1,0))</f>
        <v>0</v>
      </c>
      <c r="F198" s="431">
        <f>+SUMIFS(Swap!$I:$I,Swap!$B:$B,Rev!$A198,Swap!$C:$C,"&gt;="&amp;Rev!F$1,Swap!$C:$C,"&lt;="&amp;EOMONTH(Rev!F$1,0))</f>
        <v>0</v>
      </c>
      <c r="G198" s="431">
        <f>+SUMIFS(Swap!$I:$I,Swap!$B:$B,Rev!$A198,Swap!$C:$C,"&gt;="&amp;Rev!G$1,Swap!$C:$C,"&lt;="&amp;EOMONTH(Rev!G$1,0))</f>
        <v>0</v>
      </c>
      <c r="H198" s="431">
        <f>+SUMIFS(Swap!$I:$I,Swap!$B:$B,Rev!$A198,Swap!$C:$C,"&gt;="&amp;Rev!H$1,Swap!$C:$C,"&lt;="&amp;EOMONTH(Rev!H$1,0))</f>
        <v>0</v>
      </c>
      <c r="I198" s="431">
        <f>+SUMIFS(Swap!$I:$I,Swap!$B:$B,Rev!$A198,Swap!$C:$C,"&gt;="&amp;Rev!I$1,Swap!$C:$C,"&lt;="&amp;EOMONTH(Rev!I$1,0))</f>
        <v>0</v>
      </c>
      <c r="J198" s="431">
        <f>+SUMIFS(Swap!$I:$I,Swap!$B:$B,Rev!$A198,Swap!$C:$C,"&gt;="&amp;Rev!J$1,Swap!$C:$C,"&lt;="&amp;EOMONTH(Rev!J$1,0))</f>
        <v>0</v>
      </c>
      <c r="K198" s="431">
        <f>+SUMIFS(Swap!$I:$I,Swap!$B:$B,Rev!$A198,Swap!$C:$C,"&gt;="&amp;Rev!K$1,Swap!$C:$C,"&lt;="&amp;EOMONTH(Rev!K$1,0))</f>
        <v>0</v>
      </c>
      <c r="L198" s="431">
        <f>+SUMIFS(Swap!$I:$I,Swap!$B:$B,Rev!$A198,Swap!$C:$C,"&gt;="&amp;Rev!L$1,Swap!$C:$C,"&lt;="&amp;EOMONTH(Rev!L$1,0))</f>
        <v>0</v>
      </c>
      <c r="M198" s="431">
        <f>+SUMIFS(Swap!$I:$I,Swap!$B:$B,Rev!$A198,Swap!$C:$C,"&gt;="&amp;Rev!M$1,Swap!$C:$C,"&lt;="&amp;EOMONTH(Rev!M$1,0))</f>
        <v>0</v>
      </c>
      <c r="N198" s="431">
        <f>+SUMIFS(Swap!$I:$I,Swap!$B:$B,Rev!$A198,Swap!$C:$C,"&gt;="&amp;Rev!N$1,Swap!$C:$C,"&lt;="&amp;EOMONTH(Rev!N$1,0))</f>
        <v>0</v>
      </c>
      <c r="O198" s="431">
        <f t="shared" si="57"/>
        <v>0</v>
      </c>
    </row>
    <row r="199" spans="1:15" ht="17.100000000000001">
      <c r="A199" s="416"/>
      <c r="B199" s="426" t="s">
        <v>837</v>
      </c>
      <c r="C199" s="427">
        <f>SUM(C188:C198)</f>
        <v>0</v>
      </c>
      <c r="D199" s="427">
        <f t="shared" ref="D199:O199" si="58">SUM(D188:D198)</f>
        <v>0</v>
      </c>
      <c r="E199" s="427">
        <f t="shared" si="58"/>
        <v>0</v>
      </c>
      <c r="F199" s="427">
        <f t="shared" si="58"/>
        <v>0</v>
      </c>
      <c r="G199" s="427">
        <f t="shared" si="58"/>
        <v>0</v>
      </c>
      <c r="H199" s="427">
        <f t="shared" si="58"/>
        <v>0</v>
      </c>
      <c r="I199" s="427">
        <f t="shared" si="58"/>
        <v>0</v>
      </c>
      <c r="J199" s="427">
        <f t="shared" si="58"/>
        <v>0</v>
      </c>
      <c r="K199" s="427">
        <f t="shared" si="58"/>
        <v>0</v>
      </c>
      <c r="L199" s="427">
        <f t="shared" si="58"/>
        <v>0</v>
      </c>
      <c r="M199" s="427">
        <f t="shared" si="58"/>
        <v>0</v>
      </c>
      <c r="N199" s="427">
        <f t="shared" si="58"/>
        <v>0</v>
      </c>
      <c r="O199" s="427">
        <f t="shared" si="58"/>
        <v>0</v>
      </c>
    </row>
    <row r="200" spans="1:15" ht="17.100000000000001">
      <c r="A200" s="416"/>
      <c r="B200" s="429"/>
      <c r="C200" s="423"/>
      <c r="D200" s="423"/>
      <c r="E200" s="423"/>
      <c r="F200" s="423"/>
      <c r="G200" s="423"/>
      <c r="H200" s="423"/>
      <c r="I200" s="423"/>
      <c r="J200" s="423"/>
      <c r="K200" s="423"/>
      <c r="L200" s="423"/>
      <c r="M200" s="423"/>
      <c r="N200" s="423"/>
      <c r="O200" s="423"/>
    </row>
    <row r="201" spans="1:15" ht="17.100000000000001">
      <c r="A201" s="416"/>
      <c r="B201" s="420" t="s">
        <v>838</v>
      </c>
      <c r="C201" s="423"/>
      <c r="D201" s="423"/>
      <c r="E201" s="423"/>
      <c r="F201" s="423"/>
      <c r="G201" s="423"/>
      <c r="H201" s="423"/>
      <c r="I201" s="423"/>
      <c r="J201" s="423"/>
      <c r="K201" s="423"/>
      <c r="L201" s="423"/>
      <c r="M201" s="423"/>
      <c r="N201" s="423"/>
      <c r="O201" s="423"/>
    </row>
    <row r="202" spans="1:15" ht="17.100000000000001">
      <c r="A202" s="425">
        <f>+A188</f>
        <v>1175000</v>
      </c>
      <c r="B202" s="452" t="str">
        <f>+CONCATENATE("        Forward tipo de cambio -  ",A202)</f>
        <v xml:space="preserve">        Forward tipo de cambio -  1175000</v>
      </c>
      <c r="C202" s="431">
        <f>+SUMIFS('Fwd - TC'!$I:$I,'Fwd - TC'!$B:$B,Rev!$A202,'Fwd - TC'!$C:$C,"&gt;="&amp;Rev!C$1,'Fwd - TC'!$C:$C,"&lt;="&amp;EOMONTH(Rev!C$1,0))</f>
        <v>0</v>
      </c>
      <c r="D202" s="431">
        <f>+SUMIFS('Fwd - TC'!$I:$I,'Fwd - TC'!$B:$B,Rev!$A202,'Fwd - TC'!$C:$C,"&gt;="&amp;Rev!D$1,'Fwd - TC'!$C:$C,"&lt;="&amp;EOMONTH(Rev!D$1,0))</f>
        <v>0</v>
      </c>
      <c r="E202" s="431">
        <f>+SUMIFS('Fwd - TC'!$I:$I,'Fwd - TC'!$B:$B,Rev!$A202,'Fwd - TC'!$C:$C,"&gt;="&amp;Rev!E$1,'Fwd - TC'!$C:$C,"&lt;="&amp;EOMONTH(Rev!E$1,0))</f>
        <v>0</v>
      </c>
      <c r="F202" s="431">
        <f>+SUMIFS('Fwd - TC'!$I:$I,'Fwd - TC'!$B:$B,Rev!$A202,'Fwd - TC'!$C:$C,"&gt;="&amp;Rev!F$1,'Fwd - TC'!$C:$C,"&lt;="&amp;EOMONTH(Rev!F$1,0))</f>
        <v>0</v>
      </c>
      <c r="G202" s="431">
        <f>+SUMIFS('Fwd - TC'!$I:$I,'Fwd - TC'!$B:$B,Rev!$A202,'Fwd - TC'!$C:$C,"&gt;="&amp;Rev!G$1,'Fwd - TC'!$C:$C,"&lt;="&amp;EOMONTH(Rev!G$1,0))</f>
        <v>0</v>
      </c>
      <c r="H202" s="431">
        <f>+SUMIFS('Fwd - TC'!$I:$I,'Fwd - TC'!$B:$B,Rev!$A202,'Fwd - TC'!$C:$C,"&gt;="&amp;Rev!H$1,'Fwd - TC'!$C:$C,"&lt;="&amp;EOMONTH(Rev!H$1,0))</f>
        <v>0</v>
      </c>
      <c r="I202" s="431">
        <f>+SUMIFS('Fwd - TC'!$I:$I,'Fwd - TC'!$B:$B,Rev!$A202,'Fwd - TC'!$C:$C,"&gt;="&amp;Rev!I$1,'Fwd - TC'!$C:$C,"&lt;="&amp;EOMONTH(Rev!I$1,0))</f>
        <v>0</v>
      </c>
      <c r="J202" s="431">
        <f>+SUMIFS('Fwd - TC'!$I:$I,'Fwd - TC'!$B:$B,Rev!$A202,'Fwd - TC'!$C:$C,"&gt;="&amp;Rev!J$1,'Fwd - TC'!$C:$C,"&lt;="&amp;EOMONTH(Rev!J$1,0))</f>
        <v>0</v>
      </c>
      <c r="K202" s="431">
        <f>+SUMIFS('Fwd - TC'!$I:$I,'Fwd - TC'!$B:$B,Rev!$A202,'Fwd - TC'!$C:$C,"&gt;="&amp;Rev!K$1,'Fwd - TC'!$C:$C,"&lt;="&amp;EOMONTH(Rev!K$1,0))</f>
        <v>0</v>
      </c>
      <c r="L202" s="431">
        <f>+SUMIFS('Fwd - TC'!$I:$I,'Fwd - TC'!$B:$B,Rev!$A202,'Fwd - TC'!$C:$C,"&gt;="&amp;Rev!L$1,'Fwd - TC'!$C:$C,"&lt;="&amp;EOMONTH(Rev!L$1,0))</f>
        <v>0</v>
      </c>
      <c r="M202" s="431">
        <f>+SUMIFS('Fwd - TC'!$I:$I,'Fwd - TC'!$B:$B,Rev!$A202,'Fwd - TC'!$C:$C,"&gt;="&amp;Rev!M$1,'Fwd - TC'!$C:$C,"&lt;="&amp;EOMONTH(Rev!M$1,0))</f>
        <v>0</v>
      </c>
      <c r="N202" s="431">
        <f>+SUMIFS('Fwd - TC'!$I:$I,'Fwd - TC'!$B:$B,Rev!$A202,'Fwd - TC'!$C:$C,"&gt;="&amp;Rev!N$1,'Fwd - TC'!$C:$C,"&lt;="&amp;EOMONTH(Rev!N$1,0))</f>
        <v>0</v>
      </c>
      <c r="O202" s="431">
        <f>SUM(C202:N202)</f>
        <v>0</v>
      </c>
    </row>
    <row r="203" spans="1:15" ht="17.100000000000001">
      <c r="A203" s="425">
        <f t="shared" ref="A203:A212" si="59">+A189</f>
        <v>1179000</v>
      </c>
      <c r="B203" s="452" t="str">
        <f t="shared" ref="B203:B212" si="60">+CONCATENATE("        Forward tipo de cambio -  ",A203)</f>
        <v xml:space="preserve">        Forward tipo de cambio -  1179000</v>
      </c>
      <c r="C203" s="431">
        <f>+SUMIFS('Fwd - TC'!$I:$I,'Fwd - TC'!$B:$B,Rev!$A203,'Fwd - TC'!$C:$C,"&gt;="&amp;Rev!C$1,'Fwd - TC'!$C:$C,"&lt;="&amp;EOMONTH(Rev!C$1,0))</f>
        <v>0</v>
      </c>
      <c r="D203" s="431">
        <f>+SUMIFS('Fwd - TC'!$I:$I,'Fwd - TC'!$B:$B,Rev!$A203,'Fwd - TC'!$C:$C,"&gt;="&amp;Rev!D$1,'Fwd - TC'!$C:$C,"&lt;="&amp;EOMONTH(Rev!D$1,0))</f>
        <v>0</v>
      </c>
      <c r="E203" s="431">
        <f>+SUMIFS('Fwd - TC'!$I:$I,'Fwd - TC'!$B:$B,Rev!$A203,'Fwd - TC'!$C:$C,"&gt;="&amp;Rev!E$1,'Fwd - TC'!$C:$C,"&lt;="&amp;EOMONTH(Rev!E$1,0))</f>
        <v>0</v>
      </c>
      <c r="F203" s="431">
        <f>+SUMIFS('Fwd - TC'!$I:$I,'Fwd - TC'!$B:$B,Rev!$A203,'Fwd - TC'!$C:$C,"&gt;="&amp;Rev!F$1,'Fwd - TC'!$C:$C,"&lt;="&amp;EOMONTH(Rev!F$1,0))</f>
        <v>0</v>
      </c>
      <c r="G203" s="431">
        <f>+SUMIFS('Fwd - TC'!$I:$I,'Fwd - TC'!$B:$B,Rev!$A203,'Fwd - TC'!$C:$C,"&gt;="&amp;Rev!G$1,'Fwd - TC'!$C:$C,"&lt;="&amp;EOMONTH(Rev!G$1,0))</f>
        <v>0</v>
      </c>
      <c r="H203" s="431">
        <f>+SUMIFS('Fwd - TC'!$I:$I,'Fwd - TC'!$B:$B,Rev!$A203,'Fwd - TC'!$C:$C,"&gt;="&amp;Rev!H$1,'Fwd - TC'!$C:$C,"&lt;="&amp;EOMONTH(Rev!H$1,0))</f>
        <v>0</v>
      </c>
      <c r="I203" s="431">
        <f>+SUMIFS('Fwd - TC'!$I:$I,'Fwd - TC'!$B:$B,Rev!$A203,'Fwd - TC'!$C:$C,"&gt;="&amp;Rev!I$1,'Fwd - TC'!$C:$C,"&lt;="&amp;EOMONTH(Rev!I$1,0))</f>
        <v>0</v>
      </c>
      <c r="J203" s="431">
        <f>+SUMIFS('Fwd - TC'!$I:$I,'Fwd - TC'!$B:$B,Rev!$A203,'Fwd - TC'!$C:$C,"&gt;="&amp;Rev!J$1,'Fwd - TC'!$C:$C,"&lt;="&amp;EOMONTH(Rev!J$1,0))</f>
        <v>0</v>
      </c>
      <c r="K203" s="431">
        <f>+SUMIFS('Fwd - TC'!$I:$I,'Fwd - TC'!$B:$B,Rev!$A203,'Fwd - TC'!$C:$C,"&gt;="&amp;Rev!K$1,'Fwd - TC'!$C:$C,"&lt;="&amp;EOMONTH(Rev!K$1,0))</f>
        <v>0</v>
      </c>
      <c r="L203" s="431">
        <f>+SUMIFS('Fwd - TC'!$I:$I,'Fwd - TC'!$B:$B,Rev!$A203,'Fwd - TC'!$C:$C,"&gt;="&amp;Rev!L$1,'Fwd - TC'!$C:$C,"&lt;="&amp;EOMONTH(Rev!L$1,0))</f>
        <v>0</v>
      </c>
      <c r="M203" s="431">
        <f>+SUMIFS('Fwd - TC'!$I:$I,'Fwd - TC'!$B:$B,Rev!$A203,'Fwd - TC'!$C:$C,"&gt;="&amp;Rev!M$1,'Fwd - TC'!$C:$C,"&lt;="&amp;EOMONTH(Rev!M$1,0))</f>
        <v>0</v>
      </c>
      <c r="N203" s="431">
        <f>+SUMIFS('Fwd - TC'!$I:$I,'Fwd - TC'!$B:$B,Rev!$A203,'Fwd - TC'!$C:$C,"&gt;="&amp;Rev!N$1,'Fwd - TC'!$C:$C,"&lt;="&amp;EOMONTH(Rev!N$1,0))</f>
        <v>0</v>
      </c>
      <c r="O203" s="431">
        <f>SUM(C203:N203)</f>
        <v>0</v>
      </c>
    </row>
    <row r="204" spans="1:15" ht="17.100000000000001">
      <c r="A204" s="425">
        <f t="shared" si="59"/>
        <v>1427200</v>
      </c>
      <c r="B204" s="452" t="str">
        <f t="shared" si="60"/>
        <v xml:space="preserve">        Forward tipo de cambio -  1427200</v>
      </c>
      <c r="C204" s="431">
        <f>+SUMIFS('Fwd - TC'!$I:$I,'Fwd - TC'!$B:$B,Rev!$A204,'Fwd - TC'!$C:$C,"&gt;="&amp;Rev!C$1,'Fwd - TC'!$C:$C,"&lt;="&amp;EOMONTH(Rev!C$1,0))</f>
        <v>0</v>
      </c>
      <c r="D204" s="431">
        <f>+SUMIFS('Fwd - TC'!$I:$I,'Fwd - TC'!$B:$B,Rev!$A204,'Fwd - TC'!$C:$C,"&gt;="&amp;Rev!D$1,'Fwd - TC'!$C:$C,"&lt;="&amp;EOMONTH(Rev!D$1,0))</f>
        <v>0</v>
      </c>
      <c r="E204" s="431">
        <f>+SUMIFS('Fwd - TC'!$I:$I,'Fwd - TC'!$B:$B,Rev!$A204,'Fwd - TC'!$C:$C,"&gt;="&amp;Rev!E$1,'Fwd - TC'!$C:$C,"&lt;="&amp;EOMONTH(Rev!E$1,0))</f>
        <v>0</v>
      </c>
      <c r="F204" s="431">
        <f>+SUMIFS('Fwd - TC'!$I:$I,'Fwd - TC'!$B:$B,Rev!$A204,'Fwd - TC'!$C:$C,"&gt;="&amp;Rev!F$1,'Fwd - TC'!$C:$C,"&lt;="&amp;EOMONTH(Rev!F$1,0))</f>
        <v>0</v>
      </c>
      <c r="G204" s="431">
        <f>+SUMIFS('Fwd - TC'!$I:$I,'Fwd - TC'!$B:$B,Rev!$A204,'Fwd - TC'!$C:$C,"&gt;="&amp;Rev!G$1,'Fwd - TC'!$C:$C,"&lt;="&amp;EOMONTH(Rev!G$1,0))</f>
        <v>0</v>
      </c>
      <c r="H204" s="431">
        <f>+SUMIFS('Fwd - TC'!$I:$I,'Fwd - TC'!$B:$B,Rev!$A204,'Fwd - TC'!$C:$C,"&gt;="&amp;Rev!H$1,'Fwd - TC'!$C:$C,"&lt;="&amp;EOMONTH(Rev!H$1,0))</f>
        <v>0</v>
      </c>
      <c r="I204" s="431">
        <f>+SUMIFS('Fwd - TC'!$I:$I,'Fwd - TC'!$B:$B,Rev!$A204,'Fwd - TC'!$C:$C,"&gt;="&amp;Rev!I$1,'Fwd - TC'!$C:$C,"&lt;="&amp;EOMONTH(Rev!I$1,0))</f>
        <v>0</v>
      </c>
      <c r="J204" s="431">
        <f>+SUMIFS('Fwd - TC'!$I:$I,'Fwd - TC'!$B:$B,Rev!$A204,'Fwd - TC'!$C:$C,"&gt;="&amp;Rev!J$1,'Fwd - TC'!$C:$C,"&lt;="&amp;EOMONTH(Rev!J$1,0))</f>
        <v>0</v>
      </c>
      <c r="K204" s="431">
        <f>+SUMIFS('Fwd - TC'!$I:$I,'Fwd - TC'!$B:$B,Rev!$A204,'Fwd - TC'!$C:$C,"&gt;="&amp;Rev!K$1,'Fwd - TC'!$C:$C,"&lt;="&amp;EOMONTH(Rev!K$1,0))</f>
        <v>0</v>
      </c>
      <c r="L204" s="431">
        <f>+SUMIFS('Fwd - TC'!$I:$I,'Fwd - TC'!$B:$B,Rev!$A204,'Fwd - TC'!$C:$C,"&gt;="&amp;Rev!L$1,'Fwd - TC'!$C:$C,"&lt;="&amp;EOMONTH(Rev!L$1,0))</f>
        <v>0</v>
      </c>
      <c r="M204" s="431">
        <f>+SUMIFS('Fwd - TC'!$I:$I,'Fwd - TC'!$B:$B,Rev!$A204,'Fwd - TC'!$C:$C,"&gt;="&amp;Rev!M$1,'Fwd - TC'!$C:$C,"&lt;="&amp;EOMONTH(Rev!M$1,0))</f>
        <v>0</v>
      </c>
      <c r="N204" s="431">
        <f>+SUMIFS('Fwd - TC'!$I:$I,'Fwd - TC'!$B:$B,Rev!$A204,'Fwd - TC'!$C:$C,"&gt;="&amp;Rev!N$1,'Fwd - TC'!$C:$C,"&lt;="&amp;EOMONTH(Rev!N$1,0))</f>
        <v>0</v>
      </c>
      <c r="O204" s="431">
        <f t="shared" ref="O204:O212" si="61">SUM(C204:N204)</f>
        <v>0</v>
      </c>
    </row>
    <row r="205" spans="1:15" ht="17.100000000000001">
      <c r="A205" s="425" t="str">
        <f t="shared" si="59"/>
        <v>B22235000</v>
      </c>
      <c r="B205" s="452" t="str">
        <f t="shared" si="60"/>
        <v xml:space="preserve">        Forward tipo de cambio -  B22235000</v>
      </c>
      <c r="C205" s="431">
        <f>+SUMIFS('Fwd - TC'!$I:$I,'Fwd - TC'!$B:$B,Rev!$A205,'Fwd - TC'!$C:$C,"&gt;="&amp;Rev!C$1,'Fwd - TC'!$C:$C,"&lt;="&amp;EOMONTH(Rev!C$1,0))</f>
        <v>0</v>
      </c>
      <c r="D205" s="431">
        <f>+SUMIFS('Fwd - TC'!$I:$I,'Fwd - TC'!$B:$B,Rev!$A205,'Fwd - TC'!$C:$C,"&gt;="&amp;Rev!D$1,'Fwd - TC'!$C:$C,"&lt;="&amp;EOMONTH(Rev!D$1,0))</f>
        <v>0</v>
      </c>
      <c r="E205" s="431">
        <f>+SUMIFS('Fwd - TC'!$I:$I,'Fwd - TC'!$B:$B,Rev!$A205,'Fwd - TC'!$C:$C,"&gt;="&amp;Rev!E$1,'Fwd - TC'!$C:$C,"&lt;="&amp;EOMONTH(Rev!E$1,0))</f>
        <v>0</v>
      </c>
      <c r="F205" s="431">
        <f>+SUMIFS('Fwd - TC'!$I:$I,'Fwd - TC'!$B:$B,Rev!$A205,'Fwd - TC'!$C:$C,"&gt;="&amp;Rev!F$1,'Fwd - TC'!$C:$C,"&lt;="&amp;EOMONTH(Rev!F$1,0))</f>
        <v>0</v>
      </c>
      <c r="G205" s="431">
        <f>+SUMIFS('Fwd - TC'!$I:$I,'Fwd - TC'!$B:$B,Rev!$A205,'Fwd - TC'!$C:$C,"&gt;="&amp;Rev!G$1,'Fwd - TC'!$C:$C,"&lt;="&amp;EOMONTH(Rev!G$1,0))</f>
        <v>0</v>
      </c>
      <c r="H205" s="431">
        <f>+SUMIFS('Fwd - TC'!$I:$I,'Fwd - TC'!$B:$B,Rev!$A205,'Fwd - TC'!$C:$C,"&gt;="&amp;Rev!H$1,'Fwd - TC'!$C:$C,"&lt;="&amp;EOMONTH(Rev!H$1,0))</f>
        <v>0</v>
      </c>
      <c r="I205" s="431">
        <f>+SUMIFS('Fwd - TC'!$I:$I,'Fwd - TC'!$B:$B,Rev!$A205,'Fwd - TC'!$C:$C,"&gt;="&amp;Rev!I$1,'Fwd - TC'!$C:$C,"&lt;="&amp;EOMONTH(Rev!I$1,0))</f>
        <v>0</v>
      </c>
      <c r="J205" s="431">
        <f>+SUMIFS('Fwd - TC'!$I:$I,'Fwd - TC'!$B:$B,Rev!$A205,'Fwd - TC'!$C:$C,"&gt;="&amp;Rev!J$1,'Fwd - TC'!$C:$C,"&lt;="&amp;EOMONTH(Rev!J$1,0))</f>
        <v>0</v>
      </c>
      <c r="K205" s="431">
        <f>+SUMIFS('Fwd - TC'!$I:$I,'Fwd - TC'!$B:$B,Rev!$A205,'Fwd - TC'!$C:$C,"&gt;="&amp;Rev!K$1,'Fwd - TC'!$C:$C,"&lt;="&amp;EOMONTH(Rev!K$1,0))</f>
        <v>0</v>
      </c>
      <c r="L205" s="431">
        <f>+SUMIFS('Fwd - TC'!$I:$I,'Fwd - TC'!$B:$B,Rev!$A205,'Fwd - TC'!$C:$C,"&gt;="&amp;Rev!L$1,'Fwd - TC'!$C:$C,"&lt;="&amp;EOMONTH(Rev!L$1,0))</f>
        <v>0</v>
      </c>
      <c r="M205" s="431">
        <f>+SUMIFS('Fwd - TC'!$I:$I,'Fwd - TC'!$B:$B,Rev!$A205,'Fwd - TC'!$C:$C,"&gt;="&amp;Rev!M$1,'Fwd - TC'!$C:$C,"&lt;="&amp;EOMONTH(Rev!M$1,0))</f>
        <v>0</v>
      </c>
      <c r="N205" s="431">
        <f>+SUMIFS('Fwd - TC'!$I:$I,'Fwd - TC'!$B:$B,Rev!$A205,'Fwd - TC'!$C:$C,"&gt;="&amp;Rev!N$1,'Fwd - TC'!$C:$C,"&lt;="&amp;EOMONTH(Rev!N$1,0))</f>
        <v>0</v>
      </c>
      <c r="O205" s="431">
        <f t="shared" si="61"/>
        <v>0</v>
      </c>
    </row>
    <row r="206" spans="1:15" ht="17.100000000000001">
      <c r="A206" s="425">
        <f t="shared" si="59"/>
        <v>700833580</v>
      </c>
      <c r="B206" s="452" t="str">
        <f t="shared" si="60"/>
        <v xml:space="preserve">        Forward tipo de cambio -  700833580</v>
      </c>
      <c r="C206" s="431">
        <f>+SUMIFS('Fwd - TC'!$I:$I,'Fwd - TC'!$B:$B,Rev!$A206,'Fwd - TC'!$C:$C,"&gt;="&amp;Rev!C$1,'Fwd - TC'!$C:$C,"&lt;="&amp;EOMONTH(Rev!C$1,0))</f>
        <v>0</v>
      </c>
      <c r="D206" s="431">
        <f>+SUMIFS('Fwd - TC'!$I:$I,'Fwd - TC'!$B:$B,Rev!$A206,'Fwd - TC'!$C:$C,"&gt;="&amp;Rev!D$1,'Fwd - TC'!$C:$C,"&lt;="&amp;EOMONTH(Rev!D$1,0))</f>
        <v>0</v>
      </c>
      <c r="E206" s="431">
        <f>+SUMIFS('Fwd - TC'!$I:$I,'Fwd - TC'!$B:$B,Rev!$A206,'Fwd - TC'!$C:$C,"&gt;="&amp;Rev!E$1,'Fwd - TC'!$C:$C,"&lt;="&amp;EOMONTH(Rev!E$1,0))</f>
        <v>0</v>
      </c>
      <c r="F206" s="431">
        <f>+SUMIFS('Fwd - TC'!$I:$I,'Fwd - TC'!$B:$B,Rev!$A206,'Fwd - TC'!$C:$C,"&gt;="&amp;Rev!F$1,'Fwd - TC'!$C:$C,"&lt;="&amp;EOMONTH(Rev!F$1,0))</f>
        <v>0</v>
      </c>
      <c r="G206" s="431">
        <f>+SUMIFS('Fwd - TC'!$I:$I,'Fwd - TC'!$B:$B,Rev!$A206,'Fwd - TC'!$C:$C,"&gt;="&amp;Rev!G$1,'Fwd - TC'!$C:$C,"&lt;="&amp;EOMONTH(Rev!G$1,0))</f>
        <v>0</v>
      </c>
      <c r="H206" s="431">
        <f>+SUMIFS('Fwd - TC'!$I:$I,'Fwd - TC'!$B:$B,Rev!$A206,'Fwd - TC'!$C:$C,"&gt;="&amp;Rev!H$1,'Fwd - TC'!$C:$C,"&lt;="&amp;EOMONTH(Rev!H$1,0))</f>
        <v>0</v>
      </c>
      <c r="I206" s="431">
        <f>+SUMIFS('Fwd - TC'!$I:$I,'Fwd - TC'!$B:$B,Rev!$A206,'Fwd - TC'!$C:$C,"&gt;="&amp;Rev!I$1,'Fwd - TC'!$C:$C,"&lt;="&amp;EOMONTH(Rev!I$1,0))</f>
        <v>0</v>
      </c>
      <c r="J206" s="431">
        <f>+SUMIFS('Fwd - TC'!$I:$I,'Fwd - TC'!$B:$B,Rev!$A206,'Fwd - TC'!$C:$C,"&gt;="&amp;Rev!J$1,'Fwd - TC'!$C:$C,"&lt;="&amp;EOMONTH(Rev!J$1,0))</f>
        <v>0</v>
      </c>
      <c r="K206" s="431">
        <f>+SUMIFS('Fwd - TC'!$I:$I,'Fwd - TC'!$B:$B,Rev!$A206,'Fwd - TC'!$C:$C,"&gt;="&amp;Rev!K$1,'Fwd - TC'!$C:$C,"&lt;="&amp;EOMONTH(Rev!K$1,0))</f>
        <v>0</v>
      </c>
      <c r="L206" s="431">
        <f>+SUMIFS('Fwd - TC'!$I:$I,'Fwd - TC'!$B:$B,Rev!$A206,'Fwd - TC'!$C:$C,"&gt;="&amp;Rev!L$1,'Fwd - TC'!$C:$C,"&lt;="&amp;EOMONTH(Rev!L$1,0))</f>
        <v>0</v>
      </c>
      <c r="M206" s="431">
        <f>+SUMIFS('Fwd - TC'!$I:$I,'Fwd - TC'!$B:$B,Rev!$A206,'Fwd - TC'!$C:$C,"&gt;="&amp;Rev!M$1,'Fwd - TC'!$C:$C,"&lt;="&amp;EOMONTH(Rev!M$1,0))</f>
        <v>0</v>
      </c>
      <c r="N206" s="431">
        <f>+SUMIFS('Fwd - TC'!$I:$I,'Fwd - TC'!$B:$B,Rev!$A206,'Fwd - TC'!$C:$C,"&gt;="&amp;Rev!N$1,'Fwd - TC'!$C:$C,"&lt;="&amp;EOMONTH(Rev!N$1,0))</f>
        <v>0</v>
      </c>
      <c r="O206" s="431">
        <f t="shared" si="61"/>
        <v>0</v>
      </c>
    </row>
    <row r="207" spans="1:15" ht="17.100000000000001">
      <c r="A207" s="425" t="str">
        <f t="shared" si="59"/>
        <v>F</v>
      </c>
      <c r="B207" s="452" t="str">
        <f t="shared" si="60"/>
        <v xml:space="preserve">        Forward tipo de cambio -  F</v>
      </c>
      <c r="C207" s="431">
        <f>+SUMIFS('Fwd - TC'!$I:$I,'Fwd - TC'!$B:$B,Rev!$A207,'Fwd - TC'!$C:$C,"&gt;="&amp;Rev!C$1,'Fwd - TC'!$C:$C,"&lt;="&amp;EOMONTH(Rev!C$1,0))</f>
        <v>0</v>
      </c>
      <c r="D207" s="431">
        <f>+SUMIFS('Fwd - TC'!$I:$I,'Fwd - TC'!$B:$B,Rev!$A207,'Fwd - TC'!$C:$C,"&gt;="&amp;Rev!D$1,'Fwd - TC'!$C:$C,"&lt;="&amp;EOMONTH(Rev!D$1,0))</f>
        <v>0</v>
      </c>
      <c r="E207" s="431">
        <f>+SUMIFS('Fwd - TC'!$I:$I,'Fwd - TC'!$B:$B,Rev!$A207,'Fwd - TC'!$C:$C,"&gt;="&amp;Rev!E$1,'Fwd - TC'!$C:$C,"&lt;="&amp;EOMONTH(Rev!E$1,0))</f>
        <v>0</v>
      </c>
      <c r="F207" s="431">
        <f>+SUMIFS('Fwd - TC'!$I:$I,'Fwd - TC'!$B:$B,Rev!$A207,'Fwd - TC'!$C:$C,"&gt;="&amp;Rev!F$1,'Fwd - TC'!$C:$C,"&lt;="&amp;EOMONTH(Rev!F$1,0))</f>
        <v>0</v>
      </c>
      <c r="G207" s="431">
        <f>+SUMIFS('Fwd - TC'!$I:$I,'Fwd - TC'!$B:$B,Rev!$A207,'Fwd - TC'!$C:$C,"&gt;="&amp;Rev!G$1,'Fwd - TC'!$C:$C,"&lt;="&amp;EOMONTH(Rev!G$1,0))</f>
        <v>0</v>
      </c>
      <c r="H207" s="431">
        <f>+SUMIFS('Fwd - TC'!$I:$I,'Fwd - TC'!$B:$B,Rev!$A207,'Fwd - TC'!$C:$C,"&gt;="&amp;Rev!H$1,'Fwd - TC'!$C:$C,"&lt;="&amp;EOMONTH(Rev!H$1,0))</f>
        <v>0</v>
      </c>
      <c r="I207" s="431">
        <f>+SUMIFS('Fwd - TC'!$I:$I,'Fwd - TC'!$B:$B,Rev!$A207,'Fwd - TC'!$C:$C,"&gt;="&amp;Rev!I$1,'Fwd - TC'!$C:$C,"&lt;="&amp;EOMONTH(Rev!I$1,0))</f>
        <v>0</v>
      </c>
      <c r="J207" s="431">
        <f>+SUMIFS('Fwd - TC'!$I:$I,'Fwd - TC'!$B:$B,Rev!$A207,'Fwd - TC'!$C:$C,"&gt;="&amp;Rev!J$1,'Fwd - TC'!$C:$C,"&lt;="&amp;EOMONTH(Rev!J$1,0))</f>
        <v>0</v>
      </c>
      <c r="K207" s="431">
        <f>+SUMIFS('Fwd - TC'!$I:$I,'Fwd - TC'!$B:$B,Rev!$A207,'Fwd - TC'!$C:$C,"&gt;="&amp;Rev!K$1,'Fwd - TC'!$C:$C,"&lt;="&amp;EOMONTH(Rev!K$1,0))</f>
        <v>0</v>
      </c>
      <c r="L207" s="431">
        <f>+SUMIFS('Fwd - TC'!$I:$I,'Fwd - TC'!$B:$B,Rev!$A207,'Fwd - TC'!$C:$C,"&gt;="&amp;Rev!L$1,'Fwd - TC'!$C:$C,"&lt;="&amp;EOMONTH(Rev!L$1,0))</f>
        <v>0</v>
      </c>
      <c r="M207" s="431">
        <f>+SUMIFS('Fwd - TC'!$I:$I,'Fwd - TC'!$B:$B,Rev!$A207,'Fwd - TC'!$C:$C,"&gt;="&amp;Rev!M$1,'Fwd - TC'!$C:$C,"&lt;="&amp;EOMONTH(Rev!M$1,0))</f>
        <v>0</v>
      </c>
      <c r="N207" s="431">
        <f>+SUMIFS('Fwd - TC'!$I:$I,'Fwd - TC'!$B:$B,Rev!$A207,'Fwd - TC'!$C:$C,"&gt;="&amp;Rev!N$1,'Fwd - TC'!$C:$C,"&lt;="&amp;EOMONTH(Rev!N$1,0))</f>
        <v>0</v>
      </c>
      <c r="O207" s="431">
        <f t="shared" si="61"/>
        <v>0</v>
      </c>
    </row>
    <row r="208" spans="1:15" ht="17.100000000000001">
      <c r="A208" s="425" t="str">
        <f t="shared" si="59"/>
        <v>G</v>
      </c>
      <c r="B208" s="452" t="str">
        <f t="shared" si="60"/>
        <v xml:space="preserve">        Forward tipo de cambio -  G</v>
      </c>
      <c r="C208" s="431">
        <f>+SUMIFS('Fwd - TC'!$I:$I,'Fwd - TC'!$B:$B,Rev!$A208,'Fwd - TC'!$C:$C,"&gt;="&amp;Rev!C$1,'Fwd - TC'!$C:$C,"&lt;="&amp;EOMONTH(Rev!C$1,0))</f>
        <v>0</v>
      </c>
      <c r="D208" s="431">
        <f>+SUMIFS('Fwd - TC'!$I:$I,'Fwd - TC'!$B:$B,Rev!$A208,'Fwd - TC'!$C:$C,"&gt;="&amp;Rev!D$1,'Fwd - TC'!$C:$C,"&lt;="&amp;EOMONTH(Rev!D$1,0))</f>
        <v>0</v>
      </c>
      <c r="E208" s="431">
        <f>+SUMIFS('Fwd - TC'!$I:$I,'Fwd - TC'!$B:$B,Rev!$A208,'Fwd - TC'!$C:$C,"&gt;="&amp;Rev!E$1,'Fwd - TC'!$C:$C,"&lt;="&amp;EOMONTH(Rev!E$1,0))</f>
        <v>0</v>
      </c>
      <c r="F208" s="431">
        <f>+SUMIFS('Fwd - TC'!$I:$I,'Fwd - TC'!$B:$B,Rev!$A208,'Fwd - TC'!$C:$C,"&gt;="&amp;Rev!F$1,'Fwd - TC'!$C:$C,"&lt;="&amp;EOMONTH(Rev!F$1,0))</f>
        <v>0</v>
      </c>
      <c r="G208" s="431">
        <f>+SUMIFS('Fwd - TC'!$I:$I,'Fwd - TC'!$B:$B,Rev!$A208,'Fwd - TC'!$C:$C,"&gt;="&amp;Rev!G$1,'Fwd - TC'!$C:$C,"&lt;="&amp;EOMONTH(Rev!G$1,0))</f>
        <v>0</v>
      </c>
      <c r="H208" s="431">
        <f>+SUMIFS('Fwd - TC'!$I:$I,'Fwd - TC'!$B:$B,Rev!$A208,'Fwd - TC'!$C:$C,"&gt;="&amp;Rev!H$1,'Fwd - TC'!$C:$C,"&lt;="&amp;EOMONTH(Rev!H$1,0))</f>
        <v>0</v>
      </c>
      <c r="I208" s="431">
        <f>+SUMIFS('Fwd - TC'!$I:$I,'Fwd - TC'!$B:$B,Rev!$A208,'Fwd - TC'!$C:$C,"&gt;="&amp;Rev!I$1,'Fwd - TC'!$C:$C,"&lt;="&amp;EOMONTH(Rev!I$1,0))</f>
        <v>0</v>
      </c>
      <c r="J208" s="431">
        <f>+SUMIFS('Fwd - TC'!$I:$I,'Fwd - TC'!$B:$B,Rev!$A208,'Fwd - TC'!$C:$C,"&gt;="&amp;Rev!J$1,'Fwd - TC'!$C:$C,"&lt;="&amp;EOMONTH(Rev!J$1,0))</f>
        <v>0</v>
      </c>
      <c r="K208" s="431">
        <f>+SUMIFS('Fwd - TC'!$I:$I,'Fwd - TC'!$B:$B,Rev!$A208,'Fwd - TC'!$C:$C,"&gt;="&amp;Rev!K$1,'Fwd - TC'!$C:$C,"&lt;="&amp;EOMONTH(Rev!K$1,0))</f>
        <v>0</v>
      </c>
      <c r="L208" s="431">
        <f>+SUMIFS('Fwd - TC'!$I:$I,'Fwd - TC'!$B:$B,Rev!$A208,'Fwd - TC'!$C:$C,"&gt;="&amp;Rev!L$1,'Fwd - TC'!$C:$C,"&lt;="&amp;EOMONTH(Rev!L$1,0))</f>
        <v>0</v>
      </c>
      <c r="M208" s="431">
        <f>+SUMIFS('Fwd - TC'!$I:$I,'Fwd - TC'!$B:$B,Rev!$A208,'Fwd - TC'!$C:$C,"&gt;="&amp;Rev!M$1,'Fwd - TC'!$C:$C,"&lt;="&amp;EOMONTH(Rev!M$1,0))</f>
        <v>0</v>
      </c>
      <c r="N208" s="431">
        <f>+SUMIFS('Fwd - TC'!$I:$I,'Fwd - TC'!$B:$B,Rev!$A208,'Fwd - TC'!$C:$C,"&gt;="&amp;Rev!N$1,'Fwd - TC'!$C:$C,"&lt;="&amp;EOMONTH(Rev!N$1,0))</f>
        <v>0</v>
      </c>
      <c r="O208" s="431">
        <f t="shared" si="61"/>
        <v>0</v>
      </c>
    </row>
    <row r="209" spans="1:15" ht="17.100000000000001">
      <c r="A209" s="425" t="str">
        <f t="shared" si="59"/>
        <v>H</v>
      </c>
      <c r="B209" s="452" t="str">
        <f t="shared" si="60"/>
        <v xml:space="preserve">        Forward tipo de cambio -  H</v>
      </c>
      <c r="C209" s="431">
        <f>+SUMIFS('Fwd - TC'!$I:$I,'Fwd - TC'!$B:$B,Rev!$A209,'Fwd - TC'!$C:$C,"&gt;="&amp;Rev!C$1,'Fwd - TC'!$C:$C,"&lt;="&amp;EOMONTH(Rev!C$1,0))</f>
        <v>0</v>
      </c>
      <c r="D209" s="431">
        <f>+SUMIFS('Fwd - TC'!$I:$I,'Fwd - TC'!$B:$B,Rev!$A209,'Fwd - TC'!$C:$C,"&gt;="&amp;Rev!D$1,'Fwd - TC'!$C:$C,"&lt;="&amp;EOMONTH(Rev!D$1,0))</f>
        <v>0</v>
      </c>
      <c r="E209" s="431">
        <f>+SUMIFS('Fwd - TC'!$I:$I,'Fwd - TC'!$B:$B,Rev!$A209,'Fwd - TC'!$C:$C,"&gt;="&amp;Rev!E$1,'Fwd - TC'!$C:$C,"&lt;="&amp;EOMONTH(Rev!E$1,0))</f>
        <v>0</v>
      </c>
      <c r="F209" s="431">
        <f>+SUMIFS('Fwd - TC'!$I:$I,'Fwd - TC'!$B:$B,Rev!$A209,'Fwd - TC'!$C:$C,"&gt;="&amp;Rev!F$1,'Fwd - TC'!$C:$C,"&lt;="&amp;EOMONTH(Rev!F$1,0))</f>
        <v>0</v>
      </c>
      <c r="G209" s="431">
        <f>+SUMIFS('Fwd - TC'!$I:$I,'Fwd - TC'!$B:$B,Rev!$A209,'Fwd - TC'!$C:$C,"&gt;="&amp;Rev!G$1,'Fwd - TC'!$C:$C,"&lt;="&amp;EOMONTH(Rev!G$1,0))</f>
        <v>0</v>
      </c>
      <c r="H209" s="431">
        <f>+SUMIFS('Fwd - TC'!$I:$I,'Fwd - TC'!$B:$B,Rev!$A209,'Fwd - TC'!$C:$C,"&gt;="&amp;Rev!H$1,'Fwd - TC'!$C:$C,"&lt;="&amp;EOMONTH(Rev!H$1,0))</f>
        <v>0</v>
      </c>
      <c r="I209" s="431">
        <f>+SUMIFS('Fwd - TC'!$I:$I,'Fwd - TC'!$B:$B,Rev!$A209,'Fwd - TC'!$C:$C,"&gt;="&amp;Rev!I$1,'Fwd - TC'!$C:$C,"&lt;="&amp;EOMONTH(Rev!I$1,0))</f>
        <v>0</v>
      </c>
      <c r="J209" s="431">
        <f>+SUMIFS('Fwd - TC'!$I:$I,'Fwd - TC'!$B:$B,Rev!$A209,'Fwd - TC'!$C:$C,"&gt;="&amp;Rev!J$1,'Fwd - TC'!$C:$C,"&lt;="&amp;EOMONTH(Rev!J$1,0))</f>
        <v>0</v>
      </c>
      <c r="K209" s="431">
        <f>+SUMIFS('Fwd - TC'!$I:$I,'Fwd - TC'!$B:$B,Rev!$A209,'Fwd - TC'!$C:$C,"&gt;="&amp;Rev!K$1,'Fwd - TC'!$C:$C,"&lt;="&amp;EOMONTH(Rev!K$1,0))</f>
        <v>0</v>
      </c>
      <c r="L209" s="431">
        <f>+SUMIFS('Fwd - TC'!$I:$I,'Fwd - TC'!$B:$B,Rev!$A209,'Fwd - TC'!$C:$C,"&gt;="&amp;Rev!L$1,'Fwd - TC'!$C:$C,"&lt;="&amp;EOMONTH(Rev!L$1,0))</f>
        <v>0</v>
      </c>
      <c r="M209" s="431">
        <f>+SUMIFS('Fwd - TC'!$I:$I,'Fwd - TC'!$B:$B,Rev!$A209,'Fwd - TC'!$C:$C,"&gt;="&amp;Rev!M$1,'Fwd - TC'!$C:$C,"&lt;="&amp;EOMONTH(Rev!M$1,0))</f>
        <v>0</v>
      </c>
      <c r="N209" s="431">
        <f>+SUMIFS('Fwd - TC'!$I:$I,'Fwd - TC'!$B:$B,Rev!$A209,'Fwd - TC'!$C:$C,"&gt;="&amp;Rev!N$1,'Fwd - TC'!$C:$C,"&lt;="&amp;EOMONTH(Rev!N$1,0))</f>
        <v>0</v>
      </c>
      <c r="O209" s="431">
        <f t="shared" si="61"/>
        <v>0</v>
      </c>
    </row>
    <row r="210" spans="1:15" ht="17.100000000000001">
      <c r="A210" s="425" t="str">
        <f t="shared" si="59"/>
        <v>I</v>
      </c>
      <c r="B210" s="452" t="str">
        <f t="shared" si="60"/>
        <v xml:space="preserve">        Forward tipo de cambio -  I</v>
      </c>
      <c r="C210" s="431">
        <f>+SUMIFS('Fwd - TC'!$I:$I,'Fwd - TC'!$B:$B,Rev!$A210,'Fwd - TC'!$C:$C,"&gt;="&amp;Rev!C$1,'Fwd - TC'!$C:$C,"&lt;="&amp;EOMONTH(Rev!C$1,0))</f>
        <v>0</v>
      </c>
      <c r="D210" s="431">
        <f>+SUMIFS('Fwd - TC'!$I:$I,'Fwd - TC'!$B:$B,Rev!$A210,'Fwd - TC'!$C:$C,"&gt;="&amp;Rev!D$1,'Fwd - TC'!$C:$C,"&lt;="&amp;EOMONTH(Rev!D$1,0))</f>
        <v>0</v>
      </c>
      <c r="E210" s="431">
        <f>+SUMIFS('Fwd - TC'!$I:$I,'Fwd - TC'!$B:$B,Rev!$A210,'Fwd - TC'!$C:$C,"&gt;="&amp;Rev!E$1,'Fwd - TC'!$C:$C,"&lt;="&amp;EOMONTH(Rev!E$1,0))</f>
        <v>0</v>
      </c>
      <c r="F210" s="431">
        <f>+SUMIFS('Fwd - TC'!$I:$I,'Fwd - TC'!$B:$B,Rev!$A210,'Fwd - TC'!$C:$C,"&gt;="&amp;Rev!F$1,'Fwd - TC'!$C:$C,"&lt;="&amp;EOMONTH(Rev!F$1,0))</f>
        <v>0</v>
      </c>
      <c r="G210" s="431">
        <f>+SUMIFS('Fwd - TC'!$I:$I,'Fwd - TC'!$B:$B,Rev!$A210,'Fwd - TC'!$C:$C,"&gt;="&amp;Rev!G$1,'Fwd - TC'!$C:$C,"&lt;="&amp;EOMONTH(Rev!G$1,0))</f>
        <v>0</v>
      </c>
      <c r="H210" s="431">
        <f>+SUMIFS('Fwd - TC'!$I:$I,'Fwd - TC'!$B:$B,Rev!$A210,'Fwd - TC'!$C:$C,"&gt;="&amp;Rev!H$1,'Fwd - TC'!$C:$C,"&lt;="&amp;EOMONTH(Rev!H$1,0))</f>
        <v>0</v>
      </c>
      <c r="I210" s="431">
        <f>+SUMIFS('Fwd - TC'!$I:$I,'Fwd - TC'!$B:$B,Rev!$A210,'Fwd - TC'!$C:$C,"&gt;="&amp;Rev!I$1,'Fwd - TC'!$C:$C,"&lt;="&amp;EOMONTH(Rev!I$1,0))</f>
        <v>0</v>
      </c>
      <c r="J210" s="431">
        <f>+SUMIFS('Fwd - TC'!$I:$I,'Fwd - TC'!$B:$B,Rev!$A210,'Fwd - TC'!$C:$C,"&gt;="&amp;Rev!J$1,'Fwd - TC'!$C:$C,"&lt;="&amp;EOMONTH(Rev!J$1,0))</f>
        <v>0</v>
      </c>
      <c r="K210" s="431">
        <f>+SUMIFS('Fwd - TC'!$I:$I,'Fwd - TC'!$B:$B,Rev!$A210,'Fwd - TC'!$C:$C,"&gt;="&amp;Rev!K$1,'Fwd - TC'!$C:$C,"&lt;="&amp;EOMONTH(Rev!K$1,0))</f>
        <v>0</v>
      </c>
      <c r="L210" s="431">
        <f>+SUMIFS('Fwd - TC'!$I:$I,'Fwd - TC'!$B:$B,Rev!$A210,'Fwd - TC'!$C:$C,"&gt;="&amp;Rev!L$1,'Fwd - TC'!$C:$C,"&lt;="&amp;EOMONTH(Rev!L$1,0))</f>
        <v>0</v>
      </c>
      <c r="M210" s="431">
        <f>+SUMIFS('Fwd - TC'!$I:$I,'Fwd - TC'!$B:$B,Rev!$A210,'Fwd - TC'!$C:$C,"&gt;="&amp;Rev!M$1,'Fwd - TC'!$C:$C,"&lt;="&amp;EOMONTH(Rev!M$1,0))</f>
        <v>0</v>
      </c>
      <c r="N210" s="431">
        <f>+SUMIFS('Fwd - TC'!$I:$I,'Fwd - TC'!$B:$B,Rev!$A210,'Fwd - TC'!$C:$C,"&gt;="&amp;Rev!N$1,'Fwd - TC'!$C:$C,"&lt;="&amp;EOMONTH(Rev!N$1,0))</f>
        <v>0</v>
      </c>
      <c r="O210" s="431">
        <f t="shared" si="61"/>
        <v>0</v>
      </c>
    </row>
    <row r="211" spans="1:15" ht="17.100000000000001">
      <c r="A211" s="425" t="str">
        <f t="shared" si="59"/>
        <v>J</v>
      </c>
      <c r="B211" s="452" t="str">
        <f t="shared" si="60"/>
        <v xml:space="preserve">        Forward tipo de cambio -  J</v>
      </c>
      <c r="C211" s="431">
        <f>+SUMIFS('Fwd - TC'!$I:$I,'Fwd - TC'!$B:$B,Rev!$A211,'Fwd - TC'!$C:$C,"&gt;="&amp;Rev!C$1,'Fwd - TC'!$C:$C,"&lt;="&amp;EOMONTH(Rev!C$1,0))</f>
        <v>0</v>
      </c>
      <c r="D211" s="431">
        <f>+SUMIFS('Fwd - TC'!$I:$I,'Fwd - TC'!$B:$B,Rev!$A211,'Fwd - TC'!$C:$C,"&gt;="&amp;Rev!D$1,'Fwd - TC'!$C:$C,"&lt;="&amp;EOMONTH(Rev!D$1,0))</f>
        <v>0</v>
      </c>
      <c r="E211" s="431">
        <f>+SUMIFS('Fwd - TC'!$I:$I,'Fwd - TC'!$B:$B,Rev!$A211,'Fwd - TC'!$C:$C,"&gt;="&amp;Rev!E$1,'Fwd - TC'!$C:$C,"&lt;="&amp;EOMONTH(Rev!E$1,0))</f>
        <v>0</v>
      </c>
      <c r="F211" s="431">
        <f>+SUMIFS('Fwd - TC'!$I:$I,'Fwd - TC'!$B:$B,Rev!$A211,'Fwd - TC'!$C:$C,"&gt;="&amp;Rev!F$1,'Fwd - TC'!$C:$C,"&lt;="&amp;EOMONTH(Rev!F$1,0))</f>
        <v>0</v>
      </c>
      <c r="G211" s="431">
        <f>+SUMIFS('Fwd - TC'!$I:$I,'Fwd - TC'!$B:$B,Rev!$A211,'Fwd - TC'!$C:$C,"&gt;="&amp;Rev!G$1,'Fwd - TC'!$C:$C,"&lt;="&amp;EOMONTH(Rev!G$1,0))</f>
        <v>0</v>
      </c>
      <c r="H211" s="431">
        <f>+SUMIFS('Fwd - TC'!$I:$I,'Fwd - TC'!$B:$B,Rev!$A211,'Fwd - TC'!$C:$C,"&gt;="&amp;Rev!H$1,'Fwd - TC'!$C:$C,"&lt;="&amp;EOMONTH(Rev!H$1,0))</f>
        <v>0</v>
      </c>
      <c r="I211" s="431">
        <f>+SUMIFS('Fwd - TC'!$I:$I,'Fwd - TC'!$B:$B,Rev!$A211,'Fwd - TC'!$C:$C,"&gt;="&amp;Rev!I$1,'Fwd - TC'!$C:$C,"&lt;="&amp;EOMONTH(Rev!I$1,0))</f>
        <v>0</v>
      </c>
      <c r="J211" s="431">
        <f>+SUMIFS('Fwd - TC'!$I:$I,'Fwd - TC'!$B:$B,Rev!$A211,'Fwd - TC'!$C:$C,"&gt;="&amp;Rev!J$1,'Fwd - TC'!$C:$C,"&lt;="&amp;EOMONTH(Rev!J$1,0))</f>
        <v>0</v>
      </c>
      <c r="K211" s="431">
        <f>+SUMIFS('Fwd - TC'!$I:$I,'Fwd - TC'!$B:$B,Rev!$A211,'Fwd - TC'!$C:$C,"&gt;="&amp;Rev!K$1,'Fwd - TC'!$C:$C,"&lt;="&amp;EOMONTH(Rev!K$1,0))</f>
        <v>0</v>
      </c>
      <c r="L211" s="431">
        <f>+SUMIFS('Fwd - TC'!$I:$I,'Fwd - TC'!$B:$B,Rev!$A211,'Fwd - TC'!$C:$C,"&gt;="&amp;Rev!L$1,'Fwd - TC'!$C:$C,"&lt;="&amp;EOMONTH(Rev!L$1,0))</f>
        <v>0</v>
      </c>
      <c r="M211" s="431">
        <f>+SUMIFS('Fwd - TC'!$I:$I,'Fwd - TC'!$B:$B,Rev!$A211,'Fwd - TC'!$C:$C,"&gt;="&amp;Rev!M$1,'Fwd - TC'!$C:$C,"&lt;="&amp;EOMONTH(Rev!M$1,0))</f>
        <v>0</v>
      </c>
      <c r="N211" s="431">
        <f>+SUMIFS('Fwd - TC'!$I:$I,'Fwd - TC'!$B:$B,Rev!$A211,'Fwd - TC'!$C:$C,"&gt;="&amp;Rev!N$1,'Fwd - TC'!$C:$C,"&lt;="&amp;EOMONTH(Rev!N$1,0))</f>
        <v>0</v>
      </c>
      <c r="O211" s="431">
        <f t="shared" si="61"/>
        <v>0</v>
      </c>
    </row>
    <row r="212" spans="1:15" ht="17.100000000000001">
      <c r="A212" s="425" t="str">
        <f t="shared" si="59"/>
        <v>K</v>
      </c>
      <c r="B212" s="452" t="str">
        <f t="shared" si="60"/>
        <v xml:space="preserve">        Forward tipo de cambio -  K</v>
      </c>
      <c r="C212" s="431">
        <f>+SUMIFS('Fwd - TC'!$I:$I,'Fwd - TC'!$B:$B,Rev!$A212,'Fwd - TC'!$C:$C,"&gt;="&amp;Rev!C$1,'Fwd - TC'!$C:$C,"&lt;="&amp;EOMONTH(Rev!C$1,0))</f>
        <v>0</v>
      </c>
      <c r="D212" s="431">
        <f>+SUMIFS('Fwd - TC'!$I:$I,'Fwd - TC'!$B:$B,Rev!$A212,'Fwd - TC'!$C:$C,"&gt;="&amp;Rev!D$1,'Fwd - TC'!$C:$C,"&lt;="&amp;EOMONTH(Rev!D$1,0))</f>
        <v>0</v>
      </c>
      <c r="E212" s="431">
        <f>+SUMIFS('Fwd - TC'!$I:$I,'Fwd - TC'!$B:$B,Rev!$A212,'Fwd - TC'!$C:$C,"&gt;="&amp;Rev!E$1,'Fwd - TC'!$C:$C,"&lt;="&amp;EOMONTH(Rev!E$1,0))</f>
        <v>0</v>
      </c>
      <c r="F212" s="431">
        <f>+SUMIFS('Fwd - TC'!$I:$I,'Fwd - TC'!$B:$B,Rev!$A212,'Fwd - TC'!$C:$C,"&gt;="&amp;Rev!F$1,'Fwd - TC'!$C:$C,"&lt;="&amp;EOMONTH(Rev!F$1,0))</f>
        <v>0</v>
      </c>
      <c r="G212" s="431">
        <f>+SUMIFS('Fwd - TC'!$I:$I,'Fwd - TC'!$B:$B,Rev!$A212,'Fwd - TC'!$C:$C,"&gt;="&amp;Rev!G$1,'Fwd - TC'!$C:$C,"&lt;="&amp;EOMONTH(Rev!G$1,0))</f>
        <v>0</v>
      </c>
      <c r="H212" s="431">
        <f>+SUMIFS('Fwd - TC'!$I:$I,'Fwd - TC'!$B:$B,Rev!$A212,'Fwd - TC'!$C:$C,"&gt;="&amp;Rev!H$1,'Fwd - TC'!$C:$C,"&lt;="&amp;EOMONTH(Rev!H$1,0))</f>
        <v>0</v>
      </c>
      <c r="I212" s="431">
        <f>+SUMIFS('Fwd - TC'!$I:$I,'Fwd - TC'!$B:$B,Rev!$A212,'Fwd - TC'!$C:$C,"&gt;="&amp;Rev!I$1,'Fwd - TC'!$C:$C,"&lt;="&amp;EOMONTH(Rev!I$1,0))</f>
        <v>0</v>
      </c>
      <c r="J212" s="431">
        <f>+SUMIFS('Fwd - TC'!$I:$I,'Fwd - TC'!$B:$B,Rev!$A212,'Fwd - TC'!$C:$C,"&gt;="&amp;Rev!J$1,'Fwd - TC'!$C:$C,"&lt;="&amp;EOMONTH(Rev!J$1,0))</f>
        <v>0</v>
      </c>
      <c r="K212" s="431">
        <f>+SUMIFS('Fwd - TC'!$I:$I,'Fwd - TC'!$B:$B,Rev!$A212,'Fwd - TC'!$C:$C,"&gt;="&amp;Rev!K$1,'Fwd - TC'!$C:$C,"&lt;="&amp;EOMONTH(Rev!K$1,0))</f>
        <v>0</v>
      </c>
      <c r="L212" s="431">
        <f>+SUMIFS('Fwd - TC'!$I:$I,'Fwd - TC'!$B:$B,Rev!$A212,'Fwd - TC'!$C:$C,"&gt;="&amp;Rev!L$1,'Fwd - TC'!$C:$C,"&lt;="&amp;EOMONTH(Rev!L$1,0))</f>
        <v>0</v>
      </c>
      <c r="M212" s="431">
        <f>+SUMIFS('Fwd - TC'!$I:$I,'Fwd - TC'!$B:$B,Rev!$A212,'Fwd - TC'!$C:$C,"&gt;="&amp;Rev!M$1,'Fwd - TC'!$C:$C,"&lt;="&amp;EOMONTH(Rev!M$1,0))</f>
        <v>0</v>
      </c>
      <c r="N212" s="431">
        <f>+SUMIFS('Fwd - TC'!$I:$I,'Fwd - TC'!$B:$B,Rev!$A212,'Fwd - TC'!$C:$C,"&gt;="&amp;Rev!N$1,'Fwd - TC'!$C:$C,"&lt;="&amp;EOMONTH(Rev!N$1,0))</f>
        <v>0</v>
      </c>
      <c r="O212" s="431">
        <f t="shared" si="61"/>
        <v>0</v>
      </c>
    </row>
    <row r="213" spans="1:15" ht="17.100000000000001">
      <c r="A213" s="416"/>
      <c r="B213" s="426" t="s">
        <v>835</v>
      </c>
      <c r="C213" s="427">
        <f>SUM(C202:C212)</f>
        <v>0</v>
      </c>
      <c r="D213" s="427">
        <f t="shared" ref="D213:O213" si="62">SUM(D202:D212)</f>
        <v>0</v>
      </c>
      <c r="E213" s="427">
        <f t="shared" si="62"/>
        <v>0</v>
      </c>
      <c r="F213" s="427">
        <f t="shared" si="62"/>
        <v>0</v>
      </c>
      <c r="G213" s="427">
        <f t="shared" si="62"/>
        <v>0</v>
      </c>
      <c r="H213" s="427">
        <f t="shared" si="62"/>
        <v>0</v>
      </c>
      <c r="I213" s="427">
        <f t="shared" si="62"/>
        <v>0</v>
      </c>
      <c r="J213" s="427">
        <f t="shared" si="62"/>
        <v>0</v>
      </c>
      <c r="K213" s="427">
        <f t="shared" si="62"/>
        <v>0</v>
      </c>
      <c r="L213" s="427">
        <f t="shared" si="62"/>
        <v>0</v>
      </c>
      <c r="M213" s="427">
        <f t="shared" si="62"/>
        <v>0</v>
      </c>
      <c r="N213" s="427">
        <f t="shared" si="62"/>
        <v>0</v>
      </c>
      <c r="O213" s="427">
        <f t="shared" si="62"/>
        <v>0</v>
      </c>
    </row>
    <row r="214" spans="1:15" ht="17.100000000000001">
      <c r="A214" s="416"/>
      <c r="B214" s="429"/>
      <c r="C214" s="423"/>
      <c r="D214" s="423"/>
      <c r="E214" s="423"/>
      <c r="F214" s="423"/>
      <c r="G214" s="423"/>
      <c r="H214" s="423"/>
      <c r="I214" s="423"/>
      <c r="J214" s="423"/>
      <c r="K214" s="423"/>
      <c r="L214" s="423"/>
      <c r="M214" s="423"/>
      <c r="N214" s="423"/>
      <c r="O214" s="423"/>
    </row>
    <row r="215" spans="1:15" ht="17.100000000000001">
      <c r="A215" s="416"/>
      <c r="B215" s="420" t="s">
        <v>839</v>
      </c>
      <c r="C215" s="423"/>
      <c r="D215" s="423"/>
      <c r="E215" s="423"/>
      <c r="F215" s="423"/>
      <c r="G215" s="423"/>
      <c r="H215" s="423"/>
      <c r="I215" s="423"/>
      <c r="J215" s="423"/>
      <c r="K215" s="423"/>
      <c r="L215" s="423"/>
      <c r="M215" s="423"/>
      <c r="N215" s="423"/>
      <c r="O215" s="423"/>
    </row>
    <row r="216" spans="1:15" ht="17.100000000000001">
      <c r="A216" s="425">
        <f>+A202</f>
        <v>1175000</v>
      </c>
      <c r="B216" s="452" t="str">
        <f>+CONCATENATE("        Opciones de Capiital - ",A216)</f>
        <v xml:space="preserve">        Opciones de Capiital - 1175000</v>
      </c>
      <c r="C216" s="431">
        <f>+SUMIFS('Ventas OFD'!$Z:$Z,'Ventas OFD'!$Q:$Q,"SI",'Ventas OFD'!$B:$B,Rev!$A216,'Ventas OFD'!$T:$T,"&gt;="&amp;Rev!C$1,'Ventas OFD'!$T:$T,"&lt;="&amp;EOMONTH(Rev!C$1,0))</f>
        <v>0</v>
      </c>
      <c r="D216" s="431">
        <f>+SUMIFS('Ventas OFD'!$Z:$Z,'Ventas OFD'!$Q:$Q,"SI",'Ventas OFD'!$B:$B,Rev!$A216,'Ventas OFD'!$T:$T,"&gt;="&amp;Rev!D$1,'Ventas OFD'!$T:$T,"&lt;="&amp;EOMONTH(Rev!D$1,0))</f>
        <v>0</v>
      </c>
      <c r="E216" s="431">
        <f>+SUMIFS('Ventas OFD'!$Z:$Z,'Ventas OFD'!$Q:$Q,"SI",'Ventas OFD'!$B:$B,Rev!$A216,'Ventas OFD'!$T:$T,"&gt;="&amp;Rev!E$1,'Ventas OFD'!$T:$T,"&lt;="&amp;EOMONTH(Rev!E$1,0))</f>
        <v>0</v>
      </c>
      <c r="F216" s="431">
        <f>+SUMIFS('Ventas OFD'!$Z:$Z,'Ventas OFD'!$Q:$Q,"SI",'Ventas OFD'!$B:$B,Rev!$A216,'Ventas OFD'!$T:$T,"&gt;="&amp;Rev!F$1,'Ventas OFD'!$T:$T,"&lt;="&amp;EOMONTH(Rev!F$1,0))</f>
        <v>0</v>
      </c>
      <c r="G216" s="431">
        <f>+SUMIFS('Ventas OFD'!$Z:$Z,'Ventas OFD'!$Q:$Q,"SI",'Ventas OFD'!$B:$B,Rev!$A216,'Ventas OFD'!$T:$T,"&gt;="&amp;Rev!G$1,'Ventas OFD'!$T:$T,"&lt;="&amp;EOMONTH(Rev!G$1,0))</f>
        <v>0</v>
      </c>
      <c r="H216" s="431">
        <f>+SUMIFS('Ventas OFD'!$Z:$Z,'Ventas OFD'!$Q:$Q,"SI",'Ventas OFD'!$B:$B,Rev!$A216,'Ventas OFD'!$T:$T,"&gt;="&amp;Rev!H$1,'Ventas OFD'!$T:$T,"&lt;="&amp;EOMONTH(Rev!H$1,0))</f>
        <v>0</v>
      </c>
      <c r="I216" s="431">
        <f>+SUMIFS('Ventas OFD'!$Z:$Z,'Ventas OFD'!$Q:$Q,"SI",'Ventas OFD'!$B:$B,Rev!$A216,'Ventas OFD'!$T:$T,"&gt;="&amp;Rev!I$1,'Ventas OFD'!$T:$T,"&lt;="&amp;EOMONTH(Rev!I$1,0))</f>
        <v>0</v>
      </c>
      <c r="J216" s="431">
        <f>+SUMIFS('Ventas OFD'!$Z:$Z,'Ventas OFD'!$Q:$Q,"SI",'Ventas OFD'!$B:$B,Rev!$A216,'Ventas OFD'!$T:$T,"&gt;="&amp;Rev!J$1,'Ventas OFD'!$T:$T,"&lt;="&amp;EOMONTH(Rev!J$1,0))</f>
        <v>0</v>
      </c>
      <c r="K216" s="431">
        <f>+SUMIFS('Ventas OFD'!$Z:$Z,'Ventas OFD'!$Q:$Q,"SI",'Ventas OFD'!$B:$B,Rev!$A216,'Ventas OFD'!$T:$T,"&gt;="&amp;Rev!K$1,'Ventas OFD'!$T:$T,"&lt;="&amp;EOMONTH(Rev!K$1,0))</f>
        <v>0</v>
      </c>
      <c r="L216" s="431">
        <f>+SUMIFS('Ventas OFD'!$Z:$Z,'Ventas OFD'!$Q:$Q,"SI",'Ventas OFD'!$B:$B,Rev!$A216,'Ventas OFD'!$T:$T,"&gt;="&amp;Rev!L$1,'Ventas OFD'!$T:$T,"&lt;="&amp;EOMONTH(Rev!L$1,0))</f>
        <v>0</v>
      </c>
      <c r="M216" s="431">
        <f>+SUMIFS('Ventas OFD'!$Z:$Z,'Ventas OFD'!$Q:$Q,"SI",'Ventas OFD'!$B:$B,Rev!$A216,'Ventas OFD'!$T:$T,"&gt;="&amp;Rev!M$1,'Ventas OFD'!$T:$T,"&lt;="&amp;EOMONTH(Rev!M$1,0))</f>
        <v>0</v>
      </c>
      <c r="N216" s="431">
        <f>+SUMIFS('Ventas OFD'!$Z:$Z,'Ventas OFD'!$Q:$Q,"SI",'Ventas OFD'!$B:$B,Rev!$A216,'Ventas OFD'!$T:$T,"&gt;="&amp;Rev!N$1,'Ventas OFD'!$T:$T,"&lt;="&amp;EOMONTH(Rev!N$1,0))</f>
        <v>0</v>
      </c>
      <c r="O216" s="431">
        <f>SUM(C216:N216)</f>
        <v>0</v>
      </c>
    </row>
    <row r="217" spans="1:15" ht="17.100000000000001">
      <c r="A217" s="425">
        <f t="shared" ref="A217:A226" si="63">+A203</f>
        <v>1179000</v>
      </c>
      <c r="B217" s="452" t="str">
        <f t="shared" ref="B217:B226" si="64">+CONCATENATE("        Opciones de Capiital - ",A217)</f>
        <v xml:space="preserve">        Opciones de Capiital - 1179000</v>
      </c>
      <c r="C217" s="431">
        <f>+SUMIFS('Ventas OFD'!$Z:$Z,'Ventas OFD'!$Q:$Q,"SI",'Ventas OFD'!$B:$B,Rev!$A217,'Ventas OFD'!$T:$T,"&gt;="&amp;Rev!C$1,'Ventas OFD'!$T:$T,"&lt;="&amp;EOMONTH(Rev!C$1,0))</f>
        <v>0</v>
      </c>
      <c r="D217" s="431">
        <f>+SUMIFS('Ventas OFD'!$Z:$Z,'Ventas OFD'!$Q:$Q,"SI",'Ventas OFD'!$B:$B,Rev!$A217,'Ventas OFD'!$T:$T,"&gt;="&amp;Rev!D$1,'Ventas OFD'!$T:$T,"&lt;="&amp;EOMONTH(Rev!D$1,0))</f>
        <v>0</v>
      </c>
      <c r="E217" s="431">
        <f>+SUMIFS('Ventas OFD'!$Z:$Z,'Ventas OFD'!$Q:$Q,"SI",'Ventas OFD'!$B:$B,Rev!$A217,'Ventas OFD'!$T:$T,"&gt;="&amp;Rev!E$1,'Ventas OFD'!$T:$T,"&lt;="&amp;EOMONTH(Rev!E$1,0))</f>
        <v>0</v>
      </c>
      <c r="F217" s="431">
        <f>+SUMIFS('Ventas OFD'!$Z:$Z,'Ventas OFD'!$Q:$Q,"SI",'Ventas OFD'!$B:$B,Rev!$A217,'Ventas OFD'!$T:$T,"&gt;="&amp;Rev!F$1,'Ventas OFD'!$T:$T,"&lt;="&amp;EOMONTH(Rev!F$1,0))</f>
        <v>0</v>
      </c>
      <c r="G217" s="431">
        <f>+SUMIFS('Ventas OFD'!$Z:$Z,'Ventas OFD'!$Q:$Q,"SI",'Ventas OFD'!$B:$B,Rev!$A217,'Ventas OFD'!$T:$T,"&gt;="&amp;Rev!G$1,'Ventas OFD'!$T:$T,"&lt;="&amp;EOMONTH(Rev!G$1,0))</f>
        <v>0</v>
      </c>
      <c r="H217" s="431">
        <f>+SUMIFS('Ventas OFD'!$Z:$Z,'Ventas OFD'!$Q:$Q,"SI",'Ventas OFD'!$B:$B,Rev!$A217,'Ventas OFD'!$T:$T,"&gt;="&amp;Rev!H$1,'Ventas OFD'!$T:$T,"&lt;="&amp;EOMONTH(Rev!H$1,0))</f>
        <v>0</v>
      </c>
      <c r="I217" s="431">
        <f>+SUMIFS('Ventas OFD'!$Z:$Z,'Ventas OFD'!$Q:$Q,"SI",'Ventas OFD'!$B:$B,Rev!$A217,'Ventas OFD'!$T:$T,"&gt;="&amp;Rev!I$1,'Ventas OFD'!$T:$T,"&lt;="&amp;EOMONTH(Rev!I$1,0))</f>
        <v>0</v>
      </c>
      <c r="J217" s="431">
        <f>+SUMIFS('Ventas OFD'!$Z:$Z,'Ventas OFD'!$Q:$Q,"SI",'Ventas OFD'!$B:$B,Rev!$A217,'Ventas OFD'!$T:$T,"&gt;="&amp;Rev!J$1,'Ventas OFD'!$T:$T,"&lt;="&amp;EOMONTH(Rev!J$1,0))</f>
        <v>0</v>
      </c>
      <c r="K217" s="431">
        <f>+SUMIFS('Ventas OFD'!$Z:$Z,'Ventas OFD'!$Q:$Q,"SI",'Ventas OFD'!$B:$B,Rev!$A217,'Ventas OFD'!$T:$T,"&gt;="&amp;Rev!K$1,'Ventas OFD'!$T:$T,"&lt;="&amp;EOMONTH(Rev!K$1,0))</f>
        <v>0</v>
      </c>
      <c r="L217" s="431">
        <f>+SUMIFS('Ventas OFD'!$Z:$Z,'Ventas OFD'!$Q:$Q,"SI",'Ventas OFD'!$B:$B,Rev!$A217,'Ventas OFD'!$T:$T,"&gt;="&amp;Rev!L$1,'Ventas OFD'!$T:$T,"&lt;="&amp;EOMONTH(Rev!L$1,0))</f>
        <v>0</v>
      </c>
      <c r="M217" s="431">
        <f>+SUMIFS('Ventas OFD'!$Z:$Z,'Ventas OFD'!$Q:$Q,"SI",'Ventas OFD'!$B:$B,Rev!$A217,'Ventas OFD'!$T:$T,"&gt;="&amp;Rev!M$1,'Ventas OFD'!$T:$T,"&lt;="&amp;EOMONTH(Rev!M$1,0))</f>
        <v>0</v>
      </c>
      <c r="N217" s="431">
        <f>+SUMIFS('Ventas OFD'!$Z:$Z,'Ventas OFD'!$Q:$Q,"SI",'Ventas OFD'!$B:$B,Rev!$A217,'Ventas OFD'!$T:$T,"&gt;="&amp;Rev!N$1,'Ventas OFD'!$T:$T,"&lt;="&amp;EOMONTH(Rev!N$1,0))</f>
        <v>0</v>
      </c>
      <c r="O217" s="431">
        <f>SUM(C217:N217)</f>
        <v>0</v>
      </c>
    </row>
    <row r="218" spans="1:15" ht="17.100000000000001">
      <c r="A218" s="425">
        <f t="shared" si="63"/>
        <v>1427200</v>
      </c>
      <c r="B218" s="452" t="str">
        <f t="shared" si="64"/>
        <v xml:space="preserve">        Opciones de Capiital - 1427200</v>
      </c>
      <c r="C218" s="431">
        <f>+SUMIFS('Ventas OFD'!$Z:$Z,'Ventas OFD'!$Q:$Q,"SI",'Ventas OFD'!$B:$B,Rev!$A218,'Ventas OFD'!$T:$T,"&gt;="&amp;Rev!C$1,'Ventas OFD'!$T:$T,"&lt;="&amp;EOMONTH(Rev!C$1,0))</f>
        <v>0</v>
      </c>
      <c r="D218" s="431">
        <f>+SUMIFS('Ventas OFD'!$Z:$Z,'Ventas OFD'!$Q:$Q,"SI",'Ventas OFD'!$B:$B,Rev!$A218,'Ventas OFD'!$T:$T,"&gt;="&amp;Rev!D$1,'Ventas OFD'!$T:$T,"&lt;="&amp;EOMONTH(Rev!D$1,0))</f>
        <v>0</v>
      </c>
      <c r="E218" s="431">
        <f>+SUMIFS('Ventas OFD'!$Z:$Z,'Ventas OFD'!$Q:$Q,"SI",'Ventas OFD'!$B:$B,Rev!$A218,'Ventas OFD'!$T:$T,"&gt;="&amp;Rev!E$1,'Ventas OFD'!$T:$T,"&lt;="&amp;EOMONTH(Rev!E$1,0))</f>
        <v>0</v>
      </c>
      <c r="F218" s="431">
        <f>+SUMIFS('Ventas OFD'!$Z:$Z,'Ventas OFD'!$Q:$Q,"SI",'Ventas OFD'!$B:$B,Rev!$A218,'Ventas OFD'!$T:$T,"&gt;="&amp;Rev!F$1,'Ventas OFD'!$T:$T,"&lt;="&amp;EOMONTH(Rev!F$1,0))</f>
        <v>0</v>
      </c>
      <c r="G218" s="431">
        <f>+SUMIFS('Ventas OFD'!$Z:$Z,'Ventas OFD'!$Q:$Q,"SI",'Ventas OFD'!$B:$B,Rev!$A218,'Ventas OFD'!$T:$T,"&gt;="&amp;Rev!G$1,'Ventas OFD'!$T:$T,"&lt;="&amp;EOMONTH(Rev!G$1,0))</f>
        <v>0</v>
      </c>
      <c r="H218" s="431">
        <f>+SUMIFS('Ventas OFD'!$Z:$Z,'Ventas OFD'!$Q:$Q,"SI",'Ventas OFD'!$B:$B,Rev!$A218,'Ventas OFD'!$T:$T,"&gt;="&amp;Rev!H$1,'Ventas OFD'!$T:$T,"&lt;="&amp;EOMONTH(Rev!H$1,0))</f>
        <v>0</v>
      </c>
      <c r="I218" s="431">
        <f>+SUMIFS('Ventas OFD'!$Z:$Z,'Ventas OFD'!$Q:$Q,"SI",'Ventas OFD'!$B:$B,Rev!$A218,'Ventas OFD'!$T:$T,"&gt;="&amp;Rev!I$1,'Ventas OFD'!$T:$T,"&lt;="&amp;EOMONTH(Rev!I$1,0))</f>
        <v>0</v>
      </c>
      <c r="J218" s="431">
        <f>+SUMIFS('Ventas OFD'!$Z:$Z,'Ventas OFD'!$Q:$Q,"SI",'Ventas OFD'!$B:$B,Rev!$A218,'Ventas OFD'!$T:$T,"&gt;="&amp;Rev!J$1,'Ventas OFD'!$T:$T,"&lt;="&amp;EOMONTH(Rev!J$1,0))</f>
        <v>0</v>
      </c>
      <c r="K218" s="431">
        <f>+SUMIFS('Ventas OFD'!$Z:$Z,'Ventas OFD'!$Q:$Q,"SI",'Ventas OFD'!$B:$B,Rev!$A218,'Ventas OFD'!$T:$T,"&gt;="&amp;Rev!K$1,'Ventas OFD'!$T:$T,"&lt;="&amp;EOMONTH(Rev!K$1,0))</f>
        <v>0</v>
      </c>
      <c r="L218" s="431">
        <f>+SUMIFS('Ventas OFD'!$Z:$Z,'Ventas OFD'!$Q:$Q,"SI",'Ventas OFD'!$B:$B,Rev!$A218,'Ventas OFD'!$T:$T,"&gt;="&amp;Rev!L$1,'Ventas OFD'!$T:$T,"&lt;="&amp;EOMONTH(Rev!L$1,0))</f>
        <v>0</v>
      </c>
      <c r="M218" s="431">
        <f>+SUMIFS('Ventas OFD'!$Z:$Z,'Ventas OFD'!$Q:$Q,"SI",'Ventas OFD'!$B:$B,Rev!$A218,'Ventas OFD'!$T:$T,"&gt;="&amp;Rev!M$1,'Ventas OFD'!$T:$T,"&lt;="&amp;EOMONTH(Rev!M$1,0))</f>
        <v>0</v>
      </c>
      <c r="N218" s="431">
        <f>+SUMIFS('Ventas OFD'!$Z:$Z,'Ventas OFD'!$Q:$Q,"SI",'Ventas OFD'!$B:$B,Rev!$A218,'Ventas OFD'!$T:$T,"&gt;="&amp;Rev!N$1,'Ventas OFD'!$T:$T,"&lt;="&amp;EOMONTH(Rev!N$1,0))</f>
        <v>0</v>
      </c>
      <c r="O218" s="431">
        <f t="shared" ref="O218:O226" si="65">SUM(C218:N218)</f>
        <v>0</v>
      </c>
    </row>
    <row r="219" spans="1:15" ht="17.100000000000001">
      <c r="A219" s="425" t="str">
        <f t="shared" si="63"/>
        <v>B22235000</v>
      </c>
      <c r="B219" s="452" t="str">
        <f t="shared" si="64"/>
        <v xml:space="preserve">        Opciones de Capiital - B22235000</v>
      </c>
      <c r="C219" s="431">
        <f>+SUMIFS('Ventas OFD'!$Z:$Z,'Ventas OFD'!$Q:$Q,"SI",'Ventas OFD'!$B:$B,Rev!$A219,'Ventas OFD'!$T:$T,"&gt;="&amp;Rev!C$1,'Ventas OFD'!$T:$T,"&lt;="&amp;EOMONTH(Rev!C$1,0))</f>
        <v>0</v>
      </c>
      <c r="D219" s="431">
        <f>+SUMIFS('Ventas OFD'!$Z:$Z,'Ventas OFD'!$Q:$Q,"SI",'Ventas OFD'!$B:$B,Rev!$A219,'Ventas OFD'!$T:$T,"&gt;="&amp;Rev!D$1,'Ventas OFD'!$T:$T,"&lt;="&amp;EOMONTH(Rev!D$1,0))</f>
        <v>0</v>
      </c>
      <c r="E219" s="431">
        <f>+SUMIFS('Ventas OFD'!$Z:$Z,'Ventas OFD'!$Q:$Q,"SI",'Ventas OFD'!$B:$B,Rev!$A219,'Ventas OFD'!$T:$T,"&gt;="&amp;Rev!E$1,'Ventas OFD'!$T:$T,"&lt;="&amp;EOMONTH(Rev!E$1,0))</f>
        <v>0</v>
      </c>
      <c r="F219" s="431">
        <f>+SUMIFS('Ventas OFD'!$Z:$Z,'Ventas OFD'!$Q:$Q,"SI",'Ventas OFD'!$B:$B,Rev!$A219,'Ventas OFD'!$T:$T,"&gt;="&amp;Rev!F$1,'Ventas OFD'!$T:$T,"&lt;="&amp;EOMONTH(Rev!F$1,0))</f>
        <v>0</v>
      </c>
      <c r="G219" s="431">
        <f>+SUMIFS('Ventas OFD'!$Z:$Z,'Ventas OFD'!$Q:$Q,"SI",'Ventas OFD'!$B:$B,Rev!$A219,'Ventas OFD'!$T:$T,"&gt;="&amp;Rev!G$1,'Ventas OFD'!$T:$T,"&lt;="&amp;EOMONTH(Rev!G$1,0))</f>
        <v>0</v>
      </c>
      <c r="H219" s="431">
        <f>+SUMIFS('Ventas OFD'!$Z:$Z,'Ventas OFD'!$Q:$Q,"SI",'Ventas OFD'!$B:$B,Rev!$A219,'Ventas OFD'!$T:$T,"&gt;="&amp;Rev!H$1,'Ventas OFD'!$T:$T,"&lt;="&amp;EOMONTH(Rev!H$1,0))</f>
        <v>0</v>
      </c>
      <c r="I219" s="431">
        <f>+SUMIFS('Ventas OFD'!$Z:$Z,'Ventas OFD'!$Q:$Q,"SI",'Ventas OFD'!$B:$B,Rev!$A219,'Ventas OFD'!$T:$T,"&gt;="&amp;Rev!I$1,'Ventas OFD'!$T:$T,"&lt;="&amp;EOMONTH(Rev!I$1,0))</f>
        <v>0</v>
      </c>
      <c r="J219" s="431">
        <f>+SUMIFS('Ventas OFD'!$Z:$Z,'Ventas OFD'!$Q:$Q,"SI",'Ventas OFD'!$B:$B,Rev!$A219,'Ventas OFD'!$T:$T,"&gt;="&amp;Rev!J$1,'Ventas OFD'!$T:$T,"&lt;="&amp;EOMONTH(Rev!J$1,0))</f>
        <v>0</v>
      </c>
      <c r="K219" s="431">
        <f>+SUMIFS('Ventas OFD'!$Z:$Z,'Ventas OFD'!$Q:$Q,"SI",'Ventas OFD'!$B:$B,Rev!$A219,'Ventas OFD'!$T:$T,"&gt;="&amp;Rev!K$1,'Ventas OFD'!$T:$T,"&lt;="&amp;EOMONTH(Rev!K$1,0))</f>
        <v>0</v>
      </c>
      <c r="L219" s="431">
        <f>+SUMIFS('Ventas OFD'!$Z:$Z,'Ventas OFD'!$Q:$Q,"SI",'Ventas OFD'!$B:$B,Rev!$A219,'Ventas OFD'!$T:$T,"&gt;="&amp;Rev!L$1,'Ventas OFD'!$T:$T,"&lt;="&amp;EOMONTH(Rev!L$1,0))</f>
        <v>0</v>
      </c>
      <c r="M219" s="431">
        <f>+SUMIFS('Ventas OFD'!$Z:$Z,'Ventas OFD'!$Q:$Q,"SI",'Ventas OFD'!$B:$B,Rev!$A219,'Ventas OFD'!$T:$T,"&gt;="&amp;Rev!M$1,'Ventas OFD'!$T:$T,"&lt;="&amp;EOMONTH(Rev!M$1,0))</f>
        <v>0</v>
      </c>
      <c r="N219" s="431">
        <f>+SUMIFS('Ventas OFD'!$Z:$Z,'Ventas OFD'!$Q:$Q,"SI",'Ventas OFD'!$B:$B,Rev!$A219,'Ventas OFD'!$T:$T,"&gt;="&amp;Rev!N$1,'Ventas OFD'!$T:$T,"&lt;="&amp;EOMONTH(Rev!N$1,0))</f>
        <v>0</v>
      </c>
      <c r="O219" s="431">
        <f t="shared" si="65"/>
        <v>0</v>
      </c>
    </row>
    <row r="220" spans="1:15" ht="17.100000000000001">
      <c r="A220" s="425">
        <f t="shared" si="63"/>
        <v>700833580</v>
      </c>
      <c r="B220" s="452" t="str">
        <f t="shared" si="64"/>
        <v xml:space="preserve">        Opciones de Capiital - 700833580</v>
      </c>
      <c r="C220" s="431">
        <f>+SUMIFS('Ventas OFD'!$Z:$Z,'Ventas OFD'!$Q:$Q,"SI",'Ventas OFD'!$B:$B,Rev!$A220,'Ventas OFD'!$T:$T,"&gt;="&amp;Rev!C$1,'Ventas OFD'!$T:$T,"&lt;="&amp;EOMONTH(Rev!C$1,0))</f>
        <v>0</v>
      </c>
      <c r="D220" s="431">
        <f>+SUMIFS('Ventas OFD'!$Z:$Z,'Ventas OFD'!$Q:$Q,"SI",'Ventas OFD'!$B:$B,Rev!$A220,'Ventas OFD'!$T:$T,"&gt;="&amp;Rev!D$1,'Ventas OFD'!$T:$T,"&lt;="&amp;EOMONTH(Rev!D$1,0))</f>
        <v>0</v>
      </c>
      <c r="E220" s="431">
        <f>+SUMIFS('Ventas OFD'!$Z:$Z,'Ventas OFD'!$Q:$Q,"SI",'Ventas OFD'!$B:$B,Rev!$A220,'Ventas OFD'!$T:$T,"&gt;="&amp;Rev!E$1,'Ventas OFD'!$T:$T,"&lt;="&amp;EOMONTH(Rev!E$1,0))</f>
        <v>0</v>
      </c>
      <c r="F220" s="431">
        <f>+SUMIFS('Ventas OFD'!$Z:$Z,'Ventas OFD'!$Q:$Q,"SI",'Ventas OFD'!$B:$B,Rev!$A220,'Ventas OFD'!$T:$T,"&gt;="&amp;Rev!F$1,'Ventas OFD'!$T:$T,"&lt;="&amp;EOMONTH(Rev!F$1,0))</f>
        <v>0</v>
      </c>
      <c r="G220" s="431">
        <f>+SUMIFS('Ventas OFD'!$Z:$Z,'Ventas OFD'!$Q:$Q,"SI",'Ventas OFD'!$B:$B,Rev!$A220,'Ventas OFD'!$T:$T,"&gt;="&amp;Rev!G$1,'Ventas OFD'!$T:$T,"&lt;="&amp;EOMONTH(Rev!G$1,0))</f>
        <v>0</v>
      </c>
      <c r="H220" s="431">
        <f>+SUMIFS('Ventas OFD'!$Z:$Z,'Ventas OFD'!$Q:$Q,"SI",'Ventas OFD'!$B:$B,Rev!$A220,'Ventas OFD'!$T:$T,"&gt;="&amp;Rev!H$1,'Ventas OFD'!$T:$T,"&lt;="&amp;EOMONTH(Rev!H$1,0))</f>
        <v>0</v>
      </c>
      <c r="I220" s="431">
        <f>+SUMIFS('Ventas OFD'!$Z:$Z,'Ventas OFD'!$Q:$Q,"SI",'Ventas OFD'!$B:$B,Rev!$A220,'Ventas OFD'!$T:$T,"&gt;="&amp;Rev!I$1,'Ventas OFD'!$T:$T,"&lt;="&amp;EOMONTH(Rev!I$1,0))</f>
        <v>0</v>
      </c>
      <c r="J220" s="431">
        <f>+SUMIFS('Ventas OFD'!$Z:$Z,'Ventas OFD'!$Q:$Q,"SI",'Ventas OFD'!$B:$B,Rev!$A220,'Ventas OFD'!$T:$T,"&gt;="&amp;Rev!J$1,'Ventas OFD'!$T:$T,"&lt;="&amp;EOMONTH(Rev!J$1,0))</f>
        <v>0</v>
      </c>
      <c r="K220" s="431">
        <f>+SUMIFS('Ventas OFD'!$Z:$Z,'Ventas OFD'!$Q:$Q,"SI",'Ventas OFD'!$B:$B,Rev!$A220,'Ventas OFD'!$T:$T,"&gt;="&amp;Rev!K$1,'Ventas OFD'!$T:$T,"&lt;="&amp;EOMONTH(Rev!K$1,0))</f>
        <v>0</v>
      </c>
      <c r="L220" s="431">
        <f>+SUMIFS('Ventas OFD'!$Z:$Z,'Ventas OFD'!$Q:$Q,"SI",'Ventas OFD'!$B:$B,Rev!$A220,'Ventas OFD'!$T:$T,"&gt;="&amp;Rev!L$1,'Ventas OFD'!$T:$T,"&lt;="&amp;EOMONTH(Rev!L$1,0))</f>
        <v>0</v>
      </c>
      <c r="M220" s="431">
        <f>+SUMIFS('Ventas OFD'!$Z:$Z,'Ventas OFD'!$Q:$Q,"SI",'Ventas OFD'!$B:$B,Rev!$A220,'Ventas OFD'!$T:$T,"&gt;="&amp;Rev!M$1,'Ventas OFD'!$T:$T,"&lt;="&amp;EOMONTH(Rev!M$1,0))</f>
        <v>0</v>
      </c>
      <c r="N220" s="431">
        <f>+SUMIFS('Ventas OFD'!$Z:$Z,'Ventas OFD'!$Q:$Q,"SI",'Ventas OFD'!$B:$B,Rev!$A220,'Ventas OFD'!$T:$T,"&gt;="&amp;Rev!N$1,'Ventas OFD'!$T:$T,"&lt;="&amp;EOMONTH(Rev!N$1,0))</f>
        <v>0</v>
      </c>
      <c r="O220" s="431">
        <f t="shared" si="65"/>
        <v>0</v>
      </c>
    </row>
    <row r="221" spans="1:15" ht="17.100000000000001">
      <c r="A221" s="425" t="str">
        <f t="shared" si="63"/>
        <v>F</v>
      </c>
      <c r="B221" s="452" t="str">
        <f t="shared" si="64"/>
        <v xml:space="preserve">        Opciones de Capiital - F</v>
      </c>
      <c r="C221" s="431">
        <f>+SUMIFS('Ventas OFD'!$Z:$Z,'Ventas OFD'!$Q:$Q,"SI",'Ventas OFD'!$B:$B,Rev!$A221,'Ventas OFD'!$T:$T,"&gt;="&amp;Rev!C$1,'Ventas OFD'!$T:$T,"&lt;="&amp;EOMONTH(Rev!C$1,0))</f>
        <v>0</v>
      </c>
      <c r="D221" s="431">
        <f>+SUMIFS('Ventas OFD'!$Z:$Z,'Ventas OFD'!$Q:$Q,"SI",'Ventas OFD'!$B:$B,Rev!$A221,'Ventas OFD'!$T:$T,"&gt;="&amp;Rev!D$1,'Ventas OFD'!$T:$T,"&lt;="&amp;EOMONTH(Rev!D$1,0))</f>
        <v>0</v>
      </c>
      <c r="E221" s="431">
        <f>+SUMIFS('Ventas OFD'!$Z:$Z,'Ventas OFD'!$Q:$Q,"SI",'Ventas OFD'!$B:$B,Rev!$A221,'Ventas OFD'!$T:$T,"&gt;="&amp;Rev!E$1,'Ventas OFD'!$T:$T,"&lt;="&amp;EOMONTH(Rev!E$1,0))</f>
        <v>0</v>
      </c>
      <c r="F221" s="431">
        <f>+SUMIFS('Ventas OFD'!$Z:$Z,'Ventas OFD'!$Q:$Q,"SI",'Ventas OFD'!$B:$B,Rev!$A221,'Ventas OFD'!$T:$T,"&gt;="&amp;Rev!F$1,'Ventas OFD'!$T:$T,"&lt;="&amp;EOMONTH(Rev!F$1,0))</f>
        <v>0</v>
      </c>
      <c r="G221" s="431">
        <f>+SUMIFS('Ventas OFD'!$Z:$Z,'Ventas OFD'!$Q:$Q,"SI",'Ventas OFD'!$B:$B,Rev!$A221,'Ventas OFD'!$T:$T,"&gt;="&amp;Rev!G$1,'Ventas OFD'!$T:$T,"&lt;="&amp;EOMONTH(Rev!G$1,0))</f>
        <v>0</v>
      </c>
      <c r="H221" s="431">
        <f>+SUMIFS('Ventas OFD'!$Z:$Z,'Ventas OFD'!$Q:$Q,"SI",'Ventas OFD'!$B:$B,Rev!$A221,'Ventas OFD'!$T:$T,"&gt;="&amp;Rev!H$1,'Ventas OFD'!$T:$T,"&lt;="&amp;EOMONTH(Rev!H$1,0))</f>
        <v>0</v>
      </c>
      <c r="I221" s="431">
        <f>+SUMIFS('Ventas OFD'!$Z:$Z,'Ventas OFD'!$Q:$Q,"SI",'Ventas OFD'!$B:$B,Rev!$A221,'Ventas OFD'!$T:$T,"&gt;="&amp;Rev!I$1,'Ventas OFD'!$T:$T,"&lt;="&amp;EOMONTH(Rev!I$1,0))</f>
        <v>0</v>
      </c>
      <c r="J221" s="431">
        <f>+SUMIFS('Ventas OFD'!$Z:$Z,'Ventas OFD'!$Q:$Q,"SI",'Ventas OFD'!$B:$B,Rev!$A221,'Ventas OFD'!$T:$T,"&gt;="&amp;Rev!J$1,'Ventas OFD'!$T:$T,"&lt;="&amp;EOMONTH(Rev!J$1,0))</f>
        <v>0</v>
      </c>
      <c r="K221" s="431">
        <f>+SUMIFS('Ventas OFD'!$Z:$Z,'Ventas OFD'!$Q:$Q,"SI",'Ventas OFD'!$B:$B,Rev!$A221,'Ventas OFD'!$T:$T,"&gt;="&amp;Rev!K$1,'Ventas OFD'!$T:$T,"&lt;="&amp;EOMONTH(Rev!K$1,0))</f>
        <v>0</v>
      </c>
      <c r="L221" s="431">
        <f>+SUMIFS('Ventas OFD'!$Z:$Z,'Ventas OFD'!$Q:$Q,"SI",'Ventas OFD'!$B:$B,Rev!$A221,'Ventas OFD'!$T:$T,"&gt;="&amp;Rev!L$1,'Ventas OFD'!$T:$T,"&lt;="&amp;EOMONTH(Rev!L$1,0))</f>
        <v>0</v>
      </c>
      <c r="M221" s="431">
        <f>+SUMIFS('Ventas OFD'!$Z:$Z,'Ventas OFD'!$Q:$Q,"SI",'Ventas OFD'!$B:$B,Rev!$A221,'Ventas OFD'!$T:$T,"&gt;="&amp;Rev!M$1,'Ventas OFD'!$T:$T,"&lt;="&amp;EOMONTH(Rev!M$1,0))</f>
        <v>0</v>
      </c>
      <c r="N221" s="431">
        <f>+SUMIFS('Ventas OFD'!$Z:$Z,'Ventas OFD'!$Q:$Q,"SI",'Ventas OFD'!$B:$B,Rev!$A221,'Ventas OFD'!$T:$T,"&gt;="&amp;Rev!N$1,'Ventas OFD'!$T:$T,"&lt;="&amp;EOMONTH(Rev!N$1,0))</f>
        <v>0</v>
      </c>
      <c r="O221" s="431">
        <f t="shared" si="65"/>
        <v>0</v>
      </c>
    </row>
    <row r="222" spans="1:15" ht="17.100000000000001">
      <c r="A222" s="425" t="str">
        <f t="shared" si="63"/>
        <v>G</v>
      </c>
      <c r="B222" s="452" t="str">
        <f t="shared" si="64"/>
        <v xml:space="preserve">        Opciones de Capiital - G</v>
      </c>
      <c r="C222" s="431">
        <f>+SUMIFS('Ventas OFD'!$Z:$Z,'Ventas OFD'!$Q:$Q,"SI",'Ventas OFD'!$B:$B,Rev!$A222,'Ventas OFD'!$T:$T,"&gt;="&amp;Rev!C$1,'Ventas OFD'!$T:$T,"&lt;="&amp;EOMONTH(Rev!C$1,0))</f>
        <v>0</v>
      </c>
      <c r="D222" s="431">
        <f>+SUMIFS('Ventas OFD'!$Z:$Z,'Ventas OFD'!$Q:$Q,"SI",'Ventas OFD'!$B:$B,Rev!$A222,'Ventas OFD'!$T:$T,"&gt;="&amp;Rev!D$1,'Ventas OFD'!$T:$T,"&lt;="&amp;EOMONTH(Rev!D$1,0))</f>
        <v>0</v>
      </c>
      <c r="E222" s="431">
        <f>+SUMIFS('Ventas OFD'!$Z:$Z,'Ventas OFD'!$Q:$Q,"SI",'Ventas OFD'!$B:$B,Rev!$A222,'Ventas OFD'!$T:$T,"&gt;="&amp;Rev!E$1,'Ventas OFD'!$T:$T,"&lt;="&amp;EOMONTH(Rev!E$1,0))</f>
        <v>0</v>
      </c>
      <c r="F222" s="431">
        <f>+SUMIFS('Ventas OFD'!$Z:$Z,'Ventas OFD'!$Q:$Q,"SI",'Ventas OFD'!$B:$B,Rev!$A222,'Ventas OFD'!$T:$T,"&gt;="&amp;Rev!F$1,'Ventas OFD'!$T:$T,"&lt;="&amp;EOMONTH(Rev!F$1,0))</f>
        <v>0</v>
      </c>
      <c r="G222" s="431">
        <f>+SUMIFS('Ventas OFD'!$Z:$Z,'Ventas OFD'!$Q:$Q,"SI",'Ventas OFD'!$B:$B,Rev!$A222,'Ventas OFD'!$T:$T,"&gt;="&amp;Rev!G$1,'Ventas OFD'!$T:$T,"&lt;="&amp;EOMONTH(Rev!G$1,0))</f>
        <v>0</v>
      </c>
      <c r="H222" s="431">
        <f>+SUMIFS('Ventas OFD'!$Z:$Z,'Ventas OFD'!$Q:$Q,"SI",'Ventas OFD'!$B:$B,Rev!$A222,'Ventas OFD'!$T:$T,"&gt;="&amp;Rev!H$1,'Ventas OFD'!$T:$T,"&lt;="&amp;EOMONTH(Rev!H$1,0))</f>
        <v>0</v>
      </c>
      <c r="I222" s="431">
        <f>+SUMIFS('Ventas OFD'!$Z:$Z,'Ventas OFD'!$Q:$Q,"SI",'Ventas OFD'!$B:$B,Rev!$A222,'Ventas OFD'!$T:$T,"&gt;="&amp;Rev!I$1,'Ventas OFD'!$T:$T,"&lt;="&amp;EOMONTH(Rev!I$1,0))</f>
        <v>0</v>
      </c>
      <c r="J222" s="431">
        <f>+SUMIFS('Ventas OFD'!$Z:$Z,'Ventas OFD'!$Q:$Q,"SI",'Ventas OFD'!$B:$B,Rev!$A222,'Ventas OFD'!$T:$T,"&gt;="&amp;Rev!J$1,'Ventas OFD'!$T:$T,"&lt;="&amp;EOMONTH(Rev!J$1,0))</f>
        <v>0</v>
      </c>
      <c r="K222" s="431">
        <f>+SUMIFS('Ventas OFD'!$Z:$Z,'Ventas OFD'!$Q:$Q,"SI",'Ventas OFD'!$B:$B,Rev!$A222,'Ventas OFD'!$T:$T,"&gt;="&amp;Rev!K$1,'Ventas OFD'!$T:$T,"&lt;="&amp;EOMONTH(Rev!K$1,0))</f>
        <v>0</v>
      </c>
      <c r="L222" s="431">
        <f>+SUMIFS('Ventas OFD'!$Z:$Z,'Ventas OFD'!$Q:$Q,"SI",'Ventas OFD'!$B:$B,Rev!$A222,'Ventas OFD'!$T:$T,"&gt;="&amp;Rev!L$1,'Ventas OFD'!$T:$T,"&lt;="&amp;EOMONTH(Rev!L$1,0))</f>
        <v>0</v>
      </c>
      <c r="M222" s="431">
        <f>+SUMIFS('Ventas OFD'!$Z:$Z,'Ventas OFD'!$Q:$Q,"SI",'Ventas OFD'!$B:$B,Rev!$A222,'Ventas OFD'!$T:$T,"&gt;="&amp;Rev!M$1,'Ventas OFD'!$T:$T,"&lt;="&amp;EOMONTH(Rev!M$1,0))</f>
        <v>0</v>
      </c>
      <c r="N222" s="431">
        <f>+SUMIFS('Ventas OFD'!$Z:$Z,'Ventas OFD'!$Q:$Q,"SI",'Ventas OFD'!$B:$B,Rev!$A222,'Ventas OFD'!$T:$T,"&gt;="&amp;Rev!N$1,'Ventas OFD'!$T:$T,"&lt;="&amp;EOMONTH(Rev!N$1,0))</f>
        <v>0</v>
      </c>
      <c r="O222" s="431">
        <f t="shared" si="65"/>
        <v>0</v>
      </c>
    </row>
    <row r="223" spans="1:15" ht="17.100000000000001">
      <c r="A223" s="425" t="str">
        <f t="shared" si="63"/>
        <v>H</v>
      </c>
      <c r="B223" s="452" t="str">
        <f t="shared" si="64"/>
        <v xml:space="preserve">        Opciones de Capiital - H</v>
      </c>
      <c r="C223" s="431">
        <f>+SUMIFS('Ventas OFD'!$Z:$Z,'Ventas OFD'!$Q:$Q,"SI",'Ventas OFD'!$B:$B,Rev!$A223,'Ventas OFD'!$T:$T,"&gt;="&amp;Rev!C$1,'Ventas OFD'!$T:$T,"&lt;="&amp;EOMONTH(Rev!C$1,0))</f>
        <v>0</v>
      </c>
      <c r="D223" s="431">
        <f>+SUMIFS('Ventas OFD'!$Z:$Z,'Ventas OFD'!$Q:$Q,"SI",'Ventas OFD'!$B:$B,Rev!$A223,'Ventas OFD'!$T:$T,"&gt;="&amp;Rev!D$1,'Ventas OFD'!$T:$T,"&lt;="&amp;EOMONTH(Rev!D$1,0))</f>
        <v>0</v>
      </c>
      <c r="E223" s="431">
        <f>+SUMIFS('Ventas OFD'!$Z:$Z,'Ventas OFD'!$Q:$Q,"SI",'Ventas OFD'!$B:$B,Rev!$A223,'Ventas OFD'!$T:$T,"&gt;="&amp;Rev!E$1,'Ventas OFD'!$T:$T,"&lt;="&amp;EOMONTH(Rev!E$1,0))</f>
        <v>0</v>
      </c>
      <c r="F223" s="431">
        <f>+SUMIFS('Ventas OFD'!$Z:$Z,'Ventas OFD'!$Q:$Q,"SI",'Ventas OFD'!$B:$B,Rev!$A223,'Ventas OFD'!$T:$T,"&gt;="&amp;Rev!F$1,'Ventas OFD'!$T:$T,"&lt;="&amp;EOMONTH(Rev!F$1,0))</f>
        <v>0</v>
      </c>
      <c r="G223" s="431">
        <f>+SUMIFS('Ventas OFD'!$Z:$Z,'Ventas OFD'!$Q:$Q,"SI",'Ventas OFD'!$B:$B,Rev!$A223,'Ventas OFD'!$T:$T,"&gt;="&amp;Rev!G$1,'Ventas OFD'!$T:$T,"&lt;="&amp;EOMONTH(Rev!G$1,0))</f>
        <v>0</v>
      </c>
      <c r="H223" s="431">
        <f>+SUMIFS('Ventas OFD'!$Z:$Z,'Ventas OFD'!$Q:$Q,"SI",'Ventas OFD'!$B:$B,Rev!$A223,'Ventas OFD'!$T:$T,"&gt;="&amp;Rev!H$1,'Ventas OFD'!$T:$T,"&lt;="&amp;EOMONTH(Rev!H$1,0))</f>
        <v>0</v>
      </c>
      <c r="I223" s="431">
        <f>+SUMIFS('Ventas OFD'!$Z:$Z,'Ventas OFD'!$Q:$Q,"SI",'Ventas OFD'!$B:$B,Rev!$A223,'Ventas OFD'!$T:$T,"&gt;="&amp;Rev!I$1,'Ventas OFD'!$T:$T,"&lt;="&amp;EOMONTH(Rev!I$1,0))</f>
        <v>0</v>
      </c>
      <c r="J223" s="431">
        <f>+SUMIFS('Ventas OFD'!$Z:$Z,'Ventas OFD'!$Q:$Q,"SI",'Ventas OFD'!$B:$B,Rev!$A223,'Ventas OFD'!$T:$T,"&gt;="&amp;Rev!J$1,'Ventas OFD'!$T:$T,"&lt;="&amp;EOMONTH(Rev!J$1,0))</f>
        <v>0</v>
      </c>
      <c r="K223" s="431">
        <f>+SUMIFS('Ventas OFD'!$Z:$Z,'Ventas OFD'!$Q:$Q,"SI",'Ventas OFD'!$B:$B,Rev!$A223,'Ventas OFD'!$T:$T,"&gt;="&amp;Rev!K$1,'Ventas OFD'!$T:$T,"&lt;="&amp;EOMONTH(Rev!K$1,0))</f>
        <v>0</v>
      </c>
      <c r="L223" s="431">
        <f>+SUMIFS('Ventas OFD'!$Z:$Z,'Ventas OFD'!$Q:$Q,"SI",'Ventas OFD'!$B:$B,Rev!$A223,'Ventas OFD'!$T:$T,"&gt;="&amp;Rev!L$1,'Ventas OFD'!$T:$T,"&lt;="&amp;EOMONTH(Rev!L$1,0))</f>
        <v>0</v>
      </c>
      <c r="M223" s="431">
        <f>+SUMIFS('Ventas OFD'!$Z:$Z,'Ventas OFD'!$Q:$Q,"SI",'Ventas OFD'!$B:$B,Rev!$A223,'Ventas OFD'!$T:$T,"&gt;="&amp;Rev!M$1,'Ventas OFD'!$T:$T,"&lt;="&amp;EOMONTH(Rev!M$1,0))</f>
        <v>0</v>
      </c>
      <c r="N223" s="431">
        <f>+SUMIFS('Ventas OFD'!$Z:$Z,'Ventas OFD'!$Q:$Q,"SI",'Ventas OFD'!$B:$B,Rev!$A223,'Ventas OFD'!$T:$T,"&gt;="&amp;Rev!N$1,'Ventas OFD'!$T:$T,"&lt;="&amp;EOMONTH(Rev!N$1,0))</f>
        <v>0</v>
      </c>
      <c r="O223" s="431">
        <f t="shared" si="65"/>
        <v>0</v>
      </c>
    </row>
    <row r="224" spans="1:15" ht="17.100000000000001">
      <c r="A224" s="425" t="str">
        <f t="shared" si="63"/>
        <v>I</v>
      </c>
      <c r="B224" s="452" t="str">
        <f t="shared" si="64"/>
        <v xml:space="preserve">        Opciones de Capiital - I</v>
      </c>
      <c r="C224" s="431">
        <f>+SUMIFS('Ventas OFD'!$Z:$Z,'Ventas OFD'!$Q:$Q,"SI",'Ventas OFD'!$B:$B,Rev!$A224,'Ventas OFD'!$T:$T,"&gt;="&amp;Rev!C$1,'Ventas OFD'!$T:$T,"&lt;="&amp;EOMONTH(Rev!C$1,0))</f>
        <v>0</v>
      </c>
      <c r="D224" s="431">
        <f>+SUMIFS('Ventas OFD'!$Z:$Z,'Ventas OFD'!$Q:$Q,"SI",'Ventas OFD'!$B:$B,Rev!$A224,'Ventas OFD'!$T:$T,"&gt;="&amp;Rev!D$1,'Ventas OFD'!$T:$T,"&lt;="&amp;EOMONTH(Rev!D$1,0))</f>
        <v>0</v>
      </c>
      <c r="E224" s="431">
        <f>+SUMIFS('Ventas OFD'!$Z:$Z,'Ventas OFD'!$Q:$Q,"SI",'Ventas OFD'!$B:$B,Rev!$A224,'Ventas OFD'!$T:$T,"&gt;="&amp;Rev!E$1,'Ventas OFD'!$T:$T,"&lt;="&amp;EOMONTH(Rev!E$1,0))</f>
        <v>0</v>
      </c>
      <c r="F224" s="431">
        <f>+SUMIFS('Ventas OFD'!$Z:$Z,'Ventas OFD'!$Q:$Q,"SI",'Ventas OFD'!$B:$B,Rev!$A224,'Ventas OFD'!$T:$T,"&gt;="&amp;Rev!F$1,'Ventas OFD'!$T:$T,"&lt;="&amp;EOMONTH(Rev!F$1,0))</f>
        <v>0</v>
      </c>
      <c r="G224" s="431">
        <f>+SUMIFS('Ventas OFD'!$Z:$Z,'Ventas OFD'!$Q:$Q,"SI",'Ventas OFD'!$B:$B,Rev!$A224,'Ventas OFD'!$T:$T,"&gt;="&amp;Rev!G$1,'Ventas OFD'!$T:$T,"&lt;="&amp;EOMONTH(Rev!G$1,0))</f>
        <v>0</v>
      </c>
      <c r="H224" s="431">
        <f>+SUMIFS('Ventas OFD'!$Z:$Z,'Ventas OFD'!$Q:$Q,"SI",'Ventas OFD'!$B:$B,Rev!$A224,'Ventas OFD'!$T:$T,"&gt;="&amp;Rev!H$1,'Ventas OFD'!$T:$T,"&lt;="&amp;EOMONTH(Rev!H$1,0))</f>
        <v>0</v>
      </c>
      <c r="I224" s="431">
        <f>+SUMIFS('Ventas OFD'!$Z:$Z,'Ventas OFD'!$Q:$Q,"SI",'Ventas OFD'!$B:$B,Rev!$A224,'Ventas OFD'!$T:$T,"&gt;="&amp;Rev!I$1,'Ventas OFD'!$T:$T,"&lt;="&amp;EOMONTH(Rev!I$1,0))</f>
        <v>0</v>
      </c>
      <c r="J224" s="431">
        <f>+SUMIFS('Ventas OFD'!$Z:$Z,'Ventas OFD'!$Q:$Q,"SI",'Ventas OFD'!$B:$B,Rev!$A224,'Ventas OFD'!$T:$T,"&gt;="&amp;Rev!J$1,'Ventas OFD'!$T:$T,"&lt;="&amp;EOMONTH(Rev!J$1,0))</f>
        <v>0</v>
      </c>
      <c r="K224" s="431">
        <f>+SUMIFS('Ventas OFD'!$Z:$Z,'Ventas OFD'!$Q:$Q,"SI",'Ventas OFD'!$B:$B,Rev!$A224,'Ventas OFD'!$T:$T,"&gt;="&amp;Rev!K$1,'Ventas OFD'!$T:$T,"&lt;="&amp;EOMONTH(Rev!K$1,0))</f>
        <v>0</v>
      </c>
      <c r="L224" s="431">
        <f>+SUMIFS('Ventas OFD'!$Z:$Z,'Ventas OFD'!$Q:$Q,"SI",'Ventas OFD'!$B:$B,Rev!$A224,'Ventas OFD'!$T:$T,"&gt;="&amp;Rev!L$1,'Ventas OFD'!$T:$T,"&lt;="&amp;EOMONTH(Rev!L$1,0))</f>
        <v>0</v>
      </c>
      <c r="M224" s="431">
        <f>+SUMIFS('Ventas OFD'!$Z:$Z,'Ventas OFD'!$Q:$Q,"SI",'Ventas OFD'!$B:$B,Rev!$A224,'Ventas OFD'!$T:$T,"&gt;="&amp;Rev!M$1,'Ventas OFD'!$T:$T,"&lt;="&amp;EOMONTH(Rev!M$1,0))</f>
        <v>0</v>
      </c>
      <c r="N224" s="431">
        <f>+SUMIFS('Ventas OFD'!$Z:$Z,'Ventas OFD'!$Q:$Q,"SI",'Ventas OFD'!$B:$B,Rev!$A224,'Ventas OFD'!$T:$T,"&gt;="&amp;Rev!N$1,'Ventas OFD'!$T:$T,"&lt;="&amp;EOMONTH(Rev!N$1,0))</f>
        <v>0</v>
      </c>
      <c r="O224" s="431">
        <f t="shared" si="65"/>
        <v>0</v>
      </c>
    </row>
    <row r="225" spans="1:15" ht="17.100000000000001">
      <c r="A225" s="425" t="str">
        <f t="shared" si="63"/>
        <v>J</v>
      </c>
      <c r="B225" s="452" t="str">
        <f t="shared" si="64"/>
        <v xml:space="preserve">        Opciones de Capiital - J</v>
      </c>
      <c r="C225" s="431">
        <f>+SUMIFS('Ventas OFD'!$Z:$Z,'Ventas OFD'!$Q:$Q,"SI",'Ventas OFD'!$B:$B,Rev!$A225,'Ventas OFD'!$T:$T,"&gt;="&amp;Rev!C$1,'Ventas OFD'!$T:$T,"&lt;="&amp;EOMONTH(Rev!C$1,0))</f>
        <v>0</v>
      </c>
      <c r="D225" s="431">
        <f>+SUMIFS('Ventas OFD'!$Z:$Z,'Ventas OFD'!$Q:$Q,"SI",'Ventas OFD'!$B:$B,Rev!$A225,'Ventas OFD'!$T:$T,"&gt;="&amp;Rev!D$1,'Ventas OFD'!$T:$T,"&lt;="&amp;EOMONTH(Rev!D$1,0))</f>
        <v>0</v>
      </c>
      <c r="E225" s="431">
        <f>+SUMIFS('Ventas OFD'!$Z:$Z,'Ventas OFD'!$Q:$Q,"SI",'Ventas OFD'!$B:$B,Rev!$A225,'Ventas OFD'!$T:$T,"&gt;="&amp;Rev!E$1,'Ventas OFD'!$T:$T,"&lt;="&amp;EOMONTH(Rev!E$1,0))</f>
        <v>0</v>
      </c>
      <c r="F225" s="431">
        <f>+SUMIFS('Ventas OFD'!$Z:$Z,'Ventas OFD'!$Q:$Q,"SI",'Ventas OFD'!$B:$B,Rev!$A225,'Ventas OFD'!$T:$T,"&gt;="&amp;Rev!F$1,'Ventas OFD'!$T:$T,"&lt;="&amp;EOMONTH(Rev!F$1,0))</f>
        <v>0</v>
      </c>
      <c r="G225" s="431">
        <f>+SUMIFS('Ventas OFD'!$Z:$Z,'Ventas OFD'!$Q:$Q,"SI",'Ventas OFD'!$B:$B,Rev!$A225,'Ventas OFD'!$T:$T,"&gt;="&amp;Rev!G$1,'Ventas OFD'!$T:$T,"&lt;="&amp;EOMONTH(Rev!G$1,0))</f>
        <v>0</v>
      </c>
      <c r="H225" s="431">
        <f>+SUMIFS('Ventas OFD'!$Z:$Z,'Ventas OFD'!$Q:$Q,"SI",'Ventas OFD'!$B:$B,Rev!$A225,'Ventas OFD'!$T:$T,"&gt;="&amp;Rev!H$1,'Ventas OFD'!$T:$T,"&lt;="&amp;EOMONTH(Rev!H$1,0))</f>
        <v>0</v>
      </c>
      <c r="I225" s="431">
        <f>+SUMIFS('Ventas OFD'!$Z:$Z,'Ventas OFD'!$Q:$Q,"SI",'Ventas OFD'!$B:$B,Rev!$A225,'Ventas OFD'!$T:$T,"&gt;="&amp;Rev!I$1,'Ventas OFD'!$T:$T,"&lt;="&amp;EOMONTH(Rev!I$1,0))</f>
        <v>0</v>
      </c>
      <c r="J225" s="431">
        <f>+SUMIFS('Ventas OFD'!$Z:$Z,'Ventas OFD'!$Q:$Q,"SI",'Ventas OFD'!$B:$B,Rev!$A225,'Ventas OFD'!$T:$T,"&gt;="&amp;Rev!J$1,'Ventas OFD'!$T:$T,"&lt;="&amp;EOMONTH(Rev!J$1,0))</f>
        <v>0</v>
      </c>
      <c r="K225" s="431">
        <f>+SUMIFS('Ventas OFD'!$Z:$Z,'Ventas OFD'!$Q:$Q,"SI",'Ventas OFD'!$B:$B,Rev!$A225,'Ventas OFD'!$T:$T,"&gt;="&amp;Rev!K$1,'Ventas OFD'!$T:$T,"&lt;="&amp;EOMONTH(Rev!K$1,0))</f>
        <v>0</v>
      </c>
      <c r="L225" s="431">
        <f>+SUMIFS('Ventas OFD'!$Z:$Z,'Ventas OFD'!$Q:$Q,"SI",'Ventas OFD'!$B:$B,Rev!$A225,'Ventas OFD'!$T:$T,"&gt;="&amp;Rev!L$1,'Ventas OFD'!$T:$T,"&lt;="&amp;EOMONTH(Rev!L$1,0))</f>
        <v>0</v>
      </c>
      <c r="M225" s="431">
        <f>+SUMIFS('Ventas OFD'!$Z:$Z,'Ventas OFD'!$Q:$Q,"SI",'Ventas OFD'!$B:$B,Rev!$A225,'Ventas OFD'!$T:$T,"&gt;="&amp;Rev!M$1,'Ventas OFD'!$T:$T,"&lt;="&amp;EOMONTH(Rev!M$1,0))</f>
        <v>0</v>
      </c>
      <c r="N225" s="431">
        <f>+SUMIFS('Ventas OFD'!$Z:$Z,'Ventas OFD'!$Q:$Q,"SI",'Ventas OFD'!$B:$B,Rev!$A225,'Ventas OFD'!$T:$T,"&gt;="&amp;Rev!N$1,'Ventas OFD'!$T:$T,"&lt;="&amp;EOMONTH(Rev!N$1,0))</f>
        <v>0</v>
      </c>
      <c r="O225" s="431">
        <f t="shared" si="65"/>
        <v>0</v>
      </c>
    </row>
    <row r="226" spans="1:15" ht="17.100000000000001">
      <c r="A226" s="425" t="str">
        <f t="shared" si="63"/>
        <v>K</v>
      </c>
      <c r="B226" s="452" t="str">
        <f t="shared" si="64"/>
        <v xml:space="preserve">        Opciones de Capiital - K</v>
      </c>
      <c r="C226" s="431">
        <f>+SUMIFS('Ventas OFD'!$Z:$Z,'Ventas OFD'!$Q:$Q,"SI",'Ventas OFD'!$B:$B,Rev!$A226,'Ventas OFD'!$T:$T,"&gt;="&amp;Rev!C$1,'Ventas OFD'!$T:$T,"&lt;="&amp;EOMONTH(Rev!C$1,0))</f>
        <v>0</v>
      </c>
      <c r="D226" s="431">
        <f>+SUMIFS('Ventas OFD'!$Z:$Z,'Ventas OFD'!$Q:$Q,"SI",'Ventas OFD'!$B:$B,Rev!$A226,'Ventas OFD'!$T:$T,"&gt;="&amp;Rev!D$1,'Ventas OFD'!$T:$T,"&lt;="&amp;EOMONTH(Rev!D$1,0))</f>
        <v>0</v>
      </c>
      <c r="E226" s="431">
        <f>+SUMIFS('Ventas OFD'!$Z:$Z,'Ventas OFD'!$Q:$Q,"SI",'Ventas OFD'!$B:$B,Rev!$A226,'Ventas OFD'!$T:$T,"&gt;="&amp;Rev!E$1,'Ventas OFD'!$T:$T,"&lt;="&amp;EOMONTH(Rev!E$1,0))</f>
        <v>0</v>
      </c>
      <c r="F226" s="431">
        <f>+SUMIFS('Ventas OFD'!$Z:$Z,'Ventas OFD'!$Q:$Q,"SI",'Ventas OFD'!$B:$B,Rev!$A226,'Ventas OFD'!$T:$T,"&gt;="&amp;Rev!F$1,'Ventas OFD'!$T:$T,"&lt;="&amp;EOMONTH(Rev!F$1,0))</f>
        <v>0</v>
      </c>
      <c r="G226" s="431">
        <f>+SUMIFS('Ventas OFD'!$Z:$Z,'Ventas OFD'!$Q:$Q,"SI",'Ventas OFD'!$B:$B,Rev!$A226,'Ventas OFD'!$T:$T,"&gt;="&amp;Rev!G$1,'Ventas OFD'!$T:$T,"&lt;="&amp;EOMONTH(Rev!G$1,0))</f>
        <v>0</v>
      </c>
      <c r="H226" s="431">
        <f>+SUMIFS('Ventas OFD'!$Z:$Z,'Ventas OFD'!$Q:$Q,"SI",'Ventas OFD'!$B:$B,Rev!$A226,'Ventas OFD'!$T:$T,"&gt;="&amp;Rev!H$1,'Ventas OFD'!$T:$T,"&lt;="&amp;EOMONTH(Rev!H$1,0))</f>
        <v>0</v>
      </c>
      <c r="I226" s="431">
        <f>+SUMIFS('Ventas OFD'!$Z:$Z,'Ventas OFD'!$Q:$Q,"SI",'Ventas OFD'!$B:$B,Rev!$A226,'Ventas OFD'!$T:$T,"&gt;="&amp;Rev!I$1,'Ventas OFD'!$T:$T,"&lt;="&amp;EOMONTH(Rev!I$1,0))</f>
        <v>0</v>
      </c>
      <c r="J226" s="431">
        <f>+SUMIFS('Ventas OFD'!$Z:$Z,'Ventas OFD'!$Q:$Q,"SI",'Ventas OFD'!$B:$B,Rev!$A226,'Ventas OFD'!$T:$T,"&gt;="&amp;Rev!J$1,'Ventas OFD'!$T:$T,"&lt;="&amp;EOMONTH(Rev!J$1,0))</f>
        <v>0</v>
      </c>
      <c r="K226" s="431">
        <f>+SUMIFS('Ventas OFD'!$Z:$Z,'Ventas OFD'!$Q:$Q,"SI",'Ventas OFD'!$B:$B,Rev!$A226,'Ventas OFD'!$T:$T,"&gt;="&amp;Rev!K$1,'Ventas OFD'!$T:$T,"&lt;="&amp;EOMONTH(Rev!K$1,0))</f>
        <v>0</v>
      </c>
      <c r="L226" s="431">
        <f>+SUMIFS('Ventas OFD'!$Z:$Z,'Ventas OFD'!$Q:$Q,"SI",'Ventas OFD'!$B:$B,Rev!$A226,'Ventas OFD'!$T:$T,"&gt;="&amp;Rev!L$1,'Ventas OFD'!$T:$T,"&lt;="&amp;EOMONTH(Rev!L$1,0))</f>
        <v>0</v>
      </c>
      <c r="M226" s="431">
        <f>+SUMIFS('Ventas OFD'!$Z:$Z,'Ventas OFD'!$Q:$Q,"SI",'Ventas OFD'!$B:$B,Rev!$A226,'Ventas OFD'!$T:$T,"&gt;="&amp;Rev!M$1,'Ventas OFD'!$T:$T,"&lt;="&amp;EOMONTH(Rev!M$1,0))</f>
        <v>0</v>
      </c>
      <c r="N226" s="431">
        <f>+SUMIFS('Ventas OFD'!$Z:$Z,'Ventas OFD'!$Q:$Q,"SI",'Ventas OFD'!$B:$B,Rev!$A226,'Ventas OFD'!$T:$T,"&gt;="&amp;Rev!N$1,'Ventas OFD'!$T:$T,"&lt;="&amp;EOMONTH(Rev!N$1,0))</f>
        <v>0</v>
      </c>
      <c r="O226" s="431">
        <f t="shared" si="65"/>
        <v>0</v>
      </c>
    </row>
    <row r="227" spans="1:15" ht="17.100000000000001">
      <c r="A227" s="416"/>
      <c r="B227" s="426" t="s">
        <v>835</v>
      </c>
      <c r="C227" s="427">
        <f>SUM(C216:C226)</f>
        <v>0</v>
      </c>
      <c r="D227" s="427">
        <f t="shared" ref="D227:O227" si="66">SUM(D216:D226)</f>
        <v>0</v>
      </c>
      <c r="E227" s="427">
        <f t="shared" si="66"/>
        <v>0</v>
      </c>
      <c r="F227" s="427">
        <f t="shared" si="66"/>
        <v>0</v>
      </c>
      <c r="G227" s="427">
        <f t="shared" si="66"/>
        <v>0</v>
      </c>
      <c r="H227" s="427">
        <f t="shared" si="66"/>
        <v>0</v>
      </c>
      <c r="I227" s="427">
        <f t="shared" si="66"/>
        <v>0</v>
      </c>
      <c r="J227" s="427">
        <f t="shared" si="66"/>
        <v>0</v>
      </c>
      <c r="K227" s="427">
        <f t="shared" si="66"/>
        <v>0</v>
      </c>
      <c r="L227" s="427">
        <f t="shared" si="66"/>
        <v>0</v>
      </c>
      <c r="M227" s="427">
        <f t="shared" si="66"/>
        <v>0</v>
      </c>
      <c r="N227" s="427">
        <f t="shared" si="66"/>
        <v>0</v>
      </c>
      <c r="O227" s="427">
        <f t="shared" si="66"/>
        <v>0</v>
      </c>
    </row>
    <row r="228" spans="1:15" ht="17.100000000000001">
      <c r="A228" s="416"/>
      <c r="B228" s="429"/>
      <c r="C228" s="423"/>
      <c r="D228" s="423"/>
      <c r="E228" s="423"/>
      <c r="F228" s="423"/>
      <c r="G228" s="423"/>
      <c r="H228" s="423"/>
      <c r="I228" s="423"/>
      <c r="J228" s="423"/>
      <c r="K228" s="423"/>
      <c r="L228" s="423"/>
      <c r="M228" s="423"/>
      <c r="N228" s="423"/>
      <c r="O228" s="423"/>
    </row>
    <row r="229" spans="1:15" ht="17.100000000000001">
      <c r="A229" s="416"/>
      <c r="B229" s="420" t="s">
        <v>840</v>
      </c>
      <c r="C229" s="423"/>
      <c r="D229" s="423"/>
      <c r="E229" s="423"/>
      <c r="F229" s="423"/>
      <c r="G229" s="423"/>
      <c r="H229" s="423"/>
      <c r="I229" s="423"/>
      <c r="J229" s="423"/>
      <c r="K229" s="423"/>
      <c r="L229" s="423"/>
      <c r="M229" s="423"/>
      <c r="N229" s="423"/>
      <c r="O229" s="423"/>
    </row>
    <row r="230" spans="1:15" ht="17.100000000000001">
      <c r="A230" s="425">
        <f>+A216</f>
        <v>1175000</v>
      </c>
      <c r="B230" s="452" t="str">
        <f>+CONCATENATE("        Gastos  -  ",A230)</f>
        <v xml:space="preserve">        Gastos  -  1175000</v>
      </c>
      <c r="C230" s="431">
        <f>+SUMIFS(Gastos!$I$7:$I$528,Gastos!$B$7:$B$528,Rev!$A230,Gastos!$C$7:$C$528,"&gt;="&amp;Rev!C$1,Gastos!$C$7:$C$528,"&lt;="&amp;EOMONTH(Rev!C$1,0))</f>
        <v>5806.02</v>
      </c>
      <c r="D230" s="431">
        <f>+SUMIFS(Gastos!$I$7:$I$528,Gastos!$B$7:$B$528,Rev!$A230,Gastos!$C$7:$C$528,"&gt;="&amp;Rev!D$1,Gastos!$C$7:$C$528,"&lt;="&amp;EOMONTH(Rev!D$1,0))</f>
        <v>0</v>
      </c>
      <c r="E230" s="431">
        <f>+SUMIFS(Gastos!$I$7:$I$528,Gastos!$B$7:$B$528,Rev!$A230,Gastos!$C$7:$C$528,"&gt;="&amp;Rev!E$1,Gastos!$C$7:$C$528,"&lt;="&amp;EOMONTH(Rev!E$1,0))</f>
        <v>0</v>
      </c>
      <c r="F230" s="431">
        <f>+SUMIFS(Gastos!$I$7:$I$528,Gastos!$B$7:$B$528,Rev!$A230,Gastos!$C$7:$C$528,"&gt;="&amp;Rev!F$1,Gastos!$C$7:$C$528,"&lt;="&amp;EOMONTH(Rev!F$1,0))</f>
        <v>5456.02</v>
      </c>
      <c r="G230" s="431">
        <f>+SUMIFS(Gastos!$I$7:$I$528,Gastos!$B$7:$B$528,Rev!$A230,Gastos!$C$7:$C$528,"&gt;="&amp;Rev!G$1,Gastos!$C$7:$C$528,"&lt;="&amp;EOMONTH(Rev!G$1,0))</f>
        <v>0</v>
      </c>
      <c r="H230" s="431">
        <f>+SUMIFS(Gastos!$I$7:$I$528,Gastos!$B$7:$B$528,Rev!$A230,Gastos!$C$7:$C$528,"&gt;="&amp;Rev!H$1,Gastos!$C$7:$C$528,"&lt;="&amp;EOMONTH(Rev!H$1,0))</f>
        <v>0</v>
      </c>
      <c r="I230" s="431">
        <f>+SUMIFS(Gastos!$I$7:$I$528,Gastos!$B$7:$B$528,Rev!$A230,Gastos!$C$7:$C$528,"&gt;="&amp;Rev!I$1,Gastos!$C$7:$C$528,"&lt;="&amp;EOMONTH(Rev!I$1,0))</f>
        <v>4095.21</v>
      </c>
      <c r="J230" s="431">
        <f>+SUMIFS(Gastos!$I$7:$I$528,Gastos!$B$7:$B$528,Rev!$A230,Gastos!$C$7:$C$528,"&gt;="&amp;Rev!J$1,Gastos!$C$7:$C$528,"&lt;="&amp;EOMONTH(Rev!J$1,0))</f>
        <v>0</v>
      </c>
      <c r="K230" s="431">
        <f>+SUMIFS(Gastos!$I$7:$I$528,Gastos!$B$7:$B$528,Rev!$A230,Gastos!$C$7:$C$528,"&gt;="&amp;Rev!K$1,Gastos!$C$7:$C$528,"&lt;="&amp;EOMONTH(Rev!K$1,0))</f>
        <v>0</v>
      </c>
      <c r="L230" s="431">
        <f>+SUMIFS(Gastos!$I$7:$I$528,Gastos!$B$7:$B$528,Rev!$A230,Gastos!$C$7:$C$528,"&gt;="&amp;Rev!L$1,Gastos!$C$7:$C$528,"&lt;="&amp;EOMONTH(Rev!L$1,0))</f>
        <v>3853.57</v>
      </c>
      <c r="M230" s="431">
        <f>+SUMIFS(Gastos!$I$7:$I$528,Gastos!$B$7:$B$528,Rev!$A230,Gastos!$C$7:$C$528,"&gt;="&amp;Rev!M$1,Gastos!$C$7:$C$528,"&lt;="&amp;EOMONTH(Rev!M$1,0))</f>
        <v>0</v>
      </c>
      <c r="N230" s="431">
        <f>+SUMIFS(Gastos!$I$7:$I$528,Gastos!$B$7:$B$528,Rev!$A230,Gastos!$C$7:$C$528,"&gt;="&amp;Rev!N$1,Gastos!$C$7:$C$528,"&lt;="&amp;EOMONTH(Rev!N$1,0))</f>
        <v>0</v>
      </c>
      <c r="O230" s="431">
        <f>SUM(C230:N230)</f>
        <v>19210.82</v>
      </c>
    </row>
    <row r="231" spans="1:15" ht="17.100000000000001">
      <c r="A231" s="425">
        <f t="shared" ref="A231:A240" si="67">+A217</f>
        <v>1179000</v>
      </c>
      <c r="B231" s="452" t="str">
        <f t="shared" ref="B231:B240" si="68">+CONCATENATE("        Gastos  -  ",A231)</f>
        <v xml:space="preserve">        Gastos  -  1179000</v>
      </c>
      <c r="C231" s="431">
        <f>+SUMIFS(Gastos!$I$7:$I$528,Gastos!$B$7:$B$528,Rev!$A231,Gastos!$C$7:$C$528,"&gt;="&amp;Rev!C$1,Gastos!$C$7:$C$528,"&lt;="&amp;EOMONTH(Rev!C$1,0))</f>
        <v>24978.6</v>
      </c>
      <c r="D231" s="431">
        <f>+SUMIFS(Gastos!$I$7:$I$528,Gastos!$B$7:$B$528,Rev!$A231,Gastos!$C$7:$C$528,"&gt;="&amp;Rev!D$1,Gastos!$C$7:$C$528,"&lt;="&amp;EOMONTH(Rev!D$1,0))</f>
        <v>0</v>
      </c>
      <c r="E231" s="431">
        <f>+SUMIFS(Gastos!$I$7:$I$528,Gastos!$B$7:$B$528,Rev!$A231,Gastos!$C$7:$C$528,"&gt;="&amp;Rev!E$1,Gastos!$C$7:$C$528,"&lt;="&amp;EOMONTH(Rev!E$1,0))</f>
        <v>0</v>
      </c>
      <c r="F231" s="431">
        <f>+SUMIFS(Gastos!$I$7:$I$528,Gastos!$B$7:$B$528,Rev!$A231,Gastos!$C$7:$C$528,"&gt;="&amp;Rev!F$1,Gastos!$C$7:$C$528,"&lt;="&amp;EOMONTH(Rev!F$1,0))</f>
        <v>23900.87</v>
      </c>
      <c r="G231" s="431">
        <f>+SUMIFS(Gastos!$I$7:$I$528,Gastos!$B$7:$B$528,Rev!$A231,Gastos!$C$7:$C$528,"&gt;="&amp;Rev!G$1,Gastos!$C$7:$C$528,"&lt;="&amp;EOMONTH(Rev!G$1,0))</f>
        <v>0</v>
      </c>
      <c r="H231" s="431">
        <f>+SUMIFS(Gastos!$I$7:$I$528,Gastos!$B$7:$B$528,Rev!$A231,Gastos!$C$7:$C$528,"&gt;="&amp;Rev!H$1,Gastos!$C$7:$C$528,"&lt;="&amp;EOMONTH(Rev!H$1,0))</f>
        <v>0</v>
      </c>
      <c r="I231" s="431">
        <f>+SUMIFS(Gastos!$I$7:$I$528,Gastos!$B$7:$B$528,Rev!$A231,Gastos!$C$7:$C$528,"&gt;="&amp;Rev!I$1,Gastos!$C$7:$C$528,"&lt;="&amp;EOMONTH(Rev!I$1,0))</f>
        <v>22608.9</v>
      </c>
      <c r="J231" s="431">
        <f>+SUMIFS(Gastos!$I$7:$I$528,Gastos!$B$7:$B$528,Rev!$A231,Gastos!$C$7:$C$528,"&gt;="&amp;Rev!J$1,Gastos!$C$7:$C$528,"&lt;="&amp;EOMONTH(Rev!J$1,0))</f>
        <v>0</v>
      </c>
      <c r="K231" s="431">
        <f>+SUMIFS(Gastos!$I$7:$I$528,Gastos!$B$7:$B$528,Rev!$A231,Gastos!$C$7:$C$528,"&gt;="&amp;Rev!K$1,Gastos!$C$7:$C$528,"&lt;="&amp;EOMONTH(Rev!K$1,0))</f>
        <v>0</v>
      </c>
      <c r="L231" s="431">
        <f>+SUMIFS(Gastos!$I$7:$I$528,Gastos!$B$7:$B$528,Rev!$A231,Gastos!$C$7:$C$528,"&gt;="&amp;Rev!L$1,Gastos!$C$7:$C$528,"&lt;="&amp;EOMONTH(Rev!L$1,0))</f>
        <v>22117.51</v>
      </c>
      <c r="M231" s="431">
        <f>+SUMIFS(Gastos!$I$7:$I$528,Gastos!$B$7:$B$528,Rev!$A231,Gastos!$C$7:$C$528,"&gt;="&amp;Rev!M$1,Gastos!$C$7:$C$528,"&lt;="&amp;EOMONTH(Rev!M$1,0))</f>
        <v>0</v>
      </c>
      <c r="N231" s="431">
        <f>+SUMIFS(Gastos!$I$7:$I$528,Gastos!$B$7:$B$528,Rev!$A231,Gastos!$C$7:$C$528,"&gt;="&amp;Rev!N$1,Gastos!$C$7:$C$528,"&lt;="&amp;EOMONTH(Rev!N$1,0))</f>
        <v>0</v>
      </c>
      <c r="O231" s="431">
        <f>SUM(C231:N231)</f>
        <v>93605.87999999999</v>
      </c>
    </row>
    <row r="232" spans="1:15" ht="17.100000000000001">
      <c r="A232" s="425">
        <f t="shared" si="67"/>
        <v>1427200</v>
      </c>
      <c r="B232" s="452" t="str">
        <f t="shared" si="68"/>
        <v xml:space="preserve">        Gastos  -  1427200</v>
      </c>
      <c r="C232" s="431">
        <f>+SUMIFS(Gastos!$I$7:$I$528,Gastos!$B$7:$B$528,Rev!$A232,Gastos!$C$7:$C$528,"&gt;="&amp;Rev!C$1,Gastos!$C$7:$C$528,"&lt;="&amp;EOMONTH(Rev!C$1,0))</f>
        <v>636.17000000000007</v>
      </c>
      <c r="D232" s="431">
        <f>+SUMIFS(Gastos!$I$7:$I$528,Gastos!$B$7:$B$528,Rev!$A232,Gastos!$C$7:$C$528,"&gt;="&amp;Rev!D$1,Gastos!$C$7:$C$528,"&lt;="&amp;EOMONTH(Rev!D$1,0))</f>
        <v>0</v>
      </c>
      <c r="E232" s="431">
        <f>+SUMIFS(Gastos!$I$7:$I$528,Gastos!$B$7:$B$528,Rev!$A232,Gastos!$C$7:$C$528,"&gt;="&amp;Rev!E$1,Gastos!$C$7:$C$528,"&lt;="&amp;EOMONTH(Rev!E$1,0))</f>
        <v>0</v>
      </c>
      <c r="F232" s="431">
        <f>+SUMIFS(Gastos!$I$7:$I$528,Gastos!$B$7:$B$528,Rev!$A232,Gastos!$C$7:$C$528,"&gt;="&amp;Rev!F$1,Gastos!$C$7:$C$528,"&lt;="&amp;EOMONTH(Rev!F$1,0))</f>
        <v>837.63</v>
      </c>
      <c r="G232" s="431">
        <f>+SUMIFS(Gastos!$I$7:$I$528,Gastos!$B$7:$B$528,Rev!$A232,Gastos!$C$7:$C$528,"&gt;="&amp;Rev!G$1,Gastos!$C$7:$C$528,"&lt;="&amp;EOMONTH(Rev!G$1,0))</f>
        <v>0</v>
      </c>
      <c r="H232" s="431">
        <f>+SUMIFS(Gastos!$I$7:$I$528,Gastos!$B$7:$B$528,Rev!$A232,Gastos!$C$7:$C$528,"&gt;="&amp;Rev!H$1,Gastos!$C$7:$C$528,"&lt;="&amp;EOMONTH(Rev!H$1,0))</f>
        <v>0</v>
      </c>
      <c r="I232" s="431">
        <f>+SUMIFS(Gastos!$I$7:$I$528,Gastos!$B$7:$B$528,Rev!$A232,Gastos!$C$7:$C$528,"&gt;="&amp;Rev!I$1,Gastos!$C$7:$C$528,"&lt;="&amp;EOMONTH(Rev!I$1,0))</f>
        <v>627.81999999999994</v>
      </c>
      <c r="J232" s="431">
        <f>+SUMIFS(Gastos!$I$7:$I$528,Gastos!$B$7:$B$528,Rev!$A232,Gastos!$C$7:$C$528,"&gt;="&amp;Rev!J$1,Gastos!$C$7:$C$528,"&lt;="&amp;EOMONTH(Rev!J$1,0))</f>
        <v>0</v>
      </c>
      <c r="K232" s="431">
        <f>+SUMIFS(Gastos!$I$7:$I$528,Gastos!$B$7:$B$528,Rev!$A232,Gastos!$C$7:$C$528,"&gt;="&amp;Rev!K$1,Gastos!$C$7:$C$528,"&lt;="&amp;EOMONTH(Rev!K$1,0))</f>
        <v>0</v>
      </c>
      <c r="L232" s="431">
        <f>+SUMIFS(Gastos!$I$7:$I$528,Gastos!$B$7:$B$528,Rev!$A232,Gastos!$C$7:$C$528,"&gt;="&amp;Rev!L$1,Gastos!$C$7:$C$528,"&lt;="&amp;EOMONTH(Rev!L$1,0))</f>
        <v>601.59999999999991</v>
      </c>
      <c r="M232" s="431">
        <f>+SUMIFS(Gastos!$I$7:$I$528,Gastos!$B$7:$B$528,Rev!$A232,Gastos!$C$7:$C$528,"&gt;="&amp;Rev!M$1,Gastos!$C$7:$C$528,"&lt;="&amp;EOMONTH(Rev!M$1,0))</f>
        <v>0</v>
      </c>
      <c r="N232" s="431">
        <f>+SUMIFS(Gastos!$I$7:$I$528,Gastos!$B$7:$B$528,Rev!$A232,Gastos!$C$7:$C$528,"&gt;="&amp;Rev!N$1,Gastos!$C$7:$C$528,"&lt;="&amp;EOMONTH(Rev!N$1,0))</f>
        <v>0</v>
      </c>
      <c r="O232" s="431">
        <f t="shared" ref="O232:O240" si="69">SUM(C232:N232)</f>
        <v>2703.22</v>
      </c>
    </row>
    <row r="233" spans="1:15" ht="17.100000000000001">
      <c r="A233" s="425" t="str">
        <f t="shared" si="67"/>
        <v>B22235000</v>
      </c>
      <c r="B233" s="452" t="str">
        <f t="shared" si="68"/>
        <v xml:space="preserve">        Gastos  -  B22235000</v>
      </c>
      <c r="C233" s="431">
        <f>+SUMIFS(Gastos!$I$7:$I$528,Gastos!$B$7:$B$528,Rev!$A233,Gastos!$C$7:$C$528,"&gt;="&amp;Rev!C$1,Gastos!$C$7:$C$528,"&lt;="&amp;EOMONTH(Rev!C$1,0))</f>
        <v>16117.97</v>
      </c>
      <c r="D233" s="431">
        <f>+SUMIFS(Gastos!$I$7:$I$528,Gastos!$B$7:$B$528,Rev!$A233,Gastos!$C$7:$C$528,"&gt;="&amp;Rev!D$1,Gastos!$C$7:$C$528,"&lt;="&amp;EOMONTH(Rev!D$1,0))</f>
        <v>0</v>
      </c>
      <c r="E233" s="431">
        <f>+SUMIFS(Gastos!$I$7:$I$528,Gastos!$B$7:$B$528,Rev!$A233,Gastos!$C$7:$C$528,"&gt;="&amp;Rev!E$1,Gastos!$C$7:$C$528,"&lt;="&amp;EOMONTH(Rev!E$1,0))</f>
        <v>5250</v>
      </c>
      <c r="F233" s="431">
        <f>+SUMIFS(Gastos!$I$7:$I$528,Gastos!$B$7:$B$528,Rev!$A233,Gastos!$C$7:$C$528,"&gt;="&amp;Rev!F$1,Gastos!$C$7:$C$528,"&lt;="&amp;EOMONTH(Rev!F$1,0))</f>
        <v>982.26</v>
      </c>
      <c r="G233" s="431">
        <f>+SUMIFS(Gastos!$I$7:$I$528,Gastos!$B$7:$B$528,Rev!$A233,Gastos!$C$7:$C$528,"&gt;="&amp;Rev!G$1,Gastos!$C$7:$C$528,"&lt;="&amp;EOMONTH(Rev!G$1,0))</f>
        <v>0</v>
      </c>
      <c r="H233" s="431">
        <f>+SUMIFS(Gastos!$I$7:$I$528,Gastos!$B$7:$B$528,Rev!$A233,Gastos!$C$7:$C$528,"&gt;="&amp;Rev!H$1,Gastos!$C$7:$C$528,"&lt;="&amp;EOMONTH(Rev!H$1,0))</f>
        <v>6053.32</v>
      </c>
      <c r="I233" s="431">
        <f>+SUMIFS(Gastos!$I$7:$I$528,Gastos!$B$7:$B$528,Rev!$A233,Gastos!$C$7:$C$528,"&gt;="&amp;Rev!I$1,Gastos!$C$7:$C$528,"&lt;="&amp;EOMONTH(Rev!I$1,0))</f>
        <v>871.92</v>
      </c>
      <c r="J233" s="431">
        <f>+SUMIFS(Gastos!$I$7:$I$528,Gastos!$B$7:$B$528,Rev!$A233,Gastos!$C$7:$C$528,"&gt;="&amp;Rev!J$1,Gastos!$C$7:$C$528,"&lt;="&amp;EOMONTH(Rev!J$1,0))</f>
        <v>0</v>
      </c>
      <c r="K233" s="431">
        <f>+SUMIFS(Gastos!$I$7:$I$528,Gastos!$B$7:$B$528,Rev!$A233,Gastos!$C$7:$C$528,"&gt;="&amp;Rev!K$1,Gastos!$C$7:$C$528,"&lt;="&amp;EOMONTH(Rev!K$1,0))</f>
        <v>0</v>
      </c>
      <c r="L233" s="431">
        <f>+SUMIFS(Gastos!$I$7:$I$528,Gastos!$B$7:$B$528,Rev!$A233,Gastos!$C$7:$C$528,"&gt;="&amp;Rev!L$1,Gastos!$C$7:$C$528,"&lt;="&amp;EOMONTH(Rev!L$1,0))</f>
        <v>1748.6</v>
      </c>
      <c r="M233" s="431">
        <f>+SUMIFS(Gastos!$I$7:$I$528,Gastos!$B$7:$B$528,Rev!$A233,Gastos!$C$7:$C$528,"&gt;="&amp;Rev!M$1,Gastos!$C$7:$C$528,"&lt;="&amp;EOMONTH(Rev!M$1,0))</f>
        <v>0</v>
      </c>
      <c r="N233" s="431">
        <f>+SUMIFS(Gastos!$I$7:$I$528,Gastos!$B$7:$B$528,Rev!$A233,Gastos!$C$7:$C$528,"&gt;="&amp;Rev!N$1,Gastos!$C$7:$C$528,"&lt;="&amp;EOMONTH(Rev!N$1,0))</f>
        <v>0</v>
      </c>
      <c r="O233" s="431">
        <f t="shared" si="69"/>
        <v>31024.069999999996</v>
      </c>
    </row>
    <row r="234" spans="1:15" ht="17.100000000000001">
      <c r="A234" s="425">
        <f t="shared" si="67"/>
        <v>700833580</v>
      </c>
      <c r="B234" s="452" t="str">
        <f t="shared" si="68"/>
        <v xml:space="preserve">        Gastos  -  700833580</v>
      </c>
      <c r="C234" s="431">
        <f>+SUMIFS(Gastos!$I$7:$I$528,Gastos!$B$7:$B$528,Rev!$A234,Gastos!$C$7:$C$528,"&gt;="&amp;Rev!C$1,Gastos!$C$7:$C$528,"&lt;="&amp;EOMONTH(Rev!C$1,0))</f>
        <v>0</v>
      </c>
      <c r="D234" s="431">
        <f>+SUMIFS(Gastos!$I$7:$I$528,Gastos!$B$7:$B$528,Rev!$A234,Gastos!$C$7:$C$528,"&gt;="&amp;Rev!D$1,Gastos!$C$7:$C$528,"&lt;="&amp;EOMONTH(Rev!D$1,0))</f>
        <v>0</v>
      </c>
      <c r="E234" s="431">
        <f>+SUMIFS(Gastos!$I$7:$I$528,Gastos!$B$7:$B$528,Rev!$A234,Gastos!$C$7:$C$528,"&gt;="&amp;Rev!E$1,Gastos!$C$7:$C$528,"&lt;="&amp;EOMONTH(Rev!E$1,0))</f>
        <v>0</v>
      </c>
      <c r="F234" s="431">
        <f>+SUMIFS(Gastos!$I$7:$I$528,Gastos!$B$7:$B$528,Rev!$A234,Gastos!$C$7:$C$528,"&gt;="&amp;Rev!F$1,Gastos!$C$7:$C$528,"&lt;="&amp;EOMONTH(Rev!F$1,0))</f>
        <v>0</v>
      </c>
      <c r="G234" s="431">
        <f>+SUMIFS(Gastos!$I$7:$I$528,Gastos!$B$7:$B$528,Rev!$A234,Gastos!$C$7:$C$528,"&gt;="&amp;Rev!G$1,Gastos!$C$7:$C$528,"&lt;="&amp;EOMONTH(Rev!G$1,0))</f>
        <v>0</v>
      </c>
      <c r="H234" s="431">
        <f>+SUMIFS(Gastos!$I$7:$I$528,Gastos!$B$7:$B$528,Rev!$A234,Gastos!$C$7:$C$528,"&gt;="&amp;Rev!H$1,Gastos!$C$7:$C$528,"&lt;="&amp;EOMONTH(Rev!H$1,0))</f>
        <v>0</v>
      </c>
      <c r="I234" s="431">
        <f>+SUMIFS(Gastos!$I$7:$I$528,Gastos!$B$7:$B$528,Rev!$A234,Gastos!$C$7:$C$528,"&gt;="&amp;Rev!I$1,Gastos!$C$7:$C$528,"&lt;="&amp;EOMONTH(Rev!I$1,0))</f>
        <v>0</v>
      </c>
      <c r="J234" s="431">
        <f>+SUMIFS(Gastos!$I$7:$I$528,Gastos!$B$7:$B$528,Rev!$A234,Gastos!$C$7:$C$528,"&gt;="&amp;Rev!J$1,Gastos!$C$7:$C$528,"&lt;="&amp;EOMONTH(Rev!J$1,0))</f>
        <v>0</v>
      </c>
      <c r="K234" s="431">
        <f>+SUMIFS(Gastos!$I$7:$I$528,Gastos!$B$7:$B$528,Rev!$A234,Gastos!$C$7:$C$528,"&gt;="&amp;Rev!K$1,Gastos!$C$7:$C$528,"&lt;="&amp;EOMONTH(Rev!K$1,0))</f>
        <v>0</v>
      </c>
      <c r="L234" s="431">
        <f>+SUMIFS(Gastos!$I$7:$I$528,Gastos!$B$7:$B$528,Rev!$A234,Gastos!$C$7:$C$528,"&gt;="&amp;Rev!L$1,Gastos!$C$7:$C$528,"&lt;="&amp;EOMONTH(Rev!L$1,0))</f>
        <v>0</v>
      </c>
      <c r="M234" s="431">
        <f>+SUMIFS(Gastos!$I$7:$I$528,Gastos!$B$7:$B$528,Rev!$A234,Gastos!$C$7:$C$528,"&gt;="&amp;Rev!M$1,Gastos!$C$7:$C$528,"&lt;="&amp;EOMONTH(Rev!M$1,0))</f>
        <v>0</v>
      </c>
      <c r="N234" s="431">
        <f>+SUMIFS(Gastos!$I$7:$I$528,Gastos!$B$7:$B$528,Rev!$A234,Gastos!$C$7:$C$528,"&gt;="&amp;Rev!N$1,Gastos!$C$7:$C$528,"&lt;="&amp;EOMONTH(Rev!N$1,0))</f>
        <v>0</v>
      </c>
      <c r="O234" s="431">
        <f t="shared" si="69"/>
        <v>0</v>
      </c>
    </row>
    <row r="235" spans="1:15" ht="17.100000000000001">
      <c r="A235" s="425" t="str">
        <f t="shared" si="67"/>
        <v>F</v>
      </c>
      <c r="B235" s="452" t="str">
        <f t="shared" si="68"/>
        <v xml:space="preserve">        Gastos  -  F</v>
      </c>
      <c r="C235" s="431">
        <f>+SUMIFS(Gastos!$I$7:$I$528,Gastos!$B$7:$B$528,Rev!$A235,Gastos!$C$7:$C$528,"&gt;="&amp;Rev!C$1,Gastos!$C$7:$C$528,"&lt;="&amp;EOMONTH(Rev!C$1,0))</f>
        <v>0</v>
      </c>
      <c r="D235" s="431">
        <f>+SUMIFS(Gastos!$I$7:$I$528,Gastos!$B$7:$B$528,Rev!$A235,Gastos!$C$7:$C$528,"&gt;="&amp;Rev!D$1,Gastos!$C$7:$C$528,"&lt;="&amp;EOMONTH(Rev!D$1,0))</f>
        <v>0</v>
      </c>
      <c r="E235" s="431">
        <f>+SUMIFS(Gastos!$I$7:$I$528,Gastos!$B$7:$B$528,Rev!$A235,Gastos!$C$7:$C$528,"&gt;="&amp;Rev!E$1,Gastos!$C$7:$C$528,"&lt;="&amp;EOMONTH(Rev!E$1,0))</f>
        <v>0</v>
      </c>
      <c r="F235" s="431">
        <f>+SUMIFS(Gastos!$I$7:$I$528,Gastos!$B$7:$B$528,Rev!$A235,Gastos!$C$7:$C$528,"&gt;="&amp;Rev!F$1,Gastos!$C$7:$C$528,"&lt;="&amp;EOMONTH(Rev!F$1,0))</f>
        <v>0</v>
      </c>
      <c r="G235" s="431">
        <f>+SUMIFS(Gastos!$I$7:$I$528,Gastos!$B$7:$B$528,Rev!$A235,Gastos!$C$7:$C$528,"&gt;="&amp;Rev!G$1,Gastos!$C$7:$C$528,"&lt;="&amp;EOMONTH(Rev!G$1,0))</f>
        <v>0</v>
      </c>
      <c r="H235" s="431">
        <f>+SUMIFS(Gastos!$I$7:$I$528,Gastos!$B$7:$B$528,Rev!$A235,Gastos!$C$7:$C$528,"&gt;="&amp;Rev!H$1,Gastos!$C$7:$C$528,"&lt;="&amp;EOMONTH(Rev!H$1,0))</f>
        <v>0</v>
      </c>
      <c r="I235" s="431">
        <f>+SUMIFS(Gastos!$I$7:$I$528,Gastos!$B$7:$B$528,Rev!$A235,Gastos!$C$7:$C$528,"&gt;="&amp;Rev!I$1,Gastos!$C$7:$C$528,"&lt;="&amp;EOMONTH(Rev!I$1,0))</f>
        <v>0</v>
      </c>
      <c r="J235" s="431">
        <f>+SUMIFS(Gastos!$I$7:$I$528,Gastos!$B$7:$B$528,Rev!$A235,Gastos!$C$7:$C$528,"&gt;="&amp;Rev!J$1,Gastos!$C$7:$C$528,"&lt;="&amp;EOMONTH(Rev!J$1,0))</f>
        <v>0</v>
      </c>
      <c r="K235" s="431">
        <f>+SUMIFS(Gastos!$I$7:$I$528,Gastos!$B$7:$B$528,Rev!$A235,Gastos!$C$7:$C$528,"&gt;="&amp;Rev!K$1,Gastos!$C$7:$C$528,"&lt;="&amp;EOMONTH(Rev!K$1,0))</f>
        <v>0</v>
      </c>
      <c r="L235" s="431">
        <f>+SUMIFS(Gastos!$I$7:$I$528,Gastos!$B$7:$B$528,Rev!$A235,Gastos!$C$7:$C$528,"&gt;="&amp;Rev!L$1,Gastos!$C$7:$C$528,"&lt;="&amp;EOMONTH(Rev!L$1,0))</f>
        <v>0</v>
      </c>
      <c r="M235" s="431">
        <f>+SUMIFS(Gastos!$I$7:$I$528,Gastos!$B$7:$B$528,Rev!$A235,Gastos!$C$7:$C$528,"&gt;="&amp;Rev!M$1,Gastos!$C$7:$C$528,"&lt;="&amp;EOMONTH(Rev!M$1,0))</f>
        <v>0</v>
      </c>
      <c r="N235" s="431">
        <f>+SUMIFS(Gastos!$I$7:$I$528,Gastos!$B$7:$B$528,Rev!$A235,Gastos!$C$7:$C$528,"&gt;="&amp;Rev!N$1,Gastos!$C$7:$C$528,"&lt;="&amp;EOMONTH(Rev!N$1,0))</f>
        <v>0</v>
      </c>
      <c r="O235" s="431">
        <f t="shared" si="69"/>
        <v>0</v>
      </c>
    </row>
    <row r="236" spans="1:15" ht="17.100000000000001">
      <c r="A236" s="425" t="str">
        <f t="shared" si="67"/>
        <v>G</v>
      </c>
      <c r="B236" s="452" t="str">
        <f t="shared" si="68"/>
        <v xml:space="preserve">        Gastos  -  G</v>
      </c>
      <c r="C236" s="431">
        <f>+SUMIFS(Gastos!$I$7:$I$528,Gastos!$B$7:$B$528,Rev!$A236,Gastos!$C$7:$C$528,"&gt;="&amp;Rev!C$1,Gastos!$C$7:$C$528,"&lt;="&amp;EOMONTH(Rev!C$1,0))</f>
        <v>0</v>
      </c>
      <c r="D236" s="431">
        <f>+SUMIFS(Gastos!$I$7:$I$528,Gastos!$B$7:$B$528,Rev!$A236,Gastos!$C$7:$C$528,"&gt;="&amp;Rev!D$1,Gastos!$C$7:$C$528,"&lt;="&amp;EOMONTH(Rev!D$1,0))</f>
        <v>0</v>
      </c>
      <c r="E236" s="431">
        <f>+SUMIFS(Gastos!$I$7:$I$528,Gastos!$B$7:$B$528,Rev!$A236,Gastos!$C$7:$C$528,"&gt;="&amp;Rev!E$1,Gastos!$C$7:$C$528,"&lt;="&amp;EOMONTH(Rev!E$1,0))</f>
        <v>0</v>
      </c>
      <c r="F236" s="431">
        <f>+SUMIFS(Gastos!$I$7:$I$528,Gastos!$B$7:$B$528,Rev!$A236,Gastos!$C$7:$C$528,"&gt;="&amp;Rev!F$1,Gastos!$C$7:$C$528,"&lt;="&amp;EOMONTH(Rev!F$1,0))</f>
        <v>0</v>
      </c>
      <c r="G236" s="431">
        <f>+SUMIFS(Gastos!$I$7:$I$528,Gastos!$B$7:$B$528,Rev!$A236,Gastos!$C$7:$C$528,"&gt;="&amp;Rev!G$1,Gastos!$C$7:$C$528,"&lt;="&amp;EOMONTH(Rev!G$1,0))</f>
        <v>0</v>
      </c>
      <c r="H236" s="431">
        <f>+SUMIFS(Gastos!$I$7:$I$528,Gastos!$B$7:$B$528,Rev!$A236,Gastos!$C$7:$C$528,"&gt;="&amp;Rev!H$1,Gastos!$C$7:$C$528,"&lt;="&amp;EOMONTH(Rev!H$1,0))</f>
        <v>0</v>
      </c>
      <c r="I236" s="431">
        <f>+SUMIFS(Gastos!$I$7:$I$528,Gastos!$B$7:$B$528,Rev!$A236,Gastos!$C$7:$C$528,"&gt;="&amp;Rev!I$1,Gastos!$C$7:$C$528,"&lt;="&amp;EOMONTH(Rev!I$1,0))</f>
        <v>0</v>
      </c>
      <c r="J236" s="431">
        <f>+SUMIFS(Gastos!$I$7:$I$528,Gastos!$B$7:$B$528,Rev!$A236,Gastos!$C$7:$C$528,"&gt;="&amp;Rev!J$1,Gastos!$C$7:$C$528,"&lt;="&amp;EOMONTH(Rev!J$1,0))</f>
        <v>0</v>
      </c>
      <c r="K236" s="431">
        <f>+SUMIFS(Gastos!$I$7:$I$528,Gastos!$B$7:$B$528,Rev!$A236,Gastos!$C$7:$C$528,"&gt;="&amp;Rev!K$1,Gastos!$C$7:$C$528,"&lt;="&amp;EOMONTH(Rev!K$1,0))</f>
        <v>0</v>
      </c>
      <c r="L236" s="431">
        <f>+SUMIFS(Gastos!$I$7:$I$528,Gastos!$B$7:$B$528,Rev!$A236,Gastos!$C$7:$C$528,"&gt;="&amp;Rev!L$1,Gastos!$C$7:$C$528,"&lt;="&amp;EOMONTH(Rev!L$1,0))</f>
        <v>0</v>
      </c>
      <c r="M236" s="431">
        <f>+SUMIFS(Gastos!$I$7:$I$528,Gastos!$B$7:$B$528,Rev!$A236,Gastos!$C$7:$C$528,"&gt;="&amp;Rev!M$1,Gastos!$C$7:$C$528,"&lt;="&amp;EOMONTH(Rev!M$1,0))</f>
        <v>0</v>
      </c>
      <c r="N236" s="431">
        <f>+SUMIFS(Gastos!$I$7:$I$528,Gastos!$B$7:$B$528,Rev!$A236,Gastos!$C$7:$C$528,"&gt;="&amp;Rev!N$1,Gastos!$C$7:$C$528,"&lt;="&amp;EOMONTH(Rev!N$1,0))</f>
        <v>0</v>
      </c>
      <c r="O236" s="431">
        <f t="shared" si="69"/>
        <v>0</v>
      </c>
    </row>
    <row r="237" spans="1:15" ht="17.100000000000001">
      <c r="A237" s="425" t="str">
        <f t="shared" si="67"/>
        <v>H</v>
      </c>
      <c r="B237" s="452" t="str">
        <f t="shared" si="68"/>
        <v xml:space="preserve">        Gastos  -  H</v>
      </c>
      <c r="C237" s="431">
        <f>+SUMIFS(Gastos!$I$7:$I$528,Gastos!$B$7:$B$528,Rev!$A237,Gastos!$C$7:$C$528,"&gt;="&amp;Rev!C$1,Gastos!$C$7:$C$528,"&lt;="&amp;EOMONTH(Rev!C$1,0))</f>
        <v>0</v>
      </c>
      <c r="D237" s="431">
        <f>+SUMIFS(Gastos!$I$7:$I$528,Gastos!$B$7:$B$528,Rev!$A237,Gastos!$C$7:$C$528,"&gt;="&amp;Rev!D$1,Gastos!$C$7:$C$528,"&lt;="&amp;EOMONTH(Rev!D$1,0))</f>
        <v>0</v>
      </c>
      <c r="E237" s="431">
        <f>+SUMIFS(Gastos!$I$7:$I$528,Gastos!$B$7:$B$528,Rev!$A237,Gastos!$C$7:$C$528,"&gt;="&amp;Rev!E$1,Gastos!$C$7:$C$528,"&lt;="&amp;EOMONTH(Rev!E$1,0))</f>
        <v>0</v>
      </c>
      <c r="F237" s="431">
        <f>+SUMIFS(Gastos!$I$7:$I$528,Gastos!$B$7:$B$528,Rev!$A237,Gastos!$C$7:$C$528,"&gt;="&amp;Rev!F$1,Gastos!$C$7:$C$528,"&lt;="&amp;EOMONTH(Rev!F$1,0))</f>
        <v>0</v>
      </c>
      <c r="G237" s="431">
        <f>+SUMIFS(Gastos!$I$7:$I$528,Gastos!$B$7:$B$528,Rev!$A237,Gastos!$C$7:$C$528,"&gt;="&amp;Rev!G$1,Gastos!$C$7:$C$528,"&lt;="&amp;EOMONTH(Rev!G$1,0))</f>
        <v>0</v>
      </c>
      <c r="H237" s="431">
        <f>+SUMIFS(Gastos!$I$7:$I$528,Gastos!$B$7:$B$528,Rev!$A237,Gastos!$C$7:$C$528,"&gt;="&amp;Rev!H$1,Gastos!$C$7:$C$528,"&lt;="&amp;EOMONTH(Rev!H$1,0))</f>
        <v>0</v>
      </c>
      <c r="I237" s="431">
        <f>+SUMIFS(Gastos!$I$7:$I$528,Gastos!$B$7:$B$528,Rev!$A237,Gastos!$C$7:$C$528,"&gt;="&amp;Rev!I$1,Gastos!$C$7:$C$528,"&lt;="&amp;EOMONTH(Rev!I$1,0))</f>
        <v>0</v>
      </c>
      <c r="J237" s="431">
        <f>+SUMIFS(Gastos!$I$7:$I$528,Gastos!$B$7:$B$528,Rev!$A237,Gastos!$C$7:$C$528,"&gt;="&amp;Rev!J$1,Gastos!$C$7:$C$528,"&lt;="&amp;EOMONTH(Rev!J$1,0))</f>
        <v>0</v>
      </c>
      <c r="K237" s="431">
        <f>+SUMIFS(Gastos!$I$7:$I$528,Gastos!$B$7:$B$528,Rev!$A237,Gastos!$C$7:$C$528,"&gt;="&amp;Rev!K$1,Gastos!$C$7:$C$528,"&lt;="&amp;EOMONTH(Rev!K$1,0))</f>
        <v>0</v>
      </c>
      <c r="L237" s="431">
        <f>+SUMIFS(Gastos!$I$7:$I$528,Gastos!$B$7:$B$528,Rev!$A237,Gastos!$C$7:$C$528,"&gt;="&amp;Rev!L$1,Gastos!$C$7:$C$528,"&lt;="&amp;EOMONTH(Rev!L$1,0))</f>
        <v>0</v>
      </c>
      <c r="M237" s="431">
        <f>+SUMIFS(Gastos!$I$7:$I$528,Gastos!$B$7:$B$528,Rev!$A237,Gastos!$C$7:$C$528,"&gt;="&amp;Rev!M$1,Gastos!$C$7:$C$528,"&lt;="&amp;EOMONTH(Rev!M$1,0))</f>
        <v>0</v>
      </c>
      <c r="N237" s="431">
        <f>+SUMIFS(Gastos!$I$7:$I$528,Gastos!$B$7:$B$528,Rev!$A237,Gastos!$C$7:$C$528,"&gt;="&amp;Rev!N$1,Gastos!$C$7:$C$528,"&lt;="&amp;EOMONTH(Rev!N$1,0))</f>
        <v>0</v>
      </c>
      <c r="O237" s="431">
        <f t="shared" si="69"/>
        <v>0</v>
      </c>
    </row>
    <row r="238" spans="1:15" ht="17.100000000000001">
      <c r="A238" s="425" t="str">
        <f t="shared" si="67"/>
        <v>I</v>
      </c>
      <c r="B238" s="452" t="str">
        <f t="shared" si="68"/>
        <v xml:space="preserve">        Gastos  -  I</v>
      </c>
      <c r="C238" s="431">
        <f>+SUMIFS(Gastos!$I$7:$I$528,Gastos!$B$7:$B$528,Rev!$A238,Gastos!$C$7:$C$528,"&gt;="&amp;Rev!C$1,Gastos!$C$7:$C$528,"&lt;="&amp;EOMONTH(Rev!C$1,0))</f>
        <v>0</v>
      </c>
      <c r="D238" s="431">
        <f>+SUMIFS(Gastos!$I$7:$I$528,Gastos!$B$7:$B$528,Rev!$A238,Gastos!$C$7:$C$528,"&gt;="&amp;Rev!D$1,Gastos!$C$7:$C$528,"&lt;="&amp;EOMONTH(Rev!D$1,0))</f>
        <v>0</v>
      </c>
      <c r="E238" s="431">
        <f>+SUMIFS(Gastos!$I$7:$I$528,Gastos!$B$7:$B$528,Rev!$A238,Gastos!$C$7:$C$528,"&gt;="&amp;Rev!E$1,Gastos!$C$7:$C$528,"&lt;="&amp;EOMONTH(Rev!E$1,0))</f>
        <v>0</v>
      </c>
      <c r="F238" s="431">
        <f>+SUMIFS(Gastos!$I$7:$I$528,Gastos!$B$7:$B$528,Rev!$A238,Gastos!$C$7:$C$528,"&gt;="&amp;Rev!F$1,Gastos!$C$7:$C$528,"&lt;="&amp;EOMONTH(Rev!F$1,0))</f>
        <v>0</v>
      </c>
      <c r="G238" s="431">
        <f>+SUMIFS(Gastos!$I$7:$I$528,Gastos!$B$7:$B$528,Rev!$A238,Gastos!$C$7:$C$528,"&gt;="&amp;Rev!G$1,Gastos!$C$7:$C$528,"&lt;="&amp;EOMONTH(Rev!G$1,0))</f>
        <v>0</v>
      </c>
      <c r="H238" s="431">
        <f>+SUMIFS(Gastos!$I$7:$I$528,Gastos!$B$7:$B$528,Rev!$A238,Gastos!$C$7:$C$528,"&gt;="&amp;Rev!H$1,Gastos!$C$7:$C$528,"&lt;="&amp;EOMONTH(Rev!H$1,0))</f>
        <v>0</v>
      </c>
      <c r="I238" s="431">
        <f>+SUMIFS(Gastos!$I$7:$I$528,Gastos!$B$7:$B$528,Rev!$A238,Gastos!$C$7:$C$528,"&gt;="&amp;Rev!I$1,Gastos!$C$7:$C$528,"&lt;="&amp;EOMONTH(Rev!I$1,0))</f>
        <v>0</v>
      </c>
      <c r="J238" s="431">
        <f>+SUMIFS(Gastos!$I$7:$I$528,Gastos!$B$7:$B$528,Rev!$A238,Gastos!$C$7:$C$528,"&gt;="&amp;Rev!J$1,Gastos!$C$7:$C$528,"&lt;="&amp;EOMONTH(Rev!J$1,0))</f>
        <v>0</v>
      </c>
      <c r="K238" s="431">
        <f>+SUMIFS(Gastos!$I$7:$I$528,Gastos!$B$7:$B$528,Rev!$A238,Gastos!$C$7:$C$528,"&gt;="&amp;Rev!K$1,Gastos!$C$7:$C$528,"&lt;="&amp;EOMONTH(Rev!K$1,0))</f>
        <v>0</v>
      </c>
      <c r="L238" s="431">
        <f>+SUMIFS(Gastos!$I$7:$I$528,Gastos!$B$7:$B$528,Rev!$A238,Gastos!$C$7:$C$528,"&gt;="&amp;Rev!L$1,Gastos!$C$7:$C$528,"&lt;="&amp;EOMONTH(Rev!L$1,0))</f>
        <v>0</v>
      </c>
      <c r="M238" s="431">
        <f>+SUMIFS(Gastos!$I$7:$I$528,Gastos!$B$7:$B$528,Rev!$A238,Gastos!$C$7:$C$528,"&gt;="&amp;Rev!M$1,Gastos!$C$7:$C$528,"&lt;="&amp;EOMONTH(Rev!M$1,0))</f>
        <v>0</v>
      </c>
      <c r="N238" s="431">
        <f>+SUMIFS(Gastos!$I$7:$I$528,Gastos!$B$7:$B$528,Rev!$A238,Gastos!$C$7:$C$528,"&gt;="&amp;Rev!N$1,Gastos!$C$7:$C$528,"&lt;="&amp;EOMONTH(Rev!N$1,0))</f>
        <v>0</v>
      </c>
      <c r="O238" s="431">
        <f t="shared" si="69"/>
        <v>0</v>
      </c>
    </row>
    <row r="239" spans="1:15" ht="17.100000000000001">
      <c r="A239" s="425" t="str">
        <f t="shared" si="67"/>
        <v>J</v>
      </c>
      <c r="B239" s="452" t="str">
        <f t="shared" si="68"/>
        <v xml:space="preserve">        Gastos  -  J</v>
      </c>
      <c r="C239" s="431">
        <f>+SUMIFS(Gastos!$I$7:$I$528,Gastos!$B$7:$B$528,Rev!$A239,Gastos!$C$7:$C$528,"&gt;="&amp;Rev!C$1,Gastos!$C$7:$C$528,"&lt;="&amp;EOMONTH(Rev!C$1,0))</f>
        <v>0</v>
      </c>
      <c r="D239" s="431">
        <f>+SUMIFS(Gastos!$I$7:$I$528,Gastos!$B$7:$B$528,Rev!$A239,Gastos!$C$7:$C$528,"&gt;="&amp;Rev!D$1,Gastos!$C$7:$C$528,"&lt;="&amp;EOMONTH(Rev!D$1,0))</f>
        <v>0</v>
      </c>
      <c r="E239" s="431">
        <f>+SUMIFS(Gastos!$I$7:$I$528,Gastos!$B$7:$B$528,Rev!$A239,Gastos!$C$7:$C$528,"&gt;="&amp;Rev!E$1,Gastos!$C$7:$C$528,"&lt;="&amp;EOMONTH(Rev!E$1,0))</f>
        <v>0</v>
      </c>
      <c r="F239" s="431">
        <f>+SUMIFS(Gastos!$I$7:$I$528,Gastos!$B$7:$B$528,Rev!$A239,Gastos!$C$7:$C$528,"&gt;="&amp;Rev!F$1,Gastos!$C$7:$C$528,"&lt;="&amp;EOMONTH(Rev!F$1,0))</f>
        <v>0</v>
      </c>
      <c r="G239" s="431">
        <f>+SUMIFS(Gastos!$I$7:$I$528,Gastos!$B$7:$B$528,Rev!$A239,Gastos!$C$7:$C$528,"&gt;="&amp;Rev!G$1,Gastos!$C$7:$C$528,"&lt;="&amp;EOMONTH(Rev!G$1,0))</f>
        <v>0</v>
      </c>
      <c r="H239" s="431">
        <f>+SUMIFS(Gastos!$I$7:$I$528,Gastos!$B$7:$B$528,Rev!$A239,Gastos!$C$7:$C$528,"&gt;="&amp;Rev!H$1,Gastos!$C$7:$C$528,"&lt;="&amp;EOMONTH(Rev!H$1,0))</f>
        <v>0</v>
      </c>
      <c r="I239" s="431">
        <f>+SUMIFS(Gastos!$I$7:$I$528,Gastos!$B$7:$B$528,Rev!$A239,Gastos!$C$7:$C$528,"&gt;="&amp;Rev!I$1,Gastos!$C$7:$C$528,"&lt;="&amp;EOMONTH(Rev!I$1,0))</f>
        <v>0</v>
      </c>
      <c r="J239" s="431">
        <f>+SUMIFS(Gastos!$I$7:$I$528,Gastos!$B$7:$B$528,Rev!$A239,Gastos!$C$7:$C$528,"&gt;="&amp;Rev!J$1,Gastos!$C$7:$C$528,"&lt;="&amp;EOMONTH(Rev!J$1,0))</f>
        <v>0</v>
      </c>
      <c r="K239" s="431">
        <f>+SUMIFS(Gastos!$I$7:$I$528,Gastos!$B$7:$B$528,Rev!$A239,Gastos!$C$7:$C$528,"&gt;="&amp;Rev!K$1,Gastos!$C$7:$C$528,"&lt;="&amp;EOMONTH(Rev!K$1,0))</f>
        <v>0</v>
      </c>
      <c r="L239" s="431">
        <f>+SUMIFS(Gastos!$I$7:$I$528,Gastos!$B$7:$B$528,Rev!$A239,Gastos!$C$7:$C$528,"&gt;="&amp;Rev!L$1,Gastos!$C$7:$C$528,"&lt;="&amp;EOMONTH(Rev!L$1,0))</f>
        <v>0</v>
      </c>
      <c r="M239" s="431">
        <f>+SUMIFS(Gastos!$I$7:$I$528,Gastos!$B$7:$B$528,Rev!$A239,Gastos!$C$7:$C$528,"&gt;="&amp;Rev!M$1,Gastos!$C$7:$C$528,"&lt;="&amp;EOMONTH(Rev!M$1,0))</f>
        <v>0</v>
      </c>
      <c r="N239" s="431">
        <f>+SUMIFS(Gastos!$I$7:$I$528,Gastos!$B$7:$B$528,Rev!$A239,Gastos!$C$7:$C$528,"&gt;="&amp;Rev!N$1,Gastos!$C$7:$C$528,"&lt;="&amp;EOMONTH(Rev!N$1,0))</f>
        <v>0</v>
      </c>
      <c r="O239" s="431">
        <f t="shared" si="69"/>
        <v>0</v>
      </c>
    </row>
    <row r="240" spans="1:15" ht="17.100000000000001">
      <c r="A240" s="425" t="str">
        <f t="shared" si="67"/>
        <v>K</v>
      </c>
      <c r="B240" s="452" t="str">
        <f t="shared" si="68"/>
        <v xml:space="preserve">        Gastos  -  K</v>
      </c>
      <c r="C240" s="431">
        <f>+SUMIFS(Gastos!$I$7:$I$528,Gastos!$B$7:$B$528,Rev!$A240,Gastos!$C$7:$C$528,"&gt;="&amp;Rev!C$1,Gastos!$C$7:$C$528,"&lt;="&amp;EOMONTH(Rev!C$1,0))</f>
        <v>0</v>
      </c>
      <c r="D240" s="431">
        <f>+SUMIFS(Gastos!$I$7:$I$528,Gastos!$B$7:$B$528,Rev!$A240,Gastos!$C$7:$C$528,"&gt;="&amp;Rev!D$1,Gastos!$C$7:$C$528,"&lt;="&amp;EOMONTH(Rev!D$1,0))</f>
        <v>0</v>
      </c>
      <c r="E240" s="431">
        <f>+SUMIFS(Gastos!$I$7:$I$528,Gastos!$B$7:$B$528,Rev!$A240,Gastos!$C$7:$C$528,"&gt;="&amp;Rev!E$1,Gastos!$C$7:$C$528,"&lt;="&amp;EOMONTH(Rev!E$1,0))</f>
        <v>0</v>
      </c>
      <c r="F240" s="431">
        <f>+SUMIFS(Gastos!$I$7:$I$528,Gastos!$B$7:$B$528,Rev!$A240,Gastos!$C$7:$C$528,"&gt;="&amp;Rev!F$1,Gastos!$C$7:$C$528,"&lt;="&amp;EOMONTH(Rev!F$1,0))</f>
        <v>0</v>
      </c>
      <c r="G240" s="431">
        <f>+SUMIFS(Gastos!$I$7:$I$528,Gastos!$B$7:$B$528,Rev!$A240,Gastos!$C$7:$C$528,"&gt;="&amp;Rev!G$1,Gastos!$C$7:$C$528,"&lt;="&amp;EOMONTH(Rev!G$1,0))</f>
        <v>0</v>
      </c>
      <c r="H240" s="431">
        <f>+SUMIFS(Gastos!$I$7:$I$528,Gastos!$B$7:$B$528,Rev!$A240,Gastos!$C$7:$C$528,"&gt;="&amp;Rev!H$1,Gastos!$C$7:$C$528,"&lt;="&amp;EOMONTH(Rev!H$1,0))</f>
        <v>0</v>
      </c>
      <c r="I240" s="431">
        <f>+SUMIFS(Gastos!$I$7:$I$528,Gastos!$B$7:$B$528,Rev!$A240,Gastos!$C$7:$C$528,"&gt;="&amp;Rev!I$1,Gastos!$C$7:$C$528,"&lt;="&amp;EOMONTH(Rev!I$1,0))</f>
        <v>0</v>
      </c>
      <c r="J240" s="431">
        <f>+SUMIFS(Gastos!$I$7:$I$528,Gastos!$B$7:$B$528,Rev!$A240,Gastos!$C$7:$C$528,"&gt;="&amp;Rev!J$1,Gastos!$C$7:$C$528,"&lt;="&amp;EOMONTH(Rev!J$1,0))</f>
        <v>0</v>
      </c>
      <c r="K240" s="431">
        <f>+SUMIFS(Gastos!$I$7:$I$528,Gastos!$B$7:$B$528,Rev!$A240,Gastos!$C$7:$C$528,"&gt;="&amp;Rev!K$1,Gastos!$C$7:$C$528,"&lt;="&amp;EOMONTH(Rev!K$1,0))</f>
        <v>0</v>
      </c>
      <c r="L240" s="431">
        <f>+SUMIFS(Gastos!$I$7:$I$528,Gastos!$B$7:$B$528,Rev!$A240,Gastos!$C$7:$C$528,"&gt;="&amp;Rev!L$1,Gastos!$C$7:$C$528,"&lt;="&amp;EOMONTH(Rev!L$1,0))</f>
        <v>0</v>
      </c>
      <c r="M240" s="431">
        <f>+SUMIFS(Gastos!$I$7:$I$528,Gastos!$B$7:$B$528,Rev!$A240,Gastos!$C$7:$C$528,"&gt;="&amp;Rev!M$1,Gastos!$C$7:$C$528,"&lt;="&amp;EOMONTH(Rev!M$1,0))</f>
        <v>0</v>
      </c>
      <c r="N240" s="431">
        <f>+SUMIFS(Gastos!$I$7:$I$528,Gastos!$B$7:$B$528,Rev!$A240,Gastos!$C$7:$C$528,"&gt;="&amp;Rev!N$1,Gastos!$C$7:$C$528,"&lt;="&amp;EOMONTH(Rev!N$1,0))</f>
        <v>0</v>
      </c>
      <c r="O240" s="431">
        <f t="shared" si="69"/>
        <v>0</v>
      </c>
    </row>
    <row r="241" spans="1:15" ht="17.100000000000001">
      <c r="A241" s="416"/>
      <c r="B241" s="426" t="s">
        <v>841</v>
      </c>
      <c r="C241" s="427">
        <f>SUM(C230:C240)</f>
        <v>47538.76</v>
      </c>
      <c r="D241" s="427">
        <f t="shared" ref="D241:O241" si="70">SUM(D230:D240)</f>
        <v>0</v>
      </c>
      <c r="E241" s="427">
        <f t="shared" si="70"/>
        <v>5250</v>
      </c>
      <c r="F241" s="427">
        <f t="shared" si="70"/>
        <v>31176.78</v>
      </c>
      <c r="G241" s="427">
        <f t="shared" si="70"/>
        <v>0</v>
      </c>
      <c r="H241" s="427">
        <f t="shared" si="70"/>
        <v>6053.32</v>
      </c>
      <c r="I241" s="427">
        <f t="shared" si="70"/>
        <v>28203.85</v>
      </c>
      <c r="J241" s="427">
        <f t="shared" si="70"/>
        <v>0</v>
      </c>
      <c r="K241" s="427">
        <f t="shared" si="70"/>
        <v>0</v>
      </c>
      <c r="L241" s="427">
        <f t="shared" si="70"/>
        <v>28321.279999999995</v>
      </c>
      <c r="M241" s="427">
        <f t="shared" si="70"/>
        <v>0</v>
      </c>
      <c r="N241" s="427">
        <f t="shared" si="70"/>
        <v>0</v>
      </c>
      <c r="O241" s="427">
        <f t="shared" si="70"/>
        <v>146543.99</v>
      </c>
    </row>
    <row r="242" spans="1:15" ht="17.100000000000001">
      <c r="A242" s="416"/>
      <c r="B242" s="422"/>
      <c r="C242" s="423"/>
      <c r="D242" s="423"/>
      <c r="E242" s="423"/>
      <c r="F242" s="423"/>
      <c r="G242" s="423"/>
      <c r="H242" s="423"/>
      <c r="I242" s="423"/>
      <c r="J242" s="423"/>
      <c r="K242" s="423"/>
      <c r="L242" s="423"/>
      <c r="M242" s="423"/>
      <c r="N242" s="423"/>
      <c r="O242" s="423"/>
    </row>
    <row r="243" spans="1:15" ht="17.100000000000001">
      <c r="A243" s="416"/>
      <c r="B243" s="420" t="s">
        <v>842</v>
      </c>
      <c r="C243" s="423"/>
      <c r="D243" s="423"/>
      <c r="E243" s="423"/>
      <c r="F243" s="423"/>
      <c r="G243" s="423"/>
      <c r="H243" s="423"/>
      <c r="I243" s="423"/>
      <c r="J243" s="423"/>
      <c r="K243" s="423"/>
      <c r="L243" s="423"/>
      <c r="M243" s="423"/>
      <c r="N243" s="423"/>
      <c r="O243" s="423"/>
    </row>
    <row r="244" spans="1:15" ht="17.100000000000001">
      <c r="A244" s="425">
        <f>+A230</f>
        <v>1175000</v>
      </c>
      <c r="B244" s="452" t="str">
        <f>+CONCATENATE("        Intereses pagados por prestamos  - ",A244)</f>
        <v xml:space="preserve">        Intereses pagados por prestamos  - 1175000</v>
      </c>
      <c r="C244" s="431">
        <f>+SUMIFS('Intereses Pagados - Loan'!$I$7:$I$500,'Intereses Pagados - Loan'!$B$7:$B$500,Rev!$A244,'Intereses Pagados - Loan'!$C$7:$C$500,"&gt;="&amp;Rev!C$1,'Intereses Pagados - Loan'!$C$7:$C$500,"&lt;="&amp;EOMONTH(Rev!C$1,0))</f>
        <v>0</v>
      </c>
      <c r="D244" s="431">
        <f>+SUMIFS('Intereses Pagados - Loan'!$I$7:$I$500,'Intereses Pagados - Loan'!$B$7:$B$500,Rev!$A244,'Intereses Pagados - Loan'!$C$7:$C$500,"&gt;="&amp;Rev!D$1,'Intereses Pagados - Loan'!$C$7:$C$500,"&lt;="&amp;EOMONTH(Rev!D$1,0))</f>
        <v>0</v>
      </c>
      <c r="E244" s="431">
        <f>+SUMIFS('Intereses Pagados - Loan'!$I$7:$I$500,'Intereses Pagados - Loan'!$B$7:$B$500,Rev!$A244,'Intereses Pagados - Loan'!$C$7:$C$500,"&gt;="&amp;Rev!E$1,'Intereses Pagados - Loan'!$C$7:$C$500,"&lt;="&amp;EOMONTH(Rev!E$1,0))</f>
        <v>0</v>
      </c>
      <c r="F244" s="431">
        <f>+SUMIFS('Intereses Pagados - Loan'!$I$7:$I$500,'Intereses Pagados - Loan'!$B$7:$B$500,Rev!$A244,'Intereses Pagados - Loan'!$C$7:$C$500,"&gt;="&amp;Rev!F$1,'Intereses Pagados - Loan'!$C$7:$C$500,"&lt;="&amp;EOMONTH(Rev!F$1,0))</f>
        <v>0</v>
      </c>
      <c r="G244" s="431">
        <f>+SUMIFS('Intereses Pagados - Loan'!$I$7:$I$500,'Intereses Pagados - Loan'!$B$7:$B$500,Rev!$A244,'Intereses Pagados - Loan'!$C$7:$C$500,"&gt;="&amp;Rev!G$1,'Intereses Pagados - Loan'!$C$7:$C$500,"&lt;="&amp;EOMONTH(Rev!G$1,0))</f>
        <v>0</v>
      </c>
      <c r="H244" s="431">
        <f>+SUMIFS('Intereses Pagados - Loan'!$I$7:$I$500,'Intereses Pagados - Loan'!$B$7:$B$500,Rev!$A244,'Intereses Pagados - Loan'!$C$7:$C$500,"&gt;="&amp;Rev!H$1,'Intereses Pagados - Loan'!$C$7:$C$500,"&lt;="&amp;EOMONTH(Rev!H$1,0))</f>
        <v>0</v>
      </c>
      <c r="I244" s="431">
        <f>+SUMIFS('Intereses Pagados - Loan'!$I$7:$I$500,'Intereses Pagados - Loan'!$B$7:$B$500,Rev!$A244,'Intereses Pagados - Loan'!$C$7:$C$500,"&gt;="&amp;Rev!I$1,'Intereses Pagados - Loan'!$C$7:$C$500,"&lt;="&amp;EOMONTH(Rev!I$1,0))</f>
        <v>0</v>
      </c>
      <c r="J244" s="431">
        <f>+SUMIFS('Intereses Pagados - Loan'!$I$7:$I$500,'Intereses Pagados - Loan'!$B$7:$B$500,Rev!$A244,'Intereses Pagados - Loan'!$C$7:$C$500,"&gt;="&amp;Rev!J$1,'Intereses Pagados - Loan'!$C$7:$C$500,"&lt;="&amp;EOMONTH(Rev!J$1,0))</f>
        <v>0</v>
      </c>
      <c r="K244" s="431">
        <f>+SUMIFS('Intereses Pagados - Loan'!$I$7:$I$500,'Intereses Pagados - Loan'!$B$7:$B$500,Rev!$A244,'Intereses Pagados - Loan'!$C$7:$C$500,"&gt;="&amp;Rev!K$1,'Intereses Pagados - Loan'!$C$7:$C$500,"&lt;="&amp;EOMONTH(Rev!K$1,0))</f>
        <v>0</v>
      </c>
      <c r="L244" s="431">
        <f>+SUMIFS('Intereses Pagados - Loan'!$I$7:$I$500,'Intereses Pagados - Loan'!$B$7:$B$500,Rev!$A244,'Intereses Pagados - Loan'!$C$7:$C$500,"&gt;="&amp;Rev!L$1,'Intereses Pagados - Loan'!$C$7:$C$500,"&lt;="&amp;EOMONTH(Rev!L$1,0))</f>
        <v>0</v>
      </c>
      <c r="M244" s="431">
        <f>+SUMIFS('Intereses Pagados - Loan'!$I$7:$I$500,'Intereses Pagados - Loan'!$B$7:$B$500,Rev!$A244,'Intereses Pagados - Loan'!$C$7:$C$500,"&gt;="&amp;Rev!M$1,'Intereses Pagados - Loan'!$C$7:$C$500,"&lt;="&amp;EOMONTH(Rev!M$1,0))</f>
        <v>0</v>
      </c>
      <c r="N244" s="431">
        <f>+SUMIFS('Intereses Pagados - Loan'!$I$7:$I$500,'Intereses Pagados - Loan'!$B$7:$B$500,Rev!$A244,'Intereses Pagados - Loan'!$C$7:$C$500,"&gt;="&amp;Rev!N$1,'Intereses Pagados - Loan'!$C$7:$C$500,"&lt;="&amp;EOMONTH(Rev!N$1,0))</f>
        <v>0</v>
      </c>
      <c r="O244" s="431">
        <f>SUM(C244:N244)</f>
        <v>0</v>
      </c>
    </row>
    <row r="245" spans="1:15" ht="17.100000000000001">
      <c r="A245" s="425">
        <f t="shared" ref="A245:A254" si="71">+A231</f>
        <v>1179000</v>
      </c>
      <c r="B245" s="452" t="str">
        <f t="shared" ref="B245:B254" si="72">+CONCATENATE("        Intereses pagados por prestamos  - ",A245)</f>
        <v xml:space="preserve">        Intereses pagados por prestamos  - 1179000</v>
      </c>
      <c r="C245" s="431">
        <f>+SUMIFS('Intereses Pagados - Loan'!$I$7:$I$500,'Intereses Pagados - Loan'!$B$7:$B$500,Rev!$A245,'Intereses Pagados - Loan'!$C$7:$C$500,"&gt;="&amp;Rev!C$1,'Intereses Pagados - Loan'!$C$7:$C$500,"&lt;="&amp;EOMONTH(Rev!C$1,0))</f>
        <v>0</v>
      </c>
      <c r="D245" s="431">
        <f>+SUMIFS('Intereses Pagados - Loan'!$I$7:$I$500,'Intereses Pagados - Loan'!$B$7:$B$500,Rev!$A245,'Intereses Pagados - Loan'!$C$7:$C$500,"&gt;="&amp;Rev!D$1,'Intereses Pagados - Loan'!$C$7:$C$500,"&lt;="&amp;EOMONTH(Rev!D$1,0))</f>
        <v>0</v>
      </c>
      <c r="E245" s="431">
        <f>+SUMIFS('Intereses Pagados - Loan'!$I$7:$I$500,'Intereses Pagados - Loan'!$B$7:$B$500,Rev!$A245,'Intereses Pagados - Loan'!$C$7:$C$500,"&gt;="&amp;Rev!E$1,'Intereses Pagados - Loan'!$C$7:$C$500,"&lt;="&amp;EOMONTH(Rev!E$1,0))</f>
        <v>0</v>
      </c>
      <c r="F245" s="431">
        <f>+SUMIFS('Intereses Pagados - Loan'!$I$7:$I$500,'Intereses Pagados - Loan'!$B$7:$B$500,Rev!$A245,'Intereses Pagados - Loan'!$C$7:$C$500,"&gt;="&amp;Rev!F$1,'Intereses Pagados - Loan'!$C$7:$C$500,"&lt;="&amp;EOMONTH(Rev!F$1,0))</f>
        <v>0</v>
      </c>
      <c r="G245" s="431">
        <f>+SUMIFS('Intereses Pagados - Loan'!$I$7:$I$500,'Intereses Pagados - Loan'!$B$7:$B$500,Rev!$A245,'Intereses Pagados - Loan'!$C$7:$C$500,"&gt;="&amp;Rev!G$1,'Intereses Pagados - Loan'!$C$7:$C$500,"&lt;="&amp;EOMONTH(Rev!G$1,0))</f>
        <v>0</v>
      </c>
      <c r="H245" s="431">
        <f>+SUMIFS('Intereses Pagados - Loan'!$I$7:$I$500,'Intereses Pagados - Loan'!$B$7:$B$500,Rev!$A245,'Intereses Pagados - Loan'!$C$7:$C$500,"&gt;="&amp;Rev!H$1,'Intereses Pagados - Loan'!$C$7:$C$500,"&lt;="&amp;EOMONTH(Rev!H$1,0))</f>
        <v>0</v>
      </c>
      <c r="I245" s="431">
        <f>+SUMIFS('Intereses Pagados - Loan'!$I$7:$I$500,'Intereses Pagados - Loan'!$B$7:$B$500,Rev!$A245,'Intereses Pagados - Loan'!$C$7:$C$500,"&gt;="&amp;Rev!I$1,'Intereses Pagados - Loan'!$C$7:$C$500,"&lt;="&amp;EOMONTH(Rev!I$1,0))</f>
        <v>0</v>
      </c>
      <c r="J245" s="431">
        <f>+SUMIFS('Intereses Pagados - Loan'!$I$7:$I$500,'Intereses Pagados - Loan'!$B$7:$B$500,Rev!$A245,'Intereses Pagados - Loan'!$C$7:$C$500,"&gt;="&amp;Rev!J$1,'Intereses Pagados - Loan'!$C$7:$C$500,"&lt;="&amp;EOMONTH(Rev!J$1,0))</f>
        <v>0</v>
      </c>
      <c r="K245" s="431">
        <f>+SUMIFS('Intereses Pagados - Loan'!$I$7:$I$500,'Intereses Pagados - Loan'!$B$7:$B$500,Rev!$A245,'Intereses Pagados - Loan'!$C$7:$C$500,"&gt;="&amp;Rev!K$1,'Intereses Pagados - Loan'!$C$7:$C$500,"&lt;="&amp;EOMONTH(Rev!K$1,0))</f>
        <v>0</v>
      </c>
      <c r="L245" s="431">
        <f>+SUMIFS('Intereses Pagados - Loan'!$I$7:$I$500,'Intereses Pagados - Loan'!$B$7:$B$500,Rev!$A245,'Intereses Pagados - Loan'!$C$7:$C$500,"&gt;="&amp;Rev!L$1,'Intereses Pagados - Loan'!$C$7:$C$500,"&lt;="&amp;EOMONTH(Rev!L$1,0))</f>
        <v>0</v>
      </c>
      <c r="M245" s="431">
        <f>+SUMIFS('Intereses Pagados - Loan'!$I$7:$I$500,'Intereses Pagados - Loan'!$B$7:$B$500,Rev!$A245,'Intereses Pagados - Loan'!$C$7:$C$500,"&gt;="&amp;Rev!M$1,'Intereses Pagados - Loan'!$C$7:$C$500,"&lt;="&amp;EOMONTH(Rev!M$1,0))</f>
        <v>0</v>
      </c>
      <c r="N245" s="431">
        <f>+SUMIFS('Intereses Pagados - Loan'!$I$7:$I$500,'Intereses Pagados - Loan'!$B$7:$B$500,Rev!$A245,'Intereses Pagados - Loan'!$C$7:$C$500,"&gt;="&amp;Rev!N$1,'Intereses Pagados - Loan'!$C$7:$C$500,"&lt;="&amp;EOMONTH(Rev!N$1,0))</f>
        <v>0</v>
      </c>
      <c r="O245" s="431">
        <f>SUM(C245:N245)</f>
        <v>0</v>
      </c>
    </row>
    <row r="246" spans="1:15" ht="17.100000000000001">
      <c r="A246" s="425">
        <f t="shared" si="71"/>
        <v>1427200</v>
      </c>
      <c r="B246" s="452" t="str">
        <f t="shared" si="72"/>
        <v xml:space="preserve">        Intereses pagados por prestamos  - 1427200</v>
      </c>
      <c r="C246" s="431">
        <f>+SUMIFS('Intereses Pagados - Loan'!$I$7:$I$500,'Intereses Pagados - Loan'!$B$7:$B$500,Rev!$A246,'Intereses Pagados - Loan'!$C$7:$C$500,"&gt;="&amp;Rev!C$1,'Intereses Pagados - Loan'!$C$7:$C$500,"&lt;="&amp;EOMONTH(Rev!C$1,0))</f>
        <v>0</v>
      </c>
      <c r="D246" s="431">
        <f>+SUMIFS('Intereses Pagados - Loan'!$I$7:$I$500,'Intereses Pagados - Loan'!$B$7:$B$500,Rev!$A246,'Intereses Pagados - Loan'!$C$7:$C$500,"&gt;="&amp;Rev!D$1,'Intereses Pagados - Loan'!$C$7:$C$500,"&lt;="&amp;EOMONTH(Rev!D$1,0))</f>
        <v>0</v>
      </c>
      <c r="E246" s="431">
        <f>+SUMIFS('Intereses Pagados - Loan'!$I$7:$I$500,'Intereses Pagados - Loan'!$B$7:$B$500,Rev!$A246,'Intereses Pagados - Loan'!$C$7:$C$500,"&gt;="&amp;Rev!E$1,'Intereses Pagados - Loan'!$C$7:$C$500,"&lt;="&amp;EOMONTH(Rev!E$1,0))</f>
        <v>0</v>
      </c>
      <c r="F246" s="431">
        <f>+SUMIFS('Intereses Pagados - Loan'!$I$7:$I$500,'Intereses Pagados - Loan'!$B$7:$B$500,Rev!$A246,'Intereses Pagados - Loan'!$C$7:$C$500,"&gt;="&amp;Rev!F$1,'Intereses Pagados - Loan'!$C$7:$C$500,"&lt;="&amp;EOMONTH(Rev!F$1,0))</f>
        <v>0</v>
      </c>
      <c r="G246" s="431">
        <f>+SUMIFS('Intereses Pagados - Loan'!$I$7:$I$500,'Intereses Pagados - Loan'!$B$7:$B$500,Rev!$A246,'Intereses Pagados - Loan'!$C$7:$C$500,"&gt;="&amp;Rev!G$1,'Intereses Pagados - Loan'!$C$7:$C$500,"&lt;="&amp;EOMONTH(Rev!G$1,0))</f>
        <v>0</v>
      </c>
      <c r="H246" s="431">
        <f>+SUMIFS('Intereses Pagados - Loan'!$I$7:$I$500,'Intereses Pagados - Loan'!$B$7:$B$500,Rev!$A246,'Intereses Pagados - Loan'!$C$7:$C$500,"&gt;="&amp;Rev!H$1,'Intereses Pagados - Loan'!$C$7:$C$500,"&lt;="&amp;EOMONTH(Rev!H$1,0))</f>
        <v>0</v>
      </c>
      <c r="I246" s="431">
        <f>+SUMIFS('Intereses Pagados - Loan'!$I$7:$I$500,'Intereses Pagados - Loan'!$B$7:$B$500,Rev!$A246,'Intereses Pagados - Loan'!$C$7:$C$500,"&gt;="&amp;Rev!I$1,'Intereses Pagados - Loan'!$C$7:$C$500,"&lt;="&amp;EOMONTH(Rev!I$1,0))</f>
        <v>0</v>
      </c>
      <c r="J246" s="431">
        <f>+SUMIFS('Intereses Pagados - Loan'!$I$7:$I$500,'Intereses Pagados - Loan'!$B$7:$B$500,Rev!$A246,'Intereses Pagados - Loan'!$C$7:$C$500,"&gt;="&amp;Rev!J$1,'Intereses Pagados - Loan'!$C$7:$C$500,"&lt;="&amp;EOMONTH(Rev!J$1,0))</f>
        <v>0</v>
      </c>
      <c r="K246" s="431">
        <f>+SUMIFS('Intereses Pagados - Loan'!$I$7:$I$500,'Intereses Pagados - Loan'!$B$7:$B$500,Rev!$A246,'Intereses Pagados - Loan'!$C$7:$C$500,"&gt;="&amp;Rev!K$1,'Intereses Pagados - Loan'!$C$7:$C$500,"&lt;="&amp;EOMONTH(Rev!K$1,0))</f>
        <v>0</v>
      </c>
      <c r="L246" s="431">
        <f>+SUMIFS('Intereses Pagados - Loan'!$I$7:$I$500,'Intereses Pagados - Loan'!$B$7:$B$500,Rev!$A246,'Intereses Pagados - Loan'!$C$7:$C$500,"&gt;="&amp;Rev!L$1,'Intereses Pagados - Loan'!$C$7:$C$500,"&lt;="&amp;EOMONTH(Rev!L$1,0))</f>
        <v>0</v>
      </c>
      <c r="M246" s="431">
        <f>+SUMIFS('Intereses Pagados - Loan'!$I$7:$I$500,'Intereses Pagados - Loan'!$B$7:$B$500,Rev!$A246,'Intereses Pagados - Loan'!$C$7:$C$500,"&gt;="&amp;Rev!M$1,'Intereses Pagados - Loan'!$C$7:$C$500,"&lt;="&amp;EOMONTH(Rev!M$1,0))</f>
        <v>0</v>
      </c>
      <c r="N246" s="431">
        <f>+SUMIFS('Intereses Pagados - Loan'!$I$7:$I$500,'Intereses Pagados - Loan'!$B$7:$B$500,Rev!$A246,'Intereses Pagados - Loan'!$C$7:$C$500,"&gt;="&amp;Rev!N$1,'Intereses Pagados - Loan'!$C$7:$C$500,"&lt;="&amp;EOMONTH(Rev!N$1,0))</f>
        <v>0</v>
      </c>
      <c r="O246" s="431">
        <f t="shared" ref="O246:O254" si="73">SUM(C246:N246)</f>
        <v>0</v>
      </c>
    </row>
    <row r="247" spans="1:15" ht="17.100000000000001">
      <c r="A247" s="425" t="str">
        <f t="shared" si="71"/>
        <v>B22235000</v>
      </c>
      <c r="B247" s="452" t="str">
        <f t="shared" si="72"/>
        <v xml:space="preserve">        Intereses pagados por prestamos  - B22235000</v>
      </c>
      <c r="C247" s="431">
        <f>+SUMIFS('Intereses Pagados - Loan'!$I$7:$I$500,'Intereses Pagados - Loan'!$B$7:$B$500,Rev!$A247,'Intereses Pagados - Loan'!$C$7:$C$500,"&gt;="&amp;Rev!C$1,'Intereses Pagados - Loan'!$C$7:$C$500,"&lt;="&amp;EOMONTH(Rev!C$1,0))</f>
        <v>0</v>
      </c>
      <c r="D247" s="431">
        <f>+SUMIFS('Intereses Pagados - Loan'!$I$7:$I$500,'Intereses Pagados - Loan'!$B$7:$B$500,Rev!$A247,'Intereses Pagados - Loan'!$C$7:$C$500,"&gt;="&amp;Rev!D$1,'Intereses Pagados - Loan'!$C$7:$C$500,"&lt;="&amp;EOMONTH(Rev!D$1,0))</f>
        <v>0</v>
      </c>
      <c r="E247" s="431">
        <f>+SUMIFS('Intereses Pagados - Loan'!$I$7:$I$500,'Intereses Pagados - Loan'!$B$7:$B$500,Rev!$A247,'Intereses Pagados - Loan'!$C$7:$C$500,"&gt;="&amp;Rev!E$1,'Intereses Pagados - Loan'!$C$7:$C$500,"&lt;="&amp;EOMONTH(Rev!E$1,0))</f>
        <v>0</v>
      </c>
      <c r="F247" s="431">
        <f>+SUMIFS('Intereses Pagados - Loan'!$I$7:$I$500,'Intereses Pagados - Loan'!$B$7:$B$500,Rev!$A247,'Intereses Pagados - Loan'!$C$7:$C$500,"&gt;="&amp;Rev!F$1,'Intereses Pagados - Loan'!$C$7:$C$500,"&lt;="&amp;EOMONTH(Rev!F$1,0))</f>
        <v>0</v>
      </c>
      <c r="G247" s="431">
        <f>+SUMIFS('Intereses Pagados - Loan'!$I$7:$I$500,'Intereses Pagados - Loan'!$B$7:$B$500,Rev!$A247,'Intereses Pagados - Loan'!$C$7:$C$500,"&gt;="&amp;Rev!G$1,'Intereses Pagados - Loan'!$C$7:$C$500,"&lt;="&amp;EOMONTH(Rev!G$1,0))</f>
        <v>0</v>
      </c>
      <c r="H247" s="431">
        <f>+SUMIFS('Intereses Pagados - Loan'!$I$7:$I$500,'Intereses Pagados - Loan'!$B$7:$B$500,Rev!$A247,'Intereses Pagados - Loan'!$C$7:$C$500,"&gt;="&amp;Rev!H$1,'Intereses Pagados - Loan'!$C$7:$C$500,"&lt;="&amp;EOMONTH(Rev!H$1,0))</f>
        <v>0</v>
      </c>
      <c r="I247" s="431">
        <f>+SUMIFS('Intereses Pagados - Loan'!$I$7:$I$500,'Intereses Pagados - Loan'!$B$7:$B$500,Rev!$A247,'Intereses Pagados - Loan'!$C$7:$C$500,"&gt;="&amp;Rev!I$1,'Intereses Pagados - Loan'!$C$7:$C$500,"&lt;="&amp;EOMONTH(Rev!I$1,0))</f>
        <v>0</v>
      </c>
      <c r="J247" s="431">
        <f>+SUMIFS('Intereses Pagados - Loan'!$I$7:$I$500,'Intereses Pagados - Loan'!$B$7:$B$500,Rev!$A247,'Intereses Pagados - Loan'!$C$7:$C$500,"&gt;="&amp;Rev!J$1,'Intereses Pagados - Loan'!$C$7:$C$500,"&lt;="&amp;EOMONTH(Rev!J$1,0))</f>
        <v>0</v>
      </c>
      <c r="K247" s="431">
        <f>+SUMIFS('Intereses Pagados - Loan'!$I$7:$I$500,'Intereses Pagados - Loan'!$B$7:$B$500,Rev!$A247,'Intereses Pagados - Loan'!$C$7:$C$500,"&gt;="&amp;Rev!K$1,'Intereses Pagados - Loan'!$C$7:$C$500,"&lt;="&amp;EOMONTH(Rev!K$1,0))</f>
        <v>0</v>
      </c>
      <c r="L247" s="431">
        <f>+SUMIFS('Intereses Pagados - Loan'!$I$7:$I$500,'Intereses Pagados - Loan'!$B$7:$B$500,Rev!$A247,'Intereses Pagados - Loan'!$C$7:$C$500,"&gt;="&amp;Rev!L$1,'Intereses Pagados - Loan'!$C$7:$C$500,"&lt;="&amp;EOMONTH(Rev!L$1,0))</f>
        <v>0</v>
      </c>
      <c r="M247" s="431">
        <f>+SUMIFS('Intereses Pagados - Loan'!$I$7:$I$500,'Intereses Pagados - Loan'!$B$7:$B$500,Rev!$A247,'Intereses Pagados - Loan'!$C$7:$C$500,"&gt;="&amp;Rev!M$1,'Intereses Pagados - Loan'!$C$7:$C$500,"&lt;="&amp;EOMONTH(Rev!M$1,0))</f>
        <v>0</v>
      </c>
      <c r="N247" s="431">
        <f>+SUMIFS('Intereses Pagados - Loan'!$I$7:$I$500,'Intereses Pagados - Loan'!$B$7:$B$500,Rev!$A247,'Intereses Pagados - Loan'!$C$7:$C$500,"&gt;="&amp;Rev!N$1,'Intereses Pagados - Loan'!$C$7:$C$500,"&lt;="&amp;EOMONTH(Rev!N$1,0))</f>
        <v>0</v>
      </c>
      <c r="O247" s="431">
        <f t="shared" si="73"/>
        <v>0</v>
      </c>
    </row>
    <row r="248" spans="1:15" ht="17.100000000000001">
      <c r="A248" s="425">
        <f t="shared" si="71"/>
        <v>700833580</v>
      </c>
      <c r="B248" s="452" t="str">
        <f t="shared" si="72"/>
        <v xml:space="preserve">        Intereses pagados por prestamos  - 700833580</v>
      </c>
      <c r="C248" s="431">
        <f>+SUMIFS('Intereses Pagados - Loan'!$I$7:$I$500,'Intereses Pagados - Loan'!$B$7:$B$500,Rev!$A248,'Intereses Pagados - Loan'!$C$7:$C$500,"&gt;="&amp;Rev!C$1,'Intereses Pagados - Loan'!$C$7:$C$500,"&lt;="&amp;EOMONTH(Rev!C$1,0))</f>
        <v>0</v>
      </c>
      <c r="D248" s="431">
        <f>+SUMIFS('Intereses Pagados - Loan'!$I$7:$I$500,'Intereses Pagados - Loan'!$B$7:$B$500,Rev!$A248,'Intereses Pagados - Loan'!$C$7:$C$500,"&gt;="&amp;Rev!D$1,'Intereses Pagados - Loan'!$C$7:$C$500,"&lt;="&amp;EOMONTH(Rev!D$1,0))</f>
        <v>0</v>
      </c>
      <c r="E248" s="431">
        <f>+SUMIFS('Intereses Pagados - Loan'!$I$7:$I$500,'Intereses Pagados - Loan'!$B$7:$B$500,Rev!$A248,'Intereses Pagados - Loan'!$C$7:$C$500,"&gt;="&amp;Rev!E$1,'Intereses Pagados - Loan'!$C$7:$C$500,"&lt;="&amp;EOMONTH(Rev!E$1,0))</f>
        <v>0</v>
      </c>
      <c r="F248" s="431">
        <f>+SUMIFS('Intereses Pagados - Loan'!$I$7:$I$500,'Intereses Pagados - Loan'!$B$7:$B$500,Rev!$A248,'Intereses Pagados - Loan'!$C$7:$C$500,"&gt;="&amp;Rev!F$1,'Intereses Pagados - Loan'!$C$7:$C$500,"&lt;="&amp;EOMONTH(Rev!F$1,0))</f>
        <v>0</v>
      </c>
      <c r="G248" s="431">
        <f>+SUMIFS('Intereses Pagados - Loan'!$I$7:$I$500,'Intereses Pagados - Loan'!$B$7:$B$500,Rev!$A248,'Intereses Pagados - Loan'!$C$7:$C$500,"&gt;="&amp;Rev!G$1,'Intereses Pagados - Loan'!$C$7:$C$500,"&lt;="&amp;EOMONTH(Rev!G$1,0))</f>
        <v>0</v>
      </c>
      <c r="H248" s="431">
        <f>+SUMIFS('Intereses Pagados - Loan'!$I$7:$I$500,'Intereses Pagados - Loan'!$B$7:$B$500,Rev!$A248,'Intereses Pagados - Loan'!$C$7:$C$500,"&gt;="&amp;Rev!H$1,'Intereses Pagados - Loan'!$C$7:$C$500,"&lt;="&amp;EOMONTH(Rev!H$1,0))</f>
        <v>0</v>
      </c>
      <c r="I248" s="431">
        <f>+SUMIFS('Intereses Pagados - Loan'!$I$7:$I$500,'Intereses Pagados - Loan'!$B$7:$B$500,Rev!$A248,'Intereses Pagados - Loan'!$C$7:$C$500,"&gt;="&amp;Rev!I$1,'Intereses Pagados - Loan'!$C$7:$C$500,"&lt;="&amp;EOMONTH(Rev!I$1,0))</f>
        <v>0</v>
      </c>
      <c r="J248" s="431">
        <f>+SUMIFS('Intereses Pagados - Loan'!$I$7:$I$500,'Intereses Pagados - Loan'!$B$7:$B$500,Rev!$A248,'Intereses Pagados - Loan'!$C$7:$C$500,"&gt;="&amp;Rev!J$1,'Intereses Pagados - Loan'!$C$7:$C$500,"&lt;="&amp;EOMONTH(Rev!J$1,0))</f>
        <v>0</v>
      </c>
      <c r="K248" s="431">
        <f>+SUMIFS('Intereses Pagados - Loan'!$I$7:$I$500,'Intereses Pagados - Loan'!$B$7:$B$500,Rev!$A248,'Intereses Pagados - Loan'!$C$7:$C$500,"&gt;="&amp;Rev!K$1,'Intereses Pagados - Loan'!$C$7:$C$500,"&lt;="&amp;EOMONTH(Rev!K$1,0))</f>
        <v>0</v>
      </c>
      <c r="L248" s="431">
        <f>+SUMIFS('Intereses Pagados - Loan'!$I$7:$I$500,'Intereses Pagados - Loan'!$B$7:$B$500,Rev!$A248,'Intereses Pagados - Loan'!$C$7:$C$500,"&gt;="&amp;Rev!L$1,'Intereses Pagados - Loan'!$C$7:$C$500,"&lt;="&amp;EOMONTH(Rev!L$1,0))</f>
        <v>0</v>
      </c>
      <c r="M248" s="431">
        <f>+SUMIFS('Intereses Pagados - Loan'!$I$7:$I$500,'Intereses Pagados - Loan'!$B$7:$B$500,Rev!$A248,'Intereses Pagados - Loan'!$C$7:$C$500,"&gt;="&amp;Rev!M$1,'Intereses Pagados - Loan'!$C$7:$C$500,"&lt;="&amp;EOMONTH(Rev!M$1,0))</f>
        <v>0</v>
      </c>
      <c r="N248" s="431">
        <f>+SUMIFS('Intereses Pagados - Loan'!$I$7:$I$500,'Intereses Pagados - Loan'!$B$7:$B$500,Rev!$A248,'Intereses Pagados - Loan'!$C$7:$C$500,"&gt;="&amp;Rev!N$1,'Intereses Pagados - Loan'!$C$7:$C$500,"&lt;="&amp;EOMONTH(Rev!N$1,0))</f>
        <v>0</v>
      </c>
      <c r="O248" s="431">
        <f t="shared" si="73"/>
        <v>0</v>
      </c>
    </row>
    <row r="249" spans="1:15" ht="17.100000000000001">
      <c r="A249" s="425" t="str">
        <f t="shared" si="71"/>
        <v>F</v>
      </c>
      <c r="B249" s="452" t="str">
        <f t="shared" si="72"/>
        <v xml:space="preserve">        Intereses pagados por prestamos  - F</v>
      </c>
      <c r="C249" s="431">
        <f>+SUMIFS('Intereses Pagados - Loan'!$I$7:$I$500,'Intereses Pagados - Loan'!$B$7:$B$500,Rev!$A249,'Intereses Pagados - Loan'!$C$7:$C$500,"&gt;="&amp;Rev!C$1,'Intereses Pagados - Loan'!$C$7:$C$500,"&lt;="&amp;EOMONTH(Rev!C$1,0))</f>
        <v>0</v>
      </c>
      <c r="D249" s="431">
        <f>+SUMIFS('Intereses Pagados - Loan'!$I$7:$I$500,'Intereses Pagados - Loan'!$B$7:$B$500,Rev!$A249,'Intereses Pagados - Loan'!$C$7:$C$500,"&gt;="&amp;Rev!D$1,'Intereses Pagados - Loan'!$C$7:$C$500,"&lt;="&amp;EOMONTH(Rev!D$1,0))</f>
        <v>0</v>
      </c>
      <c r="E249" s="431">
        <f>+SUMIFS('Intereses Pagados - Loan'!$I$7:$I$500,'Intereses Pagados - Loan'!$B$7:$B$500,Rev!$A249,'Intereses Pagados - Loan'!$C$7:$C$500,"&gt;="&amp;Rev!E$1,'Intereses Pagados - Loan'!$C$7:$C$500,"&lt;="&amp;EOMONTH(Rev!E$1,0))</f>
        <v>0</v>
      </c>
      <c r="F249" s="431">
        <f>+SUMIFS('Intereses Pagados - Loan'!$I$7:$I$500,'Intereses Pagados - Loan'!$B$7:$B$500,Rev!$A249,'Intereses Pagados - Loan'!$C$7:$C$500,"&gt;="&amp;Rev!F$1,'Intereses Pagados - Loan'!$C$7:$C$500,"&lt;="&amp;EOMONTH(Rev!F$1,0))</f>
        <v>0</v>
      </c>
      <c r="G249" s="431">
        <f>+SUMIFS('Intereses Pagados - Loan'!$I$7:$I$500,'Intereses Pagados - Loan'!$B$7:$B$500,Rev!$A249,'Intereses Pagados - Loan'!$C$7:$C$500,"&gt;="&amp;Rev!G$1,'Intereses Pagados - Loan'!$C$7:$C$500,"&lt;="&amp;EOMONTH(Rev!G$1,0))</f>
        <v>0</v>
      </c>
      <c r="H249" s="431">
        <f>+SUMIFS('Intereses Pagados - Loan'!$I$7:$I$500,'Intereses Pagados - Loan'!$B$7:$B$500,Rev!$A249,'Intereses Pagados - Loan'!$C$7:$C$500,"&gt;="&amp;Rev!H$1,'Intereses Pagados - Loan'!$C$7:$C$500,"&lt;="&amp;EOMONTH(Rev!H$1,0))</f>
        <v>0</v>
      </c>
      <c r="I249" s="431">
        <f>+SUMIFS('Intereses Pagados - Loan'!$I$7:$I$500,'Intereses Pagados - Loan'!$B$7:$B$500,Rev!$A249,'Intereses Pagados - Loan'!$C$7:$C$500,"&gt;="&amp;Rev!I$1,'Intereses Pagados - Loan'!$C$7:$C$500,"&lt;="&amp;EOMONTH(Rev!I$1,0))</f>
        <v>0</v>
      </c>
      <c r="J249" s="431">
        <f>+SUMIFS('Intereses Pagados - Loan'!$I$7:$I$500,'Intereses Pagados - Loan'!$B$7:$B$500,Rev!$A249,'Intereses Pagados - Loan'!$C$7:$C$500,"&gt;="&amp;Rev!J$1,'Intereses Pagados - Loan'!$C$7:$C$500,"&lt;="&amp;EOMONTH(Rev!J$1,0))</f>
        <v>0</v>
      </c>
      <c r="K249" s="431">
        <f>+SUMIFS('Intereses Pagados - Loan'!$I$7:$I$500,'Intereses Pagados - Loan'!$B$7:$B$500,Rev!$A249,'Intereses Pagados - Loan'!$C$7:$C$500,"&gt;="&amp;Rev!K$1,'Intereses Pagados - Loan'!$C$7:$C$500,"&lt;="&amp;EOMONTH(Rev!K$1,0))</f>
        <v>0</v>
      </c>
      <c r="L249" s="431">
        <f>+SUMIFS('Intereses Pagados - Loan'!$I$7:$I$500,'Intereses Pagados - Loan'!$B$7:$B$500,Rev!$A249,'Intereses Pagados - Loan'!$C$7:$C$500,"&gt;="&amp;Rev!L$1,'Intereses Pagados - Loan'!$C$7:$C$500,"&lt;="&amp;EOMONTH(Rev!L$1,0))</f>
        <v>0</v>
      </c>
      <c r="M249" s="431">
        <f>+SUMIFS('Intereses Pagados - Loan'!$I$7:$I$500,'Intereses Pagados - Loan'!$B$7:$B$500,Rev!$A249,'Intereses Pagados - Loan'!$C$7:$C$500,"&gt;="&amp;Rev!M$1,'Intereses Pagados - Loan'!$C$7:$C$500,"&lt;="&amp;EOMONTH(Rev!M$1,0))</f>
        <v>0</v>
      </c>
      <c r="N249" s="431">
        <f>+SUMIFS('Intereses Pagados - Loan'!$I$7:$I$500,'Intereses Pagados - Loan'!$B$7:$B$500,Rev!$A249,'Intereses Pagados - Loan'!$C$7:$C$500,"&gt;="&amp;Rev!N$1,'Intereses Pagados - Loan'!$C$7:$C$500,"&lt;="&amp;EOMONTH(Rev!N$1,0))</f>
        <v>0</v>
      </c>
      <c r="O249" s="431">
        <f t="shared" si="73"/>
        <v>0</v>
      </c>
    </row>
    <row r="250" spans="1:15" ht="17.100000000000001">
      <c r="A250" s="425" t="str">
        <f t="shared" si="71"/>
        <v>G</v>
      </c>
      <c r="B250" s="452" t="str">
        <f t="shared" si="72"/>
        <v xml:space="preserve">        Intereses pagados por prestamos  - G</v>
      </c>
      <c r="C250" s="431">
        <f>+SUMIFS('Intereses Pagados - Loan'!$I$7:$I$500,'Intereses Pagados - Loan'!$B$7:$B$500,Rev!$A250,'Intereses Pagados - Loan'!$C$7:$C$500,"&gt;="&amp;Rev!C$1,'Intereses Pagados - Loan'!$C$7:$C$500,"&lt;="&amp;EOMONTH(Rev!C$1,0))</f>
        <v>0</v>
      </c>
      <c r="D250" s="431">
        <f>+SUMIFS('Intereses Pagados - Loan'!$I$7:$I$500,'Intereses Pagados - Loan'!$B$7:$B$500,Rev!$A250,'Intereses Pagados - Loan'!$C$7:$C$500,"&gt;="&amp;Rev!D$1,'Intereses Pagados - Loan'!$C$7:$C$500,"&lt;="&amp;EOMONTH(Rev!D$1,0))</f>
        <v>0</v>
      </c>
      <c r="E250" s="431">
        <f>+SUMIFS('Intereses Pagados - Loan'!$I$7:$I$500,'Intereses Pagados - Loan'!$B$7:$B$500,Rev!$A250,'Intereses Pagados - Loan'!$C$7:$C$500,"&gt;="&amp;Rev!E$1,'Intereses Pagados - Loan'!$C$7:$C$500,"&lt;="&amp;EOMONTH(Rev!E$1,0))</f>
        <v>0</v>
      </c>
      <c r="F250" s="431">
        <f>+SUMIFS('Intereses Pagados - Loan'!$I$7:$I$500,'Intereses Pagados - Loan'!$B$7:$B$500,Rev!$A250,'Intereses Pagados - Loan'!$C$7:$C$500,"&gt;="&amp;Rev!F$1,'Intereses Pagados - Loan'!$C$7:$C$500,"&lt;="&amp;EOMONTH(Rev!F$1,0))</f>
        <v>0</v>
      </c>
      <c r="G250" s="431">
        <f>+SUMIFS('Intereses Pagados - Loan'!$I$7:$I$500,'Intereses Pagados - Loan'!$B$7:$B$500,Rev!$A250,'Intereses Pagados - Loan'!$C$7:$C$500,"&gt;="&amp;Rev!G$1,'Intereses Pagados - Loan'!$C$7:$C$500,"&lt;="&amp;EOMONTH(Rev!G$1,0))</f>
        <v>0</v>
      </c>
      <c r="H250" s="431">
        <f>+SUMIFS('Intereses Pagados - Loan'!$I$7:$I$500,'Intereses Pagados - Loan'!$B$7:$B$500,Rev!$A250,'Intereses Pagados - Loan'!$C$7:$C$500,"&gt;="&amp;Rev!H$1,'Intereses Pagados - Loan'!$C$7:$C$500,"&lt;="&amp;EOMONTH(Rev!H$1,0))</f>
        <v>0</v>
      </c>
      <c r="I250" s="431">
        <f>+SUMIFS('Intereses Pagados - Loan'!$I$7:$I$500,'Intereses Pagados - Loan'!$B$7:$B$500,Rev!$A250,'Intereses Pagados - Loan'!$C$7:$C$500,"&gt;="&amp;Rev!I$1,'Intereses Pagados - Loan'!$C$7:$C$500,"&lt;="&amp;EOMONTH(Rev!I$1,0))</f>
        <v>0</v>
      </c>
      <c r="J250" s="431">
        <f>+SUMIFS('Intereses Pagados - Loan'!$I$7:$I$500,'Intereses Pagados - Loan'!$B$7:$B$500,Rev!$A250,'Intereses Pagados - Loan'!$C$7:$C$500,"&gt;="&amp;Rev!J$1,'Intereses Pagados - Loan'!$C$7:$C$500,"&lt;="&amp;EOMONTH(Rev!J$1,0))</f>
        <v>0</v>
      </c>
      <c r="K250" s="431">
        <f>+SUMIFS('Intereses Pagados - Loan'!$I$7:$I$500,'Intereses Pagados - Loan'!$B$7:$B$500,Rev!$A250,'Intereses Pagados - Loan'!$C$7:$C$500,"&gt;="&amp;Rev!K$1,'Intereses Pagados - Loan'!$C$7:$C$500,"&lt;="&amp;EOMONTH(Rev!K$1,0))</f>
        <v>0</v>
      </c>
      <c r="L250" s="431">
        <f>+SUMIFS('Intereses Pagados - Loan'!$I$7:$I$500,'Intereses Pagados - Loan'!$B$7:$B$500,Rev!$A250,'Intereses Pagados - Loan'!$C$7:$C$500,"&gt;="&amp;Rev!L$1,'Intereses Pagados - Loan'!$C$7:$C$500,"&lt;="&amp;EOMONTH(Rev!L$1,0))</f>
        <v>0</v>
      </c>
      <c r="M250" s="431">
        <f>+SUMIFS('Intereses Pagados - Loan'!$I$7:$I$500,'Intereses Pagados - Loan'!$B$7:$B$500,Rev!$A250,'Intereses Pagados - Loan'!$C$7:$C$500,"&gt;="&amp;Rev!M$1,'Intereses Pagados - Loan'!$C$7:$C$500,"&lt;="&amp;EOMONTH(Rev!M$1,0))</f>
        <v>0</v>
      </c>
      <c r="N250" s="431">
        <f>+SUMIFS('Intereses Pagados - Loan'!$I$7:$I$500,'Intereses Pagados - Loan'!$B$7:$B$500,Rev!$A250,'Intereses Pagados - Loan'!$C$7:$C$500,"&gt;="&amp;Rev!N$1,'Intereses Pagados - Loan'!$C$7:$C$500,"&lt;="&amp;EOMONTH(Rev!N$1,0))</f>
        <v>0</v>
      </c>
      <c r="O250" s="431">
        <f t="shared" si="73"/>
        <v>0</v>
      </c>
    </row>
    <row r="251" spans="1:15" ht="17.100000000000001">
      <c r="A251" s="425" t="str">
        <f t="shared" si="71"/>
        <v>H</v>
      </c>
      <c r="B251" s="452" t="str">
        <f t="shared" si="72"/>
        <v xml:space="preserve">        Intereses pagados por prestamos  - H</v>
      </c>
      <c r="C251" s="431">
        <f>+SUMIFS('Intereses Pagados - Loan'!$I$7:$I$500,'Intereses Pagados - Loan'!$B$7:$B$500,Rev!$A251,'Intereses Pagados - Loan'!$C$7:$C$500,"&gt;="&amp;Rev!C$1,'Intereses Pagados - Loan'!$C$7:$C$500,"&lt;="&amp;EOMONTH(Rev!C$1,0))</f>
        <v>0</v>
      </c>
      <c r="D251" s="431">
        <f>+SUMIFS('Intereses Pagados - Loan'!$I$7:$I$500,'Intereses Pagados - Loan'!$B$7:$B$500,Rev!$A251,'Intereses Pagados - Loan'!$C$7:$C$500,"&gt;="&amp;Rev!D$1,'Intereses Pagados - Loan'!$C$7:$C$500,"&lt;="&amp;EOMONTH(Rev!D$1,0))</f>
        <v>0</v>
      </c>
      <c r="E251" s="431">
        <f>+SUMIFS('Intereses Pagados - Loan'!$I$7:$I$500,'Intereses Pagados - Loan'!$B$7:$B$500,Rev!$A251,'Intereses Pagados - Loan'!$C$7:$C$500,"&gt;="&amp;Rev!E$1,'Intereses Pagados - Loan'!$C$7:$C$500,"&lt;="&amp;EOMONTH(Rev!E$1,0))</f>
        <v>0</v>
      </c>
      <c r="F251" s="431">
        <f>+SUMIFS('Intereses Pagados - Loan'!$I$7:$I$500,'Intereses Pagados - Loan'!$B$7:$B$500,Rev!$A251,'Intereses Pagados - Loan'!$C$7:$C$500,"&gt;="&amp;Rev!F$1,'Intereses Pagados - Loan'!$C$7:$C$500,"&lt;="&amp;EOMONTH(Rev!F$1,0))</f>
        <v>0</v>
      </c>
      <c r="G251" s="431">
        <f>+SUMIFS('Intereses Pagados - Loan'!$I$7:$I$500,'Intereses Pagados - Loan'!$B$7:$B$500,Rev!$A251,'Intereses Pagados - Loan'!$C$7:$C$500,"&gt;="&amp;Rev!G$1,'Intereses Pagados - Loan'!$C$7:$C$500,"&lt;="&amp;EOMONTH(Rev!G$1,0))</f>
        <v>0</v>
      </c>
      <c r="H251" s="431">
        <f>+SUMIFS('Intereses Pagados - Loan'!$I$7:$I$500,'Intereses Pagados - Loan'!$B$7:$B$500,Rev!$A251,'Intereses Pagados - Loan'!$C$7:$C$500,"&gt;="&amp;Rev!H$1,'Intereses Pagados - Loan'!$C$7:$C$500,"&lt;="&amp;EOMONTH(Rev!H$1,0))</f>
        <v>0</v>
      </c>
      <c r="I251" s="431">
        <f>+SUMIFS('Intereses Pagados - Loan'!$I$7:$I$500,'Intereses Pagados - Loan'!$B$7:$B$500,Rev!$A251,'Intereses Pagados - Loan'!$C$7:$C$500,"&gt;="&amp;Rev!I$1,'Intereses Pagados - Loan'!$C$7:$C$500,"&lt;="&amp;EOMONTH(Rev!I$1,0))</f>
        <v>0</v>
      </c>
      <c r="J251" s="431">
        <f>+SUMIFS('Intereses Pagados - Loan'!$I$7:$I$500,'Intereses Pagados - Loan'!$B$7:$B$500,Rev!$A251,'Intereses Pagados - Loan'!$C$7:$C$500,"&gt;="&amp;Rev!J$1,'Intereses Pagados - Loan'!$C$7:$C$500,"&lt;="&amp;EOMONTH(Rev!J$1,0))</f>
        <v>0</v>
      </c>
      <c r="K251" s="431">
        <f>+SUMIFS('Intereses Pagados - Loan'!$I$7:$I$500,'Intereses Pagados - Loan'!$B$7:$B$500,Rev!$A251,'Intereses Pagados - Loan'!$C$7:$C$500,"&gt;="&amp;Rev!K$1,'Intereses Pagados - Loan'!$C$7:$C$500,"&lt;="&amp;EOMONTH(Rev!K$1,0))</f>
        <v>0</v>
      </c>
      <c r="L251" s="431">
        <f>+SUMIFS('Intereses Pagados - Loan'!$I$7:$I$500,'Intereses Pagados - Loan'!$B$7:$B$500,Rev!$A251,'Intereses Pagados - Loan'!$C$7:$C$500,"&gt;="&amp;Rev!L$1,'Intereses Pagados - Loan'!$C$7:$C$500,"&lt;="&amp;EOMONTH(Rev!L$1,0))</f>
        <v>0</v>
      </c>
      <c r="M251" s="431">
        <f>+SUMIFS('Intereses Pagados - Loan'!$I$7:$I$500,'Intereses Pagados - Loan'!$B$7:$B$500,Rev!$A251,'Intereses Pagados - Loan'!$C$7:$C$500,"&gt;="&amp;Rev!M$1,'Intereses Pagados - Loan'!$C$7:$C$500,"&lt;="&amp;EOMONTH(Rev!M$1,0))</f>
        <v>0</v>
      </c>
      <c r="N251" s="431">
        <f>+SUMIFS('Intereses Pagados - Loan'!$I$7:$I$500,'Intereses Pagados - Loan'!$B$7:$B$500,Rev!$A251,'Intereses Pagados - Loan'!$C$7:$C$500,"&gt;="&amp;Rev!N$1,'Intereses Pagados - Loan'!$C$7:$C$500,"&lt;="&amp;EOMONTH(Rev!N$1,0))</f>
        <v>0</v>
      </c>
      <c r="O251" s="431">
        <f t="shared" si="73"/>
        <v>0</v>
      </c>
    </row>
    <row r="252" spans="1:15" ht="17.100000000000001">
      <c r="A252" s="425" t="str">
        <f t="shared" si="71"/>
        <v>I</v>
      </c>
      <c r="B252" s="452" t="str">
        <f t="shared" si="72"/>
        <v xml:space="preserve">        Intereses pagados por prestamos  - I</v>
      </c>
      <c r="C252" s="431">
        <f>+SUMIFS('Intereses Pagados - Loan'!$I$7:$I$500,'Intereses Pagados - Loan'!$B$7:$B$500,Rev!$A252,'Intereses Pagados - Loan'!$C$7:$C$500,"&gt;="&amp;Rev!C$1,'Intereses Pagados - Loan'!$C$7:$C$500,"&lt;="&amp;EOMONTH(Rev!C$1,0))</f>
        <v>0</v>
      </c>
      <c r="D252" s="431">
        <f>+SUMIFS('Intereses Pagados - Loan'!$I$7:$I$500,'Intereses Pagados - Loan'!$B$7:$B$500,Rev!$A252,'Intereses Pagados - Loan'!$C$7:$C$500,"&gt;="&amp;Rev!D$1,'Intereses Pagados - Loan'!$C$7:$C$500,"&lt;="&amp;EOMONTH(Rev!D$1,0))</f>
        <v>0</v>
      </c>
      <c r="E252" s="431">
        <f>+SUMIFS('Intereses Pagados - Loan'!$I$7:$I$500,'Intereses Pagados - Loan'!$B$7:$B$500,Rev!$A252,'Intereses Pagados - Loan'!$C$7:$C$500,"&gt;="&amp;Rev!E$1,'Intereses Pagados - Loan'!$C$7:$C$500,"&lt;="&amp;EOMONTH(Rev!E$1,0))</f>
        <v>0</v>
      </c>
      <c r="F252" s="431">
        <f>+SUMIFS('Intereses Pagados - Loan'!$I$7:$I$500,'Intereses Pagados - Loan'!$B$7:$B$500,Rev!$A252,'Intereses Pagados - Loan'!$C$7:$C$500,"&gt;="&amp;Rev!F$1,'Intereses Pagados - Loan'!$C$7:$C$500,"&lt;="&amp;EOMONTH(Rev!F$1,0))</f>
        <v>0</v>
      </c>
      <c r="G252" s="431">
        <f>+SUMIFS('Intereses Pagados - Loan'!$I$7:$I$500,'Intereses Pagados - Loan'!$B$7:$B$500,Rev!$A252,'Intereses Pagados - Loan'!$C$7:$C$500,"&gt;="&amp;Rev!G$1,'Intereses Pagados - Loan'!$C$7:$C$500,"&lt;="&amp;EOMONTH(Rev!G$1,0))</f>
        <v>0</v>
      </c>
      <c r="H252" s="431">
        <f>+SUMIFS('Intereses Pagados - Loan'!$I$7:$I$500,'Intereses Pagados - Loan'!$B$7:$B$500,Rev!$A252,'Intereses Pagados - Loan'!$C$7:$C$500,"&gt;="&amp;Rev!H$1,'Intereses Pagados - Loan'!$C$7:$C$500,"&lt;="&amp;EOMONTH(Rev!H$1,0))</f>
        <v>0</v>
      </c>
      <c r="I252" s="431">
        <f>+SUMIFS('Intereses Pagados - Loan'!$I$7:$I$500,'Intereses Pagados - Loan'!$B$7:$B$500,Rev!$A252,'Intereses Pagados - Loan'!$C$7:$C$500,"&gt;="&amp;Rev!I$1,'Intereses Pagados - Loan'!$C$7:$C$500,"&lt;="&amp;EOMONTH(Rev!I$1,0))</f>
        <v>0</v>
      </c>
      <c r="J252" s="431">
        <f>+SUMIFS('Intereses Pagados - Loan'!$I$7:$I$500,'Intereses Pagados - Loan'!$B$7:$B$500,Rev!$A252,'Intereses Pagados - Loan'!$C$7:$C$500,"&gt;="&amp;Rev!J$1,'Intereses Pagados - Loan'!$C$7:$C$500,"&lt;="&amp;EOMONTH(Rev!J$1,0))</f>
        <v>0</v>
      </c>
      <c r="K252" s="431">
        <f>+SUMIFS('Intereses Pagados - Loan'!$I$7:$I$500,'Intereses Pagados - Loan'!$B$7:$B$500,Rev!$A252,'Intereses Pagados - Loan'!$C$7:$C$500,"&gt;="&amp;Rev!K$1,'Intereses Pagados - Loan'!$C$7:$C$500,"&lt;="&amp;EOMONTH(Rev!K$1,0))</f>
        <v>0</v>
      </c>
      <c r="L252" s="431">
        <f>+SUMIFS('Intereses Pagados - Loan'!$I$7:$I$500,'Intereses Pagados - Loan'!$B$7:$B$500,Rev!$A252,'Intereses Pagados - Loan'!$C$7:$C$500,"&gt;="&amp;Rev!L$1,'Intereses Pagados - Loan'!$C$7:$C$500,"&lt;="&amp;EOMONTH(Rev!L$1,0))</f>
        <v>0</v>
      </c>
      <c r="M252" s="431">
        <f>+SUMIFS('Intereses Pagados - Loan'!$I$7:$I$500,'Intereses Pagados - Loan'!$B$7:$B$500,Rev!$A252,'Intereses Pagados - Loan'!$C$7:$C$500,"&gt;="&amp;Rev!M$1,'Intereses Pagados - Loan'!$C$7:$C$500,"&lt;="&amp;EOMONTH(Rev!M$1,0))</f>
        <v>0</v>
      </c>
      <c r="N252" s="431">
        <f>+SUMIFS('Intereses Pagados - Loan'!$I$7:$I$500,'Intereses Pagados - Loan'!$B$7:$B$500,Rev!$A252,'Intereses Pagados - Loan'!$C$7:$C$500,"&gt;="&amp;Rev!N$1,'Intereses Pagados - Loan'!$C$7:$C$500,"&lt;="&amp;EOMONTH(Rev!N$1,0))</f>
        <v>0</v>
      </c>
      <c r="O252" s="431">
        <f t="shared" si="73"/>
        <v>0</v>
      </c>
    </row>
    <row r="253" spans="1:15" ht="17.100000000000001">
      <c r="A253" s="425" t="str">
        <f t="shared" si="71"/>
        <v>J</v>
      </c>
      <c r="B253" s="452" t="str">
        <f t="shared" si="72"/>
        <v xml:space="preserve">        Intereses pagados por prestamos  - J</v>
      </c>
      <c r="C253" s="431">
        <f>+SUMIFS('Intereses Pagados - Loan'!$I$7:$I$500,'Intereses Pagados - Loan'!$B$7:$B$500,Rev!$A253,'Intereses Pagados - Loan'!$C$7:$C$500,"&gt;="&amp;Rev!C$1,'Intereses Pagados - Loan'!$C$7:$C$500,"&lt;="&amp;EOMONTH(Rev!C$1,0))</f>
        <v>0</v>
      </c>
      <c r="D253" s="431">
        <f>+SUMIFS('Intereses Pagados - Loan'!$I$7:$I$500,'Intereses Pagados - Loan'!$B$7:$B$500,Rev!$A253,'Intereses Pagados - Loan'!$C$7:$C$500,"&gt;="&amp;Rev!D$1,'Intereses Pagados - Loan'!$C$7:$C$500,"&lt;="&amp;EOMONTH(Rev!D$1,0))</f>
        <v>0</v>
      </c>
      <c r="E253" s="431">
        <f>+SUMIFS('Intereses Pagados - Loan'!$I$7:$I$500,'Intereses Pagados - Loan'!$B$7:$B$500,Rev!$A253,'Intereses Pagados - Loan'!$C$7:$C$500,"&gt;="&amp;Rev!E$1,'Intereses Pagados - Loan'!$C$7:$C$500,"&lt;="&amp;EOMONTH(Rev!E$1,0))</f>
        <v>0</v>
      </c>
      <c r="F253" s="431">
        <f>+SUMIFS('Intereses Pagados - Loan'!$I$7:$I$500,'Intereses Pagados - Loan'!$B$7:$B$500,Rev!$A253,'Intereses Pagados - Loan'!$C$7:$C$500,"&gt;="&amp;Rev!F$1,'Intereses Pagados - Loan'!$C$7:$C$500,"&lt;="&amp;EOMONTH(Rev!F$1,0))</f>
        <v>0</v>
      </c>
      <c r="G253" s="431">
        <f>+SUMIFS('Intereses Pagados - Loan'!$I$7:$I$500,'Intereses Pagados - Loan'!$B$7:$B$500,Rev!$A253,'Intereses Pagados - Loan'!$C$7:$C$500,"&gt;="&amp;Rev!G$1,'Intereses Pagados - Loan'!$C$7:$C$500,"&lt;="&amp;EOMONTH(Rev!G$1,0))</f>
        <v>0</v>
      </c>
      <c r="H253" s="431">
        <f>+SUMIFS('Intereses Pagados - Loan'!$I$7:$I$500,'Intereses Pagados - Loan'!$B$7:$B$500,Rev!$A253,'Intereses Pagados - Loan'!$C$7:$C$500,"&gt;="&amp;Rev!H$1,'Intereses Pagados - Loan'!$C$7:$C$500,"&lt;="&amp;EOMONTH(Rev!H$1,0))</f>
        <v>0</v>
      </c>
      <c r="I253" s="431">
        <f>+SUMIFS('Intereses Pagados - Loan'!$I$7:$I$500,'Intereses Pagados - Loan'!$B$7:$B$500,Rev!$A253,'Intereses Pagados - Loan'!$C$7:$C$500,"&gt;="&amp;Rev!I$1,'Intereses Pagados - Loan'!$C$7:$C$500,"&lt;="&amp;EOMONTH(Rev!I$1,0))</f>
        <v>0</v>
      </c>
      <c r="J253" s="431">
        <f>+SUMIFS('Intereses Pagados - Loan'!$I$7:$I$500,'Intereses Pagados - Loan'!$B$7:$B$500,Rev!$A253,'Intereses Pagados - Loan'!$C$7:$C$500,"&gt;="&amp;Rev!J$1,'Intereses Pagados - Loan'!$C$7:$C$500,"&lt;="&amp;EOMONTH(Rev!J$1,0))</f>
        <v>0</v>
      </c>
      <c r="K253" s="431">
        <f>+SUMIFS('Intereses Pagados - Loan'!$I$7:$I$500,'Intereses Pagados - Loan'!$B$7:$B$500,Rev!$A253,'Intereses Pagados - Loan'!$C$7:$C$500,"&gt;="&amp;Rev!K$1,'Intereses Pagados - Loan'!$C$7:$C$500,"&lt;="&amp;EOMONTH(Rev!K$1,0))</f>
        <v>0</v>
      </c>
      <c r="L253" s="431">
        <f>+SUMIFS('Intereses Pagados - Loan'!$I$7:$I$500,'Intereses Pagados - Loan'!$B$7:$B$500,Rev!$A253,'Intereses Pagados - Loan'!$C$7:$C$500,"&gt;="&amp;Rev!L$1,'Intereses Pagados - Loan'!$C$7:$C$500,"&lt;="&amp;EOMONTH(Rev!L$1,0))</f>
        <v>0</v>
      </c>
      <c r="M253" s="431">
        <f>+SUMIFS('Intereses Pagados - Loan'!$I$7:$I$500,'Intereses Pagados - Loan'!$B$7:$B$500,Rev!$A253,'Intereses Pagados - Loan'!$C$7:$C$500,"&gt;="&amp;Rev!M$1,'Intereses Pagados - Loan'!$C$7:$C$500,"&lt;="&amp;EOMONTH(Rev!M$1,0))</f>
        <v>0</v>
      </c>
      <c r="N253" s="431">
        <f>+SUMIFS('Intereses Pagados - Loan'!$I$7:$I$500,'Intereses Pagados - Loan'!$B$7:$B$500,Rev!$A253,'Intereses Pagados - Loan'!$C$7:$C$500,"&gt;="&amp;Rev!N$1,'Intereses Pagados - Loan'!$C$7:$C$500,"&lt;="&amp;EOMONTH(Rev!N$1,0))</f>
        <v>0</v>
      </c>
      <c r="O253" s="431">
        <f t="shared" si="73"/>
        <v>0</v>
      </c>
    </row>
    <row r="254" spans="1:15" ht="17.100000000000001">
      <c r="A254" s="425" t="str">
        <f t="shared" si="71"/>
        <v>K</v>
      </c>
      <c r="B254" s="452" t="str">
        <f t="shared" si="72"/>
        <v xml:space="preserve">        Intereses pagados por prestamos  - K</v>
      </c>
      <c r="C254" s="431">
        <f>+SUMIFS('Intereses Pagados - Loan'!$I$7:$I$500,'Intereses Pagados - Loan'!$B$7:$B$500,Rev!$A254,'Intereses Pagados - Loan'!$C$7:$C$500,"&gt;="&amp;Rev!C$1,'Intereses Pagados - Loan'!$C$7:$C$500,"&lt;="&amp;EOMONTH(Rev!C$1,0))</f>
        <v>0</v>
      </c>
      <c r="D254" s="431">
        <f>+SUMIFS('Intereses Pagados - Loan'!$I$7:$I$500,'Intereses Pagados - Loan'!$B$7:$B$500,Rev!$A254,'Intereses Pagados - Loan'!$C$7:$C$500,"&gt;="&amp;Rev!D$1,'Intereses Pagados - Loan'!$C$7:$C$500,"&lt;="&amp;EOMONTH(Rev!D$1,0))</f>
        <v>0</v>
      </c>
      <c r="E254" s="431">
        <f>+SUMIFS('Intereses Pagados - Loan'!$I$7:$I$500,'Intereses Pagados - Loan'!$B$7:$B$500,Rev!$A254,'Intereses Pagados - Loan'!$C$7:$C$500,"&gt;="&amp;Rev!E$1,'Intereses Pagados - Loan'!$C$7:$C$500,"&lt;="&amp;EOMONTH(Rev!E$1,0))</f>
        <v>0</v>
      </c>
      <c r="F254" s="431">
        <f>+SUMIFS('Intereses Pagados - Loan'!$I$7:$I$500,'Intereses Pagados - Loan'!$B$7:$B$500,Rev!$A254,'Intereses Pagados - Loan'!$C$7:$C$500,"&gt;="&amp;Rev!F$1,'Intereses Pagados - Loan'!$C$7:$C$500,"&lt;="&amp;EOMONTH(Rev!F$1,0))</f>
        <v>0</v>
      </c>
      <c r="G254" s="431">
        <f>+SUMIFS('Intereses Pagados - Loan'!$I$7:$I$500,'Intereses Pagados - Loan'!$B$7:$B$500,Rev!$A254,'Intereses Pagados - Loan'!$C$7:$C$500,"&gt;="&amp;Rev!G$1,'Intereses Pagados - Loan'!$C$7:$C$500,"&lt;="&amp;EOMONTH(Rev!G$1,0))</f>
        <v>0</v>
      </c>
      <c r="H254" s="431">
        <f>+SUMIFS('Intereses Pagados - Loan'!$I$7:$I$500,'Intereses Pagados - Loan'!$B$7:$B$500,Rev!$A254,'Intereses Pagados - Loan'!$C$7:$C$500,"&gt;="&amp;Rev!H$1,'Intereses Pagados - Loan'!$C$7:$C$500,"&lt;="&amp;EOMONTH(Rev!H$1,0))</f>
        <v>0</v>
      </c>
      <c r="I254" s="431">
        <f>+SUMIFS('Intereses Pagados - Loan'!$I$7:$I$500,'Intereses Pagados - Loan'!$B$7:$B$500,Rev!$A254,'Intereses Pagados - Loan'!$C$7:$C$500,"&gt;="&amp;Rev!I$1,'Intereses Pagados - Loan'!$C$7:$C$500,"&lt;="&amp;EOMONTH(Rev!I$1,0))</f>
        <v>0</v>
      </c>
      <c r="J254" s="431">
        <f>+SUMIFS('Intereses Pagados - Loan'!$I$7:$I$500,'Intereses Pagados - Loan'!$B$7:$B$500,Rev!$A254,'Intereses Pagados - Loan'!$C$7:$C$500,"&gt;="&amp;Rev!J$1,'Intereses Pagados - Loan'!$C$7:$C$500,"&lt;="&amp;EOMONTH(Rev!J$1,0))</f>
        <v>0</v>
      </c>
      <c r="K254" s="431">
        <f>+SUMIFS('Intereses Pagados - Loan'!$I$7:$I$500,'Intereses Pagados - Loan'!$B$7:$B$500,Rev!$A254,'Intereses Pagados - Loan'!$C$7:$C$500,"&gt;="&amp;Rev!K$1,'Intereses Pagados - Loan'!$C$7:$C$500,"&lt;="&amp;EOMONTH(Rev!K$1,0))</f>
        <v>0</v>
      </c>
      <c r="L254" s="431">
        <f>+SUMIFS('Intereses Pagados - Loan'!$I$7:$I$500,'Intereses Pagados - Loan'!$B$7:$B$500,Rev!$A254,'Intereses Pagados - Loan'!$C$7:$C$500,"&gt;="&amp;Rev!L$1,'Intereses Pagados - Loan'!$C$7:$C$500,"&lt;="&amp;EOMONTH(Rev!L$1,0))</f>
        <v>0</v>
      </c>
      <c r="M254" s="431">
        <f>+SUMIFS('Intereses Pagados - Loan'!$I$7:$I$500,'Intereses Pagados - Loan'!$B$7:$B$500,Rev!$A254,'Intereses Pagados - Loan'!$C$7:$C$500,"&gt;="&amp;Rev!M$1,'Intereses Pagados - Loan'!$C$7:$C$500,"&lt;="&amp;EOMONTH(Rev!M$1,0))</f>
        <v>0</v>
      </c>
      <c r="N254" s="431">
        <f>+SUMIFS('Intereses Pagados - Loan'!$I$7:$I$500,'Intereses Pagados - Loan'!$B$7:$B$500,Rev!$A254,'Intereses Pagados - Loan'!$C$7:$C$500,"&gt;="&amp;Rev!N$1,'Intereses Pagados - Loan'!$C$7:$C$500,"&lt;="&amp;EOMONTH(Rev!N$1,0))</f>
        <v>0</v>
      </c>
      <c r="O254" s="431">
        <f t="shared" si="73"/>
        <v>0</v>
      </c>
    </row>
    <row r="255" spans="1:15" ht="17.100000000000001">
      <c r="A255" s="416"/>
      <c r="B255" s="426" t="s">
        <v>843</v>
      </c>
      <c r="C255" s="427">
        <f>SUM(C244:C254)</f>
        <v>0</v>
      </c>
      <c r="D255" s="427">
        <f t="shared" ref="D255:O255" si="74">SUM(D244:D254)</f>
        <v>0</v>
      </c>
      <c r="E255" s="427">
        <f t="shared" si="74"/>
        <v>0</v>
      </c>
      <c r="F255" s="427">
        <f t="shared" si="74"/>
        <v>0</v>
      </c>
      <c r="G255" s="427">
        <f t="shared" si="74"/>
        <v>0</v>
      </c>
      <c r="H255" s="427">
        <f t="shared" si="74"/>
        <v>0</v>
      </c>
      <c r="I255" s="427">
        <f t="shared" si="74"/>
        <v>0</v>
      </c>
      <c r="J255" s="427">
        <f t="shared" si="74"/>
        <v>0</v>
      </c>
      <c r="K255" s="427">
        <f t="shared" si="74"/>
        <v>0</v>
      </c>
      <c r="L255" s="427">
        <f t="shared" si="74"/>
        <v>0</v>
      </c>
      <c r="M255" s="427">
        <f t="shared" si="74"/>
        <v>0</v>
      </c>
      <c r="N255" s="427">
        <f t="shared" si="74"/>
        <v>0</v>
      </c>
      <c r="O255" s="427">
        <f t="shared" si="74"/>
        <v>0</v>
      </c>
    </row>
    <row r="256" spans="1:15" ht="17.100000000000001">
      <c r="A256" s="416"/>
      <c r="B256" s="422"/>
      <c r="C256" s="423"/>
      <c r="D256" s="423"/>
      <c r="E256" s="423"/>
      <c r="F256" s="423"/>
      <c r="G256" s="423"/>
      <c r="H256" s="423"/>
      <c r="I256" s="423"/>
      <c r="J256" s="423"/>
      <c r="K256" s="423"/>
      <c r="L256" s="423"/>
      <c r="M256" s="423"/>
      <c r="N256" s="423"/>
      <c r="O256" s="423"/>
    </row>
    <row r="257" spans="1:15" ht="17.100000000000001">
      <c r="A257" s="416"/>
      <c r="B257" s="420" t="s">
        <v>844</v>
      </c>
      <c r="C257" s="423"/>
      <c r="D257" s="423"/>
      <c r="E257" s="423"/>
      <c r="F257" s="423"/>
      <c r="G257" s="423"/>
      <c r="H257" s="423"/>
      <c r="I257" s="423"/>
      <c r="J257" s="423"/>
      <c r="K257" s="423"/>
      <c r="L257" s="423"/>
      <c r="M257" s="423"/>
      <c r="N257" s="423"/>
      <c r="O257" s="423"/>
    </row>
    <row r="258" spans="1:15" ht="17.100000000000001">
      <c r="A258" s="425">
        <f>+A244</f>
        <v>1175000</v>
      </c>
      <c r="B258" s="452" t="str">
        <f>+CONCATENATE("        Otras Retenciones  - ",A258)</f>
        <v xml:space="preserve">        Otras Retenciones  - 1175000</v>
      </c>
      <c r="C258" s="431">
        <f>+SUMIFS('Retenciones - Otros'!$I$7:$I$500,'Retenciones - Otros'!$B$7:$B$500,Rev!$A258,'Retenciones - Otros'!$C$7:$C$500,"&gt;="&amp;Rev!C$1,'Retenciones - Otros'!$C$7:$C$500,"&lt;="&amp;EOMONTH(Rev!C$1,0))</f>
        <v>0</v>
      </c>
      <c r="D258" s="431">
        <f>+SUMIFS('Retenciones - Otros'!$I$7:$I$500,'Retenciones - Otros'!$B$7:$B$500,Rev!$A258,'Retenciones - Otros'!$C$7:$C$500,"&gt;="&amp;Rev!D$1,'Retenciones - Otros'!$C$7:$C$500,"&lt;="&amp;EOMONTH(Rev!D$1,0))</f>
        <v>0</v>
      </c>
      <c r="E258" s="431">
        <f>+SUMIFS('Retenciones - Otros'!$I$7:$I$500,'Retenciones - Otros'!$B$7:$B$500,Rev!$A258,'Retenciones - Otros'!$C$7:$C$500,"&gt;="&amp;Rev!E$1,'Retenciones - Otros'!$C$7:$C$500,"&lt;="&amp;EOMONTH(Rev!E$1,0))</f>
        <v>0</v>
      </c>
      <c r="F258" s="431">
        <f>+SUMIFS('Retenciones - Otros'!$I$7:$I$500,'Retenciones - Otros'!$B$7:$B$500,Rev!$A258,'Retenciones - Otros'!$C$7:$C$500,"&gt;="&amp;Rev!F$1,'Retenciones - Otros'!$C$7:$C$500,"&lt;="&amp;EOMONTH(Rev!F$1,0))</f>
        <v>0</v>
      </c>
      <c r="G258" s="431">
        <f>+SUMIFS('Retenciones - Otros'!$I$7:$I$500,'Retenciones - Otros'!$B$7:$B$500,Rev!$A258,'Retenciones - Otros'!$C$7:$C$500,"&gt;="&amp;Rev!G$1,'Retenciones - Otros'!$C$7:$C$500,"&lt;="&amp;EOMONTH(Rev!G$1,0))</f>
        <v>0</v>
      </c>
      <c r="H258" s="431">
        <f>+SUMIFS('Retenciones - Otros'!$I$7:$I$500,'Retenciones - Otros'!$B$7:$B$500,Rev!$A258,'Retenciones - Otros'!$C$7:$C$500,"&gt;="&amp;Rev!H$1,'Retenciones - Otros'!$C$7:$C$500,"&lt;="&amp;EOMONTH(Rev!H$1,0))</f>
        <v>0</v>
      </c>
      <c r="I258" s="431">
        <f>+SUMIFS('Retenciones - Otros'!$I$7:$I$500,'Retenciones - Otros'!$B$7:$B$500,Rev!$A258,'Retenciones - Otros'!$C$7:$C$500,"&gt;="&amp;Rev!I$1,'Retenciones - Otros'!$C$7:$C$500,"&lt;="&amp;EOMONTH(Rev!I$1,0))</f>
        <v>0</v>
      </c>
      <c r="J258" s="431">
        <f>+SUMIFS('Retenciones - Otros'!$I$7:$I$500,'Retenciones - Otros'!$B$7:$B$500,Rev!$A258,'Retenciones - Otros'!$C$7:$C$500,"&gt;="&amp;Rev!J$1,'Retenciones - Otros'!$C$7:$C$500,"&lt;="&amp;EOMONTH(Rev!J$1,0))</f>
        <v>0</v>
      </c>
      <c r="K258" s="431">
        <f>+SUMIFS('Retenciones - Otros'!$I$7:$I$500,'Retenciones - Otros'!$B$7:$B$500,Rev!$A258,'Retenciones - Otros'!$C$7:$C$500,"&gt;="&amp;Rev!K$1,'Retenciones - Otros'!$C$7:$C$500,"&lt;="&amp;EOMONTH(Rev!K$1,0))</f>
        <v>0</v>
      </c>
      <c r="L258" s="431">
        <f>+SUMIFS('Retenciones - Otros'!$I$7:$I$500,'Retenciones - Otros'!$B$7:$B$500,Rev!$A258,'Retenciones - Otros'!$C$7:$C$500,"&gt;="&amp;Rev!L$1,'Retenciones - Otros'!$C$7:$C$500,"&lt;="&amp;EOMONTH(Rev!L$1,0))</f>
        <v>0</v>
      </c>
      <c r="M258" s="431">
        <f>+SUMIFS('Retenciones - Otros'!$I$7:$I$500,'Retenciones - Otros'!$B$7:$B$500,Rev!$A258,'Retenciones - Otros'!$C$7:$C$500,"&gt;="&amp;Rev!M$1,'Retenciones - Otros'!$C$7:$C$500,"&lt;="&amp;EOMONTH(Rev!M$1,0))</f>
        <v>0</v>
      </c>
      <c r="N258" s="431">
        <f>+SUMIFS('Retenciones - Otros'!$I$7:$I$500,'Retenciones - Otros'!$B$7:$B$500,Rev!$A258,'Retenciones - Otros'!$C$7:$C$500,"&gt;="&amp;Rev!N$1,'Retenciones - Otros'!$C$7:$C$500,"&lt;="&amp;EOMONTH(Rev!N$1,0))</f>
        <v>0</v>
      </c>
      <c r="O258" s="431">
        <f>SUM(C258:N258)</f>
        <v>0</v>
      </c>
    </row>
    <row r="259" spans="1:15" ht="17.100000000000001">
      <c r="A259" s="425">
        <f t="shared" ref="A259:A268" si="75">+A245</f>
        <v>1179000</v>
      </c>
      <c r="B259" s="452" t="str">
        <f t="shared" ref="B259:B268" si="76">+CONCATENATE("        Otras Retenciones  - ",A259)</f>
        <v xml:space="preserve">        Otras Retenciones  - 1179000</v>
      </c>
      <c r="C259" s="431">
        <f>+SUMIFS('Retenciones - Otros'!$I$7:$I$500,'Retenciones - Otros'!$B$7:$B$500,Rev!$A259,'Retenciones - Otros'!$C$7:$C$500,"&gt;="&amp;Rev!C$1,'Retenciones - Otros'!$C$7:$C$500,"&lt;="&amp;EOMONTH(Rev!C$1,0))</f>
        <v>0</v>
      </c>
      <c r="D259" s="431">
        <f>+SUMIFS('Retenciones - Otros'!$I$7:$I$500,'Retenciones - Otros'!$B$7:$B$500,Rev!$A259,'Retenciones - Otros'!$C$7:$C$500,"&gt;="&amp;Rev!D$1,'Retenciones - Otros'!$C$7:$C$500,"&lt;="&amp;EOMONTH(Rev!D$1,0))</f>
        <v>0</v>
      </c>
      <c r="E259" s="431">
        <f>+SUMIFS('Retenciones - Otros'!$I$7:$I$500,'Retenciones - Otros'!$B$7:$B$500,Rev!$A259,'Retenciones - Otros'!$C$7:$C$500,"&gt;="&amp;Rev!E$1,'Retenciones - Otros'!$C$7:$C$500,"&lt;="&amp;EOMONTH(Rev!E$1,0))</f>
        <v>0</v>
      </c>
      <c r="F259" s="431">
        <f>+SUMIFS('Retenciones - Otros'!$I$7:$I$500,'Retenciones - Otros'!$B$7:$B$500,Rev!$A259,'Retenciones - Otros'!$C$7:$C$500,"&gt;="&amp;Rev!F$1,'Retenciones - Otros'!$C$7:$C$500,"&lt;="&amp;EOMONTH(Rev!F$1,0))</f>
        <v>0</v>
      </c>
      <c r="G259" s="431">
        <f>+SUMIFS('Retenciones - Otros'!$I$7:$I$500,'Retenciones - Otros'!$B$7:$B$500,Rev!$A259,'Retenciones - Otros'!$C$7:$C$500,"&gt;="&amp;Rev!G$1,'Retenciones - Otros'!$C$7:$C$500,"&lt;="&amp;EOMONTH(Rev!G$1,0))</f>
        <v>0</v>
      </c>
      <c r="H259" s="431">
        <f>+SUMIFS('Retenciones - Otros'!$I$7:$I$500,'Retenciones - Otros'!$B$7:$B$500,Rev!$A259,'Retenciones - Otros'!$C$7:$C$500,"&gt;="&amp;Rev!H$1,'Retenciones - Otros'!$C$7:$C$500,"&lt;="&amp;EOMONTH(Rev!H$1,0))</f>
        <v>0</v>
      </c>
      <c r="I259" s="431">
        <f>+SUMIFS('Retenciones - Otros'!$I$7:$I$500,'Retenciones - Otros'!$B$7:$B$500,Rev!$A259,'Retenciones - Otros'!$C$7:$C$500,"&gt;="&amp;Rev!I$1,'Retenciones - Otros'!$C$7:$C$500,"&lt;="&amp;EOMONTH(Rev!I$1,0))</f>
        <v>0</v>
      </c>
      <c r="J259" s="431">
        <f>+SUMIFS('Retenciones - Otros'!$I$7:$I$500,'Retenciones - Otros'!$B$7:$B$500,Rev!$A259,'Retenciones - Otros'!$C$7:$C$500,"&gt;="&amp;Rev!J$1,'Retenciones - Otros'!$C$7:$C$500,"&lt;="&amp;EOMONTH(Rev!J$1,0))</f>
        <v>0</v>
      </c>
      <c r="K259" s="431">
        <f>+SUMIFS('Retenciones - Otros'!$I$7:$I$500,'Retenciones - Otros'!$B$7:$B$500,Rev!$A259,'Retenciones - Otros'!$C$7:$C$500,"&gt;="&amp;Rev!K$1,'Retenciones - Otros'!$C$7:$C$500,"&lt;="&amp;EOMONTH(Rev!K$1,0))</f>
        <v>0</v>
      </c>
      <c r="L259" s="431">
        <f>+SUMIFS('Retenciones - Otros'!$I$7:$I$500,'Retenciones - Otros'!$B$7:$B$500,Rev!$A259,'Retenciones - Otros'!$C$7:$C$500,"&gt;="&amp;Rev!L$1,'Retenciones - Otros'!$C$7:$C$500,"&lt;="&amp;EOMONTH(Rev!L$1,0))</f>
        <v>0</v>
      </c>
      <c r="M259" s="431">
        <f>+SUMIFS('Retenciones - Otros'!$I$7:$I$500,'Retenciones - Otros'!$B$7:$B$500,Rev!$A259,'Retenciones - Otros'!$C$7:$C$500,"&gt;="&amp;Rev!M$1,'Retenciones - Otros'!$C$7:$C$500,"&lt;="&amp;EOMONTH(Rev!M$1,0))</f>
        <v>0</v>
      </c>
      <c r="N259" s="431">
        <f>+SUMIFS('Retenciones - Otros'!$I$7:$I$500,'Retenciones - Otros'!$B$7:$B$500,Rev!$A259,'Retenciones - Otros'!$C$7:$C$500,"&gt;="&amp;Rev!N$1,'Retenciones - Otros'!$C$7:$C$500,"&lt;="&amp;EOMONTH(Rev!N$1,0))</f>
        <v>0</v>
      </c>
      <c r="O259" s="431">
        <f>SUM(C259:N259)</f>
        <v>0</v>
      </c>
    </row>
    <row r="260" spans="1:15" ht="17.100000000000001">
      <c r="A260" s="425">
        <f t="shared" si="75"/>
        <v>1427200</v>
      </c>
      <c r="B260" s="452" t="str">
        <f t="shared" si="76"/>
        <v xml:space="preserve">        Otras Retenciones  - 1427200</v>
      </c>
      <c r="C260" s="431">
        <f>+SUMIFS('Retenciones - Otros'!$I$7:$I$500,'Retenciones - Otros'!$B$7:$B$500,Rev!$A260,'Retenciones - Otros'!$C$7:$C$500,"&gt;="&amp;Rev!C$1,'Retenciones - Otros'!$C$7:$C$500,"&lt;="&amp;EOMONTH(Rev!C$1,0))</f>
        <v>0</v>
      </c>
      <c r="D260" s="431">
        <f>+SUMIFS('Retenciones - Otros'!$I$7:$I$500,'Retenciones - Otros'!$B$7:$B$500,Rev!$A260,'Retenciones - Otros'!$C$7:$C$500,"&gt;="&amp;Rev!D$1,'Retenciones - Otros'!$C$7:$C$500,"&lt;="&amp;EOMONTH(Rev!D$1,0))</f>
        <v>0</v>
      </c>
      <c r="E260" s="431">
        <f>+SUMIFS('Retenciones - Otros'!$I$7:$I$500,'Retenciones - Otros'!$B$7:$B$500,Rev!$A260,'Retenciones - Otros'!$C$7:$C$500,"&gt;="&amp;Rev!E$1,'Retenciones - Otros'!$C$7:$C$500,"&lt;="&amp;EOMONTH(Rev!E$1,0))</f>
        <v>0</v>
      </c>
      <c r="F260" s="431">
        <f>+SUMIFS('Retenciones - Otros'!$I$7:$I$500,'Retenciones - Otros'!$B$7:$B$500,Rev!$A260,'Retenciones - Otros'!$C$7:$C$500,"&gt;="&amp;Rev!F$1,'Retenciones - Otros'!$C$7:$C$500,"&lt;="&amp;EOMONTH(Rev!F$1,0))</f>
        <v>0</v>
      </c>
      <c r="G260" s="431">
        <f>+SUMIFS('Retenciones - Otros'!$I$7:$I$500,'Retenciones - Otros'!$B$7:$B$500,Rev!$A260,'Retenciones - Otros'!$C$7:$C$500,"&gt;="&amp;Rev!G$1,'Retenciones - Otros'!$C$7:$C$500,"&lt;="&amp;EOMONTH(Rev!G$1,0))</f>
        <v>0</v>
      </c>
      <c r="H260" s="431">
        <f>+SUMIFS('Retenciones - Otros'!$I$7:$I$500,'Retenciones - Otros'!$B$7:$B$500,Rev!$A260,'Retenciones - Otros'!$C$7:$C$500,"&gt;="&amp;Rev!H$1,'Retenciones - Otros'!$C$7:$C$500,"&lt;="&amp;EOMONTH(Rev!H$1,0))</f>
        <v>0</v>
      </c>
      <c r="I260" s="431">
        <f>+SUMIFS('Retenciones - Otros'!$I$7:$I$500,'Retenciones - Otros'!$B$7:$B$500,Rev!$A260,'Retenciones - Otros'!$C$7:$C$500,"&gt;="&amp;Rev!I$1,'Retenciones - Otros'!$C$7:$C$500,"&lt;="&amp;EOMONTH(Rev!I$1,0))</f>
        <v>0</v>
      </c>
      <c r="J260" s="431">
        <f>+SUMIFS('Retenciones - Otros'!$I$7:$I$500,'Retenciones - Otros'!$B$7:$B$500,Rev!$A260,'Retenciones - Otros'!$C$7:$C$500,"&gt;="&amp;Rev!J$1,'Retenciones - Otros'!$C$7:$C$500,"&lt;="&amp;EOMONTH(Rev!J$1,0))</f>
        <v>0</v>
      </c>
      <c r="K260" s="431">
        <f>+SUMIFS('Retenciones - Otros'!$I$7:$I$500,'Retenciones - Otros'!$B$7:$B$500,Rev!$A260,'Retenciones - Otros'!$C$7:$C$500,"&gt;="&amp;Rev!K$1,'Retenciones - Otros'!$C$7:$C$500,"&lt;="&amp;EOMONTH(Rev!K$1,0))</f>
        <v>0</v>
      </c>
      <c r="L260" s="431">
        <f>+SUMIFS('Retenciones - Otros'!$I$7:$I$500,'Retenciones - Otros'!$B$7:$B$500,Rev!$A260,'Retenciones - Otros'!$C$7:$C$500,"&gt;="&amp;Rev!L$1,'Retenciones - Otros'!$C$7:$C$500,"&lt;="&amp;EOMONTH(Rev!L$1,0))</f>
        <v>0</v>
      </c>
      <c r="M260" s="431">
        <f>+SUMIFS('Retenciones - Otros'!$I$7:$I$500,'Retenciones - Otros'!$B$7:$B$500,Rev!$A260,'Retenciones - Otros'!$C$7:$C$500,"&gt;="&amp;Rev!M$1,'Retenciones - Otros'!$C$7:$C$500,"&lt;="&amp;EOMONTH(Rev!M$1,0))</f>
        <v>0</v>
      </c>
      <c r="N260" s="431">
        <f>+SUMIFS('Retenciones - Otros'!$I$7:$I$500,'Retenciones - Otros'!$B$7:$B$500,Rev!$A260,'Retenciones - Otros'!$C$7:$C$500,"&gt;="&amp;Rev!N$1,'Retenciones - Otros'!$C$7:$C$500,"&lt;="&amp;EOMONTH(Rev!N$1,0))</f>
        <v>0</v>
      </c>
      <c r="O260" s="431">
        <f t="shared" ref="O260:O268" si="77">SUM(C260:N260)</f>
        <v>0</v>
      </c>
    </row>
    <row r="261" spans="1:15" ht="17.100000000000001">
      <c r="A261" s="425" t="str">
        <f t="shared" si="75"/>
        <v>B22235000</v>
      </c>
      <c r="B261" s="452" t="str">
        <f t="shared" si="76"/>
        <v xml:space="preserve">        Otras Retenciones  - B22235000</v>
      </c>
      <c r="C261" s="431">
        <f>+SUMIFS('Retenciones - Otros'!$I$7:$I$500,'Retenciones - Otros'!$B$7:$B$500,Rev!$A261,'Retenciones - Otros'!$C$7:$C$500,"&gt;="&amp;Rev!C$1,'Retenciones - Otros'!$C$7:$C$500,"&lt;="&amp;EOMONTH(Rev!C$1,0))</f>
        <v>0</v>
      </c>
      <c r="D261" s="431">
        <f>+SUMIFS('Retenciones - Otros'!$I$7:$I$500,'Retenciones - Otros'!$B$7:$B$500,Rev!$A261,'Retenciones - Otros'!$C$7:$C$500,"&gt;="&amp;Rev!D$1,'Retenciones - Otros'!$C$7:$C$500,"&lt;="&amp;EOMONTH(Rev!D$1,0))</f>
        <v>0</v>
      </c>
      <c r="E261" s="431">
        <f>+SUMIFS('Retenciones - Otros'!$I$7:$I$500,'Retenciones - Otros'!$B$7:$B$500,Rev!$A261,'Retenciones - Otros'!$C$7:$C$500,"&gt;="&amp;Rev!E$1,'Retenciones - Otros'!$C$7:$C$500,"&lt;="&amp;EOMONTH(Rev!E$1,0))</f>
        <v>44.58</v>
      </c>
      <c r="F261" s="431">
        <f>+SUMIFS('Retenciones - Otros'!$I$7:$I$500,'Retenciones - Otros'!$B$7:$B$500,Rev!$A261,'Retenciones - Otros'!$C$7:$C$500,"&gt;="&amp;Rev!F$1,'Retenciones - Otros'!$C$7:$C$500,"&lt;="&amp;EOMONTH(Rev!F$1,0))</f>
        <v>0</v>
      </c>
      <c r="G261" s="431">
        <f>+SUMIFS('Retenciones - Otros'!$I$7:$I$500,'Retenciones - Otros'!$B$7:$B$500,Rev!$A261,'Retenciones - Otros'!$C$7:$C$500,"&gt;="&amp;Rev!G$1,'Retenciones - Otros'!$C$7:$C$500,"&lt;="&amp;EOMONTH(Rev!G$1,0))</f>
        <v>0</v>
      </c>
      <c r="H261" s="431">
        <f>+SUMIFS('Retenciones - Otros'!$I$7:$I$500,'Retenciones - Otros'!$B$7:$B$500,Rev!$A261,'Retenciones - Otros'!$C$7:$C$500,"&gt;="&amp;Rev!H$1,'Retenciones - Otros'!$C$7:$C$500,"&lt;="&amp;EOMONTH(Rev!H$1,0))</f>
        <v>0</v>
      </c>
      <c r="I261" s="431">
        <f>+SUMIFS('Retenciones - Otros'!$I$7:$I$500,'Retenciones - Otros'!$B$7:$B$500,Rev!$A261,'Retenciones - Otros'!$C$7:$C$500,"&gt;="&amp;Rev!I$1,'Retenciones - Otros'!$C$7:$C$500,"&lt;="&amp;EOMONTH(Rev!I$1,0))</f>
        <v>0</v>
      </c>
      <c r="J261" s="431">
        <f>+SUMIFS('Retenciones - Otros'!$I$7:$I$500,'Retenciones - Otros'!$B$7:$B$500,Rev!$A261,'Retenciones - Otros'!$C$7:$C$500,"&gt;="&amp;Rev!J$1,'Retenciones - Otros'!$C$7:$C$500,"&lt;="&amp;EOMONTH(Rev!J$1,0))</f>
        <v>0</v>
      </c>
      <c r="K261" s="431">
        <f>+SUMIFS('Retenciones - Otros'!$I$7:$I$500,'Retenciones - Otros'!$B$7:$B$500,Rev!$A261,'Retenciones - Otros'!$C$7:$C$500,"&gt;="&amp;Rev!K$1,'Retenciones - Otros'!$C$7:$C$500,"&lt;="&amp;EOMONTH(Rev!K$1,0))</f>
        <v>0</v>
      </c>
      <c r="L261" s="431">
        <f>+SUMIFS('Retenciones - Otros'!$I$7:$I$500,'Retenciones - Otros'!$B$7:$B$500,Rev!$A261,'Retenciones - Otros'!$C$7:$C$500,"&gt;="&amp;Rev!L$1,'Retenciones - Otros'!$C$7:$C$500,"&lt;="&amp;EOMONTH(Rev!L$1,0))</f>
        <v>0</v>
      </c>
      <c r="M261" s="431">
        <f>+SUMIFS('Retenciones - Otros'!$I$7:$I$500,'Retenciones - Otros'!$B$7:$B$500,Rev!$A261,'Retenciones - Otros'!$C$7:$C$500,"&gt;="&amp;Rev!M$1,'Retenciones - Otros'!$C$7:$C$500,"&lt;="&amp;EOMONTH(Rev!M$1,0))</f>
        <v>0</v>
      </c>
      <c r="N261" s="431">
        <f>+SUMIFS('Retenciones - Otros'!$I$7:$I$500,'Retenciones - Otros'!$B$7:$B$500,Rev!$A261,'Retenciones - Otros'!$C$7:$C$500,"&gt;="&amp;Rev!N$1,'Retenciones - Otros'!$C$7:$C$500,"&lt;="&amp;EOMONTH(Rev!N$1,0))</f>
        <v>0</v>
      </c>
      <c r="O261" s="431">
        <f t="shared" si="77"/>
        <v>44.58</v>
      </c>
    </row>
    <row r="262" spans="1:15" ht="17.100000000000001">
      <c r="A262" s="425">
        <f t="shared" si="75"/>
        <v>700833580</v>
      </c>
      <c r="B262" s="452" t="str">
        <f t="shared" si="76"/>
        <v xml:space="preserve">        Otras Retenciones  - 700833580</v>
      </c>
      <c r="C262" s="431">
        <f>+SUMIFS('Retenciones - Otros'!$I$7:$I$500,'Retenciones - Otros'!$B$7:$B$500,Rev!$A262,'Retenciones - Otros'!$C$7:$C$500,"&gt;="&amp;Rev!C$1,'Retenciones - Otros'!$C$7:$C$500,"&lt;="&amp;EOMONTH(Rev!C$1,0))</f>
        <v>0</v>
      </c>
      <c r="D262" s="431">
        <f>+SUMIFS('Retenciones - Otros'!$I$7:$I$500,'Retenciones - Otros'!$B$7:$B$500,Rev!$A262,'Retenciones - Otros'!$C$7:$C$500,"&gt;="&amp;Rev!D$1,'Retenciones - Otros'!$C$7:$C$500,"&lt;="&amp;EOMONTH(Rev!D$1,0))</f>
        <v>0</v>
      </c>
      <c r="E262" s="431">
        <f>+SUMIFS('Retenciones - Otros'!$I$7:$I$500,'Retenciones - Otros'!$B$7:$B$500,Rev!$A262,'Retenciones - Otros'!$C$7:$C$500,"&gt;="&amp;Rev!E$1,'Retenciones - Otros'!$C$7:$C$500,"&lt;="&amp;EOMONTH(Rev!E$1,0))</f>
        <v>0</v>
      </c>
      <c r="F262" s="431">
        <f>+SUMIFS('Retenciones - Otros'!$I$7:$I$500,'Retenciones - Otros'!$B$7:$B$500,Rev!$A262,'Retenciones - Otros'!$C$7:$C$500,"&gt;="&amp;Rev!F$1,'Retenciones - Otros'!$C$7:$C$500,"&lt;="&amp;EOMONTH(Rev!F$1,0))</f>
        <v>0</v>
      </c>
      <c r="G262" s="431">
        <f>+SUMIFS('Retenciones - Otros'!$I$7:$I$500,'Retenciones - Otros'!$B$7:$B$500,Rev!$A262,'Retenciones - Otros'!$C$7:$C$500,"&gt;="&amp;Rev!G$1,'Retenciones - Otros'!$C$7:$C$500,"&lt;="&amp;EOMONTH(Rev!G$1,0))</f>
        <v>0</v>
      </c>
      <c r="H262" s="431">
        <f>+SUMIFS('Retenciones - Otros'!$I$7:$I$500,'Retenciones - Otros'!$B$7:$B$500,Rev!$A262,'Retenciones - Otros'!$C$7:$C$500,"&gt;="&amp;Rev!H$1,'Retenciones - Otros'!$C$7:$C$500,"&lt;="&amp;EOMONTH(Rev!H$1,0))</f>
        <v>0</v>
      </c>
      <c r="I262" s="431">
        <f>+SUMIFS('Retenciones - Otros'!$I$7:$I$500,'Retenciones - Otros'!$B$7:$B$500,Rev!$A262,'Retenciones - Otros'!$C$7:$C$500,"&gt;="&amp;Rev!I$1,'Retenciones - Otros'!$C$7:$C$500,"&lt;="&amp;EOMONTH(Rev!I$1,0))</f>
        <v>0</v>
      </c>
      <c r="J262" s="431">
        <f>+SUMIFS('Retenciones - Otros'!$I$7:$I$500,'Retenciones - Otros'!$B$7:$B$500,Rev!$A262,'Retenciones - Otros'!$C$7:$C$500,"&gt;="&amp;Rev!J$1,'Retenciones - Otros'!$C$7:$C$500,"&lt;="&amp;EOMONTH(Rev!J$1,0))</f>
        <v>0</v>
      </c>
      <c r="K262" s="431">
        <f>+SUMIFS('Retenciones - Otros'!$I$7:$I$500,'Retenciones - Otros'!$B$7:$B$500,Rev!$A262,'Retenciones - Otros'!$C$7:$C$500,"&gt;="&amp;Rev!K$1,'Retenciones - Otros'!$C$7:$C$500,"&lt;="&amp;EOMONTH(Rev!K$1,0))</f>
        <v>0</v>
      </c>
      <c r="L262" s="431">
        <f>+SUMIFS('Retenciones - Otros'!$I$7:$I$500,'Retenciones - Otros'!$B$7:$B$500,Rev!$A262,'Retenciones - Otros'!$C$7:$C$500,"&gt;="&amp;Rev!L$1,'Retenciones - Otros'!$C$7:$C$500,"&lt;="&amp;EOMONTH(Rev!L$1,0))</f>
        <v>0</v>
      </c>
      <c r="M262" s="431">
        <f>+SUMIFS('Retenciones - Otros'!$I$7:$I$500,'Retenciones - Otros'!$B$7:$B$500,Rev!$A262,'Retenciones - Otros'!$C$7:$C$500,"&gt;="&amp;Rev!M$1,'Retenciones - Otros'!$C$7:$C$500,"&lt;="&amp;EOMONTH(Rev!M$1,0))</f>
        <v>0</v>
      </c>
      <c r="N262" s="431">
        <f>+SUMIFS('Retenciones - Otros'!$I$7:$I$500,'Retenciones - Otros'!$B$7:$B$500,Rev!$A262,'Retenciones - Otros'!$C$7:$C$500,"&gt;="&amp;Rev!N$1,'Retenciones - Otros'!$C$7:$C$500,"&lt;="&amp;EOMONTH(Rev!N$1,0))</f>
        <v>0</v>
      </c>
      <c r="O262" s="431">
        <f t="shared" si="77"/>
        <v>0</v>
      </c>
    </row>
    <row r="263" spans="1:15" ht="17.100000000000001">
      <c r="A263" s="425" t="str">
        <f t="shared" si="75"/>
        <v>F</v>
      </c>
      <c r="B263" s="452" t="str">
        <f t="shared" si="76"/>
        <v xml:space="preserve">        Otras Retenciones  - F</v>
      </c>
      <c r="C263" s="431">
        <f>+SUMIFS('Retenciones - Otros'!$I$7:$I$500,'Retenciones - Otros'!$B$7:$B$500,Rev!$A263,'Retenciones - Otros'!$C$7:$C$500,"&gt;="&amp;Rev!C$1,'Retenciones - Otros'!$C$7:$C$500,"&lt;="&amp;EOMONTH(Rev!C$1,0))</f>
        <v>0</v>
      </c>
      <c r="D263" s="431">
        <f>+SUMIFS('Retenciones - Otros'!$I$7:$I$500,'Retenciones - Otros'!$B$7:$B$500,Rev!$A263,'Retenciones - Otros'!$C$7:$C$500,"&gt;="&amp;Rev!D$1,'Retenciones - Otros'!$C$7:$C$500,"&lt;="&amp;EOMONTH(Rev!D$1,0))</f>
        <v>0</v>
      </c>
      <c r="E263" s="431">
        <f>+SUMIFS('Retenciones - Otros'!$I$7:$I$500,'Retenciones - Otros'!$B$7:$B$500,Rev!$A263,'Retenciones - Otros'!$C$7:$C$500,"&gt;="&amp;Rev!E$1,'Retenciones - Otros'!$C$7:$C$500,"&lt;="&amp;EOMONTH(Rev!E$1,0))</f>
        <v>0</v>
      </c>
      <c r="F263" s="431">
        <f>+SUMIFS('Retenciones - Otros'!$I$7:$I$500,'Retenciones - Otros'!$B$7:$B$500,Rev!$A263,'Retenciones - Otros'!$C$7:$C$500,"&gt;="&amp;Rev!F$1,'Retenciones - Otros'!$C$7:$C$500,"&lt;="&amp;EOMONTH(Rev!F$1,0))</f>
        <v>0</v>
      </c>
      <c r="G263" s="431">
        <f>+SUMIFS('Retenciones - Otros'!$I$7:$I$500,'Retenciones - Otros'!$B$7:$B$500,Rev!$A263,'Retenciones - Otros'!$C$7:$C$500,"&gt;="&amp;Rev!G$1,'Retenciones - Otros'!$C$7:$C$500,"&lt;="&amp;EOMONTH(Rev!G$1,0))</f>
        <v>0</v>
      </c>
      <c r="H263" s="431">
        <f>+SUMIFS('Retenciones - Otros'!$I$7:$I$500,'Retenciones - Otros'!$B$7:$B$500,Rev!$A263,'Retenciones - Otros'!$C$7:$C$500,"&gt;="&amp;Rev!H$1,'Retenciones - Otros'!$C$7:$C$500,"&lt;="&amp;EOMONTH(Rev!H$1,0))</f>
        <v>0</v>
      </c>
      <c r="I263" s="431">
        <f>+SUMIFS('Retenciones - Otros'!$I$7:$I$500,'Retenciones - Otros'!$B$7:$B$500,Rev!$A263,'Retenciones - Otros'!$C$7:$C$500,"&gt;="&amp;Rev!I$1,'Retenciones - Otros'!$C$7:$C$500,"&lt;="&amp;EOMONTH(Rev!I$1,0))</f>
        <v>0</v>
      </c>
      <c r="J263" s="431">
        <f>+SUMIFS('Retenciones - Otros'!$I$7:$I$500,'Retenciones - Otros'!$B$7:$B$500,Rev!$A263,'Retenciones - Otros'!$C$7:$C$500,"&gt;="&amp;Rev!J$1,'Retenciones - Otros'!$C$7:$C$500,"&lt;="&amp;EOMONTH(Rev!J$1,0))</f>
        <v>0</v>
      </c>
      <c r="K263" s="431">
        <f>+SUMIFS('Retenciones - Otros'!$I$7:$I$500,'Retenciones - Otros'!$B$7:$B$500,Rev!$A263,'Retenciones - Otros'!$C$7:$C$500,"&gt;="&amp;Rev!K$1,'Retenciones - Otros'!$C$7:$C$500,"&lt;="&amp;EOMONTH(Rev!K$1,0))</f>
        <v>0</v>
      </c>
      <c r="L263" s="431">
        <f>+SUMIFS('Retenciones - Otros'!$I$7:$I$500,'Retenciones - Otros'!$B$7:$B$500,Rev!$A263,'Retenciones - Otros'!$C$7:$C$500,"&gt;="&amp;Rev!L$1,'Retenciones - Otros'!$C$7:$C$500,"&lt;="&amp;EOMONTH(Rev!L$1,0))</f>
        <v>0</v>
      </c>
      <c r="M263" s="431">
        <f>+SUMIFS('Retenciones - Otros'!$I$7:$I$500,'Retenciones - Otros'!$B$7:$B$500,Rev!$A263,'Retenciones - Otros'!$C$7:$C$500,"&gt;="&amp;Rev!M$1,'Retenciones - Otros'!$C$7:$C$500,"&lt;="&amp;EOMONTH(Rev!M$1,0))</f>
        <v>0</v>
      </c>
      <c r="N263" s="431">
        <f>+SUMIFS('Retenciones - Otros'!$I$7:$I$500,'Retenciones - Otros'!$B$7:$B$500,Rev!$A263,'Retenciones - Otros'!$C$7:$C$500,"&gt;="&amp;Rev!N$1,'Retenciones - Otros'!$C$7:$C$500,"&lt;="&amp;EOMONTH(Rev!N$1,0))</f>
        <v>0</v>
      </c>
      <c r="O263" s="431">
        <f t="shared" si="77"/>
        <v>0</v>
      </c>
    </row>
    <row r="264" spans="1:15" ht="17.100000000000001">
      <c r="A264" s="425" t="str">
        <f t="shared" si="75"/>
        <v>G</v>
      </c>
      <c r="B264" s="452" t="str">
        <f t="shared" si="76"/>
        <v xml:space="preserve">        Otras Retenciones  - G</v>
      </c>
      <c r="C264" s="431">
        <f>+SUMIFS('Retenciones - Otros'!$I$7:$I$500,'Retenciones - Otros'!$B$7:$B$500,Rev!$A264,'Retenciones - Otros'!$C$7:$C$500,"&gt;="&amp;Rev!C$1,'Retenciones - Otros'!$C$7:$C$500,"&lt;="&amp;EOMONTH(Rev!C$1,0))</f>
        <v>0</v>
      </c>
      <c r="D264" s="431">
        <f>+SUMIFS('Retenciones - Otros'!$I$7:$I$500,'Retenciones - Otros'!$B$7:$B$500,Rev!$A264,'Retenciones - Otros'!$C$7:$C$500,"&gt;="&amp;Rev!D$1,'Retenciones - Otros'!$C$7:$C$500,"&lt;="&amp;EOMONTH(Rev!D$1,0))</f>
        <v>0</v>
      </c>
      <c r="E264" s="431">
        <f>+SUMIFS('Retenciones - Otros'!$I$7:$I$500,'Retenciones - Otros'!$B$7:$B$500,Rev!$A264,'Retenciones - Otros'!$C$7:$C$500,"&gt;="&amp;Rev!E$1,'Retenciones - Otros'!$C$7:$C$500,"&lt;="&amp;EOMONTH(Rev!E$1,0))</f>
        <v>0</v>
      </c>
      <c r="F264" s="431">
        <f>+SUMIFS('Retenciones - Otros'!$I$7:$I$500,'Retenciones - Otros'!$B$7:$B$500,Rev!$A264,'Retenciones - Otros'!$C$7:$C$500,"&gt;="&amp;Rev!F$1,'Retenciones - Otros'!$C$7:$C$500,"&lt;="&amp;EOMONTH(Rev!F$1,0))</f>
        <v>0</v>
      </c>
      <c r="G264" s="431">
        <f>+SUMIFS('Retenciones - Otros'!$I$7:$I$500,'Retenciones - Otros'!$B$7:$B$500,Rev!$A264,'Retenciones - Otros'!$C$7:$C$500,"&gt;="&amp;Rev!G$1,'Retenciones - Otros'!$C$7:$C$500,"&lt;="&amp;EOMONTH(Rev!G$1,0))</f>
        <v>0</v>
      </c>
      <c r="H264" s="431">
        <f>+SUMIFS('Retenciones - Otros'!$I$7:$I$500,'Retenciones - Otros'!$B$7:$B$500,Rev!$A264,'Retenciones - Otros'!$C$7:$C$500,"&gt;="&amp;Rev!H$1,'Retenciones - Otros'!$C$7:$C$500,"&lt;="&amp;EOMONTH(Rev!H$1,0))</f>
        <v>0</v>
      </c>
      <c r="I264" s="431">
        <f>+SUMIFS('Retenciones - Otros'!$I$7:$I$500,'Retenciones - Otros'!$B$7:$B$500,Rev!$A264,'Retenciones - Otros'!$C$7:$C$500,"&gt;="&amp;Rev!I$1,'Retenciones - Otros'!$C$7:$C$500,"&lt;="&amp;EOMONTH(Rev!I$1,0))</f>
        <v>0</v>
      </c>
      <c r="J264" s="431">
        <f>+SUMIFS('Retenciones - Otros'!$I$7:$I$500,'Retenciones - Otros'!$B$7:$B$500,Rev!$A264,'Retenciones - Otros'!$C$7:$C$500,"&gt;="&amp;Rev!J$1,'Retenciones - Otros'!$C$7:$C$500,"&lt;="&amp;EOMONTH(Rev!J$1,0))</f>
        <v>0</v>
      </c>
      <c r="K264" s="431">
        <f>+SUMIFS('Retenciones - Otros'!$I$7:$I$500,'Retenciones - Otros'!$B$7:$B$500,Rev!$A264,'Retenciones - Otros'!$C$7:$C$500,"&gt;="&amp;Rev!K$1,'Retenciones - Otros'!$C$7:$C$500,"&lt;="&amp;EOMONTH(Rev!K$1,0))</f>
        <v>0</v>
      </c>
      <c r="L264" s="431">
        <f>+SUMIFS('Retenciones - Otros'!$I$7:$I$500,'Retenciones - Otros'!$B$7:$B$500,Rev!$A264,'Retenciones - Otros'!$C$7:$C$500,"&gt;="&amp;Rev!L$1,'Retenciones - Otros'!$C$7:$C$500,"&lt;="&amp;EOMONTH(Rev!L$1,0))</f>
        <v>0</v>
      </c>
      <c r="M264" s="431">
        <f>+SUMIFS('Retenciones - Otros'!$I$7:$I$500,'Retenciones - Otros'!$B$7:$B$500,Rev!$A264,'Retenciones - Otros'!$C$7:$C$500,"&gt;="&amp;Rev!M$1,'Retenciones - Otros'!$C$7:$C$500,"&lt;="&amp;EOMONTH(Rev!M$1,0))</f>
        <v>0</v>
      </c>
      <c r="N264" s="431">
        <f>+SUMIFS('Retenciones - Otros'!$I$7:$I$500,'Retenciones - Otros'!$B$7:$B$500,Rev!$A264,'Retenciones - Otros'!$C$7:$C$500,"&gt;="&amp;Rev!N$1,'Retenciones - Otros'!$C$7:$C$500,"&lt;="&amp;EOMONTH(Rev!N$1,0))</f>
        <v>0</v>
      </c>
      <c r="O264" s="431">
        <f t="shared" si="77"/>
        <v>0</v>
      </c>
    </row>
    <row r="265" spans="1:15" ht="17.100000000000001">
      <c r="A265" s="425" t="str">
        <f t="shared" si="75"/>
        <v>H</v>
      </c>
      <c r="B265" s="452" t="str">
        <f t="shared" si="76"/>
        <v xml:space="preserve">        Otras Retenciones  - H</v>
      </c>
      <c r="C265" s="431">
        <f>+SUMIFS('Retenciones - Otros'!$I$7:$I$500,'Retenciones - Otros'!$B$7:$B$500,Rev!$A265,'Retenciones - Otros'!$C$7:$C$500,"&gt;="&amp;Rev!C$1,'Retenciones - Otros'!$C$7:$C$500,"&lt;="&amp;EOMONTH(Rev!C$1,0))</f>
        <v>0</v>
      </c>
      <c r="D265" s="431">
        <f>+SUMIFS('Retenciones - Otros'!$I$7:$I$500,'Retenciones - Otros'!$B$7:$B$500,Rev!$A265,'Retenciones - Otros'!$C$7:$C$500,"&gt;="&amp;Rev!D$1,'Retenciones - Otros'!$C$7:$C$500,"&lt;="&amp;EOMONTH(Rev!D$1,0))</f>
        <v>0</v>
      </c>
      <c r="E265" s="431">
        <f>+SUMIFS('Retenciones - Otros'!$I$7:$I$500,'Retenciones - Otros'!$B$7:$B$500,Rev!$A265,'Retenciones - Otros'!$C$7:$C$500,"&gt;="&amp;Rev!E$1,'Retenciones - Otros'!$C$7:$C$500,"&lt;="&amp;EOMONTH(Rev!E$1,0))</f>
        <v>0</v>
      </c>
      <c r="F265" s="431">
        <f>+SUMIFS('Retenciones - Otros'!$I$7:$I$500,'Retenciones - Otros'!$B$7:$B$500,Rev!$A265,'Retenciones - Otros'!$C$7:$C$500,"&gt;="&amp;Rev!F$1,'Retenciones - Otros'!$C$7:$C$500,"&lt;="&amp;EOMONTH(Rev!F$1,0))</f>
        <v>0</v>
      </c>
      <c r="G265" s="431">
        <f>+SUMIFS('Retenciones - Otros'!$I$7:$I$500,'Retenciones - Otros'!$B$7:$B$500,Rev!$A265,'Retenciones - Otros'!$C$7:$C$500,"&gt;="&amp;Rev!G$1,'Retenciones - Otros'!$C$7:$C$500,"&lt;="&amp;EOMONTH(Rev!G$1,0))</f>
        <v>0</v>
      </c>
      <c r="H265" s="431">
        <f>+SUMIFS('Retenciones - Otros'!$I$7:$I$500,'Retenciones - Otros'!$B$7:$B$500,Rev!$A265,'Retenciones - Otros'!$C$7:$C$500,"&gt;="&amp;Rev!H$1,'Retenciones - Otros'!$C$7:$C$500,"&lt;="&amp;EOMONTH(Rev!H$1,0))</f>
        <v>0</v>
      </c>
      <c r="I265" s="431">
        <f>+SUMIFS('Retenciones - Otros'!$I$7:$I$500,'Retenciones - Otros'!$B$7:$B$500,Rev!$A265,'Retenciones - Otros'!$C$7:$C$500,"&gt;="&amp;Rev!I$1,'Retenciones - Otros'!$C$7:$C$500,"&lt;="&amp;EOMONTH(Rev!I$1,0))</f>
        <v>0</v>
      </c>
      <c r="J265" s="431">
        <f>+SUMIFS('Retenciones - Otros'!$I$7:$I$500,'Retenciones - Otros'!$B$7:$B$500,Rev!$A265,'Retenciones - Otros'!$C$7:$C$500,"&gt;="&amp;Rev!J$1,'Retenciones - Otros'!$C$7:$C$500,"&lt;="&amp;EOMONTH(Rev!J$1,0))</f>
        <v>0</v>
      </c>
      <c r="K265" s="431">
        <f>+SUMIFS('Retenciones - Otros'!$I$7:$I$500,'Retenciones - Otros'!$B$7:$B$500,Rev!$A265,'Retenciones - Otros'!$C$7:$C$500,"&gt;="&amp;Rev!K$1,'Retenciones - Otros'!$C$7:$C$500,"&lt;="&amp;EOMONTH(Rev!K$1,0))</f>
        <v>0</v>
      </c>
      <c r="L265" s="431">
        <f>+SUMIFS('Retenciones - Otros'!$I$7:$I$500,'Retenciones - Otros'!$B$7:$B$500,Rev!$A265,'Retenciones - Otros'!$C$7:$C$500,"&gt;="&amp;Rev!L$1,'Retenciones - Otros'!$C$7:$C$500,"&lt;="&amp;EOMONTH(Rev!L$1,0))</f>
        <v>0</v>
      </c>
      <c r="M265" s="431">
        <f>+SUMIFS('Retenciones - Otros'!$I$7:$I$500,'Retenciones - Otros'!$B$7:$B$500,Rev!$A265,'Retenciones - Otros'!$C$7:$C$500,"&gt;="&amp;Rev!M$1,'Retenciones - Otros'!$C$7:$C$500,"&lt;="&amp;EOMONTH(Rev!M$1,0))</f>
        <v>0</v>
      </c>
      <c r="N265" s="431">
        <f>+SUMIFS('Retenciones - Otros'!$I$7:$I$500,'Retenciones - Otros'!$B$7:$B$500,Rev!$A265,'Retenciones - Otros'!$C$7:$C$500,"&gt;="&amp;Rev!N$1,'Retenciones - Otros'!$C$7:$C$500,"&lt;="&amp;EOMONTH(Rev!N$1,0))</f>
        <v>0</v>
      </c>
      <c r="O265" s="431">
        <f t="shared" si="77"/>
        <v>0</v>
      </c>
    </row>
    <row r="266" spans="1:15" ht="17.100000000000001">
      <c r="A266" s="425" t="str">
        <f t="shared" si="75"/>
        <v>I</v>
      </c>
      <c r="B266" s="452" t="str">
        <f t="shared" si="76"/>
        <v xml:space="preserve">        Otras Retenciones  - I</v>
      </c>
      <c r="C266" s="431">
        <f>+SUMIFS('Retenciones - Otros'!$I$7:$I$500,'Retenciones - Otros'!$B$7:$B$500,Rev!$A266,'Retenciones - Otros'!$C$7:$C$500,"&gt;="&amp;Rev!C$1,'Retenciones - Otros'!$C$7:$C$500,"&lt;="&amp;EOMONTH(Rev!C$1,0))</f>
        <v>0</v>
      </c>
      <c r="D266" s="431">
        <f>+SUMIFS('Retenciones - Otros'!$I$7:$I$500,'Retenciones - Otros'!$B$7:$B$500,Rev!$A266,'Retenciones - Otros'!$C$7:$C$500,"&gt;="&amp;Rev!D$1,'Retenciones - Otros'!$C$7:$C$500,"&lt;="&amp;EOMONTH(Rev!D$1,0))</f>
        <v>0</v>
      </c>
      <c r="E266" s="431">
        <f>+SUMIFS('Retenciones - Otros'!$I$7:$I$500,'Retenciones - Otros'!$B$7:$B$500,Rev!$A266,'Retenciones - Otros'!$C$7:$C$500,"&gt;="&amp;Rev!E$1,'Retenciones - Otros'!$C$7:$C$500,"&lt;="&amp;EOMONTH(Rev!E$1,0))</f>
        <v>0</v>
      </c>
      <c r="F266" s="431">
        <f>+SUMIFS('Retenciones - Otros'!$I$7:$I$500,'Retenciones - Otros'!$B$7:$B$500,Rev!$A266,'Retenciones - Otros'!$C$7:$C$500,"&gt;="&amp;Rev!F$1,'Retenciones - Otros'!$C$7:$C$500,"&lt;="&amp;EOMONTH(Rev!F$1,0))</f>
        <v>0</v>
      </c>
      <c r="G266" s="431">
        <f>+SUMIFS('Retenciones - Otros'!$I$7:$I$500,'Retenciones - Otros'!$B$7:$B$500,Rev!$A266,'Retenciones - Otros'!$C$7:$C$500,"&gt;="&amp;Rev!G$1,'Retenciones - Otros'!$C$7:$C$500,"&lt;="&amp;EOMONTH(Rev!G$1,0))</f>
        <v>0</v>
      </c>
      <c r="H266" s="431">
        <f>+SUMIFS('Retenciones - Otros'!$I$7:$I$500,'Retenciones - Otros'!$B$7:$B$500,Rev!$A266,'Retenciones - Otros'!$C$7:$C$500,"&gt;="&amp;Rev!H$1,'Retenciones - Otros'!$C$7:$C$500,"&lt;="&amp;EOMONTH(Rev!H$1,0))</f>
        <v>0</v>
      </c>
      <c r="I266" s="431">
        <f>+SUMIFS('Retenciones - Otros'!$I$7:$I$500,'Retenciones - Otros'!$B$7:$B$500,Rev!$A266,'Retenciones - Otros'!$C$7:$C$500,"&gt;="&amp;Rev!I$1,'Retenciones - Otros'!$C$7:$C$500,"&lt;="&amp;EOMONTH(Rev!I$1,0))</f>
        <v>0</v>
      </c>
      <c r="J266" s="431">
        <f>+SUMIFS('Retenciones - Otros'!$I$7:$I$500,'Retenciones - Otros'!$B$7:$B$500,Rev!$A266,'Retenciones - Otros'!$C$7:$C$500,"&gt;="&amp;Rev!J$1,'Retenciones - Otros'!$C$7:$C$500,"&lt;="&amp;EOMONTH(Rev!J$1,0))</f>
        <v>0</v>
      </c>
      <c r="K266" s="431">
        <f>+SUMIFS('Retenciones - Otros'!$I$7:$I$500,'Retenciones - Otros'!$B$7:$B$500,Rev!$A266,'Retenciones - Otros'!$C$7:$C$500,"&gt;="&amp;Rev!K$1,'Retenciones - Otros'!$C$7:$C$500,"&lt;="&amp;EOMONTH(Rev!K$1,0))</f>
        <v>0</v>
      </c>
      <c r="L266" s="431">
        <f>+SUMIFS('Retenciones - Otros'!$I$7:$I$500,'Retenciones - Otros'!$B$7:$B$500,Rev!$A266,'Retenciones - Otros'!$C$7:$C$500,"&gt;="&amp;Rev!L$1,'Retenciones - Otros'!$C$7:$C$500,"&lt;="&amp;EOMONTH(Rev!L$1,0))</f>
        <v>0</v>
      </c>
      <c r="M266" s="431">
        <f>+SUMIFS('Retenciones - Otros'!$I$7:$I$500,'Retenciones - Otros'!$B$7:$B$500,Rev!$A266,'Retenciones - Otros'!$C$7:$C$500,"&gt;="&amp;Rev!M$1,'Retenciones - Otros'!$C$7:$C$500,"&lt;="&amp;EOMONTH(Rev!M$1,0))</f>
        <v>0</v>
      </c>
      <c r="N266" s="431">
        <f>+SUMIFS('Retenciones - Otros'!$I$7:$I$500,'Retenciones - Otros'!$B$7:$B$500,Rev!$A266,'Retenciones - Otros'!$C$7:$C$500,"&gt;="&amp;Rev!N$1,'Retenciones - Otros'!$C$7:$C$500,"&lt;="&amp;EOMONTH(Rev!N$1,0))</f>
        <v>0</v>
      </c>
      <c r="O266" s="431">
        <f t="shared" si="77"/>
        <v>0</v>
      </c>
    </row>
    <row r="267" spans="1:15" ht="17.100000000000001">
      <c r="A267" s="425" t="str">
        <f t="shared" si="75"/>
        <v>J</v>
      </c>
      <c r="B267" s="452" t="str">
        <f t="shared" si="76"/>
        <v xml:space="preserve">        Otras Retenciones  - J</v>
      </c>
      <c r="C267" s="431">
        <f>+SUMIFS('Retenciones - Otros'!$I$7:$I$500,'Retenciones - Otros'!$B$7:$B$500,Rev!$A267,'Retenciones - Otros'!$C$7:$C$500,"&gt;="&amp;Rev!C$1,'Retenciones - Otros'!$C$7:$C$500,"&lt;="&amp;EOMONTH(Rev!C$1,0))</f>
        <v>0</v>
      </c>
      <c r="D267" s="431">
        <f>+SUMIFS('Retenciones - Otros'!$I$7:$I$500,'Retenciones - Otros'!$B$7:$B$500,Rev!$A267,'Retenciones - Otros'!$C$7:$C$500,"&gt;="&amp;Rev!D$1,'Retenciones - Otros'!$C$7:$C$500,"&lt;="&amp;EOMONTH(Rev!D$1,0))</f>
        <v>0</v>
      </c>
      <c r="E267" s="431">
        <f>+SUMIFS('Retenciones - Otros'!$I$7:$I$500,'Retenciones - Otros'!$B$7:$B$500,Rev!$A267,'Retenciones - Otros'!$C$7:$C$500,"&gt;="&amp;Rev!E$1,'Retenciones - Otros'!$C$7:$C$500,"&lt;="&amp;EOMONTH(Rev!E$1,0))</f>
        <v>0</v>
      </c>
      <c r="F267" s="431">
        <f>+SUMIFS('Retenciones - Otros'!$I$7:$I$500,'Retenciones - Otros'!$B$7:$B$500,Rev!$A267,'Retenciones - Otros'!$C$7:$C$500,"&gt;="&amp;Rev!F$1,'Retenciones - Otros'!$C$7:$C$500,"&lt;="&amp;EOMONTH(Rev!F$1,0))</f>
        <v>0</v>
      </c>
      <c r="G267" s="431">
        <f>+SUMIFS('Retenciones - Otros'!$I$7:$I$500,'Retenciones - Otros'!$B$7:$B$500,Rev!$A267,'Retenciones - Otros'!$C$7:$C$500,"&gt;="&amp;Rev!G$1,'Retenciones - Otros'!$C$7:$C$500,"&lt;="&amp;EOMONTH(Rev!G$1,0))</f>
        <v>0</v>
      </c>
      <c r="H267" s="431">
        <f>+SUMIFS('Retenciones - Otros'!$I$7:$I$500,'Retenciones - Otros'!$B$7:$B$500,Rev!$A267,'Retenciones - Otros'!$C$7:$C$500,"&gt;="&amp;Rev!H$1,'Retenciones - Otros'!$C$7:$C$500,"&lt;="&amp;EOMONTH(Rev!H$1,0))</f>
        <v>0</v>
      </c>
      <c r="I267" s="431">
        <f>+SUMIFS('Retenciones - Otros'!$I$7:$I$500,'Retenciones - Otros'!$B$7:$B$500,Rev!$A267,'Retenciones - Otros'!$C$7:$C$500,"&gt;="&amp;Rev!I$1,'Retenciones - Otros'!$C$7:$C$500,"&lt;="&amp;EOMONTH(Rev!I$1,0))</f>
        <v>0</v>
      </c>
      <c r="J267" s="431">
        <f>+SUMIFS('Retenciones - Otros'!$I$7:$I$500,'Retenciones - Otros'!$B$7:$B$500,Rev!$A267,'Retenciones - Otros'!$C$7:$C$500,"&gt;="&amp;Rev!J$1,'Retenciones - Otros'!$C$7:$C$500,"&lt;="&amp;EOMONTH(Rev!J$1,0))</f>
        <v>0</v>
      </c>
      <c r="K267" s="431">
        <f>+SUMIFS('Retenciones - Otros'!$I$7:$I$500,'Retenciones - Otros'!$B$7:$B$500,Rev!$A267,'Retenciones - Otros'!$C$7:$C$500,"&gt;="&amp;Rev!K$1,'Retenciones - Otros'!$C$7:$C$500,"&lt;="&amp;EOMONTH(Rev!K$1,0))</f>
        <v>0</v>
      </c>
      <c r="L267" s="431">
        <f>+SUMIFS('Retenciones - Otros'!$I$7:$I$500,'Retenciones - Otros'!$B$7:$B$500,Rev!$A267,'Retenciones - Otros'!$C$7:$C$500,"&gt;="&amp;Rev!L$1,'Retenciones - Otros'!$C$7:$C$500,"&lt;="&amp;EOMONTH(Rev!L$1,0))</f>
        <v>0</v>
      </c>
      <c r="M267" s="431">
        <f>+SUMIFS('Retenciones - Otros'!$I$7:$I$500,'Retenciones - Otros'!$B$7:$B$500,Rev!$A267,'Retenciones - Otros'!$C$7:$C$500,"&gt;="&amp;Rev!M$1,'Retenciones - Otros'!$C$7:$C$500,"&lt;="&amp;EOMONTH(Rev!M$1,0))</f>
        <v>0</v>
      </c>
      <c r="N267" s="431">
        <f>+SUMIFS('Retenciones - Otros'!$I$7:$I$500,'Retenciones - Otros'!$B$7:$B$500,Rev!$A267,'Retenciones - Otros'!$C$7:$C$500,"&gt;="&amp;Rev!N$1,'Retenciones - Otros'!$C$7:$C$500,"&lt;="&amp;EOMONTH(Rev!N$1,0))</f>
        <v>0</v>
      </c>
      <c r="O267" s="431">
        <f t="shared" si="77"/>
        <v>0</v>
      </c>
    </row>
    <row r="268" spans="1:15" ht="17.100000000000001">
      <c r="A268" s="425" t="str">
        <f t="shared" si="75"/>
        <v>K</v>
      </c>
      <c r="B268" s="452" t="str">
        <f t="shared" si="76"/>
        <v xml:space="preserve">        Otras Retenciones  - K</v>
      </c>
      <c r="C268" s="431">
        <f>+SUMIFS('Retenciones - Otros'!$I$7:$I$500,'Retenciones - Otros'!$B$7:$B$500,Rev!$A268,'Retenciones - Otros'!$C$7:$C$500,"&gt;="&amp;Rev!C$1,'Retenciones - Otros'!$C$7:$C$500,"&lt;="&amp;EOMONTH(Rev!C$1,0))</f>
        <v>0</v>
      </c>
      <c r="D268" s="431">
        <f>+SUMIFS('Retenciones - Otros'!$I$7:$I$500,'Retenciones - Otros'!$B$7:$B$500,Rev!$A268,'Retenciones - Otros'!$C$7:$C$500,"&gt;="&amp;Rev!D$1,'Retenciones - Otros'!$C$7:$C$500,"&lt;="&amp;EOMONTH(Rev!D$1,0))</f>
        <v>0</v>
      </c>
      <c r="E268" s="431">
        <f>+SUMIFS('Retenciones - Otros'!$I$7:$I$500,'Retenciones - Otros'!$B$7:$B$500,Rev!$A268,'Retenciones - Otros'!$C$7:$C$500,"&gt;="&amp;Rev!E$1,'Retenciones - Otros'!$C$7:$C$500,"&lt;="&amp;EOMONTH(Rev!E$1,0))</f>
        <v>0</v>
      </c>
      <c r="F268" s="431">
        <f>+SUMIFS('Retenciones - Otros'!$I$7:$I$500,'Retenciones - Otros'!$B$7:$B$500,Rev!$A268,'Retenciones - Otros'!$C$7:$C$500,"&gt;="&amp;Rev!F$1,'Retenciones - Otros'!$C$7:$C$500,"&lt;="&amp;EOMONTH(Rev!F$1,0))</f>
        <v>0</v>
      </c>
      <c r="G268" s="431">
        <f>+SUMIFS('Retenciones - Otros'!$I$7:$I$500,'Retenciones - Otros'!$B$7:$B$500,Rev!$A268,'Retenciones - Otros'!$C$7:$C$500,"&gt;="&amp;Rev!G$1,'Retenciones - Otros'!$C$7:$C$500,"&lt;="&amp;EOMONTH(Rev!G$1,0))</f>
        <v>0</v>
      </c>
      <c r="H268" s="431">
        <f>+SUMIFS('Retenciones - Otros'!$I$7:$I$500,'Retenciones - Otros'!$B$7:$B$500,Rev!$A268,'Retenciones - Otros'!$C$7:$C$500,"&gt;="&amp;Rev!H$1,'Retenciones - Otros'!$C$7:$C$500,"&lt;="&amp;EOMONTH(Rev!H$1,0))</f>
        <v>0</v>
      </c>
      <c r="I268" s="431">
        <f>+SUMIFS('Retenciones - Otros'!$I$7:$I$500,'Retenciones - Otros'!$B$7:$B$500,Rev!$A268,'Retenciones - Otros'!$C$7:$C$500,"&gt;="&amp;Rev!I$1,'Retenciones - Otros'!$C$7:$C$500,"&lt;="&amp;EOMONTH(Rev!I$1,0))</f>
        <v>0</v>
      </c>
      <c r="J268" s="431">
        <f>+SUMIFS('Retenciones - Otros'!$I$7:$I$500,'Retenciones - Otros'!$B$7:$B$500,Rev!$A268,'Retenciones - Otros'!$C$7:$C$500,"&gt;="&amp;Rev!J$1,'Retenciones - Otros'!$C$7:$C$500,"&lt;="&amp;EOMONTH(Rev!J$1,0))</f>
        <v>0</v>
      </c>
      <c r="K268" s="431">
        <f>+SUMIFS('Retenciones - Otros'!$I$7:$I$500,'Retenciones - Otros'!$B$7:$B$500,Rev!$A268,'Retenciones - Otros'!$C$7:$C$500,"&gt;="&amp;Rev!K$1,'Retenciones - Otros'!$C$7:$C$500,"&lt;="&amp;EOMONTH(Rev!K$1,0))</f>
        <v>0</v>
      </c>
      <c r="L268" s="431">
        <f>+SUMIFS('Retenciones - Otros'!$I$7:$I$500,'Retenciones - Otros'!$B$7:$B$500,Rev!$A268,'Retenciones - Otros'!$C$7:$C$500,"&gt;="&amp;Rev!L$1,'Retenciones - Otros'!$C$7:$C$500,"&lt;="&amp;EOMONTH(Rev!L$1,0))</f>
        <v>0</v>
      </c>
      <c r="M268" s="431">
        <f>+SUMIFS('Retenciones - Otros'!$I$7:$I$500,'Retenciones - Otros'!$B$7:$B$500,Rev!$A268,'Retenciones - Otros'!$C$7:$C$500,"&gt;="&amp;Rev!M$1,'Retenciones - Otros'!$C$7:$C$500,"&lt;="&amp;EOMONTH(Rev!M$1,0))</f>
        <v>0</v>
      </c>
      <c r="N268" s="431">
        <f>+SUMIFS('Retenciones - Otros'!$I$7:$I$500,'Retenciones - Otros'!$B$7:$B$500,Rev!$A268,'Retenciones - Otros'!$C$7:$C$500,"&gt;="&amp;Rev!N$1,'Retenciones - Otros'!$C$7:$C$500,"&lt;="&amp;EOMONTH(Rev!N$1,0))</f>
        <v>0</v>
      </c>
      <c r="O268" s="431">
        <f t="shared" si="77"/>
        <v>0</v>
      </c>
    </row>
    <row r="269" spans="1:15" ht="17.100000000000001">
      <c r="A269" s="416"/>
      <c r="B269" s="426" t="s">
        <v>845</v>
      </c>
      <c r="C269" s="427">
        <f>SUM(C258:C268)</f>
        <v>0</v>
      </c>
      <c r="D269" s="427">
        <f t="shared" ref="D269:O269" si="78">SUM(D258:D268)</f>
        <v>0</v>
      </c>
      <c r="E269" s="427">
        <f t="shared" si="78"/>
        <v>44.58</v>
      </c>
      <c r="F269" s="427">
        <f t="shared" si="78"/>
        <v>0</v>
      </c>
      <c r="G269" s="427">
        <f t="shared" si="78"/>
        <v>0</v>
      </c>
      <c r="H269" s="427">
        <f t="shared" si="78"/>
        <v>0</v>
      </c>
      <c r="I269" s="427">
        <f t="shared" si="78"/>
        <v>0</v>
      </c>
      <c r="J269" s="427">
        <f t="shared" si="78"/>
        <v>0</v>
      </c>
      <c r="K269" s="427">
        <f t="shared" si="78"/>
        <v>0</v>
      </c>
      <c r="L269" s="427">
        <f t="shared" si="78"/>
        <v>0</v>
      </c>
      <c r="M269" s="427">
        <f t="shared" si="78"/>
        <v>0</v>
      </c>
      <c r="N269" s="427">
        <f t="shared" si="78"/>
        <v>0</v>
      </c>
      <c r="O269" s="427">
        <f t="shared" si="78"/>
        <v>44.58</v>
      </c>
    </row>
    <row r="270" spans="1:15" ht="17.100000000000001">
      <c r="A270" s="416"/>
      <c r="B270" s="429"/>
      <c r="C270" s="423"/>
      <c r="D270" s="423"/>
      <c r="E270" s="423"/>
      <c r="F270" s="423"/>
      <c r="G270" s="423"/>
      <c r="H270" s="423"/>
      <c r="I270" s="423"/>
      <c r="J270" s="423"/>
      <c r="K270" s="423"/>
      <c r="L270" s="423"/>
      <c r="M270" s="423"/>
      <c r="N270" s="423"/>
      <c r="O270" s="423"/>
    </row>
    <row r="271" spans="1:15" ht="17.100000000000001">
      <c r="A271" s="416"/>
      <c r="B271" s="429"/>
      <c r="C271" s="423"/>
      <c r="D271" s="423"/>
      <c r="E271" s="423"/>
      <c r="F271" s="423"/>
      <c r="G271" s="423"/>
      <c r="H271" s="423"/>
      <c r="I271" s="423"/>
      <c r="J271" s="423"/>
      <c r="K271" s="423"/>
      <c r="L271" s="423"/>
      <c r="M271" s="423"/>
      <c r="N271" s="423"/>
      <c r="O271" s="423"/>
    </row>
  </sheetData>
  <sheetProtection algorithmName="SHA-512" hashValue="SJYgE80F3X3FtQuLFrtXPvFj3JQnUaGQyhb9Ll3k6uEdCaQXF8kUU1lRonxYvbrPLspWablQtAceda/fyOa+iA==" saltValue="zHFQWN6ERGfiCQz8l7mAFA==" spinCount="100000" sheet="1" objects="1" scenarios="1"/>
  <autoFilter ref="A2:O269" xr:uid="{26FC5845-FBEC-5C44-A6D1-0826582A28F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 de Microsoft Office</dc:creator>
  <cp:keywords/>
  <dc:description/>
  <cp:lastModifiedBy>Santiago Romero</cp:lastModifiedBy>
  <cp:revision/>
  <dcterms:created xsi:type="dcterms:W3CDTF">2016-08-08T15:17:48Z</dcterms:created>
  <dcterms:modified xsi:type="dcterms:W3CDTF">2023-03-06T16:01:30Z</dcterms:modified>
  <cp:category/>
  <cp:contentStatus/>
</cp:coreProperties>
</file>